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me" sheetId="1" state="visible" r:id="rId1"/>
    <sheet xmlns:r="http://schemas.openxmlformats.org/officeDocument/2006/relationships" name="Query" sheetId="2" state="visible" r:id="rId2"/>
    <sheet xmlns:r="http://schemas.openxmlformats.org/officeDocument/2006/relationships" name="Data Transfer" sheetId="3" state="visible" r:id="rId3"/>
    <sheet xmlns:r="http://schemas.openxmlformats.org/officeDocument/2006/relationships" name="Compliance Database" sheetId="4" state="visible" r:id="rId4"/>
    <sheet xmlns:r="http://schemas.openxmlformats.org/officeDocument/2006/relationships" name="Acts" sheetId="5" state="visible" r:id="rId5"/>
    <sheet xmlns:r="http://schemas.openxmlformats.org/officeDocument/2006/relationships" name="Regulators" sheetId="6" state="visible" r:id="rId6"/>
    <sheet xmlns:r="http://schemas.openxmlformats.org/officeDocument/2006/relationships" name="Topics" sheetId="7" state="visible" r:id="rId7"/>
    <sheet xmlns:r="http://schemas.openxmlformats.org/officeDocument/2006/relationships" name="Lists" sheetId="8" state="hidden" r:id="rId8"/>
    <sheet xmlns:r="http://schemas.openxmlformats.org/officeDocument/2006/relationships" name="Engine" sheetId="9" state="hidden" r:id="rId9"/>
    <sheet xmlns:r="http://schemas.openxmlformats.org/officeDocument/2006/relationships" name="Transfer Engine" sheetId="10" state="hidden"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1"/>
    </font>
    <font>
      <color rgb="000563C1"/>
      <u val="single"/>
    </font>
    <font>
      <b val="1"/>
      <color rgb="00FFFFFF"/>
      <sz val="16"/>
    </font>
    <font>
      <i val="1"/>
    </font>
    <font>
      <b val="1"/>
    </font>
    <font>
      <b val="1"/>
      <sz val="13"/>
    </font>
  </fonts>
  <fills count="4">
    <fill>
      <patternFill/>
    </fill>
    <fill>
      <patternFill patternType="gray125"/>
    </fill>
    <fill>
      <patternFill patternType="solid">
        <fgColor rgb="00D9EAD3"/>
      </patternFill>
    </fill>
    <fill>
      <patternFill patternType="solid">
        <fgColor rgb="001F4E78"/>
      </patternFill>
    </fill>
  </fills>
  <borders count="2">
    <border>
      <left/>
      <right/>
      <top/>
      <bottom/>
      <diagonal/>
    </border>
    <border>
      <left style="thin"/>
      <right style="thin"/>
      <top style="thin"/>
      <bottom style="thin"/>
    </border>
  </borders>
  <cellStyleXfs count="1">
    <xf numFmtId="0" fontId="0" fillId="0" borderId="0"/>
  </cellStyleXfs>
  <cellXfs count="13">
    <xf numFmtId="0" fontId="0" fillId="0" borderId="0" pivotButton="0" quotePrefix="0" xfId="0"/>
    <xf numFmtId="0" fontId="3" fillId="3" borderId="0" pivotButton="0" quotePrefix="0" xfId="0"/>
    <xf numFmtId="0" fontId="5" fillId="0" borderId="0" pivotButton="0" quotePrefix="0" xfId="0"/>
    <xf numFmtId="0" fontId="6" fillId="0" borderId="0" pivotButton="0" quotePrefix="0" xfId="0"/>
    <xf numFmtId="0" fontId="0" fillId="0" borderId="0" applyAlignment="1" pivotButton="0" quotePrefix="0" xfId="0">
      <alignment wrapText="1"/>
    </xf>
    <xf numFmtId="0" fontId="4" fillId="0" borderId="0" pivotButton="0" quotePrefix="0" xfId="0"/>
    <xf numFmtId="0" fontId="0" fillId="2" borderId="0" pivotButton="0" quotePrefix="0" xfId="0"/>
    <xf numFmtId="0" fontId="1" fillId="2" borderId="1" pivotButton="0" quotePrefix="0" xfId="0"/>
    <xf numFmtId="0" fontId="0" fillId="0" borderId="1" pivotButton="0" quotePrefix="0" xfId="0"/>
    <xf numFmtId="0" fontId="0" fillId="0" borderId="1" applyAlignment="1" pivotButton="0" quotePrefix="0" xfId="0">
      <alignment vertical="top" wrapText="1"/>
    </xf>
    <xf numFmtId="0" fontId="1" fillId="2" borderId="1" applyAlignment="1" pivotButton="0" quotePrefix="0" xfId="0">
      <alignment horizontal="center" vertical="center" wrapText="1"/>
    </xf>
    <xf numFmtId="0" fontId="0"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ables/table1.xml><?xml version="1.0" encoding="utf-8"?>
<table xmlns="http://schemas.openxmlformats.org/spreadsheetml/2006/main" id="1" name="ComplianceTable" displayName="ComplianceTable" ref="A1:P1960" headerRowCount="1">
  <autoFilter ref="A1:P1960"/>
  <tableColumns count="16">
    <tableColumn id="1" name="Country"/>
    <tableColumn id="2" name="Act"/>
    <tableColumn id="3" name="Section"/>
    <tableColumn id="4" name="Heading"/>
    <tableColumn id="5" name="Pages"/>
    <tableColumn id="6" name="Financial Relevance"/>
    <tableColumn id="7" name="Confidence"/>
    <tableColumn id="8" name="Topics"/>
    <tableColumn id="9" name="Data Types"/>
    <tableColumn id="10" name="Authority"/>
    <tableColumn id="11" name="Summary"/>
    <tableColumn id="12" name="DTIA Summary"/>
    <tableColumn id="13" name="Requirements"/>
    <tableColumn id="14" name="Requirements (2)"/>
    <tableColumn id="15" name="Source Quote"/>
    <tableColumn id="16" name="Source"/>
  </tableColumns>
  <tableStyleInfo name="TableStyleMedium2" showFirstColumn="0" showLastColumn="0" showRowStripes="1" showColumnStripes="0"/>
</table>
</file>

<file path=xl/tables/table2.xml><?xml version="1.0" encoding="utf-8"?>
<table xmlns="http://schemas.openxmlformats.org/spreadsheetml/2006/main" id="2" name="ActsTable" displayName="ActsTable" ref="A1:G89" headerRowCount="1">
  <autoFilter ref="A1:G89"/>
  <tableColumns count="7">
    <tableColumn id="1" name="Country"/>
    <tableColumn id="2" name="Act"/>
    <tableColumn id="3" name="Sections"/>
    <tableColumn id="4" name="Regulators"/>
    <tableColumn id="5" name="Topics"/>
    <tableColumn id="6" name="Financial Relevance"/>
    <tableColumn id="7" name="Source PDF"/>
  </tableColumns>
  <tableStyleInfo name="TableStyleMedium2" showFirstColumn="0" showLastColumn="0" showRowStripes="1" showColumnStripes="0"/>
</table>
</file>

<file path=xl/tables/table3.xml><?xml version="1.0" encoding="utf-8"?>
<table xmlns="http://schemas.openxmlformats.org/spreadsheetml/2006/main" id="3" name="RegulatorTable" displayName="RegulatorTable" ref="A1:C162" headerRowCount="1">
  <autoFilter ref="A1:C162"/>
  <tableColumns count="3">
    <tableColumn id="1" name="Authority"/>
    <tableColumn id="2" name="Countries"/>
    <tableColumn id="3" name="Acts"/>
  </tableColumns>
  <tableStyleInfo name="TableStyleMedium2" showFirstColumn="0" showLastColumn="0" showRowStripes="1" showColumnStripes="0"/>
</table>
</file>

<file path=xl/tables/table4.xml><?xml version="1.0" encoding="utf-8"?>
<table xmlns="http://schemas.openxmlformats.org/spreadsheetml/2006/main" id="4" name="TopicTable" displayName="TopicTable" ref="A1:B28" headerRowCount="1">
  <autoFilter ref="A1:B28"/>
  <tableColumns count="2">
    <tableColumn id="1" name="Topic"/>
    <tableColumn id="2" name="Section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5.xml.rels><Relationships xmlns="http://schemas.openxmlformats.org/package/2006/relationships"><Relationship Type="http://schemas.openxmlformats.org/officeDocument/2006/relationships/hyperlink" Target="https://github.com/ethandeysel/Data-Risk-Compliance/blob/main/data/acts/Australia/C2004A01182%20%28Australia%20-%20Row%2025%29.pdf" TargetMode="External" Id="rId1"/><Relationship Type="http://schemas.openxmlformats.org/officeDocument/2006/relationships/hyperlink" Target="https://github.com/ethandeysel/Data-Risk-Compliance/blob/main/data/acts/Australia/C2004C01271-1%20%28Australia%20-%20Row%207%29.pdf" TargetMode="External" Id="rId2"/><Relationship Type="http://schemas.openxmlformats.org/officeDocument/2006/relationships/hyperlink" Target="https://github.com/ethandeysel/Data-Risk-Compliance/blob/main/data/acts/Australia/C2012C00866%20%28Australia%20-%20Row%2012%29.pdf" TargetMode="External" Id="rId3"/><Relationship Type="http://schemas.openxmlformats.org/officeDocument/2006/relationships/hyperlink" Target="https://github.com/ethandeysel/Data-Risk-Compliance/blob/main/data/acts/Australia/C2016C00614%20%28Australia%20-%20Row%2023%29.pdf" TargetMode="External" Id="rId4"/><Relationship Type="http://schemas.openxmlformats.org/officeDocument/2006/relationships/hyperlink" Target="https://github.com/ethandeysel/Data-Risk-Compliance/blob/main/data/acts/Australia/C2024C00719%20%28Australia%20-%20Row%2015%29.pdf" TargetMode="External" Id="rId5"/><Relationship Type="http://schemas.openxmlformats.org/officeDocument/2006/relationships/hyperlink" Target="https://github.com/ethandeysel/Data-Risk-Compliance/blob/main/data/acts/Australia/C2024C00719-1%20%28Australia%20-%20Row%2020%29.pdf" TargetMode="External" Id="rId6"/><Relationship Type="http://schemas.openxmlformats.org/officeDocument/2006/relationships/hyperlink" Target="https://github.com/ethandeysel/Data-Risk-Compliance/blob/main/data/acts/Australia/C2025C00672%20%28Australia%20-%20Row%2017%29.pdf" TargetMode="External" Id="rId7"/><Relationship Type="http://schemas.openxmlformats.org/officeDocument/2006/relationships/hyperlink" Target="https://github.com/ethandeysel/Data-Risk-Compliance/blob/main/data/acts/Australia/C2026C00058VOL01%20%28Australia%20-%20Row%2013%29.pdf" TargetMode="External" Id="rId8"/><Relationship Type="http://schemas.openxmlformats.org/officeDocument/2006/relationships/hyperlink" Target="https://github.com/ethandeysel/Data-Risk-Compliance/blob/main/data/acts/Australia/C2026C00058VOL01%20%28Australia%20-%20Row%208%29.pdf" TargetMode="External" Id="rId9"/><Relationship Type="http://schemas.openxmlformats.org/officeDocument/2006/relationships/hyperlink" Target="https://github.com/ethandeysel/Data-Risk-Compliance/blob/main/data/acts/Australia/C2026C00209VOL01%20%28Australia%20-%20Row%2026%29.pdf" TargetMode="External" Id="rId10"/><Relationship Type="http://schemas.openxmlformats.org/officeDocument/2006/relationships/hyperlink" Target="https://github.com/ethandeysel/Data-Risk-Compliance/blob/main/data/acts/Australia/C2026C00213REC01%20%28Australia%20-%20Row%2022%29.pdf" TargetMode="External" Id="rId11"/><Relationship Type="http://schemas.openxmlformats.org/officeDocument/2006/relationships/hyperlink" Target="https://github.com/ethandeysel/Data-Risk-Compliance/blob/main/data/acts/Australia/C2026C00220%20%28Australia%20-%20Row%202%29.pdf" TargetMode="External" Id="rId12"/><Relationship Type="http://schemas.openxmlformats.org/officeDocument/2006/relationships/hyperlink" Target="https://github.com/ethandeysel/Data-Risk-Compliance/blob/main/data/acts/Australia/C2026C00224VOL01%20%28Australia%20-%20Row%2027%29.pdf" TargetMode="External" Id="rId13"/><Relationship Type="http://schemas.openxmlformats.org/officeDocument/2006/relationships/hyperlink" Target="https://github.com/ethandeysel/Data-Risk-Compliance/blob/main/data/acts/Australia/C2026C00227%20%28Australia%20-%20Row%2016%29.pdf" TargetMode="External" Id="rId14"/><Relationship Type="http://schemas.openxmlformats.org/officeDocument/2006/relationships/hyperlink" Target="https://github.com/ethandeysel/Data-Risk-Compliance/blob/main/data/acts/Australia/C2026C00227-1%20%28Australia%20-%20Row%2021%29.pdf" TargetMode="External" Id="rId15"/><Relationship Type="http://schemas.openxmlformats.org/officeDocument/2006/relationships/hyperlink" Target="https://github.com/ethandeysel/Data-Risk-Compliance/blob/main/data/acts/Australia/C2026C00243VOL01%20%28Australia%20-%20Row%2014%29.pdf" TargetMode="External" Id="rId16"/><Relationship Type="http://schemas.openxmlformats.org/officeDocument/2006/relationships/hyperlink" Target="https://github.com/ethandeysel/Data-Risk-Compliance/blob/main/data/acts/Australia/cps_234_july_2019_for_public_release%20%28Australia%20-%20Row%206%29.pdf" TargetMode="External" Id="rId17"/><Relationship Type="http://schemas.openxmlformats.org/officeDocument/2006/relationships/hyperlink" Target="https://github.com/ethandeysel/Data-Risk-Compliance/blob/main/data/acts/Australia/Essential%20Eight%20explained%20%28November%202023%29%20%28Australia%20-%20Row%2011%29.pdf" TargetMode="External" Id="rId18"/><Relationship Type="http://schemas.openxmlformats.org/officeDocument/2006/relationships/hyperlink" Target="https://github.com/ethandeysel/Data-Risk-Compliance/blob/main/data/acts/Australia/F2026C00274%20%28Australia%20-%20Row%2010%29.pdf" TargetMode="External" Id="rId19"/><Relationship Type="http://schemas.openxmlformats.org/officeDocument/2006/relationships/hyperlink" Target="https://github.com/ethandeysel/Data-Risk-Compliance/blob/main/data/acts/Australia/Prudential%20Standard%20-%20CPS%20230%20Operational%20Risk%20Management%20-%20clean%20%28Australia%20-%20Row%203%29.pdf" TargetMode="External" Id="rId20"/><Relationship Type="http://schemas.openxmlformats.org/officeDocument/2006/relationships/hyperlink" Target="https://github.com/ethandeysel/Data-Risk-Compliance/blob/main/data/acts/Australia/Prudential-Practice-Guide-CPG-235-Managing-Data-Risk_1%20%28Australia%20-%20Row%204%29.pdf" TargetMode="External" Id="rId21"/><Relationship Type="http://schemas.openxmlformats.org/officeDocument/2006/relationships/hyperlink" Target="https://github.com/ethandeysel/Data-Risk-Compliance/blob/main/data/acts/Australia/Prudential-Standard-CPS-232-Business-Continuity-Management-%28July-2017%29%20%28Australia%20-%20Row%205%29.pdf" TargetMode="External" Id="rId22"/><Relationship Type="http://schemas.openxmlformats.org/officeDocument/2006/relationships/hyperlink" Target="https://github.com/ethandeysel/Data-Risk-Compliance/blob/main/data/acts/Australia/rg255-published-30-august-2016-20220328%20%28Australia%20-%20Row%209%29.pdf" TargetMode="External" Id="rId23"/><Relationship Type="http://schemas.openxmlformats.org/officeDocument/2006/relationships/hyperlink" Target="https://github.com/ethandeysel/Data-Risk-Compliance/blob/main/data/acts/Australia/Statutory%20tort%20for%20serious%20invasions%20of%20privacy%20_%20OAIC%20%28Australia%20-%20Row%2024%29.pdf" TargetMode="External" Id="rId24"/><Relationship Type="http://schemas.openxmlformats.org/officeDocument/2006/relationships/hyperlink" Target="https://github.com/ethandeysel/Data-Risk-Compliance/blob/main/data/acts/GDPR/CELEX_32002L0058_EN_TXT%20%28GDPR%20Row%207%29.pdf" TargetMode="External" Id="rId25"/><Relationship Type="http://schemas.openxmlformats.org/officeDocument/2006/relationships/hyperlink" Target="https://github.com/ethandeysel/Data-Risk-Compliance/blob/main/data/acts/GDPR/CELEX_32014L0065_EN_TXT%20%28GDPR%20-%20Row%2016%29.pdf" TargetMode="External" Id="rId26"/><Relationship Type="http://schemas.openxmlformats.org/officeDocument/2006/relationships/hyperlink" Target="https://github.com/ethandeysel/Data-Risk-Compliance/blob/main/data/acts/GDPR/CELEX_32015L2366_EN_TXT%20%28GDPR%20-%20Row%2018%29.pdf" TargetMode="External" Id="rId27"/><Relationship Type="http://schemas.openxmlformats.org/officeDocument/2006/relationships/hyperlink" Target="https://github.com/ethandeysel/Data-Risk-Compliance/blob/main/data/acts/GDPR/CELEX_32018L1673_EN_TXT%20%28GDPR%20-%20Row%202%29.pdf" TargetMode="External" Id="rId28"/><Relationship Type="http://schemas.openxmlformats.org/officeDocument/2006/relationships/hyperlink" Target="https://github.com/ethandeysel/Data-Risk-Compliance/blob/main/data/acts/GDPR/CELEX_32022L2555_EN_TXT%20%28GDPR%20-%20Row%2017%29.pdf" TargetMode="External" Id="rId29"/><Relationship Type="http://schemas.openxmlformats.org/officeDocument/2006/relationships/hyperlink" Target="https://github.com/ethandeysel/Data-Risk-Compliance/blob/main/data/acts/GDPR/CELEX_32022R0868_EN_TXT%20%28GDPR%20-%20Row%2012%29.pdf" TargetMode="External" Id="rId30"/><Relationship Type="http://schemas.openxmlformats.org/officeDocument/2006/relationships/hyperlink" Target="https://github.com/ethandeysel/Data-Risk-Compliance/blob/main/data/acts/GDPR/CELEX_32022R2554_EN_TXT%20%28GDPR%20-Row%203%29.pdf" TargetMode="External" Id="rId31"/><Relationship Type="http://schemas.openxmlformats.org/officeDocument/2006/relationships/hyperlink" Target="https://github.com/ethandeysel/Data-Risk-Compliance/blob/main/data/acts/GDPR/CELEX_52023PC0360_EN_TXT%20%28GDPR%20-%20Row%2013%29.pdf" TargetMode="External" Id="rId32"/><Relationship Type="http://schemas.openxmlformats.org/officeDocument/2006/relationships/hyperlink" Target="https://github.com/ethandeysel/Data-Risk-Compliance/blob/main/data/acts/GDPR/cellar_04cc5bd5-196f-11ee-806b-01aa75ed71a1.0001.02_DOC_1%20%28GDPR%20-%20Row%2015%29.pdf" TargetMode="External" Id="rId33"/><Relationship Type="http://schemas.openxmlformats.org/officeDocument/2006/relationships/hyperlink" Target="https://github.com/ethandeysel/Data-Risk-Compliance/blob/main/data/acts/GDPR/EBA%20revised%20Guidelines%20on%20outsourcing%20arrangements%20%28GDPR%20-%20Row%205%29.pdf" TargetMode="External" Id="rId34"/><Relationship Type="http://schemas.openxmlformats.org/officeDocument/2006/relationships/hyperlink" Target="https://github.com/ethandeysel/Data-Risk-Compliance/blob/main/data/acts/GDPR/esma_cloud_guidelines%20%28GDPR%20-%20Row%208%29.pdf" TargetMode="External" Id="rId35"/><Relationship Type="http://schemas.openxmlformats.org/officeDocument/2006/relationships/hyperlink" Target="https://github.com/ethandeysel/Data-Risk-Compliance/blob/main/data/acts/GDPR/Final%20report%20on%20amending%20GLs%20on%20ICT%20risk%20and%20security%20%28GDPR%20-%20Row%204%29.pdf" TargetMode="External" Id="rId36"/><Relationship Type="http://schemas.openxmlformats.org/officeDocument/2006/relationships/hyperlink" Target="https://github.com/ethandeysel/Data-Risk-Compliance/blob/main/data/acts/GDPR/OJ_L_202302854_EN_TXT%20%28GDPR%20-%20Row%2011%29.pdf" TargetMode="External" Id="rId37"/><Relationship Type="http://schemas.openxmlformats.org/officeDocument/2006/relationships/hyperlink" Target="https://github.com/ethandeysel/Data-Risk-Compliance/blob/main/data/acts/GDPR/OJ_L_202401689_EN_TXT%20%28GDPR%20-%20Row%209%29.pdf" TargetMode="External" Id="rId38"/><Relationship Type="http://schemas.openxmlformats.org/officeDocument/2006/relationships/hyperlink" Target="https://github.com/ethandeysel/Data-Risk-Compliance/blob/main/data/acts/GDPR/OJ_L_202402847_EN_TXT%20%28GDPR%20-%20Row%2010%29.pdf" TargetMode="External" Id="rId39"/><Relationship Type="http://schemas.openxmlformats.org/officeDocument/2006/relationships/hyperlink" Target="https://github.com/ethandeysel/Data-Risk-Compliance/blob/main/data/acts/India/Guidelines%20on%20Information%20and%20Cyber%20Security%20%28India%20-%20Row%208%29.pdf" TargetMode="External" Id="rId40"/><Relationship Type="http://schemas.openxmlformats.org/officeDocument/2006/relationships/hyperlink" Target="https://github.com/ethandeysel/Data-Risk-Compliance/blob/main/data/acts/India/guidelines-on-cyber-security-and-cyber-resilience-for-regulated-entities-in-ifscs-1-10032025064412%20%28India%20-%20Row%205%29.pdf" TargetMode="External" Id="rId41"/><Relationship Type="http://schemas.openxmlformats.org/officeDocument/2006/relationships/hyperlink" Target="https://github.com/ethandeysel/Data-Risk-Compliance/blob/main/data/acts/India/NT75589AC4A988D446CA94182886F6D8EADD%20%28India%20-%20Row%2013%29%20PROVISIONALLY.pdf" TargetMode="External" Id="rId42"/><Relationship Type="http://schemas.openxmlformats.org/officeDocument/2006/relationships/hyperlink" Target="https://github.com/ethandeysel/Data-Risk-Compliance/blob/main/data/acts/India/Payment%20and%20Settlement%20Systems%20Act%2C%202007%20%28India%20-%20Row%2011%29.pdf" TargetMode="External" Id="rId43"/><Relationship Type="http://schemas.openxmlformats.org/officeDocument/2006/relationships/hyperlink" Target="https://github.com/ethandeysel/Data-Risk-Compliance/blob/main/data/acts/India/RBI%20Digital%20Lending%20Directions%202025%20Digital%20Lending%20Guidelines%202022%20%28India%20-%20Row%2014%29.pdf" TargetMode="External" Id="rId44"/><Relationship Type="http://schemas.openxmlformats.org/officeDocument/2006/relationships/hyperlink" Target="https://github.com/ethandeysel/Data-Risk-Compliance/blob/main/data/acts/India/RBI%20Master%20Direction%20on%20Information%20Technology%20Framework%20for%20NBFC%20Sector%20%282017%29%20%28India%20-%20Row%2015%29.pdf" TargetMode="External" Id="rId45"/><Relationship Type="http://schemas.openxmlformats.org/officeDocument/2006/relationships/hyperlink" Target="https://github.com/ethandeysel/Data-Risk-Compliance/blob/main/data/acts/India/RBI%20Master%20Direction%20on%20Outsourcing%20of%20IT%20Services%20%28MDS%20on%20IT%20Outsourcing%2C%202023%29%20%28India%20-%20Row%2016%29.pdf" TargetMode="External" Id="rId46"/><Relationship Type="http://schemas.openxmlformats.org/officeDocument/2006/relationships/hyperlink" Target="https://github.com/ethandeysel/Data-Risk-Compliance/blob/main/data/acts/India/RBI%20Payment%20Data%20Localisation%20Requirement%20%28India%20-%20Row%2017%29.pdf" TargetMode="External" Id="rId47"/><Relationship Type="http://schemas.openxmlformats.org/officeDocument/2006/relationships/hyperlink" Target="https://github.com/ethandeysel/Data-Risk-Compliance/blob/main/data/acts/India/Reserve%20Bank%20of%20India%20%E2%80%93%20IT%20Governance%20and%20Cybersecurity%20Regulatory%20Framework%20%28including%20Master%20Directions%20and%20Cyber%20Security%20Framework%29%20%28India%20-%20Row%2018%29.pdf" TargetMode="External" Id="rId48"/><Relationship Type="http://schemas.openxmlformats.org/officeDocument/2006/relationships/hyperlink" Target="https://github.com/ethandeysel/Data-Risk-Compliance/blob/main/data/acts/India/SEBI%20Master%20Circular%20for%20Alternative%20Investment%20Funds%20%28India%20-%20Row%2025%29.pdf" TargetMode="External" Id="rId49"/><Relationship Type="http://schemas.openxmlformats.org/officeDocument/2006/relationships/hyperlink" Target="https://github.com/ethandeysel/Data-Risk-Compliance/blob/main/data/acts/Mauritius/code-of-business-conduct_final%20%28Mauritius%20-%20Row%2014%29.pdf" TargetMode="External" Id="rId50"/><Relationship Type="http://schemas.openxmlformats.org/officeDocument/2006/relationships/hyperlink" Target="https://github.com/ethandeysel/Data-Risk-Compliance/blob/main/data/acts/Mauritius/code-of-business-conduct_final%20%28Mauritius%20-%20Row%2018%29.pdf" TargetMode="External" Id="rId51"/><Relationship Type="http://schemas.openxmlformats.org/officeDocument/2006/relationships/hyperlink" Target="https://github.com/ethandeysel/Data-Risk-Compliance/blob/main/data/acts/Mauritius/final-guideline-on-cloud-computing%20%28Mauritius%20-%20Row%2017%29.pdf" TargetMode="External" Id="rId52"/><Relationship Type="http://schemas.openxmlformats.org/officeDocument/2006/relationships/hyperlink" Target="https://github.com/ethandeysel/Data-Risk-Compliance/blob/main/data/acts/Mauritius/Guideline-on-Incident-Handling-and-Reporting%20%28Mauritius%20-%20Row%208%29.pdf" TargetMode="External" Id="rId53"/><Relationship Type="http://schemas.openxmlformats.org/officeDocument/2006/relationships/hyperlink" Target="https://github.com/ethandeysel/Data-Risk-Compliance/blob/main/data/acts/Mauritius/guideline_for_digital_banks_06.12.2021%20%28Mauritius%20-%20Row%207%29.pdf" TargetMode="External" Id="rId54"/><Relationship Type="http://schemas.openxmlformats.org/officeDocument/2006/relationships/hyperlink" Target="https://github.com/ethandeysel/Data-Risk-Compliance/blob/main/data/acts/Mauritius/guidelines-on-responsible-use-of-ai%20%28Mauritius%20-%20Row%2019%29.pdf" TargetMode="External" Id="rId55"/><Relationship Type="http://schemas.openxmlformats.org/officeDocument/2006/relationships/hyperlink" Target="https://github.com/ethandeysel/Data-Risk-Compliance/blob/main/data/acts/Mauritius/guidelines_on_outsourcing_by_financial_institutions%20%28Mauritius%20-%20Row%203%29.pdf" TargetMode="External" Id="rId56"/><Relationship Type="http://schemas.openxmlformats.org/officeDocument/2006/relationships/hyperlink" Target="https://github.com/ethandeysel/Data-Risk-Compliance/blob/main/data/acts/Mauritius/Mauritius_Emerging_Technologies_Council_Act_2021%20%28Mauritius%20-%20Row%2024%29.pdf" TargetMode="External" Id="rId57"/><Relationship Type="http://schemas.openxmlformats.org/officeDocument/2006/relationships/hyperlink" Target="https://github.com/ethandeysel/Data-Risk-Compliance/blob/main/data/acts/Mauritius/National-Identity-Card-Act-Consolidated-%20%28Mauritius%20-%20Row%2023%29.pdf" TargetMode="External" Id="rId58"/><Relationship Type="http://schemas.openxmlformats.org/officeDocument/2006/relationships/hyperlink" Target="https://github.com/ethandeysel/Data-Risk-Compliance/blob/main/data/acts/Mauritius/part2%20%28Mauritius%20-%20Row%2015%29.pdf" TargetMode="External" Id="rId59"/><Relationship Type="http://schemas.openxmlformats.org/officeDocument/2006/relationships/hyperlink" Target="https://github.com/ethandeysel/Data-Risk-Compliance/blob/main/data/acts/Singapore/A%20Comprehensive%20Guide%20to%20the%20Law%20of%20Confidence%20and%20Breach%20of%20Confidence%20in%20Singapore_%20Insights%20from%20%5B2024%5D%20SGCA%2016%20-%20IRB%20Law%20Singapore%20%28Singapore%20-%20Row%2033%29.pdf" TargetMode="External" Id="rId60"/><Relationship Type="http://schemas.openxmlformats.org/officeDocument/2006/relationships/hyperlink" Target="https://github.com/ethandeysel/Data-Risk-Compliance/blob/main/data/acts/Singapore/Cybersecurity%20%28Provider-Owned%20Critical%20Information%20%28Singapore%20-%20Row%205%20%26%206%29.pdf" TargetMode="External" Id="rId61"/><Relationship Type="http://schemas.openxmlformats.org/officeDocument/2006/relationships/hyperlink" Target="https://github.com/ethandeysel/Data-Risk-Compliance/blob/main/data/acts/Singapore/Guidelines%20on%20Environmental%20Risk%20Management%20Insurers%20Dec%202020-2%20%28Singapore%20-%20Row%2014%29.pdf" TargetMode="External" Id="rId62"/><Relationship Type="http://schemas.openxmlformats.org/officeDocument/2006/relationships/hyperlink" Target="https://github.com/ethandeysel/Data-Risk-Compliance/blob/main/data/acts/Singapore/ID18_24%20%28Singapore%20-%20Row%2012%29.pdf" TargetMode="External" Id="rId63"/><Relationship Type="http://schemas.openxmlformats.org/officeDocument/2006/relationships/hyperlink" Target="https://github.com/ethandeysel/Data-Risk-Compliance/blob/main/data/acts/Singapore/ID18_24-2%20%28Singapore%20-%20Row%2021%29.pdf" TargetMode="External" Id="rId64"/><Relationship Type="http://schemas.openxmlformats.org/officeDocument/2006/relationships/hyperlink" Target="https://github.com/ethandeysel/Data-Risk-Compliance/blob/main/data/acts/Singapore/MAS%20Notice%20FSM-N21%20%28Singapore%20-%20Row%2032%29.pdf" TargetMode="External" Id="rId65"/><Relationship Type="http://schemas.openxmlformats.org/officeDocument/2006/relationships/hyperlink" Target="https://github.com/ethandeysel/Data-Risk-Compliance/blob/main/data/acts/Singapore/MAS%20Notices%20644%20655%20644A%20655A%201114%201118%20Cancellation%202024%20%28Singapore%20-%20Row%2018%29.pdf" TargetMode="External" Id="rId66"/><Relationship Type="http://schemas.openxmlformats.org/officeDocument/2006/relationships/hyperlink" Target="https://github.com/ethandeysel/Data-Risk-Compliance/blob/main/data/acts/Singapore/Personal%20Data%20Protection%20%28Prescribed%20Law%20Enforceme%20%28Singapore%20-%20Row%2026%29.pdf" TargetMode="External" Id="rId67"/><Relationship Type="http://schemas.openxmlformats.org/officeDocument/2006/relationships/hyperlink" Target="https://github.com/ethandeysel/Data-Risk-Compliance/blob/main/data/acts/Singapore/Statistics%20Act%201973%20%28Singapore%20-%20Row%2024%29PROVISIONALLY.pdf" TargetMode="External" Id="rId68"/><Relationship Type="http://schemas.openxmlformats.org/officeDocument/2006/relationships/hyperlink" Target="https://github.com/ethandeysel/Data-Risk-Compliance/blob/main/data/acts/Singapore/Statistics%20Act%201973%20%28Singapore%20-%20Row%2032%29.pdf" TargetMode="External" Id="rId69"/><Relationship Type="http://schemas.openxmlformats.org/officeDocument/2006/relationships/hyperlink" Target="https://github.com/ethandeysel/Data-Risk-Compliance/blob/main/data/acts/South%20Africa/1.%20FSCA%20Conduct%20Standard%201%20of%202025%20-%20Requirements%20for%20FIs%20providing%20FE%20initiatives.pdf" TargetMode="External" Id="rId70"/><Relationship Type="http://schemas.openxmlformats.org/officeDocument/2006/relationships/hyperlink" Target="https://github.com/ethandeysel/Data-Risk-Compliance/blob/main/data/acts/South%20Africa/2002-070.pdf" TargetMode="External" Id="rId71"/><Relationship Type="http://schemas.openxmlformats.org/officeDocument/2006/relationships/hyperlink" Target="https://github.com/ethandeysel/Data-Risk-Compliance/blob/main/data/acts/South%20Africa/2024%20Open%20Finance_FSCA%20Position%20Paper.pdf" TargetMode="External" Id="rId72"/><Relationship Type="http://schemas.openxmlformats.org/officeDocument/2006/relationships/hyperlink" Target="https://github.com/ethandeysel/Data-Risk-Compliance/blob/main/data/acts/South%20Africa/Conduct-Standard-3-of-2020-BANKS-Annexure-A.pdf" TargetMode="External" Id="rId73"/><Relationship Type="http://schemas.openxmlformats.org/officeDocument/2006/relationships/hyperlink" Target="https://github.com/ethandeysel/Data-Risk-Compliance/blob/main/data/acts/South%20Africa/Directive%20in%20respect%20of%20cybersecurity%20and%20cyber-resilisnce%20within%20the%20national%20payment%20system.pdf" TargetMode="External" Id="rId74"/><Relationship Type="http://schemas.openxmlformats.org/officeDocument/2006/relationships/hyperlink" Target="https://github.com/ethandeysel/Data-Risk-Compliance/blob/main/data/acts/South%20Africa/Joint%20Standard%201%20of%202023%20-%20IT%20Governance%20and%20Risk%20Management.pdf" TargetMode="External" Id="rId75"/><Relationship Type="http://schemas.openxmlformats.org/officeDocument/2006/relationships/hyperlink" Target="https://github.com/ethandeysel/Data-Risk-Compliance/blob/main/data/acts/South%20Africa/Joint%20Standard%202%20of%202024%20%20Cybersecurity%20%26%20Cyber%20resilience%20Requirements.pdf" TargetMode="External" Id="rId76"/><Relationship Type="http://schemas.openxmlformats.org/officeDocument/2006/relationships/hyperlink" Target="https://github.com/ethandeysel/Data-Risk-Compliance/blob/main/data/acts/South%20Africa/PA%20Directive.pdf" TargetMode="External" Id="rId77"/><Relationship Type="http://schemas.openxmlformats.org/officeDocument/2006/relationships/hyperlink" Target="https://github.com/ethandeysel/Data-Risk-Compliance/blob/main/data/acts/South%20Africa/pAYMENT%20ACT.pdf" TargetMode="External" Id="rId78"/><Relationship Type="http://schemas.openxmlformats.org/officeDocument/2006/relationships/hyperlink" Target="https://github.com/ethandeysel/Data-Risk-Compliance/blob/main/data/acts/South%20Africa/South%20Africa%20National%20Cybersecurity%20Policy%20Framework%20%28NCPF%29%202015.pdf" TargetMode="External" Id="rId79"/><Relationship Type="http://schemas.openxmlformats.org/officeDocument/2006/relationships/hyperlink" Target="https://github.com/ethandeysel/Data-Risk-Compliance/blob/main/data/acts/United%20Kingdom/Accountability%20and%20governance%20_%20ICO%20%28United%20Kingdom%20-%20Row%2032%29%20%28PROVISIONAL%29.pdf" TargetMode="External" Id="rId80"/><Relationship Type="http://schemas.openxmlformats.org/officeDocument/2006/relationships/hyperlink" Target="https://github.com/ethandeysel/Data-Risk-Compliance/blob/main/data/acts/United%20Kingdom/cbest-implementation-guide%20%28United%20Kingdom%20-%20Row%2030%29.pdf" TargetMode="External" Id="rId81"/><Relationship Type="http://schemas.openxmlformats.org/officeDocument/2006/relationships/hyperlink" Target="https://github.com/ethandeysel/Data-Risk-Compliance/blob/main/data/acts/United%20Kingdom/computer%20misuse%20act%20%28United%20Kingdom%20-%20Row%202%29.pdf" TargetMode="External" Id="rId82"/><Relationship Type="http://schemas.openxmlformats.org/officeDocument/2006/relationships/hyperlink" Target="https://github.com/ethandeysel/Data-Risk-Compliance/blob/main/data/acts/United%20Kingdom/Customer%20Security%20Programme%20_%20Swift%20%28United%20Kingdom%20-%20Row%2026%29%20%28PROVISIONAL%29.pdf" TargetMode="External" Id="rId83"/><Relationship Type="http://schemas.openxmlformats.org/officeDocument/2006/relationships/hyperlink" Target="https://github.com/ethandeysel/Data-Risk-Compliance/blob/main/data/acts/United%20Kingdom/NIS%20Regulations%202018%20%28United%20Kingdom%20-%20Row%2025%29.pdf" TargetMode="External" Id="rId84"/><Relationship Type="http://schemas.openxmlformats.org/officeDocument/2006/relationships/hyperlink" Target="https://github.com/ethandeysel/Data-Risk-Compliance/blob/main/data/acts/United%20Kingdom/PRA%20Supervisory%20Statement%20%E2%80%94%20Model%20Risk%20Management%20Principles%20%28United%20Kingdom%20-%20Row%2027%29.pdf" TargetMode="External" Id="rId85"/><Relationship Type="http://schemas.openxmlformats.org/officeDocument/2006/relationships/hyperlink" Target="https://github.com/ethandeysel/Data-Risk-Compliance/blob/main/data/acts/United%20Kingdom/Privacy%20and%20Electronic%20Communications%20Regulations%20%28PECR%29%202003%20%28United%20Kingdom%20-%20Row%2018%29.pdf" TargetMode="External" Id="rId86"/><Relationship Type="http://schemas.openxmlformats.org/officeDocument/2006/relationships/hyperlink" Target="https://github.com/ethandeysel/Data-Risk-Compliance/blob/main/data/acts/United%20Kingdom/Senior%20Managers%20and%20Certification%20Regime%20%28United%20Kingdom%20-%20Row%2023%29.pdf" TargetMode="External" Id="rId87"/><Relationship Type="http://schemas.openxmlformats.org/officeDocument/2006/relationships/hyperlink" Target="https://github.com/ethandeysel/Data-Risk-Compliance/blob/main/data/acts/United%20Kingdom/ss221-march-21%20%28United%20Kingdom%20-%20Row%2028%29.pdf" TargetMode="External" Id="rId88"/><Relationship Type="http://schemas.openxmlformats.org/officeDocument/2006/relationships/table" Target="/xl/tables/table2.xml" Id="rId89"/></Relationships>
</file>

<file path=xl/worksheets/_rels/sheet6.xml.rels><Relationships xmlns="http://schemas.openxmlformats.org/package/2006/relationships"><Relationship Type="http://schemas.openxmlformats.org/officeDocument/2006/relationships/table" Target="/xl/tables/table3.xml" Id="rId1"/></Relationships>
</file>

<file path=xl/worksheets/_rels/sheet7.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C15"/>
  <sheetViews>
    <sheetView showGridLines="0" workbookViewId="0">
      <selection activeCell="A1" sqref="A1"/>
    </sheetView>
  </sheetViews>
  <sheetFormatPr baseColWidth="8" defaultRowHeight="15"/>
  <cols>
    <col width="26" customWidth="1" min="1" max="1"/>
    <col width="14" customWidth="1" min="2" max="2"/>
  </cols>
  <sheetData>
    <row r="1">
      <c r="A1" s="1" t="inlineStr">
        <is>
          <t>DTIA Compliance Knowledge Base</t>
        </is>
      </c>
    </row>
    <row r="3">
      <c r="A3" s="2" t="inlineStr">
        <is>
          <t>Countries</t>
        </is>
      </c>
      <c r="B3" t="n">
        <v>7</v>
      </c>
    </row>
    <row r="4">
      <c r="A4" s="2" t="inlineStr">
        <is>
          <t>Acts</t>
        </is>
      </c>
      <c r="B4" t="n">
        <v>88</v>
      </c>
    </row>
    <row r="5">
      <c r="A5" s="2" t="inlineStr">
        <is>
          <t>Regulators</t>
        </is>
      </c>
      <c r="B5" t="n">
        <v>161</v>
      </c>
    </row>
    <row r="6">
      <c r="A6" s="2" t="inlineStr">
        <is>
          <t>Topics</t>
        </is>
      </c>
      <c r="B6" t="n">
        <v>27</v>
      </c>
    </row>
    <row r="7">
      <c r="A7" s="2" t="inlineStr">
        <is>
          <t>Compliance sections</t>
        </is>
      </c>
      <c r="B7" t="n">
        <v>1959</v>
      </c>
    </row>
    <row r="10">
      <c r="A10" s="3" t="inlineStr">
        <is>
          <t>How to use</t>
        </is>
      </c>
    </row>
    <row r="11">
      <c r="A11" s="4" t="inlineStr">
        <is>
          <t>1. Open the Query sheet.</t>
        </is>
      </c>
    </row>
    <row r="12">
      <c r="A12" s="4" t="inlineStr">
        <is>
          <t>2. Pick a Country, Category, Topic, Data Type, Financial Relevance or Authority — or type a keyword.</t>
        </is>
      </c>
    </row>
    <row r="13">
      <c r="A13" s="4" t="inlineStr">
        <is>
          <t>3. Matching sections appear below, each with its Act and page reference for the source document.</t>
        </is>
      </c>
    </row>
    <row r="14">
      <c r="A14" s="4" t="inlineStr">
        <is>
          <t>4. The Data Transfer sheet answers cross-border questions: pick two countries and see every relevant act/section from either side of the transfer.</t>
        </is>
      </c>
    </row>
    <row r="15">
      <c r="A15" s="4" t="inlineStr">
        <is>
          <t>5. The Compliance Database sheet holds every extracted section; Acts / Regulators / Topics summarise them.</t>
        </is>
      </c>
    </row>
  </sheetData>
  <mergeCells count="6">
    <mergeCell ref="A13:C13"/>
    <mergeCell ref="A11:C11"/>
    <mergeCell ref="A1:C1"/>
    <mergeCell ref="A14:C14"/>
    <mergeCell ref="A12:C12"/>
    <mergeCell ref="A15: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972"/>
  <sheetViews>
    <sheetView showGridLines="0" workbookViewId="0">
      <pane ySplit="13" topLeftCell="A14" activePane="bottomLeft" state="frozen"/>
      <selection pane="bottomLeft" activeCell="A1" sqref="A1"/>
    </sheetView>
  </sheetViews>
  <sheetFormatPr baseColWidth="8" defaultRowHeight="15"/>
  <cols>
    <col width="16" customWidth="1" min="1" max="1"/>
    <col width="18" customWidth="1" min="2" max="2"/>
    <col width="18" customWidth="1" min="3" max="3"/>
    <col width="45" customWidth="1" min="4" max="4"/>
    <col width="18" customWidth="1" min="5" max="5"/>
    <col width="18" customWidth="1" min="6" max="6"/>
    <col width="18" customWidth="1" min="7" max="7"/>
    <col width="45" customWidth="1" min="8" max="8"/>
    <col width="45" customWidth="1" min="9" max="9"/>
    <col width="18" customWidth="1" min="10" max="10"/>
    <col width="45" customWidth="1" min="11" max="11"/>
    <col width="45" customWidth="1" min="12" max="12"/>
    <col width="78" customWidth="1" min="13" max="13"/>
    <col width="78" customWidth="1" min="14" max="14"/>
    <col width="45" customWidth="1" min="15" max="15"/>
    <col width="18" customWidth="1" min="16" max="16"/>
  </cols>
  <sheetData>
    <row r="1">
      <c r="A1" s="1" t="inlineStr">
        <is>
          <t>DTIA Query Engine</t>
        </is>
      </c>
    </row>
    <row r="3">
      <c r="A3" s="5" t="inlineStr">
        <is>
          <t>Choose filters (leave as 'All' to ignore), then read the results below.</t>
        </is>
      </c>
    </row>
    <row r="4">
      <c r="A4" s="2" t="inlineStr">
        <is>
          <t>Country</t>
        </is>
      </c>
      <c r="B4" s="6" t="inlineStr">
        <is>
          <t>All</t>
        </is>
      </c>
    </row>
    <row r="5">
      <c r="A5" s="2" t="inlineStr">
        <is>
          <t>Topic</t>
        </is>
      </c>
      <c r="B5" s="6" t="inlineStr">
        <is>
          <t>All</t>
        </is>
      </c>
    </row>
    <row r="6">
      <c r="A6" s="2" t="inlineStr">
        <is>
          <t>Data Type</t>
        </is>
      </c>
      <c r="B6" s="6" t="inlineStr">
        <is>
          <t>All</t>
        </is>
      </c>
    </row>
    <row r="7">
      <c r="A7" s="2" t="inlineStr">
        <is>
          <t>Financial Relevance</t>
        </is>
      </c>
      <c r="B7" s="6" t="inlineStr">
        <is>
          <t>All</t>
        </is>
      </c>
    </row>
    <row r="8">
      <c r="A8" s="2" t="inlineStr">
        <is>
          <t>Authority</t>
        </is>
      </c>
      <c r="B8" s="6" t="inlineStr">
        <is>
          <t>All</t>
        </is>
      </c>
    </row>
    <row r="9">
      <c r="A9" s="2" t="inlineStr">
        <is>
          <t>Keyword (free text)</t>
        </is>
      </c>
      <c r="B9" s="6" t="inlineStr"/>
    </row>
    <row r="10">
      <c r="A10" s="2" t="inlineStr">
        <is>
          <t>Hide non-financial (None)</t>
        </is>
      </c>
      <c r="B10" s="6" t="inlineStr">
        <is>
          <t>No</t>
        </is>
      </c>
    </row>
    <row r="12">
      <c r="A12" s="2" t="inlineStr">
        <is>
          <t>Matching sections (of 1959 total):</t>
        </is>
      </c>
      <c r="C12" s="2">
        <f>Engine!$D$1</f>
        <v/>
      </c>
    </row>
    <row r="13">
      <c r="A13" s="7" t="inlineStr">
        <is>
          <t>Country</t>
        </is>
      </c>
      <c r="B13" s="7" t="inlineStr">
        <is>
          <t>Act</t>
        </is>
      </c>
      <c r="C13" s="7" t="inlineStr">
        <is>
          <t>Section</t>
        </is>
      </c>
      <c r="D13" s="7" t="inlineStr">
        <is>
          <t>Heading</t>
        </is>
      </c>
      <c r="E13" s="7" t="inlineStr">
        <is>
          <t>Pages</t>
        </is>
      </c>
      <c r="F13" s="7" t="inlineStr">
        <is>
          <t>Financial Relevance</t>
        </is>
      </c>
      <c r="G13" s="7" t="inlineStr">
        <is>
          <t>Confidence</t>
        </is>
      </c>
      <c r="H13" s="7" t="inlineStr">
        <is>
          <t>Topics</t>
        </is>
      </c>
      <c r="I13" s="7" t="inlineStr">
        <is>
          <t>Data Types</t>
        </is>
      </c>
      <c r="J13" s="7" t="inlineStr">
        <is>
          <t>Authority</t>
        </is>
      </c>
      <c r="K13" s="7" t="inlineStr">
        <is>
          <t>Summary</t>
        </is>
      </c>
      <c r="L13" s="7" t="inlineStr">
        <is>
          <t>DTIA Summary</t>
        </is>
      </c>
      <c r="M13" s="7" t="inlineStr">
        <is>
          <t>Requirements</t>
        </is>
      </c>
      <c r="N13" s="7" t="inlineStr">
        <is>
          <t>Requirements (2)</t>
        </is>
      </c>
      <c r="O13" s="7" t="inlineStr">
        <is>
          <t>Source Quote</t>
        </is>
      </c>
      <c r="P13" s="7" t="inlineStr">
        <is>
          <t>Source</t>
        </is>
      </c>
    </row>
    <row r="14" ht="158" customHeight="1">
      <c r="A14" s="8">
        <f>IF(ISNA(MATCH(1,Engine!$C$2:$C$1960,0)),"",INDEX('Compliance Database'!$A$2:$A$1960,MATCH(1,Engine!$C$2:$C$1960,0)))</f>
        <v/>
      </c>
      <c r="B14" s="8">
        <f>IF(ISNA(MATCH(1,Engine!$C$2:$C$1960,0)),"",INDEX('Compliance Database'!$B$2:$B$1960,MATCH(1,Engine!$C$2:$C$1960,0)))</f>
        <v/>
      </c>
      <c r="C14" s="8">
        <f>IF(ISNA(MATCH(1,Engine!$C$2:$C$1960,0)),"",INDEX('Compliance Database'!$C$2:$C$1960,MATCH(1,Engine!$C$2:$C$1960,0)))</f>
        <v/>
      </c>
      <c r="D14" s="9">
        <f>IF(ISNA(MATCH(1,Engine!$C$2:$C$1960,0)),"",INDEX('Compliance Database'!$D$2:$D$1960,MATCH(1,Engine!$C$2:$C$1960,0)))</f>
        <v/>
      </c>
      <c r="E14" s="8">
        <f>IF(ISNA(MATCH(1,Engine!$C$2:$C$1960,0)),"",INDEX('Compliance Database'!$E$2:$E$1960,MATCH(1,Engine!$C$2:$C$1960,0)))</f>
        <v/>
      </c>
      <c r="F14" s="8">
        <f>IF(ISNA(MATCH(1,Engine!$C$2:$C$1960,0)),"",INDEX('Compliance Database'!$F$2:$F$1960,MATCH(1,Engine!$C$2:$C$1960,0)))</f>
        <v/>
      </c>
      <c r="G14" s="8">
        <f>IF(ISNA(MATCH(1,Engine!$C$2:$C$1960,0)),"",INDEX('Compliance Database'!$G$2:$G$1960,MATCH(1,Engine!$C$2:$C$1960,0)))</f>
        <v/>
      </c>
      <c r="H14" s="9">
        <f>IF(ISNA(MATCH(1,Engine!$C$2:$C$1960,0)),"",INDEX('Compliance Database'!$H$2:$H$1960,MATCH(1,Engine!$C$2:$C$1960,0)))</f>
        <v/>
      </c>
      <c r="I14" s="9">
        <f>IF(ISNA(MATCH(1,Engine!$C$2:$C$1960,0)),"",INDEX('Compliance Database'!$I$2:$I$1960,MATCH(1,Engine!$C$2:$C$1960,0)))</f>
        <v/>
      </c>
      <c r="J14" s="8">
        <f>IF(ISNA(MATCH(1,Engine!$C$2:$C$1960,0)),"",INDEX('Compliance Database'!$J$2:$J$1960,MATCH(1,Engine!$C$2:$C$1960,0)))</f>
        <v/>
      </c>
      <c r="K14" s="9">
        <f>IF(ISNA(MATCH(1,Engine!$C$2:$C$1960,0)),"",INDEX('Compliance Database'!$K$2:$K$1960,MATCH(1,Engine!$C$2:$C$1960,0)))</f>
        <v/>
      </c>
      <c r="L14" s="9">
        <f>IF(ISNA(MATCH(1,Engine!$C$2:$C$1960,0)),"",INDEX('Compliance Database'!$L$2:$L$1960,MATCH(1,Engine!$C$2:$C$1960,0)))</f>
        <v/>
      </c>
      <c r="M14" s="9">
        <f>IF(ISNA(MATCH(1,Engine!$C$2:$C$1960,0)),"",INDEX('Compliance Database'!$M$2:$M$1960,MATCH(1,Engine!$C$2:$C$1960,0)))</f>
        <v/>
      </c>
      <c r="N14" s="9">
        <f>IF(ISNA(MATCH(1,Engine!$C$2:$C$1960,0)),"",INDEX('Compliance Database'!$N$2:$N$1960,MATCH(1,Engine!$C$2:$C$1960,0)))</f>
        <v/>
      </c>
      <c r="O14" s="9">
        <f>IF(ISNA(MATCH(1,Engine!$C$2:$C$1960,0)),"",INDEX('Compliance Database'!$O$2:$O$1960,MATCH(1,Engine!$C$2:$C$1960,0)))</f>
        <v/>
      </c>
      <c r="P14" s="8">
        <f>IF(ISNA(MATCH(1,Engine!$C$2:$C$1960,0)),"",HYPERLINK("#Acts!A"&amp;INDEX('Compliance Database'!$P$2:$P$1960,MATCH(1,Engine!$C$2:$C$1960,0)),"Go to Act"))</f>
        <v/>
      </c>
    </row>
    <row r="15" ht="158" customHeight="1">
      <c r="A15" s="8">
        <f>IF(ISNA(MATCH(2,Engine!$C$2:$C$1960,0)),"",INDEX('Compliance Database'!$A$2:$A$1960,MATCH(2,Engine!$C$2:$C$1960,0)))</f>
        <v/>
      </c>
      <c r="B15" s="8">
        <f>IF(ISNA(MATCH(2,Engine!$C$2:$C$1960,0)),"",INDEX('Compliance Database'!$B$2:$B$1960,MATCH(2,Engine!$C$2:$C$1960,0)))</f>
        <v/>
      </c>
      <c r="C15" s="8">
        <f>IF(ISNA(MATCH(2,Engine!$C$2:$C$1960,0)),"",INDEX('Compliance Database'!$C$2:$C$1960,MATCH(2,Engine!$C$2:$C$1960,0)))</f>
        <v/>
      </c>
      <c r="D15" s="9">
        <f>IF(ISNA(MATCH(2,Engine!$C$2:$C$1960,0)),"",INDEX('Compliance Database'!$D$2:$D$1960,MATCH(2,Engine!$C$2:$C$1960,0)))</f>
        <v/>
      </c>
      <c r="E15" s="8">
        <f>IF(ISNA(MATCH(2,Engine!$C$2:$C$1960,0)),"",INDEX('Compliance Database'!$E$2:$E$1960,MATCH(2,Engine!$C$2:$C$1960,0)))</f>
        <v/>
      </c>
      <c r="F15" s="8">
        <f>IF(ISNA(MATCH(2,Engine!$C$2:$C$1960,0)),"",INDEX('Compliance Database'!$F$2:$F$1960,MATCH(2,Engine!$C$2:$C$1960,0)))</f>
        <v/>
      </c>
      <c r="G15" s="8">
        <f>IF(ISNA(MATCH(2,Engine!$C$2:$C$1960,0)),"",INDEX('Compliance Database'!$G$2:$G$1960,MATCH(2,Engine!$C$2:$C$1960,0)))</f>
        <v/>
      </c>
      <c r="H15" s="9">
        <f>IF(ISNA(MATCH(2,Engine!$C$2:$C$1960,0)),"",INDEX('Compliance Database'!$H$2:$H$1960,MATCH(2,Engine!$C$2:$C$1960,0)))</f>
        <v/>
      </c>
      <c r="I15" s="9">
        <f>IF(ISNA(MATCH(2,Engine!$C$2:$C$1960,0)),"",INDEX('Compliance Database'!$I$2:$I$1960,MATCH(2,Engine!$C$2:$C$1960,0)))</f>
        <v/>
      </c>
      <c r="J15" s="8">
        <f>IF(ISNA(MATCH(2,Engine!$C$2:$C$1960,0)),"",INDEX('Compliance Database'!$J$2:$J$1960,MATCH(2,Engine!$C$2:$C$1960,0)))</f>
        <v/>
      </c>
      <c r="K15" s="9">
        <f>IF(ISNA(MATCH(2,Engine!$C$2:$C$1960,0)),"",INDEX('Compliance Database'!$K$2:$K$1960,MATCH(2,Engine!$C$2:$C$1960,0)))</f>
        <v/>
      </c>
      <c r="L15" s="9">
        <f>IF(ISNA(MATCH(2,Engine!$C$2:$C$1960,0)),"",INDEX('Compliance Database'!$L$2:$L$1960,MATCH(2,Engine!$C$2:$C$1960,0)))</f>
        <v/>
      </c>
      <c r="M15" s="9">
        <f>IF(ISNA(MATCH(2,Engine!$C$2:$C$1960,0)),"",INDEX('Compliance Database'!$M$2:$M$1960,MATCH(2,Engine!$C$2:$C$1960,0)))</f>
        <v/>
      </c>
      <c r="N15" s="9">
        <f>IF(ISNA(MATCH(2,Engine!$C$2:$C$1960,0)),"",INDEX('Compliance Database'!$N$2:$N$1960,MATCH(2,Engine!$C$2:$C$1960,0)))</f>
        <v/>
      </c>
      <c r="O15" s="9">
        <f>IF(ISNA(MATCH(2,Engine!$C$2:$C$1960,0)),"",INDEX('Compliance Database'!$O$2:$O$1960,MATCH(2,Engine!$C$2:$C$1960,0)))</f>
        <v/>
      </c>
      <c r="P15" s="8">
        <f>IF(ISNA(MATCH(2,Engine!$C$2:$C$1960,0)),"",HYPERLINK("#Acts!A"&amp;INDEX('Compliance Database'!$P$2:$P$1960,MATCH(2,Engine!$C$2:$C$1960,0)),"Go to Act"))</f>
        <v/>
      </c>
    </row>
    <row r="16" ht="158" customHeight="1">
      <c r="A16" s="8">
        <f>IF(ISNA(MATCH(3,Engine!$C$2:$C$1960,0)),"",INDEX('Compliance Database'!$A$2:$A$1960,MATCH(3,Engine!$C$2:$C$1960,0)))</f>
        <v/>
      </c>
      <c r="B16" s="8">
        <f>IF(ISNA(MATCH(3,Engine!$C$2:$C$1960,0)),"",INDEX('Compliance Database'!$B$2:$B$1960,MATCH(3,Engine!$C$2:$C$1960,0)))</f>
        <v/>
      </c>
      <c r="C16" s="8">
        <f>IF(ISNA(MATCH(3,Engine!$C$2:$C$1960,0)),"",INDEX('Compliance Database'!$C$2:$C$1960,MATCH(3,Engine!$C$2:$C$1960,0)))</f>
        <v/>
      </c>
      <c r="D16" s="9">
        <f>IF(ISNA(MATCH(3,Engine!$C$2:$C$1960,0)),"",INDEX('Compliance Database'!$D$2:$D$1960,MATCH(3,Engine!$C$2:$C$1960,0)))</f>
        <v/>
      </c>
      <c r="E16" s="8">
        <f>IF(ISNA(MATCH(3,Engine!$C$2:$C$1960,0)),"",INDEX('Compliance Database'!$E$2:$E$1960,MATCH(3,Engine!$C$2:$C$1960,0)))</f>
        <v/>
      </c>
      <c r="F16" s="8">
        <f>IF(ISNA(MATCH(3,Engine!$C$2:$C$1960,0)),"",INDEX('Compliance Database'!$F$2:$F$1960,MATCH(3,Engine!$C$2:$C$1960,0)))</f>
        <v/>
      </c>
      <c r="G16" s="8">
        <f>IF(ISNA(MATCH(3,Engine!$C$2:$C$1960,0)),"",INDEX('Compliance Database'!$G$2:$G$1960,MATCH(3,Engine!$C$2:$C$1960,0)))</f>
        <v/>
      </c>
      <c r="H16" s="9">
        <f>IF(ISNA(MATCH(3,Engine!$C$2:$C$1960,0)),"",INDEX('Compliance Database'!$H$2:$H$1960,MATCH(3,Engine!$C$2:$C$1960,0)))</f>
        <v/>
      </c>
      <c r="I16" s="9">
        <f>IF(ISNA(MATCH(3,Engine!$C$2:$C$1960,0)),"",INDEX('Compliance Database'!$I$2:$I$1960,MATCH(3,Engine!$C$2:$C$1960,0)))</f>
        <v/>
      </c>
      <c r="J16" s="8">
        <f>IF(ISNA(MATCH(3,Engine!$C$2:$C$1960,0)),"",INDEX('Compliance Database'!$J$2:$J$1960,MATCH(3,Engine!$C$2:$C$1960,0)))</f>
        <v/>
      </c>
      <c r="K16" s="9">
        <f>IF(ISNA(MATCH(3,Engine!$C$2:$C$1960,0)),"",INDEX('Compliance Database'!$K$2:$K$1960,MATCH(3,Engine!$C$2:$C$1960,0)))</f>
        <v/>
      </c>
      <c r="L16" s="9">
        <f>IF(ISNA(MATCH(3,Engine!$C$2:$C$1960,0)),"",INDEX('Compliance Database'!$L$2:$L$1960,MATCH(3,Engine!$C$2:$C$1960,0)))</f>
        <v/>
      </c>
      <c r="M16" s="9">
        <f>IF(ISNA(MATCH(3,Engine!$C$2:$C$1960,0)),"",INDEX('Compliance Database'!$M$2:$M$1960,MATCH(3,Engine!$C$2:$C$1960,0)))</f>
        <v/>
      </c>
      <c r="N16" s="9">
        <f>IF(ISNA(MATCH(3,Engine!$C$2:$C$1960,0)),"",INDEX('Compliance Database'!$N$2:$N$1960,MATCH(3,Engine!$C$2:$C$1960,0)))</f>
        <v/>
      </c>
      <c r="O16" s="9">
        <f>IF(ISNA(MATCH(3,Engine!$C$2:$C$1960,0)),"",INDEX('Compliance Database'!$O$2:$O$1960,MATCH(3,Engine!$C$2:$C$1960,0)))</f>
        <v/>
      </c>
      <c r="P16" s="8">
        <f>IF(ISNA(MATCH(3,Engine!$C$2:$C$1960,0)),"",HYPERLINK("#Acts!A"&amp;INDEX('Compliance Database'!$P$2:$P$1960,MATCH(3,Engine!$C$2:$C$1960,0)),"Go to Act"))</f>
        <v/>
      </c>
    </row>
    <row r="17" ht="158" customHeight="1">
      <c r="A17" s="8">
        <f>IF(ISNA(MATCH(4,Engine!$C$2:$C$1960,0)),"",INDEX('Compliance Database'!$A$2:$A$1960,MATCH(4,Engine!$C$2:$C$1960,0)))</f>
        <v/>
      </c>
      <c r="B17" s="8">
        <f>IF(ISNA(MATCH(4,Engine!$C$2:$C$1960,0)),"",INDEX('Compliance Database'!$B$2:$B$1960,MATCH(4,Engine!$C$2:$C$1960,0)))</f>
        <v/>
      </c>
      <c r="C17" s="8">
        <f>IF(ISNA(MATCH(4,Engine!$C$2:$C$1960,0)),"",INDEX('Compliance Database'!$C$2:$C$1960,MATCH(4,Engine!$C$2:$C$1960,0)))</f>
        <v/>
      </c>
      <c r="D17" s="9">
        <f>IF(ISNA(MATCH(4,Engine!$C$2:$C$1960,0)),"",INDEX('Compliance Database'!$D$2:$D$1960,MATCH(4,Engine!$C$2:$C$1960,0)))</f>
        <v/>
      </c>
      <c r="E17" s="8">
        <f>IF(ISNA(MATCH(4,Engine!$C$2:$C$1960,0)),"",INDEX('Compliance Database'!$E$2:$E$1960,MATCH(4,Engine!$C$2:$C$1960,0)))</f>
        <v/>
      </c>
      <c r="F17" s="8">
        <f>IF(ISNA(MATCH(4,Engine!$C$2:$C$1960,0)),"",INDEX('Compliance Database'!$F$2:$F$1960,MATCH(4,Engine!$C$2:$C$1960,0)))</f>
        <v/>
      </c>
      <c r="G17" s="8">
        <f>IF(ISNA(MATCH(4,Engine!$C$2:$C$1960,0)),"",INDEX('Compliance Database'!$G$2:$G$1960,MATCH(4,Engine!$C$2:$C$1960,0)))</f>
        <v/>
      </c>
      <c r="H17" s="9">
        <f>IF(ISNA(MATCH(4,Engine!$C$2:$C$1960,0)),"",INDEX('Compliance Database'!$H$2:$H$1960,MATCH(4,Engine!$C$2:$C$1960,0)))</f>
        <v/>
      </c>
      <c r="I17" s="9">
        <f>IF(ISNA(MATCH(4,Engine!$C$2:$C$1960,0)),"",INDEX('Compliance Database'!$I$2:$I$1960,MATCH(4,Engine!$C$2:$C$1960,0)))</f>
        <v/>
      </c>
      <c r="J17" s="8">
        <f>IF(ISNA(MATCH(4,Engine!$C$2:$C$1960,0)),"",INDEX('Compliance Database'!$J$2:$J$1960,MATCH(4,Engine!$C$2:$C$1960,0)))</f>
        <v/>
      </c>
      <c r="K17" s="9">
        <f>IF(ISNA(MATCH(4,Engine!$C$2:$C$1960,0)),"",INDEX('Compliance Database'!$K$2:$K$1960,MATCH(4,Engine!$C$2:$C$1960,0)))</f>
        <v/>
      </c>
      <c r="L17" s="9">
        <f>IF(ISNA(MATCH(4,Engine!$C$2:$C$1960,0)),"",INDEX('Compliance Database'!$L$2:$L$1960,MATCH(4,Engine!$C$2:$C$1960,0)))</f>
        <v/>
      </c>
      <c r="M17" s="9">
        <f>IF(ISNA(MATCH(4,Engine!$C$2:$C$1960,0)),"",INDEX('Compliance Database'!$M$2:$M$1960,MATCH(4,Engine!$C$2:$C$1960,0)))</f>
        <v/>
      </c>
      <c r="N17" s="9">
        <f>IF(ISNA(MATCH(4,Engine!$C$2:$C$1960,0)),"",INDEX('Compliance Database'!$N$2:$N$1960,MATCH(4,Engine!$C$2:$C$1960,0)))</f>
        <v/>
      </c>
      <c r="O17" s="9">
        <f>IF(ISNA(MATCH(4,Engine!$C$2:$C$1960,0)),"",INDEX('Compliance Database'!$O$2:$O$1960,MATCH(4,Engine!$C$2:$C$1960,0)))</f>
        <v/>
      </c>
      <c r="P17" s="8">
        <f>IF(ISNA(MATCH(4,Engine!$C$2:$C$1960,0)),"",HYPERLINK("#Acts!A"&amp;INDEX('Compliance Database'!$P$2:$P$1960,MATCH(4,Engine!$C$2:$C$1960,0)),"Go to Act"))</f>
        <v/>
      </c>
    </row>
    <row r="18" ht="158" customHeight="1">
      <c r="A18" s="8">
        <f>IF(ISNA(MATCH(5,Engine!$C$2:$C$1960,0)),"",INDEX('Compliance Database'!$A$2:$A$1960,MATCH(5,Engine!$C$2:$C$1960,0)))</f>
        <v/>
      </c>
      <c r="B18" s="8">
        <f>IF(ISNA(MATCH(5,Engine!$C$2:$C$1960,0)),"",INDEX('Compliance Database'!$B$2:$B$1960,MATCH(5,Engine!$C$2:$C$1960,0)))</f>
        <v/>
      </c>
      <c r="C18" s="8">
        <f>IF(ISNA(MATCH(5,Engine!$C$2:$C$1960,0)),"",INDEX('Compliance Database'!$C$2:$C$1960,MATCH(5,Engine!$C$2:$C$1960,0)))</f>
        <v/>
      </c>
      <c r="D18" s="9">
        <f>IF(ISNA(MATCH(5,Engine!$C$2:$C$1960,0)),"",INDEX('Compliance Database'!$D$2:$D$1960,MATCH(5,Engine!$C$2:$C$1960,0)))</f>
        <v/>
      </c>
      <c r="E18" s="8">
        <f>IF(ISNA(MATCH(5,Engine!$C$2:$C$1960,0)),"",INDEX('Compliance Database'!$E$2:$E$1960,MATCH(5,Engine!$C$2:$C$1960,0)))</f>
        <v/>
      </c>
      <c r="F18" s="8">
        <f>IF(ISNA(MATCH(5,Engine!$C$2:$C$1960,0)),"",INDEX('Compliance Database'!$F$2:$F$1960,MATCH(5,Engine!$C$2:$C$1960,0)))</f>
        <v/>
      </c>
      <c r="G18" s="8">
        <f>IF(ISNA(MATCH(5,Engine!$C$2:$C$1960,0)),"",INDEX('Compliance Database'!$G$2:$G$1960,MATCH(5,Engine!$C$2:$C$1960,0)))</f>
        <v/>
      </c>
      <c r="H18" s="9">
        <f>IF(ISNA(MATCH(5,Engine!$C$2:$C$1960,0)),"",INDEX('Compliance Database'!$H$2:$H$1960,MATCH(5,Engine!$C$2:$C$1960,0)))</f>
        <v/>
      </c>
      <c r="I18" s="9">
        <f>IF(ISNA(MATCH(5,Engine!$C$2:$C$1960,0)),"",INDEX('Compliance Database'!$I$2:$I$1960,MATCH(5,Engine!$C$2:$C$1960,0)))</f>
        <v/>
      </c>
      <c r="J18" s="8">
        <f>IF(ISNA(MATCH(5,Engine!$C$2:$C$1960,0)),"",INDEX('Compliance Database'!$J$2:$J$1960,MATCH(5,Engine!$C$2:$C$1960,0)))</f>
        <v/>
      </c>
      <c r="K18" s="9">
        <f>IF(ISNA(MATCH(5,Engine!$C$2:$C$1960,0)),"",INDEX('Compliance Database'!$K$2:$K$1960,MATCH(5,Engine!$C$2:$C$1960,0)))</f>
        <v/>
      </c>
      <c r="L18" s="9">
        <f>IF(ISNA(MATCH(5,Engine!$C$2:$C$1960,0)),"",INDEX('Compliance Database'!$L$2:$L$1960,MATCH(5,Engine!$C$2:$C$1960,0)))</f>
        <v/>
      </c>
      <c r="M18" s="9">
        <f>IF(ISNA(MATCH(5,Engine!$C$2:$C$1960,0)),"",INDEX('Compliance Database'!$M$2:$M$1960,MATCH(5,Engine!$C$2:$C$1960,0)))</f>
        <v/>
      </c>
      <c r="N18" s="9">
        <f>IF(ISNA(MATCH(5,Engine!$C$2:$C$1960,0)),"",INDEX('Compliance Database'!$N$2:$N$1960,MATCH(5,Engine!$C$2:$C$1960,0)))</f>
        <v/>
      </c>
      <c r="O18" s="9">
        <f>IF(ISNA(MATCH(5,Engine!$C$2:$C$1960,0)),"",INDEX('Compliance Database'!$O$2:$O$1960,MATCH(5,Engine!$C$2:$C$1960,0)))</f>
        <v/>
      </c>
      <c r="P18" s="8">
        <f>IF(ISNA(MATCH(5,Engine!$C$2:$C$1960,0)),"",HYPERLINK("#Acts!A"&amp;INDEX('Compliance Database'!$P$2:$P$1960,MATCH(5,Engine!$C$2:$C$1960,0)),"Go to Act"))</f>
        <v/>
      </c>
    </row>
    <row r="19" ht="158" customHeight="1">
      <c r="A19" s="8">
        <f>IF(ISNA(MATCH(6,Engine!$C$2:$C$1960,0)),"",INDEX('Compliance Database'!$A$2:$A$1960,MATCH(6,Engine!$C$2:$C$1960,0)))</f>
        <v/>
      </c>
      <c r="B19" s="8">
        <f>IF(ISNA(MATCH(6,Engine!$C$2:$C$1960,0)),"",INDEX('Compliance Database'!$B$2:$B$1960,MATCH(6,Engine!$C$2:$C$1960,0)))</f>
        <v/>
      </c>
      <c r="C19" s="8">
        <f>IF(ISNA(MATCH(6,Engine!$C$2:$C$1960,0)),"",INDEX('Compliance Database'!$C$2:$C$1960,MATCH(6,Engine!$C$2:$C$1960,0)))</f>
        <v/>
      </c>
      <c r="D19" s="9">
        <f>IF(ISNA(MATCH(6,Engine!$C$2:$C$1960,0)),"",INDEX('Compliance Database'!$D$2:$D$1960,MATCH(6,Engine!$C$2:$C$1960,0)))</f>
        <v/>
      </c>
      <c r="E19" s="8">
        <f>IF(ISNA(MATCH(6,Engine!$C$2:$C$1960,0)),"",INDEX('Compliance Database'!$E$2:$E$1960,MATCH(6,Engine!$C$2:$C$1960,0)))</f>
        <v/>
      </c>
      <c r="F19" s="8">
        <f>IF(ISNA(MATCH(6,Engine!$C$2:$C$1960,0)),"",INDEX('Compliance Database'!$F$2:$F$1960,MATCH(6,Engine!$C$2:$C$1960,0)))</f>
        <v/>
      </c>
      <c r="G19" s="8">
        <f>IF(ISNA(MATCH(6,Engine!$C$2:$C$1960,0)),"",INDEX('Compliance Database'!$G$2:$G$1960,MATCH(6,Engine!$C$2:$C$1960,0)))</f>
        <v/>
      </c>
      <c r="H19" s="9">
        <f>IF(ISNA(MATCH(6,Engine!$C$2:$C$1960,0)),"",INDEX('Compliance Database'!$H$2:$H$1960,MATCH(6,Engine!$C$2:$C$1960,0)))</f>
        <v/>
      </c>
      <c r="I19" s="9">
        <f>IF(ISNA(MATCH(6,Engine!$C$2:$C$1960,0)),"",INDEX('Compliance Database'!$I$2:$I$1960,MATCH(6,Engine!$C$2:$C$1960,0)))</f>
        <v/>
      </c>
      <c r="J19" s="8">
        <f>IF(ISNA(MATCH(6,Engine!$C$2:$C$1960,0)),"",INDEX('Compliance Database'!$J$2:$J$1960,MATCH(6,Engine!$C$2:$C$1960,0)))</f>
        <v/>
      </c>
      <c r="K19" s="9">
        <f>IF(ISNA(MATCH(6,Engine!$C$2:$C$1960,0)),"",INDEX('Compliance Database'!$K$2:$K$1960,MATCH(6,Engine!$C$2:$C$1960,0)))</f>
        <v/>
      </c>
      <c r="L19" s="9">
        <f>IF(ISNA(MATCH(6,Engine!$C$2:$C$1960,0)),"",INDEX('Compliance Database'!$L$2:$L$1960,MATCH(6,Engine!$C$2:$C$1960,0)))</f>
        <v/>
      </c>
      <c r="M19" s="9">
        <f>IF(ISNA(MATCH(6,Engine!$C$2:$C$1960,0)),"",INDEX('Compliance Database'!$M$2:$M$1960,MATCH(6,Engine!$C$2:$C$1960,0)))</f>
        <v/>
      </c>
      <c r="N19" s="9">
        <f>IF(ISNA(MATCH(6,Engine!$C$2:$C$1960,0)),"",INDEX('Compliance Database'!$N$2:$N$1960,MATCH(6,Engine!$C$2:$C$1960,0)))</f>
        <v/>
      </c>
      <c r="O19" s="9">
        <f>IF(ISNA(MATCH(6,Engine!$C$2:$C$1960,0)),"",INDEX('Compliance Database'!$O$2:$O$1960,MATCH(6,Engine!$C$2:$C$1960,0)))</f>
        <v/>
      </c>
      <c r="P19" s="8">
        <f>IF(ISNA(MATCH(6,Engine!$C$2:$C$1960,0)),"",HYPERLINK("#Acts!A"&amp;INDEX('Compliance Database'!$P$2:$P$1960,MATCH(6,Engine!$C$2:$C$1960,0)),"Go to Act"))</f>
        <v/>
      </c>
    </row>
    <row r="20" ht="158" customHeight="1">
      <c r="A20" s="8">
        <f>IF(ISNA(MATCH(7,Engine!$C$2:$C$1960,0)),"",INDEX('Compliance Database'!$A$2:$A$1960,MATCH(7,Engine!$C$2:$C$1960,0)))</f>
        <v/>
      </c>
      <c r="B20" s="8">
        <f>IF(ISNA(MATCH(7,Engine!$C$2:$C$1960,0)),"",INDEX('Compliance Database'!$B$2:$B$1960,MATCH(7,Engine!$C$2:$C$1960,0)))</f>
        <v/>
      </c>
      <c r="C20" s="8">
        <f>IF(ISNA(MATCH(7,Engine!$C$2:$C$1960,0)),"",INDEX('Compliance Database'!$C$2:$C$1960,MATCH(7,Engine!$C$2:$C$1960,0)))</f>
        <v/>
      </c>
      <c r="D20" s="9">
        <f>IF(ISNA(MATCH(7,Engine!$C$2:$C$1960,0)),"",INDEX('Compliance Database'!$D$2:$D$1960,MATCH(7,Engine!$C$2:$C$1960,0)))</f>
        <v/>
      </c>
      <c r="E20" s="8">
        <f>IF(ISNA(MATCH(7,Engine!$C$2:$C$1960,0)),"",INDEX('Compliance Database'!$E$2:$E$1960,MATCH(7,Engine!$C$2:$C$1960,0)))</f>
        <v/>
      </c>
      <c r="F20" s="8">
        <f>IF(ISNA(MATCH(7,Engine!$C$2:$C$1960,0)),"",INDEX('Compliance Database'!$F$2:$F$1960,MATCH(7,Engine!$C$2:$C$1960,0)))</f>
        <v/>
      </c>
      <c r="G20" s="8">
        <f>IF(ISNA(MATCH(7,Engine!$C$2:$C$1960,0)),"",INDEX('Compliance Database'!$G$2:$G$1960,MATCH(7,Engine!$C$2:$C$1960,0)))</f>
        <v/>
      </c>
      <c r="H20" s="9">
        <f>IF(ISNA(MATCH(7,Engine!$C$2:$C$1960,0)),"",INDEX('Compliance Database'!$H$2:$H$1960,MATCH(7,Engine!$C$2:$C$1960,0)))</f>
        <v/>
      </c>
      <c r="I20" s="9">
        <f>IF(ISNA(MATCH(7,Engine!$C$2:$C$1960,0)),"",INDEX('Compliance Database'!$I$2:$I$1960,MATCH(7,Engine!$C$2:$C$1960,0)))</f>
        <v/>
      </c>
      <c r="J20" s="8">
        <f>IF(ISNA(MATCH(7,Engine!$C$2:$C$1960,0)),"",INDEX('Compliance Database'!$J$2:$J$1960,MATCH(7,Engine!$C$2:$C$1960,0)))</f>
        <v/>
      </c>
      <c r="K20" s="9">
        <f>IF(ISNA(MATCH(7,Engine!$C$2:$C$1960,0)),"",INDEX('Compliance Database'!$K$2:$K$1960,MATCH(7,Engine!$C$2:$C$1960,0)))</f>
        <v/>
      </c>
      <c r="L20" s="9">
        <f>IF(ISNA(MATCH(7,Engine!$C$2:$C$1960,0)),"",INDEX('Compliance Database'!$L$2:$L$1960,MATCH(7,Engine!$C$2:$C$1960,0)))</f>
        <v/>
      </c>
      <c r="M20" s="9">
        <f>IF(ISNA(MATCH(7,Engine!$C$2:$C$1960,0)),"",INDEX('Compliance Database'!$M$2:$M$1960,MATCH(7,Engine!$C$2:$C$1960,0)))</f>
        <v/>
      </c>
      <c r="N20" s="9">
        <f>IF(ISNA(MATCH(7,Engine!$C$2:$C$1960,0)),"",INDEX('Compliance Database'!$N$2:$N$1960,MATCH(7,Engine!$C$2:$C$1960,0)))</f>
        <v/>
      </c>
      <c r="O20" s="9">
        <f>IF(ISNA(MATCH(7,Engine!$C$2:$C$1960,0)),"",INDEX('Compliance Database'!$O$2:$O$1960,MATCH(7,Engine!$C$2:$C$1960,0)))</f>
        <v/>
      </c>
      <c r="P20" s="8">
        <f>IF(ISNA(MATCH(7,Engine!$C$2:$C$1960,0)),"",HYPERLINK("#Acts!A"&amp;INDEX('Compliance Database'!$P$2:$P$1960,MATCH(7,Engine!$C$2:$C$1960,0)),"Go to Act"))</f>
        <v/>
      </c>
    </row>
    <row r="21" ht="158" customHeight="1">
      <c r="A21" s="8">
        <f>IF(ISNA(MATCH(8,Engine!$C$2:$C$1960,0)),"",INDEX('Compliance Database'!$A$2:$A$1960,MATCH(8,Engine!$C$2:$C$1960,0)))</f>
        <v/>
      </c>
      <c r="B21" s="8">
        <f>IF(ISNA(MATCH(8,Engine!$C$2:$C$1960,0)),"",INDEX('Compliance Database'!$B$2:$B$1960,MATCH(8,Engine!$C$2:$C$1960,0)))</f>
        <v/>
      </c>
      <c r="C21" s="8">
        <f>IF(ISNA(MATCH(8,Engine!$C$2:$C$1960,0)),"",INDEX('Compliance Database'!$C$2:$C$1960,MATCH(8,Engine!$C$2:$C$1960,0)))</f>
        <v/>
      </c>
      <c r="D21" s="9">
        <f>IF(ISNA(MATCH(8,Engine!$C$2:$C$1960,0)),"",INDEX('Compliance Database'!$D$2:$D$1960,MATCH(8,Engine!$C$2:$C$1960,0)))</f>
        <v/>
      </c>
      <c r="E21" s="8">
        <f>IF(ISNA(MATCH(8,Engine!$C$2:$C$1960,0)),"",INDEX('Compliance Database'!$E$2:$E$1960,MATCH(8,Engine!$C$2:$C$1960,0)))</f>
        <v/>
      </c>
      <c r="F21" s="8">
        <f>IF(ISNA(MATCH(8,Engine!$C$2:$C$1960,0)),"",INDEX('Compliance Database'!$F$2:$F$1960,MATCH(8,Engine!$C$2:$C$1960,0)))</f>
        <v/>
      </c>
      <c r="G21" s="8">
        <f>IF(ISNA(MATCH(8,Engine!$C$2:$C$1960,0)),"",INDEX('Compliance Database'!$G$2:$G$1960,MATCH(8,Engine!$C$2:$C$1960,0)))</f>
        <v/>
      </c>
      <c r="H21" s="9">
        <f>IF(ISNA(MATCH(8,Engine!$C$2:$C$1960,0)),"",INDEX('Compliance Database'!$H$2:$H$1960,MATCH(8,Engine!$C$2:$C$1960,0)))</f>
        <v/>
      </c>
      <c r="I21" s="9">
        <f>IF(ISNA(MATCH(8,Engine!$C$2:$C$1960,0)),"",INDEX('Compliance Database'!$I$2:$I$1960,MATCH(8,Engine!$C$2:$C$1960,0)))</f>
        <v/>
      </c>
      <c r="J21" s="8">
        <f>IF(ISNA(MATCH(8,Engine!$C$2:$C$1960,0)),"",INDEX('Compliance Database'!$J$2:$J$1960,MATCH(8,Engine!$C$2:$C$1960,0)))</f>
        <v/>
      </c>
      <c r="K21" s="9">
        <f>IF(ISNA(MATCH(8,Engine!$C$2:$C$1960,0)),"",INDEX('Compliance Database'!$K$2:$K$1960,MATCH(8,Engine!$C$2:$C$1960,0)))</f>
        <v/>
      </c>
      <c r="L21" s="9">
        <f>IF(ISNA(MATCH(8,Engine!$C$2:$C$1960,0)),"",INDEX('Compliance Database'!$L$2:$L$1960,MATCH(8,Engine!$C$2:$C$1960,0)))</f>
        <v/>
      </c>
      <c r="M21" s="9">
        <f>IF(ISNA(MATCH(8,Engine!$C$2:$C$1960,0)),"",INDEX('Compliance Database'!$M$2:$M$1960,MATCH(8,Engine!$C$2:$C$1960,0)))</f>
        <v/>
      </c>
      <c r="N21" s="9">
        <f>IF(ISNA(MATCH(8,Engine!$C$2:$C$1960,0)),"",INDEX('Compliance Database'!$N$2:$N$1960,MATCH(8,Engine!$C$2:$C$1960,0)))</f>
        <v/>
      </c>
      <c r="O21" s="9">
        <f>IF(ISNA(MATCH(8,Engine!$C$2:$C$1960,0)),"",INDEX('Compliance Database'!$O$2:$O$1960,MATCH(8,Engine!$C$2:$C$1960,0)))</f>
        <v/>
      </c>
      <c r="P21" s="8">
        <f>IF(ISNA(MATCH(8,Engine!$C$2:$C$1960,0)),"",HYPERLINK("#Acts!A"&amp;INDEX('Compliance Database'!$P$2:$P$1960,MATCH(8,Engine!$C$2:$C$1960,0)),"Go to Act"))</f>
        <v/>
      </c>
    </row>
    <row r="22" ht="158" customHeight="1">
      <c r="A22" s="8">
        <f>IF(ISNA(MATCH(9,Engine!$C$2:$C$1960,0)),"",INDEX('Compliance Database'!$A$2:$A$1960,MATCH(9,Engine!$C$2:$C$1960,0)))</f>
        <v/>
      </c>
      <c r="B22" s="8">
        <f>IF(ISNA(MATCH(9,Engine!$C$2:$C$1960,0)),"",INDEX('Compliance Database'!$B$2:$B$1960,MATCH(9,Engine!$C$2:$C$1960,0)))</f>
        <v/>
      </c>
      <c r="C22" s="8">
        <f>IF(ISNA(MATCH(9,Engine!$C$2:$C$1960,0)),"",INDEX('Compliance Database'!$C$2:$C$1960,MATCH(9,Engine!$C$2:$C$1960,0)))</f>
        <v/>
      </c>
      <c r="D22" s="9">
        <f>IF(ISNA(MATCH(9,Engine!$C$2:$C$1960,0)),"",INDEX('Compliance Database'!$D$2:$D$1960,MATCH(9,Engine!$C$2:$C$1960,0)))</f>
        <v/>
      </c>
      <c r="E22" s="8">
        <f>IF(ISNA(MATCH(9,Engine!$C$2:$C$1960,0)),"",INDEX('Compliance Database'!$E$2:$E$1960,MATCH(9,Engine!$C$2:$C$1960,0)))</f>
        <v/>
      </c>
      <c r="F22" s="8">
        <f>IF(ISNA(MATCH(9,Engine!$C$2:$C$1960,0)),"",INDEX('Compliance Database'!$F$2:$F$1960,MATCH(9,Engine!$C$2:$C$1960,0)))</f>
        <v/>
      </c>
      <c r="G22" s="8">
        <f>IF(ISNA(MATCH(9,Engine!$C$2:$C$1960,0)),"",INDEX('Compliance Database'!$G$2:$G$1960,MATCH(9,Engine!$C$2:$C$1960,0)))</f>
        <v/>
      </c>
      <c r="H22" s="9">
        <f>IF(ISNA(MATCH(9,Engine!$C$2:$C$1960,0)),"",INDEX('Compliance Database'!$H$2:$H$1960,MATCH(9,Engine!$C$2:$C$1960,0)))</f>
        <v/>
      </c>
      <c r="I22" s="9">
        <f>IF(ISNA(MATCH(9,Engine!$C$2:$C$1960,0)),"",INDEX('Compliance Database'!$I$2:$I$1960,MATCH(9,Engine!$C$2:$C$1960,0)))</f>
        <v/>
      </c>
      <c r="J22" s="8">
        <f>IF(ISNA(MATCH(9,Engine!$C$2:$C$1960,0)),"",INDEX('Compliance Database'!$J$2:$J$1960,MATCH(9,Engine!$C$2:$C$1960,0)))</f>
        <v/>
      </c>
      <c r="K22" s="9">
        <f>IF(ISNA(MATCH(9,Engine!$C$2:$C$1960,0)),"",INDEX('Compliance Database'!$K$2:$K$1960,MATCH(9,Engine!$C$2:$C$1960,0)))</f>
        <v/>
      </c>
      <c r="L22" s="9">
        <f>IF(ISNA(MATCH(9,Engine!$C$2:$C$1960,0)),"",INDEX('Compliance Database'!$L$2:$L$1960,MATCH(9,Engine!$C$2:$C$1960,0)))</f>
        <v/>
      </c>
      <c r="M22" s="9">
        <f>IF(ISNA(MATCH(9,Engine!$C$2:$C$1960,0)),"",INDEX('Compliance Database'!$M$2:$M$1960,MATCH(9,Engine!$C$2:$C$1960,0)))</f>
        <v/>
      </c>
      <c r="N22" s="9">
        <f>IF(ISNA(MATCH(9,Engine!$C$2:$C$1960,0)),"",INDEX('Compliance Database'!$N$2:$N$1960,MATCH(9,Engine!$C$2:$C$1960,0)))</f>
        <v/>
      </c>
      <c r="O22" s="9">
        <f>IF(ISNA(MATCH(9,Engine!$C$2:$C$1960,0)),"",INDEX('Compliance Database'!$O$2:$O$1960,MATCH(9,Engine!$C$2:$C$1960,0)))</f>
        <v/>
      </c>
      <c r="P22" s="8">
        <f>IF(ISNA(MATCH(9,Engine!$C$2:$C$1960,0)),"",HYPERLINK("#Acts!A"&amp;INDEX('Compliance Database'!$P$2:$P$1960,MATCH(9,Engine!$C$2:$C$1960,0)),"Go to Act"))</f>
        <v/>
      </c>
    </row>
    <row r="23" ht="158" customHeight="1">
      <c r="A23" s="8">
        <f>IF(ISNA(MATCH(10,Engine!$C$2:$C$1960,0)),"",INDEX('Compliance Database'!$A$2:$A$1960,MATCH(10,Engine!$C$2:$C$1960,0)))</f>
        <v/>
      </c>
      <c r="B23" s="8">
        <f>IF(ISNA(MATCH(10,Engine!$C$2:$C$1960,0)),"",INDEX('Compliance Database'!$B$2:$B$1960,MATCH(10,Engine!$C$2:$C$1960,0)))</f>
        <v/>
      </c>
      <c r="C23" s="8">
        <f>IF(ISNA(MATCH(10,Engine!$C$2:$C$1960,0)),"",INDEX('Compliance Database'!$C$2:$C$1960,MATCH(10,Engine!$C$2:$C$1960,0)))</f>
        <v/>
      </c>
      <c r="D23" s="9">
        <f>IF(ISNA(MATCH(10,Engine!$C$2:$C$1960,0)),"",INDEX('Compliance Database'!$D$2:$D$1960,MATCH(10,Engine!$C$2:$C$1960,0)))</f>
        <v/>
      </c>
      <c r="E23" s="8">
        <f>IF(ISNA(MATCH(10,Engine!$C$2:$C$1960,0)),"",INDEX('Compliance Database'!$E$2:$E$1960,MATCH(10,Engine!$C$2:$C$1960,0)))</f>
        <v/>
      </c>
      <c r="F23" s="8">
        <f>IF(ISNA(MATCH(10,Engine!$C$2:$C$1960,0)),"",INDEX('Compliance Database'!$F$2:$F$1960,MATCH(10,Engine!$C$2:$C$1960,0)))</f>
        <v/>
      </c>
      <c r="G23" s="8">
        <f>IF(ISNA(MATCH(10,Engine!$C$2:$C$1960,0)),"",INDEX('Compliance Database'!$G$2:$G$1960,MATCH(10,Engine!$C$2:$C$1960,0)))</f>
        <v/>
      </c>
      <c r="H23" s="9">
        <f>IF(ISNA(MATCH(10,Engine!$C$2:$C$1960,0)),"",INDEX('Compliance Database'!$H$2:$H$1960,MATCH(10,Engine!$C$2:$C$1960,0)))</f>
        <v/>
      </c>
      <c r="I23" s="9">
        <f>IF(ISNA(MATCH(10,Engine!$C$2:$C$1960,0)),"",INDEX('Compliance Database'!$I$2:$I$1960,MATCH(10,Engine!$C$2:$C$1960,0)))</f>
        <v/>
      </c>
      <c r="J23" s="8">
        <f>IF(ISNA(MATCH(10,Engine!$C$2:$C$1960,0)),"",INDEX('Compliance Database'!$J$2:$J$1960,MATCH(10,Engine!$C$2:$C$1960,0)))</f>
        <v/>
      </c>
      <c r="K23" s="9">
        <f>IF(ISNA(MATCH(10,Engine!$C$2:$C$1960,0)),"",INDEX('Compliance Database'!$K$2:$K$1960,MATCH(10,Engine!$C$2:$C$1960,0)))</f>
        <v/>
      </c>
      <c r="L23" s="9">
        <f>IF(ISNA(MATCH(10,Engine!$C$2:$C$1960,0)),"",INDEX('Compliance Database'!$L$2:$L$1960,MATCH(10,Engine!$C$2:$C$1960,0)))</f>
        <v/>
      </c>
      <c r="M23" s="9">
        <f>IF(ISNA(MATCH(10,Engine!$C$2:$C$1960,0)),"",INDEX('Compliance Database'!$M$2:$M$1960,MATCH(10,Engine!$C$2:$C$1960,0)))</f>
        <v/>
      </c>
      <c r="N23" s="9">
        <f>IF(ISNA(MATCH(10,Engine!$C$2:$C$1960,0)),"",INDEX('Compliance Database'!$N$2:$N$1960,MATCH(10,Engine!$C$2:$C$1960,0)))</f>
        <v/>
      </c>
      <c r="O23" s="9">
        <f>IF(ISNA(MATCH(10,Engine!$C$2:$C$1960,0)),"",INDEX('Compliance Database'!$O$2:$O$1960,MATCH(10,Engine!$C$2:$C$1960,0)))</f>
        <v/>
      </c>
      <c r="P23" s="8">
        <f>IF(ISNA(MATCH(10,Engine!$C$2:$C$1960,0)),"",HYPERLINK("#Acts!A"&amp;INDEX('Compliance Database'!$P$2:$P$1960,MATCH(10,Engine!$C$2:$C$1960,0)),"Go to Act"))</f>
        <v/>
      </c>
    </row>
    <row r="24" ht="158" customHeight="1">
      <c r="A24" s="8">
        <f>IF(ISNA(MATCH(11,Engine!$C$2:$C$1960,0)),"",INDEX('Compliance Database'!$A$2:$A$1960,MATCH(11,Engine!$C$2:$C$1960,0)))</f>
        <v/>
      </c>
      <c r="B24" s="8">
        <f>IF(ISNA(MATCH(11,Engine!$C$2:$C$1960,0)),"",INDEX('Compliance Database'!$B$2:$B$1960,MATCH(11,Engine!$C$2:$C$1960,0)))</f>
        <v/>
      </c>
      <c r="C24" s="8">
        <f>IF(ISNA(MATCH(11,Engine!$C$2:$C$1960,0)),"",INDEX('Compliance Database'!$C$2:$C$1960,MATCH(11,Engine!$C$2:$C$1960,0)))</f>
        <v/>
      </c>
      <c r="D24" s="9">
        <f>IF(ISNA(MATCH(11,Engine!$C$2:$C$1960,0)),"",INDEX('Compliance Database'!$D$2:$D$1960,MATCH(11,Engine!$C$2:$C$1960,0)))</f>
        <v/>
      </c>
      <c r="E24" s="8">
        <f>IF(ISNA(MATCH(11,Engine!$C$2:$C$1960,0)),"",INDEX('Compliance Database'!$E$2:$E$1960,MATCH(11,Engine!$C$2:$C$1960,0)))</f>
        <v/>
      </c>
      <c r="F24" s="8">
        <f>IF(ISNA(MATCH(11,Engine!$C$2:$C$1960,0)),"",INDEX('Compliance Database'!$F$2:$F$1960,MATCH(11,Engine!$C$2:$C$1960,0)))</f>
        <v/>
      </c>
      <c r="G24" s="8">
        <f>IF(ISNA(MATCH(11,Engine!$C$2:$C$1960,0)),"",INDEX('Compliance Database'!$G$2:$G$1960,MATCH(11,Engine!$C$2:$C$1960,0)))</f>
        <v/>
      </c>
      <c r="H24" s="9">
        <f>IF(ISNA(MATCH(11,Engine!$C$2:$C$1960,0)),"",INDEX('Compliance Database'!$H$2:$H$1960,MATCH(11,Engine!$C$2:$C$1960,0)))</f>
        <v/>
      </c>
      <c r="I24" s="9">
        <f>IF(ISNA(MATCH(11,Engine!$C$2:$C$1960,0)),"",INDEX('Compliance Database'!$I$2:$I$1960,MATCH(11,Engine!$C$2:$C$1960,0)))</f>
        <v/>
      </c>
      <c r="J24" s="8">
        <f>IF(ISNA(MATCH(11,Engine!$C$2:$C$1960,0)),"",INDEX('Compliance Database'!$J$2:$J$1960,MATCH(11,Engine!$C$2:$C$1960,0)))</f>
        <v/>
      </c>
      <c r="K24" s="9">
        <f>IF(ISNA(MATCH(11,Engine!$C$2:$C$1960,0)),"",INDEX('Compliance Database'!$K$2:$K$1960,MATCH(11,Engine!$C$2:$C$1960,0)))</f>
        <v/>
      </c>
      <c r="L24" s="9">
        <f>IF(ISNA(MATCH(11,Engine!$C$2:$C$1960,0)),"",INDEX('Compliance Database'!$L$2:$L$1960,MATCH(11,Engine!$C$2:$C$1960,0)))</f>
        <v/>
      </c>
      <c r="M24" s="9">
        <f>IF(ISNA(MATCH(11,Engine!$C$2:$C$1960,0)),"",INDEX('Compliance Database'!$M$2:$M$1960,MATCH(11,Engine!$C$2:$C$1960,0)))</f>
        <v/>
      </c>
      <c r="N24" s="9">
        <f>IF(ISNA(MATCH(11,Engine!$C$2:$C$1960,0)),"",INDEX('Compliance Database'!$N$2:$N$1960,MATCH(11,Engine!$C$2:$C$1960,0)))</f>
        <v/>
      </c>
      <c r="O24" s="9">
        <f>IF(ISNA(MATCH(11,Engine!$C$2:$C$1960,0)),"",INDEX('Compliance Database'!$O$2:$O$1960,MATCH(11,Engine!$C$2:$C$1960,0)))</f>
        <v/>
      </c>
      <c r="P24" s="8">
        <f>IF(ISNA(MATCH(11,Engine!$C$2:$C$1960,0)),"",HYPERLINK("#Acts!A"&amp;INDEX('Compliance Database'!$P$2:$P$1960,MATCH(11,Engine!$C$2:$C$1960,0)),"Go to Act"))</f>
        <v/>
      </c>
    </row>
    <row r="25" ht="158" customHeight="1">
      <c r="A25" s="8">
        <f>IF(ISNA(MATCH(12,Engine!$C$2:$C$1960,0)),"",INDEX('Compliance Database'!$A$2:$A$1960,MATCH(12,Engine!$C$2:$C$1960,0)))</f>
        <v/>
      </c>
      <c r="B25" s="8">
        <f>IF(ISNA(MATCH(12,Engine!$C$2:$C$1960,0)),"",INDEX('Compliance Database'!$B$2:$B$1960,MATCH(12,Engine!$C$2:$C$1960,0)))</f>
        <v/>
      </c>
      <c r="C25" s="8">
        <f>IF(ISNA(MATCH(12,Engine!$C$2:$C$1960,0)),"",INDEX('Compliance Database'!$C$2:$C$1960,MATCH(12,Engine!$C$2:$C$1960,0)))</f>
        <v/>
      </c>
      <c r="D25" s="9">
        <f>IF(ISNA(MATCH(12,Engine!$C$2:$C$1960,0)),"",INDEX('Compliance Database'!$D$2:$D$1960,MATCH(12,Engine!$C$2:$C$1960,0)))</f>
        <v/>
      </c>
      <c r="E25" s="8">
        <f>IF(ISNA(MATCH(12,Engine!$C$2:$C$1960,0)),"",INDEX('Compliance Database'!$E$2:$E$1960,MATCH(12,Engine!$C$2:$C$1960,0)))</f>
        <v/>
      </c>
      <c r="F25" s="8">
        <f>IF(ISNA(MATCH(12,Engine!$C$2:$C$1960,0)),"",INDEX('Compliance Database'!$F$2:$F$1960,MATCH(12,Engine!$C$2:$C$1960,0)))</f>
        <v/>
      </c>
      <c r="G25" s="8">
        <f>IF(ISNA(MATCH(12,Engine!$C$2:$C$1960,0)),"",INDEX('Compliance Database'!$G$2:$G$1960,MATCH(12,Engine!$C$2:$C$1960,0)))</f>
        <v/>
      </c>
      <c r="H25" s="9">
        <f>IF(ISNA(MATCH(12,Engine!$C$2:$C$1960,0)),"",INDEX('Compliance Database'!$H$2:$H$1960,MATCH(12,Engine!$C$2:$C$1960,0)))</f>
        <v/>
      </c>
      <c r="I25" s="9">
        <f>IF(ISNA(MATCH(12,Engine!$C$2:$C$1960,0)),"",INDEX('Compliance Database'!$I$2:$I$1960,MATCH(12,Engine!$C$2:$C$1960,0)))</f>
        <v/>
      </c>
      <c r="J25" s="8">
        <f>IF(ISNA(MATCH(12,Engine!$C$2:$C$1960,0)),"",INDEX('Compliance Database'!$J$2:$J$1960,MATCH(12,Engine!$C$2:$C$1960,0)))</f>
        <v/>
      </c>
      <c r="K25" s="9">
        <f>IF(ISNA(MATCH(12,Engine!$C$2:$C$1960,0)),"",INDEX('Compliance Database'!$K$2:$K$1960,MATCH(12,Engine!$C$2:$C$1960,0)))</f>
        <v/>
      </c>
      <c r="L25" s="9">
        <f>IF(ISNA(MATCH(12,Engine!$C$2:$C$1960,0)),"",INDEX('Compliance Database'!$L$2:$L$1960,MATCH(12,Engine!$C$2:$C$1960,0)))</f>
        <v/>
      </c>
      <c r="M25" s="9">
        <f>IF(ISNA(MATCH(12,Engine!$C$2:$C$1960,0)),"",INDEX('Compliance Database'!$M$2:$M$1960,MATCH(12,Engine!$C$2:$C$1960,0)))</f>
        <v/>
      </c>
      <c r="N25" s="9">
        <f>IF(ISNA(MATCH(12,Engine!$C$2:$C$1960,0)),"",INDEX('Compliance Database'!$N$2:$N$1960,MATCH(12,Engine!$C$2:$C$1960,0)))</f>
        <v/>
      </c>
      <c r="O25" s="9">
        <f>IF(ISNA(MATCH(12,Engine!$C$2:$C$1960,0)),"",INDEX('Compliance Database'!$O$2:$O$1960,MATCH(12,Engine!$C$2:$C$1960,0)))</f>
        <v/>
      </c>
      <c r="P25" s="8">
        <f>IF(ISNA(MATCH(12,Engine!$C$2:$C$1960,0)),"",HYPERLINK("#Acts!A"&amp;INDEX('Compliance Database'!$P$2:$P$1960,MATCH(12,Engine!$C$2:$C$1960,0)),"Go to Act"))</f>
        <v/>
      </c>
    </row>
    <row r="26" ht="158" customHeight="1">
      <c r="A26" s="8">
        <f>IF(ISNA(MATCH(13,Engine!$C$2:$C$1960,0)),"",INDEX('Compliance Database'!$A$2:$A$1960,MATCH(13,Engine!$C$2:$C$1960,0)))</f>
        <v/>
      </c>
      <c r="B26" s="8">
        <f>IF(ISNA(MATCH(13,Engine!$C$2:$C$1960,0)),"",INDEX('Compliance Database'!$B$2:$B$1960,MATCH(13,Engine!$C$2:$C$1960,0)))</f>
        <v/>
      </c>
      <c r="C26" s="8">
        <f>IF(ISNA(MATCH(13,Engine!$C$2:$C$1960,0)),"",INDEX('Compliance Database'!$C$2:$C$1960,MATCH(13,Engine!$C$2:$C$1960,0)))</f>
        <v/>
      </c>
      <c r="D26" s="9">
        <f>IF(ISNA(MATCH(13,Engine!$C$2:$C$1960,0)),"",INDEX('Compliance Database'!$D$2:$D$1960,MATCH(13,Engine!$C$2:$C$1960,0)))</f>
        <v/>
      </c>
      <c r="E26" s="8">
        <f>IF(ISNA(MATCH(13,Engine!$C$2:$C$1960,0)),"",INDEX('Compliance Database'!$E$2:$E$1960,MATCH(13,Engine!$C$2:$C$1960,0)))</f>
        <v/>
      </c>
      <c r="F26" s="8">
        <f>IF(ISNA(MATCH(13,Engine!$C$2:$C$1960,0)),"",INDEX('Compliance Database'!$F$2:$F$1960,MATCH(13,Engine!$C$2:$C$1960,0)))</f>
        <v/>
      </c>
      <c r="G26" s="8">
        <f>IF(ISNA(MATCH(13,Engine!$C$2:$C$1960,0)),"",INDEX('Compliance Database'!$G$2:$G$1960,MATCH(13,Engine!$C$2:$C$1960,0)))</f>
        <v/>
      </c>
      <c r="H26" s="9">
        <f>IF(ISNA(MATCH(13,Engine!$C$2:$C$1960,0)),"",INDEX('Compliance Database'!$H$2:$H$1960,MATCH(13,Engine!$C$2:$C$1960,0)))</f>
        <v/>
      </c>
      <c r="I26" s="9">
        <f>IF(ISNA(MATCH(13,Engine!$C$2:$C$1960,0)),"",INDEX('Compliance Database'!$I$2:$I$1960,MATCH(13,Engine!$C$2:$C$1960,0)))</f>
        <v/>
      </c>
      <c r="J26" s="8">
        <f>IF(ISNA(MATCH(13,Engine!$C$2:$C$1960,0)),"",INDEX('Compliance Database'!$J$2:$J$1960,MATCH(13,Engine!$C$2:$C$1960,0)))</f>
        <v/>
      </c>
      <c r="K26" s="9">
        <f>IF(ISNA(MATCH(13,Engine!$C$2:$C$1960,0)),"",INDEX('Compliance Database'!$K$2:$K$1960,MATCH(13,Engine!$C$2:$C$1960,0)))</f>
        <v/>
      </c>
      <c r="L26" s="9">
        <f>IF(ISNA(MATCH(13,Engine!$C$2:$C$1960,0)),"",INDEX('Compliance Database'!$L$2:$L$1960,MATCH(13,Engine!$C$2:$C$1960,0)))</f>
        <v/>
      </c>
      <c r="M26" s="9">
        <f>IF(ISNA(MATCH(13,Engine!$C$2:$C$1960,0)),"",INDEX('Compliance Database'!$M$2:$M$1960,MATCH(13,Engine!$C$2:$C$1960,0)))</f>
        <v/>
      </c>
      <c r="N26" s="9">
        <f>IF(ISNA(MATCH(13,Engine!$C$2:$C$1960,0)),"",INDEX('Compliance Database'!$N$2:$N$1960,MATCH(13,Engine!$C$2:$C$1960,0)))</f>
        <v/>
      </c>
      <c r="O26" s="9">
        <f>IF(ISNA(MATCH(13,Engine!$C$2:$C$1960,0)),"",INDEX('Compliance Database'!$O$2:$O$1960,MATCH(13,Engine!$C$2:$C$1960,0)))</f>
        <v/>
      </c>
      <c r="P26" s="8">
        <f>IF(ISNA(MATCH(13,Engine!$C$2:$C$1960,0)),"",HYPERLINK("#Acts!A"&amp;INDEX('Compliance Database'!$P$2:$P$1960,MATCH(13,Engine!$C$2:$C$1960,0)),"Go to Act"))</f>
        <v/>
      </c>
    </row>
    <row r="27" ht="158" customHeight="1">
      <c r="A27" s="8">
        <f>IF(ISNA(MATCH(14,Engine!$C$2:$C$1960,0)),"",INDEX('Compliance Database'!$A$2:$A$1960,MATCH(14,Engine!$C$2:$C$1960,0)))</f>
        <v/>
      </c>
      <c r="B27" s="8">
        <f>IF(ISNA(MATCH(14,Engine!$C$2:$C$1960,0)),"",INDEX('Compliance Database'!$B$2:$B$1960,MATCH(14,Engine!$C$2:$C$1960,0)))</f>
        <v/>
      </c>
      <c r="C27" s="8">
        <f>IF(ISNA(MATCH(14,Engine!$C$2:$C$1960,0)),"",INDEX('Compliance Database'!$C$2:$C$1960,MATCH(14,Engine!$C$2:$C$1960,0)))</f>
        <v/>
      </c>
      <c r="D27" s="9">
        <f>IF(ISNA(MATCH(14,Engine!$C$2:$C$1960,0)),"",INDEX('Compliance Database'!$D$2:$D$1960,MATCH(14,Engine!$C$2:$C$1960,0)))</f>
        <v/>
      </c>
      <c r="E27" s="8">
        <f>IF(ISNA(MATCH(14,Engine!$C$2:$C$1960,0)),"",INDEX('Compliance Database'!$E$2:$E$1960,MATCH(14,Engine!$C$2:$C$1960,0)))</f>
        <v/>
      </c>
      <c r="F27" s="8">
        <f>IF(ISNA(MATCH(14,Engine!$C$2:$C$1960,0)),"",INDEX('Compliance Database'!$F$2:$F$1960,MATCH(14,Engine!$C$2:$C$1960,0)))</f>
        <v/>
      </c>
      <c r="G27" s="8">
        <f>IF(ISNA(MATCH(14,Engine!$C$2:$C$1960,0)),"",INDEX('Compliance Database'!$G$2:$G$1960,MATCH(14,Engine!$C$2:$C$1960,0)))</f>
        <v/>
      </c>
      <c r="H27" s="9">
        <f>IF(ISNA(MATCH(14,Engine!$C$2:$C$1960,0)),"",INDEX('Compliance Database'!$H$2:$H$1960,MATCH(14,Engine!$C$2:$C$1960,0)))</f>
        <v/>
      </c>
      <c r="I27" s="9">
        <f>IF(ISNA(MATCH(14,Engine!$C$2:$C$1960,0)),"",INDEX('Compliance Database'!$I$2:$I$1960,MATCH(14,Engine!$C$2:$C$1960,0)))</f>
        <v/>
      </c>
      <c r="J27" s="8">
        <f>IF(ISNA(MATCH(14,Engine!$C$2:$C$1960,0)),"",INDEX('Compliance Database'!$J$2:$J$1960,MATCH(14,Engine!$C$2:$C$1960,0)))</f>
        <v/>
      </c>
      <c r="K27" s="9">
        <f>IF(ISNA(MATCH(14,Engine!$C$2:$C$1960,0)),"",INDEX('Compliance Database'!$K$2:$K$1960,MATCH(14,Engine!$C$2:$C$1960,0)))</f>
        <v/>
      </c>
      <c r="L27" s="9">
        <f>IF(ISNA(MATCH(14,Engine!$C$2:$C$1960,0)),"",INDEX('Compliance Database'!$L$2:$L$1960,MATCH(14,Engine!$C$2:$C$1960,0)))</f>
        <v/>
      </c>
      <c r="M27" s="9">
        <f>IF(ISNA(MATCH(14,Engine!$C$2:$C$1960,0)),"",INDEX('Compliance Database'!$M$2:$M$1960,MATCH(14,Engine!$C$2:$C$1960,0)))</f>
        <v/>
      </c>
      <c r="N27" s="9">
        <f>IF(ISNA(MATCH(14,Engine!$C$2:$C$1960,0)),"",INDEX('Compliance Database'!$N$2:$N$1960,MATCH(14,Engine!$C$2:$C$1960,0)))</f>
        <v/>
      </c>
      <c r="O27" s="9">
        <f>IF(ISNA(MATCH(14,Engine!$C$2:$C$1960,0)),"",INDEX('Compliance Database'!$O$2:$O$1960,MATCH(14,Engine!$C$2:$C$1960,0)))</f>
        <v/>
      </c>
      <c r="P27" s="8">
        <f>IF(ISNA(MATCH(14,Engine!$C$2:$C$1960,0)),"",HYPERLINK("#Acts!A"&amp;INDEX('Compliance Database'!$P$2:$P$1960,MATCH(14,Engine!$C$2:$C$1960,0)),"Go to Act"))</f>
        <v/>
      </c>
    </row>
    <row r="28" ht="158" customHeight="1">
      <c r="A28" s="8">
        <f>IF(ISNA(MATCH(15,Engine!$C$2:$C$1960,0)),"",INDEX('Compliance Database'!$A$2:$A$1960,MATCH(15,Engine!$C$2:$C$1960,0)))</f>
        <v/>
      </c>
      <c r="B28" s="8">
        <f>IF(ISNA(MATCH(15,Engine!$C$2:$C$1960,0)),"",INDEX('Compliance Database'!$B$2:$B$1960,MATCH(15,Engine!$C$2:$C$1960,0)))</f>
        <v/>
      </c>
      <c r="C28" s="8">
        <f>IF(ISNA(MATCH(15,Engine!$C$2:$C$1960,0)),"",INDEX('Compliance Database'!$C$2:$C$1960,MATCH(15,Engine!$C$2:$C$1960,0)))</f>
        <v/>
      </c>
      <c r="D28" s="9">
        <f>IF(ISNA(MATCH(15,Engine!$C$2:$C$1960,0)),"",INDEX('Compliance Database'!$D$2:$D$1960,MATCH(15,Engine!$C$2:$C$1960,0)))</f>
        <v/>
      </c>
      <c r="E28" s="8">
        <f>IF(ISNA(MATCH(15,Engine!$C$2:$C$1960,0)),"",INDEX('Compliance Database'!$E$2:$E$1960,MATCH(15,Engine!$C$2:$C$1960,0)))</f>
        <v/>
      </c>
      <c r="F28" s="8">
        <f>IF(ISNA(MATCH(15,Engine!$C$2:$C$1960,0)),"",INDEX('Compliance Database'!$F$2:$F$1960,MATCH(15,Engine!$C$2:$C$1960,0)))</f>
        <v/>
      </c>
      <c r="G28" s="8">
        <f>IF(ISNA(MATCH(15,Engine!$C$2:$C$1960,0)),"",INDEX('Compliance Database'!$G$2:$G$1960,MATCH(15,Engine!$C$2:$C$1960,0)))</f>
        <v/>
      </c>
      <c r="H28" s="9">
        <f>IF(ISNA(MATCH(15,Engine!$C$2:$C$1960,0)),"",INDEX('Compliance Database'!$H$2:$H$1960,MATCH(15,Engine!$C$2:$C$1960,0)))</f>
        <v/>
      </c>
      <c r="I28" s="9">
        <f>IF(ISNA(MATCH(15,Engine!$C$2:$C$1960,0)),"",INDEX('Compliance Database'!$I$2:$I$1960,MATCH(15,Engine!$C$2:$C$1960,0)))</f>
        <v/>
      </c>
      <c r="J28" s="8">
        <f>IF(ISNA(MATCH(15,Engine!$C$2:$C$1960,0)),"",INDEX('Compliance Database'!$J$2:$J$1960,MATCH(15,Engine!$C$2:$C$1960,0)))</f>
        <v/>
      </c>
      <c r="K28" s="9">
        <f>IF(ISNA(MATCH(15,Engine!$C$2:$C$1960,0)),"",INDEX('Compliance Database'!$K$2:$K$1960,MATCH(15,Engine!$C$2:$C$1960,0)))</f>
        <v/>
      </c>
      <c r="L28" s="9">
        <f>IF(ISNA(MATCH(15,Engine!$C$2:$C$1960,0)),"",INDEX('Compliance Database'!$L$2:$L$1960,MATCH(15,Engine!$C$2:$C$1960,0)))</f>
        <v/>
      </c>
      <c r="M28" s="9">
        <f>IF(ISNA(MATCH(15,Engine!$C$2:$C$1960,0)),"",INDEX('Compliance Database'!$M$2:$M$1960,MATCH(15,Engine!$C$2:$C$1960,0)))</f>
        <v/>
      </c>
      <c r="N28" s="9">
        <f>IF(ISNA(MATCH(15,Engine!$C$2:$C$1960,0)),"",INDEX('Compliance Database'!$N$2:$N$1960,MATCH(15,Engine!$C$2:$C$1960,0)))</f>
        <v/>
      </c>
      <c r="O28" s="9">
        <f>IF(ISNA(MATCH(15,Engine!$C$2:$C$1960,0)),"",INDEX('Compliance Database'!$O$2:$O$1960,MATCH(15,Engine!$C$2:$C$1960,0)))</f>
        <v/>
      </c>
      <c r="P28" s="8">
        <f>IF(ISNA(MATCH(15,Engine!$C$2:$C$1960,0)),"",HYPERLINK("#Acts!A"&amp;INDEX('Compliance Database'!$P$2:$P$1960,MATCH(15,Engine!$C$2:$C$1960,0)),"Go to Act"))</f>
        <v/>
      </c>
    </row>
    <row r="29" ht="158" customHeight="1">
      <c r="A29" s="8">
        <f>IF(ISNA(MATCH(16,Engine!$C$2:$C$1960,0)),"",INDEX('Compliance Database'!$A$2:$A$1960,MATCH(16,Engine!$C$2:$C$1960,0)))</f>
        <v/>
      </c>
      <c r="B29" s="8">
        <f>IF(ISNA(MATCH(16,Engine!$C$2:$C$1960,0)),"",INDEX('Compliance Database'!$B$2:$B$1960,MATCH(16,Engine!$C$2:$C$1960,0)))</f>
        <v/>
      </c>
      <c r="C29" s="8">
        <f>IF(ISNA(MATCH(16,Engine!$C$2:$C$1960,0)),"",INDEX('Compliance Database'!$C$2:$C$1960,MATCH(16,Engine!$C$2:$C$1960,0)))</f>
        <v/>
      </c>
      <c r="D29" s="9">
        <f>IF(ISNA(MATCH(16,Engine!$C$2:$C$1960,0)),"",INDEX('Compliance Database'!$D$2:$D$1960,MATCH(16,Engine!$C$2:$C$1960,0)))</f>
        <v/>
      </c>
      <c r="E29" s="8">
        <f>IF(ISNA(MATCH(16,Engine!$C$2:$C$1960,0)),"",INDEX('Compliance Database'!$E$2:$E$1960,MATCH(16,Engine!$C$2:$C$1960,0)))</f>
        <v/>
      </c>
      <c r="F29" s="8">
        <f>IF(ISNA(MATCH(16,Engine!$C$2:$C$1960,0)),"",INDEX('Compliance Database'!$F$2:$F$1960,MATCH(16,Engine!$C$2:$C$1960,0)))</f>
        <v/>
      </c>
      <c r="G29" s="8">
        <f>IF(ISNA(MATCH(16,Engine!$C$2:$C$1960,0)),"",INDEX('Compliance Database'!$G$2:$G$1960,MATCH(16,Engine!$C$2:$C$1960,0)))</f>
        <v/>
      </c>
      <c r="H29" s="9">
        <f>IF(ISNA(MATCH(16,Engine!$C$2:$C$1960,0)),"",INDEX('Compliance Database'!$H$2:$H$1960,MATCH(16,Engine!$C$2:$C$1960,0)))</f>
        <v/>
      </c>
      <c r="I29" s="9">
        <f>IF(ISNA(MATCH(16,Engine!$C$2:$C$1960,0)),"",INDEX('Compliance Database'!$I$2:$I$1960,MATCH(16,Engine!$C$2:$C$1960,0)))</f>
        <v/>
      </c>
      <c r="J29" s="8">
        <f>IF(ISNA(MATCH(16,Engine!$C$2:$C$1960,0)),"",INDEX('Compliance Database'!$J$2:$J$1960,MATCH(16,Engine!$C$2:$C$1960,0)))</f>
        <v/>
      </c>
      <c r="K29" s="9">
        <f>IF(ISNA(MATCH(16,Engine!$C$2:$C$1960,0)),"",INDEX('Compliance Database'!$K$2:$K$1960,MATCH(16,Engine!$C$2:$C$1960,0)))</f>
        <v/>
      </c>
      <c r="L29" s="9">
        <f>IF(ISNA(MATCH(16,Engine!$C$2:$C$1960,0)),"",INDEX('Compliance Database'!$L$2:$L$1960,MATCH(16,Engine!$C$2:$C$1960,0)))</f>
        <v/>
      </c>
      <c r="M29" s="9">
        <f>IF(ISNA(MATCH(16,Engine!$C$2:$C$1960,0)),"",INDEX('Compliance Database'!$M$2:$M$1960,MATCH(16,Engine!$C$2:$C$1960,0)))</f>
        <v/>
      </c>
      <c r="N29" s="9">
        <f>IF(ISNA(MATCH(16,Engine!$C$2:$C$1960,0)),"",INDEX('Compliance Database'!$N$2:$N$1960,MATCH(16,Engine!$C$2:$C$1960,0)))</f>
        <v/>
      </c>
      <c r="O29" s="9">
        <f>IF(ISNA(MATCH(16,Engine!$C$2:$C$1960,0)),"",INDEX('Compliance Database'!$O$2:$O$1960,MATCH(16,Engine!$C$2:$C$1960,0)))</f>
        <v/>
      </c>
      <c r="P29" s="8">
        <f>IF(ISNA(MATCH(16,Engine!$C$2:$C$1960,0)),"",HYPERLINK("#Acts!A"&amp;INDEX('Compliance Database'!$P$2:$P$1960,MATCH(16,Engine!$C$2:$C$1960,0)),"Go to Act"))</f>
        <v/>
      </c>
    </row>
    <row r="30" ht="158" customHeight="1">
      <c r="A30" s="8">
        <f>IF(ISNA(MATCH(17,Engine!$C$2:$C$1960,0)),"",INDEX('Compliance Database'!$A$2:$A$1960,MATCH(17,Engine!$C$2:$C$1960,0)))</f>
        <v/>
      </c>
      <c r="B30" s="8">
        <f>IF(ISNA(MATCH(17,Engine!$C$2:$C$1960,0)),"",INDEX('Compliance Database'!$B$2:$B$1960,MATCH(17,Engine!$C$2:$C$1960,0)))</f>
        <v/>
      </c>
      <c r="C30" s="8">
        <f>IF(ISNA(MATCH(17,Engine!$C$2:$C$1960,0)),"",INDEX('Compliance Database'!$C$2:$C$1960,MATCH(17,Engine!$C$2:$C$1960,0)))</f>
        <v/>
      </c>
      <c r="D30" s="9">
        <f>IF(ISNA(MATCH(17,Engine!$C$2:$C$1960,0)),"",INDEX('Compliance Database'!$D$2:$D$1960,MATCH(17,Engine!$C$2:$C$1960,0)))</f>
        <v/>
      </c>
      <c r="E30" s="8">
        <f>IF(ISNA(MATCH(17,Engine!$C$2:$C$1960,0)),"",INDEX('Compliance Database'!$E$2:$E$1960,MATCH(17,Engine!$C$2:$C$1960,0)))</f>
        <v/>
      </c>
      <c r="F30" s="8">
        <f>IF(ISNA(MATCH(17,Engine!$C$2:$C$1960,0)),"",INDEX('Compliance Database'!$F$2:$F$1960,MATCH(17,Engine!$C$2:$C$1960,0)))</f>
        <v/>
      </c>
      <c r="G30" s="8">
        <f>IF(ISNA(MATCH(17,Engine!$C$2:$C$1960,0)),"",INDEX('Compliance Database'!$G$2:$G$1960,MATCH(17,Engine!$C$2:$C$1960,0)))</f>
        <v/>
      </c>
      <c r="H30" s="9">
        <f>IF(ISNA(MATCH(17,Engine!$C$2:$C$1960,0)),"",INDEX('Compliance Database'!$H$2:$H$1960,MATCH(17,Engine!$C$2:$C$1960,0)))</f>
        <v/>
      </c>
      <c r="I30" s="9">
        <f>IF(ISNA(MATCH(17,Engine!$C$2:$C$1960,0)),"",INDEX('Compliance Database'!$I$2:$I$1960,MATCH(17,Engine!$C$2:$C$1960,0)))</f>
        <v/>
      </c>
      <c r="J30" s="8">
        <f>IF(ISNA(MATCH(17,Engine!$C$2:$C$1960,0)),"",INDEX('Compliance Database'!$J$2:$J$1960,MATCH(17,Engine!$C$2:$C$1960,0)))</f>
        <v/>
      </c>
      <c r="K30" s="9">
        <f>IF(ISNA(MATCH(17,Engine!$C$2:$C$1960,0)),"",INDEX('Compliance Database'!$K$2:$K$1960,MATCH(17,Engine!$C$2:$C$1960,0)))</f>
        <v/>
      </c>
      <c r="L30" s="9">
        <f>IF(ISNA(MATCH(17,Engine!$C$2:$C$1960,0)),"",INDEX('Compliance Database'!$L$2:$L$1960,MATCH(17,Engine!$C$2:$C$1960,0)))</f>
        <v/>
      </c>
      <c r="M30" s="9">
        <f>IF(ISNA(MATCH(17,Engine!$C$2:$C$1960,0)),"",INDEX('Compliance Database'!$M$2:$M$1960,MATCH(17,Engine!$C$2:$C$1960,0)))</f>
        <v/>
      </c>
      <c r="N30" s="9">
        <f>IF(ISNA(MATCH(17,Engine!$C$2:$C$1960,0)),"",INDEX('Compliance Database'!$N$2:$N$1960,MATCH(17,Engine!$C$2:$C$1960,0)))</f>
        <v/>
      </c>
      <c r="O30" s="9">
        <f>IF(ISNA(MATCH(17,Engine!$C$2:$C$1960,0)),"",INDEX('Compliance Database'!$O$2:$O$1960,MATCH(17,Engine!$C$2:$C$1960,0)))</f>
        <v/>
      </c>
      <c r="P30" s="8">
        <f>IF(ISNA(MATCH(17,Engine!$C$2:$C$1960,0)),"",HYPERLINK("#Acts!A"&amp;INDEX('Compliance Database'!$P$2:$P$1960,MATCH(17,Engine!$C$2:$C$1960,0)),"Go to Act"))</f>
        <v/>
      </c>
    </row>
    <row r="31" ht="158" customHeight="1">
      <c r="A31" s="8">
        <f>IF(ISNA(MATCH(18,Engine!$C$2:$C$1960,0)),"",INDEX('Compliance Database'!$A$2:$A$1960,MATCH(18,Engine!$C$2:$C$1960,0)))</f>
        <v/>
      </c>
      <c r="B31" s="8">
        <f>IF(ISNA(MATCH(18,Engine!$C$2:$C$1960,0)),"",INDEX('Compliance Database'!$B$2:$B$1960,MATCH(18,Engine!$C$2:$C$1960,0)))</f>
        <v/>
      </c>
      <c r="C31" s="8">
        <f>IF(ISNA(MATCH(18,Engine!$C$2:$C$1960,0)),"",INDEX('Compliance Database'!$C$2:$C$1960,MATCH(18,Engine!$C$2:$C$1960,0)))</f>
        <v/>
      </c>
      <c r="D31" s="9">
        <f>IF(ISNA(MATCH(18,Engine!$C$2:$C$1960,0)),"",INDEX('Compliance Database'!$D$2:$D$1960,MATCH(18,Engine!$C$2:$C$1960,0)))</f>
        <v/>
      </c>
      <c r="E31" s="8">
        <f>IF(ISNA(MATCH(18,Engine!$C$2:$C$1960,0)),"",INDEX('Compliance Database'!$E$2:$E$1960,MATCH(18,Engine!$C$2:$C$1960,0)))</f>
        <v/>
      </c>
      <c r="F31" s="8">
        <f>IF(ISNA(MATCH(18,Engine!$C$2:$C$1960,0)),"",INDEX('Compliance Database'!$F$2:$F$1960,MATCH(18,Engine!$C$2:$C$1960,0)))</f>
        <v/>
      </c>
      <c r="G31" s="8">
        <f>IF(ISNA(MATCH(18,Engine!$C$2:$C$1960,0)),"",INDEX('Compliance Database'!$G$2:$G$1960,MATCH(18,Engine!$C$2:$C$1960,0)))</f>
        <v/>
      </c>
      <c r="H31" s="9">
        <f>IF(ISNA(MATCH(18,Engine!$C$2:$C$1960,0)),"",INDEX('Compliance Database'!$H$2:$H$1960,MATCH(18,Engine!$C$2:$C$1960,0)))</f>
        <v/>
      </c>
      <c r="I31" s="9">
        <f>IF(ISNA(MATCH(18,Engine!$C$2:$C$1960,0)),"",INDEX('Compliance Database'!$I$2:$I$1960,MATCH(18,Engine!$C$2:$C$1960,0)))</f>
        <v/>
      </c>
      <c r="J31" s="8">
        <f>IF(ISNA(MATCH(18,Engine!$C$2:$C$1960,0)),"",INDEX('Compliance Database'!$J$2:$J$1960,MATCH(18,Engine!$C$2:$C$1960,0)))</f>
        <v/>
      </c>
      <c r="K31" s="9">
        <f>IF(ISNA(MATCH(18,Engine!$C$2:$C$1960,0)),"",INDEX('Compliance Database'!$K$2:$K$1960,MATCH(18,Engine!$C$2:$C$1960,0)))</f>
        <v/>
      </c>
      <c r="L31" s="9">
        <f>IF(ISNA(MATCH(18,Engine!$C$2:$C$1960,0)),"",INDEX('Compliance Database'!$L$2:$L$1960,MATCH(18,Engine!$C$2:$C$1960,0)))</f>
        <v/>
      </c>
      <c r="M31" s="9">
        <f>IF(ISNA(MATCH(18,Engine!$C$2:$C$1960,0)),"",INDEX('Compliance Database'!$M$2:$M$1960,MATCH(18,Engine!$C$2:$C$1960,0)))</f>
        <v/>
      </c>
      <c r="N31" s="9">
        <f>IF(ISNA(MATCH(18,Engine!$C$2:$C$1960,0)),"",INDEX('Compliance Database'!$N$2:$N$1960,MATCH(18,Engine!$C$2:$C$1960,0)))</f>
        <v/>
      </c>
      <c r="O31" s="9">
        <f>IF(ISNA(MATCH(18,Engine!$C$2:$C$1960,0)),"",INDEX('Compliance Database'!$O$2:$O$1960,MATCH(18,Engine!$C$2:$C$1960,0)))</f>
        <v/>
      </c>
      <c r="P31" s="8">
        <f>IF(ISNA(MATCH(18,Engine!$C$2:$C$1960,0)),"",HYPERLINK("#Acts!A"&amp;INDEX('Compliance Database'!$P$2:$P$1960,MATCH(18,Engine!$C$2:$C$1960,0)),"Go to Act"))</f>
        <v/>
      </c>
    </row>
    <row r="32" ht="158" customHeight="1">
      <c r="A32" s="8">
        <f>IF(ISNA(MATCH(19,Engine!$C$2:$C$1960,0)),"",INDEX('Compliance Database'!$A$2:$A$1960,MATCH(19,Engine!$C$2:$C$1960,0)))</f>
        <v/>
      </c>
      <c r="B32" s="8">
        <f>IF(ISNA(MATCH(19,Engine!$C$2:$C$1960,0)),"",INDEX('Compliance Database'!$B$2:$B$1960,MATCH(19,Engine!$C$2:$C$1960,0)))</f>
        <v/>
      </c>
      <c r="C32" s="8">
        <f>IF(ISNA(MATCH(19,Engine!$C$2:$C$1960,0)),"",INDEX('Compliance Database'!$C$2:$C$1960,MATCH(19,Engine!$C$2:$C$1960,0)))</f>
        <v/>
      </c>
      <c r="D32" s="9">
        <f>IF(ISNA(MATCH(19,Engine!$C$2:$C$1960,0)),"",INDEX('Compliance Database'!$D$2:$D$1960,MATCH(19,Engine!$C$2:$C$1960,0)))</f>
        <v/>
      </c>
      <c r="E32" s="8">
        <f>IF(ISNA(MATCH(19,Engine!$C$2:$C$1960,0)),"",INDEX('Compliance Database'!$E$2:$E$1960,MATCH(19,Engine!$C$2:$C$1960,0)))</f>
        <v/>
      </c>
      <c r="F32" s="8">
        <f>IF(ISNA(MATCH(19,Engine!$C$2:$C$1960,0)),"",INDEX('Compliance Database'!$F$2:$F$1960,MATCH(19,Engine!$C$2:$C$1960,0)))</f>
        <v/>
      </c>
      <c r="G32" s="8">
        <f>IF(ISNA(MATCH(19,Engine!$C$2:$C$1960,0)),"",INDEX('Compliance Database'!$G$2:$G$1960,MATCH(19,Engine!$C$2:$C$1960,0)))</f>
        <v/>
      </c>
      <c r="H32" s="9">
        <f>IF(ISNA(MATCH(19,Engine!$C$2:$C$1960,0)),"",INDEX('Compliance Database'!$H$2:$H$1960,MATCH(19,Engine!$C$2:$C$1960,0)))</f>
        <v/>
      </c>
      <c r="I32" s="9">
        <f>IF(ISNA(MATCH(19,Engine!$C$2:$C$1960,0)),"",INDEX('Compliance Database'!$I$2:$I$1960,MATCH(19,Engine!$C$2:$C$1960,0)))</f>
        <v/>
      </c>
      <c r="J32" s="8">
        <f>IF(ISNA(MATCH(19,Engine!$C$2:$C$1960,0)),"",INDEX('Compliance Database'!$J$2:$J$1960,MATCH(19,Engine!$C$2:$C$1960,0)))</f>
        <v/>
      </c>
      <c r="K32" s="9">
        <f>IF(ISNA(MATCH(19,Engine!$C$2:$C$1960,0)),"",INDEX('Compliance Database'!$K$2:$K$1960,MATCH(19,Engine!$C$2:$C$1960,0)))</f>
        <v/>
      </c>
      <c r="L32" s="9">
        <f>IF(ISNA(MATCH(19,Engine!$C$2:$C$1960,0)),"",INDEX('Compliance Database'!$L$2:$L$1960,MATCH(19,Engine!$C$2:$C$1960,0)))</f>
        <v/>
      </c>
      <c r="M32" s="9">
        <f>IF(ISNA(MATCH(19,Engine!$C$2:$C$1960,0)),"",INDEX('Compliance Database'!$M$2:$M$1960,MATCH(19,Engine!$C$2:$C$1960,0)))</f>
        <v/>
      </c>
      <c r="N32" s="9">
        <f>IF(ISNA(MATCH(19,Engine!$C$2:$C$1960,0)),"",INDEX('Compliance Database'!$N$2:$N$1960,MATCH(19,Engine!$C$2:$C$1960,0)))</f>
        <v/>
      </c>
      <c r="O32" s="9">
        <f>IF(ISNA(MATCH(19,Engine!$C$2:$C$1960,0)),"",INDEX('Compliance Database'!$O$2:$O$1960,MATCH(19,Engine!$C$2:$C$1960,0)))</f>
        <v/>
      </c>
      <c r="P32" s="8">
        <f>IF(ISNA(MATCH(19,Engine!$C$2:$C$1960,0)),"",HYPERLINK("#Acts!A"&amp;INDEX('Compliance Database'!$P$2:$P$1960,MATCH(19,Engine!$C$2:$C$1960,0)),"Go to Act"))</f>
        <v/>
      </c>
    </row>
    <row r="33" ht="158" customHeight="1">
      <c r="A33" s="8">
        <f>IF(ISNA(MATCH(20,Engine!$C$2:$C$1960,0)),"",INDEX('Compliance Database'!$A$2:$A$1960,MATCH(20,Engine!$C$2:$C$1960,0)))</f>
        <v/>
      </c>
      <c r="B33" s="8">
        <f>IF(ISNA(MATCH(20,Engine!$C$2:$C$1960,0)),"",INDEX('Compliance Database'!$B$2:$B$1960,MATCH(20,Engine!$C$2:$C$1960,0)))</f>
        <v/>
      </c>
      <c r="C33" s="8">
        <f>IF(ISNA(MATCH(20,Engine!$C$2:$C$1960,0)),"",INDEX('Compliance Database'!$C$2:$C$1960,MATCH(20,Engine!$C$2:$C$1960,0)))</f>
        <v/>
      </c>
      <c r="D33" s="9">
        <f>IF(ISNA(MATCH(20,Engine!$C$2:$C$1960,0)),"",INDEX('Compliance Database'!$D$2:$D$1960,MATCH(20,Engine!$C$2:$C$1960,0)))</f>
        <v/>
      </c>
      <c r="E33" s="8">
        <f>IF(ISNA(MATCH(20,Engine!$C$2:$C$1960,0)),"",INDEX('Compliance Database'!$E$2:$E$1960,MATCH(20,Engine!$C$2:$C$1960,0)))</f>
        <v/>
      </c>
      <c r="F33" s="8">
        <f>IF(ISNA(MATCH(20,Engine!$C$2:$C$1960,0)),"",INDEX('Compliance Database'!$F$2:$F$1960,MATCH(20,Engine!$C$2:$C$1960,0)))</f>
        <v/>
      </c>
      <c r="G33" s="8">
        <f>IF(ISNA(MATCH(20,Engine!$C$2:$C$1960,0)),"",INDEX('Compliance Database'!$G$2:$G$1960,MATCH(20,Engine!$C$2:$C$1960,0)))</f>
        <v/>
      </c>
      <c r="H33" s="9">
        <f>IF(ISNA(MATCH(20,Engine!$C$2:$C$1960,0)),"",INDEX('Compliance Database'!$H$2:$H$1960,MATCH(20,Engine!$C$2:$C$1960,0)))</f>
        <v/>
      </c>
      <c r="I33" s="9">
        <f>IF(ISNA(MATCH(20,Engine!$C$2:$C$1960,0)),"",INDEX('Compliance Database'!$I$2:$I$1960,MATCH(20,Engine!$C$2:$C$1960,0)))</f>
        <v/>
      </c>
      <c r="J33" s="8">
        <f>IF(ISNA(MATCH(20,Engine!$C$2:$C$1960,0)),"",INDEX('Compliance Database'!$J$2:$J$1960,MATCH(20,Engine!$C$2:$C$1960,0)))</f>
        <v/>
      </c>
      <c r="K33" s="9">
        <f>IF(ISNA(MATCH(20,Engine!$C$2:$C$1960,0)),"",INDEX('Compliance Database'!$K$2:$K$1960,MATCH(20,Engine!$C$2:$C$1960,0)))</f>
        <v/>
      </c>
      <c r="L33" s="9">
        <f>IF(ISNA(MATCH(20,Engine!$C$2:$C$1960,0)),"",INDEX('Compliance Database'!$L$2:$L$1960,MATCH(20,Engine!$C$2:$C$1960,0)))</f>
        <v/>
      </c>
      <c r="M33" s="9">
        <f>IF(ISNA(MATCH(20,Engine!$C$2:$C$1960,0)),"",INDEX('Compliance Database'!$M$2:$M$1960,MATCH(20,Engine!$C$2:$C$1960,0)))</f>
        <v/>
      </c>
      <c r="N33" s="9">
        <f>IF(ISNA(MATCH(20,Engine!$C$2:$C$1960,0)),"",INDEX('Compliance Database'!$N$2:$N$1960,MATCH(20,Engine!$C$2:$C$1960,0)))</f>
        <v/>
      </c>
      <c r="O33" s="9">
        <f>IF(ISNA(MATCH(20,Engine!$C$2:$C$1960,0)),"",INDEX('Compliance Database'!$O$2:$O$1960,MATCH(20,Engine!$C$2:$C$1960,0)))</f>
        <v/>
      </c>
      <c r="P33" s="8">
        <f>IF(ISNA(MATCH(20,Engine!$C$2:$C$1960,0)),"",HYPERLINK("#Acts!A"&amp;INDEX('Compliance Database'!$P$2:$P$1960,MATCH(20,Engine!$C$2:$C$1960,0)),"Go to Act"))</f>
        <v/>
      </c>
    </row>
    <row r="34" ht="158" customHeight="1">
      <c r="A34" s="8">
        <f>IF(ISNA(MATCH(21,Engine!$C$2:$C$1960,0)),"",INDEX('Compliance Database'!$A$2:$A$1960,MATCH(21,Engine!$C$2:$C$1960,0)))</f>
        <v/>
      </c>
      <c r="B34" s="8">
        <f>IF(ISNA(MATCH(21,Engine!$C$2:$C$1960,0)),"",INDEX('Compliance Database'!$B$2:$B$1960,MATCH(21,Engine!$C$2:$C$1960,0)))</f>
        <v/>
      </c>
      <c r="C34" s="8">
        <f>IF(ISNA(MATCH(21,Engine!$C$2:$C$1960,0)),"",INDEX('Compliance Database'!$C$2:$C$1960,MATCH(21,Engine!$C$2:$C$1960,0)))</f>
        <v/>
      </c>
      <c r="D34" s="9">
        <f>IF(ISNA(MATCH(21,Engine!$C$2:$C$1960,0)),"",INDEX('Compliance Database'!$D$2:$D$1960,MATCH(21,Engine!$C$2:$C$1960,0)))</f>
        <v/>
      </c>
      <c r="E34" s="8">
        <f>IF(ISNA(MATCH(21,Engine!$C$2:$C$1960,0)),"",INDEX('Compliance Database'!$E$2:$E$1960,MATCH(21,Engine!$C$2:$C$1960,0)))</f>
        <v/>
      </c>
      <c r="F34" s="8">
        <f>IF(ISNA(MATCH(21,Engine!$C$2:$C$1960,0)),"",INDEX('Compliance Database'!$F$2:$F$1960,MATCH(21,Engine!$C$2:$C$1960,0)))</f>
        <v/>
      </c>
      <c r="G34" s="8">
        <f>IF(ISNA(MATCH(21,Engine!$C$2:$C$1960,0)),"",INDEX('Compliance Database'!$G$2:$G$1960,MATCH(21,Engine!$C$2:$C$1960,0)))</f>
        <v/>
      </c>
      <c r="H34" s="9">
        <f>IF(ISNA(MATCH(21,Engine!$C$2:$C$1960,0)),"",INDEX('Compliance Database'!$H$2:$H$1960,MATCH(21,Engine!$C$2:$C$1960,0)))</f>
        <v/>
      </c>
      <c r="I34" s="9">
        <f>IF(ISNA(MATCH(21,Engine!$C$2:$C$1960,0)),"",INDEX('Compliance Database'!$I$2:$I$1960,MATCH(21,Engine!$C$2:$C$1960,0)))</f>
        <v/>
      </c>
      <c r="J34" s="8">
        <f>IF(ISNA(MATCH(21,Engine!$C$2:$C$1960,0)),"",INDEX('Compliance Database'!$J$2:$J$1960,MATCH(21,Engine!$C$2:$C$1960,0)))</f>
        <v/>
      </c>
      <c r="K34" s="9">
        <f>IF(ISNA(MATCH(21,Engine!$C$2:$C$1960,0)),"",INDEX('Compliance Database'!$K$2:$K$1960,MATCH(21,Engine!$C$2:$C$1960,0)))</f>
        <v/>
      </c>
      <c r="L34" s="9">
        <f>IF(ISNA(MATCH(21,Engine!$C$2:$C$1960,0)),"",INDEX('Compliance Database'!$L$2:$L$1960,MATCH(21,Engine!$C$2:$C$1960,0)))</f>
        <v/>
      </c>
      <c r="M34" s="9">
        <f>IF(ISNA(MATCH(21,Engine!$C$2:$C$1960,0)),"",INDEX('Compliance Database'!$M$2:$M$1960,MATCH(21,Engine!$C$2:$C$1960,0)))</f>
        <v/>
      </c>
      <c r="N34" s="9">
        <f>IF(ISNA(MATCH(21,Engine!$C$2:$C$1960,0)),"",INDEX('Compliance Database'!$N$2:$N$1960,MATCH(21,Engine!$C$2:$C$1960,0)))</f>
        <v/>
      </c>
      <c r="O34" s="9">
        <f>IF(ISNA(MATCH(21,Engine!$C$2:$C$1960,0)),"",INDEX('Compliance Database'!$O$2:$O$1960,MATCH(21,Engine!$C$2:$C$1960,0)))</f>
        <v/>
      </c>
      <c r="P34" s="8">
        <f>IF(ISNA(MATCH(21,Engine!$C$2:$C$1960,0)),"",HYPERLINK("#Acts!A"&amp;INDEX('Compliance Database'!$P$2:$P$1960,MATCH(21,Engine!$C$2:$C$1960,0)),"Go to Act"))</f>
        <v/>
      </c>
    </row>
    <row r="35" ht="158" customHeight="1">
      <c r="A35" s="8">
        <f>IF(ISNA(MATCH(22,Engine!$C$2:$C$1960,0)),"",INDEX('Compliance Database'!$A$2:$A$1960,MATCH(22,Engine!$C$2:$C$1960,0)))</f>
        <v/>
      </c>
      <c r="B35" s="8">
        <f>IF(ISNA(MATCH(22,Engine!$C$2:$C$1960,0)),"",INDEX('Compliance Database'!$B$2:$B$1960,MATCH(22,Engine!$C$2:$C$1960,0)))</f>
        <v/>
      </c>
      <c r="C35" s="8">
        <f>IF(ISNA(MATCH(22,Engine!$C$2:$C$1960,0)),"",INDEX('Compliance Database'!$C$2:$C$1960,MATCH(22,Engine!$C$2:$C$1960,0)))</f>
        <v/>
      </c>
      <c r="D35" s="9">
        <f>IF(ISNA(MATCH(22,Engine!$C$2:$C$1960,0)),"",INDEX('Compliance Database'!$D$2:$D$1960,MATCH(22,Engine!$C$2:$C$1960,0)))</f>
        <v/>
      </c>
      <c r="E35" s="8">
        <f>IF(ISNA(MATCH(22,Engine!$C$2:$C$1960,0)),"",INDEX('Compliance Database'!$E$2:$E$1960,MATCH(22,Engine!$C$2:$C$1960,0)))</f>
        <v/>
      </c>
      <c r="F35" s="8">
        <f>IF(ISNA(MATCH(22,Engine!$C$2:$C$1960,0)),"",INDEX('Compliance Database'!$F$2:$F$1960,MATCH(22,Engine!$C$2:$C$1960,0)))</f>
        <v/>
      </c>
      <c r="G35" s="8">
        <f>IF(ISNA(MATCH(22,Engine!$C$2:$C$1960,0)),"",INDEX('Compliance Database'!$G$2:$G$1960,MATCH(22,Engine!$C$2:$C$1960,0)))</f>
        <v/>
      </c>
      <c r="H35" s="9">
        <f>IF(ISNA(MATCH(22,Engine!$C$2:$C$1960,0)),"",INDEX('Compliance Database'!$H$2:$H$1960,MATCH(22,Engine!$C$2:$C$1960,0)))</f>
        <v/>
      </c>
      <c r="I35" s="9">
        <f>IF(ISNA(MATCH(22,Engine!$C$2:$C$1960,0)),"",INDEX('Compliance Database'!$I$2:$I$1960,MATCH(22,Engine!$C$2:$C$1960,0)))</f>
        <v/>
      </c>
      <c r="J35" s="8">
        <f>IF(ISNA(MATCH(22,Engine!$C$2:$C$1960,0)),"",INDEX('Compliance Database'!$J$2:$J$1960,MATCH(22,Engine!$C$2:$C$1960,0)))</f>
        <v/>
      </c>
      <c r="K35" s="9">
        <f>IF(ISNA(MATCH(22,Engine!$C$2:$C$1960,0)),"",INDEX('Compliance Database'!$K$2:$K$1960,MATCH(22,Engine!$C$2:$C$1960,0)))</f>
        <v/>
      </c>
      <c r="L35" s="9">
        <f>IF(ISNA(MATCH(22,Engine!$C$2:$C$1960,0)),"",INDEX('Compliance Database'!$L$2:$L$1960,MATCH(22,Engine!$C$2:$C$1960,0)))</f>
        <v/>
      </c>
      <c r="M35" s="9">
        <f>IF(ISNA(MATCH(22,Engine!$C$2:$C$1960,0)),"",INDEX('Compliance Database'!$M$2:$M$1960,MATCH(22,Engine!$C$2:$C$1960,0)))</f>
        <v/>
      </c>
      <c r="N35" s="9">
        <f>IF(ISNA(MATCH(22,Engine!$C$2:$C$1960,0)),"",INDEX('Compliance Database'!$N$2:$N$1960,MATCH(22,Engine!$C$2:$C$1960,0)))</f>
        <v/>
      </c>
      <c r="O35" s="9">
        <f>IF(ISNA(MATCH(22,Engine!$C$2:$C$1960,0)),"",INDEX('Compliance Database'!$O$2:$O$1960,MATCH(22,Engine!$C$2:$C$1960,0)))</f>
        <v/>
      </c>
      <c r="P35" s="8">
        <f>IF(ISNA(MATCH(22,Engine!$C$2:$C$1960,0)),"",HYPERLINK("#Acts!A"&amp;INDEX('Compliance Database'!$P$2:$P$1960,MATCH(22,Engine!$C$2:$C$1960,0)),"Go to Act"))</f>
        <v/>
      </c>
    </row>
    <row r="36" ht="158" customHeight="1">
      <c r="A36" s="8">
        <f>IF(ISNA(MATCH(23,Engine!$C$2:$C$1960,0)),"",INDEX('Compliance Database'!$A$2:$A$1960,MATCH(23,Engine!$C$2:$C$1960,0)))</f>
        <v/>
      </c>
      <c r="B36" s="8">
        <f>IF(ISNA(MATCH(23,Engine!$C$2:$C$1960,0)),"",INDEX('Compliance Database'!$B$2:$B$1960,MATCH(23,Engine!$C$2:$C$1960,0)))</f>
        <v/>
      </c>
      <c r="C36" s="8">
        <f>IF(ISNA(MATCH(23,Engine!$C$2:$C$1960,0)),"",INDEX('Compliance Database'!$C$2:$C$1960,MATCH(23,Engine!$C$2:$C$1960,0)))</f>
        <v/>
      </c>
      <c r="D36" s="9">
        <f>IF(ISNA(MATCH(23,Engine!$C$2:$C$1960,0)),"",INDEX('Compliance Database'!$D$2:$D$1960,MATCH(23,Engine!$C$2:$C$1960,0)))</f>
        <v/>
      </c>
      <c r="E36" s="8">
        <f>IF(ISNA(MATCH(23,Engine!$C$2:$C$1960,0)),"",INDEX('Compliance Database'!$E$2:$E$1960,MATCH(23,Engine!$C$2:$C$1960,0)))</f>
        <v/>
      </c>
      <c r="F36" s="8">
        <f>IF(ISNA(MATCH(23,Engine!$C$2:$C$1960,0)),"",INDEX('Compliance Database'!$F$2:$F$1960,MATCH(23,Engine!$C$2:$C$1960,0)))</f>
        <v/>
      </c>
      <c r="G36" s="8">
        <f>IF(ISNA(MATCH(23,Engine!$C$2:$C$1960,0)),"",INDEX('Compliance Database'!$G$2:$G$1960,MATCH(23,Engine!$C$2:$C$1960,0)))</f>
        <v/>
      </c>
      <c r="H36" s="9">
        <f>IF(ISNA(MATCH(23,Engine!$C$2:$C$1960,0)),"",INDEX('Compliance Database'!$H$2:$H$1960,MATCH(23,Engine!$C$2:$C$1960,0)))</f>
        <v/>
      </c>
      <c r="I36" s="9">
        <f>IF(ISNA(MATCH(23,Engine!$C$2:$C$1960,0)),"",INDEX('Compliance Database'!$I$2:$I$1960,MATCH(23,Engine!$C$2:$C$1960,0)))</f>
        <v/>
      </c>
      <c r="J36" s="8">
        <f>IF(ISNA(MATCH(23,Engine!$C$2:$C$1960,0)),"",INDEX('Compliance Database'!$J$2:$J$1960,MATCH(23,Engine!$C$2:$C$1960,0)))</f>
        <v/>
      </c>
      <c r="K36" s="9">
        <f>IF(ISNA(MATCH(23,Engine!$C$2:$C$1960,0)),"",INDEX('Compliance Database'!$K$2:$K$1960,MATCH(23,Engine!$C$2:$C$1960,0)))</f>
        <v/>
      </c>
      <c r="L36" s="9">
        <f>IF(ISNA(MATCH(23,Engine!$C$2:$C$1960,0)),"",INDEX('Compliance Database'!$L$2:$L$1960,MATCH(23,Engine!$C$2:$C$1960,0)))</f>
        <v/>
      </c>
      <c r="M36" s="9">
        <f>IF(ISNA(MATCH(23,Engine!$C$2:$C$1960,0)),"",INDEX('Compliance Database'!$M$2:$M$1960,MATCH(23,Engine!$C$2:$C$1960,0)))</f>
        <v/>
      </c>
      <c r="N36" s="9">
        <f>IF(ISNA(MATCH(23,Engine!$C$2:$C$1960,0)),"",INDEX('Compliance Database'!$N$2:$N$1960,MATCH(23,Engine!$C$2:$C$1960,0)))</f>
        <v/>
      </c>
      <c r="O36" s="9">
        <f>IF(ISNA(MATCH(23,Engine!$C$2:$C$1960,0)),"",INDEX('Compliance Database'!$O$2:$O$1960,MATCH(23,Engine!$C$2:$C$1960,0)))</f>
        <v/>
      </c>
      <c r="P36" s="8">
        <f>IF(ISNA(MATCH(23,Engine!$C$2:$C$1960,0)),"",HYPERLINK("#Acts!A"&amp;INDEX('Compliance Database'!$P$2:$P$1960,MATCH(23,Engine!$C$2:$C$1960,0)),"Go to Act"))</f>
        <v/>
      </c>
    </row>
    <row r="37" ht="158" customHeight="1">
      <c r="A37" s="8">
        <f>IF(ISNA(MATCH(24,Engine!$C$2:$C$1960,0)),"",INDEX('Compliance Database'!$A$2:$A$1960,MATCH(24,Engine!$C$2:$C$1960,0)))</f>
        <v/>
      </c>
      <c r="B37" s="8">
        <f>IF(ISNA(MATCH(24,Engine!$C$2:$C$1960,0)),"",INDEX('Compliance Database'!$B$2:$B$1960,MATCH(24,Engine!$C$2:$C$1960,0)))</f>
        <v/>
      </c>
      <c r="C37" s="8">
        <f>IF(ISNA(MATCH(24,Engine!$C$2:$C$1960,0)),"",INDEX('Compliance Database'!$C$2:$C$1960,MATCH(24,Engine!$C$2:$C$1960,0)))</f>
        <v/>
      </c>
      <c r="D37" s="9">
        <f>IF(ISNA(MATCH(24,Engine!$C$2:$C$1960,0)),"",INDEX('Compliance Database'!$D$2:$D$1960,MATCH(24,Engine!$C$2:$C$1960,0)))</f>
        <v/>
      </c>
      <c r="E37" s="8">
        <f>IF(ISNA(MATCH(24,Engine!$C$2:$C$1960,0)),"",INDEX('Compliance Database'!$E$2:$E$1960,MATCH(24,Engine!$C$2:$C$1960,0)))</f>
        <v/>
      </c>
      <c r="F37" s="8">
        <f>IF(ISNA(MATCH(24,Engine!$C$2:$C$1960,0)),"",INDEX('Compliance Database'!$F$2:$F$1960,MATCH(24,Engine!$C$2:$C$1960,0)))</f>
        <v/>
      </c>
      <c r="G37" s="8">
        <f>IF(ISNA(MATCH(24,Engine!$C$2:$C$1960,0)),"",INDEX('Compliance Database'!$G$2:$G$1960,MATCH(24,Engine!$C$2:$C$1960,0)))</f>
        <v/>
      </c>
      <c r="H37" s="9">
        <f>IF(ISNA(MATCH(24,Engine!$C$2:$C$1960,0)),"",INDEX('Compliance Database'!$H$2:$H$1960,MATCH(24,Engine!$C$2:$C$1960,0)))</f>
        <v/>
      </c>
      <c r="I37" s="9">
        <f>IF(ISNA(MATCH(24,Engine!$C$2:$C$1960,0)),"",INDEX('Compliance Database'!$I$2:$I$1960,MATCH(24,Engine!$C$2:$C$1960,0)))</f>
        <v/>
      </c>
      <c r="J37" s="8">
        <f>IF(ISNA(MATCH(24,Engine!$C$2:$C$1960,0)),"",INDEX('Compliance Database'!$J$2:$J$1960,MATCH(24,Engine!$C$2:$C$1960,0)))</f>
        <v/>
      </c>
      <c r="K37" s="9">
        <f>IF(ISNA(MATCH(24,Engine!$C$2:$C$1960,0)),"",INDEX('Compliance Database'!$K$2:$K$1960,MATCH(24,Engine!$C$2:$C$1960,0)))</f>
        <v/>
      </c>
      <c r="L37" s="9">
        <f>IF(ISNA(MATCH(24,Engine!$C$2:$C$1960,0)),"",INDEX('Compliance Database'!$L$2:$L$1960,MATCH(24,Engine!$C$2:$C$1960,0)))</f>
        <v/>
      </c>
      <c r="M37" s="9">
        <f>IF(ISNA(MATCH(24,Engine!$C$2:$C$1960,0)),"",INDEX('Compliance Database'!$M$2:$M$1960,MATCH(24,Engine!$C$2:$C$1960,0)))</f>
        <v/>
      </c>
      <c r="N37" s="9">
        <f>IF(ISNA(MATCH(24,Engine!$C$2:$C$1960,0)),"",INDEX('Compliance Database'!$N$2:$N$1960,MATCH(24,Engine!$C$2:$C$1960,0)))</f>
        <v/>
      </c>
      <c r="O37" s="9">
        <f>IF(ISNA(MATCH(24,Engine!$C$2:$C$1960,0)),"",INDEX('Compliance Database'!$O$2:$O$1960,MATCH(24,Engine!$C$2:$C$1960,0)))</f>
        <v/>
      </c>
      <c r="P37" s="8">
        <f>IF(ISNA(MATCH(24,Engine!$C$2:$C$1960,0)),"",HYPERLINK("#Acts!A"&amp;INDEX('Compliance Database'!$P$2:$P$1960,MATCH(24,Engine!$C$2:$C$1960,0)),"Go to Act"))</f>
        <v/>
      </c>
    </row>
    <row r="38" ht="158" customHeight="1">
      <c r="A38" s="8">
        <f>IF(ISNA(MATCH(25,Engine!$C$2:$C$1960,0)),"",INDEX('Compliance Database'!$A$2:$A$1960,MATCH(25,Engine!$C$2:$C$1960,0)))</f>
        <v/>
      </c>
      <c r="B38" s="8">
        <f>IF(ISNA(MATCH(25,Engine!$C$2:$C$1960,0)),"",INDEX('Compliance Database'!$B$2:$B$1960,MATCH(25,Engine!$C$2:$C$1960,0)))</f>
        <v/>
      </c>
      <c r="C38" s="8">
        <f>IF(ISNA(MATCH(25,Engine!$C$2:$C$1960,0)),"",INDEX('Compliance Database'!$C$2:$C$1960,MATCH(25,Engine!$C$2:$C$1960,0)))</f>
        <v/>
      </c>
      <c r="D38" s="9">
        <f>IF(ISNA(MATCH(25,Engine!$C$2:$C$1960,0)),"",INDEX('Compliance Database'!$D$2:$D$1960,MATCH(25,Engine!$C$2:$C$1960,0)))</f>
        <v/>
      </c>
      <c r="E38" s="8">
        <f>IF(ISNA(MATCH(25,Engine!$C$2:$C$1960,0)),"",INDEX('Compliance Database'!$E$2:$E$1960,MATCH(25,Engine!$C$2:$C$1960,0)))</f>
        <v/>
      </c>
      <c r="F38" s="8">
        <f>IF(ISNA(MATCH(25,Engine!$C$2:$C$1960,0)),"",INDEX('Compliance Database'!$F$2:$F$1960,MATCH(25,Engine!$C$2:$C$1960,0)))</f>
        <v/>
      </c>
      <c r="G38" s="8">
        <f>IF(ISNA(MATCH(25,Engine!$C$2:$C$1960,0)),"",INDEX('Compliance Database'!$G$2:$G$1960,MATCH(25,Engine!$C$2:$C$1960,0)))</f>
        <v/>
      </c>
      <c r="H38" s="9">
        <f>IF(ISNA(MATCH(25,Engine!$C$2:$C$1960,0)),"",INDEX('Compliance Database'!$H$2:$H$1960,MATCH(25,Engine!$C$2:$C$1960,0)))</f>
        <v/>
      </c>
      <c r="I38" s="9">
        <f>IF(ISNA(MATCH(25,Engine!$C$2:$C$1960,0)),"",INDEX('Compliance Database'!$I$2:$I$1960,MATCH(25,Engine!$C$2:$C$1960,0)))</f>
        <v/>
      </c>
      <c r="J38" s="8">
        <f>IF(ISNA(MATCH(25,Engine!$C$2:$C$1960,0)),"",INDEX('Compliance Database'!$J$2:$J$1960,MATCH(25,Engine!$C$2:$C$1960,0)))</f>
        <v/>
      </c>
      <c r="K38" s="9">
        <f>IF(ISNA(MATCH(25,Engine!$C$2:$C$1960,0)),"",INDEX('Compliance Database'!$K$2:$K$1960,MATCH(25,Engine!$C$2:$C$1960,0)))</f>
        <v/>
      </c>
      <c r="L38" s="9">
        <f>IF(ISNA(MATCH(25,Engine!$C$2:$C$1960,0)),"",INDEX('Compliance Database'!$L$2:$L$1960,MATCH(25,Engine!$C$2:$C$1960,0)))</f>
        <v/>
      </c>
      <c r="M38" s="9">
        <f>IF(ISNA(MATCH(25,Engine!$C$2:$C$1960,0)),"",INDEX('Compliance Database'!$M$2:$M$1960,MATCH(25,Engine!$C$2:$C$1960,0)))</f>
        <v/>
      </c>
      <c r="N38" s="9">
        <f>IF(ISNA(MATCH(25,Engine!$C$2:$C$1960,0)),"",INDEX('Compliance Database'!$N$2:$N$1960,MATCH(25,Engine!$C$2:$C$1960,0)))</f>
        <v/>
      </c>
      <c r="O38" s="9">
        <f>IF(ISNA(MATCH(25,Engine!$C$2:$C$1960,0)),"",INDEX('Compliance Database'!$O$2:$O$1960,MATCH(25,Engine!$C$2:$C$1960,0)))</f>
        <v/>
      </c>
      <c r="P38" s="8">
        <f>IF(ISNA(MATCH(25,Engine!$C$2:$C$1960,0)),"",HYPERLINK("#Acts!A"&amp;INDEX('Compliance Database'!$P$2:$P$1960,MATCH(25,Engine!$C$2:$C$1960,0)),"Go to Act"))</f>
        <v/>
      </c>
    </row>
    <row r="39" ht="158" customHeight="1">
      <c r="A39" s="8">
        <f>IF(ISNA(MATCH(26,Engine!$C$2:$C$1960,0)),"",INDEX('Compliance Database'!$A$2:$A$1960,MATCH(26,Engine!$C$2:$C$1960,0)))</f>
        <v/>
      </c>
      <c r="B39" s="8">
        <f>IF(ISNA(MATCH(26,Engine!$C$2:$C$1960,0)),"",INDEX('Compliance Database'!$B$2:$B$1960,MATCH(26,Engine!$C$2:$C$1960,0)))</f>
        <v/>
      </c>
      <c r="C39" s="8">
        <f>IF(ISNA(MATCH(26,Engine!$C$2:$C$1960,0)),"",INDEX('Compliance Database'!$C$2:$C$1960,MATCH(26,Engine!$C$2:$C$1960,0)))</f>
        <v/>
      </c>
      <c r="D39" s="9">
        <f>IF(ISNA(MATCH(26,Engine!$C$2:$C$1960,0)),"",INDEX('Compliance Database'!$D$2:$D$1960,MATCH(26,Engine!$C$2:$C$1960,0)))</f>
        <v/>
      </c>
      <c r="E39" s="8">
        <f>IF(ISNA(MATCH(26,Engine!$C$2:$C$1960,0)),"",INDEX('Compliance Database'!$E$2:$E$1960,MATCH(26,Engine!$C$2:$C$1960,0)))</f>
        <v/>
      </c>
      <c r="F39" s="8">
        <f>IF(ISNA(MATCH(26,Engine!$C$2:$C$1960,0)),"",INDEX('Compliance Database'!$F$2:$F$1960,MATCH(26,Engine!$C$2:$C$1960,0)))</f>
        <v/>
      </c>
      <c r="G39" s="8">
        <f>IF(ISNA(MATCH(26,Engine!$C$2:$C$1960,0)),"",INDEX('Compliance Database'!$G$2:$G$1960,MATCH(26,Engine!$C$2:$C$1960,0)))</f>
        <v/>
      </c>
      <c r="H39" s="9">
        <f>IF(ISNA(MATCH(26,Engine!$C$2:$C$1960,0)),"",INDEX('Compliance Database'!$H$2:$H$1960,MATCH(26,Engine!$C$2:$C$1960,0)))</f>
        <v/>
      </c>
      <c r="I39" s="9">
        <f>IF(ISNA(MATCH(26,Engine!$C$2:$C$1960,0)),"",INDEX('Compliance Database'!$I$2:$I$1960,MATCH(26,Engine!$C$2:$C$1960,0)))</f>
        <v/>
      </c>
      <c r="J39" s="8">
        <f>IF(ISNA(MATCH(26,Engine!$C$2:$C$1960,0)),"",INDEX('Compliance Database'!$J$2:$J$1960,MATCH(26,Engine!$C$2:$C$1960,0)))</f>
        <v/>
      </c>
      <c r="K39" s="9">
        <f>IF(ISNA(MATCH(26,Engine!$C$2:$C$1960,0)),"",INDEX('Compliance Database'!$K$2:$K$1960,MATCH(26,Engine!$C$2:$C$1960,0)))</f>
        <v/>
      </c>
      <c r="L39" s="9">
        <f>IF(ISNA(MATCH(26,Engine!$C$2:$C$1960,0)),"",INDEX('Compliance Database'!$L$2:$L$1960,MATCH(26,Engine!$C$2:$C$1960,0)))</f>
        <v/>
      </c>
      <c r="M39" s="9">
        <f>IF(ISNA(MATCH(26,Engine!$C$2:$C$1960,0)),"",INDEX('Compliance Database'!$M$2:$M$1960,MATCH(26,Engine!$C$2:$C$1960,0)))</f>
        <v/>
      </c>
      <c r="N39" s="9">
        <f>IF(ISNA(MATCH(26,Engine!$C$2:$C$1960,0)),"",INDEX('Compliance Database'!$N$2:$N$1960,MATCH(26,Engine!$C$2:$C$1960,0)))</f>
        <v/>
      </c>
      <c r="O39" s="9">
        <f>IF(ISNA(MATCH(26,Engine!$C$2:$C$1960,0)),"",INDEX('Compliance Database'!$O$2:$O$1960,MATCH(26,Engine!$C$2:$C$1960,0)))</f>
        <v/>
      </c>
      <c r="P39" s="8">
        <f>IF(ISNA(MATCH(26,Engine!$C$2:$C$1960,0)),"",HYPERLINK("#Acts!A"&amp;INDEX('Compliance Database'!$P$2:$P$1960,MATCH(26,Engine!$C$2:$C$1960,0)),"Go to Act"))</f>
        <v/>
      </c>
    </row>
    <row r="40" ht="158" customHeight="1">
      <c r="A40" s="8">
        <f>IF(ISNA(MATCH(27,Engine!$C$2:$C$1960,0)),"",INDEX('Compliance Database'!$A$2:$A$1960,MATCH(27,Engine!$C$2:$C$1960,0)))</f>
        <v/>
      </c>
      <c r="B40" s="8">
        <f>IF(ISNA(MATCH(27,Engine!$C$2:$C$1960,0)),"",INDEX('Compliance Database'!$B$2:$B$1960,MATCH(27,Engine!$C$2:$C$1960,0)))</f>
        <v/>
      </c>
      <c r="C40" s="8">
        <f>IF(ISNA(MATCH(27,Engine!$C$2:$C$1960,0)),"",INDEX('Compliance Database'!$C$2:$C$1960,MATCH(27,Engine!$C$2:$C$1960,0)))</f>
        <v/>
      </c>
      <c r="D40" s="9">
        <f>IF(ISNA(MATCH(27,Engine!$C$2:$C$1960,0)),"",INDEX('Compliance Database'!$D$2:$D$1960,MATCH(27,Engine!$C$2:$C$1960,0)))</f>
        <v/>
      </c>
      <c r="E40" s="8">
        <f>IF(ISNA(MATCH(27,Engine!$C$2:$C$1960,0)),"",INDEX('Compliance Database'!$E$2:$E$1960,MATCH(27,Engine!$C$2:$C$1960,0)))</f>
        <v/>
      </c>
      <c r="F40" s="8">
        <f>IF(ISNA(MATCH(27,Engine!$C$2:$C$1960,0)),"",INDEX('Compliance Database'!$F$2:$F$1960,MATCH(27,Engine!$C$2:$C$1960,0)))</f>
        <v/>
      </c>
      <c r="G40" s="8">
        <f>IF(ISNA(MATCH(27,Engine!$C$2:$C$1960,0)),"",INDEX('Compliance Database'!$G$2:$G$1960,MATCH(27,Engine!$C$2:$C$1960,0)))</f>
        <v/>
      </c>
      <c r="H40" s="9">
        <f>IF(ISNA(MATCH(27,Engine!$C$2:$C$1960,0)),"",INDEX('Compliance Database'!$H$2:$H$1960,MATCH(27,Engine!$C$2:$C$1960,0)))</f>
        <v/>
      </c>
      <c r="I40" s="9">
        <f>IF(ISNA(MATCH(27,Engine!$C$2:$C$1960,0)),"",INDEX('Compliance Database'!$I$2:$I$1960,MATCH(27,Engine!$C$2:$C$1960,0)))</f>
        <v/>
      </c>
      <c r="J40" s="8">
        <f>IF(ISNA(MATCH(27,Engine!$C$2:$C$1960,0)),"",INDEX('Compliance Database'!$J$2:$J$1960,MATCH(27,Engine!$C$2:$C$1960,0)))</f>
        <v/>
      </c>
      <c r="K40" s="9">
        <f>IF(ISNA(MATCH(27,Engine!$C$2:$C$1960,0)),"",INDEX('Compliance Database'!$K$2:$K$1960,MATCH(27,Engine!$C$2:$C$1960,0)))</f>
        <v/>
      </c>
      <c r="L40" s="9">
        <f>IF(ISNA(MATCH(27,Engine!$C$2:$C$1960,0)),"",INDEX('Compliance Database'!$L$2:$L$1960,MATCH(27,Engine!$C$2:$C$1960,0)))</f>
        <v/>
      </c>
      <c r="M40" s="9">
        <f>IF(ISNA(MATCH(27,Engine!$C$2:$C$1960,0)),"",INDEX('Compliance Database'!$M$2:$M$1960,MATCH(27,Engine!$C$2:$C$1960,0)))</f>
        <v/>
      </c>
      <c r="N40" s="9">
        <f>IF(ISNA(MATCH(27,Engine!$C$2:$C$1960,0)),"",INDEX('Compliance Database'!$N$2:$N$1960,MATCH(27,Engine!$C$2:$C$1960,0)))</f>
        <v/>
      </c>
      <c r="O40" s="9">
        <f>IF(ISNA(MATCH(27,Engine!$C$2:$C$1960,0)),"",INDEX('Compliance Database'!$O$2:$O$1960,MATCH(27,Engine!$C$2:$C$1960,0)))</f>
        <v/>
      </c>
      <c r="P40" s="8">
        <f>IF(ISNA(MATCH(27,Engine!$C$2:$C$1960,0)),"",HYPERLINK("#Acts!A"&amp;INDEX('Compliance Database'!$P$2:$P$1960,MATCH(27,Engine!$C$2:$C$1960,0)),"Go to Act"))</f>
        <v/>
      </c>
    </row>
    <row r="41" ht="158" customHeight="1">
      <c r="A41" s="8">
        <f>IF(ISNA(MATCH(28,Engine!$C$2:$C$1960,0)),"",INDEX('Compliance Database'!$A$2:$A$1960,MATCH(28,Engine!$C$2:$C$1960,0)))</f>
        <v/>
      </c>
      <c r="B41" s="8">
        <f>IF(ISNA(MATCH(28,Engine!$C$2:$C$1960,0)),"",INDEX('Compliance Database'!$B$2:$B$1960,MATCH(28,Engine!$C$2:$C$1960,0)))</f>
        <v/>
      </c>
      <c r="C41" s="8">
        <f>IF(ISNA(MATCH(28,Engine!$C$2:$C$1960,0)),"",INDEX('Compliance Database'!$C$2:$C$1960,MATCH(28,Engine!$C$2:$C$1960,0)))</f>
        <v/>
      </c>
      <c r="D41" s="9">
        <f>IF(ISNA(MATCH(28,Engine!$C$2:$C$1960,0)),"",INDEX('Compliance Database'!$D$2:$D$1960,MATCH(28,Engine!$C$2:$C$1960,0)))</f>
        <v/>
      </c>
      <c r="E41" s="8">
        <f>IF(ISNA(MATCH(28,Engine!$C$2:$C$1960,0)),"",INDEX('Compliance Database'!$E$2:$E$1960,MATCH(28,Engine!$C$2:$C$1960,0)))</f>
        <v/>
      </c>
      <c r="F41" s="8">
        <f>IF(ISNA(MATCH(28,Engine!$C$2:$C$1960,0)),"",INDEX('Compliance Database'!$F$2:$F$1960,MATCH(28,Engine!$C$2:$C$1960,0)))</f>
        <v/>
      </c>
      <c r="G41" s="8">
        <f>IF(ISNA(MATCH(28,Engine!$C$2:$C$1960,0)),"",INDEX('Compliance Database'!$G$2:$G$1960,MATCH(28,Engine!$C$2:$C$1960,0)))</f>
        <v/>
      </c>
      <c r="H41" s="9">
        <f>IF(ISNA(MATCH(28,Engine!$C$2:$C$1960,0)),"",INDEX('Compliance Database'!$H$2:$H$1960,MATCH(28,Engine!$C$2:$C$1960,0)))</f>
        <v/>
      </c>
      <c r="I41" s="9">
        <f>IF(ISNA(MATCH(28,Engine!$C$2:$C$1960,0)),"",INDEX('Compliance Database'!$I$2:$I$1960,MATCH(28,Engine!$C$2:$C$1960,0)))</f>
        <v/>
      </c>
      <c r="J41" s="8">
        <f>IF(ISNA(MATCH(28,Engine!$C$2:$C$1960,0)),"",INDEX('Compliance Database'!$J$2:$J$1960,MATCH(28,Engine!$C$2:$C$1960,0)))</f>
        <v/>
      </c>
      <c r="K41" s="9">
        <f>IF(ISNA(MATCH(28,Engine!$C$2:$C$1960,0)),"",INDEX('Compliance Database'!$K$2:$K$1960,MATCH(28,Engine!$C$2:$C$1960,0)))</f>
        <v/>
      </c>
      <c r="L41" s="9">
        <f>IF(ISNA(MATCH(28,Engine!$C$2:$C$1960,0)),"",INDEX('Compliance Database'!$L$2:$L$1960,MATCH(28,Engine!$C$2:$C$1960,0)))</f>
        <v/>
      </c>
      <c r="M41" s="9">
        <f>IF(ISNA(MATCH(28,Engine!$C$2:$C$1960,0)),"",INDEX('Compliance Database'!$M$2:$M$1960,MATCH(28,Engine!$C$2:$C$1960,0)))</f>
        <v/>
      </c>
      <c r="N41" s="9">
        <f>IF(ISNA(MATCH(28,Engine!$C$2:$C$1960,0)),"",INDEX('Compliance Database'!$N$2:$N$1960,MATCH(28,Engine!$C$2:$C$1960,0)))</f>
        <v/>
      </c>
      <c r="O41" s="9">
        <f>IF(ISNA(MATCH(28,Engine!$C$2:$C$1960,0)),"",INDEX('Compliance Database'!$O$2:$O$1960,MATCH(28,Engine!$C$2:$C$1960,0)))</f>
        <v/>
      </c>
      <c r="P41" s="8">
        <f>IF(ISNA(MATCH(28,Engine!$C$2:$C$1960,0)),"",HYPERLINK("#Acts!A"&amp;INDEX('Compliance Database'!$P$2:$P$1960,MATCH(28,Engine!$C$2:$C$1960,0)),"Go to Act"))</f>
        <v/>
      </c>
    </row>
    <row r="42" ht="158" customHeight="1">
      <c r="A42" s="8">
        <f>IF(ISNA(MATCH(29,Engine!$C$2:$C$1960,0)),"",INDEX('Compliance Database'!$A$2:$A$1960,MATCH(29,Engine!$C$2:$C$1960,0)))</f>
        <v/>
      </c>
      <c r="B42" s="8">
        <f>IF(ISNA(MATCH(29,Engine!$C$2:$C$1960,0)),"",INDEX('Compliance Database'!$B$2:$B$1960,MATCH(29,Engine!$C$2:$C$1960,0)))</f>
        <v/>
      </c>
      <c r="C42" s="8">
        <f>IF(ISNA(MATCH(29,Engine!$C$2:$C$1960,0)),"",INDEX('Compliance Database'!$C$2:$C$1960,MATCH(29,Engine!$C$2:$C$1960,0)))</f>
        <v/>
      </c>
      <c r="D42" s="9">
        <f>IF(ISNA(MATCH(29,Engine!$C$2:$C$1960,0)),"",INDEX('Compliance Database'!$D$2:$D$1960,MATCH(29,Engine!$C$2:$C$1960,0)))</f>
        <v/>
      </c>
      <c r="E42" s="8">
        <f>IF(ISNA(MATCH(29,Engine!$C$2:$C$1960,0)),"",INDEX('Compliance Database'!$E$2:$E$1960,MATCH(29,Engine!$C$2:$C$1960,0)))</f>
        <v/>
      </c>
      <c r="F42" s="8">
        <f>IF(ISNA(MATCH(29,Engine!$C$2:$C$1960,0)),"",INDEX('Compliance Database'!$F$2:$F$1960,MATCH(29,Engine!$C$2:$C$1960,0)))</f>
        <v/>
      </c>
      <c r="G42" s="8">
        <f>IF(ISNA(MATCH(29,Engine!$C$2:$C$1960,0)),"",INDEX('Compliance Database'!$G$2:$G$1960,MATCH(29,Engine!$C$2:$C$1960,0)))</f>
        <v/>
      </c>
      <c r="H42" s="9">
        <f>IF(ISNA(MATCH(29,Engine!$C$2:$C$1960,0)),"",INDEX('Compliance Database'!$H$2:$H$1960,MATCH(29,Engine!$C$2:$C$1960,0)))</f>
        <v/>
      </c>
      <c r="I42" s="9">
        <f>IF(ISNA(MATCH(29,Engine!$C$2:$C$1960,0)),"",INDEX('Compliance Database'!$I$2:$I$1960,MATCH(29,Engine!$C$2:$C$1960,0)))</f>
        <v/>
      </c>
      <c r="J42" s="8">
        <f>IF(ISNA(MATCH(29,Engine!$C$2:$C$1960,0)),"",INDEX('Compliance Database'!$J$2:$J$1960,MATCH(29,Engine!$C$2:$C$1960,0)))</f>
        <v/>
      </c>
      <c r="K42" s="9">
        <f>IF(ISNA(MATCH(29,Engine!$C$2:$C$1960,0)),"",INDEX('Compliance Database'!$K$2:$K$1960,MATCH(29,Engine!$C$2:$C$1960,0)))</f>
        <v/>
      </c>
      <c r="L42" s="9">
        <f>IF(ISNA(MATCH(29,Engine!$C$2:$C$1960,0)),"",INDEX('Compliance Database'!$L$2:$L$1960,MATCH(29,Engine!$C$2:$C$1960,0)))</f>
        <v/>
      </c>
      <c r="M42" s="9">
        <f>IF(ISNA(MATCH(29,Engine!$C$2:$C$1960,0)),"",INDEX('Compliance Database'!$M$2:$M$1960,MATCH(29,Engine!$C$2:$C$1960,0)))</f>
        <v/>
      </c>
      <c r="N42" s="9">
        <f>IF(ISNA(MATCH(29,Engine!$C$2:$C$1960,0)),"",INDEX('Compliance Database'!$N$2:$N$1960,MATCH(29,Engine!$C$2:$C$1960,0)))</f>
        <v/>
      </c>
      <c r="O42" s="9">
        <f>IF(ISNA(MATCH(29,Engine!$C$2:$C$1960,0)),"",INDEX('Compliance Database'!$O$2:$O$1960,MATCH(29,Engine!$C$2:$C$1960,0)))</f>
        <v/>
      </c>
      <c r="P42" s="8">
        <f>IF(ISNA(MATCH(29,Engine!$C$2:$C$1960,0)),"",HYPERLINK("#Acts!A"&amp;INDEX('Compliance Database'!$P$2:$P$1960,MATCH(29,Engine!$C$2:$C$1960,0)),"Go to Act"))</f>
        <v/>
      </c>
    </row>
    <row r="43" ht="158" customHeight="1">
      <c r="A43" s="8">
        <f>IF(ISNA(MATCH(30,Engine!$C$2:$C$1960,0)),"",INDEX('Compliance Database'!$A$2:$A$1960,MATCH(30,Engine!$C$2:$C$1960,0)))</f>
        <v/>
      </c>
      <c r="B43" s="8">
        <f>IF(ISNA(MATCH(30,Engine!$C$2:$C$1960,0)),"",INDEX('Compliance Database'!$B$2:$B$1960,MATCH(30,Engine!$C$2:$C$1960,0)))</f>
        <v/>
      </c>
      <c r="C43" s="8">
        <f>IF(ISNA(MATCH(30,Engine!$C$2:$C$1960,0)),"",INDEX('Compliance Database'!$C$2:$C$1960,MATCH(30,Engine!$C$2:$C$1960,0)))</f>
        <v/>
      </c>
      <c r="D43" s="9">
        <f>IF(ISNA(MATCH(30,Engine!$C$2:$C$1960,0)),"",INDEX('Compliance Database'!$D$2:$D$1960,MATCH(30,Engine!$C$2:$C$1960,0)))</f>
        <v/>
      </c>
      <c r="E43" s="8">
        <f>IF(ISNA(MATCH(30,Engine!$C$2:$C$1960,0)),"",INDEX('Compliance Database'!$E$2:$E$1960,MATCH(30,Engine!$C$2:$C$1960,0)))</f>
        <v/>
      </c>
      <c r="F43" s="8">
        <f>IF(ISNA(MATCH(30,Engine!$C$2:$C$1960,0)),"",INDEX('Compliance Database'!$F$2:$F$1960,MATCH(30,Engine!$C$2:$C$1960,0)))</f>
        <v/>
      </c>
      <c r="G43" s="8">
        <f>IF(ISNA(MATCH(30,Engine!$C$2:$C$1960,0)),"",INDEX('Compliance Database'!$G$2:$G$1960,MATCH(30,Engine!$C$2:$C$1960,0)))</f>
        <v/>
      </c>
      <c r="H43" s="9">
        <f>IF(ISNA(MATCH(30,Engine!$C$2:$C$1960,0)),"",INDEX('Compliance Database'!$H$2:$H$1960,MATCH(30,Engine!$C$2:$C$1960,0)))</f>
        <v/>
      </c>
      <c r="I43" s="9">
        <f>IF(ISNA(MATCH(30,Engine!$C$2:$C$1960,0)),"",INDEX('Compliance Database'!$I$2:$I$1960,MATCH(30,Engine!$C$2:$C$1960,0)))</f>
        <v/>
      </c>
      <c r="J43" s="8">
        <f>IF(ISNA(MATCH(30,Engine!$C$2:$C$1960,0)),"",INDEX('Compliance Database'!$J$2:$J$1960,MATCH(30,Engine!$C$2:$C$1960,0)))</f>
        <v/>
      </c>
      <c r="K43" s="9">
        <f>IF(ISNA(MATCH(30,Engine!$C$2:$C$1960,0)),"",INDEX('Compliance Database'!$K$2:$K$1960,MATCH(30,Engine!$C$2:$C$1960,0)))</f>
        <v/>
      </c>
      <c r="L43" s="9">
        <f>IF(ISNA(MATCH(30,Engine!$C$2:$C$1960,0)),"",INDEX('Compliance Database'!$L$2:$L$1960,MATCH(30,Engine!$C$2:$C$1960,0)))</f>
        <v/>
      </c>
      <c r="M43" s="9">
        <f>IF(ISNA(MATCH(30,Engine!$C$2:$C$1960,0)),"",INDEX('Compliance Database'!$M$2:$M$1960,MATCH(30,Engine!$C$2:$C$1960,0)))</f>
        <v/>
      </c>
      <c r="N43" s="9">
        <f>IF(ISNA(MATCH(30,Engine!$C$2:$C$1960,0)),"",INDEX('Compliance Database'!$N$2:$N$1960,MATCH(30,Engine!$C$2:$C$1960,0)))</f>
        <v/>
      </c>
      <c r="O43" s="9">
        <f>IF(ISNA(MATCH(30,Engine!$C$2:$C$1960,0)),"",INDEX('Compliance Database'!$O$2:$O$1960,MATCH(30,Engine!$C$2:$C$1960,0)))</f>
        <v/>
      </c>
      <c r="P43" s="8">
        <f>IF(ISNA(MATCH(30,Engine!$C$2:$C$1960,0)),"",HYPERLINK("#Acts!A"&amp;INDEX('Compliance Database'!$P$2:$P$1960,MATCH(30,Engine!$C$2:$C$1960,0)),"Go to Act"))</f>
        <v/>
      </c>
    </row>
    <row r="44" ht="158" customHeight="1">
      <c r="A44" s="8">
        <f>IF(ISNA(MATCH(31,Engine!$C$2:$C$1960,0)),"",INDEX('Compliance Database'!$A$2:$A$1960,MATCH(31,Engine!$C$2:$C$1960,0)))</f>
        <v/>
      </c>
      <c r="B44" s="8">
        <f>IF(ISNA(MATCH(31,Engine!$C$2:$C$1960,0)),"",INDEX('Compliance Database'!$B$2:$B$1960,MATCH(31,Engine!$C$2:$C$1960,0)))</f>
        <v/>
      </c>
      <c r="C44" s="8">
        <f>IF(ISNA(MATCH(31,Engine!$C$2:$C$1960,0)),"",INDEX('Compliance Database'!$C$2:$C$1960,MATCH(31,Engine!$C$2:$C$1960,0)))</f>
        <v/>
      </c>
      <c r="D44" s="9">
        <f>IF(ISNA(MATCH(31,Engine!$C$2:$C$1960,0)),"",INDEX('Compliance Database'!$D$2:$D$1960,MATCH(31,Engine!$C$2:$C$1960,0)))</f>
        <v/>
      </c>
      <c r="E44" s="8">
        <f>IF(ISNA(MATCH(31,Engine!$C$2:$C$1960,0)),"",INDEX('Compliance Database'!$E$2:$E$1960,MATCH(31,Engine!$C$2:$C$1960,0)))</f>
        <v/>
      </c>
      <c r="F44" s="8">
        <f>IF(ISNA(MATCH(31,Engine!$C$2:$C$1960,0)),"",INDEX('Compliance Database'!$F$2:$F$1960,MATCH(31,Engine!$C$2:$C$1960,0)))</f>
        <v/>
      </c>
      <c r="G44" s="8">
        <f>IF(ISNA(MATCH(31,Engine!$C$2:$C$1960,0)),"",INDEX('Compliance Database'!$G$2:$G$1960,MATCH(31,Engine!$C$2:$C$1960,0)))</f>
        <v/>
      </c>
      <c r="H44" s="9">
        <f>IF(ISNA(MATCH(31,Engine!$C$2:$C$1960,0)),"",INDEX('Compliance Database'!$H$2:$H$1960,MATCH(31,Engine!$C$2:$C$1960,0)))</f>
        <v/>
      </c>
      <c r="I44" s="9">
        <f>IF(ISNA(MATCH(31,Engine!$C$2:$C$1960,0)),"",INDEX('Compliance Database'!$I$2:$I$1960,MATCH(31,Engine!$C$2:$C$1960,0)))</f>
        <v/>
      </c>
      <c r="J44" s="8">
        <f>IF(ISNA(MATCH(31,Engine!$C$2:$C$1960,0)),"",INDEX('Compliance Database'!$J$2:$J$1960,MATCH(31,Engine!$C$2:$C$1960,0)))</f>
        <v/>
      </c>
      <c r="K44" s="9">
        <f>IF(ISNA(MATCH(31,Engine!$C$2:$C$1960,0)),"",INDEX('Compliance Database'!$K$2:$K$1960,MATCH(31,Engine!$C$2:$C$1960,0)))</f>
        <v/>
      </c>
      <c r="L44" s="9">
        <f>IF(ISNA(MATCH(31,Engine!$C$2:$C$1960,0)),"",INDEX('Compliance Database'!$L$2:$L$1960,MATCH(31,Engine!$C$2:$C$1960,0)))</f>
        <v/>
      </c>
      <c r="M44" s="9">
        <f>IF(ISNA(MATCH(31,Engine!$C$2:$C$1960,0)),"",INDEX('Compliance Database'!$M$2:$M$1960,MATCH(31,Engine!$C$2:$C$1960,0)))</f>
        <v/>
      </c>
      <c r="N44" s="9">
        <f>IF(ISNA(MATCH(31,Engine!$C$2:$C$1960,0)),"",INDEX('Compliance Database'!$N$2:$N$1960,MATCH(31,Engine!$C$2:$C$1960,0)))</f>
        <v/>
      </c>
      <c r="O44" s="9">
        <f>IF(ISNA(MATCH(31,Engine!$C$2:$C$1960,0)),"",INDEX('Compliance Database'!$O$2:$O$1960,MATCH(31,Engine!$C$2:$C$1960,0)))</f>
        <v/>
      </c>
      <c r="P44" s="8">
        <f>IF(ISNA(MATCH(31,Engine!$C$2:$C$1960,0)),"",HYPERLINK("#Acts!A"&amp;INDEX('Compliance Database'!$P$2:$P$1960,MATCH(31,Engine!$C$2:$C$1960,0)),"Go to Act"))</f>
        <v/>
      </c>
    </row>
    <row r="45" ht="158" customHeight="1">
      <c r="A45" s="8">
        <f>IF(ISNA(MATCH(32,Engine!$C$2:$C$1960,0)),"",INDEX('Compliance Database'!$A$2:$A$1960,MATCH(32,Engine!$C$2:$C$1960,0)))</f>
        <v/>
      </c>
      <c r="B45" s="8">
        <f>IF(ISNA(MATCH(32,Engine!$C$2:$C$1960,0)),"",INDEX('Compliance Database'!$B$2:$B$1960,MATCH(32,Engine!$C$2:$C$1960,0)))</f>
        <v/>
      </c>
      <c r="C45" s="8">
        <f>IF(ISNA(MATCH(32,Engine!$C$2:$C$1960,0)),"",INDEX('Compliance Database'!$C$2:$C$1960,MATCH(32,Engine!$C$2:$C$1960,0)))</f>
        <v/>
      </c>
      <c r="D45" s="9">
        <f>IF(ISNA(MATCH(32,Engine!$C$2:$C$1960,0)),"",INDEX('Compliance Database'!$D$2:$D$1960,MATCH(32,Engine!$C$2:$C$1960,0)))</f>
        <v/>
      </c>
      <c r="E45" s="8">
        <f>IF(ISNA(MATCH(32,Engine!$C$2:$C$1960,0)),"",INDEX('Compliance Database'!$E$2:$E$1960,MATCH(32,Engine!$C$2:$C$1960,0)))</f>
        <v/>
      </c>
      <c r="F45" s="8">
        <f>IF(ISNA(MATCH(32,Engine!$C$2:$C$1960,0)),"",INDEX('Compliance Database'!$F$2:$F$1960,MATCH(32,Engine!$C$2:$C$1960,0)))</f>
        <v/>
      </c>
      <c r="G45" s="8">
        <f>IF(ISNA(MATCH(32,Engine!$C$2:$C$1960,0)),"",INDEX('Compliance Database'!$G$2:$G$1960,MATCH(32,Engine!$C$2:$C$1960,0)))</f>
        <v/>
      </c>
      <c r="H45" s="9">
        <f>IF(ISNA(MATCH(32,Engine!$C$2:$C$1960,0)),"",INDEX('Compliance Database'!$H$2:$H$1960,MATCH(32,Engine!$C$2:$C$1960,0)))</f>
        <v/>
      </c>
      <c r="I45" s="9">
        <f>IF(ISNA(MATCH(32,Engine!$C$2:$C$1960,0)),"",INDEX('Compliance Database'!$I$2:$I$1960,MATCH(32,Engine!$C$2:$C$1960,0)))</f>
        <v/>
      </c>
      <c r="J45" s="8">
        <f>IF(ISNA(MATCH(32,Engine!$C$2:$C$1960,0)),"",INDEX('Compliance Database'!$J$2:$J$1960,MATCH(32,Engine!$C$2:$C$1960,0)))</f>
        <v/>
      </c>
      <c r="K45" s="9">
        <f>IF(ISNA(MATCH(32,Engine!$C$2:$C$1960,0)),"",INDEX('Compliance Database'!$K$2:$K$1960,MATCH(32,Engine!$C$2:$C$1960,0)))</f>
        <v/>
      </c>
      <c r="L45" s="9">
        <f>IF(ISNA(MATCH(32,Engine!$C$2:$C$1960,0)),"",INDEX('Compliance Database'!$L$2:$L$1960,MATCH(32,Engine!$C$2:$C$1960,0)))</f>
        <v/>
      </c>
      <c r="M45" s="9">
        <f>IF(ISNA(MATCH(32,Engine!$C$2:$C$1960,0)),"",INDEX('Compliance Database'!$M$2:$M$1960,MATCH(32,Engine!$C$2:$C$1960,0)))</f>
        <v/>
      </c>
      <c r="N45" s="9">
        <f>IF(ISNA(MATCH(32,Engine!$C$2:$C$1960,0)),"",INDEX('Compliance Database'!$N$2:$N$1960,MATCH(32,Engine!$C$2:$C$1960,0)))</f>
        <v/>
      </c>
      <c r="O45" s="9">
        <f>IF(ISNA(MATCH(32,Engine!$C$2:$C$1960,0)),"",INDEX('Compliance Database'!$O$2:$O$1960,MATCH(32,Engine!$C$2:$C$1960,0)))</f>
        <v/>
      </c>
      <c r="P45" s="8">
        <f>IF(ISNA(MATCH(32,Engine!$C$2:$C$1960,0)),"",HYPERLINK("#Acts!A"&amp;INDEX('Compliance Database'!$P$2:$P$1960,MATCH(32,Engine!$C$2:$C$1960,0)),"Go to Act"))</f>
        <v/>
      </c>
    </row>
    <row r="46" ht="158" customHeight="1">
      <c r="A46" s="8">
        <f>IF(ISNA(MATCH(33,Engine!$C$2:$C$1960,0)),"",INDEX('Compliance Database'!$A$2:$A$1960,MATCH(33,Engine!$C$2:$C$1960,0)))</f>
        <v/>
      </c>
      <c r="B46" s="8">
        <f>IF(ISNA(MATCH(33,Engine!$C$2:$C$1960,0)),"",INDEX('Compliance Database'!$B$2:$B$1960,MATCH(33,Engine!$C$2:$C$1960,0)))</f>
        <v/>
      </c>
      <c r="C46" s="8">
        <f>IF(ISNA(MATCH(33,Engine!$C$2:$C$1960,0)),"",INDEX('Compliance Database'!$C$2:$C$1960,MATCH(33,Engine!$C$2:$C$1960,0)))</f>
        <v/>
      </c>
      <c r="D46" s="9">
        <f>IF(ISNA(MATCH(33,Engine!$C$2:$C$1960,0)),"",INDEX('Compliance Database'!$D$2:$D$1960,MATCH(33,Engine!$C$2:$C$1960,0)))</f>
        <v/>
      </c>
      <c r="E46" s="8">
        <f>IF(ISNA(MATCH(33,Engine!$C$2:$C$1960,0)),"",INDEX('Compliance Database'!$E$2:$E$1960,MATCH(33,Engine!$C$2:$C$1960,0)))</f>
        <v/>
      </c>
      <c r="F46" s="8">
        <f>IF(ISNA(MATCH(33,Engine!$C$2:$C$1960,0)),"",INDEX('Compliance Database'!$F$2:$F$1960,MATCH(33,Engine!$C$2:$C$1960,0)))</f>
        <v/>
      </c>
      <c r="G46" s="8">
        <f>IF(ISNA(MATCH(33,Engine!$C$2:$C$1960,0)),"",INDEX('Compliance Database'!$G$2:$G$1960,MATCH(33,Engine!$C$2:$C$1960,0)))</f>
        <v/>
      </c>
      <c r="H46" s="9">
        <f>IF(ISNA(MATCH(33,Engine!$C$2:$C$1960,0)),"",INDEX('Compliance Database'!$H$2:$H$1960,MATCH(33,Engine!$C$2:$C$1960,0)))</f>
        <v/>
      </c>
      <c r="I46" s="9">
        <f>IF(ISNA(MATCH(33,Engine!$C$2:$C$1960,0)),"",INDEX('Compliance Database'!$I$2:$I$1960,MATCH(33,Engine!$C$2:$C$1960,0)))</f>
        <v/>
      </c>
      <c r="J46" s="8">
        <f>IF(ISNA(MATCH(33,Engine!$C$2:$C$1960,0)),"",INDEX('Compliance Database'!$J$2:$J$1960,MATCH(33,Engine!$C$2:$C$1960,0)))</f>
        <v/>
      </c>
      <c r="K46" s="9">
        <f>IF(ISNA(MATCH(33,Engine!$C$2:$C$1960,0)),"",INDEX('Compliance Database'!$K$2:$K$1960,MATCH(33,Engine!$C$2:$C$1960,0)))</f>
        <v/>
      </c>
      <c r="L46" s="9">
        <f>IF(ISNA(MATCH(33,Engine!$C$2:$C$1960,0)),"",INDEX('Compliance Database'!$L$2:$L$1960,MATCH(33,Engine!$C$2:$C$1960,0)))</f>
        <v/>
      </c>
      <c r="M46" s="9">
        <f>IF(ISNA(MATCH(33,Engine!$C$2:$C$1960,0)),"",INDEX('Compliance Database'!$M$2:$M$1960,MATCH(33,Engine!$C$2:$C$1960,0)))</f>
        <v/>
      </c>
      <c r="N46" s="9">
        <f>IF(ISNA(MATCH(33,Engine!$C$2:$C$1960,0)),"",INDEX('Compliance Database'!$N$2:$N$1960,MATCH(33,Engine!$C$2:$C$1960,0)))</f>
        <v/>
      </c>
      <c r="O46" s="9">
        <f>IF(ISNA(MATCH(33,Engine!$C$2:$C$1960,0)),"",INDEX('Compliance Database'!$O$2:$O$1960,MATCH(33,Engine!$C$2:$C$1960,0)))</f>
        <v/>
      </c>
      <c r="P46" s="8">
        <f>IF(ISNA(MATCH(33,Engine!$C$2:$C$1960,0)),"",HYPERLINK("#Acts!A"&amp;INDEX('Compliance Database'!$P$2:$P$1960,MATCH(33,Engine!$C$2:$C$1960,0)),"Go to Act"))</f>
        <v/>
      </c>
    </row>
    <row r="47" ht="158" customHeight="1">
      <c r="A47" s="8">
        <f>IF(ISNA(MATCH(34,Engine!$C$2:$C$1960,0)),"",INDEX('Compliance Database'!$A$2:$A$1960,MATCH(34,Engine!$C$2:$C$1960,0)))</f>
        <v/>
      </c>
      <c r="B47" s="8">
        <f>IF(ISNA(MATCH(34,Engine!$C$2:$C$1960,0)),"",INDEX('Compliance Database'!$B$2:$B$1960,MATCH(34,Engine!$C$2:$C$1960,0)))</f>
        <v/>
      </c>
      <c r="C47" s="8">
        <f>IF(ISNA(MATCH(34,Engine!$C$2:$C$1960,0)),"",INDEX('Compliance Database'!$C$2:$C$1960,MATCH(34,Engine!$C$2:$C$1960,0)))</f>
        <v/>
      </c>
      <c r="D47" s="9">
        <f>IF(ISNA(MATCH(34,Engine!$C$2:$C$1960,0)),"",INDEX('Compliance Database'!$D$2:$D$1960,MATCH(34,Engine!$C$2:$C$1960,0)))</f>
        <v/>
      </c>
      <c r="E47" s="8">
        <f>IF(ISNA(MATCH(34,Engine!$C$2:$C$1960,0)),"",INDEX('Compliance Database'!$E$2:$E$1960,MATCH(34,Engine!$C$2:$C$1960,0)))</f>
        <v/>
      </c>
      <c r="F47" s="8">
        <f>IF(ISNA(MATCH(34,Engine!$C$2:$C$1960,0)),"",INDEX('Compliance Database'!$F$2:$F$1960,MATCH(34,Engine!$C$2:$C$1960,0)))</f>
        <v/>
      </c>
      <c r="G47" s="8">
        <f>IF(ISNA(MATCH(34,Engine!$C$2:$C$1960,0)),"",INDEX('Compliance Database'!$G$2:$G$1960,MATCH(34,Engine!$C$2:$C$1960,0)))</f>
        <v/>
      </c>
      <c r="H47" s="9">
        <f>IF(ISNA(MATCH(34,Engine!$C$2:$C$1960,0)),"",INDEX('Compliance Database'!$H$2:$H$1960,MATCH(34,Engine!$C$2:$C$1960,0)))</f>
        <v/>
      </c>
      <c r="I47" s="9">
        <f>IF(ISNA(MATCH(34,Engine!$C$2:$C$1960,0)),"",INDEX('Compliance Database'!$I$2:$I$1960,MATCH(34,Engine!$C$2:$C$1960,0)))</f>
        <v/>
      </c>
      <c r="J47" s="8">
        <f>IF(ISNA(MATCH(34,Engine!$C$2:$C$1960,0)),"",INDEX('Compliance Database'!$J$2:$J$1960,MATCH(34,Engine!$C$2:$C$1960,0)))</f>
        <v/>
      </c>
      <c r="K47" s="9">
        <f>IF(ISNA(MATCH(34,Engine!$C$2:$C$1960,0)),"",INDEX('Compliance Database'!$K$2:$K$1960,MATCH(34,Engine!$C$2:$C$1960,0)))</f>
        <v/>
      </c>
      <c r="L47" s="9">
        <f>IF(ISNA(MATCH(34,Engine!$C$2:$C$1960,0)),"",INDEX('Compliance Database'!$L$2:$L$1960,MATCH(34,Engine!$C$2:$C$1960,0)))</f>
        <v/>
      </c>
      <c r="M47" s="9">
        <f>IF(ISNA(MATCH(34,Engine!$C$2:$C$1960,0)),"",INDEX('Compliance Database'!$M$2:$M$1960,MATCH(34,Engine!$C$2:$C$1960,0)))</f>
        <v/>
      </c>
      <c r="N47" s="9">
        <f>IF(ISNA(MATCH(34,Engine!$C$2:$C$1960,0)),"",INDEX('Compliance Database'!$N$2:$N$1960,MATCH(34,Engine!$C$2:$C$1960,0)))</f>
        <v/>
      </c>
      <c r="O47" s="9">
        <f>IF(ISNA(MATCH(34,Engine!$C$2:$C$1960,0)),"",INDEX('Compliance Database'!$O$2:$O$1960,MATCH(34,Engine!$C$2:$C$1960,0)))</f>
        <v/>
      </c>
      <c r="P47" s="8">
        <f>IF(ISNA(MATCH(34,Engine!$C$2:$C$1960,0)),"",HYPERLINK("#Acts!A"&amp;INDEX('Compliance Database'!$P$2:$P$1960,MATCH(34,Engine!$C$2:$C$1960,0)),"Go to Act"))</f>
        <v/>
      </c>
    </row>
    <row r="48" ht="158" customHeight="1">
      <c r="A48" s="8">
        <f>IF(ISNA(MATCH(35,Engine!$C$2:$C$1960,0)),"",INDEX('Compliance Database'!$A$2:$A$1960,MATCH(35,Engine!$C$2:$C$1960,0)))</f>
        <v/>
      </c>
      <c r="B48" s="8">
        <f>IF(ISNA(MATCH(35,Engine!$C$2:$C$1960,0)),"",INDEX('Compliance Database'!$B$2:$B$1960,MATCH(35,Engine!$C$2:$C$1960,0)))</f>
        <v/>
      </c>
      <c r="C48" s="8">
        <f>IF(ISNA(MATCH(35,Engine!$C$2:$C$1960,0)),"",INDEX('Compliance Database'!$C$2:$C$1960,MATCH(35,Engine!$C$2:$C$1960,0)))</f>
        <v/>
      </c>
      <c r="D48" s="9">
        <f>IF(ISNA(MATCH(35,Engine!$C$2:$C$1960,0)),"",INDEX('Compliance Database'!$D$2:$D$1960,MATCH(35,Engine!$C$2:$C$1960,0)))</f>
        <v/>
      </c>
      <c r="E48" s="8">
        <f>IF(ISNA(MATCH(35,Engine!$C$2:$C$1960,0)),"",INDEX('Compliance Database'!$E$2:$E$1960,MATCH(35,Engine!$C$2:$C$1960,0)))</f>
        <v/>
      </c>
      <c r="F48" s="8">
        <f>IF(ISNA(MATCH(35,Engine!$C$2:$C$1960,0)),"",INDEX('Compliance Database'!$F$2:$F$1960,MATCH(35,Engine!$C$2:$C$1960,0)))</f>
        <v/>
      </c>
      <c r="G48" s="8">
        <f>IF(ISNA(MATCH(35,Engine!$C$2:$C$1960,0)),"",INDEX('Compliance Database'!$G$2:$G$1960,MATCH(35,Engine!$C$2:$C$1960,0)))</f>
        <v/>
      </c>
      <c r="H48" s="9">
        <f>IF(ISNA(MATCH(35,Engine!$C$2:$C$1960,0)),"",INDEX('Compliance Database'!$H$2:$H$1960,MATCH(35,Engine!$C$2:$C$1960,0)))</f>
        <v/>
      </c>
      <c r="I48" s="9">
        <f>IF(ISNA(MATCH(35,Engine!$C$2:$C$1960,0)),"",INDEX('Compliance Database'!$I$2:$I$1960,MATCH(35,Engine!$C$2:$C$1960,0)))</f>
        <v/>
      </c>
      <c r="J48" s="8">
        <f>IF(ISNA(MATCH(35,Engine!$C$2:$C$1960,0)),"",INDEX('Compliance Database'!$J$2:$J$1960,MATCH(35,Engine!$C$2:$C$1960,0)))</f>
        <v/>
      </c>
      <c r="K48" s="9">
        <f>IF(ISNA(MATCH(35,Engine!$C$2:$C$1960,0)),"",INDEX('Compliance Database'!$K$2:$K$1960,MATCH(35,Engine!$C$2:$C$1960,0)))</f>
        <v/>
      </c>
      <c r="L48" s="9">
        <f>IF(ISNA(MATCH(35,Engine!$C$2:$C$1960,0)),"",INDEX('Compliance Database'!$L$2:$L$1960,MATCH(35,Engine!$C$2:$C$1960,0)))</f>
        <v/>
      </c>
      <c r="M48" s="9">
        <f>IF(ISNA(MATCH(35,Engine!$C$2:$C$1960,0)),"",INDEX('Compliance Database'!$M$2:$M$1960,MATCH(35,Engine!$C$2:$C$1960,0)))</f>
        <v/>
      </c>
      <c r="N48" s="9">
        <f>IF(ISNA(MATCH(35,Engine!$C$2:$C$1960,0)),"",INDEX('Compliance Database'!$N$2:$N$1960,MATCH(35,Engine!$C$2:$C$1960,0)))</f>
        <v/>
      </c>
      <c r="O48" s="9">
        <f>IF(ISNA(MATCH(35,Engine!$C$2:$C$1960,0)),"",INDEX('Compliance Database'!$O$2:$O$1960,MATCH(35,Engine!$C$2:$C$1960,0)))</f>
        <v/>
      </c>
      <c r="P48" s="8">
        <f>IF(ISNA(MATCH(35,Engine!$C$2:$C$1960,0)),"",HYPERLINK("#Acts!A"&amp;INDEX('Compliance Database'!$P$2:$P$1960,MATCH(35,Engine!$C$2:$C$1960,0)),"Go to Act"))</f>
        <v/>
      </c>
    </row>
    <row r="49" ht="158" customHeight="1">
      <c r="A49" s="8">
        <f>IF(ISNA(MATCH(36,Engine!$C$2:$C$1960,0)),"",INDEX('Compliance Database'!$A$2:$A$1960,MATCH(36,Engine!$C$2:$C$1960,0)))</f>
        <v/>
      </c>
      <c r="B49" s="8">
        <f>IF(ISNA(MATCH(36,Engine!$C$2:$C$1960,0)),"",INDEX('Compliance Database'!$B$2:$B$1960,MATCH(36,Engine!$C$2:$C$1960,0)))</f>
        <v/>
      </c>
      <c r="C49" s="8">
        <f>IF(ISNA(MATCH(36,Engine!$C$2:$C$1960,0)),"",INDEX('Compliance Database'!$C$2:$C$1960,MATCH(36,Engine!$C$2:$C$1960,0)))</f>
        <v/>
      </c>
      <c r="D49" s="9">
        <f>IF(ISNA(MATCH(36,Engine!$C$2:$C$1960,0)),"",INDEX('Compliance Database'!$D$2:$D$1960,MATCH(36,Engine!$C$2:$C$1960,0)))</f>
        <v/>
      </c>
      <c r="E49" s="8">
        <f>IF(ISNA(MATCH(36,Engine!$C$2:$C$1960,0)),"",INDEX('Compliance Database'!$E$2:$E$1960,MATCH(36,Engine!$C$2:$C$1960,0)))</f>
        <v/>
      </c>
      <c r="F49" s="8">
        <f>IF(ISNA(MATCH(36,Engine!$C$2:$C$1960,0)),"",INDEX('Compliance Database'!$F$2:$F$1960,MATCH(36,Engine!$C$2:$C$1960,0)))</f>
        <v/>
      </c>
      <c r="G49" s="8">
        <f>IF(ISNA(MATCH(36,Engine!$C$2:$C$1960,0)),"",INDEX('Compliance Database'!$G$2:$G$1960,MATCH(36,Engine!$C$2:$C$1960,0)))</f>
        <v/>
      </c>
      <c r="H49" s="9">
        <f>IF(ISNA(MATCH(36,Engine!$C$2:$C$1960,0)),"",INDEX('Compliance Database'!$H$2:$H$1960,MATCH(36,Engine!$C$2:$C$1960,0)))</f>
        <v/>
      </c>
      <c r="I49" s="9">
        <f>IF(ISNA(MATCH(36,Engine!$C$2:$C$1960,0)),"",INDEX('Compliance Database'!$I$2:$I$1960,MATCH(36,Engine!$C$2:$C$1960,0)))</f>
        <v/>
      </c>
      <c r="J49" s="8">
        <f>IF(ISNA(MATCH(36,Engine!$C$2:$C$1960,0)),"",INDEX('Compliance Database'!$J$2:$J$1960,MATCH(36,Engine!$C$2:$C$1960,0)))</f>
        <v/>
      </c>
      <c r="K49" s="9">
        <f>IF(ISNA(MATCH(36,Engine!$C$2:$C$1960,0)),"",INDEX('Compliance Database'!$K$2:$K$1960,MATCH(36,Engine!$C$2:$C$1960,0)))</f>
        <v/>
      </c>
      <c r="L49" s="9">
        <f>IF(ISNA(MATCH(36,Engine!$C$2:$C$1960,0)),"",INDEX('Compliance Database'!$L$2:$L$1960,MATCH(36,Engine!$C$2:$C$1960,0)))</f>
        <v/>
      </c>
      <c r="M49" s="9">
        <f>IF(ISNA(MATCH(36,Engine!$C$2:$C$1960,0)),"",INDEX('Compliance Database'!$M$2:$M$1960,MATCH(36,Engine!$C$2:$C$1960,0)))</f>
        <v/>
      </c>
      <c r="N49" s="9">
        <f>IF(ISNA(MATCH(36,Engine!$C$2:$C$1960,0)),"",INDEX('Compliance Database'!$N$2:$N$1960,MATCH(36,Engine!$C$2:$C$1960,0)))</f>
        <v/>
      </c>
      <c r="O49" s="9">
        <f>IF(ISNA(MATCH(36,Engine!$C$2:$C$1960,0)),"",INDEX('Compliance Database'!$O$2:$O$1960,MATCH(36,Engine!$C$2:$C$1960,0)))</f>
        <v/>
      </c>
      <c r="P49" s="8">
        <f>IF(ISNA(MATCH(36,Engine!$C$2:$C$1960,0)),"",HYPERLINK("#Acts!A"&amp;INDEX('Compliance Database'!$P$2:$P$1960,MATCH(36,Engine!$C$2:$C$1960,0)),"Go to Act"))</f>
        <v/>
      </c>
    </row>
    <row r="50" ht="158" customHeight="1">
      <c r="A50" s="8">
        <f>IF(ISNA(MATCH(37,Engine!$C$2:$C$1960,0)),"",INDEX('Compliance Database'!$A$2:$A$1960,MATCH(37,Engine!$C$2:$C$1960,0)))</f>
        <v/>
      </c>
      <c r="B50" s="8">
        <f>IF(ISNA(MATCH(37,Engine!$C$2:$C$1960,0)),"",INDEX('Compliance Database'!$B$2:$B$1960,MATCH(37,Engine!$C$2:$C$1960,0)))</f>
        <v/>
      </c>
      <c r="C50" s="8">
        <f>IF(ISNA(MATCH(37,Engine!$C$2:$C$1960,0)),"",INDEX('Compliance Database'!$C$2:$C$1960,MATCH(37,Engine!$C$2:$C$1960,0)))</f>
        <v/>
      </c>
      <c r="D50" s="9">
        <f>IF(ISNA(MATCH(37,Engine!$C$2:$C$1960,0)),"",INDEX('Compliance Database'!$D$2:$D$1960,MATCH(37,Engine!$C$2:$C$1960,0)))</f>
        <v/>
      </c>
      <c r="E50" s="8">
        <f>IF(ISNA(MATCH(37,Engine!$C$2:$C$1960,0)),"",INDEX('Compliance Database'!$E$2:$E$1960,MATCH(37,Engine!$C$2:$C$1960,0)))</f>
        <v/>
      </c>
      <c r="F50" s="8">
        <f>IF(ISNA(MATCH(37,Engine!$C$2:$C$1960,0)),"",INDEX('Compliance Database'!$F$2:$F$1960,MATCH(37,Engine!$C$2:$C$1960,0)))</f>
        <v/>
      </c>
      <c r="G50" s="8">
        <f>IF(ISNA(MATCH(37,Engine!$C$2:$C$1960,0)),"",INDEX('Compliance Database'!$G$2:$G$1960,MATCH(37,Engine!$C$2:$C$1960,0)))</f>
        <v/>
      </c>
      <c r="H50" s="9">
        <f>IF(ISNA(MATCH(37,Engine!$C$2:$C$1960,0)),"",INDEX('Compliance Database'!$H$2:$H$1960,MATCH(37,Engine!$C$2:$C$1960,0)))</f>
        <v/>
      </c>
      <c r="I50" s="9">
        <f>IF(ISNA(MATCH(37,Engine!$C$2:$C$1960,0)),"",INDEX('Compliance Database'!$I$2:$I$1960,MATCH(37,Engine!$C$2:$C$1960,0)))</f>
        <v/>
      </c>
      <c r="J50" s="8">
        <f>IF(ISNA(MATCH(37,Engine!$C$2:$C$1960,0)),"",INDEX('Compliance Database'!$J$2:$J$1960,MATCH(37,Engine!$C$2:$C$1960,0)))</f>
        <v/>
      </c>
      <c r="K50" s="9">
        <f>IF(ISNA(MATCH(37,Engine!$C$2:$C$1960,0)),"",INDEX('Compliance Database'!$K$2:$K$1960,MATCH(37,Engine!$C$2:$C$1960,0)))</f>
        <v/>
      </c>
      <c r="L50" s="9">
        <f>IF(ISNA(MATCH(37,Engine!$C$2:$C$1960,0)),"",INDEX('Compliance Database'!$L$2:$L$1960,MATCH(37,Engine!$C$2:$C$1960,0)))</f>
        <v/>
      </c>
      <c r="M50" s="9">
        <f>IF(ISNA(MATCH(37,Engine!$C$2:$C$1960,0)),"",INDEX('Compliance Database'!$M$2:$M$1960,MATCH(37,Engine!$C$2:$C$1960,0)))</f>
        <v/>
      </c>
      <c r="N50" s="9">
        <f>IF(ISNA(MATCH(37,Engine!$C$2:$C$1960,0)),"",INDEX('Compliance Database'!$N$2:$N$1960,MATCH(37,Engine!$C$2:$C$1960,0)))</f>
        <v/>
      </c>
      <c r="O50" s="9">
        <f>IF(ISNA(MATCH(37,Engine!$C$2:$C$1960,0)),"",INDEX('Compliance Database'!$O$2:$O$1960,MATCH(37,Engine!$C$2:$C$1960,0)))</f>
        <v/>
      </c>
      <c r="P50" s="8">
        <f>IF(ISNA(MATCH(37,Engine!$C$2:$C$1960,0)),"",HYPERLINK("#Acts!A"&amp;INDEX('Compliance Database'!$P$2:$P$1960,MATCH(37,Engine!$C$2:$C$1960,0)),"Go to Act"))</f>
        <v/>
      </c>
    </row>
    <row r="51" ht="158" customHeight="1">
      <c r="A51" s="8">
        <f>IF(ISNA(MATCH(38,Engine!$C$2:$C$1960,0)),"",INDEX('Compliance Database'!$A$2:$A$1960,MATCH(38,Engine!$C$2:$C$1960,0)))</f>
        <v/>
      </c>
      <c r="B51" s="8">
        <f>IF(ISNA(MATCH(38,Engine!$C$2:$C$1960,0)),"",INDEX('Compliance Database'!$B$2:$B$1960,MATCH(38,Engine!$C$2:$C$1960,0)))</f>
        <v/>
      </c>
      <c r="C51" s="8">
        <f>IF(ISNA(MATCH(38,Engine!$C$2:$C$1960,0)),"",INDEX('Compliance Database'!$C$2:$C$1960,MATCH(38,Engine!$C$2:$C$1960,0)))</f>
        <v/>
      </c>
      <c r="D51" s="9">
        <f>IF(ISNA(MATCH(38,Engine!$C$2:$C$1960,0)),"",INDEX('Compliance Database'!$D$2:$D$1960,MATCH(38,Engine!$C$2:$C$1960,0)))</f>
        <v/>
      </c>
      <c r="E51" s="8">
        <f>IF(ISNA(MATCH(38,Engine!$C$2:$C$1960,0)),"",INDEX('Compliance Database'!$E$2:$E$1960,MATCH(38,Engine!$C$2:$C$1960,0)))</f>
        <v/>
      </c>
      <c r="F51" s="8">
        <f>IF(ISNA(MATCH(38,Engine!$C$2:$C$1960,0)),"",INDEX('Compliance Database'!$F$2:$F$1960,MATCH(38,Engine!$C$2:$C$1960,0)))</f>
        <v/>
      </c>
      <c r="G51" s="8">
        <f>IF(ISNA(MATCH(38,Engine!$C$2:$C$1960,0)),"",INDEX('Compliance Database'!$G$2:$G$1960,MATCH(38,Engine!$C$2:$C$1960,0)))</f>
        <v/>
      </c>
      <c r="H51" s="9">
        <f>IF(ISNA(MATCH(38,Engine!$C$2:$C$1960,0)),"",INDEX('Compliance Database'!$H$2:$H$1960,MATCH(38,Engine!$C$2:$C$1960,0)))</f>
        <v/>
      </c>
      <c r="I51" s="9">
        <f>IF(ISNA(MATCH(38,Engine!$C$2:$C$1960,0)),"",INDEX('Compliance Database'!$I$2:$I$1960,MATCH(38,Engine!$C$2:$C$1960,0)))</f>
        <v/>
      </c>
      <c r="J51" s="8">
        <f>IF(ISNA(MATCH(38,Engine!$C$2:$C$1960,0)),"",INDEX('Compliance Database'!$J$2:$J$1960,MATCH(38,Engine!$C$2:$C$1960,0)))</f>
        <v/>
      </c>
      <c r="K51" s="9">
        <f>IF(ISNA(MATCH(38,Engine!$C$2:$C$1960,0)),"",INDEX('Compliance Database'!$K$2:$K$1960,MATCH(38,Engine!$C$2:$C$1960,0)))</f>
        <v/>
      </c>
      <c r="L51" s="9">
        <f>IF(ISNA(MATCH(38,Engine!$C$2:$C$1960,0)),"",INDEX('Compliance Database'!$L$2:$L$1960,MATCH(38,Engine!$C$2:$C$1960,0)))</f>
        <v/>
      </c>
      <c r="M51" s="9">
        <f>IF(ISNA(MATCH(38,Engine!$C$2:$C$1960,0)),"",INDEX('Compliance Database'!$M$2:$M$1960,MATCH(38,Engine!$C$2:$C$1960,0)))</f>
        <v/>
      </c>
      <c r="N51" s="9">
        <f>IF(ISNA(MATCH(38,Engine!$C$2:$C$1960,0)),"",INDEX('Compliance Database'!$N$2:$N$1960,MATCH(38,Engine!$C$2:$C$1960,0)))</f>
        <v/>
      </c>
      <c r="O51" s="9">
        <f>IF(ISNA(MATCH(38,Engine!$C$2:$C$1960,0)),"",INDEX('Compliance Database'!$O$2:$O$1960,MATCH(38,Engine!$C$2:$C$1960,0)))</f>
        <v/>
      </c>
      <c r="P51" s="8">
        <f>IF(ISNA(MATCH(38,Engine!$C$2:$C$1960,0)),"",HYPERLINK("#Acts!A"&amp;INDEX('Compliance Database'!$P$2:$P$1960,MATCH(38,Engine!$C$2:$C$1960,0)),"Go to Act"))</f>
        <v/>
      </c>
    </row>
    <row r="52" ht="158" customHeight="1">
      <c r="A52" s="8">
        <f>IF(ISNA(MATCH(39,Engine!$C$2:$C$1960,0)),"",INDEX('Compliance Database'!$A$2:$A$1960,MATCH(39,Engine!$C$2:$C$1960,0)))</f>
        <v/>
      </c>
      <c r="B52" s="8">
        <f>IF(ISNA(MATCH(39,Engine!$C$2:$C$1960,0)),"",INDEX('Compliance Database'!$B$2:$B$1960,MATCH(39,Engine!$C$2:$C$1960,0)))</f>
        <v/>
      </c>
      <c r="C52" s="8">
        <f>IF(ISNA(MATCH(39,Engine!$C$2:$C$1960,0)),"",INDEX('Compliance Database'!$C$2:$C$1960,MATCH(39,Engine!$C$2:$C$1960,0)))</f>
        <v/>
      </c>
      <c r="D52" s="9">
        <f>IF(ISNA(MATCH(39,Engine!$C$2:$C$1960,0)),"",INDEX('Compliance Database'!$D$2:$D$1960,MATCH(39,Engine!$C$2:$C$1960,0)))</f>
        <v/>
      </c>
      <c r="E52" s="8">
        <f>IF(ISNA(MATCH(39,Engine!$C$2:$C$1960,0)),"",INDEX('Compliance Database'!$E$2:$E$1960,MATCH(39,Engine!$C$2:$C$1960,0)))</f>
        <v/>
      </c>
      <c r="F52" s="8">
        <f>IF(ISNA(MATCH(39,Engine!$C$2:$C$1960,0)),"",INDEX('Compliance Database'!$F$2:$F$1960,MATCH(39,Engine!$C$2:$C$1960,0)))</f>
        <v/>
      </c>
      <c r="G52" s="8">
        <f>IF(ISNA(MATCH(39,Engine!$C$2:$C$1960,0)),"",INDEX('Compliance Database'!$G$2:$G$1960,MATCH(39,Engine!$C$2:$C$1960,0)))</f>
        <v/>
      </c>
      <c r="H52" s="9">
        <f>IF(ISNA(MATCH(39,Engine!$C$2:$C$1960,0)),"",INDEX('Compliance Database'!$H$2:$H$1960,MATCH(39,Engine!$C$2:$C$1960,0)))</f>
        <v/>
      </c>
      <c r="I52" s="9">
        <f>IF(ISNA(MATCH(39,Engine!$C$2:$C$1960,0)),"",INDEX('Compliance Database'!$I$2:$I$1960,MATCH(39,Engine!$C$2:$C$1960,0)))</f>
        <v/>
      </c>
      <c r="J52" s="8">
        <f>IF(ISNA(MATCH(39,Engine!$C$2:$C$1960,0)),"",INDEX('Compliance Database'!$J$2:$J$1960,MATCH(39,Engine!$C$2:$C$1960,0)))</f>
        <v/>
      </c>
      <c r="K52" s="9">
        <f>IF(ISNA(MATCH(39,Engine!$C$2:$C$1960,0)),"",INDEX('Compliance Database'!$K$2:$K$1960,MATCH(39,Engine!$C$2:$C$1960,0)))</f>
        <v/>
      </c>
      <c r="L52" s="9">
        <f>IF(ISNA(MATCH(39,Engine!$C$2:$C$1960,0)),"",INDEX('Compliance Database'!$L$2:$L$1960,MATCH(39,Engine!$C$2:$C$1960,0)))</f>
        <v/>
      </c>
      <c r="M52" s="9">
        <f>IF(ISNA(MATCH(39,Engine!$C$2:$C$1960,0)),"",INDEX('Compliance Database'!$M$2:$M$1960,MATCH(39,Engine!$C$2:$C$1960,0)))</f>
        <v/>
      </c>
      <c r="N52" s="9">
        <f>IF(ISNA(MATCH(39,Engine!$C$2:$C$1960,0)),"",INDEX('Compliance Database'!$N$2:$N$1960,MATCH(39,Engine!$C$2:$C$1960,0)))</f>
        <v/>
      </c>
      <c r="O52" s="9">
        <f>IF(ISNA(MATCH(39,Engine!$C$2:$C$1960,0)),"",INDEX('Compliance Database'!$O$2:$O$1960,MATCH(39,Engine!$C$2:$C$1960,0)))</f>
        <v/>
      </c>
      <c r="P52" s="8">
        <f>IF(ISNA(MATCH(39,Engine!$C$2:$C$1960,0)),"",HYPERLINK("#Acts!A"&amp;INDEX('Compliance Database'!$P$2:$P$1960,MATCH(39,Engine!$C$2:$C$1960,0)),"Go to Act"))</f>
        <v/>
      </c>
    </row>
    <row r="53" ht="158" customHeight="1">
      <c r="A53" s="8">
        <f>IF(ISNA(MATCH(40,Engine!$C$2:$C$1960,0)),"",INDEX('Compliance Database'!$A$2:$A$1960,MATCH(40,Engine!$C$2:$C$1960,0)))</f>
        <v/>
      </c>
      <c r="B53" s="8">
        <f>IF(ISNA(MATCH(40,Engine!$C$2:$C$1960,0)),"",INDEX('Compliance Database'!$B$2:$B$1960,MATCH(40,Engine!$C$2:$C$1960,0)))</f>
        <v/>
      </c>
      <c r="C53" s="8">
        <f>IF(ISNA(MATCH(40,Engine!$C$2:$C$1960,0)),"",INDEX('Compliance Database'!$C$2:$C$1960,MATCH(40,Engine!$C$2:$C$1960,0)))</f>
        <v/>
      </c>
      <c r="D53" s="9">
        <f>IF(ISNA(MATCH(40,Engine!$C$2:$C$1960,0)),"",INDEX('Compliance Database'!$D$2:$D$1960,MATCH(40,Engine!$C$2:$C$1960,0)))</f>
        <v/>
      </c>
      <c r="E53" s="8">
        <f>IF(ISNA(MATCH(40,Engine!$C$2:$C$1960,0)),"",INDEX('Compliance Database'!$E$2:$E$1960,MATCH(40,Engine!$C$2:$C$1960,0)))</f>
        <v/>
      </c>
      <c r="F53" s="8">
        <f>IF(ISNA(MATCH(40,Engine!$C$2:$C$1960,0)),"",INDEX('Compliance Database'!$F$2:$F$1960,MATCH(40,Engine!$C$2:$C$1960,0)))</f>
        <v/>
      </c>
      <c r="G53" s="8">
        <f>IF(ISNA(MATCH(40,Engine!$C$2:$C$1960,0)),"",INDEX('Compliance Database'!$G$2:$G$1960,MATCH(40,Engine!$C$2:$C$1960,0)))</f>
        <v/>
      </c>
      <c r="H53" s="9">
        <f>IF(ISNA(MATCH(40,Engine!$C$2:$C$1960,0)),"",INDEX('Compliance Database'!$H$2:$H$1960,MATCH(40,Engine!$C$2:$C$1960,0)))</f>
        <v/>
      </c>
      <c r="I53" s="9">
        <f>IF(ISNA(MATCH(40,Engine!$C$2:$C$1960,0)),"",INDEX('Compliance Database'!$I$2:$I$1960,MATCH(40,Engine!$C$2:$C$1960,0)))</f>
        <v/>
      </c>
      <c r="J53" s="8">
        <f>IF(ISNA(MATCH(40,Engine!$C$2:$C$1960,0)),"",INDEX('Compliance Database'!$J$2:$J$1960,MATCH(40,Engine!$C$2:$C$1960,0)))</f>
        <v/>
      </c>
      <c r="K53" s="9">
        <f>IF(ISNA(MATCH(40,Engine!$C$2:$C$1960,0)),"",INDEX('Compliance Database'!$K$2:$K$1960,MATCH(40,Engine!$C$2:$C$1960,0)))</f>
        <v/>
      </c>
      <c r="L53" s="9">
        <f>IF(ISNA(MATCH(40,Engine!$C$2:$C$1960,0)),"",INDEX('Compliance Database'!$L$2:$L$1960,MATCH(40,Engine!$C$2:$C$1960,0)))</f>
        <v/>
      </c>
      <c r="M53" s="9">
        <f>IF(ISNA(MATCH(40,Engine!$C$2:$C$1960,0)),"",INDEX('Compliance Database'!$M$2:$M$1960,MATCH(40,Engine!$C$2:$C$1960,0)))</f>
        <v/>
      </c>
      <c r="N53" s="9">
        <f>IF(ISNA(MATCH(40,Engine!$C$2:$C$1960,0)),"",INDEX('Compliance Database'!$N$2:$N$1960,MATCH(40,Engine!$C$2:$C$1960,0)))</f>
        <v/>
      </c>
      <c r="O53" s="9">
        <f>IF(ISNA(MATCH(40,Engine!$C$2:$C$1960,0)),"",INDEX('Compliance Database'!$O$2:$O$1960,MATCH(40,Engine!$C$2:$C$1960,0)))</f>
        <v/>
      </c>
      <c r="P53" s="8">
        <f>IF(ISNA(MATCH(40,Engine!$C$2:$C$1960,0)),"",HYPERLINK("#Acts!A"&amp;INDEX('Compliance Database'!$P$2:$P$1960,MATCH(40,Engine!$C$2:$C$1960,0)),"Go to Act"))</f>
        <v/>
      </c>
    </row>
    <row r="54" ht="158" customHeight="1">
      <c r="A54" s="8">
        <f>IF(ISNA(MATCH(41,Engine!$C$2:$C$1960,0)),"",INDEX('Compliance Database'!$A$2:$A$1960,MATCH(41,Engine!$C$2:$C$1960,0)))</f>
        <v/>
      </c>
      <c r="B54" s="8">
        <f>IF(ISNA(MATCH(41,Engine!$C$2:$C$1960,0)),"",INDEX('Compliance Database'!$B$2:$B$1960,MATCH(41,Engine!$C$2:$C$1960,0)))</f>
        <v/>
      </c>
      <c r="C54" s="8">
        <f>IF(ISNA(MATCH(41,Engine!$C$2:$C$1960,0)),"",INDEX('Compliance Database'!$C$2:$C$1960,MATCH(41,Engine!$C$2:$C$1960,0)))</f>
        <v/>
      </c>
      <c r="D54" s="9">
        <f>IF(ISNA(MATCH(41,Engine!$C$2:$C$1960,0)),"",INDEX('Compliance Database'!$D$2:$D$1960,MATCH(41,Engine!$C$2:$C$1960,0)))</f>
        <v/>
      </c>
      <c r="E54" s="8">
        <f>IF(ISNA(MATCH(41,Engine!$C$2:$C$1960,0)),"",INDEX('Compliance Database'!$E$2:$E$1960,MATCH(41,Engine!$C$2:$C$1960,0)))</f>
        <v/>
      </c>
      <c r="F54" s="8">
        <f>IF(ISNA(MATCH(41,Engine!$C$2:$C$1960,0)),"",INDEX('Compliance Database'!$F$2:$F$1960,MATCH(41,Engine!$C$2:$C$1960,0)))</f>
        <v/>
      </c>
      <c r="G54" s="8">
        <f>IF(ISNA(MATCH(41,Engine!$C$2:$C$1960,0)),"",INDEX('Compliance Database'!$G$2:$G$1960,MATCH(41,Engine!$C$2:$C$1960,0)))</f>
        <v/>
      </c>
      <c r="H54" s="9">
        <f>IF(ISNA(MATCH(41,Engine!$C$2:$C$1960,0)),"",INDEX('Compliance Database'!$H$2:$H$1960,MATCH(41,Engine!$C$2:$C$1960,0)))</f>
        <v/>
      </c>
      <c r="I54" s="9">
        <f>IF(ISNA(MATCH(41,Engine!$C$2:$C$1960,0)),"",INDEX('Compliance Database'!$I$2:$I$1960,MATCH(41,Engine!$C$2:$C$1960,0)))</f>
        <v/>
      </c>
      <c r="J54" s="8">
        <f>IF(ISNA(MATCH(41,Engine!$C$2:$C$1960,0)),"",INDEX('Compliance Database'!$J$2:$J$1960,MATCH(41,Engine!$C$2:$C$1960,0)))</f>
        <v/>
      </c>
      <c r="K54" s="9">
        <f>IF(ISNA(MATCH(41,Engine!$C$2:$C$1960,0)),"",INDEX('Compliance Database'!$K$2:$K$1960,MATCH(41,Engine!$C$2:$C$1960,0)))</f>
        <v/>
      </c>
      <c r="L54" s="9">
        <f>IF(ISNA(MATCH(41,Engine!$C$2:$C$1960,0)),"",INDEX('Compliance Database'!$L$2:$L$1960,MATCH(41,Engine!$C$2:$C$1960,0)))</f>
        <v/>
      </c>
      <c r="M54" s="9">
        <f>IF(ISNA(MATCH(41,Engine!$C$2:$C$1960,0)),"",INDEX('Compliance Database'!$M$2:$M$1960,MATCH(41,Engine!$C$2:$C$1960,0)))</f>
        <v/>
      </c>
      <c r="N54" s="9">
        <f>IF(ISNA(MATCH(41,Engine!$C$2:$C$1960,0)),"",INDEX('Compliance Database'!$N$2:$N$1960,MATCH(41,Engine!$C$2:$C$1960,0)))</f>
        <v/>
      </c>
      <c r="O54" s="9">
        <f>IF(ISNA(MATCH(41,Engine!$C$2:$C$1960,0)),"",INDEX('Compliance Database'!$O$2:$O$1960,MATCH(41,Engine!$C$2:$C$1960,0)))</f>
        <v/>
      </c>
      <c r="P54" s="8">
        <f>IF(ISNA(MATCH(41,Engine!$C$2:$C$1960,0)),"",HYPERLINK("#Acts!A"&amp;INDEX('Compliance Database'!$P$2:$P$1960,MATCH(41,Engine!$C$2:$C$1960,0)),"Go to Act"))</f>
        <v/>
      </c>
    </row>
    <row r="55" ht="158" customHeight="1">
      <c r="A55" s="8">
        <f>IF(ISNA(MATCH(42,Engine!$C$2:$C$1960,0)),"",INDEX('Compliance Database'!$A$2:$A$1960,MATCH(42,Engine!$C$2:$C$1960,0)))</f>
        <v/>
      </c>
      <c r="B55" s="8">
        <f>IF(ISNA(MATCH(42,Engine!$C$2:$C$1960,0)),"",INDEX('Compliance Database'!$B$2:$B$1960,MATCH(42,Engine!$C$2:$C$1960,0)))</f>
        <v/>
      </c>
      <c r="C55" s="8">
        <f>IF(ISNA(MATCH(42,Engine!$C$2:$C$1960,0)),"",INDEX('Compliance Database'!$C$2:$C$1960,MATCH(42,Engine!$C$2:$C$1960,0)))</f>
        <v/>
      </c>
      <c r="D55" s="9">
        <f>IF(ISNA(MATCH(42,Engine!$C$2:$C$1960,0)),"",INDEX('Compliance Database'!$D$2:$D$1960,MATCH(42,Engine!$C$2:$C$1960,0)))</f>
        <v/>
      </c>
      <c r="E55" s="8">
        <f>IF(ISNA(MATCH(42,Engine!$C$2:$C$1960,0)),"",INDEX('Compliance Database'!$E$2:$E$1960,MATCH(42,Engine!$C$2:$C$1960,0)))</f>
        <v/>
      </c>
      <c r="F55" s="8">
        <f>IF(ISNA(MATCH(42,Engine!$C$2:$C$1960,0)),"",INDEX('Compliance Database'!$F$2:$F$1960,MATCH(42,Engine!$C$2:$C$1960,0)))</f>
        <v/>
      </c>
      <c r="G55" s="8">
        <f>IF(ISNA(MATCH(42,Engine!$C$2:$C$1960,0)),"",INDEX('Compliance Database'!$G$2:$G$1960,MATCH(42,Engine!$C$2:$C$1960,0)))</f>
        <v/>
      </c>
      <c r="H55" s="9">
        <f>IF(ISNA(MATCH(42,Engine!$C$2:$C$1960,0)),"",INDEX('Compliance Database'!$H$2:$H$1960,MATCH(42,Engine!$C$2:$C$1960,0)))</f>
        <v/>
      </c>
      <c r="I55" s="9">
        <f>IF(ISNA(MATCH(42,Engine!$C$2:$C$1960,0)),"",INDEX('Compliance Database'!$I$2:$I$1960,MATCH(42,Engine!$C$2:$C$1960,0)))</f>
        <v/>
      </c>
      <c r="J55" s="8">
        <f>IF(ISNA(MATCH(42,Engine!$C$2:$C$1960,0)),"",INDEX('Compliance Database'!$J$2:$J$1960,MATCH(42,Engine!$C$2:$C$1960,0)))</f>
        <v/>
      </c>
      <c r="K55" s="9">
        <f>IF(ISNA(MATCH(42,Engine!$C$2:$C$1960,0)),"",INDEX('Compliance Database'!$K$2:$K$1960,MATCH(42,Engine!$C$2:$C$1960,0)))</f>
        <v/>
      </c>
      <c r="L55" s="9">
        <f>IF(ISNA(MATCH(42,Engine!$C$2:$C$1960,0)),"",INDEX('Compliance Database'!$L$2:$L$1960,MATCH(42,Engine!$C$2:$C$1960,0)))</f>
        <v/>
      </c>
      <c r="M55" s="9">
        <f>IF(ISNA(MATCH(42,Engine!$C$2:$C$1960,0)),"",INDEX('Compliance Database'!$M$2:$M$1960,MATCH(42,Engine!$C$2:$C$1960,0)))</f>
        <v/>
      </c>
      <c r="N55" s="9">
        <f>IF(ISNA(MATCH(42,Engine!$C$2:$C$1960,0)),"",INDEX('Compliance Database'!$N$2:$N$1960,MATCH(42,Engine!$C$2:$C$1960,0)))</f>
        <v/>
      </c>
      <c r="O55" s="9">
        <f>IF(ISNA(MATCH(42,Engine!$C$2:$C$1960,0)),"",INDEX('Compliance Database'!$O$2:$O$1960,MATCH(42,Engine!$C$2:$C$1960,0)))</f>
        <v/>
      </c>
      <c r="P55" s="8">
        <f>IF(ISNA(MATCH(42,Engine!$C$2:$C$1960,0)),"",HYPERLINK("#Acts!A"&amp;INDEX('Compliance Database'!$P$2:$P$1960,MATCH(42,Engine!$C$2:$C$1960,0)),"Go to Act"))</f>
        <v/>
      </c>
    </row>
    <row r="56" ht="158" customHeight="1">
      <c r="A56" s="8">
        <f>IF(ISNA(MATCH(43,Engine!$C$2:$C$1960,0)),"",INDEX('Compliance Database'!$A$2:$A$1960,MATCH(43,Engine!$C$2:$C$1960,0)))</f>
        <v/>
      </c>
      <c r="B56" s="8">
        <f>IF(ISNA(MATCH(43,Engine!$C$2:$C$1960,0)),"",INDEX('Compliance Database'!$B$2:$B$1960,MATCH(43,Engine!$C$2:$C$1960,0)))</f>
        <v/>
      </c>
      <c r="C56" s="8">
        <f>IF(ISNA(MATCH(43,Engine!$C$2:$C$1960,0)),"",INDEX('Compliance Database'!$C$2:$C$1960,MATCH(43,Engine!$C$2:$C$1960,0)))</f>
        <v/>
      </c>
      <c r="D56" s="9">
        <f>IF(ISNA(MATCH(43,Engine!$C$2:$C$1960,0)),"",INDEX('Compliance Database'!$D$2:$D$1960,MATCH(43,Engine!$C$2:$C$1960,0)))</f>
        <v/>
      </c>
      <c r="E56" s="8">
        <f>IF(ISNA(MATCH(43,Engine!$C$2:$C$1960,0)),"",INDEX('Compliance Database'!$E$2:$E$1960,MATCH(43,Engine!$C$2:$C$1960,0)))</f>
        <v/>
      </c>
      <c r="F56" s="8">
        <f>IF(ISNA(MATCH(43,Engine!$C$2:$C$1960,0)),"",INDEX('Compliance Database'!$F$2:$F$1960,MATCH(43,Engine!$C$2:$C$1960,0)))</f>
        <v/>
      </c>
      <c r="G56" s="8">
        <f>IF(ISNA(MATCH(43,Engine!$C$2:$C$1960,0)),"",INDEX('Compliance Database'!$G$2:$G$1960,MATCH(43,Engine!$C$2:$C$1960,0)))</f>
        <v/>
      </c>
      <c r="H56" s="9">
        <f>IF(ISNA(MATCH(43,Engine!$C$2:$C$1960,0)),"",INDEX('Compliance Database'!$H$2:$H$1960,MATCH(43,Engine!$C$2:$C$1960,0)))</f>
        <v/>
      </c>
      <c r="I56" s="9">
        <f>IF(ISNA(MATCH(43,Engine!$C$2:$C$1960,0)),"",INDEX('Compliance Database'!$I$2:$I$1960,MATCH(43,Engine!$C$2:$C$1960,0)))</f>
        <v/>
      </c>
      <c r="J56" s="8">
        <f>IF(ISNA(MATCH(43,Engine!$C$2:$C$1960,0)),"",INDEX('Compliance Database'!$J$2:$J$1960,MATCH(43,Engine!$C$2:$C$1960,0)))</f>
        <v/>
      </c>
      <c r="K56" s="9">
        <f>IF(ISNA(MATCH(43,Engine!$C$2:$C$1960,0)),"",INDEX('Compliance Database'!$K$2:$K$1960,MATCH(43,Engine!$C$2:$C$1960,0)))</f>
        <v/>
      </c>
      <c r="L56" s="9">
        <f>IF(ISNA(MATCH(43,Engine!$C$2:$C$1960,0)),"",INDEX('Compliance Database'!$L$2:$L$1960,MATCH(43,Engine!$C$2:$C$1960,0)))</f>
        <v/>
      </c>
      <c r="M56" s="9">
        <f>IF(ISNA(MATCH(43,Engine!$C$2:$C$1960,0)),"",INDEX('Compliance Database'!$M$2:$M$1960,MATCH(43,Engine!$C$2:$C$1960,0)))</f>
        <v/>
      </c>
      <c r="N56" s="9">
        <f>IF(ISNA(MATCH(43,Engine!$C$2:$C$1960,0)),"",INDEX('Compliance Database'!$N$2:$N$1960,MATCH(43,Engine!$C$2:$C$1960,0)))</f>
        <v/>
      </c>
      <c r="O56" s="9">
        <f>IF(ISNA(MATCH(43,Engine!$C$2:$C$1960,0)),"",INDEX('Compliance Database'!$O$2:$O$1960,MATCH(43,Engine!$C$2:$C$1960,0)))</f>
        <v/>
      </c>
      <c r="P56" s="8">
        <f>IF(ISNA(MATCH(43,Engine!$C$2:$C$1960,0)),"",HYPERLINK("#Acts!A"&amp;INDEX('Compliance Database'!$P$2:$P$1960,MATCH(43,Engine!$C$2:$C$1960,0)),"Go to Act"))</f>
        <v/>
      </c>
    </row>
    <row r="57" ht="158" customHeight="1">
      <c r="A57" s="8">
        <f>IF(ISNA(MATCH(44,Engine!$C$2:$C$1960,0)),"",INDEX('Compliance Database'!$A$2:$A$1960,MATCH(44,Engine!$C$2:$C$1960,0)))</f>
        <v/>
      </c>
      <c r="B57" s="8">
        <f>IF(ISNA(MATCH(44,Engine!$C$2:$C$1960,0)),"",INDEX('Compliance Database'!$B$2:$B$1960,MATCH(44,Engine!$C$2:$C$1960,0)))</f>
        <v/>
      </c>
      <c r="C57" s="8">
        <f>IF(ISNA(MATCH(44,Engine!$C$2:$C$1960,0)),"",INDEX('Compliance Database'!$C$2:$C$1960,MATCH(44,Engine!$C$2:$C$1960,0)))</f>
        <v/>
      </c>
      <c r="D57" s="9">
        <f>IF(ISNA(MATCH(44,Engine!$C$2:$C$1960,0)),"",INDEX('Compliance Database'!$D$2:$D$1960,MATCH(44,Engine!$C$2:$C$1960,0)))</f>
        <v/>
      </c>
      <c r="E57" s="8">
        <f>IF(ISNA(MATCH(44,Engine!$C$2:$C$1960,0)),"",INDEX('Compliance Database'!$E$2:$E$1960,MATCH(44,Engine!$C$2:$C$1960,0)))</f>
        <v/>
      </c>
      <c r="F57" s="8">
        <f>IF(ISNA(MATCH(44,Engine!$C$2:$C$1960,0)),"",INDEX('Compliance Database'!$F$2:$F$1960,MATCH(44,Engine!$C$2:$C$1960,0)))</f>
        <v/>
      </c>
      <c r="G57" s="8">
        <f>IF(ISNA(MATCH(44,Engine!$C$2:$C$1960,0)),"",INDEX('Compliance Database'!$G$2:$G$1960,MATCH(44,Engine!$C$2:$C$1960,0)))</f>
        <v/>
      </c>
      <c r="H57" s="9">
        <f>IF(ISNA(MATCH(44,Engine!$C$2:$C$1960,0)),"",INDEX('Compliance Database'!$H$2:$H$1960,MATCH(44,Engine!$C$2:$C$1960,0)))</f>
        <v/>
      </c>
      <c r="I57" s="9">
        <f>IF(ISNA(MATCH(44,Engine!$C$2:$C$1960,0)),"",INDEX('Compliance Database'!$I$2:$I$1960,MATCH(44,Engine!$C$2:$C$1960,0)))</f>
        <v/>
      </c>
      <c r="J57" s="8">
        <f>IF(ISNA(MATCH(44,Engine!$C$2:$C$1960,0)),"",INDEX('Compliance Database'!$J$2:$J$1960,MATCH(44,Engine!$C$2:$C$1960,0)))</f>
        <v/>
      </c>
      <c r="K57" s="9">
        <f>IF(ISNA(MATCH(44,Engine!$C$2:$C$1960,0)),"",INDEX('Compliance Database'!$K$2:$K$1960,MATCH(44,Engine!$C$2:$C$1960,0)))</f>
        <v/>
      </c>
      <c r="L57" s="9">
        <f>IF(ISNA(MATCH(44,Engine!$C$2:$C$1960,0)),"",INDEX('Compliance Database'!$L$2:$L$1960,MATCH(44,Engine!$C$2:$C$1960,0)))</f>
        <v/>
      </c>
      <c r="M57" s="9">
        <f>IF(ISNA(MATCH(44,Engine!$C$2:$C$1960,0)),"",INDEX('Compliance Database'!$M$2:$M$1960,MATCH(44,Engine!$C$2:$C$1960,0)))</f>
        <v/>
      </c>
      <c r="N57" s="9">
        <f>IF(ISNA(MATCH(44,Engine!$C$2:$C$1960,0)),"",INDEX('Compliance Database'!$N$2:$N$1960,MATCH(44,Engine!$C$2:$C$1960,0)))</f>
        <v/>
      </c>
      <c r="O57" s="9">
        <f>IF(ISNA(MATCH(44,Engine!$C$2:$C$1960,0)),"",INDEX('Compliance Database'!$O$2:$O$1960,MATCH(44,Engine!$C$2:$C$1960,0)))</f>
        <v/>
      </c>
      <c r="P57" s="8">
        <f>IF(ISNA(MATCH(44,Engine!$C$2:$C$1960,0)),"",HYPERLINK("#Acts!A"&amp;INDEX('Compliance Database'!$P$2:$P$1960,MATCH(44,Engine!$C$2:$C$1960,0)),"Go to Act"))</f>
        <v/>
      </c>
    </row>
    <row r="58" ht="158" customHeight="1">
      <c r="A58" s="8">
        <f>IF(ISNA(MATCH(45,Engine!$C$2:$C$1960,0)),"",INDEX('Compliance Database'!$A$2:$A$1960,MATCH(45,Engine!$C$2:$C$1960,0)))</f>
        <v/>
      </c>
      <c r="B58" s="8">
        <f>IF(ISNA(MATCH(45,Engine!$C$2:$C$1960,0)),"",INDEX('Compliance Database'!$B$2:$B$1960,MATCH(45,Engine!$C$2:$C$1960,0)))</f>
        <v/>
      </c>
      <c r="C58" s="8">
        <f>IF(ISNA(MATCH(45,Engine!$C$2:$C$1960,0)),"",INDEX('Compliance Database'!$C$2:$C$1960,MATCH(45,Engine!$C$2:$C$1960,0)))</f>
        <v/>
      </c>
      <c r="D58" s="9">
        <f>IF(ISNA(MATCH(45,Engine!$C$2:$C$1960,0)),"",INDEX('Compliance Database'!$D$2:$D$1960,MATCH(45,Engine!$C$2:$C$1960,0)))</f>
        <v/>
      </c>
      <c r="E58" s="8">
        <f>IF(ISNA(MATCH(45,Engine!$C$2:$C$1960,0)),"",INDEX('Compliance Database'!$E$2:$E$1960,MATCH(45,Engine!$C$2:$C$1960,0)))</f>
        <v/>
      </c>
      <c r="F58" s="8">
        <f>IF(ISNA(MATCH(45,Engine!$C$2:$C$1960,0)),"",INDEX('Compliance Database'!$F$2:$F$1960,MATCH(45,Engine!$C$2:$C$1960,0)))</f>
        <v/>
      </c>
      <c r="G58" s="8">
        <f>IF(ISNA(MATCH(45,Engine!$C$2:$C$1960,0)),"",INDEX('Compliance Database'!$G$2:$G$1960,MATCH(45,Engine!$C$2:$C$1960,0)))</f>
        <v/>
      </c>
      <c r="H58" s="9">
        <f>IF(ISNA(MATCH(45,Engine!$C$2:$C$1960,0)),"",INDEX('Compliance Database'!$H$2:$H$1960,MATCH(45,Engine!$C$2:$C$1960,0)))</f>
        <v/>
      </c>
      <c r="I58" s="9">
        <f>IF(ISNA(MATCH(45,Engine!$C$2:$C$1960,0)),"",INDEX('Compliance Database'!$I$2:$I$1960,MATCH(45,Engine!$C$2:$C$1960,0)))</f>
        <v/>
      </c>
      <c r="J58" s="8">
        <f>IF(ISNA(MATCH(45,Engine!$C$2:$C$1960,0)),"",INDEX('Compliance Database'!$J$2:$J$1960,MATCH(45,Engine!$C$2:$C$1960,0)))</f>
        <v/>
      </c>
      <c r="K58" s="9">
        <f>IF(ISNA(MATCH(45,Engine!$C$2:$C$1960,0)),"",INDEX('Compliance Database'!$K$2:$K$1960,MATCH(45,Engine!$C$2:$C$1960,0)))</f>
        <v/>
      </c>
      <c r="L58" s="9">
        <f>IF(ISNA(MATCH(45,Engine!$C$2:$C$1960,0)),"",INDEX('Compliance Database'!$L$2:$L$1960,MATCH(45,Engine!$C$2:$C$1960,0)))</f>
        <v/>
      </c>
      <c r="M58" s="9">
        <f>IF(ISNA(MATCH(45,Engine!$C$2:$C$1960,0)),"",INDEX('Compliance Database'!$M$2:$M$1960,MATCH(45,Engine!$C$2:$C$1960,0)))</f>
        <v/>
      </c>
      <c r="N58" s="9">
        <f>IF(ISNA(MATCH(45,Engine!$C$2:$C$1960,0)),"",INDEX('Compliance Database'!$N$2:$N$1960,MATCH(45,Engine!$C$2:$C$1960,0)))</f>
        <v/>
      </c>
      <c r="O58" s="9">
        <f>IF(ISNA(MATCH(45,Engine!$C$2:$C$1960,0)),"",INDEX('Compliance Database'!$O$2:$O$1960,MATCH(45,Engine!$C$2:$C$1960,0)))</f>
        <v/>
      </c>
      <c r="P58" s="8">
        <f>IF(ISNA(MATCH(45,Engine!$C$2:$C$1960,0)),"",HYPERLINK("#Acts!A"&amp;INDEX('Compliance Database'!$P$2:$P$1960,MATCH(45,Engine!$C$2:$C$1960,0)),"Go to Act"))</f>
        <v/>
      </c>
    </row>
    <row r="59" ht="158" customHeight="1">
      <c r="A59" s="8">
        <f>IF(ISNA(MATCH(46,Engine!$C$2:$C$1960,0)),"",INDEX('Compliance Database'!$A$2:$A$1960,MATCH(46,Engine!$C$2:$C$1960,0)))</f>
        <v/>
      </c>
      <c r="B59" s="8">
        <f>IF(ISNA(MATCH(46,Engine!$C$2:$C$1960,0)),"",INDEX('Compliance Database'!$B$2:$B$1960,MATCH(46,Engine!$C$2:$C$1960,0)))</f>
        <v/>
      </c>
      <c r="C59" s="8">
        <f>IF(ISNA(MATCH(46,Engine!$C$2:$C$1960,0)),"",INDEX('Compliance Database'!$C$2:$C$1960,MATCH(46,Engine!$C$2:$C$1960,0)))</f>
        <v/>
      </c>
      <c r="D59" s="9">
        <f>IF(ISNA(MATCH(46,Engine!$C$2:$C$1960,0)),"",INDEX('Compliance Database'!$D$2:$D$1960,MATCH(46,Engine!$C$2:$C$1960,0)))</f>
        <v/>
      </c>
      <c r="E59" s="8">
        <f>IF(ISNA(MATCH(46,Engine!$C$2:$C$1960,0)),"",INDEX('Compliance Database'!$E$2:$E$1960,MATCH(46,Engine!$C$2:$C$1960,0)))</f>
        <v/>
      </c>
      <c r="F59" s="8">
        <f>IF(ISNA(MATCH(46,Engine!$C$2:$C$1960,0)),"",INDEX('Compliance Database'!$F$2:$F$1960,MATCH(46,Engine!$C$2:$C$1960,0)))</f>
        <v/>
      </c>
      <c r="G59" s="8">
        <f>IF(ISNA(MATCH(46,Engine!$C$2:$C$1960,0)),"",INDEX('Compliance Database'!$G$2:$G$1960,MATCH(46,Engine!$C$2:$C$1960,0)))</f>
        <v/>
      </c>
      <c r="H59" s="9">
        <f>IF(ISNA(MATCH(46,Engine!$C$2:$C$1960,0)),"",INDEX('Compliance Database'!$H$2:$H$1960,MATCH(46,Engine!$C$2:$C$1960,0)))</f>
        <v/>
      </c>
      <c r="I59" s="9">
        <f>IF(ISNA(MATCH(46,Engine!$C$2:$C$1960,0)),"",INDEX('Compliance Database'!$I$2:$I$1960,MATCH(46,Engine!$C$2:$C$1960,0)))</f>
        <v/>
      </c>
      <c r="J59" s="8">
        <f>IF(ISNA(MATCH(46,Engine!$C$2:$C$1960,0)),"",INDEX('Compliance Database'!$J$2:$J$1960,MATCH(46,Engine!$C$2:$C$1960,0)))</f>
        <v/>
      </c>
      <c r="K59" s="9">
        <f>IF(ISNA(MATCH(46,Engine!$C$2:$C$1960,0)),"",INDEX('Compliance Database'!$K$2:$K$1960,MATCH(46,Engine!$C$2:$C$1960,0)))</f>
        <v/>
      </c>
      <c r="L59" s="9">
        <f>IF(ISNA(MATCH(46,Engine!$C$2:$C$1960,0)),"",INDEX('Compliance Database'!$L$2:$L$1960,MATCH(46,Engine!$C$2:$C$1960,0)))</f>
        <v/>
      </c>
      <c r="M59" s="9">
        <f>IF(ISNA(MATCH(46,Engine!$C$2:$C$1960,0)),"",INDEX('Compliance Database'!$M$2:$M$1960,MATCH(46,Engine!$C$2:$C$1960,0)))</f>
        <v/>
      </c>
      <c r="N59" s="9">
        <f>IF(ISNA(MATCH(46,Engine!$C$2:$C$1960,0)),"",INDEX('Compliance Database'!$N$2:$N$1960,MATCH(46,Engine!$C$2:$C$1960,0)))</f>
        <v/>
      </c>
      <c r="O59" s="9">
        <f>IF(ISNA(MATCH(46,Engine!$C$2:$C$1960,0)),"",INDEX('Compliance Database'!$O$2:$O$1960,MATCH(46,Engine!$C$2:$C$1960,0)))</f>
        <v/>
      </c>
      <c r="P59" s="8">
        <f>IF(ISNA(MATCH(46,Engine!$C$2:$C$1960,0)),"",HYPERLINK("#Acts!A"&amp;INDEX('Compliance Database'!$P$2:$P$1960,MATCH(46,Engine!$C$2:$C$1960,0)),"Go to Act"))</f>
        <v/>
      </c>
    </row>
    <row r="60" ht="158" customHeight="1">
      <c r="A60" s="8">
        <f>IF(ISNA(MATCH(47,Engine!$C$2:$C$1960,0)),"",INDEX('Compliance Database'!$A$2:$A$1960,MATCH(47,Engine!$C$2:$C$1960,0)))</f>
        <v/>
      </c>
      <c r="B60" s="8">
        <f>IF(ISNA(MATCH(47,Engine!$C$2:$C$1960,0)),"",INDEX('Compliance Database'!$B$2:$B$1960,MATCH(47,Engine!$C$2:$C$1960,0)))</f>
        <v/>
      </c>
      <c r="C60" s="8">
        <f>IF(ISNA(MATCH(47,Engine!$C$2:$C$1960,0)),"",INDEX('Compliance Database'!$C$2:$C$1960,MATCH(47,Engine!$C$2:$C$1960,0)))</f>
        <v/>
      </c>
      <c r="D60" s="9">
        <f>IF(ISNA(MATCH(47,Engine!$C$2:$C$1960,0)),"",INDEX('Compliance Database'!$D$2:$D$1960,MATCH(47,Engine!$C$2:$C$1960,0)))</f>
        <v/>
      </c>
      <c r="E60" s="8">
        <f>IF(ISNA(MATCH(47,Engine!$C$2:$C$1960,0)),"",INDEX('Compliance Database'!$E$2:$E$1960,MATCH(47,Engine!$C$2:$C$1960,0)))</f>
        <v/>
      </c>
      <c r="F60" s="8">
        <f>IF(ISNA(MATCH(47,Engine!$C$2:$C$1960,0)),"",INDEX('Compliance Database'!$F$2:$F$1960,MATCH(47,Engine!$C$2:$C$1960,0)))</f>
        <v/>
      </c>
      <c r="G60" s="8">
        <f>IF(ISNA(MATCH(47,Engine!$C$2:$C$1960,0)),"",INDEX('Compliance Database'!$G$2:$G$1960,MATCH(47,Engine!$C$2:$C$1960,0)))</f>
        <v/>
      </c>
      <c r="H60" s="9">
        <f>IF(ISNA(MATCH(47,Engine!$C$2:$C$1960,0)),"",INDEX('Compliance Database'!$H$2:$H$1960,MATCH(47,Engine!$C$2:$C$1960,0)))</f>
        <v/>
      </c>
      <c r="I60" s="9">
        <f>IF(ISNA(MATCH(47,Engine!$C$2:$C$1960,0)),"",INDEX('Compliance Database'!$I$2:$I$1960,MATCH(47,Engine!$C$2:$C$1960,0)))</f>
        <v/>
      </c>
      <c r="J60" s="8">
        <f>IF(ISNA(MATCH(47,Engine!$C$2:$C$1960,0)),"",INDEX('Compliance Database'!$J$2:$J$1960,MATCH(47,Engine!$C$2:$C$1960,0)))</f>
        <v/>
      </c>
      <c r="K60" s="9">
        <f>IF(ISNA(MATCH(47,Engine!$C$2:$C$1960,0)),"",INDEX('Compliance Database'!$K$2:$K$1960,MATCH(47,Engine!$C$2:$C$1960,0)))</f>
        <v/>
      </c>
      <c r="L60" s="9">
        <f>IF(ISNA(MATCH(47,Engine!$C$2:$C$1960,0)),"",INDEX('Compliance Database'!$L$2:$L$1960,MATCH(47,Engine!$C$2:$C$1960,0)))</f>
        <v/>
      </c>
      <c r="M60" s="9">
        <f>IF(ISNA(MATCH(47,Engine!$C$2:$C$1960,0)),"",INDEX('Compliance Database'!$M$2:$M$1960,MATCH(47,Engine!$C$2:$C$1960,0)))</f>
        <v/>
      </c>
      <c r="N60" s="9">
        <f>IF(ISNA(MATCH(47,Engine!$C$2:$C$1960,0)),"",INDEX('Compliance Database'!$N$2:$N$1960,MATCH(47,Engine!$C$2:$C$1960,0)))</f>
        <v/>
      </c>
      <c r="O60" s="9">
        <f>IF(ISNA(MATCH(47,Engine!$C$2:$C$1960,0)),"",INDEX('Compliance Database'!$O$2:$O$1960,MATCH(47,Engine!$C$2:$C$1960,0)))</f>
        <v/>
      </c>
      <c r="P60" s="8">
        <f>IF(ISNA(MATCH(47,Engine!$C$2:$C$1960,0)),"",HYPERLINK("#Acts!A"&amp;INDEX('Compliance Database'!$P$2:$P$1960,MATCH(47,Engine!$C$2:$C$1960,0)),"Go to Act"))</f>
        <v/>
      </c>
    </row>
    <row r="61" ht="158" customHeight="1">
      <c r="A61" s="8">
        <f>IF(ISNA(MATCH(48,Engine!$C$2:$C$1960,0)),"",INDEX('Compliance Database'!$A$2:$A$1960,MATCH(48,Engine!$C$2:$C$1960,0)))</f>
        <v/>
      </c>
      <c r="B61" s="8">
        <f>IF(ISNA(MATCH(48,Engine!$C$2:$C$1960,0)),"",INDEX('Compliance Database'!$B$2:$B$1960,MATCH(48,Engine!$C$2:$C$1960,0)))</f>
        <v/>
      </c>
      <c r="C61" s="8">
        <f>IF(ISNA(MATCH(48,Engine!$C$2:$C$1960,0)),"",INDEX('Compliance Database'!$C$2:$C$1960,MATCH(48,Engine!$C$2:$C$1960,0)))</f>
        <v/>
      </c>
      <c r="D61" s="9">
        <f>IF(ISNA(MATCH(48,Engine!$C$2:$C$1960,0)),"",INDEX('Compliance Database'!$D$2:$D$1960,MATCH(48,Engine!$C$2:$C$1960,0)))</f>
        <v/>
      </c>
      <c r="E61" s="8">
        <f>IF(ISNA(MATCH(48,Engine!$C$2:$C$1960,0)),"",INDEX('Compliance Database'!$E$2:$E$1960,MATCH(48,Engine!$C$2:$C$1960,0)))</f>
        <v/>
      </c>
      <c r="F61" s="8">
        <f>IF(ISNA(MATCH(48,Engine!$C$2:$C$1960,0)),"",INDEX('Compliance Database'!$F$2:$F$1960,MATCH(48,Engine!$C$2:$C$1960,0)))</f>
        <v/>
      </c>
      <c r="G61" s="8">
        <f>IF(ISNA(MATCH(48,Engine!$C$2:$C$1960,0)),"",INDEX('Compliance Database'!$G$2:$G$1960,MATCH(48,Engine!$C$2:$C$1960,0)))</f>
        <v/>
      </c>
      <c r="H61" s="9">
        <f>IF(ISNA(MATCH(48,Engine!$C$2:$C$1960,0)),"",INDEX('Compliance Database'!$H$2:$H$1960,MATCH(48,Engine!$C$2:$C$1960,0)))</f>
        <v/>
      </c>
      <c r="I61" s="9">
        <f>IF(ISNA(MATCH(48,Engine!$C$2:$C$1960,0)),"",INDEX('Compliance Database'!$I$2:$I$1960,MATCH(48,Engine!$C$2:$C$1960,0)))</f>
        <v/>
      </c>
      <c r="J61" s="8">
        <f>IF(ISNA(MATCH(48,Engine!$C$2:$C$1960,0)),"",INDEX('Compliance Database'!$J$2:$J$1960,MATCH(48,Engine!$C$2:$C$1960,0)))</f>
        <v/>
      </c>
      <c r="K61" s="9">
        <f>IF(ISNA(MATCH(48,Engine!$C$2:$C$1960,0)),"",INDEX('Compliance Database'!$K$2:$K$1960,MATCH(48,Engine!$C$2:$C$1960,0)))</f>
        <v/>
      </c>
      <c r="L61" s="9">
        <f>IF(ISNA(MATCH(48,Engine!$C$2:$C$1960,0)),"",INDEX('Compliance Database'!$L$2:$L$1960,MATCH(48,Engine!$C$2:$C$1960,0)))</f>
        <v/>
      </c>
      <c r="M61" s="9">
        <f>IF(ISNA(MATCH(48,Engine!$C$2:$C$1960,0)),"",INDEX('Compliance Database'!$M$2:$M$1960,MATCH(48,Engine!$C$2:$C$1960,0)))</f>
        <v/>
      </c>
      <c r="N61" s="9">
        <f>IF(ISNA(MATCH(48,Engine!$C$2:$C$1960,0)),"",INDEX('Compliance Database'!$N$2:$N$1960,MATCH(48,Engine!$C$2:$C$1960,0)))</f>
        <v/>
      </c>
      <c r="O61" s="9">
        <f>IF(ISNA(MATCH(48,Engine!$C$2:$C$1960,0)),"",INDEX('Compliance Database'!$O$2:$O$1960,MATCH(48,Engine!$C$2:$C$1960,0)))</f>
        <v/>
      </c>
      <c r="P61" s="8">
        <f>IF(ISNA(MATCH(48,Engine!$C$2:$C$1960,0)),"",HYPERLINK("#Acts!A"&amp;INDEX('Compliance Database'!$P$2:$P$1960,MATCH(48,Engine!$C$2:$C$1960,0)),"Go to Act"))</f>
        <v/>
      </c>
    </row>
    <row r="62" ht="158" customHeight="1">
      <c r="A62" s="8">
        <f>IF(ISNA(MATCH(49,Engine!$C$2:$C$1960,0)),"",INDEX('Compliance Database'!$A$2:$A$1960,MATCH(49,Engine!$C$2:$C$1960,0)))</f>
        <v/>
      </c>
      <c r="B62" s="8">
        <f>IF(ISNA(MATCH(49,Engine!$C$2:$C$1960,0)),"",INDEX('Compliance Database'!$B$2:$B$1960,MATCH(49,Engine!$C$2:$C$1960,0)))</f>
        <v/>
      </c>
      <c r="C62" s="8">
        <f>IF(ISNA(MATCH(49,Engine!$C$2:$C$1960,0)),"",INDEX('Compliance Database'!$C$2:$C$1960,MATCH(49,Engine!$C$2:$C$1960,0)))</f>
        <v/>
      </c>
      <c r="D62" s="9">
        <f>IF(ISNA(MATCH(49,Engine!$C$2:$C$1960,0)),"",INDEX('Compliance Database'!$D$2:$D$1960,MATCH(49,Engine!$C$2:$C$1960,0)))</f>
        <v/>
      </c>
      <c r="E62" s="8">
        <f>IF(ISNA(MATCH(49,Engine!$C$2:$C$1960,0)),"",INDEX('Compliance Database'!$E$2:$E$1960,MATCH(49,Engine!$C$2:$C$1960,0)))</f>
        <v/>
      </c>
      <c r="F62" s="8">
        <f>IF(ISNA(MATCH(49,Engine!$C$2:$C$1960,0)),"",INDEX('Compliance Database'!$F$2:$F$1960,MATCH(49,Engine!$C$2:$C$1960,0)))</f>
        <v/>
      </c>
      <c r="G62" s="8">
        <f>IF(ISNA(MATCH(49,Engine!$C$2:$C$1960,0)),"",INDEX('Compliance Database'!$G$2:$G$1960,MATCH(49,Engine!$C$2:$C$1960,0)))</f>
        <v/>
      </c>
      <c r="H62" s="9">
        <f>IF(ISNA(MATCH(49,Engine!$C$2:$C$1960,0)),"",INDEX('Compliance Database'!$H$2:$H$1960,MATCH(49,Engine!$C$2:$C$1960,0)))</f>
        <v/>
      </c>
      <c r="I62" s="9">
        <f>IF(ISNA(MATCH(49,Engine!$C$2:$C$1960,0)),"",INDEX('Compliance Database'!$I$2:$I$1960,MATCH(49,Engine!$C$2:$C$1960,0)))</f>
        <v/>
      </c>
      <c r="J62" s="8">
        <f>IF(ISNA(MATCH(49,Engine!$C$2:$C$1960,0)),"",INDEX('Compliance Database'!$J$2:$J$1960,MATCH(49,Engine!$C$2:$C$1960,0)))</f>
        <v/>
      </c>
      <c r="K62" s="9">
        <f>IF(ISNA(MATCH(49,Engine!$C$2:$C$1960,0)),"",INDEX('Compliance Database'!$K$2:$K$1960,MATCH(49,Engine!$C$2:$C$1960,0)))</f>
        <v/>
      </c>
      <c r="L62" s="9">
        <f>IF(ISNA(MATCH(49,Engine!$C$2:$C$1960,0)),"",INDEX('Compliance Database'!$L$2:$L$1960,MATCH(49,Engine!$C$2:$C$1960,0)))</f>
        <v/>
      </c>
      <c r="M62" s="9">
        <f>IF(ISNA(MATCH(49,Engine!$C$2:$C$1960,0)),"",INDEX('Compliance Database'!$M$2:$M$1960,MATCH(49,Engine!$C$2:$C$1960,0)))</f>
        <v/>
      </c>
      <c r="N62" s="9">
        <f>IF(ISNA(MATCH(49,Engine!$C$2:$C$1960,0)),"",INDEX('Compliance Database'!$N$2:$N$1960,MATCH(49,Engine!$C$2:$C$1960,0)))</f>
        <v/>
      </c>
      <c r="O62" s="9">
        <f>IF(ISNA(MATCH(49,Engine!$C$2:$C$1960,0)),"",INDEX('Compliance Database'!$O$2:$O$1960,MATCH(49,Engine!$C$2:$C$1960,0)))</f>
        <v/>
      </c>
      <c r="P62" s="8">
        <f>IF(ISNA(MATCH(49,Engine!$C$2:$C$1960,0)),"",HYPERLINK("#Acts!A"&amp;INDEX('Compliance Database'!$P$2:$P$1960,MATCH(49,Engine!$C$2:$C$1960,0)),"Go to Act"))</f>
        <v/>
      </c>
    </row>
    <row r="63" ht="158" customHeight="1">
      <c r="A63" s="8">
        <f>IF(ISNA(MATCH(50,Engine!$C$2:$C$1960,0)),"",INDEX('Compliance Database'!$A$2:$A$1960,MATCH(50,Engine!$C$2:$C$1960,0)))</f>
        <v/>
      </c>
      <c r="B63" s="8">
        <f>IF(ISNA(MATCH(50,Engine!$C$2:$C$1960,0)),"",INDEX('Compliance Database'!$B$2:$B$1960,MATCH(50,Engine!$C$2:$C$1960,0)))</f>
        <v/>
      </c>
      <c r="C63" s="8">
        <f>IF(ISNA(MATCH(50,Engine!$C$2:$C$1960,0)),"",INDEX('Compliance Database'!$C$2:$C$1960,MATCH(50,Engine!$C$2:$C$1960,0)))</f>
        <v/>
      </c>
      <c r="D63" s="9">
        <f>IF(ISNA(MATCH(50,Engine!$C$2:$C$1960,0)),"",INDEX('Compliance Database'!$D$2:$D$1960,MATCH(50,Engine!$C$2:$C$1960,0)))</f>
        <v/>
      </c>
      <c r="E63" s="8">
        <f>IF(ISNA(MATCH(50,Engine!$C$2:$C$1960,0)),"",INDEX('Compliance Database'!$E$2:$E$1960,MATCH(50,Engine!$C$2:$C$1960,0)))</f>
        <v/>
      </c>
      <c r="F63" s="8">
        <f>IF(ISNA(MATCH(50,Engine!$C$2:$C$1960,0)),"",INDEX('Compliance Database'!$F$2:$F$1960,MATCH(50,Engine!$C$2:$C$1960,0)))</f>
        <v/>
      </c>
      <c r="G63" s="8">
        <f>IF(ISNA(MATCH(50,Engine!$C$2:$C$1960,0)),"",INDEX('Compliance Database'!$G$2:$G$1960,MATCH(50,Engine!$C$2:$C$1960,0)))</f>
        <v/>
      </c>
      <c r="H63" s="9">
        <f>IF(ISNA(MATCH(50,Engine!$C$2:$C$1960,0)),"",INDEX('Compliance Database'!$H$2:$H$1960,MATCH(50,Engine!$C$2:$C$1960,0)))</f>
        <v/>
      </c>
      <c r="I63" s="9">
        <f>IF(ISNA(MATCH(50,Engine!$C$2:$C$1960,0)),"",INDEX('Compliance Database'!$I$2:$I$1960,MATCH(50,Engine!$C$2:$C$1960,0)))</f>
        <v/>
      </c>
      <c r="J63" s="8">
        <f>IF(ISNA(MATCH(50,Engine!$C$2:$C$1960,0)),"",INDEX('Compliance Database'!$J$2:$J$1960,MATCH(50,Engine!$C$2:$C$1960,0)))</f>
        <v/>
      </c>
      <c r="K63" s="9">
        <f>IF(ISNA(MATCH(50,Engine!$C$2:$C$1960,0)),"",INDEX('Compliance Database'!$K$2:$K$1960,MATCH(50,Engine!$C$2:$C$1960,0)))</f>
        <v/>
      </c>
      <c r="L63" s="9">
        <f>IF(ISNA(MATCH(50,Engine!$C$2:$C$1960,0)),"",INDEX('Compliance Database'!$L$2:$L$1960,MATCH(50,Engine!$C$2:$C$1960,0)))</f>
        <v/>
      </c>
      <c r="M63" s="9">
        <f>IF(ISNA(MATCH(50,Engine!$C$2:$C$1960,0)),"",INDEX('Compliance Database'!$M$2:$M$1960,MATCH(50,Engine!$C$2:$C$1960,0)))</f>
        <v/>
      </c>
      <c r="N63" s="9">
        <f>IF(ISNA(MATCH(50,Engine!$C$2:$C$1960,0)),"",INDEX('Compliance Database'!$N$2:$N$1960,MATCH(50,Engine!$C$2:$C$1960,0)))</f>
        <v/>
      </c>
      <c r="O63" s="9">
        <f>IF(ISNA(MATCH(50,Engine!$C$2:$C$1960,0)),"",INDEX('Compliance Database'!$O$2:$O$1960,MATCH(50,Engine!$C$2:$C$1960,0)))</f>
        <v/>
      </c>
      <c r="P63" s="8">
        <f>IF(ISNA(MATCH(50,Engine!$C$2:$C$1960,0)),"",HYPERLINK("#Acts!A"&amp;INDEX('Compliance Database'!$P$2:$P$1960,MATCH(50,Engine!$C$2:$C$1960,0)),"Go to Act"))</f>
        <v/>
      </c>
    </row>
    <row r="64" ht="158" customHeight="1">
      <c r="A64" s="8">
        <f>IF(ISNA(MATCH(51,Engine!$C$2:$C$1960,0)),"",INDEX('Compliance Database'!$A$2:$A$1960,MATCH(51,Engine!$C$2:$C$1960,0)))</f>
        <v/>
      </c>
      <c r="B64" s="8">
        <f>IF(ISNA(MATCH(51,Engine!$C$2:$C$1960,0)),"",INDEX('Compliance Database'!$B$2:$B$1960,MATCH(51,Engine!$C$2:$C$1960,0)))</f>
        <v/>
      </c>
      <c r="C64" s="8">
        <f>IF(ISNA(MATCH(51,Engine!$C$2:$C$1960,0)),"",INDEX('Compliance Database'!$C$2:$C$1960,MATCH(51,Engine!$C$2:$C$1960,0)))</f>
        <v/>
      </c>
      <c r="D64" s="9">
        <f>IF(ISNA(MATCH(51,Engine!$C$2:$C$1960,0)),"",INDEX('Compliance Database'!$D$2:$D$1960,MATCH(51,Engine!$C$2:$C$1960,0)))</f>
        <v/>
      </c>
      <c r="E64" s="8">
        <f>IF(ISNA(MATCH(51,Engine!$C$2:$C$1960,0)),"",INDEX('Compliance Database'!$E$2:$E$1960,MATCH(51,Engine!$C$2:$C$1960,0)))</f>
        <v/>
      </c>
      <c r="F64" s="8">
        <f>IF(ISNA(MATCH(51,Engine!$C$2:$C$1960,0)),"",INDEX('Compliance Database'!$F$2:$F$1960,MATCH(51,Engine!$C$2:$C$1960,0)))</f>
        <v/>
      </c>
      <c r="G64" s="8">
        <f>IF(ISNA(MATCH(51,Engine!$C$2:$C$1960,0)),"",INDEX('Compliance Database'!$G$2:$G$1960,MATCH(51,Engine!$C$2:$C$1960,0)))</f>
        <v/>
      </c>
      <c r="H64" s="9">
        <f>IF(ISNA(MATCH(51,Engine!$C$2:$C$1960,0)),"",INDEX('Compliance Database'!$H$2:$H$1960,MATCH(51,Engine!$C$2:$C$1960,0)))</f>
        <v/>
      </c>
      <c r="I64" s="9">
        <f>IF(ISNA(MATCH(51,Engine!$C$2:$C$1960,0)),"",INDEX('Compliance Database'!$I$2:$I$1960,MATCH(51,Engine!$C$2:$C$1960,0)))</f>
        <v/>
      </c>
      <c r="J64" s="8">
        <f>IF(ISNA(MATCH(51,Engine!$C$2:$C$1960,0)),"",INDEX('Compliance Database'!$J$2:$J$1960,MATCH(51,Engine!$C$2:$C$1960,0)))</f>
        <v/>
      </c>
      <c r="K64" s="9">
        <f>IF(ISNA(MATCH(51,Engine!$C$2:$C$1960,0)),"",INDEX('Compliance Database'!$K$2:$K$1960,MATCH(51,Engine!$C$2:$C$1960,0)))</f>
        <v/>
      </c>
      <c r="L64" s="9">
        <f>IF(ISNA(MATCH(51,Engine!$C$2:$C$1960,0)),"",INDEX('Compliance Database'!$L$2:$L$1960,MATCH(51,Engine!$C$2:$C$1960,0)))</f>
        <v/>
      </c>
      <c r="M64" s="9">
        <f>IF(ISNA(MATCH(51,Engine!$C$2:$C$1960,0)),"",INDEX('Compliance Database'!$M$2:$M$1960,MATCH(51,Engine!$C$2:$C$1960,0)))</f>
        <v/>
      </c>
      <c r="N64" s="9">
        <f>IF(ISNA(MATCH(51,Engine!$C$2:$C$1960,0)),"",INDEX('Compliance Database'!$N$2:$N$1960,MATCH(51,Engine!$C$2:$C$1960,0)))</f>
        <v/>
      </c>
      <c r="O64" s="9">
        <f>IF(ISNA(MATCH(51,Engine!$C$2:$C$1960,0)),"",INDEX('Compliance Database'!$O$2:$O$1960,MATCH(51,Engine!$C$2:$C$1960,0)))</f>
        <v/>
      </c>
      <c r="P64" s="8">
        <f>IF(ISNA(MATCH(51,Engine!$C$2:$C$1960,0)),"",HYPERLINK("#Acts!A"&amp;INDEX('Compliance Database'!$P$2:$P$1960,MATCH(51,Engine!$C$2:$C$1960,0)),"Go to Act"))</f>
        <v/>
      </c>
    </row>
    <row r="65" ht="158" customHeight="1">
      <c r="A65" s="8">
        <f>IF(ISNA(MATCH(52,Engine!$C$2:$C$1960,0)),"",INDEX('Compliance Database'!$A$2:$A$1960,MATCH(52,Engine!$C$2:$C$1960,0)))</f>
        <v/>
      </c>
      <c r="B65" s="8">
        <f>IF(ISNA(MATCH(52,Engine!$C$2:$C$1960,0)),"",INDEX('Compliance Database'!$B$2:$B$1960,MATCH(52,Engine!$C$2:$C$1960,0)))</f>
        <v/>
      </c>
      <c r="C65" s="8">
        <f>IF(ISNA(MATCH(52,Engine!$C$2:$C$1960,0)),"",INDEX('Compliance Database'!$C$2:$C$1960,MATCH(52,Engine!$C$2:$C$1960,0)))</f>
        <v/>
      </c>
      <c r="D65" s="9">
        <f>IF(ISNA(MATCH(52,Engine!$C$2:$C$1960,0)),"",INDEX('Compliance Database'!$D$2:$D$1960,MATCH(52,Engine!$C$2:$C$1960,0)))</f>
        <v/>
      </c>
      <c r="E65" s="8">
        <f>IF(ISNA(MATCH(52,Engine!$C$2:$C$1960,0)),"",INDEX('Compliance Database'!$E$2:$E$1960,MATCH(52,Engine!$C$2:$C$1960,0)))</f>
        <v/>
      </c>
      <c r="F65" s="8">
        <f>IF(ISNA(MATCH(52,Engine!$C$2:$C$1960,0)),"",INDEX('Compliance Database'!$F$2:$F$1960,MATCH(52,Engine!$C$2:$C$1960,0)))</f>
        <v/>
      </c>
      <c r="G65" s="8">
        <f>IF(ISNA(MATCH(52,Engine!$C$2:$C$1960,0)),"",INDEX('Compliance Database'!$G$2:$G$1960,MATCH(52,Engine!$C$2:$C$1960,0)))</f>
        <v/>
      </c>
      <c r="H65" s="9">
        <f>IF(ISNA(MATCH(52,Engine!$C$2:$C$1960,0)),"",INDEX('Compliance Database'!$H$2:$H$1960,MATCH(52,Engine!$C$2:$C$1960,0)))</f>
        <v/>
      </c>
      <c r="I65" s="9">
        <f>IF(ISNA(MATCH(52,Engine!$C$2:$C$1960,0)),"",INDEX('Compliance Database'!$I$2:$I$1960,MATCH(52,Engine!$C$2:$C$1960,0)))</f>
        <v/>
      </c>
      <c r="J65" s="8">
        <f>IF(ISNA(MATCH(52,Engine!$C$2:$C$1960,0)),"",INDEX('Compliance Database'!$J$2:$J$1960,MATCH(52,Engine!$C$2:$C$1960,0)))</f>
        <v/>
      </c>
      <c r="K65" s="9">
        <f>IF(ISNA(MATCH(52,Engine!$C$2:$C$1960,0)),"",INDEX('Compliance Database'!$K$2:$K$1960,MATCH(52,Engine!$C$2:$C$1960,0)))</f>
        <v/>
      </c>
      <c r="L65" s="9">
        <f>IF(ISNA(MATCH(52,Engine!$C$2:$C$1960,0)),"",INDEX('Compliance Database'!$L$2:$L$1960,MATCH(52,Engine!$C$2:$C$1960,0)))</f>
        <v/>
      </c>
      <c r="M65" s="9">
        <f>IF(ISNA(MATCH(52,Engine!$C$2:$C$1960,0)),"",INDEX('Compliance Database'!$M$2:$M$1960,MATCH(52,Engine!$C$2:$C$1960,0)))</f>
        <v/>
      </c>
      <c r="N65" s="9">
        <f>IF(ISNA(MATCH(52,Engine!$C$2:$C$1960,0)),"",INDEX('Compliance Database'!$N$2:$N$1960,MATCH(52,Engine!$C$2:$C$1960,0)))</f>
        <v/>
      </c>
      <c r="O65" s="9">
        <f>IF(ISNA(MATCH(52,Engine!$C$2:$C$1960,0)),"",INDEX('Compliance Database'!$O$2:$O$1960,MATCH(52,Engine!$C$2:$C$1960,0)))</f>
        <v/>
      </c>
      <c r="P65" s="8">
        <f>IF(ISNA(MATCH(52,Engine!$C$2:$C$1960,0)),"",HYPERLINK("#Acts!A"&amp;INDEX('Compliance Database'!$P$2:$P$1960,MATCH(52,Engine!$C$2:$C$1960,0)),"Go to Act"))</f>
        <v/>
      </c>
    </row>
    <row r="66" ht="158" customHeight="1">
      <c r="A66" s="8">
        <f>IF(ISNA(MATCH(53,Engine!$C$2:$C$1960,0)),"",INDEX('Compliance Database'!$A$2:$A$1960,MATCH(53,Engine!$C$2:$C$1960,0)))</f>
        <v/>
      </c>
      <c r="B66" s="8">
        <f>IF(ISNA(MATCH(53,Engine!$C$2:$C$1960,0)),"",INDEX('Compliance Database'!$B$2:$B$1960,MATCH(53,Engine!$C$2:$C$1960,0)))</f>
        <v/>
      </c>
      <c r="C66" s="8">
        <f>IF(ISNA(MATCH(53,Engine!$C$2:$C$1960,0)),"",INDEX('Compliance Database'!$C$2:$C$1960,MATCH(53,Engine!$C$2:$C$1960,0)))</f>
        <v/>
      </c>
      <c r="D66" s="9">
        <f>IF(ISNA(MATCH(53,Engine!$C$2:$C$1960,0)),"",INDEX('Compliance Database'!$D$2:$D$1960,MATCH(53,Engine!$C$2:$C$1960,0)))</f>
        <v/>
      </c>
      <c r="E66" s="8">
        <f>IF(ISNA(MATCH(53,Engine!$C$2:$C$1960,0)),"",INDEX('Compliance Database'!$E$2:$E$1960,MATCH(53,Engine!$C$2:$C$1960,0)))</f>
        <v/>
      </c>
      <c r="F66" s="8">
        <f>IF(ISNA(MATCH(53,Engine!$C$2:$C$1960,0)),"",INDEX('Compliance Database'!$F$2:$F$1960,MATCH(53,Engine!$C$2:$C$1960,0)))</f>
        <v/>
      </c>
      <c r="G66" s="8">
        <f>IF(ISNA(MATCH(53,Engine!$C$2:$C$1960,0)),"",INDEX('Compliance Database'!$G$2:$G$1960,MATCH(53,Engine!$C$2:$C$1960,0)))</f>
        <v/>
      </c>
      <c r="H66" s="9">
        <f>IF(ISNA(MATCH(53,Engine!$C$2:$C$1960,0)),"",INDEX('Compliance Database'!$H$2:$H$1960,MATCH(53,Engine!$C$2:$C$1960,0)))</f>
        <v/>
      </c>
      <c r="I66" s="9">
        <f>IF(ISNA(MATCH(53,Engine!$C$2:$C$1960,0)),"",INDEX('Compliance Database'!$I$2:$I$1960,MATCH(53,Engine!$C$2:$C$1960,0)))</f>
        <v/>
      </c>
      <c r="J66" s="8">
        <f>IF(ISNA(MATCH(53,Engine!$C$2:$C$1960,0)),"",INDEX('Compliance Database'!$J$2:$J$1960,MATCH(53,Engine!$C$2:$C$1960,0)))</f>
        <v/>
      </c>
      <c r="K66" s="9">
        <f>IF(ISNA(MATCH(53,Engine!$C$2:$C$1960,0)),"",INDEX('Compliance Database'!$K$2:$K$1960,MATCH(53,Engine!$C$2:$C$1960,0)))</f>
        <v/>
      </c>
      <c r="L66" s="9">
        <f>IF(ISNA(MATCH(53,Engine!$C$2:$C$1960,0)),"",INDEX('Compliance Database'!$L$2:$L$1960,MATCH(53,Engine!$C$2:$C$1960,0)))</f>
        <v/>
      </c>
      <c r="M66" s="9">
        <f>IF(ISNA(MATCH(53,Engine!$C$2:$C$1960,0)),"",INDEX('Compliance Database'!$M$2:$M$1960,MATCH(53,Engine!$C$2:$C$1960,0)))</f>
        <v/>
      </c>
      <c r="N66" s="9">
        <f>IF(ISNA(MATCH(53,Engine!$C$2:$C$1960,0)),"",INDEX('Compliance Database'!$N$2:$N$1960,MATCH(53,Engine!$C$2:$C$1960,0)))</f>
        <v/>
      </c>
      <c r="O66" s="9">
        <f>IF(ISNA(MATCH(53,Engine!$C$2:$C$1960,0)),"",INDEX('Compliance Database'!$O$2:$O$1960,MATCH(53,Engine!$C$2:$C$1960,0)))</f>
        <v/>
      </c>
      <c r="P66" s="8">
        <f>IF(ISNA(MATCH(53,Engine!$C$2:$C$1960,0)),"",HYPERLINK("#Acts!A"&amp;INDEX('Compliance Database'!$P$2:$P$1960,MATCH(53,Engine!$C$2:$C$1960,0)),"Go to Act"))</f>
        <v/>
      </c>
    </row>
    <row r="67" ht="158" customHeight="1">
      <c r="A67" s="8">
        <f>IF(ISNA(MATCH(54,Engine!$C$2:$C$1960,0)),"",INDEX('Compliance Database'!$A$2:$A$1960,MATCH(54,Engine!$C$2:$C$1960,0)))</f>
        <v/>
      </c>
      <c r="B67" s="8">
        <f>IF(ISNA(MATCH(54,Engine!$C$2:$C$1960,0)),"",INDEX('Compliance Database'!$B$2:$B$1960,MATCH(54,Engine!$C$2:$C$1960,0)))</f>
        <v/>
      </c>
      <c r="C67" s="8">
        <f>IF(ISNA(MATCH(54,Engine!$C$2:$C$1960,0)),"",INDEX('Compliance Database'!$C$2:$C$1960,MATCH(54,Engine!$C$2:$C$1960,0)))</f>
        <v/>
      </c>
      <c r="D67" s="9">
        <f>IF(ISNA(MATCH(54,Engine!$C$2:$C$1960,0)),"",INDEX('Compliance Database'!$D$2:$D$1960,MATCH(54,Engine!$C$2:$C$1960,0)))</f>
        <v/>
      </c>
      <c r="E67" s="8">
        <f>IF(ISNA(MATCH(54,Engine!$C$2:$C$1960,0)),"",INDEX('Compliance Database'!$E$2:$E$1960,MATCH(54,Engine!$C$2:$C$1960,0)))</f>
        <v/>
      </c>
      <c r="F67" s="8">
        <f>IF(ISNA(MATCH(54,Engine!$C$2:$C$1960,0)),"",INDEX('Compliance Database'!$F$2:$F$1960,MATCH(54,Engine!$C$2:$C$1960,0)))</f>
        <v/>
      </c>
      <c r="G67" s="8">
        <f>IF(ISNA(MATCH(54,Engine!$C$2:$C$1960,0)),"",INDEX('Compliance Database'!$G$2:$G$1960,MATCH(54,Engine!$C$2:$C$1960,0)))</f>
        <v/>
      </c>
      <c r="H67" s="9">
        <f>IF(ISNA(MATCH(54,Engine!$C$2:$C$1960,0)),"",INDEX('Compliance Database'!$H$2:$H$1960,MATCH(54,Engine!$C$2:$C$1960,0)))</f>
        <v/>
      </c>
      <c r="I67" s="9">
        <f>IF(ISNA(MATCH(54,Engine!$C$2:$C$1960,0)),"",INDEX('Compliance Database'!$I$2:$I$1960,MATCH(54,Engine!$C$2:$C$1960,0)))</f>
        <v/>
      </c>
      <c r="J67" s="8">
        <f>IF(ISNA(MATCH(54,Engine!$C$2:$C$1960,0)),"",INDEX('Compliance Database'!$J$2:$J$1960,MATCH(54,Engine!$C$2:$C$1960,0)))</f>
        <v/>
      </c>
      <c r="K67" s="9">
        <f>IF(ISNA(MATCH(54,Engine!$C$2:$C$1960,0)),"",INDEX('Compliance Database'!$K$2:$K$1960,MATCH(54,Engine!$C$2:$C$1960,0)))</f>
        <v/>
      </c>
      <c r="L67" s="9">
        <f>IF(ISNA(MATCH(54,Engine!$C$2:$C$1960,0)),"",INDEX('Compliance Database'!$L$2:$L$1960,MATCH(54,Engine!$C$2:$C$1960,0)))</f>
        <v/>
      </c>
      <c r="M67" s="9">
        <f>IF(ISNA(MATCH(54,Engine!$C$2:$C$1960,0)),"",INDEX('Compliance Database'!$M$2:$M$1960,MATCH(54,Engine!$C$2:$C$1960,0)))</f>
        <v/>
      </c>
      <c r="N67" s="9">
        <f>IF(ISNA(MATCH(54,Engine!$C$2:$C$1960,0)),"",INDEX('Compliance Database'!$N$2:$N$1960,MATCH(54,Engine!$C$2:$C$1960,0)))</f>
        <v/>
      </c>
      <c r="O67" s="9">
        <f>IF(ISNA(MATCH(54,Engine!$C$2:$C$1960,0)),"",INDEX('Compliance Database'!$O$2:$O$1960,MATCH(54,Engine!$C$2:$C$1960,0)))</f>
        <v/>
      </c>
      <c r="P67" s="8">
        <f>IF(ISNA(MATCH(54,Engine!$C$2:$C$1960,0)),"",HYPERLINK("#Acts!A"&amp;INDEX('Compliance Database'!$P$2:$P$1960,MATCH(54,Engine!$C$2:$C$1960,0)),"Go to Act"))</f>
        <v/>
      </c>
    </row>
    <row r="68" ht="158" customHeight="1">
      <c r="A68" s="8">
        <f>IF(ISNA(MATCH(55,Engine!$C$2:$C$1960,0)),"",INDEX('Compliance Database'!$A$2:$A$1960,MATCH(55,Engine!$C$2:$C$1960,0)))</f>
        <v/>
      </c>
      <c r="B68" s="8">
        <f>IF(ISNA(MATCH(55,Engine!$C$2:$C$1960,0)),"",INDEX('Compliance Database'!$B$2:$B$1960,MATCH(55,Engine!$C$2:$C$1960,0)))</f>
        <v/>
      </c>
      <c r="C68" s="8">
        <f>IF(ISNA(MATCH(55,Engine!$C$2:$C$1960,0)),"",INDEX('Compliance Database'!$C$2:$C$1960,MATCH(55,Engine!$C$2:$C$1960,0)))</f>
        <v/>
      </c>
      <c r="D68" s="9">
        <f>IF(ISNA(MATCH(55,Engine!$C$2:$C$1960,0)),"",INDEX('Compliance Database'!$D$2:$D$1960,MATCH(55,Engine!$C$2:$C$1960,0)))</f>
        <v/>
      </c>
      <c r="E68" s="8">
        <f>IF(ISNA(MATCH(55,Engine!$C$2:$C$1960,0)),"",INDEX('Compliance Database'!$E$2:$E$1960,MATCH(55,Engine!$C$2:$C$1960,0)))</f>
        <v/>
      </c>
      <c r="F68" s="8">
        <f>IF(ISNA(MATCH(55,Engine!$C$2:$C$1960,0)),"",INDEX('Compliance Database'!$F$2:$F$1960,MATCH(55,Engine!$C$2:$C$1960,0)))</f>
        <v/>
      </c>
      <c r="G68" s="8">
        <f>IF(ISNA(MATCH(55,Engine!$C$2:$C$1960,0)),"",INDEX('Compliance Database'!$G$2:$G$1960,MATCH(55,Engine!$C$2:$C$1960,0)))</f>
        <v/>
      </c>
      <c r="H68" s="9">
        <f>IF(ISNA(MATCH(55,Engine!$C$2:$C$1960,0)),"",INDEX('Compliance Database'!$H$2:$H$1960,MATCH(55,Engine!$C$2:$C$1960,0)))</f>
        <v/>
      </c>
      <c r="I68" s="9">
        <f>IF(ISNA(MATCH(55,Engine!$C$2:$C$1960,0)),"",INDEX('Compliance Database'!$I$2:$I$1960,MATCH(55,Engine!$C$2:$C$1960,0)))</f>
        <v/>
      </c>
      <c r="J68" s="8">
        <f>IF(ISNA(MATCH(55,Engine!$C$2:$C$1960,0)),"",INDEX('Compliance Database'!$J$2:$J$1960,MATCH(55,Engine!$C$2:$C$1960,0)))</f>
        <v/>
      </c>
      <c r="K68" s="9">
        <f>IF(ISNA(MATCH(55,Engine!$C$2:$C$1960,0)),"",INDEX('Compliance Database'!$K$2:$K$1960,MATCH(55,Engine!$C$2:$C$1960,0)))</f>
        <v/>
      </c>
      <c r="L68" s="9">
        <f>IF(ISNA(MATCH(55,Engine!$C$2:$C$1960,0)),"",INDEX('Compliance Database'!$L$2:$L$1960,MATCH(55,Engine!$C$2:$C$1960,0)))</f>
        <v/>
      </c>
      <c r="M68" s="9">
        <f>IF(ISNA(MATCH(55,Engine!$C$2:$C$1960,0)),"",INDEX('Compliance Database'!$M$2:$M$1960,MATCH(55,Engine!$C$2:$C$1960,0)))</f>
        <v/>
      </c>
      <c r="N68" s="9">
        <f>IF(ISNA(MATCH(55,Engine!$C$2:$C$1960,0)),"",INDEX('Compliance Database'!$N$2:$N$1960,MATCH(55,Engine!$C$2:$C$1960,0)))</f>
        <v/>
      </c>
      <c r="O68" s="9">
        <f>IF(ISNA(MATCH(55,Engine!$C$2:$C$1960,0)),"",INDEX('Compliance Database'!$O$2:$O$1960,MATCH(55,Engine!$C$2:$C$1960,0)))</f>
        <v/>
      </c>
      <c r="P68" s="8">
        <f>IF(ISNA(MATCH(55,Engine!$C$2:$C$1960,0)),"",HYPERLINK("#Acts!A"&amp;INDEX('Compliance Database'!$P$2:$P$1960,MATCH(55,Engine!$C$2:$C$1960,0)),"Go to Act"))</f>
        <v/>
      </c>
    </row>
    <row r="69" ht="158" customHeight="1">
      <c r="A69" s="8">
        <f>IF(ISNA(MATCH(56,Engine!$C$2:$C$1960,0)),"",INDEX('Compliance Database'!$A$2:$A$1960,MATCH(56,Engine!$C$2:$C$1960,0)))</f>
        <v/>
      </c>
      <c r="B69" s="8">
        <f>IF(ISNA(MATCH(56,Engine!$C$2:$C$1960,0)),"",INDEX('Compliance Database'!$B$2:$B$1960,MATCH(56,Engine!$C$2:$C$1960,0)))</f>
        <v/>
      </c>
      <c r="C69" s="8">
        <f>IF(ISNA(MATCH(56,Engine!$C$2:$C$1960,0)),"",INDEX('Compliance Database'!$C$2:$C$1960,MATCH(56,Engine!$C$2:$C$1960,0)))</f>
        <v/>
      </c>
      <c r="D69" s="9">
        <f>IF(ISNA(MATCH(56,Engine!$C$2:$C$1960,0)),"",INDEX('Compliance Database'!$D$2:$D$1960,MATCH(56,Engine!$C$2:$C$1960,0)))</f>
        <v/>
      </c>
      <c r="E69" s="8">
        <f>IF(ISNA(MATCH(56,Engine!$C$2:$C$1960,0)),"",INDEX('Compliance Database'!$E$2:$E$1960,MATCH(56,Engine!$C$2:$C$1960,0)))</f>
        <v/>
      </c>
      <c r="F69" s="8">
        <f>IF(ISNA(MATCH(56,Engine!$C$2:$C$1960,0)),"",INDEX('Compliance Database'!$F$2:$F$1960,MATCH(56,Engine!$C$2:$C$1960,0)))</f>
        <v/>
      </c>
      <c r="G69" s="8">
        <f>IF(ISNA(MATCH(56,Engine!$C$2:$C$1960,0)),"",INDEX('Compliance Database'!$G$2:$G$1960,MATCH(56,Engine!$C$2:$C$1960,0)))</f>
        <v/>
      </c>
      <c r="H69" s="9">
        <f>IF(ISNA(MATCH(56,Engine!$C$2:$C$1960,0)),"",INDEX('Compliance Database'!$H$2:$H$1960,MATCH(56,Engine!$C$2:$C$1960,0)))</f>
        <v/>
      </c>
      <c r="I69" s="9">
        <f>IF(ISNA(MATCH(56,Engine!$C$2:$C$1960,0)),"",INDEX('Compliance Database'!$I$2:$I$1960,MATCH(56,Engine!$C$2:$C$1960,0)))</f>
        <v/>
      </c>
      <c r="J69" s="8">
        <f>IF(ISNA(MATCH(56,Engine!$C$2:$C$1960,0)),"",INDEX('Compliance Database'!$J$2:$J$1960,MATCH(56,Engine!$C$2:$C$1960,0)))</f>
        <v/>
      </c>
      <c r="K69" s="9">
        <f>IF(ISNA(MATCH(56,Engine!$C$2:$C$1960,0)),"",INDEX('Compliance Database'!$K$2:$K$1960,MATCH(56,Engine!$C$2:$C$1960,0)))</f>
        <v/>
      </c>
      <c r="L69" s="9">
        <f>IF(ISNA(MATCH(56,Engine!$C$2:$C$1960,0)),"",INDEX('Compliance Database'!$L$2:$L$1960,MATCH(56,Engine!$C$2:$C$1960,0)))</f>
        <v/>
      </c>
      <c r="M69" s="9">
        <f>IF(ISNA(MATCH(56,Engine!$C$2:$C$1960,0)),"",INDEX('Compliance Database'!$M$2:$M$1960,MATCH(56,Engine!$C$2:$C$1960,0)))</f>
        <v/>
      </c>
      <c r="N69" s="9">
        <f>IF(ISNA(MATCH(56,Engine!$C$2:$C$1960,0)),"",INDEX('Compliance Database'!$N$2:$N$1960,MATCH(56,Engine!$C$2:$C$1960,0)))</f>
        <v/>
      </c>
      <c r="O69" s="9">
        <f>IF(ISNA(MATCH(56,Engine!$C$2:$C$1960,0)),"",INDEX('Compliance Database'!$O$2:$O$1960,MATCH(56,Engine!$C$2:$C$1960,0)))</f>
        <v/>
      </c>
      <c r="P69" s="8">
        <f>IF(ISNA(MATCH(56,Engine!$C$2:$C$1960,0)),"",HYPERLINK("#Acts!A"&amp;INDEX('Compliance Database'!$P$2:$P$1960,MATCH(56,Engine!$C$2:$C$1960,0)),"Go to Act"))</f>
        <v/>
      </c>
    </row>
    <row r="70" ht="158" customHeight="1">
      <c r="A70" s="8">
        <f>IF(ISNA(MATCH(57,Engine!$C$2:$C$1960,0)),"",INDEX('Compliance Database'!$A$2:$A$1960,MATCH(57,Engine!$C$2:$C$1960,0)))</f>
        <v/>
      </c>
      <c r="B70" s="8">
        <f>IF(ISNA(MATCH(57,Engine!$C$2:$C$1960,0)),"",INDEX('Compliance Database'!$B$2:$B$1960,MATCH(57,Engine!$C$2:$C$1960,0)))</f>
        <v/>
      </c>
      <c r="C70" s="8">
        <f>IF(ISNA(MATCH(57,Engine!$C$2:$C$1960,0)),"",INDEX('Compliance Database'!$C$2:$C$1960,MATCH(57,Engine!$C$2:$C$1960,0)))</f>
        <v/>
      </c>
      <c r="D70" s="9">
        <f>IF(ISNA(MATCH(57,Engine!$C$2:$C$1960,0)),"",INDEX('Compliance Database'!$D$2:$D$1960,MATCH(57,Engine!$C$2:$C$1960,0)))</f>
        <v/>
      </c>
      <c r="E70" s="8">
        <f>IF(ISNA(MATCH(57,Engine!$C$2:$C$1960,0)),"",INDEX('Compliance Database'!$E$2:$E$1960,MATCH(57,Engine!$C$2:$C$1960,0)))</f>
        <v/>
      </c>
      <c r="F70" s="8">
        <f>IF(ISNA(MATCH(57,Engine!$C$2:$C$1960,0)),"",INDEX('Compliance Database'!$F$2:$F$1960,MATCH(57,Engine!$C$2:$C$1960,0)))</f>
        <v/>
      </c>
      <c r="G70" s="8">
        <f>IF(ISNA(MATCH(57,Engine!$C$2:$C$1960,0)),"",INDEX('Compliance Database'!$G$2:$G$1960,MATCH(57,Engine!$C$2:$C$1960,0)))</f>
        <v/>
      </c>
      <c r="H70" s="9">
        <f>IF(ISNA(MATCH(57,Engine!$C$2:$C$1960,0)),"",INDEX('Compliance Database'!$H$2:$H$1960,MATCH(57,Engine!$C$2:$C$1960,0)))</f>
        <v/>
      </c>
      <c r="I70" s="9">
        <f>IF(ISNA(MATCH(57,Engine!$C$2:$C$1960,0)),"",INDEX('Compliance Database'!$I$2:$I$1960,MATCH(57,Engine!$C$2:$C$1960,0)))</f>
        <v/>
      </c>
      <c r="J70" s="8">
        <f>IF(ISNA(MATCH(57,Engine!$C$2:$C$1960,0)),"",INDEX('Compliance Database'!$J$2:$J$1960,MATCH(57,Engine!$C$2:$C$1960,0)))</f>
        <v/>
      </c>
      <c r="K70" s="9">
        <f>IF(ISNA(MATCH(57,Engine!$C$2:$C$1960,0)),"",INDEX('Compliance Database'!$K$2:$K$1960,MATCH(57,Engine!$C$2:$C$1960,0)))</f>
        <v/>
      </c>
      <c r="L70" s="9">
        <f>IF(ISNA(MATCH(57,Engine!$C$2:$C$1960,0)),"",INDEX('Compliance Database'!$L$2:$L$1960,MATCH(57,Engine!$C$2:$C$1960,0)))</f>
        <v/>
      </c>
      <c r="M70" s="9">
        <f>IF(ISNA(MATCH(57,Engine!$C$2:$C$1960,0)),"",INDEX('Compliance Database'!$M$2:$M$1960,MATCH(57,Engine!$C$2:$C$1960,0)))</f>
        <v/>
      </c>
      <c r="N70" s="9">
        <f>IF(ISNA(MATCH(57,Engine!$C$2:$C$1960,0)),"",INDEX('Compliance Database'!$N$2:$N$1960,MATCH(57,Engine!$C$2:$C$1960,0)))</f>
        <v/>
      </c>
      <c r="O70" s="9">
        <f>IF(ISNA(MATCH(57,Engine!$C$2:$C$1960,0)),"",INDEX('Compliance Database'!$O$2:$O$1960,MATCH(57,Engine!$C$2:$C$1960,0)))</f>
        <v/>
      </c>
      <c r="P70" s="8">
        <f>IF(ISNA(MATCH(57,Engine!$C$2:$C$1960,0)),"",HYPERLINK("#Acts!A"&amp;INDEX('Compliance Database'!$P$2:$P$1960,MATCH(57,Engine!$C$2:$C$1960,0)),"Go to Act"))</f>
        <v/>
      </c>
    </row>
    <row r="71" ht="158" customHeight="1">
      <c r="A71" s="8">
        <f>IF(ISNA(MATCH(58,Engine!$C$2:$C$1960,0)),"",INDEX('Compliance Database'!$A$2:$A$1960,MATCH(58,Engine!$C$2:$C$1960,0)))</f>
        <v/>
      </c>
      <c r="B71" s="8">
        <f>IF(ISNA(MATCH(58,Engine!$C$2:$C$1960,0)),"",INDEX('Compliance Database'!$B$2:$B$1960,MATCH(58,Engine!$C$2:$C$1960,0)))</f>
        <v/>
      </c>
      <c r="C71" s="8">
        <f>IF(ISNA(MATCH(58,Engine!$C$2:$C$1960,0)),"",INDEX('Compliance Database'!$C$2:$C$1960,MATCH(58,Engine!$C$2:$C$1960,0)))</f>
        <v/>
      </c>
      <c r="D71" s="9">
        <f>IF(ISNA(MATCH(58,Engine!$C$2:$C$1960,0)),"",INDEX('Compliance Database'!$D$2:$D$1960,MATCH(58,Engine!$C$2:$C$1960,0)))</f>
        <v/>
      </c>
      <c r="E71" s="8">
        <f>IF(ISNA(MATCH(58,Engine!$C$2:$C$1960,0)),"",INDEX('Compliance Database'!$E$2:$E$1960,MATCH(58,Engine!$C$2:$C$1960,0)))</f>
        <v/>
      </c>
      <c r="F71" s="8">
        <f>IF(ISNA(MATCH(58,Engine!$C$2:$C$1960,0)),"",INDEX('Compliance Database'!$F$2:$F$1960,MATCH(58,Engine!$C$2:$C$1960,0)))</f>
        <v/>
      </c>
      <c r="G71" s="8">
        <f>IF(ISNA(MATCH(58,Engine!$C$2:$C$1960,0)),"",INDEX('Compliance Database'!$G$2:$G$1960,MATCH(58,Engine!$C$2:$C$1960,0)))</f>
        <v/>
      </c>
      <c r="H71" s="9">
        <f>IF(ISNA(MATCH(58,Engine!$C$2:$C$1960,0)),"",INDEX('Compliance Database'!$H$2:$H$1960,MATCH(58,Engine!$C$2:$C$1960,0)))</f>
        <v/>
      </c>
      <c r="I71" s="9">
        <f>IF(ISNA(MATCH(58,Engine!$C$2:$C$1960,0)),"",INDEX('Compliance Database'!$I$2:$I$1960,MATCH(58,Engine!$C$2:$C$1960,0)))</f>
        <v/>
      </c>
      <c r="J71" s="8">
        <f>IF(ISNA(MATCH(58,Engine!$C$2:$C$1960,0)),"",INDEX('Compliance Database'!$J$2:$J$1960,MATCH(58,Engine!$C$2:$C$1960,0)))</f>
        <v/>
      </c>
      <c r="K71" s="9">
        <f>IF(ISNA(MATCH(58,Engine!$C$2:$C$1960,0)),"",INDEX('Compliance Database'!$K$2:$K$1960,MATCH(58,Engine!$C$2:$C$1960,0)))</f>
        <v/>
      </c>
      <c r="L71" s="9">
        <f>IF(ISNA(MATCH(58,Engine!$C$2:$C$1960,0)),"",INDEX('Compliance Database'!$L$2:$L$1960,MATCH(58,Engine!$C$2:$C$1960,0)))</f>
        <v/>
      </c>
      <c r="M71" s="9">
        <f>IF(ISNA(MATCH(58,Engine!$C$2:$C$1960,0)),"",INDEX('Compliance Database'!$M$2:$M$1960,MATCH(58,Engine!$C$2:$C$1960,0)))</f>
        <v/>
      </c>
      <c r="N71" s="9">
        <f>IF(ISNA(MATCH(58,Engine!$C$2:$C$1960,0)),"",INDEX('Compliance Database'!$N$2:$N$1960,MATCH(58,Engine!$C$2:$C$1960,0)))</f>
        <v/>
      </c>
      <c r="O71" s="9">
        <f>IF(ISNA(MATCH(58,Engine!$C$2:$C$1960,0)),"",INDEX('Compliance Database'!$O$2:$O$1960,MATCH(58,Engine!$C$2:$C$1960,0)))</f>
        <v/>
      </c>
      <c r="P71" s="8">
        <f>IF(ISNA(MATCH(58,Engine!$C$2:$C$1960,0)),"",HYPERLINK("#Acts!A"&amp;INDEX('Compliance Database'!$P$2:$P$1960,MATCH(58,Engine!$C$2:$C$1960,0)),"Go to Act"))</f>
        <v/>
      </c>
    </row>
    <row r="72" ht="158" customHeight="1">
      <c r="A72" s="8">
        <f>IF(ISNA(MATCH(59,Engine!$C$2:$C$1960,0)),"",INDEX('Compliance Database'!$A$2:$A$1960,MATCH(59,Engine!$C$2:$C$1960,0)))</f>
        <v/>
      </c>
      <c r="B72" s="8">
        <f>IF(ISNA(MATCH(59,Engine!$C$2:$C$1960,0)),"",INDEX('Compliance Database'!$B$2:$B$1960,MATCH(59,Engine!$C$2:$C$1960,0)))</f>
        <v/>
      </c>
      <c r="C72" s="8">
        <f>IF(ISNA(MATCH(59,Engine!$C$2:$C$1960,0)),"",INDEX('Compliance Database'!$C$2:$C$1960,MATCH(59,Engine!$C$2:$C$1960,0)))</f>
        <v/>
      </c>
      <c r="D72" s="9">
        <f>IF(ISNA(MATCH(59,Engine!$C$2:$C$1960,0)),"",INDEX('Compliance Database'!$D$2:$D$1960,MATCH(59,Engine!$C$2:$C$1960,0)))</f>
        <v/>
      </c>
      <c r="E72" s="8">
        <f>IF(ISNA(MATCH(59,Engine!$C$2:$C$1960,0)),"",INDEX('Compliance Database'!$E$2:$E$1960,MATCH(59,Engine!$C$2:$C$1960,0)))</f>
        <v/>
      </c>
      <c r="F72" s="8">
        <f>IF(ISNA(MATCH(59,Engine!$C$2:$C$1960,0)),"",INDEX('Compliance Database'!$F$2:$F$1960,MATCH(59,Engine!$C$2:$C$1960,0)))</f>
        <v/>
      </c>
      <c r="G72" s="8">
        <f>IF(ISNA(MATCH(59,Engine!$C$2:$C$1960,0)),"",INDEX('Compliance Database'!$G$2:$G$1960,MATCH(59,Engine!$C$2:$C$1960,0)))</f>
        <v/>
      </c>
      <c r="H72" s="9">
        <f>IF(ISNA(MATCH(59,Engine!$C$2:$C$1960,0)),"",INDEX('Compliance Database'!$H$2:$H$1960,MATCH(59,Engine!$C$2:$C$1960,0)))</f>
        <v/>
      </c>
      <c r="I72" s="9">
        <f>IF(ISNA(MATCH(59,Engine!$C$2:$C$1960,0)),"",INDEX('Compliance Database'!$I$2:$I$1960,MATCH(59,Engine!$C$2:$C$1960,0)))</f>
        <v/>
      </c>
      <c r="J72" s="8">
        <f>IF(ISNA(MATCH(59,Engine!$C$2:$C$1960,0)),"",INDEX('Compliance Database'!$J$2:$J$1960,MATCH(59,Engine!$C$2:$C$1960,0)))</f>
        <v/>
      </c>
      <c r="K72" s="9">
        <f>IF(ISNA(MATCH(59,Engine!$C$2:$C$1960,0)),"",INDEX('Compliance Database'!$K$2:$K$1960,MATCH(59,Engine!$C$2:$C$1960,0)))</f>
        <v/>
      </c>
      <c r="L72" s="9">
        <f>IF(ISNA(MATCH(59,Engine!$C$2:$C$1960,0)),"",INDEX('Compliance Database'!$L$2:$L$1960,MATCH(59,Engine!$C$2:$C$1960,0)))</f>
        <v/>
      </c>
      <c r="M72" s="9">
        <f>IF(ISNA(MATCH(59,Engine!$C$2:$C$1960,0)),"",INDEX('Compliance Database'!$M$2:$M$1960,MATCH(59,Engine!$C$2:$C$1960,0)))</f>
        <v/>
      </c>
      <c r="N72" s="9">
        <f>IF(ISNA(MATCH(59,Engine!$C$2:$C$1960,0)),"",INDEX('Compliance Database'!$N$2:$N$1960,MATCH(59,Engine!$C$2:$C$1960,0)))</f>
        <v/>
      </c>
      <c r="O72" s="9">
        <f>IF(ISNA(MATCH(59,Engine!$C$2:$C$1960,0)),"",INDEX('Compliance Database'!$O$2:$O$1960,MATCH(59,Engine!$C$2:$C$1960,0)))</f>
        <v/>
      </c>
      <c r="P72" s="8">
        <f>IF(ISNA(MATCH(59,Engine!$C$2:$C$1960,0)),"",HYPERLINK("#Acts!A"&amp;INDEX('Compliance Database'!$P$2:$P$1960,MATCH(59,Engine!$C$2:$C$1960,0)),"Go to Act"))</f>
        <v/>
      </c>
    </row>
    <row r="73" ht="158" customHeight="1">
      <c r="A73" s="8">
        <f>IF(ISNA(MATCH(60,Engine!$C$2:$C$1960,0)),"",INDEX('Compliance Database'!$A$2:$A$1960,MATCH(60,Engine!$C$2:$C$1960,0)))</f>
        <v/>
      </c>
      <c r="B73" s="8">
        <f>IF(ISNA(MATCH(60,Engine!$C$2:$C$1960,0)),"",INDEX('Compliance Database'!$B$2:$B$1960,MATCH(60,Engine!$C$2:$C$1960,0)))</f>
        <v/>
      </c>
      <c r="C73" s="8">
        <f>IF(ISNA(MATCH(60,Engine!$C$2:$C$1960,0)),"",INDEX('Compliance Database'!$C$2:$C$1960,MATCH(60,Engine!$C$2:$C$1960,0)))</f>
        <v/>
      </c>
      <c r="D73" s="9">
        <f>IF(ISNA(MATCH(60,Engine!$C$2:$C$1960,0)),"",INDEX('Compliance Database'!$D$2:$D$1960,MATCH(60,Engine!$C$2:$C$1960,0)))</f>
        <v/>
      </c>
      <c r="E73" s="8">
        <f>IF(ISNA(MATCH(60,Engine!$C$2:$C$1960,0)),"",INDEX('Compliance Database'!$E$2:$E$1960,MATCH(60,Engine!$C$2:$C$1960,0)))</f>
        <v/>
      </c>
      <c r="F73" s="8">
        <f>IF(ISNA(MATCH(60,Engine!$C$2:$C$1960,0)),"",INDEX('Compliance Database'!$F$2:$F$1960,MATCH(60,Engine!$C$2:$C$1960,0)))</f>
        <v/>
      </c>
      <c r="G73" s="8">
        <f>IF(ISNA(MATCH(60,Engine!$C$2:$C$1960,0)),"",INDEX('Compliance Database'!$G$2:$G$1960,MATCH(60,Engine!$C$2:$C$1960,0)))</f>
        <v/>
      </c>
      <c r="H73" s="9">
        <f>IF(ISNA(MATCH(60,Engine!$C$2:$C$1960,0)),"",INDEX('Compliance Database'!$H$2:$H$1960,MATCH(60,Engine!$C$2:$C$1960,0)))</f>
        <v/>
      </c>
      <c r="I73" s="9">
        <f>IF(ISNA(MATCH(60,Engine!$C$2:$C$1960,0)),"",INDEX('Compliance Database'!$I$2:$I$1960,MATCH(60,Engine!$C$2:$C$1960,0)))</f>
        <v/>
      </c>
      <c r="J73" s="8">
        <f>IF(ISNA(MATCH(60,Engine!$C$2:$C$1960,0)),"",INDEX('Compliance Database'!$J$2:$J$1960,MATCH(60,Engine!$C$2:$C$1960,0)))</f>
        <v/>
      </c>
      <c r="K73" s="9">
        <f>IF(ISNA(MATCH(60,Engine!$C$2:$C$1960,0)),"",INDEX('Compliance Database'!$K$2:$K$1960,MATCH(60,Engine!$C$2:$C$1960,0)))</f>
        <v/>
      </c>
      <c r="L73" s="9">
        <f>IF(ISNA(MATCH(60,Engine!$C$2:$C$1960,0)),"",INDEX('Compliance Database'!$L$2:$L$1960,MATCH(60,Engine!$C$2:$C$1960,0)))</f>
        <v/>
      </c>
      <c r="M73" s="9">
        <f>IF(ISNA(MATCH(60,Engine!$C$2:$C$1960,0)),"",INDEX('Compliance Database'!$M$2:$M$1960,MATCH(60,Engine!$C$2:$C$1960,0)))</f>
        <v/>
      </c>
      <c r="N73" s="9">
        <f>IF(ISNA(MATCH(60,Engine!$C$2:$C$1960,0)),"",INDEX('Compliance Database'!$N$2:$N$1960,MATCH(60,Engine!$C$2:$C$1960,0)))</f>
        <v/>
      </c>
      <c r="O73" s="9">
        <f>IF(ISNA(MATCH(60,Engine!$C$2:$C$1960,0)),"",INDEX('Compliance Database'!$O$2:$O$1960,MATCH(60,Engine!$C$2:$C$1960,0)))</f>
        <v/>
      </c>
      <c r="P73" s="8">
        <f>IF(ISNA(MATCH(60,Engine!$C$2:$C$1960,0)),"",HYPERLINK("#Acts!A"&amp;INDEX('Compliance Database'!$P$2:$P$1960,MATCH(60,Engine!$C$2:$C$1960,0)),"Go to Act"))</f>
        <v/>
      </c>
    </row>
    <row r="74" ht="158" customHeight="1">
      <c r="A74" s="8">
        <f>IF(ISNA(MATCH(61,Engine!$C$2:$C$1960,0)),"",INDEX('Compliance Database'!$A$2:$A$1960,MATCH(61,Engine!$C$2:$C$1960,0)))</f>
        <v/>
      </c>
      <c r="B74" s="8">
        <f>IF(ISNA(MATCH(61,Engine!$C$2:$C$1960,0)),"",INDEX('Compliance Database'!$B$2:$B$1960,MATCH(61,Engine!$C$2:$C$1960,0)))</f>
        <v/>
      </c>
      <c r="C74" s="8">
        <f>IF(ISNA(MATCH(61,Engine!$C$2:$C$1960,0)),"",INDEX('Compliance Database'!$C$2:$C$1960,MATCH(61,Engine!$C$2:$C$1960,0)))</f>
        <v/>
      </c>
      <c r="D74" s="9">
        <f>IF(ISNA(MATCH(61,Engine!$C$2:$C$1960,0)),"",INDEX('Compliance Database'!$D$2:$D$1960,MATCH(61,Engine!$C$2:$C$1960,0)))</f>
        <v/>
      </c>
      <c r="E74" s="8">
        <f>IF(ISNA(MATCH(61,Engine!$C$2:$C$1960,0)),"",INDEX('Compliance Database'!$E$2:$E$1960,MATCH(61,Engine!$C$2:$C$1960,0)))</f>
        <v/>
      </c>
      <c r="F74" s="8">
        <f>IF(ISNA(MATCH(61,Engine!$C$2:$C$1960,0)),"",INDEX('Compliance Database'!$F$2:$F$1960,MATCH(61,Engine!$C$2:$C$1960,0)))</f>
        <v/>
      </c>
      <c r="G74" s="8">
        <f>IF(ISNA(MATCH(61,Engine!$C$2:$C$1960,0)),"",INDEX('Compliance Database'!$G$2:$G$1960,MATCH(61,Engine!$C$2:$C$1960,0)))</f>
        <v/>
      </c>
      <c r="H74" s="9">
        <f>IF(ISNA(MATCH(61,Engine!$C$2:$C$1960,0)),"",INDEX('Compliance Database'!$H$2:$H$1960,MATCH(61,Engine!$C$2:$C$1960,0)))</f>
        <v/>
      </c>
      <c r="I74" s="9">
        <f>IF(ISNA(MATCH(61,Engine!$C$2:$C$1960,0)),"",INDEX('Compliance Database'!$I$2:$I$1960,MATCH(61,Engine!$C$2:$C$1960,0)))</f>
        <v/>
      </c>
      <c r="J74" s="8">
        <f>IF(ISNA(MATCH(61,Engine!$C$2:$C$1960,0)),"",INDEX('Compliance Database'!$J$2:$J$1960,MATCH(61,Engine!$C$2:$C$1960,0)))</f>
        <v/>
      </c>
      <c r="K74" s="9">
        <f>IF(ISNA(MATCH(61,Engine!$C$2:$C$1960,0)),"",INDEX('Compliance Database'!$K$2:$K$1960,MATCH(61,Engine!$C$2:$C$1960,0)))</f>
        <v/>
      </c>
      <c r="L74" s="9">
        <f>IF(ISNA(MATCH(61,Engine!$C$2:$C$1960,0)),"",INDEX('Compliance Database'!$L$2:$L$1960,MATCH(61,Engine!$C$2:$C$1960,0)))</f>
        <v/>
      </c>
      <c r="M74" s="9">
        <f>IF(ISNA(MATCH(61,Engine!$C$2:$C$1960,0)),"",INDEX('Compliance Database'!$M$2:$M$1960,MATCH(61,Engine!$C$2:$C$1960,0)))</f>
        <v/>
      </c>
      <c r="N74" s="9">
        <f>IF(ISNA(MATCH(61,Engine!$C$2:$C$1960,0)),"",INDEX('Compliance Database'!$N$2:$N$1960,MATCH(61,Engine!$C$2:$C$1960,0)))</f>
        <v/>
      </c>
      <c r="O74" s="9">
        <f>IF(ISNA(MATCH(61,Engine!$C$2:$C$1960,0)),"",INDEX('Compliance Database'!$O$2:$O$1960,MATCH(61,Engine!$C$2:$C$1960,0)))</f>
        <v/>
      </c>
      <c r="P74" s="8">
        <f>IF(ISNA(MATCH(61,Engine!$C$2:$C$1960,0)),"",HYPERLINK("#Acts!A"&amp;INDEX('Compliance Database'!$P$2:$P$1960,MATCH(61,Engine!$C$2:$C$1960,0)),"Go to Act"))</f>
        <v/>
      </c>
    </row>
    <row r="75" ht="158" customHeight="1">
      <c r="A75" s="8">
        <f>IF(ISNA(MATCH(62,Engine!$C$2:$C$1960,0)),"",INDEX('Compliance Database'!$A$2:$A$1960,MATCH(62,Engine!$C$2:$C$1960,0)))</f>
        <v/>
      </c>
      <c r="B75" s="8">
        <f>IF(ISNA(MATCH(62,Engine!$C$2:$C$1960,0)),"",INDEX('Compliance Database'!$B$2:$B$1960,MATCH(62,Engine!$C$2:$C$1960,0)))</f>
        <v/>
      </c>
      <c r="C75" s="8">
        <f>IF(ISNA(MATCH(62,Engine!$C$2:$C$1960,0)),"",INDEX('Compliance Database'!$C$2:$C$1960,MATCH(62,Engine!$C$2:$C$1960,0)))</f>
        <v/>
      </c>
      <c r="D75" s="9">
        <f>IF(ISNA(MATCH(62,Engine!$C$2:$C$1960,0)),"",INDEX('Compliance Database'!$D$2:$D$1960,MATCH(62,Engine!$C$2:$C$1960,0)))</f>
        <v/>
      </c>
      <c r="E75" s="8">
        <f>IF(ISNA(MATCH(62,Engine!$C$2:$C$1960,0)),"",INDEX('Compliance Database'!$E$2:$E$1960,MATCH(62,Engine!$C$2:$C$1960,0)))</f>
        <v/>
      </c>
      <c r="F75" s="8">
        <f>IF(ISNA(MATCH(62,Engine!$C$2:$C$1960,0)),"",INDEX('Compliance Database'!$F$2:$F$1960,MATCH(62,Engine!$C$2:$C$1960,0)))</f>
        <v/>
      </c>
      <c r="G75" s="8">
        <f>IF(ISNA(MATCH(62,Engine!$C$2:$C$1960,0)),"",INDEX('Compliance Database'!$G$2:$G$1960,MATCH(62,Engine!$C$2:$C$1960,0)))</f>
        <v/>
      </c>
      <c r="H75" s="9">
        <f>IF(ISNA(MATCH(62,Engine!$C$2:$C$1960,0)),"",INDEX('Compliance Database'!$H$2:$H$1960,MATCH(62,Engine!$C$2:$C$1960,0)))</f>
        <v/>
      </c>
      <c r="I75" s="9">
        <f>IF(ISNA(MATCH(62,Engine!$C$2:$C$1960,0)),"",INDEX('Compliance Database'!$I$2:$I$1960,MATCH(62,Engine!$C$2:$C$1960,0)))</f>
        <v/>
      </c>
      <c r="J75" s="8">
        <f>IF(ISNA(MATCH(62,Engine!$C$2:$C$1960,0)),"",INDEX('Compliance Database'!$J$2:$J$1960,MATCH(62,Engine!$C$2:$C$1960,0)))</f>
        <v/>
      </c>
      <c r="K75" s="9">
        <f>IF(ISNA(MATCH(62,Engine!$C$2:$C$1960,0)),"",INDEX('Compliance Database'!$K$2:$K$1960,MATCH(62,Engine!$C$2:$C$1960,0)))</f>
        <v/>
      </c>
      <c r="L75" s="9">
        <f>IF(ISNA(MATCH(62,Engine!$C$2:$C$1960,0)),"",INDEX('Compliance Database'!$L$2:$L$1960,MATCH(62,Engine!$C$2:$C$1960,0)))</f>
        <v/>
      </c>
      <c r="M75" s="9">
        <f>IF(ISNA(MATCH(62,Engine!$C$2:$C$1960,0)),"",INDEX('Compliance Database'!$M$2:$M$1960,MATCH(62,Engine!$C$2:$C$1960,0)))</f>
        <v/>
      </c>
      <c r="N75" s="9">
        <f>IF(ISNA(MATCH(62,Engine!$C$2:$C$1960,0)),"",INDEX('Compliance Database'!$N$2:$N$1960,MATCH(62,Engine!$C$2:$C$1960,0)))</f>
        <v/>
      </c>
      <c r="O75" s="9">
        <f>IF(ISNA(MATCH(62,Engine!$C$2:$C$1960,0)),"",INDEX('Compliance Database'!$O$2:$O$1960,MATCH(62,Engine!$C$2:$C$1960,0)))</f>
        <v/>
      </c>
      <c r="P75" s="8">
        <f>IF(ISNA(MATCH(62,Engine!$C$2:$C$1960,0)),"",HYPERLINK("#Acts!A"&amp;INDEX('Compliance Database'!$P$2:$P$1960,MATCH(62,Engine!$C$2:$C$1960,0)),"Go to Act"))</f>
        <v/>
      </c>
    </row>
    <row r="76" ht="158" customHeight="1">
      <c r="A76" s="8">
        <f>IF(ISNA(MATCH(63,Engine!$C$2:$C$1960,0)),"",INDEX('Compliance Database'!$A$2:$A$1960,MATCH(63,Engine!$C$2:$C$1960,0)))</f>
        <v/>
      </c>
      <c r="B76" s="8">
        <f>IF(ISNA(MATCH(63,Engine!$C$2:$C$1960,0)),"",INDEX('Compliance Database'!$B$2:$B$1960,MATCH(63,Engine!$C$2:$C$1960,0)))</f>
        <v/>
      </c>
      <c r="C76" s="8">
        <f>IF(ISNA(MATCH(63,Engine!$C$2:$C$1960,0)),"",INDEX('Compliance Database'!$C$2:$C$1960,MATCH(63,Engine!$C$2:$C$1960,0)))</f>
        <v/>
      </c>
      <c r="D76" s="9">
        <f>IF(ISNA(MATCH(63,Engine!$C$2:$C$1960,0)),"",INDEX('Compliance Database'!$D$2:$D$1960,MATCH(63,Engine!$C$2:$C$1960,0)))</f>
        <v/>
      </c>
      <c r="E76" s="8">
        <f>IF(ISNA(MATCH(63,Engine!$C$2:$C$1960,0)),"",INDEX('Compliance Database'!$E$2:$E$1960,MATCH(63,Engine!$C$2:$C$1960,0)))</f>
        <v/>
      </c>
      <c r="F76" s="8">
        <f>IF(ISNA(MATCH(63,Engine!$C$2:$C$1960,0)),"",INDEX('Compliance Database'!$F$2:$F$1960,MATCH(63,Engine!$C$2:$C$1960,0)))</f>
        <v/>
      </c>
      <c r="G76" s="8">
        <f>IF(ISNA(MATCH(63,Engine!$C$2:$C$1960,0)),"",INDEX('Compliance Database'!$G$2:$G$1960,MATCH(63,Engine!$C$2:$C$1960,0)))</f>
        <v/>
      </c>
      <c r="H76" s="9">
        <f>IF(ISNA(MATCH(63,Engine!$C$2:$C$1960,0)),"",INDEX('Compliance Database'!$H$2:$H$1960,MATCH(63,Engine!$C$2:$C$1960,0)))</f>
        <v/>
      </c>
      <c r="I76" s="9">
        <f>IF(ISNA(MATCH(63,Engine!$C$2:$C$1960,0)),"",INDEX('Compliance Database'!$I$2:$I$1960,MATCH(63,Engine!$C$2:$C$1960,0)))</f>
        <v/>
      </c>
      <c r="J76" s="8">
        <f>IF(ISNA(MATCH(63,Engine!$C$2:$C$1960,0)),"",INDEX('Compliance Database'!$J$2:$J$1960,MATCH(63,Engine!$C$2:$C$1960,0)))</f>
        <v/>
      </c>
      <c r="K76" s="9">
        <f>IF(ISNA(MATCH(63,Engine!$C$2:$C$1960,0)),"",INDEX('Compliance Database'!$K$2:$K$1960,MATCH(63,Engine!$C$2:$C$1960,0)))</f>
        <v/>
      </c>
      <c r="L76" s="9">
        <f>IF(ISNA(MATCH(63,Engine!$C$2:$C$1960,0)),"",INDEX('Compliance Database'!$L$2:$L$1960,MATCH(63,Engine!$C$2:$C$1960,0)))</f>
        <v/>
      </c>
      <c r="M76" s="9">
        <f>IF(ISNA(MATCH(63,Engine!$C$2:$C$1960,0)),"",INDEX('Compliance Database'!$M$2:$M$1960,MATCH(63,Engine!$C$2:$C$1960,0)))</f>
        <v/>
      </c>
      <c r="N76" s="9">
        <f>IF(ISNA(MATCH(63,Engine!$C$2:$C$1960,0)),"",INDEX('Compliance Database'!$N$2:$N$1960,MATCH(63,Engine!$C$2:$C$1960,0)))</f>
        <v/>
      </c>
      <c r="O76" s="9">
        <f>IF(ISNA(MATCH(63,Engine!$C$2:$C$1960,0)),"",INDEX('Compliance Database'!$O$2:$O$1960,MATCH(63,Engine!$C$2:$C$1960,0)))</f>
        <v/>
      </c>
      <c r="P76" s="8">
        <f>IF(ISNA(MATCH(63,Engine!$C$2:$C$1960,0)),"",HYPERLINK("#Acts!A"&amp;INDEX('Compliance Database'!$P$2:$P$1960,MATCH(63,Engine!$C$2:$C$1960,0)),"Go to Act"))</f>
        <v/>
      </c>
    </row>
    <row r="77" ht="158" customHeight="1">
      <c r="A77" s="8">
        <f>IF(ISNA(MATCH(64,Engine!$C$2:$C$1960,0)),"",INDEX('Compliance Database'!$A$2:$A$1960,MATCH(64,Engine!$C$2:$C$1960,0)))</f>
        <v/>
      </c>
      <c r="B77" s="8">
        <f>IF(ISNA(MATCH(64,Engine!$C$2:$C$1960,0)),"",INDEX('Compliance Database'!$B$2:$B$1960,MATCH(64,Engine!$C$2:$C$1960,0)))</f>
        <v/>
      </c>
      <c r="C77" s="8">
        <f>IF(ISNA(MATCH(64,Engine!$C$2:$C$1960,0)),"",INDEX('Compliance Database'!$C$2:$C$1960,MATCH(64,Engine!$C$2:$C$1960,0)))</f>
        <v/>
      </c>
      <c r="D77" s="9">
        <f>IF(ISNA(MATCH(64,Engine!$C$2:$C$1960,0)),"",INDEX('Compliance Database'!$D$2:$D$1960,MATCH(64,Engine!$C$2:$C$1960,0)))</f>
        <v/>
      </c>
      <c r="E77" s="8">
        <f>IF(ISNA(MATCH(64,Engine!$C$2:$C$1960,0)),"",INDEX('Compliance Database'!$E$2:$E$1960,MATCH(64,Engine!$C$2:$C$1960,0)))</f>
        <v/>
      </c>
      <c r="F77" s="8">
        <f>IF(ISNA(MATCH(64,Engine!$C$2:$C$1960,0)),"",INDEX('Compliance Database'!$F$2:$F$1960,MATCH(64,Engine!$C$2:$C$1960,0)))</f>
        <v/>
      </c>
      <c r="G77" s="8">
        <f>IF(ISNA(MATCH(64,Engine!$C$2:$C$1960,0)),"",INDEX('Compliance Database'!$G$2:$G$1960,MATCH(64,Engine!$C$2:$C$1960,0)))</f>
        <v/>
      </c>
      <c r="H77" s="9">
        <f>IF(ISNA(MATCH(64,Engine!$C$2:$C$1960,0)),"",INDEX('Compliance Database'!$H$2:$H$1960,MATCH(64,Engine!$C$2:$C$1960,0)))</f>
        <v/>
      </c>
      <c r="I77" s="9">
        <f>IF(ISNA(MATCH(64,Engine!$C$2:$C$1960,0)),"",INDEX('Compliance Database'!$I$2:$I$1960,MATCH(64,Engine!$C$2:$C$1960,0)))</f>
        <v/>
      </c>
      <c r="J77" s="8">
        <f>IF(ISNA(MATCH(64,Engine!$C$2:$C$1960,0)),"",INDEX('Compliance Database'!$J$2:$J$1960,MATCH(64,Engine!$C$2:$C$1960,0)))</f>
        <v/>
      </c>
      <c r="K77" s="9">
        <f>IF(ISNA(MATCH(64,Engine!$C$2:$C$1960,0)),"",INDEX('Compliance Database'!$K$2:$K$1960,MATCH(64,Engine!$C$2:$C$1960,0)))</f>
        <v/>
      </c>
      <c r="L77" s="9">
        <f>IF(ISNA(MATCH(64,Engine!$C$2:$C$1960,0)),"",INDEX('Compliance Database'!$L$2:$L$1960,MATCH(64,Engine!$C$2:$C$1960,0)))</f>
        <v/>
      </c>
      <c r="M77" s="9">
        <f>IF(ISNA(MATCH(64,Engine!$C$2:$C$1960,0)),"",INDEX('Compliance Database'!$M$2:$M$1960,MATCH(64,Engine!$C$2:$C$1960,0)))</f>
        <v/>
      </c>
      <c r="N77" s="9">
        <f>IF(ISNA(MATCH(64,Engine!$C$2:$C$1960,0)),"",INDEX('Compliance Database'!$N$2:$N$1960,MATCH(64,Engine!$C$2:$C$1960,0)))</f>
        <v/>
      </c>
      <c r="O77" s="9">
        <f>IF(ISNA(MATCH(64,Engine!$C$2:$C$1960,0)),"",INDEX('Compliance Database'!$O$2:$O$1960,MATCH(64,Engine!$C$2:$C$1960,0)))</f>
        <v/>
      </c>
      <c r="P77" s="8">
        <f>IF(ISNA(MATCH(64,Engine!$C$2:$C$1960,0)),"",HYPERLINK("#Acts!A"&amp;INDEX('Compliance Database'!$P$2:$P$1960,MATCH(64,Engine!$C$2:$C$1960,0)),"Go to Act"))</f>
        <v/>
      </c>
    </row>
    <row r="78" ht="158" customHeight="1">
      <c r="A78" s="8">
        <f>IF(ISNA(MATCH(65,Engine!$C$2:$C$1960,0)),"",INDEX('Compliance Database'!$A$2:$A$1960,MATCH(65,Engine!$C$2:$C$1960,0)))</f>
        <v/>
      </c>
      <c r="B78" s="8">
        <f>IF(ISNA(MATCH(65,Engine!$C$2:$C$1960,0)),"",INDEX('Compliance Database'!$B$2:$B$1960,MATCH(65,Engine!$C$2:$C$1960,0)))</f>
        <v/>
      </c>
      <c r="C78" s="8">
        <f>IF(ISNA(MATCH(65,Engine!$C$2:$C$1960,0)),"",INDEX('Compliance Database'!$C$2:$C$1960,MATCH(65,Engine!$C$2:$C$1960,0)))</f>
        <v/>
      </c>
      <c r="D78" s="9">
        <f>IF(ISNA(MATCH(65,Engine!$C$2:$C$1960,0)),"",INDEX('Compliance Database'!$D$2:$D$1960,MATCH(65,Engine!$C$2:$C$1960,0)))</f>
        <v/>
      </c>
      <c r="E78" s="8">
        <f>IF(ISNA(MATCH(65,Engine!$C$2:$C$1960,0)),"",INDEX('Compliance Database'!$E$2:$E$1960,MATCH(65,Engine!$C$2:$C$1960,0)))</f>
        <v/>
      </c>
      <c r="F78" s="8">
        <f>IF(ISNA(MATCH(65,Engine!$C$2:$C$1960,0)),"",INDEX('Compliance Database'!$F$2:$F$1960,MATCH(65,Engine!$C$2:$C$1960,0)))</f>
        <v/>
      </c>
      <c r="G78" s="8">
        <f>IF(ISNA(MATCH(65,Engine!$C$2:$C$1960,0)),"",INDEX('Compliance Database'!$G$2:$G$1960,MATCH(65,Engine!$C$2:$C$1960,0)))</f>
        <v/>
      </c>
      <c r="H78" s="9">
        <f>IF(ISNA(MATCH(65,Engine!$C$2:$C$1960,0)),"",INDEX('Compliance Database'!$H$2:$H$1960,MATCH(65,Engine!$C$2:$C$1960,0)))</f>
        <v/>
      </c>
      <c r="I78" s="9">
        <f>IF(ISNA(MATCH(65,Engine!$C$2:$C$1960,0)),"",INDEX('Compliance Database'!$I$2:$I$1960,MATCH(65,Engine!$C$2:$C$1960,0)))</f>
        <v/>
      </c>
      <c r="J78" s="8">
        <f>IF(ISNA(MATCH(65,Engine!$C$2:$C$1960,0)),"",INDEX('Compliance Database'!$J$2:$J$1960,MATCH(65,Engine!$C$2:$C$1960,0)))</f>
        <v/>
      </c>
      <c r="K78" s="9">
        <f>IF(ISNA(MATCH(65,Engine!$C$2:$C$1960,0)),"",INDEX('Compliance Database'!$K$2:$K$1960,MATCH(65,Engine!$C$2:$C$1960,0)))</f>
        <v/>
      </c>
      <c r="L78" s="9">
        <f>IF(ISNA(MATCH(65,Engine!$C$2:$C$1960,0)),"",INDEX('Compliance Database'!$L$2:$L$1960,MATCH(65,Engine!$C$2:$C$1960,0)))</f>
        <v/>
      </c>
      <c r="M78" s="9">
        <f>IF(ISNA(MATCH(65,Engine!$C$2:$C$1960,0)),"",INDEX('Compliance Database'!$M$2:$M$1960,MATCH(65,Engine!$C$2:$C$1960,0)))</f>
        <v/>
      </c>
      <c r="N78" s="9">
        <f>IF(ISNA(MATCH(65,Engine!$C$2:$C$1960,0)),"",INDEX('Compliance Database'!$N$2:$N$1960,MATCH(65,Engine!$C$2:$C$1960,0)))</f>
        <v/>
      </c>
      <c r="O78" s="9">
        <f>IF(ISNA(MATCH(65,Engine!$C$2:$C$1960,0)),"",INDEX('Compliance Database'!$O$2:$O$1960,MATCH(65,Engine!$C$2:$C$1960,0)))</f>
        <v/>
      </c>
      <c r="P78" s="8">
        <f>IF(ISNA(MATCH(65,Engine!$C$2:$C$1960,0)),"",HYPERLINK("#Acts!A"&amp;INDEX('Compliance Database'!$P$2:$P$1960,MATCH(65,Engine!$C$2:$C$1960,0)),"Go to Act"))</f>
        <v/>
      </c>
    </row>
    <row r="79" ht="158" customHeight="1">
      <c r="A79" s="8">
        <f>IF(ISNA(MATCH(66,Engine!$C$2:$C$1960,0)),"",INDEX('Compliance Database'!$A$2:$A$1960,MATCH(66,Engine!$C$2:$C$1960,0)))</f>
        <v/>
      </c>
      <c r="B79" s="8">
        <f>IF(ISNA(MATCH(66,Engine!$C$2:$C$1960,0)),"",INDEX('Compliance Database'!$B$2:$B$1960,MATCH(66,Engine!$C$2:$C$1960,0)))</f>
        <v/>
      </c>
      <c r="C79" s="8">
        <f>IF(ISNA(MATCH(66,Engine!$C$2:$C$1960,0)),"",INDEX('Compliance Database'!$C$2:$C$1960,MATCH(66,Engine!$C$2:$C$1960,0)))</f>
        <v/>
      </c>
      <c r="D79" s="9">
        <f>IF(ISNA(MATCH(66,Engine!$C$2:$C$1960,0)),"",INDEX('Compliance Database'!$D$2:$D$1960,MATCH(66,Engine!$C$2:$C$1960,0)))</f>
        <v/>
      </c>
      <c r="E79" s="8">
        <f>IF(ISNA(MATCH(66,Engine!$C$2:$C$1960,0)),"",INDEX('Compliance Database'!$E$2:$E$1960,MATCH(66,Engine!$C$2:$C$1960,0)))</f>
        <v/>
      </c>
      <c r="F79" s="8">
        <f>IF(ISNA(MATCH(66,Engine!$C$2:$C$1960,0)),"",INDEX('Compliance Database'!$F$2:$F$1960,MATCH(66,Engine!$C$2:$C$1960,0)))</f>
        <v/>
      </c>
      <c r="G79" s="8">
        <f>IF(ISNA(MATCH(66,Engine!$C$2:$C$1960,0)),"",INDEX('Compliance Database'!$G$2:$G$1960,MATCH(66,Engine!$C$2:$C$1960,0)))</f>
        <v/>
      </c>
      <c r="H79" s="9">
        <f>IF(ISNA(MATCH(66,Engine!$C$2:$C$1960,0)),"",INDEX('Compliance Database'!$H$2:$H$1960,MATCH(66,Engine!$C$2:$C$1960,0)))</f>
        <v/>
      </c>
      <c r="I79" s="9">
        <f>IF(ISNA(MATCH(66,Engine!$C$2:$C$1960,0)),"",INDEX('Compliance Database'!$I$2:$I$1960,MATCH(66,Engine!$C$2:$C$1960,0)))</f>
        <v/>
      </c>
      <c r="J79" s="8">
        <f>IF(ISNA(MATCH(66,Engine!$C$2:$C$1960,0)),"",INDEX('Compliance Database'!$J$2:$J$1960,MATCH(66,Engine!$C$2:$C$1960,0)))</f>
        <v/>
      </c>
      <c r="K79" s="9">
        <f>IF(ISNA(MATCH(66,Engine!$C$2:$C$1960,0)),"",INDEX('Compliance Database'!$K$2:$K$1960,MATCH(66,Engine!$C$2:$C$1960,0)))</f>
        <v/>
      </c>
      <c r="L79" s="9">
        <f>IF(ISNA(MATCH(66,Engine!$C$2:$C$1960,0)),"",INDEX('Compliance Database'!$L$2:$L$1960,MATCH(66,Engine!$C$2:$C$1960,0)))</f>
        <v/>
      </c>
      <c r="M79" s="9">
        <f>IF(ISNA(MATCH(66,Engine!$C$2:$C$1960,0)),"",INDEX('Compliance Database'!$M$2:$M$1960,MATCH(66,Engine!$C$2:$C$1960,0)))</f>
        <v/>
      </c>
      <c r="N79" s="9">
        <f>IF(ISNA(MATCH(66,Engine!$C$2:$C$1960,0)),"",INDEX('Compliance Database'!$N$2:$N$1960,MATCH(66,Engine!$C$2:$C$1960,0)))</f>
        <v/>
      </c>
      <c r="O79" s="9">
        <f>IF(ISNA(MATCH(66,Engine!$C$2:$C$1960,0)),"",INDEX('Compliance Database'!$O$2:$O$1960,MATCH(66,Engine!$C$2:$C$1960,0)))</f>
        <v/>
      </c>
      <c r="P79" s="8">
        <f>IF(ISNA(MATCH(66,Engine!$C$2:$C$1960,0)),"",HYPERLINK("#Acts!A"&amp;INDEX('Compliance Database'!$P$2:$P$1960,MATCH(66,Engine!$C$2:$C$1960,0)),"Go to Act"))</f>
        <v/>
      </c>
    </row>
    <row r="80" ht="158" customHeight="1">
      <c r="A80" s="8">
        <f>IF(ISNA(MATCH(67,Engine!$C$2:$C$1960,0)),"",INDEX('Compliance Database'!$A$2:$A$1960,MATCH(67,Engine!$C$2:$C$1960,0)))</f>
        <v/>
      </c>
      <c r="B80" s="8">
        <f>IF(ISNA(MATCH(67,Engine!$C$2:$C$1960,0)),"",INDEX('Compliance Database'!$B$2:$B$1960,MATCH(67,Engine!$C$2:$C$1960,0)))</f>
        <v/>
      </c>
      <c r="C80" s="8">
        <f>IF(ISNA(MATCH(67,Engine!$C$2:$C$1960,0)),"",INDEX('Compliance Database'!$C$2:$C$1960,MATCH(67,Engine!$C$2:$C$1960,0)))</f>
        <v/>
      </c>
      <c r="D80" s="9">
        <f>IF(ISNA(MATCH(67,Engine!$C$2:$C$1960,0)),"",INDEX('Compliance Database'!$D$2:$D$1960,MATCH(67,Engine!$C$2:$C$1960,0)))</f>
        <v/>
      </c>
      <c r="E80" s="8">
        <f>IF(ISNA(MATCH(67,Engine!$C$2:$C$1960,0)),"",INDEX('Compliance Database'!$E$2:$E$1960,MATCH(67,Engine!$C$2:$C$1960,0)))</f>
        <v/>
      </c>
      <c r="F80" s="8">
        <f>IF(ISNA(MATCH(67,Engine!$C$2:$C$1960,0)),"",INDEX('Compliance Database'!$F$2:$F$1960,MATCH(67,Engine!$C$2:$C$1960,0)))</f>
        <v/>
      </c>
      <c r="G80" s="8">
        <f>IF(ISNA(MATCH(67,Engine!$C$2:$C$1960,0)),"",INDEX('Compliance Database'!$G$2:$G$1960,MATCH(67,Engine!$C$2:$C$1960,0)))</f>
        <v/>
      </c>
      <c r="H80" s="9">
        <f>IF(ISNA(MATCH(67,Engine!$C$2:$C$1960,0)),"",INDEX('Compliance Database'!$H$2:$H$1960,MATCH(67,Engine!$C$2:$C$1960,0)))</f>
        <v/>
      </c>
      <c r="I80" s="9">
        <f>IF(ISNA(MATCH(67,Engine!$C$2:$C$1960,0)),"",INDEX('Compliance Database'!$I$2:$I$1960,MATCH(67,Engine!$C$2:$C$1960,0)))</f>
        <v/>
      </c>
      <c r="J80" s="8">
        <f>IF(ISNA(MATCH(67,Engine!$C$2:$C$1960,0)),"",INDEX('Compliance Database'!$J$2:$J$1960,MATCH(67,Engine!$C$2:$C$1960,0)))</f>
        <v/>
      </c>
      <c r="K80" s="9">
        <f>IF(ISNA(MATCH(67,Engine!$C$2:$C$1960,0)),"",INDEX('Compliance Database'!$K$2:$K$1960,MATCH(67,Engine!$C$2:$C$1960,0)))</f>
        <v/>
      </c>
      <c r="L80" s="9">
        <f>IF(ISNA(MATCH(67,Engine!$C$2:$C$1960,0)),"",INDEX('Compliance Database'!$L$2:$L$1960,MATCH(67,Engine!$C$2:$C$1960,0)))</f>
        <v/>
      </c>
      <c r="M80" s="9">
        <f>IF(ISNA(MATCH(67,Engine!$C$2:$C$1960,0)),"",INDEX('Compliance Database'!$M$2:$M$1960,MATCH(67,Engine!$C$2:$C$1960,0)))</f>
        <v/>
      </c>
      <c r="N80" s="9">
        <f>IF(ISNA(MATCH(67,Engine!$C$2:$C$1960,0)),"",INDEX('Compliance Database'!$N$2:$N$1960,MATCH(67,Engine!$C$2:$C$1960,0)))</f>
        <v/>
      </c>
      <c r="O80" s="9">
        <f>IF(ISNA(MATCH(67,Engine!$C$2:$C$1960,0)),"",INDEX('Compliance Database'!$O$2:$O$1960,MATCH(67,Engine!$C$2:$C$1960,0)))</f>
        <v/>
      </c>
      <c r="P80" s="8">
        <f>IF(ISNA(MATCH(67,Engine!$C$2:$C$1960,0)),"",HYPERLINK("#Acts!A"&amp;INDEX('Compliance Database'!$P$2:$P$1960,MATCH(67,Engine!$C$2:$C$1960,0)),"Go to Act"))</f>
        <v/>
      </c>
    </row>
    <row r="81" ht="158" customHeight="1">
      <c r="A81" s="8">
        <f>IF(ISNA(MATCH(68,Engine!$C$2:$C$1960,0)),"",INDEX('Compliance Database'!$A$2:$A$1960,MATCH(68,Engine!$C$2:$C$1960,0)))</f>
        <v/>
      </c>
      <c r="B81" s="8">
        <f>IF(ISNA(MATCH(68,Engine!$C$2:$C$1960,0)),"",INDEX('Compliance Database'!$B$2:$B$1960,MATCH(68,Engine!$C$2:$C$1960,0)))</f>
        <v/>
      </c>
      <c r="C81" s="8">
        <f>IF(ISNA(MATCH(68,Engine!$C$2:$C$1960,0)),"",INDEX('Compliance Database'!$C$2:$C$1960,MATCH(68,Engine!$C$2:$C$1960,0)))</f>
        <v/>
      </c>
      <c r="D81" s="9">
        <f>IF(ISNA(MATCH(68,Engine!$C$2:$C$1960,0)),"",INDEX('Compliance Database'!$D$2:$D$1960,MATCH(68,Engine!$C$2:$C$1960,0)))</f>
        <v/>
      </c>
      <c r="E81" s="8">
        <f>IF(ISNA(MATCH(68,Engine!$C$2:$C$1960,0)),"",INDEX('Compliance Database'!$E$2:$E$1960,MATCH(68,Engine!$C$2:$C$1960,0)))</f>
        <v/>
      </c>
      <c r="F81" s="8">
        <f>IF(ISNA(MATCH(68,Engine!$C$2:$C$1960,0)),"",INDEX('Compliance Database'!$F$2:$F$1960,MATCH(68,Engine!$C$2:$C$1960,0)))</f>
        <v/>
      </c>
      <c r="G81" s="8">
        <f>IF(ISNA(MATCH(68,Engine!$C$2:$C$1960,0)),"",INDEX('Compliance Database'!$G$2:$G$1960,MATCH(68,Engine!$C$2:$C$1960,0)))</f>
        <v/>
      </c>
      <c r="H81" s="9">
        <f>IF(ISNA(MATCH(68,Engine!$C$2:$C$1960,0)),"",INDEX('Compliance Database'!$H$2:$H$1960,MATCH(68,Engine!$C$2:$C$1960,0)))</f>
        <v/>
      </c>
      <c r="I81" s="9">
        <f>IF(ISNA(MATCH(68,Engine!$C$2:$C$1960,0)),"",INDEX('Compliance Database'!$I$2:$I$1960,MATCH(68,Engine!$C$2:$C$1960,0)))</f>
        <v/>
      </c>
      <c r="J81" s="8">
        <f>IF(ISNA(MATCH(68,Engine!$C$2:$C$1960,0)),"",INDEX('Compliance Database'!$J$2:$J$1960,MATCH(68,Engine!$C$2:$C$1960,0)))</f>
        <v/>
      </c>
      <c r="K81" s="9">
        <f>IF(ISNA(MATCH(68,Engine!$C$2:$C$1960,0)),"",INDEX('Compliance Database'!$K$2:$K$1960,MATCH(68,Engine!$C$2:$C$1960,0)))</f>
        <v/>
      </c>
      <c r="L81" s="9">
        <f>IF(ISNA(MATCH(68,Engine!$C$2:$C$1960,0)),"",INDEX('Compliance Database'!$L$2:$L$1960,MATCH(68,Engine!$C$2:$C$1960,0)))</f>
        <v/>
      </c>
      <c r="M81" s="9">
        <f>IF(ISNA(MATCH(68,Engine!$C$2:$C$1960,0)),"",INDEX('Compliance Database'!$M$2:$M$1960,MATCH(68,Engine!$C$2:$C$1960,0)))</f>
        <v/>
      </c>
      <c r="N81" s="9">
        <f>IF(ISNA(MATCH(68,Engine!$C$2:$C$1960,0)),"",INDEX('Compliance Database'!$N$2:$N$1960,MATCH(68,Engine!$C$2:$C$1960,0)))</f>
        <v/>
      </c>
      <c r="O81" s="9">
        <f>IF(ISNA(MATCH(68,Engine!$C$2:$C$1960,0)),"",INDEX('Compliance Database'!$O$2:$O$1960,MATCH(68,Engine!$C$2:$C$1960,0)))</f>
        <v/>
      </c>
      <c r="P81" s="8">
        <f>IF(ISNA(MATCH(68,Engine!$C$2:$C$1960,0)),"",HYPERLINK("#Acts!A"&amp;INDEX('Compliance Database'!$P$2:$P$1960,MATCH(68,Engine!$C$2:$C$1960,0)),"Go to Act"))</f>
        <v/>
      </c>
    </row>
    <row r="82" ht="158" customHeight="1">
      <c r="A82" s="8">
        <f>IF(ISNA(MATCH(69,Engine!$C$2:$C$1960,0)),"",INDEX('Compliance Database'!$A$2:$A$1960,MATCH(69,Engine!$C$2:$C$1960,0)))</f>
        <v/>
      </c>
      <c r="B82" s="8">
        <f>IF(ISNA(MATCH(69,Engine!$C$2:$C$1960,0)),"",INDEX('Compliance Database'!$B$2:$B$1960,MATCH(69,Engine!$C$2:$C$1960,0)))</f>
        <v/>
      </c>
      <c r="C82" s="8">
        <f>IF(ISNA(MATCH(69,Engine!$C$2:$C$1960,0)),"",INDEX('Compliance Database'!$C$2:$C$1960,MATCH(69,Engine!$C$2:$C$1960,0)))</f>
        <v/>
      </c>
      <c r="D82" s="9">
        <f>IF(ISNA(MATCH(69,Engine!$C$2:$C$1960,0)),"",INDEX('Compliance Database'!$D$2:$D$1960,MATCH(69,Engine!$C$2:$C$1960,0)))</f>
        <v/>
      </c>
      <c r="E82" s="8">
        <f>IF(ISNA(MATCH(69,Engine!$C$2:$C$1960,0)),"",INDEX('Compliance Database'!$E$2:$E$1960,MATCH(69,Engine!$C$2:$C$1960,0)))</f>
        <v/>
      </c>
      <c r="F82" s="8">
        <f>IF(ISNA(MATCH(69,Engine!$C$2:$C$1960,0)),"",INDEX('Compliance Database'!$F$2:$F$1960,MATCH(69,Engine!$C$2:$C$1960,0)))</f>
        <v/>
      </c>
      <c r="G82" s="8">
        <f>IF(ISNA(MATCH(69,Engine!$C$2:$C$1960,0)),"",INDEX('Compliance Database'!$G$2:$G$1960,MATCH(69,Engine!$C$2:$C$1960,0)))</f>
        <v/>
      </c>
      <c r="H82" s="9">
        <f>IF(ISNA(MATCH(69,Engine!$C$2:$C$1960,0)),"",INDEX('Compliance Database'!$H$2:$H$1960,MATCH(69,Engine!$C$2:$C$1960,0)))</f>
        <v/>
      </c>
      <c r="I82" s="9">
        <f>IF(ISNA(MATCH(69,Engine!$C$2:$C$1960,0)),"",INDEX('Compliance Database'!$I$2:$I$1960,MATCH(69,Engine!$C$2:$C$1960,0)))</f>
        <v/>
      </c>
      <c r="J82" s="8">
        <f>IF(ISNA(MATCH(69,Engine!$C$2:$C$1960,0)),"",INDEX('Compliance Database'!$J$2:$J$1960,MATCH(69,Engine!$C$2:$C$1960,0)))</f>
        <v/>
      </c>
      <c r="K82" s="9">
        <f>IF(ISNA(MATCH(69,Engine!$C$2:$C$1960,0)),"",INDEX('Compliance Database'!$K$2:$K$1960,MATCH(69,Engine!$C$2:$C$1960,0)))</f>
        <v/>
      </c>
      <c r="L82" s="9">
        <f>IF(ISNA(MATCH(69,Engine!$C$2:$C$1960,0)),"",INDEX('Compliance Database'!$L$2:$L$1960,MATCH(69,Engine!$C$2:$C$1960,0)))</f>
        <v/>
      </c>
      <c r="M82" s="9">
        <f>IF(ISNA(MATCH(69,Engine!$C$2:$C$1960,0)),"",INDEX('Compliance Database'!$M$2:$M$1960,MATCH(69,Engine!$C$2:$C$1960,0)))</f>
        <v/>
      </c>
      <c r="N82" s="9">
        <f>IF(ISNA(MATCH(69,Engine!$C$2:$C$1960,0)),"",INDEX('Compliance Database'!$N$2:$N$1960,MATCH(69,Engine!$C$2:$C$1960,0)))</f>
        <v/>
      </c>
      <c r="O82" s="9">
        <f>IF(ISNA(MATCH(69,Engine!$C$2:$C$1960,0)),"",INDEX('Compliance Database'!$O$2:$O$1960,MATCH(69,Engine!$C$2:$C$1960,0)))</f>
        <v/>
      </c>
      <c r="P82" s="8">
        <f>IF(ISNA(MATCH(69,Engine!$C$2:$C$1960,0)),"",HYPERLINK("#Acts!A"&amp;INDEX('Compliance Database'!$P$2:$P$1960,MATCH(69,Engine!$C$2:$C$1960,0)),"Go to Act"))</f>
        <v/>
      </c>
    </row>
    <row r="83" ht="158" customHeight="1">
      <c r="A83" s="8">
        <f>IF(ISNA(MATCH(70,Engine!$C$2:$C$1960,0)),"",INDEX('Compliance Database'!$A$2:$A$1960,MATCH(70,Engine!$C$2:$C$1960,0)))</f>
        <v/>
      </c>
      <c r="B83" s="8">
        <f>IF(ISNA(MATCH(70,Engine!$C$2:$C$1960,0)),"",INDEX('Compliance Database'!$B$2:$B$1960,MATCH(70,Engine!$C$2:$C$1960,0)))</f>
        <v/>
      </c>
      <c r="C83" s="8">
        <f>IF(ISNA(MATCH(70,Engine!$C$2:$C$1960,0)),"",INDEX('Compliance Database'!$C$2:$C$1960,MATCH(70,Engine!$C$2:$C$1960,0)))</f>
        <v/>
      </c>
      <c r="D83" s="9">
        <f>IF(ISNA(MATCH(70,Engine!$C$2:$C$1960,0)),"",INDEX('Compliance Database'!$D$2:$D$1960,MATCH(70,Engine!$C$2:$C$1960,0)))</f>
        <v/>
      </c>
      <c r="E83" s="8">
        <f>IF(ISNA(MATCH(70,Engine!$C$2:$C$1960,0)),"",INDEX('Compliance Database'!$E$2:$E$1960,MATCH(70,Engine!$C$2:$C$1960,0)))</f>
        <v/>
      </c>
      <c r="F83" s="8">
        <f>IF(ISNA(MATCH(70,Engine!$C$2:$C$1960,0)),"",INDEX('Compliance Database'!$F$2:$F$1960,MATCH(70,Engine!$C$2:$C$1960,0)))</f>
        <v/>
      </c>
      <c r="G83" s="8">
        <f>IF(ISNA(MATCH(70,Engine!$C$2:$C$1960,0)),"",INDEX('Compliance Database'!$G$2:$G$1960,MATCH(70,Engine!$C$2:$C$1960,0)))</f>
        <v/>
      </c>
      <c r="H83" s="9">
        <f>IF(ISNA(MATCH(70,Engine!$C$2:$C$1960,0)),"",INDEX('Compliance Database'!$H$2:$H$1960,MATCH(70,Engine!$C$2:$C$1960,0)))</f>
        <v/>
      </c>
      <c r="I83" s="9">
        <f>IF(ISNA(MATCH(70,Engine!$C$2:$C$1960,0)),"",INDEX('Compliance Database'!$I$2:$I$1960,MATCH(70,Engine!$C$2:$C$1960,0)))</f>
        <v/>
      </c>
      <c r="J83" s="8">
        <f>IF(ISNA(MATCH(70,Engine!$C$2:$C$1960,0)),"",INDEX('Compliance Database'!$J$2:$J$1960,MATCH(70,Engine!$C$2:$C$1960,0)))</f>
        <v/>
      </c>
      <c r="K83" s="9">
        <f>IF(ISNA(MATCH(70,Engine!$C$2:$C$1960,0)),"",INDEX('Compliance Database'!$K$2:$K$1960,MATCH(70,Engine!$C$2:$C$1960,0)))</f>
        <v/>
      </c>
      <c r="L83" s="9">
        <f>IF(ISNA(MATCH(70,Engine!$C$2:$C$1960,0)),"",INDEX('Compliance Database'!$L$2:$L$1960,MATCH(70,Engine!$C$2:$C$1960,0)))</f>
        <v/>
      </c>
      <c r="M83" s="9">
        <f>IF(ISNA(MATCH(70,Engine!$C$2:$C$1960,0)),"",INDEX('Compliance Database'!$M$2:$M$1960,MATCH(70,Engine!$C$2:$C$1960,0)))</f>
        <v/>
      </c>
      <c r="N83" s="9">
        <f>IF(ISNA(MATCH(70,Engine!$C$2:$C$1960,0)),"",INDEX('Compliance Database'!$N$2:$N$1960,MATCH(70,Engine!$C$2:$C$1960,0)))</f>
        <v/>
      </c>
      <c r="O83" s="9">
        <f>IF(ISNA(MATCH(70,Engine!$C$2:$C$1960,0)),"",INDEX('Compliance Database'!$O$2:$O$1960,MATCH(70,Engine!$C$2:$C$1960,0)))</f>
        <v/>
      </c>
      <c r="P83" s="8">
        <f>IF(ISNA(MATCH(70,Engine!$C$2:$C$1960,0)),"",HYPERLINK("#Acts!A"&amp;INDEX('Compliance Database'!$P$2:$P$1960,MATCH(70,Engine!$C$2:$C$1960,0)),"Go to Act"))</f>
        <v/>
      </c>
    </row>
    <row r="84" ht="158" customHeight="1">
      <c r="A84" s="8">
        <f>IF(ISNA(MATCH(71,Engine!$C$2:$C$1960,0)),"",INDEX('Compliance Database'!$A$2:$A$1960,MATCH(71,Engine!$C$2:$C$1960,0)))</f>
        <v/>
      </c>
      <c r="B84" s="8">
        <f>IF(ISNA(MATCH(71,Engine!$C$2:$C$1960,0)),"",INDEX('Compliance Database'!$B$2:$B$1960,MATCH(71,Engine!$C$2:$C$1960,0)))</f>
        <v/>
      </c>
      <c r="C84" s="8">
        <f>IF(ISNA(MATCH(71,Engine!$C$2:$C$1960,0)),"",INDEX('Compliance Database'!$C$2:$C$1960,MATCH(71,Engine!$C$2:$C$1960,0)))</f>
        <v/>
      </c>
      <c r="D84" s="9">
        <f>IF(ISNA(MATCH(71,Engine!$C$2:$C$1960,0)),"",INDEX('Compliance Database'!$D$2:$D$1960,MATCH(71,Engine!$C$2:$C$1960,0)))</f>
        <v/>
      </c>
      <c r="E84" s="8">
        <f>IF(ISNA(MATCH(71,Engine!$C$2:$C$1960,0)),"",INDEX('Compliance Database'!$E$2:$E$1960,MATCH(71,Engine!$C$2:$C$1960,0)))</f>
        <v/>
      </c>
      <c r="F84" s="8">
        <f>IF(ISNA(MATCH(71,Engine!$C$2:$C$1960,0)),"",INDEX('Compliance Database'!$F$2:$F$1960,MATCH(71,Engine!$C$2:$C$1960,0)))</f>
        <v/>
      </c>
      <c r="G84" s="8">
        <f>IF(ISNA(MATCH(71,Engine!$C$2:$C$1960,0)),"",INDEX('Compliance Database'!$G$2:$G$1960,MATCH(71,Engine!$C$2:$C$1960,0)))</f>
        <v/>
      </c>
      <c r="H84" s="9">
        <f>IF(ISNA(MATCH(71,Engine!$C$2:$C$1960,0)),"",INDEX('Compliance Database'!$H$2:$H$1960,MATCH(71,Engine!$C$2:$C$1960,0)))</f>
        <v/>
      </c>
      <c r="I84" s="9">
        <f>IF(ISNA(MATCH(71,Engine!$C$2:$C$1960,0)),"",INDEX('Compliance Database'!$I$2:$I$1960,MATCH(71,Engine!$C$2:$C$1960,0)))</f>
        <v/>
      </c>
      <c r="J84" s="8">
        <f>IF(ISNA(MATCH(71,Engine!$C$2:$C$1960,0)),"",INDEX('Compliance Database'!$J$2:$J$1960,MATCH(71,Engine!$C$2:$C$1960,0)))</f>
        <v/>
      </c>
      <c r="K84" s="9">
        <f>IF(ISNA(MATCH(71,Engine!$C$2:$C$1960,0)),"",INDEX('Compliance Database'!$K$2:$K$1960,MATCH(71,Engine!$C$2:$C$1960,0)))</f>
        <v/>
      </c>
      <c r="L84" s="9">
        <f>IF(ISNA(MATCH(71,Engine!$C$2:$C$1960,0)),"",INDEX('Compliance Database'!$L$2:$L$1960,MATCH(71,Engine!$C$2:$C$1960,0)))</f>
        <v/>
      </c>
      <c r="M84" s="9">
        <f>IF(ISNA(MATCH(71,Engine!$C$2:$C$1960,0)),"",INDEX('Compliance Database'!$M$2:$M$1960,MATCH(71,Engine!$C$2:$C$1960,0)))</f>
        <v/>
      </c>
      <c r="N84" s="9">
        <f>IF(ISNA(MATCH(71,Engine!$C$2:$C$1960,0)),"",INDEX('Compliance Database'!$N$2:$N$1960,MATCH(71,Engine!$C$2:$C$1960,0)))</f>
        <v/>
      </c>
      <c r="O84" s="9">
        <f>IF(ISNA(MATCH(71,Engine!$C$2:$C$1960,0)),"",INDEX('Compliance Database'!$O$2:$O$1960,MATCH(71,Engine!$C$2:$C$1960,0)))</f>
        <v/>
      </c>
      <c r="P84" s="8">
        <f>IF(ISNA(MATCH(71,Engine!$C$2:$C$1960,0)),"",HYPERLINK("#Acts!A"&amp;INDEX('Compliance Database'!$P$2:$P$1960,MATCH(71,Engine!$C$2:$C$1960,0)),"Go to Act"))</f>
        <v/>
      </c>
    </row>
    <row r="85" ht="158" customHeight="1">
      <c r="A85" s="8">
        <f>IF(ISNA(MATCH(72,Engine!$C$2:$C$1960,0)),"",INDEX('Compliance Database'!$A$2:$A$1960,MATCH(72,Engine!$C$2:$C$1960,0)))</f>
        <v/>
      </c>
      <c r="B85" s="8">
        <f>IF(ISNA(MATCH(72,Engine!$C$2:$C$1960,0)),"",INDEX('Compliance Database'!$B$2:$B$1960,MATCH(72,Engine!$C$2:$C$1960,0)))</f>
        <v/>
      </c>
      <c r="C85" s="8">
        <f>IF(ISNA(MATCH(72,Engine!$C$2:$C$1960,0)),"",INDEX('Compliance Database'!$C$2:$C$1960,MATCH(72,Engine!$C$2:$C$1960,0)))</f>
        <v/>
      </c>
      <c r="D85" s="9">
        <f>IF(ISNA(MATCH(72,Engine!$C$2:$C$1960,0)),"",INDEX('Compliance Database'!$D$2:$D$1960,MATCH(72,Engine!$C$2:$C$1960,0)))</f>
        <v/>
      </c>
      <c r="E85" s="8">
        <f>IF(ISNA(MATCH(72,Engine!$C$2:$C$1960,0)),"",INDEX('Compliance Database'!$E$2:$E$1960,MATCH(72,Engine!$C$2:$C$1960,0)))</f>
        <v/>
      </c>
      <c r="F85" s="8">
        <f>IF(ISNA(MATCH(72,Engine!$C$2:$C$1960,0)),"",INDEX('Compliance Database'!$F$2:$F$1960,MATCH(72,Engine!$C$2:$C$1960,0)))</f>
        <v/>
      </c>
      <c r="G85" s="8">
        <f>IF(ISNA(MATCH(72,Engine!$C$2:$C$1960,0)),"",INDEX('Compliance Database'!$G$2:$G$1960,MATCH(72,Engine!$C$2:$C$1960,0)))</f>
        <v/>
      </c>
      <c r="H85" s="9">
        <f>IF(ISNA(MATCH(72,Engine!$C$2:$C$1960,0)),"",INDEX('Compliance Database'!$H$2:$H$1960,MATCH(72,Engine!$C$2:$C$1960,0)))</f>
        <v/>
      </c>
      <c r="I85" s="9">
        <f>IF(ISNA(MATCH(72,Engine!$C$2:$C$1960,0)),"",INDEX('Compliance Database'!$I$2:$I$1960,MATCH(72,Engine!$C$2:$C$1960,0)))</f>
        <v/>
      </c>
      <c r="J85" s="8">
        <f>IF(ISNA(MATCH(72,Engine!$C$2:$C$1960,0)),"",INDEX('Compliance Database'!$J$2:$J$1960,MATCH(72,Engine!$C$2:$C$1960,0)))</f>
        <v/>
      </c>
      <c r="K85" s="9">
        <f>IF(ISNA(MATCH(72,Engine!$C$2:$C$1960,0)),"",INDEX('Compliance Database'!$K$2:$K$1960,MATCH(72,Engine!$C$2:$C$1960,0)))</f>
        <v/>
      </c>
      <c r="L85" s="9">
        <f>IF(ISNA(MATCH(72,Engine!$C$2:$C$1960,0)),"",INDEX('Compliance Database'!$L$2:$L$1960,MATCH(72,Engine!$C$2:$C$1960,0)))</f>
        <v/>
      </c>
      <c r="M85" s="9">
        <f>IF(ISNA(MATCH(72,Engine!$C$2:$C$1960,0)),"",INDEX('Compliance Database'!$M$2:$M$1960,MATCH(72,Engine!$C$2:$C$1960,0)))</f>
        <v/>
      </c>
      <c r="N85" s="9">
        <f>IF(ISNA(MATCH(72,Engine!$C$2:$C$1960,0)),"",INDEX('Compliance Database'!$N$2:$N$1960,MATCH(72,Engine!$C$2:$C$1960,0)))</f>
        <v/>
      </c>
      <c r="O85" s="9">
        <f>IF(ISNA(MATCH(72,Engine!$C$2:$C$1960,0)),"",INDEX('Compliance Database'!$O$2:$O$1960,MATCH(72,Engine!$C$2:$C$1960,0)))</f>
        <v/>
      </c>
      <c r="P85" s="8">
        <f>IF(ISNA(MATCH(72,Engine!$C$2:$C$1960,0)),"",HYPERLINK("#Acts!A"&amp;INDEX('Compliance Database'!$P$2:$P$1960,MATCH(72,Engine!$C$2:$C$1960,0)),"Go to Act"))</f>
        <v/>
      </c>
    </row>
    <row r="86" ht="158" customHeight="1">
      <c r="A86" s="8">
        <f>IF(ISNA(MATCH(73,Engine!$C$2:$C$1960,0)),"",INDEX('Compliance Database'!$A$2:$A$1960,MATCH(73,Engine!$C$2:$C$1960,0)))</f>
        <v/>
      </c>
      <c r="B86" s="8">
        <f>IF(ISNA(MATCH(73,Engine!$C$2:$C$1960,0)),"",INDEX('Compliance Database'!$B$2:$B$1960,MATCH(73,Engine!$C$2:$C$1960,0)))</f>
        <v/>
      </c>
      <c r="C86" s="8">
        <f>IF(ISNA(MATCH(73,Engine!$C$2:$C$1960,0)),"",INDEX('Compliance Database'!$C$2:$C$1960,MATCH(73,Engine!$C$2:$C$1960,0)))</f>
        <v/>
      </c>
      <c r="D86" s="9">
        <f>IF(ISNA(MATCH(73,Engine!$C$2:$C$1960,0)),"",INDEX('Compliance Database'!$D$2:$D$1960,MATCH(73,Engine!$C$2:$C$1960,0)))</f>
        <v/>
      </c>
      <c r="E86" s="8">
        <f>IF(ISNA(MATCH(73,Engine!$C$2:$C$1960,0)),"",INDEX('Compliance Database'!$E$2:$E$1960,MATCH(73,Engine!$C$2:$C$1960,0)))</f>
        <v/>
      </c>
      <c r="F86" s="8">
        <f>IF(ISNA(MATCH(73,Engine!$C$2:$C$1960,0)),"",INDEX('Compliance Database'!$F$2:$F$1960,MATCH(73,Engine!$C$2:$C$1960,0)))</f>
        <v/>
      </c>
      <c r="G86" s="8">
        <f>IF(ISNA(MATCH(73,Engine!$C$2:$C$1960,0)),"",INDEX('Compliance Database'!$G$2:$G$1960,MATCH(73,Engine!$C$2:$C$1960,0)))</f>
        <v/>
      </c>
      <c r="H86" s="9">
        <f>IF(ISNA(MATCH(73,Engine!$C$2:$C$1960,0)),"",INDEX('Compliance Database'!$H$2:$H$1960,MATCH(73,Engine!$C$2:$C$1960,0)))</f>
        <v/>
      </c>
      <c r="I86" s="9">
        <f>IF(ISNA(MATCH(73,Engine!$C$2:$C$1960,0)),"",INDEX('Compliance Database'!$I$2:$I$1960,MATCH(73,Engine!$C$2:$C$1960,0)))</f>
        <v/>
      </c>
      <c r="J86" s="8">
        <f>IF(ISNA(MATCH(73,Engine!$C$2:$C$1960,0)),"",INDEX('Compliance Database'!$J$2:$J$1960,MATCH(73,Engine!$C$2:$C$1960,0)))</f>
        <v/>
      </c>
      <c r="K86" s="9">
        <f>IF(ISNA(MATCH(73,Engine!$C$2:$C$1960,0)),"",INDEX('Compliance Database'!$K$2:$K$1960,MATCH(73,Engine!$C$2:$C$1960,0)))</f>
        <v/>
      </c>
      <c r="L86" s="9">
        <f>IF(ISNA(MATCH(73,Engine!$C$2:$C$1960,0)),"",INDEX('Compliance Database'!$L$2:$L$1960,MATCH(73,Engine!$C$2:$C$1960,0)))</f>
        <v/>
      </c>
      <c r="M86" s="9">
        <f>IF(ISNA(MATCH(73,Engine!$C$2:$C$1960,0)),"",INDEX('Compliance Database'!$M$2:$M$1960,MATCH(73,Engine!$C$2:$C$1960,0)))</f>
        <v/>
      </c>
      <c r="N86" s="9">
        <f>IF(ISNA(MATCH(73,Engine!$C$2:$C$1960,0)),"",INDEX('Compliance Database'!$N$2:$N$1960,MATCH(73,Engine!$C$2:$C$1960,0)))</f>
        <v/>
      </c>
      <c r="O86" s="9">
        <f>IF(ISNA(MATCH(73,Engine!$C$2:$C$1960,0)),"",INDEX('Compliance Database'!$O$2:$O$1960,MATCH(73,Engine!$C$2:$C$1960,0)))</f>
        <v/>
      </c>
      <c r="P86" s="8">
        <f>IF(ISNA(MATCH(73,Engine!$C$2:$C$1960,0)),"",HYPERLINK("#Acts!A"&amp;INDEX('Compliance Database'!$P$2:$P$1960,MATCH(73,Engine!$C$2:$C$1960,0)),"Go to Act"))</f>
        <v/>
      </c>
    </row>
    <row r="87" ht="158" customHeight="1">
      <c r="A87" s="8">
        <f>IF(ISNA(MATCH(74,Engine!$C$2:$C$1960,0)),"",INDEX('Compliance Database'!$A$2:$A$1960,MATCH(74,Engine!$C$2:$C$1960,0)))</f>
        <v/>
      </c>
      <c r="B87" s="8">
        <f>IF(ISNA(MATCH(74,Engine!$C$2:$C$1960,0)),"",INDEX('Compliance Database'!$B$2:$B$1960,MATCH(74,Engine!$C$2:$C$1960,0)))</f>
        <v/>
      </c>
      <c r="C87" s="8">
        <f>IF(ISNA(MATCH(74,Engine!$C$2:$C$1960,0)),"",INDEX('Compliance Database'!$C$2:$C$1960,MATCH(74,Engine!$C$2:$C$1960,0)))</f>
        <v/>
      </c>
      <c r="D87" s="9">
        <f>IF(ISNA(MATCH(74,Engine!$C$2:$C$1960,0)),"",INDEX('Compliance Database'!$D$2:$D$1960,MATCH(74,Engine!$C$2:$C$1960,0)))</f>
        <v/>
      </c>
      <c r="E87" s="8">
        <f>IF(ISNA(MATCH(74,Engine!$C$2:$C$1960,0)),"",INDEX('Compliance Database'!$E$2:$E$1960,MATCH(74,Engine!$C$2:$C$1960,0)))</f>
        <v/>
      </c>
      <c r="F87" s="8">
        <f>IF(ISNA(MATCH(74,Engine!$C$2:$C$1960,0)),"",INDEX('Compliance Database'!$F$2:$F$1960,MATCH(74,Engine!$C$2:$C$1960,0)))</f>
        <v/>
      </c>
      <c r="G87" s="8">
        <f>IF(ISNA(MATCH(74,Engine!$C$2:$C$1960,0)),"",INDEX('Compliance Database'!$G$2:$G$1960,MATCH(74,Engine!$C$2:$C$1960,0)))</f>
        <v/>
      </c>
      <c r="H87" s="9">
        <f>IF(ISNA(MATCH(74,Engine!$C$2:$C$1960,0)),"",INDEX('Compliance Database'!$H$2:$H$1960,MATCH(74,Engine!$C$2:$C$1960,0)))</f>
        <v/>
      </c>
      <c r="I87" s="9">
        <f>IF(ISNA(MATCH(74,Engine!$C$2:$C$1960,0)),"",INDEX('Compliance Database'!$I$2:$I$1960,MATCH(74,Engine!$C$2:$C$1960,0)))</f>
        <v/>
      </c>
      <c r="J87" s="8">
        <f>IF(ISNA(MATCH(74,Engine!$C$2:$C$1960,0)),"",INDEX('Compliance Database'!$J$2:$J$1960,MATCH(74,Engine!$C$2:$C$1960,0)))</f>
        <v/>
      </c>
      <c r="K87" s="9">
        <f>IF(ISNA(MATCH(74,Engine!$C$2:$C$1960,0)),"",INDEX('Compliance Database'!$K$2:$K$1960,MATCH(74,Engine!$C$2:$C$1960,0)))</f>
        <v/>
      </c>
      <c r="L87" s="9">
        <f>IF(ISNA(MATCH(74,Engine!$C$2:$C$1960,0)),"",INDEX('Compliance Database'!$L$2:$L$1960,MATCH(74,Engine!$C$2:$C$1960,0)))</f>
        <v/>
      </c>
      <c r="M87" s="9">
        <f>IF(ISNA(MATCH(74,Engine!$C$2:$C$1960,0)),"",INDEX('Compliance Database'!$M$2:$M$1960,MATCH(74,Engine!$C$2:$C$1960,0)))</f>
        <v/>
      </c>
      <c r="N87" s="9">
        <f>IF(ISNA(MATCH(74,Engine!$C$2:$C$1960,0)),"",INDEX('Compliance Database'!$N$2:$N$1960,MATCH(74,Engine!$C$2:$C$1960,0)))</f>
        <v/>
      </c>
      <c r="O87" s="9">
        <f>IF(ISNA(MATCH(74,Engine!$C$2:$C$1960,0)),"",INDEX('Compliance Database'!$O$2:$O$1960,MATCH(74,Engine!$C$2:$C$1960,0)))</f>
        <v/>
      </c>
      <c r="P87" s="8">
        <f>IF(ISNA(MATCH(74,Engine!$C$2:$C$1960,0)),"",HYPERLINK("#Acts!A"&amp;INDEX('Compliance Database'!$P$2:$P$1960,MATCH(74,Engine!$C$2:$C$1960,0)),"Go to Act"))</f>
        <v/>
      </c>
    </row>
    <row r="88" ht="158" customHeight="1">
      <c r="A88" s="8">
        <f>IF(ISNA(MATCH(75,Engine!$C$2:$C$1960,0)),"",INDEX('Compliance Database'!$A$2:$A$1960,MATCH(75,Engine!$C$2:$C$1960,0)))</f>
        <v/>
      </c>
      <c r="B88" s="8">
        <f>IF(ISNA(MATCH(75,Engine!$C$2:$C$1960,0)),"",INDEX('Compliance Database'!$B$2:$B$1960,MATCH(75,Engine!$C$2:$C$1960,0)))</f>
        <v/>
      </c>
      <c r="C88" s="8">
        <f>IF(ISNA(MATCH(75,Engine!$C$2:$C$1960,0)),"",INDEX('Compliance Database'!$C$2:$C$1960,MATCH(75,Engine!$C$2:$C$1960,0)))</f>
        <v/>
      </c>
      <c r="D88" s="9">
        <f>IF(ISNA(MATCH(75,Engine!$C$2:$C$1960,0)),"",INDEX('Compliance Database'!$D$2:$D$1960,MATCH(75,Engine!$C$2:$C$1960,0)))</f>
        <v/>
      </c>
      <c r="E88" s="8">
        <f>IF(ISNA(MATCH(75,Engine!$C$2:$C$1960,0)),"",INDEX('Compliance Database'!$E$2:$E$1960,MATCH(75,Engine!$C$2:$C$1960,0)))</f>
        <v/>
      </c>
      <c r="F88" s="8">
        <f>IF(ISNA(MATCH(75,Engine!$C$2:$C$1960,0)),"",INDEX('Compliance Database'!$F$2:$F$1960,MATCH(75,Engine!$C$2:$C$1960,0)))</f>
        <v/>
      </c>
      <c r="G88" s="8">
        <f>IF(ISNA(MATCH(75,Engine!$C$2:$C$1960,0)),"",INDEX('Compliance Database'!$G$2:$G$1960,MATCH(75,Engine!$C$2:$C$1960,0)))</f>
        <v/>
      </c>
      <c r="H88" s="9">
        <f>IF(ISNA(MATCH(75,Engine!$C$2:$C$1960,0)),"",INDEX('Compliance Database'!$H$2:$H$1960,MATCH(75,Engine!$C$2:$C$1960,0)))</f>
        <v/>
      </c>
      <c r="I88" s="9">
        <f>IF(ISNA(MATCH(75,Engine!$C$2:$C$1960,0)),"",INDEX('Compliance Database'!$I$2:$I$1960,MATCH(75,Engine!$C$2:$C$1960,0)))</f>
        <v/>
      </c>
      <c r="J88" s="8">
        <f>IF(ISNA(MATCH(75,Engine!$C$2:$C$1960,0)),"",INDEX('Compliance Database'!$J$2:$J$1960,MATCH(75,Engine!$C$2:$C$1960,0)))</f>
        <v/>
      </c>
      <c r="K88" s="9">
        <f>IF(ISNA(MATCH(75,Engine!$C$2:$C$1960,0)),"",INDEX('Compliance Database'!$K$2:$K$1960,MATCH(75,Engine!$C$2:$C$1960,0)))</f>
        <v/>
      </c>
      <c r="L88" s="9">
        <f>IF(ISNA(MATCH(75,Engine!$C$2:$C$1960,0)),"",INDEX('Compliance Database'!$L$2:$L$1960,MATCH(75,Engine!$C$2:$C$1960,0)))</f>
        <v/>
      </c>
      <c r="M88" s="9">
        <f>IF(ISNA(MATCH(75,Engine!$C$2:$C$1960,0)),"",INDEX('Compliance Database'!$M$2:$M$1960,MATCH(75,Engine!$C$2:$C$1960,0)))</f>
        <v/>
      </c>
      <c r="N88" s="9">
        <f>IF(ISNA(MATCH(75,Engine!$C$2:$C$1960,0)),"",INDEX('Compliance Database'!$N$2:$N$1960,MATCH(75,Engine!$C$2:$C$1960,0)))</f>
        <v/>
      </c>
      <c r="O88" s="9">
        <f>IF(ISNA(MATCH(75,Engine!$C$2:$C$1960,0)),"",INDEX('Compliance Database'!$O$2:$O$1960,MATCH(75,Engine!$C$2:$C$1960,0)))</f>
        <v/>
      </c>
      <c r="P88" s="8">
        <f>IF(ISNA(MATCH(75,Engine!$C$2:$C$1960,0)),"",HYPERLINK("#Acts!A"&amp;INDEX('Compliance Database'!$P$2:$P$1960,MATCH(75,Engine!$C$2:$C$1960,0)),"Go to Act"))</f>
        <v/>
      </c>
    </row>
    <row r="89" ht="158" customHeight="1">
      <c r="A89" s="8">
        <f>IF(ISNA(MATCH(76,Engine!$C$2:$C$1960,0)),"",INDEX('Compliance Database'!$A$2:$A$1960,MATCH(76,Engine!$C$2:$C$1960,0)))</f>
        <v/>
      </c>
      <c r="B89" s="8">
        <f>IF(ISNA(MATCH(76,Engine!$C$2:$C$1960,0)),"",INDEX('Compliance Database'!$B$2:$B$1960,MATCH(76,Engine!$C$2:$C$1960,0)))</f>
        <v/>
      </c>
      <c r="C89" s="8">
        <f>IF(ISNA(MATCH(76,Engine!$C$2:$C$1960,0)),"",INDEX('Compliance Database'!$C$2:$C$1960,MATCH(76,Engine!$C$2:$C$1960,0)))</f>
        <v/>
      </c>
      <c r="D89" s="9">
        <f>IF(ISNA(MATCH(76,Engine!$C$2:$C$1960,0)),"",INDEX('Compliance Database'!$D$2:$D$1960,MATCH(76,Engine!$C$2:$C$1960,0)))</f>
        <v/>
      </c>
      <c r="E89" s="8">
        <f>IF(ISNA(MATCH(76,Engine!$C$2:$C$1960,0)),"",INDEX('Compliance Database'!$E$2:$E$1960,MATCH(76,Engine!$C$2:$C$1960,0)))</f>
        <v/>
      </c>
      <c r="F89" s="8">
        <f>IF(ISNA(MATCH(76,Engine!$C$2:$C$1960,0)),"",INDEX('Compliance Database'!$F$2:$F$1960,MATCH(76,Engine!$C$2:$C$1960,0)))</f>
        <v/>
      </c>
      <c r="G89" s="8">
        <f>IF(ISNA(MATCH(76,Engine!$C$2:$C$1960,0)),"",INDEX('Compliance Database'!$G$2:$G$1960,MATCH(76,Engine!$C$2:$C$1960,0)))</f>
        <v/>
      </c>
      <c r="H89" s="9">
        <f>IF(ISNA(MATCH(76,Engine!$C$2:$C$1960,0)),"",INDEX('Compliance Database'!$H$2:$H$1960,MATCH(76,Engine!$C$2:$C$1960,0)))</f>
        <v/>
      </c>
      <c r="I89" s="9">
        <f>IF(ISNA(MATCH(76,Engine!$C$2:$C$1960,0)),"",INDEX('Compliance Database'!$I$2:$I$1960,MATCH(76,Engine!$C$2:$C$1960,0)))</f>
        <v/>
      </c>
      <c r="J89" s="8">
        <f>IF(ISNA(MATCH(76,Engine!$C$2:$C$1960,0)),"",INDEX('Compliance Database'!$J$2:$J$1960,MATCH(76,Engine!$C$2:$C$1960,0)))</f>
        <v/>
      </c>
      <c r="K89" s="9">
        <f>IF(ISNA(MATCH(76,Engine!$C$2:$C$1960,0)),"",INDEX('Compliance Database'!$K$2:$K$1960,MATCH(76,Engine!$C$2:$C$1960,0)))</f>
        <v/>
      </c>
      <c r="L89" s="9">
        <f>IF(ISNA(MATCH(76,Engine!$C$2:$C$1960,0)),"",INDEX('Compliance Database'!$L$2:$L$1960,MATCH(76,Engine!$C$2:$C$1960,0)))</f>
        <v/>
      </c>
      <c r="M89" s="9">
        <f>IF(ISNA(MATCH(76,Engine!$C$2:$C$1960,0)),"",INDEX('Compliance Database'!$M$2:$M$1960,MATCH(76,Engine!$C$2:$C$1960,0)))</f>
        <v/>
      </c>
      <c r="N89" s="9">
        <f>IF(ISNA(MATCH(76,Engine!$C$2:$C$1960,0)),"",INDEX('Compliance Database'!$N$2:$N$1960,MATCH(76,Engine!$C$2:$C$1960,0)))</f>
        <v/>
      </c>
      <c r="O89" s="9">
        <f>IF(ISNA(MATCH(76,Engine!$C$2:$C$1960,0)),"",INDEX('Compliance Database'!$O$2:$O$1960,MATCH(76,Engine!$C$2:$C$1960,0)))</f>
        <v/>
      </c>
      <c r="P89" s="8">
        <f>IF(ISNA(MATCH(76,Engine!$C$2:$C$1960,0)),"",HYPERLINK("#Acts!A"&amp;INDEX('Compliance Database'!$P$2:$P$1960,MATCH(76,Engine!$C$2:$C$1960,0)),"Go to Act"))</f>
        <v/>
      </c>
    </row>
    <row r="90" ht="158" customHeight="1">
      <c r="A90" s="8">
        <f>IF(ISNA(MATCH(77,Engine!$C$2:$C$1960,0)),"",INDEX('Compliance Database'!$A$2:$A$1960,MATCH(77,Engine!$C$2:$C$1960,0)))</f>
        <v/>
      </c>
      <c r="B90" s="8">
        <f>IF(ISNA(MATCH(77,Engine!$C$2:$C$1960,0)),"",INDEX('Compliance Database'!$B$2:$B$1960,MATCH(77,Engine!$C$2:$C$1960,0)))</f>
        <v/>
      </c>
      <c r="C90" s="8">
        <f>IF(ISNA(MATCH(77,Engine!$C$2:$C$1960,0)),"",INDEX('Compliance Database'!$C$2:$C$1960,MATCH(77,Engine!$C$2:$C$1960,0)))</f>
        <v/>
      </c>
      <c r="D90" s="9">
        <f>IF(ISNA(MATCH(77,Engine!$C$2:$C$1960,0)),"",INDEX('Compliance Database'!$D$2:$D$1960,MATCH(77,Engine!$C$2:$C$1960,0)))</f>
        <v/>
      </c>
      <c r="E90" s="8">
        <f>IF(ISNA(MATCH(77,Engine!$C$2:$C$1960,0)),"",INDEX('Compliance Database'!$E$2:$E$1960,MATCH(77,Engine!$C$2:$C$1960,0)))</f>
        <v/>
      </c>
      <c r="F90" s="8">
        <f>IF(ISNA(MATCH(77,Engine!$C$2:$C$1960,0)),"",INDEX('Compliance Database'!$F$2:$F$1960,MATCH(77,Engine!$C$2:$C$1960,0)))</f>
        <v/>
      </c>
      <c r="G90" s="8">
        <f>IF(ISNA(MATCH(77,Engine!$C$2:$C$1960,0)),"",INDEX('Compliance Database'!$G$2:$G$1960,MATCH(77,Engine!$C$2:$C$1960,0)))</f>
        <v/>
      </c>
      <c r="H90" s="9">
        <f>IF(ISNA(MATCH(77,Engine!$C$2:$C$1960,0)),"",INDEX('Compliance Database'!$H$2:$H$1960,MATCH(77,Engine!$C$2:$C$1960,0)))</f>
        <v/>
      </c>
      <c r="I90" s="9">
        <f>IF(ISNA(MATCH(77,Engine!$C$2:$C$1960,0)),"",INDEX('Compliance Database'!$I$2:$I$1960,MATCH(77,Engine!$C$2:$C$1960,0)))</f>
        <v/>
      </c>
      <c r="J90" s="8">
        <f>IF(ISNA(MATCH(77,Engine!$C$2:$C$1960,0)),"",INDEX('Compliance Database'!$J$2:$J$1960,MATCH(77,Engine!$C$2:$C$1960,0)))</f>
        <v/>
      </c>
      <c r="K90" s="9">
        <f>IF(ISNA(MATCH(77,Engine!$C$2:$C$1960,0)),"",INDEX('Compliance Database'!$K$2:$K$1960,MATCH(77,Engine!$C$2:$C$1960,0)))</f>
        <v/>
      </c>
      <c r="L90" s="9">
        <f>IF(ISNA(MATCH(77,Engine!$C$2:$C$1960,0)),"",INDEX('Compliance Database'!$L$2:$L$1960,MATCH(77,Engine!$C$2:$C$1960,0)))</f>
        <v/>
      </c>
      <c r="M90" s="9">
        <f>IF(ISNA(MATCH(77,Engine!$C$2:$C$1960,0)),"",INDEX('Compliance Database'!$M$2:$M$1960,MATCH(77,Engine!$C$2:$C$1960,0)))</f>
        <v/>
      </c>
      <c r="N90" s="9">
        <f>IF(ISNA(MATCH(77,Engine!$C$2:$C$1960,0)),"",INDEX('Compliance Database'!$N$2:$N$1960,MATCH(77,Engine!$C$2:$C$1960,0)))</f>
        <v/>
      </c>
      <c r="O90" s="9">
        <f>IF(ISNA(MATCH(77,Engine!$C$2:$C$1960,0)),"",INDEX('Compliance Database'!$O$2:$O$1960,MATCH(77,Engine!$C$2:$C$1960,0)))</f>
        <v/>
      </c>
      <c r="P90" s="8">
        <f>IF(ISNA(MATCH(77,Engine!$C$2:$C$1960,0)),"",HYPERLINK("#Acts!A"&amp;INDEX('Compliance Database'!$P$2:$P$1960,MATCH(77,Engine!$C$2:$C$1960,0)),"Go to Act"))</f>
        <v/>
      </c>
    </row>
    <row r="91" ht="158" customHeight="1">
      <c r="A91" s="8">
        <f>IF(ISNA(MATCH(78,Engine!$C$2:$C$1960,0)),"",INDEX('Compliance Database'!$A$2:$A$1960,MATCH(78,Engine!$C$2:$C$1960,0)))</f>
        <v/>
      </c>
      <c r="B91" s="8">
        <f>IF(ISNA(MATCH(78,Engine!$C$2:$C$1960,0)),"",INDEX('Compliance Database'!$B$2:$B$1960,MATCH(78,Engine!$C$2:$C$1960,0)))</f>
        <v/>
      </c>
      <c r="C91" s="8">
        <f>IF(ISNA(MATCH(78,Engine!$C$2:$C$1960,0)),"",INDEX('Compliance Database'!$C$2:$C$1960,MATCH(78,Engine!$C$2:$C$1960,0)))</f>
        <v/>
      </c>
      <c r="D91" s="9">
        <f>IF(ISNA(MATCH(78,Engine!$C$2:$C$1960,0)),"",INDEX('Compliance Database'!$D$2:$D$1960,MATCH(78,Engine!$C$2:$C$1960,0)))</f>
        <v/>
      </c>
      <c r="E91" s="8">
        <f>IF(ISNA(MATCH(78,Engine!$C$2:$C$1960,0)),"",INDEX('Compliance Database'!$E$2:$E$1960,MATCH(78,Engine!$C$2:$C$1960,0)))</f>
        <v/>
      </c>
      <c r="F91" s="8">
        <f>IF(ISNA(MATCH(78,Engine!$C$2:$C$1960,0)),"",INDEX('Compliance Database'!$F$2:$F$1960,MATCH(78,Engine!$C$2:$C$1960,0)))</f>
        <v/>
      </c>
      <c r="G91" s="8">
        <f>IF(ISNA(MATCH(78,Engine!$C$2:$C$1960,0)),"",INDEX('Compliance Database'!$G$2:$G$1960,MATCH(78,Engine!$C$2:$C$1960,0)))</f>
        <v/>
      </c>
      <c r="H91" s="9">
        <f>IF(ISNA(MATCH(78,Engine!$C$2:$C$1960,0)),"",INDEX('Compliance Database'!$H$2:$H$1960,MATCH(78,Engine!$C$2:$C$1960,0)))</f>
        <v/>
      </c>
      <c r="I91" s="9">
        <f>IF(ISNA(MATCH(78,Engine!$C$2:$C$1960,0)),"",INDEX('Compliance Database'!$I$2:$I$1960,MATCH(78,Engine!$C$2:$C$1960,0)))</f>
        <v/>
      </c>
      <c r="J91" s="8">
        <f>IF(ISNA(MATCH(78,Engine!$C$2:$C$1960,0)),"",INDEX('Compliance Database'!$J$2:$J$1960,MATCH(78,Engine!$C$2:$C$1960,0)))</f>
        <v/>
      </c>
      <c r="K91" s="9">
        <f>IF(ISNA(MATCH(78,Engine!$C$2:$C$1960,0)),"",INDEX('Compliance Database'!$K$2:$K$1960,MATCH(78,Engine!$C$2:$C$1960,0)))</f>
        <v/>
      </c>
      <c r="L91" s="9">
        <f>IF(ISNA(MATCH(78,Engine!$C$2:$C$1960,0)),"",INDEX('Compliance Database'!$L$2:$L$1960,MATCH(78,Engine!$C$2:$C$1960,0)))</f>
        <v/>
      </c>
      <c r="M91" s="9">
        <f>IF(ISNA(MATCH(78,Engine!$C$2:$C$1960,0)),"",INDEX('Compliance Database'!$M$2:$M$1960,MATCH(78,Engine!$C$2:$C$1960,0)))</f>
        <v/>
      </c>
      <c r="N91" s="9">
        <f>IF(ISNA(MATCH(78,Engine!$C$2:$C$1960,0)),"",INDEX('Compliance Database'!$N$2:$N$1960,MATCH(78,Engine!$C$2:$C$1960,0)))</f>
        <v/>
      </c>
      <c r="O91" s="9">
        <f>IF(ISNA(MATCH(78,Engine!$C$2:$C$1960,0)),"",INDEX('Compliance Database'!$O$2:$O$1960,MATCH(78,Engine!$C$2:$C$1960,0)))</f>
        <v/>
      </c>
      <c r="P91" s="8">
        <f>IF(ISNA(MATCH(78,Engine!$C$2:$C$1960,0)),"",HYPERLINK("#Acts!A"&amp;INDEX('Compliance Database'!$P$2:$P$1960,MATCH(78,Engine!$C$2:$C$1960,0)),"Go to Act"))</f>
        <v/>
      </c>
    </row>
    <row r="92" ht="158" customHeight="1">
      <c r="A92" s="8">
        <f>IF(ISNA(MATCH(79,Engine!$C$2:$C$1960,0)),"",INDEX('Compliance Database'!$A$2:$A$1960,MATCH(79,Engine!$C$2:$C$1960,0)))</f>
        <v/>
      </c>
      <c r="B92" s="8">
        <f>IF(ISNA(MATCH(79,Engine!$C$2:$C$1960,0)),"",INDEX('Compliance Database'!$B$2:$B$1960,MATCH(79,Engine!$C$2:$C$1960,0)))</f>
        <v/>
      </c>
      <c r="C92" s="8">
        <f>IF(ISNA(MATCH(79,Engine!$C$2:$C$1960,0)),"",INDEX('Compliance Database'!$C$2:$C$1960,MATCH(79,Engine!$C$2:$C$1960,0)))</f>
        <v/>
      </c>
      <c r="D92" s="9">
        <f>IF(ISNA(MATCH(79,Engine!$C$2:$C$1960,0)),"",INDEX('Compliance Database'!$D$2:$D$1960,MATCH(79,Engine!$C$2:$C$1960,0)))</f>
        <v/>
      </c>
      <c r="E92" s="8">
        <f>IF(ISNA(MATCH(79,Engine!$C$2:$C$1960,0)),"",INDEX('Compliance Database'!$E$2:$E$1960,MATCH(79,Engine!$C$2:$C$1960,0)))</f>
        <v/>
      </c>
      <c r="F92" s="8">
        <f>IF(ISNA(MATCH(79,Engine!$C$2:$C$1960,0)),"",INDEX('Compliance Database'!$F$2:$F$1960,MATCH(79,Engine!$C$2:$C$1960,0)))</f>
        <v/>
      </c>
      <c r="G92" s="8">
        <f>IF(ISNA(MATCH(79,Engine!$C$2:$C$1960,0)),"",INDEX('Compliance Database'!$G$2:$G$1960,MATCH(79,Engine!$C$2:$C$1960,0)))</f>
        <v/>
      </c>
      <c r="H92" s="9">
        <f>IF(ISNA(MATCH(79,Engine!$C$2:$C$1960,0)),"",INDEX('Compliance Database'!$H$2:$H$1960,MATCH(79,Engine!$C$2:$C$1960,0)))</f>
        <v/>
      </c>
      <c r="I92" s="9">
        <f>IF(ISNA(MATCH(79,Engine!$C$2:$C$1960,0)),"",INDEX('Compliance Database'!$I$2:$I$1960,MATCH(79,Engine!$C$2:$C$1960,0)))</f>
        <v/>
      </c>
      <c r="J92" s="8">
        <f>IF(ISNA(MATCH(79,Engine!$C$2:$C$1960,0)),"",INDEX('Compliance Database'!$J$2:$J$1960,MATCH(79,Engine!$C$2:$C$1960,0)))</f>
        <v/>
      </c>
      <c r="K92" s="9">
        <f>IF(ISNA(MATCH(79,Engine!$C$2:$C$1960,0)),"",INDEX('Compliance Database'!$K$2:$K$1960,MATCH(79,Engine!$C$2:$C$1960,0)))</f>
        <v/>
      </c>
      <c r="L92" s="9">
        <f>IF(ISNA(MATCH(79,Engine!$C$2:$C$1960,0)),"",INDEX('Compliance Database'!$L$2:$L$1960,MATCH(79,Engine!$C$2:$C$1960,0)))</f>
        <v/>
      </c>
      <c r="M92" s="9">
        <f>IF(ISNA(MATCH(79,Engine!$C$2:$C$1960,0)),"",INDEX('Compliance Database'!$M$2:$M$1960,MATCH(79,Engine!$C$2:$C$1960,0)))</f>
        <v/>
      </c>
      <c r="N92" s="9">
        <f>IF(ISNA(MATCH(79,Engine!$C$2:$C$1960,0)),"",INDEX('Compliance Database'!$N$2:$N$1960,MATCH(79,Engine!$C$2:$C$1960,0)))</f>
        <v/>
      </c>
      <c r="O92" s="9">
        <f>IF(ISNA(MATCH(79,Engine!$C$2:$C$1960,0)),"",INDEX('Compliance Database'!$O$2:$O$1960,MATCH(79,Engine!$C$2:$C$1960,0)))</f>
        <v/>
      </c>
      <c r="P92" s="8">
        <f>IF(ISNA(MATCH(79,Engine!$C$2:$C$1960,0)),"",HYPERLINK("#Acts!A"&amp;INDEX('Compliance Database'!$P$2:$P$1960,MATCH(79,Engine!$C$2:$C$1960,0)),"Go to Act"))</f>
        <v/>
      </c>
    </row>
    <row r="93" ht="158" customHeight="1">
      <c r="A93" s="8">
        <f>IF(ISNA(MATCH(80,Engine!$C$2:$C$1960,0)),"",INDEX('Compliance Database'!$A$2:$A$1960,MATCH(80,Engine!$C$2:$C$1960,0)))</f>
        <v/>
      </c>
      <c r="B93" s="8">
        <f>IF(ISNA(MATCH(80,Engine!$C$2:$C$1960,0)),"",INDEX('Compliance Database'!$B$2:$B$1960,MATCH(80,Engine!$C$2:$C$1960,0)))</f>
        <v/>
      </c>
      <c r="C93" s="8">
        <f>IF(ISNA(MATCH(80,Engine!$C$2:$C$1960,0)),"",INDEX('Compliance Database'!$C$2:$C$1960,MATCH(80,Engine!$C$2:$C$1960,0)))</f>
        <v/>
      </c>
      <c r="D93" s="9">
        <f>IF(ISNA(MATCH(80,Engine!$C$2:$C$1960,0)),"",INDEX('Compliance Database'!$D$2:$D$1960,MATCH(80,Engine!$C$2:$C$1960,0)))</f>
        <v/>
      </c>
      <c r="E93" s="8">
        <f>IF(ISNA(MATCH(80,Engine!$C$2:$C$1960,0)),"",INDEX('Compliance Database'!$E$2:$E$1960,MATCH(80,Engine!$C$2:$C$1960,0)))</f>
        <v/>
      </c>
      <c r="F93" s="8">
        <f>IF(ISNA(MATCH(80,Engine!$C$2:$C$1960,0)),"",INDEX('Compliance Database'!$F$2:$F$1960,MATCH(80,Engine!$C$2:$C$1960,0)))</f>
        <v/>
      </c>
      <c r="G93" s="8">
        <f>IF(ISNA(MATCH(80,Engine!$C$2:$C$1960,0)),"",INDEX('Compliance Database'!$G$2:$G$1960,MATCH(80,Engine!$C$2:$C$1960,0)))</f>
        <v/>
      </c>
      <c r="H93" s="9">
        <f>IF(ISNA(MATCH(80,Engine!$C$2:$C$1960,0)),"",INDEX('Compliance Database'!$H$2:$H$1960,MATCH(80,Engine!$C$2:$C$1960,0)))</f>
        <v/>
      </c>
      <c r="I93" s="9">
        <f>IF(ISNA(MATCH(80,Engine!$C$2:$C$1960,0)),"",INDEX('Compliance Database'!$I$2:$I$1960,MATCH(80,Engine!$C$2:$C$1960,0)))</f>
        <v/>
      </c>
      <c r="J93" s="8">
        <f>IF(ISNA(MATCH(80,Engine!$C$2:$C$1960,0)),"",INDEX('Compliance Database'!$J$2:$J$1960,MATCH(80,Engine!$C$2:$C$1960,0)))</f>
        <v/>
      </c>
      <c r="K93" s="9">
        <f>IF(ISNA(MATCH(80,Engine!$C$2:$C$1960,0)),"",INDEX('Compliance Database'!$K$2:$K$1960,MATCH(80,Engine!$C$2:$C$1960,0)))</f>
        <v/>
      </c>
      <c r="L93" s="9">
        <f>IF(ISNA(MATCH(80,Engine!$C$2:$C$1960,0)),"",INDEX('Compliance Database'!$L$2:$L$1960,MATCH(80,Engine!$C$2:$C$1960,0)))</f>
        <v/>
      </c>
      <c r="M93" s="9">
        <f>IF(ISNA(MATCH(80,Engine!$C$2:$C$1960,0)),"",INDEX('Compliance Database'!$M$2:$M$1960,MATCH(80,Engine!$C$2:$C$1960,0)))</f>
        <v/>
      </c>
      <c r="N93" s="9">
        <f>IF(ISNA(MATCH(80,Engine!$C$2:$C$1960,0)),"",INDEX('Compliance Database'!$N$2:$N$1960,MATCH(80,Engine!$C$2:$C$1960,0)))</f>
        <v/>
      </c>
      <c r="O93" s="9">
        <f>IF(ISNA(MATCH(80,Engine!$C$2:$C$1960,0)),"",INDEX('Compliance Database'!$O$2:$O$1960,MATCH(80,Engine!$C$2:$C$1960,0)))</f>
        <v/>
      </c>
      <c r="P93" s="8">
        <f>IF(ISNA(MATCH(80,Engine!$C$2:$C$1960,0)),"",HYPERLINK("#Acts!A"&amp;INDEX('Compliance Database'!$P$2:$P$1960,MATCH(80,Engine!$C$2:$C$1960,0)),"Go to Act"))</f>
        <v/>
      </c>
    </row>
    <row r="94" ht="158" customHeight="1">
      <c r="A94" s="8">
        <f>IF(ISNA(MATCH(81,Engine!$C$2:$C$1960,0)),"",INDEX('Compliance Database'!$A$2:$A$1960,MATCH(81,Engine!$C$2:$C$1960,0)))</f>
        <v/>
      </c>
      <c r="B94" s="8">
        <f>IF(ISNA(MATCH(81,Engine!$C$2:$C$1960,0)),"",INDEX('Compliance Database'!$B$2:$B$1960,MATCH(81,Engine!$C$2:$C$1960,0)))</f>
        <v/>
      </c>
      <c r="C94" s="8">
        <f>IF(ISNA(MATCH(81,Engine!$C$2:$C$1960,0)),"",INDEX('Compliance Database'!$C$2:$C$1960,MATCH(81,Engine!$C$2:$C$1960,0)))</f>
        <v/>
      </c>
      <c r="D94" s="9">
        <f>IF(ISNA(MATCH(81,Engine!$C$2:$C$1960,0)),"",INDEX('Compliance Database'!$D$2:$D$1960,MATCH(81,Engine!$C$2:$C$1960,0)))</f>
        <v/>
      </c>
      <c r="E94" s="8">
        <f>IF(ISNA(MATCH(81,Engine!$C$2:$C$1960,0)),"",INDEX('Compliance Database'!$E$2:$E$1960,MATCH(81,Engine!$C$2:$C$1960,0)))</f>
        <v/>
      </c>
      <c r="F94" s="8">
        <f>IF(ISNA(MATCH(81,Engine!$C$2:$C$1960,0)),"",INDEX('Compliance Database'!$F$2:$F$1960,MATCH(81,Engine!$C$2:$C$1960,0)))</f>
        <v/>
      </c>
      <c r="G94" s="8">
        <f>IF(ISNA(MATCH(81,Engine!$C$2:$C$1960,0)),"",INDEX('Compliance Database'!$G$2:$G$1960,MATCH(81,Engine!$C$2:$C$1960,0)))</f>
        <v/>
      </c>
      <c r="H94" s="9">
        <f>IF(ISNA(MATCH(81,Engine!$C$2:$C$1960,0)),"",INDEX('Compliance Database'!$H$2:$H$1960,MATCH(81,Engine!$C$2:$C$1960,0)))</f>
        <v/>
      </c>
      <c r="I94" s="9">
        <f>IF(ISNA(MATCH(81,Engine!$C$2:$C$1960,0)),"",INDEX('Compliance Database'!$I$2:$I$1960,MATCH(81,Engine!$C$2:$C$1960,0)))</f>
        <v/>
      </c>
      <c r="J94" s="8">
        <f>IF(ISNA(MATCH(81,Engine!$C$2:$C$1960,0)),"",INDEX('Compliance Database'!$J$2:$J$1960,MATCH(81,Engine!$C$2:$C$1960,0)))</f>
        <v/>
      </c>
      <c r="K94" s="9">
        <f>IF(ISNA(MATCH(81,Engine!$C$2:$C$1960,0)),"",INDEX('Compliance Database'!$K$2:$K$1960,MATCH(81,Engine!$C$2:$C$1960,0)))</f>
        <v/>
      </c>
      <c r="L94" s="9">
        <f>IF(ISNA(MATCH(81,Engine!$C$2:$C$1960,0)),"",INDEX('Compliance Database'!$L$2:$L$1960,MATCH(81,Engine!$C$2:$C$1960,0)))</f>
        <v/>
      </c>
      <c r="M94" s="9">
        <f>IF(ISNA(MATCH(81,Engine!$C$2:$C$1960,0)),"",INDEX('Compliance Database'!$M$2:$M$1960,MATCH(81,Engine!$C$2:$C$1960,0)))</f>
        <v/>
      </c>
      <c r="N94" s="9">
        <f>IF(ISNA(MATCH(81,Engine!$C$2:$C$1960,0)),"",INDEX('Compliance Database'!$N$2:$N$1960,MATCH(81,Engine!$C$2:$C$1960,0)))</f>
        <v/>
      </c>
      <c r="O94" s="9">
        <f>IF(ISNA(MATCH(81,Engine!$C$2:$C$1960,0)),"",INDEX('Compliance Database'!$O$2:$O$1960,MATCH(81,Engine!$C$2:$C$1960,0)))</f>
        <v/>
      </c>
      <c r="P94" s="8">
        <f>IF(ISNA(MATCH(81,Engine!$C$2:$C$1960,0)),"",HYPERLINK("#Acts!A"&amp;INDEX('Compliance Database'!$P$2:$P$1960,MATCH(81,Engine!$C$2:$C$1960,0)),"Go to Act"))</f>
        <v/>
      </c>
    </row>
    <row r="95" ht="158" customHeight="1">
      <c r="A95" s="8">
        <f>IF(ISNA(MATCH(82,Engine!$C$2:$C$1960,0)),"",INDEX('Compliance Database'!$A$2:$A$1960,MATCH(82,Engine!$C$2:$C$1960,0)))</f>
        <v/>
      </c>
      <c r="B95" s="8">
        <f>IF(ISNA(MATCH(82,Engine!$C$2:$C$1960,0)),"",INDEX('Compliance Database'!$B$2:$B$1960,MATCH(82,Engine!$C$2:$C$1960,0)))</f>
        <v/>
      </c>
      <c r="C95" s="8">
        <f>IF(ISNA(MATCH(82,Engine!$C$2:$C$1960,0)),"",INDEX('Compliance Database'!$C$2:$C$1960,MATCH(82,Engine!$C$2:$C$1960,0)))</f>
        <v/>
      </c>
      <c r="D95" s="9">
        <f>IF(ISNA(MATCH(82,Engine!$C$2:$C$1960,0)),"",INDEX('Compliance Database'!$D$2:$D$1960,MATCH(82,Engine!$C$2:$C$1960,0)))</f>
        <v/>
      </c>
      <c r="E95" s="8">
        <f>IF(ISNA(MATCH(82,Engine!$C$2:$C$1960,0)),"",INDEX('Compliance Database'!$E$2:$E$1960,MATCH(82,Engine!$C$2:$C$1960,0)))</f>
        <v/>
      </c>
      <c r="F95" s="8">
        <f>IF(ISNA(MATCH(82,Engine!$C$2:$C$1960,0)),"",INDEX('Compliance Database'!$F$2:$F$1960,MATCH(82,Engine!$C$2:$C$1960,0)))</f>
        <v/>
      </c>
      <c r="G95" s="8">
        <f>IF(ISNA(MATCH(82,Engine!$C$2:$C$1960,0)),"",INDEX('Compliance Database'!$G$2:$G$1960,MATCH(82,Engine!$C$2:$C$1960,0)))</f>
        <v/>
      </c>
      <c r="H95" s="9">
        <f>IF(ISNA(MATCH(82,Engine!$C$2:$C$1960,0)),"",INDEX('Compliance Database'!$H$2:$H$1960,MATCH(82,Engine!$C$2:$C$1960,0)))</f>
        <v/>
      </c>
      <c r="I95" s="9">
        <f>IF(ISNA(MATCH(82,Engine!$C$2:$C$1960,0)),"",INDEX('Compliance Database'!$I$2:$I$1960,MATCH(82,Engine!$C$2:$C$1960,0)))</f>
        <v/>
      </c>
      <c r="J95" s="8">
        <f>IF(ISNA(MATCH(82,Engine!$C$2:$C$1960,0)),"",INDEX('Compliance Database'!$J$2:$J$1960,MATCH(82,Engine!$C$2:$C$1960,0)))</f>
        <v/>
      </c>
      <c r="K95" s="9">
        <f>IF(ISNA(MATCH(82,Engine!$C$2:$C$1960,0)),"",INDEX('Compliance Database'!$K$2:$K$1960,MATCH(82,Engine!$C$2:$C$1960,0)))</f>
        <v/>
      </c>
      <c r="L95" s="9">
        <f>IF(ISNA(MATCH(82,Engine!$C$2:$C$1960,0)),"",INDEX('Compliance Database'!$L$2:$L$1960,MATCH(82,Engine!$C$2:$C$1960,0)))</f>
        <v/>
      </c>
      <c r="M95" s="9">
        <f>IF(ISNA(MATCH(82,Engine!$C$2:$C$1960,0)),"",INDEX('Compliance Database'!$M$2:$M$1960,MATCH(82,Engine!$C$2:$C$1960,0)))</f>
        <v/>
      </c>
      <c r="N95" s="9">
        <f>IF(ISNA(MATCH(82,Engine!$C$2:$C$1960,0)),"",INDEX('Compliance Database'!$N$2:$N$1960,MATCH(82,Engine!$C$2:$C$1960,0)))</f>
        <v/>
      </c>
      <c r="O95" s="9">
        <f>IF(ISNA(MATCH(82,Engine!$C$2:$C$1960,0)),"",INDEX('Compliance Database'!$O$2:$O$1960,MATCH(82,Engine!$C$2:$C$1960,0)))</f>
        <v/>
      </c>
      <c r="P95" s="8">
        <f>IF(ISNA(MATCH(82,Engine!$C$2:$C$1960,0)),"",HYPERLINK("#Acts!A"&amp;INDEX('Compliance Database'!$P$2:$P$1960,MATCH(82,Engine!$C$2:$C$1960,0)),"Go to Act"))</f>
        <v/>
      </c>
    </row>
    <row r="96" ht="158" customHeight="1">
      <c r="A96" s="8">
        <f>IF(ISNA(MATCH(83,Engine!$C$2:$C$1960,0)),"",INDEX('Compliance Database'!$A$2:$A$1960,MATCH(83,Engine!$C$2:$C$1960,0)))</f>
        <v/>
      </c>
      <c r="B96" s="8">
        <f>IF(ISNA(MATCH(83,Engine!$C$2:$C$1960,0)),"",INDEX('Compliance Database'!$B$2:$B$1960,MATCH(83,Engine!$C$2:$C$1960,0)))</f>
        <v/>
      </c>
      <c r="C96" s="8">
        <f>IF(ISNA(MATCH(83,Engine!$C$2:$C$1960,0)),"",INDEX('Compliance Database'!$C$2:$C$1960,MATCH(83,Engine!$C$2:$C$1960,0)))</f>
        <v/>
      </c>
      <c r="D96" s="9">
        <f>IF(ISNA(MATCH(83,Engine!$C$2:$C$1960,0)),"",INDEX('Compliance Database'!$D$2:$D$1960,MATCH(83,Engine!$C$2:$C$1960,0)))</f>
        <v/>
      </c>
      <c r="E96" s="8">
        <f>IF(ISNA(MATCH(83,Engine!$C$2:$C$1960,0)),"",INDEX('Compliance Database'!$E$2:$E$1960,MATCH(83,Engine!$C$2:$C$1960,0)))</f>
        <v/>
      </c>
      <c r="F96" s="8">
        <f>IF(ISNA(MATCH(83,Engine!$C$2:$C$1960,0)),"",INDEX('Compliance Database'!$F$2:$F$1960,MATCH(83,Engine!$C$2:$C$1960,0)))</f>
        <v/>
      </c>
      <c r="G96" s="8">
        <f>IF(ISNA(MATCH(83,Engine!$C$2:$C$1960,0)),"",INDEX('Compliance Database'!$G$2:$G$1960,MATCH(83,Engine!$C$2:$C$1960,0)))</f>
        <v/>
      </c>
      <c r="H96" s="9">
        <f>IF(ISNA(MATCH(83,Engine!$C$2:$C$1960,0)),"",INDEX('Compliance Database'!$H$2:$H$1960,MATCH(83,Engine!$C$2:$C$1960,0)))</f>
        <v/>
      </c>
      <c r="I96" s="9">
        <f>IF(ISNA(MATCH(83,Engine!$C$2:$C$1960,0)),"",INDEX('Compliance Database'!$I$2:$I$1960,MATCH(83,Engine!$C$2:$C$1960,0)))</f>
        <v/>
      </c>
      <c r="J96" s="8">
        <f>IF(ISNA(MATCH(83,Engine!$C$2:$C$1960,0)),"",INDEX('Compliance Database'!$J$2:$J$1960,MATCH(83,Engine!$C$2:$C$1960,0)))</f>
        <v/>
      </c>
      <c r="K96" s="9">
        <f>IF(ISNA(MATCH(83,Engine!$C$2:$C$1960,0)),"",INDEX('Compliance Database'!$K$2:$K$1960,MATCH(83,Engine!$C$2:$C$1960,0)))</f>
        <v/>
      </c>
      <c r="L96" s="9">
        <f>IF(ISNA(MATCH(83,Engine!$C$2:$C$1960,0)),"",INDEX('Compliance Database'!$L$2:$L$1960,MATCH(83,Engine!$C$2:$C$1960,0)))</f>
        <v/>
      </c>
      <c r="M96" s="9">
        <f>IF(ISNA(MATCH(83,Engine!$C$2:$C$1960,0)),"",INDEX('Compliance Database'!$M$2:$M$1960,MATCH(83,Engine!$C$2:$C$1960,0)))</f>
        <v/>
      </c>
      <c r="N96" s="9">
        <f>IF(ISNA(MATCH(83,Engine!$C$2:$C$1960,0)),"",INDEX('Compliance Database'!$N$2:$N$1960,MATCH(83,Engine!$C$2:$C$1960,0)))</f>
        <v/>
      </c>
      <c r="O96" s="9">
        <f>IF(ISNA(MATCH(83,Engine!$C$2:$C$1960,0)),"",INDEX('Compliance Database'!$O$2:$O$1960,MATCH(83,Engine!$C$2:$C$1960,0)))</f>
        <v/>
      </c>
      <c r="P96" s="8">
        <f>IF(ISNA(MATCH(83,Engine!$C$2:$C$1960,0)),"",HYPERLINK("#Acts!A"&amp;INDEX('Compliance Database'!$P$2:$P$1960,MATCH(83,Engine!$C$2:$C$1960,0)),"Go to Act"))</f>
        <v/>
      </c>
    </row>
    <row r="97" ht="158" customHeight="1">
      <c r="A97" s="8">
        <f>IF(ISNA(MATCH(84,Engine!$C$2:$C$1960,0)),"",INDEX('Compliance Database'!$A$2:$A$1960,MATCH(84,Engine!$C$2:$C$1960,0)))</f>
        <v/>
      </c>
      <c r="B97" s="8">
        <f>IF(ISNA(MATCH(84,Engine!$C$2:$C$1960,0)),"",INDEX('Compliance Database'!$B$2:$B$1960,MATCH(84,Engine!$C$2:$C$1960,0)))</f>
        <v/>
      </c>
      <c r="C97" s="8">
        <f>IF(ISNA(MATCH(84,Engine!$C$2:$C$1960,0)),"",INDEX('Compliance Database'!$C$2:$C$1960,MATCH(84,Engine!$C$2:$C$1960,0)))</f>
        <v/>
      </c>
      <c r="D97" s="9">
        <f>IF(ISNA(MATCH(84,Engine!$C$2:$C$1960,0)),"",INDEX('Compliance Database'!$D$2:$D$1960,MATCH(84,Engine!$C$2:$C$1960,0)))</f>
        <v/>
      </c>
      <c r="E97" s="8">
        <f>IF(ISNA(MATCH(84,Engine!$C$2:$C$1960,0)),"",INDEX('Compliance Database'!$E$2:$E$1960,MATCH(84,Engine!$C$2:$C$1960,0)))</f>
        <v/>
      </c>
      <c r="F97" s="8">
        <f>IF(ISNA(MATCH(84,Engine!$C$2:$C$1960,0)),"",INDEX('Compliance Database'!$F$2:$F$1960,MATCH(84,Engine!$C$2:$C$1960,0)))</f>
        <v/>
      </c>
      <c r="G97" s="8">
        <f>IF(ISNA(MATCH(84,Engine!$C$2:$C$1960,0)),"",INDEX('Compliance Database'!$G$2:$G$1960,MATCH(84,Engine!$C$2:$C$1960,0)))</f>
        <v/>
      </c>
      <c r="H97" s="9">
        <f>IF(ISNA(MATCH(84,Engine!$C$2:$C$1960,0)),"",INDEX('Compliance Database'!$H$2:$H$1960,MATCH(84,Engine!$C$2:$C$1960,0)))</f>
        <v/>
      </c>
      <c r="I97" s="9">
        <f>IF(ISNA(MATCH(84,Engine!$C$2:$C$1960,0)),"",INDEX('Compliance Database'!$I$2:$I$1960,MATCH(84,Engine!$C$2:$C$1960,0)))</f>
        <v/>
      </c>
      <c r="J97" s="8">
        <f>IF(ISNA(MATCH(84,Engine!$C$2:$C$1960,0)),"",INDEX('Compliance Database'!$J$2:$J$1960,MATCH(84,Engine!$C$2:$C$1960,0)))</f>
        <v/>
      </c>
      <c r="K97" s="9">
        <f>IF(ISNA(MATCH(84,Engine!$C$2:$C$1960,0)),"",INDEX('Compliance Database'!$K$2:$K$1960,MATCH(84,Engine!$C$2:$C$1960,0)))</f>
        <v/>
      </c>
      <c r="L97" s="9">
        <f>IF(ISNA(MATCH(84,Engine!$C$2:$C$1960,0)),"",INDEX('Compliance Database'!$L$2:$L$1960,MATCH(84,Engine!$C$2:$C$1960,0)))</f>
        <v/>
      </c>
      <c r="M97" s="9">
        <f>IF(ISNA(MATCH(84,Engine!$C$2:$C$1960,0)),"",INDEX('Compliance Database'!$M$2:$M$1960,MATCH(84,Engine!$C$2:$C$1960,0)))</f>
        <v/>
      </c>
      <c r="N97" s="9">
        <f>IF(ISNA(MATCH(84,Engine!$C$2:$C$1960,0)),"",INDEX('Compliance Database'!$N$2:$N$1960,MATCH(84,Engine!$C$2:$C$1960,0)))</f>
        <v/>
      </c>
      <c r="O97" s="9">
        <f>IF(ISNA(MATCH(84,Engine!$C$2:$C$1960,0)),"",INDEX('Compliance Database'!$O$2:$O$1960,MATCH(84,Engine!$C$2:$C$1960,0)))</f>
        <v/>
      </c>
      <c r="P97" s="8">
        <f>IF(ISNA(MATCH(84,Engine!$C$2:$C$1960,0)),"",HYPERLINK("#Acts!A"&amp;INDEX('Compliance Database'!$P$2:$P$1960,MATCH(84,Engine!$C$2:$C$1960,0)),"Go to Act"))</f>
        <v/>
      </c>
    </row>
    <row r="98" ht="158" customHeight="1">
      <c r="A98" s="8">
        <f>IF(ISNA(MATCH(85,Engine!$C$2:$C$1960,0)),"",INDEX('Compliance Database'!$A$2:$A$1960,MATCH(85,Engine!$C$2:$C$1960,0)))</f>
        <v/>
      </c>
      <c r="B98" s="8">
        <f>IF(ISNA(MATCH(85,Engine!$C$2:$C$1960,0)),"",INDEX('Compliance Database'!$B$2:$B$1960,MATCH(85,Engine!$C$2:$C$1960,0)))</f>
        <v/>
      </c>
      <c r="C98" s="8">
        <f>IF(ISNA(MATCH(85,Engine!$C$2:$C$1960,0)),"",INDEX('Compliance Database'!$C$2:$C$1960,MATCH(85,Engine!$C$2:$C$1960,0)))</f>
        <v/>
      </c>
      <c r="D98" s="9">
        <f>IF(ISNA(MATCH(85,Engine!$C$2:$C$1960,0)),"",INDEX('Compliance Database'!$D$2:$D$1960,MATCH(85,Engine!$C$2:$C$1960,0)))</f>
        <v/>
      </c>
      <c r="E98" s="8">
        <f>IF(ISNA(MATCH(85,Engine!$C$2:$C$1960,0)),"",INDEX('Compliance Database'!$E$2:$E$1960,MATCH(85,Engine!$C$2:$C$1960,0)))</f>
        <v/>
      </c>
      <c r="F98" s="8">
        <f>IF(ISNA(MATCH(85,Engine!$C$2:$C$1960,0)),"",INDEX('Compliance Database'!$F$2:$F$1960,MATCH(85,Engine!$C$2:$C$1960,0)))</f>
        <v/>
      </c>
      <c r="G98" s="8">
        <f>IF(ISNA(MATCH(85,Engine!$C$2:$C$1960,0)),"",INDEX('Compliance Database'!$G$2:$G$1960,MATCH(85,Engine!$C$2:$C$1960,0)))</f>
        <v/>
      </c>
      <c r="H98" s="9">
        <f>IF(ISNA(MATCH(85,Engine!$C$2:$C$1960,0)),"",INDEX('Compliance Database'!$H$2:$H$1960,MATCH(85,Engine!$C$2:$C$1960,0)))</f>
        <v/>
      </c>
      <c r="I98" s="9">
        <f>IF(ISNA(MATCH(85,Engine!$C$2:$C$1960,0)),"",INDEX('Compliance Database'!$I$2:$I$1960,MATCH(85,Engine!$C$2:$C$1960,0)))</f>
        <v/>
      </c>
      <c r="J98" s="8">
        <f>IF(ISNA(MATCH(85,Engine!$C$2:$C$1960,0)),"",INDEX('Compliance Database'!$J$2:$J$1960,MATCH(85,Engine!$C$2:$C$1960,0)))</f>
        <v/>
      </c>
      <c r="K98" s="9">
        <f>IF(ISNA(MATCH(85,Engine!$C$2:$C$1960,0)),"",INDEX('Compliance Database'!$K$2:$K$1960,MATCH(85,Engine!$C$2:$C$1960,0)))</f>
        <v/>
      </c>
      <c r="L98" s="9">
        <f>IF(ISNA(MATCH(85,Engine!$C$2:$C$1960,0)),"",INDEX('Compliance Database'!$L$2:$L$1960,MATCH(85,Engine!$C$2:$C$1960,0)))</f>
        <v/>
      </c>
      <c r="M98" s="9">
        <f>IF(ISNA(MATCH(85,Engine!$C$2:$C$1960,0)),"",INDEX('Compliance Database'!$M$2:$M$1960,MATCH(85,Engine!$C$2:$C$1960,0)))</f>
        <v/>
      </c>
      <c r="N98" s="9">
        <f>IF(ISNA(MATCH(85,Engine!$C$2:$C$1960,0)),"",INDEX('Compliance Database'!$N$2:$N$1960,MATCH(85,Engine!$C$2:$C$1960,0)))</f>
        <v/>
      </c>
      <c r="O98" s="9">
        <f>IF(ISNA(MATCH(85,Engine!$C$2:$C$1960,0)),"",INDEX('Compliance Database'!$O$2:$O$1960,MATCH(85,Engine!$C$2:$C$1960,0)))</f>
        <v/>
      </c>
      <c r="P98" s="8">
        <f>IF(ISNA(MATCH(85,Engine!$C$2:$C$1960,0)),"",HYPERLINK("#Acts!A"&amp;INDEX('Compliance Database'!$P$2:$P$1960,MATCH(85,Engine!$C$2:$C$1960,0)),"Go to Act"))</f>
        <v/>
      </c>
    </row>
    <row r="99" ht="158" customHeight="1">
      <c r="A99" s="8">
        <f>IF(ISNA(MATCH(86,Engine!$C$2:$C$1960,0)),"",INDEX('Compliance Database'!$A$2:$A$1960,MATCH(86,Engine!$C$2:$C$1960,0)))</f>
        <v/>
      </c>
      <c r="B99" s="8">
        <f>IF(ISNA(MATCH(86,Engine!$C$2:$C$1960,0)),"",INDEX('Compliance Database'!$B$2:$B$1960,MATCH(86,Engine!$C$2:$C$1960,0)))</f>
        <v/>
      </c>
      <c r="C99" s="8">
        <f>IF(ISNA(MATCH(86,Engine!$C$2:$C$1960,0)),"",INDEX('Compliance Database'!$C$2:$C$1960,MATCH(86,Engine!$C$2:$C$1960,0)))</f>
        <v/>
      </c>
      <c r="D99" s="9">
        <f>IF(ISNA(MATCH(86,Engine!$C$2:$C$1960,0)),"",INDEX('Compliance Database'!$D$2:$D$1960,MATCH(86,Engine!$C$2:$C$1960,0)))</f>
        <v/>
      </c>
      <c r="E99" s="8">
        <f>IF(ISNA(MATCH(86,Engine!$C$2:$C$1960,0)),"",INDEX('Compliance Database'!$E$2:$E$1960,MATCH(86,Engine!$C$2:$C$1960,0)))</f>
        <v/>
      </c>
      <c r="F99" s="8">
        <f>IF(ISNA(MATCH(86,Engine!$C$2:$C$1960,0)),"",INDEX('Compliance Database'!$F$2:$F$1960,MATCH(86,Engine!$C$2:$C$1960,0)))</f>
        <v/>
      </c>
      <c r="G99" s="8">
        <f>IF(ISNA(MATCH(86,Engine!$C$2:$C$1960,0)),"",INDEX('Compliance Database'!$G$2:$G$1960,MATCH(86,Engine!$C$2:$C$1960,0)))</f>
        <v/>
      </c>
      <c r="H99" s="9">
        <f>IF(ISNA(MATCH(86,Engine!$C$2:$C$1960,0)),"",INDEX('Compliance Database'!$H$2:$H$1960,MATCH(86,Engine!$C$2:$C$1960,0)))</f>
        <v/>
      </c>
      <c r="I99" s="9">
        <f>IF(ISNA(MATCH(86,Engine!$C$2:$C$1960,0)),"",INDEX('Compliance Database'!$I$2:$I$1960,MATCH(86,Engine!$C$2:$C$1960,0)))</f>
        <v/>
      </c>
      <c r="J99" s="8">
        <f>IF(ISNA(MATCH(86,Engine!$C$2:$C$1960,0)),"",INDEX('Compliance Database'!$J$2:$J$1960,MATCH(86,Engine!$C$2:$C$1960,0)))</f>
        <v/>
      </c>
      <c r="K99" s="9">
        <f>IF(ISNA(MATCH(86,Engine!$C$2:$C$1960,0)),"",INDEX('Compliance Database'!$K$2:$K$1960,MATCH(86,Engine!$C$2:$C$1960,0)))</f>
        <v/>
      </c>
      <c r="L99" s="9">
        <f>IF(ISNA(MATCH(86,Engine!$C$2:$C$1960,0)),"",INDEX('Compliance Database'!$L$2:$L$1960,MATCH(86,Engine!$C$2:$C$1960,0)))</f>
        <v/>
      </c>
      <c r="M99" s="9">
        <f>IF(ISNA(MATCH(86,Engine!$C$2:$C$1960,0)),"",INDEX('Compliance Database'!$M$2:$M$1960,MATCH(86,Engine!$C$2:$C$1960,0)))</f>
        <v/>
      </c>
      <c r="N99" s="9">
        <f>IF(ISNA(MATCH(86,Engine!$C$2:$C$1960,0)),"",INDEX('Compliance Database'!$N$2:$N$1960,MATCH(86,Engine!$C$2:$C$1960,0)))</f>
        <v/>
      </c>
      <c r="O99" s="9">
        <f>IF(ISNA(MATCH(86,Engine!$C$2:$C$1960,0)),"",INDEX('Compliance Database'!$O$2:$O$1960,MATCH(86,Engine!$C$2:$C$1960,0)))</f>
        <v/>
      </c>
      <c r="P99" s="8">
        <f>IF(ISNA(MATCH(86,Engine!$C$2:$C$1960,0)),"",HYPERLINK("#Acts!A"&amp;INDEX('Compliance Database'!$P$2:$P$1960,MATCH(86,Engine!$C$2:$C$1960,0)),"Go to Act"))</f>
        <v/>
      </c>
    </row>
    <row r="100" ht="158" customHeight="1">
      <c r="A100" s="8">
        <f>IF(ISNA(MATCH(87,Engine!$C$2:$C$1960,0)),"",INDEX('Compliance Database'!$A$2:$A$1960,MATCH(87,Engine!$C$2:$C$1960,0)))</f>
        <v/>
      </c>
      <c r="B100" s="8">
        <f>IF(ISNA(MATCH(87,Engine!$C$2:$C$1960,0)),"",INDEX('Compliance Database'!$B$2:$B$1960,MATCH(87,Engine!$C$2:$C$1960,0)))</f>
        <v/>
      </c>
      <c r="C100" s="8">
        <f>IF(ISNA(MATCH(87,Engine!$C$2:$C$1960,0)),"",INDEX('Compliance Database'!$C$2:$C$1960,MATCH(87,Engine!$C$2:$C$1960,0)))</f>
        <v/>
      </c>
      <c r="D100" s="9">
        <f>IF(ISNA(MATCH(87,Engine!$C$2:$C$1960,0)),"",INDEX('Compliance Database'!$D$2:$D$1960,MATCH(87,Engine!$C$2:$C$1960,0)))</f>
        <v/>
      </c>
      <c r="E100" s="8">
        <f>IF(ISNA(MATCH(87,Engine!$C$2:$C$1960,0)),"",INDEX('Compliance Database'!$E$2:$E$1960,MATCH(87,Engine!$C$2:$C$1960,0)))</f>
        <v/>
      </c>
      <c r="F100" s="8">
        <f>IF(ISNA(MATCH(87,Engine!$C$2:$C$1960,0)),"",INDEX('Compliance Database'!$F$2:$F$1960,MATCH(87,Engine!$C$2:$C$1960,0)))</f>
        <v/>
      </c>
      <c r="G100" s="8">
        <f>IF(ISNA(MATCH(87,Engine!$C$2:$C$1960,0)),"",INDEX('Compliance Database'!$G$2:$G$1960,MATCH(87,Engine!$C$2:$C$1960,0)))</f>
        <v/>
      </c>
      <c r="H100" s="9">
        <f>IF(ISNA(MATCH(87,Engine!$C$2:$C$1960,0)),"",INDEX('Compliance Database'!$H$2:$H$1960,MATCH(87,Engine!$C$2:$C$1960,0)))</f>
        <v/>
      </c>
      <c r="I100" s="9">
        <f>IF(ISNA(MATCH(87,Engine!$C$2:$C$1960,0)),"",INDEX('Compliance Database'!$I$2:$I$1960,MATCH(87,Engine!$C$2:$C$1960,0)))</f>
        <v/>
      </c>
      <c r="J100" s="8">
        <f>IF(ISNA(MATCH(87,Engine!$C$2:$C$1960,0)),"",INDEX('Compliance Database'!$J$2:$J$1960,MATCH(87,Engine!$C$2:$C$1960,0)))</f>
        <v/>
      </c>
      <c r="K100" s="9">
        <f>IF(ISNA(MATCH(87,Engine!$C$2:$C$1960,0)),"",INDEX('Compliance Database'!$K$2:$K$1960,MATCH(87,Engine!$C$2:$C$1960,0)))</f>
        <v/>
      </c>
      <c r="L100" s="9">
        <f>IF(ISNA(MATCH(87,Engine!$C$2:$C$1960,0)),"",INDEX('Compliance Database'!$L$2:$L$1960,MATCH(87,Engine!$C$2:$C$1960,0)))</f>
        <v/>
      </c>
      <c r="M100" s="9">
        <f>IF(ISNA(MATCH(87,Engine!$C$2:$C$1960,0)),"",INDEX('Compliance Database'!$M$2:$M$1960,MATCH(87,Engine!$C$2:$C$1960,0)))</f>
        <v/>
      </c>
      <c r="N100" s="9">
        <f>IF(ISNA(MATCH(87,Engine!$C$2:$C$1960,0)),"",INDEX('Compliance Database'!$N$2:$N$1960,MATCH(87,Engine!$C$2:$C$1960,0)))</f>
        <v/>
      </c>
      <c r="O100" s="9">
        <f>IF(ISNA(MATCH(87,Engine!$C$2:$C$1960,0)),"",INDEX('Compliance Database'!$O$2:$O$1960,MATCH(87,Engine!$C$2:$C$1960,0)))</f>
        <v/>
      </c>
      <c r="P100" s="8">
        <f>IF(ISNA(MATCH(87,Engine!$C$2:$C$1960,0)),"",HYPERLINK("#Acts!A"&amp;INDEX('Compliance Database'!$P$2:$P$1960,MATCH(87,Engine!$C$2:$C$1960,0)),"Go to Act"))</f>
        <v/>
      </c>
    </row>
    <row r="101" ht="158" customHeight="1">
      <c r="A101" s="8">
        <f>IF(ISNA(MATCH(88,Engine!$C$2:$C$1960,0)),"",INDEX('Compliance Database'!$A$2:$A$1960,MATCH(88,Engine!$C$2:$C$1960,0)))</f>
        <v/>
      </c>
      <c r="B101" s="8">
        <f>IF(ISNA(MATCH(88,Engine!$C$2:$C$1960,0)),"",INDEX('Compliance Database'!$B$2:$B$1960,MATCH(88,Engine!$C$2:$C$1960,0)))</f>
        <v/>
      </c>
      <c r="C101" s="8">
        <f>IF(ISNA(MATCH(88,Engine!$C$2:$C$1960,0)),"",INDEX('Compliance Database'!$C$2:$C$1960,MATCH(88,Engine!$C$2:$C$1960,0)))</f>
        <v/>
      </c>
      <c r="D101" s="9">
        <f>IF(ISNA(MATCH(88,Engine!$C$2:$C$1960,0)),"",INDEX('Compliance Database'!$D$2:$D$1960,MATCH(88,Engine!$C$2:$C$1960,0)))</f>
        <v/>
      </c>
      <c r="E101" s="8">
        <f>IF(ISNA(MATCH(88,Engine!$C$2:$C$1960,0)),"",INDEX('Compliance Database'!$E$2:$E$1960,MATCH(88,Engine!$C$2:$C$1960,0)))</f>
        <v/>
      </c>
      <c r="F101" s="8">
        <f>IF(ISNA(MATCH(88,Engine!$C$2:$C$1960,0)),"",INDEX('Compliance Database'!$F$2:$F$1960,MATCH(88,Engine!$C$2:$C$1960,0)))</f>
        <v/>
      </c>
      <c r="G101" s="8">
        <f>IF(ISNA(MATCH(88,Engine!$C$2:$C$1960,0)),"",INDEX('Compliance Database'!$G$2:$G$1960,MATCH(88,Engine!$C$2:$C$1960,0)))</f>
        <v/>
      </c>
      <c r="H101" s="9">
        <f>IF(ISNA(MATCH(88,Engine!$C$2:$C$1960,0)),"",INDEX('Compliance Database'!$H$2:$H$1960,MATCH(88,Engine!$C$2:$C$1960,0)))</f>
        <v/>
      </c>
      <c r="I101" s="9">
        <f>IF(ISNA(MATCH(88,Engine!$C$2:$C$1960,0)),"",INDEX('Compliance Database'!$I$2:$I$1960,MATCH(88,Engine!$C$2:$C$1960,0)))</f>
        <v/>
      </c>
      <c r="J101" s="8">
        <f>IF(ISNA(MATCH(88,Engine!$C$2:$C$1960,0)),"",INDEX('Compliance Database'!$J$2:$J$1960,MATCH(88,Engine!$C$2:$C$1960,0)))</f>
        <v/>
      </c>
      <c r="K101" s="9">
        <f>IF(ISNA(MATCH(88,Engine!$C$2:$C$1960,0)),"",INDEX('Compliance Database'!$K$2:$K$1960,MATCH(88,Engine!$C$2:$C$1960,0)))</f>
        <v/>
      </c>
      <c r="L101" s="9">
        <f>IF(ISNA(MATCH(88,Engine!$C$2:$C$1960,0)),"",INDEX('Compliance Database'!$L$2:$L$1960,MATCH(88,Engine!$C$2:$C$1960,0)))</f>
        <v/>
      </c>
      <c r="M101" s="9">
        <f>IF(ISNA(MATCH(88,Engine!$C$2:$C$1960,0)),"",INDEX('Compliance Database'!$M$2:$M$1960,MATCH(88,Engine!$C$2:$C$1960,0)))</f>
        <v/>
      </c>
      <c r="N101" s="9">
        <f>IF(ISNA(MATCH(88,Engine!$C$2:$C$1960,0)),"",INDEX('Compliance Database'!$N$2:$N$1960,MATCH(88,Engine!$C$2:$C$1960,0)))</f>
        <v/>
      </c>
      <c r="O101" s="9">
        <f>IF(ISNA(MATCH(88,Engine!$C$2:$C$1960,0)),"",INDEX('Compliance Database'!$O$2:$O$1960,MATCH(88,Engine!$C$2:$C$1960,0)))</f>
        <v/>
      </c>
      <c r="P101" s="8">
        <f>IF(ISNA(MATCH(88,Engine!$C$2:$C$1960,0)),"",HYPERLINK("#Acts!A"&amp;INDEX('Compliance Database'!$P$2:$P$1960,MATCH(88,Engine!$C$2:$C$1960,0)),"Go to Act"))</f>
        <v/>
      </c>
    </row>
    <row r="102" ht="158" customHeight="1">
      <c r="A102" s="8">
        <f>IF(ISNA(MATCH(89,Engine!$C$2:$C$1960,0)),"",INDEX('Compliance Database'!$A$2:$A$1960,MATCH(89,Engine!$C$2:$C$1960,0)))</f>
        <v/>
      </c>
      <c r="B102" s="8">
        <f>IF(ISNA(MATCH(89,Engine!$C$2:$C$1960,0)),"",INDEX('Compliance Database'!$B$2:$B$1960,MATCH(89,Engine!$C$2:$C$1960,0)))</f>
        <v/>
      </c>
      <c r="C102" s="8">
        <f>IF(ISNA(MATCH(89,Engine!$C$2:$C$1960,0)),"",INDEX('Compliance Database'!$C$2:$C$1960,MATCH(89,Engine!$C$2:$C$1960,0)))</f>
        <v/>
      </c>
      <c r="D102" s="9">
        <f>IF(ISNA(MATCH(89,Engine!$C$2:$C$1960,0)),"",INDEX('Compliance Database'!$D$2:$D$1960,MATCH(89,Engine!$C$2:$C$1960,0)))</f>
        <v/>
      </c>
      <c r="E102" s="8">
        <f>IF(ISNA(MATCH(89,Engine!$C$2:$C$1960,0)),"",INDEX('Compliance Database'!$E$2:$E$1960,MATCH(89,Engine!$C$2:$C$1960,0)))</f>
        <v/>
      </c>
      <c r="F102" s="8">
        <f>IF(ISNA(MATCH(89,Engine!$C$2:$C$1960,0)),"",INDEX('Compliance Database'!$F$2:$F$1960,MATCH(89,Engine!$C$2:$C$1960,0)))</f>
        <v/>
      </c>
      <c r="G102" s="8">
        <f>IF(ISNA(MATCH(89,Engine!$C$2:$C$1960,0)),"",INDEX('Compliance Database'!$G$2:$G$1960,MATCH(89,Engine!$C$2:$C$1960,0)))</f>
        <v/>
      </c>
      <c r="H102" s="9">
        <f>IF(ISNA(MATCH(89,Engine!$C$2:$C$1960,0)),"",INDEX('Compliance Database'!$H$2:$H$1960,MATCH(89,Engine!$C$2:$C$1960,0)))</f>
        <v/>
      </c>
      <c r="I102" s="9">
        <f>IF(ISNA(MATCH(89,Engine!$C$2:$C$1960,0)),"",INDEX('Compliance Database'!$I$2:$I$1960,MATCH(89,Engine!$C$2:$C$1960,0)))</f>
        <v/>
      </c>
      <c r="J102" s="8">
        <f>IF(ISNA(MATCH(89,Engine!$C$2:$C$1960,0)),"",INDEX('Compliance Database'!$J$2:$J$1960,MATCH(89,Engine!$C$2:$C$1960,0)))</f>
        <v/>
      </c>
      <c r="K102" s="9">
        <f>IF(ISNA(MATCH(89,Engine!$C$2:$C$1960,0)),"",INDEX('Compliance Database'!$K$2:$K$1960,MATCH(89,Engine!$C$2:$C$1960,0)))</f>
        <v/>
      </c>
      <c r="L102" s="9">
        <f>IF(ISNA(MATCH(89,Engine!$C$2:$C$1960,0)),"",INDEX('Compliance Database'!$L$2:$L$1960,MATCH(89,Engine!$C$2:$C$1960,0)))</f>
        <v/>
      </c>
      <c r="M102" s="9">
        <f>IF(ISNA(MATCH(89,Engine!$C$2:$C$1960,0)),"",INDEX('Compliance Database'!$M$2:$M$1960,MATCH(89,Engine!$C$2:$C$1960,0)))</f>
        <v/>
      </c>
      <c r="N102" s="9">
        <f>IF(ISNA(MATCH(89,Engine!$C$2:$C$1960,0)),"",INDEX('Compliance Database'!$N$2:$N$1960,MATCH(89,Engine!$C$2:$C$1960,0)))</f>
        <v/>
      </c>
      <c r="O102" s="9">
        <f>IF(ISNA(MATCH(89,Engine!$C$2:$C$1960,0)),"",INDEX('Compliance Database'!$O$2:$O$1960,MATCH(89,Engine!$C$2:$C$1960,0)))</f>
        <v/>
      </c>
      <c r="P102" s="8">
        <f>IF(ISNA(MATCH(89,Engine!$C$2:$C$1960,0)),"",HYPERLINK("#Acts!A"&amp;INDEX('Compliance Database'!$P$2:$P$1960,MATCH(89,Engine!$C$2:$C$1960,0)),"Go to Act"))</f>
        <v/>
      </c>
    </row>
    <row r="103" ht="158" customHeight="1">
      <c r="A103" s="8">
        <f>IF(ISNA(MATCH(90,Engine!$C$2:$C$1960,0)),"",INDEX('Compliance Database'!$A$2:$A$1960,MATCH(90,Engine!$C$2:$C$1960,0)))</f>
        <v/>
      </c>
      <c r="B103" s="8">
        <f>IF(ISNA(MATCH(90,Engine!$C$2:$C$1960,0)),"",INDEX('Compliance Database'!$B$2:$B$1960,MATCH(90,Engine!$C$2:$C$1960,0)))</f>
        <v/>
      </c>
      <c r="C103" s="8">
        <f>IF(ISNA(MATCH(90,Engine!$C$2:$C$1960,0)),"",INDEX('Compliance Database'!$C$2:$C$1960,MATCH(90,Engine!$C$2:$C$1960,0)))</f>
        <v/>
      </c>
      <c r="D103" s="9">
        <f>IF(ISNA(MATCH(90,Engine!$C$2:$C$1960,0)),"",INDEX('Compliance Database'!$D$2:$D$1960,MATCH(90,Engine!$C$2:$C$1960,0)))</f>
        <v/>
      </c>
      <c r="E103" s="8">
        <f>IF(ISNA(MATCH(90,Engine!$C$2:$C$1960,0)),"",INDEX('Compliance Database'!$E$2:$E$1960,MATCH(90,Engine!$C$2:$C$1960,0)))</f>
        <v/>
      </c>
      <c r="F103" s="8">
        <f>IF(ISNA(MATCH(90,Engine!$C$2:$C$1960,0)),"",INDEX('Compliance Database'!$F$2:$F$1960,MATCH(90,Engine!$C$2:$C$1960,0)))</f>
        <v/>
      </c>
      <c r="G103" s="8">
        <f>IF(ISNA(MATCH(90,Engine!$C$2:$C$1960,0)),"",INDEX('Compliance Database'!$G$2:$G$1960,MATCH(90,Engine!$C$2:$C$1960,0)))</f>
        <v/>
      </c>
      <c r="H103" s="9">
        <f>IF(ISNA(MATCH(90,Engine!$C$2:$C$1960,0)),"",INDEX('Compliance Database'!$H$2:$H$1960,MATCH(90,Engine!$C$2:$C$1960,0)))</f>
        <v/>
      </c>
      <c r="I103" s="9">
        <f>IF(ISNA(MATCH(90,Engine!$C$2:$C$1960,0)),"",INDEX('Compliance Database'!$I$2:$I$1960,MATCH(90,Engine!$C$2:$C$1960,0)))</f>
        <v/>
      </c>
      <c r="J103" s="8">
        <f>IF(ISNA(MATCH(90,Engine!$C$2:$C$1960,0)),"",INDEX('Compliance Database'!$J$2:$J$1960,MATCH(90,Engine!$C$2:$C$1960,0)))</f>
        <v/>
      </c>
      <c r="K103" s="9">
        <f>IF(ISNA(MATCH(90,Engine!$C$2:$C$1960,0)),"",INDEX('Compliance Database'!$K$2:$K$1960,MATCH(90,Engine!$C$2:$C$1960,0)))</f>
        <v/>
      </c>
      <c r="L103" s="9">
        <f>IF(ISNA(MATCH(90,Engine!$C$2:$C$1960,0)),"",INDEX('Compliance Database'!$L$2:$L$1960,MATCH(90,Engine!$C$2:$C$1960,0)))</f>
        <v/>
      </c>
      <c r="M103" s="9">
        <f>IF(ISNA(MATCH(90,Engine!$C$2:$C$1960,0)),"",INDEX('Compliance Database'!$M$2:$M$1960,MATCH(90,Engine!$C$2:$C$1960,0)))</f>
        <v/>
      </c>
      <c r="N103" s="9">
        <f>IF(ISNA(MATCH(90,Engine!$C$2:$C$1960,0)),"",INDEX('Compliance Database'!$N$2:$N$1960,MATCH(90,Engine!$C$2:$C$1960,0)))</f>
        <v/>
      </c>
      <c r="O103" s="9">
        <f>IF(ISNA(MATCH(90,Engine!$C$2:$C$1960,0)),"",INDEX('Compliance Database'!$O$2:$O$1960,MATCH(90,Engine!$C$2:$C$1960,0)))</f>
        <v/>
      </c>
      <c r="P103" s="8">
        <f>IF(ISNA(MATCH(90,Engine!$C$2:$C$1960,0)),"",HYPERLINK("#Acts!A"&amp;INDEX('Compliance Database'!$P$2:$P$1960,MATCH(90,Engine!$C$2:$C$1960,0)),"Go to Act"))</f>
        <v/>
      </c>
    </row>
    <row r="104" ht="158" customHeight="1">
      <c r="A104" s="8">
        <f>IF(ISNA(MATCH(91,Engine!$C$2:$C$1960,0)),"",INDEX('Compliance Database'!$A$2:$A$1960,MATCH(91,Engine!$C$2:$C$1960,0)))</f>
        <v/>
      </c>
      <c r="B104" s="8">
        <f>IF(ISNA(MATCH(91,Engine!$C$2:$C$1960,0)),"",INDEX('Compliance Database'!$B$2:$B$1960,MATCH(91,Engine!$C$2:$C$1960,0)))</f>
        <v/>
      </c>
      <c r="C104" s="8">
        <f>IF(ISNA(MATCH(91,Engine!$C$2:$C$1960,0)),"",INDEX('Compliance Database'!$C$2:$C$1960,MATCH(91,Engine!$C$2:$C$1960,0)))</f>
        <v/>
      </c>
      <c r="D104" s="9">
        <f>IF(ISNA(MATCH(91,Engine!$C$2:$C$1960,0)),"",INDEX('Compliance Database'!$D$2:$D$1960,MATCH(91,Engine!$C$2:$C$1960,0)))</f>
        <v/>
      </c>
      <c r="E104" s="8">
        <f>IF(ISNA(MATCH(91,Engine!$C$2:$C$1960,0)),"",INDEX('Compliance Database'!$E$2:$E$1960,MATCH(91,Engine!$C$2:$C$1960,0)))</f>
        <v/>
      </c>
      <c r="F104" s="8">
        <f>IF(ISNA(MATCH(91,Engine!$C$2:$C$1960,0)),"",INDEX('Compliance Database'!$F$2:$F$1960,MATCH(91,Engine!$C$2:$C$1960,0)))</f>
        <v/>
      </c>
      <c r="G104" s="8">
        <f>IF(ISNA(MATCH(91,Engine!$C$2:$C$1960,0)),"",INDEX('Compliance Database'!$G$2:$G$1960,MATCH(91,Engine!$C$2:$C$1960,0)))</f>
        <v/>
      </c>
      <c r="H104" s="9">
        <f>IF(ISNA(MATCH(91,Engine!$C$2:$C$1960,0)),"",INDEX('Compliance Database'!$H$2:$H$1960,MATCH(91,Engine!$C$2:$C$1960,0)))</f>
        <v/>
      </c>
      <c r="I104" s="9">
        <f>IF(ISNA(MATCH(91,Engine!$C$2:$C$1960,0)),"",INDEX('Compliance Database'!$I$2:$I$1960,MATCH(91,Engine!$C$2:$C$1960,0)))</f>
        <v/>
      </c>
      <c r="J104" s="8">
        <f>IF(ISNA(MATCH(91,Engine!$C$2:$C$1960,0)),"",INDEX('Compliance Database'!$J$2:$J$1960,MATCH(91,Engine!$C$2:$C$1960,0)))</f>
        <v/>
      </c>
      <c r="K104" s="9">
        <f>IF(ISNA(MATCH(91,Engine!$C$2:$C$1960,0)),"",INDEX('Compliance Database'!$K$2:$K$1960,MATCH(91,Engine!$C$2:$C$1960,0)))</f>
        <v/>
      </c>
      <c r="L104" s="9">
        <f>IF(ISNA(MATCH(91,Engine!$C$2:$C$1960,0)),"",INDEX('Compliance Database'!$L$2:$L$1960,MATCH(91,Engine!$C$2:$C$1960,0)))</f>
        <v/>
      </c>
      <c r="M104" s="9">
        <f>IF(ISNA(MATCH(91,Engine!$C$2:$C$1960,0)),"",INDEX('Compliance Database'!$M$2:$M$1960,MATCH(91,Engine!$C$2:$C$1960,0)))</f>
        <v/>
      </c>
      <c r="N104" s="9">
        <f>IF(ISNA(MATCH(91,Engine!$C$2:$C$1960,0)),"",INDEX('Compliance Database'!$N$2:$N$1960,MATCH(91,Engine!$C$2:$C$1960,0)))</f>
        <v/>
      </c>
      <c r="O104" s="9">
        <f>IF(ISNA(MATCH(91,Engine!$C$2:$C$1960,0)),"",INDEX('Compliance Database'!$O$2:$O$1960,MATCH(91,Engine!$C$2:$C$1960,0)))</f>
        <v/>
      </c>
      <c r="P104" s="8">
        <f>IF(ISNA(MATCH(91,Engine!$C$2:$C$1960,0)),"",HYPERLINK("#Acts!A"&amp;INDEX('Compliance Database'!$P$2:$P$1960,MATCH(91,Engine!$C$2:$C$1960,0)),"Go to Act"))</f>
        <v/>
      </c>
    </row>
    <row r="105" ht="158" customHeight="1">
      <c r="A105" s="8">
        <f>IF(ISNA(MATCH(92,Engine!$C$2:$C$1960,0)),"",INDEX('Compliance Database'!$A$2:$A$1960,MATCH(92,Engine!$C$2:$C$1960,0)))</f>
        <v/>
      </c>
      <c r="B105" s="8">
        <f>IF(ISNA(MATCH(92,Engine!$C$2:$C$1960,0)),"",INDEX('Compliance Database'!$B$2:$B$1960,MATCH(92,Engine!$C$2:$C$1960,0)))</f>
        <v/>
      </c>
      <c r="C105" s="8">
        <f>IF(ISNA(MATCH(92,Engine!$C$2:$C$1960,0)),"",INDEX('Compliance Database'!$C$2:$C$1960,MATCH(92,Engine!$C$2:$C$1960,0)))</f>
        <v/>
      </c>
      <c r="D105" s="9">
        <f>IF(ISNA(MATCH(92,Engine!$C$2:$C$1960,0)),"",INDEX('Compliance Database'!$D$2:$D$1960,MATCH(92,Engine!$C$2:$C$1960,0)))</f>
        <v/>
      </c>
      <c r="E105" s="8">
        <f>IF(ISNA(MATCH(92,Engine!$C$2:$C$1960,0)),"",INDEX('Compliance Database'!$E$2:$E$1960,MATCH(92,Engine!$C$2:$C$1960,0)))</f>
        <v/>
      </c>
      <c r="F105" s="8">
        <f>IF(ISNA(MATCH(92,Engine!$C$2:$C$1960,0)),"",INDEX('Compliance Database'!$F$2:$F$1960,MATCH(92,Engine!$C$2:$C$1960,0)))</f>
        <v/>
      </c>
      <c r="G105" s="8">
        <f>IF(ISNA(MATCH(92,Engine!$C$2:$C$1960,0)),"",INDEX('Compliance Database'!$G$2:$G$1960,MATCH(92,Engine!$C$2:$C$1960,0)))</f>
        <v/>
      </c>
      <c r="H105" s="9">
        <f>IF(ISNA(MATCH(92,Engine!$C$2:$C$1960,0)),"",INDEX('Compliance Database'!$H$2:$H$1960,MATCH(92,Engine!$C$2:$C$1960,0)))</f>
        <v/>
      </c>
      <c r="I105" s="9">
        <f>IF(ISNA(MATCH(92,Engine!$C$2:$C$1960,0)),"",INDEX('Compliance Database'!$I$2:$I$1960,MATCH(92,Engine!$C$2:$C$1960,0)))</f>
        <v/>
      </c>
      <c r="J105" s="8">
        <f>IF(ISNA(MATCH(92,Engine!$C$2:$C$1960,0)),"",INDEX('Compliance Database'!$J$2:$J$1960,MATCH(92,Engine!$C$2:$C$1960,0)))</f>
        <v/>
      </c>
      <c r="K105" s="9">
        <f>IF(ISNA(MATCH(92,Engine!$C$2:$C$1960,0)),"",INDEX('Compliance Database'!$K$2:$K$1960,MATCH(92,Engine!$C$2:$C$1960,0)))</f>
        <v/>
      </c>
      <c r="L105" s="9">
        <f>IF(ISNA(MATCH(92,Engine!$C$2:$C$1960,0)),"",INDEX('Compliance Database'!$L$2:$L$1960,MATCH(92,Engine!$C$2:$C$1960,0)))</f>
        <v/>
      </c>
      <c r="M105" s="9">
        <f>IF(ISNA(MATCH(92,Engine!$C$2:$C$1960,0)),"",INDEX('Compliance Database'!$M$2:$M$1960,MATCH(92,Engine!$C$2:$C$1960,0)))</f>
        <v/>
      </c>
      <c r="N105" s="9">
        <f>IF(ISNA(MATCH(92,Engine!$C$2:$C$1960,0)),"",INDEX('Compliance Database'!$N$2:$N$1960,MATCH(92,Engine!$C$2:$C$1960,0)))</f>
        <v/>
      </c>
      <c r="O105" s="9">
        <f>IF(ISNA(MATCH(92,Engine!$C$2:$C$1960,0)),"",INDEX('Compliance Database'!$O$2:$O$1960,MATCH(92,Engine!$C$2:$C$1960,0)))</f>
        <v/>
      </c>
      <c r="P105" s="8">
        <f>IF(ISNA(MATCH(92,Engine!$C$2:$C$1960,0)),"",HYPERLINK("#Acts!A"&amp;INDEX('Compliance Database'!$P$2:$P$1960,MATCH(92,Engine!$C$2:$C$1960,0)),"Go to Act"))</f>
        <v/>
      </c>
    </row>
    <row r="106" ht="158" customHeight="1">
      <c r="A106" s="8">
        <f>IF(ISNA(MATCH(93,Engine!$C$2:$C$1960,0)),"",INDEX('Compliance Database'!$A$2:$A$1960,MATCH(93,Engine!$C$2:$C$1960,0)))</f>
        <v/>
      </c>
      <c r="B106" s="8">
        <f>IF(ISNA(MATCH(93,Engine!$C$2:$C$1960,0)),"",INDEX('Compliance Database'!$B$2:$B$1960,MATCH(93,Engine!$C$2:$C$1960,0)))</f>
        <v/>
      </c>
      <c r="C106" s="8">
        <f>IF(ISNA(MATCH(93,Engine!$C$2:$C$1960,0)),"",INDEX('Compliance Database'!$C$2:$C$1960,MATCH(93,Engine!$C$2:$C$1960,0)))</f>
        <v/>
      </c>
      <c r="D106" s="9">
        <f>IF(ISNA(MATCH(93,Engine!$C$2:$C$1960,0)),"",INDEX('Compliance Database'!$D$2:$D$1960,MATCH(93,Engine!$C$2:$C$1960,0)))</f>
        <v/>
      </c>
      <c r="E106" s="8">
        <f>IF(ISNA(MATCH(93,Engine!$C$2:$C$1960,0)),"",INDEX('Compliance Database'!$E$2:$E$1960,MATCH(93,Engine!$C$2:$C$1960,0)))</f>
        <v/>
      </c>
      <c r="F106" s="8">
        <f>IF(ISNA(MATCH(93,Engine!$C$2:$C$1960,0)),"",INDEX('Compliance Database'!$F$2:$F$1960,MATCH(93,Engine!$C$2:$C$1960,0)))</f>
        <v/>
      </c>
      <c r="G106" s="8">
        <f>IF(ISNA(MATCH(93,Engine!$C$2:$C$1960,0)),"",INDEX('Compliance Database'!$G$2:$G$1960,MATCH(93,Engine!$C$2:$C$1960,0)))</f>
        <v/>
      </c>
      <c r="H106" s="9">
        <f>IF(ISNA(MATCH(93,Engine!$C$2:$C$1960,0)),"",INDEX('Compliance Database'!$H$2:$H$1960,MATCH(93,Engine!$C$2:$C$1960,0)))</f>
        <v/>
      </c>
      <c r="I106" s="9">
        <f>IF(ISNA(MATCH(93,Engine!$C$2:$C$1960,0)),"",INDEX('Compliance Database'!$I$2:$I$1960,MATCH(93,Engine!$C$2:$C$1960,0)))</f>
        <v/>
      </c>
      <c r="J106" s="8">
        <f>IF(ISNA(MATCH(93,Engine!$C$2:$C$1960,0)),"",INDEX('Compliance Database'!$J$2:$J$1960,MATCH(93,Engine!$C$2:$C$1960,0)))</f>
        <v/>
      </c>
      <c r="K106" s="9">
        <f>IF(ISNA(MATCH(93,Engine!$C$2:$C$1960,0)),"",INDEX('Compliance Database'!$K$2:$K$1960,MATCH(93,Engine!$C$2:$C$1960,0)))</f>
        <v/>
      </c>
      <c r="L106" s="9">
        <f>IF(ISNA(MATCH(93,Engine!$C$2:$C$1960,0)),"",INDEX('Compliance Database'!$L$2:$L$1960,MATCH(93,Engine!$C$2:$C$1960,0)))</f>
        <v/>
      </c>
      <c r="M106" s="9">
        <f>IF(ISNA(MATCH(93,Engine!$C$2:$C$1960,0)),"",INDEX('Compliance Database'!$M$2:$M$1960,MATCH(93,Engine!$C$2:$C$1960,0)))</f>
        <v/>
      </c>
      <c r="N106" s="9">
        <f>IF(ISNA(MATCH(93,Engine!$C$2:$C$1960,0)),"",INDEX('Compliance Database'!$N$2:$N$1960,MATCH(93,Engine!$C$2:$C$1960,0)))</f>
        <v/>
      </c>
      <c r="O106" s="9">
        <f>IF(ISNA(MATCH(93,Engine!$C$2:$C$1960,0)),"",INDEX('Compliance Database'!$O$2:$O$1960,MATCH(93,Engine!$C$2:$C$1960,0)))</f>
        <v/>
      </c>
      <c r="P106" s="8">
        <f>IF(ISNA(MATCH(93,Engine!$C$2:$C$1960,0)),"",HYPERLINK("#Acts!A"&amp;INDEX('Compliance Database'!$P$2:$P$1960,MATCH(93,Engine!$C$2:$C$1960,0)),"Go to Act"))</f>
        <v/>
      </c>
    </row>
    <row r="107" ht="158" customHeight="1">
      <c r="A107" s="8">
        <f>IF(ISNA(MATCH(94,Engine!$C$2:$C$1960,0)),"",INDEX('Compliance Database'!$A$2:$A$1960,MATCH(94,Engine!$C$2:$C$1960,0)))</f>
        <v/>
      </c>
      <c r="B107" s="8">
        <f>IF(ISNA(MATCH(94,Engine!$C$2:$C$1960,0)),"",INDEX('Compliance Database'!$B$2:$B$1960,MATCH(94,Engine!$C$2:$C$1960,0)))</f>
        <v/>
      </c>
      <c r="C107" s="8">
        <f>IF(ISNA(MATCH(94,Engine!$C$2:$C$1960,0)),"",INDEX('Compliance Database'!$C$2:$C$1960,MATCH(94,Engine!$C$2:$C$1960,0)))</f>
        <v/>
      </c>
      <c r="D107" s="9">
        <f>IF(ISNA(MATCH(94,Engine!$C$2:$C$1960,0)),"",INDEX('Compliance Database'!$D$2:$D$1960,MATCH(94,Engine!$C$2:$C$1960,0)))</f>
        <v/>
      </c>
      <c r="E107" s="8">
        <f>IF(ISNA(MATCH(94,Engine!$C$2:$C$1960,0)),"",INDEX('Compliance Database'!$E$2:$E$1960,MATCH(94,Engine!$C$2:$C$1960,0)))</f>
        <v/>
      </c>
      <c r="F107" s="8">
        <f>IF(ISNA(MATCH(94,Engine!$C$2:$C$1960,0)),"",INDEX('Compliance Database'!$F$2:$F$1960,MATCH(94,Engine!$C$2:$C$1960,0)))</f>
        <v/>
      </c>
      <c r="G107" s="8">
        <f>IF(ISNA(MATCH(94,Engine!$C$2:$C$1960,0)),"",INDEX('Compliance Database'!$G$2:$G$1960,MATCH(94,Engine!$C$2:$C$1960,0)))</f>
        <v/>
      </c>
      <c r="H107" s="9">
        <f>IF(ISNA(MATCH(94,Engine!$C$2:$C$1960,0)),"",INDEX('Compliance Database'!$H$2:$H$1960,MATCH(94,Engine!$C$2:$C$1960,0)))</f>
        <v/>
      </c>
      <c r="I107" s="9">
        <f>IF(ISNA(MATCH(94,Engine!$C$2:$C$1960,0)),"",INDEX('Compliance Database'!$I$2:$I$1960,MATCH(94,Engine!$C$2:$C$1960,0)))</f>
        <v/>
      </c>
      <c r="J107" s="8">
        <f>IF(ISNA(MATCH(94,Engine!$C$2:$C$1960,0)),"",INDEX('Compliance Database'!$J$2:$J$1960,MATCH(94,Engine!$C$2:$C$1960,0)))</f>
        <v/>
      </c>
      <c r="K107" s="9">
        <f>IF(ISNA(MATCH(94,Engine!$C$2:$C$1960,0)),"",INDEX('Compliance Database'!$K$2:$K$1960,MATCH(94,Engine!$C$2:$C$1960,0)))</f>
        <v/>
      </c>
      <c r="L107" s="9">
        <f>IF(ISNA(MATCH(94,Engine!$C$2:$C$1960,0)),"",INDEX('Compliance Database'!$L$2:$L$1960,MATCH(94,Engine!$C$2:$C$1960,0)))</f>
        <v/>
      </c>
      <c r="M107" s="9">
        <f>IF(ISNA(MATCH(94,Engine!$C$2:$C$1960,0)),"",INDEX('Compliance Database'!$M$2:$M$1960,MATCH(94,Engine!$C$2:$C$1960,0)))</f>
        <v/>
      </c>
      <c r="N107" s="9">
        <f>IF(ISNA(MATCH(94,Engine!$C$2:$C$1960,0)),"",INDEX('Compliance Database'!$N$2:$N$1960,MATCH(94,Engine!$C$2:$C$1960,0)))</f>
        <v/>
      </c>
      <c r="O107" s="9">
        <f>IF(ISNA(MATCH(94,Engine!$C$2:$C$1960,0)),"",INDEX('Compliance Database'!$O$2:$O$1960,MATCH(94,Engine!$C$2:$C$1960,0)))</f>
        <v/>
      </c>
      <c r="P107" s="8">
        <f>IF(ISNA(MATCH(94,Engine!$C$2:$C$1960,0)),"",HYPERLINK("#Acts!A"&amp;INDEX('Compliance Database'!$P$2:$P$1960,MATCH(94,Engine!$C$2:$C$1960,0)),"Go to Act"))</f>
        <v/>
      </c>
    </row>
    <row r="108" ht="158" customHeight="1">
      <c r="A108" s="8">
        <f>IF(ISNA(MATCH(95,Engine!$C$2:$C$1960,0)),"",INDEX('Compliance Database'!$A$2:$A$1960,MATCH(95,Engine!$C$2:$C$1960,0)))</f>
        <v/>
      </c>
      <c r="B108" s="8">
        <f>IF(ISNA(MATCH(95,Engine!$C$2:$C$1960,0)),"",INDEX('Compliance Database'!$B$2:$B$1960,MATCH(95,Engine!$C$2:$C$1960,0)))</f>
        <v/>
      </c>
      <c r="C108" s="8">
        <f>IF(ISNA(MATCH(95,Engine!$C$2:$C$1960,0)),"",INDEX('Compliance Database'!$C$2:$C$1960,MATCH(95,Engine!$C$2:$C$1960,0)))</f>
        <v/>
      </c>
      <c r="D108" s="9">
        <f>IF(ISNA(MATCH(95,Engine!$C$2:$C$1960,0)),"",INDEX('Compliance Database'!$D$2:$D$1960,MATCH(95,Engine!$C$2:$C$1960,0)))</f>
        <v/>
      </c>
      <c r="E108" s="8">
        <f>IF(ISNA(MATCH(95,Engine!$C$2:$C$1960,0)),"",INDEX('Compliance Database'!$E$2:$E$1960,MATCH(95,Engine!$C$2:$C$1960,0)))</f>
        <v/>
      </c>
      <c r="F108" s="8">
        <f>IF(ISNA(MATCH(95,Engine!$C$2:$C$1960,0)),"",INDEX('Compliance Database'!$F$2:$F$1960,MATCH(95,Engine!$C$2:$C$1960,0)))</f>
        <v/>
      </c>
      <c r="G108" s="8">
        <f>IF(ISNA(MATCH(95,Engine!$C$2:$C$1960,0)),"",INDEX('Compliance Database'!$G$2:$G$1960,MATCH(95,Engine!$C$2:$C$1960,0)))</f>
        <v/>
      </c>
      <c r="H108" s="9">
        <f>IF(ISNA(MATCH(95,Engine!$C$2:$C$1960,0)),"",INDEX('Compliance Database'!$H$2:$H$1960,MATCH(95,Engine!$C$2:$C$1960,0)))</f>
        <v/>
      </c>
      <c r="I108" s="9">
        <f>IF(ISNA(MATCH(95,Engine!$C$2:$C$1960,0)),"",INDEX('Compliance Database'!$I$2:$I$1960,MATCH(95,Engine!$C$2:$C$1960,0)))</f>
        <v/>
      </c>
      <c r="J108" s="8">
        <f>IF(ISNA(MATCH(95,Engine!$C$2:$C$1960,0)),"",INDEX('Compliance Database'!$J$2:$J$1960,MATCH(95,Engine!$C$2:$C$1960,0)))</f>
        <v/>
      </c>
      <c r="K108" s="9">
        <f>IF(ISNA(MATCH(95,Engine!$C$2:$C$1960,0)),"",INDEX('Compliance Database'!$K$2:$K$1960,MATCH(95,Engine!$C$2:$C$1960,0)))</f>
        <v/>
      </c>
      <c r="L108" s="9">
        <f>IF(ISNA(MATCH(95,Engine!$C$2:$C$1960,0)),"",INDEX('Compliance Database'!$L$2:$L$1960,MATCH(95,Engine!$C$2:$C$1960,0)))</f>
        <v/>
      </c>
      <c r="M108" s="9">
        <f>IF(ISNA(MATCH(95,Engine!$C$2:$C$1960,0)),"",INDEX('Compliance Database'!$M$2:$M$1960,MATCH(95,Engine!$C$2:$C$1960,0)))</f>
        <v/>
      </c>
      <c r="N108" s="9">
        <f>IF(ISNA(MATCH(95,Engine!$C$2:$C$1960,0)),"",INDEX('Compliance Database'!$N$2:$N$1960,MATCH(95,Engine!$C$2:$C$1960,0)))</f>
        <v/>
      </c>
      <c r="O108" s="9">
        <f>IF(ISNA(MATCH(95,Engine!$C$2:$C$1960,0)),"",INDEX('Compliance Database'!$O$2:$O$1960,MATCH(95,Engine!$C$2:$C$1960,0)))</f>
        <v/>
      </c>
      <c r="P108" s="8">
        <f>IF(ISNA(MATCH(95,Engine!$C$2:$C$1960,0)),"",HYPERLINK("#Acts!A"&amp;INDEX('Compliance Database'!$P$2:$P$1960,MATCH(95,Engine!$C$2:$C$1960,0)),"Go to Act"))</f>
        <v/>
      </c>
    </row>
    <row r="109" ht="158" customHeight="1">
      <c r="A109" s="8">
        <f>IF(ISNA(MATCH(96,Engine!$C$2:$C$1960,0)),"",INDEX('Compliance Database'!$A$2:$A$1960,MATCH(96,Engine!$C$2:$C$1960,0)))</f>
        <v/>
      </c>
      <c r="B109" s="8">
        <f>IF(ISNA(MATCH(96,Engine!$C$2:$C$1960,0)),"",INDEX('Compliance Database'!$B$2:$B$1960,MATCH(96,Engine!$C$2:$C$1960,0)))</f>
        <v/>
      </c>
      <c r="C109" s="8">
        <f>IF(ISNA(MATCH(96,Engine!$C$2:$C$1960,0)),"",INDEX('Compliance Database'!$C$2:$C$1960,MATCH(96,Engine!$C$2:$C$1960,0)))</f>
        <v/>
      </c>
      <c r="D109" s="9">
        <f>IF(ISNA(MATCH(96,Engine!$C$2:$C$1960,0)),"",INDEX('Compliance Database'!$D$2:$D$1960,MATCH(96,Engine!$C$2:$C$1960,0)))</f>
        <v/>
      </c>
      <c r="E109" s="8">
        <f>IF(ISNA(MATCH(96,Engine!$C$2:$C$1960,0)),"",INDEX('Compliance Database'!$E$2:$E$1960,MATCH(96,Engine!$C$2:$C$1960,0)))</f>
        <v/>
      </c>
      <c r="F109" s="8">
        <f>IF(ISNA(MATCH(96,Engine!$C$2:$C$1960,0)),"",INDEX('Compliance Database'!$F$2:$F$1960,MATCH(96,Engine!$C$2:$C$1960,0)))</f>
        <v/>
      </c>
      <c r="G109" s="8">
        <f>IF(ISNA(MATCH(96,Engine!$C$2:$C$1960,0)),"",INDEX('Compliance Database'!$G$2:$G$1960,MATCH(96,Engine!$C$2:$C$1960,0)))</f>
        <v/>
      </c>
      <c r="H109" s="9">
        <f>IF(ISNA(MATCH(96,Engine!$C$2:$C$1960,0)),"",INDEX('Compliance Database'!$H$2:$H$1960,MATCH(96,Engine!$C$2:$C$1960,0)))</f>
        <v/>
      </c>
      <c r="I109" s="9">
        <f>IF(ISNA(MATCH(96,Engine!$C$2:$C$1960,0)),"",INDEX('Compliance Database'!$I$2:$I$1960,MATCH(96,Engine!$C$2:$C$1960,0)))</f>
        <v/>
      </c>
      <c r="J109" s="8">
        <f>IF(ISNA(MATCH(96,Engine!$C$2:$C$1960,0)),"",INDEX('Compliance Database'!$J$2:$J$1960,MATCH(96,Engine!$C$2:$C$1960,0)))</f>
        <v/>
      </c>
      <c r="K109" s="9">
        <f>IF(ISNA(MATCH(96,Engine!$C$2:$C$1960,0)),"",INDEX('Compliance Database'!$K$2:$K$1960,MATCH(96,Engine!$C$2:$C$1960,0)))</f>
        <v/>
      </c>
      <c r="L109" s="9">
        <f>IF(ISNA(MATCH(96,Engine!$C$2:$C$1960,0)),"",INDEX('Compliance Database'!$L$2:$L$1960,MATCH(96,Engine!$C$2:$C$1960,0)))</f>
        <v/>
      </c>
      <c r="M109" s="9">
        <f>IF(ISNA(MATCH(96,Engine!$C$2:$C$1960,0)),"",INDEX('Compliance Database'!$M$2:$M$1960,MATCH(96,Engine!$C$2:$C$1960,0)))</f>
        <v/>
      </c>
      <c r="N109" s="9">
        <f>IF(ISNA(MATCH(96,Engine!$C$2:$C$1960,0)),"",INDEX('Compliance Database'!$N$2:$N$1960,MATCH(96,Engine!$C$2:$C$1960,0)))</f>
        <v/>
      </c>
      <c r="O109" s="9">
        <f>IF(ISNA(MATCH(96,Engine!$C$2:$C$1960,0)),"",INDEX('Compliance Database'!$O$2:$O$1960,MATCH(96,Engine!$C$2:$C$1960,0)))</f>
        <v/>
      </c>
      <c r="P109" s="8">
        <f>IF(ISNA(MATCH(96,Engine!$C$2:$C$1960,0)),"",HYPERLINK("#Acts!A"&amp;INDEX('Compliance Database'!$P$2:$P$1960,MATCH(96,Engine!$C$2:$C$1960,0)),"Go to Act"))</f>
        <v/>
      </c>
    </row>
    <row r="110" ht="158" customHeight="1">
      <c r="A110" s="8">
        <f>IF(ISNA(MATCH(97,Engine!$C$2:$C$1960,0)),"",INDEX('Compliance Database'!$A$2:$A$1960,MATCH(97,Engine!$C$2:$C$1960,0)))</f>
        <v/>
      </c>
      <c r="B110" s="8">
        <f>IF(ISNA(MATCH(97,Engine!$C$2:$C$1960,0)),"",INDEX('Compliance Database'!$B$2:$B$1960,MATCH(97,Engine!$C$2:$C$1960,0)))</f>
        <v/>
      </c>
      <c r="C110" s="8">
        <f>IF(ISNA(MATCH(97,Engine!$C$2:$C$1960,0)),"",INDEX('Compliance Database'!$C$2:$C$1960,MATCH(97,Engine!$C$2:$C$1960,0)))</f>
        <v/>
      </c>
      <c r="D110" s="9">
        <f>IF(ISNA(MATCH(97,Engine!$C$2:$C$1960,0)),"",INDEX('Compliance Database'!$D$2:$D$1960,MATCH(97,Engine!$C$2:$C$1960,0)))</f>
        <v/>
      </c>
      <c r="E110" s="8">
        <f>IF(ISNA(MATCH(97,Engine!$C$2:$C$1960,0)),"",INDEX('Compliance Database'!$E$2:$E$1960,MATCH(97,Engine!$C$2:$C$1960,0)))</f>
        <v/>
      </c>
      <c r="F110" s="8">
        <f>IF(ISNA(MATCH(97,Engine!$C$2:$C$1960,0)),"",INDEX('Compliance Database'!$F$2:$F$1960,MATCH(97,Engine!$C$2:$C$1960,0)))</f>
        <v/>
      </c>
      <c r="G110" s="8">
        <f>IF(ISNA(MATCH(97,Engine!$C$2:$C$1960,0)),"",INDEX('Compliance Database'!$G$2:$G$1960,MATCH(97,Engine!$C$2:$C$1960,0)))</f>
        <v/>
      </c>
      <c r="H110" s="9">
        <f>IF(ISNA(MATCH(97,Engine!$C$2:$C$1960,0)),"",INDEX('Compliance Database'!$H$2:$H$1960,MATCH(97,Engine!$C$2:$C$1960,0)))</f>
        <v/>
      </c>
      <c r="I110" s="9">
        <f>IF(ISNA(MATCH(97,Engine!$C$2:$C$1960,0)),"",INDEX('Compliance Database'!$I$2:$I$1960,MATCH(97,Engine!$C$2:$C$1960,0)))</f>
        <v/>
      </c>
      <c r="J110" s="8">
        <f>IF(ISNA(MATCH(97,Engine!$C$2:$C$1960,0)),"",INDEX('Compliance Database'!$J$2:$J$1960,MATCH(97,Engine!$C$2:$C$1960,0)))</f>
        <v/>
      </c>
      <c r="K110" s="9">
        <f>IF(ISNA(MATCH(97,Engine!$C$2:$C$1960,0)),"",INDEX('Compliance Database'!$K$2:$K$1960,MATCH(97,Engine!$C$2:$C$1960,0)))</f>
        <v/>
      </c>
      <c r="L110" s="9">
        <f>IF(ISNA(MATCH(97,Engine!$C$2:$C$1960,0)),"",INDEX('Compliance Database'!$L$2:$L$1960,MATCH(97,Engine!$C$2:$C$1960,0)))</f>
        <v/>
      </c>
      <c r="M110" s="9">
        <f>IF(ISNA(MATCH(97,Engine!$C$2:$C$1960,0)),"",INDEX('Compliance Database'!$M$2:$M$1960,MATCH(97,Engine!$C$2:$C$1960,0)))</f>
        <v/>
      </c>
      <c r="N110" s="9">
        <f>IF(ISNA(MATCH(97,Engine!$C$2:$C$1960,0)),"",INDEX('Compliance Database'!$N$2:$N$1960,MATCH(97,Engine!$C$2:$C$1960,0)))</f>
        <v/>
      </c>
      <c r="O110" s="9">
        <f>IF(ISNA(MATCH(97,Engine!$C$2:$C$1960,0)),"",INDEX('Compliance Database'!$O$2:$O$1960,MATCH(97,Engine!$C$2:$C$1960,0)))</f>
        <v/>
      </c>
      <c r="P110" s="8">
        <f>IF(ISNA(MATCH(97,Engine!$C$2:$C$1960,0)),"",HYPERLINK("#Acts!A"&amp;INDEX('Compliance Database'!$P$2:$P$1960,MATCH(97,Engine!$C$2:$C$1960,0)),"Go to Act"))</f>
        <v/>
      </c>
    </row>
    <row r="111" ht="158" customHeight="1">
      <c r="A111" s="8">
        <f>IF(ISNA(MATCH(98,Engine!$C$2:$C$1960,0)),"",INDEX('Compliance Database'!$A$2:$A$1960,MATCH(98,Engine!$C$2:$C$1960,0)))</f>
        <v/>
      </c>
      <c r="B111" s="8">
        <f>IF(ISNA(MATCH(98,Engine!$C$2:$C$1960,0)),"",INDEX('Compliance Database'!$B$2:$B$1960,MATCH(98,Engine!$C$2:$C$1960,0)))</f>
        <v/>
      </c>
      <c r="C111" s="8">
        <f>IF(ISNA(MATCH(98,Engine!$C$2:$C$1960,0)),"",INDEX('Compliance Database'!$C$2:$C$1960,MATCH(98,Engine!$C$2:$C$1960,0)))</f>
        <v/>
      </c>
      <c r="D111" s="9">
        <f>IF(ISNA(MATCH(98,Engine!$C$2:$C$1960,0)),"",INDEX('Compliance Database'!$D$2:$D$1960,MATCH(98,Engine!$C$2:$C$1960,0)))</f>
        <v/>
      </c>
      <c r="E111" s="8">
        <f>IF(ISNA(MATCH(98,Engine!$C$2:$C$1960,0)),"",INDEX('Compliance Database'!$E$2:$E$1960,MATCH(98,Engine!$C$2:$C$1960,0)))</f>
        <v/>
      </c>
      <c r="F111" s="8">
        <f>IF(ISNA(MATCH(98,Engine!$C$2:$C$1960,0)),"",INDEX('Compliance Database'!$F$2:$F$1960,MATCH(98,Engine!$C$2:$C$1960,0)))</f>
        <v/>
      </c>
      <c r="G111" s="8">
        <f>IF(ISNA(MATCH(98,Engine!$C$2:$C$1960,0)),"",INDEX('Compliance Database'!$G$2:$G$1960,MATCH(98,Engine!$C$2:$C$1960,0)))</f>
        <v/>
      </c>
      <c r="H111" s="9">
        <f>IF(ISNA(MATCH(98,Engine!$C$2:$C$1960,0)),"",INDEX('Compliance Database'!$H$2:$H$1960,MATCH(98,Engine!$C$2:$C$1960,0)))</f>
        <v/>
      </c>
      <c r="I111" s="9">
        <f>IF(ISNA(MATCH(98,Engine!$C$2:$C$1960,0)),"",INDEX('Compliance Database'!$I$2:$I$1960,MATCH(98,Engine!$C$2:$C$1960,0)))</f>
        <v/>
      </c>
      <c r="J111" s="8">
        <f>IF(ISNA(MATCH(98,Engine!$C$2:$C$1960,0)),"",INDEX('Compliance Database'!$J$2:$J$1960,MATCH(98,Engine!$C$2:$C$1960,0)))</f>
        <v/>
      </c>
      <c r="K111" s="9">
        <f>IF(ISNA(MATCH(98,Engine!$C$2:$C$1960,0)),"",INDEX('Compliance Database'!$K$2:$K$1960,MATCH(98,Engine!$C$2:$C$1960,0)))</f>
        <v/>
      </c>
      <c r="L111" s="9">
        <f>IF(ISNA(MATCH(98,Engine!$C$2:$C$1960,0)),"",INDEX('Compliance Database'!$L$2:$L$1960,MATCH(98,Engine!$C$2:$C$1960,0)))</f>
        <v/>
      </c>
      <c r="M111" s="9">
        <f>IF(ISNA(MATCH(98,Engine!$C$2:$C$1960,0)),"",INDEX('Compliance Database'!$M$2:$M$1960,MATCH(98,Engine!$C$2:$C$1960,0)))</f>
        <v/>
      </c>
      <c r="N111" s="9">
        <f>IF(ISNA(MATCH(98,Engine!$C$2:$C$1960,0)),"",INDEX('Compliance Database'!$N$2:$N$1960,MATCH(98,Engine!$C$2:$C$1960,0)))</f>
        <v/>
      </c>
      <c r="O111" s="9">
        <f>IF(ISNA(MATCH(98,Engine!$C$2:$C$1960,0)),"",INDEX('Compliance Database'!$O$2:$O$1960,MATCH(98,Engine!$C$2:$C$1960,0)))</f>
        <v/>
      </c>
      <c r="P111" s="8">
        <f>IF(ISNA(MATCH(98,Engine!$C$2:$C$1960,0)),"",HYPERLINK("#Acts!A"&amp;INDEX('Compliance Database'!$P$2:$P$1960,MATCH(98,Engine!$C$2:$C$1960,0)),"Go to Act"))</f>
        <v/>
      </c>
    </row>
    <row r="112" ht="158" customHeight="1">
      <c r="A112" s="8">
        <f>IF(ISNA(MATCH(99,Engine!$C$2:$C$1960,0)),"",INDEX('Compliance Database'!$A$2:$A$1960,MATCH(99,Engine!$C$2:$C$1960,0)))</f>
        <v/>
      </c>
      <c r="B112" s="8">
        <f>IF(ISNA(MATCH(99,Engine!$C$2:$C$1960,0)),"",INDEX('Compliance Database'!$B$2:$B$1960,MATCH(99,Engine!$C$2:$C$1960,0)))</f>
        <v/>
      </c>
      <c r="C112" s="8">
        <f>IF(ISNA(MATCH(99,Engine!$C$2:$C$1960,0)),"",INDEX('Compliance Database'!$C$2:$C$1960,MATCH(99,Engine!$C$2:$C$1960,0)))</f>
        <v/>
      </c>
      <c r="D112" s="9">
        <f>IF(ISNA(MATCH(99,Engine!$C$2:$C$1960,0)),"",INDEX('Compliance Database'!$D$2:$D$1960,MATCH(99,Engine!$C$2:$C$1960,0)))</f>
        <v/>
      </c>
      <c r="E112" s="8">
        <f>IF(ISNA(MATCH(99,Engine!$C$2:$C$1960,0)),"",INDEX('Compliance Database'!$E$2:$E$1960,MATCH(99,Engine!$C$2:$C$1960,0)))</f>
        <v/>
      </c>
      <c r="F112" s="8">
        <f>IF(ISNA(MATCH(99,Engine!$C$2:$C$1960,0)),"",INDEX('Compliance Database'!$F$2:$F$1960,MATCH(99,Engine!$C$2:$C$1960,0)))</f>
        <v/>
      </c>
      <c r="G112" s="8">
        <f>IF(ISNA(MATCH(99,Engine!$C$2:$C$1960,0)),"",INDEX('Compliance Database'!$G$2:$G$1960,MATCH(99,Engine!$C$2:$C$1960,0)))</f>
        <v/>
      </c>
      <c r="H112" s="9">
        <f>IF(ISNA(MATCH(99,Engine!$C$2:$C$1960,0)),"",INDEX('Compliance Database'!$H$2:$H$1960,MATCH(99,Engine!$C$2:$C$1960,0)))</f>
        <v/>
      </c>
      <c r="I112" s="9">
        <f>IF(ISNA(MATCH(99,Engine!$C$2:$C$1960,0)),"",INDEX('Compliance Database'!$I$2:$I$1960,MATCH(99,Engine!$C$2:$C$1960,0)))</f>
        <v/>
      </c>
      <c r="J112" s="8">
        <f>IF(ISNA(MATCH(99,Engine!$C$2:$C$1960,0)),"",INDEX('Compliance Database'!$J$2:$J$1960,MATCH(99,Engine!$C$2:$C$1960,0)))</f>
        <v/>
      </c>
      <c r="K112" s="9">
        <f>IF(ISNA(MATCH(99,Engine!$C$2:$C$1960,0)),"",INDEX('Compliance Database'!$K$2:$K$1960,MATCH(99,Engine!$C$2:$C$1960,0)))</f>
        <v/>
      </c>
      <c r="L112" s="9">
        <f>IF(ISNA(MATCH(99,Engine!$C$2:$C$1960,0)),"",INDEX('Compliance Database'!$L$2:$L$1960,MATCH(99,Engine!$C$2:$C$1960,0)))</f>
        <v/>
      </c>
      <c r="M112" s="9">
        <f>IF(ISNA(MATCH(99,Engine!$C$2:$C$1960,0)),"",INDEX('Compliance Database'!$M$2:$M$1960,MATCH(99,Engine!$C$2:$C$1960,0)))</f>
        <v/>
      </c>
      <c r="N112" s="9">
        <f>IF(ISNA(MATCH(99,Engine!$C$2:$C$1960,0)),"",INDEX('Compliance Database'!$N$2:$N$1960,MATCH(99,Engine!$C$2:$C$1960,0)))</f>
        <v/>
      </c>
      <c r="O112" s="9">
        <f>IF(ISNA(MATCH(99,Engine!$C$2:$C$1960,0)),"",INDEX('Compliance Database'!$O$2:$O$1960,MATCH(99,Engine!$C$2:$C$1960,0)))</f>
        <v/>
      </c>
      <c r="P112" s="8">
        <f>IF(ISNA(MATCH(99,Engine!$C$2:$C$1960,0)),"",HYPERLINK("#Acts!A"&amp;INDEX('Compliance Database'!$P$2:$P$1960,MATCH(99,Engine!$C$2:$C$1960,0)),"Go to Act"))</f>
        <v/>
      </c>
    </row>
    <row r="113" ht="158" customHeight="1">
      <c r="A113" s="8">
        <f>IF(ISNA(MATCH(100,Engine!$C$2:$C$1960,0)),"",INDEX('Compliance Database'!$A$2:$A$1960,MATCH(100,Engine!$C$2:$C$1960,0)))</f>
        <v/>
      </c>
      <c r="B113" s="8">
        <f>IF(ISNA(MATCH(100,Engine!$C$2:$C$1960,0)),"",INDEX('Compliance Database'!$B$2:$B$1960,MATCH(100,Engine!$C$2:$C$1960,0)))</f>
        <v/>
      </c>
      <c r="C113" s="8">
        <f>IF(ISNA(MATCH(100,Engine!$C$2:$C$1960,0)),"",INDEX('Compliance Database'!$C$2:$C$1960,MATCH(100,Engine!$C$2:$C$1960,0)))</f>
        <v/>
      </c>
      <c r="D113" s="9">
        <f>IF(ISNA(MATCH(100,Engine!$C$2:$C$1960,0)),"",INDEX('Compliance Database'!$D$2:$D$1960,MATCH(100,Engine!$C$2:$C$1960,0)))</f>
        <v/>
      </c>
      <c r="E113" s="8">
        <f>IF(ISNA(MATCH(100,Engine!$C$2:$C$1960,0)),"",INDEX('Compliance Database'!$E$2:$E$1960,MATCH(100,Engine!$C$2:$C$1960,0)))</f>
        <v/>
      </c>
      <c r="F113" s="8">
        <f>IF(ISNA(MATCH(100,Engine!$C$2:$C$1960,0)),"",INDEX('Compliance Database'!$F$2:$F$1960,MATCH(100,Engine!$C$2:$C$1960,0)))</f>
        <v/>
      </c>
      <c r="G113" s="8">
        <f>IF(ISNA(MATCH(100,Engine!$C$2:$C$1960,0)),"",INDEX('Compliance Database'!$G$2:$G$1960,MATCH(100,Engine!$C$2:$C$1960,0)))</f>
        <v/>
      </c>
      <c r="H113" s="9">
        <f>IF(ISNA(MATCH(100,Engine!$C$2:$C$1960,0)),"",INDEX('Compliance Database'!$H$2:$H$1960,MATCH(100,Engine!$C$2:$C$1960,0)))</f>
        <v/>
      </c>
      <c r="I113" s="9">
        <f>IF(ISNA(MATCH(100,Engine!$C$2:$C$1960,0)),"",INDEX('Compliance Database'!$I$2:$I$1960,MATCH(100,Engine!$C$2:$C$1960,0)))</f>
        <v/>
      </c>
      <c r="J113" s="8">
        <f>IF(ISNA(MATCH(100,Engine!$C$2:$C$1960,0)),"",INDEX('Compliance Database'!$J$2:$J$1960,MATCH(100,Engine!$C$2:$C$1960,0)))</f>
        <v/>
      </c>
      <c r="K113" s="9">
        <f>IF(ISNA(MATCH(100,Engine!$C$2:$C$1960,0)),"",INDEX('Compliance Database'!$K$2:$K$1960,MATCH(100,Engine!$C$2:$C$1960,0)))</f>
        <v/>
      </c>
      <c r="L113" s="9">
        <f>IF(ISNA(MATCH(100,Engine!$C$2:$C$1960,0)),"",INDEX('Compliance Database'!$L$2:$L$1960,MATCH(100,Engine!$C$2:$C$1960,0)))</f>
        <v/>
      </c>
      <c r="M113" s="9">
        <f>IF(ISNA(MATCH(100,Engine!$C$2:$C$1960,0)),"",INDEX('Compliance Database'!$M$2:$M$1960,MATCH(100,Engine!$C$2:$C$1960,0)))</f>
        <v/>
      </c>
      <c r="N113" s="9">
        <f>IF(ISNA(MATCH(100,Engine!$C$2:$C$1960,0)),"",INDEX('Compliance Database'!$N$2:$N$1960,MATCH(100,Engine!$C$2:$C$1960,0)))</f>
        <v/>
      </c>
      <c r="O113" s="9">
        <f>IF(ISNA(MATCH(100,Engine!$C$2:$C$1960,0)),"",INDEX('Compliance Database'!$O$2:$O$1960,MATCH(100,Engine!$C$2:$C$1960,0)))</f>
        <v/>
      </c>
      <c r="P113" s="8">
        <f>IF(ISNA(MATCH(100,Engine!$C$2:$C$1960,0)),"",HYPERLINK("#Acts!A"&amp;INDEX('Compliance Database'!$P$2:$P$1960,MATCH(100,Engine!$C$2:$C$1960,0)),"Go to Act"))</f>
        <v/>
      </c>
    </row>
    <row r="114" ht="158" customHeight="1">
      <c r="A114" s="8">
        <f>IF(ISNA(MATCH(101,Engine!$C$2:$C$1960,0)),"",INDEX('Compliance Database'!$A$2:$A$1960,MATCH(101,Engine!$C$2:$C$1960,0)))</f>
        <v/>
      </c>
      <c r="B114" s="8">
        <f>IF(ISNA(MATCH(101,Engine!$C$2:$C$1960,0)),"",INDEX('Compliance Database'!$B$2:$B$1960,MATCH(101,Engine!$C$2:$C$1960,0)))</f>
        <v/>
      </c>
      <c r="C114" s="8">
        <f>IF(ISNA(MATCH(101,Engine!$C$2:$C$1960,0)),"",INDEX('Compliance Database'!$C$2:$C$1960,MATCH(101,Engine!$C$2:$C$1960,0)))</f>
        <v/>
      </c>
      <c r="D114" s="9">
        <f>IF(ISNA(MATCH(101,Engine!$C$2:$C$1960,0)),"",INDEX('Compliance Database'!$D$2:$D$1960,MATCH(101,Engine!$C$2:$C$1960,0)))</f>
        <v/>
      </c>
      <c r="E114" s="8">
        <f>IF(ISNA(MATCH(101,Engine!$C$2:$C$1960,0)),"",INDEX('Compliance Database'!$E$2:$E$1960,MATCH(101,Engine!$C$2:$C$1960,0)))</f>
        <v/>
      </c>
      <c r="F114" s="8">
        <f>IF(ISNA(MATCH(101,Engine!$C$2:$C$1960,0)),"",INDEX('Compliance Database'!$F$2:$F$1960,MATCH(101,Engine!$C$2:$C$1960,0)))</f>
        <v/>
      </c>
      <c r="G114" s="8">
        <f>IF(ISNA(MATCH(101,Engine!$C$2:$C$1960,0)),"",INDEX('Compliance Database'!$G$2:$G$1960,MATCH(101,Engine!$C$2:$C$1960,0)))</f>
        <v/>
      </c>
      <c r="H114" s="9">
        <f>IF(ISNA(MATCH(101,Engine!$C$2:$C$1960,0)),"",INDEX('Compliance Database'!$H$2:$H$1960,MATCH(101,Engine!$C$2:$C$1960,0)))</f>
        <v/>
      </c>
      <c r="I114" s="9">
        <f>IF(ISNA(MATCH(101,Engine!$C$2:$C$1960,0)),"",INDEX('Compliance Database'!$I$2:$I$1960,MATCH(101,Engine!$C$2:$C$1960,0)))</f>
        <v/>
      </c>
      <c r="J114" s="8">
        <f>IF(ISNA(MATCH(101,Engine!$C$2:$C$1960,0)),"",INDEX('Compliance Database'!$J$2:$J$1960,MATCH(101,Engine!$C$2:$C$1960,0)))</f>
        <v/>
      </c>
      <c r="K114" s="9">
        <f>IF(ISNA(MATCH(101,Engine!$C$2:$C$1960,0)),"",INDEX('Compliance Database'!$K$2:$K$1960,MATCH(101,Engine!$C$2:$C$1960,0)))</f>
        <v/>
      </c>
      <c r="L114" s="9">
        <f>IF(ISNA(MATCH(101,Engine!$C$2:$C$1960,0)),"",INDEX('Compliance Database'!$L$2:$L$1960,MATCH(101,Engine!$C$2:$C$1960,0)))</f>
        <v/>
      </c>
      <c r="M114" s="9">
        <f>IF(ISNA(MATCH(101,Engine!$C$2:$C$1960,0)),"",INDEX('Compliance Database'!$M$2:$M$1960,MATCH(101,Engine!$C$2:$C$1960,0)))</f>
        <v/>
      </c>
      <c r="N114" s="9">
        <f>IF(ISNA(MATCH(101,Engine!$C$2:$C$1960,0)),"",INDEX('Compliance Database'!$N$2:$N$1960,MATCH(101,Engine!$C$2:$C$1960,0)))</f>
        <v/>
      </c>
      <c r="O114" s="9">
        <f>IF(ISNA(MATCH(101,Engine!$C$2:$C$1960,0)),"",INDEX('Compliance Database'!$O$2:$O$1960,MATCH(101,Engine!$C$2:$C$1960,0)))</f>
        <v/>
      </c>
      <c r="P114" s="8">
        <f>IF(ISNA(MATCH(101,Engine!$C$2:$C$1960,0)),"",HYPERLINK("#Acts!A"&amp;INDEX('Compliance Database'!$P$2:$P$1960,MATCH(101,Engine!$C$2:$C$1960,0)),"Go to Act"))</f>
        <v/>
      </c>
    </row>
    <row r="115" ht="158" customHeight="1">
      <c r="A115" s="8">
        <f>IF(ISNA(MATCH(102,Engine!$C$2:$C$1960,0)),"",INDEX('Compliance Database'!$A$2:$A$1960,MATCH(102,Engine!$C$2:$C$1960,0)))</f>
        <v/>
      </c>
      <c r="B115" s="8">
        <f>IF(ISNA(MATCH(102,Engine!$C$2:$C$1960,0)),"",INDEX('Compliance Database'!$B$2:$B$1960,MATCH(102,Engine!$C$2:$C$1960,0)))</f>
        <v/>
      </c>
      <c r="C115" s="8">
        <f>IF(ISNA(MATCH(102,Engine!$C$2:$C$1960,0)),"",INDEX('Compliance Database'!$C$2:$C$1960,MATCH(102,Engine!$C$2:$C$1960,0)))</f>
        <v/>
      </c>
      <c r="D115" s="9">
        <f>IF(ISNA(MATCH(102,Engine!$C$2:$C$1960,0)),"",INDEX('Compliance Database'!$D$2:$D$1960,MATCH(102,Engine!$C$2:$C$1960,0)))</f>
        <v/>
      </c>
      <c r="E115" s="8">
        <f>IF(ISNA(MATCH(102,Engine!$C$2:$C$1960,0)),"",INDEX('Compliance Database'!$E$2:$E$1960,MATCH(102,Engine!$C$2:$C$1960,0)))</f>
        <v/>
      </c>
      <c r="F115" s="8">
        <f>IF(ISNA(MATCH(102,Engine!$C$2:$C$1960,0)),"",INDEX('Compliance Database'!$F$2:$F$1960,MATCH(102,Engine!$C$2:$C$1960,0)))</f>
        <v/>
      </c>
      <c r="G115" s="8">
        <f>IF(ISNA(MATCH(102,Engine!$C$2:$C$1960,0)),"",INDEX('Compliance Database'!$G$2:$G$1960,MATCH(102,Engine!$C$2:$C$1960,0)))</f>
        <v/>
      </c>
      <c r="H115" s="9">
        <f>IF(ISNA(MATCH(102,Engine!$C$2:$C$1960,0)),"",INDEX('Compliance Database'!$H$2:$H$1960,MATCH(102,Engine!$C$2:$C$1960,0)))</f>
        <v/>
      </c>
      <c r="I115" s="9">
        <f>IF(ISNA(MATCH(102,Engine!$C$2:$C$1960,0)),"",INDEX('Compliance Database'!$I$2:$I$1960,MATCH(102,Engine!$C$2:$C$1960,0)))</f>
        <v/>
      </c>
      <c r="J115" s="8">
        <f>IF(ISNA(MATCH(102,Engine!$C$2:$C$1960,0)),"",INDEX('Compliance Database'!$J$2:$J$1960,MATCH(102,Engine!$C$2:$C$1960,0)))</f>
        <v/>
      </c>
      <c r="K115" s="9">
        <f>IF(ISNA(MATCH(102,Engine!$C$2:$C$1960,0)),"",INDEX('Compliance Database'!$K$2:$K$1960,MATCH(102,Engine!$C$2:$C$1960,0)))</f>
        <v/>
      </c>
      <c r="L115" s="9">
        <f>IF(ISNA(MATCH(102,Engine!$C$2:$C$1960,0)),"",INDEX('Compliance Database'!$L$2:$L$1960,MATCH(102,Engine!$C$2:$C$1960,0)))</f>
        <v/>
      </c>
      <c r="M115" s="9">
        <f>IF(ISNA(MATCH(102,Engine!$C$2:$C$1960,0)),"",INDEX('Compliance Database'!$M$2:$M$1960,MATCH(102,Engine!$C$2:$C$1960,0)))</f>
        <v/>
      </c>
      <c r="N115" s="9">
        <f>IF(ISNA(MATCH(102,Engine!$C$2:$C$1960,0)),"",INDEX('Compliance Database'!$N$2:$N$1960,MATCH(102,Engine!$C$2:$C$1960,0)))</f>
        <v/>
      </c>
      <c r="O115" s="9">
        <f>IF(ISNA(MATCH(102,Engine!$C$2:$C$1960,0)),"",INDEX('Compliance Database'!$O$2:$O$1960,MATCH(102,Engine!$C$2:$C$1960,0)))</f>
        <v/>
      </c>
      <c r="P115" s="8">
        <f>IF(ISNA(MATCH(102,Engine!$C$2:$C$1960,0)),"",HYPERLINK("#Acts!A"&amp;INDEX('Compliance Database'!$P$2:$P$1960,MATCH(102,Engine!$C$2:$C$1960,0)),"Go to Act"))</f>
        <v/>
      </c>
    </row>
    <row r="116" ht="158" customHeight="1">
      <c r="A116" s="8">
        <f>IF(ISNA(MATCH(103,Engine!$C$2:$C$1960,0)),"",INDEX('Compliance Database'!$A$2:$A$1960,MATCH(103,Engine!$C$2:$C$1960,0)))</f>
        <v/>
      </c>
      <c r="B116" s="8">
        <f>IF(ISNA(MATCH(103,Engine!$C$2:$C$1960,0)),"",INDEX('Compliance Database'!$B$2:$B$1960,MATCH(103,Engine!$C$2:$C$1960,0)))</f>
        <v/>
      </c>
      <c r="C116" s="8">
        <f>IF(ISNA(MATCH(103,Engine!$C$2:$C$1960,0)),"",INDEX('Compliance Database'!$C$2:$C$1960,MATCH(103,Engine!$C$2:$C$1960,0)))</f>
        <v/>
      </c>
      <c r="D116" s="9">
        <f>IF(ISNA(MATCH(103,Engine!$C$2:$C$1960,0)),"",INDEX('Compliance Database'!$D$2:$D$1960,MATCH(103,Engine!$C$2:$C$1960,0)))</f>
        <v/>
      </c>
      <c r="E116" s="8">
        <f>IF(ISNA(MATCH(103,Engine!$C$2:$C$1960,0)),"",INDEX('Compliance Database'!$E$2:$E$1960,MATCH(103,Engine!$C$2:$C$1960,0)))</f>
        <v/>
      </c>
      <c r="F116" s="8">
        <f>IF(ISNA(MATCH(103,Engine!$C$2:$C$1960,0)),"",INDEX('Compliance Database'!$F$2:$F$1960,MATCH(103,Engine!$C$2:$C$1960,0)))</f>
        <v/>
      </c>
      <c r="G116" s="8">
        <f>IF(ISNA(MATCH(103,Engine!$C$2:$C$1960,0)),"",INDEX('Compliance Database'!$G$2:$G$1960,MATCH(103,Engine!$C$2:$C$1960,0)))</f>
        <v/>
      </c>
      <c r="H116" s="9">
        <f>IF(ISNA(MATCH(103,Engine!$C$2:$C$1960,0)),"",INDEX('Compliance Database'!$H$2:$H$1960,MATCH(103,Engine!$C$2:$C$1960,0)))</f>
        <v/>
      </c>
      <c r="I116" s="9">
        <f>IF(ISNA(MATCH(103,Engine!$C$2:$C$1960,0)),"",INDEX('Compliance Database'!$I$2:$I$1960,MATCH(103,Engine!$C$2:$C$1960,0)))</f>
        <v/>
      </c>
      <c r="J116" s="8">
        <f>IF(ISNA(MATCH(103,Engine!$C$2:$C$1960,0)),"",INDEX('Compliance Database'!$J$2:$J$1960,MATCH(103,Engine!$C$2:$C$1960,0)))</f>
        <v/>
      </c>
      <c r="K116" s="9">
        <f>IF(ISNA(MATCH(103,Engine!$C$2:$C$1960,0)),"",INDEX('Compliance Database'!$K$2:$K$1960,MATCH(103,Engine!$C$2:$C$1960,0)))</f>
        <v/>
      </c>
      <c r="L116" s="9">
        <f>IF(ISNA(MATCH(103,Engine!$C$2:$C$1960,0)),"",INDEX('Compliance Database'!$L$2:$L$1960,MATCH(103,Engine!$C$2:$C$1960,0)))</f>
        <v/>
      </c>
      <c r="M116" s="9">
        <f>IF(ISNA(MATCH(103,Engine!$C$2:$C$1960,0)),"",INDEX('Compliance Database'!$M$2:$M$1960,MATCH(103,Engine!$C$2:$C$1960,0)))</f>
        <v/>
      </c>
      <c r="N116" s="9">
        <f>IF(ISNA(MATCH(103,Engine!$C$2:$C$1960,0)),"",INDEX('Compliance Database'!$N$2:$N$1960,MATCH(103,Engine!$C$2:$C$1960,0)))</f>
        <v/>
      </c>
      <c r="O116" s="9">
        <f>IF(ISNA(MATCH(103,Engine!$C$2:$C$1960,0)),"",INDEX('Compliance Database'!$O$2:$O$1960,MATCH(103,Engine!$C$2:$C$1960,0)))</f>
        <v/>
      </c>
      <c r="P116" s="8">
        <f>IF(ISNA(MATCH(103,Engine!$C$2:$C$1960,0)),"",HYPERLINK("#Acts!A"&amp;INDEX('Compliance Database'!$P$2:$P$1960,MATCH(103,Engine!$C$2:$C$1960,0)),"Go to Act"))</f>
        <v/>
      </c>
    </row>
    <row r="117" ht="158" customHeight="1">
      <c r="A117" s="8">
        <f>IF(ISNA(MATCH(104,Engine!$C$2:$C$1960,0)),"",INDEX('Compliance Database'!$A$2:$A$1960,MATCH(104,Engine!$C$2:$C$1960,0)))</f>
        <v/>
      </c>
      <c r="B117" s="8">
        <f>IF(ISNA(MATCH(104,Engine!$C$2:$C$1960,0)),"",INDEX('Compliance Database'!$B$2:$B$1960,MATCH(104,Engine!$C$2:$C$1960,0)))</f>
        <v/>
      </c>
      <c r="C117" s="8">
        <f>IF(ISNA(MATCH(104,Engine!$C$2:$C$1960,0)),"",INDEX('Compliance Database'!$C$2:$C$1960,MATCH(104,Engine!$C$2:$C$1960,0)))</f>
        <v/>
      </c>
      <c r="D117" s="9">
        <f>IF(ISNA(MATCH(104,Engine!$C$2:$C$1960,0)),"",INDEX('Compliance Database'!$D$2:$D$1960,MATCH(104,Engine!$C$2:$C$1960,0)))</f>
        <v/>
      </c>
      <c r="E117" s="8">
        <f>IF(ISNA(MATCH(104,Engine!$C$2:$C$1960,0)),"",INDEX('Compliance Database'!$E$2:$E$1960,MATCH(104,Engine!$C$2:$C$1960,0)))</f>
        <v/>
      </c>
      <c r="F117" s="8">
        <f>IF(ISNA(MATCH(104,Engine!$C$2:$C$1960,0)),"",INDEX('Compliance Database'!$F$2:$F$1960,MATCH(104,Engine!$C$2:$C$1960,0)))</f>
        <v/>
      </c>
      <c r="G117" s="8">
        <f>IF(ISNA(MATCH(104,Engine!$C$2:$C$1960,0)),"",INDEX('Compliance Database'!$G$2:$G$1960,MATCH(104,Engine!$C$2:$C$1960,0)))</f>
        <v/>
      </c>
      <c r="H117" s="9">
        <f>IF(ISNA(MATCH(104,Engine!$C$2:$C$1960,0)),"",INDEX('Compliance Database'!$H$2:$H$1960,MATCH(104,Engine!$C$2:$C$1960,0)))</f>
        <v/>
      </c>
      <c r="I117" s="9">
        <f>IF(ISNA(MATCH(104,Engine!$C$2:$C$1960,0)),"",INDEX('Compliance Database'!$I$2:$I$1960,MATCH(104,Engine!$C$2:$C$1960,0)))</f>
        <v/>
      </c>
      <c r="J117" s="8">
        <f>IF(ISNA(MATCH(104,Engine!$C$2:$C$1960,0)),"",INDEX('Compliance Database'!$J$2:$J$1960,MATCH(104,Engine!$C$2:$C$1960,0)))</f>
        <v/>
      </c>
      <c r="K117" s="9">
        <f>IF(ISNA(MATCH(104,Engine!$C$2:$C$1960,0)),"",INDEX('Compliance Database'!$K$2:$K$1960,MATCH(104,Engine!$C$2:$C$1960,0)))</f>
        <v/>
      </c>
      <c r="L117" s="9">
        <f>IF(ISNA(MATCH(104,Engine!$C$2:$C$1960,0)),"",INDEX('Compliance Database'!$L$2:$L$1960,MATCH(104,Engine!$C$2:$C$1960,0)))</f>
        <v/>
      </c>
      <c r="M117" s="9">
        <f>IF(ISNA(MATCH(104,Engine!$C$2:$C$1960,0)),"",INDEX('Compliance Database'!$M$2:$M$1960,MATCH(104,Engine!$C$2:$C$1960,0)))</f>
        <v/>
      </c>
      <c r="N117" s="9">
        <f>IF(ISNA(MATCH(104,Engine!$C$2:$C$1960,0)),"",INDEX('Compliance Database'!$N$2:$N$1960,MATCH(104,Engine!$C$2:$C$1960,0)))</f>
        <v/>
      </c>
      <c r="O117" s="9">
        <f>IF(ISNA(MATCH(104,Engine!$C$2:$C$1960,0)),"",INDEX('Compliance Database'!$O$2:$O$1960,MATCH(104,Engine!$C$2:$C$1960,0)))</f>
        <v/>
      </c>
      <c r="P117" s="8">
        <f>IF(ISNA(MATCH(104,Engine!$C$2:$C$1960,0)),"",HYPERLINK("#Acts!A"&amp;INDEX('Compliance Database'!$P$2:$P$1960,MATCH(104,Engine!$C$2:$C$1960,0)),"Go to Act"))</f>
        <v/>
      </c>
    </row>
    <row r="118" ht="158" customHeight="1">
      <c r="A118" s="8">
        <f>IF(ISNA(MATCH(105,Engine!$C$2:$C$1960,0)),"",INDEX('Compliance Database'!$A$2:$A$1960,MATCH(105,Engine!$C$2:$C$1960,0)))</f>
        <v/>
      </c>
      <c r="B118" s="8">
        <f>IF(ISNA(MATCH(105,Engine!$C$2:$C$1960,0)),"",INDEX('Compliance Database'!$B$2:$B$1960,MATCH(105,Engine!$C$2:$C$1960,0)))</f>
        <v/>
      </c>
      <c r="C118" s="8">
        <f>IF(ISNA(MATCH(105,Engine!$C$2:$C$1960,0)),"",INDEX('Compliance Database'!$C$2:$C$1960,MATCH(105,Engine!$C$2:$C$1960,0)))</f>
        <v/>
      </c>
      <c r="D118" s="9">
        <f>IF(ISNA(MATCH(105,Engine!$C$2:$C$1960,0)),"",INDEX('Compliance Database'!$D$2:$D$1960,MATCH(105,Engine!$C$2:$C$1960,0)))</f>
        <v/>
      </c>
      <c r="E118" s="8">
        <f>IF(ISNA(MATCH(105,Engine!$C$2:$C$1960,0)),"",INDEX('Compliance Database'!$E$2:$E$1960,MATCH(105,Engine!$C$2:$C$1960,0)))</f>
        <v/>
      </c>
      <c r="F118" s="8">
        <f>IF(ISNA(MATCH(105,Engine!$C$2:$C$1960,0)),"",INDEX('Compliance Database'!$F$2:$F$1960,MATCH(105,Engine!$C$2:$C$1960,0)))</f>
        <v/>
      </c>
      <c r="G118" s="8">
        <f>IF(ISNA(MATCH(105,Engine!$C$2:$C$1960,0)),"",INDEX('Compliance Database'!$G$2:$G$1960,MATCH(105,Engine!$C$2:$C$1960,0)))</f>
        <v/>
      </c>
      <c r="H118" s="9">
        <f>IF(ISNA(MATCH(105,Engine!$C$2:$C$1960,0)),"",INDEX('Compliance Database'!$H$2:$H$1960,MATCH(105,Engine!$C$2:$C$1960,0)))</f>
        <v/>
      </c>
      <c r="I118" s="9">
        <f>IF(ISNA(MATCH(105,Engine!$C$2:$C$1960,0)),"",INDEX('Compliance Database'!$I$2:$I$1960,MATCH(105,Engine!$C$2:$C$1960,0)))</f>
        <v/>
      </c>
      <c r="J118" s="8">
        <f>IF(ISNA(MATCH(105,Engine!$C$2:$C$1960,0)),"",INDEX('Compliance Database'!$J$2:$J$1960,MATCH(105,Engine!$C$2:$C$1960,0)))</f>
        <v/>
      </c>
      <c r="K118" s="9">
        <f>IF(ISNA(MATCH(105,Engine!$C$2:$C$1960,0)),"",INDEX('Compliance Database'!$K$2:$K$1960,MATCH(105,Engine!$C$2:$C$1960,0)))</f>
        <v/>
      </c>
      <c r="L118" s="9">
        <f>IF(ISNA(MATCH(105,Engine!$C$2:$C$1960,0)),"",INDEX('Compliance Database'!$L$2:$L$1960,MATCH(105,Engine!$C$2:$C$1960,0)))</f>
        <v/>
      </c>
      <c r="M118" s="9">
        <f>IF(ISNA(MATCH(105,Engine!$C$2:$C$1960,0)),"",INDEX('Compliance Database'!$M$2:$M$1960,MATCH(105,Engine!$C$2:$C$1960,0)))</f>
        <v/>
      </c>
      <c r="N118" s="9">
        <f>IF(ISNA(MATCH(105,Engine!$C$2:$C$1960,0)),"",INDEX('Compliance Database'!$N$2:$N$1960,MATCH(105,Engine!$C$2:$C$1960,0)))</f>
        <v/>
      </c>
      <c r="O118" s="9">
        <f>IF(ISNA(MATCH(105,Engine!$C$2:$C$1960,0)),"",INDEX('Compliance Database'!$O$2:$O$1960,MATCH(105,Engine!$C$2:$C$1960,0)))</f>
        <v/>
      </c>
      <c r="P118" s="8">
        <f>IF(ISNA(MATCH(105,Engine!$C$2:$C$1960,0)),"",HYPERLINK("#Acts!A"&amp;INDEX('Compliance Database'!$P$2:$P$1960,MATCH(105,Engine!$C$2:$C$1960,0)),"Go to Act"))</f>
        <v/>
      </c>
    </row>
    <row r="119" ht="158" customHeight="1">
      <c r="A119" s="8">
        <f>IF(ISNA(MATCH(106,Engine!$C$2:$C$1960,0)),"",INDEX('Compliance Database'!$A$2:$A$1960,MATCH(106,Engine!$C$2:$C$1960,0)))</f>
        <v/>
      </c>
      <c r="B119" s="8">
        <f>IF(ISNA(MATCH(106,Engine!$C$2:$C$1960,0)),"",INDEX('Compliance Database'!$B$2:$B$1960,MATCH(106,Engine!$C$2:$C$1960,0)))</f>
        <v/>
      </c>
      <c r="C119" s="8">
        <f>IF(ISNA(MATCH(106,Engine!$C$2:$C$1960,0)),"",INDEX('Compliance Database'!$C$2:$C$1960,MATCH(106,Engine!$C$2:$C$1960,0)))</f>
        <v/>
      </c>
      <c r="D119" s="9">
        <f>IF(ISNA(MATCH(106,Engine!$C$2:$C$1960,0)),"",INDEX('Compliance Database'!$D$2:$D$1960,MATCH(106,Engine!$C$2:$C$1960,0)))</f>
        <v/>
      </c>
      <c r="E119" s="8">
        <f>IF(ISNA(MATCH(106,Engine!$C$2:$C$1960,0)),"",INDEX('Compliance Database'!$E$2:$E$1960,MATCH(106,Engine!$C$2:$C$1960,0)))</f>
        <v/>
      </c>
      <c r="F119" s="8">
        <f>IF(ISNA(MATCH(106,Engine!$C$2:$C$1960,0)),"",INDEX('Compliance Database'!$F$2:$F$1960,MATCH(106,Engine!$C$2:$C$1960,0)))</f>
        <v/>
      </c>
      <c r="G119" s="8">
        <f>IF(ISNA(MATCH(106,Engine!$C$2:$C$1960,0)),"",INDEX('Compliance Database'!$G$2:$G$1960,MATCH(106,Engine!$C$2:$C$1960,0)))</f>
        <v/>
      </c>
      <c r="H119" s="9">
        <f>IF(ISNA(MATCH(106,Engine!$C$2:$C$1960,0)),"",INDEX('Compliance Database'!$H$2:$H$1960,MATCH(106,Engine!$C$2:$C$1960,0)))</f>
        <v/>
      </c>
      <c r="I119" s="9">
        <f>IF(ISNA(MATCH(106,Engine!$C$2:$C$1960,0)),"",INDEX('Compliance Database'!$I$2:$I$1960,MATCH(106,Engine!$C$2:$C$1960,0)))</f>
        <v/>
      </c>
      <c r="J119" s="8">
        <f>IF(ISNA(MATCH(106,Engine!$C$2:$C$1960,0)),"",INDEX('Compliance Database'!$J$2:$J$1960,MATCH(106,Engine!$C$2:$C$1960,0)))</f>
        <v/>
      </c>
      <c r="K119" s="9">
        <f>IF(ISNA(MATCH(106,Engine!$C$2:$C$1960,0)),"",INDEX('Compliance Database'!$K$2:$K$1960,MATCH(106,Engine!$C$2:$C$1960,0)))</f>
        <v/>
      </c>
      <c r="L119" s="9">
        <f>IF(ISNA(MATCH(106,Engine!$C$2:$C$1960,0)),"",INDEX('Compliance Database'!$L$2:$L$1960,MATCH(106,Engine!$C$2:$C$1960,0)))</f>
        <v/>
      </c>
      <c r="M119" s="9">
        <f>IF(ISNA(MATCH(106,Engine!$C$2:$C$1960,0)),"",INDEX('Compliance Database'!$M$2:$M$1960,MATCH(106,Engine!$C$2:$C$1960,0)))</f>
        <v/>
      </c>
      <c r="N119" s="9">
        <f>IF(ISNA(MATCH(106,Engine!$C$2:$C$1960,0)),"",INDEX('Compliance Database'!$N$2:$N$1960,MATCH(106,Engine!$C$2:$C$1960,0)))</f>
        <v/>
      </c>
      <c r="O119" s="9">
        <f>IF(ISNA(MATCH(106,Engine!$C$2:$C$1960,0)),"",INDEX('Compliance Database'!$O$2:$O$1960,MATCH(106,Engine!$C$2:$C$1960,0)))</f>
        <v/>
      </c>
      <c r="P119" s="8">
        <f>IF(ISNA(MATCH(106,Engine!$C$2:$C$1960,0)),"",HYPERLINK("#Acts!A"&amp;INDEX('Compliance Database'!$P$2:$P$1960,MATCH(106,Engine!$C$2:$C$1960,0)),"Go to Act"))</f>
        <v/>
      </c>
    </row>
    <row r="120" ht="158" customHeight="1">
      <c r="A120" s="8">
        <f>IF(ISNA(MATCH(107,Engine!$C$2:$C$1960,0)),"",INDEX('Compliance Database'!$A$2:$A$1960,MATCH(107,Engine!$C$2:$C$1960,0)))</f>
        <v/>
      </c>
      <c r="B120" s="8">
        <f>IF(ISNA(MATCH(107,Engine!$C$2:$C$1960,0)),"",INDEX('Compliance Database'!$B$2:$B$1960,MATCH(107,Engine!$C$2:$C$1960,0)))</f>
        <v/>
      </c>
      <c r="C120" s="8">
        <f>IF(ISNA(MATCH(107,Engine!$C$2:$C$1960,0)),"",INDEX('Compliance Database'!$C$2:$C$1960,MATCH(107,Engine!$C$2:$C$1960,0)))</f>
        <v/>
      </c>
      <c r="D120" s="9">
        <f>IF(ISNA(MATCH(107,Engine!$C$2:$C$1960,0)),"",INDEX('Compliance Database'!$D$2:$D$1960,MATCH(107,Engine!$C$2:$C$1960,0)))</f>
        <v/>
      </c>
      <c r="E120" s="8">
        <f>IF(ISNA(MATCH(107,Engine!$C$2:$C$1960,0)),"",INDEX('Compliance Database'!$E$2:$E$1960,MATCH(107,Engine!$C$2:$C$1960,0)))</f>
        <v/>
      </c>
      <c r="F120" s="8">
        <f>IF(ISNA(MATCH(107,Engine!$C$2:$C$1960,0)),"",INDEX('Compliance Database'!$F$2:$F$1960,MATCH(107,Engine!$C$2:$C$1960,0)))</f>
        <v/>
      </c>
      <c r="G120" s="8">
        <f>IF(ISNA(MATCH(107,Engine!$C$2:$C$1960,0)),"",INDEX('Compliance Database'!$G$2:$G$1960,MATCH(107,Engine!$C$2:$C$1960,0)))</f>
        <v/>
      </c>
      <c r="H120" s="9">
        <f>IF(ISNA(MATCH(107,Engine!$C$2:$C$1960,0)),"",INDEX('Compliance Database'!$H$2:$H$1960,MATCH(107,Engine!$C$2:$C$1960,0)))</f>
        <v/>
      </c>
      <c r="I120" s="9">
        <f>IF(ISNA(MATCH(107,Engine!$C$2:$C$1960,0)),"",INDEX('Compliance Database'!$I$2:$I$1960,MATCH(107,Engine!$C$2:$C$1960,0)))</f>
        <v/>
      </c>
      <c r="J120" s="8">
        <f>IF(ISNA(MATCH(107,Engine!$C$2:$C$1960,0)),"",INDEX('Compliance Database'!$J$2:$J$1960,MATCH(107,Engine!$C$2:$C$1960,0)))</f>
        <v/>
      </c>
      <c r="K120" s="9">
        <f>IF(ISNA(MATCH(107,Engine!$C$2:$C$1960,0)),"",INDEX('Compliance Database'!$K$2:$K$1960,MATCH(107,Engine!$C$2:$C$1960,0)))</f>
        <v/>
      </c>
      <c r="L120" s="9">
        <f>IF(ISNA(MATCH(107,Engine!$C$2:$C$1960,0)),"",INDEX('Compliance Database'!$L$2:$L$1960,MATCH(107,Engine!$C$2:$C$1960,0)))</f>
        <v/>
      </c>
      <c r="M120" s="9">
        <f>IF(ISNA(MATCH(107,Engine!$C$2:$C$1960,0)),"",INDEX('Compliance Database'!$M$2:$M$1960,MATCH(107,Engine!$C$2:$C$1960,0)))</f>
        <v/>
      </c>
      <c r="N120" s="9">
        <f>IF(ISNA(MATCH(107,Engine!$C$2:$C$1960,0)),"",INDEX('Compliance Database'!$N$2:$N$1960,MATCH(107,Engine!$C$2:$C$1960,0)))</f>
        <v/>
      </c>
      <c r="O120" s="9">
        <f>IF(ISNA(MATCH(107,Engine!$C$2:$C$1960,0)),"",INDEX('Compliance Database'!$O$2:$O$1960,MATCH(107,Engine!$C$2:$C$1960,0)))</f>
        <v/>
      </c>
      <c r="P120" s="8">
        <f>IF(ISNA(MATCH(107,Engine!$C$2:$C$1960,0)),"",HYPERLINK("#Acts!A"&amp;INDEX('Compliance Database'!$P$2:$P$1960,MATCH(107,Engine!$C$2:$C$1960,0)),"Go to Act"))</f>
        <v/>
      </c>
    </row>
    <row r="121" ht="158" customHeight="1">
      <c r="A121" s="8">
        <f>IF(ISNA(MATCH(108,Engine!$C$2:$C$1960,0)),"",INDEX('Compliance Database'!$A$2:$A$1960,MATCH(108,Engine!$C$2:$C$1960,0)))</f>
        <v/>
      </c>
      <c r="B121" s="8">
        <f>IF(ISNA(MATCH(108,Engine!$C$2:$C$1960,0)),"",INDEX('Compliance Database'!$B$2:$B$1960,MATCH(108,Engine!$C$2:$C$1960,0)))</f>
        <v/>
      </c>
      <c r="C121" s="8">
        <f>IF(ISNA(MATCH(108,Engine!$C$2:$C$1960,0)),"",INDEX('Compliance Database'!$C$2:$C$1960,MATCH(108,Engine!$C$2:$C$1960,0)))</f>
        <v/>
      </c>
      <c r="D121" s="9">
        <f>IF(ISNA(MATCH(108,Engine!$C$2:$C$1960,0)),"",INDEX('Compliance Database'!$D$2:$D$1960,MATCH(108,Engine!$C$2:$C$1960,0)))</f>
        <v/>
      </c>
      <c r="E121" s="8">
        <f>IF(ISNA(MATCH(108,Engine!$C$2:$C$1960,0)),"",INDEX('Compliance Database'!$E$2:$E$1960,MATCH(108,Engine!$C$2:$C$1960,0)))</f>
        <v/>
      </c>
      <c r="F121" s="8">
        <f>IF(ISNA(MATCH(108,Engine!$C$2:$C$1960,0)),"",INDEX('Compliance Database'!$F$2:$F$1960,MATCH(108,Engine!$C$2:$C$1960,0)))</f>
        <v/>
      </c>
      <c r="G121" s="8">
        <f>IF(ISNA(MATCH(108,Engine!$C$2:$C$1960,0)),"",INDEX('Compliance Database'!$G$2:$G$1960,MATCH(108,Engine!$C$2:$C$1960,0)))</f>
        <v/>
      </c>
      <c r="H121" s="9">
        <f>IF(ISNA(MATCH(108,Engine!$C$2:$C$1960,0)),"",INDEX('Compliance Database'!$H$2:$H$1960,MATCH(108,Engine!$C$2:$C$1960,0)))</f>
        <v/>
      </c>
      <c r="I121" s="9">
        <f>IF(ISNA(MATCH(108,Engine!$C$2:$C$1960,0)),"",INDEX('Compliance Database'!$I$2:$I$1960,MATCH(108,Engine!$C$2:$C$1960,0)))</f>
        <v/>
      </c>
      <c r="J121" s="8">
        <f>IF(ISNA(MATCH(108,Engine!$C$2:$C$1960,0)),"",INDEX('Compliance Database'!$J$2:$J$1960,MATCH(108,Engine!$C$2:$C$1960,0)))</f>
        <v/>
      </c>
      <c r="K121" s="9">
        <f>IF(ISNA(MATCH(108,Engine!$C$2:$C$1960,0)),"",INDEX('Compliance Database'!$K$2:$K$1960,MATCH(108,Engine!$C$2:$C$1960,0)))</f>
        <v/>
      </c>
      <c r="L121" s="9">
        <f>IF(ISNA(MATCH(108,Engine!$C$2:$C$1960,0)),"",INDEX('Compliance Database'!$L$2:$L$1960,MATCH(108,Engine!$C$2:$C$1960,0)))</f>
        <v/>
      </c>
      <c r="M121" s="9">
        <f>IF(ISNA(MATCH(108,Engine!$C$2:$C$1960,0)),"",INDEX('Compliance Database'!$M$2:$M$1960,MATCH(108,Engine!$C$2:$C$1960,0)))</f>
        <v/>
      </c>
      <c r="N121" s="9">
        <f>IF(ISNA(MATCH(108,Engine!$C$2:$C$1960,0)),"",INDEX('Compliance Database'!$N$2:$N$1960,MATCH(108,Engine!$C$2:$C$1960,0)))</f>
        <v/>
      </c>
      <c r="O121" s="9">
        <f>IF(ISNA(MATCH(108,Engine!$C$2:$C$1960,0)),"",INDEX('Compliance Database'!$O$2:$O$1960,MATCH(108,Engine!$C$2:$C$1960,0)))</f>
        <v/>
      </c>
      <c r="P121" s="8">
        <f>IF(ISNA(MATCH(108,Engine!$C$2:$C$1960,0)),"",HYPERLINK("#Acts!A"&amp;INDEX('Compliance Database'!$P$2:$P$1960,MATCH(108,Engine!$C$2:$C$1960,0)),"Go to Act"))</f>
        <v/>
      </c>
    </row>
    <row r="122" ht="158" customHeight="1">
      <c r="A122" s="8">
        <f>IF(ISNA(MATCH(109,Engine!$C$2:$C$1960,0)),"",INDEX('Compliance Database'!$A$2:$A$1960,MATCH(109,Engine!$C$2:$C$1960,0)))</f>
        <v/>
      </c>
      <c r="B122" s="8">
        <f>IF(ISNA(MATCH(109,Engine!$C$2:$C$1960,0)),"",INDEX('Compliance Database'!$B$2:$B$1960,MATCH(109,Engine!$C$2:$C$1960,0)))</f>
        <v/>
      </c>
      <c r="C122" s="8">
        <f>IF(ISNA(MATCH(109,Engine!$C$2:$C$1960,0)),"",INDEX('Compliance Database'!$C$2:$C$1960,MATCH(109,Engine!$C$2:$C$1960,0)))</f>
        <v/>
      </c>
      <c r="D122" s="9">
        <f>IF(ISNA(MATCH(109,Engine!$C$2:$C$1960,0)),"",INDEX('Compliance Database'!$D$2:$D$1960,MATCH(109,Engine!$C$2:$C$1960,0)))</f>
        <v/>
      </c>
      <c r="E122" s="8">
        <f>IF(ISNA(MATCH(109,Engine!$C$2:$C$1960,0)),"",INDEX('Compliance Database'!$E$2:$E$1960,MATCH(109,Engine!$C$2:$C$1960,0)))</f>
        <v/>
      </c>
      <c r="F122" s="8">
        <f>IF(ISNA(MATCH(109,Engine!$C$2:$C$1960,0)),"",INDEX('Compliance Database'!$F$2:$F$1960,MATCH(109,Engine!$C$2:$C$1960,0)))</f>
        <v/>
      </c>
      <c r="G122" s="8">
        <f>IF(ISNA(MATCH(109,Engine!$C$2:$C$1960,0)),"",INDEX('Compliance Database'!$G$2:$G$1960,MATCH(109,Engine!$C$2:$C$1960,0)))</f>
        <v/>
      </c>
      <c r="H122" s="9">
        <f>IF(ISNA(MATCH(109,Engine!$C$2:$C$1960,0)),"",INDEX('Compliance Database'!$H$2:$H$1960,MATCH(109,Engine!$C$2:$C$1960,0)))</f>
        <v/>
      </c>
      <c r="I122" s="9">
        <f>IF(ISNA(MATCH(109,Engine!$C$2:$C$1960,0)),"",INDEX('Compliance Database'!$I$2:$I$1960,MATCH(109,Engine!$C$2:$C$1960,0)))</f>
        <v/>
      </c>
      <c r="J122" s="8">
        <f>IF(ISNA(MATCH(109,Engine!$C$2:$C$1960,0)),"",INDEX('Compliance Database'!$J$2:$J$1960,MATCH(109,Engine!$C$2:$C$1960,0)))</f>
        <v/>
      </c>
      <c r="K122" s="9">
        <f>IF(ISNA(MATCH(109,Engine!$C$2:$C$1960,0)),"",INDEX('Compliance Database'!$K$2:$K$1960,MATCH(109,Engine!$C$2:$C$1960,0)))</f>
        <v/>
      </c>
      <c r="L122" s="9">
        <f>IF(ISNA(MATCH(109,Engine!$C$2:$C$1960,0)),"",INDEX('Compliance Database'!$L$2:$L$1960,MATCH(109,Engine!$C$2:$C$1960,0)))</f>
        <v/>
      </c>
      <c r="M122" s="9">
        <f>IF(ISNA(MATCH(109,Engine!$C$2:$C$1960,0)),"",INDEX('Compliance Database'!$M$2:$M$1960,MATCH(109,Engine!$C$2:$C$1960,0)))</f>
        <v/>
      </c>
      <c r="N122" s="9">
        <f>IF(ISNA(MATCH(109,Engine!$C$2:$C$1960,0)),"",INDEX('Compliance Database'!$N$2:$N$1960,MATCH(109,Engine!$C$2:$C$1960,0)))</f>
        <v/>
      </c>
      <c r="O122" s="9">
        <f>IF(ISNA(MATCH(109,Engine!$C$2:$C$1960,0)),"",INDEX('Compliance Database'!$O$2:$O$1960,MATCH(109,Engine!$C$2:$C$1960,0)))</f>
        <v/>
      </c>
      <c r="P122" s="8">
        <f>IF(ISNA(MATCH(109,Engine!$C$2:$C$1960,0)),"",HYPERLINK("#Acts!A"&amp;INDEX('Compliance Database'!$P$2:$P$1960,MATCH(109,Engine!$C$2:$C$1960,0)),"Go to Act"))</f>
        <v/>
      </c>
    </row>
    <row r="123" ht="158" customHeight="1">
      <c r="A123" s="8">
        <f>IF(ISNA(MATCH(110,Engine!$C$2:$C$1960,0)),"",INDEX('Compliance Database'!$A$2:$A$1960,MATCH(110,Engine!$C$2:$C$1960,0)))</f>
        <v/>
      </c>
      <c r="B123" s="8">
        <f>IF(ISNA(MATCH(110,Engine!$C$2:$C$1960,0)),"",INDEX('Compliance Database'!$B$2:$B$1960,MATCH(110,Engine!$C$2:$C$1960,0)))</f>
        <v/>
      </c>
      <c r="C123" s="8">
        <f>IF(ISNA(MATCH(110,Engine!$C$2:$C$1960,0)),"",INDEX('Compliance Database'!$C$2:$C$1960,MATCH(110,Engine!$C$2:$C$1960,0)))</f>
        <v/>
      </c>
      <c r="D123" s="9">
        <f>IF(ISNA(MATCH(110,Engine!$C$2:$C$1960,0)),"",INDEX('Compliance Database'!$D$2:$D$1960,MATCH(110,Engine!$C$2:$C$1960,0)))</f>
        <v/>
      </c>
      <c r="E123" s="8">
        <f>IF(ISNA(MATCH(110,Engine!$C$2:$C$1960,0)),"",INDEX('Compliance Database'!$E$2:$E$1960,MATCH(110,Engine!$C$2:$C$1960,0)))</f>
        <v/>
      </c>
      <c r="F123" s="8">
        <f>IF(ISNA(MATCH(110,Engine!$C$2:$C$1960,0)),"",INDEX('Compliance Database'!$F$2:$F$1960,MATCH(110,Engine!$C$2:$C$1960,0)))</f>
        <v/>
      </c>
      <c r="G123" s="8">
        <f>IF(ISNA(MATCH(110,Engine!$C$2:$C$1960,0)),"",INDEX('Compliance Database'!$G$2:$G$1960,MATCH(110,Engine!$C$2:$C$1960,0)))</f>
        <v/>
      </c>
      <c r="H123" s="9">
        <f>IF(ISNA(MATCH(110,Engine!$C$2:$C$1960,0)),"",INDEX('Compliance Database'!$H$2:$H$1960,MATCH(110,Engine!$C$2:$C$1960,0)))</f>
        <v/>
      </c>
      <c r="I123" s="9">
        <f>IF(ISNA(MATCH(110,Engine!$C$2:$C$1960,0)),"",INDEX('Compliance Database'!$I$2:$I$1960,MATCH(110,Engine!$C$2:$C$1960,0)))</f>
        <v/>
      </c>
      <c r="J123" s="8">
        <f>IF(ISNA(MATCH(110,Engine!$C$2:$C$1960,0)),"",INDEX('Compliance Database'!$J$2:$J$1960,MATCH(110,Engine!$C$2:$C$1960,0)))</f>
        <v/>
      </c>
      <c r="K123" s="9">
        <f>IF(ISNA(MATCH(110,Engine!$C$2:$C$1960,0)),"",INDEX('Compliance Database'!$K$2:$K$1960,MATCH(110,Engine!$C$2:$C$1960,0)))</f>
        <v/>
      </c>
      <c r="L123" s="9">
        <f>IF(ISNA(MATCH(110,Engine!$C$2:$C$1960,0)),"",INDEX('Compliance Database'!$L$2:$L$1960,MATCH(110,Engine!$C$2:$C$1960,0)))</f>
        <v/>
      </c>
      <c r="M123" s="9">
        <f>IF(ISNA(MATCH(110,Engine!$C$2:$C$1960,0)),"",INDEX('Compliance Database'!$M$2:$M$1960,MATCH(110,Engine!$C$2:$C$1960,0)))</f>
        <v/>
      </c>
      <c r="N123" s="9">
        <f>IF(ISNA(MATCH(110,Engine!$C$2:$C$1960,0)),"",INDEX('Compliance Database'!$N$2:$N$1960,MATCH(110,Engine!$C$2:$C$1960,0)))</f>
        <v/>
      </c>
      <c r="O123" s="9">
        <f>IF(ISNA(MATCH(110,Engine!$C$2:$C$1960,0)),"",INDEX('Compliance Database'!$O$2:$O$1960,MATCH(110,Engine!$C$2:$C$1960,0)))</f>
        <v/>
      </c>
      <c r="P123" s="8">
        <f>IF(ISNA(MATCH(110,Engine!$C$2:$C$1960,0)),"",HYPERLINK("#Acts!A"&amp;INDEX('Compliance Database'!$P$2:$P$1960,MATCH(110,Engine!$C$2:$C$1960,0)),"Go to Act"))</f>
        <v/>
      </c>
    </row>
    <row r="124" ht="158" customHeight="1">
      <c r="A124" s="8">
        <f>IF(ISNA(MATCH(111,Engine!$C$2:$C$1960,0)),"",INDEX('Compliance Database'!$A$2:$A$1960,MATCH(111,Engine!$C$2:$C$1960,0)))</f>
        <v/>
      </c>
      <c r="B124" s="8">
        <f>IF(ISNA(MATCH(111,Engine!$C$2:$C$1960,0)),"",INDEX('Compliance Database'!$B$2:$B$1960,MATCH(111,Engine!$C$2:$C$1960,0)))</f>
        <v/>
      </c>
      <c r="C124" s="8">
        <f>IF(ISNA(MATCH(111,Engine!$C$2:$C$1960,0)),"",INDEX('Compliance Database'!$C$2:$C$1960,MATCH(111,Engine!$C$2:$C$1960,0)))</f>
        <v/>
      </c>
      <c r="D124" s="9">
        <f>IF(ISNA(MATCH(111,Engine!$C$2:$C$1960,0)),"",INDEX('Compliance Database'!$D$2:$D$1960,MATCH(111,Engine!$C$2:$C$1960,0)))</f>
        <v/>
      </c>
      <c r="E124" s="8">
        <f>IF(ISNA(MATCH(111,Engine!$C$2:$C$1960,0)),"",INDEX('Compliance Database'!$E$2:$E$1960,MATCH(111,Engine!$C$2:$C$1960,0)))</f>
        <v/>
      </c>
      <c r="F124" s="8">
        <f>IF(ISNA(MATCH(111,Engine!$C$2:$C$1960,0)),"",INDEX('Compliance Database'!$F$2:$F$1960,MATCH(111,Engine!$C$2:$C$1960,0)))</f>
        <v/>
      </c>
      <c r="G124" s="8">
        <f>IF(ISNA(MATCH(111,Engine!$C$2:$C$1960,0)),"",INDEX('Compliance Database'!$G$2:$G$1960,MATCH(111,Engine!$C$2:$C$1960,0)))</f>
        <v/>
      </c>
      <c r="H124" s="9">
        <f>IF(ISNA(MATCH(111,Engine!$C$2:$C$1960,0)),"",INDEX('Compliance Database'!$H$2:$H$1960,MATCH(111,Engine!$C$2:$C$1960,0)))</f>
        <v/>
      </c>
      <c r="I124" s="9">
        <f>IF(ISNA(MATCH(111,Engine!$C$2:$C$1960,0)),"",INDEX('Compliance Database'!$I$2:$I$1960,MATCH(111,Engine!$C$2:$C$1960,0)))</f>
        <v/>
      </c>
      <c r="J124" s="8">
        <f>IF(ISNA(MATCH(111,Engine!$C$2:$C$1960,0)),"",INDEX('Compliance Database'!$J$2:$J$1960,MATCH(111,Engine!$C$2:$C$1960,0)))</f>
        <v/>
      </c>
      <c r="K124" s="9">
        <f>IF(ISNA(MATCH(111,Engine!$C$2:$C$1960,0)),"",INDEX('Compliance Database'!$K$2:$K$1960,MATCH(111,Engine!$C$2:$C$1960,0)))</f>
        <v/>
      </c>
      <c r="L124" s="9">
        <f>IF(ISNA(MATCH(111,Engine!$C$2:$C$1960,0)),"",INDEX('Compliance Database'!$L$2:$L$1960,MATCH(111,Engine!$C$2:$C$1960,0)))</f>
        <v/>
      </c>
      <c r="M124" s="9">
        <f>IF(ISNA(MATCH(111,Engine!$C$2:$C$1960,0)),"",INDEX('Compliance Database'!$M$2:$M$1960,MATCH(111,Engine!$C$2:$C$1960,0)))</f>
        <v/>
      </c>
      <c r="N124" s="9">
        <f>IF(ISNA(MATCH(111,Engine!$C$2:$C$1960,0)),"",INDEX('Compliance Database'!$N$2:$N$1960,MATCH(111,Engine!$C$2:$C$1960,0)))</f>
        <v/>
      </c>
      <c r="O124" s="9">
        <f>IF(ISNA(MATCH(111,Engine!$C$2:$C$1960,0)),"",INDEX('Compliance Database'!$O$2:$O$1960,MATCH(111,Engine!$C$2:$C$1960,0)))</f>
        <v/>
      </c>
      <c r="P124" s="8">
        <f>IF(ISNA(MATCH(111,Engine!$C$2:$C$1960,0)),"",HYPERLINK("#Acts!A"&amp;INDEX('Compliance Database'!$P$2:$P$1960,MATCH(111,Engine!$C$2:$C$1960,0)),"Go to Act"))</f>
        <v/>
      </c>
    </row>
    <row r="125" ht="158" customHeight="1">
      <c r="A125" s="8">
        <f>IF(ISNA(MATCH(112,Engine!$C$2:$C$1960,0)),"",INDEX('Compliance Database'!$A$2:$A$1960,MATCH(112,Engine!$C$2:$C$1960,0)))</f>
        <v/>
      </c>
      <c r="B125" s="8">
        <f>IF(ISNA(MATCH(112,Engine!$C$2:$C$1960,0)),"",INDEX('Compliance Database'!$B$2:$B$1960,MATCH(112,Engine!$C$2:$C$1960,0)))</f>
        <v/>
      </c>
      <c r="C125" s="8">
        <f>IF(ISNA(MATCH(112,Engine!$C$2:$C$1960,0)),"",INDEX('Compliance Database'!$C$2:$C$1960,MATCH(112,Engine!$C$2:$C$1960,0)))</f>
        <v/>
      </c>
      <c r="D125" s="9">
        <f>IF(ISNA(MATCH(112,Engine!$C$2:$C$1960,0)),"",INDEX('Compliance Database'!$D$2:$D$1960,MATCH(112,Engine!$C$2:$C$1960,0)))</f>
        <v/>
      </c>
      <c r="E125" s="8">
        <f>IF(ISNA(MATCH(112,Engine!$C$2:$C$1960,0)),"",INDEX('Compliance Database'!$E$2:$E$1960,MATCH(112,Engine!$C$2:$C$1960,0)))</f>
        <v/>
      </c>
      <c r="F125" s="8">
        <f>IF(ISNA(MATCH(112,Engine!$C$2:$C$1960,0)),"",INDEX('Compliance Database'!$F$2:$F$1960,MATCH(112,Engine!$C$2:$C$1960,0)))</f>
        <v/>
      </c>
      <c r="G125" s="8">
        <f>IF(ISNA(MATCH(112,Engine!$C$2:$C$1960,0)),"",INDEX('Compliance Database'!$G$2:$G$1960,MATCH(112,Engine!$C$2:$C$1960,0)))</f>
        <v/>
      </c>
      <c r="H125" s="9">
        <f>IF(ISNA(MATCH(112,Engine!$C$2:$C$1960,0)),"",INDEX('Compliance Database'!$H$2:$H$1960,MATCH(112,Engine!$C$2:$C$1960,0)))</f>
        <v/>
      </c>
      <c r="I125" s="9">
        <f>IF(ISNA(MATCH(112,Engine!$C$2:$C$1960,0)),"",INDEX('Compliance Database'!$I$2:$I$1960,MATCH(112,Engine!$C$2:$C$1960,0)))</f>
        <v/>
      </c>
      <c r="J125" s="8">
        <f>IF(ISNA(MATCH(112,Engine!$C$2:$C$1960,0)),"",INDEX('Compliance Database'!$J$2:$J$1960,MATCH(112,Engine!$C$2:$C$1960,0)))</f>
        <v/>
      </c>
      <c r="K125" s="9">
        <f>IF(ISNA(MATCH(112,Engine!$C$2:$C$1960,0)),"",INDEX('Compliance Database'!$K$2:$K$1960,MATCH(112,Engine!$C$2:$C$1960,0)))</f>
        <v/>
      </c>
      <c r="L125" s="9">
        <f>IF(ISNA(MATCH(112,Engine!$C$2:$C$1960,0)),"",INDEX('Compliance Database'!$L$2:$L$1960,MATCH(112,Engine!$C$2:$C$1960,0)))</f>
        <v/>
      </c>
      <c r="M125" s="9">
        <f>IF(ISNA(MATCH(112,Engine!$C$2:$C$1960,0)),"",INDEX('Compliance Database'!$M$2:$M$1960,MATCH(112,Engine!$C$2:$C$1960,0)))</f>
        <v/>
      </c>
      <c r="N125" s="9">
        <f>IF(ISNA(MATCH(112,Engine!$C$2:$C$1960,0)),"",INDEX('Compliance Database'!$N$2:$N$1960,MATCH(112,Engine!$C$2:$C$1960,0)))</f>
        <v/>
      </c>
      <c r="O125" s="9">
        <f>IF(ISNA(MATCH(112,Engine!$C$2:$C$1960,0)),"",INDEX('Compliance Database'!$O$2:$O$1960,MATCH(112,Engine!$C$2:$C$1960,0)))</f>
        <v/>
      </c>
      <c r="P125" s="8">
        <f>IF(ISNA(MATCH(112,Engine!$C$2:$C$1960,0)),"",HYPERLINK("#Acts!A"&amp;INDEX('Compliance Database'!$P$2:$P$1960,MATCH(112,Engine!$C$2:$C$1960,0)),"Go to Act"))</f>
        <v/>
      </c>
    </row>
    <row r="126" ht="158" customHeight="1">
      <c r="A126" s="8">
        <f>IF(ISNA(MATCH(113,Engine!$C$2:$C$1960,0)),"",INDEX('Compliance Database'!$A$2:$A$1960,MATCH(113,Engine!$C$2:$C$1960,0)))</f>
        <v/>
      </c>
      <c r="B126" s="8">
        <f>IF(ISNA(MATCH(113,Engine!$C$2:$C$1960,0)),"",INDEX('Compliance Database'!$B$2:$B$1960,MATCH(113,Engine!$C$2:$C$1960,0)))</f>
        <v/>
      </c>
      <c r="C126" s="8">
        <f>IF(ISNA(MATCH(113,Engine!$C$2:$C$1960,0)),"",INDEX('Compliance Database'!$C$2:$C$1960,MATCH(113,Engine!$C$2:$C$1960,0)))</f>
        <v/>
      </c>
      <c r="D126" s="9">
        <f>IF(ISNA(MATCH(113,Engine!$C$2:$C$1960,0)),"",INDEX('Compliance Database'!$D$2:$D$1960,MATCH(113,Engine!$C$2:$C$1960,0)))</f>
        <v/>
      </c>
      <c r="E126" s="8">
        <f>IF(ISNA(MATCH(113,Engine!$C$2:$C$1960,0)),"",INDEX('Compliance Database'!$E$2:$E$1960,MATCH(113,Engine!$C$2:$C$1960,0)))</f>
        <v/>
      </c>
      <c r="F126" s="8">
        <f>IF(ISNA(MATCH(113,Engine!$C$2:$C$1960,0)),"",INDEX('Compliance Database'!$F$2:$F$1960,MATCH(113,Engine!$C$2:$C$1960,0)))</f>
        <v/>
      </c>
      <c r="G126" s="8">
        <f>IF(ISNA(MATCH(113,Engine!$C$2:$C$1960,0)),"",INDEX('Compliance Database'!$G$2:$G$1960,MATCH(113,Engine!$C$2:$C$1960,0)))</f>
        <v/>
      </c>
      <c r="H126" s="9">
        <f>IF(ISNA(MATCH(113,Engine!$C$2:$C$1960,0)),"",INDEX('Compliance Database'!$H$2:$H$1960,MATCH(113,Engine!$C$2:$C$1960,0)))</f>
        <v/>
      </c>
      <c r="I126" s="9">
        <f>IF(ISNA(MATCH(113,Engine!$C$2:$C$1960,0)),"",INDEX('Compliance Database'!$I$2:$I$1960,MATCH(113,Engine!$C$2:$C$1960,0)))</f>
        <v/>
      </c>
      <c r="J126" s="8">
        <f>IF(ISNA(MATCH(113,Engine!$C$2:$C$1960,0)),"",INDEX('Compliance Database'!$J$2:$J$1960,MATCH(113,Engine!$C$2:$C$1960,0)))</f>
        <v/>
      </c>
      <c r="K126" s="9">
        <f>IF(ISNA(MATCH(113,Engine!$C$2:$C$1960,0)),"",INDEX('Compliance Database'!$K$2:$K$1960,MATCH(113,Engine!$C$2:$C$1960,0)))</f>
        <v/>
      </c>
      <c r="L126" s="9">
        <f>IF(ISNA(MATCH(113,Engine!$C$2:$C$1960,0)),"",INDEX('Compliance Database'!$L$2:$L$1960,MATCH(113,Engine!$C$2:$C$1960,0)))</f>
        <v/>
      </c>
      <c r="M126" s="9">
        <f>IF(ISNA(MATCH(113,Engine!$C$2:$C$1960,0)),"",INDEX('Compliance Database'!$M$2:$M$1960,MATCH(113,Engine!$C$2:$C$1960,0)))</f>
        <v/>
      </c>
      <c r="N126" s="9">
        <f>IF(ISNA(MATCH(113,Engine!$C$2:$C$1960,0)),"",INDEX('Compliance Database'!$N$2:$N$1960,MATCH(113,Engine!$C$2:$C$1960,0)))</f>
        <v/>
      </c>
      <c r="O126" s="9">
        <f>IF(ISNA(MATCH(113,Engine!$C$2:$C$1960,0)),"",INDEX('Compliance Database'!$O$2:$O$1960,MATCH(113,Engine!$C$2:$C$1960,0)))</f>
        <v/>
      </c>
      <c r="P126" s="8">
        <f>IF(ISNA(MATCH(113,Engine!$C$2:$C$1960,0)),"",HYPERLINK("#Acts!A"&amp;INDEX('Compliance Database'!$P$2:$P$1960,MATCH(113,Engine!$C$2:$C$1960,0)),"Go to Act"))</f>
        <v/>
      </c>
    </row>
    <row r="127" ht="158" customHeight="1">
      <c r="A127" s="8">
        <f>IF(ISNA(MATCH(114,Engine!$C$2:$C$1960,0)),"",INDEX('Compliance Database'!$A$2:$A$1960,MATCH(114,Engine!$C$2:$C$1960,0)))</f>
        <v/>
      </c>
      <c r="B127" s="8">
        <f>IF(ISNA(MATCH(114,Engine!$C$2:$C$1960,0)),"",INDEX('Compliance Database'!$B$2:$B$1960,MATCH(114,Engine!$C$2:$C$1960,0)))</f>
        <v/>
      </c>
      <c r="C127" s="8">
        <f>IF(ISNA(MATCH(114,Engine!$C$2:$C$1960,0)),"",INDEX('Compliance Database'!$C$2:$C$1960,MATCH(114,Engine!$C$2:$C$1960,0)))</f>
        <v/>
      </c>
      <c r="D127" s="9">
        <f>IF(ISNA(MATCH(114,Engine!$C$2:$C$1960,0)),"",INDEX('Compliance Database'!$D$2:$D$1960,MATCH(114,Engine!$C$2:$C$1960,0)))</f>
        <v/>
      </c>
      <c r="E127" s="8">
        <f>IF(ISNA(MATCH(114,Engine!$C$2:$C$1960,0)),"",INDEX('Compliance Database'!$E$2:$E$1960,MATCH(114,Engine!$C$2:$C$1960,0)))</f>
        <v/>
      </c>
      <c r="F127" s="8">
        <f>IF(ISNA(MATCH(114,Engine!$C$2:$C$1960,0)),"",INDEX('Compliance Database'!$F$2:$F$1960,MATCH(114,Engine!$C$2:$C$1960,0)))</f>
        <v/>
      </c>
      <c r="G127" s="8">
        <f>IF(ISNA(MATCH(114,Engine!$C$2:$C$1960,0)),"",INDEX('Compliance Database'!$G$2:$G$1960,MATCH(114,Engine!$C$2:$C$1960,0)))</f>
        <v/>
      </c>
      <c r="H127" s="9">
        <f>IF(ISNA(MATCH(114,Engine!$C$2:$C$1960,0)),"",INDEX('Compliance Database'!$H$2:$H$1960,MATCH(114,Engine!$C$2:$C$1960,0)))</f>
        <v/>
      </c>
      <c r="I127" s="9">
        <f>IF(ISNA(MATCH(114,Engine!$C$2:$C$1960,0)),"",INDEX('Compliance Database'!$I$2:$I$1960,MATCH(114,Engine!$C$2:$C$1960,0)))</f>
        <v/>
      </c>
      <c r="J127" s="8">
        <f>IF(ISNA(MATCH(114,Engine!$C$2:$C$1960,0)),"",INDEX('Compliance Database'!$J$2:$J$1960,MATCH(114,Engine!$C$2:$C$1960,0)))</f>
        <v/>
      </c>
      <c r="K127" s="9">
        <f>IF(ISNA(MATCH(114,Engine!$C$2:$C$1960,0)),"",INDEX('Compliance Database'!$K$2:$K$1960,MATCH(114,Engine!$C$2:$C$1960,0)))</f>
        <v/>
      </c>
      <c r="L127" s="9">
        <f>IF(ISNA(MATCH(114,Engine!$C$2:$C$1960,0)),"",INDEX('Compliance Database'!$L$2:$L$1960,MATCH(114,Engine!$C$2:$C$1960,0)))</f>
        <v/>
      </c>
      <c r="M127" s="9">
        <f>IF(ISNA(MATCH(114,Engine!$C$2:$C$1960,0)),"",INDEX('Compliance Database'!$M$2:$M$1960,MATCH(114,Engine!$C$2:$C$1960,0)))</f>
        <v/>
      </c>
      <c r="N127" s="9">
        <f>IF(ISNA(MATCH(114,Engine!$C$2:$C$1960,0)),"",INDEX('Compliance Database'!$N$2:$N$1960,MATCH(114,Engine!$C$2:$C$1960,0)))</f>
        <v/>
      </c>
      <c r="O127" s="9">
        <f>IF(ISNA(MATCH(114,Engine!$C$2:$C$1960,0)),"",INDEX('Compliance Database'!$O$2:$O$1960,MATCH(114,Engine!$C$2:$C$1960,0)))</f>
        <v/>
      </c>
      <c r="P127" s="8">
        <f>IF(ISNA(MATCH(114,Engine!$C$2:$C$1960,0)),"",HYPERLINK("#Acts!A"&amp;INDEX('Compliance Database'!$P$2:$P$1960,MATCH(114,Engine!$C$2:$C$1960,0)),"Go to Act"))</f>
        <v/>
      </c>
    </row>
    <row r="128" ht="158" customHeight="1">
      <c r="A128" s="8">
        <f>IF(ISNA(MATCH(115,Engine!$C$2:$C$1960,0)),"",INDEX('Compliance Database'!$A$2:$A$1960,MATCH(115,Engine!$C$2:$C$1960,0)))</f>
        <v/>
      </c>
      <c r="B128" s="8">
        <f>IF(ISNA(MATCH(115,Engine!$C$2:$C$1960,0)),"",INDEX('Compliance Database'!$B$2:$B$1960,MATCH(115,Engine!$C$2:$C$1960,0)))</f>
        <v/>
      </c>
      <c r="C128" s="8">
        <f>IF(ISNA(MATCH(115,Engine!$C$2:$C$1960,0)),"",INDEX('Compliance Database'!$C$2:$C$1960,MATCH(115,Engine!$C$2:$C$1960,0)))</f>
        <v/>
      </c>
      <c r="D128" s="9">
        <f>IF(ISNA(MATCH(115,Engine!$C$2:$C$1960,0)),"",INDEX('Compliance Database'!$D$2:$D$1960,MATCH(115,Engine!$C$2:$C$1960,0)))</f>
        <v/>
      </c>
      <c r="E128" s="8">
        <f>IF(ISNA(MATCH(115,Engine!$C$2:$C$1960,0)),"",INDEX('Compliance Database'!$E$2:$E$1960,MATCH(115,Engine!$C$2:$C$1960,0)))</f>
        <v/>
      </c>
      <c r="F128" s="8">
        <f>IF(ISNA(MATCH(115,Engine!$C$2:$C$1960,0)),"",INDEX('Compliance Database'!$F$2:$F$1960,MATCH(115,Engine!$C$2:$C$1960,0)))</f>
        <v/>
      </c>
      <c r="G128" s="8">
        <f>IF(ISNA(MATCH(115,Engine!$C$2:$C$1960,0)),"",INDEX('Compliance Database'!$G$2:$G$1960,MATCH(115,Engine!$C$2:$C$1960,0)))</f>
        <v/>
      </c>
      <c r="H128" s="9">
        <f>IF(ISNA(MATCH(115,Engine!$C$2:$C$1960,0)),"",INDEX('Compliance Database'!$H$2:$H$1960,MATCH(115,Engine!$C$2:$C$1960,0)))</f>
        <v/>
      </c>
      <c r="I128" s="9">
        <f>IF(ISNA(MATCH(115,Engine!$C$2:$C$1960,0)),"",INDEX('Compliance Database'!$I$2:$I$1960,MATCH(115,Engine!$C$2:$C$1960,0)))</f>
        <v/>
      </c>
      <c r="J128" s="8">
        <f>IF(ISNA(MATCH(115,Engine!$C$2:$C$1960,0)),"",INDEX('Compliance Database'!$J$2:$J$1960,MATCH(115,Engine!$C$2:$C$1960,0)))</f>
        <v/>
      </c>
      <c r="K128" s="9">
        <f>IF(ISNA(MATCH(115,Engine!$C$2:$C$1960,0)),"",INDEX('Compliance Database'!$K$2:$K$1960,MATCH(115,Engine!$C$2:$C$1960,0)))</f>
        <v/>
      </c>
      <c r="L128" s="9">
        <f>IF(ISNA(MATCH(115,Engine!$C$2:$C$1960,0)),"",INDEX('Compliance Database'!$L$2:$L$1960,MATCH(115,Engine!$C$2:$C$1960,0)))</f>
        <v/>
      </c>
      <c r="M128" s="9">
        <f>IF(ISNA(MATCH(115,Engine!$C$2:$C$1960,0)),"",INDEX('Compliance Database'!$M$2:$M$1960,MATCH(115,Engine!$C$2:$C$1960,0)))</f>
        <v/>
      </c>
      <c r="N128" s="9">
        <f>IF(ISNA(MATCH(115,Engine!$C$2:$C$1960,0)),"",INDEX('Compliance Database'!$N$2:$N$1960,MATCH(115,Engine!$C$2:$C$1960,0)))</f>
        <v/>
      </c>
      <c r="O128" s="9">
        <f>IF(ISNA(MATCH(115,Engine!$C$2:$C$1960,0)),"",INDEX('Compliance Database'!$O$2:$O$1960,MATCH(115,Engine!$C$2:$C$1960,0)))</f>
        <v/>
      </c>
      <c r="P128" s="8">
        <f>IF(ISNA(MATCH(115,Engine!$C$2:$C$1960,0)),"",HYPERLINK("#Acts!A"&amp;INDEX('Compliance Database'!$P$2:$P$1960,MATCH(115,Engine!$C$2:$C$1960,0)),"Go to Act"))</f>
        <v/>
      </c>
    </row>
    <row r="129" ht="158" customHeight="1">
      <c r="A129" s="8">
        <f>IF(ISNA(MATCH(116,Engine!$C$2:$C$1960,0)),"",INDEX('Compliance Database'!$A$2:$A$1960,MATCH(116,Engine!$C$2:$C$1960,0)))</f>
        <v/>
      </c>
      <c r="B129" s="8">
        <f>IF(ISNA(MATCH(116,Engine!$C$2:$C$1960,0)),"",INDEX('Compliance Database'!$B$2:$B$1960,MATCH(116,Engine!$C$2:$C$1960,0)))</f>
        <v/>
      </c>
      <c r="C129" s="8">
        <f>IF(ISNA(MATCH(116,Engine!$C$2:$C$1960,0)),"",INDEX('Compliance Database'!$C$2:$C$1960,MATCH(116,Engine!$C$2:$C$1960,0)))</f>
        <v/>
      </c>
      <c r="D129" s="9">
        <f>IF(ISNA(MATCH(116,Engine!$C$2:$C$1960,0)),"",INDEX('Compliance Database'!$D$2:$D$1960,MATCH(116,Engine!$C$2:$C$1960,0)))</f>
        <v/>
      </c>
      <c r="E129" s="8">
        <f>IF(ISNA(MATCH(116,Engine!$C$2:$C$1960,0)),"",INDEX('Compliance Database'!$E$2:$E$1960,MATCH(116,Engine!$C$2:$C$1960,0)))</f>
        <v/>
      </c>
      <c r="F129" s="8">
        <f>IF(ISNA(MATCH(116,Engine!$C$2:$C$1960,0)),"",INDEX('Compliance Database'!$F$2:$F$1960,MATCH(116,Engine!$C$2:$C$1960,0)))</f>
        <v/>
      </c>
      <c r="G129" s="8">
        <f>IF(ISNA(MATCH(116,Engine!$C$2:$C$1960,0)),"",INDEX('Compliance Database'!$G$2:$G$1960,MATCH(116,Engine!$C$2:$C$1960,0)))</f>
        <v/>
      </c>
      <c r="H129" s="9">
        <f>IF(ISNA(MATCH(116,Engine!$C$2:$C$1960,0)),"",INDEX('Compliance Database'!$H$2:$H$1960,MATCH(116,Engine!$C$2:$C$1960,0)))</f>
        <v/>
      </c>
      <c r="I129" s="9">
        <f>IF(ISNA(MATCH(116,Engine!$C$2:$C$1960,0)),"",INDEX('Compliance Database'!$I$2:$I$1960,MATCH(116,Engine!$C$2:$C$1960,0)))</f>
        <v/>
      </c>
      <c r="J129" s="8">
        <f>IF(ISNA(MATCH(116,Engine!$C$2:$C$1960,0)),"",INDEX('Compliance Database'!$J$2:$J$1960,MATCH(116,Engine!$C$2:$C$1960,0)))</f>
        <v/>
      </c>
      <c r="K129" s="9">
        <f>IF(ISNA(MATCH(116,Engine!$C$2:$C$1960,0)),"",INDEX('Compliance Database'!$K$2:$K$1960,MATCH(116,Engine!$C$2:$C$1960,0)))</f>
        <v/>
      </c>
      <c r="L129" s="9">
        <f>IF(ISNA(MATCH(116,Engine!$C$2:$C$1960,0)),"",INDEX('Compliance Database'!$L$2:$L$1960,MATCH(116,Engine!$C$2:$C$1960,0)))</f>
        <v/>
      </c>
      <c r="M129" s="9">
        <f>IF(ISNA(MATCH(116,Engine!$C$2:$C$1960,0)),"",INDEX('Compliance Database'!$M$2:$M$1960,MATCH(116,Engine!$C$2:$C$1960,0)))</f>
        <v/>
      </c>
      <c r="N129" s="9">
        <f>IF(ISNA(MATCH(116,Engine!$C$2:$C$1960,0)),"",INDEX('Compliance Database'!$N$2:$N$1960,MATCH(116,Engine!$C$2:$C$1960,0)))</f>
        <v/>
      </c>
      <c r="O129" s="9">
        <f>IF(ISNA(MATCH(116,Engine!$C$2:$C$1960,0)),"",INDEX('Compliance Database'!$O$2:$O$1960,MATCH(116,Engine!$C$2:$C$1960,0)))</f>
        <v/>
      </c>
      <c r="P129" s="8">
        <f>IF(ISNA(MATCH(116,Engine!$C$2:$C$1960,0)),"",HYPERLINK("#Acts!A"&amp;INDEX('Compliance Database'!$P$2:$P$1960,MATCH(116,Engine!$C$2:$C$1960,0)),"Go to Act"))</f>
        <v/>
      </c>
    </row>
    <row r="130" ht="158" customHeight="1">
      <c r="A130" s="8">
        <f>IF(ISNA(MATCH(117,Engine!$C$2:$C$1960,0)),"",INDEX('Compliance Database'!$A$2:$A$1960,MATCH(117,Engine!$C$2:$C$1960,0)))</f>
        <v/>
      </c>
      <c r="B130" s="8">
        <f>IF(ISNA(MATCH(117,Engine!$C$2:$C$1960,0)),"",INDEX('Compliance Database'!$B$2:$B$1960,MATCH(117,Engine!$C$2:$C$1960,0)))</f>
        <v/>
      </c>
      <c r="C130" s="8">
        <f>IF(ISNA(MATCH(117,Engine!$C$2:$C$1960,0)),"",INDEX('Compliance Database'!$C$2:$C$1960,MATCH(117,Engine!$C$2:$C$1960,0)))</f>
        <v/>
      </c>
      <c r="D130" s="9">
        <f>IF(ISNA(MATCH(117,Engine!$C$2:$C$1960,0)),"",INDEX('Compliance Database'!$D$2:$D$1960,MATCH(117,Engine!$C$2:$C$1960,0)))</f>
        <v/>
      </c>
      <c r="E130" s="8">
        <f>IF(ISNA(MATCH(117,Engine!$C$2:$C$1960,0)),"",INDEX('Compliance Database'!$E$2:$E$1960,MATCH(117,Engine!$C$2:$C$1960,0)))</f>
        <v/>
      </c>
      <c r="F130" s="8">
        <f>IF(ISNA(MATCH(117,Engine!$C$2:$C$1960,0)),"",INDEX('Compliance Database'!$F$2:$F$1960,MATCH(117,Engine!$C$2:$C$1960,0)))</f>
        <v/>
      </c>
      <c r="G130" s="8">
        <f>IF(ISNA(MATCH(117,Engine!$C$2:$C$1960,0)),"",INDEX('Compliance Database'!$G$2:$G$1960,MATCH(117,Engine!$C$2:$C$1960,0)))</f>
        <v/>
      </c>
      <c r="H130" s="9">
        <f>IF(ISNA(MATCH(117,Engine!$C$2:$C$1960,0)),"",INDEX('Compliance Database'!$H$2:$H$1960,MATCH(117,Engine!$C$2:$C$1960,0)))</f>
        <v/>
      </c>
      <c r="I130" s="9">
        <f>IF(ISNA(MATCH(117,Engine!$C$2:$C$1960,0)),"",INDEX('Compliance Database'!$I$2:$I$1960,MATCH(117,Engine!$C$2:$C$1960,0)))</f>
        <v/>
      </c>
      <c r="J130" s="8">
        <f>IF(ISNA(MATCH(117,Engine!$C$2:$C$1960,0)),"",INDEX('Compliance Database'!$J$2:$J$1960,MATCH(117,Engine!$C$2:$C$1960,0)))</f>
        <v/>
      </c>
      <c r="K130" s="9">
        <f>IF(ISNA(MATCH(117,Engine!$C$2:$C$1960,0)),"",INDEX('Compliance Database'!$K$2:$K$1960,MATCH(117,Engine!$C$2:$C$1960,0)))</f>
        <v/>
      </c>
      <c r="L130" s="9">
        <f>IF(ISNA(MATCH(117,Engine!$C$2:$C$1960,0)),"",INDEX('Compliance Database'!$L$2:$L$1960,MATCH(117,Engine!$C$2:$C$1960,0)))</f>
        <v/>
      </c>
      <c r="M130" s="9">
        <f>IF(ISNA(MATCH(117,Engine!$C$2:$C$1960,0)),"",INDEX('Compliance Database'!$M$2:$M$1960,MATCH(117,Engine!$C$2:$C$1960,0)))</f>
        <v/>
      </c>
      <c r="N130" s="9">
        <f>IF(ISNA(MATCH(117,Engine!$C$2:$C$1960,0)),"",INDEX('Compliance Database'!$N$2:$N$1960,MATCH(117,Engine!$C$2:$C$1960,0)))</f>
        <v/>
      </c>
      <c r="O130" s="9">
        <f>IF(ISNA(MATCH(117,Engine!$C$2:$C$1960,0)),"",INDEX('Compliance Database'!$O$2:$O$1960,MATCH(117,Engine!$C$2:$C$1960,0)))</f>
        <v/>
      </c>
      <c r="P130" s="8">
        <f>IF(ISNA(MATCH(117,Engine!$C$2:$C$1960,0)),"",HYPERLINK("#Acts!A"&amp;INDEX('Compliance Database'!$P$2:$P$1960,MATCH(117,Engine!$C$2:$C$1960,0)),"Go to Act"))</f>
        <v/>
      </c>
    </row>
    <row r="131" ht="158" customHeight="1">
      <c r="A131" s="8">
        <f>IF(ISNA(MATCH(118,Engine!$C$2:$C$1960,0)),"",INDEX('Compliance Database'!$A$2:$A$1960,MATCH(118,Engine!$C$2:$C$1960,0)))</f>
        <v/>
      </c>
      <c r="B131" s="8">
        <f>IF(ISNA(MATCH(118,Engine!$C$2:$C$1960,0)),"",INDEX('Compliance Database'!$B$2:$B$1960,MATCH(118,Engine!$C$2:$C$1960,0)))</f>
        <v/>
      </c>
      <c r="C131" s="8">
        <f>IF(ISNA(MATCH(118,Engine!$C$2:$C$1960,0)),"",INDEX('Compliance Database'!$C$2:$C$1960,MATCH(118,Engine!$C$2:$C$1960,0)))</f>
        <v/>
      </c>
      <c r="D131" s="9">
        <f>IF(ISNA(MATCH(118,Engine!$C$2:$C$1960,0)),"",INDEX('Compliance Database'!$D$2:$D$1960,MATCH(118,Engine!$C$2:$C$1960,0)))</f>
        <v/>
      </c>
      <c r="E131" s="8">
        <f>IF(ISNA(MATCH(118,Engine!$C$2:$C$1960,0)),"",INDEX('Compliance Database'!$E$2:$E$1960,MATCH(118,Engine!$C$2:$C$1960,0)))</f>
        <v/>
      </c>
      <c r="F131" s="8">
        <f>IF(ISNA(MATCH(118,Engine!$C$2:$C$1960,0)),"",INDEX('Compliance Database'!$F$2:$F$1960,MATCH(118,Engine!$C$2:$C$1960,0)))</f>
        <v/>
      </c>
      <c r="G131" s="8">
        <f>IF(ISNA(MATCH(118,Engine!$C$2:$C$1960,0)),"",INDEX('Compliance Database'!$G$2:$G$1960,MATCH(118,Engine!$C$2:$C$1960,0)))</f>
        <v/>
      </c>
      <c r="H131" s="9">
        <f>IF(ISNA(MATCH(118,Engine!$C$2:$C$1960,0)),"",INDEX('Compliance Database'!$H$2:$H$1960,MATCH(118,Engine!$C$2:$C$1960,0)))</f>
        <v/>
      </c>
      <c r="I131" s="9">
        <f>IF(ISNA(MATCH(118,Engine!$C$2:$C$1960,0)),"",INDEX('Compliance Database'!$I$2:$I$1960,MATCH(118,Engine!$C$2:$C$1960,0)))</f>
        <v/>
      </c>
      <c r="J131" s="8">
        <f>IF(ISNA(MATCH(118,Engine!$C$2:$C$1960,0)),"",INDEX('Compliance Database'!$J$2:$J$1960,MATCH(118,Engine!$C$2:$C$1960,0)))</f>
        <v/>
      </c>
      <c r="K131" s="9">
        <f>IF(ISNA(MATCH(118,Engine!$C$2:$C$1960,0)),"",INDEX('Compliance Database'!$K$2:$K$1960,MATCH(118,Engine!$C$2:$C$1960,0)))</f>
        <v/>
      </c>
      <c r="L131" s="9">
        <f>IF(ISNA(MATCH(118,Engine!$C$2:$C$1960,0)),"",INDEX('Compliance Database'!$L$2:$L$1960,MATCH(118,Engine!$C$2:$C$1960,0)))</f>
        <v/>
      </c>
      <c r="M131" s="9">
        <f>IF(ISNA(MATCH(118,Engine!$C$2:$C$1960,0)),"",INDEX('Compliance Database'!$M$2:$M$1960,MATCH(118,Engine!$C$2:$C$1960,0)))</f>
        <v/>
      </c>
      <c r="N131" s="9">
        <f>IF(ISNA(MATCH(118,Engine!$C$2:$C$1960,0)),"",INDEX('Compliance Database'!$N$2:$N$1960,MATCH(118,Engine!$C$2:$C$1960,0)))</f>
        <v/>
      </c>
      <c r="O131" s="9">
        <f>IF(ISNA(MATCH(118,Engine!$C$2:$C$1960,0)),"",INDEX('Compliance Database'!$O$2:$O$1960,MATCH(118,Engine!$C$2:$C$1960,0)))</f>
        <v/>
      </c>
      <c r="P131" s="8">
        <f>IF(ISNA(MATCH(118,Engine!$C$2:$C$1960,0)),"",HYPERLINK("#Acts!A"&amp;INDEX('Compliance Database'!$P$2:$P$1960,MATCH(118,Engine!$C$2:$C$1960,0)),"Go to Act"))</f>
        <v/>
      </c>
    </row>
    <row r="132" ht="158" customHeight="1">
      <c r="A132" s="8">
        <f>IF(ISNA(MATCH(119,Engine!$C$2:$C$1960,0)),"",INDEX('Compliance Database'!$A$2:$A$1960,MATCH(119,Engine!$C$2:$C$1960,0)))</f>
        <v/>
      </c>
      <c r="B132" s="8">
        <f>IF(ISNA(MATCH(119,Engine!$C$2:$C$1960,0)),"",INDEX('Compliance Database'!$B$2:$B$1960,MATCH(119,Engine!$C$2:$C$1960,0)))</f>
        <v/>
      </c>
      <c r="C132" s="8">
        <f>IF(ISNA(MATCH(119,Engine!$C$2:$C$1960,0)),"",INDEX('Compliance Database'!$C$2:$C$1960,MATCH(119,Engine!$C$2:$C$1960,0)))</f>
        <v/>
      </c>
      <c r="D132" s="9">
        <f>IF(ISNA(MATCH(119,Engine!$C$2:$C$1960,0)),"",INDEX('Compliance Database'!$D$2:$D$1960,MATCH(119,Engine!$C$2:$C$1960,0)))</f>
        <v/>
      </c>
      <c r="E132" s="8">
        <f>IF(ISNA(MATCH(119,Engine!$C$2:$C$1960,0)),"",INDEX('Compliance Database'!$E$2:$E$1960,MATCH(119,Engine!$C$2:$C$1960,0)))</f>
        <v/>
      </c>
      <c r="F132" s="8">
        <f>IF(ISNA(MATCH(119,Engine!$C$2:$C$1960,0)),"",INDEX('Compliance Database'!$F$2:$F$1960,MATCH(119,Engine!$C$2:$C$1960,0)))</f>
        <v/>
      </c>
      <c r="G132" s="8">
        <f>IF(ISNA(MATCH(119,Engine!$C$2:$C$1960,0)),"",INDEX('Compliance Database'!$G$2:$G$1960,MATCH(119,Engine!$C$2:$C$1960,0)))</f>
        <v/>
      </c>
      <c r="H132" s="9">
        <f>IF(ISNA(MATCH(119,Engine!$C$2:$C$1960,0)),"",INDEX('Compliance Database'!$H$2:$H$1960,MATCH(119,Engine!$C$2:$C$1960,0)))</f>
        <v/>
      </c>
      <c r="I132" s="9">
        <f>IF(ISNA(MATCH(119,Engine!$C$2:$C$1960,0)),"",INDEX('Compliance Database'!$I$2:$I$1960,MATCH(119,Engine!$C$2:$C$1960,0)))</f>
        <v/>
      </c>
      <c r="J132" s="8">
        <f>IF(ISNA(MATCH(119,Engine!$C$2:$C$1960,0)),"",INDEX('Compliance Database'!$J$2:$J$1960,MATCH(119,Engine!$C$2:$C$1960,0)))</f>
        <v/>
      </c>
      <c r="K132" s="9">
        <f>IF(ISNA(MATCH(119,Engine!$C$2:$C$1960,0)),"",INDEX('Compliance Database'!$K$2:$K$1960,MATCH(119,Engine!$C$2:$C$1960,0)))</f>
        <v/>
      </c>
      <c r="L132" s="9">
        <f>IF(ISNA(MATCH(119,Engine!$C$2:$C$1960,0)),"",INDEX('Compliance Database'!$L$2:$L$1960,MATCH(119,Engine!$C$2:$C$1960,0)))</f>
        <v/>
      </c>
      <c r="M132" s="9">
        <f>IF(ISNA(MATCH(119,Engine!$C$2:$C$1960,0)),"",INDEX('Compliance Database'!$M$2:$M$1960,MATCH(119,Engine!$C$2:$C$1960,0)))</f>
        <v/>
      </c>
      <c r="N132" s="9">
        <f>IF(ISNA(MATCH(119,Engine!$C$2:$C$1960,0)),"",INDEX('Compliance Database'!$N$2:$N$1960,MATCH(119,Engine!$C$2:$C$1960,0)))</f>
        <v/>
      </c>
      <c r="O132" s="9">
        <f>IF(ISNA(MATCH(119,Engine!$C$2:$C$1960,0)),"",INDEX('Compliance Database'!$O$2:$O$1960,MATCH(119,Engine!$C$2:$C$1960,0)))</f>
        <v/>
      </c>
      <c r="P132" s="8">
        <f>IF(ISNA(MATCH(119,Engine!$C$2:$C$1960,0)),"",HYPERLINK("#Acts!A"&amp;INDEX('Compliance Database'!$P$2:$P$1960,MATCH(119,Engine!$C$2:$C$1960,0)),"Go to Act"))</f>
        <v/>
      </c>
    </row>
    <row r="133" ht="158" customHeight="1">
      <c r="A133" s="8">
        <f>IF(ISNA(MATCH(120,Engine!$C$2:$C$1960,0)),"",INDEX('Compliance Database'!$A$2:$A$1960,MATCH(120,Engine!$C$2:$C$1960,0)))</f>
        <v/>
      </c>
      <c r="B133" s="8">
        <f>IF(ISNA(MATCH(120,Engine!$C$2:$C$1960,0)),"",INDEX('Compliance Database'!$B$2:$B$1960,MATCH(120,Engine!$C$2:$C$1960,0)))</f>
        <v/>
      </c>
      <c r="C133" s="8">
        <f>IF(ISNA(MATCH(120,Engine!$C$2:$C$1960,0)),"",INDEX('Compliance Database'!$C$2:$C$1960,MATCH(120,Engine!$C$2:$C$1960,0)))</f>
        <v/>
      </c>
      <c r="D133" s="9">
        <f>IF(ISNA(MATCH(120,Engine!$C$2:$C$1960,0)),"",INDEX('Compliance Database'!$D$2:$D$1960,MATCH(120,Engine!$C$2:$C$1960,0)))</f>
        <v/>
      </c>
      <c r="E133" s="8">
        <f>IF(ISNA(MATCH(120,Engine!$C$2:$C$1960,0)),"",INDEX('Compliance Database'!$E$2:$E$1960,MATCH(120,Engine!$C$2:$C$1960,0)))</f>
        <v/>
      </c>
      <c r="F133" s="8">
        <f>IF(ISNA(MATCH(120,Engine!$C$2:$C$1960,0)),"",INDEX('Compliance Database'!$F$2:$F$1960,MATCH(120,Engine!$C$2:$C$1960,0)))</f>
        <v/>
      </c>
      <c r="G133" s="8">
        <f>IF(ISNA(MATCH(120,Engine!$C$2:$C$1960,0)),"",INDEX('Compliance Database'!$G$2:$G$1960,MATCH(120,Engine!$C$2:$C$1960,0)))</f>
        <v/>
      </c>
      <c r="H133" s="9">
        <f>IF(ISNA(MATCH(120,Engine!$C$2:$C$1960,0)),"",INDEX('Compliance Database'!$H$2:$H$1960,MATCH(120,Engine!$C$2:$C$1960,0)))</f>
        <v/>
      </c>
      <c r="I133" s="9">
        <f>IF(ISNA(MATCH(120,Engine!$C$2:$C$1960,0)),"",INDEX('Compliance Database'!$I$2:$I$1960,MATCH(120,Engine!$C$2:$C$1960,0)))</f>
        <v/>
      </c>
      <c r="J133" s="8">
        <f>IF(ISNA(MATCH(120,Engine!$C$2:$C$1960,0)),"",INDEX('Compliance Database'!$J$2:$J$1960,MATCH(120,Engine!$C$2:$C$1960,0)))</f>
        <v/>
      </c>
      <c r="K133" s="9">
        <f>IF(ISNA(MATCH(120,Engine!$C$2:$C$1960,0)),"",INDEX('Compliance Database'!$K$2:$K$1960,MATCH(120,Engine!$C$2:$C$1960,0)))</f>
        <v/>
      </c>
      <c r="L133" s="9">
        <f>IF(ISNA(MATCH(120,Engine!$C$2:$C$1960,0)),"",INDEX('Compliance Database'!$L$2:$L$1960,MATCH(120,Engine!$C$2:$C$1960,0)))</f>
        <v/>
      </c>
      <c r="M133" s="9">
        <f>IF(ISNA(MATCH(120,Engine!$C$2:$C$1960,0)),"",INDEX('Compliance Database'!$M$2:$M$1960,MATCH(120,Engine!$C$2:$C$1960,0)))</f>
        <v/>
      </c>
      <c r="N133" s="9">
        <f>IF(ISNA(MATCH(120,Engine!$C$2:$C$1960,0)),"",INDEX('Compliance Database'!$N$2:$N$1960,MATCH(120,Engine!$C$2:$C$1960,0)))</f>
        <v/>
      </c>
      <c r="O133" s="9">
        <f>IF(ISNA(MATCH(120,Engine!$C$2:$C$1960,0)),"",INDEX('Compliance Database'!$O$2:$O$1960,MATCH(120,Engine!$C$2:$C$1960,0)))</f>
        <v/>
      </c>
      <c r="P133" s="8">
        <f>IF(ISNA(MATCH(120,Engine!$C$2:$C$1960,0)),"",HYPERLINK("#Acts!A"&amp;INDEX('Compliance Database'!$P$2:$P$1960,MATCH(120,Engine!$C$2:$C$1960,0)),"Go to Act"))</f>
        <v/>
      </c>
    </row>
    <row r="134" ht="158" customHeight="1">
      <c r="A134" s="8">
        <f>IF(ISNA(MATCH(121,Engine!$C$2:$C$1960,0)),"",INDEX('Compliance Database'!$A$2:$A$1960,MATCH(121,Engine!$C$2:$C$1960,0)))</f>
        <v/>
      </c>
      <c r="B134" s="8">
        <f>IF(ISNA(MATCH(121,Engine!$C$2:$C$1960,0)),"",INDEX('Compliance Database'!$B$2:$B$1960,MATCH(121,Engine!$C$2:$C$1960,0)))</f>
        <v/>
      </c>
      <c r="C134" s="8">
        <f>IF(ISNA(MATCH(121,Engine!$C$2:$C$1960,0)),"",INDEX('Compliance Database'!$C$2:$C$1960,MATCH(121,Engine!$C$2:$C$1960,0)))</f>
        <v/>
      </c>
      <c r="D134" s="9">
        <f>IF(ISNA(MATCH(121,Engine!$C$2:$C$1960,0)),"",INDEX('Compliance Database'!$D$2:$D$1960,MATCH(121,Engine!$C$2:$C$1960,0)))</f>
        <v/>
      </c>
      <c r="E134" s="8">
        <f>IF(ISNA(MATCH(121,Engine!$C$2:$C$1960,0)),"",INDEX('Compliance Database'!$E$2:$E$1960,MATCH(121,Engine!$C$2:$C$1960,0)))</f>
        <v/>
      </c>
      <c r="F134" s="8">
        <f>IF(ISNA(MATCH(121,Engine!$C$2:$C$1960,0)),"",INDEX('Compliance Database'!$F$2:$F$1960,MATCH(121,Engine!$C$2:$C$1960,0)))</f>
        <v/>
      </c>
      <c r="G134" s="8">
        <f>IF(ISNA(MATCH(121,Engine!$C$2:$C$1960,0)),"",INDEX('Compliance Database'!$G$2:$G$1960,MATCH(121,Engine!$C$2:$C$1960,0)))</f>
        <v/>
      </c>
      <c r="H134" s="9">
        <f>IF(ISNA(MATCH(121,Engine!$C$2:$C$1960,0)),"",INDEX('Compliance Database'!$H$2:$H$1960,MATCH(121,Engine!$C$2:$C$1960,0)))</f>
        <v/>
      </c>
      <c r="I134" s="9">
        <f>IF(ISNA(MATCH(121,Engine!$C$2:$C$1960,0)),"",INDEX('Compliance Database'!$I$2:$I$1960,MATCH(121,Engine!$C$2:$C$1960,0)))</f>
        <v/>
      </c>
      <c r="J134" s="8">
        <f>IF(ISNA(MATCH(121,Engine!$C$2:$C$1960,0)),"",INDEX('Compliance Database'!$J$2:$J$1960,MATCH(121,Engine!$C$2:$C$1960,0)))</f>
        <v/>
      </c>
      <c r="K134" s="9">
        <f>IF(ISNA(MATCH(121,Engine!$C$2:$C$1960,0)),"",INDEX('Compliance Database'!$K$2:$K$1960,MATCH(121,Engine!$C$2:$C$1960,0)))</f>
        <v/>
      </c>
      <c r="L134" s="9">
        <f>IF(ISNA(MATCH(121,Engine!$C$2:$C$1960,0)),"",INDEX('Compliance Database'!$L$2:$L$1960,MATCH(121,Engine!$C$2:$C$1960,0)))</f>
        <v/>
      </c>
      <c r="M134" s="9">
        <f>IF(ISNA(MATCH(121,Engine!$C$2:$C$1960,0)),"",INDEX('Compliance Database'!$M$2:$M$1960,MATCH(121,Engine!$C$2:$C$1960,0)))</f>
        <v/>
      </c>
      <c r="N134" s="9">
        <f>IF(ISNA(MATCH(121,Engine!$C$2:$C$1960,0)),"",INDEX('Compliance Database'!$N$2:$N$1960,MATCH(121,Engine!$C$2:$C$1960,0)))</f>
        <v/>
      </c>
      <c r="O134" s="9">
        <f>IF(ISNA(MATCH(121,Engine!$C$2:$C$1960,0)),"",INDEX('Compliance Database'!$O$2:$O$1960,MATCH(121,Engine!$C$2:$C$1960,0)))</f>
        <v/>
      </c>
      <c r="P134" s="8">
        <f>IF(ISNA(MATCH(121,Engine!$C$2:$C$1960,0)),"",HYPERLINK("#Acts!A"&amp;INDEX('Compliance Database'!$P$2:$P$1960,MATCH(121,Engine!$C$2:$C$1960,0)),"Go to Act"))</f>
        <v/>
      </c>
    </row>
    <row r="135" ht="158" customHeight="1">
      <c r="A135" s="8">
        <f>IF(ISNA(MATCH(122,Engine!$C$2:$C$1960,0)),"",INDEX('Compliance Database'!$A$2:$A$1960,MATCH(122,Engine!$C$2:$C$1960,0)))</f>
        <v/>
      </c>
      <c r="B135" s="8">
        <f>IF(ISNA(MATCH(122,Engine!$C$2:$C$1960,0)),"",INDEX('Compliance Database'!$B$2:$B$1960,MATCH(122,Engine!$C$2:$C$1960,0)))</f>
        <v/>
      </c>
      <c r="C135" s="8">
        <f>IF(ISNA(MATCH(122,Engine!$C$2:$C$1960,0)),"",INDEX('Compliance Database'!$C$2:$C$1960,MATCH(122,Engine!$C$2:$C$1960,0)))</f>
        <v/>
      </c>
      <c r="D135" s="9">
        <f>IF(ISNA(MATCH(122,Engine!$C$2:$C$1960,0)),"",INDEX('Compliance Database'!$D$2:$D$1960,MATCH(122,Engine!$C$2:$C$1960,0)))</f>
        <v/>
      </c>
      <c r="E135" s="8">
        <f>IF(ISNA(MATCH(122,Engine!$C$2:$C$1960,0)),"",INDEX('Compliance Database'!$E$2:$E$1960,MATCH(122,Engine!$C$2:$C$1960,0)))</f>
        <v/>
      </c>
      <c r="F135" s="8">
        <f>IF(ISNA(MATCH(122,Engine!$C$2:$C$1960,0)),"",INDEX('Compliance Database'!$F$2:$F$1960,MATCH(122,Engine!$C$2:$C$1960,0)))</f>
        <v/>
      </c>
      <c r="G135" s="8">
        <f>IF(ISNA(MATCH(122,Engine!$C$2:$C$1960,0)),"",INDEX('Compliance Database'!$G$2:$G$1960,MATCH(122,Engine!$C$2:$C$1960,0)))</f>
        <v/>
      </c>
      <c r="H135" s="9">
        <f>IF(ISNA(MATCH(122,Engine!$C$2:$C$1960,0)),"",INDEX('Compliance Database'!$H$2:$H$1960,MATCH(122,Engine!$C$2:$C$1960,0)))</f>
        <v/>
      </c>
      <c r="I135" s="9">
        <f>IF(ISNA(MATCH(122,Engine!$C$2:$C$1960,0)),"",INDEX('Compliance Database'!$I$2:$I$1960,MATCH(122,Engine!$C$2:$C$1960,0)))</f>
        <v/>
      </c>
      <c r="J135" s="8">
        <f>IF(ISNA(MATCH(122,Engine!$C$2:$C$1960,0)),"",INDEX('Compliance Database'!$J$2:$J$1960,MATCH(122,Engine!$C$2:$C$1960,0)))</f>
        <v/>
      </c>
      <c r="K135" s="9">
        <f>IF(ISNA(MATCH(122,Engine!$C$2:$C$1960,0)),"",INDEX('Compliance Database'!$K$2:$K$1960,MATCH(122,Engine!$C$2:$C$1960,0)))</f>
        <v/>
      </c>
      <c r="L135" s="9">
        <f>IF(ISNA(MATCH(122,Engine!$C$2:$C$1960,0)),"",INDEX('Compliance Database'!$L$2:$L$1960,MATCH(122,Engine!$C$2:$C$1960,0)))</f>
        <v/>
      </c>
      <c r="M135" s="9">
        <f>IF(ISNA(MATCH(122,Engine!$C$2:$C$1960,0)),"",INDEX('Compliance Database'!$M$2:$M$1960,MATCH(122,Engine!$C$2:$C$1960,0)))</f>
        <v/>
      </c>
      <c r="N135" s="9">
        <f>IF(ISNA(MATCH(122,Engine!$C$2:$C$1960,0)),"",INDEX('Compliance Database'!$N$2:$N$1960,MATCH(122,Engine!$C$2:$C$1960,0)))</f>
        <v/>
      </c>
      <c r="O135" s="9">
        <f>IF(ISNA(MATCH(122,Engine!$C$2:$C$1960,0)),"",INDEX('Compliance Database'!$O$2:$O$1960,MATCH(122,Engine!$C$2:$C$1960,0)))</f>
        <v/>
      </c>
      <c r="P135" s="8">
        <f>IF(ISNA(MATCH(122,Engine!$C$2:$C$1960,0)),"",HYPERLINK("#Acts!A"&amp;INDEX('Compliance Database'!$P$2:$P$1960,MATCH(122,Engine!$C$2:$C$1960,0)),"Go to Act"))</f>
        <v/>
      </c>
    </row>
    <row r="136" ht="158" customHeight="1">
      <c r="A136" s="8">
        <f>IF(ISNA(MATCH(123,Engine!$C$2:$C$1960,0)),"",INDEX('Compliance Database'!$A$2:$A$1960,MATCH(123,Engine!$C$2:$C$1960,0)))</f>
        <v/>
      </c>
      <c r="B136" s="8">
        <f>IF(ISNA(MATCH(123,Engine!$C$2:$C$1960,0)),"",INDEX('Compliance Database'!$B$2:$B$1960,MATCH(123,Engine!$C$2:$C$1960,0)))</f>
        <v/>
      </c>
      <c r="C136" s="8">
        <f>IF(ISNA(MATCH(123,Engine!$C$2:$C$1960,0)),"",INDEX('Compliance Database'!$C$2:$C$1960,MATCH(123,Engine!$C$2:$C$1960,0)))</f>
        <v/>
      </c>
      <c r="D136" s="9">
        <f>IF(ISNA(MATCH(123,Engine!$C$2:$C$1960,0)),"",INDEX('Compliance Database'!$D$2:$D$1960,MATCH(123,Engine!$C$2:$C$1960,0)))</f>
        <v/>
      </c>
      <c r="E136" s="8">
        <f>IF(ISNA(MATCH(123,Engine!$C$2:$C$1960,0)),"",INDEX('Compliance Database'!$E$2:$E$1960,MATCH(123,Engine!$C$2:$C$1960,0)))</f>
        <v/>
      </c>
      <c r="F136" s="8">
        <f>IF(ISNA(MATCH(123,Engine!$C$2:$C$1960,0)),"",INDEX('Compliance Database'!$F$2:$F$1960,MATCH(123,Engine!$C$2:$C$1960,0)))</f>
        <v/>
      </c>
      <c r="G136" s="8">
        <f>IF(ISNA(MATCH(123,Engine!$C$2:$C$1960,0)),"",INDEX('Compliance Database'!$G$2:$G$1960,MATCH(123,Engine!$C$2:$C$1960,0)))</f>
        <v/>
      </c>
      <c r="H136" s="9">
        <f>IF(ISNA(MATCH(123,Engine!$C$2:$C$1960,0)),"",INDEX('Compliance Database'!$H$2:$H$1960,MATCH(123,Engine!$C$2:$C$1960,0)))</f>
        <v/>
      </c>
      <c r="I136" s="9">
        <f>IF(ISNA(MATCH(123,Engine!$C$2:$C$1960,0)),"",INDEX('Compliance Database'!$I$2:$I$1960,MATCH(123,Engine!$C$2:$C$1960,0)))</f>
        <v/>
      </c>
      <c r="J136" s="8">
        <f>IF(ISNA(MATCH(123,Engine!$C$2:$C$1960,0)),"",INDEX('Compliance Database'!$J$2:$J$1960,MATCH(123,Engine!$C$2:$C$1960,0)))</f>
        <v/>
      </c>
      <c r="K136" s="9">
        <f>IF(ISNA(MATCH(123,Engine!$C$2:$C$1960,0)),"",INDEX('Compliance Database'!$K$2:$K$1960,MATCH(123,Engine!$C$2:$C$1960,0)))</f>
        <v/>
      </c>
      <c r="L136" s="9">
        <f>IF(ISNA(MATCH(123,Engine!$C$2:$C$1960,0)),"",INDEX('Compliance Database'!$L$2:$L$1960,MATCH(123,Engine!$C$2:$C$1960,0)))</f>
        <v/>
      </c>
      <c r="M136" s="9">
        <f>IF(ISNA(MATCH(123,Engine!$C$2:$C$1960,0)),"",INDEX('Compliance Database'!$M$2:$M$1960,MATCH(123,Engine!$C$2:$C$1960,0)))</f>
        <v/>
      </c>
      <c r="N136" s="9">
        <f>IF(ISNA(MATCH(123,Engine!$C$2:$C$1960,0)),"",INDEX('Compliance Database'!$N$2:$N$1960,MATCH(123,Engine!$C$2:$C$1960,0)))</f>
        <v/>
      </c>
      <c r="O136" s="9">
        <f>IF(ISNA(MATCH(123,Engine!$C$2:$C$1960,0)),"",INDEX('Compliance Database'!$O$2:$O$1960,MATCH(123,Engine!$C$2:$C$1960,0)))</f>
        <v/>
      </c>
      <c r="P136" s="8">
        <f>IF(ISNA(MATCH(123,Engine!$C$2:$C$1960,0)),"",HYPERLINK("#Acts!A"&amp;INDEX('Compliance Database'!$P$2:$P$1960,MATCH(123,Engine!$C$2:$C$1960,0)),"Go to Act"))</f>
        <v/>
      </c>
    </row>
    <row r="137" ht="158" customHeight="1">
      <c r="A137" s="8">
        <f>IF(ISNA(MATCH(124,Engine!$C$2:$C$1960,0)),"",INDEX('Compliance Database'!$A$2:$A$1960,MATCH(124,Engine!$C$2:$C$1960,0)))</f>
        <v/>
      </c>
      <c r="B137" s="8">
        <f>IF(ISNA(MATCH(124,Engine!$C$2:$C$1960,0)),"",INDEX('Compliance Database'!$B$2:$B$1960,MATCH(124,Engine!$C$2:$C$1960,0)))</f>
        <v/>
      </c>
      <c r="C137" s="8">
        <f>IF(ISNA(MATCH(124,Engine!$C$2:$C$1960,0)),"",INDEX('Compliance Database'!$C$2:$C$1960,MATCH(124,Engine!$C$2:$C$1960,0)))</f>
        <v/>
      </c>
      <c r="D137" s="9">
        <f>IF(ISNA(MATCH(124,Engine!$C$2:$C$1960,0)),"",INDEX('Compliance Database'!$D$2:$D$1960,MATCH(124,Engine!$C$2:$C$1960,0)))</f>
        <v/>
      </c>
      <c r="E137" s="8">
        <f>IF(ISNA(MATCH(124,Engine!$C$2:$C$1960,0)),"",INDEX('Compliance Database'!$E$2:$E$1960,MATCH(124,Engine!$C$2:$C$1960,0)))</f>
        <v/>
      </c>
      <c r="F137" s="8">
        <f>IF(ISNA(MATCH(124,Engine!$C$2:$C$1960,0)),"",INDEX('Compliance Database'!$F$2:$F$1960,MATCH(124,Engine!$C$2:$C$1960,0)))</f>
        <v/>
      </c>
      <c r="G137" s="8">
        <f>IF(ISNA(MATCH(124,Engine!$C$2:$C$1960,0)),"",INDEX('Compliance Database'!$G$2:$G$1960,MATCH(124,Engine!$C$2:$C$1960,0)))</f>
        <v/>
      </c>
      <c r="H137" s="9">
        <f>IF(ISNA(MATCH(124,Engine!$C$2:$C$1960,0)),"",INDEX('Compliance Database'!$H$2:$H$1960,MATCH(124,Engine!$C$2:$C$1960,0)))</f>
        <v/>
      </c>
      <c r="I137" s="9">
        <f>IF(ISNA(MATCH(124,Engine!$C$2:$C$1960,0)),"",INDEX('Compliance Database'!$I$2:$I$1960,MATCH(124,Engine!$C$2:$C$1960,0)))</f>
        <v/>
      </c>
      <c r="J137" s="8">
        <f>IF(ISNA(MATCH(124,Engine!$C$2:$C$1960,0)),"",INDEX('Compliance Database'!$J$2:$J$1960,MATCH(124,Engine!$C$2:$C$1960,0)))</f>
        <v/>
      </c>
      <c r="K137" s="9">
        <f>IF(ISNA(MATCH(124,Engine!$C$2:$C$1960,0)),"",INDEX('Compliance Database'!$K$2:$K$1960,MATCH(124,Engine!$C$2:$C$1960,0)))</f>
        <v/>
      </c>
      <c r="L137" s="9">
        <f>IF(ISNA(MATCH(124,Engine!$C$2:$C$1960,0)),"",INDEX('Compliance Database'!$L$2:$L$1960,MATCH(124,Engine!$C$2:$C$1960,0)))</f>
        <v/>
      </c>
      <c r="M137" s="9">
        <f>IF(ISNA(MATCH(124,Engine!$C$2:$C$1960,0)),"",INDEX('Compliance Database'!$M$2:$M$1960,MATCH(124,Engine!$C$2:$C$1960,0)))</f>
        <v/>
      </c>
      <c r="N137" s="9">
        <f>IF(ISNA(MATCH(124,Engine!$C$2:$C$1960,0)),"",INDEX('Compliance Database'!$N$2:$N$1960,MATCH(124,Engine!$C$2:$C$1960,0)))</f>
        <v/>
      </c>
      <c r="O137" s="9">
        <f>IF(ISNA(MATCH(124,Engine!$C$2:$C$1960,0)),"",INDEX('Compliance Database'!$O$2:$O$1960,MATCH(124,Engine!$C$2:$C$1960,0)))</f>
        <v/>
      </c>
      <c r="P137" s="8">
        <f>IF(ISNA(MATCH(124,Engine!$C$2:$C$1960,0)),"",HYPERLINK("#Acts!A"&amp;INDEX('Compliance Database'!$P$2:$P$1960,MATCH(124,Engine!$C$2:$C$1960,0)),"Go to Act"))</f>
        <v/>
      </c>
    </row>
    <row r="138" ht="158" customHeight="1">
      <c r="A138" s="8">
        <f>IF(ISNA(MATCH(125,Engine!$C$2:$C$1960,0)),"",INDEX('Compliance Database'!$A$2:$A$1960,MATCH(125,Engine!$C$2:$C$1960,0)))</f>
        <v/>
      </c>
      <c r="B138" s="8">
        <f>IF(ISNA(MATCH(125,Engine!$C$2:$C$1960,0)),"",INDEX('Compliance Database'!$B$2:$B$1960,MATCH(125,Engine!$C$2:$C$1960,0)))</f>
        <v/>
      </c>
      <c r="C138" s="8">
        <f>IF(ISNA(MATCH(125,Engine!$C$2:$C$1960,0)),"",INDEX('Compliance Database'!$C$2:$C$1960,MATCH(125,Engine!$C$2:$C$1960,0)))</f>
        <v/>
      </c>
      <c r="D138" s="9">
        <f>IF(ISNA(MATCH(125,Engine!$C$2:$C$1960,0)),"",INDEX('Compliance Database'!$D$2:$D$1960,MATCH(125,Engine!$C$2:$C$1960,0)))</f>
        <v/>
      </c>
      <c r="E138" s="8">
        <f>IF(ISNA(MATCH(125,Engine!$C$2:$C$1960,0)),"",INDEX('Compliance Database'!$E$2:$E$1960,MATCH(125,Engine!$C$2:$C$1960,0)))</f>
        <v/>
      </c>
      <c r="F138" s="8">
        <f>IF(ISNA(MATCH(125,Engine!$C$2:$C$1960,0)),"",INDEX('Compliance Database'!$F$2:$F$1960,MATCH(125,Engine!$C$2:$C$1960,0)))</f>
        <v/>
      </c>
      <c r="G138" s="8">
        <f>IF(ISNA(MATCH(125,Engine!$C$2:$C$1960,0)),"",INDEX('Compliance Database'!$G$2:$G$1960,MATCH(125,Engine!$C$2:$C$1960,0)))</f>
        <v/>
      </c>
      <c r="H138" s="9">
        <f>IF(ISNA(MATCH(125,Engine!$C$2:$C$1960,0)),"",INDEX('Compliance Database'!$H$2:$H$1960,MATCH(125,Engine!$C$2:$C$1960,0)))</f>
        <v/>
      </c>
      <c r="I138" s="9">
        <f>IF(ISNA(MATCH(125,Engine!$C$2:$C$1960,0)),"",INDEX('Compliance Database'!$I$2:$I$1960,MATCH(125,Engine!$C$2:$C$1960,0)))</f>
        <v/>
      </c>
      <c r="J138" s="8">
        <f>IF(ISNA(MATCH(125,Engine!$C$2:$C$1960,0)),"",INDEX('Compliance Database'!$J$2:$J$1960,MATCH(125,Engine!$C$2:$C$1960,0)))</f>
        <v/>
      </c>
      <c r="K138" s="9">
        <f>IF(ISNA(MATCH(125,Engine!$C$2:$C$1960,0)),"",INDEX('Compliance Database'!$K$2:$K$1960,MATCH(125,Engine!$C$2:$C$1960,0)))</f>
        <v/>
      </c>
      <c r="L138" s="9">
        <f>IF(ISNA(MATCH(125,Engine!$C$2:$C$1960,0)),"",INDEX('Compliance Database'!$L$2:$L$1960,MATCH(125,Engine!$C$2:$C$1960,0)))</f>
        <v/>
      </c>
      <c r="M138" s="9">
        <f>IF(ISNA(MATCH(125,Engine!$C$2:$C$1960,0)),"",INDEX('Compliance Database'!$M$2:$M$1960,MATCH(125,Engine!$C$2:$C$1960,0)))</f>
        <v/>
      </c>
      <c r="N138" s="9">
        <f>IF(ISNA(MATCH(125,Engine!$C$2:$C$1960,0)),"",INDEX('Compliance Database'!$N$2:$N$1960,MATCH(125,Engine!$C$2:$C$1960,0)))</f>
        <v/>
      </c>
      <c r="O138" s="9">
        <f>IF(ISNA(MATCH(125,Engine!$C$2:$C$1960,0)),"",INDEX('Compliance Database'!$O$2:$O$1960,MATCH(125,Engine!$C$2:$C$1960,0)))</f>
        <v/>
      </c>
      <c r="P138" s="8">
        <f>IF(ISNA(MATCH(125,Engine!$C$2:$C$1960,0)),"",HYPERLINK("#Acts!A"&amp;INDEX('Compliance Database'!$P$2:$P$1960,MATCH(125,Engine!$C$2:$C$1960,0)),"Go to Act"))</f>
        <v/>
      </c>
    </row>
    <row r="139" ht="158" customHeight="1">
      <c r="A139" s="8">
        <f>IF(ISNA(MATCH(126,Engine!$C$2:$C$1960,0)),"",INDEX('Compliance Database'!$A$2:$A$1960,MATCH(126,Engine!$C$2:$C$1960,0)))</f>
        <v/>
      </c>
      <c r="B139" s="8">
        <f>IF(ISNA(MATCH(126,Engine!$C$2:$C$1960,0)),"",INDEX('Compliance Database'!$B$2:$B$1960,MATCH(126,Engine!$C$2:$C$1960,0)))</f>
        <v/>
      </c>
      <c r="C139" s="8">
        <f>IF(ISNA(MATCH(126,Engine!$C$2:$C$1960,0)),"",INDEX('Compliance Database'!$C$2:$C$1960,MATCH(126,Engine!$C$2:$C$1960,0)))</f>
        <v/>
      </c>
      <c r="D139" s="9">
        <f>IF(ISNA(MATCH(126,Engine!$C$2:$C$1960,0)),"",INDEX('Compliance Database'!$D$2:$D$1960,MATCH(126,Engine!$C$2:$C$1960,0)))</f>
        <v/>
      </c>
      <c r="E139" s="8">
        <f>IF(ISNA(MATCH(126,Engine!$C$2:$C$1960,0)),"",INDEX('Compliance Database'!$E$2:$E$1960,MATCH(126,Engine!$C$2:$C$1960,0)))</f>
        <v/>
      </c>
      <c r="F139" s="8">
        <f>IF(ISNA(MATCH(126,Engine!$C$2:$C$1960,0)),"",INDEX('Compliance Database'!$F$2:$F$1960,MATCH(126,Engine!$C$2:$C$1960,0)))</f>
        <v/>
      </c>
      <c r="G139" s="8">
        <f>IF(ISNA(MATCH(126,Engine!$C$2:$C$1960,0)),"",INDEX('Compliance Database'!$G$2:$G$1960,MATCH(126,Engine!$C$2:$C$1960,0)))</f>
        <v/>
      </c>
      <c r="H139" s="9">
        <f>IF(ISNA(MATCH(126,Engine!$C$2:$C$1960,0)),"",INDEX('Compliance Database'!$H$2:$H$1960,MATCH(126,Engine!$C$2:$C$1960,0)))</f>
        <v/>
      </c>
      <c r="I139" s="9">
        <f>IF(ISNA(MATCH(126,Engine!$C$2:$C$1960,0)),"",INDEX('Compliance Database'!$I$2:$I$1960,MATCH(126,Engine!$C$2:$C$1960,0)))</f>
        <v/>
      </c>
      <c r="J139" s="8">
        <f>IF(ISNA(MATCH(126,Engine!$C$2:$C$1960,0)),"",INDEX('Compliance Database'!$J$2:$J$1960,MATCH(126,Engine!$C$2:$C$1960,0)))</f>
        <v/>
      </c>
      <c r="K139" s="9">
        <f>IF(ISNA(MATCH(126,Engine!$C$2:$C$1960,0)),"",INDEX('Compliance Database'!$K$2:$K$1960,MATCH(126,Engine!$C$2:$C$1960,0)))</f>
        <v/>
      </c>
      <c r="L139" s="9">
        <f>IF(ISNA(MATCH(126,Engine!$C$2:$C$1960,0)),"",INDEX('Compliance Database'!$L$2:$L$1960,MATCH(126,Engine!$C$2:$C$1960,0)))</f>
        <v/>
      </c>
      <c r="M139" s="9">
        <f>IF(ISNA(MATCH(126,Engine!$C$2:$C$1960,0)),"",INDEX('Compliance Database'!$M$2:$M$1960,MATCH(126,Engine!$C$2:$C$1960,0)))</f>
        <v/>
      </c>
      <c r="N139" s="9">
        <f>IF(ISNA(MATCH(126,Engine!$C$2:$C$1960,0)),"",INDEX('Compliance Database'!$N$2:$N$1960,MATCH(126,Engine!$C$2:$C$1960,0)))</f>
        <v/>
      </c>
      <c r="O139" s="9">
        <f>IF(ISNA(MATCH(126,Engine!$C$2:$C$1960,0)),"",INDEX('Compliance Database'!$O$2:$O$1960,MATCH(126,Engine!$C$2:$C$1960,0)))</f>
        <v/>
      </c>
      <c r="P139" s="8">
        <f>IF(ISNA(MATCH(126,Engine!$C$2:$C$1960,0)),"",HYPERLINK("#Acts!A"&amp;INDEX('Compliance Database'!$P$2:$P$1960,MATCH(126,Engine!$C$2:$C$1960,0)),"Go to Act"))</f>
        <v/>
      </c>
    </row>
    <row r="140" ht="158" customHeight="1">
      <c r="A140" s="8">
        <f>IF(ISNA(MATCH(127,Engine!$C$2:$C$1960,0)),"",INDEX('Compliance Database'!$A$2:$A$1960,MATCH(127,Engine!$C$2:$C$1960,0)))</f>
        <v/>
      </c>
      <c r="B140" s="8">
        <f>IF(ISNA(MATCH(127,Engine!$C$2:$C$1960,0)),"",INDEX('Compliance Database'!$B$2:$B$1960,MATCH(127,Engine!$C$2:$C$1960,0)))</f>
        <v/>
      </c>
      <c r="C140" s="8">
        <f>IF(ISNA(MATCH(127,Engine!$C$2:$C$1960,0)),"",INDEX('Compliance Database'!$C$2:$C$1960,MATCH(127,Engine!$C$2:$C$1960,0)))</f>
        <v/>
      </c>
      <c r="D140" s="9">
        <f>IF(ISNA(MATCH(127,Engine!$C$2:$C$1960,0)),"",INDEX('Compliance Database'!$D$2:$D$1960,MATCH(127,Engine!$C$2:$C$1960,0)))</f>
        <v/>
      </c>
      <c r="E140" s="8">
        <f>IF(ISNA(MATCH(127,Engine!$C$2:$C$1960,0)),"",INDEX('Compliance Database'!$E$2:$E$1960,MATCH(127,Engine!$C$2:$C$1960,0)))</f>
        <v/>
      </c>
      <c r="F140" s="8">
        <f>IF(ISNA(MATCH(127,Engine!$C$2:$C$1960,0)),"",INDEX('Compliance Database'!$F$2:$F$1960,MATCH(127,Engine!$C$2:$C$1960,0)))</f>
        <v/>
      </c>
      <c r="G140" s="8">
        <f>IF(ISNA(MATCH(127,Engine!$C$2:$C$1960,0)),"",INDEX('Compliance Database'!$G$2:$G$1960,MATCH(127,Engine!$C$2:$C$1960,0)))</f>
        <v/>
      </c>
      <c r="H140" s="9">
        <f>IF(ISNA(MATCH(127,Engine!$C$2:$C$1960,0)),"",INDEX('Compliance Database'!$H$2:$H$1960,MATCH(127,Engine!$C$2:$C$1960,0)))</f>
        <v/>
      </c>
      <c r="I140" s="9">
        <f>IF(ISNA(MATCH(127,Engine!$C$2:$C$1960,0)),"",INDEX('Compliance Database'!$I$2:$I$1960,MATCH(127,Engine!$C$2:$C$1960,0)))</f>
        <v/>
      </c>
      <c r="J140" s="8">
        <f>IF(ISNA(MATCH(127,Engine!$C$2:$C$1960,0)),"",INDEX('Compliance Database'!$J$2:$J$1960,MATCH(127,Engine!$C$2:$C$1960,0)))</f>
        <v/>
      </c>
      <c r="K140" s="9">
        <f>IF(ISNA(MATCH(127,Engine!$C$2:$C$1960,0)),"",INDEX('Compliance Database'!$K$2:$K$1960,MATCH(127,Engine!$C$2:$C$1960,0)))</f>
        <v/>
      </c>
      <c r="L140" s="9">
        <f>IF(ISNA(MATCH(127,Engine!$C$2:$C$1960,0)),"",INDEX('Compliance Database'!$L$2:$L$1960,MATCH(127,Engine!$C$2:$C$1960,0)))</f>
        <v/>
      </c>
      <c r="M140" s="9">
        <f>IF(ISNA(MATCH(127,Engine!$C$2:$C$1960,0)),"",INDEX('Compliance Database'!$M$2:$M$1960,MATCH(127,Engine!$C$2:$C$1960,0)))</f>
        <v/>
      </c>
      <c r="N140" s="9">
        <f>IF(ISNA(MATCH(127,Engine!$C$2:$C$1960,0)),"",INDEX('Compliance Database'!$N$2:$N$1960,MATCH(127,Engine!$C$2:$C$1960,0)))</f>
        <v/>
      </c>
      <c r="O140" s="9">
        <f>IF(ISNA(MATCH(127,Engine!$C$2:$C$1960,0)),"",INDEX('Compliance Database'!$O$2:$O$1960,MATCH(127,Engine!$C$2:$C$1960,0)))</f>
        <v/>
      </c>
      <c r="P140" s="8">
        <f>IF(ISNA(MATCH(127,Engine!$C$2:$C$1960,0)),"",HYPERLINK("#Acts!A"&amp;INDEX('Compliance Database'!$P$2:$P$1960,MATCH(127,Engine!$C$2:$C$1960,0)),"Go to Act"))</f>
        <v/>
      </c>
    </row>
    <row r="141" ht="158" customHeight="1">
      <c r="A141" s="8">
        <f>IF(ISNA(MATCH(128,Engine!$C$2:$C$1960,0)),"",INDEX('Compliance Database'!$A$2:$A$1960,MATCH(128,Engine!$C$2:$C$1960,0)))</f>
        <v/>
      </c>
      <c r="B141" s="8">
        <f>IF(ISNA(MATCH(128,Engine!$C$2:$C$1960,0)),"",INDEX('Compliance Database'!$B$2:$B$1960,MATCH(128,Engine!$C$2:$C$1960,0)))</f>
        <v/>
      </c>
      <c r="C141" s="8">
        <f>IF(ISNA(MATCH(128,Engine!$C$2:$C$1960,0)),"",INDEX('Compliance Database'!$C$2:$C$1960,MATCH(128,Engine!$C$2:$C$1960,0)))</f>
        <v/>
      </c>
      <c r="D141" s="9">
        <f>IF(ISNA(MATCH(128,Engine!$C$2:$C$1960,0)),"",INDEX('Compliance Database'!$D$2:$D$1960,MATCH(128,Engine!$C$2:$C$1960,0)))</f>
        <v/>
      </c>
      <c r="E141" s="8">
        <f>IF(ISNA(MATCH(128,Engine!$C$2:$C$1960,0)),"",INDEX('Compliance Database'!$E$2:$E$1960,MATCH(128,Engine!$C$2:$C$1960,0)))</f>
        <v/>
      </c>
      <c r="F141" s="8">
        <f>IF(ISNA(MATCH(128,Engine!$C$2:$C$1960,0)),"",INDEX('Compliance Database'!$F$2:$F$1960,MATCH(128,Engine!$C$2:$C$1960,0)))</f>
        <v/>
      </c>
      <c r="G141" s="8">
        <f>IF(ISNA(MATCH(128,Engine!$C$2:$C$1960,0)),"",INDEX('Compliance Database'!$G$2:$G$1960,MATCH(128,Engine!$C$2:$C$1960,0)))</f>
        <v/>
      </c>
      <c r="H141" s="9">
        <f>IF(ISNA(MATCH(128,Engine!$C$2:$C$1960,0)),"",INDEX('Compliance Database'!$H$2:$H$1960,MATCH(128,Engine!$C$2:$C$1960,0)))</f>
        <v/>
      </c>
      <c r="I141" s="9">
        <f>IF(ISNA(MATCH(128,Engine!$C$2:$C$1960,0)),"",INDEX('Compliance Database'!$I$2:$I$1960,MATCH(128,Engine!$C$2:$C$1960,0)))</f>
        <v/>
      </c>
      <c r="J141" s="8">
        <f>IF(ISNA(MATCH(128,Engine!$C$2:$C$1960,0)),"",INDEX('Compliance Database'!$J$2:$J$1960,MATCH(128,Engine!$C$2:$C$1960,0)))</f>
        <v/>
      </c>
      <c r="K141" s="9">
        <f>IF(ISNA(MATCH(128,Engine!$C$2:$C$1960,0)),"",INDEX('Compliance Database'!$K$2:$K$1960,MATCH(128,Engine!$C$2:$C$1960,0)))</f>
        <v/>
      </c>
      <c r="L141" s="9">
        <f>IF(ISNA(MATCH(128,Engine!$C$2:$C$1960,0)),"",INDEX('Compliance Database'!$L$2:$L$1960,MATCH(128,Engine!$C$2:$C$1960,0)))</f>
        <v/>
      </c>
      <c r="M141" s="9">
        <f>IF(ISNA(MATCH(128,Engine!$C$2:$C$1960,0)),"",INDEX('Compliance Database'!$M$2:$M$1960,MATCH(128,Engine!$C$2:$C$1960,0)))</f>
        <v/>
      </c>
      <c r="N141" s="9">
        <f>IF(ISNA(MATCH(128,Engine!$C$2:$C$1960,0)),"",INDEX('Compliance Database'!$N$2:$N$1960,MATCH(128,Engine!$C$2:$C$1960,0)))</f>
        <v/>
      </c>
      <c r="O141" s="9">
        <f>IF(ISNA(MATCH(128,Engine!$C$2:$C$1960,0)),"",INDEX('Compliance Database'!$O$2:$O$1960,MATCH(128,Engine!$C$2:$C$1960,0)))</f>
        <v/>
      </c>
      <c r="P141" s="8">
        <f>IF(ISNA(MATCH(128,Engine!$C$2:$C$1960,0)),"",HYPERLINK("#Acts!A"&amp;INDEX('Compliance Database'!$P$2:$P$1960,MATCH(128,Engine!$C$2:$C$1960,0)),"Go to Act"))</f>
        <v/>
      </c>
    </row>
    <row r="142" ht="158" customHeight="1">
      <c r="A142" s="8">
        <f>IF(ISNA(MATCH(129,Engine!$C$2:$C$1960,0)),"",INDEX('Compliance Database'!$A$2:$A$1960,MATCH(129,Engine!$C$2:$C$1960,0)))</f>
        <v/>
      </c>
      <c r="B142" s="8">
        <f>IF(ISNA(MATCH(129,Engine!$C$2:$C$1960,0)),"",INDEX('Compliance Database'!$B$2:$B$1960,MATCH(129,Engine!$C$2:$C$1960,0)))</f>
        <v/>
      </c>
      <c r="C142" s="8">
        <f>IF(ISNA(MATCH(129,Engine!$C$2:$C$1960,0)),"",INDEX('Compliance Database'!$C$2:$C$1960,MATCH(129,Engine!$C$2:$C$1960,0)))</f>
        <v/>
      </c>
      <c r="D142" s="9">
        <f>IF(ISNA(MATCH(129,Engine!$C$2:$C$1960,0)),"",INDEX('Compliance Database'!$D$2:$D$1960,MATCH(129,Engine!$C$2:$C$1960,0)))</f>
        <v/>
      </c>
      <c r="E142" s="8">
        <f>IF(ISNA(MATCH(129,Engine!$C$2:$C$1960,0)),"",INDEX('Compliance Database'!$E$2:$E$1960,MATCH(129,Engine!$C$2:$C$1960,0)))</f>
        <v/>
      </c>
      <c r="F142" s="8">
        <f>IF(ISNA(MATCH(129,Engine!$C$2:$C$1960,0)),"",INDEX('Compliance Database'!$F$2:$F$1960,MATCH(129,Engine!$C$2:$C$1960,0)))</f>
        <v/>
      </c>
      <c r="G142" s="8">
        <f>IF(ISNA(MATCH(129,Engine!$C$2:$C$1960,0)),"",INDEX('Compliance Database'!$G$2:$G$1960,MATCH(129,Engine!$C$2:$C$1960,0)))</f>
        <v/>
      </c>
      <c r="H142" s="9">
        <f>IF(ISNA(MATCH(129,Engine!$C$2:$C$1960,0)),"",INDEX('Compliance Database'!$H$2:$H$1960,MATCH(129,Engine!$C$2:$C$1960,0)))</f>
        <v/>
      </c>
      <c r="I142" s="9">
        <f>IF(ISNA(MATCH(129,Engine!$C$2:$C$1960,0)),"",INDEX('Compliance Database'!$I$2:$I$1960,MATCH(129,Engine!$C$2:$C$1960,0)))</f>
        <v/>
      </c>
      <c r="J142" s="8">
        <f>IF(ISNA(MATCH(129,Engine!$C$2:$C$1960,0)),"",INDEX('Compliance Database'!$J$2:$J$1960,MATCH(129,Engine!$C$2:$C$1960,0)))</f>
        <v/>
      </c>
      <c r="K142" s="9">
        <f>IF(ISNA(MATCH(129,Engine!$C$2:$C$1960,0)),"",INDEX('Compliance Database'!$K$2:$K$1960,MATCH(129,Engine!$C$2:$C$1960,0)))</f>
        <v/>
      </c>
      <c r="L142" s="9">
        <f>IF(ISNA(MATCH(129,Engine!$C$2:$C$1960,0)),"",INDEX('Compliance Database'!$L$2:$L$1960,MATCH(129,Engine!$C$2:$C$1960,0)))</f>
        <v/>
      </c>
      <c r="M142" s="9">
        <f>IF(ISNA(MATCH(129,Engine!$C$2:$C$1960,0)),"",INDEX('Compliance Database'!$M$2:$M$1960,MATCH(129,Engine!$C$2:$C$1960,0)))</f>
        <v/>
      </c>
      <c r="N142" s="9">
        <f>IF(ISNA(MATCH(129,Engine!$C$2:$C$1960,0)),"",INDEX('Compliance Database'!$N$2:$N$1960,MATCH(129,Engine!$C$2:$C$1960,0)))</f>
        <v/>
      </c>
      <c r="O142" s="9">
        <f>IF(ISNA(MATCH(129,Engine!$C$2:$C$1960,0)),"",INDEX('Compliance Database'!$O$2:$O$1960,MATCH(129,Engine!$C$2:$C$1960,0)))</f>
        <v/>
      </c>
      <c r="P142" s="8">
        <f>IF(ISNA(MATCH(129,Engine!$C$2:$C$1960,0)),"",HYPERLINK("#Acts!A"&amp;INDEX('Compliance Database'!$P$2:$P$1960,MATCH(129,Engine!$C$2:$C$1960,0)),"Go to Act"))</f>
        <v/>
      </c>
    </row>
    <row r="143" ht="158" customHeight="1">
      <c r="A143" s="8">
        <f>IF(ISNA(MATCH(130,Engine!$C$2:$C$1960,0)),"",INDEX('Compliance Database'!$A$2:$A$1960,MATCH(130,Engine!$C$2:$C$1960,0)))</f>
        <v/>
      </c>
      <c r="B143" s="8">
        <f>IF(ISNA(MATCH(130,Engine!$C$2:$C$1960,0)),"",INDEX('Compliance Database'!$B$2:$B$1960,MATCH(130,Engine!$C$2:$C$1960,0)))</f>
        <v/>
      </c>
      <c r="C143" s="8">
        <f>IF(ISNA(MATCH(130,Engine!$C$2:$C$1960,0)),"",INDEX('Compliance Database'!$C$2:$C$1960,MATCH(130,Engine!$C$2:$C$1960,0)))</f>
        <v/>
      </c>
      <c r="D143" s="9">
        <f>IF(ISNA(MATCH(130,Engine!$C$2:$C$1960,0)),"",INDEX('Compliance Database'!$D$2:$D$1960,MATCH(130,Engine!$C$2:$C$1960,0)))</f>
        <v/>
      </c>
      <c r="E143" s="8">
        <f>IF(ISNA(MATCH(130,Engine!$C$2:$C$1960,0)),"",INDEX('Compliance Database'!$E$2:$E$1960,MATCH(130,Engine!$C$2:$C$1960,0)))</f>
        <v/>
      </c>
      <c r="F143" s="8">
        <f>IF(ISNA(MATCH(130,Engine!$C$2:$C$1960,0)),"",INDEX('Compliance Database'!$F$2:$F$1960,MATCH(130,Engine!$C$2:$C$1960,0)))</f>
        <v/>
      </c>
      <c r="G143" s="8">
        <f>IF(ISNA(MATCH(130,Engine!$C$2:$C$1960,0)),"",INDEX('Compliance Database'!$G$2:$G$1960,MATCH(130,Engine!$C$2:$C$1960,0)))</f>
        <v/>
      </c>
      <c r="H143" s="9">
        <f>IF(ISNA(MATCH(130,Engine!$C$2:$C$1960,0)),"",INDEX('Compliance Database'!$H$2:$H$1960,MATCH(130,Engine!$C$2:$C$1960,0)))</f>
        <v/>
      </c>
      <c r="I143" s="9">
        <f>IF(ISNA(MATCH(130,Engine!$C$2:$C$1960,0)),"",INDEX('Compliance Database'!$I$2:$I$1960,MATCH(130,Engine!$C$2:$C$1960,0)))</f>
        <v/>
      </c>
      <c r="J143" s="8">
        <f>IF(ISNA(MATCH(130,Engine!$C$2:$C$1960,0)),"",INDEX('Compliance Database'!$J$2:$J$1960,MATCH(130,Engine!$C$2:$C$1960,0)))</f>
        <v/>
      </c>
      <c r="K143" s="9">
        <f>IF(ISNA(MATCH(130,Engine!$C$2:$C$1960,0)),"",INDEX('Compliance Database'!$K$2:$K$1960,MATCH(130,Engine!$C$2:$C$1960,0)))</f>
        <v/>
      </c>
      <c r="L143" s="9">
        <f>IF(ISNA(MATCH(130,Engine!$C$2:$C$1960,0)),"",INDEX('Compliance Database'!$L$2:$L$1960,MATCH(130,Engine!$C$2:$C$1960,0)))</f>
        <v/>
      </c>
      <c r="M143" s="9">
        <f>IF(ISNA(MATCH(130,Engine!$C$2:$C$1960,0)),"",INDEX('Compliance Database'!$M$2:$M$1960,MATCH(130,Engine!$C$2:$C$1960,0)))</f>
        <v/>
      </c>
      <c r="N143" s="9">
        <f>IF(ISNA(MATCH(130,Engine!$C$2:$C$1960,0)),"",INDEX('Compliance Database'!$N$2:$N$1960,MATCH(130,Engine!$C$2:$C$1960,0)))</f>
        <v/>
      </c>
      <c r="O143" s="9">
        <f>IF(ISNA(MATCH(130,Engine!$C$2:$C$1960,0)),"",INDEX('Compliance Database'!$O$2:$O$1960,MATCH(130,Engine!$C$2:$C$1960,0)))</f>
        <v/>
      </c>
      <c r="P143" s="8">
        <f>IF(ISNA(MATCH(130,Engine!$C$2:$C$1960,0)),"",HYPERLINK("#Acts!A"&amp;INDEX('Compliance Database'!$P$2:$P$1960,MATCH(130,Engine!$C$2:$C$1960,0)),"Go to Act"))</f>
        <v/>
      </c>
    </row>
    <row r="144" ht="158" customHeight="1">
      <c r="A144" s="8">
        <f>IF(ISNA(MATCH(131,Engine!$C$2:$C$1960,0)),"",INDEX('Compliance Database'!$A$2:$A$1960,MATCH(131,Engine!$C$2:$C$1960,0)))</f>
        <v/>
      </c>
      <c r="B144" s="8">
        <f>IF(ISNA(MATCH(131,Engine!$C$2:$C$1960,0)),"",INDEX('Compliance Database'!$B$2:$B$1960,MATCH(131,Engine!$C$2:$C$1960,0)))</f>
        <v/>
      </c>
      <c r="C144" s="8">
        <f>IF(ISNA(MATCH(131,Engine!$C$2:$C$1960,0)),"",INDEX('Compliance Database'!$C$2:$C$1960,MATCH(131,Engine!$C$2:$C$1960,0)))</f>
        <v/>
      </c>
      <c r="D144" s="9">
        <f>IF(ISNA(MATCH(131,Engine!$C$2:$C$1960,0)),"",INDEX('Compliance Database'!$D$2:$D$1960,MATCH(131,Engine!$C$2:$C$1960,0)))</f>
        <v/>
      </c>
      <c r="E144" s="8">
        <f>IF(ISNA(MATCH(131,Engine!$C$2:$C$1960,0)),"",INDEX('Compliance Database'!$E$2:$E$1960,MATCH(131,Engine!$C$2:$C$1960,0)))</f>
        <v/>
      </c>
      <c r="F144" s="8">
        <f>IF(ISNA(MATCH(131,Engine!$C$2:$C$1960,0)),"",INDEX('Compliance Database'!$F$2:$F$1960,MATCH(131,Engine!$C$2:$C$1960,0)))</f>
        <v/>
      </c>
      <c r="G144" s="8">
        <f>IF(ISNA(MATCH(131,Engine!$C$2:$C$1960,0)),"",INDEX('Compliance Database'!$G$2:$G$1960,MATCH(131,Engine!$C$2:$C$1960,0)))</f>
        <v/>
      </c>
      <c r="H144" s="9">
        <f>IF(ISNA(MATCH(131,Engine!$C$2:$C$1960,0)),"",INDEX('Compliance Database'!$H$2:$H$1960,MATCH(131,Engine!$C$2:$C$1960,0)))</f>
        <v/>
      </c>
      <c r="I144" s="9">
        <f>IF(ISNA(MATCH(131,Engine!$C$2:$C$1960,0)),"",INDEX('Compliance Database'!$I$2:$I$1960,MATCH(131,Engine!$C$2:$C$1960,0)))</f>
        <v/>
      </c>
      <c r="J144" s="8">
        <f>IF(ISNA(MATCH(131,Engine!$C$2:$C$1960,0)),"",INDEX('Compliance Database'!$J$2:$J$1960,MATCH(131,Engine!$C$2:$C$1960,0)))</f>
        <v/>
      </c>
      <c r="K144" s="9">
        <f>IF(ISNA(MATCH(131,Engine!$C$2:$C$1960,0)),"",INDEX('Compliance Database'!$K$2:$K$1960,MATCH(131,Engine!$C$2:$C$1960,0)))</f>
        <v/>
      </c>
      <c r="L144" s="9">
        <f>IF(ISNA(MATCH(131,Engine!$C$2:$C$1960,0)),"",INDEX('Compliance Database'!$L$2:$L$1960,MATCH(131,Engine!$C$2:$C$1960,0)))</f>
        <v/>
      </c>
      <c r="M144" s="9">
        <f>IF(ISNA(MATCH(131,Engine!$C$2:$C$1960,0)),"",INDEX('Compliance Database'!$M$2:$M$1960,MATCH(131,Engine!$C$2:$C$1960,0)))</f>
        <v/>
      </c>
      <c r="N144" s="9">
        <f>IF(ISNA(MATCH(131,Engine!$C$2:$C$1960,0)),"",INDEX('Compliance Database'!$N$2:$N$1960,MATCH(131,Engine!$C$2:$C$1960,0)))</f>
        <v/>
      </c>
      <c r="O144" s="9">
        <f>IF(ISNA(MATCH(131,Engine!$C$2:$C$1960,0)),"",INDEX('Compliance Database'!$O$2:$O$1960,MATCH(131,Engine!$C$2:$C$1960,0)))</f>
        <v/>
      </c>
      <c r="P144" s="8">
        <f>IF(ISNA(MATCH(131,Engine!$C$2:$C$1960,0)),"",HYPERLINK("#Acts!A"&amp;INDEX('Compliance Database'!$P$2:$P$1960,MATCH(131,Engine!$C$2:$C$1960,0)),"Go to Act"))</f>
        <v/>
      </c>
    </row>
    <row r="145" ht="158" customHeight="1">
      <c r="A145" s="8">
        <f>IF(ISNA(MATCH(132,Engine!$C$2:$C$1960,0)),"",INDEX('Compliance Database'!$A$2:$A$1960,MATCH(132,Engine!$C$2:$C$1960,0)))</f>
        <v/>
      </c>
      <c r="B145" s="8">
        <f>IF(ISNA(MATCH(132,Engine!$C$2:$C$1960,0)),"",INDEX('Compliance Database'!$B$2:$B$1960,MATCH(132,Engine!$C$2:$C$1960,0)))</f>
        <v/>
      </c>
      <c r="C145" s="8">
        <f>IF(ISNA(MATCH(132,Engine!$C$2:$C$1960,0)),"",INDEX('Compliance Database'!$C$2:$C$1960,MATCH(132,Engine!$C$2:$C$1960,0)))</f>
        <v/>
      </c>
      <c r="D145" s="9">
        <f>IF(ISNA(MATCH(132,Engine!$C$2:$C$1960,0)),"",INDEX('Compliance Database'!$D$2:$D$1960,MATCH(132,Engine!$C$2:$C$1960,0)))</f>
        <v/>
      </c>
      <c r="E145" s="8">
        <f>IF(ISNA(MATCH(132,Engine!$C$2:$C$1960,0)),"",INDEX('Compliance Database'!$E$2:$E$1960,MATCH(132,Engine!$C$2:$C$1960,0)))</f>
        <v/>
      </c>
      <c r="F145" s="8">
        <f>IF(ISNA(MATCH(132,Engine!$C$2:$C$1960,0)),"",INDEX('Compliance Database'!$F$2:$F$1960,MATCH(132,Engine!$C$2:$C$1960,0)))</f>
        <v/>
      </c>
      <c r="G145" s="8">
        <f>IF(ISNA(MATCH(132,Engine!$C$2:$C$1960,0)),"",INDEX('Compliance Database'!$G$2:$G$1960,MATCH(132,Engine!$C$2:$C$1960,0)))</f>
        <v/>
      </c>
      <c r="H145" s="9">
        <f>IF(ISNA(MATCH(132,Engine!$C$2:$C$1960,0)),"",INDEX('Compliance Database'!$H$2:$H$1960,MATCH(132,Engine!$C$2:$C$1960,0)))</f>
        <v/>
      </c>
      <c r="I145" s="9">
        <f>IF(ISNA(MATCH(132,Engine!$C$2:$C$1960,0)),"",INDEX('Compliance Database'!$I$2:$I$1960,MATCH(132,Engine!$C$2:$C$1960,0)))</f>
        <v/>
      </c>
      <c r="J145" s="8">
        <f>IF(ISNA(MATCH(132,Engine!$C$2:$C$1960,0)),"",INDEX('Compliance Database'!$J$2:$J$1960,MATCH(132,Engine!$C$2:$C$1960,0)))</f>
        <v/>
      </c>
      <c r="K145" s="9">
        <f>IF(ISNA(MATCH(132,Engine!$C$2:$C$1960,0)),"",INDEX('Compliance Database'!$K$2:$K$1960,MATCH(132,Engine!$C$2:$C$1960,0)))</f>
        <v/>
      </c>
      <c r="L145" s="9">
        <f>IF(ISNA(MATCH(132,Engine!$C$2:$C$1960,0)),"",INDEX('Compliance Database'!$L$2:$L$1960,MATCH(132,Engine!$C$2:$C$1960,0)))</f>
        <v/>
      </c>
      <c r="M145" s="9">
        <f>IF(ISNA(MATCH(132,Engine!$C$2:$C$1960,0)),"",INDEX('Compliance Database'!$M$2:$M$1960,MATCH(132,Engine!$C$2:$C$1960,0)))</f>
        <v/>
      </c>
      <c r="N145" s="9">
        <f>IF(ISNA(MATCH(132,Engine!$C$2:$C$1960,0)),"",INDEX('Compliance Database'!$N$2:$N$1960,MATCH(132,Engine!$C$2:$C$1960,0)))</f>
        <v/>
      </c>
      <c r="O145" s="9">
        <f>IF(ISNA(MATCH(132,Engine!$C$2:$C$1960,0)),"",INDEX('Compliance Database'!$O$2:$O$1960,MATCH(132,Engine!$C$2:$C$1960,0)))</f>
        <v/>
      </c>
      <c r="P145" s="8">
        <f>IF(ISNA(MATCH(132,Engine!$C$2:$C$1960,0)),"",HYPERLINK("#Acts!A"&amp;INDEX('Compliance Database'!$P$2:$P$1960,MATCH(132,Engine!$C$2:$C$1960,0)),"Go to Act"))</f>
        <v/>
      </c>
    </row>
    <row r="146" ht="158" customHeight="1">
      <c r="A146" s="8">
        <f>IF(ISNA(MATCH(133,Engine!$C$2:$C$1960,0)),"",INDEX('Compliance Database'!$A$2:$A$1960,MATCH(133,Engine!$C$2:$C$1960,0)))</f>
        <v/>
      </c>
      <c r="B146" s="8">
        <f>IF(ISNA(MATCH(133,Engine!$C$2:$C$1960,0)),"",INDEX('Compliance Database'!$B$2:$B$1960,MATCH(133,Engine!$C$2:$C$1960,0)))</f>
        <v/>
      </c>
      <c r="C146" s="8">
        <f>IF(ISNA(MATCH(133,Engine!$C$2:$C$1960,0)),"",INDEX('Compliance Database'!$C$2:$C$1960,MATCH(133,Engine!$C$2:$C$1960,0)))</f>
        <v/>
      </c>
      <c r="D146" s="9">
        <f>IF(ISNA(MATCH(133,Engine!$C$2:$C$1960,0)),"",INDEX('Compliance Database'!$D$2:$D$1960,MATCH(133,Engine!$C$2:$C$1960,0)))</f>
        <v/>
      </c>
      <c r="E146" s="8">
        <f>IF(ISNA(MATCH(133,Engine!$C$2:$C$1960,0)),"",INDEX('Compliance Database'!$E$2:$E$1960,MATCH(133,Engine!$C$2:$C$1960,0)))</f>
        <v/>
      </c>
      <c r="F146" s="8">
        <f>IF(ISNA(MATCH(133,Engine!$C$2:$C$1960,0)),"",INDEX('Compliance Database'!$F$2:$F$1960,MATCH(133,Engine!$C$2:$C$1960,0)))</f>
        <v/>
      </c>
      <c r="G146" s="8">
        <f>IF(ISNA(MATCH(133,Engine!$C$2:$C$1960,0)),"",INDEX('Compliance Database'!$G$2:$G$1960,MATCH(133,Engine!$C$2:$C$1960,0)))</f>
        <v/>
      </c>
      <c r="H146" s="9">
        <f>IF(ISNA(MATCH(133,Engine!$C$2:$C$1960,0)),"",INDEX('Compliance Database'!$H$2:$H$1960,MATCH(133,Engine!$C$2:$C$1960,0)))</f>
        <v/>
      </c>
      <c r="I146" s="9">
        <f>IF(ISNA(MATCH(133,Engine!$C$2:$C$1960,0)),"",INDEX('Compliance Database'!$I$2:$I$1960,MATCH(133,Engine!$C$2:$C$1960,0)))</f>
        <v/>
      </c>
      <c r="J146" s="8">
        <f>IF(ISNA(MATCH(133,Engine!$C$2:$C$1960,0)),"",INDEX('Compliance Database'!$J$2:$J$1960,MATCH(133,Engine!$C$2:$C$1960,0)))</f>
        <v/>
      </c>
      <c r="K146" s="9">
        <f>IF(ISNA(MATCH(133,Engine!$C$2:$C$1960,0)),"",INDEX('Compliance Database'!$K$2:$K$1960,MATCH(133,Engine!$C$2:$C$1960,0)))</f>
        <v/>
      </c>
      <c r="L146" s="9">
        <f>IF(ISNA(MATCH(133,Engine!$C$2:$C$1960,0)),"",INDEX('Compliance Database'!$L$2:$L$1960,MATCH(133,Engine!$C$2:$C$1960,0)))</f>
        <v/>
      </c>
      <c r="M146" s="9">
        <f>IF(ISNA(MATCH(133,Engine!$C$2:$C$1960,0)),"",INDEX('Compliance Database'!$M$2:$M$1960,MATCH(133,Engine!$C$2:$C$1960,0)))</f>
        <v/>
      </c>
      <c r="N146" s="9">
        <f>IF(ISNA(MATCH(133,Engine!$C$2:$C$1960,0)),"",INDEX('Compliance Database'!$N$2:$N$1960,MATCH(133,Engine!$C$2:$C$1960,0)))</f>
        <v/>
      </c>
      <c r="O146" s="9">
        <f>IF(ISNA(MATCH(133,Engine!$C$2:$C$1960,0)),"",INDEX('Compliance Database'!$O$2:$O$1960,MATCH(133,Engine!$C$2:$C$1960,0)))</f>
        <v/>
      </c>
      <c r="P146" s="8">
        <f>IF(ISNA(MATCH(133,Engine!$C$2:$C$1960,0)),"",HYPERLINK("#Acts!A"&amp;INDEX('Compliance Database'!$P$2:$P$1960,MATCH(133,Engine!$C$2:$C$1960,0)),"Go to Act"))</f>
        <v/>
      </c>
    </row>
    <row r="147" ht="158" customHeight="1">
      <c r="A147" s="8">
        <f>IF(ISNA(MATCH(134,Engine!$C$2:$C$1960,0)),"",INDEX('Compliance Database'!$A$2:$A$1960,MATCH(134,Engine!$C$2:$C$1960,0)))</f>
        <v/>
      </c>
      <c r="B147" s="8">
        <f>IF(ISNA(MATCH(134,Engine!$C$2:$C$1960,0)),"",INDEX('Compliance Database'!$B$2:$B$1960,MATCH(134,Engine!$C$2:$C$1960,0)))</f>
        <v/>
      </c>
      <c r="C147" s="8">
        <f>IF(ISNA(MATCH(134,Engine!$C$2:$C$1960,0)),"",INDEX('Compliance Database'!$C$2:$C$1960,MATCH(134,Engine!$C$2:$C$1960,0)))</f>
        <v/>
      </c>
      <c r="D147" s="9">
        <f>IF(ISNA(MATCH(134,Engine!$C$2:$C$1960,0)),"",INDEX('Compliance Database'!$D$2:$D$1960,MATCH(134,Engine!$C$2:$C$1960,0)))</f>
        <v/>
      </c>
      <c r="E147" s="8">
        <f>IF(ISNA(MATCH(134,Engine!$C$2:$C$1960,0)),"",INDEX('Compliance Database'!$E$2:$E$1960,MATCH(134,Engine!$C$2:$C$1960,0)))</f>
        <v/>
      </c>
      <c r="F147" s="8">
        <f>IF(ISNA(MATCH(134,Engine!$C$2:$C$1960,0)),"",INDEX('Compliance Database'!$F$2:$F$1960,MATCH(134,Engine!$C$2:$C$1960,0)))</f>
        <v/>
      </c>
      <c r="G147" s="8">
        <f>IF(ISNA(MATCH(134,Engine!$C$2:$C$1960,0)),"",INDEX('Compliance Database'!$G$2:$G$1960,MATCH(134,Engine!$C$2:$C$1960,0)))</f>
        <v/>
      </c>
      <c r="H147" s="9">
        <f>IF(ISNA(MATCH(134,Engine!$C$2:$C$1960,0)),"",INDEX('Compliance Database'!$H$2:$H$1960,MATCH(134,Engine!$C$2:$C$1960,0)))</f>
        <v/>
      </c>
      <c r="I147" s="9">
        <f>IF(ISNA(MATCH(134,Engine!$C$2:$C$1960,0)),"",INDEX('Compliance Database'!$I$2:$I$1960,MATCH(134,Engine!$C$2:$C$1960,0)))</f>
        <v/>
      </c>
      <c r="J147" s="8">
        <f>IF(ISNA(MATCH(134,Engine!$C$2:$C$1960,0)),"",INDEX('Compliance Database'!$J$2:$J$1960,MATCH(134,Engine!$C$2:$C$1960,0)))</f>
        <v/>
      </c>
      <c r="K147" s="9">
        <f>IF(ISNA(MATCH(134,Engine!$C$2:$C$1960,0)),"",INDEX('Compliance Database'!$K$2:$K$1960,MATCH(134,Engine!$C$2:$C$1960,0)))</f>
        <v/>
      </c>
      <c r="L147" s="9">
        <f>IF(ISNA(MATCH(134,Engine!$C$2:$C$1960,0)),"",INDEX('Compliance Database'!$L$2:$L$1960,MATCH(134,Engine!$C$2:$C$1960,0)))</f>
        <v/>
      </c>
      <c r="M147" s="9">
        <f>IF(ISNA(MATCH(134,Engine!$C$2:$C$1960,0)),"",INDEX('Compliance Database'!$M$2:$M$1960,MATCH(134,Engine!$C$2:$C$1960,0)))</f>
        <v/>
      </c>
      <c r="N147" s="9">
        <f>IF(ISNA(MATCH(134,Engine!$C$2:$C$1960,0)),"",INDEX('Compliance Database'!$N$2:$N$1960,MATCH(134,Engine!$C$2:$C$1960,0)))</f>
        <v/>
      </c>
      <c r="O147" s="9">
        <f>IF(ISNA(MATCH(134,Engine!$C$2:$C$1960,0)),"",INDEX('Compliance Database'!$O$2:$O$1960,MATCH(134,Engine!$C$2:$C$1960,0)))</f>
        <v/>
      </c>
      <c r="P147" s="8">
        <f>IF(ISNA(MATCH(134,Engine!$C$2:$C$1960,0)),"",HYPERLINK("#Acts!A"&amp;INDEX('Compliance Database'!$P$2:$P$1960,MATCH(134,Engine!$C$2:$C$1960,0)),"Go to Act"))</f>
        <v/>
      </c>
    </row>
    <row r="148" ht="158" customHeight="1">
      <c r="A148" s="8">
        <f>IF(ISNA(MATCH(135,Engine!$C$2:$C$1960,0)),"",INDEX('Compliance Database'!$A$2:$A$1960,MATCH(135,Engine!$C$2:$C$1960,0)))</f>
        <v/>
      </c>
      <c r="B148" s="8">
        <f>IF(ISNA(MATCH(135,Engine!$C$2:$C$1960,0)),"",INDEX('Compliance Database'!$B$2:$B$1960,MATCH(135,Engine!$C$2:$C$1960,0)))</f>
        <v/>
      </c>
      <c r="C148" s="8">
        <f>IF(ISNA(MATCH(135,Engine!$C$2:$C$1960,0)),"",INDEX('Compliance Database'!$C$2:$C$1960,MATCH(135,Engine!$C$2:$C$1960,0)))</f>
        <v/>
      </c>
      <c r="D148" s="9">
        <f>IF(ISNA(MATCH(135,Engine!$C$2:$C$1960,0)),"",INDEX('Compliance Database'!$D$2:$D$1960,MATCH(135,Engine!$C$2:$C$1960,0)))</f>
        <v/>
      </c>
      <c r="E148" s="8">
        <f>IF(ISNA(MATCH(135,Engine!$C$2:$C$1960,0)),"",INDEX('Compliance Database'!$E$2:$E$1960,MATCH(135,Engine!$C$2:$C$1960,0)))</f>
        <v/>
      </c>
      <c r="F148" s="8">
        <f>IF(ISNA(MATCH(135,Engine!$C$2:$C$1960,0)),"",INDEX('Compliance Database'!$F$2:$F$1960,MATCH(135,Engine!$C$2:$C$1960,0)))</f>
        <v/>
      </c>
      <c r="G148" s="8">
        <f>IF(ISNA(MATCH(135,Engine!$C$2:$C$1960,0)),"",INDEX('Compliance Database'!$G$2:$G$1960,MATCH(135,Engine!$C$2:$C$1960,0)))</f>
        <v/>
      </c>
      <c r="H148" s="9">
        <f>IF(ISNA(MATCH(135,Engine!$C$2:$C$1960,0)),"",INDEX('Compliance Database'!$H$2:$H$1960,MATCH(135,Engine!$C$2:$C$1960,0)))</f>
        <v/>
      </c>
      <c r="I148" s="9">
        <f>IF(ISNA(MATCH(135,Engine!$C$2:$C$1960,0)),"",INDEX('Compliance Database'!$I$2:$I$1960,MATCH(135,Engine!$C$2:$C$1960,0)))</f>
        <v/>
      </c>
      <c r="J148" s="8">
        <f>IF(ISNA(MATCH(135,Engine!$C$2:$C$1960,0)),"",INDEX('Compliance Database'!$J$2:$J$1960,MATCH(135,Engine!$C$2:$C$1960,0)))</f>
        <v/>
      </c>
      <c r="K148" s="9">
        <f>IF(ISNA(MATCH(135,Engine!$C$2:$C$1960,0)),"",INDEX('Compliance Database'!$K$2:$K$1960,MATCH(135,Engine!$C$2:$C$1960,0)))</f>
        <v/>
      </c>
      <c r="L148" s="9">
        <f>IF(ISNA(MATCH(135,Engine!$C$2:$C$1960,0)),"",INDEX('Compliance Database'!$L$2:$L$1960,MATCH(135,Engine!$C$2:$C$1960,0)))</f>
        <v/>
      </c>
      <c r="M148" s="9">
        <f>IF(ISNA(MATCH(135,Engine!$C$2:$C$1960,0)),"",INDEX('Compliance Database'!$M$2:$M$1960,MATCH(135,Engine!$C$2:$C$1960,0)))</f>
        <v/>
      </c>
      <c r="N148" s="9">
        <f>IF(ISNA(MATCH(135,Engine!$C$2:$C$1960,0)),"",INDEX('Compliance Database'!$N$2:$N$1960,MATCH(135,Engine!$C$2:$C$1960,0)))</f>
        <v/>
      </c>
      <c r="O148" s="9">
        <f>IF(ISNA(MATCH(135,Engine!$C$2:$C$1960,0)),"",INDEX('Compliance Database'!$O$2:$O$1960,MATCH(135,Engine!$C$2:$C$1960,0)))</f>
        <v/>
      </c>
      <c r="P148" s="8">
        <f>IF(ISNA(MATCH(135,Engine!$C$2:$C$1960,0)),"",HYPERLINK("#Acts!A"&amp;INDEX('Compliance Database'!$P$2:$P$1960,MATCH(135,Engine!$C$2:$C$1960,0)),"Go to Act"))</f>
        <v/>
      </c>
    </row>
    <row r="149" ht="158" customHeight="1">
      <c r="A149" s="8">
        <f>IF(ISNA(MATCH(136,Engine!$C$2:$C$1960,0)),"",INDEX('Compliance Database'!$A$2:$A$1960,MATCH(136,Engine!$C$2:$C$1960,0)))</f>
        <v/>
      </c>
      <c r="B149" s="8">
        <f>IF(ISNA(MATCH(136,Engine!$C$2:$C$1960,0)),"",INDEX('Compliance Database'!$B$2:$B$1960,MATCH(136,Engine!$C$2:$C$1960,0)))</f>
        <v/>
      </c>
      <c r="C149" s="8">
        <f>IF(ISNA(MATCH(136,Engine!$C$2:$C$1960,0)),"",INDEX('Compliance Database'!$C$2:$C$1960,MATCH(136,Engine!$C$2:$C$1960,0)))</f>
        <v/>
      </c>
      <c r="D149" s="9">
        <f>IF(ISNA(MATCH(136,Engine!$C$2:$C$1960,0)),"",INDEX('Compliance Database'!$D$2:$D$1960,MATCH(136,Engine!$C$2:$C$1960,0)))</f>
        <v/>
      </c>
      <c r="E149" s="8">
        <f>IF(ISNA(MATCH(136,Engine!$C$2:$C$1960,0)),"",INDEX('Compliance Database'!$E$2:$E$1960,MATCH(136,Engine!$C$2:$C$1960,0)))</f>
        <v/>
      </c>
      <c r="F149" s="8">
        <f>IF(ISNA(MATCH(136,Engine!$C$2:$C$1960,0)),"",INDEX('Compliance Database'!$F$2:$F$1960,MATCH(136,Engine!$C$2:$C$1960,0)))</f>
        <v/>
      </c>
      <c r="G149" s="8">
        <f>IF(ISNA(MATCH(136,Engine!$C$2:$C$1960,0)),"",INDEX('Compliance Database'!$G$2:$G$1960,MATCH(136,Engine!$C$2:$C$1960,0)))</f>
        <v/>
      </c>
      <c r="H149" s="9">
        <f>IF(ISNA(MATCH(136,Engine!$C$2:$C$1960,0)),"",INDEX('Compliance Database'!$H$2:$H$1960,MATCH(136,Engine!$C$2:$C$1960,0)))</f>
        <v/>
      </c>
      <c r="I149" s="9">
        <f>IF(ISNA(MATCH(136,Engine!$C$2:$C$1960,0)),"",INDEX('Compliance Database'!$I$2:$I$1960,MATCH(136,Engine!$C$2:$C$1960,0)))</f>
        <v/>
      </c>
      <c r="J149" s="8">
        <f>IF(ISNA(MATCH(136,Engine!$C$2:$C$1960,0)),"",INDEX('Compliance Database'!$J$2:$J$1960,MATCH(136,Engine!$C$2:$C$1960,0)))</f>
        <v/>
      </c>
      <c r="K149" s="9">
        <f>IF(ISNA(MATCH(136,Engine!$C$2:$C$1960,0)),"",INDEX('Compliance Database'!$K$2:$K$1960,MATCH(136,Engine!$C$2:$C$1960,0)))</f>
        <v/>
      </c>
      <c r="L149" s="9">
        <f>IF(ISNA(MATCH(136,Engine!$C$2:$C$1960,0)),"",INDEX('Compliance Database'!$L$2:$L$1960,MATCH(136,Engine!$C$2:$C$1960,0)))</f>
        <v/>
      </c>
      <c r="M149" s="9">
        <f>IF(ISNA(MATCH(136,Engine!$C$2:$C$1960,0)),"",INDEX('Compliance Database'!$M$2:$M$1960,MATCH(136,Engine!$C$2:$C$1960,0)))</f>
        <v/>
      </c>
      <c r="N149" s="9">
        <f>IF(ISNA(MATCH(136,Engine!$C$2:$C$1960,0)),"",INDEX('Compliance Database'!$N$2:$N$1960,MATCH(136,Engine!$C$2:$C$1960,0)))</f>
        <v/>
      </c>
      <c r="O149" s="9">
        <f>IF(ISNA(MATCH(136,Engine!$C$2:$C$1960,0)),"",INDEX('Compliance Database'!$O$2:$O$1960,MATCH(136,Engine!$C$2:$C$1960,0)))</f>
        <v/>
      </c>
      <c r="P149" s="8">
        <f>IF(ISNA(MATCH(136,Engine!$C$2:$C$1960,0)),"",HYPERLINK("#Acts!A"&amp;INDEX('Compliance Database'!$P$2:$P$1960,MATCH(136,Engine!$C$2:$C$1960,0)),"Go to Act"))</f>
        <v/>
      </c>
    </row>
    <row r="150" ht="158" customHeight="1">
      <c r="A150" s="8">
        <f>IF(ISNA(MATCH(137,Engine!$C$2:$C$1960,0)),"",INDEX('Compliance Database'!$A$2:$A$1960,MATCH(137,Engine!$C$2:$C$1960,0)))</f>
        <v/>
      </c>
      <c r="B150" s="8">
        <f>IF(ISNA(MATCH(137,Engine!$C$2:$C$1960,0)),"",INDEX('Compliance Database'!$B$2:$B$1960,MATCH(137,Engine!$C$2:$C$1960,0)))</f>
        <v/>
      </c>
      <c r="C150" s="8">
        <f>IF(ISNA(MATCH(137,Engine!$C$2:$C$1960,0)),"",INDEX('Compliance Database'!$C$2:$C$1960,MATCH(137,Engine!$C$2:$C$1960,0)))</f>
        <v/>
      </c>
      <c r="D150" s="9">
        <f>IF(ISNA(MATCH(137,Engine!$C$2:$C$1960,0)),"",INDEX('Compliance Database'!$D$2:$D$1960,MATCH(137,Engine!$C$2:$C$1960,0)))</f>
        <v/>
      </c>
      <c r="E150" s="8">
        <f>IF(ISNA(MATCH(137,Engine!$C$2:$C$1960,0)),"",INDEX('Compliance Database'!$E$2:$E$1960,MATCH(137,Engine!$C$2:$C$1960,0)))</f>
        <v/>
      </c>
      <c r="F150" s="8">
        <f>IF(ISNA(MATCH(137,Engine!$C$2:$C$1960,0)),"",INDEX('Compliance Database'!$F$2:$F$1960,MATCH(137,Engine!$C$2:$C$1960,0)))</f>
        <v/>
      </c>
      <c r="G150" s="8">
        <f>IF(ISNA(MATCH(137,Engine!$C$2:$C$1960,0)),"",INDEX('Compliance Database'!$G$2:$G$1960,MATCH(137,Engine!$C$2:$C$1960,0)))</f>
        <v/>
      </c>
      <c r="H150" s="9">
        <f>IF(ISNA(MATCH(137,Engine!$C$2:$C$1960,0)),"",INDEX('Compliance Database'!$H$2:$H$1960,MATCH(137,Engine!$C$2:$C$1960,0)))</f>
        <v/>
      </c>
      <c r="I150" s="9">
        <f>IF(ISNA(MATCH(137,Engine!$C$2:$C$1960,0)),"",INDEX('Compliance Database'!$I$2:$I$1960,MATCH(137,Engine!$C$2:$C$1960,0)))</f>
        <v/>
      </c>
      <c r="J150" s="8">
        <f>IF(ISNA(MATCH(137,Engine!$C$2:$C$1960,0)),"",INDEX('Compliance Database'!$J$2:$J$1960,MATCH(137,Engine!$C$2:$C$1960,0)))</f>
        <v/>
      </c>
      <c r="K150" s="9">
        <f>IF(ISNA(MATCH(137,Engine!$C$2:$C$1960,0)),"",INDEX('Compliance Database'!$K$2:$K$1960,MATCH(137,Engine!$C$2:$C$1960,0)))</f>
        <v/>
      </c>
      <c r="L150" s="9">
        <f>IF(ISNA(MATCH(137,Engine!$C$2:$C$1960,0)),"",INDEX('Compliance Database'!$L$2:$L$1960,MATCH(137,Engine!$C$2:$C$1960,0)))</f>
        <v/>
      </c>
      <c r="M150" s="9">
        <f>IF(ISNA(MATCH(137,Engine!$C$2:$C$1960,0)),"",INDEX('Compliance Database'!$M$2:$M$1960,MATCH(137,Engine!$C$2:$C$1960,0)))</f>
        <v/>
      </c>
      <c r="N150" s="9">
        <f>IF(ISNA(MATCH(137,Engine!$C$2:$C$1960,0)),"",INDEX('Compliance Database'!$N$2:$N$1960,MATCH(137,Engine!$C$2:$C$1960,0)))</f>
        <v/>
      </c>
      <c r="O150" s="9">
        <f>IF(ISNA(MATCH(137,Engine!$C$2:$C$1960,0)),"",INDEX('Compliance Database'!$O$2:$O$1960,MATCH(137,Engine!$C$2:$C$1960,0)))</f>
        <v/>
      </c>
      <c r="P150" s="8">
        <f>IF(ISNA(MATCH(137,Engine!$C$2:$C$1960,0)),"",HYPERLINK("#Acts!A"&amp;INDEX('Compliance Database'!$P$2:$P$1960,MATCH(137,Engine!$C$2:$C$1960,0)),"Go to Act"))</f>
        <v/>
      </c>
    </row>
    <row r="151" ht="158" customHeight="1">
      <c r="A151" s="8">
        <f>IF(ISNA(MATCH(138,Engine!$C$2:$C$1960,0)),"",INDEX('Compliance Database'!$A$2:$A$1960,MATCH(138,Engine!$C$2:$C$1960,0)))</f>
        <v/>
      </c>
      <c r="B151" s="8">
        <f>IF(ISNA(MATCH(138,Engine!$C$2:$C$1960,0)),"",INDEX('Compliance Database'!$B$2:$B$1960,MATCH(138,Engine!$C$2:$C$1960,0)))</f>
        <v/>
      </c>
      <c r="C151" s="8">
        <f>IF(ISNA(MATCH(138,Engine!$C$2:$C$1960,0)),"",INDEX('Compliance Database'!$C$2:$C$1960,MATCH(138,Engine!$C$2:$C$1960,0)))</f>
        <v/>
      </c>
      <c r="D151" s="9">
        <f>IF(ISNA(MATCH(138,Engine!$C$2:$C$1960,0)),"",INDEX('Compliance Database'!$D$2:$D$1960,MATCH(138,Engine!$C$2:$C$1960,0)))</f>
        <v/>
      </c>
      <c r="E151" s="8">
        <f>IF(ISNA(MATCH(138,Engine!$C$2:$C$1960,0)),"",INDEX('Compliance Database'!$E$2:$E$1960,MATCH(138,Engine!$C$2:$C$1960,0)))</f>
        <v/>
      </c>
      <c r="F151" s="8">
        <f>IF(ISNA(MATCH(138,Engine!$C$2:$C$1960,0)),"",INDEX('Compliance Database'!$F$2:$F$1960,MATCH(138,Engine!$C$2:$C$1960,0)))</f>
        <v/>
      </c>
      <c r="G151" s="8">
        <f>IF(ISNA(MATCH(138,Engine!$C$2:$C$1960,0)),"",INDEX('Compliance Database'!$G$2:$G$1960,MATCH(138,Engine!$C$2:$C$1960,0)))</f>
        <v/>
      </c>
      <c r="H151" s="9">
        <f>IF(ISNA(MATCH(138,Engine!$C$2:$C$1960,0)),"",INDEX('Compliance Database'!$H$2:$H$1960,MATCH(138,Engine!$C$2:$C$1960,0)))</f>
        <v/>
      </c>
      <c r="I151" s="9">
        <f>IF(ISNA(MATCH(138,Engine!$C$2:$C$1960,0)),"",INDEX('Compliance Database'!$I$2:$I$1960,MATCH(138,Engine!$C$2:$C$1960,0)))</f>
        <v/>
      </c>
      <c r="J151" s="8">
        <f>IF(ISNA(MATCH(138,Engine!$C$2:$C$1960,0)),"",INDEX('Compliance Database'!$J$2:$J$1960,MATCH(138,Engine!$C$2:$C$1960,0)))</f>
        <v/>
      </c>
      <c r="K151" s="9">
        <f>IF(ISNA(MATCH(138,Engine!$C$2:$C$1960,0)),"",INDEX('Compliance Database'!$K$2:$K$1960,MATCH(138,Engine!$C$2:$C$1960,0)))</f>
        <v/>
      </c>
      <c r="L151" s="9">
        <f>IF(ISNA(MATCH(138,Engine!$C$2:$C$1960,0)),"",INDEX('Compliance Database'!$L$2:$L$1960,MATCH(138,Engine!$C$2:$C$1960,0)))</f>
        <v/>
      </c>
      <c r="M151" s="9">
        <f>IF(ISNA(MATCH(138,Engine!$C$2:$C$1960,0)),"",INDEX('Compliance Database'!$M$2:$M$1960,MATCH(138,Engine!$C$2:$C$1960,0)))</f>
        <v/>
      </c>
      <c r="N151" s="9">
        <f>IF(ISNA(MATCH(138,Engine!$C$2:$C$1960,0)),"",INDEX('Compliance Database'!$N$2:$N$1960,MATCH(138,Engine!$C$2:$C$1960,0)))</f>
        <v/>
      </c>
      <c r="O151" s="9">
        <f>IF(ISNA(MATCH(138,Engine!$C$2:$C$1960,0)),"",INDEX('Compliance Database'!$O$2:$O$1960,MATCH(138,Engine!$C$2:$C$1960,0)))</f>
        <v/>
      </c>
      <c r="P151" s="8">
        <f>IF(ISNA(MATCH(138,Engine!$C$2:$C$1960,0)),"",HYPERLINK("#Acts!A"&amp;INDEX('Compliance Database'!$P$2:$P$1960,MATCH(138,Engine!$C$2:$C$1960,0)),"Go to Act"))</f>
        <v/>
      </c>
    </row>
    <row r="152" ht="158" customHeight="1">
      <c r="A152" s="8">
        <f>IF(ISNA(MATCH(139,Engine!$C$2:$C$1960,0)),"",INDEX('Compliance Database'!$A$2:$A$1960,MATCH(139,Engine!$C$2:$C$1960,0)))</f>
        <v/>
      </c>
      <c r="B152" s="8">
        <f>IF(ISNA(MATCH(139,Engine!$C$2:$C$1960,0)),"",INDEX('Compliance Database'!$B$2:$B$1960,MATCH(139,Engine!$C$2:$C$1960,0)))</f>
        <v/>
      </c>
      <c r="C152" s="8">
        <f>IF(ISNA(MATCH(139,Engine!$C$2:$C$1960,0)),"",INDEX('Compliance Database'!$C$2:$C$1960,MATCH(139,Engine!$C$2:$C$1960,0)))</f>
        <v/>
      </c>
      <c r="D152" s="9">
        <f>IF(ISNA(MATCH(139,Engine!$C$2:$C$1960,0)),"",INDEX('Compliance Database'!$D$2:$D$1960,MATCH(139,Engine!$C$2:$C$1960,0)))</f>
        <v/>
      </c>
      <c r="E152" s="8">
        <f>IF(ISNA(MATCH(139,Engine!$C$2:$C$1960,0)),"",INDEX('Compliance Database'!$E$2:$E$1960,MATCH(139,Engine!$C$2:$C$1960,0)))</f>
        <v/>
      </c>
      <c r="F152" s="8">
        <f>IF(ISNA(MATCH(139,Engine!$C$2:$C$1960,0)),"",INDEX('Compliance Database'!$F$2:$F$1960,MATCH(139,Engine!$C$2:$C$1960,0)))</f>
        <v/>
      </c>
      <c r="G152" s="8">
        <f>IF(ISNA(MATCH(139,Engine!$C$2:$C$1960,0)),"",INDEX('Compliance Database'!$G$2:$G$1960,MATCH(139,Engine!$C$2:$C$1960,0)))</f>
        <v/>
      </c>
      <c r="H152" s="9">
        <f>IF(ISNA(MATCH(139,Engine!$C$2:$C$1960,0)),"",INDEX('Compliance Database'!$H$2:$H$1960,MATCH(139,Engine!$C$2:$C$1960,0)))</f>
        <v/>
      </c>
      <c r="I152" s="9">
        <f>IF(ISNA(MATCH(139,Engine!$C$2:$C$1960,0)),"",INDEX('Compliance Database'!$I$2:$I$1960,MATCH(139,Engine!$C$2:$C$1960,0)))</f>
        <v/>
      </c>
      <c r="J152" s="8">
        <f>IF(ISNA(MATCH(139,Engine!$C$2:$C$1960,0)),"",INDEX('Compliance Database'!$J$2:$J$1960,MATCH(139,Engine!$C$2:$C$1960,0)))</f>
        <v/>
      </c>
      <c r="K152" s="9">
        <f>IF(ISNA(MATCH(139,Engine!$C$2:$C$1960,0)),"",INDEX('Compliance Database'!$K$2:$K$1960,MATCH(139,Engine!$C$2:$C$1960,0)))</f>
        <v/>
      </c>
      <c r="L152" s="9">
        <f>IF(ISNA(MATCH(139,Engine!$C$2:$C$1960,0)),"",INDEX('Compliance Database'!$L$2:$L$1960,MATCH(139,Engine!$C$2:$C$1960,0)))</f>
        <v/>
      </c>
      <c r="M152" s="9">
        <f>IF(ISNA(MATCH(139,Engine!$C$2:$C$1960,0)),"",INDEX('Compliance Database'!$M$2:$M$1960,MATCH(139,Engine!$C$2:$C$1960,0)))</f>
        <v/>
      </c>
      <c r="N152" s="9">
        <f>IF(ISNA(MATCH(139,Engine!$C$2:$C$1960,0)),"",INDEX('Compliance Database'!$N$2:$N$1960,MATCH(139,Engine!$C$2:$C$1960,0)))</f>
        <v/>
      </c>
      <c r="O152" s="9">
        <f>IF(ISNA(MATCH(139,Engine!$C$2:$C$1960,0)),"",INDEX('Compliance Database'!$O$2:$O$1960,MATCH(139,Engine!$C$2:$C$1960,0)))</f>
        <v/>
      </c>
      <c r="P152" s="8">
        <f>IF(ISNA(MATCH(139,Engine!$C$2:$C$1960,0)),"",HYPERLINK("#Acts!A"&amp;INDEX('Compliance Database'!$P$2:$P$1960,MATCH(139,Engine!$C$2:$C$1960,0)),"Go to Act"))</f>
        <v/>
      </c>
    </row>
    <row r="153" ht="158" customHeight="1">
      <c r="A153" s="8">
        <f>IF(ISNA(MATCH(140,Engine!$C$2:$C$1960,0)),"",INDEX('Compliance Database'!$A$2:$A$1960,MATCH(140,Engine!$C$2:$C$1960,0)))</f>
        <v/>
      </c>
      <c r="B153" s="8">
        <f>IF(ISNA(MATCH(140,Engine!$C$2:$C$1960,0)),"",INDEX('Compliance Database'!$B$2:$B$1960,MATCH(140,Engine!$C$2:$C$1960,0)))</f>
        <v/>
      </c>
      <c r="C153" s="8">
        <f>IF(ISNA(MATCH(140,Engine!$C$2:$C$1960,0)),"",INDEX('Compliance Database'!$C$2:$C$1960,MATCH(140,Engine!$C$2:$C$1960,0)))</f>
        <v/>
      </c>
      <c r="D153" s="9">
        <f>IF(ISNA(MATCH(140,Engine!$C$2:$C$1960,0)),"",INDEX('Compliance Database'!$D$2:$D$1960,MATCH(140,Engine!$C$2:$C$1960,0)))</f>
        <v/>
      </c>
      <c r="E153" s="8">
        <f>IF(ISNA(MATCH(140,Engine!$C$2:$C$1960,0)),"",INDEX('Compliance Database'!$E$2:$E$1960,MATCH(140,Engine!$C$2:$C$1960,0)))</f>
        <v/>
      </c>
      <c r="F153" s="8">
        <f>IF(ISNA(MATCH(140,Engine!$C$2:$C$1960,0)),"",INDEX('Compliance Database'!$F$2:$F$1960,MATCH(140,Engine!$C$2:$C$1960,0)))</f>
        <v/>
      </c>
      <c r="G153" s="8">
        <f>IF(ISNA(MATCH(140,Engine!$C$2:$C$1960,0)),"",INDEX('Compliance Database'!$G$2:$G$1960,MATCH(140,Engine!$C$2:$C$1960,0)))</f>
        <v/>
      </c>
      <c r="H153" s="9">
        <f>IF(ISNA(MATCH(140,Engine!$C$2:$C$1960,0)),"",INDEX('Compliance Database'!$H$2:$H$1960,MATCH(140,Engine!$C$2:$C$1960,0)))</f>
        <v/>
      </c>
      <c r="I153" s="9">
        <f>IF(ISNA(MATCH(140,Engine!$C$2:$C$1960,0)),"",INDEX('Compliance Database'!$I$2:$I$1960,MATCH(140,Engine!$C$2:$C$1960,0)))</f>
        <v/>
      </c>
      <c r="J153" s="8">
        <f>IF(ISNA(MATCH(140,Engine!$C$2:$C$1960,0)),"",INDEX('Compliance Database'!$J$2:$J$1960,MATCH(140,Engine!$C$2:$C$1960,0)))</f>
        <v/>
      </c>
      <c r="K153" s="9">
        <f>IF(ISNA(MATCH(140,Engine!$C$2:$C$1960,0)),"",INDEX('Compliance Database'!$K$2:$K$1960,MATCH(140,Engine!$C$2:$C$1960,0)))</f>
        <v/>
      </c>
      <c r="L153" s="9">
        <f>IF(ISNA(MATCH(140,Engine!$C$2:$C$1960,0)),"",INDEX('Compliance Database'!$L$2:$L$1960,MATCH(140,Engine!$C$2:$C$1960,0)))</f>
        <v/>
      </c>
      <c r="M153" s="9">
        <f>IF(ISNA(MATCH(140,Engine!$C$2:$C$1960,0)),"",INDEX('Compliance Database'!$M$2:$M$1960,MATCH(140,Engine!$C$2:$C$1960,0)))</f>
        <v/>
      </c>
      <c r="N153" s="9">
        <f>IF(ISNA(MATCH(140,Engine!$C$2:$C$1960,0)),"",INDEX('Compliance Database'!$N$2:$N$1960,MATCH(140,Engine!$C$2:$C$1960,0)))</f>
        <v/>
      </c>
      <c r="O153" s="9">
        <f>IF(ISNA(MATCH(140,Engine!$C$2:$C$1960,0)),"",INDEX('Compliance Database'!$O$2:$O$1960,MATCH(140,Engine!$C$2:$C$1960,0)))</f>
        <v/>
      </c>
      <c r="P153" s="8">
        <f>IF(ISNA(MATCH(140,Engine!$C$2:$C$1960,0)),"",HYPERLINK("#Acts!A"&amp;INDEX('Compliance Database'!$P$2:$P$1960,MATCH(140,Engine!$C$2:$C$1960,0)),"Go to Act"))</f>
        <v/>
      </c>
    </row>
    <row r="154" ht="158" customHeight="1">
      <c r="A154" s="8">
        <f>IF(ISNA(MATCH(141,Engine!$C$2:$C$1960,0)),"",INDEX('Compliance Database'!$A$2:$A$1960,MATCH(141,Engine!$C$2:$C$1960,0)))</f>
        <v/>
      </c>
      <c r="B154" s="8">
        <f>IF(ISNA(MATCH(141,Engine!$C$2:$C$1960,0)),"",INDEX('Compliance Database'!$B$2:$B$1960,MATCH(141,Engine!$C$2:$C$1960,0)))</f>
        <v/>
      </c>
      <c r="C154" s="8">
        <f>IF(ISNA(MATCH(141,Engine!$C$2:$C$1960,0)),"",INDEX('Compliance Database'!$C$2:$C$1960,MATCH(141,Engine!$C$2:$C$1960,0)))</f>
        <v/>
      </c>
      <c r="D154" s="9">
        <f>IF(ISNA(MATCH(141,Engine!$C$2:$C$1960,0)),"",INDEX('Compliance Database'!$D$2:$D$1960,MATCH(141,Engine!$C$2:$C$1960,0)))</f>
        <v/>
      </c>
      <c r="E154" s="8">
        <f>IF(ISNA(MATCH(141,Engine!$C$2:$C$1960,0)),"",INDEX('Compliance Database'!$E$2:$E$1960,MATCH(141,Engine!$C$2:$C$1960,0)))</f>
        <v/>
      </c>
      <c r="F154" s="8">
        <f>IF(ISNA(MATCH(141,Engine!$C$2:$C$1960,0)),"",INDEX('Compliance Database'!$F$2:$F$1960,MATCH(141,Engine!$C$2:$C$1960,0)))</f>
        <v/>
      </c>
      <c r="G154" s="8">
        <f>IF(ISNA(MATCH(141,Engine!$C$2:$C$1960,0)),"",INDEX('Compliance Database'!$G$2:$G$1960,MATCH(141,Engine!$C$2:$C$1960,0)))</f>
        <v/>
      </c>
      <c r="H154" s="9">
        <f>IF(ISNA(MATCH(141,Engine!$C$2:$C$1960,0)),"",INDEX('Compliance Database'!$H$2:$H$1960,MATCH(141,Engine!$C$2:$C$1960,0)))</f>
        <v/>
      </c>
      <c r="I154" s="9">
        <f>IF(ISNA(MATCH(141,Engine!$C$2:$C$1960,0)),"",INDEX('Compliance Database'!$I$2:$I$1960,MATCH(141,Engine!$C$2:$C$1960,0)))</f>
        <v/>
      </c>
      <c r="J154" s="8">
        <f>IF(ISNA(MATCH(141,Engine!$C$2:$C$1960,0)),"",INDEX('Compliance Database'!$J$2:$J$1960,MATCH(141,Engine!$C$2:$C$1960,0)))</f>
        <v/>
      </c>
      <c r="K154" s="9">
        <f>IF(ISNA(MATCH(141,Engine!$C$2:$C$1960,0)),"",INDEX('Compliance Database'!$K$2:$K$1960,MATCH(141,Engine!$C$2:$C$1960,0)))</f>
        <v/>
      </c>
      <c r="L154" s="9">
        <f>IF(ISNA(MATCH(141,Engine!$C$2:$C$1960,0)),"",INDEX('Compliance Database'!$L$2:$L$1960,MATCH(141,Engine!$C$2:$C$1960,0)))</f>
        <v/>
      </c>
      <c r="M154" s="9">
        <f>IF(ISNA(MATCH(141,Engine!$C$2:$C$1960,0)),"",INDEX('Compliance Database'!$M$2:$M$1960,MATCH(141,Engine!$C$2:$C$1960,0)))</f>
        <v/>
      </c>
      <c r="N154" s="9">
        <f>IF(ISNA(MATCH(141,Engine!$C$2:$C$1960,0)),"",INDEX('Compliance Database'!$N$2:$N$1960,MATCH(141,Engine!$C$2:$C$1960,0)))</f>
        <v/>
      </c>
      <c r="O154" s="9">
        <f>IF(ISNA(MATCH(141,Engine!$C$2:$C$1960,0)),"",INDEX('Compliance Database'!$O$2:$O$1960,MATCH(141,Engine!$C$2:$C$1960,0)))</f>
        <v/>
      </c>
      <c r="P154" s="8">
        <f>IF(ISNA(MATCH(141,Engine!$C$2:$C$1960,0)),"",HYPERLINK("#Acts!A"&amp;INDEX('Compliance Database'!$P$2:$P$1960,MATCH(141,Engine!$C$2:$C$1960,0)),"Go to Act"))</f>
        <v/>
      </c>
    </row>
    <row r="155" ht="158" customHeight="1">
      <c r="A155" s="8">
        <f>IF(ISNA(MATCH(142,Engine!$C$2:$C$1960,0)),"",INDEX('Compliance Database'!$A$2:$A$1960,MATCH(142,Engine!$C$2:$C$1960,0)))</f>
        <v/>
      </c>
      <c r="B155" s="8">
        <f>IF(ISNA(MATCH(142,Engine!$C$2:$C$1960,0)),"",INDEX('Compliance Database'!$B$2:$B$1960,MATCH(142,Engine!$C$2:$C$1960,0)))</f>
        <v/>
      </c>
      <c r="C155" s="8">
        <f>IF(ISNA(MATCH(142,Engine!$C$2:$C$1960,0)),"",INDEX('Compliance Database'!$C$2:$C$1960,MATCH(142,Engine!$C$2:$C$1960,0)))</f>
        <v/>
      </c>
      <c r="D155" s="9">
        <f>IF(ISNA(MATCH(142,Engine!$C$2:$C$1960,0)),"",INDEX('Compliance Database'!$D$2:$D$1960,MATCH(142,Engine!$C$2:$C$1960,0)))</f>
        <v/>
      </c>
      <c r="E155" s="8">
        <f>IF(ISNA(MATCH(142,Engine!$C$2:$C$1960,0)),"",INDEX('Compliance Database'!$E$2:$E$1960,MATCH(142,Engine!$C$2:$C$1960,0)))</f>
        <v/>
      </c>
      <c r="F155" s="8">
        <f>IF(ISNA(MATCH(142,Engine!$C$2:$C$1960,0)),"",INDEX('Compliance Database'!$F$2:$F$1960,MATCH(142,Engine!$C$2:$C$1960,0)))</f>
        <v/>
      </c>
      <c r="G155" s="8">
        <f>IF(ISNA(MATCH(142,Engine!$C$2:$C$1960,0)),"",INDEX('Compliance Database'!$G$2:$G$1960,MATCH(142,Engine!$C$2:$C$1960,0)))</f>
        <v/>
      </c>
      <c r="H155" s="9">
        <f>IF(ISNA(MATCH(142,Engine!$C$2:$C$1960,0)),"",INDEX('Compliance Database'!$H$2:$H$1960,MATCH(142,Engine!$C$2:$C$1960,0)))</f>
        <v/>
      </c>
      <c r="I155" s="9">
        <f>IF(ISNA(MATCH(142,Engine!$C$2:$C$1960,0)),"",INDEX('Compliance Database'!$I$2:$I$1960,MATCH(142,Engine!$C$2:$C$1960,0)))</f>
        <v/>
      </c>
      <c r="J155" s="8">
        <f>IF(ISNA(MATCH(142,Engine!$C$2:$C$1960,0)),"",INDEX('Compliance Database'!$J$2:$J$1960,MATCH(142,Engine!$C$2:$C$1960,0)))</f>
        <v/>
      </c>
      <c r="K155" s="9">
        <f>IF(ISNA(MATCH(142,Engine!$C$2:$C$1960,0)),"",INDEX('Compliance Database'!$K$2:$K$1960,MATCH(142,Engine!$C$2:$C$1960,0)))</f>
        <v/>
      </c>
      <c r="L155" s="9">
        <f>IF(ISNA(MATCH(142,Engine!$C$2:$C$1960,0)),"",INDEX('Compliance Database'!$L$2:$L$1960,MATCH(142,Engine!$C$2:$C$1960,0)))</f>
        <v/>
      </c>
      <c r="M155" s="9">
        <f>IF(ISNA(MATCH(142,Engine!$C$2:$C$1960,0)),"",INDEX('Compliance Database'!$M$2:$M$1960,MATCH(142,Engine!$C$2:$C$1960,0)))</f>
        <v/>
      </c>
      <c r="N155" s="9">
        <f>IF(ISNA(MATCH(142,Engine!$C$2:$C$1960,0)),"",INDEX('Compliance Database'!$N$2:$N$1960,MATCH(142,Engine!$C$2:$C$1960,0)))</f>
        <v/>
      </c>
      <c r="O155" s="9">
        <f>IF(ISNA(MATCH(142,Engine!$C$2:$C$1960,0)),"",INDEX('Compliance Database'!$O$2:$O$1960,MATCH(142,Engine!$C$2:$C$1960,0)))</f>
        <v/>
      </c>
      <c r="P155" s="8">
        <f>IF(ISNA(MATCH(142,Engine!$C$2:$C$1960,0)),"",HYPERLINK("#Acts!A"&amp;INDEX('Compliance Database'!$P$2:$P$1960,MATCH(142,Engine!$C$2:$C$1960,0)),"Go to Act"))</f>
        <v/>
      </c>
    </row>
    <row r="156" ht="158" customHeight="1">
      <c r="A156" s="8">
        <f>IF(ISNA(MATCH(143,Engine!$C$2:$C$1960,0)),"",INDEX('Compliance Database'!$A$2:$A$1960,MATCH(143,Engine!$C$2:$C$1960,0)))</f>
        <v/>
      </c>
      <c r="B156" s="8">
        <f>IF(ISNA(MATCH(143,Engine!$C$2:$C$1960,0)),"",INDEX('Compliance Database'!$B$2:$B$1960,MATCH(143,Engine!$C$2:$C$1960,0)))</f>
        <v/>
      </c>
      <c r="C156" s="8">
        <f>IF(ISNA(MATCH(143,Engine!$C$2:$C$1960,0)),"",INDEX('Compliance Database'!$C$2:$C$1960,MATCH(143,Engine!$C$2:$C$1960,0)))</f>
        <v/>
      </c>
      <c r="D156" s="9">
        <f>IF(ISNA(MATCH(143,Engine!$C$2:$C$1960,0)),"",INDEX('Compliance Database'!$D$2:$D$1960,MATCH(143,Engine!$C$2:$C$1960,0)))</f>
        <v/>
      </c>
      <c r="E156" s="8">
        <f>IF(ISNA(MATCH(143,Engine!$C$2:$C$1960,0)),"",INDEX('Compliance Database'!$E$2:$E$1960,MATCH(143,Engine!$C$2:$C$1960,0)))</f>
        <v/>
      </c>
      <c r="F156" s="8">
        <f>IF(ISNA(MATCH(143,Engine!$C$2:$C$1960,0)),"",INDEX('Compliance Database'!$F$2:$F$1960,MATCH(143,Engine!$C$2:$C$1960,0)))</f>
        <v/>
      </c>
      <c r="G156" s="8">
        <f>IF(ISNA(MATCH(143,Engine!$C$2:$C$1960,0)),"",INDEX('Compliance Database'!$G$2:$G$1960,MATCH(143,Engine!$C$2:$C$1960,0)))</f>
        <v/>
      </c>
      <c r="H156" s="9">
        <f>IF(ISNA(MATCH(143,Engine!$C$2:$C$1960,0)),"",INDEX('Compliance Database'!$H$2:$H$1960,MATCH(143,Engine!$C$2:$C$1960,0)))</f>
        <v/>
      </c>
      <c r="I156" s="9">
        <f>IF(ISNA(MATCH(143,Engine!$C$2:$C$1960,0)),"",INDEX('Compliance Database'!$I$2:$I$1960,MATCH(143,Engine!$C$2:$C$1960,0)))</f>
        <v/>
      </c>
      <c r="J156" s="8">
        <f>IF(ISNA(MATCH(143,Engine!$C$2:$C$1960,0)),"",INDEX('Compliance Database'!$J$2:$J$1960,MATCH(143,Engine!$C$2:$C$1960,0)))</f>
        <v/>
      </c>
      <c r="K156" s="9">
        <f>IF(ISNA(MATCH(143,Engine!$C$2:$C$1960,0)),"",INDEX('Compliance Database'!$K$2:$K$1960,MATCH(143,Engine!$C$2:$C$1960,0)))</f>
        <v/>
      </c>
      <c r="L156" s="9">
        <f>IF(ISNA(MATCH(143,Engine!$C$2:$C$1960,0)),"",INDEX('Compliance Database'!$L$2:$L$1960,MATCH(143,Engine!$C$2:$C$1960,0)))</f>
        <v/>
      </c>
      <c r="M156" s="9">
        <f>IF(ISNA(MATCH(143,Engine!$C$2:$C$1960,0)),"",INDEX('Compliance Database'!$M$2:$M$1960,MATCH(143,Engine!$C$2:$C$1960,0)))</f>
        <v/>
      </c>
      <c r="N156" s="9">
        <f>IF(ISNA(MATCH(143,Engine!$C$2:$C$1960,0)),"",INDEX('Compliance Database'!$N$2:$N$1960,MATCH(143,Engine!$C$2:$C$1960,0)))</f>
        <v/>
      </c>
      <c r="O156" s="9">
        <f>IF(ISNA(MATCH(143,Engine!$C$2:$C$1960,0)),"",INDEX('Compliance Database'!$O$2:$O$1960,MATCH(143,Engine!$C$2:$C$1960,0)))</f>
        <v/>
      </c>
      <c r="P156" s="8">
        <f>IF(ISNA(MATCH(143,Engine!$C$2:$C$1960,0)),"",HYPERLINK("#Acts!A"&amp;INDEX('Compliance Database'!$P$2:$P$1960,MATCH(143,Engine!$C$2:$C$1960,0)),"Go to Act"))</f>
        <v/>
      </c>
    </row>
    <row r="157" ht="158" customHeight="1">
      <c r="A157" s="8">
        <f>IF(ISNA(MATCH(144,Engine!$C$2:$C$1960,0)),"",INDEX('Compliance Database'!$A$2:$A$1960,MATCH(144,Engine!$C$2:$C$1960,0)))</f>
        <v/>
      </c>
      <c r="B157" s="8">
        <f>IF(ISNA(MATCH(144,Engine!$C$2:$C$1960,0)),"",INDEX('Compliance Database'!$B$2:$B$1960,MATCH(144,Engine!$C$2:$C$1960,0)))</f>
        <v/>
      </c>
      <c r="C157" s="8">
        <f>IF(ISNA(MATCH(144,Engine!$C$2:$C$1960,0)),"",INDEX('Compliance Database'!$C$2:$C$1960,MATCH(144,Engine!$C$2:$C$1960,0)))</f>
        <v/>
      </c>
      <c r="D157" s="9">
        <f>IF(ISNA(MATCH(144,Engine!$C$2:$C$1960,0)),"",INDEX('Compliance Database'!$D$2:$D$1960,MATCH(144,Engine!$C$2:$C$1960,0)))</f>
        <v/>
      </c>
      <c r="E157" s="8">
        <f>IF(ISNA(MATCH(144,Engine!$C$2:$C$1960,0)),"",INDEX('Compliance Database'!$E$2:$E$1960,MATCH(144,Engine!$C$2:$C$1960,0)))</f>
        <v/>
      </c>
      <c r="F157" s="8">
        <f>IF(ISNA(MATCH(144,Engine!$C$2:$C$1960,0)),"",INDEX('Compliance Database'!$F$2:$F$1960,MATCH(144,Engine!$C$2:$C$1960,0)))</f>
        <v/>
      </c>
      <c r="G157" s="8">
        <f>IF(ISNA(MATCH(144,Engine!$C$2:$C$1960,0)),"",INDEX('Compliance Database'!$G$2:$G$1960,MATCH(144,Engine!$C$2:$C$1960,0)))</f>
        <v/>
      </c>
      <c r="H157" s="9">
        <f>IF(ISNA(MATCH(144,Engine!$C$2:$C$1960,0)),"",INDEX('Compliance Database'!$H$2:$H$1960,MATCH(144,Engine!$C$2:$C$1960,0)))</f>
        <v/>
      </c>
      <c r="I157" s="9">
        <f>IF(ISNA(MATCH(144,Engine!$C$2:$C$1960,0)),"",INDEX('Compliance Database'!$I$2:$I$1960,MATCH(144,Engine!$C$2:$C$1960,0)))</f>
        <v/>
      </c>
      <c r="J157" s="8">
        <f>IF(ISNA(MATCH(144,Engine!$C$2:$C$1960,0)),"",INDEX('Compliance Database'!$J$2:$J$1960,MATCH(144,Engine!$C$2:$C$1960,0)))</f>
        <v/>
      </c>
      <c r="K157" s="9">
        <f>IF(ISNA(MATCH(144,Engine!$C$2:$C$1960,0)),"",INDEX('Compliance Database'!$K$2:$K$1960,MATCH(144,Engine!$C$2:$C$1960,0)))</f>
        <v/>
      </c>
      <c r="L157" s="9">
        <f>IF(ISNA(MATCH(144,Engine!$C$2:$C$1960,0)),"",INDEX('Compliance Database'!$L$2:$L$1960,MATCH(144,Engine!$C$2:$C$1960,0)))</f>
        <v/>
      </c>
      <c r="M157" s="9">
        <f>IF(ISNA(MATCH(144,Engine!$C$2:$C$1960,0)),"",INDEX('Compliance Database'!$M$2:$M$1960,MATCH(144,Engine!$C$2:$C$1960,0)))</f>
        <v/>
      </c>
      <c r="N157" s="9">
        <f>IF(ISNA(MATCH(144,Engine!$C$2:$C$1960,0)),"",INDEX('Compliance Database'!$N$2:$N$1960,MATCH(144,Engine!$C$2:$C$1960,0)))</f>
        <v/>
      </c>
      <c r="O157" s="9">
        <f>IF(ISNA(MATCH(144,Engine!$C$2:$C$1960,0)),"",INDEX('Compliance Database'!$O$2:$O$1960,MATCH(144,Engine!$C$2:$C$1960,0)))</f>
        <v/>
      </c>
      <c r="P157" s="8">
        <f>IF(ISNA(MATCH(144,Engine!$C$2:$C$1960,0)),"",HYPERLINK("#Acts!A"&amp;INDEX('Compliance Database'!$P$2:$P$1960,MATCH(144,Engine!$C$2:$C$1960,0)),"Go to Act"))</f>
        <v/>
      </c>
    </row>
    <row r="158" ht="158" customHeight="1">
      <c r="A158" s="8">
        <f>IF(ISNA(MATCH(145,Engine!$C$2:$C$1960,0)),"",INDEX('Compliance Database'!$A$2:$A$1960,MATCH(145,Engine!$C$2:$C$1960,0)))</f>
        <v/>
      </c>
      <c r="B158" s="8">
        <f>IF(ISNA(MATCH(145,Engine!$C$2:$C$1960,0)),"",INDEX('Compliance Database'!$B$2:$B$1960,MATCH(145,Engine!$C$2:$C$1960,0)))</f>
        <v/>
      </c>
      <c r="C158" s="8">
        <f>IF(ISNA(MATCH(145,Engine!$C$2:$C$1960,0)),"",INDEX('Compliance Database'!$C$2:$C$1960,MATCH(145,Engine!$C$2:$C$1960,0)))</f>
        <v/>
      </c>
      <c r="D158" s="9">
        <f>IF(ISNA(MATCH(145,Engine!$C$2:$C$1960,0)),"",INDEX('Compliance Database'!$D$2:$D$1960,MATCH(145,Engine!$C$2:$C$1960,0)))</f>
        <v/>
      </c>
      <c r="E158" s="8">
        <f>IF(ISNA(MATCH(145,Engine!$C$2:$C$1960,0)),"",INDEX('Compliance Database'!$E$2:$E$1960,MATCH(145,Engine!$C$2:$C$1960,0)))</f>
        <v/>
      </c>
      <c r="F158" s="8">
        <f>IF(ISNA(MATCH(145,Engine!$C$2:$C$1960,0)),"",INDEX('Compliance Database'!$F$2:$F$1960,MATCH(145,Engine!$C$2:$C$1960,0)))</f>
        <v/>
      </c>
      <c r="G158" s="8">
        <f>IF(ISNA(MATCH(145,Engine!$C$2:$C$1960,0)),"",INDEX('Compliance Database'!$G$2:$G$1960,MATCH(145,Engine!$C$2:$C$1960,0)))</f>
        <v/>
      </c>
      <c r="H158" s="9">
        <f>IF(ISNA(MATCH(145,Engine!$C$2:$C$1960,0)),"",INDEX('Compliance Database'!$H$2:$H$1960,MATCH(145,Engine!$C$2:$C$1960,0)))</f>
        <v/>
      </c>
      <c r="I158" s="9">
        <f>IF(ISNA(MATCH(145,Engine!$C$2:$C$1960,0)),"",INDEX('Compliance Database'!$I$2:$I$1960,MATCH(145,Engine!$C$2:$C$1960,0)))</f>
        <v/>
      </c>
      <c r="J158" s="8">
        <f>IF(ISNA(MATCH(145,Engine!$C$2:$C$1960,0)),"",INDEX('Compliance Database'!$J$2:$J$1960,MATCH(145,Engine!$C$2:$C$1960,0)))</f>
        <v/>
      </c>
      <c r="K158" s="9">
        <f>IF(ISNA(MATCH(145,Engine!$C$2:$C$1960,0)),"",INDEX('Compliance Database'!$K$2:$K$1960,MATCH(145,Engine!$C$2:$C$1960,0)))</f>
        <v/>
      </c>
      <c r="L158" s="9">
        <f>IF(ISNA(MATCH(145,Engine!$C$2:$C$1960,0)),"",INDEX('Compliance Database'!$L$2:$L$1960,MATCH(145,Engine!$C$2:$C$1960,0)))</f>
        <v/>
      </c>
      <c r="M158" s="9">
        <f>IF(ISNA(MATCH(145,Engine!$C$2:$C$1960,0)),"",INDEX('Compliance Database'!$M$2:$M$1960,MATCH(145,Engine!$C$2:$C$1960,0)))</f>
        <v/>
      </c>
      <c r="N158" s="9">
        <f>IF(ISNA(MATCH(145,Engine!$C$2:$C$1960,0)),"",INDEX('Compliance Database'!$N$2:$N$1960,MATCH(145,Engine!$C$2:$C$1960,0)))</f>
        <v/>
      </c>
      <c r="O158" s="9">
        <f>IF(ISNA(MATCH(145,Engine!$C$2:$C$1960,0)),"",INDEX('Compliance Database'!$O$2:$O$1960,MATCH(145,Engine!$C$2:$C$1960,0)))</f>
        <v/>
      </c>
      <c r="P158" s="8">
        <f>IF(ISNA(MATCH(145,Engine!$C$2:$C$1960,0)),"",HYPERLINK("#Acts!A"&amp;INDEX('Compliance Database'!$P$2:$P$1960,MATCH(145,Engine!$C$2:$C$1960,0)),"Go to Act"))</f>
        <v/>
      </c>
    </row>
    <row r="159" ht="158" customHeight="1">
      <c r="A159" s="8">
        <f>IF(ISNA(MATCH(146,Engine!$C$2:$C$1960,0)),"",INDEX('Compliance Database'!$A$2:$A$1960,MATCH(146,Engine!$C$2:$C$1960,0)))</f>
        <v/>
      </c>
      <c r="B159" s="8">
        <f>IF(ISNA(MATCH(146,Engine!$C$2:$C$1960,0)),"",INDEX('Compliance Database'!$B$2:$B$1960,MATCH(146,Engine!$C$2:$C$1960,0)))</f>
        <v/>
      </c>
      <c r="C159" s="8">
        <f>IF(ISNA(MATCH(146,Engine!$C$2:$C$1960,0)),"",INDEX('Compliance Database'!$C$2:$C$1960,MATCH(146,Engine!$C$2:$C$1960,0)))</f>
        <v/>
      </c>
      <c r="D159" s="9">
        <f>IF(ISNA(MATCH(146,Engine!$C$2:$C$1960,0)),"",INDEX('Compliance Database'!$D$2:$D$1960,MATCH(146,Engine!$C$2:$C$1960,0)))</f>
        <v/>
      </c>
      <c r="E159" s="8">
        <f>IF(ISNA(MATCH(146,Engine!$C$2:$C$1960,0)),"",INDEX('Compliance Database'!$E$2:$E$1960,MATCH(146,Engine!$C$2:$C$1960,0)))</f>
        <v/>
      </c>
      <c r="F159" s="8">
        <f>IF(ISNA(MATCH(146,Engine!$C$2:$C$1960,0)),"",INDEX('Compliance Database'!$F$2:$F$1960,MATCH(146,Engine!$C$2:$C$1960,0)))</f>
        <v/>
      </c>
      <c r="G159" s="8">
        <f>IF(ISNA(MATCH(146,Engine!$C$2:$C$1960,0)),"",INDEX('Compliance Database'!$G$2:$G$1960,MATCH(146,Engine!$C$2:$C$1960,0)))</f>
        <v/>
      </c>
      <c r="H159" s="9">
        <f>IF(ISNA(MATCH(146,Engine!$C$2:$C$1960,0)),"",INDEX('Compliance Database'!$H$2:$H$1960,MATCH(146,Engine!$C$2:$C$1960,0)))</f>
        <v/>
      </c>
      <c r="I159" s="9">
        <f>IF(ISNA(MATCH(146,Engine!$C$2:$C$1960,0)),"",INDEX('Compliance Database'!$I$2:$I$1960,MATCH(146,Engine!$C$2:$C$1960,0)))</f>
        <v/>
      </c>
      <c r="J159" s="8">
        <f>IF(ISNA(MATCH(146,Engine!$C$2:$C$1960,0)),"",INDEX('Compliance Database'!$J$2:$J$1960,MATCH(146,Engine!$C$2:$C$1960,0)))</f>
        <v/>
      </c>
      <c r="K159" s="9">
        <f>IF(ISNA(MATCH(146,Engine!$C$2:$C$1960,0)),"",INDEX('Compliance Database'!$K$2:$K$1960,MATCH(146,Engine!$C$2:$C$1960,0)))</f>
        <v/>
      </c>
      <c r="L159" s="9">
        <f>IF(ISNA(MATCH(146,Engine!$C$2:$C$1960,0)),"",INDEX('Compliance Database'!$L$2:$L$1960,MATCH(146,Engine!$C$2:$C$1960,0)))</f>
        <v/>
      </c>
      <c r="M159" s="9">
        <f>IF(ISNA(MATCH(146,Engine!$C$2:$C$1960,0)),"",INDEX('Compliance Database'!$M$2:$M$1960,MATCH(146,Engine!$C$2:$C$1960,0)))</f>
        <v/>
      </c>
      <c r="N159" s="9">
        <f>IF(ISNA(MATCH(146,Engine!$C$2:$C$1960,0)),"",INDEX('Compliance Database'!$N$2:$N$1960,MATCH(146,Engine!$C$2:$C$1960,0)))</f>
        <v/>
      </c>
      <c r="O159" s="9">
        <f>IF(ISNA(MATCH(146,Engine!$C$2:$C$1960,0)),"",INDEX('Compliance Database'!$O$2:$O$1960,MATCH(146,Engine!$C$2:$C$1960,0)))</f>
        <v/>
      </c>
      <c r="P159" s="8">
        <f>IF(ISNA(MATCH(146,Engine!$C$2:$C$1960,0)),"",HYPERLINK("#Acts!A"&amp;INDEX('Compliance Database'!$P$2:$P$1960,MATCH(146,Engine!$C$2:$C$1960,0)),"Go to Act"))</f>
        <v/>
      </c>
    </row>
    <row r="160" ht="158" customHeight="1">
      <c r="A160" s="8">
        <f>IF(ISNA(MATCH(147,Engine!$C$2:$C$1960,0)),"",INDEX('Compliance Database'!$A$2:$A$1960,MATCH(147,Engine!$C$2:$C$1960,0)))</f>
        <v/>
      </c>
      <c r="B160" s="8">
        <f>IF(ISNA(MATCH(147,Engine!$C$2:$C$1960,0)),"",INDEX('Compliance Database'!$B$2:$B$1960,MATCH(147,Engine!$C$2:$C$1960,0)))</f>
        <v/>
      </c>
      <c r="C160" s="8">
        <f>IF(ISNA(MATCH(147,Engine!$C$2:$C$1960,0)),"",INDEX('Compliance Database'!$C$2:$C$1960,MATCH(147,Engine!$C$2:$C$1960,0)))</f>
        <v/>
      </c>
      <c r="D160" s="9">
        <f>IF(ISNA(MATCH(147,Engine!$C$2:$C$1960,0)),"",INDEX('Compliance Database'!$D$2:$D$1960,MATCH(147,Engine!$C$2:$C$1960,0)))</f>
        <v/>
      </c>
      <c r="E160" s="8">
        <f>IF(ISNA(MATCH(147,Engine!$C$2:$C$1960,0)),"",INDEX('Compliance Database'!$E$2:$E$1960,MATCH(147,Engine!$C$2:$C$1960,0)))</f>
        <v/>
      </c>
      <c r="F160" s="8">
        <f>IF(ISNA(MATCH(147,Engine!$C$2:$C$1960,0)),"",INDEX('Compliance Database'!$F$2:$F$1960,MATCH(147,Engine!$C$2:$C$1960,0)))</f>
        <v/>
      </c>
      <c r="G160" s="8">
        <f>IF(ISNA(MATCH(147,Engine!$C$2:$C$1960,0)),"",INDEX('Compliance Database'!$G$2:$G$1960,MATCH(147,Engine!$C$2:$C$1960,0)))</f>
        <v/>
      </c>
      <c r="H160" s="9">
        <f>IF(ISNA(MATCH(147,Engine!$C$2:$C$1960,0)),"",INDEX('Compliance Database'!$H$2:$H$1960,MATCH(147,Engine!$C$2:$C$1960,0)))</f>
        <v/>
      </c>
      <c r="I160" s="9">
        <f>IF(ISNA(MATCH(147,Engine!$C$2:$C$1960,0)),"",INDEX('Compliance Database'!$I$2:$I$1960,MATCH(147,Engine!$C$2:$C$1960,0)))</f>
        <v/>
      </c>
      <c r="J160" s="8">
        <f>IF(ISNA(MATCH(147,Engine!$C$2:$C$1960,0)),"",INDEX('Compliance Database'!$J$2:$J$1960,MATCH(147,Engine!$C$2:$C$1960,0)))</f>
        <v/>
      </c>
      <c r="K160" s="9">
        <f>IF(ISNA(MATCH(147,Engine!$C$2:$C$1960,0)),"",INDEX('Compliance Database'!$K$2:$K$1960,MATCH(147,Engine!$C$2:$C$1960,0)))</f>
        <v/>
      </c>
      <c r="L160" s="9">
        <f>IF(ISNA(MATCH(147,Engine!$C$2:$C$1960,0)),"",INDEX('Compliance Database'!$L$2:$L$1960,MATCH(147,Engine!$C$2:$C$1960,0)))</f>
        <v/>
      </c>
      <c r="M160" s="9">
        <f>IF(ISNA(MATCH(147,Engine!$C$2:$C$1960,0)),"",INDEX('Compliance Database'!$M$2:$M$1960,MATCH(147,Engine!$C$2:$C$1960,0)))</f>
        <v/>
      </c>
      <c r="N160" s="9">
        <f>IF(ISNA(MATCH(147,Engine!$C$2:$C$1960,0)),"",INDEX('Compliance Database'!$N$2:$N$1960,MATCH(147,Engine!$C$2:$C$1960,0)))</f>
        <v/>
      </c>
      <c r="O160" s="9">
        <f>IF(ISNA(MATCH(147,Engine!$C$2:$C$1960,0)),"",INDEX('Compliance Database'!$O$2:$O$1960,MATCH(147,Engine!$C$2:$C$1960,0)))</f>
        <v/>
      </c>
      <c r="P160" s="8">
        <f>IF(ISNA(MATCH(147,Engine!$C$2:$C$1960,0)),"",HYPERLINK("#Acts!A"&amp;INDEX('Compliance Database'!$P$2:$P$1960,MATCH(147,Engine!$C$2:$C$1960,0)),"Go to Act"))</f>
        <v/>
      </c>
    </row>
    <row r="161" ht="158" customHeight="1">
      <c r="A161" s="8">
        <f>IF(ISNA(MATCH(148,Engine!$C$2:$C$1960,0)),"",INDEX('Compliance Database'!$A$2:$A$1960,MATCH(148,Engine!$C$2:$C$1960,0)))</f>
        <v/>
      </c>
      <c r="B161" s="8">
        <f>IF(ISNA(MATCH(148,Engine!$C$2:$C$1960,0)),"",INDEX('Compliance Database'!$B$2:$B$1960,MATCH(148,Engine!$C$2:$C$1960,0)))</f>
        <v/>
      </c>
      <c r="C161" s="8">
        <f>IF(ISNA(MATCH(148,Engine!$C$2:$C$1960,0)),"",INDEX('Compliance Database'!$C$2:$C$1960,MATCH(148,Engine!$C$2:$C$1960,0)))</f>
        <v/>
      </c>
      <c r="D161" s="9">
        <f>IF(ISNA(MATCH(148,Engine!$C$2:$C$1960,0)),"",INDEX('Compliance Database'!$D$2:$D$1960,MATCH(148,Engine!$C$2:$C$1960,0)))</f>
        <v/>
      </c>
      <c r="E161" s="8">
        <f>IF(ISNA(MATCH(148,Engine!$C$2:$C$1960,0)),"",INDEX('Compliance Database'!$E$2:$E$1960,MATCH(148,Engine!$C$2:$C$1960,0)))</f>
        <v/>
      </c>
      <c r="F161" s="8">
        <f>IF(ISNA(MATCH(148,Engine!$C$2:$C$1960,0)),"",INDEX('Compliance Database'!$F$2:$F$1960,MATCH(148,Engine!$C$2:$C$1960,0)))</f>
        <v/>
      </c>
      <c r="G161" s="8">
        <f>IF(ISNA(MATCH(148,Engine!$C$2:$C$1960,0)),"",INDEX('Compliance Database'!$G$2:$G$1960,MATCH(148,Engine!$C$2:$C$1960,0)))</f>
        <v/>
      </c>
      <c r="H161" s="9">
        <f>IF(ISNA(MATCH(148,Engine!$C$2:$C$1960,0)),"",INDEX('Compliance Database'!$H$2:$H$1960,MATCH(148,Engine!$C$2:$C$1960,0)))</f>
        <v/>
      </c>
      <c r="I161" s="9">
        <f>IF(ISNA(MATCH(148,Engine!$C$2:$C$1960,0)),"",INDEX('Compliance Database'!$I$2:$I$1960,MATCH(148,Engine!$C$2:$C$1960,0)))</f>
        <v/>
      </c>
      <c r="J161" s="8">
        <f>IF(ISNA(MATCH(148,Engine!$C$2:$C$1960,0)),"",INDEX('Compliance Database'!$J$2:$J$1960,MATCH(148,Engine!$C$2:$C$1960,0)))</f>
        <v/>
      </c>
      <c r="K161" s="9">
        <f>IF(ISNA(MATCH(148,Engine!$C$2:$C$1960,0)),"",INDEX('Compliance Database'!$K$2:$K$1960,MATCH(148,Engine!$C$2:$C$1960,0)))</f>
        <v/>
      </c>
      <c r="L161" s="9">
        <f>IF(ISNA(MATCH(148,Engine!$C$2:$C$1960,0)),"",INDEX('Compliance Database'!$L$2:$L$1960,MATCH(148,Engine!$C$2:$C$1960,0)))</f>
        <v/>
      </c>
      <c r="M161" s="9">
        <f>IF(ISNA(MATCH(148,Engine!$C$2:$C$1960,0)),"",INDEX('Compliance Database'!$M$2:$M$1960,MATCH(148,Engine!$C$2:$C$1960,0)))</f>
        <v/>
      </c>
      <c r="N161" s="9">
        <f>IF(ISNA(MATCH(148,Engine!$C$2:$C$1960,0)),"",INDEX('Compliance Database'!$N$2:$N$1960,MATCH(148,Engine!$C$2:$C$1960,0)))</f>
        <v/>
      </c>
      <c r="O161" s="9">
        <f>IF(ISNA(MATCH(148,Engine!$C$2:$C$1960,0)),"",INDEX('Compliance Database'!$O$2:$O$1960,MATCH(148,Engine!$C$2:$C$1960,0)))</f>
        <v/>
      </c>
      <c r="P161" s="8">
        <f>IF(ISNA(MATCH(148,Engine!$C$2:$C$1960,0)),"",HYPERLINK("#Acts!A"&amp;INDEX('Compliance Database'!$P$2:$P$1960,MATCH(148,Engine!$C$2:$C$1960,0)),"Go to Act"))</f>
        <v/>
      </c>
    </row>
    <row r="162" ht="158" customHeight="1">
      <c r="A162" s="8">
        <f>IF(ISNA(MATCH(149,Engine!$C$2:$C$1960,0)),"",INDEX('Compliance Database'!$A$2:$A$1960,MATCH(149,Engine!$C$2:$C$1960,0)))</f>
        <v/>
      </c>
      <c r="B162" s="8">
        <f>IF(ISNA(MATCH(149,Engine!$C$2:$C$1960,0)),"",INDEX('Compliance Database'!$B$2:$B$1960,MATCH(149,Engine!$C$2:$C$1960,0)))</f>
        <v/>
      </c>
      <c r="C162" s="8">
        <f>IF(ISNA(MATCH(149,Engine!$C$2:$C$1960,0)),"",INDEX('Compliance Database'!$C$2:$C$1960,MATCH(149,Engine!$C$2:$C$1960,0)))</f>
        <v/>
      </c>
      <c r="D162" s="9">
        <f>IF(ISNA(MATCH(149,Engine!$C$2:$C$1960,0)),"",INDEX('Compliance Database'!$D$2:$D$1960,MATCH(149,Engine!$C$2:$C$1960,0)))</f>
        <v/>
      </c>
      <c r="E162" s="8">
        <f>IF(ISNA(MATCH(149,Engine!$C$2:$C$1960,0)),"",INDEX('Compliance Database'!$E$2:$E$1960,MATCH(149,Engine!$C$2:$C$1960,0)))</f>
        <v/>
      </c>
      <c r="F162" s="8">
        <f>IF(ISNA(MATCH(149,Engine!$C$2:$C$1960,0)),"",INDEX('Compliance Database'!$F$2:$F$1960,MATCH(149,Engine!$C$2:$C$1960,0)))</f>
        <v/>
      </c>
      <c r="G162" s="8">
        <f>IF(ISNA(MATCH(149,Engine!$C$2:$C$1960,0)),"",INDEX('Compliance Database'!$G$2:$G$1960,MATCH(149,Engine!$C$2:$C$1960,0)))</f>
        <v/>
      </c>
      <c r="H162" s="9">
        <f>IF(ISNA(MATCH(149,Engine!$C$2:$C$1960,0)),"",INDEX('Compliance Database'!$H$2:$H$1960,MATCH(149,Engine!$C$2:$C$1960,0)))</f>
        <v/>
      </c>
      <c r="I162" s="9">
        <f>IF(ISNA(MATCH(149,Engine!$C$2:$C$1960,0)),"",INDEX('Compliance Database'!$I$2:$I$1960,MATCH(149,Engine!$C$2:$C$1960,0)))</f>
        <v/>
      </c>
      <c r="J162" s="8">
        <f>IF(ISNA(MATCH(149,Engine!$C$2:$C$1960,0)),"",INDEX('Compliance Database'!$J$2:$J$1960,MATCH(149,Engine!$C$2:$C$1960,0)))</f>
        <v/>
      </c>
      <c r="K162" s="9">
        <f>IF(ISNA(MATCH(149,Engine!$C$2:$C$1960,0)),"",INDEX('Compliance Database'!$K$2:$K$1960,MATCH(149,Engine!$C$2:$C$1960,0)))</f>
        <v/>
      </c>
      <c r="L162" s="9">
        <f>IF(ISNA(MATCH(149,Engine!$C$2:$C$1960,0)),"",INDEX('Compliance Database'!$L$2:$L$1960,MATCH(149,Engine!$C$2:$C$1960,0)))</f>
        <v/>
      </c>
      <c r="M162" s="9">
        <f>IF(ISNA(MATCH(149,Engine!$C$2:$C$1960,0)),"",INDEX('Compliance Database'!$M$2:$M$1960,MATCH(149,Engine!$C$2:$C$1960,0)))</f>
        <v/>
      </c>
      <c r="N162" s="9">
        <f>IF(ISNA(MATCH(149,Engine!$C$2:$C$1960,0)),"",INDEX('Compliance Database'!$N$2:$N$1960,MATCH(149,Engine!$C$2:$C$1960,0)))</f>
        <v/>
      </c>
      <c r="O162" s="9">
        <f>IF(ISNA(MATCH(149,Engine!$C$2:$C$1960,0)),"",INDEX('Compliance Database'!$O$2:$O$1960,MATCH(149,Engine!$C$2:$C$1960,0)))</f>
        <v/>
      </c>
      <c r="P162" s="8">
        <f>IF(ISNA(MATCH(149,Engine!$C$2:$C$1960,0)),"",HYPERLINK("#Acts!A"&amp;INDEX('Compliance Database'!$P$2:$P$1960,MATCH(149,Engine!$C$2:$C$1960,0)),"Go to Act"))</f>
        <v/>
      </c>
    </row>
    <row r="163" ht="158" customHeight="1">
      <c r="A163" s="8">
        <f>IF(ISNA(MATCH(150,Engine!$C$2:$C$1960,0)),"",INDEX('Compliance Database'!$A$2:$A$1960,MATCH(150,Engine!$C$2:$C$1960,0)))</f>
        <v/>
      </c>
      <c r="B163" s="8">
        <f>IF(ISNA(MATCH(150,Engine!$C$2:$C$1960,0)),"",INDEX('Compliance Database'!$B$2:$B$1960,MATCH(150,Engine!$C$2:$C$1960,0)))</f>
        <v/>
      </c>
      <c r="C163" s="8">
        <f>IF(ISNA(MATCH(150,Engine!$C$2:$C$1960,0)),"",INDEX('Compliance Database'!$C$2:$C$1960,MATCH(150,Engine!$C$2:$C$1960,0)))</f>
        <v/>
      </c>
      <c r="D163" s="9">
        <f>IF(ISNA(MATCH(150,Engine!$C$2:$C$1960,0)),"",INDEX('Compliance Database'!$D$2:$D$1960,MATCH(150,Engine!$C$2:$C$1960,0)))</f>
        <v/>
      </c>
      <c r="E163" s="8">
        <f>IF(ISNA(MATCH(150,Engine!$C$2:$C$1960,0)),"",INDEX('Compliance Database'!$E$2:$E$1960,MATCH(150,Engine!$C$2:$C$1960,0)))</f>
        <v/>
      </c>
      <c r="F163" s="8">
        <f>IF(ISNA(MATCH(150,Engine!$C$2:$C$1960,0)),"",INDEX('Compliance Database'!$F$2:$F$1960,MATCH(150,Engine!$C$2:$C$1960,0)))</f>
        <v/>
      </c>
      <c r="G163" s="8">
        <f>IF(ISNA(MATCH(150,Engine!$C$2:$C$1960,0)),"",INDEX('Compliance Database'!$G$2:$G$1960,MATCH(150,Engine!$C$2:$C$1960,0)))</f>
        <v/>
      </c>
      <c r="H163" s="9">
        <f>IF(ISNA(MATCH(150,Engine!$C$2:$C$1960,0)),"",INDEX('Compliance Database'!$H$2:$H$1960,MATCH(150,Engine!$C$2:$C$1960,0)))</f>
        <v/>
      </c>
      <c r="I163" s="9">
        <f>IF(ISNA(MATCH(150,Engine!$C$2:$C$1960,0)),"",INDEX('Compliance Database'!$I$2:$I$1960,MATCH(150,Engine!$C$2:$C$1960,0)))</f>
        <v/>
      </c>
      <c r="J163" s="8">
        <f>IF(ISNA(MATCH(150,Engine!$C$2:$C$1960,0)),"",INDEX('Compliance Database'!$J$2:$J$1960,MATCH(150,Engine!$C$2:$C$1960,0)))</f>
        <v/>
      </c>
      <c r="K163" s="9">
        <f>IF(ISNA(MATCH(150,Engine!$C$2:$C$1960,0)),"",INDEX('Compliance Database'!$K$2:$K$1960,MATCH(150,Engine!$C$2:$C$1960,0)))</f>
        <v/>
      </c>
      <c r="L163" s="9">
        <f>IF(ISNA(MATCH(150,Engine!$C$2:$C$1960,0)),"",INDEX('Compliance Database'!$L$2:$L$1960,MATCH(150,Engine!$C$2:$C$1960,0)))</f>
        <v/>
      </c>
      <c r="M163" s="9">
        <f>IF(ISNA(MATCH(150,Engine!$C$2:$C$1960,0)),"",INDEX('Compliance Database'!$M$2:$M$1960,MATCH(150,Engine!$C$2:$C$1960,0)))</f>
        <v/>
      </c>
      <c r="N163" s="9">
        <f>IF(ISNA(MATCH(150,Engine!$C$2:$C$1960,0)),"",INDEX('Compliance Database'!$N$2:$N$1960,MATCH(150,Engine!$C$2:$C$1960,0)))</f>
        <v/>
      </c>
      <c r="O163" s="9">
        <f>IF(ISNA(MATCH(150,Engine!$C$2:$C$1960,0)),"",INDEX('Compliance Database'!$O$2:$O$1960,MATCH(150,Engine!$C$2:$C$1960,0)))</f>
        <v/>
      </c>
      <c r="P163" s="8">
        <f>IF(ISNA(MATCH(150,Engine!$C$2:$C$1960,0)),"",HYPERLINK("#Acts!A"&amp;INDEX('Compliance Database'!$P$2:$P$1960,MATCH(150,Engine!$C$2:$C$1960,0)),"Go to Act"))</f>
        <v/>
      </c>
    </row>
    <row r="164" ht="158" customHeight="1">
      <c r="A164" s="8">
        <f>IF(ISNA(MATCH(151,Engine!$C$2:$C$1960,0)),"",INDEX('Compliance Database'!$A$2:$A$1960,MATCH(151,Engine!$C$2:$C$1960,0)))</f>
        <v/>
      </c>
      <c r="B164" s="8">
        <f>IF(ISNA(MATCH(151,Engine!$C$2:$C$1960,0)),"",INDEX('Compliance Database'!$B$2:$B$1960,MATCH(151,Engine!$C$2:$C$1960,0)))</f>
        <v/>
      </c>
      <c r="C164" s="8">
        <f>IF(ISNA(MATCH(151,Engine!$C$2:$C$1960,0)),"",INDEX('Compliance Database'!$C$2:$C$1960,MATCH(151,Engine!$C$2:$C$1960,0)))</f>
        <v/>
      </c>
      <c r="D164" s="9">
        <f>IF(ISNA(MATCH(151,Engine!$C$2:$C$1960,0)),"",INDEX('Compliance Database'!$D$2:$D$1960,MATCH(151,Engine!$C$2:$C$1960,0)))</f>
        <v/>
      </c>
      <c r="E164" s="8">
        <f>IF(ISNA(MATCH(151,Engine!$C$2:$C$1960,0)),"",INDEX('Compliance Database'!$E$2:$E$1960,MATCH(151,Engine!$C$2:$C$1960,0)))</f>
        <v/>
      </c>
      <c r="F164" s="8">
        <f>IF(ISNA(MATCH(151,Engine!$C$2:$C$1960,0)),"",INDEX('Compliance Database'!$F$2:$F$1960,MATCH(151,Engine!$C$2:$C$1960,0)))</f>
        <v/>
      </c>
      <c r="G164" s="8">
        <f>IF(ISNA(MATCH(151,Engine!$C$2:$C$1960,0)),"",INDEX('Compliance Database'!$G$2:$G$1960,MATCH(151,Engine!$C$2:$C$1960,0)))</f>
        <v/>
      </c>
      <c r="H164" s="9">
        <f>IF(ISNA(MATCH(151,Engine!$C$2:$C$1960,0)),"",INDEX('Compliance Database'!$H$2:$H$1960,MATCH(151,Engine!$C$2:$C$1960,0)))</f>
        <v/>
      </c>
      <c r="I164" s="9">
        <f>IF(ISNA(MATCH(151,Engine!$C$2:$C$1960,0)),"",INDEX('Compliance Database'!$I$2:$I$1960,MATCH(151,Engine!$C$2:$C$1960,0)))</f>
        <v/>
      </c>
      <c r="J164" s="8">
        <f>IF(ISNA(MATCH(151,Engine!$C$2:$C$1960,0)),"",INDEX('Compliance Database'!$J$2:$J$1960,MATCH(151,Engine!$C$2:$C$1960,0)))</f>
        <v/>
      </c>
      <c r="K164" s="9">
        <f>IF(ISNA(MATCH(151,Engine!$C$2:$C$1960,0)),"",INDEX('Compliance Database'!$K$2:$K$1960,MATCH(151,Engine!$C$2:$C$1960,0)))</f>
        <v/>
      </c>
      <c r="L164" s="9">
        <f>IF(ISNA(MATCH(151,Engine!$C$2:$C$1960,0)),"",INDEX('Compliance Database'!$L$2:$L$1960,MATCH(151,Engine!$C$2:$C$1960,0)))</f>
        <v/>
      </c>
      <c r="M164" s="9">
        <f>IF(ISNA(MATCH(151,Engine!$C$2:$C$1960,0)),"",INDEX('Compliance Database'!$M$2:$M$1960,MATCH(151,Engine!$C$2:$C$1960,0)))</f>
        <v/>
      </c>
      <c r="N164" s="9">
        <f>IF(ISNA(MATCH(151,Engine!$C$2:$C$1960,0)),"",INDEX('Compliance Database'!$N$2:$N$1960,MATCH(151,Engine!$C$2:$C$1960,0)))</f>
        <v/>
      </c>
      <c r="O164" s="9">
        <f>IF(ISNA(MATCH(151,Engine!$C$2:$C$1960,0)),"",INDEX('Compliance Database'!$O$2:$O$1960,MATCH(151,Engine!$C$2:$C$1960,0)))</f>
        <v/>
      </c>
      <c r="P164" s="8">
        <f>IF(ISNA(MATCH(151,Engine!$C$2:$C$1960,0)),"",HYPERLINK("#Acts!A"&amp;INDEX('Compliance Database'!$P$2:$P$1960,MATCH(151,Engine!$C$2:$C$1960,0)),"Go to Act"))</f>
        <v/>
      </c>
    </row>
    <row r="165" ht="158" customHeight="1">
      <c r="A165" s="8">
        <f>IF(ISNA(MATCH(152,Engine!$C$2:$C$1960,0)),"",INDEX('Compliance Database'!$A$2:$A$1960,MATCH(152,Engine!$C$2:$C$1960,0)))</f>
        <v/>
      </c>
      <c r="B165" s="8">
        <f>IF(ISNA(MATCH(152,Engine!$C$2:$C$1960,0)),"",INDEX('Compliance Database'!$B$2:$B$1960,MATCH(152,Engine!$C$2:$C$1960,0)))</f>
        <v/>
      </c>
      <c r="C165" s="8">
        <f>IF(ISNA(MATCH(152,Engine!$C$2:$C$1960,0)),"",INDEX('Compliance Database'!$C$2:$C$1960,MATCH(152,Engine!$C$2:$C$1960,0)))</f>
        <v/>
      </c>
      <c r="D165" s="9">
        <f>IF(ISNA(MATCH(152,Engine!$C$2:$C$1960,0)),"",INDEX('Compliance Database'!$D$2:$D$1960,MATCH(152,Engine!$C$2:$C$1960,0)))</f>
        <v/>
      </c>
      <c r="E165" s="8">
        <f>IF(ISNA(MATCH(152,Engine!$C$2:$C$1960,0)),"",INDEX('Compliance Database'!$E$2:$E$1960,MATCH(152,Engine!$C$2:$C$1960,0)))</f>
        <v/>
      </c>
      <c r="F165" s="8">
        <f>IF(ISNA(MATCH(152,Engine!$C$2:$C$1960,0)),"",INDEX('Compliance Database'!$F$2:$F$1960,MATCH(152,Engine!$C$2:$C$1960,0)))</f>
        <v/>
      </c>
      <c r="G165" s="8">
        <f>IF(ISNA(MATCH(152,Engine!$C$2:$C$1960,0)),"",INDEX('Compliance Database'!$G$2:$G$1960,MATCH(152,Engine!$C$2:$C$1960,0)))</f>
        <v/>
      </c>
      <c r="H165" s="9">
        <f>IF(ISNA(MATCH(152,Engine!$C$2:$C$1960,0)),"",INDEX('Compliance Database'!$H$2:$H$1960,MATCH(152,Engine!$C$2:$C$1960,0)))</f>
        <v/>
      </c>
      <c r="I165" s="9">
        <f>IF(ISNA(MATCH(152,Engine!$C$2:$C$1960,0)),"",INDEX('Compliance Database'!$I$2:$I$1960,MATCH(152,Engine!$C$2:$C$1960,0)))</f>
        <v/>
      </c>
      <c r="J165" s="8">
        <f>IF(ISNA(MATCH(152,Engine!$C$2:$C$1960,0)),"",INDEX('Compliance Database'!$J$2:$J$1960,MATCH(152,Engine!$C$2:$C$1960,0)))</f>
        <v/>
      </c>
      <c r="K165" s="9">
        <f>IF(ISNA(MATCH(152,Engine!$C$2:$C$1960,0)),"",INDEX('Compliance Database'!$K$2:$K$1960,MATCH(152,Engine!$C$2:$C$1960,0)))</f>
        <v/>
      </c>
      <c r="L165" s="9">
        <f>IF(ISNA(MATCH(152,Engine!$C$2:$C$1960,0)),"",INDEX('Compliance Database'!$L$2:$L$1960,MATCH(152,Engine!$C$2:$C$1960,0)))</f>
        <v/>
      </c>
      <c r="M165" s="9">
        <f>IF(ISNA(MATCH(152,Engine!$C$2:$C$1960,0)),"",INDEX('Compliance Database'!$M$2:$M$1960,MATCH(152,Engine!$C$2:$C$1960,0)))</f>
        <v/>
      </c>
      <c r="N165" s="9">
        <f>IF(ISNA(MATCH(152,Engine!$C$2:$C$1960,0)),"",INDEX('Compliance Database'!$N$2:$N$1960,MATCH(152,Engine!$C$2:$C$1960,0)))</f>
        <v/>
      </c>
      <c r="O165" s="9">
        <f>IF(ISNA(MATCH(152,Engine!$C$2:$C$1960,0)),"",INDEX('Compliance Database'!$O$2:$O$1960,MATCH(152,Engine!$C$2:$C$1960,0)))</f>
        <v/>
      </c>
      <c r="P165" s="8">
        <f>IF(ISNA(MATCH(152,Engine!$C$2:$C$1960,0)),"",HYPERLINK("#Acts!A"&amp;INDEX('Compliance Database'!$P$2:$P$1960,MATCH(152,Engine!$C$2:$C$1960,0)),"Go to Act"))</f>
        <v/>
      </c>
    </row>
    <row r="166" ht="158" customHeight="1">
      <c r="A166" s="8">
        <f>IF(ISNA(MATCH(153,Engine!$C$2:$C$1960,0)),"",INDEX('Compliance Database'!$A$2:$A$1960,MATCH(153,Engine!$C$2:$C$1960,0)))</f>
        <v/>
      </c>
      <c r="B166" s="8">
        <f>IF(ISNA(MATCH(153,Engine!$C$2:$C$1960,0)),"",INDEX('Compliance Database'!$B$2:$B$1960,MATCH(153,Engine!$C$2:$C$1960,0)))</f>
        <v/>
      </c>
      <c r="C166" s="8">
        <f>IF(ISNA(MATCH(153,Engine!$C$2:$C$1960,0)),"",INDEX('Compliance Database'!$C$2:$C$1960,MATCH(153,Engine!$C$2:$C$1960,0)))</f>
        <v/>
      </c>
      <c r="D166" s="9">
        <f>IF(ISNA(MATCH(153,Engine!$C$2:$C$1960,0)),"",INDEX('Compliance Database'!$D$2:$D$1960,MATCH(153,Engine!$C$2:$C$1960,0)))</f>
        <v/>
      </c>
      <c r="E166" s="8">
        <f>IF(ISNA(MATCH(153,Engine!$C$2:$C$1960,0)),"",INDEX('Compliance Database'!$E$2:$E$1960,MATCH(153,Engine!$C$2:$C$1960,0)))</f>
        <v/>
      </c>
      <c r="F166" s="8">
        <f>IF(ISNA(MATCH(153,Engine!$C$2:$C$1960,0)),"",INDEX('Compliance Database'!$F$2:$F$1960,MATCH(153,Engine!$C$2:$C$1960,0)))</f>
        <v/>
      </c>
      <c r="G166" s="8">
        <f>IF(ISNA(MATCH(153,Engine!$C$2:$C$1960,0)),"",INDEX('Compliance Database'!$G$2:$G$1960,MATCH(153,Engine!$C$2:$C$1960,0)))</f>
        <v/>
      </c>
      <c r="H166" s="9">
        <f>IF(ISNA(MATCH(153,Engine!$C$2:$C$1960,0)),"",INDEX('Compliance Database'!$H$2:$H$1960,MATCH(153,Engine!$C$2:$C$1960,0)))</f>
        <v/>
      </c>
      <c r="I166" s="9">
        <f>IF(ISNA(MATCH(153,Engine!$C$2:$C$1960,0)),"",INDEX('Compliance Database'!$I$2:$I$1960,MATCH(153,Engine!$C$2:$C$1960,0)))</f>
        <v/>
      </c>
      <c r="J166" s="8">
        <f>IF(ISNA(MATCH(153,Engine!$C$2:$C$1960,0)),"",INDEX('Compliance Database'!$J$2:$J$1960,MATCH(153,Engine!$C$2:$C$1960,0)))</f>
        <v/>
      </c>
      <c r="K166" s="9">
        <f>IF(ISNA(MATCH(153,Engine!$C$2:$C$1960,0)),"",INDEX('Compliance Database'!$K$2:$K$1960,MATCH(153,Engine!$C$2:$C$1960,0)))</f>
        <v/>
      </c>
      <c r="L166" s="9">
        <f>IF(ISNA(MATCH(153,Engine!$C$2:$C$1960,0)),"",INDEX('Compliance Database'!$L$2:$L$1960,MATCH(153,Engine!$C$2:$C$1960,0)))</f>
        <v/>
      </c>
      <c r="M166" s="9">
        <f>IF(ISNA(MATCH(153,Engine!$C$2:$C$1960,0)),"",INDEX('Compliance Database'!$M$2:$M$1960,MATCH(153,Engine!$C$2:$C$1960,0)))</f>
        <v/>
      </c>
      <c r="N166" s="9">
        <f>IF(ISNA(MATCH(153,Engine!$C$2:$C$1960,0)),"",INDEX('Compliance Database'!$N$2:$N$1960,MATCH(153,Engine!$C$2:$C$1960,0)))</f>
        <v/>
      </c>
      <c r="O166" s="9">
        <f>IF(ISNA(MATCH(153,Engine!$C$2:$C$1960,0)),"",INDEX('Compliance Database'!$O$2:$O$1960,MATCH(153,Engine!$C$2:$C$1960,0)))</f>
        <v/>
      </c>
      <c r="P166" s="8">
        <f>IF(ISNA(MATCH(153,Engine!$C$2:$C$1960,0)),"",HYPERLINK("#Acts!A"&amp;INDEX('Compliance Database'!$P$2:$P$1960,MATCH(153,Engine!$C$2:$C$1960,0)),"Go to Act"))</f>
        <v/>
      </c>
    </row>
    <row r="167" ht="158" customHeight="1">
      <c r="A167" s="8">
        <f>IF(ISNA(MATCH(154,Engine!$C$2:$C$1960,0)),"",INDEX('Compliance Database'!$A$2:$A$1960,MATCH(154,Engine!$C$2:$C$1960,0)))</f>
        <v/>
      </c>
      <c r="B167" s="8">
        <f>IF(ISNA(MATCH(154,Engine!$C$2:$C$1960,0)),"",INDEX('Compliance Database'!$B$2:$B$1960,MATCH(154,Engine!$C$2:$C$1960,0)))</f>
        <v/>
      </c>
      <c r="C167" s="8">
        <f>IF(ISNA(MATCH(154,Engine!$C$2:$C$1960,0)),"",INDEX('Compliance Database'!$C$2:$C$1960,MATCH(154,Engine!$C$2:$C$1960,0)))</f>
        <v/>
      </c>
      <c r="D167" s="9">
        <f>IF(ISNA(MATCH(154,Engine!$C$2:$C$1960,0)),"",INDEX('Compliance Database'!$D$2:$D$1960,MATCH(154,Engine!$C$2:$C$1960,0)))</f>
        <v/>
      </c>
      <c r="E167" s="8">
        <f>IF(ISNA(MATCH(154,Engine!$C$2:$C$1960,0)),"",INDEX('Compliance Database'!$E$2:$E$1960,MATCH(154,Engine!$C$2:$C$1960,0)))</f>
        <v/>
      </c>
      <c r="F167" s="8">
        <f>IF(ISNA(MATCH(154,Engine!$C$2:$C$1960,0)),"",INDEX('Compliance Database'!$F$2:$F$1960,MATCH(154,Engine!$C$2:$C$1960,0)))</f>
        <v/>
      </c>
      <c r="G167" s="8">
        <f>IF(ISNA(MATCH(154,Engine!$C$2:$C$1960,0)),"",INDEX('Compliance Database'!$G$2:$G$1960,MATCH(154,Engine!$C$2:$C$1960,0)))</f>
        <v/>
      </c>
      <c r="H167" s="9">
        <f>IF(ISNA(MATCH(154,Engine!$C$2:$C$1960,0)),"",INDEX('Compliance Database'!$H$2:$H$1960,MATCH(154,Engine!$C$2:$C$1960,0)))</f>
        <v/>
      </c>
      <c r="I167" s="9">
        <f>IF(ISNA(MATCH(154,Engine!$C$2:$C$1960,0)),"",INDEX('Compliance Database'!$I$2:$I$1960,MATCH(154,Engine!$C$2:$C$1960,0)))</f>
        <v/>
      </c>
      <c r="J167" s="8">
        <f>IF(ISNA(MATCH(154,Engine!$C$2:$C$1960,0)),"",INDEX('Compliance Database'!$J$2:$J$1960,MATCH(154,Engine!$C$2:$C$1960,0)))</f>
        <v/>
      </c>
      <c r="K167" s="9">
        <f>IF(ISNA(MATCH(154,Engine!$C$2:$C$1960,0)),"",INDEX('Compliance Database'!$K$2:$K$1960,MATCH(154,Engine!$C$2:$C$1960,0)))</f>
        <v/>
      </c>
      <c r="L167" s="9">
        <f>IF(ISNA(MATCH(154,Engine!$C$2:$C$1960,0)),"",INDEX('Compliance Database'!$L$2:$L$1960,MATCH(154,Engine!$C$2:$C$1960,0)))</f>
        <v/>
      </c>
      <c r="M167" s="9">
        <f>IF(ISNA(MATCH(154,Engine!$C$2:$C$1960,0)),"",INDEX('Compliance Database'!$M$2:$M$1960,MATCH(154,Engine!$C$2:$C$1960,0)))</f>
        <v/>
      </c>
      <c r="N167" s="9">
        <f>IF(ISNA(MATCH(154,Engine!$C$2:$C$1960,0)),"",INDEX('Compliance Database'!$N$2:$N$1960,MATCH(154,Engine!$C$2:$C$1960,0)))</f>
        <v/>
      </c>
      <c r="O167" s="9">
        <f>IF(ISNA(MATCH(154,Engine!$C$2:$C$1960,0)),"",INDEX('Compliance Database'!$O$2:$O$1960,MATCH(154,Engine!$C$2:$C$1960,0)))</f>
        <v/>
      </c>
      <c r="P167" s="8">
        <f>IF(ISNA(MATCH(154,Engine!$C$2:$C$1960,0)),"",HYPERLINK("#Acts!A"&amp;INDEX('Compliance Database'!$P$2:$P$1960,MATCH(154,Engine!$C$2:$C$1960,0)),"Go to Act"))</f>
        <v/>
      </c>
    </row>
    <row r="168" ht="158" customHeight="1">
      <c r="A168" s="8">
        <f>IF(ISNA(MATCH(155,Engine!$C$2:$C$1960,0)),"",INDEX('Compliance Database'!$A$2:$A$1960,MATCH(155,Engine!$C$2:$C$1960,0)))</f>
        <v/>
      </c>
      <c r="B168" s="8">
        <f>IF(ISNA(MATCH(155,Engine!$C$2:$C$1960,0)),"",INDEX('Compliance Database'!$B$2:$B$1960,MATCH(155,Engine!$C$2:$C$1960,0)))</f>
        <v/>
      </c>
      <c r="C168" s="8">
        <f>IF(ISNA(MATCH(155,Engine!$C$2:$C$1960,0)),"",INDEX('Compliance Database'!$C$2:$C$1960,MATCH(155,Engine!$C$2:$C$1960,0)))</f>
        <v/>
      </c>
      <c r="D168" s="9">
        <f>IF(ISNA(MATCH(155,Engine!$C$2:$C$1960,0)),"",INDEX('Compliance Database'!$D$2:$D$1960,MATCH(155,Engine!$C$2:$C$1960,0)))</f>
        <v/>
      </c>
      <c r="E168" s="8">
        <f>IF(ISNA(MATCH(155,Engine!$C$2:$C$1960,0)),"",INDEX('Compliance Database'!$E$2:$E$1960,MATCH(155,Engine!$C$2:$C$1960,0)))</f>
        <v/>
      </c>
      <c r="F168" s="8">
        <f>IF(ISNA(MATCH(155,Engine!$C$2:$C$1960,0)),"",INDEX('Compliance Database'!$F$2:$F$1960,MATCH(155,Engine!$C$2:$C$1960,0)))</f>
        <v/>
      </c>
      <c r="G168" s="8">
        <f>IF(ISNA(MATCH(155,Engine!$C$2:$C$1960,0)),"",INDEX('Compliance Database'!$G$2:$G$1960,MATCH(155,Engine!$C$2:$C$1960,0)))</f>
        <v/>
      </c>
      <c r="H168" s="9">
        <f>IF(ISNA(MATCH(155,Engine!$C$2:$C$1960,0)),"",INDEX('Compliance Database'!$H$2:$H$1960,MATCH(155,Engine!$C$2:$C$1960,0)))</f>
        <v/>
      </c>
      <c r="I168" s="9">
        <f>IF(ISNA(MATCH(155,Engine!$C$2:$C$1960,0)),"",INDEX('Compliance Database'!$I$2:$I$1960,MATCH(155,Engine!$C$2:$C$1960,0)))</f>
        <v/>
      </c>
      <c r="J168" s="8">
        <f>IF(ISNA(MATCH(155,Engine!$C$2:$C$1960,0)),"",INDEX('Compliance Database'!$J$2:$J$1960,MATCH(155,Engine!$C$2:$C$1960,0)))</f>
        <v/>
      </c>
      <c r="K168" s="9">
        <f>IF(ISNA(MATCH(155,Engine!$C$2:$C$1960,0)),"",INDEX('Compliance Database'!$K$2:$K$1960,MATCH(155,Engine!$C$2:$C$1960,0)))</f>
        <v/>
      </c>
      <c r="L168" s="9">
        <f>IF(ISNA(MATCH(155,Engine!$C$2:$C$1960,0)),"",INDEX('Compliance Database'!$L$2:$L$1960,MATCH(155,Engine!$C$2:$C$1960,0)))</f>
        <v/>
      </c>
      <c r="M168" s="9">
        <f>IF(ISNA(MATCH(155,Engine!$C$2:$C$1960,0)),"",INDEX('Compliance Database'!$M$2:$M$1960,MATCH(155,Engine!$C$2:$C$1960,0)))</f>
        <v/>
      </c>
      <c r="N168" s="9">
        <f>IF(ISNA(MATCH(155,Engine!$C$2:$C$1960,0)),"",INDEX('Compliance Database'!$N$2:$N$1960,MATCH(155,Engine!$C$2:$C$1960,0)))</f>
        <v/>
      </c>
      <c r="O168" s="9">
        <f>IF(ISNA(MATCH(155,Engine!$C$2:$C$1960,0)),"",INDEX('Compliance Database'!$O$2:$O$1960,MATCH(155,Engine!$C$2:$C$1960,0)))</f>
        <v/>
      </c>
      <c r="P168" s="8">
        <f>IF(ISNA(MATCH(155,Engine!$C$2:$C$1960,0)),"",HYPERLINK("#Acts!A"&amp;INDEX('Compliance Database'!$P$2:$P$1960,MATCH(155,Engine!$C$2:$C$1960,0)),"Go to Act"))</f>
        <v/>
      </c>
    </row>
    <row r="169" ht="158" customHeight="1">
      <c r="A169" s="8">
        <f>IF(ISNA(MATCH(156,Engine!$C$2:$C$1960,0)),"",INDEX('Compliance Database'!$A$2:$A$1960,MATCH(156,Engine!$C$2:$C$1960,0)))</f>
        <v/>
      </c>
      <c r="B169" s="8">
        <f>IF(ISNA(MATCH(156,Engine!$C$2:$C$1960,0)),"",INDEX('Compliance Database'!$B$2:$B$1960,MATCH(156,Engine!$C$2:$C$1960,0)))</f>
        <v/>
      </c>
      <c r="C169" s="8">
        <f>IF(ISNA(MATCH(156,Engine!$C$2:$C$1960,0)),"",INDEX('Compliance Database'!$C$2:$C$1960,MATCH(156,Engine!$C$2:$C$1960,0)))</f>
        <v/>
      </c>
      <c r="D169" s="9">
        <f>IF(ISNA(MATCH(156,Engine!$C$2:$C$1960,0)),"",INDEX('Compliance Database'!$D$2:$D$1960,MATCH(156,Engine!$C$2:$C$1960,0)))</f>
        <v/>
      </c>
      <c r="E169" s="8">
        <f>IF(ISNA(MATCH(156,Engine!$C$2:$C$1960,0)),"",INDEX('Compliance Database'!$E$2:$E$1960,MATCH(156,Engine!$C$2:$C$1960,0)))</f>
        <v/>
      </c>
      <c r="F169" s="8">
        <f>IF(ISNA(MATCH(156,Engine!$C$2:$C$1960,0)),"",INDEX('Compliance Database'!$F$2:$F$1960,MATCH(156,Engine!$C$2:$C$1960,0)))</f>
        <v/>
      </c>
      <c r="G169" s="8">
        <f>IF(ISNA(MATCH(156,Engine!$C$2:$C$1960,0)),"",INDEX('Compliance Database'!$G$2:$G$1960,MATCH(156,Engine!$C$2:$C$1960,0)))</f>
        <v/>
      </c>
      <c r="H169" s="9">
        <f>IF(ISNA(MATCH(156,Engine!$C$2:$C$1960,0)),"",INDEX('Compliance Database'!$H$2:$H$1960,MATCH(156,Engine!$C$2:$C$1960,0)))</f>
        <v/>
      </c>
      <c r="I169" s="9">
        <f>IF(ISNA(MATCH(156,Engine!$C$2:$C$1960,0)),"",INDEX('Compliance Database'!$I$2:$I$1960,MATCH(156,Engine!$C$2:$C$1960,0)))</f>
        <v/>
      </c>
      <c r="J169" s="8">
        <f>IF(ISNA(MATCH(156,Engine!$C$2:$C$1960,0)),"",INDEX('Compliance Database'!$J$2:$J$1960,MATCH(156,Engine!$C$2:$C$1960,0)))</f>
        <v/>
      </c>
      <c r="K169" s="9">
        <f>IF(ISNA(MATCH(156,Engine!$C$2:$C$1960,0)),"",INDEX('Compliance Database'!$K$2:$K$1960,MATCH(156,Engine!$C$2:$C$1960,0)))</f>
        <v/>
      </c>
      <c r="L169" s="9">
        <f>IF(ISNA(MATCH(156,Engine!$C$2:$C$1960,0)),"",INDEX('Compliance Database'!$L$2:$L$1960,MATCH(156,Engine!$C$2:$C$1960,0)))</f>
        <v/>
      </c>
      <c r="M169" s="9">
        <f>IF(ISNA(MATCH(156,Engine!$C$2:$C$1960,0)),"",INDEX('Compliance Database'!$M$2:$M$1960,MATCH(156,Engine!$C$2:$C$1960,0)))</f>
        <v/>
      </c>
      <c r="N169" s="9">
        <f>IF(ISNA(MATCH(156,Engine!$C$2:$C$1960,0)),"",INDEX('Compliance Database'!$N$2:$N$1960,MATCH(156,Engine!$C$2:$C$1960,0)))</f>
        <v/>
      </c>
      <c r="O169" s="9">
        <f>IF(ISNA(MATCH(156,Engine!$C$2:$C$1960,0)),"",INDEX('Compliance Database'!$O$2:$O$1960,MATCH(156,Engine!$C$2:$C$1960,0)))</f>
        <v/>
      </c>
      <c r="P169" s="8">
        <f>IF(ISNA(MATCH(156,Engine!$C$2:$C$1960,0)),"",HYPERLINK("#Acts!A"&amp;INDEX('Compliance Database'!$P$2:$P$1960,MATCH(156,Engine!$C$2:$C$1960,0)),"Go to Act"))</f>
        <v/>
      </c>
    </row>
    <row r="170" ht="158" customHeight="1">
      <c r="A170" s="8">
        <f>IF(ISNA(MATCH(157,Engine!$C$2:$C$1960,0)),"",INDEX('Compliance Database'!$A$2:$A$1960,MATCH(157,Engine!$C$2:$C$1960,0)))</f>
        <v/>
      </c>
      <c r="B170" s="8">
        <f>IF(ISNA(MATCH(157,Engine!$C$2:$C$1960,0)),"",INDEX('Compliance Database'!$B$2:$B$1960,MATCH(157,Engine!$C$2:$C$1960,0)))</f>
        <v/>
      </c>
      <c r="C170" s="8">
        <f>IF(ISNA(MATCH(157,Engine!$C$2:$C$1960,0)),"",INDEX('Compliance Database'!$C$2:$C$1960,MATCH(157,Engine!$C$2:$C$1960,0)))</f>
        <v/>
      </c>
      <c r="D170" s="9">
        <f>IF(ISNA(MATCH(157,Engine!$C$2:$C$1960,0)),"",INDEX('Compliance Database'!$D$2:$D$1960,MATCH(157,Engine!$C$2:$C$1960,0)))</f>
        <v/>
      </c>
      <c r="E170" s="8">
        <f>IF(ISNA(MATCH(157,Engine!$C$2:$C$1960,0)),"",INDEX('Compliance Database'!$E$2:$E$1960,MATCH(157,Engine!$C$2:$C$1960,0)))</f>
        <v/>
      </c>
      <c r="F170" s="8">
        <f>IF(ISNA(MATCH(157,Engine!$C$2:$C$1960,0)),"",INDEX('Compliance Database'!$F$2:$F$1960,MATCH(157,Engine!$C$2:$C$1960,0)))</f>
        <v/>
      </c>
      <c r="G170" s="8">
        <f>IF(ISNA(MATCH(157,Engine!$C$2:$C$1960,0)),"",INDEX('Compliance Database'!$G$2:$G$1960,MATCH(157,Engine!$C$2:$C$1960,0)))</f>
        <v/>
      </c>
      <c r="H170" s="9">
        <f>IF(ISNA(MATCH(157,Engine!$C$2:$C$1960,0)),"",INDEX('Compliance Database'!$H$2:$H$1960,MATCH(157,Engine!$C$2:$C$1960,0)))</f>
        <v/>
      </c>
      <c r="I170" s="9">
        <f>IF(ISNA(MATCH(157,Engine!$C$2:$C$1960,0)),"",INDEX('Compliance Database'!$I$2:$I$1960,MATCH(157,Engine!$C$2:$C$1960,0)))</f>
        <v/>
      </c>
      <c r="J170" s="8">
        <f>IF(ISNA(MATCH(157,Engine!$C$2:$C$1960,0)),"",INDEX('Compliance Database'!$J$2:$J$1960,MATCH(157,Engine!$C$2:$C$1960,0)))</f>
        <v/>
      </c>
      <c r="K170" s="9">
        <f>IF(ISNA(MATCH(157,Engine!$C$2:$C$1960,0)),"",INDEX('Compliance Database'!$K$2:$K$1960,MATCH(157,Engine!$C$2:$C$1960,0)))</f>
        <v/>
      </c>
      <c r="L170" s="9">
        <f>IF(ISNA(MATCH(157,Engine!$C$2:$C$1960,0)),"",INDEX('Compliance Database'!$L$2:$L$1960,MATCH(157,Engine!$C$2:$C$1960,0)))</f>
        <v/>
      </c>
      <c r="M170" s="9">
        <f>IF(ISNA(MATCH(157,Engine!$C$2:$C$1960,0)),"",INDEX('Compliance Database'!$M$2:$M$1960,MATCH(157,Engine!$C$2:$C$1960,0)))</f>
        <v/>
      </c>
      <c r="N170" s="9">
        <f>IF(ISNA(MATCH(157,Engine!$C$2:$C$1960,0)),"",INDEX('Compliance Database'!$N$2:$N$1960,MATCH(157,Engine!$C$2:$C$1960,0)))</f>
        <v/>
      </c>
      <c r="O170" s="9">
        <f>IF(ISNA(MATCH(157,Engine!$C$2:$C$1960,0)),"",INDEX('Compliance Database'!$O$2:$O$1960,MATCH(157,Engine!$C$2:$C$1960,0)))</f>
        <v/>
      </c>
      <c r="P170" s="8">
        <f>IF(ISNA(MATCH(157,Engine!$C$2:$C$1960,0)),"",HYPERLINK("#Acts!A"&amp;INDEX('Compliance Database'!$P$2:$P$1960,MATCH(157,Engine!$C$2:$C$1960,0)),"Go to Act"))</f>
        <v/>
      </c>
    </row>
    <row r="171" ht="158" customHeight="1">
      <c r="A171" s="8">
        <f>IF(ISNA(MATCH(158,Engine!$C$2:$C$1960,0)),"",INDEX('Compliance Database'!$A$2:$A$1960,MATCH(158,Engine!$C$2:$C$1960,0)))</f>
        <v/>
      </c>
      <c r="B171" s="8">
        <f>IF(ISNA(MATCH(158,Engine!$C$2:$C$1960,0)),"",INDEX('Compliance Database'!$B$2:$B$1960,MATCH(158,Engine!$C$2:$C$1960,0)))</f>
        <v/>
      </c>
      <c r="C171" s="8">
        <f>IF(ISNA(MATCH(158,Engine!$C$2:$C$1960,0)),"",INDEX('Compliance Database'!$C$2:$C$1960,MATCH(158,Engine!$C$2:$C$1960,0)))</f>
        <v/>
      </c>
      <c r="D171" s="9">
        <f>IF(ISNA(MATCH(158,Engine!$C$2:$C$1960,0)),"",INDEX('Compliance Database'!$D$2:$D$1960,MATCH(158,Engine!$C$2:$C$1960,0)))</f>
        <v/>
      </c>
      <c r="E171" s="8">
        <f>IF(ISNA(MATCH(158,Engine!$C$2:$C$1960,0)),"",INDEX('Compliance Database'!$E$2:$E$1960,MATCH(158,Engine!$C$2:$C$1960,0)))</f>
        <v/>
      </c>
      <c r="F171" s="8">
        <f>IF(ISNA(MATCH(158,Engine!$C$2:$C$1960,0)),"",INDEX('Compliance Database'!$F$2:$F$1960,MATCH(158,Engine!$C$2:$C$1960,0)))</f>
        <v/>
      </c>
      <c r="G171" s="8">
        <f>IF(ISNA(MATCH(158,Engine!$C$2:$C$1960,0)),"",INDEX('Compliance Database'!$G$2:$G$1960,MATCH(158,Engine!$C$2:$C$1960,0)))</f>
        <v/>
      </c>
      <c r="H171" s="9">
        <f>IF(ISNA(MATCH(158,Engine!$C$2:$C$1960,0)),"",INDEX('Compliance Database'!$H$2:$H$1960,MATCH(158,Engine!$C$2:$C$1960,0)))</f>
        <v/>
      </c>
      <c r="I171" s="9">
        <f>IF(ISNA(MATCH(158,Engine!$C$2:$C$1960,0)),"",INDEX('Compliance Database'!$I$2:$I$1960,MATCH(158,Engine!$C$2:$C$1960,0)))</f>
        <v/>
      </c>
      <c r="J171" s="8">
        <f>IF(ISNA(MATCH(158,Engine!$C$2:$C$1960,0)),"",INDEX('Compliance Database'!$J$2:$J$1960,MATCH(158,Engine!$C$2:$C$1960,0)))</f>
        <v/>
      </c>
      <c r="K171" s="9">
        <f>IF(ISNA(MATCH(158,Engine!$C$2:$C$1960,0)),"",INDEX('Compliance Database'!$K$2:$K$1960,MATCH(158,Engine!$C$2:$C$1960,0)))</f>
        <v/>
      </c>
      <c r="L171" s="9">
        <f>IF(ISNA(MATCH(158,Engine!$C$2:$C$1960,0)),"",INDEX('Compliance Database'!$L$2:$L$1960,MATCH(158,Engine!$C$2:$C$1960,0)))</f>
        <v/>
      </c>
      <c r="M171" s="9">
        <f>IF(ISNA(MATCH(158,Engine!$C$2:$C$1960,0)),"",INDEX('Compliance Database'!$M$2:$M$1960,MATCH(158,Engine!$C$2:$C$1960,0)))</f>
        <v/>
      </c>
      <c r="N171" s="9">
        <f>IF(ISNA(MATCH(158,Engine!$C$2:$C$1960,0)),"",INDEX('Compliance Database'!$N$2:$N$1960,MATCH(158,Engine!$C$2:$C$1960,0)))</f>
        <v/>
      </c>
      <c r="O171" s="9">
        <f>IF(ISNA(MATCH(158,Engine!$C$2:$C$1960,0)),"",INDEX('Compliance Database'!$O$2:$O$1960,MATCH(158,Engine!$C$2:$C$1960,0)))</f>
        <v/>
      </c>
      <c r="P171" s="8">
        <f>IF(ISNA(MATCH(158,Engine!$C$2:$C$1960,0)),"",HYPERLINK("#Acts!A"&amp;INDEX('Compliance Database'!$P$2:$P$1960,MATCH(158,Engine!$C$2:$C$1960,0)),"Go to Act"))</f>
        <v/>
      </c>
    </row>
    <row r="172" ht="158" customHeight="1">
      <c r="A172" s="8">
        <f>IF(ISNA(MATCH(159,Engine!$C$2:$C$1960,0)),"",INDEX('Compliance Database'!$A$2:$A$1960,MATCH(159,Engine!$C$2:$C$1960,0)))</f>
        <v/>
      </c>
      <c r="B172" s="8">
        <f>IF(ISNA(MATCH(159,Engine!$C$2:$C$1960,0)),"",INDEX('Compliance Database'!$B$2:$B$1960,MATCH(159,Engine!$C$2:$C$1960,0)))</f>
        <v/>
      </c>
      <c r="C172" s="8">
        <f>IF(ISNA(MATCH(159,Engine!$C$2:$C$1960,0)),"",INDEX('Compliance Database'!$C$2:$C$1960,MATCH(159,Engine!$C$2:$C$1960,0)))</f>
        <v/>
      </c>
      <c r="D172" s="9">
        <f>IF(ISNA(MATCH(159,Engine!$C$2:$C$1960,0)),"",INDEX('Compliance Database'!$D$2:$D$1960,MATCH(159,Engine!$C$2:$C$1960,0)))</f>
        <v/>
      </c>
      <c r="E172" s="8">
        <f>IF(ISNA(MATCH(159,Engine!$C$2:$C$1960,0)),"",INDEX('Compliance Database'!$E$2:$E$1960,MATCH(159,Engine!$C$2:$C$1960,0)))</f>
        <v/>
      </c>
      <c r="F172" s="8">
        <f>IF(ISNA(MATCH(159,Engine!$C$2:$C$1960,0)),"",INDEX('Compliance Database'!$F$2:$F$1960,MATCH(159,Engine!$C$2:$C$1960,0)))</f>
        <v/>
      </c>
      <c r="G172" s="8">
        <f>IF(ISNA(MATCH(159,Engine!$C$2:$C$1960,0)),"",INDEX('Compliance Database'!$G$2:$G$1960,MATCH(159,Engine!$C$2:$C$1960,0)))</f>
        <v/>
      </c>
      <c r="H172" s="9">
        <f>IF(ISNA(MATCH(159,Engine!$C$2:$C$1960,0)),"",INDEX('Compliance Database'!$H$2:$H$1960,MATCH(159,Engine!$C$2:$C$1960,0)))</f>
        <v/>
      </c>
      <c r="I172" s="9">
        <f>IF(ISNA(MATCH(159,Engine!$C$2:$C$1960,0)),"",INDEX('Compliance Database'!$I$2:$I$1960,MATCH(159,Engine!$C$2:$C$1960,0)))</f>
        <v/>
      </c>
      <c r="J172" s="8">
        <f>IF(ISNA(MATCH(159,Engine!$C$2:$C$1960,0)),"",INDEX('Compliance Database'!$J$2:$J$1960,MATCH(159,Engine!$C$2:$C$1960,0)))</f>
        <v/>
      </c>
      <c r="K172" s="9">
        <f>IF(ISNA(MATCH(159,Engine!$C$2:$C$1960,0)),"",INDEX('Compliance Database'!$K$2:$K$1960,MATCH(159,Engine!$C$2:$C$1960,0)))</f>
        <v/>
      </c>
      <c r="L172" s="9">
        <f>IF(ISNA(MATCH(159,Engine!$C$2:$C$1960,0)),"",INDEX('Compliance Database'!$L$2:$L$1960,MATCH(159,Engine!$C$2:$C$1960,0)))</f>
        <v/>
      </c>
      <c r="M172" s="9">
        <f>IF(ISNA(MATCH(159,Engine!$C$2:$C$1960,0)),"",INDEX('Compliance Database'!$M$2:$M$1960,MATCH(159,Engine!$C$2:$C$1960,0)))</f>
        <v/>
      </c>
      <c r="N172" s="9">
        <f>IF(ISNA(MATCH(159,Engine!$C$2:$C$1960,0)),"",INDEX('Compliance Database'!$N$2:$N$1960,MATCH(159,Engine!$C$2:$C$1960,0)))</f>
        <v/>
      </c>
      <c r="O172" s="9">
        <f>IF(ISNA(MATCH(159,Engine!$C$2:$C$1960,0)),"",INDEX('Compliance Database'!$O$2:$O$1960,MATCH(159,Engine!$C$2:$C$1960,0)))</f>
        <v/>
      </c>
      <c r="P172" s="8">
        <f>IF(ISNA(MATCH(159,Engine!$C$2:$C$1960,0)),"",HYPERLINK("#Acts!A"&amp;INDEX('Compliance Database'!$P$2:$P$1960,MATCH(159,Engine!$C$2:$C$1960,0)),"Go to Act"))</f>
        <v/>
      </c>
    </row>
    <row r="173" ht="158" customHeight="1">
      <c r="A173" s="8">
        <f>IF(ISNA(MATCH(160,Engine!$C$2:$C$1960,0)),"",INDEX('Compliance Database'!$A$2:$A$1960,MATCH(160,Engine!$C$2:$C$1960,0)))</f>
        <v/>
      </c>
      <c r="B173" s="8">
        <f>IF(ISNA(MATCH(160,Engine!$C$2:$C$1960,0)),"",INDEX('Compliance Database'!$B$2:$B$1960,MATCH(160,Engine!$C$2:$C$1960,0)))</f>
        <v/>
      </c>
      <c r="C173" s="8">
        <f>IF(ISNA(MATCH(160,Engine!$C$2:$C$1960,0)),"",INDEX('Compliance Database'!$C$2:$C$1960,MATCH(160,Engine!$C$2:$C$1960,0)))</f>
        <v/>
      </c>
      <c r="D173" s="9">
        <f>IF(ISNA(MATCH(160,Engine!$C$2:$C$1960,0)),"",INDEX('Compliance Database'!$D$2:$D$1960,MATCH(160,Engine!$C$2:$C$1960,0)))</f>
        <v/>
      </c>
      <c r="E173" s="8">
        <f>IF(ISNA(MATCH(160,Engine!$C$2:$C$1960,0)),"",INDEX('Compliance Database'!$E$2:$E$1960,MATCH(160,Engine!$C$2:$C$1960,0)))</f>
        <v/>
      </c>
      <c r="F173" s="8">
        <f>IF(ISNA(MATCH(160,Engine!$C$2:$C$1960,0)),"",INDEX('Compliance Database'!$F$2:$F$1960,MATCH(160,Engine!$C$2:$C$1960,0)))</f>
        <v/>
      </c>
      <c r="G173" s="8">
        <f>IF(ISNA(MATCH(160,Engine!$C$2:$C$1960,0)),"",INDEX('Compliance Database'!$G$2:$G$1960,MATCH(160,Engine!$C$2:$C$1960,0)))</f>
        <v/>
      </c>
      <c r="H173" s="9">
        <f>IF(ISNA(MATCH(160,Engine!$C$2:$C$1960,0)),"",INDEX('Compliance Database'!$H$2:$H$1960,MATCH(160,Engine!$C$2:$C$1960,0)))</f>
        <v/>
      </c>
      <c r="I173" s="9">
        <f>IF(ISNA(MATCH(160,Engine!$C$2:$C$1960,0)),"",INDEX('Compliance Database'!$I$2:$I$1960,MATCH(160,Engine!$C$2:$C$1960,0)))</f>
        <v/>
      </c>
      <c r="J173" s="8">
        <f>IF(ISNA(MATCH(160,Engine!$C$2:$C$1960,0)),"",INDEX('Compliance Database'!$J$2:$J$1960,MATCH(160,Engine!$C$2:$C$1960,0)))</f>
        <v/>
      </c>
      <c r="K173" s="9">
        <f>IF(ISNA(MATCH(160,Engine!$C$2:$C$1960,0)),"",INDEX('Compliance Database'!$K$2:$K$1960,MATCH(160,Engine!$C$2:$C$1960,0)))</f>
        <v/>
      </c>
      <c r="L173" s="9">
        <f>IF(ISNA(MATCH(160,Engine!$C$2:$C$1960,0)),"",INDEX('Compliance Database'!$L$2:$L$1960,MATCH(160,Engine!$C$2:$C$1960,0)))</f>
        <v/>
      </c>
      <c r="M173" s="9">
        <f>IF(ISNA(MATCH(160,Engine!$C$2:$C$1960,0)),"",INDEX('Compliance Database'!$M$2:$M$1960,MATCH(160,Engine!$C$2:$C$1960,0)))</f>
        <v/>
      </c>
      <c r="N173" s="9">
        <f>IF(ISNA(MATCH(160,Engine!$C$2:$C$1960,0)),"",INDEX('Compliance Database'!$N$2:$N$1960,MATCH(160,Engine!$C$2:$C$1960,0)))</f>
        <v/>
      </c>
      <c r="O173" s="9">
        <f>IF(ISNA(MATCH(160,Engine!$C$2:$C$1960,0)),"",INDEX('Compliance Database'!$O$2:$O$1960,MATCH(160,Engine!$C$2:$C$1960,0)))</f>
        <v/>
      </c>
      <c r="P173" s="8">
        <f>IF(ISNA(MATCH(160,Engine!$C$2:$C$1960,0)),"",HYPERLINK("#Acts!A"&amp;INDEX('Compliance Database'!$P$2:$P$1960,MATCH(160,Engine!$C$2:$C$1960,0)),"Go to Act"))</f>
        <v/>
      </c>
    </row>
    <row r="174" ht="158" customHeight="1">
      <c r="A174" s="8">
        <f>IF(ISNA(MATCH(161,Engine!$C$2:$C$1960,0)),"",INDEX('Compliance Database'!$A$2:$A$1960,MATCH(161,Engine!$C$2:$C$1960,0)))</f>
        <v/>
      </c>
      <c r="B174" s="8">
        <f>IF(ISNA(MATCH(161,Engine!$C$2:$C$1960,0)),"",INDEX('Compliance Database'!$B$2:$B$1960,MATCH(161,Engine!$C$2:$C$1960,0)))</f>
        <v/>
      </c>
      <c r="C174" s="8">
        <f>IF(ISNA(MATCH(161,Engine!$C$2:$C$1960,0)),"",INDEX('Compliance Database'!$C$2:$C$1960,MATCH(161,Engine!$C$2:$C$1960,0)))</f>
        <v/>
      </c>
      <c r="D174" s="9">
        <f>IF(ISNA(MATCH(161,Engine!$C$2:$C$1960,0)),"",INDEX('Compliance Database'!$D$2:$D$1960,MATCH(161,Engine!$C$2:$C$1960,0)))</f>
        <v/>
      </c>
      <c r="E174" s="8">
        <f>IF(ISNA(MATCH(161,Engine!$C$2:$C$1960,0)),"",INDEX('Compliance Database'!$E$2:$E$1960,MATCH(161,Engine!$C$2:$C$1960,0)))</f>
        <v/>
      </c>
      <c r="F174" s="8">
        <f>IF(ISNA(MATCH(161,Engine!$C$2:$C$1960,0)),"",INDEX('Compliance Database'!$F$2:$F$1960,MATCH(161,Engine!$C$2:$C$1960,0)))</f>
        <v/>
      </c>
      <c r="G174" s="8">
        <f>IF(ISNA(MATCH(161,Engine!$C$2:$C$1960,0)),"",INDEX('Compliance Database'!$G$2:$G$1960,MATCH(161,Engine!$C$2:$C$1960,0)))</f>
        <v/>
      </c>
      <c r="H174" s="9">
        <f>IF(ISNA(MATCH(161,Engine!$C$2:$C$1960,0)),"",INDEX('Compliance Database'!$H$2:$H$1960,MATCH(161,Engine!$C$2:$C$1960,0)))</f>
        <v/>
      </c>
      <c r="I174" s="9">
        <f>IF(ISNA(MATCH(161,Engine!$C$2:$C$1960,0)),"",INDEX('Compliance Database'!$I$2:$I$1960,MATCH(161,Engine!$C$2:$C$1960,0)))</f>
        <v/>
      </c>
      <c r="J174" s="8">
        <f>IF(ISNA(MATCH(161,Engine!$C$2:$C$1960,0)),"",INDEX('Compliance Database'!$J$2:$J$1960,MATCH(161,Engine!$C$2:$C$1960,0)))</f>
        <v/>
      </c>
      <c r="K174" s="9">
        <f>IF(ISNA(MATCH(161,Engine!$C$2:$C$1960,0)),"",INDEX('Compliance Database'!$K$2:$K$1960,MATCH(161,Engine!$C$2:$C$1960,0)))</f>
        <v/>
      </c>
      <c r="L174" s="9">
        <f>IF(ISNA(MATCH(161,Engine!$C$2:$C$1960,0)),"",INDEX('Compliance Database'!$L$2:$L$1960,MATCH(161,Engine!$C$2:$C$1960,0)))</f>
        <v/>
      </c>
      <c r="M174" s="9">
        <f>IF(ISNA(MATCH(161,Engine!$C$2:$C$1960,0)),"",INDEX('Compliance Database'!$M$2:$M$1960,MATCH(161,Engine!$C$2:$C$1960,0)))</f>
        <v/>
      </c>
      <c r="N174" s="9">
        <f>IF(ISNA(MATCH(161,Engine!$C$2:$C$1960,0)),"",INDEX('Compliance Database'!$N$2:$N$1960,MATCH(161,Engine!$C$2:$C$1960,0)))</f>
        <v/>
      </c>
      <c r="O174" s="9">
        <f>IF(ISNA(MATCH(161,Engine!$C$2:$C$1960,0)),"",INDEX('Compliance Database'!$O$2:$O$1960,MATCH(161,Engine!$C$2:$C$1960,0)))</f>
        <v/>
      </c>
      <c r="P174" s="8">
        <f>IF(ISNA(MATCH(161,Engine!$C$2:$C$1960,0)),"",HYPERLINK("#Acts!A"&amp;INDEX('Compliance Database'!$P$2:$P$1960,MATCH(161,Engine!$C$2:$C$1960,0)),"Go to Act"))</f>
        <v/>
      </c>
    </row>
    <row r="175" ht="158" customHeight="1">
      <c r="A175" s="8">
        <f>IF(ISNA(MATCH(162,Engine!$C$2:$C$1960,0)),"",INDEX('Compliance Database'!$A$2:$A$1960,MATCH(162,Engine!$C$2:$C$1960,0)))</f>
        <v/>
      </c>
      <c r="B175" s="8">
        <f>IF(ISNA(MATCH(162,Engine!$C$2:$C$1960,0)),"",INDEX('Compliance Database'!$B$2:$B$1960,MATCH(162,Engine!$C$2:$C$1960,0)))</f>
        <v/>
      </c>
      <c r="C175" s="8">
        <f>IF(ISNA(MATCH(162,Engine!$C$2:$C$1960,0)),"",INDEX('Compliance Database'!$C$2:$C$1960,MATCH(162,Engine!$C$2:$C$1960,0)))</f>
        <v/>
      </c>
      <c r="D175" s="9">
        <f>IF(ISNA(MATCH(162,Engine!$C$2:$C$1960,0)),"",INDEX('Compliance Database'!$D$2:$D$1960,MATCH(162,Engine!$C$2:$C$1960,0)))</f>
        <v/>
      </c>
      <c r="E175" s="8">
        <f>IF(ISNA(MATCH(162,Engine!$C$2:$C$1960,0)),"",INDEX('Compliance Database'!$E$2:$E$1960,MATCH(162,Engine!$C$2:$C$1960,0)))</f>
        <v/>
      </c>
      <c r="F175" s="8">
        <f>IF(ISNA(MATCH(162,Engine!$C$2:$C$1960,0)),"",INDEX('Compliance Database'!$F$2:$F$1960,MATCH(162,Engine!$C$2:$C$1960,0)))</f>
        <v/>
      </c>
      <c r="G175" s="8">
        <f>IF(ISNA(MATCH(162,Engine!$C$2:$C$1960,0)),"",INDEX('Compliance Database'!$G$2:$G$1960,MATCH(162,Engine!$C$2:$C$1960,0)))</f>
        <v/>
      </c>
      <c r="H175" s="9">
        <f>IF(ISNA(MATCH(162,Engine!$C$2:$C$1960,0)),"",INDEX('Compliance Database'!$H$2:$H$1960,MATCH(162,Engine!$C$2:$C$1960,0)))</f>
        <v/>
      </c>
      <c r="I175" s="9">
        <f>IF(ISNA(MATCH(162,Engine!$C$2:$C$1960,0)),"",INDEX('Compliance Database'!$I$2:$I$1960,MATCH(162,Engine!$C$2:$C$1960,0)))</f>
        <v/>
      </c>
      <c r="J175" s="8">
        <f>IF(ISNA(MATCH(162,Engine!$C$2:$C$1960,0)),"",INDEX('Compliance Database'!$J$2:$J$1960,MATCH(162,Engine!$C$2:$C$1960,0)))</f>
        <v/>
      </c>
      <c r="K175" s="9">
        <f>IF(ISNA(MATCH(162,Engine!$C$2:$C$1960,0)),"",INDEX('Compliance Database'!$K$2:$K$1960,MATCH(162,Engine!$C$2:$C$1960,0)))</f>
        <v/>
      </c>
      <c r="L175" s="9">
        <f>IF(ISNA(MATCH(162,Engine!$C$2:$C$1960,0)),"",INDEX('Compliance Database'!$L$2:$L$1960,MATCH(162,Engine!$C$2:$C$1960,0)))</f>
        <v/>
      </c>
      <c r="M175" s="9">
        <f>IF(ISNA(MATCH(162,Engine!$C$2:$C$1960,0)),"",INDEX('Compliance Database'!$M$2:$M$1960,MATCH(162,Engine!$C$2:$C$1960,0)))</f>
        <v/>
      </c>
      <c r="N175" s="9">
        <f>IF(ISNA(MATCH(162,Engine!$C$2:$C$1960,0)),"",INDEX('Compliance Database'!$N$2:$N$1960,MATCH(162,Engine!$C$2:$C$1960,0)))</f>
        <v/>
      </c>
      <c r="O175" s="9">
        <f>IF(ISNA(MATCH(162,Engine!$C$2:$C$1960,0)),"",INDEX('Compliance Database'!$O$2:$O$1960,MATCH(162,Engine!$C$2:$C$1960,0)))</f>
        <v/>
      </c>
      <c r="P175" s="8">
        <f>IF(ISNA(MATCH(162,Engine!$C$2:$C$1960,0)),"",HYPERLINK("#Acts!A"&amp;INDEX('Compliance Database'!$P$2:$P$1960,MATCH(162,Engine!$C$2:$C$1960,0)),"Go to Act"))</f>
        <v/>
      </c>
    </row>
    <row r="176" ht="158" customHeight="1">
      <c r="A176" s="8">
        <f>IF(ISNA(MATCH(163,Engine!$C$2:$C$1960,0)),"",INDEX('Compliance Database'!$A$2:$A$1960,MATCH(163,Engine!$C$2:$C$1960,0)))</f>
        <v/>
      </c>
      <c r="B176" s="8">
        <f>IF(ISNA(MATCH(163,Engine!$C$2:$C$1960,0)),"",INDEX('Compliance Database'!$B$2:$B$1960,MATCH(163,Engine!$C$2:$C$1960,0)))</f>
        <v/>
      </c>
      <c r="C176" s="8">
        <f>IF(ISNA(MATCH(163,Engine!$C$2:$C$1960,0)),"",INDEX('Compliance Database'!$C$2:$C$1960,MATCH(163,Engine!$C$2:$C$1960,0)))</f>
        <v/>
      </c>
      <c r="D176" s="9">
        <f>IF(ISNA(MATCH(163,Engine!$C$2:$C$1960,0)),"",INDEX('Compliance Database'!$D$2:$D$1960,MATCH(163,Engine!$C$2:$C$1960,0)))</f>
        <v/>
      </c>
      <c r="E176" s="8">
        <f>IF(ISNA(MATCH(163,Engine!$C$2:$C$1960,0)),"",INDEX('Compliance Database'!$E$2:$E$1960,MATCH(163,Engine!$C$2:$C$1960,0)))</f>
        <v/>
      </c>
      <c r="F176" s="8">
        <f>IF(ISNA(MATCH(163,Engine!$C$2:$C$1960,0)),"",INDEX('Compliance Database'!$F$2:$F$1960,MATCH(163,Engine!$C$2:$C$1960,0)))</f>
        <v/>
      </c>
      <c r="G176" s="8">
        <f>IF(ISNA(MATCH(163,Engine!$C$2:$C$1960,0)),"",INDEX('Compliance Database'!$G$2:$G$1960,MATCH(163,Engine!$C$2:$C$1960,0)))</f>
        <v/>
      </c>
      <c r="H176" s="9">
        <f>IF(ISNA(MATCH(163,Engine!$C$2:$C$1960,0)),"",INDEX('Compliance Database'!$H$2:$H$1960,MATCH(163,Engine!$C$2:$C$1960,0)))</f>
        <v/>
      </c>
      <c r="I176" s="9">
        <f>IF(ISNA(MATCH(163,Engine!$C$2:$C$1960,0)),"",INDEX('Compliance Database'!$I$2:$I$1960,MATCH(163,Engine!$C$2:$C$1960,0)))</f>
        <v/>
      </c>
      <c r="J176" s="8">
        <f>IF(ISNA(MATCH(163,Engine!$C$2:$C$1960,0)),"",INDEX('Compliance Database'!$J$2:$J$1960,MATCH(163,Engine!$C$2:$C$1960,0)))</f>
        <v/>
      </c>
      <c r="K176" s="9">
        <f>IF(ISNA(MATCH(163,Engine!$C$2:$C$1960,0)),"",INDEX('Compliance Database'!$K$2:$K$1960,MATCH(163,Engine!$C$2:$C$1960,0)))</f>
        <v/>
      </c>
      <c r="L176" s="9">
        <f>IF(ISNA(MATCH(163,Engine!$C$2:$C$1960,0)),"",INDEX('Compliance Database'!$L$2:$L$1960,MATCH(163,Engine!$C$2:$C$1960,0)))</f>
        <v/>
      </c>
      <c r="M176" s="9">
        <f>IF(ISNA(MATCH(163,Engine!$C$2:$C$1960,0)),"",INDEX('Compliance Database'!$M$2:$M$1960,MATCH(163,Engine!$C$2:$C$1960,0)))</f>
        <v/>
      </c>
      <c r="N176" s="9">
        <f>IF(ISNA(MATCH(163,Engine!$C$2:$C$1960,0)),"",INDEX('Compliance Database'!$N$2:$N$1960,MATCH(163,Engine!$C$2:$C$1960,0)))</f>
        <v/>
      </c>
      <c r="O176" s="9">
        <f>IF(ISNA(MATCH(163,Engine!$C$2:$C$1960,0)),"",INDEX('Compliance Database'!$O$2:$O$1960,MATCH(163,Engine!$C$2:$C$1960,0)))</f>
        <v/>
      </c>
      <c r="P176" s="8">
        <f>IF(ISNA(MATCH(163,Engine!$C$2:$C$1960,0)),"",HYPERLINK("#Acts!A"&amp;INDEX('Compliance Database'!$P$2:$P$1960,MATCH(163,Engine!$C$2:$C$1960,0)),"Go to Act"))</f>
        <v/>
      </c>
    </row>
    <row r="177" ht="158" customHeight="1">
      <c r="A177" s="8">
        <f>IF(ISNA(MATCH(164,Engine!$C$2:$C$1960,0)),"",INDEX('Compliance Database'!$A$2:$A$1960,MATCH(164,Engine!$C$2:$C$1960,0)))</f>
        <v/>
      </c>
      <c r="B177" s="8">
        <f>IF(ISNA(MATCH(164,Engine!$C$2:$C$1960,0)),"",INDEX('Compliance Database'!$B$2:$B$1960,MATCH(164,Engine!$C$2:$C$1960,0)))</f>
        <v/>
      </c>
      <c r="C177" s="8">
        <f>IF(ISNA(MATCH(164,Engine!$C$2:$C$1960,0)),"",INDEX('Compliance Database'!$C$2:$C$1960,MATCH(164,Engine!$C$2:$C$1960,0)))</f>
        <v/>
      </c>
      <c r="D177" s="9">
        <f>IF(ISNA(MATCH(164,Engine!$C$2:$C$1960,0)),"",INDEX('Compliance Database'!$D$2:$D$1960,MATCH(164,Engine!$C$2:$C$1960,0)))</f>
        <v/>
      </c>
      <c r="E177" s="8">
        <f>IF(ISNA(MATCH(164,Engine!$C$2:$C$1960,0)),"",INDEX('Compliance Database'!$E$2:$E$1960,MATCH(164,Engine!$C$2:$C$1960,0)))</f>
        <v/>
      </c>
      <c r="F177" s="8">
        <f>IF(ISNA(MATCH(164,Engine!$C$2:$C$1960,0)),"",INDEX('Compliance Database'!$F$2:$F$1960,MATCH(164,Engine!$C$2:$C$1960,0)))</f>
        <v/>
      </c>
      <c r="G177" s="8">
        <f>IF(ISNA(MATCH(164,Engine!$C$2:$C$1960,0)),"",INDEX('Compliance Database'!$G$2:$G$1960,MATCH(164,Engine!$C$2:$C$1960,0)))</f>
        <v/>
      </c>
      <c r="H177" s="9">
        <f>IF(ISNA(MATCH(164,Engine!$C$2:$C$1960,0)),"",INDEX('Compliance Database'!$H$2:$H$1960,MATCH(164,Engine!$C$2:$C$1960,0)))</f>
        <v/>
      </c>
      <c r="I177" s="9">
        <f>IF(ISNA(MATCH(164,Engine!$C$2:$C$1960,0)),"",INDEX('Compliance Database'!$I$2:$I$1960,MATCH(164,Engine!$C$2:$C$1960,0)))</f>
        <v/>
      </c>
      <c r="J177" s="8">
        <f>IF(ISNA(MATCH(164,Engine!$C$2:$C$1960,0)),"",INDEX('Compliance Database'!$J$2:$J$1960,MATCH(164,Engine!$C$2:$C$1960,0)))</f>
        <v/>
      </c>
      <c r="K177" s="9">
        <f>IF(ISNA(MATCH(164,Engine!$C$2:$C$1960,0)),"",INDEX('Compliance Database'!$K$2:$K$1960,MATCH(164,Engine!$C$2:$C$1960,0)))</f>
        <v/>
      </c>
      <c r="L177" s="9">
        <f>IF(ISNA(MATCH(164,Engine!$C$2:$C$1960,0)),"",INDEX('Compliance Database'!$L$2:$L$1960,MATCH(164,Engine!$C$2:$C$1960,0)))</f>
        <v/>
      </c>
      <c r="M177" s="9">
        <f>IF(ISNA(MATCH(164,Engine!$C$2:$C$1960,0)),"",INDEX('Compliance Database'!$M$2:$M$1960,MATCH(164,Engine!$C$2:$C$1960,0)))</f>
        <v/>
      </c>
      <c r="N177" s="9">
        <f>IF(ISNA(MATCH(164,Engine!$C$2:$C$1960,0)),"",INDEX('Compliance Database'!$N$2:$N$1960,MATCH(164,Engine!$C$2:$C$1960,0)))</f>
        <v/>
      </c>
      <c r="O177" s="9">
        <f>IF(ISNA(MATCH(164,Engine!$C$2:$C$1960,0)),"",INDEX('Compliance Database'!$O$2:$O$1960,MATCH(164,Engine!$C$2:$C$1960,0)))</f>
        <v/>
      </c>
      <c r="P177" s="8">
        <f>IF(ISNA(MATCH(164,Engine!$C$2:$C$1960,0)),"",HYPERLINK("#Acts!A"&amp;INDEX('Compliance Database'!$P$2:$P$1960,MATCH(164,Engine!$C$2:$C$1960,0)),"Go to Act"))</f>
        <v/>
      </c>
    </row>
    <row r="178" ht="158" customHeight="1">
      <c r="A178" s="8">
        <f>IF(ISNA(MATCH(165,Engine!$C$2:$C$1960,0)),"",INDEX('Compliance Database'!$A$2:$A$1960,MATCH(165,Engine!$C$2:$C$1960,0)))</f>
        <v/>
      </c>
      <c r="B178" s="8">
        <f>IF(ISNA(MATCH(165,Engine!$C$2:$C$1960,0)),"",INDEX('Compliance Database'!$B$2:$B$1960,MATCH(165,Engine!$C$2:$C$1960,0)))</f>
        <v/>
      </c>
      <c r="C178" s="8">
        <f>IF(ISNA(MATCH(165,Engine!$C$2:$C$1960,0)),"",INDEX('Compliance Database'!$C$2:$C$1960,MATCH(165,Engine!$C$2:$C$1960,0)))</f>
        <v/>
      </c>
      <c r="D178" s="9">
        <f>IF(ISNA(MATCH(165,Engine!$C$2:$C$1960,0)),"",INDEX('Compliance Database'!$D$2:$D$1960,MATCH(165,Engine!$C$2:$C$1960,0)))</f>
        <v/>
      </c>
      <c r="E178" s="8">
        <f>IF(ISNA(MATCH(165,Engine!$C$2:$C$1960,0)),"",INDEX('Compliance Database'!$E$2:$E$1960,MATCH(165,Engine!$C$2:$C$1960,0)))</f>
        <v/>
      </c>
      <c r="F178" s="8">
        <f>IF(ISNA(MATCH(165,Engine!$C$2:$C$1960,0)),"",INDEX('Compliance Database'!$F$2:$F$1960,MATCH(165,Engine!$C$2:$C$1960,0)))</f>
        <v/>
      </c>
      <c r="G178" s="8">
        <f>IF(ISNA(MATCH(165,Engine!$C$2:$C$1960,0)),"",INDEX('Compliance Database'!$G$2:$G$1960,MATCH(165,Engine!$C$2:$C$1960,0)))</f>
        <v/>
      </c>
      <c r="H178" s="9">
        <f>IF(ISNA(MATCH(165,Engine!$C$2:$C$1960,0)),"",INDEX('Compliance Database'!$H$2:$H$1960,MATCH(165,Engine!$C$2:$C$1960,0)))</f>
        <v/>
      </c>
      <c r="I178" s="9">
        <f>IF(ISNA(MATCH(165,Engine!$C$2:$C$1960,0)),"",INDEX('Compliance Database'!$I$2:$I$1960,MATCH(165,Engine!$C$2:$C$1960,0)))</f>
        <v/>
      </c>
      <c r="J178" s="8">
        <f>IF(ISNA(MATCH(165,Engine!$C$2:$C$1960,0)),"",INDEX('Compliance Database'!$J$2:$J$1960,MATCH(165,Engine!$C$2:$C$1960,0)))</f>
        <v/>
      </c>
      <c r="K178" s="9">
        <f>IF(ISNA(MATCH(165,Engine!$C$2:$C$1960,0)),"",INDEX('Compliance Database'!$K$2:$K$1960,MATCH(165,Engine!$C$2:$C$1960,0)))</f>
        <v/>
      </c>
      <c r="L178" s="9">
        <f>IF(ISNA(MATCH(165,Engine!$C$2:$C$1960,0)),"",INDEX('Compliance Database'!$L$2:$L$1960,MATCH(165,Engine!$C$2:$C$1960,0)))</f>
        <v/>
      </c>
      <c r="M178" s="9">
        <f>IF(ISNA(MATCH(165,Engine!$C$2:$C$1960,0)),"",INDEX('Compliance Database'!$M$2:$M$1960,MATCH(165,Engine!$C$2:$C$1960,0)))</f>
        <v/>
      </c>
      <c r="N178" s="9">
        <f>IF(ISNA(MATCH(165,Engine!$C$2:$C$1960,0)),"",INDEX('Compliance Database'!$N$2:$N$1960,MATCH(165,Engine!$C$2:$C$1960,0)))</f>
        <v/>
      </c>
      <c r="O178" s="9">
        <f>IF(ISNA(MATCH(165,Engine!$C$2:$C$1960,0)),"",INDEX('Compliance Database'!$O$2:$O$1960,MATCH(165,Engine!$C$2:$C$1960,0)))</f>
        <v/>
      </c>
      <c r="P178" s="8">
        <f>IF(ISNA(MATCH(165,Engine!$C$2:$C$1960,0)),"",HYPERLINK("#Acts!A"&amp;INDEX('Compliance Database'!$P$2:$P$1960,MATCH(165,Engine!$C$2:$C$1960,0)),"Go to Act"))</f>
        <v/>
      </c>
    </row>
    <row r="179" ht="158" customHeight="1">
      <c r="A179" s="8">
        <f>IF(ISNA(MATCH(166,Engine!$C$2:$C$1960,0)),"",INDEX('Compliance Database'!$A$2:$A$1960,MATCH(166,Engine!$C$2:$C$1960,0)))</f>
        <v/>
      </c>
      <c r="B179" s="8">
        <f>IF(ISNA(MATCH(166,Engine!$C$2:$C$1960,0)),"",INDEX('Compliance Database'!$B$2:$B$1960,MATCH(166,Engine!$C$2:$C$1960,0)))</f>
        <v/>
      </c>
      <c r="C179" s="8">
        <f>IF(ISNA(MATCH(166,Engine!$C$2:$C$1960,0)),"",INDEX('Compliance Database'!$C$2:$C$1960,MATCH(166,Engine!$C$2:$C$1960,0)))</f>
        <v/>
      </c>
      <c r="D179" s="9">
        <f>IF(ISNA(MATCH(166,Engine!$C$2:$C$1960,0)),"",INDEX('Compliance Database'!$D$2:$D$1960,MATCH(166,Engine!$C$2:$C$1960,0)))</f>
        <v/>
      </c>
      <c r="E179" s="8">
        <f>IF(ISNA(MATCH(166,Engine!$C$2:$C$1960,0)),"",INDEX('Compliance Database'!$E$2:$E$1960,MATCH(166,Engine!$C$2:$C$1960,0)))</f>
        <v/>
      </c>
      <c r="F179" s="8">
        <f>IF(ISNA(MATCH(166,Engine!$C$2:$C$1960,0)),"",INDEX('Compliance Database'!$F$2:$F$1960,MATCH(166,Engine!$C$2:$C$1960,0)))</f>
        <v/>
      </c>
      <c r="G179" s="8">
        <f>IF(ISNA(MATCH(166,Engine!$C$2:$C$1960,0)),"",INDEX('Compliance Database'!$G$2:$G$1960,MATCH(166,Engine!$C$2:$C$1960,0)))</f>
        <v/>
      </c>
      <c r="H179" s="9">
        <f>IF(ISNA(MATCH(166,Engine!$C$2:$C$1960,0)),"",INDEX('Compliance Database'!$H$2:$H$1960,MATCH(166,Engine!$C$2:$C$1960,0)))</f>
        <v/>
      </c>
      <c r="I179" s="9">
        <f>IF(ISNA(MATCH(166,Engine!$C$2:$C$1960,0)),"",INDEX('Compliance Database'!$I$2:$I$1960,MATCH(166,Engine!$C$2:$C$1960,0)))</f>
        <v/>
      </c>
      <c r="J179" s="8">
        <f>IF(ISNA(MATCH(166,Engine!$C$2:$C$1960,0)),"",INDEX('Compliance Database'!$J$2:$J$1960,MATCH(166,Engine!$C$2:$C$1960,0)))</f>
        <v/>
      </c>
      <c r="K179" s="9">
        <f>IF(ISNA(MATCH(166,Engine!$C$2:$C$1960,0)),"",INDEX('Compliance Database'!$K$2:$K$1960,MATCH(166,Engine!$C$2:$C$1960,0)))</f>
        <v/>
      </c>
      <c r="L179" s="9">
        <f>IF(ISNA(MATCH(166,Engine!$C$2:$C$1960,0)),"",INDEX('Compliance Database'!$L$2:$L$1960,MATCH(166,Engine!$C$2:$C$1960,0)))</f>
        <v/>
      </c>
      <c r="M179" s="9">
        <f>IF(ISNA(MATCH(166,Engine!$C$2:$C$1960,0)),"",INDEX('Compliance Database'!$M$2:$M$1960,MATCH(166,Engine!$C$2:$C$1960,0)))</f>
        <v/>
      </c>
      <c r="N179" s="9">
        <f>IF(ISNA(MATCH(166,Engine!$C$2:$C$1960,0)),"",INDEX('Compliance Database'!$N$2:$N$1960,MATCH(166,Engine!$C$2:$C$1960,0)))</f>
        <v/>
      </c>
      <c r="O179" s="9">
        <f>IF(ISNA(MATCH(166,Engine!$C$2:$C$1960,0)),"",INDEX('Compliance Database'!$O$2:$O$1960,MATCH(166,Engine!$C$2:$C$1960,0)))</f>
        <v/>
      </c>
      <c r="P179" s="8">
        <f>IF(ISNA(MATCH(166,Engine!$C$2:$C$1960,0)),"",HYPERLINK("#Acts!A"&amp;INDEX('Compliance Database'!$P$2:$P$1960,MATCH(166,Engine!$C$2:$C$1960,0)),"Go to Act"))</f>
        <v/>
      </c>
    </row>
    <row r="180" ht="158" customHeight="1">
      <c r="A180" s="8">
        <f>IF(ISNA(MATCH(167,Engine!$C$2:$C$1960,0)),"",INDEX('Compliance Database'!$A$2:$A$1960,MATCH(167,Engine!$C$2:$C$1960,0)))</f>
        <v/>
      </c>
      <c r="B180" s="8">
        <f>IF(ISNA(MATCH(167,Engine!$C$2:$C$1960,0)),"",INDEX('Compliance Database'!$B$2:$B$1960,MATCH(167,Engine!$C$2:$C$1960,0)))</f>
        <v/>
      </c>
      <c r="C180" s="8">
        <f>IF(ISNA(MATCH(167,Engine!$C$2:$C$1960,0)),"",INDEX('Compliance Database'!$C$2:$C$1960,MATCH(167,Engine!$C$2:$C$1960,0)))</f>
        <v/>
      </c>
      <c r="D180" s="9">
        <f>IF(ISNA(MATCH(167,Engine!$C$2:$C$1960,0)),"",INDEX('Compliance Database'!$D$2:$D$1960,MATCH(167,Engine!$C$2:$C$1960,0)))</f>
        <v/>
      </c>
      <c r="E180" s="8">
        <f>IF(ISNA(MATCH(167,Engine!$C$2:$C$1960,0)),"",INDEX('Compliance Database'!$E$2:$E$1960,MATCH(167,Engine!$C$2:$C$1960,0)))</f>
        <v/>
      </c>
      <c r="F180" s="8">
        <f>IF(ISNA(MATCH(167,Engine!$C$2:$C$1960,0)),"",INDEX('Compliance Database'!$F$2:$F$1960,MATCH(167,Engine!$C$2:$C$1960,0)))</f>
        <v/>
      </c>
      <c r="G180" s="8">
        <f>IF(ISNA(MATCH(167,Engine!$C$2:$C$1960,0)),"",INDEX('Compliance Database'!$G$2:$G$1960,MATCH(167,Engine!$C$2:$C$1960,0)))</f>
        <v/>
      </c>
      <c r="H180" s="9">
        <f>IF(ISNA(MATCH(167,Engine!$C$2:$C$1960,0)),"",INDEX('Compliance Database'!$H$2:$H$1960,MATCH(167,Engine!$C$2:$C$1960,0)))</f>
        <v/>
      </c>
      <c r="I180" s="9">
        <f>IF(ISNA(MATCH(167,Engine!$C$2:$C$1960,0)),"",INDEX('Compliance Database'!$I$2:$I$1960,MATCH(167,Engine!$C$2:$C$1960,0)))</f>
        <v/>
      </c>
      <c r="J180" s="8">
        <f>IF(ISNA(MATCH(167,Engine!$C$2:$C$1960,0)),"",INDEX('Compliance Database'!$J$2:$J$1960,MATCH(167,Engine!$C$2:$C$1960,0)))</f>
        <v/>
      </c>
      <c r="K180" s="9">
        <f>IF(ISNA(MATCH(167,Engine!$C$2:$C$1960,0)),"",INDEX('Compliance Database'!$K$2:$K$1960,MATCH(167,Engine!$C$2:$C$1960,0)))</f>
        <v/>
      </c>
      <c r="L180" s="9">
        <f>IF(ISNA(MATCH(167,Engine!$C$2:$C$1960,0)),"",INDEX('Compliance Database'!$L$2:$L$1960,MATCH(167,Engine!$C$2:$C$1960,0)))</f>
        <v/>
      </c>
      <c r="M180" s="9">
        <f>IF(ISNA(MATCH(167,Engine!$C$2:$C$1960,0)),"",INDEX('Compliance Database'!$M$2:$M$1960,MATCH(167,Engine!$C$2:$C$1960,0)))</f>
        <v/>
      </c>
      <c r="N180" s="9">
        <f>IF(ISNA(MATCH(167,Engine!$C$2:$C$1960,0)),"",INDEX('Compliance Database'!$N$2:$N$1960,MATCH(167,Engine!$C$2:$C$1960,0)))</f>
        <v/>
      </c>
      <c r="O180" s="9">
        <f>IF(ISNA(MATCH(167,Engine!$C$2:$C$1960,0)),"",INDEX('Compliance Database'!$O$2:$O$1960,MATCH(167,Engine!$C$2:$C$1960,0)))</f>
        <v/>
      </c>
      <c r="P180" s="8">
        <f>IF(ISNA(MATCH(167,Engine!$C$2:$C$1960,0)),"",HYPERLINK("#Acts!A"&amp;INDEX('Compliance Database'!$P$2:$P$1960,MATCH(167,Engine!$C$2:$C$1960,0)),"Go to Act"))</f>
        <v/>
      </c>
    </row>
    <row r="181" ht="158" customHeight="1">
      <c r="A181" s="8">
        <f>IF(ISNA(MATCH(168,Engine!$C$2:$C$1960,0)),"",INDEX('Compliance Database'!$A$2:$A$1960,MATCH(168,Engine!$C$2:$C$1960,0)))</f>
        <v/>
      </c>
      <c r="B181" s="8">
        <f>IF(ISNA(MATCH(168,Engine!$C$2:$C$1960,0)),"",INDEX('Compliance Database'!$B$2:$B$1960,MATCH(168,Engine!$C$2:$C$1960,0)))</f>
        <v/>
      </c>
      <c r="C181" s="8">
        <f>IF(ISNA(MATCH(168,Engine!$C$2:$C$1960,0)),"",INDEX('Compliance Database'!$C$2:$C$1960,MATCH(168,Engine!$C$2:$C$1960,0)))</f>
        <v/>
      </c>
      <c r="D181" s="9">
        <f>IF(ISNA(MATCH(168,Engine!$C$2:$C$1960,0)),"",INDEX('Compliance Database'!$D$2:$D$1960,MATCH(168,Engine!$C$2:$C$1960,0)))</f>
        <v/>
      </c>
      <c r="E181" s="8">
        <f>IF(ISNA(MATCH(168,Engine!$C$2:$C$1960,0)),"",INDEX('Compliance Database'!$E$2:$E$1960,MATCH(168,Engine!$C$2:$C$1960,0)))</f>
        <v/>
      </c>
      <c r="F181" s="8">
        <f>IF(ISNA(MATCH(168,Engine!$C$2:$C$1960,0)),"",INDEX('Compliance Database'!$F$2:$F$1960,MATCH(168,Engine!$C$2:$C$1960,0)))</f>
        <v/>
      </c>
      <c r="G181" s="8">
        <f>IF(ISNA(MATCH(168,Engine!$C$2:$C$1960,0)),"",INDEX('Compliance Database'!$G$2:$G$1960,MATCH(168,Engine!$C$2:$C$1960,0)))</f>
        <v/>
      </c>
      <c r="H181" s="9">
        <f>IF(ISNA(MATCH(168,Engine!$C$2:$C$1960,0)),"",INDEX('Compliance Database'!$H$2:$H$1960,MATCH(168,Engine!$C$2:$C$1960,0)))</f>
        <v/>
      </c>
      <c r="I181" s="9">
        <f>IF(ISNA(MATCH(168,Engine!$C$2:$C$1960,0)),"",INDEX('Compliance Database'!$I$2:$I$1960,MATCH(168,Engine!$C$2:$C$1960,0)))</f>
        <v/>
      </c>
      <c r="J181" s="8">
        <f>IF(ISNA(MATCH(168,Engine!$C$2:$C$1960,0)),"",INDEX('Compliance Database'!$J$2:$J$1960,MATCH(168,Engine!$C$2:$C$1960,0)))</f>
        <v/>
      </c>
      <c r="K181" s="9">
        <f>IF(ISNA(MATCH(168,Engine!$C$2:$C$1960,0)),"",INDEX('Compliance Database'!$K$2:$K$1960,MATCH(168,Engine!$C$2:$C$1960,0)))</f>
        <v/>
      </c>
      <c r="L181" s="9">
        <f>IF(ISNA(MATCH(168,Engine!$C$2:$C$1960,0)),"",INDEX('Compliance Database'!$L$2:$L$1960,MATCH(168,Engine!$C$2:$C$1960,0)))</f>
        <v/>
      </c>
      <c r="M181" s="9">
        <f>IF(ISNA(MATCH(168,Engine!$C$2:$C$1960,0)),"",INDEX('Compliance Database'!$M$2:$M$1960,MATCH(168,Engine!$C$2:$C$1960,0)))</f>
        <v/>
      </c>
      <c r="N181" s="9">
        <f>IF(ISNA(MATCH(168,Engine!$C$2:$C$1960,0)),"",INDEX('Compliance Database'!$N$2:$N$1960,MATCH(168,Engine!$C$2:$C$1960,0)))</f>
        <v/>
      </c>
      <c r="O181" s="9">
        <f>IF(ISNA(MATCH(168,Engine!$C$2:$C$1960,0)),"",INDEX('Compliance Database'!$O$2:$O$1960,MATCH(168,Engine!$C$2:$C$1960,0)))</f>
        <v/>
      </c>
      <c r="P181" s="8">
        <f>IF(ISNA(MATCH(168,Engine!$C$2:$C$1960,0)),"",HYPERLINK("#Acts!A"&amp;INDEX('Compliance Database'!$P$2:$P$1960,MATCH(168,Engine!$C$2:$C$1960,0)),"Go to Act"))</f>
        <v/>
      </c>
    </row>
    <row r="182" ht="158" customHeight="1">
      <c r="A182" s="8">
        <f>IF(ISNA(MATCH(169,Engine!$C$2:$C$1960,0)),"",INDEX('Compliance Database'!$A$2:$A$1960,MATCH(169,Engine!$C$2:$C$1960,0)))</f>
        <v/>
      </c>
      <c r="B182" s="8">
        <f>IF(ISNA(MATCH(169,Engine!$C$2:$C$1960,0)),"",INDEX('Compliance Database'!$B$2:$B$1960,MATCH(169,Engine!$C$2:$C$1960,0)))</f>
        <v/>
      </c>
      <c r="C182" s="8">
        <f>IF(ISNA(MATCH(169,Engine!$C$2:$C$1960,0)),"",INDEX('Compliance Database'!$C$2:$C$1960,MATCH(169,Engine!$C$2:$C$1960,0)))</f>
        <v/>
      </c>
      <c r="D182" s="9">
        <f>IF(ISNA(MATCH(169,Engine!$C$2:$C$1960,0)),"",INDEX('Compliance Database'!$D$2:$D$1960,MATCH(169,Engine!$C$2:$C$1960,0)))</f>
        <v/>
      </c>
      <c r="E182" s="8">
        <f>IF(ISNA(MATCH(169,Engine!$C$2:$C$1960,0)),"",INDEX('Compliance Database'!$E$2:$E$1960,MATCH(169,Engine!$C$2:$C$1960,0)))</f>
        <v/>
      </c>
      <c r="F182" s="8">
        <f>IF(ISNA(MATCH(169,Engine!$C$2:$C$1960,0)),"",INDEX('Compliance Database'!$F$2:$F$1960,MATCH(169,Engine!$C$2:$C$1960,0)))</f>
        <v/>
      </c>
      <c r="G182" s="8">
        <f>IF(ISNA(MATCH(169,Engine!$C$2:$C$1960,0)),"",INDEX('Compliance Database'!$G$2:$G$1960,MATCH(169,Engine!$C$2:$C$1960,0)))</f>
        <v/>
      </c>
      <c r="H182" s="9">
        <f>IF(ISNA(MATCH(169,Engine!$C$2:$C$1960,0)),"",INDEX('Compliance Database'!$H$2:$H$1960,MATCH(169,Engine!$C$2:$C$1960,0)))</f>
        <v/>
      </c>
      <c r="I182" s="9">
        <f>IF(ISNA(MATCH(169,Engine!$C$2:$C$1960,0)),"",INDEX('Compliance Database'!$I$2:$I$1960,MATCH(169,Engine!$C$2:$C$1960,0)))</f>
        <v/>
      </c>
      <c r="J182" s="8">
        <f>IF(ISNA(MATCH(169,Engine!$C$2:$C$1960,0)),"",INDEX('Compliance Database'!$J$2:$J$1960,MATCH(169,Engine!$C$2:$C$1960,0)))</f>
        <v/>
      </c>
      <c r="K182" s="9">
        <f>IF(ISNA(MATCH(169,Engine!$C$2:$C$1960,0)),"",INDEX('Compliance Database'!$K$2:$K$1960,MATCH(169,Engine!$C$2:$C$1960,0)))</f>
        <v/>
      </c>
      <c r="L182" s="9">
        <f>IF(ISNA(MATCH(169,Engine!$C$2:$C$1960,0)),"",INDEX('Compliance Database'!$L$2:$L$1960,MATCH(169,Engine!$C$2:$C$1960,0)))</f>
        <v/>
      </c>
      <c r="M182" s="9">
        <f>IF(ISNA(MATCH(169,Engine!$C$2:$C$1960,0)),"",INDEX('Compliance Database'!$M$2:$M$1960,MATCH(169,Engine!$C$2:$C$1960,0)))</f>
        <v/>
      </c>
      <c r="N182" s="9">
        <f>IF(ISNA(MATCH(169,Engine!$C$2:$C$1960,0)),"",INDEX('Compliance Database'!$N$2:$N$1960,MATCH(169,Engine!$C$2:$C$1960,0)))</f>
        <v/>
      </c>
      <c r="O182" s="9">
        <f>IF(ISNA(MATCH(169,Engine!$C$2:$C$1960,0)),"",INDEX('Compliance Database'!$O$2:$O$1960,MATCH(169,Engine!$C$2:$C$1960,0)))</f>
        <v/>
      </c>
      <c r="P182" s="8">
        <f>IF(ISNA(MATCH(169,Engine!$C$2:$C$1960,0)),"",HYPERLINK("#Acts!A"&amp;INDEX('Compliance Database'!$P$2:$P$1960,MATCH(169,Engine!$C$2:$C$1960,0)),"Go to Act"))</f>
        <v/>
      </c>
    </row>
    <row r="183" ht="158" customHeight="1">
      <c r="A183" s="8">
        <f>IF(ISNA(MATCH(170,Engine!$C$2:$C$1960,0)),"",INDEX('Compliance Database'!$A$2:$A$1960,MATCH(170,Engine!$C$2:$C$1960,0)))</f>
        <v/>
      </c>
      <c r="B183" s="8">
        <f>IF(ISNA(MATCH(170,Engine!$C$2:$C$1960,0)),"",INDEX('Compliance Database'!$B$2:$B$1960,MATCH(170,Engine!$C$2:$C$1960,0)))</f>
        <v/>
      </c>
      <c r="C183" s="8">
        <f>IF(ISNA(MATCH(170,Engine!$C$2:$C$1960,0)),"",INDEX('Compliance Database'!$C$2:$C$1960,MATCH(170,Engine!$C$2:$C$1960,0)))</f>
        <v/>
      </c>
      <c r="D183" s="9">
        <f>IF(ISNA(MATCH(170,Engine!$C$2:$C$1960,0)),"",INDEX('Compliance Database'!$D$2:$D$1960,MATCH(170,Engine!$C$2:$C$1960,0)))</f>
        <v/>
      </c>
      <c r="E183" s="8">
        <f>IF(ISNA(MATCH(170,Engine!$C$2:$C$1960,0)),"",INDEX('Compliance Database'!$E$2:$E$1960,MATCH(170,Engine!$C$2:$C$1960,0)))</f>
        <v/>
      </c>
      <c r="F183" s="8">
        <f>IF(ISNA(MATCH(170,Engine!$C$2:$C$1960,0)),"",INDEX('Compliance Database'!$F$2:$F$1960,MATCH(170,Engine!$C$2:$C$1960,0)))</f>
        <v/>
      </c>
      <c r="G183" s="8">
        <f>IF(ISNA(MATCH(170,Engine!$C$2:$C$1960,0)),"",INDEX('Compliance Database'!$G$2:$G$1960,MATCH(170,Engine!$C$2:$C$1960,0)))</f>
        <v/>
      </c>
      <c r="H183" s="9">
        <f>IF(ISNA(MATCH(170,Engine!$C$2:$C$1960,0)),"",INDEX('Compliance Database'!$H$2:$H$1960,MATCH(170,Engine!$C$2:$C$1960,0)))</f>
        <v/>
      </c>
      <c r="I183" s="9">
        <f>IF(ISNA(MATCH(170,Engine!$C$2:$C$1960,0)),"",INDEX('Compliance Database'!$I$2:$I$1960,MATCH(170,Engine!$C$2:$C$1960,0)))</f>
        <v/>
      </c>
      <c r="J183" s="8">
        <f>IF(ISNA(MATCH(170,Engine!$C$2:$C$1960,0)),"",INDEX('Compliance Database'!$J$2:$J$1960,MATCH(170,Engine!$C$2:$C$1960,0)))</f>
        <v/>
      </c>
      <c r="K183" s="9">
        <f>IF(ISNA(MATCH(170,Engine!$C$2:$C$1960,0)),"",INDEX('Compliance Database'!$K$2:$K$1960,MATCH(170,Engine!$C$2:$C$1960,0)))</f>
        <v/>
      </c>
      <c r="L183" s="9">
        <f>IF(ISNA(MATCH(170,Engine!$C$2:$C$1960,0)),"",INDEX('Compliance Database'!$L$2:$L$1960,MATCH(170,Engine!$C$2:$C$1960,0)))</f>
        <v/>
      </c>
      <c r="M183" s="9">
        <f>IF(ISNA(MATCH(170,Engine!$C$2:$C$1960,0)),"",INDEX('Compliance Database'!$M$2:$M$1960,MATCH(170,Engine!$C$2:$C$1960,0)))</f>
        <v/>
      </c>
      <c r="N183" s="9">
        <f>IF(ISNA(MATCH(170,Engine!$C$2:$C$1960,0)),"",INDEX('Compliance Database'!$N$2:$N$1960,MATCH(170,Engine!$C$2:$C$1960,0)))</f>
        <v/>
      </c>
      <c r="O183" s="9">
        <f>IF(ISNA(MATCH(170,Engine!$C$2:$C$1960,0)),"",INDEX('Compliance Database'!$O$2:$O$1960,MATCH(170,Engine!$C$2:$C$1960,0)))</f>
        <v/>
      </c>
      <c r="P183" s="8">
        <f>IF(ISNA(MATCH(170,Engine!$C$2:$C$1960,0)),"",HYPERLINK("#Acts!A"&amp;INDEX('Compliance Database'!$P$2:$P$1960,MATCH(170,Engine!$C$2:$C$1960,0)),"Go to Act"))</f>
        <v/>
      </c>
    </row>
    <row r="184" ht="158" customHeight="1">
      <c r="A184" s="8">
        <f>IF(ISNA(MATCH(171,Engine!$C$2:$C$1960,0)),"",INDEX('Compliance Database'!$A$2:$A$1960,MATCH(171,Engine!$C$2:$C$1960,0)))</f>
        <v/>
      </c>
      <c r="B184" s="8">
        <f>IF(ISNA(MATCH(171,Engine!$C$2:$C$1960,0)),"",INDEX('Compliance Database'!$B$2:$B$1960,MATCH(171,Engine!$C$2:$C$1960,0)))</f>
        <v/>
      </c>
      <c r="C184" s="8">
        <f>IF(ISNA(MATCH(171,Engine!$C$2:$C$1960,0)),"",INDEX('Compliance Database'!$C$2:$C$1960,MATCH(171,Engine!$C$2:$C$1960,0)))</f>
        <v/>
      </c>
      <c r="D184" s="9">
        <f>IF(ISNA(MATCH(171,Engine!$C$2:$C$1960,0)),"",INDEX('Compliance Database'!$D$2:$D$1960,MATCH(171,Engine!$C$2:$C$1960,0)))</f>
        <v/>
      </c>
      <c r="E184" s="8">
        <f>IF(ISNA(MATCH(171,Engine!$C$2:$C$1960,0)),"",INDEX('Compliance Database'!$E$2:$E$1960,MATCH(171,Engine!$C$2:$C$1960,0)))</f>
        <v/>
      </c>
      <c r="F184" s="8">
        <f>IF(ISNA(MATCH(171,Engine!$C$2:$C$1960,0)),"",INDEX('Compliance Database'!$F$2:$F$1960,MATCH(171,Engine!$C$2:$C$1960,0)))</f>
        <v/>
      </c>
      <c r="G184" s="8">
        <f>IF(ISNA(MATCH(171,Engine!$C$2:$C$1960,0)),"",INDEX('Compliance Database'!$G$2:$G$1960,MATCH(171,Engine!$C$2:$C$1960,0)))</f>
        <v/>
      </c>
      <c r="H184" s="9">
        <f>IF(ISNA(MATCH(171,Engine!$C$2:$C$1960,0)),"",INDEX('Compliance Database'!$H$2:$H$1960,MATCH(171,Engine!$C$2:$C$1960,0)))</f>
        <v/>
      </c>
      <c r="I184" s="9">
        <f>IF(ISNA(MATCH(171,Engine!$C$2:$C$1960,0)),"",INDEX('Compliance Database'!$I$2:$I$1960,MATCH(171,Engine!$C$2:$C$1960,0)))</f>
        <v/>
      </c>
      <c r="J184" s="8">
        <f>IF(ISNA(MATCH(171,Engine!$C$2:$C$1960,0)),"",INDEX('Compliance Database'!$J$2:$J$1960,MATCH(171,Engine!$C$2:$C$1960,0)))</f>
        <v/>
      </c>
      <c r="K184" s="9">
        <f>IF(ISNA(MATCH(171,Engine!$C$2:$C$1960,0)),"",INDEX('Compliance Database'!$K$2:$K$1960,MATCH(171,Engine!$C$2:$C$1960,0)))</f>
        <v/>
      </c>
      <c r="L184" s="9">
        <f>IF(ISNA(MATCH(171,Engine!$C$2:$C$1960,0)),"",INDEX('Compliance Database'!$L$2:$L$1960,MATCH(171,Engine!$C$2:$C$1960,0)))</f>
        <v/>
      </c>
      <c r="M184" s="9">
        <f>IF(ISNA(MATCH(171,Engine!$C$2:$C$1960,0)),"",INDEX('Compliance Database'!$M$2:$M$1960,MATCH(171,Engine!$C$2:$C$1960,0)))</f>
        <v/>
      </c>
      <c r="N184" s="9">
        <f>IF(ISNA(MATCH(171,Engine!$C$2:$C$1960,0)),"",INDEX('Compliance Database'!$N$2:$N$1960,MATCH(171,Engine!$C$2:$C$1960,0)))</f>
        <v/>
      </c>
      <c r="O184" s="9">
        <f>IF(ISNA(MATCH(171,Engine!$C$2:$C$1960,0)),"",INDEX('Compliance Database'!$O$2:$O$1960,MATCH(171,Engine!$C$2:$C$1960,0)))</f>
        <v/>
      </c>
      <c r="P184" s="8">
        <f>IF(ISNA(MATCH(171,Engine!$C$2:$C$1960,0)),"",HYPERLINK("#Acts!A"&amp;INDEX('Compliance Database'!$P$2:$P$1960,MATCH(171,Engine!$C$2:$C$1960,0)),"Go to Act"))</f>
        <v/>
      </c>
    </row>
    <row r="185" ht="158" customHeight="1">
      <c r="A185" s="8">
        <f>IF(ISNA(MATCH(172,Engine!$C$2:$C$1960,0)),"",INDEX('Compliance Database'!$A$2:$A$1960,MATCH(172,Engine!$C$2:$C$1960,0)))</f>
        <v/>
      </c>
      <c r="B185" s="8">
        <f>IF(ISNA(MATCH(172,Engine!$C$2:$C$1960,0)),"",INDEX('Compliance Database'!$B$2:$B$1960,MATCH(172,Engine!$C$2:$C$1960,0)))</f>
        <v/>
      </c>
      <c r="C185" s="8">
        <f>IF(ISNA(MATCH(172,Engine!$C$2:$C$1960,0)),"",INDEX('Compliance Database'!$C$2:$C$1960,MATCH(172,Engine!$C$2:$C$1960,0)))</f>
        <v/>
      </c>
      <c r="D185" s="9">
        <f>IF(ISNA(MATCH(172,Engine!$C$2:$C$1960,0)),"",INDEX('Compliance Database'!$D$2:$D$1960,MATCH(172,Engine!$C$2:$C$1960,0)))</f>
        <v/>
      </c>
      <c r="E185" s="8">
        <f>IF(ISNA(MATCH(172,Engine!$C$2:$C$1960,0)),"",INDEX('Compliance Database'!$E$2:$E$1960,MATCH(172,Engine!$C$2:$C$1960,0)))</f>
        <v/>
      </c>
      <c r="F185" s="8">
        <f>IF(ISNA(MATCH(172,Engine!$C$2:$C$1960,0)),"",INDEX('Compliance Database'!$F$2:$F$1960,MATCH(172,Engine!$C$2:$C$1960,0)))</f>
        <v/>
      </c>
      <c r="G185" s="8">
        <f>IF(ISNA(MATCH(172,Engine!$C$2:$C$1960,0)),"",INDEX('Compliance Database'!$G$2:$G$1960,MATCH(172,Engine!$C$2:$C$1960,0)))</f>
        <v/>
      </c>
      <c r="H185" s="9">
        <f>IF(ISNA(MATCH(172,Engine!$C$2:$C$1960,0)),"",INDEX('Compliance Database'!$H$2:$H$1960,MATCH(172,Engine!$C$2:$C$1960,0)))</f>
        <v/>
      </c>
      <c r="I185" s="9">
        <f>IF(ISNA(MATCH(172,Engine!$C$2:$C$1960,0)),"",INDEX('Compliance Database'!$I$2:$I$1960,MATCH(172,Engine!$C$2:$C$1960,0)))</f>
        <v/>
      </c>
      <c r="J185" s="8">
        <f>IF(ISNA(MATCH(172,Engine!$C$2:$C$1960,0)),"",INDEX('Compliance Database'!$J$2:$J$1960,MATCH(172,Engine!$C$2:$C$1960,0)))</f>
        <v/>
      </c>
      <c r="K185" s="9">
        <f>IF(ISNA(MATCH(172,Engine!$C$2:$C$1960,0)),"",INDEX('Compliance Database'!$K$2:$K$1960,MATCH(172,Engine!$C$2:$C$1960,0)))</f>
        <v/>
      </c>
      <c r="L185" s="9">
        <f>IF(ISNA(MATCH(172,Engine!$C$2:$C$1960,0)),"",INDEX('Compliance Database'!$L$2:$L$1960,MATCH(172,Engine!$C$2:$C$1960,0)))</f>
        <v/>
      </c>
      <c r="M185" s="9">
        <f>IF(ISNA(MATCH(172,Engine!$C$2:$C$1960,0)),"",INDEX('Compliance Database'!$M$2:$M$1960,MATCH(172,Engine!$C$2:$C$1960,0)))</f>
        <v/>
      </c>
      <c r="N185" s="9">
        <f>IF(ISNA(MATCH(172,Engine!$C$2:$C$1960,0)),"",INDEX('Compliance Database'!$N$2:$N$1960,MATCH(172,Engine!$C$2:$C$1960,0)))</f>
        <v/>
      </c>
      <c r="O185" s="9">
        <f>IF(ISNA(MATCH(172,Engine!$C$2:$C$1960,0)),"",INDEX('Compliance Database'!$O$2:$O$1960,MATCH(172,Engine!$C$2:$C$1960,0)))</f>
        <v/>
      </c>
      <c r="P185" s="8">
        <f>IF(ISNA(MATCH(172,Engine!$C$2:$C$1960,0)),"",HYPERLINK("#Acts!A"&amp;INDEX('Compliance Database'!$P$2:$P$1960,MATCH(172,Engine!$C$2:$C$1960,0)),"Go to Act"))</f>
        <v/>
      </c>
    </row>
    <row r="186" ht="158" customHeight="1">
      <c r="A186" s="8">
        <f>IF(ISNA(MATCH(173,Engine!$C$2:$C$1960,0)),"",INDEX('Compliance Database'!$A$2:$A$1960,MATCH(173,Engine!$C$2:$C$1960,0)))</f>
        <v/>
      </c>
      <c r="B186" s="8">
        <f>IF(ISNA(MATCH(173,Engine!$C$2:$C$1960,0)),"",INDEX('Compliance Database'!$B$2:$B$1960,MATCH(173,Engine!$C$2:$C$1960,0)))</f>
        <v/>
      </c>
      <c r="C186" s="8">
        <f>IF(ISNA(MATCH(173,Engine!$C$2:$C$1960,0)),"",INDEX('Compliance Database'!$C$2:$C$1960,MATCH(173,Engine!$C$2:$C$1960,0)))</f>
        <v/>
      </c>
      <c r="D186" s="9">
        <f>IF(ISNA(MATCH(173,Engine!$C$2:$C$1960,0)),"",INDEX('Compliance Database'!$D$2:$D$1960,MATCH(173,Engine!$C$2:$C$1960,0)))</f>
        <v/>
      </c>
      <c r="E186" s="8">
        <f>IF(ISNA(MATCH(173,Engine!$C$2:$C$1960,0)),"",INDEX('Compliance Database'!$E$2:$E$1960,MATCH(173,Engine!$C$2:$C$1960,0)))</f>
        <v/>
      </c>
      <c r="F186" s="8">
        <f>IF(ISNA(MATCH(173,Engine!$C$2:$C$1960,0)),"",INDEX('Compliance Database'!$F$2:$F$1960,MATCH(173,Engine!$C$2:$C$1960,0)))</f>
        <v/>
      </c>
      <c r="G186" s="8">
        <f>IF(ISNA(MATCH(173,Engine!$C$2:$C$1960,0)),"",INDEX('Compliance Database'!$G$2:$G$1960,MATCH(173,Engine!$C$2:$C$1960,0)))</f>
        <v/>
      </c>
      <c r="H186" s="9">
        <f>IF(ISNA(MATCH(173,Engine!$C$2:$C$1960,0)),"",INDEX('Compliance Database'!$H$2:$H$1960,MATCH(173,Engine!$C$2:$C$1960,0)))</f>
        <v/>
      </c>
      <c r="I186" s="9">
        <f>IF(ISNA(MATCH(173,Engine!$C$2:$C$1960,0)),"",INDEX('Compliance Database'!$I$2:$I$1960,MATCH(173,Engine!$C$2:$C$1960,0)))</f>
        <v/>
      </c>
      <c r="J186" s="8">
        <f>IF(ISNA(MATCH(173,Engine!$C$2:$C$1960,0)),"",INDEX('Compliance Database'!$J$2:$J$1960,MATCH(173,Engine!$C$2:$C$1960,0)))</f>
        <v/>
      </c>
      <c r="K186" s="9">
        <f>IF(ISNA(MATCH(173,Engine!$C$2:$C$1960,0)),"",INDEX('Compliance Database'!$K$2:$K$1960,MATCH(173,Engine!$C$2:$C$1960,0)))</f>
        <v/>
      </c>
      <c r="L186" s="9">
        <f>IF(ISNA(MATCH(173,Engine!$C$2:$C$1960,0)),"",INDEX('Compliance Database'!$L$2:$L$1960,MATCH(173,Engine!$C$2:$C$1960,0)))</f>
        <v/>
      </c>
      <c r="M186" s="9">
        <f>IF(ISNA(MATCH(173,Engine!$C$2:$C$1960,0)),"",INDEX('Compliance Database'!$M$2:$M$1960,MATCH(173,Engine!$C$2:$C$1960,0)))</f>
        <v/>
      </c>
      <c r="N186" s="9">
        <f>IF(ISNA(MATCH(173,Engine!$C$2:$C$1960,0)),"",INDEX('Compliance Database'!$N$2:$N$1960,MATCH(173,Engine!$C$2:$C$1960,0)))</f>
        <v/>
      </c>
      <c r="O186" s="9">
        <f>IF(ISNA(MATCH(173,Engine!$C$2:$C$1960,0)),"",INDEX('Compliance Database'!$O$2:$O$1960,MATCH(173,Engine!$C$2:$C$1960,0)))</f>
        <v/>
      </c>
      <c r="P186" s="8">
        <f>IF(ISNA(MATCH(173,Engine!$C$2:$C$1960,0)),"",HYPERLINK("#Acts!A"&amp;INDEX('Compliance Database'!$P$2:$P$1960,MATCH(173,Engine!$C$2:$C$1960,0)),"Go to Act"))</f>
        <v/>
      </c>
    </row>
    <row r="187" ht="158" customHeight="1">
      <c r="A187" s="8">
        <f>IF(ISNA(MATCH(174,Engine!$C$2:$C$1960,0)),"",INDEX('Compliance Database'!$A$2:$A$1960,MATCH(174,Engine!$C$2:$C$1960,0)))</f>
        <v/>
      </c>
      <c r="B187" s="8">
        <f>IF(ISNA(MATCH(174,Engine!$C$2:$C$1960,0)),"",INDEX('Compliance Database'!$B$2:$B$1960,MATCH(174,Engine!$C$2:$C$1960,0)))</f>
        <v/>
      </c>
      <c r="C187" s="8">
        <f>IF(ISNA(MATCH(174,Engine!$C$2:$C$1960,0)),"",INDEX('Compliance Database'!$C$2:$C$1960,MATCH(174,Engine!$C$2:$C$1960,0)))</f>
        <v/>
      </c>
      <c r="D187" s="9">
        <f>IF(ISNA(MATCH(174,Engine!$C$2:$C$1960,0)),"",INDEX('Compliance Database'!$D$2:$D$1960,MATCH(174,Engine!$C$2:$C$1960,0)))</f>
        <v/>
      </c>
      <c r="E187" s="8">
        <f>IF(ISNA(MATCH(174,Engine!$C$2:$C$1960,0)),"",INDEX('Compliance Database'!$E$2:$E$1960,MATCH(174,Engine!$C$2:$C$1960,0)))</f>
        <v/>
      </c>
      <c r="F187" s="8">
        <f>IF(ISNA(MATCH(174,Engine!$C$2:$C$1960,0)),"",INDEX('Compliance Database'!$F$2:$F$1960,MATCH(174,Engine!$C$2:$C$1960,0)))</f>
        <v/>
      </c>
      <c r="G187" s="8">
        <f>IF(ISNA(MATCH(174,Engine!$C$2:$C$1960,0)),"",INDEX('Compliance Database'!$G$2:$G$1960,MATCH(174,Engine!$C$2:$C$1960,0)))</f>
        <v/>
      </c>
      <c r="H187" s="9">
        <f>IF(ISNA(MATCH(174,Engine!$C$2:$C$1960,0)),"",INDEX('Compliance Database'!$H$2:$H$1960,MATCH(174,Engine!$C$2:$C$1960,0)))</f>
        <v/>
      </c>
      <c r="I187" s="9">
        <f>IF(ISNA(MATCH(174,Engine!$C$2:$C$1960,0)),"",INDEX('Compliance Database'!$I$2:$I$1960,MATCH(174,Engine!$C$2:$C$1960,0)))</f>
        <v/>
      </c>
      <c r="J187" s="8">
        <f>IF(ISNA(MATCH(174,Engine!$C$2:$C$1960,0)),"",INDEX('Compliance Database'!$J$2:$J$1960,MATCH(174,Engine!$C$2:$C$1960,0)))</f>
        <v/>
      </c>
      <c r="K187" s="9">
        <f>IF(ISNA(MATCH(174,Engine!$C$2:$C$1960,0)),"",INDEX('Compliance Database'!$K$2:$K$1960,MATCH(174,Engine!$C$2:$C$1960,0)))</f>
        <v/>
      </c>
      <c r="L187" s="9">
        <f>IF(ISNA(MATCH(174,Engine!$C$2:$C$1960,0)),"",INDEX('Compliance Database'!$L$2:$L$1960,MATCH(174,Engine!$C$2:$C$1960,0)))</f>
        <v/>
      </c>
      <c r="M187" s="9">
        <f>IF(ISNA(MATCH(174,Engine!$C$2:$C$1960,0)),"",INDEX('Compliance Database'!$M$2:$M$1960,MATCH(174,Engine!$C$2:$C$1960,0)))</f>
        <v/>
      </c>
      <c r="N187" s="9">
        <f>IF(ISNA(MATCH(174,Engine!$C$2:$C$1960,0)),"",INDEX('Compliance Database'!$N$2:$N$1960,MATCH(174,Engine!$C$2:$C$1960,0)))</f>
        <v/>
      </c>
      <c r="O187" s="9">
        <f>IF(ISNA(MATCH(174,Engine!$C$2:$C$1960,0)),"",INDEX('Compliance Database'!$O$2:$O$1960,MATCH(174,Engine!$C$2:$C$1960,0)))</f>
        <v/>
      </c>
      <c r="P187" s="8">
        <f>IF(ISNA(MATCH(174,Engine!$C$2:$C$1960,0)),"",HYPERLINK("#Acts!A"&amp;INDEX('Compliance Database'!$P$2:$P$1960,MATCH(174,Engine!$C$2:$C$1960,0)),"Go to Act"))</f>
        <v/>
      </c>
    </row>
    <row r="188" ht="158" customHeight="1">
      <c r="A188" s="8">
        <f>IF(ISNA(MATCH(175,Engine!$C$2:$C$1960,0)),"",INDEX('Compliance Database'!$A$2:$A$1960,MATCH(175,Engine!$C$2:$C$1960,0)))</f>
        <v/>
      </c>
      <c r="B188" s="8">
        <f>IF(ISNA(MATCH(175,Engine!$C$2:$C$1960,0)),"",INDEX('Compliance Database'!$B$2:$B$1960,MATCH(175,Engine!$C$2:$C$1960,0)))</f>
        <v/>
      </c>
      <c r="C188" s="8">
        <f>IF(ISNA(MATCH(175,Engine!$C$2:$C$1960,0)),"",INDEX('Compliance Database'!$C$2:$C$1960,MATCH(175,Engine!$C$2:$C$1960,0)))</f>
        <v/>
      </c>
      <c r="D188" s="9">
        <f>IF(ISNA(MATCH(175,Engine!$C$2:$C$1960,0)),"",INDEX('Compliance Database'!$D$2:$D$1960,MATCH(175,Engine!$C$2:$C$1960,0)))</f>
        <v/>
      </c>
      <c r="E188" s="8">
        <f>IF(ISNA(MATCH(175,Engine!$C$2:$C$1960,0)),"",INDEX('Compliance Database'!$E$2:$E$1960,MATCH(175,Engine!$C$2:$C$1960,0)))</f>
        <v/>
      </c>
      <c r="F188" s="8">
        <f>IF(ISNA(MATCH(175,Engine!$C$2:$C$1960,0)),"",INDEX('Compliance Database'!$F$2:$F$1960,MATCH(175,Engine!$C$2:$C$1960,0)))</f>
        <v/>
      </c>
      <c r="G188" s="8">
        <f>IF(ISNA(MATCH(175,Engine!$C$2:$C$1960,0)),"",INDEX('Compliance Database'!$G$2:$G$1960,MATCH(175,Engine!$C$2:$C$1960,0)))</f>
        <v/>
      </c>
      <c r="H188" s="9">
        <f>IF(ISNA(MATCH(175,Engine!$C$2:$C$1960,0)),"",INDEX('Compliance Database'!$H$2:$H$1960,MATCH(175,Engine!$C$2:$C$1960,0)))</f>
        <v/>
      </c>
      <c r="I188" s="9">
        <f>IF(ISNA(MATCH(175,Engine!$C$2:$C$1960,0)),"",INDEX('Compliance Database'!$I$2:$I$1960,MATCH(175,Engine!$C$2:$C$1960,0)))</f>
        <v/>
      </c>
      <c r="J188" s="8">
        <f>IF(ISNA(MATCH(175,Engine!$C$2:$C$1960,0)),"",INDEX('Compliance Database'!$J$2:$J$1960,MATCH(175,Engine!$C$2:$C$1960,0)))</f>
        <v/>
      </c>
      <c r="K188" s="9">
        <f>IF(ISNA(MATCH(175,Engine!$C$2:$C$1960,0)),"",INDEX('Compliance Database'!$K$2:$K$1960,MATCH(175,Engine!$C$2:$C$1960,0)))</f>
        <v/>
      </c>
      <c r="L188" s="9">
        <f>IF(ISNA(MATCH(175,Engine!$C$2:$C$1960,0)),"",INDEX('Compliance Database'!$L$2:$L$1960,MATCH(175,Engine!$C$2:$C$1960,0)))</f>
        <v/>
      </c>
      <c r="M188" s="9">
        <f>IF(ISNA(MATCH(175,Engine!$C$2:$C$1960,0)),"",INDEX('Compliance Database'!$M$2:$M$1960,MATCH(175,Engine!$C$2:$C$1960,0)))</f>
        <v/>
      </c>
      <c r="N188" s="9">
        <f>IF(ISNA(MATCH(175,Engine!$C$2:$C$1960,0)),"",INDEX('Compliance Database'!$N$2:$N$1960,MATCH(175,Engine!$C$2:$C$1960,0)))</f>
        <v/>
      </c>
      <c r="O188" s="9">
        <f>IF(ISNA(MATCH(175,Engine!$C$2:$C$1960,0)),"",INDEX('Compliance Database'!$O$2:$O$1960,MATCH(175,Engine!$C$2:$C$1960,0)))</f>
        <v/>
      </c>
      <c r="P188" s="8">
        <f>IF(ISNA(MATCH(175,Engine!$C$2:$C$1960,0)),"",HYPERLINK("#Acts!A"&amp;INDEX('Compliance Database'!$P$2:$P$1960,MATCH(175,Engine!$C$2:$C$1960,0)),"Go to Act"))</f>
        <v/>
      </c>
    </row>
    <row r="189" ht="158" customHeight="1">
      <c r="A189" s="8">
        <f>IF(ISNA(MATCH(176,Engine!$C$2:$C$1960,0)),"",INDEX('Compliance Database'!$A$2:$A$1960,MATCH(176,Engine!$C$2:$C$1960,0)))</f>
        <v/>
      </c>
      <c r="B189" s="8">
        <f>IF(ISNA(MATCH(176,Engine!$C$2:$C$1960,0)),"",INDEX('Compliance Database'!$B$2:$B$1960,MATCH(176,Engine!$C$2:$C$1960,0)))</f>
        <v/>
      </c>
      <c r="C189" s="8">
        <f>IF(ISNA(MATCH(176,Engine!$C$2:$C$1960,0)),"",INDEX('Compliance Database'!$C$2:$C$1960,MATCH(176,Engine!$C$2:$C$1960,0)))</f>
        <v/>
      </c>
      <c r="D189" s="9">
        <f>IF(ISNA(MATCH(176,Engine!$C$2:$C$1960,0)),"",INDEX('Compliance Database'!$D$2:$D$1960,MATCH(176,Engine!$C$2:$C$1960,0)))</f>
        <v/>
      </c>
      <c r="E189" s="8">
        <f>IF(ISNA(MATCH(176,Engine!$C$2:$C$1960,0)),"",INDEX('Compliance Database'!$E$2:$E$1960,MATCH(176,Engine!$C$2:$C$1960,0)))</f>
        <v/>
      </c>
      <c r="F189" s="8">
        <f>IF(ISNA(MATCH(176,Engine!$C$2:$C$1960,0)),"",INDEX('Compliance Database'!$F$2:$F$1960,MATCH(176,Engine!$C$2:$C$1960,0)))</f>
        <v/>
      </c>
      <c r="G189" s="8">
        <f>IF(ISNA(MATCH(176,Engine!$C$2:$C$1960,0)),"",INDEX('Compliance Database'!$G$2:$G$1960,MATCH(176,Engine!$C$2:$C$1960,0)))</f>
        <v/>
      </c>
      <c r="H189" s="9">
        <f>IF(ISNA(MATCH(176,Engine!$C$2:$C$1960,0)),"",INDEX('Compliance Database'!$H$2:$H$1960,MATCH(176,Engine!$C$2:$C$1960,0)))</f>
        <v/>
      </c>
      <c r="I189" s="9">
        <f>IF(ISNA(MATCH(176,Engine!$C$2:$C$1960,0)),"",INDEX('Compliance Database'!$I$2:$I$1960,MATCH(176,Engine!$C$2:$C$1960,0)))</f>
        <v/>
      </c>
      <c r="J189" s="8">
        <f>IF(ISNA(MATCH(176,Engine!$C$2:$C$1960,0)),"",INDEX('Compliance Database'!$J$2:$J$1960,MATCH(176,Engine!$C$2:$C$1960,0)))</f>
        <v/>
      </c>
      <c r="K189" s="9">
        <f>IF(ISNA(MATCH(176,Engine!$C$2:$C$1960,0)),"",INDEX('Compliance Database'!$K$2:$K$1960,MATCH(176,Engine!$C$2:$C$1960,0)))</f>
        <v/>
      </c>
      <c r="L189" s="9">
        <f>IF(ISNA(MATCH(176,Engine!$C$2:$C$1960,0)),"",INDEX('Compliance Database'!$L$2:$L$1960,MATCH(176,Engine!$C$2:$C$1960,0)))</f>
        <v/>
      </c>
      <c r="M189" s="9">
        <f>IF(ISNA(MATCH(176,Engine!$C$2:$C$1960,0)),"",INDEX('Compliance Database'!$M$2:$M$1960,MATCH(176,Engine!$C$2:$C$1960,0)))</f>
        <v/>
      </c>
      <c r="N189" s="9">
        <f>IF(ISNA(MATCH(176,Engine!$C$2:$C$1960,0)),"",INDEX('Compliance Database'!$N$2:$N$1960,MATCH(176,Engine!$C$2:$C$1960,0)))</f>
        <v/>
      </c>
      <c r="O189" s="9">
        <f>IF(ISNA(MATCH(176,Engine!$C$2:$C$1960,0)),"",INDEX('Compliance Database'!$O$2:$O$1960,MATCH(176,Engine!$C$2:$C$1960,0)))</f>
        <v/>
      </c>
      <c r="P189" s="8">
        <f>IF(ISNA(MATCH(176,Engine!$C$2:$C$1960,0)),"",HYPERLINK("#Acts!A"&amp;INDEX('Compliance Database'!$P$2:$P$1960,MATCH(176,Engine!$C$2:$C$1960,0)),"Go to Act"))</f>
        <v/>
      </c>
    </row>
    <row r="190" ht="158" customHeight="1">
      <c r="A190" s="8">
        <f>IF(ISNA(MATCH(177,Engine!$C$2:$C$1960,0)),"",INDEX('Compliance Database'!$A$2:$A$1960,MATCH(177,Engine!$C$2:$C$1960,0)))</f>
        <v/>
      </c>
      <c r="B190" s="8">
        <f>IF(ISNA(MATCH(177,Engine!$C$2:$C$1960,0)),"",INDEX('Compliance Database'!$B$2:$B$1960,MATCH(177,Engine!$C$2:$C$1960,0)))</f>
        <v/>
      </c>
      <c r="C190" s="8">
        <f>IF(ISNA(MATCH(177,Engine!$C$2:$C$1960,0)),"",INDEX('Compliance Database'!$C$2:$C$1960,MATCH(177,Engine!$C$2:$C$1960,0)))</f>
        <v/>
      </c>
      <c r="D190" s="9">
        <f>IF(ISNA(MATCH(177,Engine!$C$2:$C$1960,0)),"",INDEX('Compliance Database'!$D$2:$D$1960,MATCH(177,Engine!$C$2:$C$1960,0)))</f>
        <v/>
      </c>
      <c r="E190" s="8">
        <f>IF(ISNA(MATCH(177,Engine!$C$2:$C$1960,0)),"",INDEX('Compliance Database'!$E$2:$E$1960,MATCH(177,Engine!$C$2:$C$1960,0)))</f>
        <v/>
      </c>
      <c r="F190" s="8">
        <f>IF(ISNA(MATCH(177,Engine!$C$2:$C$1960,0)),"",INDEX('Compliance Database'!$F$2:$F$1960,MATCH(177,Engine!$C$2:$C$1960,0)))</f>
        <v/>
      </c>
      <c r="G190" s="8">
        <f>IF(ISNA(MATCH(177,Engine!$C$2:$C$1960,0)),"",INDEX('Compliance Database'!$G$2:$G$1960,MATCH(177,Engine!$C$2:$C$1960,0)))</f>
        <v/>
      </c>
      <c r="H190" s="9">
        <f>IF(ISNA(MATCH(177,Engine!$C$2:$C$1960,0)),"",INDEX('Compliance Database'!$H$2:$H$1960,MATCH(177,Engine!$C$2:$C$1960,0)))</f>
        <v/>
      </c>
      <c r="I190" s="9">
        <f>IF(ISNA(MATCH(177,Engine!$C$2:$C$1960,0)),"",INDEX('Compliance Database'!$I$2:$I$1960,MATCH(177,Engine!$C$2:$C$1960,0)))</f>
        <v/>
      </c>
      <c r="J190" s="8">
        <f>IF(ISNA(MATCH(177,Engine!$C$2:$C$1960,0)),"",INDEX('Compliance Database'!$J$2:$J$1960,MATCH(177,Engine!$C$2:$C$1960,0)))</f>
        <v/>
      </c>
      <c r="K190" s="9">
        <f>IF(ISNA(MATCH(177,Engine!$C$2:$C$1960,0)),"",INDEX('Compliance Database'!$K$2:$K$1960,MATCH(177,Engine!$C$2:$C$1960,0)))</f>
        <v/>
      </c>
      <c r="L190" s="9">
        <f>IF(ISNA(MATCH(177,Engine!$C$2:$C$1960,0)),"",INDEX('Compliance Database'!$L$2:$L$1960,MATCH(177,Engine!$C$2:$C$1960,0)))</f>
        <v/>
      </c>
      <c r="M190" s="9">
        <f>IF(ISNA(MATCH(177,Engine!$C$2:$C$1960,0)),"",INDEX('Compliance Database'!$M$2:$M$1960,MATCH(177,Engine!$C$2:$C$1960,0)))</f>
        <v/>
      </c>
      <c r="N190" s="9">
        <f>IF(ISNA(MATCH(177,Engine!$C$2:$C$1960,0)),"",INDEX('Compliance Database'!$N$2:$N$1960,MATCH(177,Engine!$C$2:$C$1960,0)))</f>
        <v/>
      </c>
      <c r="O190" s="9">
        <f>IF(ISNA(MATCH(177,Engine!$C$2:$C$1960,0)),"",INDEX('Compliance Database'!$O$2:$O$1960,MATCH(177,Engine!$C$2:$C$1960,0)))</f>
        <v/>
      </c>
      <c r="P190" s="8">
        <f>IF(ISNA(MATCH(177,Engine!$C$2:$C$1960,0)),"",HYPERLINK("#Acts!A"&amp;INDEX('Compliance Database'!$P$2:$P$1960,MATCH(177,Engine!$C$2:$C$1960,0)),"Go to Act"))</f>
        <v/>
      </c>
    </row>
    <row r="191" ht="158" customHeight="1">
      <c r="A191" s="8">
        <f>IF(ISNA(MATCH(178,Engine!$C$2:$C$1960,0)),"",INDEX('Compliance Database'!$A$2:$A$1960,MATCH(178,Engine!$C$2:$C$1960,0)))</f>
        <v/>
      </c>
      <c r="B191" s="8">
        <f>IF(ISNA(MATCH(178,Engine!$C$2:$C$1960,0)),"",INDEX('Compliance Database'!$B$2:$B$1960,MATCH(178,Engine!$C$2:$C$1960,0)))</f>
        <v/>
      </c>
      <c r="C191" s="8">
        <f>IF(ISNA(MATCH(178,Engine!$C$2:$C$1960,0)),"",INDEX('Compliance Database'!$C$2:$C$1960,MATCH(178,Engine!$C$2:$C$1960,0)))</f>
        <v/>
      </c>
      <c r="D191" s="9">
        <f>IF(ISNA(MATCH(178,Engine!$C$2:$C$1960,0)),"",INDEX('Compliance Database'!$D$2:$D$1960,MATCH(178,Engine!$C$2:$C$1960,0)))</f>
        <v/>
      </c>
      <c r="E191" s="8">
        <f>IF(ISNA(MATCH(178,Engine!$C$2:$C$1960,0)),"",INDEX('Compliance Database'!$E$2:$E$1960,MATCH(178,Engine!$C$2:$C$1960,0)))</f>
        <v/>
      </c>
      <c r="F191" s="8">
        <f>IF(ISNA(MATCH(178,Engine!$C$2:$C$1960,0)),"",INDEX('Compliance Database'!$F$2:$F$1960,MATCH(178,Engine!$C$2:$C$1960,0)))</f>
        <v/>
      </c>
      <c r="G191" s="8">
        <f>IF(ISNA(MATCH(178,Engine!$C$2:$C$1960,0)),"",INDEX('Compliance Database'!$G$2:$G$1960,MATCH(178,Engine!$C$2:$C$1960,0)))</f>
        <v/>
      </c>
      <c r="H191" s="9">
        <f>IF(ISNA(MATCH(178,Engine!$C$2:$C$1960,0)),"",INDEX('Compliance Database'!$H$2:$H$1960,MATCH(178,Engine!$C$2:$C$1960,0)))</f>
        <v/>
      </c>
      <c r="I191" s="9">
        <f>IF(ISNA(MATCH(178,Engine!$C$2:$C$1960,0)),"",INDEX('Compliance Database'!$I$2:$I$1960,MATCH(178,Engine!$C$2:$C$1960,0)))</f>
        <v/>
      </c>
      <c r="J191" s="8">
        <f>IF(ISNA(MATCH(178,Engine!$C$2:$C$1960,0)),"",INDEX('Compliance Database'!$J$2:$J$1960,MATCH(178,Engine!$C$2:$C$1960,0)))</f>
        <v/>
      </c>
      <c r="K191" s="9">
        <f>IF(ISNA(MATCH(178,Engine!$C$2:$C$1960,0)),"",INDEX('Compliance Database'!$K$2:$K$1960,MATCH(178,Engine!$C$2:$C$1960,0)))</f>
        <v/>
      </c>
      <c r="L191" s="9">
        <f>IF(ISNA(MATCH(178,Engine!$C$2:$C$1960,0)),"",INDEX('Compliance Database'!$L$2:$L$1960,MATCH(178,Engine!$C$2:$C$1960,0)))</f>
        <v/>
      </c>
      <c r="M191" s="9">
        <f>IF(ISNA(MATCH(178,Engine!$C$2:$C$1960,0)),"",INDEX('Compliance Database'!$M$2:$M$1960,MATCH(178,Engine!$C$2:$C$1960,0)))</f>
        <v/>
      </c>
      <c r="N191" s="9">
        <f>IF(ISNA(MATCH(178,Engine!$C$2:$C$1960,0)),"",INDEX('Compliance Database'!$N$2:$N$1960,MATCH(178,Engine!$C$2:$C$1960,0)))</f>
        <v/>
      </c>
      <c r="O191" s="9">
        <f>IF(ISNA(MATCH(178,Engine!$C$2:$C$1960,0)),"",INDEX('Compliance Database'!$O$2:$O$1960,MATCH(178,Engine!$C$2:$C$1960,0)))</f>
        <v/>
      </c>
      <c r="P191" s="8">
        <f>IF(ISNA(MATCH(178,Engine!$C$2:$C$1960,0)),"",HYPERLINK("#Acts!A"&amp;INDEX('Compliance Database'!$P$2:$P$1960,MATCH(178,Engine!$C$2:$C$1960,0)),"Go to Act"))</f>
        <v/>
      </c>
    </row>
    <row r="192" ht="158" customHeight="1">
      <c r="A192" s="8">
        <f>IF(ISNA(MATCH(179,Engine!$C$2:$C$1960,0)),"",INDEX('Compliance Database'!$A$2:$A$1960,MATCH(179,Engine!$C$2:$C$1960,0)))</f>
        <v/>
      </c>
      <c r="B192" s="8">
        <f>IF(ISNA(MATCH(179,Engine!$C$2:$C$1960,0)),"",INDEX('Compliance Database'!$B$2:$B$1960,MATCH(179,Engine!$C$2:$C$1960,0)))</f>
        <v/>
      </c>
      <c r="C192" s="8">
        <f>IF(ISNA(MATCH(179,Engine!$C$2:$C$1960,0)),"",INDEX('Compliance Database'!$C$2:$C$1960,MATCH(179,Engine!$C$2:$C$1960,0)))</f>
        <v/>
      </c>
      <c r="D192" s="9">
        <f>IF(ISNA(MATCH(179,Engine!$C$2:$C$1960,0)),"",INDEX('Compliance Database'!$D$2:$D$1960,MATCH(179,Engine!$C$2:$C$1960,0)))</f>
        <v/>
      </c>
      <c r="E192" s="8">
        <f>IF(ISNA(MATCH(179,Engine!$C$2:$C$1960,0)),"",INDEX('Compliance Database'!$E$2:$E$1960,MATCH(179,Engine!$C$2:$C$1960,0)))</f>
        <v/>
      </c>
      <c r="F192" s="8">
        <f>IF(ISNA(MATCH(179,Engine!$C$2:$C$1960,0)),"",INDEX('Compliance Database'!$F$2:$F$1960,MATCH(179,Engine!$C$2:$C$1960,0)))</f>
        <v/>
      </c>
      <c r="G192" s="8">
        <f>IF(ISNA(MATCH(179,Engine!$C$2:$C$1960,0)),"",INDEX('Compliance Database'!$G$2:$G$1960,MATCH(179,Engine!$C$2:$C$1960,0)))</f>
        <v/>
      </c>
      <c r="H192" s="9">
        <f>IF(ISNA(MATCH(179,Engine!$C$2:$C$1960,0)),"",INDEX('Compliance Database'!$H$2:$H$1960,MATCH(179,Engine!$C$2:$C$1960,0)))</f>
        <v/>
      </c>
      <c r="I192" s="9">
        <f>IF(ISNA(MATCH(179,Engine!$C$2:$C$1960,0)),"",INDEX('Compliance Database'!$I$2:$I$1960,MATCH(179,Engine!$C$2:$C$1960,0)))</f>
        <v/>
      </c>
      <c r="J192" s="8">
        <f>IF(ISNA(MATCH(179,Engine!$C$2:$C$1960,0)),"",INDEX('Compliance Database'!$J$2:$J$1960,MATCH(179,Engine!$C$2:$C$1960,0)))</f>
        <v/>
      </c>
      <c r="K192" s="9">
        <f>IF(ISNA(MATCH(179,Engine!$C$2:$C$1960,0)),"",INDEX('Compliance Database'!$K$2:$K$1960,MATCH(179,Engine!$C$2:$C$1960,0)))</f>
        <v/>
      </c>
      <c r="L192" s="9">
        <f>IF(ISNA(MATCH(179,Engine!$C$2:$C$1960,0)),"",INDEX('Compliance Database'!$L$2:$L$1960,MATCH(179,Engine!$C$2:$C$1960,0)))</f>
        <v/>
      </c>
      <c r="M192" s="9">
        <f>IF(ISNA(MATCH(179,Engine!$C$2:$C$1960,0)),"",INDEX('Compliance Database'!$M$2:$M$1960,MATCH(179,Engine!$C$2:$C$1960,0)))</f>
        <v/>
      </c>
      <c r="N192" s="9">
        <f>IF(ISNA(MATCH(179,Engine!$C$2:$C$1960,0)),"",INDEX('Compliance Database'!$N$2:$N$1960,MATCH(179,Engine!$C$2:$C$1960,0)))</f>
        <v/>
      </c>
      <c r="O192" s="9">
        <f>IF(ISNA(MATCH(179,Engine!$C$2:$C$1960,0)),"",INDEX('Compliance Database'!$O$2:$O$1960,MATCH(179,Engine!$C$2:$C$1960,0)))</f>
        <v/>
      </c>
      <c r="P192" s="8">
        <f>IF(ISNA(MATCH(179,Engine!$C$2:$C$1960,0)),"",HYPERLINK("#Acts!A"&amp;INDEX('Compliance Database'!$P$2:$P$1960,MATCH(179,Engine!$C$2:$C$1960,0)),"Go to Act"))</f>
        <v/>
      </c>
    </row>
    <row r="193" ht="158" customHeight="1">
      <c r="A193" s="8">
        <f>IF(ISNA(MATCH(180,Engine!$C$2:$C$1960,0)),"",INDEX('Compliance Database'!$A$2:$A$1960,MATCH(180,Engine!$C$2:$C$1960,0)))</f>
        <v/>
      </c>
      <c r="B193" s="8">
        <f>IF(ISNA(MATCH(180,Engine!$C$2:$C$1960,0)),"",INDEX('Compliance Database'!$B$2:$B$1960,MATCH(180,Engine!$C$2:$C$1960,0)))</f>
        <v/>
      </c>
      <c r="C193" s="8">
        <f>IF(ISNA(MATCH(180,Engine!$C$2:$C$1960,0)),"",INDEX('Compliance Database'!$C$2:$C$1960,MATCH(180,Engine!$C$2:$C$1960,0)))</f>
        <v/>
      </c>
      <c r="D193" s="9">
        <f>IF(ISNA(MATCH(180,Engine!$C$2:$C$1960,0)),"",INDEX('Compliance Database'!$D$2:$D$1960,MATCH(180,Engine!$C$2:$C$1960,0)))</f>
        <v/>
      </c>
      <c r="E193" s="8">
        <f>IF(ISNA(MATCH(180,Engine!$C$2:$C$1960,0)),"",INDEX('Compliance Database'!$E$2:$E$1960,MATCH(180,Engine!$C$2:$C$1960,0)))</f>
        <v/>
      </c>
      <c r="F193" s="8">
        <f>IF(ISNA(MATCH(180,Engine!$C$2:$C$1960,0)),"",INDEX('Compliance Database'!$F$2:$F$1960,MATCH(180,Engine!$C$2:$C$1960,0)))</f>
        <v/>
      </c>
      <c r="G193" s="8">
        <f>IF(ISNA(MATCH(180,Engine!$C$2:$C$1960,0)),"",INDEX('Compliance Database'!$G$2:$G$1960,MATCH(180,Engine!$C$2:$C$1960,0)))</f>
        <v/>
      </c>
      <c r="H193" s="9">
        <f>IF(ISNA(MATCH(180,Engine!$C$2:$C$1960,0)),"",INDEX('Compliance Database'!$H$2:$H$1960,MATCH(180,Engine!$C$2:$C$1960,0)))</f>
        <v/>
      </c>
      <c r="I193" s="9">
        <f>IF(ISNA(MATCH(180,Engine!$C$2:$C$1960,0)),"",INDEX('Compliance Database'!$I$2:$I$1960,MATCH(180,Engine!$C$2:$C$1960,0)))</f>
        <v/>
      </c>
      <c r="J193" s="8">
        <f>IF(ISNA(MATCH(180,Engine!$C$2:$C$1960,0)),"",INDEX('Compliance Database'!$J$2:$J$1960,MATCH(180,Engine!$C$2:$C$1960,0)))</f>
        <v/>
      </c>
      <c r="K193" s="9">
        <f>IF(ISNA(MATCH(180,Engine!$C$2:$C$1960,0)),"",INDEX('Compliance Database'!$K$2:$K$1960,MATCH(180,Engine!$C$2:$C$1960,0)))</f>
        <v/>
      </c>
      <c r="L193" s="9">
        <f>IF(ISNA(MATCH(180,Engine!$C$2:$C$1960,0)),"",INDEX('Compliance Database'!$L$2:$L$1960,MATCH(180,Engine!$C$2:$C$1960,0)))</f>
        <v/>
      </c>
      <c r="M193" s="9">
        <f>IF(ISNA(MATCH(180,Engine!$C$2:$C$1960,0)),"",INDEX('Compliance Database'!$M$2:$M$1960,MATCH(180,Engine!$C$2:$C$1960,0)))</f>
        <v/>
      </c>
      <c r="N193" s="9">
        <f>IF(ISNA(MATCH(180,Engine!$C$2:$C$1960,0)),"",INDEX('Compliance Database'!$N$2:$N$1960,MATCH(180,Engine!$C$2:$C$1960,0)))</f>
        <v/>
      </c>
      <c r="O193" s="9">
        <f>IF(ISNA(MATCH(180,Engine!$C$2:$C$1960,0)),"",INDEX('Compliance Database'!$O$2:$O$1960,MATCH(180,Engine!$C$2:$C$1960,0)))</f>
        <v/>
      </c>
      <c r="P193" s="8">
        <f>IF(ISNA(MATCH(180,Engine!$C$2:$C$1960,0)),"",HYPERLINK("#Acts!A"&amp;INDEX('Compliance Database'!$P$2:$P$1960,MATCH(180,Engine!$C$2:$C$1960,0)),"Go to Act"))</f>
        <v/>
      </c>
    </row>
    <row r="194" ht="158" customHeight="1">
      <c r="A194" s="8">
        <f>IF(ISNA(MATCH(181,Engine!$C$2:$C$1960,0)),"",INDEX('Compliance Database'!$A$2:$A$1960,MATCH(181,Engine!$C$2:$C$1960,0)))</f>
        <v/>
      </c>
      <c r="B194" s="8">
        <f>IF(ISNA(MATCH(181,Engine!$C$2:$C$1960,0)),"",INDEX('Compliance Database'!$B$2:$B$1960,MATCH(181,Engine!$C$2:$C$1960,0)))</f>
        <v/>
      </c>
      <c r="C194" s="8">
        <f>IF(ISNA(MATCH(181,Engine!$C$2:$C$1960,0)),"",INDEX('Compliance Database'!$C$2:$C$1960,MATCH(181,Engine!$C$2:$C$1960,0)))</f>
        <v/>
      </c>
      <c r="D194" s="9">
        <f>IF(ISNA(MATCH(181,Engine!$C$2:$C$1960,0)),"",INDEX('Compliance Database'!$D$2:$D$1960,MATCH(181,Engine!$C$2:$C$1960,0)))</f>
        <v/>
      </c>
      <c r="E194" s="8">
        <f>IF(ISNA(MATCH(181,Engine!$C$2:$C$1960,0)),"",INDEX('Compliance Database'!$E$2:$E$1960,MATCH(181,Engine!$C$2:$C$1960,0)))</f>
        <v/>
      </c>
      <c r="F194" s="8">
        <f>IF(ISNA(MATCH(181,Engine!$C$2:$C$1960,0)),"",INDEX('Compliance Database'!$F$2:$F$1960,MATCH(181,Engine!$C$2:$C$1960,0)))</f>
        <v/>
      </c>
      <c r="G194" s="8">
        <f>IF(ISNA(MATCH(181,Engine!$C$2:$C$1960,0)),"",INDEX('Compliance Database'!$G$2:$G$1960,MATCH(181,Engine!$C$2:$C$1960,0)))</f>
        <v/>
      </c>
      <c r="H194" s="9">
        <f>IF(ISNA(MATCH(181,Engine!$C$2:$C$1960,0)),"",INDEX('Compliance Database'!$H$2:$H$1960,MATCH(181,Engine!$C$2:$C$1960,0)))</f>
        <v/>
      </c>
      <c r="I194" s="9">
        <f>IF(ISNA(MATCH(181,Engine!$C$2:$C$1960,0)),"",INDEX('Compliance Database'!$I$2:$I$1960,MATCH(181,Engine!$C$2:$C$1960,0)))</f>
        <v/>
      </c>
      <c r="J194" s="8">
        <f>IF(ISNA(MATCH(181,Engine!$C$2:$C$1960,0)),"",INDEX('Compliance Database'!$J$2:$J$1960,MATCH(181,Engine!$C$2:$C$1960,0)))</f>
        <v/>
      </c>
      <c r="K194" s="9">
        <f>IF(ISNA(MATCH(181,Engine!$C$2:$C$1960,0)),"",INDEX('Compliance Database'!$K$2:$K$1960,MATCH(181,Engine!$C$2:$C$1960,0)))</f>
        <v/>
      </c>
      <c r="L194" s="9">
        <f>IF(ISNA(MATCH(181,Engine!$C$2:$C$1960,0)),"",INDEX('Compliance Database'!$L$2:$L$1960,MATCH(181,Engine!$C$2:$C$1960,0)))</f>
        <v/>
      </c>
      <c r="M194" s="9">
        <f>IF(ISNA(MATCH(181,Engine!$C$2:$C$1960,0)),"",INDEX('Compliance Database'!$M$2:$M$1960,MATCH(181,Engine!$C$2:$C$1960,0)))</f>
        <v/>
      </c>
      <c r="N194" s="9">
        <f>IF(ISNA(MATCH(181,Engine!$C$2:$C$1960,0)),"",INDEX('Compliance Database'!$N$2:$N$1960,MATCH(181,Engine!$C$2:$C$1960,0)))</f>
        <v/>
      </c>
      <c r="O194" s="9">
        <f>IF(ISNA(MATCH(181,Engine!$C$2:$C$1960,0)),"",INDEX('Compliance Database'!$O$2:$O$1960,MATCH(181,Engine!$C$2:$C$1960,0)))</f>
        <v/>
      </c>
      <c r="P194" s="8">
        <f>IF(ISNA(MATCH(181,Engine!$C$2:$C$1960,0)),"",HYPERLINK("#Acts!A"&amp;INDEX('Compliance Database'!$P$2:$P$1960,MATCH(181,Engine!$C$2:$C$1960,0)),"Go to Act"))</f>
        <v/>
      </c>
    </row>
    <row r="195" ht="158" customHeight="1">
      <c r="A195" s="8">
        <f>IF(ISNA(MATCH(182,Engine!$C$2:$C$1960,0)),"",INDEX('Compliance Database'!$A$2:$A$1960,MATCH(182,Engine!$C$2:$C$1960,0)))</f>
        <v/>
      </c>
      <c r="B195" s="8">
        <f>IF(ISNA(MATCH(182,Engine!$C$2:$C$1960,0)),"",INDEX('Compliance Database'!$B$2:$B$1960,MATCH(182,Engine!$C$2:$C$1960,0)))</f>
        <v/>
      </c>
      <c r="C195" s="8">
        <f>IF(ISNA(MATCH(182,Engine!$C$2:$C$1960,0)),"",INDEX('Compliance Database'!$C$2:$C$1960,MATCH(182,Engine!$C$2:$C$1960,0)))</f>
        <v/>
      </c>
      <c r="D195" s="9">
        <f>IF(ISNA(MATCH(182,Engine!$C$2:$C$1960,0)),"",INDEX('Compliance Database'!$D$2:$D$1960,MATCH(182,Engine!$C$2:$C$1960,0)))</f>
        <v/>
      </c>
      <c r="E195" s="8">
        <f>IF(ISNA(MATCH(182,Engine!$C$2:$C$1960,0)),"",INDEX('Compliance Database'!$E$2:$E$1960,MATCH(182,Engine!$C$2:$C$1960,0)))</f>
        <v/>
      </c>
      <c r="F195" s="8">
        <f>IF(ISNA(MATCH(182,Engine!$C$2:$C$1960,0)),"",INDEX('Compliance Database'!$F$2:$F$1960,MATCH(182,Engine!$C$2:$C$1960,0)))</f>
        <v/>
      </c>
      <c r="G195" s="8">
        <f>IF(ISNA(MATCH(182,Engine!$C$2:$C$1960,0)),"",INDEX('Compliance Database'!$G$2:$G$1960,MATCH(182,Engine!$C$2:$C$1960,0)))</f>
        <v/>
      </c>
      <c r="H195" s="9">
        <f>IF(ISNA(MATCH(182,Engine!$C$2:$C$1960,0)),"",INDEX('Compliance Database'!$H$2:$H$1960,MATCH(182,Engine!$C$2:$C$1960,0)))</f>
        <v/>
      </c>
      <c r="I195" s="9">
        <f>IF(ISNA(MATCH(182,Engine!$C$2:$C$1960,0)),"",INDEX('Compliance Database'!$I$2:$I$1960,MATCH(182,Engine!$C$2:$C$1960,0)))</f>
        <v/>
      </c>
      <c r="J195" s="8">
        <f>IF(ISNA(MATCH(182,Engine!$C$2:$C$1960,0)),"",INDEX('Compliance Database'!$J$2:$J$1960,MATCH(182,Engine!$C$2:$C$1960,0)))</f>
        <v/>
      </c>
      <c r="K195" s="9">
        <f>IF(ISNA(MATCH(182,Engine!$C$2:$C$1960,0)),"",INDEX('Compliance Database'!$K$2:$K$1960,MATCH(182,Engine!$C$2:$C$1960,0)))</f>
        <v/>
      </c>
      <c r="L195" s="9">
        <f>IF(ISNA(MATCH(182,Engine!$C$2:$C$1960,0)),"",INDEX('Compliance Database'!$L$2:$L$1960,MATCH(182,Engine!$C$2:$C$1960,0)))</f>
        <v/>
      </c>
      <c r="M195" s="9">
        <f>IF(ISNA(MATCH(182,Engine!$C$2:$C$1960,0)),"",INDEX('Compliance Database'!$M$2:$M$1960,MATCH(182,Engine!$C$2:$C$1960,0)))</f>
        <v/>
      </c>
      <c r="N195" s="9">
        <f>IF(ISNA(MATCH(182,Engine!$C$2:$C$1960,0)),"",INDEX('Compliance Database'!$N$2:$N$1960,MATCH(182,Engine!$C$2:$C$1960,0)))</f>
        <v/>
      </c>
      <c r="O195" s="9">
        <f>IF(ISNA(MATCH(182,Engine!$C$2:$C$1960,0)),"",INDEX('Compliance Database'!$O$2:$O$1960,MATCH(182,Engine!$C$2:$C$1960,0)))</f>
        <v/>
      </c>
      <c r="P195" s="8">
        <f>IF(ISNA(MATCH(182,Engine!$C$2:$C$1960,0)),"",HYPERLINK("#Acts!A"&amp;INDEX('Compliance Database'!$P$2:$P$1960,MATCH(182,Engine!$C$2:$C$1960,0)),"Go to Act"))</f>
        <v/>
      </c>
    </row>
    <row r="196" ht="158" customHeight="1">
      <c r="A196" s="8">
        <f>IF(ISNA(MATCH(183,Engine!$C$2:$C$1960,0)),"",INDEX('Compliance Database'!$A$2:$A$1960,MATCH(183,Engine!$C$2:$C$1960,0)))</f>
        <v/>
      </c>
      <c r="B196" s="8">
        <f>IF(ISNA(MATCH(183,Engine!$C$2:$C$1960,0)),"",INDEX('Compliance Database'!$B$2:$B$1960,MATCH(183,Engine!$C$2:$C$1960,0)))</f>
        <v/>
      </c>
      <c r="C196" s="8">
        <f>IF(ISNA(MATCH(183,Engine!$C$2:$C$1960,0)),"",INDEX('Compliance Database'!$C$2:$C$1960,MATCH(183,Engine!$C$2:$C$1960,0)))</f>
        <v/>
      </c>
      <c r="D196" s="9">
        <f>IF(ISNA(MATCH(183,Engine!$C$2:$C$1960,0)),"",INDEX('Compliance Database'!$D$2:$D$1960,MATCH(183,Engine!$C$2:$C$1960,0)))</f>
        <v/>
      </c>
      <c r="E196" s="8">
        <f>IF(ISNA(MATCH(183,Engine!$C$2:$C$1960,0)),"",INDEX('Compliance Database'!$E$2:$E$1960,MATCH(183,Engine!$C$2:$C$1960,0)))</f>
        <v/>
      </c>
      <c r="F196" s="8">
        <f>IF(ISNA(MATCH(183,Engine!$C$2:$C$1960,0)),"",INDEX('Compliance Database'!$F$2:$F$1960,MATCH(183,Engine!$C$2:$C$1960,0)))</f>
        <v/>
      </c>
      <c r="G196" s="8">
        <f>IF(ISNA(MATCH(183,Engine!$C$2:$C$1960,0)),"",INDEX('Compliance Database'!$G$2:$G$1960,MATCH(183,Engine!$C$2:$C$1960,0)))</f>
        <v/>
      </c>
      <c r="H196" s="9">
        <f>IF(ISNA(MATCH(183,Engine!$C$2:$C$1960,0)),"",INDEX('Compliance Database'!$H$2:$H$1960,MATCH(183,Engine!$C$2:$C$1960,0)))</f>
        <v/>
      </c>
      <c r="I196" s="9">
        <f>IF(ISNA(MATCH(183,Engine!$C$2:$C$1960,0)),"",INDEX('Compliance Database'!$I$2:$I$1960,MATCH(183,Engine!$C$2:$C$1960,0)))</f>
        <v/>
      </c>
      <c r="J196" s="8">
        <f>IF(ISNA(MATCH(183,Engine!$C$2:$C$1960,0)),"",INDEX('Compliance Database'!$J$2:$J$1960,MATCH(183,Engine!$C$2:$C$1960,0)))</f>
        <v/>
      </c>
      <c r="K196" s="9">
        <f>IF(ISNA(MATCH(183,Engine!$C$2:$C$1960,0)),"",INDEX('Compliance Database'!$K$2:$K$1960,MATCH(183,Engine!$C$2:$C$1960,0)))</f>
        <v/>
      </c>
      <c r="L196" s="9">
        <f>IF(ISNA(MATCH(183,Engine!$C$2:$C$1960,0)),"",INDEX('Compliance Database'!$L$2:$L$1960,MATCH(183,Engine!$C$2:$C$1960,0)))</f>
        <v/>
      </c>
      <c r="M196" s="9">
        <f>IF(ISNA(MATCH(183,Engine!$C$2:$C$1960,0)),"",INDEX('Compliance Database'!$M$2:$M$1960,MATCH(183,Engine!$C$2:$C$1960,0)))</f>
        <v/>
      </c>
      <c r="N196" s="9">
        <f>IF(ISNA(MATCH(183,Engine!$C$2:$C$1960,0)),"",INDEX('Compliance Database'!$N$2:$N$1960,MATCH(183,Engine!$C$2:$C$1960,0)))</f>
        <v/>
      </c>
      <c r="O196" s="9">
        <f>IF(ISNA(MATCH(183,Engine!$C$2:$C$1960,0)),"",INDEX('Compliance Database'!$O$2:$O$1960,MATCH(183,Engine!$C$2:$C$1960,0)))</f>
        <v/>
      </c>
      <c r="P196" s="8">
        <f>IF(ISNA(MATCH(183,Engine!$C$2:$C$1960,0)),"",HYPERLINK("#Acts!A"&amp;INDEX('Compliance Database'!$P$2:$P$1960,MATCH(183,Engine!$C$2:$C$1960,0)),"Go to Act"))</f>
        <v/>
      </c>
    </row>
    <row r="197" ht="158" customHeight="1">
      <c r="A197" s="8">
        <f>IF(ISNA(MATCH(184,Engine!$C$2:$C$1960,0)),"",INDEX('Compliance Database'!$A$2:$A$1960,MATCH(184,Engine!$C$2:$C$1960,0)))</f>
        <v/>
      </c>
      <c r="B197" s="8">
        <f>IF(ISNA(MATCH(184,Engine!$C$2:$C$1960,0)),"",INDEX('Compliance Database'!$B$2:$B$1960,MATCH(184,Engine!$C$2:$C$1960,0)))</f>
        <v/>
      </c>
      <c r="C197" s="8">
        <f>IF(ISNA(MATCH(184,Engine!$C$2:$C$1960,0)),"",INDEX('Compliance Database'!$C$2:$C$1960,MATCH(184,Engine!$C$2:$C$1960,0)))</f>
        <v/>
      </c>
      <c r="D197" s="9">
        <f>IF(ISNA(MATCH(184,Engine!$C$2:$C$1960,0)),"",INDEX('Compliance Database'!$D$2:$D$1960,MATCH(184,Engine!$C$2:$C$1960,0)))</f>
        <v/>
      </c>
      <c r="E197" s="8">
        <f>IF(ISNA(MATCH(184,Engine!$C$2:$C$1960,0)),"",INDEX('Compliance Database'!$E$2:$E$1960,MATCH(184,Engine!$C$2:$C$1960,0)))</f>
        <v/>
      </c>
      <c r="F197" s="8">
        <f>IF(ISNA(MATCH(184,Engine!$C$2:$C$1960,0)),"",INDEX('Compliance Database'!$F$2:$F$1960,MATCH(184,Engine!$C$2:$C$1960,0)))</f>
        <v/>
      </c>
      <c r="G197" s="8">
        <f>IF(ISNA(MATCH(184,Engine!$C$2:$C$1960,0)),"",INDEX('Compliance Database'!$G$2:$G$1960,MATCH(184,Engine!$C$2:$C$1960,0)))</f>
        <v/>
      </c>
      <c r="H197" s="9">
        <f>IF(ISNA(MATCH(184,Engine!$C$2:$C$1960,0)),"",INDEX('Compliance Database'!$H$2:$H$1960,MATCH(184,Engine!$C$2:$C$1960,0)))</f>
        <v/>
      </c>
      <c r="I197" s="9">
        <f>IF(ISNA(MATCH(184,Engine!$C$2:$C$1960,0)),"",INDEX('Compliance Database'!$I$2:$I$1960,MATCH(184,Engine!$C$2:$C$1960,0)))</f>
        <v/>
      </c>
      <c r="J197" s="8">
        <f>IF(ISNA(MATCH(184,Engine!$C$2:$C$1960,0)),"",INDEX('Compliance Database'!$J$2:$J$1960,MATCH(184,Engine!$C$2:$C$1960,0)))</f>
        <v/>
      </c>
      <c r="K197" s="9">
        <f>IF(ISNA(MATCH(184,Engine!$C$2:$C$1960,0)),"",INDEX('Compliance Database'!$K$2:$K$1960,MATCH(184,Engine!$C$2:$C$1960,0)))</f>
        <v/>
      </c>
      <c r="L197" s="9">
        <f>IF(ISNA(MATCH(184,Engine!$C$2:$C$1960,0)),"",INDEX('Compliance Database'!$L$2:$L$1960,MATCH(184,Engine!$C$2:$C$1960,0)))</f>
        <v/>
      </c>
      <c r="M197" s="9">
        <f>IF(ISNA(MATCH(184,Engine!$C$2:$C$1960,0)),"",INDEX('Compliance Database'!$M$2:$M$1960,MATCH(184,Engine!$C$2:$C$1960,0)))</f>
        <v/>
      </c>
      <c r="N197" s="9">
        <f>IF(ISNA(MATCH(184,Engine!$C$2:$C$1960,0)),"",INDEX('Compliance Database'!$N$2:$N$1960,MATCH(184,Engine!$C$2:$C$1960,0)))</f>
        <v/>
      </c>
      <c r="O197" s="9">
        <f>IF(ISNA(MATCH(184,Engine!$C$2:$C$1960,0)),"",INDEX('Compliance Database'!$O$2:$O$1960,MATCH(184,Engine!$C$2:$C$1960,0)))</f>
        <v/>
      </c>
      <c r="P197" s="8">
        <f>IF(ISNA(MATCH(184,Engine!$C$2:$C$1960,0)),"",HYPERLINK("#Acts!A"&amp;INDEX('Compliance Database'!$P$2:$P$1960,MATCH(184,Engine!$C$2:$C$1960,0)),"Go to Act"))</f>
        <v/>
      </c>
    </row>
    <row r="198" ht="158" customHeight="1">
      <c r="A198" s="8">
        <f>IF(ISNA(MATCH(185,Engine!$C$2:$C$1960,0)),"",INDEX('Compliance Database'!$A$2:$A$1960,MATCH(185,Engine!$C$2:$C$1960,0)))</f>
        <v/>
      </c>
      <c r="B198" s="8">
        <f>IF(ISNA(MATCH(185,Engine!$C$2:$C$1960,0)),"",INDEX('Compliance Database'!$B$2:$B$1960,MATCH(185,Engine!$C$2:$C$1960,0)))</f>
        <v/>
      </c>
      <c r="C198" s="8">
        <f>IF(ISNA(MATCH(185,Engine!$C$2:$C$1960,0)),"",INDEX('Compliance Database'!$C$2:$C$1960,MATCH(185,Engine!$C$2:$C$1960,0)))</f>
        <v/>
      </c>
      <c r="D198" s="9">
        <f>IF(ISNA(MATCH(185,Engine!$C$2:$C$1960,0)),"",INDEX('Compliance Database'!$D$2:$D$1960,MATCH(185,Engine!$C$2:$C$1960,0)))</f>
        <v/>
      </c>
      <c r="E198" s="8">
        <f>IF(ISNA(MATCH(185,Engine!$C$2:$C$1960,0)),"",INDEX('Compliance Database'!$E$2:$E$1960,MATCH(185,Engine!$C$2:$C$1960,0)))</f>
        <v/>
      </c>
      <c r="F198" s="8">
        <f>IF(ISNA(MATCH(185,Engine!$C$2:$C$1960,0)),"",INDEX('Compliance Database'!$F$2:$F$1960,MATCH(185,Engine!$C$2:$C$1960,0)))</f>
        <v/>
      </c>
      <c r="G198" s="8">
        <f>IF(ISNA(MATCH(185,Engine!$C$2:$C$1960,0)),"",INDEX('Compliance Database'!$G$2:$G$1960,MATCH(185,Engine!$C$2:$C$1960,0)))</f>
        <v/>
      </c>
      <c r="H198" s="9">
        <f>IF(ISNA(MATCH(185,Engine!$C$2:$C$1960,0)),"",INDEX('Compliance Database'!$H$2:$H$1960,MATCH(185,Engine!$C$2:$C$1960,0)))</f>
        <v/>
      </c>
      <c r="I198" s="9">
        <f>IF(ISNA(MATCH(185,Engine!$C$2:$C$1960,0)),"",INDEX('Compliance Database'!$I$2:$I$1960,MATCH(185,Engine!$C$2:$C$1960,0)))</f>
        <v/>
      </c>
      <c r="J198" s="8">
        <f>IF(ISNA(MATCH(185,Engine!$C$2:$C$1960,0)),"",INDEX('Compliance Database'!$J$2:$J$1960,MATCH(185,Engine!$C$2:$C$1960,0)))</f>
        <v/>
      </c>
      <c r="K198" s="9">
        <f>IF(ISNA(MATCH(185,Engine!$C$2:$C$1960,0)),"",INDEX('Compliance Database'!$K$2:$K$1960,MATCH(185,Engine!$C$2:$C$1960,0)))</f>
        <v/>
      </c>
      <c r="L198" s="9">
        <f>IF(ISNA(MATCH(185,Engine!$C$2:$C$1960,0)),"",INDEX('Compliance Database'!$L$2:$L$1960,MATCH(185,Engine!$C$2:$C$1960,0)))</f>
        <v/>
      </c>
      <c r="M198" s="9">
        <f>IF(ISNA(MATCH(185,Engine!$C$2:$C$1960,0)),"",INDEX('Compliance Database'!$M$2:$M$1960,MATCH(185,Engine!$C$2:$C$1960,0)))</f>
        <v/>
      </c>
      <c r="N198" s="9">
        <f>IF(ISNA(MATCH(185,Engine!$C$2:$C$1960,0)),"",INDEX('Compliance Database'!$N$2:$N$1960,MATCH(185,Engine!$C$2:$C$1960,0)))</f>
        <v/>
      </c>
      <c r="O198" s="9">
        <f>IF(ISNA(MATCH(185,Engine!$C$2:$C$1960,0)),"",INDEX('Compliance Database'!$O$2:$O$1960,MATCH(185,Engine!$C$2:$C$1960,0)))</f>
        <v/>
      </c>
      <c r="P198" s="8">
        <f>IF(ISNA(MATCH(185,Engine!$C$2:$C$1960,0)),"",HYPERLINK("#Acts!A"&amp;INDEX('Compliance Database'!$P$2:$P$1960,MATCH(185,Engine!$C$2:$C$1960,0)),"Go to Act"))</f>
        <v/>
      </c>
    </row>
    <row r="199" ht="158" customHeight="1">
      <c r="A199" s="8">
        <f>IF(ISNA(MATCH(186,Engine!$C$2:$C$1960,0)),"",INDEX('Compliance Database'!$A$2:$A$1960,MATCH(186,Engine!$C$2:$C$1960,0)))</f>
        <v/>
      </c>
      <c r="B199" s="8">
        <f>IF(ISNA(MATCH(186,Engine!$C$2:$C$1960,0)),"",INDEX('Compliance Database'!$B$2:$B$1960,MATCH(186,Engine!$C$2:$C$1960,0)))</f>
        <v/>
      </c>
      <c r="C199" s="8">
        <f>IF(ISNA(MATCH(186,Engine!$C$2:$C$1960,0)),"",INDEX('Compliance Database'!$C$2:$C$1960,MATCH(186,Engine!$C$2:$C$1960,0)))</f>
        <v/>
      </c>
      <c r="D199" s="9">
        <f>IF(ISNA(MATCH(186,Engine!$C$2:$C$1960,0)),"",INDEX('Compliance Database'!$D$2:$D$1960,MATCH(186,Engine!$C$2:$C$1960,0)))</f>
        <v/>
      </c>
      <c r="E199" s="8">
        <f>IF(ISNA(MATCH(186,Engine!$C$2:$C$1960,0)),"",INDEX('Compliance Database'!$E$2:$E$1960,MATCH(186,Engine!$C$2:$C$1960,0)))</f>
        <v/>
      </c>
      <c r="F199" s="8">
        <f>IF(ISNA(MATCH(186,Engine!$C$2:$C$1960,0)),"",INDEX('Compliance Database'!$F$2:$F$1960,MATCH(186,Engine!$C$2:$C$1960,0)))</f>
        <v/>
      </c>
      <c r="G199" s="8">
        <f>IF(ISNA(MATCH(186,Engine!$C$2:$C$1960,0)),"",INDEX('Compliance Database'!$G$2:$G$1960,MATCH(186,Engine!$C$2:$C$1960,0)))</f>
        <v/>
      </c>
      <c r="H199" s="9">
        <f>IF(ISNA(MATCH(186,Engine!$C$2:$C$1960,0)),"",INDEX('Compliance Database'!$H$2:$H$1960,MATCH(186,Engine!$C$2:$C$1960,0)))</f>
        <v/>
      </c>
      <c r="I199" s="9">
        <f>IF(ISNA(MATCH(186,Engine!$C$2:$C$1960,0)),"",INDEX('Compliance Database'!$I$2:$I$1960,MATCH(186,Engine!$C$2:$C$1960,0)))</f>
        <v/>
      </c>
      <c r="J199" s="8">
        <f>IF(ISNA(MATCH(186,Engine!$C$2:$C$1960,0)),"",INDEX('Compliance Database'!$J$2:$J$1960,MATCH(186,Engine!$C$2:$C$1960,0)))</f>
        <v/>
      </c>
      <c r="K199" s="9">
        <f>IF(ISNA(MATCH(186,Engine!$C$2:$C$1960,0)),"",INDEX('Compliance Database'!$K$2:$K$1960,MATCH(186,Engine!$C$2:$C$1960,0)))</f>
        <v/>
      </c>
      <c r="L199" s="9">
        <f>IF(ISNA(MATCH(186,Engine!$C$2:$C$1960,0)),"",INDEX('Compliance Database'!$L$2:$L$1960,MATCH(186,Engine!$C$2:$C$1960,0)))</f>
        <v/>
      </c>
      <c r="M199" s="9">
        <f>IF(ISNA(MATCH(186,Engine!$C$2:$C$1960,0)),"",INDEX('Compliance Database'!$M$2:$M$1960,MATCH(186,Engine!$C$2:$C$1960,0)))</f>
        <v/>
      </c>
      <c r="N199" s="9">
        <f>IF(ISNA(MATCH(186,Engine!$C$2:$C$1960,0)),"",INDEX('Compliance Database'!$N$2:$N$1960,MATCH(186,Engine!$C$2:$C$1960,0)))</f>
        <v/>
      </c>
      <c r="O199" s="9">
        <f>IF(ISNA(MATCH(186,Engine!$C$2:$C$1960,0)),"",INDEX('Compliance Database'!$O$2:$O$1960,MATCH(186,Engine!$C$2:$C$1960,0)))</f>
        <v/>
      </c>
      <c r="P199" s="8">
        <f>IF(ISNA(MATCH(186,Engine!$C$2:$C$1960,0)),"",HYPERLINK("#Acts!A"&amp;INDEX('Compliance Database'!$P$2:$P$1960,MATCH(186,Engine!$C$2:$C$1960,0)),"Go to Act"))</f>
        <v/>
      </c>
    </row>
    <row r="200" ht="158" customHeight="1">
      <c r="A200" s="8">
        <f>IF(ISNA(MATCH(187,Engine!$C$2:$C$1960,0)),"",INDEX('Compliance Database'!$A$2:$A$1960,MATCH(187,Engine!$C$2:$C$1960,0)))</f>
        <v/>
      </c>
      <c r="B200" s="8">
        <f>IF(ISNA(MATCH(187,Engine!$C$2:$C$1960,0)),"",INDEX('Compliance Database'!$B$2:$B$1960,MATCH(187,Engine!$C$2:$C$1960,0)))</f>
        <v/>
      </c>
      <c r="C200" s="8">
        <f>IF(ISNA(MATCH(187,Engine!$C$2:$C$1960,0)),"",INDEX('Compliance Database'!$C$2:$C$1960,MATCH(187,Engine!$C$2:$C$1960,0)))</f>
        <v/>
      </c>
      <c r="D200" s="9">
        <f>IF(ISNA(MATCH(187,Engine!$C$2:$C$1960,0)),"",INDEX('Compliance Database'!$D$2:$D$1960,MATCH(187,Engine!$C$2:$C$1960,0)))</f>
        <v/>
      </c>
      <c r="E200" s="8">
        <f>IF(ISNA(MATCH(187,Engine!$C$2:$C$1960,0)),"",INDEX('Compliance Database'!$E$2:$E$1960,MATCH(187,Engine!$C$2:$C$1960,0)))</f>
        <v/>
      </c>
      <c r="F200" s="8">
        <f>IF(ISNA(MATCH(187,Engine!$C$2:$C$1960,0)),"",INDEX('Compliance Database'!$F$2:$F$1960,MATCH(187,Engine!$C$2:$C$1960,0)))</f>
        <v/>
      </c>
      <c r="G200" s="8">
        <f>IF(ISNA(MATCH(187,Engine!$C$2:$C$1960,0)),"",INDEX('Compliance Database'!$G$2:$G$1960,MATCH(187,Engine!$C$2:$C$1960,0)))</f>
        <v/>
      </c>
      <c r="H200" s="9">
        <f>IF(ISNA(MATCH(187,Engine!$C$2:$C$1960,0)),"",INDEX('Compliance Database'!$H$2:$H$1960,MATCH(187,Engine!$C$2:$C$1960,0)))</f>
        <v/>
      </c>
      <c r="I200" s="9">
        <f>IF(ISNA(MATCH(187,Engine!$C$2:$C$1960,0)),"",INDEX('Compliance Database'!$I$2:$I$1960,MATCH(187,Engine!$C$2:$C$1960,0)))</f>
        <v/>
      </c>
      <c r="J200" s="8">
        <f>IF(ISNA(MATCH(187,Engine!$C$2:$C$1960,0)),"",INDEX('Compliance Database'!$J$2:$J$1960,MATCH(187,Engine!$C$2:$C$1960,0)))</f>
        <v/>
      </c>
      <c r="K200" s="9">
        <f>IF(ISNA(MATCH(187,Engine!$C$2:$C$1960,0)),"",INDEX('Compliance Database'!$K$2:$K$1960,MATCH(187,Engine!$C$2:$C$1960,0)))</f>
        <v/>
      </c>
      <c r="L200" s="9">
        <f>IF(ISNA(MATCH(187,Engine!$C$2:$C$1960,0)),"",INDEX('Compliance Database'!$L$2:$L$1960,MATCH(187,Engine!$C$2:$C$1960,0)))</f>
        <v/>
      </c>
      <c r="M200" s="9">
        <f>IF(ISNA(MATCH(187,Engine!$C$2:$C$1960,0)),"",INDEX('Compliance Database'!$M$2:$M$1960,MATCH(187,Engine!$C$2:$C$1960,0)))</f>
        <v/>
      </c>
      <c r="N200" s="9">
        <f>IF(ISNA(MATCH(187,Engine!$C$2:$C$1960,0)),"",INDEX('Compliance Database'!$N$2:$N$1960,MATCH(187,Engine!$C$2:$C$1960,0)))</f>
        <v/>
      </c>
      <c r="O200" s="9">
        <f>IF(ISNA(MATCH(187,Engine!$C$2:$C$1960,0)),"",INDEX('Compliance Database'!$O$2:$O$1960,MATCH(187,Engine!$C$2:$C$1960,0)))</f>
        <v/>
      </c>
      <c r="P200" s="8">
        <f>IF(ISNA(MATCH(187,Engine!$C$2:$C$1960,0)),"",HYPERLINK("#Acts!A"&amp;INDEX('Compliance Database'!$P$2:$P$1960,MATCH(187,Engine!$C$2:$C$1960,0)),"Go to Act"))</f>
        <v/>
      </c>
    </row>
    <row r="201" ht="158" customHeight="1">
      <c r="A201" s="8">
        <f>IF(ISNA(MATCH(188,Engine!$C$2:$C$1960,0)),"",INDEX('Compliance Database'!$A$2:$A$1960,MATCH(188,Engine!$C$2:$C$1960,0)))</f>
        <v/>
      </c>
      <c r="B201" s="8">
        <f>IF(ISNA(MATCH(188,Engine!$C$2:$C$1960,0)),"",INDEX('Compliance Database'!$B$2:$B$1960,MATCH(188,Engine!$C$2:$C$1960,0)))</f>
        <v/>
      </c>
      <c r="C201" s="8">
        <f>IF(ISNA(MATCH(188,Engine!$C$2:$C$1960,0)),"",INDEX('Compliance Database'!$C$2:$C$1960,MATCH(188,Engine!$C$2:$C$1960,0)))</f>
        <v/>
      </c>
      <c r="D201" s="9">
        <f>IF(ISNA(MATCH(188,Engine!$C$2:$C$1960,0)),"",INDEX('Compliance Database'!$D$2:$D$1960,MATCH(188,Engine!$C$2:$C$1960,0)))</f>
        <v/>
      </c>
      <c r="E201" s="8">
        <f>IF(ISNA(MATCH(188,Engine!$C$2:$C$1960,0)),"",INDEX('Compliance Database'!$E$2:$E$1960,MATCH(188,Engine!$C$2:$C$1960,0)))</f>
        <v/>
      </c>
      <c r="F201" s="8">
        <f>IF(ISNA(MATCH(188,Engine!$C$2:$C$1960,0)),"",INDEX('Compliance Database'!$F$2:$F$1960,MATCH(188,Engine!$C$2:$C$1960,0)))</f>
        <v/>
      </c>
      <c r="G201" s="8">
        <f>IF(ISNA(MATCH(188,Engine!$C$2:$C$1960,0)),"",INDEX('Compliance Database'!$G$2:$G$1960,MATCH(188,Engine!$C$2:$C$1960,0)))</f>
        <v/>
      </c>
      <c r="H201" s="9">
        <f>IF(ISNA(MATCH(188,Engine!$C$2:$C$1960,0)),"",INDEX('Compliance Database'!$H$2:$H$1960,MATCH(188,Engine!$C$2:$C$1960,0)))</f>
        <v/>
      </c>
      <c r="I201" s="9">
        <f>IF(ISNA(MATCH(188,Engine!$C$2:$C$1960,0)),"",INDEX('Compliance Database'!$I$2:$I$1960,MATCH(188,Engine!$C$2:$C$1960,0)))</f>
        <v/>
      </c>
      <c r="J201" s="8">
        <f>IF(ISNA(MATCH(188,Engine!$C$2:$C$1960,0)),"",INDEX('Compliance Database'!$J$2:$J$1960,MATCH(188,Engine!$C$2:$C$1960,0)))</f>
        <v/>
      </c>
      <c r="K201" s="9">
        <f>IF(ISNA(MATCH(188,Engine!$C$2:$C$1960,0)),"",INDEX('Compliance Database'!$K$2:$K$1960,MATCH(188,Engine!$C$2:$C$1960,0)))</f>
        <v/>
      </c>
      <c r="L201" s="9">
        <f>IF(ISNA(MATCH(188,Engine!$C$2:$C$1960,0)),"",INDEX('Compliance Database'!$L$2:$L$1960,MATCH(188,Engine!$C$2:$C$1960,0)))</f>
        <v/>
      </c>
      <c r="M201" s="9">
        <f>IF(ISNA(MATCH(188,Engine!$C$2:$C$1960,0)),"",INDEX('Compliance Database'!$M$2:$M$1960,MATCH(188,Engine!$C$2:$C$1960,0)))</f>
        <v/>
      </c>
      <c r="N201" s="9">
        <f>IF(ISNA(MATCH(188,Engine!$C$2:$C$1960,0)),"",INDEX('Compliance Database'!$N$2:$N$1960,MATCH(188,Engine!$C$2:$C$1960,0)))</f>
        <v/>
      </c>
      <c r="O201" s="9">
        <f>IF(ISNA(MATCH(188,Engine!$C$2:$C$1960,0)),"",INDEX('Compliance Database'!$O$2:$O$1960,MATCH(188,Engine!$C$2:$C$1960,0)))</f>
        <v/>
      </c>
      <c r="P201" s="8">
        <f>IF(ISNA(MATCH(188,Engine!$C$2:$C$1960,0)),"",HYPERLINK("#Acts!A"&amp;INDEX('Compliance Database'!$P$2:$P$1960,MATCH(188,Engine!$C$2:$C$1960,0)),"Go to Act"))</f>
        <v/>
      </c>
    </row>
    <row r="202" ht="158" customHeight="1">
      <c r="A202" s="8">
        <f>IF(ISNA(MATCH(189,Engine!$C$2:$C$1960,0)),"",INDEX('Compliance Database'!$A$2:$A$1960,MATCH(189,Engine!$C$2:$C$1960,0)))</f>
        <v/>
      </c>
      <c r="B202" s="8">
        <f>IF(ISNA(MATCH(189,Engine!$C$2:$C$1960,0)),"",INDEX('Compliance Database'!$B$2:$B$1960,MATCH(189,Engine!$C$2:$C$1960,0)))</f>
        <v/>
      </c>
      <c r="C202" s="8">
        <f>IF(ISNA(MATCH(189,Engine!$C$2:$C$1960,0)),"",INDEX('Compliance Database'!$C$2:$C$1960,MATCH(189,Engine!$C$2:$C$1960,0)))</f>
        <v/>
      </c>
      <c r="D202" s="9">
        <f>IF(ISNA(MATCH(189,Engine!$C$2:$C$1960,0)),"",INDEX('Compliance Database'!$D$2:$D$1960,MATCH(189,Engine!$C$2:$C$1960,0)))</f>
        <v/>
      </c>
      <c r="E202" s="8">
        <f>IF(ISNA(MATCH(189,Engine!$C$2:$C$1960,0)),"",INDEX('Compliance Database'!$E$2:$E$1960,MATCH(189,Engine!$C$2:$C$1960,0)))</f>
        <v/>
      </c>
      <c r="F202" s="8">
        <f>IF(ISNA(MATCH(189,Engine!$C$2:$C$1960,0)),"",INDEX('Compliance Database'!$F$2:$F$1960,MATCH(189,Engine!$C$2:$C$1960,0)))</f>
        <v/>
      </c>
      <c r="G202" s="8">
        <f>IF(ISNA(MATCH(189,Engine!$C$2:$C$1960,0)),"",INDEX('Compliance Database'!$G$2:$G$1960,MATCH(189,Engine!$C$2:$C$1960,0)))</f>
        <v/>
      </c>
      <c r="H202" s="9">
        <f>IF(ISNA(MATCH(189,Engine!$C$2:$C$1960,0)),"",INDEX('Compliance Database'!$H$2:$H$1960,MATCH(189,Engine!$C$2:$C$1960,0)))</f>
        <v/>
      </c>
      <c r="I202" s="9">
        <f>IF(ISNA(MATCH(189,Engine!$C$2:$C$1960,0)),"",INDEX('Compliance Database'!$I$2:$I$1960,MATCH(189,Engine!$C$2:$C$1960,0)))</f>
        <v/>
      </c>
      <c r="J202" s="8">
        <f>IF(ISNA(MATCH(189,Engine!$C$2:$C$1960,0)),"",INDEX('Compliance Database'!$J$2:$J$1960,MATCH(189,Engine!$C$2:$C$1960,0)))</f>
        <v/>
      </c>
      <c r="K202" s="9">
        <f>IF(ISNA(MATCH(189,Engine!$C$2:$C$1960,0)),"",INDEX('Compliance Database'!$K$2:$K$1960,MATCH(189,Engine!$C$2:$C$1960,0)))</f>
        <v/>
      </c>
      <c r="L202" s="9">
        <f>IF(ISNA(MATCH(189,Engine!$C$2:$C$1960,0)),"",INDEX('Compliance Database'!$L$2:$L$1960,MATCH(189,Engine!$C$2:$C$1960,0)))</f>
        <v/>
      </c>
      <c r="M202" s="9">
        <f>IF(ISNA(MATCH(189,Engine!$C$2:$C$1960,0)),"",INDEX('Compliance Database'!$M$2:$M$1960,MATCH(189,Engine!$C$2:$C$1960,0)))</f>
        <v/>
      </c>
      <c r="N202" s="9">
        <f>IF(ISNA(MATCH(189,Engine!$C$2:$C$1960,0)),"",INDEX('Compliance Database'!$N$2:$N$1960,MATCH(189,Engine!$C$2:$C$1960,0)))</f>
        <v/>
      </c>
      <c r="O202" s="9">
        <f>IF(ISNA(MATCH(189,Engine!$C$2:$C$1960,0)),"",INDEX('Compliance Database'!$O$2:$O$1960,MATCH(189,Engine!$C$2:$C$1960,0)))</f>
        <v/>
      </c>
      <c r="P202" s="8">
        <f>IF(ISNA(MATCH(189,Engine!$C$2:$C$1960,0)),"",HYPERLINK("#Acts!A"&amp;INDEX('Compliance Database'!$P$2:$P$1960,MATCH(189,Engine!$C$2:$C$1960,0)),"Go to Act"))</f>
        <v/>
      </c>
    </row>
    <row r="203" ht="158" customHeight="1">
      <c r="A203" s="8">
        <f>IF(ISNA(MATCH(190,Engine!$C$2:$C$1960,0)),"",INDEX('Compliance Database'!$A$2:$A$1960,MATCH(190,Engine!$C$2:$C$1960,0)))</f>
        <v/>
      </c>
      <c r="B203" s="8">
        <f>IF(ISNA(MATCH(190,Engine!$C$2:$C$1960,0)),"",INDEX('Compliance Database'!$B$2:$B$1960,MATCH(190,Engine!$C$2:$C$1960,0)))</f>
        <v/>
      </c>
      <c r="C203" s="8">
        <f>IF(ISNA(MATCH(190,Engine!$C$2:$C$1960,0)),"",INDEX('Compliance Database'!$C$2:$C$1960,MATCH(190,Engine!$C$2:$C$1960,0)))</f>
        <v/>
      </c>
      <c r="D203" s="9">
        <f>IF(ISNA(MATCH(190,Engine!$C$2:$C$1960,0)),"",INDEX('Compliance Database'!$D$2:$D$1960,MATCH(190,Engine!$C$2:$C$1960,0)))</f>
        <v/>
      </c>
      <c r="E203" s="8">
        <f>IF(ISNA(MATCH(190,Engine!$C$2:$C$1960,0)),"",INDEX('Compliance Database'!$E$2:$E$1960,MATCH(190,Engine!$C$2:$C$1960,0)))</f>
        <v/>
      </c>
      <c r="F203" s="8">
        <f>IF(ISNA(MATCH(190,Engine!$C$2:$C$1960,0)),"",INDEX('Compliance Database'!$F$2:$F$1960,MATCH(190,Engine!$C$2:$C$1960,0)))</f>
        <v/>
      </c>
      <c r="G203" s="8">
        <f>IF(ISNA(MATCH(190,Engine!$C$2:$C$1960,0)),"",INDEX('Compliance Database'!$G$2:$G$1960,MATCH(190,Engine!$C$2:$C$1960,0)))</f>
        <v/>
      </c>
      <c r="H203" s="9">
        <f>IF(ISNA(MATCH(190,Engine!$C$2:$C$1960,0)),"",INDEX('Compliance Database'!$H$2:$H$1960,MATCH(190,Engine!$C$2:$C$1960,0)))</f>
        <v/>
      </c>
      <c r="I203" s="9">
        <f>IF(ISNA(MATCH(190,Engine!$C$2:$C$1960,0)),"",INDEX('Compliance Database'!$I$2:$I$1960,MATCH(190,Engine!$C$2:$C$1960,0)))</f>
        <v/>
      </c>
      <c r="J203" s="8">
        <f>IF(ISNA(MATCH(190,Engine!$C$2:$C$1960,0)),"",INDEX('Compliance Database'!$J$2:$J$1960,MATCH(190,Engine!$C$2:$C$1960,0)))</f>
        <v/>
      </c>
      <c r="K203" s="9">
        <f>IF(ISNA(MATCH(190,Engine!$C$2:$C$1960,0)),"",INDEX('Compliance Database'!$K$2:$K$1960,MATCH(190,Engine!$C$2:$C$1960,0)))</f>
        <v/>
      </c>
      <c r="L203" s="9">
        <f>IF(ISNA(MATCH(190,Engine!$C$2:$C$1960,0)),"",INDEX('Compliance Database'!$L$2:$L$1960,MATCH(190,Engine!$C$2:$C$1960,0)))</f>
        <v/>
      </c>
      <c r="M203" s="9">
        <f>IF(ISNA(MATCH(190,Engine!$C$2:$C$1960,0)),"",INDEX('Compliance Database'!$M$2:$M$1960,MATCH(190,Engine!$C$2:$C$1960,0)))</f>
        <v/>
      </c>
      <c r="N203" s="9">
        <f>IF(ISNA(MATCH(190,Engine!$C$2:$C$1960,0)),"",INDEX('Compliance Database'!$N$2:$N$1960,MATCH(190,Engine!$C$2:$C$1960,0)))</f>
        <v/>
      </c>
      <c r="O203" s="9">
        <f>IF(ISNA(MATCH(190,Engine!$C$2:$C$1960,0)),"",INDEX('Compliance Database'!$O$2:$O$1960,MATCH(190,Engine!$C$2:$C$1960,0)))</f>
        <v/>
      </c>
      <c r="P203" s="8">
        <f>IF(ISNA(MATCH(190,Engine!$C$2:$C$1960,0)),"",HYPERLINK("#Acts!A"&amp;INDEX('Compliance Database'!$P$2:$P$1960,MATCH(190,Engine!$C$2:$C$1960,0)),"Go to Act"))</f>
        <v/>
      </c>
    </row>
    <row r="204" ht="158" customHeight="1">
      <c r="A204" s="8">
        <f>IF(ISNA(MATCH(191,Engine!$C$2:$C$1960,0)),"",INDEX('Compliance Database'!$A$2:$A$1960,MATCH(191,Engine!$C$2:$C$1960,0)))</f>
        <v/>
      </c>
      <c r="B204" s="8">
        <f>IF(ISNA(MATCH(191,Engine!$C$2:$C$1960,0)),"",INDEX('Compliance Database'!$B$2:$B$1960,MATCH(191,Engine!$C$2:$C$1960,0)))</f>
        <v/>
      </c>
      <c r="C204" s="8">
        <f>IF(ISNA(MATCH(191,Engine!$C$2:$C$1960,0)),"",INDEX('Compliance Database'!$C$2:$C$1960,MATCH(191,Engine!$C$2:$C$1960,0)))</f>
        <v/>
      </c>
      <c r="D204" s="9">
        <f>IF(ISNA(MATCH(191,Engine!$C$2:$C$1960,0)),"",INDEX('Compliance Database'!$D$2:$D$1960,MATCH(191,Engine!$C$2:$C$1960,0)))</f>
        <v/>
      </c>
      <c r="E204" s="8">
        <f>IF(ISNA(MATCH(191,Engine!$C$2:$C$1960,0)),"",INDEX('Compliance Database'!$E$2:$E$1960,MATCH(191,Engine!$C$2:$C$1960,0)))</f>
        <v/>
      </c>
      <c r="F204" s="8">
        <f>IF(ISNA(MATCH(191,Engine!$C$2:$C$1960,0)),"",INDEX('Compliance Database'!$F$2:$F$1960,MATCH(191,Engine!$C$2:$C$1960,0)))</f>
        <v/>
      </c>
      <c r="G204" s="8">
        <f>IF(ISNA(MATCH(191,Engine!$C$2:$C$1960,0)),"",INDEX('Compliance Database'!$G$2:$G$1960,MATCH(191,Engine!$C$2:$C$1960,0)))</f>
        <v/>
      </c>
      <c r="H204" s="9">
        <f>IF(ISNA(MATCH(191,Engine!$C$2:$C$1960,0)),"",INDEX('Compliance Database'!$H$2:$H$1960,MATCH(191,Engine!$C$2:$C$1960,0)))</f>
        <v/>
      </c>
      <c r="I204" s="9">
        <f>IF(ISNA(MATCH(191,Engine!$C$2:$C$1960,0)),"",INDEX('Compliance Database'!$I$2:$I$1960,MATCH(191,Engine!$C$2:$C$1960,0)))</f>
        <v/>
      </c>
      <c r="J204" s="8">
        <f>IF(ISNA(MATCH(191,Engine!$C$2:$C$1960,0)),"",INDEX('Compliance Database'!$J$2:$J$1960,MATCH(191,Engine!$C$2:$C$1960,0)))</f>
        <v/>
      </c>
      <c r="K204" s="9">
        <f>IF(ISNA(MATCH(191,Engine!$C$2:$C$1960,0)),"",INDEX('Compliance Database'!$K$2:$K$1960,MATCH(191,Engine!$C$2:$C$1960,0)))</f>
        <v/>
      </c>
      <c r="L204" s="9">
        <f>IF(ISNA(MATCH(191,Engine!$C$2:$C$1960,0)),"",INDEX('Compliance Database'!$L$2:$L$1960,MATCH(191,Engine!$C$2:$C$1960,0)))</f>
        <v/>
      </c>
      <c r="M204" s="9">
        <f>IF(ISNA(MATCH(191,Engine!$C$2:$C$1960,0)),"",INDEX('Compliance Database'!$M$2:$M$1960,MATCH(191,Engine!$C$2:$C$1960,0)))</f>
        <v/>
      </c>
      <c r="N204" s="9">
        <f>IF(ISNA(MATCH(191,Engine!$C$2:$C$1960,0)),"",INDEX('Compliance Database'!$N$2:$N$1960,MATCH(191,Engine!$C$2:$C$1960,0)))</f>
        <v/>
      </c>
      <c r="O204" s="9">
        <f>IF(ISNA(MATCH(191,Engine!$C$2:$C$1960,0)),"",INDEX('Compliance Database'!$O$2:$O$1960,MATCH(191,Engine!$C$2:$C$1960,0)))</f>
        <v/>
      </c>
      <c r="P204" s="8">
        <f>IF(ISNA(MATCH(191,Engine!$C$2:$C$1960,0)),"",HYPERLINK("#Acts!A"&amp;INDEX('Compliance Database'!$P$2:$P$1960,MATCH(191,Engine!$C$2:$C$1960,0)),"Go to Act"))</f>
        <v/>
      </c>
    </row>
    <row r="205" ht="158" customHeight="1">
      <c r="A205" s="8">
        <f>IF(ISNA(MATCH(192,Engine!$C$2:$C$1960,0)),"",INDEX('Compliance Database'!$A$2:$A$1960,MATCH(192,Engine!$C$2:$C$1960,0)))</f>
        <v/>
      </c>
      <c r="B205" s="8">
        <f>IF(ISNA(MATCH(192,Engine!$C$2:$C$1960,0)),"",INDEX('Compliance Database'!$B$2:$B$1960,MATCH(192,Engine!$C$2:$C$1960,0)))</f>
        <v/>
      </c>
      <c r="C205" s="8">
        <f>IF(ISNA(MATCH(192,Engine!$C$2:$C$1960,0)),"",INDEX('Compliance Database'!$C$2:$C$1960,MATCH(192,Engine!$C$2:$C$1960,0)))</f>
        <v/>
      </c>
      <c r="D205" s="9">
        <f>IF(ISNA(MATCH(192,Engine!$C$2:$C$1960,0)),"",INDEX('Compliance Database'!$D$2:$D$1960,MATCH(192,Engine!$C$2:$C$1960,0)))</f>
        <v/>
      </c>
      <c r="E205" s="8">
        <f>IF(ISNA(MATCH(192,Engine!$C$2:$C$1960,0)),"",INDEX('Compliance Database'!$E$2:$E$1960,MATCH(192,Engine!$C$2:$C$1960,0)))</f>
        <v/>
      </c>
      <c r="F205" s="8">
        <f>IF(ISNA(MATCH(192,Engine!$C$2:$C$1960,0)),"",INDEX('Compliance Database'!$F$2:$F$1960,MATCH(192,Engine!$C$2:$C$1960,0)))</f>
        <v/>
      </c>
      <c r="G205" s="8">
        <f>IF(ISNA(MATCH(192,Engine!$C$2:$C$1960,0)),"",INDEX('Compliance Database'!$G$2:$G$1960,MATCH(192,Engine!$C$2:$C$1960,0)))</f>
        <v/>
      </c>
      <c r="H205" s="9">
        <f>IF(ISNA(MATCH(192,Engine!$C$2:$C$1960,0)),"",INDEX('Compliance Database'!$H$2:$H$1960,MATCH(192,Engine!$C$2:$C$1960,0)))</f>
        <v/>
      </c>
      <c r="I205" s="9">
        <f>IF(ISNA(MATCH(192,Engine!$C$2:$C$1960,0)),"",INDEX('Compliance Database'!$I$2:$I$1960,MATCH(192,Engine!$C$2:$C$1960,0)))</f>
        <v/>
      </c>
      <c r="J205" s="8">
        <f>IF(ISNA(MATCH(192,Engine!$C$2:$C$1960,0)),"",INDEX('Compliance Database'!$J$2:$J$1960,MATCH(192,Engine!$C$2:$C$1960,0)))</f>
        <v/>
      </c>
      <c r="K205" s="9">
        <f>IF(ISNA(MATCH(192,Engine!$C$2:$C$1960,0)),"",INDEX('Compliance Database'!$K$2:$K$1960,MATCH(192,Engine!$C$2:$C$1960,0)))</f>
        <v/>
      </c>
      <c r="L205" s="9">
        <f>IF(ISNA(MATCH(192,Engine!$C$2:$C$1960,0)),"",INDEX('Compliance Database'!$L$2:$L$1960,MATCH(192,Engine!$C$2:$C$1960,0)))</f>
        <v/>
      </c>
      <c r="M205" s="9">
        <f>IF(ISNA(MATCH(192,Engine!$C$2:$C$1960,0)),"",INDEX('Compliance Database'!$M$2:$M$1960,MATCH(192,Engine!$C$2:$C$1960,0)))</f>
        <v/>
      </c>
      <c r="N205" s="9">
        <f>IF(ISNA(MATCH(192,Engine!$C$2:$C$1960,0)),"",INDEX('Compliance Database'!$N$2:$N$1960,MATCH(192,Engine!$C$2:$C$1960,0)))</f>
        <v/>
      </c>
      <c r="O205" s="9">
        <f>IF(ISNA(MATCH(192,Engine!$C$2:$C$1960,0)),"",INDEX('Compliance Database'!$O$2:$O$1960,MATCH(192,Engine!$C$2:$C$1960,0)))</f>
        <v/>
      </c>
      <c r="P205" s="8">
        <f>IF(ISNA(MATCH(192,Engine!$C$2:$C$1960,0)),"",HYPERLINK("#Acts!A"&amp;INDEX('Compliance Database'!$P$2:$P$1960,MATCH(192,Engine!$C$2:$C$1960,0)),"Go to Act"))</f>
        <v/>
      </c>
    </row>
    <row r="206" ht="158" customHeight="1">
      <c r="A206" s="8">
        <f>IF(ISNA(MATCH(193,Engine!$C$2:$C$1960,0)),"",INDEX('Compliance Database'!$A$2:$A$1960,MATCH(193,Engine!$C$2:$C$1960,0)))</f>
        <v/>
      </c>
      <c r="B206" s="8">
        <f>IF(ISNA(MATCH(193,Engine!$C$2:$C$1960,0)),"",INDEX('Compliance Database'!$B$2:$B$1960,MATCH(193,Engine!$C$2:$C$1960,0)))</f>
        <v/>
      </c>
      <c r="C206" s="8">
        <f>IF(ISNA(MATCH(193,Engine!$C$2:$C$1960,0)),"",INDEX('Compliance Database'!$C$2:$C$1960,MATCH(193,Engine!$C$2:$C$1960,0)))</f>
        <v/>
      </c>
      <c r="D206" s="9">
        <f>IF(ISNA(MATCH(193,Engine!$C$2:$C$1960,0)),"",INDEX('Compliance Database'!$D$2:$D$1960,MATCH(193,Engine!$C$2:$C$1960,0)))</f>
        <v/>
      </c>
      <c r="E206" s="8">
        <f>IF(ISNA(MATCH(193,Engine!$C$2:$C$1960,0)),"",INDEX('Compliance Database'!$E$2:$E$1960,MATCH(193,Engine!$C$2:$C$1960,0)))</f>
        <v/>
      </c>
      <c r="F206" s="8">
        <f>IF(ISNA(MATCH(193,Engine!$C$2:$C$1960,0)),"",INDEX('Compliance Database'!$F$2:$F$1960,MATCH(193,Engine!$C$2:$C$1960,0)))</f>
        <v/>
      </c>
      <c r="G206" s="8">
        <f>IF(ISNA(MATCH(193,Engine!$C$2:$C$1960,0)),"",INDEX('Compliance Database'!$G$2:$G$1960,MATCH(193,Engine!$C$2:$C$1960,0)))</f>
        <v/>
      </c>
      <c r="H206" s="9">
        <f>IF(ISNA(MATCH(193,Engine!$C$2:$C$1960,0)),"",INDEX('Compliance Database'!$H$2:$H$1960,MATCH(193,Engine!$C$2:$C$1960,0)))</f>
        <v/>
      </c>
      <c r="I206" s="9">
        <f>IF(ISNA(MATCH(193,Engine!$C$2:$C$1960,0)),"",INDEX('Compliance Database'!$I$2:$I$1960,MATCH(193,Engine!$C$2:$C$1960,0)))</f>
        <v/>
      </c>
      <c r="J206" s="8">
        <f>IF(ISNA(MATCH(193,Engine!$C$2:$C$1960,0)),"",INDEX('Compliance Database'!$J$2:$J$1960,MATCH(193,Engine!$C$2:$C$1960,0)))</f>
        <v/>
      </c>
      <c r="K206" s="9">
        <f>IF(ISNA(MATCH(193,Engine!$C$2:$C$1960,0)),"",INDEX('Compliance Database'!$K$2:$K$1960,MATCH(193,Engine!$C$2:$C$1960,0)))</f>
        <v/>
      </c>
      <c r="L206" s="9">
        <f>IF(ISNA(MATCH(193,Engine!$C$2:$C$1960,0)),"",INDEX('Compliance Database'!$L$2:$L$1960,MATCH(193,Engine!$C$2:$C$1960,0)))</f>
        <v/>
      </c>
      <c r="M206" s="9">
        <f>IF(ISNA(MATCH(193,Engine!$C$2:$C$1960,0)),"",INDEX('Compliance Database'!$M$2:$M$1960,MATCH(193,Engine!$C$2:$C$1960,0)))</f>
        <v/>
      </c>
      <c r="N206" s="9">
        <f>IF(ISNA(MATCH(193,Engine!$C$2:$C$1960,0)),"",INDEX('Compliance Database'!$N$2:$N$1960,MATCH(193,Engine!$C$2:$C$1960,0)))</f>
        <v/>
      </c>
      <c r="O206" s="9">
        <f>IF(ISNA(MATCH(193,Engine!$C$2:$C$1960,0)),"",INDEX('Compliance Database'!$O$2:$O$1960,MATCH(193,Engine!$C$2:$C$1960,0)))</f>
        <v/>
      </c>
      <c r="P206" s="8">
        <f>IF(ISNA(MATCH(193,Engine!$C$2:$C$1960,0)),"",HYPERLINK("#Acts!A"&amp;INDEX('Compliance Database'!$P$2:$P$1960,MATCH(193,Engine!$C$2:$C$1960,0)),"Go to Act"))</f>
        <v/>
      </c>
    </row>
    <row r="207" ht="158" customHeight="1">
      <c r="A207" s="8">
        <f>IF(ISNA(MATCH(194,Engine!$C$2:$C$1960,0)),"",INDEX('Compliance Database'!$A$2:$A$1960,MATCH(194,Engine!$C$2:$C$1960,0)))</f>
        <v/>
      </c>
      <c r="B207" s="8">
        <f>IF(ISNA(MATCH(194,Engine!$C$2:$C$1960,0)),"",INDEX('Compliance Database'!$B$2:$B$1960,MATCH(194,Engine!$C$2:$C$1960,0)))</f>
        <v/>
      </c>
      <c r="C207" s="8">
        <f>IF(ISNA(MATCH(194,Engine!$C$2:$C$1960,0)),"",INDEX('Compliance Database'!$C$2:$C$1960,MATCH(194,Engine!$C$2:$C$1960,0)))</f>
        <v/>
      </c>
      <c r="D207" s="9">
        <f>IF(ISNA(MATCH(194,Engine!$C$2:$C$1960,0)),"",INDEX('Compliance Database'!$D$2:$D$1960,MATCH(194,Engine!$C$2:$C$1960,0)))</f>
        <v/>
      </c>
      <c r="E207" s="8">
        <f>IF(ISNA(MATCH(194,Engine!$C$2:$C$1960,0)),"",INDEX('Compliance Database'!$E$2:$E$1960,MATCH(194,Engine!$C$2:$C$1960,0)))</f>
        <v/>
      </c>
      <c r="F207" s="8">
        <f>IF(ISNA(MATCH(194,Engine!$C$2:$C$1960,0)),"",INDEX('Compliance Database'!$F$2:$F$1960,MATCH(194,Engine!$C$2:$C$1960,0)))</f>
        <v/>
      </c>
      <c r="G207" s="8">
        <f>IF(ISNA(MATCH(194,Engine!$C$2:$C$1960,0)),"",INDEX('Compliance Database'!$G$2:$G$1960,MATCH(194,Engine!$C$2:$C$1960,0)))</f>
        <v/>
      </c>
      <c r="H207" s="9">
        <f>IF(ISNA(MATCH(194,Engine!$C$2:$C$1960,0)),"",INDEX('Compliance Database'!$H$2:$H$1960,MATCH(194,Engine!$C$2:$C$1960,0)))</f>
        <v/>
      </c>
      <c r="I207" s="9">
        <f>IF(ISNA(MATCH(194,Engine!$C$2:$C$1960,0)),"",INDEX('Compliance Database'!$I$2:$I$1960,MATCH(194,Engine!$C$2:$C$1960,0)))</f>
        <v/>
      </c>
      <c r="J207" s="8">
        <f>IF(ISNA(MATCH(194,Engine!$C$2:$C$1960,0)),"",INDEX('Compliance Database'!$J$2:$J$1960,MATCH(194,Engine!$C$2:$C$1960,0)))</f>
        <v/>
      </c>
      <c r="K207" s="9">
        <f>IF(ISNA(MATCH(194,Engine!$C$2:$C$1960,0)),"",INDEX('Compliance Database'!$K$2:$K$1960,MATCH(194,Engine!$C$2:$C$1960,0)))</f>
        <v/>
      </c>
      <c r="L207" s="9">
        <f>IF(ISNA(MATCH(194,Engine!$C$2:$C$1960,0)),"",INDEX('Compliance Database'!$L$2:$L$1960,MATCH(194,Engine!$C$2:$C$1960,0)))</f>
        <v/>
      </c>
      <c r="M207" s="9">
        <f>IF(ISNA(MATCH(194,Engine!$C$2:$C$1960,0)),"",INDEX('Compliance Database'!$M$2:$M$1960,MATCH(194,Engine!$C$2:$C$1960,0)))</f>
        <v/>
      </c>
      <c r="N207" s="9">
        <f>IF(ISNA(MATCH(194,Engine!$C$2:$C$1960,0)),"",INDEX('Compliance Database'!$N$2:$N$1960,MATCH(194,Engine!$C$2:$C$1960,0)))</f>
        <v/>
      </c>
      <c r="O207" s="9">
        <f>IF(ISNA(MATCH(194,Engine!$C$2:$C$1960,0)),"",INDEX('Compliance Database'!$O$2:$O$1960,MATCH(194,Engine!$C$2:$C$1960,0)))</f>
        <v/>
      </c>
      <c r="P207" s="8">
        <f>IF(ISNA(MATCH(194,Engine!$C$2:$C$1960,0)),"",HYPERLINK("#Acts!A"&amp;INDEX('Compliance Database'!$P$2:$P$1960,MATCH(194,Engine!$C$2:$C$1960,0)),"Go to Act"))</f>
        <v/>
      </c>
    </row>
    <row r="208" ht="158" customHeight="1">
      <c r="A208" s="8">
        <f>IF(ISNA(MATCH(195,Engine!$C$2:$C$1960,0)),"",INDEX('Compliance Database'!$A$2:$A$1960,MATCH(195,Engine!$C$2:$C$1960,0)))</f>
        <v/>
      </c>
      <c r="B208" s="8">
        <f>IF(ISNA(MATCH(195,Engine!$C$2:$C$1960,0)),"",INDEX('Compliance Database'!$B$2:$B$1960,MATCH(195,Engine!$C$2:$C$1960,0)))</f>
        <v/>
      </c>
      <c r="C208" s="8">
        <f>IF(ISNA(MATCH(195,Engine!$C$2:$C$1960,0)),"",INDEX('Compliance Database'!$C$2:$C$1960,MATCH(195,Engine!$C$2:$C$1960,0)))</f>
        <v/>
      </c>
      <c r="D208" s="9">
        <f>IF(ISNA(MATCH(195,Engine!$C$2:$C$1960,0)),"",INDEX('Compliance Database'!$D$2:$D$1960,MATCH(195,Engine!$C$2:$C$1960,0)))</f>
        <v/>
      </c>
      <c r="E208" s="8">
        <f>IF(ISNA(MATCH(195,Engine!$C$2:$C$1960,0)),"",INDEX('Compliance Database'!$E$2:$E$1960,MATCH(195,Engine!$C$2:$C$1960,0)))</f>
        <v/>
      </c>
      <c r="F208" s="8">
        <f>IF(ISNA(MATCH(195,Engine!$C$2:$C$1960,0)),"",INDEX('Compliance Database'!$F$2:$F$1960,MATCH(195,Engine!$C$2:$C$1960,0)))</f>
        <v/>
      </c>
      <c r="G208" s="8">
        <f>IF(ISNA(MATCH(195,Engine!$C$2:$C$1960,0)),"",INDEX('Compliance Database'!$G$2:$G$1960,MATCH(195,Engine!$C$2:$C$1960,0)))</f>
        <v/>
      </c>
      <c r="H208" s="9">
        <f>IF(ISNA(MATCH(195,Engine!$C$2:$C$1960,0)),"",INDEX('Compliance Database'!$H$2:$H$1960,MATCH(195,Engine!$C$2:$C$1960,0)))</f>
        <v/>
      </c>
      <c r="I208" s="9">
        <f>IF(ISNA(MATCH(195,Engine!$C$2:$C$1960,0)),"",INDEX('Compliance Database'!$I$2:$I$1960,MATCH(195,Engine!$C$2:$C$1960,0)))</f>
        <v/>
      </c>
      <c r="J208" s="8">
        <f>IF(ISNA(MATCH(195,Engine!$C$2:$C$1960,0)),"",INDEX('Compliance Database'!$J$2:$J$1960,MATCH(195,Engine!$C$2:$C$1960,0)))</f>
        <v/>
      </c>
      <c r="K208" s="9">
        <f>IF(ISNA(MATCH(195,Engine!$C$2:$C$1960,0)),"",INDEX('Compliance Database'!$K$2:$K$1960,MATCH(195,Engine!$C$2:$C$1960,0)))</f>
        <v/>
      </c>
      <c r="L208" s="9">
        <f>IF(ISNA(MATCH(195,Engine!$C$2:$C$1960,0)),"",INDEX('Compliance Database'!$L$2:$L$1960,MATCH(195,Engine!$C$2:$C$1960,0)))</f>
        <v/>
      </c>
      <c r="M208" s="9">
        <f>IF(ISNA(MATCH(195,Engine!$C$2:$C$1960,0)),"",INDEX('Compliance Database'!$M$2:$M$1960,MATCH(195,Engine!$C$2:$C$1960,0)))</f>
        <v/>
      </c>
      <c r="N208" s="9">
        <f>IF(ISNA(MATCH(195,Engine!$C$2:$C$1960,0)),"",INDEX('Compliance Database'!$N$2:$N$1960,MATCH(195,Engine!$C$2:$C$1960,0)))</f>
        <v/>
      </c>
      <c r="O208" s="9">
        <f>IF(ISNA(MATCH(195,Engine!$C$2:$C$1960,0)),"",INDEX('Compliance Database'!$O$2:$O$1960,MATCH(195,Engine!$C$2:$C$1960,0)))</f>
        <v/>
      </c>
      <c r="P208" s="8">
        <f>IF(ISNA(MATCH(195,Engine!$C$2:$C$1960,0)),"",HYPERLINK("#Acts!A"&amp;INDEX('Compliance Database'!$P$2:$P$1960,MATCH(195,Engine!$C$2:$C$1960,0)),"Go to Act"))</f>
        <v/>
      </c>
    </row>
    <row r="209" ht="158" customHeight="1">
      <c r="A209" s="8">
        <f>IF(ISNA(MATCH(196,Engine!$C$2:$C$1960,0)),"",INDEX('Compliance Database'!$A$2:$A$1960,MATCH(196,Engine!$C$2:$C$1960,0)))</f>
        <v/>
      </c>
      <c r="B209" s="8">
        <f>IF(ISNA(MATCH(196,Engine!$C$2:$C$1960,0)),"",INDEX('Compliance Database'!$B$2:$B$1960,MATCH(196,Engine!$C$2:$C$1960,0)))</f>
        <v/>
      </c>
      <c r="C209" s="8">
        <f>IF(ISNA(MATCH(196,Engine!$C$2:$C$1960,0)),"",INDEX('Compliance Database'!$C$2:$C$1960,MATCH(196,Engine!$C$2:$C$1960,0)))</f>
        <v/>
      </c>
      <c r="D209" s="9">
        <f>IF(ISNA(MATCH(196,Engine!$C$2:$C$1960,0)),"",INDEX('Compliance Database'!$D$2:$D$1960,MATCH(196,Engine!$C$2:$C$1960,0)))</f>
        <v/>
      </c>
      <c r="E209" s="8">
        <f>IF(ISNA(MATCH(196,Engine!$C$2:$C$1960,0)),"",INDEX('Compliance Database'!$E$2:$E$1960,MATCH(196,Engine!$C$2:$C$1960,0)))</f>
        <v/>
      </c>
      <c r="F209" s="8">
        <f>IF(ISNA(MATCH(196,Engine!$C$2:$C$1960,0)),"",INDEX('Compliance Database'!$F$2:$F$1960,MATCH(196,Engine!$C$2:$C$1960,0)))</f>
        <v/>
      </c>
      <c r="G209" s="8">
        <f>IF(ISNA(MATCH(196,Engine!$C$2:$C$1960,0)),"",INDEX('Compliance Database'!$G$2:$G$1960,MATCH(196,Engine!$C$2:$C$1960,0)))</f>
        <v/>
      </c>
      <c r="H209" s="9">
        <f>IF(ISNA(MATCH(196,Engine!$C$2:$C$1960,0)),"",INDEX('Compliance Database'!$H$2:$H$1960,MATCH(196,Engine!$C$2:$C$1960,0)))</f>
        <v/>
      </c>
      <c r="I209" s="9">
        <f>IF(ISNA(MATCH(196,Engine!$C$2:$C$1960,0)),"",INDEX('Compliance Database'!$I$2:$I$1960,MATCH(196,Engine!$C$2:$C$1960,0)))</f>
        <v/>
      </c>
      <c r="J209" s="8">
        <f>IF(ISNA(MATCH(196,Engine!$C$2:$C$1960,0)),"",INDEX('Compliance Database'!$J$2:$J$1960,MATCH(196,Engine!$C$2:$C$1960,0)))</f>
        <v/>
      </c>
      <c r="K209" s="9">
        <f>IF(ISNA(MATCH(196,Engine!$C$2:$C$1960,0)),"",INDEX('Compliance Database'!$K$2:$K$1960,MATCH(196,Engine!$C$2:$C$1960,0)))</f>
        <v/>
      </c>
      <c r="L209" s="9">
        <f>IF(ISNA(MATCH(196,Engine!$C$2:$C$1960,0)),"",INDEX('Compliance Database'!$L$2:$L$1960,MATCH(196,Engine!$C$2:$C$1960,0)))</f>
        <v/>
      </c>
      <c r="M209" s="9">
        <f>IF(ISNA(MATCH(196,Engine!$C$2:$C$1960,0)),"",INDEX('Compliance Database'!$M$2:$M$1960,MATCH(196,Engine!$C$2:$C$1960,0)))</f>
        <v/>
      </c>
      <c r="N209" s="9">
        <f>IF(ISNA(MATCH(196,Engine!$C$2:$C$1960,0)),"",INDEX('Compliance Database'!$N$2:$N$1960,MATCH(196,Engine!$C$2:$C$1960,0)))</f>
        <v/>
      </c>
      <c r="O209" s="9">
        <f>IF(ISNA(MATCH(196,Engine!$C$2:$C$1960,0)),"",INDEX('Compliance Database'!$O$2:$O$1960,MATCH(196,Engine!$C$2:$C$1960,0)))</f>
        <v/>
      </c>
      <c r="P209" s="8">
        <f>IF(ISNA(MATCH(196,Engine!$C$2:$C$1960,0)),"",HYPERLINK("#Acts!A"&amp;INDEX('Compliance Database'!$P$2:$P$1960,MATCH(196,Engine!$C$2:$C$1960,0)),"Go to Act"))</f>
        <v/>
      </c>
    </row>
    <row r="210" ht="158" customHeight="1">
      <c r="A210" s="8">
        <f>IF(ISNA(MATCH(197,Engine!$C$2:$C$1960,0)),"",INDEX('Compliance Database'!$A$2:$A$1960,MATCH(197,Engine!$C$2:$C$1960,0)))</f>
        <v/>
      </c>
      <c r="B210" s="8">
        <f>IF(ISNA(MATCH(197,Engine!$C$2:$C$1960,0)),"",INDEX('Compliance Database'!$B$2:$B$1960,MATCH(197,Engine!$C$2:$C$1960,0)))</f>
        <v/>
      </c>
      <c r="C210" s="8">
        <f>IF(ISNA(MATCH(197,Engine!$C$2:$C$1960,0)),"",INDEX('Compliance Database'!$C$2:$C$1960,MATCH(197,Engine!$C$2:$C$1960,0)))</f>
        <v/>
      </c>
      <c r="D210" s="9">
        <f>IF(ISNA(MATCH(197,Engine!$C$2:$C$1960,0)),"",INDEX('Compliance Database'!$D$2:$D$1960,MATCH(197,Engine!$C$2:$C$1960,0)))</f>
        <v/>
      </c>
      <c r="E210" s="8">
        <f>IF(ISNA(MATCH(197,Engine!$C$2:$C$1960,0)),"",INDEX('Compliance Database'!$E$2:$E$1960,MATCH(197,Engine!$C$2:$C$1960,0)))</f>
        <v/>
      </c>
      <c r="F210" s="8">
        <f>IF(ISNA(MATCH(197,Engine!$C$2:$C$1960,0)),"",INDEX('Compliance Database'!$F$2:$F$1960,MATCH(197,Engine!$C$2:$C$1960,0)))</f>
        <v/>
      </c>
      <c r="G210" s="8">
        <f>IF(ISNA(MATCH(197,Engine!$C$2:$C$1960,0)),"",INDEX('Compliance Database'!$G$2:$G$1960,MATCH(197,Engine!$C$2:$C$1960,0)))</f>
        <v/>
      </c>
      <c r="H210" s="9">
        <f>IF(ISNA(MATCH(197,Engine!$C$2:$C$1960,0)),"",INDEX('Compliance Database'!$H$2:$H$1960,MATCH(197,Engine!$C$2:$C$1960,0)))</f>
        <v/>
      </c>
      <c r="I210" s="9">
        <f>IF(ISNA(MATCH(197,Engine!$C$2:$C$1960,0)),"",INDEX('Compliance Database'!$I$2:$I$1960,MATCH(197,Engine!$C$2:$C$1960,0)))</f>
        <v/>
      </c>
      <c r="J210" s="8">
        <f>IF(ISNA(MATCH(197,Engine!$C$2:$C$1960,0)),"",INDEX('Compliance Database'!$J$2:$J$1960,MATCH(197,Engine!$C$2:$C$1960,0)))</f>
        <v/>
      </c>
      <c r="K210" s="9">
        <f>IF(ISNA(MATCH(197,Engine!$C$2:$C$1960,0)),"",INDEX('Compliance Database'!$K$2:$K$1960,MATCH(197,Engine!$C$2:$C$1960,0)))</f>
        <v/>
      </c>
      <c r="L210" s="9">
        <f>IF(ISNA(MATCH(197,Engine!$C$2:$C$1960,0)),"",INDEX('Compliance Database'!$L$2:$L$1960,MATCH(197,Engine!$C$2:$C$1960,0)))</f>
        <v/>
      </c>
      <c r="M210" s="9">
        <f>IF(ISNA(MATCH(197,Engine!$C$2:$C$1960,0)),"",INDEX('Compliance Database'!$M$2:$M$1960,MATCH(197,Engine!$C$2:$C$1960,0)))</f>
        <v/>
      </c>
      <c r="N210" s="9">
        <f>IF(ISNA(MATCH(197,Engine!$C$2:$C$1960,0)),"",INDEX('Compliance Database'!$N$2:$N$1960,MATCH(197,Engine!$C$2:$C$1960,0)))</f>
        <v/>
      </c>
      <c r="O210" s="9">
        <f>IF(ISNA(MATCH(197,Engine!$C$2:$C$1960,0)),"",INDEX('Compliance Database'!$O$2:$O$1960,MATCH(197,Engine!$C$2:$C$1960,0)))</f>
        <v/>
      </c>
      <c r="P210" s="8">
        <f>IF(ISNA(MATCH(197,Engine!$C$2:$C$1960,0)),"",HYPERLINK("#Acts!A"&amp;INDEX('Compliance Database'!$P$2:$P$1960,MATCH(197,Engine!$C$2:$C$1960,0)),"Go to Act"))</f>
        <v/>
      </c>
    </row>
    <row r="211" ht="158" customHeight="1">
      <c r="A211" s="8">
        <f>IF(ISNA(MATCH(198,Engine!$C$2:$C$1960,0)),"",INDEX('Compliance Database'!$A$2:$A$1960,MATCH(198,Engine!$C$2:$C$1960,0)))</f>
        <v/>
      </c>
      <c r="B211" s="8">
        <f>IF(ISNA(MATCH(198,Engine!$C$2:$C$1960,0)),"",INDEX('Compliance Database'!$B$2:$B$1960,MATCH(198,Engine!$C$2:$C$1960,0)))</f>
        <v/>
      </c>
      <c r="C211" s="8">
        <f>IF(ISNA(MATCH(198,Engine!$C$2:$C$1960,0)),"",INDEX('Compliance Database'!$C$2:$C$1960,MATCH(198,Engine!$C$2:$C$1960,0)))</f>
        <v/>
      </c>
      <c r="D211" s="9">
        <f>IF(ISNA(MATCH(198,Engine!$C$2:$C$1960,0)),"",INDEX('Compliance Database'!$D$2:$D$1960,MATCH(198,Engine!$C$2:$C$1960,0)))</f>
        <v/>
      </c>
      <c r="E211" s="8">
        <f>IF(ISNA(MATCH(198,Engine!$C$2:$C$1960,0)),"",INDEX('Compliance Database'!$E$2:$E$1960,MATCH(198,Engine!$C$2:$C$1960,0)))</f>
        <v/>
      </c>
      <c r="F211" s="8">
        <f>IF(ISNA(MATCH(198,Engine!$C$2:$C$1960,0)),"",INDEX('Compliance Database'!$F$2:$F$1960,MATCH(198,Engine!$C$2:$C$1960,0)))</f>
        <v/>
      </c>
      <c r="G211" s="8">
        <f>IF(ISNA(MATCH(198,Engine!$C$2:$C$1960,0)),"",INDEX('Compliance Database'!$G$2:$G$1960,MATCH(198,Engine!$C$2:$C$1960,0)))</f>
        <v/>
      </c>
      <c r="H211" s="9">
        <f>IF(ISNA(MATCH(198,Engine!$C$2:$C$1960,0)),"",INDEX('Compliance Database'!$H$2:$H$1960,MATCH(198,Engine!$C$2:$C$1960,0)))</f>
        <v/>
      </c>
      <c r="I211" s="9">
        <f>IF(ISNA(MATCH(198,Engine!$C$2:$C$1960,0)),"",INDEX('Compliance Database'!$I$2:$I$1960,MATCH(198,Engine!$C$2:$C$1960,0)))</f>
        <v/>
      </c>
      <c r="J211" s="8">
        <f>IF(ISNA(MATCH(198,Engine!$C$2:$C$1960,0)),"",INDEX('Compliance Database'!$J$2:$J$1960,MATCH(198,Engine!$C$2:$C$1960,0)))</f>
        <v/>
      </c>
      <c r="K211" s="9">
        <f>IF(ISNA(MATCH(198,Engine!$C$2:$C$1960,0)),"",INDEX('Compliance Database'!$K$2:$K$1960,MATCH(198,Engine!$C$2:$C$1960,0)))</f>
        <v/>
      </c>
      <c r="L211" s="9">
        <f>IF(ISNA(MATCH(198,Engine!$C$2:$C$1960,0)),"",INDEX('Compliance Database'!$L$2:$L$1960,MATCH(198,Engine!$C$2:$C$1960,0)))</f>
        <v/>
      </c>
      <c r="M211" s="9">
        <f>IF(ISNA(MATCH(198,Engine!$C$2:$C$1960,0)),"",INDEX('Compliance Database'!$M$2:$M$1960,MATCH(198,Engine!$C$2:$C$1960,0)))</f>
        <v/>
      </c>
      <c r="N211" s="9">
        <f>IF(ISNA(MATCH(198,Engine!$C$2:$C$1960,0)),"",INDEX('Compliance Database'!$N$2:$N$1960,MATCH(198,Engine!$C$2:$C$1960,0)))</f>
        <v/>
      </c>
      <c r="O211" s="9">
        <f>IF(ISNA(MATCH(198,Engine!$C$2:$C$1960,0)),"",INDEX('Compliance Database'!$O$2:$O$1960,MATCH(198,Engine!$C$2:$C$1960,0)))</f>
        <v/>
      </c>
      <c r="P211" s="8">
        <f>IF(ISNA(MATCH(198,Engine!$C$2:$C$1960,0)),"",HYPERLINK("#Acts!A"&amp;INDEX('Compliance Database'!$P$2:$P$1960,MATCH(198,Engine!$C$2:$C$1960,0)),"Go to Act"))</f>
        <v/>
      </c>
    </row>
    <row r="212" ht="158" customHeight="1">
      <c r="A212" s="8">
        <f>IF(ISNA(MATCH(199,Engine!$C$2:$C$1960,0)),"",INDEX('Compliance Database'!$A$2:$A$1960,MATCH(199,Engine!$C$2:$C$1960,0)))</f>
        <v/>
      </c>
      <c r="B212" s="8">
        <f>IF(ISNA(MATCH(199,Engine!$C$2:$C$1960,0)),"",INDEX('Compliance Database'!$B$2:$B$1960,MATCH(199,Engine!$C$2:$C$1960,0)))</f>
        <v/>
      </c>
      <c r="C212" s="8">
        <f>IF(ISNA(MATCH(199,Engine!$C$2:$C$1960,0)),"",INDEX('Compliance Database'!$C$2:$C$1960,MATCH(199,Engine!$C$2:$C$1960,0)))</f>
        <v/>
      </c>
      <c r="D212" s="9">
        <f>IF(ISNA(MATCH(199,Engine!$C$2:$C$1960,0)),"",INDEX('Compliance Database'!$D$2:$D$1960,MATCH(199,Engine!$C$2:$C$1960,0)))</f>
        <v/>
      </c>
      <c r="E212" s="8">
        <f>IF(ISNA(MATCH(199,Engine!$C$2:$C$1960,0)),"",INDEX('Compliance Database'!$E$2:$E$1960,MATCH(199,Engine!$C$2:$C$1960,0)))</f>
        <v/>
      </c>
      <c r="F212" s="8">
        <f>IF(ISNA(MATCH(199,Engine!$C$2:$C$1960,0)),"",INDEX('Compliance Database'!$F$2:$F$1960,MATCH(199,Engine!$C$2:$C$1960,0)))</f>
        <v/>
      </c>
      <c r="G212" s="8">
        <f>IF(ISNA(MATCH(199,Engine!$C$2:$C$1960,0)),"",INDEX('Compliance Database'!$G$2:$G$1960,MATCH(199,Engine!$C$2:$C$1960,0)))</f>
        <v/>
      </c>
      <c r="H212" s="9">
        <f>IF(ISNA(MATCH(199,Engine!$C$2:$C$1960,0)),"",INDEX('Compliance Database'!$H$2:$H$1960,MATCH(199,Engine!$C$2:$C$1960,0)))</f>
        <v/>
      </c>
      <c r="I212" s="9">
        <f>IF(ISNA(MATCH(199,Engine!$C$2:$C$1960,0)),"",INDEX('Compliance Database'!$I$2:$I$1960,MATCH(199,Engine!$C$2:$C$1960,0)))</f>
        <v/>
      </c>
      <c r="J212" s="8">
        <f>IF(ISNA(MATCH(199,Engine!$C$2:$C$1960,0)),"",INDEX('Compliance Database'!$J$2:$J$1960,MATCH(199,Engine!$C$2:$C$1960,0)))</f>
        <v/>
      </c>
      <c r="K212" s="9">
        <f>IF(ISNA(MATCH(199,Engine!$C$2:$C$1960,0)),"",INDEX('Compliance Database'!$K$2:$K$1960,MATCH(199,Engine!$C$2:$C$1960,0)))</f>
        <v/>
      </c>
      <c r="L212" s="9">
        <f>IF(ISNA(MATCH(199,Engine!$C$2:$C$1960,0)),"",INDEX('Compliance Database'!$L$2:$L$1960,MATCH(199,Engine!$C$2:$C$1960,0)))</f>
        <v/>
      </c>
      <c r="M212" s="9">
        <f>IF(ISNA(MATCH(199,Engine!$C$2:$C$1960,0)),"",INDEX('Compliance Database'!$M$2:$M$1960,MATCH(199,Engine!$C$2:$C$1960,0)))</f>
        <v/>
      </c>
      <c r="N212" s="9">
        <f>IF(ISNA(MATCH(199,Engine!$C$2:$C$1960,0)),"",INDEX('Compliance Database'!$N$2:$N$1960,MATCH(199,Engine!$C$2:$C$1960,0)))</f>
        <v/>
      </c>
      <c r="O212" s="9">
        <f>IF(ISNA(MATCH(199,Engine!$C$2:$C$1960,0)),"",INDEX('Compliance Database'!$O$2:$O$1960,MATCH(199,Engine!$C$2:$C$1960,0)))</f>
        <v/>
      </c>
      <c r="P212" s="8">
        <f>IF(ISNA(MATCH(199,Engine!$C$2:$C$1960,0)),"",HYPERLINK("#Acts!A"&amp;INDEX('Compliance Database'!$P$2:$P$1960,MATCH(199,Engine!$C$2:$C$1960,0)),"Go to Act"))</f>
        <v/>
      </c>
    </row>
    <row r="213" ht="158" customHeight="1">
      <c r="A213" s="8">
        <f>IF(ISNA(MATCH(200,Engine!$C$2:$C$1960,0)),"",INDEX('Compliance Database'!$A$2:$A$1960,MATCH(200,Engine!$C$2:$C$1960,0)))</f>
        <v/>
      </c>
      <c r="B213" s="8">
        <f>IF(ISNA(MATCH(200,Engine!$C$2:$C$1960,0)),"",INDEX('Compliance Database'!$B$2:$B$1960,MATCH(200,Engine!$C$2:$C$1960,0)))</f>
        <v/>
      </c>
      <c r="C213" s="8">
        <f>IF(ISNA(MATCH(200,Engine!$C$2:$C$1960,0)),"",INDEX('Compliance Database'!$C$2:$C$1960,MATCH(200,Engine!$C$2:$C$1960,0)))</f>
        <v/>
      </c>
      <c r="D213" s="9">
        <f>IF(ISNA(MATCH(200,Engine!$C$2:$C$1960,0)),"",INDEX('Compliance Database'!$D$2:$D$1960,MATCH(200,Engine!$C$2:$C$1960,0)))</f>
        <v/>
      </c>
      <c r="E213" s="8">
        <f>IF(ISNA(MATCH(200,Engine!$C$2:$C$1960,0)),"",INDEX('Compliance Database'!$E$2:$E$1960,MATCH(200,Engine!$C$2:$C$1960,0)))</f>
        <v/>
      </c>
      <c r="F213" s="8">
        <f>IF(ISNA(MATCH(200,Engine!$C$2:$C$1960,0)),"",INDEX('Compliance Database'!$F$2:$F$1960,MATCH(200,Engine!$C$2:$C$1960,0)))</f>
        <v/>
      </c>
      <c r="G213" s="8">
        <f>IF(ISNA(MATCH(200,Engine!$C$2:$C$1960,0)),"",INDEX('Compliance Database'!$G$2:$G$1960,MATCH(200,Engine!$C$2:$C$1960,0)))</f>
        <v/>
      </c>
      <c r="H213" s="9">
        <f>IF(ISNA(MATCH(200,Engine!$C$2:$C$1960,0)),"",INDEX('Compliance Database'!$H$2:$H$1960,MATCH(200,Engine!$C$2:$C$1960,0)))</f>
        <v/>
      </c>
      <c r="I213" s="9">
        <f>IF(ISNA(MATCH(200,Engine!$C$2:$C$1960,0)),"",INDEX('Compliance Database'!$I$2:$I$1960,MATCH(200,Engine!$C$2:$C$1960,0)))</f>
        <v/>
      </c>
      <c r="J213" s="8">
        <f>IF(ISNA(MATCH(200,Engine!$C$2:$C$1960,0)),"",INDEX('Compliance Database'!$J$2:$J$1960,MATCH(200,Engine!$C$2:$C$1960,0)))</f>
        <v/>
      </c>
      <c r="K213" s="9">
        <f>IF(ISNA(MATCH(200,Engine!$C$2:$C$1960,0)),"",INDEX('Compliance Database'!$K$2:$K$1960,MATCH(200,Engine!$C$2:$C$1960,0)))</f>
        <v/>
      </c>
      <c r="L213" s="9">
        <f>IF(ISNA(MATCH(200,Engine!$C$2:$C$1960,0)),"",INDEX('Compliance Database'!$L$2:$L$1960,MATCH(200,Engine!$C$2:$C$1960,0)))</f>
        <v/>
      </c>
      <c r="M213" s="9">
        <f>IF(ISNA(MATCH(200,Engine!$C$2:$C$1960,0)),"",INDEX('Compliance Database'!$M$2:$M$1960,MATCH(200,Engine!$C$2:$C$1960,0)))</f>
        <v/>
      </c>
      <c r="N213" s="9">
        <f>IF(ISNA(MATCH(200,Engine!$C$2:$C$1960,0)),"",INDEX('Compliance Database'!$N$2:$N$1960,MATCH(200,Engine!$C$2:$C$1960,0)))</f>
        <v/>
      </c>
      <c r="O213" s="9">
        <f>IF(ISNA(MATCH(200,Engine!$C$2:$C$1960,0)),"",INDEX('Compliance Database'!$O$2:$O$1960,MATCH(200,Engine!$C$2:$C$1960,0)))</f>
        <v/>
      </c>
      <c r="P213" s="8">
        <f>IF(ISNA(MATCH(200,Engine!$C$2:$C$1960,0)),"",HYPERLINK("#Acts!A"&amp;INDEX('Compliance Database'!$P$2:$P$1960,MATCH(200,Engine!$C$2:$C$1960,0)),"Go to Act"))</f>
        <v/>
      </c>
    </row>
    <row r="214" ht="158" customHeight="1">
      <c r="A214" s="8">
        <f>IF(ISNA(MATCH(201,Engine!$C$2:$C$1960,0)),"",INDEX('Compliance Database'!$A$2:$A$1960,MATCH(201,Engine!$C$2:$C$1960,0)))</f>
        <v/>
      </c>
      <c r="B214" s="8">
        <f>IF(ISNA(MATCH(201,Engine!$C$2:$C$1960,0)),"",INDEX('Compliance Database'!$B$2:$B$1960,MATCH(201,Engine!$C$2:$C$1960,0)))</f>
        <v/>
      </c>
      <c r="C214" s="8">
        <f>IF(ISNA(MATCH(201,Engine!$C$2:$C$1960,0)),"",INDEX('Compliance Database'!$C$2:$C$1960,MATCH(201,Engine!$C$2:$C$1960,0)))</f>
        <v/>
      </c>
      <c r="D214" s="9">
        <f>IF(ISNA(MATCH(201,Engine!$C$2:$C$1960,0)),"",INDEX('Compliance Database'!$D$2:$D$1960,MATCH(201,Engine!$C$2:$C$1960,0)))</f>
        <v/>
      </c>
      <c r="E214" s="8">
        <f>IF(ISNA(MATCH(201,Engine!$C$2:$C$1960,0)),"",INDEX('Compliance Database'!$E$2:$E$1960,MATCH(201,Engine!$C$2:$C$1960,0)))</f>
        <v/>
      </c>
      <c r="F214" s="8">
        <f>IF(ISNA(MATCH(201,Engine!$C$2:$C$1960,0)),"",INDEX('Compliance Database'!$F$2:$F$1960,MATCH(201,Engine!$C$2:$C$1960,0)))</f>
        <v/>
      </c>
      <c r="G214" s="8">
        <f>IF(ISNA(MATCH(201,Engine!$C$2:$C$1960,0)),"",INDEX('Compliance Database'!$G$2:$G$1960,MATCH(201,Engine!$C$2:$C$1960,0)))</f>
        <v/>
      </c>
      <c r="H214" s="9">
        <f>IF(ISNA(MATCH(201,Engine!$C$2:$C$1960,0)),"",INDEX('Compliance Database'!$H$2:$H$1960,MATCH(201,Engine!$C$2:$C$1960,0)))</f>
        <v/>
      </c>
      <c r="I214" s="9">
        <f>IF(ISNA(MATCH(201,Engine!$C$2:$C$1960,0)),"",INDEX('Compliance Database'!$I$2:$I$1960,MATCH(201,Engine!$C$2:$C$1960,0)))</f>
        <v/>
      </c>
      <c r="J214" s="8">
        <f>IF(ISNA(MATCH(201,Engine!$C$2:$C$1960,0)),"",INDEX('Compliance Database'!$J$2:$J$1960,MATCH(201,Engine!$C$2:$C$1960,0)))</f>
        <v/>
      </c>
      <c r="K214" s="9">
        <f>IF(ISNA(MATCH(201,Engine!$C$2:$C$1960,0)),"",INDEX('Compliance Database'!$K$2:$K$1960,MATCH(201,Engine!$C$2:$C$1960,0)))</f>
        <v/>
      </c>
      <c r="L214" s="9">
        <f>IF(ISNA(MATCH(201,Engine!$C$2:$C$1960,0)),"",INDEX('Compliance Database'!$L$2:$L$1960,MATCH(201,Engine!$C$2:$C$1960,0)))</f>
        <v/>
      </c>
      <c r="M214" s="9">
        <f>IF(ISNA(MATCH(201,Engine!$C$2:$C$1960,0)),"",INDEX('Compliance Database'!$M$2:$M$1960,MATCH(201,Engine!$C$2:$C$1960,0)))</f>
        <v/>
      </c>
      <c r="N214" s="9">
        <f>IF(ISNA(MATCH(201,Engine!$C$2:$C$1960,0)),"",INDEX('Compliance Database'!$N$2:$N$1960,MATCH(201,Engine!$C$2:$C$1960,0)))</f>
        <v/>
      </c>
      <c r="O214" s="9">
        <f>IF(ISNA(MATCH(201,Engine!$C$2:$C$1960,0)),"",INDEX('Compliance Database'!$O$2:$O$1960,MATCH(201,Engine!$C$2:$C$1960,0)))</f>
        <v/>
      </c>
      <c r="P214" s="8">
        <f>IF(ISNA(MATCH(201,Engine!$C$2:$C$1960,0)),"",HYPERLINK("#Acts!A"&amp;INDEX('Compliance Database'!$P$2:$P$1960,MATCH(201,Engine!$C$2:$C$1960,0)),"Go to Act"))</f>
        <v/>
      </c>
    </row>
    <row r="215" ht="158" customHeight="1">
      <c r="A215" s="8">
        <f>IF(ISNA(MATCH(202,Engine!$C$2:$C$1960,0)),"",INDEX('Compliance Database'!$A$2:$A$1960,MATCH(202,Engine!$C$2:$C$1960,0)))</f>
        <v/>
      </c>
      <c r="B215" s="8">
        <f>IF(ISNA(MATCH(202,Engine!$C$2:$C$1960,0)),"",INDEX('Compliance Database'!$B$2:$B$1960,MATCH(202,Engine!$C$2:$C$1960,0)))</f>
        <v/>
      </c>
      <c r="C215" s="8">
        <f>IF(ISNA(MATCH(202,Engine!$C$2:$C$1960,0)),"",INDEX('Compliance Database'!$C$2:$C$1960,MATCH(202,Engine!$C$2:$C$1960,0)))</f>
        <v/>
      </c>
      <c r="D215" s="9">
        <f>IF(ISNA(MATCH(202,Engine!$C$2:$C$1960,0)),"",INDEX('Compliance Database'!$D$2:$D$1960,MATCH(202,Engine!$C$2:$C$1960,0)))</f>
        <v/>
      </c>
      <c r="E215" s="8">
        <f>IF(ISNA(MATCH(202,Engine!$C$2:$C$1960,0)),"",INDEX('Compliance Database'!$E$2:$E$1960,MATCH(202,Engine!$C$2:$C$1960,0)))</f>
        <v/>
      </c>
      <c r="F215" s="8">
        <f>IF(ISNA(MATCH(202,Engine!$C$2:$C$1960,0)),"",INDEX('Compliance Database'!$F$2:$F$1960,MATCH(202,Engine!$C$2:$C$1960,0)))</f>
        <v/>
      </c>
      <c r="G215" s="8">
        <f>IF(ISNA(MATCH(202,Engine!$C$2:$C$1960,0)),"",INDEX('Compliance Database'!$G$2:$G$1960,MATCH(202,Engine!$C$2:$C$1960,0)))</f>
        <v/>
      </c>
      <c r="H215" s="9">
        <f>IF(ISNA(MATCH(202,Engine!$C$2:$C$1960,0)),"",INDEX('Compliance Database'!$H$2:$H$1960,MATCH(202,Engine!$C$2:$C$1960,0)))</f>
        <v/>
      </c>
      <c r="I215" s="9">
        <f>IF(ISNA(MATCH(202,Engine!$C$2:$C$1960,0)),"",INDEX('Compliance Database'!$I$2:$I$1960,MATCH(202,Engine!$C$2:$C$1960,0)))</f>
        <v/>
      </c>
      <c r="J215" s="8">
        <f>IF(ISNA(MATCH(202,Engine!$C$2:$C$1960,0)),"",INDEX('Compliance Database'!$J$2:$J$1960,MATCH(202,Engine!$C$2:$C$1960,0)))</f>
        <v/>
      </c>
      <c r="K215" s="9">
        <f>IF(ISNA(MATCH(202,Engine!$C$2:$C$1960,0)),"",INDEX('Compliance Database'!$K$2:$K$1960,MATCH(202,Engine!$C$2:$C$1960,0)))</f>
        <v/>
      </c>
      <c r="L215" s="9">
        <f>IF(ISNA(MATCH(202,Engine!$C$2:$C$1960,0)),"",INDEX('Compliance Database'!$L$2:$L$1960,MATCH(202,Engine!$C$2:$C$1960,0)))</f>
        <v/>
      </c>
      <c r="M215" s="9">
        <f>IF(ISNA(MATCH(202,Engine!$C$2:$C$1960,0)),"",INDEX('Compliance Database'!$M$2:$M$1960,MATCH(202,Engine!$C$2:$C$1960,0)))</f>
        <v/>
      </c>
      <c r="N215" s="9">
        <f>IF(ISNA(MATCH(202,Engine!$C$2:$C$1960,0)),"",INDEX('Compliance Database'!$N$2:$N$1960,MATCH(202,Engine!$C$2:$C$1960,0)))</f>
        <v/>
      </c>
      <c r="O215" s="9">
        <f>IF(ISNA(MATCH(202,Engine!$C$2:$C$1960,0)),"",INDEX('Compliance Database'!$O$2:$O$1960,MATCH(202,Engine!$C$2:$C$1960,0)))</f>
        <v/>
      </c>
      <c r="P215" s="8">
        <f>IF(ISNA(MATCH(202,Engine!$C$2:$C$1960,0)),"",HYPERLINK("#Acts!A"&amp;INDEX('Compliance Database'!$P$2:$P$1960,MATCH(202,Engine!$C$2:$C$1960,0)),"Go to Act"))</f>
        <v/>
      </c>
    </row>
    <row r="216" ht="158" customHeight="1">
      <c r="A216" s="8">
        <f>IF(ISNA(MATCH(203,Engine!$C$2:$C$1960,0)),"",INDEX('Compliance Database'!$A$2:$A$1960,MATCH(203,Engine!$C$2:$C$1960,0)))</f>
        <v/>
      </c>
      <c r="B216" s="8">
        <f>IF(ISNA(MATCH(203,Engine!$C$2:$C$1960,0)),"",INDEX('Compliance Database'!$B$2:$B$1960,MATCH(203,Engine!$C$2:$C$1960,0)))</f>
        <v/>
      </c>
      <c r="C216" s="8">
        <f>IF(ISNA(MATCH(203,Engine!$C$2:$C$1960,0)),"",INDEX('Compliance Database'!$C$2:$C$1960,MATCH(203,Engine!$C$2:$C$1960,0)))</f>
        <v/>
      </c>
      <c r="D216" s="9">
        <f>IF(ISNA(MATCH(203,Engine!$C$2:$C$1960,0)),"",INDEX('Compliance Database'!$D$2:$D$1960,MATCH(203,Engine!$C$2:$C$1960,0)))</f>
        <v/>
      </c>
      <c r="E216" s="8">
        <f>IF(ISNA(MATCH(203,Engine!$C$2:$C$1960,0)),"",INDEX('Compliance Database'!$E$2:$E$1960,MATCH(203,Engine!$C$2:$C$1960,0)))</f>
        <v/>
      </c>
      <c r="F216" s="8">
        <f>IF(ISNA(MATCH(203,Engine!$C$2:$C$1960,0)),"",INDEX('Compliance Database'!$F$2:$F$1960,MATCH(203,Engine!$C$2:$C$1960,0)))</f>
        <v/>
      </c>
      <c r="G216" s="8">
        <f>IF(ISNA(MATCH(203,Engine!$C$2:$C$1960,0)),"",INDEX('Compliance Database'!$G$2:$G$1960,MATCH(203,Engine!$C$2:$C$1960,0)))</f>
        <v/>
      </c>
      <c r="H216" s="9">
        <f>IF(ISNA(MATCH(203,Engine!$C$2:$C$1960,0)),"",INDEX('Compliance Database'!$H$2:$H$1960,MATCH(203,Engine!$C$2:$C$1960,0)))</f>
        <v/>
      </c>
      <c r="I216" s="9">
        <f>IF(ISNA(MATCH(203,Engine!$C$2:$C$1960,0)),"",INDEX('Compliance Database'!$I$2:$I$1960,MATCH(203,Engine!$C$2:$C$1960,0)))</f>
        <v/>
      </c>
      <c r="J216" s="8">
        <f>IF(ISNA(MATCH(203,Engine!$C$2:$C$1960,0)),"",INDEX('Compliance Database'!$J$2:$J$1960,MATCH(203,Engine!$C$2:$C$1960,0)))</f>
        <v/>
      </c>
      <c r="K216" s="9">
        <f>IF(ISNA(MATCH(203,Engine!$C$2:$C$1960,0)),"",INDEX('Compliance Database'!$K$2:$K$1960,MATCH(203,Engine!$C$2:$C$1960,0)))</f>
        <v/>
      </c>
      <c r="L216" s="9">
        <f>IF(ISNA(MATCH(203,Engine!$C$2:$C$1960,0)),"",INDEX('Compliance Database'!$L$2:$L$1960,MATCH(203,Engine!$C$2:$C$1960,0)))</f>
        <v/>
      </c>
      <c r="M216" s="9">
        <f>IF(ISNA(MATCH(203,Engine!$C$2:$C$1960,0)),"",INDEX('Compliance Database'!$M$2:$M$1960,MATCH(203,Engine!$C$2:$C$1960,0)))</f>
        <v/>
      </c>
      <c r="N216" s="9">
        <f>IF(ISNA(MATCH(203,Engine!$C$2:$C$1960,0)),"",INDEX('Compliance Database'!$N$2:$N$1960,MATCH(203,Engine!$C$2:$C$1960,0)))</f>
        <v/>
      </c>
      <c r="O216" s="9">
        <f>IF(ISNA(MATCH(203,Engine!$C$2:$C$1960,0)),"",INDEX('Compliance Database'!$O$2:$O$1960,MATCH(203,Engine!$C$2:$C$1960,0)))</f>
        <v/>
      </c>
      <c r="P216" s="8">
        <f>IF(ISNA(MATCH(203,Engine!$C$2:$C$1960,0)),"",HYPERLINK("#Acts!A"&amp;INDEX('Compliance Database'!$P$2:$P$1960,MATCH(203,Engine!$C$2:$C$1960,0)),"Go to Act"))</f>
        <v/>
      </c>
    </row>
    <row r="217" ht="158" customHeight="1">
      <c r="A217" s="8">
        <f>IF(ISNA(MATCH(204,Engine!$C$2:$C$1960,0)),"",INDEX('Compliance Database'!$A$2:$A$1960,MATCH(204,Engine!$C$2:$C$1960,0)))</f>
        <v/>
      </c>
      <c r="B217" s="8">
        <f>IF(ISNA(MATCH(204,Engine!$C$2:$C$1960,0)),"",INDEX('Compliance Database'!$B$2:$B$1960,MATCH(204,Engine!$C$2:$C$1960,0)))</f>
        <v/>
      </c>
      <c r="C217" s="8">
        <f>IF(ISNA(MATCH(204,Engine!$C$2:$C$1960,0)),"",INDEX('Compliance Database'!$C$2:$C$1960,MATCH(204,Engine!$C$2:$C$1960,0)))</f>
        <v/>
      </c>
      <c r="D217" s="9">
        <f>IF(ISNA(MATCH(204,Engine!$C$2:$C$1960,0)),"",INDEX('Compliance Database'!$D$2:$D$1960,MATCH(204,Engine!$C$2:$C$1960,0)))</f>
        <v/>
      </c>
      <c r="E217" s="8">
        <f>IF(ISNA(MATCH(204,Engine!$C$2:$C$1960,0)),"",INDEX('Compliance Database'!$E$2:$E$1960,MATCH(204,Engine!$C$2:$C$1960,0)))</f>
        <v/>
      </c>
      <c r="F217" s="8">
        <f>IF(ISNA(MATCH(204,Engine!$C$2:$C$1960,0)),"",INDEX('Compliance Database'!$F$2:$F$1960,MATCH(204,Engine!$C$2:$C$1960,0)))</f>
        <v/>
      </c>
      <c r="G217" s="8">
        <f>IF(ISNA(MATCH(204,Engine!$C$2:$C$1960,0)),"",INDEX('Compliance Database'!$G$2:$G$1960,MATCH(204,Engine!$C$2:$C$1960,0)))</f>
        <v/>
      </c>
      <c r="H217" s="9">
        <f>IF(ISNA(MATCH(204,Engine!$C$2:$C$1960,0)),"",INDEX('Compliance Database'!$H$2:$H$1960,MATCH(204,Engine!$C$2:$C$1960,0)))</f>
        <v/>
      </c>
      <c r="I217" s="9">
        <f>IF(ISNA(MATCH(204,Engine!$C$2:$C$1960,0)),"",INDEX('Compliance Database'!$I$2:$I$1960,MATCH(204,Engine!$C$2:$C$1960,0)))</f>
        <v/>
      </c>
      <c r="J217" s="8">
        <f>IF(ISNA(MATCH(204,Engine!$C$2:$C$1960,0)),"",INDEX('Compliance Database'!$J$2:$J$1960,MATCH(204,Engine!$C$2:$C$1960,0)))</f>
        <v/>
      </c>
      <c r="K217" s="9">
        <f>IF(ISNA(MATCH(204,Engine!$C$2:$C$1960,0)),"",INDEX('Compliance Database'!$K$2:$K$1960,MATCH(204,Engine!$C$2:$C$1960,0)))</f>
        <v/>
      </c>
      <c r="L217" s="9">
        <f>IF(ISNA(MATCH(204,Engine!$C$2:$C$1960,0)),"",INDEX('Compliance Database'!$L$2:$L$1960,MATCH(204,Engine!$C$2:$C$1960,0)))</f>
        <v/>
      </c>
      <c r="M217" s="9">
        <f>IF(ISNA(MATCH(204,Engine!$C$2:$C$1960,0)),"",INDEX('Compliance Database'!$M$2:$M$1960,MATCH(204,Engine!$C$2:$C$1960,0)))</f>
        <v/>
      </c>
      <c r="N217" s="9">
        <f>IF(ISNA(MATCH(204,Engine!$C$2:$C$1960,0)),"",INDEX('Compliance Database'!$N$2:$N$1960,MATCH(204,Engine!$C$2:$C$1960,0)))</f>
        <v/>
      </c>
      <c r="O217" s="9">
        <f>IF(ISNA(MATCH(204,Engine!$C$2:$C$1960,0)),"",INDEX('Compliance Database'!$O$2:$O$1960,MATCH(204,Engine!$C$2:$C$1960,0)))</f>
        <v/>
      </c>
      <c r="P217" s="8">
        <f>IF(ISNA(MATCH(204,Engine!$C$2:$C$1960,0)),"",HYPERLINK("#Acts!A"&amp;INDEX('Compliance Database'!$P$2:$P$1960,MATCH(204,Engine!$C$2:$C$1960,0)),"Go to Act"))</f>
        <v/>
      </c>
    </row>
    <row r="218" ht="158" customHeight="1">
      <c r="A218" s="8">
        <f>IF(ISNA(MATCH(205,Engine!$C$2:$C$1960,0)),"",INDEX('Compliance Database'!$A$2:$A$1960,MATCH(205,Engine!$C$2:$C$1960,0)))</f>
        <v/>
      </c>
      <c r="B218" s="8">
        <f>IF(ISNA(MATCH(205,Engine!$C$2:$C$1960,0)),"",INDEX('Compliance Database'!$B$2:$B$1960,MATCH(205,Engine!$C$2:$C$1960,0)))</f>
        <v/>
      </c>
      <c r="C218" s="8">
        <f>IF(ISNA(MATCH(205,Engine!$C$2:$C$1960,0)),"",INDEX('Compliance Database'!$C$2:$C$1960,MATCH(205,Engine!$C$2:$C$1960,0)))</f>
        <v/>
      </c>
      <c r="D218" s="9">
        <f>IF(ISNA(MATCH(205,Engine!$C$2:$C$1960,0)),"",INDEX('Compliance Database'!$D$2:$D$1960,MATCH(205,Engine!$C$2:$C$1960,0)))</f>
        <v/>
      </c>
      <c r="E218" s="8">
        <f>IF(ISNA(MATCH(205,Engine!$C$2:$C$1960,0)),"",INDEX('Compliance Database'!$E$2:$E$1960,MATCH(205,Engine!$C$2:$C$1960,0)))</f>
        <v/>
      </c>
      <c r="F218" s="8">
        <f>IF(ISNA(MATCH(205,Engine!$C$2:$C$1960,0)),"",INDEX('Compliance Database'!$F$2:$F$1960,MATCH(205,Engine!$C$2:$C$1960,0)))</f>
        <v/>
      </c>
      <c r="G218" s="8">
        <f>IF(ISNA(MATCH(205,Engine!$C$2:$C$1960,0)),"",INDEX('Compliance Database'!$G$2:$G$1960,MATCH(205,Engine!$C$2:$C$1960,0)))</f>
        <v/>
      </c>
      <c r="H218" s="9">
        <f>IF(ISNA(MATCH(205,Engine!$C$2:$C$1960,0)),"",INDEX('Compliance Database'!$H$2:$H$1960,MATCH(205,Engine!$C$2:$C$1960,0)))</f>
        <v/>
      </c>
      <c r="I218" s="9">
        <f>IF(ISNA(MATCH(205,Engine!$C$2:$C$1960,0)),"",INDEX('Compliance Database'!$I$2:$I$1960,MATCH(205,Engine!$C$2:$C$1960,0)))</f>
        <v/>
      </c>
      <c r="J218" s="8">
        <f>IF(ISNA(MATCH(205,Engine!$C$2:$C$1960,0)),"",INDEX('Compliance Database'!$J$2:$J$1960,MATCH(205,Engine!$C$2:$C$1960,0)))</f>
        <v/>
      </c>
      <c r="K218" s="9">
        <f>IF(ISNA(MATCH(205,Engine!$C$2:$C$1960,0)),"",INDEX('Compliance Database'!$K$2:$K$1960,MATCH(205,Engine!$C$2:$C$1960,0)))</f>
        <v/>
      </c>
      <c r="L218" s="9">
        <f>IF(ISNA(MATCH(205,Engine!$C$2:$C$1960,0)),"",INDEX('Compliance Database'!$L$2:$L$1960,MATCH(205,Engine!$C$2:$C$1960,0)))</f>
        <v/>
      </c>
      <c r="M218" s="9">
        <f>IF(ISNA(MATCH(205,Engine!$C$2:$C$1960,0)),"",INDEX('Compliance Database'!$M$2:$M$1960,MATCH(205,Engine!$C$2:$C$1960,0)))</f>
        <v/>
      </c>
      <c r="N218" s="9">
        <f>IF(ISNA(MATCH(205,Engine!$C$2:$C$1960,0)),"",INDEX('Compliance Database'!$N$2:$N$1960,MATCH(205,Engine!$C$2:$C$1960,0)))</f>
        <v/>
      </c>
      <c r="O218" s="9">
        <f>IF(ISNA(MATCH(205,Engine!$C$2:$C$1960,0)),"",INDEX('Compliance Database'!$O$2:$O$1960,MATCH(205,Engine!$C$2:$C$1960,0)))</f>
        <v/>
      </c>
      <c r="P218" s="8">
        <f>IF(ISNA(MATCH(205,Engine!$C$2:$C$1960,0)),"",HYPERLINK("#Acts!A"&amp;INDEX('Compliance Database'!$P$2:$P$1960,MATCH(205,Engine!$C$2:$C$1960,0)),"Go to Act"))</f>
        <v/>
      </c>
    </row>
    <row r="219" ht="158" customHeight="1">
      <c r="A219" s="8">
        <f>IF(ISNA(MATCH(206,Engine!$C$2:$C$1960,0)),"",INDEX('Compliance Database'!$A$2:$A$1960,MATCH(206,Engine!$C$2:$C$1960,0)))</f>
        <v/>
      </c>
      <c r="B219" s="8">
        <f>IF(ISNA(MATCH(206,Engine!$C$2:$C$1960,0)),"",INDEX('Compliance Database'!$B$2:$B$1960,MATCH(206,Engine!$C$2:$C$1960,0)))</f>
        <v/>
      </c>
      <c r="C219" s="8">
        <f>IF(ISNA(MATCH(206,Engine!$C$2:$C$1960,0)),"",INDEX('Compliance Database'!$C$2:$C$1960,MATCH(206,Engine!$C$2:$C$1960,0)))</f>
        <v/>
      </c>
      <c r="D219" s="9">
        <f>IF(ISNA(MATCH(206,Engine!$C$2:$C$1960,0)),"",INDEX('Compliance Database'!$D$2:$D$1960,MATCH(206,Engine!$C$2:$C$1960,0)))</f>
        <v/>
      </c>
      <c r="E219" s="8">
        <f>IF(ISNA(MATCH(206,Engine!$C$2:$C$1960,0)),"",INDEX('Compliance Database'!$E$2:$E$1960,MATCH(206,Engine!$C$2:$C$1960,0)))</f>
        <v/>
      </c>
      <c r="F219" s="8">
        <f>IF(ISNA(MATCH(206,Engine!$C$2:$C$1960,0)),"",INDEX('Compliance Database'!$F$2:$F$1960,MATCH(206,Engine!$C$2:$C$1960,0)))</f>
        <v/>
      </c>
      <c r="G219" s="8">
        <f>IF(ISNA(MATCH(206,Engine!$C$2:$C$1960,0)),"",INDEX('Compliance Database'!$G$2:$G$1960,MATCH(206,Engine!$C$2:$C$1960,0)))</f>
        <v/>
      </c>
      <c r="H219" s="9">
        <f>IF(ISNA(MATCH(206,Engine!$C$2:$C$1960,0)),"",INDEX('Compliance Database'!$H$2:$H$1960,MATCH(206,Engine!$C$2:$C$1960,0)))</f>
        <v/>
      </c>
      <c r="I219" s="9">
        <f>IF(ISNA(MATCH(206,Engine!$C$2:$C$1960,0)),"",INDEX('Compliance Database'!$I$2:$I$1960,MATCH(206,Engine!$C$2:$C$1960,0)))</f>
        <v/>
      </c>
      <c r="J219" s="8">
        <f>IF(ISNA(MATCH(206,Engine!$C$2:$C$1960,0)),"",INDEX('Compliance Database'!$J$2:$J$1960,MATCH(206,Engine!$C$2:$C$1960,0)))</f>
        <v/>
      </c>
      <c r="K219" s="9">
        <f>IF(ISNA(MATCH(206,Engine!$C$2:$C$1960,0)),"",INDEX('Compliance Database'!$K$2:$K$1960,MATCH(206,Engine!$C$2:$C$1960,0)))</f>
        <v/>
      </c>
      <c r="L219" s="9">
        <f>IF(ISNA(MATCH(206,Engine!$C$2:$C$1960,0)),"",INDEX('Compliance Database'!$L$2:$L$1960,MATCH(206,Engine!$C$2:$C$1960,0)))</f>
        <v/>
      </c>
      <c r="M219" s="9">
        <f>IF(ISNA(MATCH(206,Engine!$C$2:$C$1960,0)),"",INDEX('Compliance Database'!$M$2:$M$1960,MATCH(206,Engine!$C$2:$C$1960,0)))</f>
        <v/>
      </c>
      <c r="N219" s="9">
        <f>IF(ISNA(MATCH(206,Engine!$C$2:$C$1960,0)),"",INDEX('Compliance Database'!$N$2:$N$1960,MATCH(206,Engine!$C$2:$C$1960,0)))</f>
        <v/>
      </c>
      <c r="O219" s="9">
        <f>IF(ISNA(MATCH(206,Engine!$C$2:$C$1960,0)),"",INDEX('Compliance Database'!$O$2:$O$1960,MATCH(206,Engine!$C$2:$C$1960,0)))</f>
        <v/>
      </c>
      <c r="P219" s="8">
        <f>IF(ISNA(MATCH(206,Engine!$C$2:$C$1960,0)),"",HYPERLINK("#Acts!A"&amp;INDEX('Compliance Database'!$P$2:$P$1960,MATCH(206,Engine!$C$2:$C$1960,0)),"Go to Act"))</f>
        <v/>
      </c>
    </row>
    <row r="220" ht="158" customHeight="1">
      <c r="A220" s="8">
        <f>IF(ISNA(MATCH(207,Engine!$C$2:$C$1960,0)),"",INDEX('Compliance Database'!$A$2:$A$1960,MATCH(207,Engine!$C$2:$C$1960,0)))</f>
        <v/>
      </c>
      <c r="B220" s="8">
        <f>IF(ISNA(MATCH(207,Engine!$C$2:$C$1960,0)),"",INDEX('Compliance Database'!$B$2:$B$1960,MATCH(207,Engine!$C$2:$C$1960,0)))</f>
        <v/>
      </c>
      <c r="C220" s="8">
        <f>IF(ISNA(MATCH(207,Engine!$C$2:$C$1960,0)),"",INDEX('Compliance Database'!$C$2:$C$1960,MATCH(207,Engine!$C$2:$C$1960,0)))</f>
        <v/>
      </c>
      <c r="D220" s="9">
        <f>IF(ISNA(MATCH(207,Engine!$C$2:$C$1960,0)),"",INDEX('Compliance Database'!$D$2:$D$1960,MATCH(207,Engine!$C$2:$C$1960,0)))</f>
        <v/>
      </c>
      <c r="E220" s="8">
        <f>IF(ISNA(MATCH(207,Engine!$C$2:$C$1960,0)),"",INDEX('Compliance Database'!$E$2:$E$1960,MATCH(207,Engine!$C$2:$C$1960,0)))</f>
        <v/>
      </c>
      <c r="F220" s="8">
        <f>IF(ISNA(MATCH(207,Engine!$C$2:$C$1960,0)),"",INDEX('Compliance Database'!$F$2:$F$1960,MATCH(207,Engine!$C$2:$C$1960,0)))</f>
        <v/>
      </c>
      <c r="G220" s="8">
        <f>IF(ISNA(MATCH(207,Engine!$C$2:$C$1960,0)),"",INDEX('Compliance Database'!$G$2:$G$1960,MATCH(207,Engine!$C$2:$C$1960,0)))</f>
        <v/>
      </c>
      <c r="H220" s="9">
        <f>IF(ISNA(MATCH(207,Engine!$C$2:$C$1960,0)),"",INDEX('Compliance Database'!$H$2:$H$1960,MATCH(207,Engine!$C$2:$C$1960,0)))</f>
        <v/>
      </c>
      <c r="I220" s="9">
        <f>IF(ISNA(MATCH(207,Engine!$C$2:$C$1960,0)),"",INDEX('Compliance Database'!$I$2:$I$1960,MATCH(207,Engine!$C$2:$C$1960,0)))</f>
        <v/>
      </c>
      <c r="J220" s="8">
        <f>IF(ISNA(MATCH(207,Engine!$C$2:$C$1960,0)),"",INDEX('Compliance Database'!$J$2:$J$1960,MATCH(207,Engine!$C$2:$C$1960,0)))</f>
        <v/>
      </c>
      <c r="K220" s="9">
        <f>IF(ISNA(MATCH(207,Engine!$C$2:$C$1960,0)),"",INDEX('Compliance Database'!$K$2:$K$1960,MATCH(207,Engine!$C$2:$C$1960,0)))</f>
        <v/>
      </c>
      <c r="L220" s="9">
        <f>IF(ISNA(MATCH(207,Engine!$C$2:$C$1960,0)),"",INDEX('Compliance Database'!$L$2:$L$1960,MATCH(207,Engine!$C$2:$C$1960,0)))</f>
        <v/>
      </c>
      <c r="M220" s="9">
        <f>IF(ISNA(MATCH(207,Engine!$C$2:$C$1960,0)),"",INDEX('Compliance Database'!$M$2:$M$1960,MATCH(207,Engine!$C$2:$C$1960,0)))</f>
        <v/>
      </c>
      <c r="N220" s="9">
        <f>IF(ISNA(MATCH(207,Engine!$C$2:$C$1960,0)),"",INDEX('Compliance Database'!$N$2:$N$1960,MATCH(207,Engine!$C$2:$C$1960,0)))</f>
        <v/>
      </c>
      <c r="O220" s="9">
        <f>IF(ISNA(MATCH(207,Engine!$C$2:$C$1960,0)),"",INDEX('Compliance Database'!$O$2:$O$1960,MATCH(207,Engine!$C$2:$C$1960,0)))</f>
        <v/>
      </c>
      <c r="P220" s="8">
        <f>IF(ISNA(MATCH(207,Engine!$C$2:$C$1960,0)),"",HYPERLINK("#Acts!A"&amp;INDEX('Compliance Database'!$P$2:$P$1960,MATCH(207,Engine!$C$2:$C$1960,0)),"Go to Act"))</f>
        <v/>
      </c>
    </row>
    <row r="221" ht="158" customHeight="1">
      <c r="A221" s="8">
        <f>IF(ISNA(MATCH(208,Engine!$C$2:$C$1960,0)),"",INDEX('Compliance Database'!$A$2:$A$1960,MATCH(208,Engine!$C$2:$C$1960,0)))</f>
        <v/>
      </c>
      <c r="B221" s="8">
        <f>IF(ISNA(MATCH(208,Engine!$C$2:$C$1960,0)),"",INDEX('Compliance Database'!$B$2:$B$1960,MATCH(208,Engine!$C$2:$C$1960,0)))</f>
        <v/>
      </c>
      <c r="C221" s="8">
        <f>IF(ISNA(MATCH(208,Engine!$C$2:$C$1960,0)),"",INDEX('Compliance Database'!$C$2:$C$1960,MATCH(208,Engine!$C$2:$C$1960,0)))</f>
        <v/>
      </c>
      <c r="D221" s="9">
        <f>IF(ISNA(MATCH(208,Engine!$C$2:$C$1960,0)),"",INDEX('Compliance Database'!$D$2:$D$1960,MATCH(208,Engine!$C$2:$C$1960,0)))</f>
        <v/>
      </c>
      <c r="E221" s="8">
        <f>IF(ISNA(MATCH(208,Engine!$C$2:$C$1960,0)),"",INDEX('Compliance Database'!$E$2:$E$1960,MATCH(208,Engine!$C$2:$C$1960,0)))</f>
        <v/>
      </c>
      <c r="F221" s="8">
        <f>IF(ISNA(MATCH(208,Engine!$C$2:$C$1960,0)),"",INDEX('Compliance Database'!$F$2:$F$1960,MATCH(208,Engine!$C$2:$C$1960,0)))</f>
        <v/>
      </c>
      <c r="G221" s="8">
        <f>IF(ISNA(MATCH(208,Engine!$C$2:$C$1960,0)),"",INDEX('Compliance Database'!$G$2:$G$1960,MATCH(208,Engine!$C$2:$C$1960,0)))</f>
        <v/>
      </c>
      <c r="H221" s="9">
        <f>IF(ISNA(MATCH(208,Engine!$C$2:$C$1960,0)),"",INDEX('Compliance Database'!$H$2:$H$1960,MATCH(208,Engine!$C$2:$C$1960,0)))</f>
        <v/>
      </c>
      <c r="I221" s="9">
        <f>IF(ISNA(MATCH(208,Engine!$C$2:$C$1960,0)),"",INDEX('Compliance Database'!$I$2:$I$1960,MATCH(208,Engine!$C$2:$C$1960,0)))</f>
        <v/>
      </c>
      <c r="J221" s="8">
        <f>IF(ISNA(MATCH(208,Engine!$C$2:$C$1960,0)),"",INDEX('Compliance Database'!$J$2:$J$1960,MATCH(208,Engine!$C$2:$C$1960,0)))</f>
        <v/>
      </c>
      <c r="K221" s="9">
        <f>IF(ISNA(MATCH(208,Engine!$C$2:$C$1960,0)),"",INDEX('Compliance Database'!$K$2:$K$1960,MATCH(208,Engine!$C$2:$C$1960,0)))</f>
        <v/>
      </c>
      <c r="L221" s="9">
        <f>IF(ISNA(MATCH(208,Engine!$C$2:$C$1960,0)),"",INDEX('Compliance Database'!$L$2:$L$1960,MATCH(208,Engine!$C$2:$C$1960,0)))</f>
        <v/>
      </c>
      <c r="M221" s="9">
        <f>IF(ISNA(MATCH(208,Engine!$C$2:$C$1960,0)),"",INDEX('Compliance Database'!$M$2:$M$1960,MATCH(208,Engine!$C$2:$C$1960,0)))</f>
        <v/>
      </c>
      <c r="N221" s="9">
        <f>IF(ISNA(MATCH(208,Engine!$C$2:$C$1960,0)),"",INDEX('Compliance Database'!$N$2:$N$1960,MATCH(208,Engine!$C$2:$C$1960,0)))</f>
        <v/>
      </c>
      <c r="O221" s="9">
        <f>IF(ISNA(MATCH(208,Engine!$C$2:$C$1960,0)),"",INDEX('Compliance Database'!$O$2:$O$1960,MATCH(208,Engine!$C$2:$C$1960,0)))</f>
        <v/>
      </c>
      <c r="P221" s="8">
        <f>IF(ISNA(MATCH(208,Engine!$C$2:$C$1960,0)),"",HYPERLINK("#Acts!A"&amp;INDEX('Compliance Database'!$P$2:$P$1960,MATCH(208,Engine!$C$2:$C$1960,0)),"Go to Act"))</f>
        <v/>
      </c>
    </row>
    <row r="222" ht="158" customHeight="1">
      <c r="A222" s="8">
        <f>IF(ISNA(MATCH(209,Engine!$C$2:$C$1960,0)),"",INDEX('Compliance Database'!$A$2:$A$1960,MATCH(209,Engine!$C$2:$C$1960,0)))</f>
        <v/>
      </c>
      <c r="B222" s="8">
        <f>IF(ISNA(MATCH(209,Engine!$C$2:$C$1960,0)),"",INDEX('Compliance Database'!$B$2:$B$1960,MATCH(209,Engine!$C$2:$C$1960,0)))</f>
        <v/>
      </c>
      <c r="C222" s="8">
        <f>IF(ISNA(MATCH(209,Engine!$C$2:$C$1960,0)),"",INDEX('Compliance Database'!$C$2:$C$1960,MATCH(209,Engine!$C$2:$C$1960,0)))</f>
        <v/>
      </c>
      <c r="D222" s="9">
        <f>IF(ISNA(MATCH(209,Engine!$C$2:$C$1960,0)),"",INDEX('Compliance Database'!$D$2:$D$1960,MATCH(209,Engine!$C$2:$C$1960,0)))</f>
        <v/>
      </c>
      <c r="E222" s="8">
        <f>IF(ISNA(MATCH(209,Engine!$C$2:$C$1960,0)),"",INDEX('Compliance Database'!$E$2:$E$1960,MATCH(209,Engine!$C$2:$C$1960,0)))</f>
        <v/>
      </c>
      <c r="F222" s="8">
        <f>IF(ISNA(MATCH(209,Engine!$C$2:$C$1960,0)),"",INDEX('Compliance Database'!$F$2:$F$1960,MATCH(209,Engine!$C$2:$C$1960,0)))</f>
        <v/>
      </c>
      <c r="G222" s="8">
        <f>IF(ISNA(MATCH(209,Engine!$C$2:$C$1960,0)),"",INDEX('Compliance Database'!$G$2:$G$1960,MATCH(209,Engine!$C$2:$C$1960,0)))</f>
        <v/>
      </c>
      <c r="H222" s="9">
        <f>IF(ISNA(MATCH(209,Engine!$C$2:$C$1960,0)),"",INDEX('Compliance Database'!$H$2:$H$1960,MATCH(209,Engine!$C$2:$C$1960,0)))</f>
        <v/>
      </c>
      <c r="I222" s="9">
        <f>IF(ISNA(MATCH(209,Engine!$C$2:$C$1960,0)),"",INDEX('Compliance Database'!$I$2:$I$1960,MATCH(209,Engine!$C$2:$C$1960,0)))</f>
        <v/>
      </c>
      <c r="J222" s="8">
        <f>IF(ISNA(MATCH(209,Engine!$C$2:$C$1960,0)),"",INDEX('Compliance Database'!$J$2:$J$1960,MATCH(209,Engine!$C$2:$C$1960,0)))</f>
        <v/>
      </c>
      <c r="K222" s="9">
        <f>IF(ISNA(MATCH(209,Engine!$C$2:$C$1960,0)),"",INDEX('Compliance Database'!$K$2:$K$1960,MATCH(209,Engine!$C$2:$C$1960,0)))</f>
        <v/>
      </c>
      <c r="L222" s="9">
        <f>IF(ISNA(MATCH(209,Engine!$C$2:$C$1960,0)),"",INDEX('Compliance Database'!$L$2:$L$1960,MATCH(209,Engine!$C$2:$C$1960,0)))</f>
        <v/>
      </c>
      <c r="M222" s="9">
        <f>IF(ISNA(MATCH(209,Engine!$C$2:$C$1960,0)),"",INDEX('Compliance Database'!$M$2:$M$1960,MATCH(209,Engine!$C$2:$C$1960,0)))</f>
        <v/>
      </c>
      <c r="N222" s="9">
        <f>IF(ISNA(MATCH(209,Engine!$C$2:$C$1960,0)),"",INDEX('Compliance Database'!$N$2:$N$1960,MATCH(209,Engine!$C$2:$C$1960,0)))</f>
        <v/>
      </c>
      <c r="O222" s="9">
        <f>IF(ISNA(MATCH(209,Engine!$C$2:$C$1960,0)),"",INDEX('Compliance Database'!$O$2:$O$1960,MATCH(209,Engine!$C$2:$C$1960,0)))</f>
        <v/>
      </c>
      <c r="P222" s="8">
        <f>IF(ISNA(MATCH(209,Engine!$C$2:$C$1960,0)),"",HYPERLINK("#Acts!A"&amp;INDEX('Compliance Database'!$P$2:$P$1960,MATCH(209,Engine!$C$2:$C$1960,0)),"Go to Act"))</f>
        <v/>
      </c>
    </row>
    <row r="223" ht="158" customHeight="1">
      <c r="A223" s="8">
        <f>IF(ISNA(MATCH(210,Engine!$C$2:$C$1960,0)),"",INDEX('Compliance Database'!$A$2:$A$1960,MATCH(210,Engine!$C$2:$C$1960,0)))</f>
        <v/>
      </c>
      <c r="B223" s="8">
        <f>IF(ISNA(MATCH(210,Engine!$C$2:$C$1960,0)),"",INDEX('Compliance Database'!$B$2:$B$1960,MATCH(210,Engine!$C$2:$C$1960,0)))</f>
        <v/>
      </c>
      <c r="C223" s="8">
        <f>IF(ISNA(MATCH(210,Engine!$C$2:$C$1960,0)),"",INDEX('Compliance Database'!$C$2:$C$1960,MATCH(210,Engine!$C$2:$C$1960,0)))</f>
        <v/>
      </c>
      <c r="D223" s="9">
        <f>IF(ISNA(MATCH(210,Engine!$C$2:$C$1960,0)),"",INDEX('Compliance Database'!$D$2:$D$1960,MATCH(210,Engine!$C$2:$C$1960,0)))</f>
        <v/>
      </c>
      <c r="E223" s="8">
        <f>IF(ISNA(MATCH(210,Engine!$C$2:$C$1960,0)),"",INDEX('Compliance Database'!$E$2:$E$1960,MATCH(210,Engine!$C$2:$C$1960,0)))</f>
        <v/>
      </c>
      <c r="F223" s="8">
        <f>IF(ISNA(MATCH(210,Engine!$C$2:$C$1960,0)),"",INDEX('Compliance Database'!$F$2:$F$1960,MATCH(210,Engine!$C$2:$C$1960,0)))</f>
        <v/>
      </c>
      <c r="G223" s="8">
        <f>IF(ISNA(MATCH(210,Engine!$C$2:$C$1960,0)),"",INDEX('Compliance Database'!$G$2:$G$1960,MATCH(210,Engine!$C$2:$C$1960,0)))</f>
        <v/>
      </c>
      <c r="H223" s="9">
        <f>IF(ISNA(MATCH(210,Engine!$C$2:$C$1960,0)),"",INDEX('Compliance Database'!$H$2:$H$1960,MATCH(210,Engine!$C$2:$C$1960,0)))</f>
        <v/>
      </c>
      <c r="I223" s="9">
        <f>IF(ISNA(MATCH(210,Engine!$C$2:$C$1960,0)),"",INDEX('Compliance Database'!$I$2:$I$1960,MATCH(210,Engine!$C$2:$C$1960,0)))</f>
        <v/>
      </c>
      <c r="J223" s="8">
        <f>IF(ISNA(MATCH(210,Engine!$C$2:$C$1960,0)),"",INDEX('Compliance Database'!$J$2:$J$1960,MATCH(210,Engine!$C$2:$C$1960,0)))</f>
        <v/>
      </c>
      <c r="K223" s="9">
        <f>IF(ISNA(MATCH(210,Engine!$C$2:$C$1960,0)),"",INDEX('Compliance Database'!$K$2:$K$1960,MATCH(210,Engine!$C$2:$C$1960,0)))</f>
        <v/>
      </c>
      <c r="L223" s="9">
        <f>IF(ISNA(MATCH(210,Engine!$C$2:$C$1960,0)),"",INDEX('Compliance Database'!$L$2:$L$1960,MATCH(210,Engine!$C$2:$C$1960,0)))</f>
        <v/>
      </c>
      <c r="M223" s="9">
        <f>IF(ISNA(MATCH(210,Engine!$C$2:$C$1960,0)),"",INDEX('Compliance Database'!$M$2:$M$1960,MATCH(210,Engine!$C$2:$C$1960,0)))</f>
        <v/>
      </c>
      <c r="N223" s="9">
        <f>IF(ISNA(MATCH(210,Engine!$C$2:$C$1960,0)),"",INDEX('Compliance Database'!$N$2:$N$1960,MATCH(210,Engine!$C$2:$C$1960,0)))</f>
        <v/>
      </c>
      <c r="O223" s="9">
        <f>IF(ISNA(MATCH(210,Engine!$C$2:$C$1960,0)),"",INDEX('Compliance Database'!$O$2:$O$1960,MATCH(210,Engine!$C$2:$C$1960,0)))</f>
        <v/>
      </c>
      <c r="P223" s="8">
        <f>IF(ISNA(MATCH(210,Engine!$C$2:$C$1960,0)),"",HYPERLINK("#Acts!A"&amp;INDEX('Compliance Database'!$P$2:$P$1960,MATCH(210,Engine!$C$2:$C$1960,0)),"Go to Act"))</f>
        <v/>
      </c>
    </row>
    <row r="224" ht="158" customHeight="1">
      <c r="A224" s="8">
        <f>IF(ISNA(MATCH(211,Engine!$C$2:$C$1960,0)),"",INDEX('Compliance Database'!$A$2:$A$1960,MATCH(211,Engine!$C$2:$C$1960,0)))</f>
        <v/>
      </c>
      <c r="B224" s="8">
        <f>IF(ISNA(MATCH(211,Engine!$C$2:$C$1960,0)),"",INDEX('Compliance Database'!$B$2:$B$1960,MATCH(211,Engine!$C$2:$C$1960,0)))</f>
        <v/>
      </c>
      <c r="C224" s="8">
        <f>IF(ISNA(MATCH(211,Engine!$C$2:$C$1960,0)),"",INDEX('Compliance Database'!$C$2:$C$1960,MATCH(211,Engine!$C$2:$C$1960,0)))</f>
        <v/>
      </c>
      <c r="D224" s="9">
        <f>IF(ISNA(MATCH(211,Engine!$C$2:$C$1960,0)),"",INDEX('Compliance Database'!$D$2:$D$1960,MATCH(211,Engine!$C$2:$C$1960,0)))</f>
        <v/>
      </c>
      <c r="E224" s="8">
        <f>IF(ISNA(MATCH(211,Engine!$C$2:$C$1960,0)),"",INDEX('Compliance Database'!$E$2:$E$1960,MATCH(211,Engine!$C$2:$C$1960,0)))</f>
        <v/>
      </c>
      <c r="F224" s="8">
        <f>IF(ISNA(MATCH(211,Engine!$C$2:$C$1960,0)),"",INDEX('Compliance Database'!$F$2:$F$1960,MATCH(211,Engine!$C$2:$C$1960,0)))</f>
        <v/>
      </c>
      <c r="G224" s="8">
        <f>IF(ISNA(MATCH(211,Engine!$C$2:$C$1960,0)),"",INDEX('Compliance Database'!$G$2:$G$1960,MATCH(211,Engine!$C$2:$C$1960,0)))</f>
        <v/>
      </c>
      <c r="H224" s="9">
        <f>IF(ISNA(MATCH(211,Engine!$C$2:$C$1960,0)),"",INDEX('Compliance Database'!$H$2:$H$1960,MATCH(211,Engine!$C$2:$C$1960,0)))</f>
        <v/>
      </c>
      <c r="I224" s="9">
        <f>IF(ISNA(MATCH(211,Engine!$C$2:$C$1960,0)),"",INDEX('Compliance Database'!$I$2:$I$1960,MATCH(211,Engine!$C$2:$C$1960,0)))</f>
        <v/>
      </c>
      <c r="J224" s="8">
        <f>IF(ISNA(MATCH(211,Engine!$C$2:$C$1960,0)),"",INDEX('Compliance Database'!$J$2:$J$1960,MATCH(211,Engine!$C$2:$C$1960,0)))</f>
        <v/>
      </c>
      <c r="K224" s="9">
        <f>IF(ISNA(MATCH(211,Engine!$C$2:$C$1960,0)),"",INDEX('Compliance Database'!$K$2:$K$1960,MATCH(211,Engine!$C$2:$C$1960,0)))</f>
        <v/>
      </c>
      <c r="L224" s="9">
        <f>IF(ISNA(MATCH(211,Engine!$C$2:$C$1960,0)),"",INDEX('Compliance Database'!$L$2:$L$1960,MATCH(211,Engine!$C$2:$C$1960,0)))</f>
        <v/>
      </c>
      <c r="M224" s="9">
        <f>IF(ISNA(MATCH(211,Engine!$C$2:$C$1960,0)),"",INDEX('Compliance Database'!$M$2:$M$1960,MATCH(211,Engine!$C$2:$C$1960,0)))</f>
        <v/>
      </c>
      <c r="N224" s="9">
        <f>IF(ISNA(MATCH(211,Engine!$C$2:$C$1960,0)),"",INDEX('Compliance Database'!$N$2:$N$1960,MATCH(211,Engine!$C$2:$C$1960,0)))</f>
        <v/>
      </c>
      <c r="O224" s="9">
        <f>IF(ISNA(MATCH(211,Engine!$C$2:$C$1960,0)),"",INDEX('Compliance Database'!$O$2:$O$1960,MATCH(211,Engine!$C$2:$C$1960,0)))</f>
        <v/>
      </c>
      <c r="P224" s="8">
        <f>IF(ISNA(MATCH(211,Engine!$C$2:$C$1960,0)),"",HYPERLINK("#Acts!A"&amp;INDEX('Compliance Database'!$P$2:$P$1960,MATCH(211,Engine!$C$2:$C$1960,0)),"Go to Act"))</f>
        <v/>
      </c>
    </row>
    <row r="225" ht="158" customHeight="1">
      <c r="A225" s="8">
        <f>IF(ISNA(MATCH(212,Engine!$C$2:$C$1960,0)),"",INDEX('Compliance Database'!$A$2:$A$1960,MATCH(212,Engine!$C$2:$C$1960,0)))</f>
        <v/>
      </c>
      <c r="B225" s="8">
        <f>IF(ISNA(MATCH(212,Engine!$C$2:$C$1960,0)),"",INDEX('Compliance Database'!$B$2:$B$1960,MATCH(212,Engine!$C$2:$C$1960,0)))</f>
        <v/>
      </c>
      <c r="C225" s="8">
        <f>IF(ISNA(MATCH(212,Engine!$C$2:$C$1960,0)),"",INDEX('Compliance Database'!$C$2:$C$1960,MATCH(212,Engine!$C$2:$C$1960,0)))</f>
        <v/>
      </c>
      <c r="D225" s="9">
        <f>IF(ISNA(MATCH(212,Engine!$C$2:$C$1960,0)),"",INDEX('Compliance Database'!$D$2:$D$1960,MATCH(212,Engine!$C$2:$C$1960,0)))</f>
        <v/>
      </c>
      <c r="E225" s="8">
        <f>IF(ISNA(MATCH(212,Engine!$C$2:$C$1960,0)),"",INDEX('Compliance Database'!$E$2:$E$1960,MATCH(212,Engine!$C$2:$C$1960,0)))</f>
        <v/>
      </c>
      <c r="F225" s="8">
        <f>IF(ISNA(MATCH(212,Engine!$C$2:$C$1960,0)),"",INDEX('Compliance Database'!$F$2:$F$1960,MATCH(212,Engine!$C$2:$C$1960,0)))</f>
        <v/>
      </c>
      <c r="G225" s="8">
        <f>IF(ISNA(MATCH(212,Engine!$C$2:$C$1960,0)),"",INDEX('Compliance Database'!$G$2:$G$1960,MATCH(212,Engine!$C$2:$C$1960,0)))</f>
        <v/>
      </c>
      <c r="H225" s="9">
        <f>IF(ISNA(MATCH(212,Engine!$C$2:$C$1960,0)),"",INDEX('Compliance Database'!$H$2:$H$1960,MATCH(212,Engine!$C$2:$C$1960,0)))</f>
        <v/>
      </c>
      <c r="I225" s="9">
        <f>IF(ISNA(MATCH(212,Engine!$C$2:$C$1960,0)),"",INDEX('Compliance Database'!$I$2:$I$1960,MATCH(212,Engine!$C$2:$C$1960,0)))</f>
        <v/>
      </c>
      <c r="J225" s="8">
        <f>IF(ISNA(MATCH(212,Engine!$C$2:$C$1960,0)),"",INDEX('Compliance Database'!$J$2:$J$1960,MATCH(212,Engine!$C$2:$C$1960,0)))</f>
        <v/>
      </c>
      <c r="K225" s="9">
        <f>IF(ISNA(MATCH(212,Engine!$C$2:$C$1960,0)),"",INDEX('Compliance Database'!$K$2:$K$1960,MATCH(212,Engine!$C$2:$C$1960,0)))</f>
        <v/>
      </c>
      <c r="L225" s="9">
        <f>IF(ISNA(MATCH(212,Engine!$C$2:$C$1960,0)),"",INDEX('Compliance Database'!$L$2:$L$1960,MATCH(212,Engine!$C$2:$C$1960,0)))</f>
        <v/>
      </c>
      <c r="M225" s="9">
        <f>IF(ISNA(MATCH(212,Engine!$C$2:$C$1960,0)),"",INDEX('Compliance Database'!$M$2:$M$1960,MATCH(212,Engine!$C$2:$C$1960,0)))</f>
        <v/>
      </c>
      <c r="N225" s="9">
        <f>IF(ISNA(MATCH(212,Engine!$C$2:$C$1960,0)),"",INDEX('Compliance Database'!$N$2:$N$1960,MATCH(212,Engine!$C$2:$C$1960,0)))</f>
        <v/>
      </c>
      <c r="O225" s="9">
        <f>IF(ISNA(MATCH(212,Engine!$C$2:$C$1960,0)),"",INDEX('Compliance Database'!$O$2:$O$1960,MATCH(212,Engine!$C$2:$C$1960,0)))</f>
        <v/>
      </c>
      <c r="P225" s="8">
        <f>IF(ISNA(MATCH(212,Engine!$C$2:$C$1960,0)),"",HYPERLINK("#Acts!A"&amp;INDEX('Compliance Database'!$P$2:$P$1960,MATCH(212,Engine!$C$2:$C$1960,0)),"Go to Act"))</f>
        <v/>
      </c>
    </row>
    <row r="226" ht="158" customHeight="1">
      <c r="A226" s="8">
        <f>IF(ISNA(MATCH(213,Engine!$C$2:$C$1960,0)),"",INDEX('Compliance Database'!$A$2:$A$1960,MATCH(213,Engine!$C$2:$C$1960,0)))</f>
        <v/>
      </c>
      <c r="B226" s="8">
        <f>IF(ISNA(MATCH(213,Engine!$C$2:$C$1960,0)),"",INDEX('Compliance Database'!$B$2:$B$1960,MATCH(213,Engine!$C$2:$C$1960,0)))</f>
        <v/>
      </c>
      <c r="C226" s="8">
        <f>IF(ISNA(MATCH(213,Engine!$C$2:$C$1960,0)),"",INDEX('Compliance Database'!$C$2:$C$1960,MATCH(213,Engine!$C$2:$C$1960,0)))</f>
        <v/>
      </c>
      <c r="D226" s="9">
        <f>IF(ISNA(MATCH(213,Engine!$C$2:$C$1960,0)),"",INDEX('Compliance Database'!$D$2:$D$1960,MATCH(213,Engine!$C$2:$C$1960,0)))</f>
        <v/>
      </c>
      <c r="E226" s="8">
        <f>IF(ISNA(MATCH(213,Engine!$C$2:$C$1960,0)),"",INDEX('Compliance Database'!$E$2:$E$1960,MATCH(213,Engine!$C$2:$C$1960,0)))</f>
        <v/>
      </c>
      <c r="F226" s="8">
        <f>IF(ISNA(MATCH(213,Engine!$C$2:$C$1960,0)),"",INDEX('Compliance Database'!$F$2:$F$1960,MATCH(213,Engine!$C$2:$C$1960,0)))</f>
        <v/>
      </c>
      <c r="G226" s="8">
        <f>IF(ISNA(MATCH(213,Engine!$C$2:$C$1960,0)),"",INDEX('Compliance Database'!$G$2:$G$1960,MATCH(213,Engine!$C$2:$C$1960,0)))</f>
        <v/>
      </c>
      <c r="H226" s="9">
        <f>IF(ISNA(MATCH(213,Engine!$C$2:$C$1960,0)),"",INDEX('Compliance Database'!$H$2:$H$1960,MATCH(213,Engine!$C$2:$C$1960,0)))</f>
        <v/>
      </c>
      <c r="I226" s="9">
        <f>IF(ISNA(MATCH(213,Engine!$C$2:$C$1960,0)),"",INDEX('Compliance Database'!$I$2:$I$1960,MATCH(213,Engine!$C$2:$C$1960,0)))</f>
        <v/>
      </c>
      <c r="J226" s="8">
        <f>IF(ISNA(MATCH(213,Engine!$C$2:$C$1960,0)),"",INDEX('Compliance Database'!$J$2:$J$1960,MATCH(213,Engine!$C$2:$C$1960,0)))</f>
        <v/>
      </c>
      <c r="K226" s="9">
        <f>IF(ISNA(MATCH(213,Engine!$C$2:$C$1960,0)),"",INDEX('Compliance Database'!$K$2:$K$1960,MATCH(213,Engine!$C$2:$C$1960,0)))</f>
        <v/>
      </c>
      <c r="L226" s="9">
        <f>IF(ISNA(MATCH(213,Engine!$C$2:$C$1960,0)),"",INDEX('Compliance Database'!$L$2:$L$1960,MATCH(213,Engine!$C$2:$C$1960,0)))</f>
        <v/>
      </c>
      <c r="M226" s="9">
        <f>IF(ISNA(MATCH(213,Engine!$C$2:$C$1960,0)),"",INDEX('Compliance Database'!$M$2:$M$1960,MATCH(213,Engine!$C$2:$C$1960,0)))</f>
        <v/>
      </c>
      <c r="N226" s="9">
        <f>IF(ISNA(MATCH(213,Engine!$C$2:$C$1960,0)),"",INDEX('Compliance Database'!$N$2:$N$1960,MATCH(213,Engine!$C$2:$C$1960,0)))</f>
        <v/>
      </c>
      <c r="O226" s="9">
        <f>IF(ISNA(MATCH(213,Engine!$C$2:$C$1960,0)),"",INDEX('Compliance Database'!$O$2:$O$1960,MATCH(213,Engine!$C$2:$C$1960,0)))</f>
        <v/>
      </c>
      <c r="P226" s="8">
        <f>IF(ISNA(MATCH(213,Engine!$C$2:$C$1960,0)),"",HYPERLINK("#Acts!A"&amp;INDEX('Compliance Database'!$P$2:$P$1960,MATCH(213,Engine!$C$2:$C$1960,0)),"Go to Act"))</f>
        <v/>
      </c>
    </row>
    <row r="227" ht="158" customHeight="1">
      <c r="A227" s="8">
        <f>IF(ISNA(MATCH(214,Engine!$C$2:$C$1960,0)),"",INDEX('Compliance Database'!$A$2:$A$1960,MATCH(214,Engine!$C$2:$C$1960,0)))</f>
        <v/>
      </c>
      <c r="B227" s="8">
        <f>IF(ISNA(MATCH(214,Engine!$C$2:$C$1960,0)),"",INDEX('Compliance Database'!$B$2:$B$1960,MATCH(214,Engine!$C$2:$C$1960,0)))</f>
        <v/>
      </c>
      <c r="C227" s="8">
        <f>IF(ISNA(MATCH(214,Engine!$C$2:$C$1960,0)),"",INDEX('Compliance Database'!$C$2:$C$1960,MATCH(214,Engine!$C$2:$C$1960,0)))</f>
        <v/>
      </c>
      <c r="D227" s="9">
        <f>IF(ISNA(MATCH(214,Engine!$C$2:$C$1960,0)),"",INDEX('Compliance Database'!$D$2:$D$1960,MATCH(214,Engine!$C$2:$C$1960,0)))</f>
        <v/>
      </c>
      <c r="E227" s="8">
        <f>IF(ISNA(MATCH(214,Engine!$C$2:$C$1960,0)),"",INDEX('Compliance Database'!$E$2:$E$1960,MATCH(214,Engine!$C$2:$C$1960,0)))</f>
        <v/>
      </c>
      <c r="F227" s="8">
        <f>IF(ISNA(MATCH(214,Engine!$C$2:$C$1960,0)),"",INDEX('Compliance Database'!$F$2:$F$1960,MATCH(214,Engine!$C$2:$C$1960,0)))</f>
        <v/>
      </c>
      <c r="G227" s="8">
        <f>IF(ISNA(MATCH(214,Engine!$C$2:$C$1960,0)),"",INDEX('Compliance Database'!$G$2:$G$1960,MATCH(214,Engine!$C$2:$C$1960,0)))</f>
        <v/>
      </c>
      <c r="H227" s="9">
        <f>IF(ISNA(MATCH(214,Engine!$C$2:$C$1960,0)),"",INDEX('Compliance Database'!$H$2:$H$1960,MATCH(214,Engine!$C$2:$C$1960,0)))</f>
        <v/>
      </c>
      <c r="I227" s="9">
        <f>IF(ISNA(MATCH(214,Engine!$C$2:$C$1960,0)),"",INDEX('Compliance Database'!$I$2:$I$1960,MATCH(214,Engine!$C$2:$C$1960,0)))</f>
        <v/>
      </c>
      <c r="J227" s="8">
        <f>IF(ISNA(MATCH(214,Engine!$C$2:$C$1960,0)),"",INDEX('Compliance Database'!$J$2:$J$1960,MATCH(214,Engine!$C$2:$C$1960,0)))</f>
        <v/>
      </c>
      <c r="K227" s="9">
        <f>IF(ISNA(MATCH(214,Engine!$C$2:$C$1960,0)),"",INDEX('Compliance Database'!$K$2:$K$1960,MATCH(214,Engine!$C$2:$C$1960,0)))</f>
        <v/>
      </c>
      <c r="L227" s="9">
        <f>IF(ISNA(MATCH(214,Engine!$C$2:$C$1960,0)),"",INDEX('Compliance Database'!$L$2:$L$1960,MATCH(214,Engine!$C$2:$C$1960,0)))</f>
        <v/>
      </c>
      <c r="M227" s="9">
        <f>IF(ISNA(MATCH(214,Engine!$C$2:$C$1960,0)),"",INDEX('Compliance Database'!$M$2:$M$1960,MATCH(214,Engine!$C$2:$C$1960,0)))</f>
        <v/>
      </c>
      <c r="N227" s="9">
        <f>IF(ISNA(MATCH(214,Engine!$C$2:$C$1960,0)),"",INDEX('Compliance Database'!$N$2:$N$1960,MATCH(214,Engine!$C$2:$C$1960,0)))</f>
        <v/>
      </c>
      <c r="O227" s="9">
        <f>IF(ISNA(MATCH(214,Engine!$C$2:$C$1960,0)),"",INDEX('Compliance Database'!$O$2:$O$1960,MATCH(214,Engine!$C$2:$C$1960,0)))</f>
        <v/>
      </c>
      <c r="P227" s="8">
        <f>IF(ISNA(MATCH(214,Engine!$C$2:$C$1960,0)),"",HYPERLINK("#Acts!A"&amp;INDEX('Compliance Database'!$P$2:$P$1960,MATCH(214,Engine!$C$2:$C$1960,0)),"Go to Act"))</f>
        <v/>
      </c>
    </row>
    <row r="228" ht="158" customHeight="1">
      <c r="A228" s="8">
        <f>IF(ISNA(MATCH(215,Engine!$C$2:$C$1960,0)),"",INDEX('Compliance Database'!$A$2:$A$1960,MATCH(215,Engine!$C$2:$C$1960,0)))</f>
        <v/>
      </c>
      <c r="B228" s="8">
        <f>IF(ISNA(MATCH(215,Engine!$C$2:$C$1960,0)),"",INDEX('Compliance Database'!$B$2:$B$1960,MATCH(215,Engine!$C$2:$C$1960,0)))</f>
        <v/>
      </c>
      <c r="C228" s="8">
        <f>IF(ISNA(MATCH(215,Engine!$C$2:$C$1960,0)),"",INDEX('Compliance Database'!$C$2:$C$1960,MATCH(215,Engine!$C$2:$C$1960,0)))</f>
        <v/>
      </c>
      <c r="D228" s="9">
        <f>IF(ISNA(MATCH(215,Engine!$C$2:$C$1960,0)),"",INDEX('Compliance Database'!$D$2:$D$1960,MATCH(215,Engine!$C$2:$C$1960,0)))</f>
        <v/>
      </c>
      <c r="E228" s="8">
        <f>IF(ISNA(MATCH(215,Engine!$C$2:$C$1960,0)),"",INDEX('Compliance Database'!$E$2:$E$1960,MATCH(215,Engine!$C$2:$C$1960,0)))</f>
        <v/>
      </c>
      <c r="F228" s="8">
        <f>IF(ISNA(MATCH(215,Engine!$C$2:$C$1960,0)),"",INDEX('Compliance Database'!$F$2:$F$1960,MATCH(215,Engine!$C$2:$C$1960,0)))</f>
        <v/>
      </c>
      <c r="G228" s="8">
        <f>IF(ISNA(MATCH(215,Engine!$C$2:$C$1960,0)),"",INDEX('Compliance Database'!$G$2:$G$1960,MATCH(215,Engine!$C$2:$C$1960,0)))</f>
        <v/>
      </c>
      <c r="H228" s="9">
        <f>IF(ISNA(MATCH(215,Engine!$C$2:$C$1960,0)),"",INDEX('Compliance Database'!$H$2:$H$1960,MATCH(215,Engine!$C$2:$C$1960,0)))</f>
        <v/>
      </c>
      <c r="I228" s="9">
        <f>IF(ISNA(MATCH(215,Engine!$C$2:$C$1960,0)),"",INDEX('Compliance Database'!$I$2:$I$1960,MATCH(215,Engine!$C$2:$C$1960,0)))</f>
        <v/>
      </c>
      <c r="J228" s="8">
        <f>IF(ISNA(MATCH(215,Engine!$C$2:$C$1960,0)),"",INDEX('Compliance Database'!$J$2:$J$1960,MATCH(215,Engine!$C$2:$C$1960,0)))</f>
        <v/>
      </c>
      <c r="K228" s="9">
        <f>IF(ISNA(MATCH(215,Engine!$C$2:$C$1960,0)),"",INDEX('Compliance Database'!$K$2:$K$1960,MATCH(215,Engine!$C$2:$C$1960,0)))</f>
        <v/>
      </c>
      <c r="L228" s="9">
        <f>IF(ISNA(MATCH(215,Engine!$C$2:$C$1960,0)),"",INDEX('Compliance Database'!$L$2:$L$1960,MATCH(215,Engine!$C$2:$C$1960,0)))</f>
        <v/>
      </c>
      <c r="M228" s="9">
        <f>IF(ISNA(MATCH(215,Engine!$C$2:$C$1960,0)),"",INDEX('Compliance Database'!$M$2:$M$1960,MATCH(215,Engine!$C$2:$C$1960,0)))</f>
        <v/>
      </c>
      <c r="N228" s="9">
        <f>IF(ISNA(MATCH(215,Engine!$C$2:$C$1960,0)),"",INDEX('Compliance Database'!$N$2:$N$1960,MATCH(215,Engine!$C$2:$C$1960,0)))</f>
        <v/>
      </c>
      <c r="O228" s="9">
        <f>IF(ISNA(MATCH(215,Engine!$C$2:$C$1960,0)),"",INDEX('Compliance Database'!$O$2:$O$1960,MATCH(215,Engine!$C$2:$C$1960,0)))</f>
        <v/>
      </c>
      <c r="P228" s="8">
        <f>IF(ISNA(MATCH(215,Engine!$C$2:$C$1960,0)),"",HYPERLINK("#Acts!A"&amp;INDEX('Compliance Database'!$P$2:$P$1960,MATCH(215,Engine!$C$2:$C$1960,0)),"Go to Act"))</f>
        <v/>
      </c>
    </row>
    <row r="229" ht="158" customHeight="1">
      <c r="A229" s="8">
        <f>IF(ISNA(MATCH(216,Engine!$C$2:$C$1960,0)),"",INDEX('Compliance Database'!$A$2:$A$1960,MATCH(216,Engine!$C$2:$C$1960,0)))</f>
        <v/>
      </c>
      <c r="B229" s="8">
        <f>IF(ISNA(MATCH(216,Engine!$C$2:$C$1960,0)),"",INDEX('Compliance Database'!$B$2:$B$1960,MATCH(216,Engine!$C$2:$C$1960,0)))</f>
        <v/>
      </c>
      <c r="C229" s="8">
        <f>IF(ISNA(MATCH(216,Engine!$C$2:$C$1960,0)),"",INDEX('Compliance Database'!$C$2:$C$1960,MATCH(216,Engine!$C$2:$C$1960,0)))</f>
        <v/>
      </c>
      <c r="D229" s="9">
        <f>IF(ISNA(MATCH(216,Engine!$C$2:$C$1960,0)),"",INDEX('Compliance Database'!$D$2:$D$1960,MATCH(216,Engine!$C$2:$C$1960,0)))</f>
        <v/>
      </c>
      <c r="E229" s="8">
        <f>IF(ISNA(MATCH(216,Engine!$C$2:$C$1960,0)),"",INDEX('Compliance Database'!$E$2:$E$1960,MATCH(216,Engine!$C$2:$C$1960,0)))</f>
        <v/>
      </c>
      <c r="F229" s="8">
        <f>IF(ISNA(MATCH(216,Engine!$C$2:$C$1960,0)),"",INDEX('Compliance Database'!$F$2:$F$1960,MATCH(216,Engine!$C$2:$C$1960,0)))</f>
        <v/>
      </c>
      <c r="G229" s="8">
        <f>IF(ISNA(MATCH(216,Engine!$C$2:$C$1960,0)),"",INDEX('Compliance Database'!$G$2:$G$1960,MATCH(216,Engine!$C$2:$C$1960,0)))</f>
        <v/>
      </c>
      <c r="H229" s="9">
        <f>IF(ISNA(MATCH(216,Engine!$C$2:$C$1960,0)),"",INDEX('Compliance Database'!$H$2:$H$1960,MATCH(216,Engine!$C$2:$C$1960,0)))</f>
        <v/>
      </c>
      <c r="I229" s="9">
        <f>IF(ISNA(MATCH(216,Engine!$C$2:$C$1960,0)),"",INDEX('Compliance Database'!$I$2:$I$1960,MATCH(216,Engine!$C$2:$C$1960,0)))</f>
        <v/>
      </c>
      <c r="J229" s="8">
        <f>IF(ISNA(MATCH(216,Engine!$C$2:$C$1960,0)),"",INDEX('Compliance Database'!$J$2:$J$1960,MATCH(216,Engine!$C$2:$C$1960,0)))</f>
        <v/>
      </c>
      <c r="K229" s="9">
        <f>IF(ISNA(MATCH(216,Engine!$C$2:$C$1960,0)),"",INDEX('Compliance Database'!$K$2:$K$1960,MATCH(216,Engine!$C$2:$C$1960,0)))</f>
        <v/>
      </c>
      <c r="L229" s="9">
        <f>IF(ISNA(MATCH(216,Engine!$C$2:$C$1960,0)),"",INDEX('Compliance Database'!$L$2:$L$1960,MATCH(216,Engine!$C$2:$C$1960,0)))</f>
        <v/>
      </c>
      <c r="M229" s="9">
        <f>IF(ISNA(MATCH(216,Engine!$C$2:$C$1960,0)),"",INDEX('Compliance Database'!$M$2:$M$1960,MATCH(216,Engine!$C$2:$C$1960,0)))</f>
        <v/>
      </c>
      <c r="N229" s="9">
        <f>IF(ISNA(MATCH(216,Engine!$C$2:$C$1960,0)),"",INDEX('Compliance Database'!$N$2:$N$1960,MATCH(216,Engine!$C$2:$C$1960,0)))</f>
        <v/>
      </c>
      <c r="O229" s="9">
        <f>IF(ISNA(MATCH(216,Engine!$C$2:$C$1960,0)),"",INDEX('Compliance Database'!$O$2:$O$1960,MATCH(216,Engine!$C$2:$C$1960,0)))</f>
        <v/>
      </c>
      <c r="P229" s="8">
        <f>IF(ISNA(MATCH(216,Engine!$C$2:$C$1960,0)),"",HYPERLINK("#Acts!A"&amp;INDEX('Compliance Database'!$P$2:$P$1960,MATCH(216,Engine!$C$2:$C$1960,0)),"Go to Act"))</f>
        <v/>
      </c>
    </row>
    <row r="230" ht="158" customHeight="1">
      <c r="A230" s="8">
        <f>IF(ISNA(MATCH(217,Engine!$C$2:$C$1960,0)),"",INDEX('Compliance Database'!$A$2:$A$1960,MATCH(217,Engine!$C$2:$C$1960,0)))</f>
        <v/>
      </c>
      <c r="B230" s="8">
        <f>IF(ISNA(MATCH(217,Engine!$C$2:$C$1960,0)),"",INDEX('Compliance Database'!$B$2:$B$1960,MATCH(217,Engine!$C$2:$C$1960,0)))</f>
        <v/>
      </c>
      <c r="C230" s="8">
        <f>IF(ISNA(MATCH(217,Engine!$C$2:$C$1960,0)),"",INDEX('Compliance Database'!$C$2:$C$1960,MATCH(217,Engine!$C$2:$C$1960,0)))</f>
        <v/>
      </c>
      <c r="D230" s="9">
        <f>IF(ISNA(MATCH(217,Engine!$C$2:$C$1960,0)),"",INDEX('Compliance Database'!$D$2:$D$1960,MATCH(217,Engine!$C$2:$C$1960,0)))</f>
        <v/>
      </c>
      <c r="E230" s="8">
        <f>IF(ISNA(MATCH(217,Engine!$C$2:$C$1960,0)),"",INDEX('Compliance Database'!$E$2:$E$1960,MATCH(217,Engine!$C$2:$C$1960,0)))</f>
        <v/>
      </c>
      <c r="F230" s="8">
        <f>IF(ISNA(MATCH(217,Engine!$C$2:$C$1960,0)),"",INDEX('Compliance Database'!$F$2:$F$1960,MATCH(217,Engine!$C$2:$C$1960,0)))</f>
        <v/>
      </c>
      <c r="G230" s="8">
        <f>IF(ISNA(MATCH(217,Engine!$C$2:$C$1960,0)),"",INDEX('Compliance Database'!$G$2:$G$1960,MATCH(217,Engine!$C$2:$C$1960,0)))</f>
        <v/>
      </c>
      <c r="H230" s="9">
        <f>IF(ISNA(MATCH(217,Engine!$C$2:$C$1960,0)),"",INDEX('Compliance Database'!$H$2:$H$1960,MATCH(217,Engine!$C$2:$C$1960,0)))</f>
        <v/>
      </c>
      <c r="I230" s="9">
        <f>IF(ISNA(MATCH(217,Engine!$C$2:$C$1960,0)),"",INDEX('Compliance Database'!$I$2:$I$1960,MATCH(217,Engine!$C$2:$C$1960,0)))</f>
        <v/>
      </c>
      <c r="J230" s="8">
        <f>IF(ISNA(MATCH(217,Engine!$C$2:$C$1960,0)),"",INDEX('Compliance Database'!$J$2:$J$1960,MATCH(217,Engine!$C$2:$C$1960,0)))</f>
        <v/>
      </c>
      <c r="K230" s="9">
        <f>IF(ISNA(MATCH(217,Engine!$C$2:$C$1960,0)),"",INDEX('Compliance Database'!$K$2:$K$1960,MATCH(217,Engine!$C$2:$C$1960,0)))</f>
        <v/>
      </c>
      <c r="L230" s="9">
        <f>IF(ISNA(MATCH(217,Engine!$C$2:$C$1960,0)),"",INDEX('Compliance Database'!$L$2:$L$1960,MATCH(217,Engine!$C$2:$C$1960,0)))</f>
        <v/>
      </c>
      <c r="M230" s="9">
        <f>IF(ISNA(MATCH(217,Engine!$C$2:$C$1960,0)),"",INDEX('Compliance Database'!$M$2:$M$1960,MATCH(217,Engine!$C$2:$C$1960,0)))</f>
        <v/>
      </c>
      <c r="N230" s="9">
        <f>IF(ISNA(MATCH(217,Engine!$C$2:$C$1960,0)),"",INDEX('Compliance Database'!$N$2:$N$1960,MATCH(217,Engine!$C$2:$C$1960,0)))</f>
        <v/>
      </c>
      <c r="O230" s="9">
        <f>IF(ISNA(MATCH(217,Engine!$C$2:$C$1960,0)),"",INDEX('Compliance Database'!$O$2:$O$1960,MATCH(217,Engine!$C$2:$C$1960,0)))</f>
        <v/>
      </c>
      <c r="P230" s="8">
        <f>IF(ISNA(MATCH(217,Engine!$C$2:$C$1960,0)),"",HYPERLINK("#Acts!A"&amp;INDEX('Compliance Database'!$P$2:$P$1960,MATCH(217,Engine!$C$2:$C$1960,0)),"Go to Act"))</f>
        <v/>
      </c>
    </row>
    <row r="231" ht="158" customHeight="1">
      <c r="A231" s="8">
        <f>IF(ISNA(MATCH(218,Engine!$C$2:$C$1960,0)),"",INDEX('Compliance Database'!$A$2:$A$1960,MATCH(218,Engine!$C$2:$C$1960,0)))</f>
        <v/>
      </c>
      <c r="B231" s="8">
        <f>IF(ISNA(MATCH(218,Engine!$C$2:$C$1960,0)),"",INDEX('Compliance Database'!$B$2:$B$1960,MATCH(218,Engine!$C$2:$C$1960,0)))</f>
        <v/>
      </c>
      <c r="C231" s="8">
        <f>IF(ISNA(MATCH(218,Engine!$C$2:$C$1960,0)),"",INDEX('Compliance Database'!$C$2:$C$1960,MATCH(218,Engine!$C$2:$C$1960,0)))</f>
        <v/>
      </c>
      <c r="D231" s="9">
        <f>IF(ISNA(MATCH(218,Engine!$C$2:$C$1960,0)),"",INDEX('Compliance Database'!$D$2:$D$1960,MATCH(218,Engine!$C$2:$C$1960,0)))</f>
        <v/>
      </c>
      <c r="E231" s="8">
        <f>IF(ISNA(MATCH(218,Engine!$C$2:$C$1960,0)),"",INDEX('Compliance Database'!$E$2:$E$1960,MATCH(218,Engine!$C$2:$C$1960,0)))</f>
        <v/>
      </c>
      <c r="F231" s="8">
        <f>IF(ISNA(MATCH(218,Engine!$C$2:$C$1960,0)),"",INDEX('Compliance Database'!$F$2:$F$1960,MATCH(218,Engine!$C$2:$C$1960,0)))</f>
        <v/>
      </c>
      <c r="G231" s="8">
        <f>IF(ISNA(MATCH(218,Engine!$C$2:$C$1960,0)),"",INDEX('Compliance Database'!$G$2:$G$1960,MATCH(218,Engine!$C$2:$C$1960,0)))</f>
        <v/>
      </c>
      <c r="H231" s="9">
        <f>IF(ISNA(MATCH(218,Engine!$C$2:$C$1960,0)),"",INDEX('Compliance Database'!$H$2:$H$1960,MATCH(218,Engine!$C$2:$C$1960,0)))</f>
        <v/>
      </c>
      <c r="I231" s="9">
        <f>IF(ISNA(MATCH(218,Engine!$C$2:$C$1960,0)),"",INDEX('Compliance Database'!$I$2:$I$1960,MATCH(218,Engine!$C$2:$C$1960,0)))</f>
        <v/>
      </c>
      <c r="J231" s="8">
        <f>IF(ISNA(MATCH(218,Engine!$C$2:$C$1960,0)),"",INDEX('Compliance Database'!$J$2:$J$1960,MATCH(218,Engine!$C$2:$C$1960,0)))</f>
        <v/>
      </c>
      <c r="K231" s="9">
        <f>IF(ISNA(MATCH(218,Engine!$C$2:$C$1960,0)),"",INDEX('Compliance Database'!$K$2:$K$1960,MATCH(218,Engine!$C$2:$C$1960,0)))</f>
        <v/>
      </c>
      <c r="L231" s="9">
        <f>IF(ISNA(MATCH(218,Engine!$C$2:$C$1960,0)),"",INDEX('Compliance Database'!$L$2:$L$1960,MATCH(218,Engine!$C$2:$C$1960,0)))</f>
        <v/>
      </c>
      <c r="M231" s="9">
        <f>IF(ISNA(MATCH(218,Engine!$C$2:$C$1960,0)),"",INDEX('Compliance Database'!$M$2:$M$1960,MATCH(218,Engine!$C$2:$C$1960,0)))</f>
        <v/>
      </c>
      <c r="N231" s="9">
        <f>IF(ISNA(MATCH(218,Engine!$C$2:$C$1960,0)),"",INDEX('Compliance Database'!$N$2:$N$1960,MATCH(218,Engine!$C$2:$C$1960,0)))</f>
        <v/>
      </c>
      <c r="O231" s="9">
        <f>IF(ISNA(MATCH(218,Engine!$C$2:$C$1960,0)),"",INDEX('Compliance Database'!$O$2:$O$1960,MATCH(218,Engine!$C$2:$C$1960,0)))</f>
        <v/>
      </c>
      <c r="P231" s="8">
        <f>IF(ISNA(MATCH(218,Engine!$C$2:$C$1960,0)),"",HYPERLINK("#Acts!A"&amp;INDEX('Compliance Database'!$P$2:$P$1960,MATCH(218,Engine!$C$2:$C$1960,0)),"Go to Act"))</f>
        <v/>
      </c>
    </row>
    <row r="232" ht="158" customHeight="1">
      <c r="A232" s="8">
        <f>IF(ISNA(MATCH(219,Engine!$C$2:$C$1960,0)),"",INDEX('Compliance Database'!$A$2:$A$1960,MATCH(219,Engine!$C$2:$C$1960,0)))</f>
        <v/>
      </c>
      <c r="B232" s="8">
        <f>IF(ISNA(MATCH(219,Engine!$C$2:$C$1960,0)),"",INDEX('Compliance Database'!$B$2:$B$1960,MATCH(219,Engine!$C$2:$C$1960,0)))</f>
        <v/>
      </c>
      <c r="C232" s="8">
        <f>IF(ISNA(MATCH(219,Engine!$C$2:$C$1960,0)),"",INDEX('Compliance Database'!$C$2:$C$1960,MATCH(219,Engine!$C$2:$C$1960,0)))</f>
        <v/>
      </c>
      <c r="D232" s="9">
        <f>IF(ISNA(MATCH(219,Engine!$C$2:$C$1960,0)),"",INDEX('Compliance Database'!$D$2:$D$1960,MATCH(219,Engine!$C$2:$C$1960,0)))</f>
        <v/>
      </c>
      <c r="E232" s="8">
        <f>IF(ISNA(MATCH(219,Engine!$C$2:$C$1960,0)),"",INDEX('Compliance Database'!$E$2:$E$1960,MATCH(219,Engine!$C$2:$C$1960,0)))</f>
        <v/>
      </c>
      <c r="F232" s="8">
        <f>IF(ISNA(MATCH(219,Engine!$C$2:$C$1960,0)),"",INDEX('Compliance Database'!$F$2:$F$1960,MATCH(219,Engine!$C$2:$C$1960,0)))</f>
        <v/>
      </c>
      <c r="G232" s="8">
        <f>IF(ISNA(MATCH(219,Engine!$C$2:$C$1960,0)),"",INDEX('Compliance Database'!$G$2:$G$1960,MATCH(219,Engine!$C$2:$C$1960,0)))</f>
        <v/>
      </c>
      <c r="H232" s="9">
        <f>IF(ISNA(MATCH(219,Engine!$C$2:$C$1960,0)),"",INDEX('Compliance Database'!$H$2:$H$1960,MATCH(219,Engine!$C$2:$C$1960,0)))</f>
        <v/>
      </c>
      <c r="I232" s="9">
        <f>IF(ISNA(MATCH(219,Engine!$C$2:$C$1960,0)),"",INDEX('Compliance Database'!$I$2:$I$1960,MATCH(219,Engine!$C$2:$C$1960,0)))</f>
        <v/>
      </c>
      <c r="J232" s="8">
        <f>IF(ISNA(MATCH(219,Engine!$C$2:$C$1960,0)),"",INDEX('Compliance Database'!$J$2:$J$1960,MATCH(219,Engine!$C$2:$C$1960,0)))</f>
        <v/>
      </c>
      <c r="K232" s="9">
        <f>IF(ISNA(MATCH(219,Engine!$C$2:$C$1960,0)),"",INDEX('Compliance Database'!$K$2:$K$1960,MATCH(219,Engine!$C$2:$C$1960,0)))</f>
        <v/>
      </c>
      <c r="L232" s="9">
        <f>IF(ISNA(MATCH(219,Engine!$C$2:$C$1960,0)),"",INDEX('Compliance Database'!$L$2:$L$1960,MATCH(219,Engine!$C$2:$C$1960,0)))</f>
        <v/>
      </c>
      <c r="M232" s="9">
        <f>IF(ISNA(MATCH(219,Engine!$C$2:$C$1960,0)),"",INDEX('Compliance Database'!$M$2:$M$1960,MATCH(219,Engine!$C$2:$C$1960,0)))</f>
        <v/>
      </c>
      <c r="N232" s="9">
        <f>IF(ISNA(MATCH(219,Engine!$C$2:$C$1960,0)),"",INDEX('Compliance Database'!$N$2:$N$1960,MATCH(219,Engine!$C$2:$C$1960,0)))</f>
        <v/>
      </c>
      <c r="O232" s="9">
        <f>IF(ISNA(MATCH(219,Engine!$C$2:$C$1960,0)),"",INDEX('Compliance Database'!$O$2:$O$1960,MATCH(219,Engine!$C$2:$C$1960,0)))</f>
        <v/>
      </c>
      <c r="P232" s="8">
        <f>IF(ISNA(MATCH(219,Engine!$C$2:$C$1960,0)),"",HYPERLINK("#Acts!A"&amp;INDEX('Compliance Database'!$P$2:$P$1960,MATCH(219,Engine!$C$2:$C$1960,0)),"Go to Act"))</f>
        <v/>
      </c>
    </row>
    <row r="233" ht="158" customHeight="1">
      <c r="A233" s="8">
        <f>IF(ISNA(MATCH(220,Engine!$C$2:$C$1960,0)),"",INDEX('Compliance Database'!$A$2:$A$1960,MATCH(220,Engine!$C$2:$C$1960,0)))</f>
        <v/>
      </c>
      <c r="B233" s="8">
        <f>IF(ISNA(MATCH(220,Engine!$C$2:$C$1960,0)),"",INDEX('Compliance Database'!$B$2:$B$1960,MATCH(220,Engine!$C$2:$C$1960,0)))</f>
        <v/>
      </c>
      <c r="C233" s="8">
        <f>IF(ISNA(MATCH(220,Engine!$C$2:$C$1960,0)),"",INDEX('Compliance Database'!$C$2:$C$1960,MATCH(220,Engine!$C$2:$C$1960,0)))</f>
        <v/>
      </c>
      <c r="D233" s="9">
        <f>IF(ISNA(MATCH(220,Engine!$C$2:$C$1960,0)),"",INDEX('Compliance Database'!$D$2:$D$1960,MATCH(220,Engine!$C$2:$C$1960,0)))</f>
        <v/>
      </c>
      <c r="E233" s="8">
        <f>IF(ISNA(MATCH(220,Engine!$C$2:$C$1960,0)),"",INDEX('Compliance Database'!$E$2:$E$1960,MATCH(220,Engine!$C$2:$C$1960,0)))</f>
        <v/>
      </c>
      <c r="F233" s="8">
        <f>IF(ISNA(MATCH(220,Engine!$C$2:$C$1960,0)),"",INDEX('Compliance Database'!$F$2:$F$1960,MATCH(220,Engine!$C$2:$C$1960,0)))</f>
        <v/>
      </c>
      <c r="G233" s="8">
        <f>IF(ISNA(MATCH(220,Engine!$C$2:$C$1960,0)),"",INDEX('Compliance Database'!$G$2:$G$1960,MATCH(220,Engine!$C$2:$C$1960,0)))</f>
        <v/>
      </c>
      <c r="H233" s="9">
        <f>IF(ISNA(MATCH(220,Engine!$C$2:$C$1960,0)),"",INDEX('Compliance Database'!$H$2:$H$1960,MATCH(220,Engine!$C$2:$C$1960,0)))</f>
        <v/>
      </c>
      <c r="I233" s="9">
        <f>IF(ISNA(MATCH(220,Engine!$C$2:$C$1960,0)),"",INDEX('Compliance Database'!$I$2:$I$1960,MATCH(220,Engine!$C$2:$C$1960,0)))</f>
        <v/>
      </c>
      <c r="J233" s="8">
        <f>IF(ISNA(MATCH(220,Engine!$C$2:$C$1960,0)),"",INDEX('Compliance Database'!$J$2:$J$1960,MATCH(220,Engine!$C$2:$C$1960,0)))</f>
        <v/>
      </c>
      <c r="K233" s="9">
        <f>IF(ISNA(MATCH(220,Engine!$C$2:$C$1960,0)),"",INDEX('Compliance Database'!$K$2:$K$1960,MATCH(220,Engine!$C$2:$C$1960,0)))</f>
        <v/>
      </c>
      <c r="L233" s="9">
        <f>IF(ISNA(MATCH(220,Engine!$C$2:$C$1960,0)),"",INDEX('Compliance Database'!$L$2:$L$1960,MATCH(220,Engine!$C$2:$C$1960,0)))</f>
        <v/>
      </c>
      <c r="M233" s="9">
        <f>IF(ISNA(MATCH(220,Engine!$C$2:$C$1960,0)),"",INDEX('Compliance Database'!$M$2:$M$1960,MATCH(220,Engine!$C$2:$C$1960,0)))</f>
        <v/>
      </c>
      <c r="N233" s="9">
        <f>IF(ISNA(MATCH(220,Engine!$C$2:$C$1960,0)),"",INDEX('Compliance Database'!$N$2:$N$1960,MATCH(220,Engine!$C$2:$C$1960,0)))</f>
        <v/>
      </c>
      <c r="O233" s="9">
        <f>IF(ISNA(MATCH(220,Engine!$C$2:$C$1960,0)),"",INDEX('Compliance Database'!$O$2:$O$1960,MATCH(220,Engine!$C$2:$C$1960,0)))</f>
        <v/>
      </c>
      <c r="P233" s="8">
        <f>IF(ISNA(MATCH(220,Engine!$C$2:$C$1960,0)),"",HYPERLINK("#Acts!A"&amp;INDEX('Compliance Database'!$P$2:$P$1960,MATCH(220,Engine!$C$2:$C$1960,0)),"Go to Act"))</f>
        <v/>
      </c>
    </row>
    <row r="234" ht="158" customHeight="1">
      <c r="A234" s="8">
        <f>IF(ISNA(MATCH(221,Engine!$C$2:$C$1960,0)),"",INDEX('Compliance Database'!$A$2:$A$1960,MATCH(221,Engine!$C$2:$C$1960,0)))</f>
        <v/>
      </c>
      <c r="B234" s="8">
        <f>IF(ISNA(MATCH(221,Engine!$C$2:$C$1960,0)),"",INDEX('Compliance Database'!$B$2:$B$1960,MATCH(221,Engine!$C$2:$C$1960,0)))</f>
        <v/>
      </c>
      <c r="C234" s="8">
        <f>IF(ISNA(MATCH(221,Engine!$C$2:$C$1960,0)),"",INDEX('Compliance Database'!$C$2:$C$1960,MATCH(221,Engine!$C$2:$C$1960,0)))</f>
        <v/>
      </c>
      <c r="D234" s="9">
        <f>IF(ISNA(MATCH(221,Engine!$C$2:$C$1960,0)),"",INDEX('Compliance Database'!$D$2:$D$1960,MATCH(221,Engine!$C$2:$C$1960,0)))</f>
        <v/>
      </c>
      <c r="E234" s="8">
        <f>IF(ISNA(MATCH(221,Engine!$C$2:$C$1960,0)),"",INDEX('Compliance Database'!$E$2:$E$1960,MATCH(221,Engine!$C$2:$C$1960,0)))</f>
        <v/>
      </c>
      <c r="F234" s="8">
        <f>IF(ISNA(MATCH(221,Engine!$C$2:$C$1960,0)),"",INDEX('Compliance Database'!$F$2:$F$1960,MATCH(221,Engine!$C$2:$C$1960,0)))</f>
        <v/>
      </c>
      <c r="G234" s="8">
        <f>IF(ISNA(MATCH(221,Engine!$C$2:$C$1960,0)),"",INDEX('Compliance Database'!$G$2:$G$1960,MATCH(221,Engine!$C$2:$C$1960,0)))</f>
        <v/>
      </c>
      <c r="H234" s="9">
        <f>IF(ISNA(MATCH(221,Engine!$C$2:$C$1960,0)),"",INDEX('Compliance Database'!$H$2:$H$1960,MATCH(221,Engine!$C$2:$C$1960,0)))</f>
        <v/>
      </c>
      <c r="I234" s="9">
        <f>IF(ISNA(MATCH(221,Engine!$C$2:$C$1960,0)),"",INDEX('Compliance Database'!$I$2:$I$1960,MATCH(221,Engine!$C$2:$C$1960,0)))</f>
        <v/>
      </c>
      <c r="J234" s="8">
        <f>IF(ISNA(MATCH(221,Engine!$C$2:$C$1960,0)),"",INDEX('Compliance Database'!$J$2:$J$1960,MATCH(221,Engine!$C$2:$C$1960,0)))</f>
        <v/>
      </c>
      <c r="K234" s="9">
        <f>IF(ISNA(MATCH(221,Engine!$C$2:$C$1960,0)),"",INDEX('Compliance Database'!$K$2:$K$1960,MATCH(221,Engine!$C$2:$C$1960,0)))</f>
        <v/>
      </c>
      <c r="L234" s="9">
        <f>IF(ISNA(MATCH(221,Engine!$C$2:$C$1960,0)),"",INDEX('Compliance Database'!$L$2:$L$1960,MATCH(221,Engine!$C$2:$C$1960,0)))</f>
        <v/>
      </c>
      <c r="M234" s="9">
        <f>IF(ISNA(MATCH(221,Engine!$C$2:$C$1960,0)),"",INDEX('Compliance Database'!$M$2:$M$1960,MATCH(221,Engine!$C$2:$C$1960,0)))</f>
        <v/>
      </c>
      <c r="N234" s="9">
        <f>IF(ISNA(MATCH(221,Engine!$C$2:$C$1960,0)),"",INDEX('Compliance Database'!$N$2:$N$1960,MATCH(221,Engine!$C$2:$C$1960,0)))</f>
        <v/>
      </c>
      <c r="O234" s="9">
        <f>IF(ISNA(MATCH(221,Engine!$C$2:$C$1960,0)),"",INDEX('Compliance Database'!$O$2:$O$1960,MATCH(221,Engine!$C$2:$C$1960,0)))</f>
        <v/>
      </c>
      <c r="P234" s="8">
        <f>IF(ISNA(MATCH(221,Engine!$C$2:$C$1960,0)),"",HYPERLINK("#Acts!A"&amp;INDEX('Compliance Database'!$P$2:$P$1960,MATCH(221,Engine!$C$2:$C$1960,0)),"Go to Act"))</f>
        <v/>
      </c>
    </row>
    <row r="235" ht="158" customHeight="1">
      <c r="A235" s="8">
        <f>IF(ISNA(MATCH(222,Engine!$C$2:$C$1960,0)),"",INDEX('Compliance Database'!$A$2:$A$1960,MATCH(222,Engine!$C$2:$C$1960,0)))</f>
        <v/>
      </c>
      <c r="B235" s="8">
        <f>IF(ISNA(MATCH(222,Engine!$C$2:$C$1960,0)),"",INDEX('Compliance Database'!$B$2:$B$1960,MATCH(222,Engine!$C$2:$C$1960,0)))</f>
        <v/>
      </c>
      <c r="C235" s="8">
        <f>IF(ISNA(MATCH(222,Engine!$C$2:$C$1960,0)),"",INDEX('Compliance Database'!$C$2:$C$1960,MATCH(222,Engine!$C$2:$C$1960,0)))</f>
        <v/>
      </c>
      <c r="D235" s="9">
        <f>IF(ISNA(MATCH(222,Engine!$C$2:$C$1960,0)),"",INDEX('Compliance Database'!$D$2:$D$1960,MATCH(222,Engine!$C$2:$C$1960,0)))</f>
        <v/>
      </c>
      <c r="E235" s="8">
        <f>IF(ISNA(MATCH(222,Engine!$C$2:$C$1960,0)),"",INDEX('Compliance Database'!$E$2:$E$1960,MATCH(222,Engine!$C$2:$C$1960,0)))</f>
        <v/>
      </c>
      <c r="F235" s="8">
        <f>IF(ISNA(MATCH(222,Engine!$C$2:$C$1960,0)),"",INDEX('Compliance Database'!$F$2:$F$1960,MATCH(222,Engine!$C$2:$C$1960,0)))</f>
        <v/>
      </c>
      <c r="G235" s="8">
        <f>IF(ISNA(MATCH(222,Engine!$C$2:$C$1960,0)),"",INDEX('Compliance Database'!$G$2:$G$1960,MATCH(222,Engine!$C$2:$C$1960,0)))</f>
        <v/>
      </c>
      <c r="H235" s="9">
        <f>IF(ISNA(MATCH(222,Engine!$C$2:$C$1960,0)),"",INDEX('Compliance Database'!$H$2:$H$1960,MATCH(222,Engine!$C$2:$C$1960,0)))</f>
        <v/>
      </c>
      <c r="I235" s="9">
        <f>IF(ISNA(MATCH(222,Engine!$C$2:$C$1960,0)),"",INDEX('Compliance Database'!$I$2:$I$1960,MATCH(222,Engine!$C$2:$C$1960,0)))</f>
        <v/>
      </c>
      <c r="J235" s="8">
        <f>IF(ISNA(MATCH(222,Engine!$C$2:$C$1960,0)),"",INDEX('Compliance Database'!$J$2:$J$1960,MATCH(222,Engine!$C$2:$C$1960,0)))</f>
        <v/>
      </c>
      <c r="K235" s="9">
        <f>IF(ISNA(MATCH(222,Engine!$C$2:$C$1960,0)),"",INDEX('Compliance Database'!$K$2:$K$1960,MATCH(222,Engine!$C$2:$C$1960,0)))</f>
        <v/>
      </c>
      <c r="L235" s="9">
        <f>IF(ISNA(MATCH(222,Engine!$C$2:$C$1960,0)),"",INDEX('Compliance Database'!$L$2:$L$1960,MATCH(222,Engine!$C$2:$C$1960,0)))</f>
        <v/>
      </c>
      <c r="M235" s="9">
        <f>IF(ISNA(MATCH(222,Engine!$C$2:$C$1960,0)),"",INDEX('Compliance Database'!$M$2:$M$1960,MATCH(222,Engine!$C$2:$C$1960,0)))</f>
        <v/>
      </c>
      <c r="N235" s="9">
        <f>IF(ISNA(MATCH(222,Engine!$C$2:$C$1960,0)),"",INDEX('Compliance Database'!$N$2:$N$1960,MATCH(222,Engine!$C$2:$C$1960,0)))</f>
        <v/>
      </c>
      <c r="O235" s="9">
        <f>IF(ISNA(MATCH(222,Engine!$C$2:$C$1960,0)),"",INDEX('Compliance Database'!$O$2:$O$1960,MATCH(222,Engine!$C$2:$C$1960,0)))</f>
        <v/>
      </c>
      <c r="P235" s="8">
        <f>IF(ISNA(MATCH(222,Engine!$C$2:$C$1960,0)),"",HYPERLINK("#Acts!A"&amp;INDEX('Compliance Database'!$P$2:$P$1960,MATCH(222,Engine!$C$2:$C$1960,0)),"Go to Act"))</f>
        <v/>
      </c>
    </row>
    <row r="236" ht="158" customHeight="1">
      <c r="A236" s="8">
        <f>IF(ISNA(MATCH(223,Engine!$C$2:$C$1960,0)),"",INDEX('Compliance Database'!$A$2:$A$1960,MATCH(223,Engine!$C$2:$C$1960,0)))</f>
        <v/>
      </c>
      <c r="B236" s="8">
        <f>IF(ISNA(MATCH(223,Engine!$C$2:$C$1960,0)),"",INDEX('Compliance Database'!$B$2:$B$1960,MATCH(223,Engine!$C$2:$C$1960,0)))</f>
        <v/>
      </c>
      <c r="C236" s="8">
        <f>IF(ISNA(MATCH(223,Engine!$C$2:$C$1960,0)),"",INDEX('Compliance Database'!$C$2:$C$1960,MATCH(223,Engine!$C$2:$C$1960,0)))</f>
        <v/>
      </c>
      <c r="D236" s="9">
        <f>IF(ISNA(MATCH(223,Engine!$C$2:$C$1960,0)),"",INDEX('Compliance Database'!$D$2:$D$1960,MATCH(223,Engine!$C$2:$C$1960,0)))</f>
        <v/>
      </c>
      <c r="E236" s="8">
        <f>IF(ISNA(MATCH(223,Engine!$C$2:$C$1960,0)),"",INDEX('Compliance Database'!$E$2:$E$1960,MATCH(223,Engine!$C$2:$C$1960,0)))</f>
        <v/>
      </c>
      <c r="F236" s="8">
        <f>IF(ISNA(MATCH(223,Engine!$C$2:$C$1960,0)),"",INDEX('Compliance Database'!$F$2:$F$1960,MATCH(223,Engine!$C$2:$C$1960,0)))</f>
        <v/>
      </c>
      <c r="G236" s="8">
        <f>IF(ISNA(MATCH(223,Engine!$C$2:$C$1960,0)),"",INDEX('Compliance Database'!$G$2:$G$1960,MATCH(223,Engine!$C$2:$C$1960,0)))</f>
        <v/>
      </c>
      <c r="H236" s="9">
        <f>IF(ISNA(MATCH(223,Engine!$C$2:$C$1960,0)),"",INDEX('Compliance Database'!$H$2:$H$1960,MATCH(223,Engine!$C$2:$C$1960,0)))</f>
        <v/>
      </c>
      <c r="I236" s="9">
        <f>IF(ISNA(MATCH(223,Engine!$C$2:$C$1960,0)),"",INDEX('Compliance Database'!$I$2:$I$1960,MATCH(223,Engine!$C$2:$C$1960,0)))</f>
        <v/>
      </c>
      <c r="J236" s="8">
        <f>IF(ISNA(MATCH(223,Engine!$C$2:$C$1960,0)),"",INDEX('Compliance Database'!$J$2:$J$1960,MATCH(223,Engine!$C$2:$C$1960,0)))</f>
        <v/>
      </c>
      <c r="K236" s="9">
        <f>IF(ISNA(MATCH(223,Engine!$C$2:$C$1960,0)),"",INDEX('Compliance Database'!$K$2:$K$1960,MATCH(223,Engine!$C$2:$C$1960,0)))</f>
        <v/>
      </c>
      <c r="L236" s="9">
        <f>IF(ISNA(MATCH(223,Engine!$C$2:$C$1960,0)),"",INDEX('Compliance Database'!$L$2:$L$1960,MATCH(223,Engine!$C$2:$C$1960,0)))</f>
        <v/>
      </c>
      <c r="M236" s="9">
        <f>IF(ISNA(MATCH(223,Engine!$C$2:$C$1960,0)),"",INDEX('Compliance Database'!$M$2:$M$1960,MATCH(223,Engine!$C$2:$C$1960,0)))</f>
        <v/>
      </c>
      <c r="N236" s="9">
        <f>IF(ISNA(MATCH(223,Engine!$C$2:$C$1960,0)),"",INDEX('Compliance Database'!$N$2:$N$1960,MATCH(223,Engine!$C$2:$C$1960,0)))</f>
        <v/>
      </c>
      <c r="O236" s="9">
        <f>IF(ISNA(MATCH(223,Engine!$C$2:$C$1960,0)),"",INDEX('Compliance Database'!$O$2:$O$1960,MATCH(223,Engine!$C$2:$C$1960,0)))</f>
        <v/>
      </c>
      <c r="P236" s="8">
        <f>IF(ISNA(MATCH(223,Engine!$C$2:$C$1960,0)),"",HYPERLINK("#Acts!A"&amp;INDEX('Compliance Database'!$P$2:$P$1960,MATCH(223,Engine!$C$2:$C$1960,0)),"Go to Act"))</f>
        <v/>
      </c>
    </row>
    <row r="237" ht="158" customHeight="1">
      <c r="A237" s="8">
        <f>IF(ISNA(MATCH(224,Engine!$C$2:$C$1960,0)),"",INDEX('Compliance Database'!$A$2:$A$1960,MATCH(224,Engine!$C$2:$C$1960,0)))</f>
        <v/>
      </c>
      <c r="B237" s="8">
        <f>IF(ISNA(MATCH(224,Engine!$C$2:$C$1960,0)),"",INDEX('Compliance Database'!$B$2:$B$1960,MATCH(224,Engine!$C$2:$C$1960,0)))</f>
        <v/>
      </c>
      <c r="C237" s="8">
        <f>IF(ISNA(MATCH(224,Engine!$C$2:$C$1960,0)),"",INDEX('Compliance Database'!$C$2:$C$1960,MATCH(224,Engine!$C$2:$C$1960,0)))</f>
        <v/>
      </c>
      <c r="D237" s="9">
        <f>IF(ISNA(MATCH(224,Engine!$C$2:$C$1960,0)),"",INDEX('Compliance Database'!$D$2:$D$1960,MATCH(224,Engine!$C$2:$C$1960,0)))</f>
        <v/>
      </c>
      <c r="E237" s="8">
        <f>IF(ISNA(MATCH(224,Engine!$C$2:$C$1960,0)),"",INDEX('Compliance Database'!$E$2:$E$1960,MATCH(224,Engine!$C$2:$C$1960,0)))</f>
        <v/>
      </c>
      <c r="F237" s="8">
        <f>IF(ISNA(MATCH(224,Engine!$C$2:$C$1960,0)),"",INDEX('Compliance Database'!$F$2:$F$1960,MATCH(224,Engine!$C$2:$C$1960,0)))</f>
        <v/>
      </c>
      <c r="G237" s="8">
        <f>IF(ISNA(MATCH(224,Engine!$C$2:$C$1960,0)),"",INDEX('Compliance Database'!$G$2:$G$1960,MATCH(224,Engine!$C$2:$C$1960,0)))</f>
        <v/>
      </c>
      <c r="H237" s="9">
        <f>IF(ISNA(MATCH(224,Engine!$C$2:$C$1960,0)),"",INDEX('Compliance Database'!$H$2:$H$1960,MATCH(224,Engine!$C$2:$C$1960,0)))</f>
        <v/>
      </c>
      <c r="I237" s="9">
        <f>IF(ISNA(MATCH(224,Engine!$C$2:$C$1960,0)),"",INDEX('Compliance Database'!$I$2:$I$1960,MATCH(224,Engine!$C$2:$C$1960,0)))</f>
        <v/>
      </c>
      <c r="J237" s="8">
        <f>IF(ISNA(MATCH(224,Engine!$C$2:$C$1960,0)),"",INDEX('Compliance Database'!$J$2:$J$1960,MATCH(224,Engine!$C$2:$C$1960,0)))</f>
        <v/>
      </c>
      <c r="K237" s="9">
        <f>IF(ISNA(MATCH(224,Engine!$C$2:$C$1960,0)),"",INDEX('Compliance Database'!$K$2:$K$1960,MATCH(224,Engine!$C$2:$C$1960,0)))</f>
        <v/>
      </c>
      <c r="L237" s="9">
        <f>IF(ISNA(MATCH(224,Engine!$C$2:$C$1960,0)),"",INDEX('Compliance Database'!$L$2:$L$1960,MATCH(224,Engine!$C$2:$C$1960,0)))</f>
        <v/>
      </c>
      <c r="M237" s="9">
        <f>IF(ISNA(MATCH(224,Engine!$C$2:$C$1960,0)),"",INDEX('Compliance Database'!$M$2:$M$1960,MATCH(224,Engine!$C$2:$C$1960,0)))</f>
        <v/>
      </c>
      <c r="N237" s="9">
        <f>IF(ISNA(MATCH(224,Engine!$C$2:$C$1960,0)),"",INDEX('Compliance Database'!$N$2:$N$1960,MATCH(224,Engine!$C$2:$C$1960,0)))</f>
        <v/>
      </c>
      <c r="O237" s="9">
        <f>IF(ISNA(MATCH(224,Engine!$C$2:$C$1960,0)),"",INDEX('Compliance Database'!$O$2:$O$1960,MATCH(224,Engine!$C$2:$C$1960,0)))</f>
        <v/>
      </c>
      <c r="P237" s="8">
        <f>IF(ISNA(MATCH(224,Engine!$C$2:$C$1960,0)),"",HYPERLINK("#Acts!A"&amp;INDEX('Compliance Database'!$P$2:$P$1960,MATCH(224,Engine!$C$2:$C$1960,0)),"Go to Act"))</f>
        <v/>
      </c>
    </row>
    <row r="238" ht="158" customHeight="1">
      <c r="A238" s="8">
        <f>IF(ISNA(MATCH(225,Engine!$C$2:$C$1960,0)),"",INDEX('Compliance Database'!$A$2:$A$1960,MATCH(225,Engine!$C$2:$C$1960,0)))</f>
        <v/>
      </c>
      <c r="B238" s="8">
        <f>IF(ISNA(MATCH(225,Engine!$C$2:$C$1960,0)),"",INDEX('Compliance Database'!$B$2:$B$1960,MATCH(225,Engine!$C$2:$C$1960,0)))</f>
        <v/>
      </c>
      <c r="C238" s="8">
        <f>IF(ISNA(MATCH(225,Engine!$C$2:$C$1960,0)),"",INDEX('Compliance Database'!$C$2:$C$1960,MATCH(225,Engine!$C$2:$C$1960,0)))</f>
        <v/>
      </c>
      <c r="D238" s="9">
        <f>IF(ISNA(MATCH(225,Engine!$C$2:$C$1960,0)),"",INDEX('Compliance Database'!$D$2:$D$1960,MATCH(225,Engine!$C$2:$C$1960,0)))</f>
        <v/>
      </c>
      <c r="E238" s="8">
        <f>IF(ISNA(MATCH(225,Engine!$C$2:$C$1960,0)),"",INDEX('Compliance Database'!$E$2:$E$1960,MATCH(225,Engine!$C$2:$C$1960,0)))</f>
        <v/>
      </c>
      <c r="F238" s="8">
        <f>IF(ISNA(MATCH(225,Engine!$C$2:$C$1960,0)),"",INDEX('Compliance Database'!$F$2:$F$1960,MATCH(225,Engine!$C$2:$C$1960,0)))</f>
        <v/>
      </c>
      <c r="G238" s="8">
        <f>IF(ISNA(MATCH(225,Engine!$C$2:$C$1960,0)),"",INDEX('Compliance Database'!$G$2:$G$1960,MATCH(225,Engine!$C$2:$C$1960,0)))</f>
        <v/>
      </c>
      <c r="H238" s="9">
        <f>IF(ISNA(MATCH(225,Engine!$C$2:$C$1960,0)),"",INDEX('Compliance Database'!$H$2:$H$1960,MATCH(225,Engine!$C$2:$C$1960,0)))</f>
        <v/>
      </c>
      <c r="I238" s="9">
        <f>IF(ISNA(MATCH(225,Engine!$C$2:$C$1960,0)),"",INDEX('Compliance Database'!$I$2:$I$1960,MATCH(225,Engine!$C$2:$C$1960,0)))</f>
        <v/>
      </c>
      <c r="J238" s="8">
        <f>IF(ISNA(MATCH(225,Engine!$C$2:$C$1960,0)),"",INDEX('Compliance Database'!$J$2:$J$1960,MATCH(225,Engine!$C$2:$C$1960,0)))</f>
        <v/>
      </c>
      <c r="K238" s="9">
        <f>IF(ISNA(MATCH(225,Engine!$C$2:$C$1960,0)),"",INDEX('Compliance Database'!$K$2:$K$1960,MATCH(225,Engine!$C$2:$C$1960,0)))</f>
        <v/>
      </c>
      <c r="L238" s="9">
        <f>IF(ISNA(MATCH(225,Engine!$C$2:$C$1960,0)),"",INDEX('Compliance Database'!$L$2:$L$1960,MATCH(225,Engine!$C$2:$C$1960,0)))</f>
        <v/>
      </c>
      <c r="M238" s="9">
        <f>IF(ISNA(MATCH(225,Engine!$C$2:$C$1960,0)),"",INDEX('Compliance Database'!$M$2:$M$1960,MATCH(225,Engine!$C$2:$C$1960,0)))</f>
        <v/>
      </c>
      <c r="N238" s="9">
        <f>IF(ISNA(MATCH(225,Engine!$C$2:$C$1960,0)),"",INDEX('Compliance Database'!$N$2:$N$1960,MATCH(225,Engine!$C$2:$C$1960,0)))</f>
        <v/>
      </c>
      <c r="O238" s="9">
        <f>IF(ISNA(MATCH(225,Engine!$C$2:$C$1960,0)),"",INDEX('Compliance Database'!$O$2:$O$1960,MATCH(225,Engine!$C$2:$C$1960,0)))</f>
        <v/>
      </c>
      <c r="P238" s="8">
        <f>IF(ISNA(MATCH(225,Engine!$C$2:$C$1960,0)),"",HYPERLINK("#Acts!A"&amp;INDEX('Compliance Database'!$P$2:$P$1960,MATCH(225,Engine!$C$2:$C$1960,0)),"Go to Act"))</f>
        <v/>
      </c>
    </row>
    <row r="239" ht="158" customHeight="1">
      <c r="A239" s="8">
        <f>IF(ISNA(MATCH(226,Engine!$C$2:$C$1960,0)),"",INDEX('Compliance Database'!$A$2:$A$1960,MATCH(226,Engine!$C$2:$C$1960,0)))</f>
        <v/>
      </c>
      <c r="B239" s="8">
        <f>IF(ISNA(MATCH(226,Engine!$C$2:$C$1960,0)),"",INDEX('Compliance Database'!$B$2:$B$1960,MATCH(226,Engine!$C$2:$C$1960,0)))</f>
        <v/>
      </c>
      <c r="C239" s="8">
        <f>IF(ISNA(MATCH(226,Engine!$C$2:$C$1960,0)),"",INDEX('Compliance Database'!$C$2:$C$1960,MATCH(226,Engine!$C$2:$C$1960,0)))</f>
        <v/>
      </c>
      <c r="D239" s="9">
        <f>IF(ISNA(MATCH(226,Engine!$C$2:$C$1960,0)),"",INDEX('Compliance Database'!$D$2:$D$1960,MATCH(226,Engine!$C$2:$C$1960,0)))</f>
        <v/>
      </c>
      <c r="E239" s="8">
        <f>IF(ISNA(MATCH(226,Engine!$C$2:$C$1960,0)),"",INDEX('Compliance Database'!$E$2:$E$1960,MATCH(226,Engine!$C$2:$C$1960,0)))</f>
        <v/>
      </c>
      <c r="F239" s="8">
        <f>IF(ISNA(MATCH(226,Engine!$C$2:$C$1960,0)),"",INDEX('Compliance Database'!$F$2:$F$1960,MATCH(226,Engine!$C$2:$C$1960,0)))</f>
        <v/>
      </c>
      <c r="G239" s="8">
        <f>IF(ISNA(MATCH(226,Engine!$C$2:$C$1960,0)),"",INDEX('Compliance Database'!$G$2:$G$1960,MATCH(226,Engine!$C$2:$C$1960,0)))</f>
        <v/>
      </c>
      <c r="H239" s="9">
        <f>IF(ISNA(MATCH(226,Engine!$C$2:$C$1960,0)),"",INDEX('Compliance Database'!$H$2:$H$1960,MATCH(226,Engine!$C$2:$C$1960,0)))</f>
        <v/>
      </c>
      <c r="I239" s="9">
        <f>IF(ISNA(MATCH(226,Engine!$C$2:$C$1960,0)),"",INDEX('Compliance Database'!$I$2:$I$1960,MATCH(226,Engine!$C$2:$C$1960,0)))</f>
        <v/>
      </c>
      <c r="J239" s="8">
        <f>IF(ISNA(MATCH(226,Engine!$C$2:$C$1960,0)),"",INDEX('Compliance Database'!$J$2:$J$1960,MATCH(226,Engine!$C$2:$C$1960,0)))</f>
        <v/>
      </c>
      <c r="K239" s="9">
        <f>IF(ISNA(MATCH(226,Engine!$C$2:$C$1960,0)),"",INDEX('Compliance Database'!$K$2:$K$1960,MATCH(226,Engine!$C$2:$C$1960,0)))</f>
        <v/>
      </c>
      <c r="L239" s="9">
        <f>IF(ISNA(MATCH(226,Engine!$C$2:$C$1960,0)),"",INDEX('Compliance Database'!$L$2:$L$1960,MATCH(226,Engine!$C$2:$C$1960,0)))</f>
        <v/>
      </c>
      <c r="M239" s="9">
        <f>IF(ISNA(MATCH(226,Engine!$C$2:$C$1960,0)),"",INDEX('Compliance Database'!$M$2:$M$1960,MATCH(226,Engine!$C$2:$C$1960,0)))</f>
        <v/>
      </c>
      <c r="N239" s="9">
        <f>IF(ISNA(MATCH(226,Engine!$C$2:$C$1960,0)),"",INDEX('Compliance Database'!$N$2:$N$1960,MATCH(226,Engine!$C$2:$C$1960,0)))</f>
        <v/>
      </c>
      <c r="O239" s="9">
        <f>IF(ISNA(MATCH(226,Engine!$C$2:$C$1960,0)),"",INDEX('Compliance Database'!$O$2:$O$1960,MATCH(226,Engine!$C$2:$C$1960,0)))</f>
        <v/>
      </c>
      <c r="P239" s="8">
        <f>IF(ISNA(MATCH(226,Engine!$C$2:$C$1960,0)),"",HYPERLINK("#Acts!A"&amp;INDEX('Compliance Database'!$P$2:$P$1960,MATCH(226,Engine!$C$2:$C$1960,0)),"Go to Act"))</f>
        <v/>
      </c>
    </row>
    <row r="240" ht="158" customHeight="1">
      <c r="A240" s="8">
        <f>IF(ISNA(MATCH(227,Engine!$C$2:$C$1960,0)),"",INDEX('Compliance Database'!$A$2:$A$1960,MATCH(227,Engine!$C$2:$C$1960,0)))</f>
        <v/>
      </c>
      <c r="B240" s="8">
        <f>IF(ISNA(MATCH(227,Engine!$C$2:$C$1960,0)),"",INDEX('Compliance Database'!$B$2:$B$1960,MATCH(227,Engine!$C$2:$C$1960,0)))</f>
        <v/>
      </c>
      <c r="C240" s="8">
        <f>IF(ISNA(MATCH(227,Engine!$C$2:$C$1960,0)),"",INDEX('Compliance Database'!$C$2:$C$1960,MATCH(227,Engine!$C$2:$C$1960,0)))</f>
        <v/>
      </c>
      <c r="D240" s="9">
        <f>IF(ISNA(MATCH(227,Engine!$C$2:$C$1960,0)),"",INDEX('Compliance Database'!$D$2:$D$1960,MATCH(227,Engine!$C$2:$C$1960,0)))</f>
        <v/>
      </c>
      <c r="E240" s="8">
        <f>IF(ISNA(MATCH(227,Engine!$C$2:$C$1960,0)),"",INDEX('Compliance Database'!$E$2:$E$1960,MATCH(227,Engine!$C$2:$C$1960,0)))</f>
        <v/>
      </c>
      <c r="F240" s="8">
        <f>IF(ISNA(MATCH(227,Engine!$C$2:$C$1960,0)),"",INDEX('Compliance Database'!$F$2:$F$1960,MATCH(227,Engine!$C$2:$C$1960,0)))</f>
        <v/>
      </c>
      <c r="G240" s="8">
        <f>IF(ISNA(MATCH(227,Engine!$C$2:$C$1960,0)),"",INDEX('Compliance Database'!$G$2:$G$1960,MATCH(227,Engine!$C$2:$C$1960,0)))</f>
        <v/>
      </c>
      <c r="H240" s="9">
        <f>IF(ISNA(MATCH(227,Engine!$C$2:$C$1960,0)),"",INDEX('Compliance Database'!$H$2:$H$1960,MATCH(227,Engine!$C$2:$C$1960,0)))</f>
        <v/>
      </c>
      <c r="I240" s="9">
        <f>IF(ISNA(MATCH(227,Engine!$C$2:$C$1960,0)),"",INDEX('Compliance Database'!$I$2:$I$1960,MATCH(227,Engine!$C$2:$C$1960,0)))</f>
        <v/>
      </c>
      <c r="J240" s="8">
        <f>IF(ISNA(MATCH(227,Engine!$C$2:$C$1960,0)),"",INDEX('Compliance Database'!$J$2:$J$1960,MATCH(227,Engine!$C$2:$C$1960,0)))</f>
        <v/>
      </c>
      <c r="K240" s="9">
        <f>IF(ISNA(MATCH(227,Engine!$C$2:$C$1960,0)),"",INDEX('Compliance Database'!$K$2:$K$1960,MATCH(227,Engine!$C$2:$C$1960,0)))</f>
        <v/>
      </c>
      <c r="L240" s="9">
        <f>IF(ISNA(MATCH(227,Engine!$C$2:$C$1960,0)),"",INDEX('Compliance Database'!$L$2:$L$1960,MATCH(227,Engine!$C$2:$C$1960,0)))</f>
        <v/>
      </c>
      <c r="M240" s="9">
        <f>IF(ISNA(MATCH(227,Engine!$C$2:$C$1960,0)),"",INDEX('Compliance Database'!$M$2:$M$1960,MATCH(227,Engine!$C$2:$C$1960,0)))</f>
        <v/>
      </c>
      <c r="N240" s="9">
        <f>IF(ISNA(MATCH(227,Engine!$C$2:$C$1960,0)),"",INDEX('Compliance Database'!$N$2:$N$1960,MATCH(227,Engine!$C$2:$C$1960,0)))</f>
        <v/>
      </c>
      <c r="O240" s="9">
        <f>IF(ISNA(MATCH(227,Engine!$C$2:$C$1960,0)),"",INDEX('Compliance Database'!$O$2:$O$1960,MATCH(227,Engine!$C$2:$C$1960,0)))</f>
        <v/>
      </c>
      <c r="P240" s="8">
        <f>IF(ISNA(MATCH(227,Engine!$C$2:$C$1960,0)),"",HYPERLINK("#Acts!A"&amp;INDEX('Compliance Database'!$P$2:$P$1960,MATCH(227,Engine!$C$2:$C$1960,0)),"Go to Act"))</f>
        <v/>
      </c>
    </row>
    <row r="241" ht="158" customHeight="1">
      <c r="A241" s="8">
        <f>IF(ISNA(MATCH(228,Engine!$C$2:$C$1960,0)),"",INDEX('Compliance Database'!$A$2:$A$1960,MATCH(228,Engine!$C$2:$C$1960,0)))</f>
        <v/>
      </c>
      <c r="B241" s="8">
        <f>IF(ISNA(MATCH(228,Engine!$C$2:$C$1960,0)),"",INDEX('Compliance Database'!$B$2:$B$1960,MATCH(228,Engine!$C$2:$C$1960,0)))</f>
        <v/>
      </c>
      <c r="C241" s="8">
        <f>IF(ISNA(MATCH(228,Engine!$C$2:$C$1960,0)),"",INDEX('Compliance Database'!$C$2:$C$1960,MATCH(228,Engine!$C$2:$C$1960,0)))</f>
        <v/>
      </c>
      <c r="D241" s="9">
        <f>IF(ISNA(MATCH(228,Engine!$C$2:$C$1960,0)),"",INDEX('Compliance Database'!$D$2:$D$1960,MATCH(228,Engine!$C$2:$C$1960,0)))</f>
        <v/>
      </c>
      <c r="E241" s="8">
        <f>IF(ISNA(MATCH(228,Engine!$C$2:$C$1960,0)),"",INDEX('Compliance Database'!$E$2:$E$1960,MATCH(228,Engine!$C$2:$C$1960,0)))</f>
        <v/>
      </c>
      <c r="F241" s="8">
        <f>IF(ISNA(MATCH(228,Engine!$C$2:$C$1960,0)),"",INDEX('Compliance Database'!$F$2:$F$1960,MATCH(228,Engine!$C$2:$C$1960,0)))</f>
        <v/>
      </c>
      <c r="G241" s="8">
        <f>IF(ISNA(MATCH(228,Engine!$C$2:$C$1960,0)),"",INDEX('Compliance Database'!$G$2:$G$1960,MATCH(228,Engine!$C$2:$C$1960,0)))</f>
        <v/>
      </c>
      <c r="H241" s="9">
        <f>IF(ISNA(MATCH(228,Engine!$C$2:$C$1960,0)),"",INDEX('Compliance Database'!$H$2:$H$1960,MATCH(228,Engine!$C$2:$C$1960,0)))</f>
        <v/>
      </c>
      <c r="I241" s="9">
        <f>IF(ISNA(MATCH(228,Engine!$C$2:$C$1960,0)),"",INDEX('Compliance Database'!$I$2:$I$1960,MATCH(228,Engine!$C$2:$C$1960,0)))</f>
        <v/>
      </c>
      <c r="J241" s="8">
        <f>IF(ISNA(MATCH(228,Engine!$C$2:$C$1960,0)),"",INDEX('Compliance Database'!$J$2:$J$1960,MATCH(228,Engine!$C$2:$C$1960,0)))</f>
        <v/>
      </c>
      <c r="K241" s="9">
        <f>IF(ISNA(MATCH(228,Engine!$C$2:$C$1960,0)),"",INDEX('Compliance Database'!$K$2:$K$1960,MATCH(228,Engine!$C$2:$C$1960,0)))</f>
        <v/>
      </c>
      <c r="L241" s="9">
        <f>IF(ISNA(MATCH(228,Engine!$C$2:$C$1960,0)),"",INDEX('Compliance Database'!$L$2:$L$1960,MATCH(228,Engine!$C$2:$C$1960,0)))</f>
        <v/>
      </c>
      <c r="M241" s="9">
        <f>IF(ISNA(MATCH(228,Engine!$C$2:$C$1960,0)),"",INDEX('Compliance Database'!$M$2:$M$1960,MATCH(228,Engine!$C$2:$C$1960,0)))</f>
        <v/>
      </c>
      <c r="N241" s="9">
        <f>IF(ISNA(MATCH(228,Engine!$C$2:$C$1960,0)),"",INDEX('Compliance Database'!$N$2:$N$1960,MATCH(228,Engine!$C$2:$C$1960,0)))</f>
        <v/>
      </c>
      <c r="O241" s="9">
        <f>IF(ISNA(MATCH(228,Engine!$C$2:$C$1960,0)),"",INDEX('Compliance Database'!$O$2:$O$1960,MATCH(228,Engine!$C$2:$C$1960,0)))</f>
        <v/>
      </c>
      <c r="P241" s="8">
        <f>IF(ISNA(MATCH(228,Engine!$C$2:$C$1960,0)),"",HYPERLINK("#Acts!A"&amp;INDEX('Compliance Database'!$P$2:$P$1960,MATCH(228,Engine!$C$2:$C$1960,0)),"Go to Act"))</f>
        <v/>
      </c>
    </row>
    <row r="242" ht="158" customHeight="1">
      <c r="A242" s="8">
        <f>IF(ISNA(MATCH(229,Engine!$C$2:$C$1960,0)),"",INDEX('Compliance Database'!$A$2:$A$1960,MATCH(229,Engine!$C$2:$C$1960,0)))</f>
        <v/>
      </c>
      <c r="B242" s="8">
        <f>IF(ISNA(MATCH(229,Engine!$C$2:$C$1960,0)),"",INDEX('Compliance Database'!$B$2:$B$1960,MATCH(229,Engine!$C$2:$C$1960,0)))</f>
        <v/>
      </c>
      <c r="C242" s="8">
        <f>IF(ISNA(MATCH(229,Engine!$C$2:$C$1960,0)),"",INDEX('Compliance Database'!$C$2:$C$1960,MATCH(229,Engine!$C$2:$C$1960,0)))</f>
        <v/>
      </c>
      <c r="D242" s="9">
        <f>IF(ISNA(MATCH(229,Engine!$C$2:$C$1960,0)),"",INDEX('Compliance Database'!$D$2:$D$1960,MATCH(229,Engine!$C$2:$C$1960,0)))</f>
        <v/>
      </c>
      <c r="E242" s="8">
        <f>IF(ISNA(MATCH(229,Engine!$C$2:$C$1960,0)),"",INDEX('Compliance Database'!$E$2:$E$1960,MATCH(229,Engine!$C$2:$C$1960,0)))</f>
        <v/>
      </c>
      <c r="F242" s="8">
        <f>IF(ISNA(MATCH(229,Engine!$C$2:$C$1960,0)),"",INDEX('Compliance Database'!$F$2:$F$1960,MATCH(229,Engine!$C$2:$C$1960,0)))</f>
        <v/>
      </c>
      <c r="G242" s="8">
        <f>IF(ISNA(MATCH(229,Engine!$C$2:$C$1960,0)),"",INDEX('Compliance Database'!$G$2:$G$1960,MATCH(229,Engine!$C$2:$C$1960,0)))</f>
        <v/>
      </c>
      <c r="H242" s="9">
        <f>IF(ISNA(MATCH(229,Engine!$C$2:$C$1960,0)),"",INDEX('Compliance Database'!$H$2:$H$1960,MATCH(229,Engine!$C$2:$C$1960,0)))</f>
        <v/>
      </c>
      <c r="I242" s="9">
        <f>IF(ISNA(MATCH(229,Engine!$C$2:$C$1960,0)),"",INDEX('Compliance Database'!$I$2:$I$1960,MATCH(229,Engine!$C$2:$C$1960,0)))</f>
        <v/>
      </c>
      <c r="J242" s="8">
        <f>IF(ISNA(MATCH(229,Engine!$C$2:$C$1960,0)),"",INDEX('Compliance Database'!$J$2:$J$1960,MATCH(229,Engine!$C$2:$C$1960,0)))</f>
        <v/>
      </c>
      <c r="K242" s="9">
        <f>IF(ISNA(MATCH(229,Engine!$C$2:$C$1960,0)),"",INDEX('Compliance Database'!$K$2:$K$1960,MATCH(229,Engine!$C$2:$C$1960,0)))</f>
        <v/>
      </c>
      <c r="L242" s="9">
        <f>IF(ISNA(MATCH(229,Engine!$C$2:$C$1960,0)),"",INDEX('Compliance Database'!$L$2:$L$1960,MATCH(229,Engine!$C$2:$C$1960,0)))</f>
        <v/>
      </c>
      <c r="M242" s="9">
        <f>IF(ISNA(MATCH(229,Engine!$C$2:$C$1960,0)),"",INDEX('Compliance Database'!$M$2:$M$1960,MATCH(229,Engine!$C$2:$C$1960,0)))</f>
        <v/>
      </c>
      <c r="N242" s="9">
        <f>IF(ISNA(MATCH(229,Engine!$C$2:$C$1960,0)),"",INDEX('Compliance Database'!$N$2:$N$1960,MATCH(229,Engine!$C$2:$C$1960,0)))</f>
        <v/>
      </c>
      <c r="O242" s="9">
        <f>IF(ISNA(MATCH(229,Engine!$C$2:$C$1960,0)),"",INDEX('Compliance Database'!$O$2:$O$1960,MATCH(229,Engine!$C$2:$C$1960,0)))</f>
        <v/>
      </c>
      <c r="P242" s="8">
        <f>IF(ISNA(MATCH(229,Engine!$C$2:$C$1960,0)),"",HYPERLINK("#Acts!A"&amp;INDEX('Compliance Database'!$P$2:$P$1960,MATCH(229,Engine!$C$2:$C$1960,0)),"Go to Act"))</f>
        <v/>
      </c>
    </row>
    <row r="243" ht="158" customHeight="1">
      <c r="A243" s="8">
        <f>IF(ISNA(MATCH(230,Engine!$C$2:$C$1960,0)),"",INDEX('Compliance Database'!$A$2:$A$1960,MATCH(230,Engine!$C$2:$C$1960,0)))</f>
        <v/>
      </c>
      <c r="B243" s="8">
        <f>IF(ISNA(MATCH(230,Engine!$C$2:$C$1960,0)),"",INDEX('Compliance Database'!$B$2:$B$1960,MATCH(230,Engine!$C$2:$C$1960,0)))</f>
        <v/>
      </c>
      <c r="C243" s="8">
        <f>IF(ISNA(MATCH(230,Engine!$C$2:$C$1960,0)),"",INDEX('Compliance Database'!$C$2:$C$1960,MATCH(230,Engine!$C$2:$C$1960,0)))</f>
        <v/>
      </c>
      <c r="D243" s="9">
        <f>IF(ISNA(MATCH(230,Engine!$C$2:$C$1960,0)),"",INDEX('Compliance Database'!$D$2:$D$1960,MATCH(230,Engine!$C$2:$C$1960,0)))</f>
        <v/>
      </c>
      <c r="E243" s="8">
        <f>IF(ISNA(MATCH(230,Engine!$C$2:$C$1960,0)),"",INDEX('Compliance Database'!$E$2:$E$1960,MATCH(230,Engine!$C$2:$C$1960,0)))</f>
        <v/>
      </c>
      <c r="F243" s="8">
        <f>IF(ISNA(MATCH(230,Engine!$C$2:$C$1960,0)),"",INDEX('Compliance Database'!$F$2:$F$1960,MATCH(230,Engine!$C$2:$C$1960,0)))</f>
        <v/>
      </c>
      <c r="G243" s="8">
        <f>IF(ISNA(MATCH(230,Engine!$C$2:$C$1960,0)),"",INDEX('Compliance Database'!$G$2:$G$1960,MATCH(230,Engine!$C$2:$C$1960,0)))</f>
        <v/>
      </c>
      <c r="H243" s="9">
        <f>IF(ISNA(MATCH(230,Engine!$C$2:$C$1960,0)),"",INDEX('Compliance Database'!$H$2:$H$1960,MATCH(230,Engine!$C$2:$C$1960,0)))</f>
        <v/>
      </c>
      <c r="I243" s="9">
        <f>IF(ISNA(MATCH(230,Engine!$C$2:$C$1960,0)),"",INDEX('Compliance Database'!$I$2:$I$1960,MATCH(230,Engine!$C$2:$C$1960,0)))</f>
        <v/>
      </c>
      <c r="J243" s="8">
        <f>IF(ISNA(MATCH(230,Engine!$C$2:$C$1960,0)),"",INDEX('Compliance Database'!$J$2:$J$1960,MATCH(230,Engine!$C$2:$C$1960,0)))</f>
        <v/>
      </c>
      <c r="K243" s="9">
        <f>IF(ISNA(MATCH(230,Engine!$C$2:$C$1960,0)),"",INDEX('Compliance Database'!$K$2:$K$1960,MATCH(230,Engine!$C$2:$C$1960,0)))</f>
        <v/>
      </c>
      <c r="L243" s="9">
        <f>IF(ISNA(MATCH(230,Engine!$C$2:$C$1960,0)),"",INDEX('Compliance Database'!$L$2:$L$1960,MATCH(230,Engine!$C$2:$C$1960,0)))</f>
        <v/>
      </c>
      <c r="M243" s="9">
        <f>IF(ISNA(MATCH(230,Engine!$C$2:$C$1960,0)),"",INDEX('Compliance Database'!$M$2:$M$1960,MATCH(230,Engine!$C$2:$C$1960,0)))</f>
        <v/>
      </c>
      <c r="N243" s="9">
        <f>IF(ISNA(MATCH(230,Engine!$C$2:$C$1960,0)),"",INDEX('Compliance Database'!$N$2:$N$1960,MATCH(230,Engine!$C$2:$C$1960,0)))</f>
        <v/>
      </c>
      <c r="O243" s="9">
        <f>IF(ISNA(MATCH(230,Engine!$C$2:$C$1960,0)),"",INDEX('Compliance Database'!$O$2:$O$1960,MATCH(230,Engine!$C$2:$C$1960,0)))</f>
        <v/>
      </c>
      <c r="P243" s="8">
        <f>IF(ISNA(MATCH(230,Engine!$C$2:$C$1960,0)),"",HYPERLINK("#Acts!A"&amp;INDEX('Compliance Database'!$P$2:$P$1960,MATCH(230,Engine!$C$2:$C$1960,0)),"Go to Act"))</f>
        <v/>
      </c>
    </row>
    <row r="244" ht="158" customHeight="1">
      <c r="A244" s="8">
        <f>IF(ISNA(MATCH(231,Engine!$C$2:$C$1960,0)),"",INDEX('Compliance Database'!$A$2:$A$1960,MATCH(231,Engine!$C$2:$C$1960,0)))</f>
        <v/>
      </c>
      <c r="B244" s="8">
        <f>IF(ISNA(MATCH(231,Engine!$C$2:$C$1960,0)),"",INDEX('Compliance Database'!$B$2:$B$1960,MATCH(231,Engine!$C$2:$C$1960,0)))</f>
        <v/>
      </c>
      <c r="C244" s="8">
        <f>IF(ISNA(MATCH(231,Engine!$C$2:$C$1960,0)),"",INDEX('Compliance Database'!$C$2:$C$1960,MATCH(231,Engine!$C$2:$C$1960,0)))</f>
        <v/>
      </c>
      <c r="D244" s="9">
        <f>IF(ISNA(MATCH(231,Engine!$C$2:$C$1960,0)),"",INDEX('Compliance Database'!$D$2:$D$1960,MATCH(231,Engine!$C$2:$C$1960,0)))</f>
        <v/>
      </c>
      <c r="E244" s="8">
        <f>IF(ISNA(MATCH(231,Engine!$C$2:$C$1960,0)),"",INDEX('Compliance Database'!$E$2:$E$1960,MATCH(231,Engine!$C$2:$C$1960,0)))</f>
        <v/>
      </c>
      <c r="F244" s="8">
        <f>IF(ISNA(MATCH(231,Engine!$C$2:$C$1960,0)),"",INDEX('Compliance Database'!$F$2:$F$1960,MATCH(231,Engine!$C$2:$C$1960,0)))</f>
        <v/>
      </c>
      <c r="G244" s="8">
        <f>IF(ISNA(MATCH(231,Engine!$C$2:$C$1960,0)),"",INDEX('Compliance Database'!$G$2:$G$1960,MATCH(231,Engine!$C$2:$C$1960,0)))</f>
        <v/>
      </c>
      <c r="H244" s="9">
        <f>IF(ISNA(MATCH(231,Engine!$C$2:$C$1960,0)),"",INDEX('Compliance Database'!$H$2:$H$1960,MATCH(231,Engine!$C$2:$C$1960,0)))</f>
        <v/>
      </c>
      <c r="I244" s="9">
        <f>IF(ISNA(MATCH(231,Engine!$C$2:$C$1960,0)),"",INDEX('Compliance Database'!$I$2:$I$1960,MATCH(231,Engine!$C$2:$C$1960,0)))</f>
        <v/>
      </c>
      <c r="J244" s="8">
        <f>IF(ISNA(MATCH(231,Engine!$C$2:$C$1960,0)),"",INDEX('Compliance Database'!$J$2:$J$1960,MATCH(231,Engine!$C$2:$C$1960,0)))</f>
        <v/>
      </c>
      <c r="K244" s="9">
        <f>IF(ISNA(MATCH(231,Engine!$C$2:$C$1960,0)),"",INDEX('Compliance Database'!$K$2:$K$1960,MATCH(231,Engine!$C$2:$C$1960,0)))</f>
        <v/>
      </c>
      <c r="L244" s="9">
        <f>IF(ISNA(MATCH(231,Engine!$C$2:$C$1960,0)),"",INDEX('Compliance Database'!$L$2:$L$1960,MATCH(231,Engine!$C$2:$C$1960,0)))</f>
        <v/>
      </c>
      <c r="M244" s="9">
        <f>IF(ISNA(MATCH(231,Engine!$C$2:$C$1960,0)),"",INDEX('Compliance Database'!$M$2:$M$1960,MATCH(231,Engine!$C$2:$C$1960,0)))</f>
        <v/>
      </c>
      <c r="N244" s="9">
        <f>IF(ISNA(MATCH(231,Engine!$C$2:$C$1960,0)),"",INDEX('Compliance Database'!$N$2:$N$1960,MATCH(231,Engine!$C$2:$C$1960,0)))</f>
        <v/>
      </c>
      <c r="O244" s="9">
        <f>IF(ISNA(MATCH(231,Engine!$C$2:$C$1960,0)),"",INDEX('Compliance Database'!$O$2:$O$1960,MATCH(231,Engine!$C$2:$C$1960,0)))</f>
        <v/>
      </c>
      <c r="P244" s="8">
        <f>IF(ISNA(MATCH(231,Engine!$C$2:$C$1960,0)),"",HYPERLINK("#Acts!A"&amp;INDEX('Compliance Database'!$P$2:$P$1960,MATCH(231,Engine!$C$2:$C$1960,0)),"Go to Act"))</f>
        <v/>
      </c>
    </row>
    <row r="245" ht="158" customHeight="1">
      <c r="A245" s="8">
        <f>IF(ISNA(MATCH(232,Engine!$C$2:$C$1960,0)),"",INDEX('Compliance Database'!$A$2:$A$1960,MATCH(232,Engine!$C$2:$C$1960,0)))</f>
        <v/>
      </c>
      <c r="B245" s="8">
        <f>IF(ISNA(MATCH(232,Engine!$C$2:$C$1960,0)),"",INDEX('Compliance Database'!$B$2:$B$1960,MATCH(232,Engine!$C$2:$C$1960,0)))</f>
        <v/>
      </c>
      <c r="C245" s="8">
        <f>IF(ISNA(MATCH(232,Engine!$C$2:$C$1960,0)),"",INDEX('Compliance Database'!$C$2:$C$1960,MATCH(232,Engine!$C$2:$C$1960,0)))</f>
        <v/>
      </c>
      <c r="D245" s="9">
        <f>IF(ISNA(MATCH(232,Engine!$C$2:$C$1960,0)),"",INDEX('Compliance Database'!$D$2:$D$1960,MATCH(232,Engine!$C$2:$C$1960,0)))</f>
        <v/>
      </c>
      <c r="E245" s="8">
        <f>IF(ISNA(MATCH(232,Engine!$C$2:$C$1960,0)),"",INDEX('Compliance Database'!$E$2:$E$1960,MATCH(232,Engine!$C$2:$C$1960,0)))</f>
        <v/>
      </c>
      <c r="F245" s="8">
        <f>IF(ISNA(MATCH(232,Engine!$C$2:$C$1960,0)),"",INDEX('Compliance Database'!$F$2:$F$1960,MATCH(232,Engine!$C$2:$C$1960,0)))</f>
        <v/>
      </c>
      <c r="G245" s="8">
        <f>IF(ISNA(MATCH(232,Engine!$C$2:$C$1960,0)),"",INDEX('Compliance Database'!$G$2:$G$1960,MATCH(232,Engine!$C$2:$C$1960,0)))</f>
        <v/>
      </c>
      <c r="H245" s="9">
        <f>IF(ISNA(MATCH(232,Engine!$C$2:$C$1960,0)),"",INDEX('Compliance Database'!$H$2:$H$1960,MATCH(232,Engine!$C$2:$C$1960,0)))</f>
        <v/>
      </c>
      <c r="I245" s="9">
        <f>IF(ISNA(MATCH(232,Engine!$C$2:$C$1960,0)),"",INDEX('Compliance Database'!$I$2:$I$1960,MATCH(232,Engine!$C$2:$C$1960,0)))</f>
        <v/>
      </c>
      <c r="J245" s="8">
        <f>IF(ISNA(MATCH(232,Engine!$C$2:$C$1960,0)),"",INDEX('Compliance Database'!$J$2:$J$1960,MATCH(232,Engine!$C$2:$C$1960,0)))</f>
        <v/>
      </c>
      <c r="K245" s="9">
        <f>IF(ISNA(MATCH(232,Engine!$C$2:$C$1960,0)),"",INDEX('Compliance Database'!$K$2:$K$1960,MATCH(232,Engine!$C$2:$C$1960,0)))</f>
        <v/>
      </c>
      <c r="L245" s="9">
        <f>IF(ISNA(MATCH(232,Engine!$C$2:$C$1960,0)),"",INDEX('Compliance Database'!$L$2:$L$1960,MATCH(232,Engine!$C$2:$C$1960,0)))</f>
        <v/>
      </c>
      <c r="M245" s="9">
        <f>IF(ISNA(MATCH(232,Engine!$C$2:$C$1960,0)),"",INDEX('Compliance Database'!$M$2:$M$1960,MATCH(232,Engine!$C$2:$C$1960,0)))</f>
        <v/>
      </c>
      <c r="N245" s="9">
        <f>IF(ISNA(MATCH(232,Engine!$C$2:$C$1960,0)),"",INDEX('Compliance Database'!$N$2:$N$1960,MATCH(232,Engine!$C$2:$C$1960,0)))</f>
        <v/>
      </c>
      <c r="O245" s="9">
        <f>IF(ISNA(MATCH(232,Engine!$C$2:$C$1960,0)),"",INDEX('Compliance Database'!$O$2:$O$1960,MATCH(232,Engine!$C$2:$C$1960,0)))</f>
        <v/>
      </c>
      <c r="P245" s="8">
        <f>IF(ISNA(MATCH(232,Engine!$C$2:$C$1960,0)),"",HYPERLINK("#Acts!A"&amp;INDEX('Compliance Database'!$P$2:$P$1960,MATCH(232,Engine!$C$2:$C$1960,0)),"Go to Act"))</f>
        <v/>
      </c>
    </row>
    <row r="246" ht="158" customHeight="1">
      <c r="A246" s="8">
        <f>IF(ISNA(MATCH(233,Engine!$C$2:$C$1960,0)),"",INDEX('Compliance Database'!$A$2:$A$1960,MATCH(233,Engine!$C$2:$C$1960,0)))</f>
        <v/>
      </c>
      <c r="B246" s="8">
        <f>IF(ISNA(MATCH(233,Engine!$C$2:$C$1960,0)),"",INDEX('Compliance Database'!$B$2:$B$1960,MATCH(233,Engine!$C$2:$C$1960,0)))</f>
        <v/>
      </c>
      <c r="C246" s="8">
        <f>IF(ISNA(MATCH(233,Engine!$C$2:$C$1960,0)),"",INDEX('Compliance Database'!$C$2:$C$1960,MATCH(233,Engine!$C$2:$C$1960,0)))</f>
        <v/>
      </c>
      <c r="D246" s="9">
        <f>IF(ISNA(MATCH(233,Engine!$C$2:$C$1960,0)),"",INDEX('Compliance Database'!$D$2:$D$1960,MATCH(233,Engine!$C$2:$C$1960,0)))</f>
        <v/>
      </c>
      <c r="E246" s="8">
        <f>IF(ISNA(MATCH(233,Engine!$C$2:$C$1960,0)),"",INDEX('Compliance Database'!$E$2:$E$1960,MATCH(233,Engine!$C$2:$C$1960,0)))</f>
        <v/>
      </c>
      <c r="F246" s="8">
        <f>IF(ISNA(MATCH(233,Engine!$C$2:$C$1960,0)),"",INDEX('Compliance Database'!$F$2:$F$1960,MATCH(233,Engine!$C$2:$C$1960,0)))</f>
        <v/>
      </c>
      <c r="G246" s="8">
        <f>IF(ISNA(MATCH(233,Engine!$C$2:$C$1960,0)),"",INDEX('Compliance Database'!$G$2:$G$1960,MATCH(233,Engine!$C$2:$C$1960,0)))</f>
        <v/>
      </c>
      <c r="H246" s="9">
        <f>IF(ISNA(MATCH(233,Engine!$C$2:$C$1960,0)),"",INDEX('Compliance Database'!$H$2:$H$1960,MATCH(233,Engine!$C$2:$C$1960,0)))</f>
        <v/>
      </c>
      <c r="I246" s="9">
        <f>IF(ISNA(MATCH(233,Engine!$C$2:$C$1960,0)),"",INDEX('Compliance Database'!$I$2:$I$1960,MATCH(233,Engine!$C$2:$C$1960,0)))</f>
        <v/>
      </c>
      <c r="J246" s="8">
        <f>IF(ISNA(MATCH(233,Engine!$C$2:$C$1960,0)),"",INDEX('Compliance Database'!$J$2:$J$1960,MATCH(233,Engine!$C$2:$C$1960,0)))</f>
        <v/>
      </c>
      <c r="K246" s="9">
        <f>IF(ISNA(MATCH(233,Engine!$C$2:$C$1960,0)),"",INDEX('Compliance Database'!$K$2:$K$1960,MATCH(233,Engine!$C$2:$C$1960,0)))</f>
        <v/>
      </c>
      <c r="L246" s="9">
        <f>IF(ISNA(MATCH(233,Engine!$C$2:$C$1960,0)),"",INDEX('Compliance Database'!$L$2:$L$1960,MATCH(233,Engine!$C$2:$C$1960,0)))</f>
        <v/>
      </c>
      <c r="M246" s="9">
        <f>IF(ISNA(MATCH(233,Engine!$C$2:$C$1960,0)),"",INDEX('Compliance Database'!$M$2:$M$1960,MATCH(233,Engine!$C$2:$C$1960,0)))</f>
        <v/>
      </c>
      <c r="N246" s="9">
        <f>IF(ISNA(MATCH(233,Engine!$C$2:$C$1960,0)),"",INDEX('Compliance Database'!$N$2:$N$1960,MATCH(233,Engine!$C$2:$C$1960,0)))</f>
        <v/>
      </c>
      <c r="O246" s="9">
        <f>IF(ISNA(MATCH(233,Engine!$C$2:$C$1960,0)),"",INDEX('Compliance Database'!$O$2:$O$1960,MATCH(233,Engine!$C$2:$C$1960,0)))</f>
        <v/>
      </c>
      <c r="P246" s="8">
        <f>IF(ISNA(MATCH(233,Engine!$C$2:$C$1960,0)),"",HYPERLINK("#Acts!A"&amp;INDEX('Compliance Database'!$P$2:$P$1960,MATCH(233,Engine!$C$2:$C$1960,0)),"Go to Act"))</f>
        <v/>
      </c>
    </row>
    <row r="247" ht="158" customHeight="1">
      <c r="A247" s="8">
        <f>IF(ISNA(MATCH(234,Engine!$C$2:$C$1960,0)),"",INDEX('Compliance Database'!$A$2:$A$1960,MATCH(234,Engine!$C$2:$C$1960,0)))</f>
        <v/>
      </c>
      <c r="B247" s="8">
        <f>IF(ISNA(MATCH(234,Engine!$C$2:$C$1960,0)),"",INDEX('Compliance Database'!$B$2:$B$1960,MATCH(234,Engine!$C$2:$C$1960,0)))</f>
        <v/>
      </c>
      <c r="C247" s="8">
        <f>IF(ISNA(MATCH(234,Engine!$C$2:$C$1960,0)),"",INDEX('Compliance Database'!$C$2:$C$1960,MATCH(234,Engine!$C$2:$C$1960,0)))</f>
        <v/>
      </c>
      <c r="D247" s="9">
        <f>IF(ISNA(MATCH(234,Engine!$C$2:$C$1960,0)),"",INDEX('Compliance Database'!$D$2:$D$1960,MATCH(234,Engine!$C$2:$C$1960,0)))</f>
        <v/>
      </c>
      <c r="E247" s="8">
        <f>IF(ISNA(MATCH(234,Engine!$C$2:$C$1960,0)),"",INDEX('Compliance Database'!$E$2:$E$1960,MATCH(234,Engine!$C$2:$C$1960,0)))</f>
        <v/>
      </c>
      <c r="F247" s="8">
        <f>IF(ISNA(MATCH(234,Engine!$C$2:$C$1960,0)),"",INDEX('Compliance Database'!$F$2:$F$1960,MATCH(234,Engine!$C$2:$C$1960,0)))</f>
        <v/>
      </c>
      <c r="G247" s="8">
        <f>IF(ISNA(MATCH(234,Engine!$C$2:$C$1960,0)),"",INDEX('Compliance Database'!$G$2:$G$1960,MATCH(234,Engine!$C$2:$C$1960,0)))</f>
        <v/>
      </c>
      <c r="H247" s="9">
        <f>IF(ISNA(MATCH(234,Engine!$C$2:$C$1960,0)),"",INDEX('Compliance Database'!$H$2:$H$1960,MATCH(234,Engine!$C$2:$C$1960,0)))</f>
        <v/>
      </c>
      <c r="I247" s="9">
        <f>IF(ISNA(MATCH(234,Engine!$C$2:$C$1960,0)),"",INDEX('Compliance Database'!$I$2:$I$1960,MATCH(234,Engine!$C$2:$C$1960,0)))</f>
        <v/>
      </c>
      <c r="J247" s="8">
        <f>IF(ISNA(MATCH(234,Engine!$C$2:$C$1960,0)),"",INDEX('Compliance Database'!$J$2:$J$1960,MATCH(234,Engine!$C$2:$C$1960,0)))</f>
        <v/>
      </c>
      <c r="K247" s="9">
        <f>IF(ISNA(MATCH(234,Engine!$C$2:$C$1960,0)),"",INDEX('Compliance Database'!$K$2:$K$1960,MATCH(234,Engine!$C$2:$C$1960,0)))</f>
        <v/>
      </c>
      <c r="L247" s="9">
        <f>IF(ISNA(MATCH(234,Engine!$C$2:$C$1960,0)),"",INDEX('Compliance Database'!$L$2:$L$1960,MATCH(234,Engine!$C$2:$C$1960,0)))</f>
        <v/>
      </c>
      <c r="M247" s="9">
        <f>IF(ISNA(MATCH(234,Engine!$C$2:$C$1960,0)),"",INDEX('Compliance Database'!$M$2:$M$1960,MATCH(234,Engine!$C$2:$C$1960,0)))</f>
        <v/>
      </c>
      <c r="N247" s="9">
        <f>IF(ISNA(MATCH(234,Engine!$C$2:$C$1960,0)),"",INDEX('Compliance Database'!$N$2:$N$1960,MATCH(234,Engine!$C$2:$C$1960,0)))</f>
        <v/>
      </c>
      <c r="O247" s="9">
        <f>IF(ISNA(MATCH(234,Engine!$C$2:$C$1960,0)),"",INDEX('Compliance Database'!$O$2:$O$1960,MATCH(234,Engine!$C$2:$C$1960,0)))</f>
        <v/>
      </c>
      <c r="P247" s="8">
        <f>IF(ISNA(MATCH(234,Engine!$C$2:$C$1960,0)),"",HYPERLINK("#Acts!A"&amp;INDEX('Compliance Database'!$P$2:$P$1960,MATCH(234,Engine!$C$2:$C$1960,0)),"Go to Act"))</f>
        <v/>
      </c>
    </row>
    <row r="248" ht="158" customHeight="1">
      <c r="A248" s="8">
        <f>IF(ISNA(MATCH(235,Engine!$C$2:$C$1960,0)),"",INDEX('Compliance Database'!$A$2:$A$1960,MATCH(235,Engine!$C$2:$C$1960,0)))</f>
        <v/>
      </c>
      <c r="B248" s="8">
        <f>IF(ISNA(MATCH(235,Engine!$C$2:$C$1960,0)),"",INDEX('Compliance Database'!$B$2:$B$1960,MATCH(235,Engine!$C$2:$C$1960,0)))</f>
        <v/>
      </c>
      <c r="C248" s="8">
        <f>IF(ISNA(MATCH(235,Engine!$C$2:$C$1960,0)),"",INDEX('Compliance Database'!$C$2:$C$1960,MATCH(235,Engine!$C$2:$C$1960,0)))</f>
        <v/>
      </c>
      <c r="D248" s="9">
        <f>IF(ISNA(MATCH(235,Engine!$C$2:$C$1960,0)),"",INDEX('Compliance Database'!$D$2:$D$1960,MATCH(235,Engine!$C$2:$C$1960,0)))</f>
        <v/>
      </c>
      <c r="E248" s="8">
        <f>IF(ISNA(MATCH(235,Engine!$C$2:$C$1960,0)),"",INDEX('Compliance Database'!$E$2:$E$1960,MATCH(235,Engine!$C$2:$C$1960,0)))</f>
        <v/>
      </c>
      <c r="F248" s="8">
        <f>IF(ISNA(MATCH(235,Engine!$C$2:$C$1960,0)),"",INDEX('Compliance Database'!$F$2:$F$1960,MATCH(235,Engine!$C$2:$C$1960,0)))</f>
        <v/>
      </c>
      <c r="G248" s="8">
        <f>IF(ISNA(MATCH(235,Engine!$C$2:$C$1960,0)),"",INDEX('Compliance Database'!$G$2:$G$1960,MATCH(235,Engine!$C$2:$C$1960,0)))</f>
        <v/>
      </c>
      <c r="H248" s="9">
        <f>IF(ISNA(MATCH(235,Engine!$C$2:$C$1960,0)),"",INDEX('Compliance Database'!$H$2:$H$1960,MATCH(235,Engine!$C$2:$C$1960,0)))</f>
        <v/>
      </c>
      <c r="I248" s="9">
        <f>IF(ISNA(MATCH(235,Engine!$C$2:$C$1960,0)),"",INDEX('Compliance Database'!$I$2:$I$1960,MATCH(235,Engine!$C$2:$C$1960,0)))</f>
        <v/>
      </c>
      <c r="J248" s="8">
        <f>IF(ISNA(MATCH(235,Engine!$C$2:$C$1960,0)),"",INDEX('Compliance Database'!$J$2:$J$1960,MATCH(235,Engine!$C$2:$C$1960,0)))</f>
        <v/>
      </c>
      <c r="K248" s="9">
        <f>IF(ISNA(MATCH(235,Engine!$C$2:$C$1960,0)),"",INDEX('Compliance Database'!$K$2:$K$1960,MATCH(235,Engine!$C$2:$C$1960,0)))</f>
        <v/>
      </c>
      <c r="L248" s="9">
        <f>IF(ISNA(MATCH(235,Engine!$C$2:$C$1960,0)),"",INDEX('Compliance Database'!$L$2:$L$1960,MATCH(235,Engine!$C$2:$C$1960,0)))</f>
        <v/>
      </c>
      <c r="M248" s="9">
        <f>IF(ISNA(MATCH(235,Engine!$C$2:$C$1960,0)),"",INDEX('Compliance Database'!$M$2:$M$1960,MATCH(235,Engine!$C$2:$C$1960,0)))</f>
        <v/>
      </c>
      <c r="N248" s="9">
        <f>IF(ISNA(MATCH(235,Engine!$C$2:$C$1960,0)),"",INDEX('Compliance Database'!$N$2:$N$1960,MATCH(235,Engine!$C$2:$C$1960,0)))</f>
        <v/>
      </c>
      <c r="O248" s="9">
        <f>IF(ISNA(MATCH(235,Engine!$C$2:$C$1960,0)),"",INDEX('Compliance Database'!$O$2:$O$1960,MATCH(235,Engine!$C$2:$C$1960,0)))</f>
        <v/>
      </c>
      <c r="P248" s="8">
        <f>IF(ISNA(MATCH(235,Engine!$C$2:$C$1960,0)),"",HYPERLINK("#Acts!A"&amp;INDEX('Compliance Database'!$P$2:$P$1960,MATCH(235,Engine!$C$2:$C$1960,0)),"Go to Act"))</f>
        <v/>
      </c>
    </row>
    <row r="249" ht="158" customHeight="1">
      <c r="A249" s="8">
        <f>IF(ISNA(MATCH(236,Engine!$C$2:$C$1960,0)),"",INDEX('Compliance Database'!$A$2:$A$1960,MATCH(236,Engine!$C$2:$C$1960,0)))</f>
        <v/>
      </c>
      <c r="B249" s="8">
        <f>IF(ISNA(MATCH(236,Engine!$C$2:$C$1960,0)),"",INDEX('Compliance Database'!$B$2:$B$1960,MATCH(236,Engine!$C$2:$C$1960,0)))</f>
        <v/>
      </c>
      <c r="C249" s="8">
        <f>IF(ISNA(MATCH(236,Engine!$C$2:$C$1960,0)),"",INDEX('Compliance Database'!$C$2:$C$1960,MATCH(236,Engine!$C$2:$C$1960,0)))</f>
        <v/>
      </c>
      <c r="D249" s="9">
        <f>IF(ISNA(MATCH(236,Engine!$C$2:$C$1960,0)),"",INDEX('Compliance Database'!$D$2:$D$1960,MATCH(236,Engine!$C$2:$C$1960,0)))</f>
        <v/>
      </c>
      <c r="E249" s="8">
        <f>IF(ISNA(MATCH(236,Engine!$C$2:$C$1960,0)),"",INDEX('Compliance Database'!$E$2:$E$1960,MATCH(236,Engine!$C$2:$C$1960,0)))</f>
        <v/>
      </c>
      <c r="F249" s="8">
        <f>IF(ISNA(MATCH(236,Engine!$C$2:$C$1960,0)),"",INDEX('Compliance Database'!$F$2:$F$1960,MATCH(236,Engine!$C$2:$C$1960,0)))</f>
        <v/>
      </c>
      <c r="G249" s="8">
        <f>IF(ISNA(MATCH(236,Engine!$C$2:$C$1960,0)),"",INDEX('Compliance Database'!$G$2:$G$1960,MATCH(236,Engine!$C$2:$C$1960,0)))</f>
        <v/>
      </c>
      <c r="H249" s="9">
        <f>IF(ISNA(MATCH(236,Engine!$C$2:$C$1960,0)),"",INDEX('Compliance Database'!$H$2:$H$1960,MATCH(236,Engine!$C$2:$C$1960,0)))</f>
        <v/>
      </c>
      <c r="I249" s="9">
        <f>IF(ISNA(MATCH(236,Engine!$C$2:$C$1960,0)),"",INDEX('Compliance Database'!$I$2:$I$1960,MATCH(236,Engine!$C$2:$C$1960,0)))</f>
        <v/>
      </c>
      <c r="J249" s="8">
        <f>IF(ISNA(MATCH(236,Engine!$C$2:$C$1960,0)),"",INDEX('Compliance Database'!$J$2:$J$1960,MATCH(236,Engine!$C$2:$C$1960,0)))</f>
        <v/>
      </c>
      <c r="K249" s="9">
        <f>IF(ISNA(MATCH(236,Engine!$C$2:$C$1960,0)),"",INDEX('Compliance Database'!$K$2:$K$1960,MATCH(236,Engine!$C$2:$C$1960,0)))</f>
        <v/>
      </c>
      <c r="L249" s="9">
        <f>IF(ISNA(MATCH(236,Engine!$C$2:$C$1960,0)),"",INDEX('Compliance Database'!$L$2:$L$1960,MATCH(236,Engine!$C$2:$C$1960,0)))</f>
        <v/>
      </c>
      <c r="M249" s="9">
        <f>IF(ISNA(MATCH(236,Engine!$C$2:$C$1960,0)),"",INDEX('Compliance Database'!$M$2:$M$1960,MATCH(236,Engine!$C$2:$C$1960,0)))</f>
        <v/>
      </c>
      <c r="N249" s="9">
        <f>IF(ISNA(MATCH(236,Engine!$C$2:$C$1960,0)),"",INDEX('Compliance Database'!$N$2:$N$1960,MATCH(236,Engine!$C$2:$C$1960,0)))</f>
        <v/>
      </c>
      <c r="O249" s="9">
        <f>IF(ISNA(MATCH(236,Engine!$C$2:$C$1960,0)),"",INDEX('Compliance Database'!$O$2:$O$1960,MATCH(236,Engine!$C$2:$C$1960,0)))</f>
        <v/>
      </c>
      <c r="P249" s="8">
        <f>IF(ISNA(MATCH(236,Engine!$C$2:$C$1960,0)),"",HYPERLINK("#Acts!A"&amp;INDEX('Compliance Database'!$P$2:$P$1960,MATCH(236,Engine!$C$2:$C$1960,0)),"Go to Act"))</f>
        <v/>
      </c>
    </row>
    <row r="250" ht="158" customHeight="1">
      <c r="A250" s="8">
        <f>IF(ISNA(MATCH(237,Engine!$C$2:$C$1960,0)),"",INDEX('Compliance Database'!$A$2:$A$1960,MATCH(237,Engine!$C$2:$C$1960,0)))</f>
        <v/>
      </c>
      <c r="B250" s="8">
        <f>IF(ISNA(MATCH(237,Engine!$C$2:$C$1960,0)),"",INDEX('Compliance Database'!$B$2:$B$1960,MATCH(237,Engine!$C$2:$C$1960,0)))</f>
        <v/>
      </c>
      <c r="C250" s="8">
        <f>IF(ISNA(MATCH(237,Engine!$C$2:$C$1960,0)),"",INDEX('Compliance Database'!$C$2:$C$1960,MATCH(237,Engine!$C$2:$C$1960,0)))</f>
        <v/>
      </c>
      <c r="D250" s="9">
        <f>IF(ISNA(MATCH(237,Engine!$C$2:$C$1960,0)),"",INDEX('Compliance Database'!$D$2:$D$1960,MATCH(237,Engine!$C$2:$C$1960,0)))</f>
        <v/>
      </c>
      <c r="E250" s="8">
        <f>IF(ISNA(MATCH(237,Engine!$C$2:$C$1960,0)),"",INDEX('Compliance Database'!$E$2:$E$1960,MATCH(237,Engine!$C$2:$C$1960,0)))</f>
        <v/>
      </c>
      <c r="F250" s="8">
        <f>IF(ISNA(MATCH(237,Engine!$C$2:$C$1960,0)),"",INDEX('Compliance Database'!$F$2:$F$1960,MATCH(237,Engine!$C$2:$C$1960,0)))</f>
        <v/>
      </c>
      <c r="G250" s="8">
        <f>IF(ISNA(MATCH(237,Engine!$C$2:$C$1960,0)),"",INDEX('Compliance Database'!$G$2:$G$1960,MATCH(237,Engine!$C$2:$C$1960,0)))</f>
        <v/>
      </c>
      <c r="H250" s="9">
        <f>IF(ISNA(MATCH(237,Engine!$C$2:$C$1960,0)),"",INDEX('Compliance Database'!$H$2:$H$1960,MATCH(237,Engine!$C$2:$C$1960,0)))</f>
        <v/>
      </c>
      <c r="I250" s="9">
        <f>IF(ISNA(MATCH(237,Engine!$C$2:$C$1960,0)),"",INDEX('Compliance Database'!$I$2:$I$1960,MATCH(237,Engine!$C$2:$C$1960,0)))</f>
        <v/>
      </c>
      <c r="J250" s="8">
        <f>IF(ISNA(MATCH(237,Engine!$C$2:$C$1960,0)),"",INDEX('Compliance Database'!$J$2:$J$1960,MATCH(237,Engine!$C$2:$C$1960,0)))</f>
        <v/>
      </c>
      <c r="K250" s="9">
        <f>IF(ISNA(MATCH(237,Engine!$C$2:$C$1960,0)),"",INDEX('Compliance Database'!$K$2:$K$1960,MATCH(237,Engine!$C$2:$C$1960,0)))</f>
        <v/>
      </c>
      <c r="L250" s="9">
        <f>IF(ISNA(MATCH(237,Engine!$C$2:$C$1960,0)),"",INDEX('Compliance Database'!$L$2:$L$1960,MATCH(237,Engine!$C$2:$C$1960,0)))</f>
        <v/>
      </c>
      <c r="M250" s="9">
        <f>IF(ISNA(MATCH(237,Engine!$C$2:$C$1960,0)),"",INDEX('Compliance Database'!$M$2:$M$1960,MATCH(237,Engine!$C$2:$C$1960,0)))</f>
        <v/>
      </c>
      <c r="N250" s="9">
        <f>IF(ISNA(MATCH(237,Engine!$C$2:$C$1960,0)),"",INDEX('Compliance Database'!$N$2:$N$1960,MATCH(237,Engine!$C$2:$C$1960,0)))</f>
        <v/>
      </c>
      <c r="O250" s="9">
        <f>IF(ISNA(MATCH(237,Engine!$C$2:$C$1960,0)),"",INDEX('Compliance Database'!$O$2:$O$1960,MATCH(237,Engine!$C$2:$C$1960,0)))</f>
        <v/>
      </c>
      <c r="P250" s="8">
        <f>IF(ISNA(MATCH(237,Engine!$C$2:$C$1960,0)),"",HYPERLINK("#Acts!A"&amp;INDEX('Compliance Database'!$P$2:$P$1960,MATCH(237,Engine!$C$2:$C$1960,0)),"Go to Act"))</f>
        <v/>
      </c>
    </row>
    <row r="251" ht="158" customHeight="1">
      <c r="A251" s="8">
        <f>IF(ISNA(MATCH(238,Engine!$C$2:$C$1960,0)),"",INDEX('Compliance Database'!$A$2:$A$1960,MATCH(238,Engine!$C$2:$C$1960,0)))</f>
        <v/>
      </c>
      <c r="B251" s="8">
        <f>IF(ISNA(MATCH(238,Engine!$C$2:$C$1960,0)),"",INDEX('Compliance Database'!$B$2:$B$1960,MATCH(238,Engine!$C$2:$C$1960,0)))</f>
        <v/>
      </c>
      <c r="C251" s="8">
        <f>IF(ISNA(MATCH(238,Engine!$C$2:$C$1960,0)),"",INDEX('Compliance Database'!$C$2:$C$1960,MATCH(238,Engine!$C$2:$C$1960,0)))</f>
        <v/>
      </c>
      <c r="D251" s="9">
        <f>IF(ISNA(MATCH(238,Engine!$C$2:$C$1960,0)),"",INDEX('Compliance Database'!$D$2:$D$1960,MATCH(238,Engine!$C$2:$C$1960,0)))</f>
        <v/>
      </c>
      <c r="E251" s="8">
        <f>IF(ISNA(MATCH(238,Engine!$C$2:$C$1960,0)),"",INDEX('Compliance Database'!$E$2:$E$1960,MATCH(238,Engine!$C$2:$C$1960,0)))</f>
        <v/>
      </c>
      <c r="F251" s="8">
        <f>IF(ISNA(MATCH(238,Engine!$C$2:$C$1960,0)),"",INDEX('Compliance Database'!$F$2:$F$1960,MATCH(238,Engine!$C$2:$C$1960,0)))</f>
        <v/>
      </c>
      <c r="G251" s="8">
        <f>IF(ISNA(MATCH(238,Engine!$C$2:$C$1960,0)),"",INDEX('Compliance Database'!$G$2:$G$1960,MATCH(238,Engine!$C$2:$C$1960,0)))</f>
        <v/>
      </c>
      <c r="H251" s="9">
        <f>IF(ISNA(MATCH(238,Engine!$C$2:$C$1960,0)),"",INDEX('Compliance Database'!$H$2:$H$1960,MATCH(238,Engine!$C$2:$C$1960,0)))</f>
        <v/>
      </c>
      <c r="I251" s="9">
        <f>IF(ISNA(MATCH(238,Engine!$C$2:$C$1960,0)),"",INDEX('Compliance Database'!$I$2:$I$1960,MATCH(238,Engine!$C$2:$C$1960,0)))</f>
        <v/>
      </c>
      <c r="J251" s="8">
        <f>IF(ISNA(MATCH(238,Engine!$C$2:$C$1960,0)),"",INDEX('Compliance Database'!$J$2:$J$1960,MATCH(238,Engine!$C$2:$C$1960,0)))</f>
        <v/>
      </c>
      <c r="K251" s="9">
        <f>IF(ISNA(MATCH(238,Engine!$C$2:$C$1960,0)),"",INDEX('Compliance Database'!$K$2:$K$1960,MATCH(238,Engine!$C$2:$C$1960,0)))</f>
        <v/>
      </c>
      <c r="L251" s="9">
        <f>IF(ISNA(MATCH(238,Engine!$C$2:$C$1960,0)),"",INDEX('Compliance Database'!$L$2:$L$1960,MATCH(238,Engine!$C$2:$C$1960,0)))</f>
        <v/>
      </c>
      <c r="M251" s="9">
        <f>IF(ISNA(MATCH(238,Engine!$C$2:$C$1960,0)),"",INDEX('Compliance Database'!$M$2:$M$1960,MATCH(238,Engine!$C$2:$C$1960,0)))</f>
        <v/>
      </c>
      <c r="N251" s="9">
        <f>IF(ISNA(MATCH(238,Engine!$C$2:$C$1960,0)),"",INDEX('Compliance Database'!$N$2:$N$1960,MATCH(238,Engine!$C$2:$C$1960,0)))</f>
        <v/>
      </c>
      <c r="O251" s="9">
        <f>IF(ISNA(MATCH(238,Engine!$C$2:$C$1960,0)),"",INDEX('Compliance Database'!$O$2:$O$1960,MATCH(238,Engine!$C$2:$C$1960,0)))</f>
        <v/>
      </c>
      <c r="P251" s="8">
        <f>IF(ISNA(MATCH(238,Engine!$C$2:$C$1960,0)),"",HYPERLINK("#Acts!A"&amp;INDEX('Compliance Database'!$P$2:$P$1960,MATCH(238,Engine!$C$2:$C$1960,0)),"Go to Act"))</f>
        <v/>
      </c>
    </row>
    <row r="252" ht="158" customHeight="1">
      <c r="A252" s="8">
        <f>IF(ISNA(MATCH(239,Engine!$C$2:$C$1960,0)),"",INDEX('Compliance Database'!$A$2:$A$1960,MATCH(239,Engine!$C$2:$C$1960,0)))</f>
        <v/>
      </c>
      <c r="B252" s="8">
        <f>IF(ISNA(MATCH(239,Engine!$C$2:$C$1960,0)),"",INDEX('Compliance Database'!$B$2:$B$1960,MATCH(239,Engine!$C$2:$C$1960,0)))</f>
        <v/>
      </c>
      <c r="C252" s="8">
        <f>IF(ISNA(MATCH(239,Engine!$C$2:$C$1960,0)),"",INDEX('Compliance Database'!$C$2:$C$1960,MATCH(239,Engine!$C$2:$C$1960,0)))</f>
        <v/>
      </c>
      <c r="D252" s="9">
        <f>IF(ISNA(MATCH(239,Engine!$C$2:$C$1960,0)),"",INDEX('Compliance Database'!$D$2:$D$1960,MATCH(239,Engine!$C$2:$C$1960,0)))</f>
        <v/>
      </c>
      <c r="E252" s="8">
        <f>IF(ISNA(MATCH(239,Engine!$C$2:$C$1960,0)),"",INDEX('Compliance Database'!$E$2:$E$1960,MATCH(239,Engine!$C$2:$C$1960,0)))</f>
        <v/>
      </c>
      <c r="F252" s="8">
        <f>IF(ISNA(MATCH(239,Engine!$C$2:$C$1960,0)),"",INDEX('Compliance Database'!$F$2:$F$1960,MATCH(239,Engine!$C$2:$C$1960,0)))</f>
        <v/>
      </c>
      <c r="G252" s="8">
        <f>IF(ISNA(MATCH(239,Engine!$C$2:$C$1960,0)),"",INDEX('Compliance Database'!$G$2:$G$1960,MATCH(239,Engine!$C$2:$C$1960,0)))</f>
        <v/>
      </c>
      <c r="H252" s="9">
        <f>IF(ISNA(MATCH(239,Engine!$C$2:$C$1960,0)),"",INDEX('Compliance Database'!$H$2:$H$1960,MATCH(239,Engine!$C$2:$C$1960,0)))</f>
        <v/>
      </c>
      <c r="I252" s="9">
        <f>IF(ISNA(MATCH(239,Engine!$C$2:$C$1960,0)),"",INDEX('Compliance Database'!$I$2:$I$1960,MATCH(239,Engine!$C$2:$C$1960,0)))</f>
        <v/>
      </c>
      <c r="J252" s="8">
        <f>IF(ISNA(MATCH(239,Engine!$C$2:$C$1960,0)),"",INDEX('Compliance Database'!$J$2:$J$1960,MATCH(239,Engine!$C$2:$C$1960,0)))</f>
        <v/>
      </c>
      <c r="K252" s="9">
        <f>IF(ISNA(MATCH(239,Engine!$C$2:$C$1960,0)),"",INDEX('Compliance Database'!$K$2:$K$1960,MATCH(239,Engine!$C$2:$C$1960,0)))</f>
        <v/>
      </c>
      <c r="L252" s="9">
        <f>IF(ISNA(MATCH(239,Engine!$C$2:$C$1960,0)),"",INDEX('Compliance Database'!$L$2:$L$1960,MATCH(239,Engine!$C$2:$C$1960,0)))</f>
        <v/>
      </c>
      <c r="M252" s="9">
        <f>IF(ISNA(MATCH(239,Engine!$C$2:$C$1960,0)),"",INDEX('Compliance Database'!$M$2:$M$1960,MATCH(239,Engine!$C$2:$C$1960,0)))</f>
        <v/>
      </c>
      <c r="N252" s="9">
        <f>IF(ISNA(MATCH(239,Engine!$C$2:$C$1960,0)),"",INDEX('Compliance Database'!$N$2:$N$1960,MATCH(239,Engine!$C$2:$C$1960,0)))</f>
        <v/>
      </c>
      <c r="O252" s="9">
        <f>IF(ISNA(MATCH(239,Engine!$C$2:$C$1960,0)),"",INDEX('Compliance Database'!$O$2:$O$1960,MATCH(239,Engine!$C$2:$C$1960,0)))</f>
        <v/>
      </c>
      <c r="P252" s="8">
        <f>IF(ISNA(MATCH(239,Engine!$C$2:$C$1960,0)),"",HYPERLINK("#Acts!A"&amp;INDEX('Compliance Database'!$P$2:$P$1960,MATCH(239,Engine!$C$2:$C$1960,0)),"Go to Act"))</f>
        <v/>
      </c>
    </row>
    <row r="253" ht="158" customHeight="1">
      <c r="A253" s="8">
        <f>IF(ISNA(MATCH(240,Engine!$C$2:$C$1960,0)),"",INDEX('Compliance Database'!$A$2:$A$1960,MATCH(240,Engine!$C$2:$C$1960,0)))</f>
        <v/>
      </c>
      <c r="B253" s="8">
        <f>IF(ISNA(MATCH(240,Engine!$C$2:$C$1960,0)),"",INDEX('Compliance Database'!$B$2:$B$1960,MATCH(240,Engine!$C$2:$C$1960,0)))</f>
        <v/>
      </c>
      <c r="C253" s="8">
        <f>IF(ISNA(MATCH(240,Engine!$C$2:$C$1960,0)),"",INDEX('Compliance Database'!$C$2:$C$1960,MATCH(240,Engine!$C$2:$C$1960,0)))</f>
        <v/>
      </c>
      <c r="D253" s="9">
        <f>IF(ISNA(MATCH(240,Engine!$C$2:$C$1960,0)),"",INDEX('Compliance Database'!$D$2:$D$1960,MATCH(240,Engine!$C$2:$C$1960,0)))</f>
        <v/>
      </c>
      <c r="E253" s="8">
        <f>IF(ISNA(MATCH(240,Engine!$C$2:$C$1960,0)),"",INDEX('Compliance Database'!$E$2:$E$1960,MATCH(240,Engine!$C$2:$C$1960,0)))</f>
        <v/>
      </c>
      <c r="F253" s="8">
        <f>IF(ISNA(MATCH(240,Engine!$C$2:$C$1960,0)),"",INDEX('Compliance Database'!$F$2:$F$1960,MATCH(240,Engine!$C$2:$C$1960,0)))</f>
        <v/>
      </c>
      <c r="G253" s="8">
        <f>IF(ISNA(MATCH(240,Engine!$C$2:$C$1960,0)),"",INDEX('Compliance Database'!$G$2:$G$1960,MATCH(240,Engine!$C$2:$C$1960,0)))</f>
        <v/>
      </c>
      <c r="H253" s="9">
        <f>IF(ISNA(MATCH(240,Engine!$C$2:$C$1960,0)),"",INDEX('Compliance Database'!$H$2:$H$1960,MATCH(240,Engine!$C$2:$C$1960,0)))</f>
        <v/>
      </c>
      <c r="I253" s="9">
        <f>IF(ISNA(MATCH(240,Engine!$C$2:$C$1960,0)),"",INDEX('Compliance Database'!$I$2:$I$1960,MATCH(240,Engine!$C$2:$C$1960,0)))</f>
        <v/>
      </c>
      <c r="J253" s="8">
        <f>IF(ISNA(MATCH(240,Engine!$C$2:$C$1960,0)),"",INDEX('Compliance Database'!$J$2:$J$1960,MATCH(240,Engine!$C$2:$C$1960,0)))</f>
        <v/>
      </c>
      <c r="K253" s="9">
        <f>IF(ISNA(MATCH(240,Engine!$C$2:$C$1960,0)),"",INDEX('Compliance Database'!$K$2:$K$1960,MATCH(240,Engine!$C$2:$C$1960,0)))</f>
        <v/>
      </c>
      <c r="L253" s="9">
        <f>IF(ISNA(MATCH(240,Engine!$C$2:$C$1960,0)),"",INDEX('Compliance Database'!$L$2:$L$1960,MATCH(240,Engine!$C$2:$C$1960,0)))</f>
        <v/>
      </c>
      <c r="M253" s="9">
        <f>IF(ISNA(MATCH(240,Engine!$C$2:$C$1960,0)),"",INDEX('Compliance Database'!$M$2:$M$1960,MATCH(240,Engine!$C$2:$C$1960,0)))</f>
        <v/>
      </c>
      <c r="N253" s="9">
        <f>IF(ISNA(MATCH(240,Engine!$C$2:$C$1960,0)),"",INDEX('Compliance Database'!$N$2:$N$1960,MATCH(240,Engine!$C$2:$C$1960,0)))</f>
        <v/>
      </c>
      <c r="O253" s="9">
        <f>IF(ISNA(MATCH(240,Engine!$C$2:$C$1960,0)),"",INDEX('Compliance Database'!$O$2:$O$1960,MATCH(240,Engine!$C$2:$C$1960,0)))</f>
        <v/>
      </c>
      <c r="P253" s="8">
        <f>IF(ISNA(MATCH(240,Engine!$C$2:$C$1960,0)),"",HYPERLINK("#Acts!A"&amp;INDEX('Compliance Database'!$P$2:$P$1960,MATCH(240,Engine!$C$2:$C$1960,0)),"Go to Act"))</f>
        <v/>
      </c>
    </row>
    <row r="254" ht="158" customHeight="1">
      <c r="A254" s="8">
        <f>IF(ISNA(MATCH(241,Engine!$C$2:$C$1960,0)),"",INDEX('Compliance Database'!$A$2:$A$1960,MATCH(241,Engine!$C$2:$C$1960,0)))</f>
        <v/>
      </c>
      <c r="B254" s="8">
        <f>IF(ISNA(MATCH(241,Engine!$C$2:$C$1960,0)),"",INDEX('Compliance Database'!$B$2:$B$1960,MATCH(241,Engine!$C$2:$C$1960,0)))</f>
        <v/>
      </c>
      <c r="C254" s="8">
        <f>IF(ISNA(MATCH(241,Engine!$C$2:$C$1960,0)),"",INDEX('Compliance Database'!$C$2:$C$1960,MATCH(241,Engine!$C$2:$C$1960,0)))</f>
        <v/>
      </c>
      <c r="D254" s="9">
        <f>IF(ISNA(MATCH(241,Engine!$C$2:$C$1960,0)),"",INDEX('Compliance Database'!$D$2:$D$1960,MATCH(241,Engine!$C$2:$C$1960,0)))</f>
        <v/>
      </c>
      <c r="E254" s="8">
        <f>IF(ISNA(MATCH(241,Engine!$C$2:$C$1960,0)),"",INDEX('Compliance Database'!$E$2:$E$1960,MATCH(241,Engine!$C$2:$C$1960,0)))</f>
        <v/>
      </c>
      <c r="F254" s="8">
        <f>IF(ISNA(MATCH(241,Engine!$C$2:$C$1960,0)),"",INDEX('Compliance Database'!$F$2:$F$1960,MATCH(241,Engine!$C$2:$C$1960,0)))</f>
        <v/>
      </c>
      <c r="G254" s="8">
        <f>IF(ISNA(MATCH(241,Engine!$C$2:$C$1960,0)),"",INDEX('Compliance Database'!$G$2:$G$1960,MATCH(241,Engine!$C$2:$C$1960,0)))</f>
        <v/>
      </c>
      <c r="H254" s="9">
        <f>IF(ISNA(MATCH(241,Engine!$C$2:$C$1960,0)),"",INDEX('Compliance Database'!$H$2:$H$1960,MATCH(241,Engine!$C$2:$C$1960,0)))</f>
        <v/>
      </c>
      <c r="I254" s="9">
        <f>IF(ISNA(MATCH(241,Engine!$C$2:$C$1960,0)),"",INDEX('Compliance Database'!$I$2:$I$1960,MATCH(241,Engine!$C$2:$C$1960,0)))</f>
        <v/>
      </c>
      <c r="J254" s="8">
        <f>IF(ISNA(MATCH(241,Engine!$C$2:$C$1960,0)),"",INDEX('Compliance Database'!$J$2:$J$1960,MATCH(241,Engine!$C$2:$C$1960,0)))</f>
        <v/>
      </c>
      <c r="K254" s="9">
        <f>IF(ISNA(MATCH(241,Engine!$C$2:$C$1960,0)),"",INDEX('Compliance Database'!$K$2:$K$1960,MATCH(241,Engine!$C$2:$C$1960,0)))</f>
        <v/>
      </c>
      <c r="L254" s="9">
        <f>IF(ISNA(MATCH(241,Engine!$C$2:$C$1960,0)),"",INDEX('Compliance Database'!$L$2:$L$1960,MATCH(241,Engine!$C$2:$C$1960,0)))</f>
        <v/>
      </c>
      <c r="M254" s="9">
        <f>IF(ISNA(MATCH(241,Engine!$C$2:$C$1960,0)),"",INDEX('Compliance Database'!$M$2:$M$1960,MATCH(241,Engine!$C$2:$C$1960,0)))</f>
        <v/>
      </c>
      <c r="N254" s="9">
        <f>IF(ISNA(MATCH(241,Engine!$C$2:$C$1960,0)),"",INDEX('Compliance Database'!$N$2:$N$1960,MATCH(241,Engine!$C$2:$C$1960,0)))</f>
        <v/>
      </c>
      <c r="O254" s="9">
        <f>IF(ISNA(MATCH(241,Engine!$C$2:$C$1960,0)),"",INDEX('Compliance Database'!$O$2:$O$1960,MATCH(241,Engine!$C$2:$C$1960,0)))</f>
        <v/>
      </c>
      <c r="P254" s="8">
        <f>IF(ISNA(MATCH(241,Engine!$C$2:$C$1960,0)),"",HYPERLINK("#Acts!A"&amp;INDEX('Compliance Database'!$P$2:$P$1960,MATCH(241,Engine!$C$2:$C$1960,0)),"Go to Act"))</f>
        <v/>
      </c>
    </row>
    <row r="255" ht="158" customHeight="1">
      <c r="A255" s="8">
        <f>IF(ISNA(MATCH(242,Engine!$C$2:$C$1960,0)),"",INDEX('Compliance Database'!$A$2:$A$1960,MATCH(242,Engine!$C$2:$C$1960,0)))</f>
        <v/>
      </c>
      <c r="B255" s="8">
        <f>IF(ISNA(MATCH(242,Engine!$C$2:$C$1960,0)),"",INDEX('Compliance Database'!$B$2:$B$1960,MATCH(242,Engine!$C$2:$C$1960,0)))</f>
        <v/>
      </c>
      <c r="C255" s="8">
        <f>IF(ISNA(MATCH(242,Engine!$C$2:$C$1960,0)),"",INDEX('Compliance Database'!$C$2:$C$1960,MATCH(242,Engine!$C$2:$C$1960,0)))</f>
        <v/>
      </c>
      <c r="D255" s="9">
        <f>IF(ISNA(MATCH(242,Engine!$C$2:$C$1960,0)),"",INDEX('Compliance Database'!$D$2:$D$1960,MATCH(242,Engine!$C$2:$C$1960,0)))</f>
        <v/>
      </c>
      <c r="E255" s="8">
        <f>IF(ISNA(MATCH(242,Engine!$C$2:$C$1960,0)),"",INDEX('Compliance Database'!$E$2:$E$1960,MATCH(242,Engine!$C$2:$C$1960,0)))</f>
        <v/>
      </c>
      <c r="F255" s="8">
        <f>IF(ISNA(MATCH(242,Engine!$C$2:$C$1960,0)),"",INDEX('Compliance Database'!$F$2:$F$1960,MATCH(242,Engine!$C$2:$C$1960,0)))</f>
        <v/>
      </c>
      <c r="G255" s="8">
        <f>IF(ISNA(MATCH(242,Engine!$C$2:$C$1960,0)),"",INDEX('Compliance Database'!$G$2:$G$1960,MATCH(242,Engine!$C$2:$C$1960,0)))</f>
        <v/>
      </c>
      <c r="H255" s="9">
        <f>IF(ISNA(MATCH(242,Engine!$C$2:$C$1960,0)),"",INDEX('Compliance Database'!$H$2:$H$1960,MATCH(242,Engine!$C$2:$C$1960,0)))</f>
        <v/>
      </c>
      <c r="I255" s="9">
        <f>IF(ISNA(MATCH(242,Engine!$C$2:$C$1960,0)),"",INDEX('Compliance Database'!$I$2:$I$1960,MATCH(242,Engine!$C$2:$C$1960,0)))</f>
        <v/>
      </c>
      <c r="J255" s="8">
        <f>IF(ISNA(MATCH(242,Engine!$C$2:$C$1960,0)),"",INDEX('Compliance Database'!$J$2:$J$1960,MATCH(242,Engine!$C$2:$C$1960,0)))</f>
        <v/>
      </c>
      <c r="K255" s="9">
        <f>IF(ISNA(MATCH(242,Engine!$C$2:$C$1960,0)),"",INDEX('Compliance Database'!$K$2:$K$1960,MATCH(242,Engine!$C$2:$C$1960,0)))</f>
        <v/>
      </c>
      <c r="L255" s="9">
        <f>IF(ISNA(MATCH(242,Engine!$C$2:$C$1960,0)),"",INDEX('Compliance Database'!$L$2:$L$1960,MATCH(242,Engine!$C$2:$C$1960,0)))</f>
        <v/>
      </c>
      <c r="M255" s="9">
        <f>IF(ISNA(MATCH(242,Engine!$C$2:$C$1960,0)),"",INDEX('Compliance Database'!$M$2:$M$1960,MATCH(242,Engine!$C$2:$C$1960,0)))</f>
        <v/>
      </c>
      <c r="N255" s="9">
        <f>IF(ISNA(MATCH(242,Engine!$C$2:$C$1960,0)),"",INDEX('Compliance Database'!$N$2:$N$1960,MATCH(242,Engine!$C$2:$C$1960,0)))</f>
        <v/>
      </c>
      <c r="O255" s="9">
        <f>IF(ISNA(MATCH(242,Engine!$C$2:$C$1960,0)),"",INDEX('Compliance Database'!$O$2:$O$1960,MATCH(242,Engine!$C$2:$C$1960,0)))</f>
        <v/>
      </c>
      <c r="P255" s="8">
        <f>IF(ISNA(MATCH(242,Engine!$C$2:$C$1960,0)),"",HYPERLINK("#Acts!A"&amp;INDEX('Compliance Database'!$P$2:$P$1960,MATCH(242,Engine!$C$2:$C$1960,0)),"Go to Act"))</f>
        <v/>
      </c>
    </row>
    <row r="256" ht="158" customHeight="1">
      <c r="A256" s="8">
        <f>IF(ISNA(MATCH(243,Engine!$C$2:$C$1960,0)),"",INDEX('Compliance Database'!$A$2:$A$1960,MATCH(243,Engine!$C$2:$C$1960,0)))</f>
        <v/>
      </c>
      <c r="B256" s="8">
        <f>IF(ISNA(MATCH(243,Engine!$C$2:$C$1960,0)),"",INDEX('Compliance Database'!$B$2:$B$1960,MATCH(243,Engine!$C$2:$C$1960,0)))</f>
        <v/>
      </c>
      <c r="C256" s="8">
        <f>IF(ISNA(MATCH(243,Engine!$C$2:$C$1960,0)),"",INDEX('Compliance Database'!$C$2:$C$1960,MATCH(243,Engine!$C$2:$C$1960,0)))</f>
        <v/>
      </c>
      <c r="D256" s="9">
        <f>IF(ISNA(MATCH(243,Engine!$C$2:$C$1960,0)),"",INDEX('Compliance Database'!$D$2:$D$1960,MATCH(243,Engine!$C$2:$C$1960,0)))</f>
        <v/>
      </c>
      <c r="E256" s="8">
        <f>IF(ISNA(MATCH(243,Engine!$C$2:$C$1960,0)),"",INDEX('Compliance Database'!$E$2:$E$1960,MATCH(243,Engine!$C$2:$C$1960,0)))</f>
        <v/>
      </c>
      <c r="F256" s="8">
        <f>IF(ISNA(MATCH(243,Engine!$C$2:$C$1960,0)),"",INDEX('Compliance Database'!$F$2:$F$1960,MATCH(243,Engine!$C$2:$C$1960,0)))</f>
        <v/>
      </c>
      <c r="G256" s="8">
        <f>IF(ISNA(MATCH(243,Engine!$C$2:$C$1960,0)),"",INDEX('Compliance Database'!$G$2:$G$1960,MATCH(243,Engine!$C$2:$C$1960,0)))</f>
        <v/>
      </c>
      <c r="H256" s="9">
        <f>IF(ISNA(MATCH(243,Engine!$C$2:$C$1960,0)),"",INDEX('Compliance Database'!$H$2:$H$1960,MATCH(243,Engine!$C$2:$C$1960,0)))</f>
        <v/>
      </c>
      <c r="I256" s="9">
        <f>IF(ISNA(MATCH(243,Engine!$C$2:$C$1960,0)),"",INDEX('Compliance Database'!$I$2:$I$1960,MATCH(243,Engine!$C$2:$C$1960,0)))</f>
        <v/>
      </c>
      <c r="J256" s="8">
        <f>IF(ISNA(MATCH(243,Engine!$C$2:$C$1960,0)),"",INDEX('Compliance Database'!$J$2:$J$1960,MATCH(243,Engine!$C$2:$C$1960,0)))</f>
        <v/>
      </c>
      <c r="K256" s="9">
        <f>IF(ISNA(MATCH(243,Engine!$C$2:$C$1960,0)),"",INDEX('Compliance Database'!$K$2:$K$1960,MATCH(243,Engine!$C$2:$C$1960,0)))</f>
        <v/>
      </c>
      <c r="L256" s="9">
        <f>IF(ISNA(MATCH(243,Engine!$C$2:$C$1960,0)),"",INDEX('Compliance Database'!$L$2:$L$1960,MATCH(243,Engine!$C$2:$C$1960,0)))</f>
        <v/>
      </c>
      <c r="M256" s="9">
        <f>IF(ISNA(MATCH(243,Engine!$C$2:$C$1960,0)),"",INDEX('Compliance Database'!$M$2:$M$1960,MATCH(243,Engine!$C$2:$C$1960,0)))</f>
        <v/>
      </c>
      <c r="N256" s="9">
        <f>IF(ISNA(MATCH(243,Engine!$C$2:$C$1960,0)),"",INDEX('Compliance Database'!$N$2:$N$1960,MATCH(243,Engine!$C$2:$C$1960,0)))</f>
        <v/>
      </c>
      <c r="O256" s="9">
        <f>IF(ISNA(MATCH(243,Engine!$C$2:$C$1960,0)),"",INDEX('Compliance Database'!$O$2:$O$1960,MATCH(243,Engine!$C$2:$C$1960,0)))</f>
        <v/>
      </c>
      <c r="P256" s="8">
        <f>IF(ISNA(MATCH(243,Engine!$C$2:$C$1960,0)),"",HYPERLINK("#Acts!A"&amp;INDEX('Compliance Database'!$P$2:$P$1960,MATCH(243,Engine!$C$2:$C$1960,0)),"Go to Act"))</f>
        <v/>
      </c>
    </row>
    <row r="257" ht="158" customHeight="1">
      <c r="A257" s="8">
        <f>IF(ISNA(MATCH(244,Engine!$C$2:$C$1960,0)),"",INDEX('Compliance Database'!$A$2:$A$1960,MATCH(244,Engine!$C$2:$C$1960,0)))</f>
        <v/>
      </c>
      <c r="B257" s="8">
        <f>IF(ISNA(MATCH(244,Engine!$C$2:$C$1960,0)),"",INDEX('Compliance Database'!$B$2:$B$1960,MATCH(244,Engine!$C$2:$C$1960,0)))</f>
        <v/>
      </c>
      <c r="C257" s="8">
        <f>IF(ISNA(MATCH(244,Engine!$C$2:$C$1960,0)),"",INDEX('Compliance Database'!$C$2:$C$1960,MATCH(244,Engine!$C$2:$C$1960,0)))</f>
        <v/>
      </c>
      <c r="D257" s="9">
        <f>IF(ISNA(MATCH(244,Engine!$C$2:$C$1960,0)),"",INDEX('Compliance Database'!$D$2:$D$1960,MATCH(244,Engine!$C$2:$C$1960,0)))</f>
        <v/>
      </c>
      <c r="E257" s="8">
        <f>IF(ISNA(MATCH(244,Engine!$C$2:$C$1960,0)),"",INDEX('Compliance Database'!$E$2:$E$1960,MATCH(244,Engine!$C$2:$C$1960,0)))</f>
        <v/>
      </c>
      <c r="F257" s="8">
        <f>IF(ISNA(MATCH(244,Engine!$C$2:$C$1960,0)),"",INDEX('Compliance Database'!$F$2:$F$1960,MATCH(244,Engine!$C$2:$C$1960,0)))</f>
        <v/>
      </c>
      <c r="G257" s="8">
        <f>IF(ISNA(MATCH(244,Engine!$C$2:$C$1960,0)),"",INDEX('Compliance Database'!$G$2:$G$1960,MATCH(244,Engine!$C$2:$C$1960,0)))</f>
        <v/>
      </c>
      <c r="H257" s="9">
        <f>IF(ISNA(MATCH(244,Engine!$C$2:$C$1960,0)),"",INDEX('Compliance Database'!$H$2:$H$1960,MATCH(244,Engine!$C$2:$C$1960,0)))</f>
        <v/>
      </c>
      <c r="I257" s="9">
        <f>IF(ISNA(MATCH(244,Engine!$C$2:$C$1960,0)),"",INDEX('Compliance Database'!$I$2:$I$1960,MATCH(244,Engine!$C$2:$C$1960,0)))</f>
        <v/>
      </c>
      <c r="J257" s="8">
        <f>IF(ISNA(MATCH(244,Engine!$C$2:$C$1960,0)),"",INDEX('Compliance Database'!$J$2:$J$1960,MATCH(244,Engine!$C$2:$C$1960,0)))</f>
        <v/>
      </c>
      <c r="K257" s="9">
        <f>IF(ISNA(MATCH(244,Engine!$C$2:$C$1960,0)),"",INDEX('Compliance Database'!$K$2:$K$1960,MATCH(244,Engine!$C$2:$C$1960,0)))</f>
        <v/>
      </c>
      <c r="L257" s="9">
        <f>IF(ISNA(MATCH(244,Engine!$C$2:$C$1960,0)),"",INDEX('Compliance Database'!$L$2:$L$1960,MATCH(244,Engine!$C$2:$C$1960,0)))</f>
        <v/>
      </c>
      <c r="M257" s="9">
        <f>IF(ISNA(MATCH(244,Engine!$C$2:$C$1960,0)),"",INDEX('Compliance Database'!$M$2:$M$1960,MATCH(244,Engine!$C$2:$C$1960,0)))</f>
        <v/>
      </c>
      <c r="N257" s="9">
        <f>IF(ISNA(MATCH(244,Engine!$C$2:$C$1960,0)),"",INDEX('Compliance Database'!$N$2:$N$1960,MATCH(244,Engine!$C$2:$C$1960,0)))</f>
        <v/>
      </c>
      <c r="O257" s="9">
        <f>IF(ISNA(MATCH(244,Engine!$C$2:$C$1960,0)),"",INDEX('Compliance Database'!$O$2:$O$1960,MATCH(244,Engine!$C$2:$C$1960,0)))</f>
        <v/>
      </c>
      <c r="P257" s="8">
        <f>IF(ISNA(MATCH(244,Engine!$C$2:$C$1960,0)),"",HYPERLINK("#Acts!A"&amp;INDEX('Compliance Database'!$P$2:$P$1960,MATCH(244,Engine!$C$2:$C$1960,0)),"Go to Act"))</f>
        <v/>
      </c>
    </row>
    <row r="258" ht="158" customHeight="1">
      <c r="A258" s="8">
        <f>IF(ISNA(MATCH(245,Engine!$C$2:$C$1960,0)),"",INDEX('Compliance Database'!$A$2:$A$1960,MATCH(245,Engine!$C$2:$C$1960,0)))</f>
        <v/>
      </c>
      <c r="B258" s="8">
        <f>IF(ISNA(MATCH(245,Engine!$C$2:$C$1960,0)),"",INDEX('Compliance Database'!$B$2:$B$1960,MATCH(245,Engine!$C$2:$C$1960,0)))</f>
        <v/>
      </c>
      <c r="C258" s="8">
        <f>IF(ISNA(MATCH(245,Engine!$C$2:$C$1960,0)),"",INDEX('Compliance Database'!$C$2:$C$1960,MATCH(245,Engine!$C$2:$C$1960,0)))</f>
        <v/>
      </c>
      <c r="D258" s="9">
        <f>IF(ISNA(MATCH(245,Engine!$C$2:$C$1960,0)),"",INDEX('Compliance Database'!$D$2:$D$1960,MATCH(245,Engine!$C$2:$C$1960,0)))</f>
        <v/>
      </c>
      <c r="E258" s="8">
        <f>IF(ISNA(MATCH(245,Engine!$C$2:$C$1960,0)),"",INDEX('Compliance Database'!$E$2:$E$1960,MATCH(245,Engine!$C$2:$C$1960,0)))</f>
        <v/>
      </c>
      <c r="F258" s="8">
        <f>IF(ISNA(MATCH(245,Engine!$C$2:$C$1960,0)),"",INDEX('Compliance Database'!$F$2:$F$1960,MATCH(245,Engine!$C$2:$C$1960,0)))</f>
        <v/>
      </c>
      <c r="G258" s="8">
        <f>IF(ISNA(MATCH(245,Engine!$C$2:$C$1960,0)),"",INDEX('Compliance Database'!$G$2:$G$1960,MATCH(245,Engine!$C$2:$C$1960,0)))</f>
        <v/>
      </c>
      <c r="H258" s="9">
        <f>IF(ISNA(MATCH(245,Engine!$C$2:$C$1960,0)),"",INDEX('Compliance Database'!$H$2:$H$1960,MATCH(245,Engine!$C$2:$C$1960,0)))</f>
        <v/>
      </c>
      <c r="I258" s="9">
        <f>IF(ISNA(MATCH(245,Engine!$C$2:$C$1960,0)),"",INDEX('Compliance Database'!$I$2:$I$1960,MATCH(245,Engine!$C$2:$C$1960,0)))</f>
        <v/>
      </c>
      <c r="J258" s="8">
        <f>IF(ISNA(MATCH(245,Engine!$C$2:$C$1960,0)),"",INDEX('Compliance Database'!$J$2:$J$1960,MATCH(245,Engine!$C$2:$C$1960,0)))</f>
        <v/>
      </c>
      <c r="K258" s="9">
        <f>IF(ISNA(MATCH(245,Engine!$C$2:$C$1960,0)),"",INDEX('Compliance Database'!$K$2:$K$1960,MATCH(245,Engine!$C$2:$C$1960,0)))</f>
        <v/>
      </c>
      <c r="L258" s="9">
        <f>IF(ISNA(MATCH(245,Engine!$C$2:$C$1960,0)),"",INDEX('Compliance Database'!$L$2:$L$1960,MATCH(245,Engine!$C$2:$C$1960,0)))</f>
        <v/>
      </c>
      <c r="M258" s="9">
        <f>IF(ISNA(MATCH(245,Engine!$C$2:$C$1960,0)),"",INDEX('Compliance Database'!$M$2:$M$1960,MATCH(245,Engine!$C$2:$C$1960,0)))</f>
        <v/>
      </c>
      <c r="N258" s="9">
        <f>IF(ISNA(MATCH(245,Engine!$C$2:$C$1960,0)),"",INDEX('Compliance Database'!$N$2:$N$1960,MATCH(245,Engine!$C$2:$C$1960,0)))</f>
        <v/>
      </c>
      <c r="O258" s="9">
        <f>IF(ISNA(MATCH(245,Engine!$C$2:$C$1960,0)),"",INDEX('Compliance Database'!$O$2:$O$1960,MATCH(245,Engine!$C$2:$C$1960,0)))</f>
        <v/>
      </c>
      <c r="P258" s="8">
        <f>IF(ISNA(MATCH(245,Engine!$C$2:$C$1960,0)),"",HYPERLINK("#Acts!A"&amp;INDEX('Compliance Database'!$P$2:$P$1960,MATCH(245,Engine!$C$2:$C$1960,0)),"Go to Act"))</f>
        <v/>
      </c>
    </row>
    <row r="259" ht="158" customHeight="1">
      <c r="A259" s="8">
        <f>IF(ISNA(MATCH(246,Engine!$C$2:$C$1960,0)),"",INDEX('Compliance Database'!$A$2:$A$1960,MATCH(246,Engine!$C$2:$C$1960,0)))</f>
        <v/>
      </c>
      <c r="B259" s="8">
        <f>IF(ISNA(MATCH(246,Engine!$C$2:$C$1960,0)),"",INDEX('Compliance Database'!$B$2:$B$1960,MATCH(246,Engine!$C$2:$C$1960,0)))</f>
        <v/>
      </c>
      <c r="C259" s="8">
        <f>IF(ISNA(MATCH(246,Engine!$C$2:$C$1960,0)),"",INDEX('Compliance Database'!$C$2:$C$1960,MATCH(246,Engine!$C$2:$C$1960,0)))</f>
        <v/>
      </c>
      <c r="D259" s="9">
        <f>IF(ISNA(MATCH(246,Engine!$C$2:$C$1960,0)),"",INDEX('Compliance Database'!$D$2:$D$1960,MATCH(246,Engine!$C$2:$C$1960,0)))</f>
        <v/>
      </c>
      <c r="E259" s="8">
        <f>IF(ISNA(MATCH(246,Engine!$C$2:$C$1960,0)),"",INDEX('Compliance Database'!$E$2:$E$1960,MATCH(246,Engine!$C$2:$C$1960,0)))</f>
        <v/>
      </c>
      <c r="F259" s="8">
        <f>IF(ISNA(MATCH(246,Engine!$C$2:$C$1960,0)),"",INDEX('Compliance Database'!$F$2:$F$1960,MATCH(246,Engine!$C$2:$C$1960,0)))</f>
        <v/>
      </c>
      <c r="G259" s="8">
        <f>IF(ISNA(MATCH(246,Engine!$C$2:$C$1960,0)),"",INDEX('Compliance Database'!$G$2:$G$1960,MATCH(246,Engine!$C$2:$C$1960,0)))</f>
        <v/>
      </c>
      <c r="H259" s="9">
        <f>IF(ISNA(MATCH(246,Engine!$C$2:$C$1960,0)),"",INDEX('Compliance Database'!$H$2:$H$1960,MATCH(246,Engine!$C$2:$C$1960,0)))</f>
        <v/>
      </c>
      <c r="I259" s="9">
        <f>IF(ISNA(MATCH(246,Engine!$C$2:$C$1960,0)),"",INDEX('Compliance Database'!$I$2:$I$1960,MATCH(246,Engine!$C$2:$C$1960,0)))</f>
        <v/>
      </c>
      <c r="J259" s="8">
        <f>IF(ISNA(MATCH(246,Engine!$C$2:$C$1960,0)),"",INDEX('Compliance Database'!$J$2:$J$1960,MATCH(246,Engine!$C$2:$C$1960,0)))</f>
        <v/>
      </c>
      <c r="K259" s="9">
        <f>IF(ISNA(MATCH(246,Engine!$C$2:$C$1960,0)),"",INDEX('Compliance Database'!$K$2:$K$1960,MATCH(246,Engine!$C$2:$C$1960,0)))</f>
        <v/>
      </c>
      <c r="L259" s="9">
        <f>IF(ISNA(MATCH(246,Engine!$C$2:$C$1960,0)),"",INDEX('Compliance Database'!$L$2:$L$1960,MATCH(246,Engine!$C$2:$C$1960,0)))</f>
        <v/>
      </c>
      <c r="M259" s="9">
        <f>IF(ISNA(MATCH(246,Engine!$C$2:$C$1960,0)),"",INDEX('Compliance Database'!$M$2:$M$1960,MATCH(246,Engine!$C$2:$C$1960,0)))</f>
        <v/>
      </c>
      <c r="N259" s="9">
        <f>IF(ISNA(MATCH(246,Engine!$C$2:$C$1960,0)),"",INDEX('Compliance Database'!$N$2:$N$1960,MATCH(246,Engine!$C$2:$C$1960,0)))</f>
        <v/>
      </c>
      <c r="O259" s="9">
        <f>IF(ISNA(MATCH(246,Engine!$C$2:$C$1960,0)),"",INDEX('Compliance Database'!$O$2:$O$1960,MATCH(246,Engine!$C$2:$C$1960,0)))</f>
        <v/>
      </c>
      <c r="P259" s="8">
        <f>IF(ISNA(MATCH(246,Engine!$C$2:$C$1960,0)),"",HYPERLINK("#Acts!A"&amp;INDEX('Compliance Database'!$P$2:$P$1960,MATCH(246,Engine!$C$2:$C$1960,0)),"Go to Act"))</f>
        <v/>
      </c>
    </row>
    <row r="260" ht="158" customHeight="1">
      <c r="A260" s="8">
        <f>IF(ISNA(MATCH(247,Engine!$C$2:$C$1960,0)),"",INDEX('Compliance Database'!$A$2:$A$1960,MATCH(247,Engine!$C$2:$C$1960,0)))</f>
        <v/>
      </c>
      <c r="B260" s="8">
        <f>IF(ISNA(MATCH(247,Engine!$C$2:$C$1960,0)),"",INDEX('Compliance Database'!$B$2:$B$1960,MATCH(247,Engine!$C$2:$C$1960,0)))</f>
        <v/>
      </c>
      <c r="C260" s="8">
        <f>IF(ISNA(MATCH(247,Engine!$C$2:$C$1960,0)),"",INDEX('Compliance Database'!$C$2:$C$1960,MATCH(247,Engine!$C$2:$C$1960,0)))</f>
        <v/>
      </c>
      <c r="D260" s="9">
        <f>IF(ISNA(MATCH(247,Engine!$C$2:$C$1960,0)),"",INDEX('Compliance Database'!$D$2:$D$1960,MATCH(247,Engine!$C$2:$C$1960,0)))</f>
        <v/>
      </c>
      <c r="E260" s="8">
        <f>IF(ISNA(MATCH(247,Engine!$C$2:$C$1960,0)),"",INDEX('Compliance Database'!$E$2:$E$1960,MATCH(247,Engine!$C$2:$C$1960,0)))</f>
        <v/>
      </c>
      <c r="F260" s="8">
        <f>IF(ISNA(MATCH(247,Engine!$C$2:$C$1960,0)),"",INDEX('Compliance Database'!$F$2:$F$1960,MATCH(247,Engine!$C$2:$C$1960,0)))</f>
        <v/>
      </c>
      <c r="G260" s="8">
        <f>IF(ISNA(MATCH(247,Engine!$C$2:$C$1960,0)),"",INDEX('Compliance Database'!$G$2:$G$1960,MATCH(247,Engine!$C$2:$C$1960,0)))</f>
        <v/>
      </c>
      <c r="H260" s="9">
        <f>IF(ISNA(MATCH(247,Engine!$C$2:$C$1960,0)),"",INDEX('Compliance Database'!$H$2:$H$1960,MATCH(247,Engine!$C$2:$C$1960,0)))</f>
        <v/>
      </c>
      <c r="I260" s="9">
        <f>IF(ISNA(MATCH(247,Engine!$C$2:$C$1960,0)),"",INDEX('Compliance Database'!$I$2:$I$1960,MATCH(247,Engine!$C$2:$C$1960,0)))</f>
        <v/>
      </c>
      <c r="J260" s="8">
        <f>IF(ISNA(MATCH(247,Engine!$C$2:$C$1960,0)),"",INDEX('Compliance Database'!$J$2:$J$1960,MATCH(247,Engine!$C$2:$C$1960,0)))</f>
        <v/>
      </c>
      <c r="K260" s="9">
        <f>IF(ISNA(MATCH(247,Engine!$C$2:$C$1960,0)),"",INDEX('Compliance Database'!$K$2:$K$1960,MATCH(247,Engine!$C$2:$C$1960,0)))</f>
        <v/>
      </c>
      <c r="L260" s="9">
        <f>IF(ISNA(MATCH(247,Engine!$C$2:$C$1960,0)),"",INDEX('Compliance Database'!$L$2:$L$1960,MATCH(247,Engine!$C$2:$C$1960,0)))</f>
        <v/>
      </c>
      <c r="M260" s="9">
        <f>IF(ISNA(MATCH(247,Engine!$C$2:$C$1960,0)),"",INDEX('Compliance Database'!$M$2:$M$1960,MATCH(247,Engine!$C$2:$C$1960,0)))</f>
        <v/>
      </c>
      <c r="N260" s="9">
        <f>IF(ISNA(MATCH(247,Engine!$C$2:$C$1960,0)),"",INDEX('Compliance Database'!$N$2:$N$1960,MATCH(247,Engine!$C$2:$C$1960,0)))</f>
        <v/>
      </c>
      <c r="O260" s="9">
        <f>IF(ISNA(MATCH(247,Engine!$C$2:$C$1960,0)),"",INDEX('Compliance Database'!$O$2:$O$1960,MATCH(247,Engine!$C$2:$C$1960,0)))</f>
        <v/>
      </c>
      <c r="P260" s="8">
        <f>IF(ISNA(MATCH(247,Engine!$C$2:$C$1960,0)),"",HYPERLINK("#Acts!A"&amp;INDEX('Compliance Database'!$P$2:$P$1960,MATCH(247,Engine!$C$2:$C$1960,0)),"Go to Act"))</f>
        <v/>
      </c>
    </row>
    <row r="261" ht="158" customHeight="1">
      <c r="A261" s="8">
        <f>IF(ISNA(MATCH(248,Engine!$C$2:$C$1960,0)),"",INDEX('Compliance Database'!$A$2:$A$1960,MATCH(248,Engine!$C$2:$C$1960,0)))</f>
        <v/>
      </c>
      <c r="B261" s="8">
        <f>IF(ISNA(MATCH(248,Engine!$C$2:$C$1960,0)),"",INDEX('Compliance Database'!$B$2:$B$1960,MATCH(248,Engine!$C$2:$C$1960,0)))</f>
        <v/>
      </c>
      <c r="C261" s="8">
        <f>IF(ISNA(MATCH(248,Engine!$C$2:$C$1960,0)),"",INDEX('Compliance Database'!$C$2:$C$1960,MATCH(248,Engine!$C$2:$C$1960,0)))</f>
        <v/>
      </c>
      <c r="D261" s="9">
        <f>IF(ISNA(MATCH(248,Engine!$C$2:$C$1960,0)),"",INDEX('Compliance Database'!$D$2:$D$1960,MATCH(248,Engine!$C$2:$C$1960,0)))</f>
        <v/>
      </c>
      <c r="E261" s="8">
        <f>IF(ISNA(MATCH(248,Engine!$C$2:$C$1960,0)),"",INDEX('Compliance Database'!$E$2:$E$1960,MATCH(248,Engine!$C$2:$C$1960,0)))</f>
        <v/>
      </c>
      <c r="F261" s="8">
        <f>IF(ISNA(MATCH(248,Engine!$C$2:$C$1960,0)),"",INDEX('Compliance Database'!$F$2:$F$1960,MATCH(248,Engine!$C$2:$C$1960,0)))</f>
        <v/>
      </c>
      <c r="G261" s="8">
        <f>IF(ISNA(MATCH(248,Engine!$C$2:$C$1960,0)),"",INDEX('Compliance Database'!$G$2:$G$1960,MATCH(248,Engine!$C$2:$C$1960,0)))</f>
        <v/>
      </c>
      <c r="H261" s="9">
        <f>IF(ISNA(MATCH(248,Engine!$C$2:$C$1960,0)),"",INDEX('Compliance Database'!$H$2:$H$1960,MATCH(248,Engine!$C$2:$C$1960,0)))</f>
        <v/>
      </c>
      <c r="I261" s="9">
        <f>IF(ISNA(MATCH(248,Engine!$C$2:$C$1960,0)),"",INDEX('Compliance Database'!$I$2:$I$1960,MATCH(248,Engine!$C$2:$C$1960,0)))</f>
        <v/>
      </c>
      <c r="J261" s="8">
        <f>IF(ISNA(MATCH(248,Engine!$C$2:$C$1960,0)),"",INDEX('Compliance Database'!$J$2:$J$1960,MATCH(248,Engine!$C$2:$C$1960,0)))</f>
        <v/>
      </c>
      <c r="K261" s="9">
        <f>IF(ISNA(MATCH(248,Engine!$C$2:$C$1960,0)),"",INDEX('Compliance Database'!$K$2:$K$1960,MATCH(248,Engine!$C$2:$C$1960,0)))</f>
        <v/>
      </c>
      <c r="L261" s="9">
        <f>IF(ISNA(MATCH(248,Engine!$C$2:$C$1960,0)),"",INDEX('Compliance Database'!$L$2:$L$1960,MATCH(248,Engine!$C$2:$C$1960,0)))</f>
        <v/>
      </c>
      <c r="M261" s="9">
        <f>IF(ISNA(MATCH(248,Engine!$C$2:$C$1960,0)),"",INDEX('Compliance Database'!$M$2:$M$1960,MATCH(248,Engine!$C$2:$C$1960,0)))</f>
        <v/>
      </c>
      <c r="N261" s="9">
        <f>IF(ISNA(MATCH(248,Engine!$C$2:$C$1960,0)),"",INDEX('Compliance Database'!$N$2:$N$1960,MATCH(248,Engine!$C$2:$C$1960,0)))</f>
        <v/>
      </c>
      <c r="O261" s="9">
        <f>IF(ISNA(MATCH(248,Engine!$C$2:$C$1960,0)),"",INDEX('Compliance Database'!$O$2:$O$1960,MATCH(248,Engine!$C$2:$C$1960,0)))</f>
        <v/>
      </c>
      <c r="P261" s="8">
        <f>IF(ISNA(MATCH(248,Engine!$C$2:$C$1960,0)),"",HYPERLINK("#Acts!A"&amp;INDEX('Compliance Database'!$P$2:$P$1960,MATCH(248,Engine!$C$2:$C$1960,0)),"Go to Act"))</f>
        <v/>
      </c>
    </row>
    <row r="262" ht="158" customHeight="1">
      <c r="A262" s="8">
        <f>IF(ISNA(MATCH(249,Engine!$C$2:$C$1960,0)),"",INDEX('Compliance Database'!$A$2:$A$1960,MATCH(249,Engine!$C$2:$C$1960,0)))</f>
        <v/>
      </c>
      <c r="B262" s="8">
        <f>IF(ISNA(MATCH(249,Engine!$C$2:$C$1960,0)),"",INDEX('Compliance Database'!$B$2:$B$1960,MATCH(249,Engine!$C$2:$C$1960,0)))</f>
        <v/>
      </c>
      <c r="C262" s="8">
        <f>IF(ISNA(MATCH(249,Engine!$C$2:$C$1960,0)),"",INDEX('Compliance Database'!$C$2:$C$1960,MATCH(249,Engine!$C$2:$C$1960,0)))</f>
        <v/>
      </c>
      <c r="D262" s="9">
        <f>IF(ISNA(MATCH(249,Engine!$C$2:$C$1960,0)),"",INDEX('Compliance Database'!$D$2:$D$1960,MATCH(249,Engine!$C$2:$C$1960,0)))</f>
        <v/>
      </c>
      <c r="E262" s="8">
        <f>IF(ISNA(MATCH(249,Engine!$C$2:$C$1960,0)),"",INDEX('Compliance Database'!$E$2:$E$1960,MATCH(249,Engine!$C$2:$C$1960,0)))</f>
        <v/>
      </c>
      <c r="F262" s="8">
        <f>IF(ISNA(MATCH(249,Engine!$C$2:$C$1960,0)),"",INDEX('Compliance Database'!$F$2:$F$1960,MATCH(249,Engine!$C$2:$C$1960,0)))</f>
        <v/>
      </c>
      <c r="G262" s="8">
        <f>IF(ISNA(MATCH(249,Engine!$C$2:$C$1960,0)),"",INDEX('Compliance Database'!$G$2:$G$1960,MATCH(249,Engine!$C$2:$C$1960,0)))</f>
        <v/>
      </c>
      <c r="H262" s="9">
        <f>IF(ISNA(MATCH(249,Engine!$C$2:$C$1960,0)),"",INDEX('Compliance Database'!$H$2:$H$1960,MATCH(249,Engine!$C$2:$C$1960,0)))</f>
        <v/>
      </c>
      <c r="I262" s="9">
        <f>IF(ISNA(MATCH(249,Engine!$C$2:$C$1960,0)),"",INDEX('Compliance Database'!$I$2:$I$1960,MATCH(249,Engine!$C$2:$C$1960,0)))</f>
        <v/>
      </c>
      <c r="J262" s="8">
        <f>IF(ISNA(MATCH(249,Engine!$C$2:$C$1960,0)),"",INDEX('Compliance Database'!$J$2:$J$1960,MATCH(249,Engine!$C$2:$C$1960,0)))</f>
        <v/>
      </c>
      <c r="K262" s="9">
        <f>IF(ISNA(MATCH(249,Engine!$C$2:$C$1960,0)),"",INDEX('Compliance Database'!$K$2:$K$1960,MATCH(249,Engine!$C$2:$C$1960,0)))</f>
        <v/>
      </c>
      <c r="L262" s="9">
        <f>IF(ISNA(MATCH(249,Engine!$C$2:$C$1960,0)),"",INDEX('Compliance Database'!$L$2:$L$1960,MATCH(249,Engine!$C$2:$C$1960,0)))</f>
        <v/>
      </c>
      <c r="M262" s="9">
        <f>IF(ISNA(MATCH(249,Engine!$C$2:$C$1960,0)),"",INDEX('Compliance Database'!$M$2:$M$1960,MATCH(249,Engine!$C$2:$C$1960,0)))</f>
        <v/>
      </c>
      <c r="N262" s="9">
        <f>IF(ISNA(MATCH(249,Engine!$C$2:$C$1960,0)),"",INDEX('Compliance Database'!$N$2:$N$1960,MATCH(249,Engine!$C$2:$C$1960,0)))</f>
        <v/>
      </c>
      <c r="O262" s="9">
        <f>IF(ISNA(MATCH(249,Engine!$C$2:$C$1960,0)),"",INDEX('Compliance Database'!$O$2:$O$1960,MATCH(249,Engine!$C$2:$C$1960,0)))</f>
        <v/>
      </c>
      <c r="P262" s="8">
        <f>IF(ISNA(MATCH(249,Engine!$C$2:$C$1960,0)),"",HYPERLINK("#Acts!A"&amp;INDEX('Compliance Database'!$P$2:$P$1960,MATCH(249,Engine!$C$2:$C$1960,0)),"Go to Act"))</f>
        <v/>
      </c>
    </row>
    <row r="263" ht="158" customHeight="1">
      <c r="A263" s="8">
        <f>IF(ISNA(MATCH(250,Engine!$C$2:$C$1960,0)),"",INDEX('Compliance Database'!$A$2:$A$1960,MATCH(250,Engine!$C$2:$C$1960,0)))</f>
        <v/>
      </c>
      <c r="B263" s="8">
        <f>IF(ISNA(MATCH(250,Engine!$C$2:$C$1960,0)),"",INDEX('Compliance Database'!$B$2:$B$1960,MATCH(250,Engine!$C$2:$C$1960,0)))</f>
        <v/>
      </c>
      <c r="C263" s="8">
        <f>IF(ISNA(MATCH(250,Engine!$C$2:$C$1960,0)),"",INDEX('Compliance Database'!$C$2:$C$1960,MATCH(250,Engine!$C$2:$C$1960,0)))</f>
        <v/>
      </c>
      <c r="D263" s="9">
        <f>IF(ISNA(MATCH(250,Engine!$C$2:$C$1960,0)),"",INDEX('Compliance Database'!$D$2:$D$1960,MATCH(250,Engine!$C$2:$C$1960,0)))</f>
        <v/>
      </c>
      <c r="E263" s="8">
        <f>IF(ISNA(MATCH(250,Engine!$C$2:$C$1960,0)),"",INDEX('Compliance Database'!$E$2:$E$1960,MATCH(250,Engine!$C$2:$C$1960,0)))</f>
        <v/>
      </c>
      <c r="F263" s="8">
        <f>IF(ISNA(MATCH(250,Engine!$C$2:$C$1960,0)),"",INDEX('Compliance Database'!$F$2:$F$1960,MATCH(250,Engine!$C$2:$C$1960,0)))</f>
        <v/>
      </c>
      <c r="G263" s="8">
        <f>IF(ISNA(MATCH(250,Engine!$C$2:$C$1960,0)),"",INDEX('Compliance Database'!$G$2:$G$1960,MATCH(250,Engine!$C$2:$C$1960,0)))</f>
        <v/>
      </c>
      <c r="H263" s="9">
        <f>IF(ISNA(MATCH(250,Engine!$C$2:$C$1960,0)),"",INDEX('Compliance Database'!$H$2:$H$1960,MATCH(250,Engine!$C$2:$C$1960,0)))</f>
        <v/>
      </c>
      <c r="I263" s="9">
        <f>IF(ISNA(MATCH(250,Engine!$C$2:$C$1960,0)),"",INDEX('Compliance Database'!$I$2:$I$1960,MATCH(250,Engine!$C$2:$C$1960,0)))</f>
        <v/>
      </c>
      <c r="J263" s="8">
        <f>IF(ISNA(MATCH(250,Engine!$C$2:$C$1960,0)),"",INDEX('Compliance Database'!$J$2:$J$1960,MATCH(250,Engine!$C$2:$C$1960,0)))</f>
        <v/>
      </c>
      <c r="K263" s="9">
        <f>IF(ISNA(MATCH(250,Engine!$C$2:$C$1960,0)),"",INDEX('Compliance Database'!$K$2:$K$1960,MATCH(250,Engine!$C$2:$C$1960,0)))</f>
        <v/>
      </c>
      <c r="L263" s="9">
        <f>IF(ISNA(MATCH(250,Engine!$C$2:$C$1960,0)),"",INDEX('Compliance Database'!$L$2:$L$1960,MATCH(250,Engine!$C$2:$C$1960,0)))</f>
        <v/>
      </c>
      <c r="M263" s="9">
        <f>IF(ISNA(MATCH(250,Engine!$C$2:$C$1960,0)),"",INDEX('Compliance Database'!$M$2:$M$1960,MATCH(250,Engine!$C$2:$C$1960,0)))</f>
        <v/>
      </c>
      <c r="N263" s="9">
        <f>IF(ISNA(MATCH(250,Engine!$C$2:$C$1960,0)),"",INDEX('Compliance Database'!$N$2:$N$1960,MATCH(250,Engine!$C$2:$C$1960,0)))</f>
        <v/>
      </c>
      <c r="O263" s="9">
        <f>IF(ISNA(MATCH(250,Engine!$C$2:$C$1960,0)),"",INDEX('Compliance Database'!$O$2:$O$1960,MATCH(250,Engine!$C$2:$C$1960,0)))</f>
        <v/>
      </c>
      <c r="P263" s="8">
        <f>IF(ISNA(MATCH(250,Engine!$C$2:$C$1960,0)),"",HYPERLINK("#Acts!A"&amp;INDEX('Compliance Database'!$P$2:$P$1960,MATCH(250,Engine!$C$2:$C$1960,0)),"Go to Act"))</f>
        <v/>
      </c>
    </row>
    <row r="264" ht="158" customHeight="1">
      <c r="A264" s="8">
        <f>IF(ISNA(MATCH(251,Engine!$C$2:$C$1960,0)),"",INDEX('Compliance Database'!$A$2:$A$1960,MATCH(251,Engine!$C$2:$C$1960,0)))</f>
        <v/>
      </c>
      <c r="B264" s="8">
        <f>IF(ISNA(MATCH(251,Engine!$C$2:$C$1960,0)),"",INDEX('Compliance Database'!$B$2:$B$1960,MATCH(251,Engine!$C$2:$C$1960,0)))</f>
        <v/>
      </c>
      <c r="C264" s="8">
        <f>IF(ISNA(MATCH(251,Engine!$C$2:$C$1960,0)),"",INDEX('Compliance Database'!$C$2:$C$1960,MATCH(251,Engine!$C$2:$C$1960,0)))</f>
        <v/>
      </c>
      <c r="D264" s="9">
        <f>IF(ISNA(MATCH(251,Engine!$C$2:$C$1960,0)),"",INDEX('Compliance Database'!$D$2:$D$1960,MATCH(251,Engine!$C$2:$C$1960,0)))</f>
        <v/>
      </c>
      <c r="E264" s="8">
        <f>IF(ISNA(MATCH(251,Engine!$C$2:$C$1960,0)),"",INDEX('Compliance Database'!$E$2:$E$1960,MATCH(251,Engine!$C$2:$C$1960,0)))</f>
        <v/>
      </c>
      <c r="F264" s="8">
        <f>IF(ISNA(MATCH(251,Engine!$C$2:$C$1960,0)),"",INDEX('Compliance Database'!$F$2:$F$1960,MATCH(251,Engine!$C$2:$C$1960,0)))</f>
        <v/>
      </c>
      <c r="G264" s="8">
        <f>IF(ISNA(MATCH(251,Engine!$C$2:$C$1960,0)),"",INDEX('Compliance Database'!$G$2:$G$1960,MATCH(251,Engine!$C$2:$C$1960,0)))</f>
        <v/>
      </c>
      <c r="H264" s="9">
        <f>IF(ISNA(MATCH(251,Engine!$C$2:$C$1960,0)),"",INDEX('Compliance Database'!$H$2:$H$1960,MATCH(251,Engine!$C$2:$C$1960,0)))</f>
        <v/>
      </c>
      <c r="I264" s="9">
        <f>IF(ISNA(MATCH(251,Engine!$C$2:$C$1960,0)),"",INDEX('Compliance Database'!$I$2:$I$1960,MATCH(251,Engine!$C$2:$C$1960,0)))</f>
        <v/>
      </c>
      <c r="J264" s="8">
        <f>IF(ISNA(MATCH(251,Engine!$C$2:$C$1960,0)),"",INDEX('Compliance Database'!$J$2:$J$1960,MATCH(251,Engine!$C$2:$C$1960,0)))</f>
        <v/>
      </c>
      <c r="K264" s="9">
        <f>IF(ISNA(MATCH(251,Engine!$C$2:$C$1960,0)),"",INDEX('Compliance Database'!$K$2:$K$1960,MATCH(251,Engine!$C$2:$C$1960,0)))</f>
        <v/>
      </c>
      <c r="L264" s="9">
        <f>IF(ISNA(MATCH(251,Engine!$C$2:$C$1960,0)),"",INDEX('Compliance Database'!$L$2:$L$1960,MATCH(251,Engine!$C$2:$C$1960,0)))</f>
        <v/>
      </c>
      <c r="M264" s="9">
        <f>IF(ISNA(MATCH(251,Engine!$C$2:$C$1960,0)),"",INDEX('Compliance Database'!$M$2:$M$1960,MATCH(251,Engine!$C$2:$C$1960,0)))</f>
        <v/>
      </c>
      <c r="N264" s="9">
        <f>IF(ISNA(MATCH(251,Engine!$C$2:$C$1960,0)),"",INDEX('Compliance Database'!$N$2:$N$1960,MATCH(251,Engine!$C$2:$C$1960,0)))</f>
        <v/>
      </c>
      <c r="O264" s="9">
        <f>IF(ISNA(MATCH(251,Engine!$C$2:$C$1960,0)),"",INDEX('Compliance Database'!$O$2:$O$1960,MATCH(251,Engine!$C$2:$C$1960,0)))</f>
        <v/>
      </c>
      <c r="P264" s="8">
        <f>IF(ISNA(MATCH(251,Engine!$C$2:$C$1960,0)),"",HYPERLINK("#Acts!A"&amp;INDEX('Compliance Database'!$P$2:$P$1960,MATCH(251,Engine!$C$2:$C$1960,0)),"Go to Act"))</f>
        <v/>
      </c>
    </row>
    <row r="265" ht="158" customHeight="1">
      <c r="A265" s="8">
        <f>IF(ISNA(MATCH(252,Engine!$C$2:$C$1960,0)),"",INDEX('Compliance Database'!$A$2:$A$1960,MATCH(252,Engine!$C$2:$C$1960,0)))</f>
        <v/>
      </c>
      <c r="B265" s="8">
        <f>IF(ISNA(MATCH(252,Engine!$C$2:$C$1960,0)),"",INDEX('Compliance Database'!$B$2:$B$1960,MATCH(252,Engine!$C$2:$C$1960,0)))</f>
        <v/>
      </c>
      <c r="C265" s="8">
        <f>IF(ISNA(MATCH(252,Engine!$C$2:$C$1960,0)),"",INDEX('Compliance Database'!$C$2:$C$1960,MATCH(252,Engine!$C$2:$C$1960,0)))</f>
        <v/>
      </c>
      <c r="D265" s="9">
        <f>IF(ISNA(MATCH(252,Engine!$C$2:$C$1960,0)),"",INDEX('Compliance Database'!$D$2:$D$1960,MATCH(252,Engine!$C$2:$C$1960,0)))</f>
        <v/>
      </c>
      <c r="E265" s="8">
        <f>IF(ISNA(MATCH(252,Engine!$C$2:$C$1960,0)),"",INDEX('Compliance Database'!$E$2:$E$1960,MATCH(252,Engine!$C$2:$C$1960,0)))</f>
        <v/>
      </c>
      <c r="F265" s="8">
        <f>IF(ISNA(MATCH(252,Engine!$C$2:$C$1960,0)),"",INDEX('Compliance Database'!$F$2:$F$1960,MATCH(252,Engine!$C$2:$C$1960,0)))</f>
        <v/>
      </c>
      <c r="G265" s="8">
        <f>IF(ISNA(MATCH(252,Engine!$C$2:$C$1960,0)),"",INDEX('Compliance Database'!$G$2:$G$1960,MATCH(252,Engine!$C$2:$C$1960,0)))</f>
        <v/>
      </c>
      <c r="H265" s="9">
        <f>IF(ISNA(MATCH(252,Engine!$C$2:$C$1960,0)),"",INDEX('Compliance Database'!$H$2:$H$1960,MATCH(252,Engine!$C$2:$C$1960,0)))</f>
        <v/>
      </c>
      <c r="I265" s="9">
        <f>IF(ISNA(MATCH(252,Engine!$C$2:$C$1960,0)),"",INDEX('Compliance Database'!$I$2:$I$1960,MATCH(252,Engine!$C$2:$C$1960,0)))</f>
        <v/>
      </c>
      <c r="J265" s="8">
        <f>IF(ISNA(MATCH(252,Engine!$C$2:$C$1960,0)),"",INDEX('Compliance Database'!$J$2:$J$1960,MATCH(252,Engine!$C$2:$C$1960,0)))</f>
        <v/>
      </c>
      <c r="K265" s="9">
        <f>IF(ISNA(MATCH(252,Engine!$C$2:$C$1960,0)),"",INDEX('Compliance Database'!$K$2:$K$1960,MATCH(252,Engine!$C$2:$C$1960,0)))</f>
        <v/>
      </c>
      <c r="L265" s="9">
        <f>IF(ISNA(MATCH(252,Engine!$C$2:$C$1960,0)),"",INDEX('Compliance Database'!$L$2:$L$1960,MATCH(252,Engine!$C$2:$C$1960,0)))</f>
        <v/>
      </c>
      <c r="M265" s="9">
        <f>IF(ISNA(MATCH(252,Engine!$C$2:$C$1960,0)),"",INDEX('Compliance Database'!$M$2:$M$1960,MATCH(252,Engine!$C$2:$C$1960,0)))</f>
        <v/>
      </c>
      <c r="N265" s="9">
        <f>IF(ISNA(MATCH(252,Engine!$C$2:$C$1960,0)),"",INDEX('Compliance Database'!$N$2:$N$1960,MATCH(252,Engine!$C$2:$C$1960,0)))</f>
        <v/>
      </c>
      <c r="O265" s="9">
        <f>IF(ISNA(MATCH(252,Engine!$C$2:$C$1960,0)),"",INDEX('Compliance Database'!$O$2:$O$1960,MATCH(252,Engine!$C$2:$C$1960,0)))</f>
        <v/>
      </c>
      <c r="P265" s="8">
        <f>IF(ISNA(MATCH(252,Engine!$C$2:$C$1960,0)),"",HYPERLINK("#Acts!A"&amp;INDEX('Compliance Database'!$P$2:$P$1960,MATCH(252,Engine!$C$2:$C$1960,0)),"Go to Act"))</f>
        <v/>
      </c>
    </row>
    <row r="266" ht="158" customHeight="1">
      <c r="A266" s="8">
        <f>IF(ISNA(MATCH(253,Engine!$C$2:$C$1960,0)),"",INDEX('Compliance Database'!$A$2:$A$1960,MATCH(253,Engine!$C$2:$C$1960,0)))</f>
        <v/>
      </c>
      <c r="B266" s="8">
        <f>IF(ISNA(MATCH(253,Engine!$C$2:$C$1960,0)),"",INDEX('Compliance Database'!$B$2:$B$1960,MATCH(253,Engine!$C$2:$C$1960,0)))</f>
        <v/>
      </c>
      <c r="C266" s="8">
        <f>IF(ISNA(MATCH(253,Engine!$C$2:$C$1960,0)),"",INDEX('Compliance Database'!$C$2:$C$1960,MATCH(253,Engine!$C$2:$C$1960,0)))</f>
        <v/>
      </c>
      <c r="D266" s="9">
        <f>IF(ISNA(MATCH(253,Engine!$C$2:$C$1960,0)),"",INDEX('Compliance Database'!$D$2:$D$1960,MATCH(253,Engine!$C$2:$C$1960,0)))</f>
        <v/>
      </c>
      <c r="E266" s="8">
        <f>IF(ISNA(MATCH(253,Engine!$C$2:$C$1960,0)),"",INDEX('Compliance Database'!$E$2:$E$1960,MATCH(253,Engine!$C$2:$C$1960,0)))</f>
        <v/>
      </c>
      <c r="F266" s="8">
        <f>IF(ISNA(MATCH(253,Engine!$C$2:$C$1960,0)),"",INDEX('Compliance Database'!$F$2:$F$1960,MATCH(253,Engine!$C$2:$C$1960,0)))</f>
        <v/>
      </c>
      <c r="G266" s="8">
        <f>IF(ISNA(MATCH(253,Engine!$C$2:$C$1960,0)),"",INDEX('Compliance Database'!$G$2:$G$1960,MATCH(253,Engine!$C$2:$C$1960,0)))</f>
        <v/>
      </c>
      <c r="H266" s="9">
        <f>IF(ISNA(MATCH(253,Engine!$C$2:$C$1960,0)),"",INDEX('Compliance Database'!$H$2:$H$1960,MATCH(253,Engine!$C$2:$C$1960,0)))</f>
        <v/>
      </c>
      <c r="I266" s="9">
        <f>IF(ISNA(MATCH(253,Engine!$C$2:$C$1960,0)),"",INDEX('Compliance Database'!$I$2:$I$1960,MATCH(253,Engine!$C$2:$C$1960,0)))</f>
        <v/>
      </c>
      <c r="J266" s="8">
        <f>IF(ISNA(MATCH(253,Engine!$C$2:$C$1960,0)),"",INDEX('Compliance Database'!$J$2:$J$1960,MATCH(253,Engine!$C$2:$C$1960,0)))</f>
        <v/>
      </c>
      <c r="K266" s="9">
        <f>IF(ISNA(MATCH(253,Engine!$C$2:$C$1960,0)),"",INDEX('Compliance Database'!$K$2:$K$1960,MATCH(253,Engine!$C$2:$C$1960,0)))</f>
        <v/>
      </c>
      <c r="L266" s="9">
        <f>IF(ISNA(MATCH(253,Engine!$C$2:$C$1960,0)),"",INDEX('Compliance Database'!$L$2:$L$1960,MATCH(253,Engine!$C$2:$C$1960,0)))</f>
        <v/>
      </c>
      <c r="M266" s="9">
        <f>IF(ISNA(MATCH(253,Engine!$C$2:$C$1960,0)),"",INDEX('Compliance Database'!$M$2:$M$1960,MATCH(253,Engine!$C$2:$C$1960,0)))</f>
        <v/>
      </c>
      <c r="N266" s="9">
        <f>IF(ISNA(MATCH(253,Engine!$C$2:$C$1960,0)),"",INDEX('Compliance Database'!$N$2:$N$1960,MATCH(253,Engine!$C$2:$C$1960,0)))</f>
        <v/>
      </c>
      <c r="O266" s="9">
        <f>IF(ISNA(MATCH(253,Engine!$C$2:$C$1960,0)),"",INDEX('Compliance Database'!$O$2:$O$1960,MATCH(253,Engine!$C$2:$C$1960,0)))</f>
        <v/>
      </c>
      <c r="P266" s="8">
        <f>IF(ISNA(MATCH(253,Engine!$C$2:$C$1960,0)),"",HYPERLINK("#Acts!A"&amp;INDEX('Compliance Database'!$P$2:$P$1960,MATCH(253,Engine!$C$2:$C$1960,0)),"Go to Act"))</f>
        <v/>
      </c>
    </row>
    <row r="267" ht="158" customHeight="1">
      <c r="A267" s="8">
        <f>IF(ISNA(MATCH(254,Engine!$C$2:$C$1960,0)),"",INDEX('Compliance Database'!$A$2:$A$1960,MATCH(254,Engine!$C$2:$C$1960,0)))</f>
        <v/>
      </c>
      <c r="B267" s="8">
        <f>IF(ISNA(MATCH(254,Engine!$C$2:$C$1960,0)),"",INDEX('Compliance Database'!$B$2:$B$1960,MATCH(254,Engine!$C$2:$C$1960,0)))</f>
        <v/>
      </c>
      <c r="C267" s="8">
        <f>IF(ISNA(MATCH(254,Engine!$C$2:$C$1960,0)),"",INDEX('Compliance Database'!$C$2:$C$1960,MATCH(254,Engine!$C$2:$C$1960,0)))</f>
        <v/>
      </c>
      <c r="D267" s="9">
        <f>IF(ISNA(MATCH(254,Engine!$C$2:$C$1960,0)),"",INDEX('Compliance Database'!$D$2:$D$1960,MATCH(254,Engine!$C$2:$C$1960,0)))</f>
        <v/>
      </c>
      <c r="E267" s="8">
        <f>IF(ISNA(MATCH(254,Engine!$C$2:$C$1960,0)),"",INDEX('Compliance Database'!$E$2:$E$1960,MATCH(254,Engine!$C$2:$C$1960,0)))</f>
        <v/>
      </c>
      <c r="F267" s="8">
        <f>IF(ISNA(MATCH(254,Engine!$C$2:$C$1960,0)),"",INDEX('Compliance Database'!$F$2:$F$1960,MATCH(254,Engine!$C$2:$C$1960,0)))</f>
        <v/>
      </c>
      <c r="G267" s="8">
        <f>IF(ISNA(MATCH(254,Engine!$C$2:$C$1960,0)),"",INDEX('Compliance Database'!$G$2:$G$1960,MATCH(254,Engine!$C$2:$C$1960,0)))</f>
        <v/>
      </c>
      <c r="H267" s="9">
        <f>IF(ISNA(MATCH(254,Engine!$C$2:$C$1960,0)),"",INDEX('Compliance Database'!$H$2:$H$1960,MATCH(254,Engine!$C$2:$C$1960,0)))</f>
        <v/>
      </c>
      <c r="I267" s="9">
        <f>IF(ISNA(MATCH(254,Engine!$C$2:$C$1960,0)),"",INDEX('Compliance Database'!$I$2:$I$1960,MATCH(254,Engine!$C$2:$C$1960,0)))</f>
        <v/>
      </c>
      <c r="J267" s="8">
        <f>IF(ISNA(MATCH(254,Engine!$C$2:$C$1960,0)),"",INDEX('Compliance Database'!$J$2:$J$1960,MATCH(254,Engine!$C$2:$C$1960,0)))</f>
        <v/>
      </c>
      <c r="K267" s="9">
        <f>IF(ISNA(MATCH(254,Engine!$C$2:$C$1960,0)),"",INDEX('Compliance Database'!$K$2:$K$1960,MATCH(254,Engine!$C$2:$C$1960,0)))</f>
        <v/>
      </c>
      <c r="L267" s="9">
        <f>IF(ISNA(MATCH(254,Engine!$C$2:$C$1960,0)),"",INDEX('Compliance Database'!$L$2:$L$1960,MATCH(254,Engine!$C$2:$C$1960,0)))</f>
        <v/>
      </c>
      <c r="M267" s="9">
        <f>IF(ISNA(MATCH(254,Engine!$C$2:$C$1960,0)),"",INDEX('Compliance Database'!$M$2:$M$1960,MATCH(254,Engine!$C$2:$C$1960,0)))</f>
        <v/>
      </c>
      <c r="N267" s="9">
        <f>IF(ISNA(MATCH(254,Engine!$C$2:$C$1960,0)),"",INDEX('Compliance Database'!$N$2:$N$1960,MATCH(254,Engine!$C$2:$C$1960,0)))</f>
        <v/>
      </c>
      <c r="O267" s="9">
        <f>IF(ISNA(MATCH(254,Engine!$C$2:$C$1960,0)),"",INDEX('Compliance Database'!$O$2:$O$1960,MATCH(254,Engine!$C$2:$C$1960,0)))</f>
        <v/>
      </c>
      <c r="P267" s="8">
        <f>IF(ISNA(MATCH(254,Engine!$C$2:$C$1960,0)),"",HYPERLINK("#Acts!A"&amp;INDEX('Compliance Database'!$P$2:$P$1960,MATCH(254,Engine!$C$2:$C$1960,0)),"Go to Act"))</f>
        <v/>
      </c>
    </row>
    <row r="268" ht="158" customHeight="1">
      <c r="A268" s="8">
        <f>IF(ISNA(MATCH(255,Engine!$C$2:$C$1960,0)),"",INDEX('Compliance Database'!$A$2:$A$1960,MATCH(255,Engine!$C$2:$C$1960,0)))</f>
        <v/>
      </c>
      <c r="B268" s="8">
        <f>IF(ISNA(MATCH(255,Engine!$C$2:$C$1960,0)),"",INDEX('Compliance Database'!$B$2:$B$1960,MATCH(255,Engine!$C$2:$C$1960,0)))</f>
        <v/>
      </c>
      <c r="C268" s="8">
        <f>IF(ISNA(MATCH(255,Engine!$C$2:$C$1960,0)),"",INDEX('Compliance Database'!$C$2:$C$1960,MATCH(255,Engine!$C$2:$C$1960,0)))</f>
        <v/>
      </c>
      <c r="D268" s="9">
        <f>IF(ISNA(MATCH(255,Engine!$C$2:$C$1960,0)),"",INDEX('Compliance Database'!$D$2:$D$1960,MATCH(255,Engine!$C$2:$C$1960,0)))</f>
        <v/>
      </c>
      <c r="E268" s="8">
        <f>IF(ISNA(MATCH(255,Engine!$C$2:$C$1960,0)),"",INDEX('Compliance Database'!$E$2:$E$1960,MATCH(255,Engine!$C$2:$C$1960,0)))</f>
        <v/>
      </c>
      <c r="F268" s="8">
        <f>IF(ISNA(MATCH(255,Engine!$C$2:$C$1960,0)),"",INDEX('Compliance Database'!$F$2:$F$1960,MATCH(255,Engine!$C$2:$C$1960,0)))</f>
        <v/>
      </c>
      <c r="G268" s="8">
        <f>IF(ISNA(MATCH(255,Engine!$C$2:$C$1960,0)),"",INDEX('Compliance Database'!$G$2:$G$1960,MATCH(255,Engine!$C$2:$C$1960,0)))</f>
        <v/>
      </c>
      <c r="H268" s="9">
        <f>IF(ISNA(MATCH(255,Engine!$C$2:$C$1960,0)),"",INDEX('Compliance Database'!$H$2:$H$1960,MATCH(255,Engine!$C$2:$C$1960,0)))</f>
        <v/>
      </c>
      <c r="I268" s="9">
        <f>IF(ISNA(MATCH(255,Engine!$C$2:$C$1960,0)),"",INDEX('Compliance Database'!$I$2:$I$1960,MATCH(255,Engine!$C$2:$C$1960,0)))</f>
        <v/>
      </c>
      <c r="J268" s="8">
        <f>IF(ISNA(MATCH(255,Engine!$C$2:$C$1960,0)),"",INDEX('Compliance Database'!$J$2:$J$1960,MATCH(255,Engine!$C$2:$C$1960,0)))</f>
        <v/>
      </c>
      <c r="K268" s="9">
        <f>IF(ISNA(MATCH(255,Engine!$C$2:$C$1960,0)),"",INDEX('Compliance Database'!$K$2:$K$1960,MATCH(255,Engine!$C$2:$C$1960,0)))</f>
        <v/>
      </c>
      <c r="L268" s="9">
        <f>IF(ISNA(MATCH(255,Engine!$C$2:$C$1960,0)),"",INDEX('Compliance Database'!$L$2:$L$1960,MATCH(255,Engine!$C$2:$C$1960,0)))</f>
        <v/>
      </c>
      <c r="M268" s="9">
        <f>IF(ISNA(MATCH(255,Engine!$C$2:$C$1960,0)),"",INDEX('Compliance Database'!$M$2:$M$1960,MATCH(255,Engine!$C$2:$C$1960,0)))</f>
        <v/>
      </c>
      <c r="N268" s="9">
        <f>IF(ISNA(MATCH(255,Engine!$C$2:$C$1960,0)),"",INDEX('Compliance Database'!$N$2:$N$1960,MATCH(255,Engine!$C$2:$C$1960,0)))</f>
        <v/>
      </c>
      <c r="O268" s="9">
        <f>IF(ISNA(MATCH(255,Engine!$C$2:$C$1960,0)),"",INDEX('Compliance Database'!$O$2:$O$1960,MATCH(255,Engine!$C$2:$C$1960,0)))</f>
        <v/>
      </c>
      <c r="P268" s="8">
        <f>IF(ISNA(MATCH(255,Engine!$C$2:$C$1960,0)),"",HYPERLINK("#Acts!A"&amp;INDEX('Compliance Database'!$P$2:$P$1960,MATCH(255,Engine!$C$2:$C$1960,0)),"Go to Act"))</f>
        <v/>
      </c>
    </row>
    <row r="269" ht="158" customHeight="1">
      <c r="A269" s="8">
        <f>IF(ISNA(MATCH(256,Engine!$C$2:$C$1960,0)),"",INDEX('Compliance Database'!$A$2:$A$1960,MATCH(256,Engine!$C$2:$C$1960,0)))</f>
        <v/>
      </c>
      <c r="B269" s="8">
        <f>IF(ISNA(MATCH(256,Engine!$C$2:$C$1960,0)),"",INDEX('Compliance Database'!$B$2:$B$1960,MATCH(256,Engine!$C$2:$C$1960,0)))</f>
        <v/>
      </c>
      <c r="C269" s="8">
        <f>IF(ISNA(MATCH(256,Engine!$C$2:$C$1960,0)),"",INDEX('Compliance Database'!$C$2:$C$1960,MATCH(256,Engine!$C$2:$C$1960,0)))</f>
        <v/>
      </c>
      <c r="D269" s="9">
        <f>IF(ISNA(MATCH(256,Engine!$C$2:$C$1960,0)),"",INDEX('Compliance Database'!$D$2:$D$1960,MATCH(256,Engine!$C$2:$C$1960,0)))</f>
        <v/>
      </c>
      <c r="E269" s="8">
        <f>IF(ISNA(MATCH(256,Engine!$C$2:$C$1960,0)),"",INDEX('Compliance Database'!$E$2:$E$1960,MATCH(256,Engine!$C$2:$C$1960,0)))</f>
        <v/>
      </c>
      <c r="F269" s="8">
        <f>IF(ISNA(MATCH(256,Engine!$C$2:$C$1960,0)),"",INDEX('Compliance Database'!$F$2:$F$1960,MATCH(256,Engine!$C$2:$C$1960,0)))</f>
        <v/>
      </c>
      <c r="G269" s="8">
        <f>IF(ISNA(MATCH(256,Engine!$C$2:$C$1960,0)),"",INDEX('Compliance Database'!$G$2:$G$1960,MATCH(256,Engine!$C$2:$C$1960,0)))</f>
        <v/>
      </c>
      <c r="H269" s="9">
        <f>IF(ISNA(MATCH(256,Engine!$C$2:$C$1960,0)),"",INDEX('Compliance Database'!$H$2:$H$1960,MATCH(256,Engine!$C$2:$C$1960,0)))</f>
        <v/>
      </c>
      <c r="I269" s="9">
        <f>IF(ISNA(MATCH(256,Engine!$C$2:$C$1960,0)),"",INDEX('Compliance Database'!$I$2:$I$1960,MATCH(256,Engine!$C$2:$C$1960,0)))</f>
        <v/>
      </c>
      <c r="J269" s="8">
        <f>IF(ISNA(MATCH(256,Engine!$C$2:$C$1960,0)),"",INDEX('Compliance Database'!$J$2:$J$1960,MATCH(256,Engine!$C$2:$C$1960,0)))</f>
        <v/>
      </c>
      <c r="K269" s="9">
        <f>IF(ISNA(MATCH(256,Engine!$C$2:$C$1960,0)),"",INDEX('Compliance Database'!$K$2:$K$1960,MATCH(256,Engine!$C$2:$C$1960,0)))</f>
        <v/>
      </c>
      <c r="L269" s="9">
        <f>IF(ISNA(MATCH(256,Engine!$C$2:$C$1960,0)),"",INDEX('Compliance Database'!$L$2:$L$1960,MATCH(256,Engine!$C$2:$C$1960,0)))</f>
        <v/>
      </c>
      <c r="M269" s="9">
        <f>IF(ISNA(MATCH(256,Engine!$C$2:$C$1960,0)),"",INDEX('Compliance Database'!$M$2:$M$1960,MATCH(256,Engine!$C$2:$C$1960,0)))</f>
        <v/>
      </c>
      <c r="N269" s="9">
        <f>IF(ISNA(MATCH(256,Engine!$C$2:$C$1960,0)),"",INDEX('Compliance Database'!$N$2:$N$1960,MATCH(256,Engine!$C$2:$C$1960,0)))</f>
        <v/>
      </c>
      <c r="O269" s="9">
        <f>IF(ISNA(MATCH(256,Engine!$C$2:$C$1960,0)),"",INDEX('Compliance Database'!$O$2:$O$1960,MATCH(256,Engine!$C$2:$C$1960,0)))</f>
        <v/>
      </c>
      <c r="P269" s="8">
        <f>IF(ISNA(MATCH(256,Engine!$C$2:$C$1960,0)),"",HYPERLINK("#Acts!A"&amp;INDEX('Compliance Database'!$P$2:$P$1960,MATCH(256,Engine!$C$2:$C$1960,0)),"Go to Act"))</f>
        <v/>
      </c>
    </row>
    <row r="270" ht="158" customHeight="1">
      <c r="A270" s="8">
        <f>IF(ISNA(MATCH(257,Engine!$C$2:$C$1960,0)),"",INDEX('Compliance Database'!$A$2:$A$1960,MATCH(257,Engine!$C$2:$C$1960,0)))</f>
        <v/>
      </c>
      <c r="B270" s="8">
        <f>IF(ISNA(MATCH(257,Engine!$C$2:$C$1960,0)),"",INDEX('Compliance Database'!$B$2:$B$1960,MATCH(257,Engine!$C$2:$C$1960,0)))</f>
        <v/>
      </c>
      <c r="C270" s="8">
        <f>IF(ISNA(MATCH(257,Engine!$C$2:$C$1960,0)),"",INDEX('Compliance Database'!$C$2:$C$1960,MATCH(257,Engine!$C$2:$C$1960,0)))</f>
        <v/>
      </c>
      <c r="D270" s="9">
        <f>IF(ISNA(MATCH(257,Engine!$C$2:$C$1960,0)),"",INDEX('Compliance Database'!$D$2:$D$1960,MATCH(257,Engine!$C$2:$C$1960,0)))</f>
        <v/>
      </c>
      <c r="E270" s="8">
        <f>IF(ISNA(MATCH(257,Engine!$C$2:$C$1960,0)),"",INDEX('Compliance Database'!$E$2:$E$1960,MATCH(257,Engine!$C$2:$C$1960,0)))</f>
        <v/>
      </c>
      <c r="F270" s="8">
        <f>IF(ISNA(MATCH(257,Engine!$C$2:$C$1960,0)),"",INDEX('Compliance Database'!$F$2:$F$1960,MATCH(257,Engine!$C$2:$C$1960,0)))</f>
        <v/>
      </c>
      <c r="G270" s="8">
        <f>IF(ISNA(MATCH(257,Engine!$C$2:$C$1960,0)),"",INDEX('Compliance Database'!$G$2:$G$1960,MATCH(257,Engine!$C$2:$C$1960,0)))</f>
        <v/>
      </c>
      <c r="H270" s="9">
        <f>IF(ISNA(MATCH(257,Engine!$C$2:$C$1960,0)),"",INDEX('Compliance Database'!$H$2:$H$1960,MATCH(257,Engine!$C$2:$C$1960,0)))</f>
        <v/>
      </c>
      <c r="I270" s="9">
        <f>IF(ISNA(MATCH(257,Engine!$C$2:$C$1960,0)),"",INDEX('Compliance Database'!$I$2:$I$1960,MATCH(257,Engine!$C$2:$C$1960,0)))</f>
        <v/>
      </c>
      <c r="J270" s="8">
        <f>IF(ISNA(MATCH(257,Engine!$C$2:$C$1960,0)),"",INDEX('Compliance Database'!$J$2:$J$1960,MATCH(257,Engine!$C$2:$C$1960,0)))</f>
        <v/>
      </c>
      <c r="K270" s="9">
        <f>IF(ISNA(MATCH(257,Engine!$C$2:$C$1960,0)),"",INDEX('Compliance Database'!$K$2:$K$1960,MATCH(257,Engine!$C$2:$C$1960,0)))</f>
        <v/>
      </c>
      <c r="L270" s="9">
        <f>IF(ISNA(MATCH(257,Engine!$C$2:$C$1960,0)),"",INDEX('Compliance Database'!$L$2:$L$1960,MATCH(257,Engine!$C$2:$C$1960,0)))</f>
        <v/>
      </c>
      <c r="M270" s="9">
        <f>IF(ISNA(MATCH(257,Engine!$C$2:$C$1960,0)),"",INDEX('Compliance Database'!$M$2:$M$1960,MATCH(257,Engine!$C$2:$C$1960,0)))</f>
        <v/>
      </c>
      <c r="N270" s="9">
        <f>IF(ISNA(MATCH(257,Engine!$C$2:$C$1960,0)),"",INDEX('Compliance Database'!$N$2:$N$1960,MATCH(257,Engine!$C$2:$C$1960,0)))</f>
        <v/>
      </c>
      <c r="O270" s="9">
        <f>IF(ISNA(MATCH(257,Engine!$C$2:$C$1960,0)),"",INDEX('Compliance Database'!$O$2:$O$1960,MATCH(257,Engine!$C$2:$C$1960,0)))</f>
        <v/>
      </c>
      <c r="P270" s="8">
        <f>IF(ISNA(MATCH(257,Engine!$C$2:$C$1960,0)),"",HYPERLINK("#Acts!A"&amp;INDEX('Compliance Database'!$P$2:$P$1960,MATCH(257,Engine!$C$2:$C$1960,0)),"Go to Act"))</f>
        <v/>
      </c>
    </row>
    <row r="271" ht="158" customHeight="1">
      <c r="A271" s="8">
        <f>IF(ISNA(MATCH(258,Engine!$C$2:$C$1960,0)),"",INDEX('Compliance Database'!$A$2:$A$1960,MATCH(258,Engine!$C$2:$C$1960,0)))</f>
        <v/>
      </c>
      <c r="B271" s="8">
        <f>IF(ISNA(MATCH(258,Engine!$C$2:$C$1960,0)),"",INDEX('Compliance Database'!$B$2:$B$1960,MATCH(258,Engine!$C$2:$C$1960,0)))</f>
        <v/>
      </c>
      <c r="C271" s="8">
        <f>IF(ISNA(MATCH(258,Engine!$C$2:$C$1960,0)),"",INDEX('Compliance Database'!$C$2:$C$1960,MATCH(258,Engine!$C$2:$C$1960,0)))</f>
        <v/>
      </c>
      <c r="D271" s="9">
        <f>IF(ISNA(MATCH(258,Engine!$C$2:$C$1960,0)),"",INDEX('Compliance Database'!$D$2:$D$1960,MATCH(258,Engine!$C$2:$C$1960,0)))</f>
        <v/>
      </c>
      <c r="E271" s="8">
        <f>IF(ISNA(MATCH(258,Engine!$C$2:$C$1960,0)),"",INDEX('Compliance Database'!$E$2:$E$1960,MATCH(258,Engine!$C$2:$C$1960,0)))</f>
        <v/>
      </c>
      <c r="F271" s="8">
        <f>IF(ISNA(MATCH(258,Engine!$C$2:$C$1960,0)),"",INDEX('Compliance Database'!$F$2:$F$1960,MATCH(258,Engine!$C$2:$C$1960,0)))</f>
        <v/>
      </c>
      <c r="G271" s="8">
        <f>IF(ISNA(MATCH(258,Engine!$C$2:$C$1960,0)),"",INDEX('Compliance Database'!$G$2:$G$1960,MATCH(258,Engine!$C$2:$C$1960,0)))</f>
        <v/>
      </c>
      <c r="H271" s="9">
        <f>IF(ISNA(MATCH(258,Engine!$C$2:$C$1960,0)),"",INDEX('Compliance Database'!$H$2:$H$1960,MATCH(258,Engine!$C$2:$C$1960,0)))</f>
        <v/>
      </c>
      <c r="I271" s="9">
        <f>IF(ISNA(MATCH(258,Engine!$C$2:$C$1960,0)),"",INDEX('Compliance Database'!$I$2:$I$1960,MATCH(258,Engine!$C$2:$C$1960,0)))</f>
        <v/>
      </c>
      <c r="J271" s="8">
        <f>IF(ISNA(MATCH(258,Engine!$C$2:$C$1960,0)),"",INDEX('Compliance Database'!$J$2:$J$1960,MATCH(258,Engine!$C$2:$C$1960,0)))</f>
        <v/>
      </c>
      <c r="K271" s="9">
        <f>IF(ISNA(MATCH(258,Engine!$C$2:$C$1960,0)),"",INDEX('Compliance Database'!$K$2:$K$1960,MATCH(258,Engine!$C$2:$C$1960,0)))</f>
        <v/>
      </c>
      <c r="L271" s="9">
        <f>IF(ISNA(MATCH(258,Engine!$C$2:$C$1960,0)),"",INDEX('Compliance Database'!$L$2:$L$1960,MATCH(258,Engine!$C$2:$C$1960,0)))</f>
        <v/>
      </c>
      <c r="M271" s="9">
        <f>IF(ISNA(MATCH(258,Engine!$C$2:$C$1960,0)),"",INDEX('Compliance Database'!$M$2:$M$1960,MATCH(258,Engine!$C$2:$C$1960,0)))</f>
        <v/>
      </c>
      <c r="N271" s="9">
        <f>IF(ISNA(MATCH(258,Engine!$C$2:$C$1960,0)),"",INDEX('Compliance Database'!$N$2:$N$1960,MATCH(258,Engine!$C$2:$C$1960,0)))</f>
        <v/>
      </c>
      <c r="O271" s="9">
        <f>IF(ISNA(MATCH(258,Engine!$C$2:$C$1960,0)),"",INDEX('Compliance Database'!$O$2:$O$1960,MATCH(258,Engine!$C$2:$C$1960,0)))</f>
        <v/>
      </c>
      <c r="P271" s="8">
        <f>IF(ISNA(MATCH(258,Engine!$C$2:$C$1960,0)),"",HYPERLINK("#Acts!A"&amp;INDEX('Compliance Database'!$P$2:$P$1960,MATCH(258,Engine!$C$2:$C$1960,0)),"Go to Act"))</f>
        <v/>
      </c>
    </row>
    <row r="272" ht="158" customHeight="1">
      <c r="A272" s="8">
        <f>IF(ISNA(MATCH(259,Engine!$C$2:$C$1960,0)),"",INDEX('Compliance Database'!$A$2:$A$1960,MATCH(259,Engine!$C$2:$C$1960,0)))</f>
        <v/>
      </c>
      <c r="B272" s="8">
        <f>IF(ISNA(MATCH(259,Engine!$C$2:$C$1960,0)),"",INDEX('Compliance Database'!$B$2:$B$1960,MATCH(259,Engine!$C$2:$C$1960,0)))</f>
        <v/>
      </c>
      <c r="C272" s="8">
        <f>IF(ISNA(MATCH(259,Engine!$C$2:$C$1960,0)),"",INDEX('Compliance Database'!$C$2:$C$1960,MATCH(259,Engine!$C$2:$C$1960,0)))</f>
        <v/>
      </c>
      <c r="D272" s="9">
        <f>IF(ISNA(MATCH(259,Engine!$C$2:$C$1960,0)),"",INDEX('Compliance Database'!$D$2:$D$1960,MATCH(259,Engine!$C$2:$C$1960,0)))</f>
        <v/>
      </c>
      <c r="E272" s="8">
        <f>IF(ISNA(MATCH(259,Engine!$C$2:$C$1960,0)),"",INDEX('Compliance Database'!$E$2:$E$1960,MATCH(259,Engine!$C$2:$C$1960,0)))</f>
        <v/>
      </c>
      <c r="F272" s="8">
        <f>IF(ISNA(MATCH(259,Engine!$C$2:$C$1960,0)),"",INDEX('Compliance Database'!$F$2:$F$1960,MATCH(259,Engine!$C$2:$C$1960,0)))</f>
        <v/>
      </c>
      <c r="G272" s="8">
        <f>IF(ISNA(MATCH(259,Engine!$C$2:$C$1960,0)),"",INDEX('Compliance Database'!$G$2:$G$1960,MATCH(259,Engine!$C$2:$C$1960,0)))</f>
        <v/>
      </c>
      <c r="H272" s="9">
        <f>IF(ISNA(MATCH(259,Engine!$C$2:$C$1960,0)),"",INDEX('Compliance Database'!$H$2:$H$1960,MATCH(259,Engine!$C$2:$C$1960,0)))</f>
        <v/>
      </c>
      <c r="I272" s="9">
        <f>IF(ISNA(MATCH(259,Engine!$C$2:$C$1960,0)),"",INDEX('Compliance Database'!$I$2:$I$1960,MATCH(259,Engine!$C$2:$C$1960,0)))</f>
        <v/>
      </c>
      <c r="J272" s="8">
        <f>IF(ISNA(MATCH(259,Engine!$C$2:$C$1960,0)),"",INDEX('Compliance Database'!$J$2:$J$1960,MATCH(259,Engine!$C$2:$C$1960,0)))</f>
        <v/>
      </c>
      <c r="K272" s="9">
        <f>IF(ISNA(MATCH(259,Engine!$C$2:$C$1960,0)),"",INDEX('Compliance Database'!$K$2:$K$1960,MATCH(259,Engine!$C$2:$C$1960,0)))</f>
        <v/>
      </c>
      <c r="L272" s="9">
        <f>IF(ISNA(MATCH(259,Engine!$C$2:$C$1960,0)),"",INDEX('Compliance Database'!$L$2:$L$1960,MATCH(259,Engine!$C$2:$C$1960,0)))</f>
        <v/>
      </c>
      <c r="M272" s="9">
        <f>IF(ISNA(MATCH(259,Engine!$C$2:$C$1960,0)),"",INDEX('Compliance Database'!$M$2:$M$1960,MATCH(259,Engine!$C$2:$C$1960,0)))</f>
        <v/>
      </c>
      <c r="N272" s="9">
        <f>IF(ISNA(MATCH(259,Engine!$C$2:$C$1960,0)),"",INDEX('Compliance Database'!$N$2:$N$1960,MATCH(259,Engine!$C$2:$C$1960,0)))</f>
        <v/>
      </c>
      <c r="O272" s="9">
        <f>IF(ISNA(MATCH(259,Engine!$C$2:$C$1960,0)),"",INDEX('Compliance Database'!$O$2:$O$1960,MATCH(259,Engine!$C$2:$C$1960,0)))</f>
        <v/>
      </c>
      <c r="P272" s="8">
        <f>IF(ISNA(MATCH(259,Engine!$C$2:$C$1960,0)),"",HYPERLINK("#Acts!A"&amp;INDEX('Compliance Database'!$P$2:$P$1960,MATCH(259,Engine!$C$2:$C$1960,0)),"Go to Act"))</f>
        <v/>
      </c>
    </row>
    <row r="273" ht="158" customHeight="1">
      <c r="A273" s="8">
        <f>IF(ISNA(MATCH(260,Engine!$C$2:$C$1960,0)),"",INDEX('Compliance Database'!$A$2:$A$1960,MATCH(260,Engine!$C$2:$C$1960,0)))</f>
        <v/>
      </c>
      <c r="B273" s="8">
        <f>IF(ISNA(MATCH(260,Engine!$C$2:$C$1960,0)),"",INDEX('Compliance Database'!$B$2:$B$1960,MATCH(260,Engine!$C$2:$C$1960,0)))</f>
        <v/>
      </c>
      <c r="C273" s="8">
        <f>IF(ISNA(MATCH(260,Engine!$C$2:$C$1960,0)),"",INDEX('Compliance Database'!$C$2:$C$1960,MATCH(260,Engine!$C$2:$C$1960,0)))</f>
        <v/>
      </c>
      <c r="D273" s="9">
        <f>IF(ISNA(MATCH(260,Engine!$C$2:$C$1960,0)),"",INDEX('Compliance Database'!$D$2:$D$1960,MATCH(260,Engine!$C$2:$C$1960,0)))</f>
        <v/>
      </c>
      <c r="E273" s="8">
        <f>IF(ISNA(MATCH(260,Engine!$C$2:$C$1960,0)),"",INDEX('Compliance Database'!$E$2:$E$1960,MATCH(260,Engine!$C$2:$C$1960,0)))</f>
        <v/>
      </c>
      <c r="F273" s="8">
        <f>IF(ISNA(MATCH(260,Engine!$C$2:$C$1960,0)),"",INDEX('Compliance Database'!$F$2:$F$1960,MATCH(260,Engine!$C$2:$C$1960,0)))</f>
        <v/>
      </c>
      <c r="G273" s="8">
        <f>IF(ISNA(MATCH(260,Engine!$C$2:$C$1960,0)),"",INDEX('Compliance Database'!$G$2:$G$1960,MATCH(260,Engine!$C$2:$C$1960,0)))</f>
        <v/>
      </c>
      <c r="H273" s="9">
        <f>IF(ISNA(MATCH(260,Engine!$C$2:$C$1960,0)),"",INDEX('Compliance Database'!$H$2:$H$1960,MATCH(260,Engine!$C$2:$C$1960,0)))</f>
        <v/>
      </c>
      <c r="I273" s="9">
        <f>IF(ISNA(MATCH(260,Engine!$C$2:$C$1960,0)),"",INDEX('Compliance Database'!$I$2:$I$1960,MATCH(260,Engine!$C$2:$C$1960,0)))</f>
        <v/>
      </c>
      <c r="J273" s="8">
        <f>IF(ISNA(MATCH(260,Engine!$C$2:$C$1960,0)),"",INDEX('Compliance Database'!$J$2:$J$1960,MATCH(260,Engine!$C$2:$C$1960,0)))</f>
        <v/>
      </c>
      <c r="K273" s="9">
        <f>IF(ISNA(MATCH(260,Engine!$C$2:$C$1960,0)),"",INDEX('Compliance Database'!$K$2:$K$1960,MATCH(260,Engine!$C$2:$C$1960,0)))</f>
        <v/>
      </c>
      <c r="L273" s="9">
        <f>IF(ISNA(MATCH(260,Engine!$C$2:$C$1960,0)),"",INDEX('Compliance Database'!$L$2:$L$1960,MATCH(260,Engine!$C$2:$C$1960,0)))</f>
        <v/>
      </c>
      <c r="M273" s="9">
        <f>IF(ISNA(MATCH(260,Engine!$C$2:$C$1960,0)),"",INDEX('Compliance Database'!$M$2:$M$1960,MATCH(260,Engine!$C$2:$C$1960,0)))</f>
        <v/>
      </c>
      <c r="N273" s="9">
        <f>IF(ISNA(MATCH(260,Engine!$C$2:$C$1960,0)),"",INDEX('Compliance Database'!$N$2:$N$1960,MATCH(260,Engine!$C$2:$C$1960,0)))</f>
        <v/>
      </c>
      <c r="O273" s="9">
        <f>IF(ISNA(MATCH(260,Engine!$C$2:$C$1960,0)),"",INDEX('Compliance Database'!$O$2:$O$1960,MATCH(260,Engine!$C$2:$C$1960,0)))</f>
        <v/>
      </c>
      <c r="P273" s="8">
        <f>IF(ISNA(MATCH(260,Engine!$C$2:$C$1960,0)),"",HYPERLINK("#Acts!A"&amp;INDEX('Compliance Database'!$P$2:$P$1960,MATCH(260,Engine!$C$2:$C$1960,0)),"Go to Act"))</f>
        <v/>
      </c>
    </row>
    <row r="274" ht="158" customHeight="1">
      <c r="A274" s="8">
        <f>IF(ISNA(MATCH(261,Engine!$C$2:$C$1960,0)),"",INDEX('Compliance Database'!$A$2:$A$1960,MATCH(261,Engine!$C$2:$C$1960,0)))</f>
        <v/>
      </c>
      <c r="B274" s="8">
        <f>IF(ISNA(MATCH(261,Engine!$C$2:$C$1960,0)),"",INDEX('Compliance Database'!$B$2:$B$1960,MATCH(261,Engine!$C$2:$C$1960,0)))</f>
        <v/>
      </c>
      <c r="C274" s="8">
        <f>IF(ISNA(MATCH(261,Engine!$C$2:$C$1960,0)),"",INDEX('Compliance Database'!$C$2:$C$1960,MATCH(261,Engine!$C$2:$C$1960,0)))</f>
        <v/>
      </c>
      <c r="D274" s="9">
        <f>IF(ISNA(MATCH(261,Engine!$C$2:$C$1960,0)),"",INDEX('Compliance Database'!$D$2:$D$1960,MATCH(261,Engine!$C$2:$C$1960,0)))</f>
        <v/>
      </c>
      <c r="E274" s="8">
        <f>IF(ISNA(MATCH(261,Engine!$C$2:$C$1960,0)),"",INDEX('Compliance Database'!$E$2:$E$1960,MATCH(261,Engine!$C$2:$C$1960,0)))</f>
        <v/>
      </c>
      <c r="F274" s="8">
        <f>IF(ISNA(MATCH(261,Engine!$C$2:$C$1960,0)),"",INDEX('Compliance Database'!$F$2:$F$1960,MATCH(261,Engine!$C$2:$C$1960,0)))</f>
        <v/>
      </c>
      <c r="G274" s="8">
        <f>IF(ISNA(MATCH(261,Engine!$C$2:$C$1960,0)),"",INDEX('Compliance Database'!$G$2:$G$1960,MATCH(261,Engine!$C$2:$C$1960,0)))</f>
        <v/>
      </c>
      <c r="H274" s="9">
        <f>IF(ISNA(MATCH(261,Engine!$C$2:$C$1960,0)),"",INDEX('Compliance Database'!$H$2:$H$1960,MATCH(261,Engine!$C$2:$C$1960,0)))</f>
        <v/>
      </c>
      <c r="I274" s="9">
        <f>IF(ISNA(MATCH(261,Engine!$C$2:$C$1960,0)),"",INDEX('Compliance Database'!$I$2:$I$1960,MATCH(261,Engine!$C$2:$C$1960,0)))</f>
        <v/>
      </c>
      <c r="J274" s="8">
        <f>IF(ISNA(MATCH(261,Engine!$C$2:$C$1960,0)),"",INDEX('Compliance Database'!$J$2:$J$1960,MATCH(261,Engine!$C$2:$C$1960,0)))</f>
        <v/>
      </c>
      <c r="K274" s="9">
        <f>IF(ISNA(MATCH(261,Engine!$C$2:$C$1960,0)),"",INDEX('Compliance Database'!$K$2:$K$1960,MATCH(261,Engine!$C$2:$C$1960,0)))</f>
        <v/>
      </c>
      <c r="L274" s="9">
        <f>IF(ISNA(MATCH(261,Engine!$C$2:$C$1960,0)),"",INDEX('Compliance Database'!$L$2:$L$1960,MATCH(261,Engine!$C$2:$C$1960,0)))</f>
        <v/>
      </c>
      <c r="M274" s="9">
        <f>IF(ISNA(MATCH(261,Engine!$C$2:$C$1960,0)),"",INDEX('Compliance Database'!$M$2:$M$1960,MATCH(261,Engine!$C$2:$C$1960,0)))</f>
        <v/>
      </c>
      <c r="N274" s="9">
        <f>IF(ISNA(MATCH(261,Engine!$C$2:$C$1960,0)),"",INDEX('Compliance Database'!$N$2:$N$1960,MATCH(261,Engine!$C$2:$C$1960,0)))</f>
        <v/>
      </c>
      <c r="O274" s="9">
        <f>IF(ISNA(MATCH(261,Engine!$C$2:$C$1960,0)),"",INDEX('Compliance Database'!$O$2:$O$1960,MATCH(261,Engine!$C$2:$C$1960,0)))</f>
        <v/>
      </c>
      <c r="P274" s="8">
        <f>IF(ISNA(MATCH(261,Engine!$C$2:$C$1960,0)),"",HYPERLINK("#Acts!A"&amp;INDEX('Compliance Database'!$P$2:$P$1960,MATCH(261,Engine!$C$2:$C$1960,0)),"Go to Act"))</f>
        <v/>
      </c>
    </row>
    <row r="275" ht="158" customHeight="1">
      <c r="A275" s="8">
        <f>IF(ISNA(MATCH(262,Engine!$C$2:$C$1960,0)),"",INDEX('Compliance Database'!$A$2:$A$1960,MATCH(262,Engine!$C$2:$C$1960,0)))</f>
        <v/>
      </c>
      <c r="B275" s="8">
        <f>IF(ISNA(MATCH(262,Engine!$C$2:$C$1960,0)),"",INDEX('Compliance Database'!$B$2:$B$1960,MATCH(262,Engine!$C$2:$C$1960,0)))</f>
        <v/>
      </c>
      <c r="C275" s="8">
        <f>IF(ISNA(MATCH(262,Engine!$C$2:$C$1960,0)),"",INDEX('Compliance Database'!$C$2:$C$1960,MATCH(262,Engine!$C$2:$C$1960,0)))</f>
        <v/>
      </c>
      <c r="D275" s="9">
        <f>IF(ISNA(MATCH(262,Engine!$C$2:$C$1960,0)),"",INDEX('Compliance Database'!$D$2:$D$1960,MATCH(262,Engine!$C$2:$C$1960,0)))</f>
        <v/>
      </c>
      <c r="E275" s="8">
        <f>IF(ISNA(MATCH(262,Engine!$C$2:$C$1960,0)),"",INDEX('Compliance Database'!$E$2:$E$1960,MATCH(262,Engine!$C$2:$C$1960,0)))</f>
        <v/>
      </c>
      <c r="F275" s="8">
        <f>IF(ISNA(MATCH(262,Engine!$C$2:$C$1960,0)),"",INDEX('Compliance Database'!$F$2:$F$1960,MATCH(262,Engine!$C$2:$C$1960,0)))</f>
        <v/>
      </c>
      <c r="G275" s="8">
        <f>IF(ISNA(MATCH(262,Engine!$C$2:$C$1960,0)),"",INDEX('Compliance Database'!$G$2:$G$1960,MATCH(262,Engine!$C$2:$C$1960,0)))</f>
        <v/>
      </c>
      <c r="H275" s="9">
        <f>IF(ISNA(MATCH(262,Engine!$C$2:$C$1960,0)),"",INDEX('Compliance Database'!$H$2:$H$1960,MATCH(262,Engine!$C$2:$C$1960,0)))</f>
        <v/>
      </c>
      <c r="I275" s="9">
        <f>IF(ISNA(MATCH(262,Engine!$C$2:$C$1960,0)),"",INDEX('Compliance Database'!$I$2:$I$1960,MATCH(262,Engine!$C$2:$C$1960,0)))</f>
        <v/>
      </c>
      <c r="J275" s="8">
        <f>IF(ISNA(MATCH(262,Engine!$C$2:$C$1960,0)),"",INDEX('Compliance Database'!$J$2:$J$1960,MATCH(262,Engine!$C$2:$C$1960,0)))</f>
        <v/>
      </c>
      <c r="K275" s="9">
        <f>IF(ISNA(MATCH(262,Engine!$C$2:$C$1960,0)),"",INDEX('Compliance Database'!$K$2:$K$1960,MATCH(262,Engine!$C$2:$C$1960,0)))</f>
        <v/>
      </c>
      <c r="L275" s="9">
        <f>IF(ISNA(MATCH(262,Engine!$C$2:$C$1960,0)),"",INDEX('Compliance Database'!$L$2:$L$1960,MATCH(262,Engine!$C$2:$C$1960,0)))</f>
        <v/>
      </c>
      <c r="M275" s="9">
        <f>IF(ISNA(MATCH(262,Engine!$C$2:$C$1960,0)),"",INDEX('Compliance Database'!$M$2:$M$1960,MATCH(262,Engine!$C$2:$C$1960,0)))</f>
        <v/>
      </c>
      <c r="N275" s="9">
        <f>IF(ISNA(MATCH(262,Engine!$C$2:$C$1960,0)),"",INDEX('Compliance Database'!$N$2:$N$1960,MATCH(262,Engine!$C$2:$C$1960,0)))</f>
        <v/>
      </c>
      <c r="O275" s="9">
        <f>IF(ISNA(MATCH(262,Engine!$C$2:$C$1960,0)),"",INDEX('Compliance Database'!$O$2:$O$1960,MATCH(262,Engine!$C$2:$C$1960,0)))</f>
        <v/>
      </c>
      <c r="P275" s="8">
        <f>IF(ISNA(MATCH(262,Engine!$C$2:$C$1960,0)),"",HYPERLINK("#Acts!A"&amp;INDEX('Compliance Database'!$P$2:$P$1960,MATCH(262,Engine!$C$2:$C$1960,0)),"Go to Act"))</f>
        <v/>
      </c>
    </row>
    <row r="276" ht="158" customHeight="1">
      <c r="A276" s="8">
        <f>IF(ISNA(MATCH(263,Engine!$C$2:$C$1960,0)),"",INDEX('Compliance Database'!$A$2:$A$1960,MATCH(263,Engine!$C$2:$C$1960,0)))</f>
        <v/>
      </c>
      <c r="B276" s="8">
        <f>IF(ISNA(MATCH(263,Engine!$C$2:$C$1960,0)),"",INDEX('Compliance Database'!$B$2:$B$1960,MATCH(263,Engine!$C$2:$C$1960,0)))</f>
        <v/>
      </c>
      <c r="C276" s="8">
        <f>IF(ISNA(MATCH(263,Engine!$C$2:$C$1960,0)),"",INDEX('Compliance Database'!$C$2:$C$1960,MATCH(263,Engine!$C$2:$C$1960,0)))</f>
        <v/>
      </c>
      <c r="D276" s="9">
        <f>IF(ISNA(MATCH(263,Engine!$C$2:$C$1960,0)),"",INDEX('Compliance Database'!$D$2:$D$1960,MATCH(263,Engine!$C$2:$C$1960,0)))</f>
        <v/>
      </c>
      <c r="E276" s="8">
        <f>IF(ISNA(MATCH(263,Engine!$C$2:$C$1960,0)),"",INDEX('Compliance Database'!$E$2:$E$1960,MATCH(263,Engine!$C$2:$C$1960,0)))</f>
        <v/>
      </c>
      <c r="F276" s="8">
        <f>IF(ISNA(MATCH(263,Engine!$C$2:$C$1960,0)),"",INDEX('Compliance Database'!$F$2:$F$1960,MATCH(263,Engine!$C$2:$C$1960,0)))</f>
        <v/>
      </c>
      <c r="G276" s="8">
        <f>IF(ISNA(MATCH(263,Engine!$C$2:$C$1960,0)),"",INDEX('Compliance Database'!$G$2:$G$1960,MATCH(263,Engine!$C$2:$C$1960,0)))</f>
        <v/>
      </c>
      <c r="H276" s="9">
        <f>IF(ISNA(MATCH(263,Engine!$C$2:$C$1960,0)),"",INDEX('Compliance Database'!$H$2:$H$1960,MATCH(263,Engine!$C$2:$C$1960,0)))</f>
        <v/>
      </c>
      <c r="I276" s="9">
        <f>IF(ISNA(MATCH(263,Engine!$C$2:$C$1960,0)),"",INDEX('Compliance Database'!$I$2:$I$1960,MATCH(263,Engine!$C$2:$C$1960,0)))</f>
        <v/>
      </c>
      <c r="J276" s="8">
        <f>IF(ISNA(MATCH(263,Engine!$C$2:$C$1960,0)),"",INDEX('Compliance Database'!$J$2:$J$1960,MATCH(263,Engine!$C$2:$C$1960,0)))</f>
        <v/>
      </c>
      <c r="K276" s="9">
        <f>IF(ISNA(MATCH(263,Engine!$C$2:$C$1960,0)),"",INDEX('Compliance Database'!$K$2:$K$1960,MATCH(263,Engine!$C$2:$C$1960,0)))</f>
        <v/>
      </c>
      <c r="L276" s="9">
        <f>IF(ISNA(MATCH(263,Engine!$C$2:$C$1960,0)),"",INDEX('Compliance Database'!$L$2:$L$1960,MATCH(263,Engine!$C$2:$C$1960,0)))</f>
        <v/>
      </c>
      <c r="M276" s="9">
        <f>IF(ISNA(MATCH(263,Engine!$C$2:$C$1960,0)),"",INDEX('Compliance Database'!$M$2:$M$1960,MATCH(263,Engine!$C$2:$C$1960,0)))</f>
        <v/>
      </c>
      <c r="N276" s="9">
        <f>IF(ISNA(MATCH(263,Engine!$C$2:$C$1960,0)),"",INDEX('Compliance Database'!$N$2:$N$1960,MATCH(263,Engine!$C$2:$C$1960,0)))</f>
        <v/>
      </c>
      <c r="O276" s="9">
        <f>IF(ISNA(MATCH(263,Engine!$C$2:$C$1960,0)),"",INDEX('Compliance Database'!$O$2:$O$1960,MATCH(263,Engine!$C$2:$C$1960,0)))</f>
        <v/>
      </c>
      <c r="P276" s="8">
        <f>IF(ISNA(MATCH(263,Engine!$C$2:$C$1960,0)),"",HYPERLINK("#Acts!A"&amp;INDEX('Compliance Database'!$P$2:$P$1960,MATCH(263,Engine!$C$2:$C$1960,0)),"Go to Act"))</f>
        <v/>
      </c>
    </row>
    <row r="277" ht="158" customHeight="1">
      <c r="A277" s="8">
        <f>IF(ISNA(MATCH(264,Engine!$C$2:$C$1960,0)),"",INDEX('Compliance Database'!$A$2:$A$1960,MATCH(264,Engine!$C$2:$C$1960,0)))</f>
        <v/>
      </c>
      <c r="B277" s="8">
        <f>IF(ISNA(MATCH(264,Engine!$C$2:$C$1960,0)),"",INDEX('Compliance Database'!$B$2:$B$1960,MATCH(264,Engine!$C$2:$C$1960,0)))</f>
        <v/>
      </c>
      <c r="C277" s="8">
        <f>IF(ISNA(MATCH(264,Engine!$C$2:$C$1960,0)),"",INDEX('Compliance Database'!$C$2:$C$1960,MATCH(264,Engine!$C$2:$C$1960,0)))</f>
        <v/>
      </c>
      <c r="D277" s="9">
        <f>IF(ISNA(MATCH(264,Engine!$C$2:$C$1960,0)),"",INDEX('Compliance Database'!$D$2:$D$1960,MATCH(264,Engine!$C$2:$C$1960,0)))</f>
        <v/>
      </c>
      <c r="E277" s="8">
        <f>IF(ISNA(MATCH(264,Engine!$C$2:$C$1960,0)),"",INDEX('Compliance Database'!$E$2:$E$1960,MATCH(264,Engine!$C$2:$C$1960,0)))</f>
        <v/>
      </c>
      <c r="F277" s="8">
        <f>IF(ISNA(MATCH(264,Engine!$C$2:$C$1960,0)),"",INDEX('Compliance Database'!$F$2:$F$1960,MATCH(264,Engine!$C$2:$C$1960,0)))</f>
        <v/>
      </c>
      <c r="G277" s="8">
        <f>IF(ISNA(MATCH(264,Engine!$C$2:$C$1960,0)),"",INDEX('Compliance Database'!$G$2:$G$1960,MATCH(264,Engine!$C$2:$C$1960,0)))</f>
        <v/>
      </c>
      <c r="H277" s="9">
        <f>IF(ISNA(MATCH(264,Engine!$C$2:$C$1960,0)),"",INDEX('Compliance Database'!$H$2:$H$1960,MATCH(264,Engine!$C$2:$C$1960,0)))</f>
        <v/>
      </c>
      <c r="I277" s="9">
        <f>IF(ISNA(MATCH(264,Engine!$C$2:$C$1960,0)),"",INDEX('Compliance Database'!$I$2:$I$1960,MATCH(264,Engine!$C$2:$C$1960,0)))</f>
        <v/>
      </c>
      <c r="J277" s="8">
        <f>IF(ISNA(MATCH(264,Engine!$C$2:$C$1960,0)),"",INDEX('Compliance Database'!$J$2:$J$1960,MATCH(264,Engine!$C$2:$C$1960,0)))</f>
        <v/>
      </c>
      <c r="K277" s="9">
        <f>IF(ISNA(MATCH(264,Engine!$C$2:$C$1960,0)),"",INDEX('Compliance Database'!$K$2:$K$1960,MATCH(264,Engine!$C$2:$C$1960,0)))</f>
        <v/>
      </c>
      <c r="L277" s="9">
        <f>IF(ISNA(MATCH(264,Engine!$C$2:$C$1960,0)),"",INDEX('Compliance Database'!$L$2:$L$1960,MATCH(264,Engine!$C$2:$C$1960,0)))</f>
        <v/>
      </c>
      <c r="M277" s="9">
        <f>IF(ISNA(MATCH(264,Engine!$C$2:$C$1960,0)),"",INDEX('Compliance Database'!$M$2:$M$1960,MATCH(264,Engine!$C$2:$C$1960,0)))</f>
        <v/>
      </c>
      <c r="N277" s="9">
        <f>IF(ISNA(MATCH(264,Engine!$C$2:$C$1960,0)),"",INDEX('Compliance Database'!$N$2:$N$1960,MATCH(264,Engine!$C$2:$C$1960,0)))</f>
        <v/>
      </c>
      <c r="O277" s="9">
        <f>IF(ISNA(MATCH(264,Engine!$C$2:$C$1960,0)),"",INDEX('Compliance Database'!$O$2:$O$1960,MATCH(264,Engine!$C$2:$C$1960,0)))</f>
        <v/>
      </c>
      <c r="P277" s="8">
        <f>IF(ISNA(MATCH(264,Engine!$C$2:$C$1960,0)),"",HYPERLINK("#Acts!A"&amp;INDEX('Compliance Database'!$P$2:$P$1960,MATCH(264,Engine!$C$2:$C$1960,0)),"Go to Act"))</f>
        <v/>
      </c>
    </row>
    <row r="278" ht="158" customHeight="1">
      <c r="A278" s="8">
        <f>IF(ISNA(MATCH(265,Engine!$C$2:$C$1960,0)),"",INDEX('Compliance Database'!$A$2:$A$1960,MATCH(265,Engine!$C$2:$C$1960,0)))</f>
        <v/>
      </c>
      <c r="B278" s="8">
        <f>IF(ISNA(MATCH(265,Engine!$C$2:$C$1960,0)),"",INDEX('Compliance Database'!$B$2:$B$1960,MATCH(265,Engine!$C$2:$C$1960,0)))</f>
        <v/>
      </c>
      <c r="C278" s="8">
        <f>IF(ISNA(MATCH(265,Engine!$C$2:$C$1960,0)),"",INDEX('Compliance Database'!$C$2:$C$1960,MATCH(265,Engine!$C$2:$C$1960,0)))</f>
        <v/>
      </c>
      <c r="D278" s="9">
        <f>IF(ISNA(MATCH(265,Engine!$C$2:$C$1960,0)),"",INDEX('Compliance Database'!$D$2:$D$1960,MATCH(265,Engine!$C$2:$C$1960,0)))</f>
        <v/>
      </c>
      <c r="E278" s="8">
        <f>IF(ISNA(MATCH(265,Engine!$C$2:$C$1960,0)),"",INDEX('Compliance Database'!$E$2:$E$1960,MATCH(265,Engine!$C$2:$C$1960,0)))</f>
        <v/>
      </c>
      <c r="F278" s="8">
        <f>IF(ISNA(MATCH(265,Engine!$C$2:$C$1960,0)),"",INDEX('Compliance Database'!$F$2:$F$1960,MATCH(265,Engine!$C$2:$C$1960,0)))</f>
        <v/>
      </c>
      <c r="G278" s="8">
        <f>IF(ISNA(MATCH(265,Engine!$C$2:$C$1960,0)),"",INDEX('Compliance Database'!$G$2:$G$1960,MATCH(265,Engine!$C$2:$C$1960,0)))</f>
        <v/>
      </c>
      <c r="H278" s="9">
        <f>IF(ISNA(MATCH(265,Engine!$C$2:$C$1960,0)),"",INDEX('Compliance Database'!$H$2:$H$1960,MATCH(265,Engine!$C$2:$C$1960,0)))</f>
        <v/>
      </c>
      <c r="I278" s="9">
        <f>IF(ISNA(MATCH(265,Engine!$C$2:$C$1960,0)),"",INDEX('Compliance Database'!$I$2:$I$1960,MATCH(265,Engine!$C$2:$C$1960,0)))</f>
        <v/>
      </c>
      <c r="J278" s="8">
        <f>IF(ISNA(MATCH(265,Engine!$C$2:$C$1960,0)),"",INDEX('Compliance Database'!$J$2:$J$1960,MATCH(265,Engine!$C$2:$C$1960,0)))</f>
        <v/>
      </c>
      <c r="K278" s="9">
        <f>IF(ISNA(MATCH(265,Engine!$C$2:$C$1960,0)),"",INDEX('Compliance Database'!$K$2:$K$1960,MATCH(265,Engine!$C$2:$C$1960,0)))</f>
        <v/>
      </c>
      <c r="L278" s="9">
        <f>IF(ISNA(MATCH(265,Engine!$C$2:$C$1960,0)),"",INDEX('Compliance Database'!$L$2:$L$1960,MATCH(265,Engine!$C$2:$C$1960,0)))</f>
        <v/>
      </c>
      <c r="M278" s="9">
        <f>IF(ISNA(MATCH(265,Engine!$C$2:$C$1960,0)),"",INDEX('Compliance Database'!$M$2:$M$1960,MATCH(265,Engine!$C$2:$C$1960,0)))</f>
        <v/>
      </c>
      <c r="N278" s="9">
        <f>IF(ISNA(MATCH(265,Engine!$C$2:$C$1960,0)),"",INDEX('Compliance Database'!$N$2:$N$1960,MATCH(265,Engine!$C$2:$C$1960,0)))</f>
        <v/>
      </c>
      <c r="O278" s="9">
        <f>IF(ISNA(MATCH(265,Engine!$C$2:$C$1960,0)),"",INDEX('Compliance Database'!$O$2:$O$1960,MATCH(265,Engine!$C$2:$C$1960,0)))</f>
        <v/>
      </c>
      <c r="P278" s="8">
        <f>IF(ISNA(MATCH(265,Engine!$C$2:$C$1960,0)),"",HYPERLINK("#Acts!A"&amp;INDEX('Compliance Database'!$P$2:$P$1960,MATCH(265,Engine!$C$2:$C$1960,0)),"Go to Act"))</f>
        <v/>
      </c>
    </row>
    <row r="279" ht="158" customHeight="1">
      <c r="A279" s="8">
        <f>IF(ISNA(MATCH(266,Engine!$C$2:$C$1960,0)),"",INDEX('Compliance Database'!$A$2:$A$1960,MATCH(266,Engine!$C$2:$C$1960,0)))</f>
        <v/>
      </c>
      <c r="B279" s="8">
        <f>IF(ISNA(MATCH(266,Engine!$C$2:$C$1960,0)),"",INDEX('Compliance Database'!$B$2:$B$1960,MATCH(266,Engine!$C$2:$C$1960,0)))</f>
        <v/>
      </c>
      <c r="C279" s="8">
        <f>IF(ISNA(MATCH(266,Engine!$C$2:$C$1960,0)),"",INDEX('Compliance Database'!$C$2:$C$1960,MATCH(266,Engine!$C$2:$C$1960,0)))</f>
        <v/>
      </c>
      <c r="D279" s="9">
        <f>IF(ISNA(MATCH(266,Engine!$C$2:$C$1960,0)),"",INDEX('Compliance Database'!$D$2:$D$1960,MATCH(266,Engine!$C$2:$C$1960,0)))</f>
        <v/>
      </c>
      <c r="E279" s="8">
        <f>IF(ISNA(MATCH(266,Engine!$C$2:$C$1960,0)),"",INDEX('Compliance Database'!$E$2:$E$1960,MATCH(266,Engine!$C$2:$C$1960,0)))</f>
        <v/>
      </c>
      <c r="F279" s="8">
        <f>IF(ISNA(MATCH(266,Engine!$C$2:$C$1960,0)),"",INDEX('Compliance Database'!$F$2:$F$1960,MATCH(266,Engine!$C$2:$C$1960,0)))</f>
        <v/>
      </c>
      <c r="G279" s="8">
        <f>IF(ISNA(MATCH(266,Engine!$C$2:$C$1960,0)),"",INDEX('Compliance Database'!$G$2:$G$1960,MATCH(266,Engine!$C$2:$C$1960,0)))</f>
        <v/>
      </c>
      <c r="H279" s="9">
        <f>IF(ISNA(MATCH(266,Engine!$C$2:$C$1960,0)),"",INDEX('Compliance Database'!$H$2:$H$1960,MATCH(266,Engine!$C$2:$C$1960,0)))</f>
        <v/>
      </c>
      <c r="I279" s="9">
        <f>IF(ISNA(MATCH(266,Engine!$C$2:$C$1960,0)),"",INDEX('Compliance Database'!$I$2:$I$1960,MATCH(266,Engine!$C$2:$C$1960,0)))</f>
        <v/>
      </c>
      <c r="J279" s="8">
        <f>IF(ISNA(MATCH(266,Engine!$C$2:$C$1960,0)),"",INDEX('Compliance Database'!$J$2:$J$1960,MATCH(266,Engine!$C$2:$C$1960,0)))</f>
        <v/>
      </c>
      <c r="K279" s="9">
        <f>IF(ISNA(MATCH(266,Engine!$C$2:$C$1960,0)),"",INDEX('Compliance Database'!$K$2:$K$1960,MATCH(266,Engine!$C$2:$C$1960,0)))</f>
        <v/>
      </c>
      <c r="L279" s="9">
        <f>IF(ISNA(MATCH(266,Engine!$C$2:$C$1960,0)),"",INDEX('Compliance Database'!$L$2:$L$1960,MATCH(266,Engine!$C$2:$C$1960,0)))</f>
        <v/>
      </c>
      <c r="M279" s="9">
        <f>IF(ISNA(MATCH(266,Engine!$C$2:$C$1960,0)),"",INDEX('Compliance Database'!$M$2:$M$1960,MATCH(266,Engine!$C$2:$C$1960,0)))</f>
        <v/>
      </c>
      <c r="N279" s="9">
        <f>IF(ISNA(MATCH(266,Engine!$C$2:$C$1960,0)),"",INDEX('Compliance Database'!$N$2:$N$1960,MATCH(266,Engine!$C$2:$C$1960,0)))</f>
        <v/>
      </c>
      <c r="O279" s="9">
        <f>IF(ISNA(MATCH(266,Engine!$C$2:$C$1960,0)),"",INDEX('Compliance Database'!$O$2:$O$1960,MATCH(266,Engine!$C$2:$C$1960,0)))</f>
        <v/>
      </c>
      <c r="P279" s="8">
        <f>IF(ISNA(MATCH(266,Engine!$C$2:$C$1960,0)),"",HYPERLINK("#Acts!A"&amp;INDEX('Compliance Database'!$P$2:$P$1960,MATCH(266,Engine!$C$2:$C$1960,0)),"Go to Act"))</f>
        <v/>
      </c>
    </row>
    <row r="280" ht="158" customHeight="1">
      <c r="A280" s="8">
        <f>IF(ISNA(MATCH(267,Engine!$C$2:$C$1960,0)),"",INDEX('Compliance Database'!$A$2:$A$1960,MATCH(267,Engine!$C$2:$C$1960,0)))</f>
        <v/>
      </c>
      <c r="B280" s="8">
        <f>IF(ISNA(MATCH(267,Engine!$C$2:$C$1960,0)),"",INDEX('Compliance Database'!$B$2:$B$1960,MATCH(267,Engine!$C$2:$C$1960,0)))</f>
        <v/>
      </c>
      <c r="C280" s="8">
        <f>IF(ISNA(MATCH(267,Engine!$C$2:$C$1960,0)),"",INDEX('Compliance Database'!$C$2:$C$1960,MATCH(267,Engine!$C$2:$C$1960,0)))</f>
        <v/>
      </c>
      <c r="D280" s="9">
        <f>IF(ISNA(MATCH(267,Engine!$C$2:$C$1960,0)),"",INDEX('Compliance Database'!$D$2:$D$1960,MATCH(267,Engine!$C$2:$C$1960,0)))</f>
        <v/>
      </c>
      <c r="E280" s="8">
        <f>IF(ISNA(MATCH(267,Engine!$C$2:$C$1960,0)),"",INDEX('Compliance Database'!$E$2:$E$1960,MATCH(267,Engine!$C$2:$C$1960,0)))</f>
        <v/>
      </c>
      <c r="F280" s="8">
        <f>IF(ISNA(MATCH(267,Engine!$C$2:$C$1960,0)),"",INDEX('Compliance Database'!$F$2:$F$1960,MATCH(267,Engine!$C$2:$C$1960,0)))</f>
        <v/>
      </c>
      <c r="G280" s="8">
        <f>IF(ISNA(MATCH(267,Engine!$C$2:$C$1960,0)),"",INDEX('Compliance Database'!$G$2:$G$1960,MATCH(267,Engine!$C$2:$C$1960,0)))</f>
        <v/>
      </c>
      <c r="H280" s="9">
        <f>IF(ISNA(MATCH(267,Engine!$C$2:$C$1960,0)),"",INDEX('Compliance Database'!$H$2:$H$1960,MATCH(267,Engine!$C$2:$C$1960,0)))</f>
        <v/>
      </c>
      <c r="I280" s="9">
        <f>IF(ISNA(MATCH(267,Engine!$C$2:$C$1960,0)),"",INDEX('Compliance Database'!$I$2:$I$1960,MATCH(267,Engine!$C$2:$C$1960,0)))</f>
        <v/>
      </c>
      <c r="J280" s="8">
        <f>IF(ISNA(MATCH(267,Engine!$C$2:$C$1960,0)),"",INDEX('Compliance Database'!$J$2:$J$1960,MATCH(267,Engine!$C$2:$C$1960,0)))</f>
        <v/>
      </c>
      <c r="K280" s="9">
        <f>IF(ISNA(MATCH(267,Engine!$C$2:$C$1960,0)),"",INDEX('Compliance Database'!$K$2:$K$1960,MATCH(267,Engine!$C$2:$C$1960,0)))</f>
        <v/>
      </c>
      <c r="L280" s="9">
        <f>IF(ISNA(MATCH(267,Engine!$C$2:$C$1960,0)),"",INDEX('Compliance Database'!$L$2:$L$1960,MATCH(267,Engine!$C$2:$C$1960,0)))</f>
        <v/>
      </c>
      <c r="M280" s="9">
        <f>IF(ISNA(MATCH(267,Engine!$C$2:$C$1960,0)),"",INDEX('Compliance Database'!$M$2:$M$1960,MATCH(267,Engine!$C$2:$C$1960,0)))</f>
        <v/>
      </c>
      <c r="N280" s="9">
        <f>IF(ISNA(MATCH(267,Engine!$C$2:$C$1960,0)),"",INDEX('Compliance Database'!$N$2:$N$1960,MATCH(267,Engine!$C$2:$C$1960,0)))</f>
        <v/>
      </c>
      <c r="O280" s="9">
        <f>IF(ISNA(MATCH(267,Engine!$C$2:$C$1960,0)),"",INDEX('Compliance Database'!$O$2:$O$1960,MATCH(267,Engine!$C$2:$C$1960,0)))</f>
        <v/>
      </c>
      <c r="P280" s="8">
        <f>IF(ISNA(MATCH(267,Engine!$C$2:$C$1960,0)),"",HYPERLINK("#Acts!A"&amp;INDEX('Compliance Database'!$P$2:$P$1960,MATCH(267,Engine!$C$2:$C$1960,0)),"Go to Act"))</f>
        <v/>
      </c>
    </row>
    <row r="281" ht="158" customHeight="1">
      <c r="A281" s="8">
        <f>IF(ISNA(MATCH(268,Engine!$C$2:$C$1960,0)),"",INDEX('Compliance Database'!$A$2:$A$1960,MATCH(268,Engine!$C$2:$C$1960,0)))</f>
        <v/>
      </c>
      <c r="B281" s="8">
        <f>IF(ISNA(MATCH(268,Engine!$C$2:$C$1960,0)),"",INDEX('Compliance Database'!$B$2:$B$1960,MATCH(268,Engine!$C$2:$C$1960,0)))</f>
        <v/>
      </c>
      <c r="C281" s="8">
        <f>IF(ISNA(MATCH(268,Engine!$C$2:$C$1960,0)),"",INDEX('Compliance Database'!$C$2:$C$1960,MATCH(268,Engine!$C$2:$C$1960,0)))</f>
        <v/>
      </c>
      <c r="D281" s="9">
        <f>IF(ISNA(MATCH(268,Engine!$C$2:$C$1960,0)),"",INDEX('Compliance Database'!$D$2:$D$1960,MATCH(268,Engine!$C$2:$C$1960,0)))</f>
        <v/>
      </c>
      <c r="E281" s="8">
        <f>IF(ISNA(MATCH(268,Engine!$C$2:$C$1960,0)),"",INDEX('Compliance Database'!$E$2:$E$1960,MATCH(268,Engine!$C$2:$C$1960,0)))</f>
        <v/>
      </c>
      <c r="F281" s="8">
        <f>IF(ISNA(MATCH(268,Engine!$C$2:$C$1960,0)),"",INDEX('Compliance Database'!$F$2:$F$1960,MATCH(268,Engine!$C$2:$C$1960,0)))</f>
        <v/>
      </c>
      <c r="G281" s="8">
        <f>IF(ISNA(MATCH(268,Engine!$C$2:$C$1960,0)),"",INDEX('Compliance Database'!$G$2:$G$1960,MATCH(268,Engine!$C$2:$C$1960,0)))</f>
        <v/>
      </c>
      <c r="H281" s="9">
        <f>IF(ISNA(MATCH(268,Engine!$C$2:$C$1960,0)),"",INDEX('Compliance Database'!$H$2:$H$1960,MATCH(268,Engine!$C$2:$C$1960,0)))</f>
        <v/>
      </c>
      <c r="I281" s="9">
        <f>IF(ISNA(MATCH(268,Engine!$C$2:$C$1960,0)),"",INDEX('Compliance Database'!$I$2:$I$1960,MATCH(268,Engine!$C$2:$C$1960,0)))</f>
        <v/>
      </c>
      <c r="J281" s="8">
        <f>IF(ISNA(MATCH(268,Engine!$C$2:$C$1960,0)),"",INDEX('Compliance Database'!$J$2:$J$1960,MATCH(268,Engine!$C$2:$C$1960,0)))</f>
        <v/>
      </c>
      <c r="K281" s="9">
        <f>IF(ISNA(MATCH(268,Engine!$C$2:$C$1960,0)),"",INDEX('Compliance Database'!$K$2:$K$1960,MATCH(268,Engine!$C$2:$C$1960,0)))</f>
        <v/>
      </c>
      <c r="L281" s="9">
        <f>IF(ISNA(MATCH(268,Engine!$C$2:$C$1960,0)),"",INDEX('Compliance Database'!$L$2:$L$1960,MATCH(268,Engine!$C$2:$C$1960,0)))</f>
        <v/>
      </c>
      <c r="M281" s="9">
        <f>IF(ISNA(MATCH(268,Engine!$C$2:$C$1960,0)),"",INDEX('Compliance Database'!$M$2:$M$1960,MATCH(268,Engine!$C$2:$C$1960,0)))</f>
        <v/>
      </c>
      <c r="N281" s="9">
        <f>IF(ISNA(MATCH(268,Engine!$C$2:$C$1960,0)),"",INDEX('Compliance Database'!$N$2:$N$1960,MATCH(268,Engine!$C$2:$C$1960,0)))</f>
        <v/>
      </c>
      <c r="O281" s="9">
        <f>IF(ISNA(MATCH(268,Engine!$C$2:$C$1960,0)),"",INDEX('Compliance Database'!$O$2:$O$1960,MATCH(268,Engine!$C$2:$C$1960,0)))</f>
        <v/>
      </c>
      <c r="P281" s="8">
        <f>IF(ISNA(MATCH(268,Engine!$C$2:$C$1960,0)),"",HYPERLINK("#Acts!A"&amp;INDEX('Compliance Database'!$P$2:$P$1960,MATCH(268,Engine!$C$2:$C$1960,0)),"Go to Act"))</f>
        <v/>
      </c>
    </row>
    <row r="282" ht="158" customHeight="1">
      <c r="A282" s="8">
        <f>IF(ISNA(MATCH(269,Engine!$C$2:$C$1960,0)),"",INDEX('Compliance Database'!$A$2:$A$1960,MATCH(269,Engine!$C$2:$C$1960,0)))</f>
        <v/>
      </c>
      <c r="B282" s="8">
        <f>IF(ISNA(MATCH(269,Engine!$C$2:$C$1960,0)),"",INDEX('Compliance Database'!$B$2:$B$1960,MATCH(269,Engine!$C$2:$C$1960,0)))</f>
        <v/>
      </c>
      <c r="C282" s="8">
        <f>IF(ISNA(MATCH(269,Engine!$C$2:$C$1960,0)),"",INDEX('Compliance Database'!$C$2:$C$1960,MATCH(269,Engine!$C$2:$C$1960,0)))</f>
        <v/>
      </c>
      <c r="D282" s="9">
        <f>IF(ISNA(MATCH(269,Engine!$C$2:$C$1960,0)),"",INDEX('Compliance Database'!$D$2:$D$1960,MATCH(269,Engine!$C$2:$C$1960,0)))</f>
        <v/>
      </c>
      <c r="E282" s="8">
        <f>IF(ISNA(MATCH(269,Engine!$C$2:$C$1960,0)),"",INDEX('Compliance Database'!$E$2:$E$1960,MATCH(269,Engine!$C$2:$C$1960,0)))</f>
        <v/>
      </c>
      <c r="F282" s="8">
        <f>IF(ISNA(MATCH(269,Engine!$C$2:$C$1960,0)),"",INDEX('Compliance Database'!$F$2:$F$1960,MATCH(269,Engine!$C$2:$C$1960,0)))</f>
        <v/>
      </c>
      <c r="G282" s="8">
        <f>IF(ISNA(MATCH(269,Engine!$C$2:$C$1960,0)),"",INDEX('Compliance Database'!$G$2:$G$1960,MATCH(269,Engine!$C$2:$C$1960,0)))</f>
        <v/>
      </c>
      <c r="H282" s="9">
        <f>IF(ISNA(MATCH(269,Engine!$C$2:$C$1960,0)),"",INDEX('Compliance Database'!$H$2:$H$1960,MATCH(269,Engine!$C$2:$C$1960,0)))</f>
        <v/>
      </c>
      <c r="I282" s="9">
        <f>IF(ISNA(MATCH(269,Engine!$C$2:$C$1960,0)),"",INDEX('Compliance Database'!$I$2:$I$1960,MATCH(269,Engine!$C$2:$C$1960,0)))</f>
        <v/>
      </c>
      <c r="J282" s="8">
        <f>IF(ISNA(MATCH(269,Engine!$C$2:$C$1960,0)),"",INDEX('Compliance Database'!$J$2:$J$1960,MATCH(269,Engine!$C$2:$C$1960,0)))</f>
        <v/>
      </c>
      <c r="K282" s="9">
        <f>IF(ISNA(MATCH(269,Engine!$C$2:$C$1960,0)),"",INDEX('Compliance Database'!$K$2:$K$1960,MATCH(269,Engine!$C$2:$C$1960,0)))</f>
        <v/>
      </c>
      <c r="L282" s="9">
        <f>IF(ISNA(MATCH(269,Engine!$C$2:$C$1960,0)),"",INDEX('Compliance Database'!$L$2:$L$1960,MATCH(269,Engine!$C$2:$C$1960,0)))</f>
        <v/>
      </c>
      <c r="M282" s="9">
        <f>IF(ISNA(MATCH(269,Engine!$C$2:$C$1960,0)),"",INDEX('Compliance Database'!$M$2:$M$1960,MATCH(269,Engine!$C$2:$C$1960,0)))</f>
        <v/>
      </c>
      <c r="N282" s="9">
        <f>IF(ISNA(MATCH(269,Engine!$C$2:$C$1960,0)),"",INDEX('Compliance Database'!$N$2:$N$1960,MATCH(269,Engine!$C$2:$C$1960,0)))</f>
        <v/>
      </c>
      <c r="O282" s="9">
        <f>IF(ISNA(MATCH(269,Engine!$C$2:$C$1960,0)),"",INDEX('Compliance Database'!$O$2:$O$1960,MATCH(269,Engine!$C$2:$C$1960,0)))</f>
        <v/>
      </c>
      <c r="P282" s="8">
        <f>IF(ISNA(MATCH(269,Engine!$C$2:$C$1960,0)),"",HYPERLINK("#Acts!A"&amp;INDEX('Compliance Database'!$P$2:$P$1960,MATCH(269,Engine!$C$2:$C$1960,0)),"Go to Act"))</f>
        <v/>
      </c>
    </row>
    <row r="283" ht="158" customHeight="1">
      <c r="A283" s="8">
        <f>IF(ISNA(MATCH(270,Engine!$C$2:$C$1960,0)),"",INDEX('Compliance Database'!$A$2:$A$1960,MATCH(270,Engine!$C$2:$C$1960,0)))</f>
        <v/>
      </c>
      <c r="B283" s="8">
        <f>IF(ISNA(MATCH(270,Engine!$C$2:$C$1960,0)),"",INDEX('Compliance Database'!$B$2:$B$1960,MATCH(270,Engine!$C$2:$C$1960,0)))</f>
        <v/>
      </c>
      <c r="C283" s="8">
        <f>IF(ISNA(MATCH(270,Engine!$C$2:$C$1960,0)),"",INDEX('Compliance Database'!$C$2:$C$1960,MATCH(270,Engine!$C$2:$C$1960,0)))</f>
        <v/>
      </c>
      <c r="D283" s="9">
        <f>IF(ISNA(MATCH(270,Engine!$C$2:$C$1960,0)),"",INDEX('Compliance Database'!$D$2:$D$1960,MATCH(270,Engine!$C$2:$C$1960,0)))</f>
        <v/>
      </c>
      <c r="E283" s="8">
        <f>IF(ISNA(MATCH(270,Engine!$C$2:$C$1960,0)),"",INDEX('Compliance Database'!$E$2:$E$1960,MATCH(270,Engine!$C$2:$C$1960,0)))</f>
        <v/>
      </c>
      <c r="F283" s="8">
        <f>IF(ISNA(MATCH(270,Engine!$C$2:$C$1960,0)),"",INDEX('Compliance Database'!$F$2:$F$1960,MATCH(270,Engine!$C$2:$C$1960,0)))</f>
        <v/>
      </c>
      <c r="G283" s="8">
        <f>IF(ISNA(MATCH(270,Engine!$C$2:$C$1960,0)),"",INDEX('Compliance Database'!$G$2:$G$1960,MATCH(270,Engine!$C$2:$C$1960,0)))</f>
        <v/>
      </c>
      <c r="H283" s="9">
        <f>IF(ISNA(MATCH(270,Engine!$C$2:$C$1960,0)),"",INDEX('Compliance Database'!$H$2:$H$1960,MATCH(270,Engine!$C$2:$C$1960,0)))</f>
        <v/>
      </c>
      <c r="I283" s="9">
        <f>IF(ISNA(MATCH(270,Engine!$C$2:$C$1960,0)),"",INDEX('Compliance Database'!$I$2:$I$1960,MATCH(270,Engine!$C$2:$C$1960,0)))</f>
        <v/>
      </c>
      <c r="J283" s="8">
        <f>IF(ISNA(MATCH(270,Engine!$C$2:$C$1960,0)),"",INDEX('Compliance Database'!$J$2:$J$1960,MATCH(270,Engine!$C$2:$C$1960,0)))</f>
        <v/>
      </c>
      <c r="K283" s="9">
        <f>IF(ISNA(MATCH(270,Engine!$C$2:$C$1960,0)),"",INDEX('Compliance Database'!$K$2:$K$1960,MATCH(270,Engine!$C$2:$C$1960,0)))</f>
        <v/>
      </c>
      <c r="L283" s="9">
        <f>IF(ISNA(MATCH(270,Engine!$C$2:$C$1960,0)),"",INDEX('Compliance Database'!$L$2:$L$1960,MATCH(270,Engine!$C$2:$C$1960,0)))</f>
        <v/>
      </c>
      <c r="M283" s="9">
        <f>IF(ISNA(MATCH(270,Engine!$C$2:$C$1960,0)),"",INDEX('Compliance Database'!$M$2:$M$1960,MATCH(270,Engine!$C$2:$C$1960,0)))</f>
        <v/>
      </c>
      <c r="N283" s="9">
        <f>IF(ISNA(MATCH(270,Engine!$C$2:$C$1960,0)),"",INDEX('Compliance Database'!$N$2:$N$1960,MATCH(270,Engine!$C$2:$C$1960,0)))</f>
        <v/>
      </c>
      <c r="O283" s="9">
        <f>IF(ISNA(MATCH(270,Engine!$C$2:$C$1960,0)),"",INDEX('Compliance Database'!$O$2:$O$1960,MATCH(270,Engine!$C$2:$C$1960,0)))</f>
        <v/>
      </c>
      <c r="P283" s="8">
        <f>IF(ISNA(MATCH(270,Engine!$C$2:$C$1960,0)),"",HYPERLINK("#Acts!A"&amp;INDEX('Compliance Database'!$P$2:$P$1960,MATCH(270,Engine!$C$2:$C$1960,0)),"Go to Act"))</f>
        <v/>
      </c>
    </row>
    <row r="284" ht="158" customHeight="1">
      <c r="A284" s="8">
        <f>IF(ISNA(MATCH(271,Engine!$C$2:$C$1960,0)),"",INDEX('Compliance Database'!$A$2:$A$1960,MATCH(271,Engine!$C$2:$C$1960,0)))</f>
        <v/>
      </c>
      <c r="B284" s="8">
        <f>IF(ISNA(MATCH(271,Engine!$C$2:$C$1960,0)),"",INDEX('Compliance Database'!$B$2:$B$1960,MATCH(271,Engine!$C$2:$C$1960,0)))</f>
        <v/>
      </c>
      <c r="C284" s="8">
        <f>IF(ISNA(MATCH(271,Engine!$C$2:$C$1960,0)),"",INDEX('Compliance Database'!$C$2:$C$1960,MATCH(271,Engine!$C$2:$C$1960,0)))</f>
        <v/>
      </c>
      <c r="D284" s="9">
        <f>IF(ISNA(MATCH(271,Engine!$C$2:$C$1960,0)),"",INDEX('Compliance Database'!$D$2:$D$1960,MATCH(271,Engine!$C$2:$C$1960,0)))</f>
        <v/>
      </c>
      <c r="E284" s="8">
        <f>IF(ISNA(MATCH(271,Engine!$C$2:$C$1960,0)),"",INDEX('Compliance Database'!$E$2:$E$1960,MATCH(271,Engine!$C$2:$C$1960,0)))</f>
        <v/>
      </c>
      <c r="F284" s="8">
        <f>IF(ISNA(MATCH(271,Engine!$C$2:$C$1960,0)),"",INDEX('Compliance Database'!$F$2:$F$1960,MATCH(271,Engine!$C$2:$C$1960,0)))</f>
        <v/>
      </c>
      <c r="G284" s="8">
        <f>IF(ISNA(MATCH(271,Engine!$C$2:$C$1960,0)),"",INDEX('Compliance Database'!$G$2:$G$1960,MATCH(271,Engine!$C$2:$C$1960,0)))</f>
        <v/>
      </c>
      <c r="H284" s="9">
        <f>IF(ISNA(MATCH(271,Engine!$C$2:$C$1960,0)),"",INDEX('Compliance Database'!$H$2:$H$1960,MATCH(271,Engine!$C$2:$C$1960,0)))</f>
        <v/>
      </c>
      <c r="I284" s="9">
        <f>IF(ISNA(MATCH(271,Engine!$C$2:$C$1960,0)),"",INDEX('Compliance Database'!$I$2:$I$1960,MATCH(271,Engine!$C$2:$C$1960,0)))</f>
        <v/>
      </c>
      <c r="J284" s="8">
        <f>IF(ISNA(MATCH(271,Engine!$C$2:$C$1960,0)),"",INDEX('Compliance Database'!$J$2:$J$1960,MATCH(271,Engine!$C$2:$C$1960,0)))</f>
        <v/>
      </c>
      <c r="K284" s="9">
        <f>IF(ISNA(MATCH(271,Engine!$C$2:$C$1960,0)),"",INDEX('Compliance Database'!$K$2:$K$1960,MATCH(271,Engine!$C$2:$C$1960,0)))</f>
        <v/>
      </c>
      <c r="L284" s="9">
        <f>IF(ISNA(MATCH(271,Engine!$C$2:$C$1960,0)),"",INDEX('Compliance Database'!$L$2:$L$1960,MATCH(271,Engine!$C$2:$C$1960,0)))</f>
        <v/>
      </c>
      <c r="M284" s="9">
        <f>IF(ISNA(MATCH(271,Engine!$C$2:$C$1960,0)),"",INDEX('Compliance Database'!$M$2:$M$1960,MATCH(271,Engine!$C$2:$C$1960,0)))</f>
        <v/>
      </c>
      <c r="N284" s="9">
        <f>IF(ISNA(MATCH(271,Engine!$C$2:$C$1960,0)),"",INDEX('Compliance Database'!$N$2:$N$1960,MATCH(271,Engine!$C$2:$C$1960,0)))</f>
        <v/>
      </c>
      <c r="O284" s="9">
        <f>IF(ISNA(MATCH(271,Engine!$C$2:$C$1960,0)),"",INDEX('Compliance Database'!$O$2:$O$1960,MATCH(271,Engine!$C$2:$C$1960,0)))</f>
        <v/>
      </c>
      <c r="P284" s="8">
        <f>IF(ISNA(MATCH(271,Engine!$C$2:$C$1960,0)),"",HYPERLINK("#Acts!A"&amp;INDEX('Compliance Database'!$P$2:$P$1960,MATCH(271,Engine!$C$2:$C$1960,0)),"Go to Act"))</f>
        <v/>
      </c>
    </row>
    <row r="285" ht="158" customHeight="1">
      <c r="A285" s="8">
        <f>IF(ISNA(MATCH(272,Engine!$C$2:$C$1960,0)),"",INDEX('Compliance Database'!$A$2:$A$1960,MATCH(272,Engine!$C$2:$C$1960,0)))</f>
        <v/>
      </c>
      <c r="B285" s="8">
        <f>IF(ISNA(MATCH(272,Engine!$C$2:$C$1960,0)),"",INDEX('Compliance Database'!$B$2:$B$1960,MATCH(272,Engine!$C$2:$C$1960,0)))</f>
        <v/>
      </c>
      <c r="C285" s="8">
        <f>IF(ISNA(MATCH(272,Engine!$C$2:$C$1960,0)),"",INDEX('Compliance Database'!$C$2:$C$1960,MATCH(272,Engine!$C$2:$C$1960,0)))</f>
        <v/>
      </c>
      <c r="D285" s="9">
        <f>IF(ISNA(MATCH(272,Engine!$C$2:$C$1960,0)),"",INDEX('Compliance Database'!$D$2:$D$1960,MATCH(272,Engine!$C$2:$C$1960,0)))</f>
        <v/>
      </c>
      <c r="E285" s="8">
        <f>IF(ISNA(MATCH(272,Engine!$C$2:$C$1960,0)),"",INDEX('Compliance Database'!$E$2:$E$1960,MATCH(272,Engine!$C$2:$C$1960,0)))</f>
        <v/>
      </c>
      <c r="F285" s="8">
        <f>IF(ISNA(MATCH(272,Engine!$C$2:$C$1960,0)),"",INDEX('Compliance Database'!$F$2:$F$1960,MATCH(272,Engine!$C$2:$C$1960,0)))</f>
        <v/>
      </c>
      <c r="G285" s="8">
        <f>IF(ISNA(MATCH(272,Engine!$C$2:$C$1960,0)),"",INDEX('Compliance Database'!$G$2:$G$1960,MATCH(272,Engine!$C$2:$C$1960,0)))</f>
        <v/>
      </c>
      <c r="H285" s="9">
        <f>IF(ISNA(MATCH(272,Engine!$C$2:$C$1960,0)),"",INDEX('Compliance Database'!$H$2:$H$1960,MATCH(272,Engine!$C$2:$C$1960,0)))</f>
        <v/>
      </c>
      <c r="I285" s="9">
        <f>IF(ISNA(MATCH(272,Engine!$C$2:$C$1960,0)),"",INDEX('Compliance Database'!$I$2:$I$1960,MATCH(272,Engine!$C$2:$C$1960,0)))</f>
        <v/>
      </c>
      <c r="J285" s="8">
        <f>IF(ISNA(MATCH(272,Engine!$C$2:$C$1960,0)),"",INDEX('Compliance Database'!$J$2:$J$1960,MATCH(272,Engine!$C$2:$C$1960,0)))</f>
        <v/>
      </c>
      <c r="K285" s="9">
        <f>IF(ISNA(MATCH(272,Engine!$C$2:$C$1960,0)),"",INDEX('Compliance Database'!$K$2:$K$1960,MATCH(272,Engine!$C$2:$C$1960,0)))</f>
        <v/>
      </c>
      <c r="L285" s="9">
        <f>IF(ISNA(MATCH(272,Engine!$C$2:$C$1960,0)),"",INDEX('Compliance Database'!$L$2:$L$1960,MATCH(272,Engine!$C$2:$C$1960,0)))</f>
        <v/>
      </c>
      <c r="M285" s="9">
        <f>IF(ISNA(MATCH(272,Engine!$C$2:$C$1960,0)),"",INDEX('Compliance Database'!$M$2:$M$1960,MATCH(272,Engine!$C$2:$C$1960,0)))</f>
        <v/>
      </c>
      <c r="N285" s="9">
        <f>IF(ISNA(MATCH(272,Engine!$C$2:$C$1960,0)),"",INDEX('Compliance Database'!$N$2:$N$1960,MATCH(272,Engine!$C$2:$C$1960,0)))</f>
        <v/>
      </c>
      <c r="O285" s="9">
        <f>IF(ISNA(MATCH(272,Engine!$C$2:$C$1960,0)),"",INDEX('Compliance Database'!$O$2:$O$1960,MATCH(272,Engine!$C$2:$C$1960,0)))</f>
        <v/>
      </c>
      <c r="P285" s="8">
        <f>IF(ISNA(MATCH(272,Engine!$C$2:$C$1960,0)),"",HYPERLINK("#Acts!A"&amp;INDEX('Compliance Database'!$P$2:$P$1960,MATCH(272,Engine!$C$2:$C$1960,0)),"Go to Act"))</f>
        <v/>
      </c>
    </row>
    <row r="286" ht="158" customHeight="1">
      <c r="A286" s="8">
        <f>IF(ISNA(MATCH(273,Engine!$C$2:$C$1960,0)),"",INDEX('Compliance Database'!$A$2:$A$1960,MATCH(273,Engine!$C$2:$C$1960,0)))</f>
        <v/>
      </c>
      <c r="B286" s="8">
        <f>IF(ISNA(MATCH(273,Engine!$C$2:$C$1960,0)),"",INDEX('Compliance Database'!$B$2:$B$1960,MATCH(273,Engine!$C$2:$C$1960,0)))</f>
        <v/>
      </c>
      <c r="C286" s="8">
        <f>IF(ISNA(MATCH(273,Engine!$C$2:$C$1960,0)),"",INDEX('Compliance Database'!$C$2:$C$1960,MATCH(273,Engine!$C$2:$C$1960,0)))</f>
        <v/>
      </c>
      <c r="D286" s="9">
        <f>IF(ISNA(MATCH(273,Engine!$C$2:$C$1960,0)),"",INDEX('Compliance Database'!$D$2:$D$1960,MATCH(273,Engine!$C$2:$C$1960,0)))</f>
        <v/>
      </c>
      <c r="E286" s="8">
        <f>IF(ISNA(MATCH(273,Engine!$C$2:$C$1960,0)),"",INDEX('Compliance Database'!$E$2:$E$1960,MATCH(273,Engine!$C$2:$C$1960,0)))</f>
        <v/>
      </c>
      <c r="F286" s="8">
        <f>IF(ISNA(MATCH(273,Engine!$C$2:$C$1960,0)),"",INDEX('Compliance Database'!$F$2:$F$1960,MATCH(273,Engine!$C$2:$C$1960,0)))</f>
        <v/>
      </c>
      <c r="G286" s="8">
        <f>IF(ISNA(MATCH(273,Engine!$C$2:$C$1960,0)),"",INDEX('Compliance Database'!$G$2:$G$1960,MATCH(273,Engine!$C$2:$C$1960,0)))</f>
        <v/>
      </c>
      <c r="H286" s="9">
        <f>IF(ISNA(MATCH(273,Engine!$C$2:$C$1960,0)),"",INDEX('Compliance Database'!$H$2:$H$1960,MATCH(273,Engine!$C$2:$C$1960,0)))</f>
        <v/>
      </c>
      <c r="I286" s="9">
        <f>IF(ISNA(MATCH(273,Engine!$C$2:$C$1960,0)),"",INDEX('Compliance Database'!$I$2:$I$1960,MATCH(273,Engine!$C$2:$C$1960,0)))</f>
        <v/>
      </c>
      <c r="J286" s="8">
        <f>IF(ISNA(MATCH(273,Engine!$C$2:$C$1960,0)),"",INDEX('Compliance Database'!$J$2:$J$1960,MATCH(273,Engine!$C$2:$C$1960,0)))</f>
        <v/>
      </c>
      <c r="K286" s="9">
        <f>IF(ISNA(MATCH(273,Engine!$C$2:$C$1960,0)),"",INDEX('Compliance Database'!$K$2:$K$1960,MATCH(273,Engine!$C$2:$C$1960,0)))</f>
        <v/>
      </c>
      <c r="L286" s="9">
        <f>IF(ISNA(MATCH(273,Engine!$C$2:$C$1960,0)),"",INDEX('Compliance Database'!$L$2:$L$1960,MATCH(273,Engine!$C$2:$C$1960,0)))</f>
        <v/>
      </c>
      <c r="M286" s="9">
        <f>IF(ISNA(MATCH(273,Engine!$C$2:$C$1960,0)),"",INDEX('Compliance Database'!$M$2:$M$1960,MATCH(273,Engine!$C$2:$C$1960,0)))</f>
        <v/>
      </c>
      <c r="N286" s="9">
        <f>IF(ISNA(MATCH(273,Engine!$C$2:$C$1960,0)),"",INDEX('Compliance Database'!$N$2:$N$1960,MATCH(273,Engine!$C$2:$C$1960,0)))</f>
        <v/>
      </c>
      <c r="O286" s="9">
        <f>IF(ISNA(MATCH(273,Engine!$C$2:$C$1960,0)),"",INDEX('Compliance Database'!$O$2:$O$1960,MATCH(273,Engine!$C$2:$C$1960,0)))</f>
        <v/>
      </c>
      <c r="P286" s="8">
        <f>IF(ISNA(MATCH(273,Engine!$C$2:$C$1960,0)),"",HYPERLINK("#Acts!A"&amp;INDEX('Compliance Database'!$P$2:$P$1960,MATCH(273,Engine!$C$2:$C$1960,0)),"Go to Act"))</f>
        <v/>
      </c>
    </row>
    <row r="287" ht="158" customHeight="1">
      <c r="A287" s="8">
        <f>IF(ISNA(MATCH(274,Engine!$C$2:$C$1960,0)),"",INDEX('Compliance Database'!$A$2:$A$1960,MATCH(274,Engine!$C$2:$C$1960,0)))</f>
        <v/>
      </c>
      <c r="B287" s="8">
        <f>IF(ISNA(MATCH(274,Engine!$C$2:$C$1960,0)),"",INDEX('Compliance Database'!$B$2:$B$1960,MATCH(274,Engine!$C$2:$C$1960,0)))</f>
        <v/>
      </c>
      <c r="C287" s="8">
        <f>IF(ISNA(MATCH(274,Engine!$C$2:$C$1960,0)),"",INDEX('Compliance Database'!$C$2:$C$1960,MATCH(274,Engine!$C$2:$C$1960,0)))</f>
        <v/>
      </c>
      <c r="D287" s="9">
        <f>IF(ISNA(MATCH(274,Engine!$C$2:$C$1960,0)),"",INDEX('Compliance Database'!$D$2:$D$1960,MATCH(274,Engine!$C$2:$C$1960,0)))</f>
        <v/>
      </c>
      <c r="E287" s="8">
        <f>IF(ISNA(MATCH(274,Engine!$C$2:$C$1960,0)),"",INDEX('Compliance Database'!$E$2:$E$1960,MATCH(274,Engine!$C$2:$C$1960,0)))</f>
        <v/>
      </c>
      <c r="F287" s="8">
        <f>IF(ISNA(MATCH(274,Engine!$C$2:$C$1960,0)),"",INDEX('Compliance Database'!$F$2:$F$1960,MATCH(274,Engine!$C$2:$C$1960,0)))</f>
        <v/>
      </c>
      <c r="G287" s="8">
        <f>IF(ISNA(MATCH(274,Engine!$C$2:$C$1960,0)),"",INDEX('Compliance Database'!$G$2:$G$1960,MATCH(274,Engine!$C$2:$C$1960,0)))</f>
        <v/>
      </c>
      <c r="H287" s="9">
        <f>IF(ISNA(MATCH(274,Engine!$C$2:$C$1960,0)),"",INDEX('Compliance Database'!$H$2:$H$1960,MATCH(274,Engine!$C$2:$C$1960,0)))</f>
        <v/>
      </c>
      <c r="I287" s="9">
        <f>IF(ISNA(MATCH(274,Engine!$C$2:$C$1960,0)),"",INDEX('Compliance Database'!$I$2:$I$1960,MATCH(274,Engine!$C$2:$C$1960,0)))</f>
        <v/>
      </c>
      <c r="J287" s="8">
        <f>IF(ISNA(MATCH(274,Engine!$C$2:$C$1960,0)),"",INDEX('Compliance Database'!$J$2:$J$1960,MATCH(274,Engine!$C$2:$C$1960,0)))</f>
        <v/>
      </c>
      <c r="K287" s="9">
        <f>IF(ISNA(MATCH(274,Engine!$C$2:$C$1960,0)),"",INDEX('Compliance Database'!$K$2:$K$1960,MATCH(274,Engine!$C$2:$C$1960,0)))</f>
        <v/>
      </c>
      <c r="L287" s="9">
        <f>IF(ISNA(MATCH(274,Engine!$C$2:$C$1960,0)),"",INDEX('Compliance Database'!$L$2:$L$1960,MATCH(274,Engine!$C$2:$C$1960,0)))</f>
        <v/>
      </c>
      <c r="M287" s="9">
        <f>IF(ISNA(MATCH(274,Engine!$C$2:$C$1960,0)),"",INDEX('Compliance Database'!$M$2:$M$1960,MATCH(274,Engine!$C$2:$C$1960,0)))</f>
        <v/>
      </c>
      <c r="N287" s="9">
        <f>IF(ISNA(MATCH(274,Engine!$C$2:$C$1960,0)),"",INDEX('Compliance Database'!$N$2:$N$1960,MATCH(274,Engine!$C$2:$C$1960,0)))</f>
        <v/>
      </c>
      <c r="O287" s="9">
        <f>IF(ISNA(MATCH(274,Engine!$C$2:$C$1960,0)),"",INDEX('Compliance Database'!$O$2:$O$1960,MATCH(274,Engine!$C$2:$C$1960,0)))</f>
        <v/>
      </c>
      <c r="P287" s="8">
        <f>IF(ISNA(MATCH(274,Engine!$C$2:$C$1960,0)),"",HYPERLINK("#Acts!A"&amp;INDEX('Compliance Database'!$P$2:$P$1960,MATCH(274,Engine!$C$2:$C$1960,0)),"Go to Act"))</f>
        <v/>
      </c>
    </row>
    <row r="288" ht="158" customHeight="1">
      <c r="A288" s="8">
        <f>IF(ISNA(MATCH(275,Engine!$C$2:$C$1960,0)),"",INDEX('Compliance Database'!$A$2:$A$1960,MATCH(275,Engine!$C$2:$C$1960,0)))</f>
        <v/>
      </c>
      <c r="B288" s="8">
        <f>IF(ISNA(MATCH(275,Engine!$C$2:$C$1960,0)),"",INDEX('Compliance Database'!$B$2:$B$1960,MATCH(275,Engine!$C$2:$C$1960,0)))</f>
        <v/>
      </c>
      <c r="C288" s="8">
        <f>IF(ISNA(MATCH(275,Engine!$C$2:$C$1960,0)),"",INDEX('Compliance Database'!$C$2:$C$1960,MATCH(275,Engine!$C$2:$C$1960,0)))</f>
        <v/>
      </c>
      <c r="D288" s="9">
        <f>IF(ISNA(MATCH(275,Engine!$C$2:$C$1960,0)),"",INDEX('Compliance Database'!$D$2:$D$1960,MATCH(275,Engine!$C$2:$C$1960,0)))</f>
        <v/>
      </c>
      <c r="E288" s="8">
        <f>IF(ISNA(MATCH(275,Engine!$C$2:$C$1960,0)),"",INDEX('Compliance Database'!$E$2:$E$1960,MATCH(275,Engine!$C$2:$C$1960,0)))</f>
        <v/>
      </c>
      <c r="F288" s="8">
        <f>IF(ISNA(MATCH(275,Engine!$C$2:$C$1960,0)),"",INDEX('Compliance Database'!$F$2:$F$1960,MATCH(275,Engine!$C$2:$C$1960,0)))</f>
        <v/>
      </c>
      <c r="G288" s="8">
        <f>IF(ISNA(MATCH(275,Engine!$C$2:$C$1960,0)),"",INDEX('Compliance Database'!$G$2:$G$1960,MATCH(275,Engine!$C$2:$C$1960,0)))</f>
        <v/>
      </c>
      <c r="H288" s="9">
        <f>IF(ISNA(MATCH(275,Engine!$C$2:$C$1960,0)),"",INDEX('Compliance Database'!$H$2:$H$1960,MATCH(275,Engine!$C$2:$C$1960,0)))</f>
        <v/>
      </c>
      <c r="I288" s="9">
        <f>IF(ISNA(MATCH(275,Engine!$C$2:$C$1960,0)),"",INDEX('Compliance Database'!$I$2:$I$1960,MATCH(275,Engine!$C$2:$C$1960,0)))</f>
        <v/>
      </c>
      <c r="J288" s="8">
        <f>IF(ISNA(MATCH(275,Engine!$C$2:$C$1960,0)),"",INDEX('Compliance Database'!$J$2:$J$1960,MATCH(275,Engine!$C$2:$C$1960,0)))</f>
        <v/>
      </c>
      <c r="K288" s="9">
        <f>IF(ISNA(MATCH(275,Engine!$C$2:$C$1960,0)),"",INDEX('Compliance Database'!$K$2:$K$1960,MATCH(275,Engine!$C$2:$C$1960,0)))</f>
        <v/>
      </c>
      <c r="L288" s="9">
        <f>IF(ISNA(MATCH(275,Engine!$C$2:$C$1960,0)),"",INDEX('Compliance Database'!$L$2:$L$1960,MATCH(275,Engine!$C$2:$C$1960,0)))</f>
        <v/>
      </c>
      <c r="M288" s="9">
        <f>IF(ISNA(MATCH(275,Engine!$C$2:$C$1960,0)),"",INDEX('Compliance Database'!$M$2:$M$1960,MATCH(275,Engine!$C$2:$C$1960,0)))</f>
        <v/>
      </c>
      <c r="N288" s="9">
        <f>IF(ISNA(MATCH(275,Engine!$C$2:$C$1960,0)),"",INDEX('Compliance Database'!$N$2:$N$1960,MATCH(275,Engine!$C$2:$C$1960,0)))</f>
        <v/>
      </c>
      <c r="O288" s="9">
        <f>IF(ISNA(MATCH(275,Engine!$C$2:$C$1960,0)),"",INDEX('Compliance Database'!$O$2:$O$1960,MATCH(275,Engine!$C$2:$C$1960,0)))</f>
        <v/>
      </c>
      <c r="P288" s="8">
        <f>IF(ISNA(MATCH(275,Engine!$C$2:$C$1960,0)),"",HYPERLINK("#Acts!A"&amp;INDEX('Compliance Database'!$P$2:$P$1960,MATCH(275,Engine!$C$2:$C$1960,0)),"Go to Act"))</f>
        <v/>
      </c>
    </row>
    <row r="289" ht="158" customHeight="1">
      <c r="A289" s="8">
        <f>IF(ISNA(MATCH(276,Engine!$C$2:$C$1960,0)),"",INDEX('Compliance Database'!$A$2:$A$1960,MATCH(276,Engine!$C$2:$C$1960,0)))</f>
        <v/>
      </c>
      <c r="B289" s="8">
        <f>IF(ISNA(MATCH(276,Engine!$C$2:$C$1960,0)),"",INDEX('Compliance Database'!$B$2:$B$1960,MATCH(276,Engine!$C$2:$C$1960,0)))</f>
        <v/>
      </c>
      <c r="C289" s="8">
        <f>IF(ISNA(MATCH(276,Engine!$C$2:$C$1960,0)),"",INDEX('Compliance Database'!$C$2:$C$1960,MATCH(276,Engine!$C$2:$C$1960,0)))</f>
        <v/>
      </c>
      <c r="D289" s="9">
        <f>IF(ISNA(MATCH(276,Engine!$C$2:$C$1960,0)),"",INDEX('Compliance Database'!$D$2:$D$1960,MATCH(276,Engine!$C$2:$C$1960,0)))</f>
        <v/>
      </c>
      <c r="E289" s="8">
        <f>IF(ISNA(MATCH(276,Engine!$C$2:$C$1960,0)),"",INDEX('Compliance Database'!$E$2:$E$1960,MATCH(276,Engine!$C$2:$C$1960,0)))</f>
        <v/>
      </c>
      <c r="F289" s="8">
        <f>IF(ISNA(MATCH(276,Engine!$C$2:$C$1960,0)),"",INDEX('Compliance Database'!$F$2:$F$1960,MATCH(276,Engine!$C$2:$C$1960,0)))</f>
        <v/>
      </c>
      <c r="G289" s="8">
        <f>IF(ISNA(MATCH(276,Engine!$C$2:$C$1960,0)),"",INDEX('Compliance Database'!$G$2:$G$1960,MATCH(276,Engine!$C$2:$C$1960,0)))</f>
        <v/>
      </c>
      <c r="H289" s="9">
        <f>IF(ISNA(MATCH(276,Engine!$C$2:$C$1960,0)),"",INDEX('Compliance Database'!$H$2:$H$1960,MATCH(276,Engine!$C$2:$C$1960,0)))</f>
        <v/>
      </c>
      <c r="I289" s="9">
        <f>IF(ISNA(MATCH(276,Engine!$C$2:$C$1960,0)),"",INDEX('Compliance Database'!$I$2:$I$1960,MATCH(276,Engine!$C$2:$C$1960,0)))</f>
        <v/>
      </c>
      <c r="J289" s="8">
        <f>IF(ISNA(MATCH(276,Engine!$C$2:$C$1960,0)),"",INDEX('Compliance Database'!$J$2:$J$1960,MATCH(276,Engine!$C$2:$C$1960,0)))</f>
        <v/>
      </c>
      <c r="K289" s="9">
        <f>IF(ISNA(MATCH(276,Engine!$C$2:$C$1960,0)),"",INDEX('Compliance Database'!$K$2:$K$1960,MATCH(276,Engine!$C$2:$C$1960,0)))</f>
        <v/>
      </c>
      <c r="L289" s="9">
        <f>IF(ISNA(MATCH(276,Engine!$C$2:$C$1960,0)),"",INDEX('Compliance Database'!$L$2:$L$1960,MATCH(276,Engine!$C$2:$C$1960,0)))</f>
        <v/>
      </c>
      <c r="M289" s="9">
        <f>IF(ISNA(MATCH(276,Engine!$C$2:$C$1960,0)),"",INDEX('Compliance Database'!$M$2:$M$1960,MATCH(276,Engine!$C$2:$C$1960,0)))</f>
        <v/>
      </c>
      <c r="N289" s="9">
        <f>IF(ISNA(MATCH(276,Engine!$C$2:$C$1960,0)),"",INDEX('Compliance Database'!$N$2:$N$1960,MATCH(276,Engine!$C$2:$C$1960,0)))</f>
        <v/>
      </c>
      <c r="O289" s="9">
        <f>IF(ISNA(MATCH(276,Engine!$C$2:$C$1960,0)),"",INDEX('Compliance Database'!$O$2:$O$1960,MATCH(276,Engine!$C$2:$C$1960,0)))</f>
        <v/>
      </c>
      <c r="P289" s="8">
        <f>IF(ISNA(MATCH(276,Engine!$C$2:$C$1960,0)),"",HYPERLINK("#Acts!A"&amp;INDEX('Compliance Database'!$P$2:$P$1960,MATCH(276,Engine!$C$2:$C$1960,0)),"Go to Act"))</f>
        <v/>
      </c>
    </row>
    <row r="290" ht="158" customHeight="1">
      <c r="A290" s="8">
        <f>IF(ISNA(MATCH(277,Engine!$C$2:$C$1960,0)),"",INDEX('Compliance Database'!$A$2:$A$1960,MATCH(277,Engine!$C$2:$C$1960,0)))</f>
        <v/>
      </c>
      <c r="B290" s="8">
        <f>IF(ISNA(MATCH(277,Engine!$C$2:$C$1960,0)),"",INDEX('Compliance Database'!$B$2:$B$1960,MATCH(277,Engine!$C$2:$C$1960,0)))</f>
        <v/>
      </c>
      <c r="C290" s="8">
        <f>IF(ISNA(MATCH(277,Engine!$C$2:$C$1960,0)),"",INDEX('Compliance Database'!$C$2:$C$1960,MATCH(277,Engine!$C$2:$C$1960,0)))</f>
        <v/>
      </c>
      <c r="D290" s="9">
        <f>IF(ISNA(MATCH(277,Engine!$C$2:$C$1960,0)),"",INDEX('Compliance Database'!$D$2:$D$1960,MATCH(277,Engine!$C$2:$C$1960,0)))</f>
        <v/>
      </c>
      <c r="E290" s="8">
        <f>IF(ISNA(MATCH(277,Engine!$C$2:$C$1960,0)),"",INDEX('Compliance Database'!$E$2:$E$1960,MATCH(277,Engine!$C$2:$C$1960,0)))</f>
        <v/>
      </c>
      <c r="F290" s="8">
        <f>IF(ISNA(MATCH(277,Engine!$C$2:$C$1960,0)),"",INDEX('Compliance Database'!$F$2:$F$1960,MATCH(277,Engine!$C$2:$C$1960,0)))</f>
        <v/>
      </c>
      <c r="G290" s="8">
        <f>IF(ISNA(MATCH(277,Engine!$C$2:$C$1960,0)),"",INDEX('Compliance Database'!$G$2:$G$1960,MATCH(277,Engine!$C$2:$C$1960,0)))</f>
        <v/>
      </c>
      <c r="H290" s="9">
        <f>IF(ISNA(MATCH(277,Engine!$C$2:$C$1960,0)),"",INDEX('Compliance Database'!$H$2:$H$1960,MATCH(277,Engine!$C$2:$C$1960,0)))</f>
        <v/>
      </c>
      <c r="I290" s="9">
        <f>IF(ISNA(MATCH(277,Engine!$C$2:$C$1960,0)),"",INDEX('Compliance Database'!$I$2:$I$1960,MATCH(277,Engine!$C$2:$C$1960,0)))</f>
        <v/>
      </c>
      <c r="J290" s="8">
        <f>IF(ISNA(MATCH(277,Engine!$C$2:$C$1960,0)),"",INDEX('Compliance Database'!$J$2:$J$1960,MATCH(277,Engine!$C$2:$C$1960,0)))</f>
        <v/>
      </c>
      <c r="K290" s="9">
        <f>IF(ISNA(MATCH(277,Engine!$C$2:$C$1960,0)),"",INDEX('Compliance Database'!$K$2:$K$1960,MATCH(277,Engine!$C$2:$C$1960,0)))</f>
        <v/>
      </c>
      <c r="L290" s="9">
        <f>IF(ISNA(MATCH(277,Engine!$C$2:$C$1960,0)),"",INDEX('Compliance Database'!$L$2:$L$1960,MATCH(277,Engine!$C$2:$C$1960,0)))</f>
        <v/>
      </c>
      <c r="M290" s="9">
        <f>IF(ISNA(MATCH(277,Engine!$C$2:$C$1960,0)),"",INDEX('Compliance Database'!$M$2:$M$1960,MATCH(277,Engine!$C$2:$C$1960,0)))</f>
        <v/>
      </c>
      <c r="N290" s="9">
        <f>IF(ISNA(MATCH(277,Engine!$C$2:$C$1960,0)),"",INDEX('Compliance Database'!$N$2:$N$1960,MATCH(277,Engine!$C$2:$C$1960,0)))</f>
        <v/>
      </c>
      <c r="O290" s="9">
        <f>IF(ISNA(MATCH(277,Engine!$C$2:$C$1960,0)),"",INDEX('Compliance Database'!$O$2:$O$1960,MATCH(277,Engine!$C$2:$C$1960,0)))</f>
        <v/>
      </c>
      <c r="P290" s="8">
        <f>IF(ISNA(MATCH(277,Engine!$C$2:$C$1960,0)),"",HYPERLINK("#Acts!A"&amp;INDEX('Compliance Database'!$P$2:$P$1960,MATCH(277,Engine!$C$2:$C$1960,0)),"Go to Act"))</f>
        <v/>
      </c>
    </row>
    <row r="291" ht="158" customHeight="1">
      <c r="A291" s="8">
        <f>IF(ISNA(MATCH(278,Engine!$C$2:$C$1960,0)),"",INDEX('Compliance Database'!$A$2:$A$1960,MATCH(278,Engine!$C$2:$C$1960,0)))</f>
        <v/>
      </c>
      <c r="B291" s="8">
        <f>IF(ISNA(MATCH(278,Engine!$C$2:$C$1960,0)),"",INDEX('Compliance Database'!$B$2:$B$1960,MATCH(278,Engine!$C$2:$C$1960,0)))</f>
        <v/>
      </c>
      <c r="C291" s="8">
        <f>IF(ISNA(MATCH(278,Engine!$C$2:$C$1960,0)),"",INDEX('Compliance Database'!$C$2:$C$1960,MATCH(278,Engine!$C$2:$C$1960,0)))</f>
        <v/>
      </c>
      <c r="D291" s="9">
        <f>IF(ISNA(MATCH(278,Engine!$C$2:$C$1960,0)),"",INDEX('Compliance Database'!$D$2:$D$1960,MATCH(278,Engine!$C$2:$C$1960,0)))</f>
        <v/>
      </c>
      <c r="E291" s="8">
        <f>IF(ISNA(MATCH(278,Engine!$C$2:$C$1960,0)),"",INDEX('Compliance Database'!$E$2:$E$1960,MATCH(278,Engine!$C$2:$C$1960,0)))</f>
        <v/>
      </c>
      <c r="F291" s="8">
        <f>IF(ISNA(MATCH(278,Engine!$C$2:$C$1960,0)),"",INDEX('Compliance Database'!$F$2:$F$1960,MATCH(278,Engine!$C$2:$C$1960,0)))</f>
        <v/>
      </c>
      <c r="G291" s="8">
        <f>IF(ISNA(MATCH(278,Engine!$C$2:$C$1960,0)),"",INDEX('Compliance Database'!$G$2:$G$1960,MATCH(278,Engine!$C$2:$C$1960,0)))</f>
        <v/>
      </c>
      <c r="H291" s="9">
        <f>IF(ISNA(MATCH(278,Engine!$C$2:$C$1960,0)),"",INDEX('Compliance Database'!$H$2:$H$1960,MATCH(278,Engine!$C$2:$C$1960,0)))</f>
        <v/>
      </c>
      <c r="I291" s="9">
        <f>IF(ISNA(MATCH(278,Engine!$C$2:$C$1960,0)),"",INDEX('Compliance Database'!$I$2:$I$1960,MATCH(278,Engine!$C$2:$C$1960,0)))</f>
        <v/>
      </c>
      <c r="J291" s="8">
        <f>IF(ISNA(MATCH(278,Engine!$C$2:$C$1960,0)),"",INDEX('Compliance Database'!$J$2:$J$1960,MATCH(278,Engine!$C$2:$C$1960,0)))</f>
        <v/>
      </c>
      <c r="K291" s="9">
        <f>IF(ISNA(MATCH(278,Engine!$C$2:$C$1960,0)),"",INDEX('Compliance Database'!$K$2:$K$1960,MATCH(278,Engine!$C$2:$C$1960,0)))</f>
        <v/>
      </c>
      <c r="L291" s="9">
        <f>IF(ISNA(MATCH(278,Engine!$C$2:$C$1960,0)),"",INDEX('Compliance Database'!$L$2:$L$1960,MATCH(278,Engine!$C$2:$C$1960,0)))</f>
        <v/>
      </c>
      <c r="M291" s="9">
        <f>IF(ISNA(MATCH(278,Engine!$C$2:$C$1960,0)),"",INDEX('Compliance Database'!$M$2:$M$1960,MATCH(278,Engine!$C$2:$C$1960,0)))</f>
        <v/>
      </c>
      <c r="N291" s="9">
        <f>IF(ISNA(MATCH(278,Engine!$C$2:$C$1960,0)),"",INDEX('Compliance Database'!$N$2:$N$1960,MATCH(278,Engine!$C$2:$C$1960,0)))</f>
        <v/>
      </c>
      <c r="O291" s="9">
        <f>IF(ISNA(MATCH(278,Engine!$C$2:$C$1960,0)),"",INDEX('Compliance Database'!$O$2:$O$1960,MATCH(278,Engine!$C$2:$C$1960,0)))</f>
        <v/>
      </c>
      <c r="P291" s="8">
        <f>IF(ISNA(MATCH(278,Engine!$C$2:$C$1960,0)),"",HYPERLINK("#Acts!A"&amp;INDEX('Compliance Database'!$P$2:$P$1960,MATCH(278,Engine!$C$2:$C$1960,0)),"Go to Act"))</f>
        <v/>
      </c>
    </row>
    <row r="292" ht="158" customHeight="1">
      <c r="A292" s="8">
        <f>IF(ISNA(MATCH(279,Engine!$C$2:$C$1960,0)),"",INDEX('Compliance Database'!$A$2:$A$1960,MATCH(279,Engine!$C$2:$C$1960,0)))</f>
        <v/>
      </c>
      <c r="B292" s="8">
        <f>IF(ISNA(MATCH(279,Engine!$C$2:$C$1960,0)),"",INDEX('Compliance Database'!$B$2:$B$1960,MATCH(279,Engine!$C$2:$C$1960,0)))</f>
        <v/>
      </c>
      <c r="C292" s="8">
        <f>IF(ISNA(MATCH(279,Engine!$C$2:$C$1960,0)),"",INDEX('Compliance Database'!$C$2:$C$1960,MATCH(279,Engine!$C$2:$C$1960,0)))</f>
        <v/>
      </c>
      <c r="D292" s="9">
        <f>IF(ISNA(MATCH(279,Engine!$C$2:$C$1960,0)),"",INDEX('Compliance Database'!$D$2:$D$1960,MATCH(279,Engine!$C$2:$C$1960,0)))</f>
        <v/>
      </c>
      <c r="E292" s="8">
        <f>IF(ISNA(MATCH(279,Engine!$C$2:$C$1960,0)),"",INDEX('Compliance Database'!$E$2:$E$1960,MATCH(279,Engine!$C$2:$C$1960,0)))</f>
        <v/>
      </c>
      <c r="F292" s="8">
        <f>IF(ISNA(MATCH(279,Engine!$C$2:$C$1960,0)),"",INDEX('Compliance Database'!$F$2:$F$1960,MATCH(279,Engine!$C$2:$C$1960,0)))</f>
        <v/>
      </c>
      <c r="G292" s="8">
        <f>IF(ISNA(MATCH(279,Engine!$C$2:$C$1960,0)),"",INDEX('Compliance Database'!$G$2:$G$1960,MATCH(279,Engine!$C$2:$C$1960,0)))</f>
        <v/>
      </c>
      <c r="H292" s="9">
        <f>IF(ISNA(MATCH(279,Engine!$C$2:$C$1960,0)),"",INDEX('Compliance Database'!$H$2:$H$1960,MATCH(279,Engine!$C$2:$C$1960,0)))</f>
        <v/>
      </c>
      <c r="I292" s="9">
        <f>IF(ISNA(MATCH(279,Engine!$C$2:$C$1960,0)),"",INDEX('Compliance Database'!$I$2:$I$1960,MATCH(279,Engine!$C$2:$C$1960,0)))</f>
        <v/>
      </c>
      <c r="J292" s="8">
        <f>IF(ISNA(MATCH(279,Engine!$C$2:$C$1960,0)),"",INDEX('Compliance Database'!$J$2:$J$1960,MATCH(279,Engine!$C$2:$C$1960,0)))</f>
        <v/>
      </c>
      <c r="K292" s="9">
        <f>IF(ISNA(MATCH(279,Engine!$C$2:$C$1960,0)),"",INDEX('Compliance Database'!$K$2:$K$1960,MATCH(279,Engine!$C$2:$C$1960,0)))</f>
        <v/>
      </c>
      <c r="L292" s="9">
        <f>IF(ISNA(MATCH(279,Engine!$C$2:$C$1960,0)),"",INDEX('Compliance Database'!$L$2:$L$1960,MATCH(279,Engine!$C$2:$C$1960,0)))</f>
        <v/>
      </c>
      <c r="M292" s="9">
        <f>IF(ISNA(MATCH(279,Engine!$C$2:$C$1960,0)),"",INDEX('Compliance Database'!$M$2:$M$1960,MATCH(279,Engine!$C$2:$C$1960,0)))</f>
        <v/>
      </c>
      <c r="N292" s="9">
        <f>IF(ISNA(MATCH(279,Engine!$C$2:$C$1960,0)),"",INDEX('Compliance Database'!$N$2:$N$1960,MATCH(279,Engine!$C$2:$C$1960,0)))</f>
        <v/>
      </c>
      <c r="O292" s="9">
        <f>IF(ISNA(MATCH(279,Engine!$C$2:$C$1960,0)),"",INDEX('Compliance Database'!$O$2:$O$1960,MATCH(279,Engine!$C$2:$C$1960,0)))</f>
        <v/>
      </c>
      <c r="P292" s="8">
        <f>IF(ISNA(MATCH(279,Engine!$C$2:$C$1960,0)),"",HYPERLINK("#Acts!A"&amp;INDEX('Compliance Database'!$P$2:$P$1960,MATCH(279,Engine!$C$2:$C$1960,0)),"Go to Act"))</f>
        <v/>
      </c>
    </row>
    <row r="293" ht="158" customHeight="1">
      <c r="A293" s="8">
        <f>IF(ISNA(MATCH(280,Engine!$C$2:$C$1960,0)),"",INDEX('Compliance Database'!$A$2:$A$1960,MATCH(280,Engine!$C$2:$C$1960,0)))</f>
        <v/>
      </c>
      <c r="B293" s="8">
        <f>IF(ISNA(MATCH(280,Engine!$C$2:$C$1960,0)),"",INDEX('Compliance Database'!$B$2:$B$1960,MATCH(280,Engine!$C$2:$C$1960,0)))</f>
        <v/>
      </c>
      <c r="C293" s="8">
        <f>IF(ISNA(MATCH(280,Engine!$C$2:$C$1960,0)),"",INDEX('Compliance Database'!$C$2:$C$1960,MATCH(280,Engine!$C$2:$C$1960,0)))</f>
        <v/>
      </c>
      <c r="D293" s="9">
        <f>IF(ISNA(MATCH(280,Engine!$C$2:$C$1960,0)),"",INDEX('Compliance Database'!$D$2:$D$1960,MATCH(280,Engine!$C$2:$C$1960,0)))</f>
        <v/>
      </c>
      <c r="E293" s="8">
        <f>IF(ISNA(MATCH(280,Engine!$C$2:$C$1960,0)),"",INDEX('Compliance Database'!$E$2:$E$1960,MATCH(280,Engine!$C$2:$C$1960,0)))</f>
        <v/>
      </c>
      <c r="F293" s="8">
        <f>IF(ISNA(MATCH(280,Engine!$C$2:$C$1960,0)),"",INDEX('Compliance Database'!$F$2:$F$1960,MATCH(280,Engine!$C$2:$C$1960,0)))</f>
        <v/>
      </c>
      <c r="G293" s="8">
        <f>IF(ISNA(MATCH(280,Engine!$C$2:$C$1960,0)),"",INDEX('Compliance Database'!$G$2:$G$1960,MATCH(280,Engine!$C$2:$C$1960,0)))</f>
        <v/>
      </c>
      <c r="H293" s="9">
        <f>IF(ISNA(MATCH(280,Engine!$C$2:$C$1960,0)),"",INDEX('Compliance Database'!$H$2:$H$1960,MATCH(280,Engine!$C$2:$C$1960,0)))</f>
        <v/>
      </c>
      <c r="I293" s="9">
        <f>IF(ISNA(MATCH(280,Engine!$C$2:$C$1960,0)),"",INDEX('Compliance Database'!$I$2:$I$1960,MATCH(280,Engine!$C$2:$C$1960,0)))</f>
        <v/>
      </c>
      <c r="J293" s="8">
        <f>IF(ISNA(MATCH(280,Engine!$C$2:$C$1960,0)),"",INDEX('Compliance Database'!$J$2:$J$1960,MATCH(280,Engine!$C$2:$C$1960,0)))</f>
        <v/>
      </c>
      <c r="K293" s="9">
        <f>IF(ISNA(MATCH(280,Engine!$C$2:$C$1960,0)),"",INDEX('Compliance Database'!$K$2:$K$1960,MATCH(280,Engine!$C$2:$C$1960,0)))</f>
        <v/>
      </c>
      <c r="L293" s="9">
        <f>IF(ISNA(MATCH(280,Engine!$C$2:$C$1960,0)),"",INDEX('Compliance Database'!$L$2:$L$1960,MATCH(280,Engine!$C$2:$C$1960,0)))</f>
        <v/>
      </c>
      <c r="M293" s="9">
        <f>IF(ISNA(MATCH(280,Engine!$C$2:$C$1960,0)),"",INDEX('Compliance Database'!$M$2:$M$1960,MATCH(280,Engine!$C$2:$C$1960,0)))</f>
        <v/>
      </c>
      <c r="N293" s="9">
        <f>IF(ISNA(MATCH(280,Engine!$C$2:$C$1960,0)),"",INDEX('Compliance Database'!$N$2:$N$1960,MATCH(280,Engine!$C$2:$C$1960,0)))</f>
        <v/>
      </c>
      <c r="O293" s="9">
        <f>IF(ISNA(MATCH(280,Engine!$C$2:$C$1960,0)),"",INDEX('Compliance Database'!$O$2:$O$1960,MATCH(280,Engine!$C$2:$C$1960,0)))</f>
        <v/>
      </c>
      <c r="P293" s="8">
        <f>IF(ISNA(MATCH(280,Engine!$C$2:$C$1960,0)),"",HYPERLINK("#Acts!A"&amp;INDEX('Compliance Database'!$P$2:$P$1960,MATCH(280,Engine!$C$2:$C$1960,0)),"Go to Act"))</f>
        <v/>
      </c>
    </row>
    <row r="294" ht="158" customHeight="1">
      <c r="A294" s="8">
        <f>IF(ISNA(MATCH(281,Engine!$C$2:$C$1960,0)),"",INDEX('Compliance Database'!$A$2:$A$1960,MATCH(281,Engine!$C$2:$C$1960,0)))</f>
        <v/>
      </c>
      <c r="B294" s="8">
        <f>IF(ISNA(MATCH(281,Engine!$C$2:$C$1960,0)),"",INDEX('Compliance Database'!$B$2:$B$1960,MATCH(281,Engine!$C$2:$C$1960,0)))</f>
        <v/>
      </c>
      <c r="C294" s="8">
        <f>IF(ISNA(MATCH(281,Engine!$C$2:$C$1960,0)),"",INDEX('Compliance Database'!$C$2:$C$1960,MATCH(281,Engine!$C$2:$C$1960,0)))</f>
        <v/>
      </c>
      <c r="D294" s="9">
        <f>IF(ISNA(MATCH(281,Engine!$C$2:$C$1960,0)),"",INDEX('Compliance Database'!$D$2:$D$1960,MATCH(281,Engine!$C$2:$C$1960,0)))</f>
        <v/>
      </c>
      <c r="E294" s="8">
        <f>IF(ISNA(MATCH(281,Engine!$C$2:$C$1960,0)),"",INDEX('Compliance Database'!$E$2:$E$1960,MATCH(281,Engine!$C$2:$C$1960,0)))</f>
        <v/>
      </c>
      <c r="F294" s="8">
        <f>IF(ISNA(MATCH(281,Engine!$C$2:$C$1960,0)),"",INDEX('Compliance Database'!$F$2:$F$1960,MATCH(281,Engine!$C$2:$C$1960,0)))</f>
        <v/>
      </c>
      <c r="G294" s="8">
        <f>IF(ISNA(MATCH(281,Engine!$C$2:$C$1960,0)),"",INDEX('Compliance Database'!$G$2:$G$1960,MATCH(281,Engine!$C$2:$C$1960,0)))</f>
        <v/>
      </c>
      <c r="H294" s="9">
        <f>IF(ISNA(MATCH(281,Engine!$C$2:$C$1960,0)),"",INDEX('Compliance Database'!$H$2:$H$1960,MATCH(281,Engine!$C$2:$C$1960,0)))</f>
        <v/>
      </c>
      <c r="I294" s="9">
        <f>IF(ISNA(MATCH(281,Engine!$C$2:$C$1960,0)),"",INDEX('Compliance Database'!$I$2:$I$1960,MATCH(281,Engine!$C$2:$C$1960,0)))</f>
        <v/>
      </c>
      <c r="J294" s="8">
        <f>IF(ISNA(MATCH(281,Engine!$C$2:$C$1960,0)),"",INDEX('Compliance Database'!$J$2:$J$1960,MATCH(281,Engine!$C$2:$C$1960,0)))</f>
        <v/>
      </c>
      <c r="K294" s="9">
        <f>IF(ISNA(MATCH(281,Engine!$C$2:$C$1960,0)),"",INDEX('Compliance Database'!$K$2:$K$1960,MATCH(281,Engine!$C$2:$C$1960,0)))</f>
        <v/>
      </c>
      <c r="L294" s="9">
        <f>IF(ISNA(MATCH(281,Engine!$C$2:$C$1960,0)),"",INDEX('Compliance Database'!$L$2:$L$1960,MATCH(281,Engine!$C$2:$C$1960,0)))</f>
        <v/>
      </c>
      <c r="M294" s="9">
        <f>IF(ISNA(MATCH(281,Engine!$C$2:$C$1960,0)),"",INDEX('Compliance Database'!$M$2:$M$1960,MATCH(281,Engine!$C$2:$C$1960,0)))</f>
        <v/>
      </c>
      <c r="N294" s="9">
        <f>IF(ISNA(MATCH(281,Engine!$C$2:$C$1960,0)),"",INDEX('Compliance Database'!$N$2:$N$1960,MATCH(281,Engine!$C$2:$C$1960,0)))</f>
        <v/>
      </c>
      <c r="O294" s="9">
        <f>IF(ISNA(MATCH(281,Engine!$C$2:$C$1960,0)),"",INDEX('Compliance Database'!$O$2:$O$1960,MATCH(281,Engine!$C$2:$C$1960,0)))</f>
        <v/>
      </c>
      <c r="P294" s="8">
        <f>IF(ISNA(MATCH(281,Engine!$C$2:$C$1960,0)),"",HYPERLINK("#Acts!A"&amp;INDEX('Compliance Database'!$P$2:$P$1960,MATCH(281,Engine!$C$2:$C$1960,0)),"Go to Act"))</f>
        <v/>
      </c>
    </row>
    <row r="295" ht="158" customHeight="1">
      <c r="A295" s="8">
        <f>IF(ISNA(MATCH(282,Engine!$C$2:$C$1960,0)),"",INDEX('Compliance Database'!$A$2:$A$1960,MATCH(282,Engine!$C$2:$C$1960,0)))</f>
        <v/>
      </c>
      <c r="B295" s="8">
        <f>IF(ISNA(MATCH(282,Engine!$C$2:$C$1960,0)),"",INDEX('Compliance Database'!$B$2:$B$1960,MATCH(282,Engine!$C$2:$C$1960,0)))</f>
        <v/>
      </c>
      <c r="C295" s="8">
        <f>IF(ISNA(MATCH(282,Engine!$C$2:$C$1960,0)),"",INDEX('Compliance Database'!$C$2:$C$1960,MATCH(282,Engine!$C$2:$C$1960,0)))</f>
        <v/>
      </c>
      <c r="D295" s="9">
        <f>IF(ISNA(MATCH(282,Engine!$C$2:$C$1960,0)),"",INDEX('Compliance Database'!$D$2:$D$1960,MATCH(282,Engine!$C$2:$C$1960,0)))</f>
        <v/>
      </c>
      <c r="E295" s="8">
        <f>IF(ISNA(MATCH(282,Engine!$C$2:$C$1960,0)),"",INDEX('Compliance Database'!$E$2:$E$1960,MATCH(282,Engine!$C$2:$C$1960,0)))</f>
        <v/>
      </c>
      <c r="F295" s="8">
        <f>IF(ISNA(MATCH(282,Engine!$C$2:$C$1960,0)),"",INDEX('Compliance Database'!$F$2:$F$1960,MATCH(282,Engine!$C$2:$C$1960,0)))</f>
        <v/>
      </c>
      <c r="G295" s="8">
        <f>IF(ISNA(MATCH(282,Engine!$C$2:$C$1960,0)),"",INDEX('Compliance Database'!$G$2:$G$1960,MATCH(282,Engine!$C$2:$C$1960,0)))</f>
        <v/>
      </c>
      <c r="H295" s="9">
        <f>IF(ISNA(MATCH(282,Engine!$C$2:$C$1960,0)),"",INDEX('Compliance Database'!$H$2:$H$1960,MATCH(282,Engine!$C$2:$C$1960,0)))</f>
        <v/>
      </c>
      <c r="I295" s="9">
        <f>IF(ISNA(MATCH(282,Engine!$C$2:$C$1960,0)),"",INDEX('Compliance Database'!$I$2:$I$1960,MATCH(282,Engine!$C$2:$C$1960,0)))</f>
        <v/>
      </c>
      <c r="J295" s="8">
        <f>IF(ISNA(MATCH(282,Engine!$C$2:$C$1960,0)),"",INDEX('Compliance Database'!$J$2:$J$1960,MATCH(282,Engine!$C$2:$C$1960,0)))</f>
        <v/>
      </c>
      <c r="K295" s="9">
        <f>IF(ISNA(MATCH(282,Engine!$C$2:$C$1960,0)),"",INDEX('Compliance Database'!$K$2:$K$1960,MATCH(282,Engine!$C$2:$C$1960,0)))</f>
        <v/>
      </c>
      <c r="L295" s="9">
        <f>IF(ISNA(MATCH(282,Engine!$C$2:$C$1960,0)),"",INDEX('Compliance Database'!$L$2:$L$1960,MATCH(282,Engine!$C$2:$C$1960,0)))</f>
        <v/>
      </c>
      <c r="M295" s="9">
        <f>IF(ISNA(MATCH(282,Engine!$C$2:$C$1960,0)),"",INDEX('Compliance Database'!$M$2:$M$1960,MATCH(282,Engine!$C$2:$C$1960,0)))</f>
        <v/>
      </c>
      <c r="N295" s="9">
        <f>IF(ISNA(MATCH(282,Engine!$C$2:$C$1960,0)),"",INDEX('Compliance Database'!$N$2:$N$1960,MATCH(282,Engine!$C$2:$C$1960,0)))</f>
        <v/>
      </c>
      <c r="O295" s="9">
        <f>IF(ISNA(MATCH(282,Engine!$C$2:$C$1960,0)),"",INDEX('Compliance Database'!$O$2:$O$1960,MATCH(282,Engine!$C$2:$C$1960,0)))</f>
        <v/>
      </c>
      <c r="P295" s="8">
        <f>IF(ISNA(MATCH(282,Engine!$C$2:$C$1960,0)),"",HYPERLINK("#Acts!A"&amp;INDEX('Compliance Database'!$P$2:$P$1960,MATCH(282,Engine!$C$2:$C$1960,0)),"Go to Act"))</f>
        <v/>
      </c>
    </row>
    <row r="296" ht="158" customHeight="1">
      <c r="A296" s="8">
        <f>IF(ISNA(MATCH(283,Engine!$C$2:$C$1960,0)),"",INDEX('Compliance Database'!$A$2:$A$1960,MATCH(283,Engine!$C$2:$C$1960,0)))</f>
        <v/>
      </c>
      <c r="B296" s="8">
        <f>IF(ISNA(MATCH(283,Engine!$C$2:$C$1960,0)),"",INDEX('Compliance Database'!$B$2:$B$1960,MATCH(283,Engine!$C$2:$C$1960,0)))</f>
        <v/>
      </c>
      <c r="C296" s="8">
        <f>IF(ISNA(MATCH(283,Engine!$C$2:$C$1960,0)),"",INDEX('Compliance Database'!$C$2:$C$1960,MATCH(283,Engine!$C$2:$C$1960,0)))</f>
        <v/>
      </c>
      <c r="D296" s="9">
        <f>IF(ISNA(MATCH(283,Engine!$C$2:$C$1960,0)),"",INDEX('Compliance Database'!$D$2:$D$1960,MATCH(283,Engine!$C$2:$C$1960,0)))</f>
        <v/>
      </c>
      <c r="E296" s="8">
        <f>IF(ISNA(MATCH(283,Engine!$C$2:$C$1960,0)),"",INDEX('Compliance Database'!$E$2:$E$1960,MATCH(283,Engine!$C$2:$C$1960,0)))</f>
        <v/>
      </c>
      <c r="F296" s="8">
        <f>IF(ISNA(MATCH(283,Engine!$C$2:$C$1960,0)),"",INDEX('Compliance Database'!$F$2:$F$1960,MATCH(283,Engine!$C$2:$C$1960,0)))</f>
        <v/>
      </c>
      <c r="G296" s="8">
        <f>IF(ISNA(MATCH(283,Engine!$C$2:$C$1960,0)),"",INDEX('Compliance Database'!$G$2:$G$1960,MATCH(283,Engine!$C$2:$C$1960,0)))</f>
        <v/>
      </c>
      <c r="H296" s="9">
        <f>IF(ISNA(MATCH(283,Engine!$C$2:$C$1960,0)),"",INDEX('Compliance Database'!$H$2:$H$1960,MATCH(283,Engine!$C$2:$C$1960,0)))</f>
        <v/>
      </c>
      <c r="I296" s="9">
        <f>IF(ISNA(MATCH(283,Engine!$C$2:$C$1960,0)),"",INDEX('Compliance Database'!$I$2:$I$1960,MATCH(283,Engine!$C$2:$C$1960,0)))</f>
        <v/>
      </c>
      <c r="J296" s="8">
        <f>IF(ISNA(MATCH(283,Engine!$C$2:$C$1960,0)),"",INDEX('Compliance Database'!$J$2:$J$1960,MATCH(283,Engine!$C$2:$C$1960,0)))</f>
        <v/>
      </c>
      <c r="K296" s="9">
        <f>IF(ISNA(MATCH(283,Engine!$C$2:$C$1960,0)),"",INDEX('Compliance Database'!$K$2:$K$1960,MATCH(283,Engine!$C$2:$C$1960,0)))</f>
        <v/>
      </c>
      <c r="L296" s="9">
        <f>IF(ISNA(MATCH(283,Engine!$C$2:$C$1960,0)),"",INDEX('Compliance Database'!$L$2:$L$1960,MATCH(283,Engine!$C$2:$C$1960,0)))</f>
        <v/>
      </c>
      <c r="M296" s="9">
        <f>IF(ISNA(MATCH(283,Engine!$C$2:$C$1960,0)),"",INDEX('Compliance Database'!$M$2:$M$1960,MATCH(283,Engine!$C$2:$C$1960,0)))</f>
        <v/>
      </c>
      <c r="N296" s="9">
        <f>IF(ISNA(MATCH(283,Engine!$C$2:$C$1960,0)),"",INDEX('Compliance Database'!$N$2:$N$1960,MATCH(283,Engine!$C$2:$C$1960,0)))</f>
        <v/>
      </c>
      <c r="O296" s="9">
        <f>IF(ISNA(MATCH(283,Engine!$C$2:$C$1960,0)),"",INDEX('Compliance Database'!$O$2:$O$1960,MATCH(283,Engine!$C$2:$C$1960,0)))</f>
        <v/>
      </c>
      <c r="P296" s="8">
        <f>IF(ISNA(MATCH(283,Engine!$C$2:$C$1960,0)),"",HYPERLINK("#Acts!A"&amp;INDEX('Compliance Database'!$P$2:$P$1960,MATCH(283,Engine!$C$2:$C$1960,0)),"Go to Act"))</f>
        <v/>
      </c>
    </row>
    <row r="297" ht="158" customHeight="1">
      <c r="A297" s="8">
        <f>IF(ISNA(MATCH(284,Engine!$C$2:$C$1960,0)),"",INDEX('Compliance Database'!$A$2:$A$1960,MATCH(284,Engine!$C$2:$C$1960,0)))</f>
        <v/>
      </c>
      <c r="B297" s="8">
        <f>IF(ISNA(MATCH(284,Engine!$C$2:$C$1960,0)),"",INDEX('Compliance Database'!$B$2:$B$1960,MATCH(284,Engine!$C$2:$C$1960,0)))</f>
        <v/>
      </c>
      <c r="C297" s="8">
        <f>IF(ISNA(MATCH(284,Engine!$C$2:$C$1960,0)),"",INDEX('Compliance Database'!$C$2:$C$1960,MATCH(284,Engine!$C$2:$C$1960,0)))</f>
        <v/>
      </c>
      <c r="D297" s="9">
        <f>IF(ISNA(MATCH(284,Engine!$C$2:$C$1960,0)),"",INDEX('Compliance Database'!$D$2:$D$1960,MATCH(284,Engine!$C$2:$C$1960,0)))</f>
        <v/>
      </c>
      <c r="E297" s="8">
        <f>IF(ISNA(MATCH(284,Engine!$C$2:$C$1960,0)),"",INDEX('Compliance Database'!$E$2:$E$1960,MATCH(284,Engine!$C$2:$C$1960,0)))</f>
        <v/>
      </c>
      <c r="F297" s="8">
        <f>IF(ISNA(MATCH(284,Engine!$C$2:$C$1960,0)),"",INDEX('Compliance Database'!$F$2:$F$1960,MATCH(284,Engine!$C$2:$C$1960,0)))</f>
        <v/>
      </c>
      <c r="G297" s="8">
        <f>IF(ISNA(MATCH(284,Engine!$C$2:$C$1960,0)),"",INDEX('Compliance Database'!$G$2:$G$1960,MATCH(284,Engine!$C$2:$C$1960,0)))</f>
        <v/>
      </c>
      <c r="H297" s="9">
        <f>IF(ISNA(MATCH(284,Engine!$C$2:$C$1960,0)),"",INDEX('Compliance Database'!$H$2:$H$1960,MATCH(284,Engine!$C$2:$C$1960,0)))</f>
        <v/>
      </c>
      <c r="I297" s="9">
        <f>IF(ISNA(MATCH(284,Engine!$C$2:$C$1960,0)),"",INDEX('Compliance Database'!$I$2:$I$1960,MATCH(284,Engine!$C$2:$C$1960,0)))</f>
        <v/>
      </c>
      <c r="J297" s="8">
        <f>IF(ISNA(MATCH(284,Engine!$C$2:$C$1960,0)),"",INDEX('Compliance Database'!$J$2:$J$1960,MATCH(284,Engine!$C$2:$C$1960,0)))</f>
        <v/>
      </c>
      <c r="K297" s="9">
        <f>IF(ISNA(MATCH(284,Engine!$C$2:$C$1960,0)),"",INDEX('Compliance Database'!$K$2:$K$1960,MATCH(284,Engine!$C$2:$C$1960,0)))</f>
        <v/>
      </c>
      <c r="L297" s="9">
        <f>IF(ISNA(MATCH(284,Engine!$C$2:$C$1960,0)),"",INDEX('Compliance Database'!$L$2:$L$1960,MATCH(284,Engine!$C$2:$C$1960,0)))</f>
        <v/>
      </c>
      <c r="M297" s="9">
        <f>IF(ISNA(MATCH(284,Engine!$C$2:$C$1960,0)),"",INDEX('Compliance Database'!$M$2:$M$1960,MATCH(284,Engine!$C$2:$C$1960,0)))</f>
        <v/>
      </c>
      <c r="N297" s="9">
        <f>IF(ISNA(MATCH(284,Engine!$C$2:$C$1960,0)),"",INDEX('Compliance Database'!$N$2:$N$1960,MATCH(284,Engine!$C$2:$C$1960,0)))</f>
        <v/>
      </c>
      <c r="O297" s="9">
        <f>IF(ISNA(MATCH(284,Engine!$C$2:$C$1960,0)),"",INDEX('Compliance Database'!$O$2:$O$1960,MATCH(284,Engine!$C$2:$C$1960,0)))</f>
        <v/>
      </c>
      <c r="P297" s="8">
        <f>IF(ISNA(MATCH(284,Engine!$C$2:$C$1960,0)),"",HYPERLINK("#Acts!A"&amp;INDEX('Compliance Database'!$P$2:$P$1960,MATCH(284,Engine!$C$2:$C$1960,0)),"Go to Act"))</f>
        <v/>
      </c>
    </row>
    <row r="298" ht="158" customHeight="1">
      <c r="A298" s="8">
        <f>IF(ISNA(MATCH(285,Engine!$C$2:$C$1960,0)),"",INDEX('Compliance Database'!$A$2:$A$1960,MATCH(285,Engine!$C$2:$C$1960,0)))</f>
        <v/>
      </c>
      <c r="B298" s="8">
        <f>IF(ISNA(MATCH(285,Engine!$C$2:$C$1960,0)),"",INDEX('Compliance Database'!$B$2:$B$1960,MATCH(285,Engine!$C$2:$C$1960,0)))</f>
        <v/>
      </c>
      <c r="C298" s="8">
        <f>IF(ISNA(MATCH(285,Engine!$C$2:$C$1960,0)),"",INDEX('Compliance Database'!$C$2:$C$1960,MATCH(285,Engine!$C$2:$C$1960,0)))</f>
        <v/>
      </c>
      <c r="D298" s="9">
        <f>IF(ISNA(MATCH(285,Engine!$C$2:$C$1960,0)),"",INDEX('Compliance Database'!$D$2:$D$1960,MATCH(285,Engine!$C$2:$C$1960,0)))</f>
        <v/>
      </c>
      <c r="E298" s="8">
        <f>IF(ISNA(MATCH(285,Engine!$C$2:$C$1960,0)),"",INDEX('Compliance Database'!$E$2:$E$1960,MATCH(285,Engine!$C$2:$C$1960,0)))</f>
        <v/>
      </c>
      <c r="F298" s="8">
        <f>IF(ISNA(MATCH(285,Engine!$C$2:$C$1960,0)),"",INDEX('Compliance Database'!$F$2:$F$1960,MATCH(285,Engine!$C$2:$C$1960,0)))</f>
        <v/>
      </c>
      <c r="G298" s="8">
        <f>IF(ISNA(MATCH(285,Engine!$C$2:$C$1960,0)),"",INDEX('Compliance Database'!$G$2:$G$1960,MATCH(285,Engine!$C$2:$C$1960,0)))</f>
        <v/>
      </c>
      <c r="H298" s="9">
        <f>IF(ISNA(MATCH(285,Engine!$C$2:$C$1960,0)),"",INDEX('Compliance Database'!$H$2:$H$1960,MATCH(285,Engine!$C$2:$C$1960,0)))</f>
        <v/>
      </c>
      <c r="I298" s="9">
        <f>IF(ISNA(MATCH(285,Engine!$C$2:$C$1960,0)),"",INDEX('Compliance Database'!$I$2:$I$1960,MATCH(285,Engine!$C$2:$C$1960,0)))</f>
        <v/>
      </c>
      <c r="J298" s="8">
        <f>IF(ISNA(MATCH(285,Engine!$C$2:$C$1960,0)),"",INDEX('Compliance Database'!$J$2:$J$1960,MATCH(285,Engine!$C$2:$C$1960,0)))</f>
        <v/>
      </c>
      <c r="K298" s="9">
        <f>IF(ISNA(MATCH(285,Engine!$C$2:$C$1960,0)),"",INDEX('Compliance Database'!$K$2:$K$1960,MATCH(285,Engine!$C$2:$C$1960,0)))</f>
        <v/>
      </c>
      <c r="L298" s="9">
        <f>IF(ISNA(MATCH(285,Engine!$C$2:$C$1960,0)),"",INDEX('Compliance Database'!$L$2:$L$1960,MATCH(285,Engine!$C$2:$C$1960,0)))</f>
        <v/>
      </c>
      <c r="M298" s="9">
        <f>IF(ISNA(MATCH(285,Engine!$C$2:$C$1960,0)),"",INDEX('Compliance Database'!$M$2:$M$1960,MATCH(285,Engine!$C$2:$C$1960,0)))</f>
        <v/>
      </c>
      <c r="N298" s="9">
        <f>IF(ISNA(MATCH(285,Engine!$C$2:$C$1960,0)),"",INDEX('Compliance Database'!$N$2:$N$1960,MATCH(285,Engine!$C$2:$C$1960,0)))</f>
        <v/>
      </c>
      <c r="O298" s="9">
        <f>IF(ISNA(MATCH(285,Engine!$C$2:$C$1960,0)),"",INDEX('Compliance Database'!$O$2:$O$1960,MATCH(285,Engine!$C$2:$C$1960,0)))</f>
        <v/>
      </c>
      <c r="P298" s="8">
        <f>IF(ISNA(MATCH(285,Engine!$C$2:$C$1960,0)),"",HYPERLINK("#Acts!A"&amp;INDEX('Compliance Database'!$P$2:$P$1960,MATCH(285,Engine!$C$2:$C$1960,0)),"Go to Act"))</f>
        <v/>
      </c>
    </row>
    <row r="299" ht="158" customHeight="1">
      <c r="A299" s="8">
        <f>IF(ISNA(MATCH(286,Engine!$C$2:$C$1960,0)),"",INDEX('Compliance Database'!$A$2:$A$1960,MATCH(286,Engine!$C$2:$C$1960,0)))</f>
        <v/>
      </c>
      <c r="B299" s="8">
        <f>IF(ISNA(MATCH(286,Engine!$C$2:$C$1960,0)),"",INDEX('Compliance Database'!$B$2:$B$1960,MATCH(286,Engine!$C$2:$C$1960,0)))</f>
        <v/>
      </c>
      <c r="C299" s="8">
        <f>IF(ISNA(MATCH(286,Engine!$C$2:$C$1960,0)),"",INDEX('Compliance Database'!$C$2:$C$1960,MATCH(286,Engine!$C$2:$C$1960,0)))</f>
        <v/>
      </c>
      <c r="D299" s="9">
        <f>IF(ISNA(MATCH(286,Engine!$C$2:$C$1960,0)),"",INDEX('Compliance Database'!$D$2:$D$1960,MATCH(286,Engine!$C$2:$C$1960,0)))</f>
        <v/>
      </c>
      <c r="E299" s="8">
        <f>IF(ISNA(MATCH(286,Engine!$C$2:$C$1960,0)),"",INDEX('Compliance Database'!$E$2:$E$1960,MATCH(286,Engine!$C$2:$C$1960,0)))</f>
        <v/>
      </c>
      <c r="F299" s="8">
        <f>IF(ISNA(MATCH(286,Engine!$C$2:$C$1960,0)),"",INDEX('Compliance Database'!$F$2:$F$1960,MATCH(286,Engine!$C$2:$C$1960,0)))</f>
        <v/>
      </c>
      <c r="G299" s="8">
        <f>IF(ISNA(MATCH(286,Engine!$C$2:$C$1960,0)),"",INDEX('Compliance Database'!$G$2:$G$1960,MATCH(286,Engine!$C$2:$C$1960,0)))</f>
        <v/>
      </c>
      <c r="H299" s="9">
        <f>IF(ISNA(MATCH(286,Engine!$C$2:$C$1960,0)),"",INDEX('Compliance Database'!$H$2:$H$1960,MATCH(286,Engine!$C$2:$C$1960,0)))</f>
        <v/>
      </c>
      <c r="I299" s="9">
        <f>IF(ISNA(MATCH(286,Engine!$C$2:$C$1960,0)),"",INDEX('Compliance Database'!$I$2:$I$1960,MATCH(286,Engine!$C$2:$C$1960,0)))</f>
        <v/>
      </c>
      <c r="J299" s="8">
        <f>IF(ISNA(MATCH(286,Engine!$C$2:$C$1960,0)),"",INDEX('Compliance Database'!$J$2:$J$1960,MATCH(286,Engine!$C$2:$C$1960,0)))</f>
        <v/>
      </c>
      <c r="K299" s="9">
        <f>IF(ISNA(MATCH(286,Engine!$C$2:$C$1960,0)),"",INDEX('Compliance Database'!$K$2:$K$1960,MATCH(286,Engine!$C$2:$C$1960,0)))</f>
        <v/>
      </c>
      <c r="L299" s="9">
        <f>IF(ISNA(MATCH(286,Engine!$C$2:$C$1960,0)),"",INDEX('Compliance Database'!$L$2:$L$1960,MATCH(286,Engine!$C$2:$C$1960,0)))</f>
        <v/>
      </c>
      <c r="M299" s="9">
        <f>IF(ISNA(MATCH(286,Engine!$C$2:$C$1960,0)),"",INDEX('Compliance Database'!$M$2:$M$1960,MATCH(286,Engine!$C$2:$C$1960,0)))</f>
        <v/>
      </c>
      <c r="N299" s="9">
        <f>IF(ISNA(MATCH(286,Engine!$C$2:$C$1960,0)),"",INDEX('Compliance Database'!$N$2:$N$1960,MATCH(286,Engine!$C$2:$C$1960,0)))</f>
        <v/>
      </c>
      <c r="O299" s="9">
        <f>IF(ISNA(MATCH(286,Engine!$C$2:$C$1960,0)),"",INDEX('Compliance Database'!$O$2:$O$1960,MATCH(286,Engine!$C$2:$C$1960,0)))</f>
        <v/>
      </c>
      <c r="P299" s="8">
        <f>IF(ISNA(MATCH(286,Engine!$C$2:$C$1960,0)),"",HYPERLINK("#Acts!A"&amp;INDEX('Compliance Database'!$P$2:$P$1960,MATCH(286,Engine!$C$2:$C$1960,0)),"Go to Act"))</f>
        <v/>
      </c>
    </row>
    <row r="300" ht="158" customHeight="1">
      <c r="A300" s="8">
        <f>IF(ISNA(MATCH(287,Engine!$C$2:$C$1960,0)),"",INDEX('Compliance Database'!$A$2:$A$1960,MATCH(287,Engine!$C$2:$C$1960,0)))</f>
        <v/>
      </c>
      <c r="B300" s="8">
        <f>IF(ISNA(MATCH(287,Engine!$C$2:$C$1960,0)),"",INDEX('Compliance Database'!$B$2:$B$1960,MATCH(287,Engine!$C$2:$C$1960,0)))</f>
        <v/>
      </c>
      <c r="C300" s="8">
        <f>IF(ISNA(MATCH(287,Engine!$C$2:$C$1960,0)),"",INDEX('Compliance Database'!$C$2:$C$1960,MATCH(287,Engine!$C$2:$C$1960,0)))</f>
        <v/>
      </c>
      <c r="D300" s="9">
        <f>IF(ISNA(MATCH(287,Engine!$C$2:$C$1960,0)),"",INDEX('Compliance Database'!$D$2:$D$1960,MATCH(287,Engine!$C$2:$C$1960,0)))</f>
        <v/>
      </c>
      <c r="E300" s="8">
        <f>IF(ISNA(MATCH(287,Engine!$C$2:$C$1960,0)),"",INDEX('Compliance Database'!$E$2:$E$1960,MATCH(287,Engine!$C$2:$C$1960,0)))</f>
        <v/>
      </c>
      <c r="F300" s="8">
        <f>IF(ISNA(MATCH(287,Engine!$C$2:$C$1960,0)),"",INDEX('Compliance Database'!$F$2:$F$1960,MATCH(287,Engine!$C$2:$C$1960,0)))</f>
        <v/>
      </c>
      <c r="G300" s="8">
        <f>IF(ISNA(MATCH(287,Engine!$C$2:$C$1960,0)),"",INDEX('Compliance Database'!$G$2:$G$1960,MATCH(287,Engine!$C$2:$C$1960,0)))</f>
        <v/>
      </c>
      <c r="H300" s="9">
        <f>IF(ISNA(MATCH(287,Engine!$C$2:$C$1960,0)),"",INDEX('Compliance Database'!$H$2:$H$1960,MATCH(287,Engine!$C$2:$C$1960,0)))</f>
        <v/>
      </c>
      <c r="I300" s="9">
        <f>IF(ISNA(MATCH(287,Engine!$C$2:$C$1960,0)),"",INDEX('Compliance Database'!$I$2:$I$1960,MATCH(287,Engine!$C$2:$C$1960,0)))</f>
        <v/>
      </c>
      <c r="J300" s="8">
        <f>IF(ISNA(MATCH(287,Engine!$C$2:$C$1960,0)),"",INDEX('Compliance Database'!$J$2:$J$1960,MATCH(287,Engine!$C$2:$C$1960,0)))</f>
        <v/>
      </c>
      <c r="K300" s="9">
        <f>IF(ISNA(MATCH(287,Engine!$C$2:$C$1960,0)),"",INDEX('Compliance Database'!$K$2:$K$1960,MATCH(287,Engine!$C$2:$C$1960,0)))</f>
        <v/>
      </c>
      <c r="L300" s="9">
        <f>IF(ISNA(MATCH(287,Engine!$C$2:$C$1960,0)),"",INDEX('Compliance Database'!$L$2:$L$1960,MATCH(287,Engine!$C$2:$C$1960,0)))</f>
        <v/>
      </c>
      <c r="M300" s="9">
        <f>IF(ISNA(MATCH(287,Engine!$C$2:$C$1960,0)),"",INDEX('Compliance Database'!$M$2:$M$1960,MATCH(287,Engine!$C$2:$C$1960,0)))</f>
        <v/>
      </c>
      <c r="N300" s="9">
        <f>IF(ISNA(MATCH(287,Engine!$C$2:$C$1960,0)),"",INDEX('Compliance Database'!$N$2:$N$1960,MATCH(287,Engine!$C$2:$C$1960,0)))</f>
        <v/>
      </c>
      <c r="O300" s="9">
        <f>IF(ISNA(MATCH(287,Engine!$C$2:$C$1960,0)),"",INDEX('Compliance Database'!$O$2:$O$1960,MATCH(287,Engine!$C$2:$C$1960,0)))</f>
        <v/>
      </c>
      <c r="P300" s="8">
        <f>IF(ISNA(MATCH(287,Engine!$C$2:$C$1960,0)),"",HYPERLINK("#Acts!A"&amp;INDEX('Compliance Database'!$P$2:$P$1960,MATCH(287,Engine!$C$2:$C$1960,0)),"Go to Act"))</f>
        <v/>
      </c>
    </row>
    <row r="301" ht="158" customHeight="1">
      <c r="A301" s="8">
        <f>IF(ISNA(MATCH(288,Engine!$C$2:$C$1960,0)),"",INDEX('Compliance Database'!$A$2:$A$1960,MATCH(288,Engine!$C$2:$C$1960,0)))</f>
        <v/>
      </c>
      <c r="B301" s="8">
        <f>IF(ISNA(MATCH(288,Engine!$C$2:$C$1960,0)),"",INDEX('Compliance Database'!$B$2:$B$1960,MATCH(288,Engine!$C$2:$C$1960,0)))</f>
        <v/>
      </c>
      <c r="C301" s="8">
        <f>IF(ISNA(MATCH(288,Engine!$C$2:$C$1960,0)),"",INDEX('Compliance Database'!$C$2:$C$1960,MATCH(288,Engine!$C$2:$C$1960,0)))</f>
        <v/>
      </c>
      <c r="D301" s="9">
        <f>IF(ISNA(MATCH(288,Engine!$C$2:$C$1960,0)),"",INDEX('Compliance Database'!$D$2:$D$1960,MATCH(288,Engine!$C$2:$C$1960,0)))</f>
        <v/>
      </c>
      <c r="E301" s="8">
        <f>IF(ISNA(MATCH(288,Engine!$C$2:$C$1960,0)),"",INDEX('Compliance Database'!$E$2:$E$1960,MATCH(288,Engine!$C$2:$C$1960,0)))</f>
        <v/>
      </c>
      <c r="F301" s="8">
        <f>IF(ISNA(MATCH(288,Engine!$C$2:$C$1960,0)),"",INDEX('Compliance Database'!$F$2:$F$1960,MATCH(288,Engine!$C$2:$C$1960,0)))</f>
        <v/>
      </c>
      <c r="G301" s="8">
        <f>IF(ISNA(MATCH(288,Engine!$C$2:$C$1960,0)),"",INDEX('Compliance Database'!$G$2:$G$1960,MATCH(288,Engine!$C$2:$C$1960,0)))</f>
        <v/>
      </c>
      <c r="H301" s="9">
        <f>IF(ISNA(MATCH(288,Engine!$C$2:$C$1960,0)),"",INDEX('Compliance Database'!$H$2:$H$1960,MATCH(288,Engine!$C$2:$C$1960,0)))</f>
        <v/>
      </c>
      <c r="I301" s="9">
        <f>IF(ISNA(MATCH(288,Engine!$C$2:$C$1960,0)),"",INDEX('Compliance Database'!$I$2:$I$1960,MATCH(288,Engine!$C$2:$C$1960,0)))</f>
        <v/>
      </c>
      <c r="J301" s="8">
        <f>IF(ISNA(MATCH(288,Engine!$C$2:$C$1960,0)),"",INDEX('Compliance Database'!$J$2:$J$1960,MATCH(288,Engine!$C$2:$C$1960,0)))</f>
        <v/>
      </c>
      <c r="K301" s="9">
        <f>IF(ISNA(MATCH(288,Engine!$C$2:$C$1960,0)),"",INDEX('Compliance Database'!$K$2:$K$1960,MATCH(288,Engine!$C$2:$C$1960,0)))</f>
        <v/>
      </c>
      <c r="L301" s="9">
        <f>IF(ISNA(MATCH(288,Engine!$C$2:$C$1960,0)),"",INDEX('Compliance Database'!$L$2:$L$1960,MATCH(288,Engine!$C$2:$C$1960,0)))</f>
        <v/>
      </c>
      <c r="M301" s="9">
        <f>IF(ISNA(MATCH(288,Engine!$C$2:$C$1960,0)),"",INDEX('Compliance Database'!$M$2:$M$1960,MATCH(288,Engine!$C$2:$C$1960,0)))</f>
        <v/>
      </c>
      <c r="N301" s="9">
        <f>IF(ISNA(MATCH(288,Engine!$C$2:$C$1960,0)),"",INDEX('Compliance Database'!$N$2:$N$1960,MATCH(288,Engine!$C$2:$C$1960,0)))</f>
        <v/>
      </c>
      <c r="O301" s="9">
        <f>IF(ISNA(MATCH(288,Engine!$C$2:$C$1960,0)),"",INDEX('Compliance Database'!$O$2:$O$1960,MATCH(288,Engine!$C$2:$C$1960,0)))</f>
        <v/>
      </c>
      <c r="P301" s="8">
        <f>IF(ISNA(MATCH(288,Engine!$C$2:$C$1960,0)),"",HYPERLINK("#Acts!A"&amp;INDEX('Compliance Database'!$P$2:$P$1960,MATCH(288,Engine!$C$2:$C$1960,0)),"Go to Act"))</f>
        <v/>
      </c>
    </row>
    <row r="302" ht="158" customHeight="1">
      <c r="A302" s="8">
        <f>IF(ISNA(MATCH(289,Engine!$C$2:$C$1960,0)),"",INDEX('Compliance Database'!$A$2:$A$1960,MATCH(289,Engine!$C$2:$C$1960,0)))</f>
        <v/>
      </c>
      <c r="B302" s="8">
        <f>IF(ISNA(MATCH(289,Engine!$C$2:$C$1960,0)),"",INDEX('Compliance Database'!$B$2:$B$1960,MATCH(289,Engine!$C$2:$C$1960,0)))</f>
        <v/>
      </c>
      <c r="C302" s="8">
        <f>IF(ISNA(MATCH(289,Engine!$C$2:$C$1960,0)),"",INDEX('Compliance Database'!$C$2:$C$1960,MATCH(289,Engine!$C$2:$C$1960,0)))</f>
        <v/>
      </c>
      <c r="D302" s="9">
        <f>IF(ISNA(MATCH(289,Engine!$C$2:$C$1960,0)),"",INDEX('Compliance Database'!$D$2:$D$1960,MATCH(289,Engine!$C$2:$C$1960,0)))</f>
        <v/>
      </c>
      <c r="E302" s="8">
        <f>IF(ISNA(MATCH(289,Engine!$C$2:$C$1960,0)),"",INDEX('Compliance Database'!$E$2:$E$1960,MATCH(289,Engine!$C$2:$C$1960,0)))</f>
        <v/>
      </c>
      <c r="F302" s="8">
        <f>IF(ISNA(MATCH(289,Engine!$C$2:$C$1960,0)),"",INDEX('Compliance Database'!$F$2:$F$1960,MATCH(289,Engine!$C$2:$C$1960,0)))</f>
        <v/>
      </c>
      <c r="G302" s="8">
        <f>IF(ISNA(MATCH(289,Engine!$C$2:$C$1960,0)),"",INDEX('Compliance Database'!$G$2:$G$1960,MATCH(289,Engine!$C$2:$C$1960,0)))</f>
        <v/>
      </c>
      <c r="H302" s="9">
        <f>IF(ISNA(MATCH(289,Engine!$C$2:$C$1960,0)),"",INDEX('Compliance Database'!$H$2:$H$1960,MATCH(289,Engine!$C$2:$C$1960,0)))</f>
        <v/>
      </c>
      <c r="I302" s="9">
        <f>IF(ISNA(MATCH(289,Engine!$C$2:$C$1960,0)),"",INDEX('Compliance Database'!$I$2:$I$1960,MATCH(289,Engine!$C$2:$C$1960,0)))</f>
        <v/>
      </c>
      <c r="J302" s="8">
        <f>IF(ISNA(MATCH(289,Engine!$C$2:$C$1960,0)),"",INDEX('Compliance Database'!$J$2:$J$1960,MATCH(289,Engine!$C$2:$C$1960,0)))</f>
        <v/>
      </c>
      <c r="K302" s="9">
        <f>IF(ISNA(MATCH(289,Engine!$C$2:$C$1960,0)),"",INDEX('Compliance Database'!$K$2:$K$1960,MATCH(289,Engine!$C$2:$C$1960,0)))</f>
        <v/>
      </c>
      <c r="L302" s="9">
        <f>IF(ISNA(MATCH(289,Engine!$C$2:$C$1960,0)),"",INDEX('Compliance Database'!$L$2:$L$1960,MATCH(289,Engine!$C$2:$C$1960,0)))</f>
        <v/>
      </c>
      <c r="M302" s="9">
        <f>IF(ISNA(MATCH(289,Engine!$C$2:$C$1960,0)),"",INDEX('Compliance Database'!$M$2:$M$1960,MATCH(289,Engine!$C$2:$C$1960,0)))</f>
        <v/>
      </c>
      <c r="N302" s="9">
        <f>IF(ISNA(MATCH(289,Engine!$C$2:$C$1960,0)),"",INDEX('Compliance Database'!$N$2:$N$1960,MATCH(289,Engine!$C$2:$C$1960,0)))</f>
        <v/>
      </c>
      <c r="O302" s="9">
        <f>IF(ISNA(MATCH(289,Engine!$C$2:$C$1960,0)),"",INDEX('Compliance Database'!$O$2:$O$1960,MATCH(289,Engine!$C$2:$C$1960,0)))</f>
        <v/>
      </c>
      <c r="P302" s="8">
        <f>IF(ISNA(MATCH(289,Engine!$C$2:$C$1960,0)),"",HYPERLINK("#Acts!A"&amp;INDEX('Compliance Database'!$P$2:$P$1960,MATCH(289,Engine!$C$2:$C$1960,0)),"Go to Act"))</f>
        <v/>
      </c>
    </row>
    <row r="303" ht="158" customHeight="1">
      <c r="A303" s="8">
        <f>IF(ISNA(MATCH(290,Engine!$C$2:$C$1960,0)),"",INDEX('Compliance Database'!$A$2:$A$1960,MATCH(290,Engine!$C$2:$C$1960,0)))</f>
        <v/>
      </c>
      <c r="B303" s="8">
        <f>IF(ISNA(MATCH(290,Engine!$C$2:$C$1960,0)),"",INDEX('Compliance Database'!$B$2:$B$1960,MATCH(290,Engine!$C$2:$C$1960,0)))</f>
        <v/>
      </c>
      <c r="C303" s="8">
        <f>IF(ISNA(MATCH(290,Engine!$C$2:$C$1960,0)),"",INDEX('Compliance Database'!$C$2:$C$1960,MATCH(290,Engine!$C$2:$C$1960,0)))</f>
        <v/>
      </c>
      <c r="D303" s="9">
        <f>IF(ISNA(MATCH(290,Engine!$C$2:$C$1960,0)),"",INDEX('Compliance Database'!$D$2:$D$1960,MATCH(290,Engine!$C$2:$C$1960,0)))</f>
        <v/>
      </c>
      <c r="E303" s="8">
        <f>IF(ISNA(MATCH(290,Engine!$C$2:$C$1960,0)),"",INDEX('Compliance Database'!$E$2:$E$1960,MATCH(290,Engine!$C$2:$C$1960,0)))</f>
        <v/>
      </c>
      <c r="F303" s="8">
        <f>IF(ISNA(MATCH(290,Engine!$C$2:$C$1960,0)),"",INDEX('Compliance Database'!$F$2:$F$1960,MATCH(290,Engine!$C$2:$C$1960,0)))</f>
        <v/>
      </c>
      <c r="G303" s="8">
        <f>IF(ISNA(MATCH(290,Engine!$C$2:$C$1960,0)),"",INDEX('Compliance Database'!$G$2:$G$1960,MATCH(290,Engine!$C$2:$C$1960,0)))</f>
        <v/>
      </c>
      <c r="H303" s="9">
        <f>IF(ISNA(MATCH(290,Engine!$C$2:$C$1960,0)),"",INDEX('Compliance Database'!$H$2:$H$1960,MATCH(290,Engine!$C$2:$C$1960,0)))</f>
        <v/>
      </c>
      <c r="I303" s="9">
        <f>IF(ISNA(MATCH(290,Engine!$C$2:$C$1960,0)),"",INDEX('Compliance Database'!$I$2:$I$1960,MATCH(290,Engine!$C$2:$C$1960,0)))</f>
        <v/>
      </c>
      <c r="J303" s="8">
        <f>IF(ISNA(MATCH(290,Engine!$C$2:$C$1960,0)),"",INDEX('Compliance Database'!$J$2:$J$1960,MATCH(290,Engine!$C$2:$C$1960,0)))</f>
        <v/>
      </c>
      <c r="K303" s="9">
        <f>IF(ISNA(MATCH(290,Engine!$C$2:$C$1960,0)),"",INDEX('Compliance Database'!$K$2:$K$1960,MATCH(290,Engine!$C$2:$C$1960,0)))</f>
        <v/>
      </c>
      <c r="L303" s="9">
        <f>IF(ISNA(MATCH(290,Engine!$C$2:$C$1960,0)),"",INDEX('Compliance Database'!$L$2:$L$1960,MATCH(290,Engine!$C$2:$C$1960,0)))</f>
        <v/>
      </c>
      <c r="M303" s="9">
        <f>IF(ISNA(MATCH(290,Engine!$C$2:$C$1960,0)),"",INDEX('Compliance Database'!$M$2:$M$1960,MATCH(290,Engine!$C$2:$C$1960,0)))</f>
        <v/>
      </c>
      <c r="N303" s="9">
        <f>IF(ISNA(MATCH(290,Engine!$C$2:$C$1960,0)),"",INDEX('Compliance Database'!$N$2:$N$1960,MATCH(290,Engine!$C$2:$C$1960,0)))</f>
        <v/>
      </c>
      <c r="O303" s="9">
        <f>IF(ISNA(MATCH(290,Engine!$C$2:$C$1960,0)),"",INDEX('Compliance Database'!$O$2:$O$1960,MATCH(290,Engine!$C$2:$C$1960,0)))</f>
        <v/>
      </c>
      <c r="P303" s="8">
        <f>IF(ISNA(MATCH(290,Engine!$C$2:$C$1960,0)),"",HYPERLINK("#Acts!A"&amp;INDEX('Compliance Database'!$P$2:$P$1960,MATCH(290,Engine!$C$2:$C$1960,0)),"Go to Act"))</f>
        <v/>
      </c>
    </row>
    <row r="304" ht="158" customHeight="1">
      <c r="A304" s="8">
        <f>IF(ISNA(MATCH(291,Engine!$C$2:$C$1960,0)),"",INDEX('Compliance Database'!$A$2:$A$1960,MATCH(291,Engine!$C$2:$C$1960,0)))</f>
        <v/>
      </c>
      <c r="B304" s="8">
        <f>IF(ISNA(MATCH(291,Engine!$C$2:$C$1960,0)),"",INDEX('Compliance Database'!$B$2:$B$1960,MATCH(291,Engine!$C$2:$C$1960,0)))</f>
        <v/>
      </c>
      <c r="C304" s="8">
        <f>IF(ISNA(MATCH(291,Engine!$C$2:$C$1960,0)),"",INDEX('Compliance Database'!$C$2:$C$1960,MATCH(291,Engine!$C$2:$C$1960,0)))</f>
        <v/>
      </c>
      <c r="D304" s="9">
        <f>IF(ISNA(MATCH(291,Engine!$C$2:$C$1960,0)),"",INDEX('Compliance Database'!$D$2:$D$1960,MATCH(291,Engine!$C$2:$C$1960,0)))</f>
        <v/>
      </c>
      <c r="E304" s="8">
        <f>IF(ISNA(MATCH(291,Engine!$C$2:$C$1960,0)),"",INDEX('Compliance Database'!$E$2:$E$1960,MATCH(291,Engine!$C$2:$C$1960,0)))</f>
        <v/>
      </c>
      <c r="F304" s="8">
        <f>IF(ISNA(MATCH(291,Engine!$C$2:$C$1960,0)),"",INDEX('Compliance Database'!$F$2:$F$1960,MATCH(291,Engine!$C$2:$C$1960,0)))</f>
        <v/>
      </c>
      <c r="G304" s="8">
        <f>IF(ISNA(MATCH(291,Engine!$C$2:$C$1960,0)),"",INDEX('Compliance Database'!$G$2:$G$1960,MATCH(291,Engine!$C$2:$C$1960,0)))</f>
        <v/>
      </c>
      <c r="H304" s="9">
        <f>IF(ISNA(MATCH(291,Engine!$C$2:$C$1960,0)),"",INDEX('Compliance Database'!$H$2:$H$1960,MATCH(291,Engine!$C$2:$C$1960,0)))</f>
        <v/>
      </c>
      <c r="I304" s="9">
        <f>IF(ISNA(MATCH(291,Engine!$C$2:$C$1960,0)),"",INDEX('Compliance Database'!$I$2:$I$1960,MATCH(291,Engine!$C$2:$C$1960,0)))</f>
        <v/>
      </c>
      <c r="J304" s="8">
        <f>IF(ISNA(MATCH(291,Engine!$C$2:$C$1960,0)),"",INDEX('Compliance Database'!$J$2:$J$1960,MATCH(291,Engine!$C$2:$C$1960,0)))</f>
        <v/>
      </c>
      <c r="K304" s="9">
        <f>IF(ISNA(MATCH(291,Engine!$C$2:$C$1960,0)),"",INDEX('Compliance Database'!$K$2:$K$1960,MATCH(291,Engine!$C$2:$C$1960,0)))</f>
        <v/>
      </c>
      <c r="L304" s="9">
        <f>IF(ISNA(MATCH(291,Engine!$C$2:$C$1960,0)),"",INDEX('Compliance Database'!$L$2:$L$1960,MATCH(291,Engine!$C$2:$C$1960,0)))</f>
        <v/>
      </c>
      <c r="M304" s="9">
        <f>IF(ISNA(MATCH(291,Engine!$C$2:$C$1960,0)),"",INDEX('Compliance Database'!$M$2:$M$1960,MATCH(291,Engine!$C$2:$C$1960,0)))</f>
        <v/>
      </c>
      <c r="N304" s="9">
        <f>IF(ISNA(MATCH(291,Engine!$C$2:$C$1960,0)),"",INDEX('Compliance Database'!$N$2:$N$1960,MATCH(291,Engine!$C$2:$C$1960,0)))</f>
        <v/>
      </c>
      <c r="O304" s="9">
        <f>IF(ISNA(MATCH(291,Engine!$C$2:$C$1960,0)),"",INDEX('Compliance Database'!$O$2:$O$1960,MATCH(291,Engine!$C$2:$C$1960,0)))</f>
        <v/>
      </c>
      <c r="P304" s="8">
        <f>IF(ISNA(MATCH(291,Engine!$C$2:$C$1960,0)),"",HYPERLINK("#Acts!A"&amp;INDEX('Compliance Database'!$P$2:$P$1960,MATCH(291,Engine!$C$2:$C$1960,0)),"Go to Act"))</f>
        <v/>
      </c>
    </row>
    <row r="305" ht="158" customHeight="1">
      <c r="A305" s="8">
        <f>IF(ISNA(MATCH(292,Engine!$C$2:$C$1960,0)),"",INDEX('Compliance Database'!$A$2:$A$1960,MATCH(292,Engine!$C$2:$C$1960,0)))</f>
        <v/>
      </c>
      <c r="B305" s="8">
        <f>IF(ISNA(MATCH(292,Engine!$C$2:$C$1960,0)),"",INDEX('Compliance Database'!$B$2:$B$1960,MATCH(292,Engine!$C$2:$C$1960,0)))</f>
        <v/>
      </c>
      <c r="C305" s="8">
        <f>IF(ISNA(MATCH(292,Engine!$C$2:$C$1960,0)),"",INDEX('Compliance Database'!$C$2:$C$1960,MATCH(292,Engine!$C$2:$C$1960,0)))</f>
        <v/>
      </c>
      <c r="D305" s="9">
        <f>IF(ISNA(MATCH(292,Engine!$C$2:$C$1960,0)),"",INDEX('Compliance Database'!$D$2:$D$1960,MATCH(292,Engine!$C$2:$C$1960,0)))</f>
        <v/>
      </c>
      <c r="E305" s="8">
        <f>IF(ISNA(MATCH(292,Engine!$C$2:$C$1960,0)),"",INDEX('Compliance Database'!$E$2:$E$1960,MATCH(292,Engine!$C$2:$C$1960,0)))</f>
        <v/>
      </c>
      <c r="F305" s="8">
        <f>IF(ISNA(MATCH(292,Engine!$C$2:$C$1960,0)),"",INDEX('Compliance Database'!$F$2:$F$1960,MATCH(292,Engine!$C$2:$C$1960,0)))</f>
        <v/>
      </c>
      <c r="G305" s="8">
        <f>IF(ISNA(MATCH(292,Engine!$C$2:$C$1960,0)),"",INDEX('Compliance Database'!$G$2:$G$1960,MATCH(292,Engine!$C$2:$C$1960,0)))</f>
        <v/>
      </c>
      <c r="H305" s="9">
        <f>IF(ISNA(MATCH(292,Engine!$C$2:$C$1960,0)),"",INDEX('Compliance Database'!$H$2:$H$1960,MATCH(292,Engine!$C$2:$C$1960,0)))</f>
        <v/>
      </c>
      <c r="I305" s="9">
        <f>IF(ISNA(MATCH(292,Engine!$C$2:$C$1960,0)),"",INDEX('Compliance Database'!$I$2:$I$1960,MATCH(292,Engine!$C$2:$C$1960,0)))</f>
        <v/>
      </c>
      <c r="J305" s="8">
        <f>IF(ISNA(MATCH(292,Engine!$C$2:$C$1960,0)),"",INDEX('Compliance Database'!$J$2:$J$1960,MATCH(292,Engine!$C$2:$C$1960,0)))</f>
        <v/>
      </c>
      <c r="K305" s="9">
        <f>IF(ISNA(MATCH(292,Engine!$C$2:$C$1960,0)),"",INDEX('Compliance Database'!$K$2:$K$1960,MATCH(292,Engine!$C$2:$C$1960,0)))</f>
        <v/>
      </c>
      <c r="L305" s="9">
        <f>IF(ISNA(MATCH(292,Engine!$C$2:$C$1960,0)),"",INDEX('Compliance Database'!$L$2:$L$1960,MATCH(292,Engine!$C$2:$C$1960,0)))</f>
        <v/>
      </c>
      <c r="M305" s="9">
        <f>IF(ISNA(MATCH(292,Engine!$C$2:$C$1960,0)),"",INDEX('Compliance Database'!$M$2:$M$1960,MATCH(292,Engine!$C$2:$C$1960,0)))</f>
        <v/>
      </c>
      <c r="N305" s="9">
        <f>IF(ISNA(MATCH(292,Engine!$C$2:$C$1960,0)),"",INDEX('Compliance Database'!$N$2:$N$1960,MATCH(292,Engine!$C$2:$C$1960,0)))</f>
        <v/>
      </c>
      <c r="O305" s="9">
        <f>IF(ISNA(MATCH(292,Engine!$C$2:$C$1960,0)),"",INDEX('Compliance Database'!$O$2:$O$1960,MATCH(292,Engine!$C$2:$C$1960,0)))</f>
        <v/>
      </c>
      <c r="P305" s="8">
        <f>IF(ISNA(MATCH(292,Engine!$C$2:$C$1960,0)),"",HYPERLINK("#Acts!A"&amp;INDEX('Compliance Database'!$P$2:$P$1960,MATCH(292,Engine!$C$2:$C$1960,0)),"Go to Act"))</f>
        <v/>
      </c>
    </row>
    <row r="306" ht="158" customHeight="1">
      <c r="A306" s="8">
        <f>IF(ISNA(MATCH(293,Engine!$C$2:$C$1960,0)),"",INDEX('Compliance Database'!$A$2:$A$1960,MATCH(293,Engine!$C$2:$C$1960,0)))</f>
        <v/>
      </c>
      <c r="B306" s="8">
        <f>IF(ISNA(MATCH(293,Engine!$C$2:$C$1960,0)),"",INDEX('Compliance Database'!$B$2:$B$1960,MATCH(293,Engine!$C$2:$C$1960,0)))</f>
        <v/>
      </c>
      <c r="C306" s="8">
        <f>IF(ISNA(MATCH(293,Engine!$C$2:$C$1960,0)),"",INDEX('Compliance Database'!$C$2:$C$1960,MATCH(293,Engine!$C$2:$C$1960,0)))</f>
        <v/>
      </c>
      <c r="D306" s="9">
        <f>IF(ISNA(MATCH(293,Engine!$C$2:$C$1960,0)),"",INDEX('Compliance Database'!$D$2:$D$1960,MATCH(293,Engine!$C$2:$C$1960,0)))</f>
        <v/>
      </c>
      <c r="E306" s="8">
        <f>IF(ISNA(MATCH(293,Engine!$C$2:$C$1960,0)),"",INDEX('Compliance Database'!$E$2:$E$1960,MATCH(293,Engine!$C$2:$C$1960,0)))</f>
        <v/>
      </c>
      <c r="F306" s="8">
        <f>IF(ISNA(MATCH(293,Engine!$C$2:$C$1960,0)),"",INDEX('Compliance Database'!$F$2:$F$1960,MATCH(293,Engine!$C$2:$C$1960,0)))</f>
        <v/>
      </c>
      <c r="G306" s="8">
        <f>IF(ISNA(MATCH(293,Engine!$C$2:$C$1960,0)),"",INDEX('Compliance Database'!$G$2:$G$1960,MATCH(293,Engine!$C$2:$C$1960,0)))</f>
        <v/>
      </c>
      <c r="H306" s="9">
        <f>IF(ISNA(MATCH(293,Engine!$C$2:$C$1960,0)),"",INDEX('Compliance Database'!$H$2:$H$1960,MATCH(293,Engine!$C$2:$C$1960,0)))</f>
        <v/>
      </c>
      <c r="I306" s="9">
        <f>IF(ISNA(MATCH(293,Engine!$C$2:$C$1960,0)),"",INDEX('Compliance Database'!$I$2:$I$1960,MATCH(293,Engine!$C$2:$C$1960,0)))</f>
        <v/>
      </c>
      <c r="J306" s="8">
        <f>IF(ISNA(MATCH(293,Engine!$C$2:$C$1960,0)),"",INDEX('Compliance Database'!$J$2:$J$1960,MATCH(293,Engine!$C$2:$C$1960,0)))</f>
        <v/>
      </c>
      <c r="K306" s="9">
        <f>IF(ISNA(MATCH(293,Engine!$C$2:$C$1960,0)),"",INDEX('Compliance Database'!$K$2:$K$1960,MATCH(293,Engine!$C$2:$C$1960,0)))</f>
        <v/>
      </c>
      <c r="L306" s="9">
        <f>IF(ISNA(MATCH(293,Engine!$C$2:$C$1960,0)),"",INDEX('Compliance Database'!$L$2:$L$1960,MATCH(293,Engine!$C$2:$C$1960,0)))</f>
        <v/>
      </c>
      <c r="M306" s="9">
        <f>IF(ISNA(MATCH(293,Engine!$C$2:$C$1960,0)),"",INDEX('Compliance Database'!$M$2:$M$1960,MATCH(293,Engine!$C$2:$C$1960,0)))</f>
        <v/>
      </c>
      <c r="N306" s="9">
        <f>IF(ISNA(MATCH(293,Engine!$C$2:$C$1960,0)),"",INDEX('Compliance Database'!$N$2:$N$1960,MATCH(293,Engine!$C$2:$C$1960,0)))</f>
        <v/>
      </c>
      <c r="O306" s="9">
        <f>IF(ISNA(MATCH(293,Engine!$C$2:$C$1960,0)),"",INDEX('Compliance Database'!$O$2:$O$1960,MATCH(293,Engine!$C$2:$C$1960,0)))</f>
        <v/>
      </c>
      <c r="P306" s="8">
        <f>IF(ISNA(MATCH(293,Engine!$C$2:$C$1960,0)),"",HYPERLINK("#Acts!A"&amp;INDEX('Compliance Database'!$P$2:$P$1960,MATCH(293,Engine!$C$2:$C$1960,0)),"Go to Act"))</f>
        <v/>
      </c>
    </row>
    <row r="307" ht="158" customHeight="1">
      <c r="A307" s="8">
        <f>IF(ISNA(MATCH(294,Engine!$C$2:$C$1960,0)),"",INDEX('Compliance Database'!$A$2:$A$1960,MATCH(294,Engine!$C$2:$C$1960,0)))</f>
        <v/>
      </c>
      <c r="B307" s="8">
        <f>IF(ISNA(MATCH(294,Engine!$C$2:$C$1960,0)),"",INDEX('Compliance Database'!$B$2:$B$1960,MATCH(294,Engine!$C$2:$C$1960,0)))</f>
        <v/>
      </c>
      <c r="C307" s="8">
        <f>IF(ISNA(MATCH(294,Engine!$C$2:$C$1960,0)),"",INDEX('Compliance Database'!$C$2:$C$1960,MATCH(294,Engine!$C$2:$C$1960,0)))</f>
        <v/>
      </c>
      <c r="D307" s="9">
        <f>IF(ISNA(MATCH(294,Engine!$C$2:$C$1960,0)),"",INDEX('Compliance Database'!$D$2:$D$1960,MATCH(294,Engine!$C$2:$C$1960,0)))</f>
        <v/>
      </c>
      <c r="E307" s="8">
        <f>IF(ISNA(MATCH(294,Engine!$C$2:$C$1960,0)),"",INDEX('Compliance Database'!$E$2:$E$1960,MATCH(294,Engine!$C$2:$C$1960,0)))</f>
        <v/>
      </c>
      <c r="F307" s="8">
        <f>IF(ISNA(MATCH(294,Engine!$C$2:$C$1960,0)),"",INDEX('Compliance Database'!$F$2:$F$1960,MATCH(294,Engine!$C$2:$C$1960,0)))</f>
        <v/>
      </c>
      <c r="G307" s="8">
        <f>IF(ISNA(MATCH(294,Engine!$C$2:$C$1960,0)),"",INDEX('Compliance Database'!$G$2:$G$1960,MATCH(294,Engine!$C$2:$C$1960,0)))</f>
        <v/>
      </c>
      <c r="H307" s="9">
        <f>IF(ISNA(MATCH(294,Engine!$C$2:$C$1960,0)),"",INDEX('Compliance Database'!$H$2:$H$1960,MATCH(294,Engine!$C$2:$C$1960,0)))</f>
        <v/>
      </c>
      <c r="I307" s="9">
        <f>IF(ISNA(MATCH(294,Engine!$C$2:$C$1960,0)),"",INDEX('Compliance Database'!$I$2:$I$1960,MATCH(294,Engine!$C$2:$C$1960,0)))</f>
        <v/>
      </c>
      <c r="J307" s="8">
        <f>IF(ISNA(MATCH(294,Engine!$C$2:$C$1960,0)),"",INDEX('Compliance Database'!$J$2:$J$1960,MATCH(294,Engine!$C$2:$C$1960,0)))</f>
        <v/>
      </c>
      <c r="K307" s="9">
        <f>IF(ISNA(MATCH(294,Engine!$C$2:$C$1960,0)),"",INDEX('Compliance Database'!$K$2:$K$1960,MATCH(294,Engine!$C$2:$C$1960,0)))</f>
        <v/>
      </c>
      <c r="L307" s="9">
        <f>IF(ISNA(MATCH(294,Engine!$C$2:$C$1960,0)),"",INDEX('Compliance Database'!$L$2:$L$1960,MATCH(294,Engine!$C$2:$C$1960,0)))</f>
        <v/>
      </c>
      <c r="M307" s="9">
        <f>IF(ISNA(MATCH(294,Engine!$C$2:$C$1960,0)),"",INDEX('Compliance Database'!$M$2:$M$1960,MATCH(294,Engine!$C$2:$C$1960,0)))</f>
        <v/>
      </c>
      <c r="N307" s="9">
        <f>IF(ISNA(MATCH(294,Engine!$C$2:$C$1960,0)),"",INDEX('Compliance Database'!$N$2:$N$1960,MATCH(294,Engine!$C$2:$C$1960,0)))</f>
        <v/>
      </c>
      <c r="O307" s="9">
        <f>IF(ISNA(MATCH(294,Engine!$C$2:$C$1960,0)),"",INDEX('Compliance Database'!$O$2:$O$1960,MATCH(294,Engine!$C$2:$C$1960,0)))</f>
        <v/>
      </c>
      <c r="P307" s="8">
        <f>IF(ISNA(MATCH(294,Engine!$C$2:$C$1960,0)),"",HYPERLINK("#Acts!A"&amp;INDEX('Compliance Database'!$P$2:$P$1960,MATCH(294,Engine!$C$2:$C$1960,0)),"Go to Act"))</f>
        <v/>
      </c>
    </row>
    <row r="308" ht="158" customHeight="1">
      <c r="A308" s="8">
        <f>IF(ISNA(MATCH(295,Engine!$C$2:$C$1960,0)),"",INDEX('Compliance Database'!$A$2:$A$1960,MATCH(295,Engine!$C$2:$C$1960,0)))</f>
        <v/>
      </c>
      <c r="B308" s="8">
        <f>IF(ISNA(MATCH(295,Engine!$C$2:$C$1960,0)),"",INDEX('Compliance Database'!$B$2:$B$1960,MATCH(295,Engine!$C$2:$C$1960,0)))</f>
        <v/>
      </c>
      <c r="C308" s="8">
        <f>IF(ISNA(MATCH(295,Engine!$C$2:$C$1960,0)),"",INDEX('Compliance Database'!$C$2:$C$1960,MATCH(295,Engine!$C$2:$C$1960,0)))</f>
        <v/>
      </c>
      <c r="D308" s="9">
        <f>IF(ISNA(MATCH(295,Engine!$C$2:$C$1960,0)),"",INDEX('Compliance Database'!$D$2:$D$1960,MATCH(295,Engine!$C$2:$C$1960,0)))</f>
        <v/>
      </c>
      <c r="E308" s="8">
        <f>IF(ISNA(MATCH(295,Engine!$C$2:$C$1960,0)),"",INDEX('Compliance Database'!$E$2:$E$1960,MATCH(295,Engine!$C$2:$C$1960,0)))</f>
        <v/>
      </c>
      <c r="F308" s="8">
        <f>IF(ISNA(MATCH(295,Engine!$C$2:$C$1960,0)),"",INDEX('Compliance Database'!$F$2:$F$1960,MATCH(295,Engine!$C$2:$C$1960,0)))</f>
        <v/>
      </c>
      <c r="G308" s="8">
        <f>IF(ISNA(MATCH(295,Engine!$C$2:$C$1960,0)),"",INDEX('Compliance Database'!$G$2:$G$1960,MATCH(295,Engine!$C$2:$C$1960,0)))</f>
        <v/>
      </c>
      <c r="H308" s="9">
        <f>IF(ISNA(MATCH(295,Engine!$C$2:$C$1960,0)),"",INDEX('Compliance Database'!$H$2:$H$1960,MATCH(295,Engine!$C$2:$C$1960,0)))</f>
        <v/>
      </c>
      <c r="I308" s="9">
        <f>IF(ISNA(MATCH(295,Engine!$C$2:$C$1960,0)),"",INDEX('Compliance Database'!$I$2:$I$1960,MATCH(295,Engine!$C$2:$C$1960,0)))</f>
        <v/>
      </c>
      <c r="J308" s="8">
        <f>IF(ISNA(MATCH(295,Engine!$C$2:$C$1960,0)),"",INDEX('Compliance Database'!$J$2:$J$1960,MATCH(295,Engine!$C$2:$C$1960,0)))</f>
        <v/>
      </c>
      <c r="K308" s="9">
        <f>IF(ISNA(MATCH(295,Engine!$C$2:$C$1960,0)),"",INDEX('Compliance Database'!$K$2:$K$1960,MATCH(295,Engine!$C$2:$C$1960,0)))</f>
        <v/>
      </c>
      <c r="L308" s="9">
        <f>IF(ISNA(MATCH(295,Engine!$C$2:$C$1960,0)),"",INDEX('Compliance Database'!$L$2:$L$1960,MATCH(295,Engine!$C$2:$C$1960,0)))</f>
        <v/>
      </c>
      <c r="M308" s="9">
        <f>IF(ISNA(MATCH(295,Engine!$C$2:$C$1960,0)),"",INDEX('Compliance Database'!$M$2:$M$1960,MATCH(295,Engine!$C$2:$C$1960,0)))</f>
        <v/>
      </c>
      <c r="N308" s="9">
        <f>IF(ISNA(MATCH(295,Engine!$C$2:$C$1960,0)),"",INDEX('Compliance Database'!$N$2:$N$1960,MATCH(295,Engine!$C$2:$C$1960,0)))</f>
        <v/>
      </c>
      <c r="O308" s="9">
        <f>IF(ISNA(MATCH(295,Engine!$C$2:$C$1960,0)),"",INDEX('Compliance Database'!$O$2:$O$1960,MATCH(295,Engine!$C$2:$C$1960,0)))</f>
        <v/>
      </c>
      <c r="P308" s="8">
        <f>IF(ISNA(MATCH(295,Engine!$C$2:$C$1960,0)),"",HYPERLINK("#Acts!A"&amp;INDEX('Compliance Database'!$P$2:$P$1960,MATCH(295,Engine!$C$2:$C$1960,0)),"Go to Act"))</f>
        <v/>
      </c>
    </row>
    <row r="309" ht="158" customHeight="1">
      <c r="A309" s="8">
        <f>IF(ISNA(MATCH(296,Engine!$C$2:$C$1960,0)),"",INDEX('Compliance Database'!$A$2:$A$1960,MATCH(296,Engine!$C$2:$C$1960,0)))</f>
        <v/>
      </c>
      <c r="B309" s="8">
        <f>IF(ISNA(MATCH(296,Engine!$C$2:$C$1960,0)),"",INDEX('Compliance Database'!$B$2:$B$1960,MATCH(296,Engine!$C$2:$C$1960,0)))</f>
        <v/>
      </c>
      <c r="C309" s="8">
        <f>IF(ISNA(MATCH(296,Engine!$C$2:$C$1960,0)),"",INDEX('Compliance Database'!$C$2:$C$1960,MATCH(296,Engine!$C$2:$C$1960,0)))</f>
        <v/>
      </c>
      <c r="D309" s="9">
        <f>IF(ISNA(MATCH(296,Engine!$C$2:$C$1960,0)),"",INDEX('Compliance Database'!$D$2:$D$1960,MATCH(296,Engine!$C$2:$C$1960,0)))</f>
        <v/>
      </c>
      <c r="E309" s="8">
        <f>IF(ISNA(MATCH(296,Engine!$C$2:$C$1960,0)),"",INDEX('Compliance Database'!$E$2:$E$1960,MATCH(296,Engine!$C$2:$C$1960,0)))</f>
        <v/>
      </c>
      <c r="F309" s="8">
        <f>IF(ISNA(MATCH(296,Engine!$C$2:$C$1960,0)),"",INDEX('Compliance Database'!$F$2:$F$1960,MATCH(296,Engine!$C$2:$C$1960,0)))</f>
        <v/>
      </c>
      <c r="G309" s="8">
        <f>IF(ISNA(MATCH(296,Engine!$C$2:$C$1960,0)),"",INDEX('Compliance Database'!$G$2:$G$1960,MATCH(296,Engine!$C$2:$C$1960,0)))</f>
        <v/>
      </c>
      <c r="H309" s="9">
        <f>IF(ISNA(MATCH(296,Engine!$C$2:$C$1960,0)),"",INDEX('Compliance Database'!$H$2:$H$1960,MATCH(296,Engine!$C$2:$C$1960,0)))</f>
        <v/>
      </c>
      <c r="I309" s="9">
        <f>IF(ISNA(MATCH(296,Engine!$C$2:$C$1960,0)),"",INDEX('Compliance Database'!$I$2:$I$1960,MATCH(296,Engine!$C$2:$C$1960,0)))</f>
        <v/>
      </c>
      <c r="J309" s="8">
        <f>IF(ISNA(MATCH(296,Engine!$C$2:$C$1960,0)),"",INDEX('Compliance Database'!$J$2:$J$1960,MATCH(296,Engine!$C$2:$C$1960,0)))</f>
        <v/>
      </c>
      <c r="K309" s="9">
        <f>IF(ISNA(MATCH(296,Engine!$C$2:$C$1960,0)),"",INDEX('Compliance Database'!$K$2:$K$1960,MATCH(296,Engine!$C$2:$C$1960,0)))</f>
        <v/>
      </c>
      <c r="L309" s="9">
        <f>IF(ISNA(MATCH(296,Engine!$C$2:$C$1960,0)),"",INDEX('Compliance Database'!$L$2:$L$1960,MATCH(296,Engine!$C$2:$C$1960,0)))</f>
        <v/>
      </c>
      <c r="M309" s="9">
        <f>IF(ISNA(MATCH(296,Engine!$C$2:$C$1960,0)),"",INDEX('Compliance Database'!$M$2:$M$1960,MATCH(296,Engine!$C$2:$C$1960,0)))</f>
        <v/>
      </c>
      <c r="N309" s="9">
        <f>IF(ISNA(MATCH(296,Engine!$C$2:$C$1960,0)),"",INDEX('Compliance Database'!$N$2:$N$1960,MATCH(296,Engine!$C$2:$C$1960,0)))</f>
        <v/>
      </c>
      <c r="O309" s="9">
        <f>IF(ISNA(MATCH(296,Engine!$C$2:$C$1960,0)),"",INDEX('Compliance Database'!$O$2:$O$1960,MATCH(296,Engine!$C$2:$C$1960,0)))</f>
        <v/>
      </c>
      <c r="P309" s="8">
        <f>IF(ISNA(MATCH(296,Engine!$C$2:$C$1960,0)),"",HYPERLINK("#Acts!A"&amp;INDEX('Compliance Database'!$P$2:$P$1960,MATCH(296,Engine!$C$2:$C$1960,0)),"Go to Act"))</f>
        <v/>
      </c>
    </row>
    <row r="310" ht="158" customHeight="1">
      <c r="A310" s="8">
        <f>IF(ISNA(MATCH(297,Engine!$C$2:$C$1960,0)),"",INDEX('Compliance Database'!$A$2:$A$1960,MATCH(297,Engine!$C$2:$C$1960,0)))</f>
        <v/>
      </c>
      <c r="B310" s="8">
        <f>IF(ISNA(MATCH(297,Engine!$C$2:$C$1960,0)),"",INDEX('Compliance Database'!$B$2:$B$1960,MATCH(297,Engine!$C$2:$C$1960,0)))</f>
        <v/>
      </c>
      <c r="C310" s="8">
        <f>IF(ISNA(MATCH(297,Engine!$C$2:$C$1960,0)),"",INDEX('Compliance Database'!$C$2:$C$1960,MATCH(297,Engine!$C$2:$C$1960,0)))</f>
        <v/>
      </c>
      <c r="D310" s="9">
        <f>IF(ISNA(MATCH(297,Engine!$C$2:$C$1960,0)),"",INDEX('Compliance Database'!$D$2:$D$1960,MATCH(297,Engine!$C$2:$C$1960,0)))</f>
        <v/>
      </c>
      <c r="E310" s="8">
        <f>IF(ISNA(MATCH(297,Engine!$C$2:$C$1960,0)),"",INDEX('Compliance Database'!$E$2:$E$1960,MATCH(297,Engine!$C$2:$C$1960,0)))</f>
        <v/>
      </c>
      <c r="F310" s="8">
        <f>IF(ISNA(MATCH(297,Engine!$C$2:$C$1960,0)),"",INDEX('Compliance Database'!$F$2:$F$1960,MATCH(297,Engine!$C$2:$C$1960,0)))</f>
        <v/>
      </c>
      <c r="G310" s="8">
        <f>IF(ISNA(MATCH(297,Engine!$C$2:$C$1960,0)),"",INDEX('Compliance Database'!$G$2:$G$1960,MATCH(297,Engine!$C$2:$C$1960,0)))</f>
        <v/>
      </c>
      <c r="H310" s="9">
        <f>IF(ISNA(MATCH(297,Engine!$C$2:$C$1960,0)),"",INDEX('Compliance Database'!$H$2:$H$1960,MATCH(297,Engine!$C$2:$C$1960,0)))</f>
        <v/>
      </c>
      <c r="I310" s="9">
        <f>IF(ISNA(MATCH(297,Engine!$C$2:$C$1960,0)),"",INDEX('Compliance Database'!$I$2:$I$1960,MATCH(297,Engine!$C$2:$C$1960,0)))</f>
        <v/>
      </c>
      <c r="J310" s="8">
        <f>IF(ISNA(MATCH(297,Engine!$C$2:$C$1960,0)),"",INDEX('Compliance Database'!$J$2:$J$1960,MATCH(297,Engine!$C$2:$C$1960,0)))</f>
        <v/>
      </c>
      <c r="K310" s="9">
        <f>IF(ISNA(MATCH(297,Engine!$C$2:$C$1960,0)),"",INDEX('Compliance Database'!$K$2:$K$1960,MATCH(297,Engine!$C$2:$C$1960,0)))</f>
        <v/>
      </c>
      <c r="L310" s="9">
        <f>IF(ISNA(MATCH(297,Engine!$C$2:$C$1960,0)),"",INDEX('Compliance Database'!$L$2:$L$1960,MATCH(297,Engine!$C$2:$C$1960,0)))</f>
        <v/>
      </c>
      <c r="M310" s="9">
        <f>IF(ISNA(MATCH(297,Engine!$C$2:$C$1960,0)),"",INDEX('Compliance Database'!$M$2:$M$1960,MATCH(297,Engine!$C$2:$C$1960,0)))</f>
        <v/>
      </c>
      <c r="N310" s="9">
        <f>IF(ISNA(MATCH(297,Engine!$C$2:$C$1960,0)),"",INDEX('Compliance Database'!$N$2:$N$1960,MATCH(297,Engine!$C$2:$C$1960,0)))</f>
        <v/>
      </c>
      <c r="O310" s="9">
        <f>IF(ISNA(MATCH(297,Engine!$C$2:$C$1960,0)),"",INDEX('Compliance Database'!$O$2:$O$1960,MATCH(297,Engine!$C$2:$C$1960,0)))</f>
        <v/>
      </c>
      <c r="P310" s="8">
        <f>IF(ISNA(MATCH(297,Engine!$C$2:$C$1960,0)),"",HYPERLINK("#Acts!A"&amp;INDEX('Compliance Database'!$P$2:$P$1960,MATCH(297,Engine!$C$2:$C$1960,0)),"Go to Act"))</f>
        <v/>
      </c>
    </row>
    <row r="311" ht="158" customHeight="1">
      <c r="A311" s="8">
        <f>IF(ISNA(MATCH(298,Engine!$C$2:$C$1960,0)),"",INDEX('Compliance Database'!$A$2:$A$1960,MATCH(298,Engine!$C$2:$C$1960,0)))</f>
        <v/>
      </c>
      <c r="B311" s="8">
        <f>IF(ISNA(MATCH(298,Engine!$C$2:$C$1960,0)),"",INDEX('Compliance Database'!$B$2:$B$1960,MATCH(298,Engine!$C$2:$C$1960,0)))</f>
        <v/>
      </c>
      <c r="C311" s="8">
        <f>IF(ISNA(MATCH(298,Engine!$C$2:$C$1960,0)),"",INDEX('Compliance Database'!$C$2:$C$1960,MATCH(298,Engine!$C$2:$C$1960,0)))</f>
        <v/>
      </c>
      <c r="D311" s="9">
        <f>IF(ISNA(MATCH(298,Engine!$C$2:$C$1960,0)),"",INDEX('Compliance Database'!$D$2:$D$1960,MATCH(298,Engine!$C$2:$C$1960,0)))</f>
        <v/>
      </c>
      <c r="E311" s="8">
        <f>IF(ISNA(MATCH(298,Engine!$C$2:$C$1960,0)),"",INDEX('Compliance Database'!$E$2:$E$1960,MATCH(298,Engine!$C$2:$C$1960,0)))</f>
        <v/>
      </c>
      <c r="F311" s="8">
        <f>IF(ISNA(MATCH(298,Engine!$C$2:$C$1960,0)),"",INDEX('Compliance Database'!$F$2:$F$1960,MATCH(298,Engine!$C$2:$C$1960,0)))</f>
        <v/>
      </c>
      <c r="G311" s="8">
        <f>IF(ISNA(MATCH(298,Engine!$C$2:$C$1960,0)),"",INDEX('Compliance Database'!$G$2:$G$1960,MATCH(298,Engine!$C$2:$C$1960,0)))</f>
        <v/>
      </c>
      <c r="H311" s="9">
        <f>IF(ISNA(MATCH(298,Engine!$C$2:$C$1960,0)),"",INDEX('Compliance Database'!$H$2:$H$1960,MATCH(298,Engine!$C$2:$C$1960,0)))</f>
        <v/>
      </c>
      <c r="I311" s="9">
        <f>IF(ISNA(MATCH(298,Engine!$C$2:$C$1960,0)),"",INDEX('Compliance Database'!$I$2:$I$1960,MATCH(298,Engine!$C$2:$C$1960,0)))</f>
        <v/>
      </c>
      <c r="J311" s="8">
        <f>IF(ISNA(MATCH(298,Engine!$C$2:$C$1960,0)),"",INDEX('Compliance Database'!$J$2:$J$1960,MATCH(298,Engine!$C$2:$C$1960,0)))</f>
        <v/>
      </c>
      <c r="K311" s="9">
        <f>IF(ISNA(MATCH(298,Engine!$C$2:$C$1960,0)),"",INDEX('Compliance Database'!$K$2:$K$1960,MATCH(298,Engine!$C$2:$C$1960,0)))</f>
        <v/>
      </c>
      <c r="L311" s="9">
        <f>IF(ISNA(MATCH(298,Engine!$C$2:$C$1960,0)),"",INDEX('Compliance Database'!$L$2:$L$1960,MATCH(298,Engine!$C$2:$C$1960,0)))</f>
        <v/>
      </c>
      <c r="M311" s="9">
        <f>IF(ISNA(MATCH(298,Engine!$C$2:$C$1960,0)),"",INDEX('Compliance Database'!$M$2:$M$1960,MATCH(298,Engine!$C$2:$C$1960,0)))</f>
        <v/>
      </c>
      <c r="N311" s="9">
        <f>IF(ISNA(MATCH(298,Engine!$C$2:$C$1960,0)),"",INDEX('Compliance Database'!$N$2:$N$1960,MATCH(298,Engine!$C$2:$C$1960,0)))</f>
        <v/>
      </c>
      <c r="O311" s="9">
        <f>IF(ISNA(MATCH(298,Engine!$C$2:$C$1960,0)),"",INDEX('Compliance Database'!$O$2:$O$1960,MATCH(298,Engine!$C$2:$C$1960,0)))</f>
        <v/>
      </c>
      <c r="P311" s="8">
        <f>IF(ISNA(MATCH(298,Engine!$C$2:$C$1960,0)),"",HYPERLINK("#Acts!A"&amp;INDEX('Compliance Database'!$P$2:$P$1960,MATCH(298,Engine!$C$2:$C$1960,0)),"Go to Act"))</f>
        <v/>
      </c>
    </row>
    <row r="312" ht="158" customHeight="1">
      <c r="A312" s="8">
        <f>IF(ISNA(MATCH(299,Engine!$C$2:$C$1960,0)),"",INDEX('Compliance Database'!$A$2:$A$1960,MATCH(299,Engine!$C$2:$C$1960,0)))</f>
        <v/>
      </c>
      <c r="B312" s="8">
        <f>IF(ISNA(MATCH(299,Engine!$C$2:$C$1960,0)),"",INDEX('Compliance Database'!$B$2:$B$1960,MATCH(299,Engine!$C$2:$C$1960,0)))</f>
        <v/>
      </c>
      <c r="C312" s="8">
        <f>IF(ISNA(MATCH(299,Engine!$C$2:$C$1960,0)),"",INDEX('Compliance Database'!$C$2:$C$1960,MATCH(299,Engine!$C$2:$C$1960,0)))</f>
        <v/>
      </c>
      <c r="D312" s="9">
        <f>IF(ISNA(MATCH(299,Engine!$C$2:$C$1960,0)),"",INDEX('Compliance Database'!$D$2:$D$1960,MATCH(299,Engine!$C$2:$C$1960,0)))</f>
        <v/>
      </c>
      <c r="E312" s="8">
        <f>IF(ISNA(MATCH(299,Engine!$C$2:$C$1960,0)),"",INDEX('Compliance Database'!$E$2:$E$1960,MATCH(299,Engine!$C$2:$C$1960,0)))</f>
        <v/>
      </c>
      <c r="F312" s="8">
        <f>IF(ISNA(MATCH(299,Engine!$C$2:$C$1960,0)),"",INDEX('Compliance Database'!$F$2:$F$1960,MATCH(299,Engine!$C$2:$C$1960,0)))</f>
        <v/>
      </c>
      <c r="G312" s="8">
        <f>IF(ISNA(MATCH(299,Engine!$C$2:$C$1960,0)),"",INDEX('Compliance Database'!$G$2:$G$1960,MATCH(299,Engine!$C$2:$C$1960,0)))</f>
        <v/>
      </c>
      <c r="H312" s="9">
        <f>IF(ISNA(MATCH(299,Engine!$C$2:$C$1960,0)),"",INDEX('Compliance Database'!$H$2:$H$1960,MATCH(299,Engine!$C$2:$C$1960,0)))</f>
        <v/>
      </c>
      <c r="I312" s="9">
        <f>IF(ISNA(MATCH(299,Engine!$C$2:$C$1960,0)),"",INDEX('Compliance Database'!$I$2:$I$1960,MATCH(299,Engine!$C$2:$C$1960,0)))</f>
        <v/>
      </c>
      <c r="J312" s="8">
        <f>IF(ISNA(MATCH(299,Engine!$C$2:$C$1960,0)),"",INDEX('Compliance Database'!$J$2:$J$1960,MATCH(299,Engine!$C$2:$C$1960,0)))</f>
        <v/>
      </c>
      <c r="K312" s="9">
        <f>IF(ISNA(MATCH(299,Engine!$C$2:$C$1960,0)),"",INDEX('Compliance Database'!$K$2:$K$1960,MATCH(299,Engine!$C$2:$C$1960,0)))</f>
        <v/>
      </c>
      <c r="L312" s="9">
        <f>IF(ISNA(MATCH(299,Engine!$C$2:$C$1960,0)),"",INDEX('Compliance Database'!$L$2:$L$1960,MATCH(299,Engine!$C$2:$C$1960,0)))</f>
        <v/>
      </c>
      <c r="M312" s="9">
        <f>IF(ISNA(MATCH(299,Engine!$C$2:$C$1960,0)),"",INDEX('Compliance Database'!$M$2:$M$1960,MATCH(299,Engine!$C$2:$C$1960,0)))</f>
        <v/>
      </c>
      <c r="N312" s="9">
        <f>IF(ISNA(MATCH(299,Engine!$C$2:$C$1960,0)),"",INDEX('Compliance Database'!$N$2:$N$1960,MATCH(299,Engine!$C$2:$C$1960,0)))</f>
        <v/>
      </c>
      <c r="O312" s="9">
        <f>IF(ISNA(MATCH(299,Engine!$C$2:$C$1960,0)),"",INDEX('Compliance Database'!$O$2:$O$1960,MATCH(299,Engine!$C$2:$C$1960,0)))</f>
        <v/>
      </c>
      <c r="P312" s="8">
        <f>IF(ISNA(MATCH(299,Engine!$C$2:$C$1960,0)),"",HYPERLINK("#Acts!A"&amp;INDEX('Compliance Database'!$P$2:$P$1960,MATCH(299,Engine!$C$2:$C$1960,0)),"Go to Act"))</f>
        <v/>
      </c>
    </row>
    <row r="313" ht="158" customHeight="1">
      <c r="A313" s="8">
        <f>IF(ISNA(MATCH(300,Engine!$C$2:$C$1960,0)),"",INDEX('Compliance Database'!$A$2:$A$1960,MATCH(300,Engine!$C$2:$C$1960,0)))</f>
        <v/>
      </c>
      <c r="B313" s="8">
        <f>IF(ISNA(MATCH(300,Engine!$C$2:$C$1960,0)),"",INDEX('Compliance Database'!$B$2:$B$1960,MATCH(300,Engine!$C$2:$C$1960,0)))</f>
        <v/>
      </c>
      <c r="C313" s="8">
        <f>IF(ISNA(MATCH(300,Engine!$C$2:$C$1960,0)),"",INDEX('Compliance Database'!$C$2:$C$1960,MATCH(300,Engine!$C$2:$C$1960,0)))</f>
        <v/>
      </c>
      <c r="D313" s="9">
        <f>IF(ISNA(MATCH(300,Engine!$C$2:$C$1960,0)),"",INDEX('Compliance Database'!$D$2:$D$1960,MATCH(300,Engine!$C$2:$C$1960,0)))</f>
        <v/>
      </c>
      <c r="E313" s="8">
        <f>IF(ISNA(MATCH(300,Engine!$C$2:$C$1960,0)),"",INDEX('Compliance Database'!$E$2:$E$1960,MATCH(300,Engine!$C$2:$C$1960,0)))</f>
        <v/>
      </c>
      <c r="F313" s="8">
        <f>IF(ISNA(MATCH(300,Engine!$C$2:$C$1960,0)),"",INDEX('Compliance Database'!$F$2:$F$1960,MATCH(300,Engine!$C$2:$C$1960,0)))</f>
        <v/>
      </c>
      <c r="G313" s="8">
        <f>IF(ISNA(MATCH(300,Engine!$C$2:$C$1960,0)),"",INDEX('Compliance Database'!$G$2:$G$1960,MATCH(300,Engine!$C$2:$C$1960,0)))</f>
        <v/>
      </c>
      <c r="H313" s="9">
        <f>IF(ISNA(MATCH(300,Engine!$C$2:$C$1960,0)),"",INDEX('Compliance Database'!$H$2:$H$1960,MATCH(300,Engine!$C$2:$C$1960,0)))</f>
        <v/>
      </c>
      <c r="I313" s="9">
        <f>IF(ISNA(MATCH(300,Engine!$C$2:$C$1960,0)),"",INDEX('Compliance Database'!$I$2:$I$1960,MATCH(300,Engine!$C$2:$C$1960,0)))</f>
        <v/>
      </c>
      <c r="J313" s="8">
        <f>IF(ISNA(MATCH(300,Engine!$C$2:$C$1960,0)),"",INDEX('Compliance Database'!$J$2:$J$1960,MATCH(300,Engine!$C$2:$C$1960,0)))</f>
        <v/>
      </c>
      <c r="K313" s="9">
        <f>IF(ISNA(MATCH(300,Engine!$C$2:$C$1960,0)),"",INDEX('Compliance Database'!$K$2:$K$1960,MATCH(300,Engine!$C$2:$C$1960,0)))</f>
        <v/>
      </c>
      <c r="L313" s="9">
        <f>IF(ISNA(MATCH(300,Engine!$C$2:$C$1960,0)),"",INDEX('Compliance Database'!$L$2:$L$1960,MATCH(300,Engine!$C$2:$C$1960,0)))</f>
        <v/>
      </c>
      <c r="M313" s="9">
        <f>IF(ISNA(MATCH(300,Engine!$C$2:$C$1960,0)),"",INDEX('Compliance Database'!$M$2:$M$1960,MATCH(300,Engine!$C$2:$C$1960,0)))</f>
        <v/>
      </c>
      <c r="N313" s="9">
        <f>IF(ISNA(MATCH(300,Engine!$C$2:$C$1960,0)),"",INDEX('Compliance Database'!$N$2:$N$1960,MATCH(300,Engine!$C$2:$C$1960,0)))</f>
        <v/>
      </c>
      <c r="O313" s="9">
        <f>IF(ISNA(MATCH(300,Engine!$C$2:$C$1960,0)),"",INDEX('Compliance Database'!$O$2:$O$1960,MATCH(300,Engine!$C$2:$C$1960,0)))</f>
        <v/>
      </c>
      <c r="P313" s="8">
        <f>IF(ISNA(MATCH(300,Engine!$C$2:$C$1960,0)),"",HYPERLINK("#Acts!A"&amp;INDEX('Compliance Database'!$P$2:$P$1960,MATCH(300,Engine!$C$2:$C$1960,0)),"Go to Act"))</f>
        <v/>
      </c>
    </row>
    <row r="314" ht="158" customHeight="1">
      <c r="A314" s="8">
        <f>IF(ISNA(MATCH(301,Engine!$C$2:$C$1960,0)),"",INDEX('Compliance Database'!$A$2:$A$1960,MATCH(301,Engine!$C$2:$C$1960,0)))</f>
        <v/>
      </c>
      <c r="B314" s="8">
        <f>IF(ISNA(MATCH(301,Engine!$C$2:$C$1960,0)),"",INDEX('Compliance Database'!$B$2:$B$1960,MATCH(301,Engine!$C$2:$C$1960,0)))</f>
        <v/>
      </c>
      <c r="C314" s="8">
        <f>IF(ISNA(MATCH(301,Engine!$C$2:$C$1960,0)),"",INDEX('Compliance Database'!$C$2:$C$1960,MATCH(301,Engine!$C$2:$C$1960,0)))</f>
        <v/>
      </c>
      <c r="D314" s="9">
        <f>IF(ISNA(MATCH(301,Engine!$C$2:$C$1960,0)),"",INDEX('Compliance Database'!$D$2:$D$1960,MATCH(301,Engine!$C$2:$C$1960,0)))</f>
        <v/>
      </c>
      <c r="E314" s="8">
        <f>IF(ISNA(MATCH(301,Engine!$C$2:$C$1960,0)),"",INDEX('Compliance Database'!$E$2:$E$1960,MATCH(301,Engine!$C$2:$C$1960,0)))</f>
        <v/>
      </c>
      <c r="F314" s="8">
        <f>IF(ISNA(MATCH(301,Engine!$C$2:$C$1960,0)),"",INDEX('Compliance Database'!$F$2:$F$1960,MATCH(301,Engine!$C$2:$C$1960,0)))</f>
        <v/>
      </c>
      <c r="G314" s="8">
        <f>IF(ISNA(MATCH(301,Engine!$C$2:$C$1960,0)),"",INDEX('Compliance Database'!$G$2:$G$1960,MATCH(301,Engine!$C$2:$C$1960,0)))</f>
        <v/>
      </c>
      <c r="H314" s="9">
        <f>IF(ISNA(MATCH(301,Engine!$C$2:$C$1960,0)),"",INDEX('Compliance Database'!$H$2:$H$1960,MATCH(301,Engine!$C$2:$C$1960,0)))</f>
        <v/>
      </c>
      <c r="I314" s="9">
        <f>IF(ISNA(MATCH(301,Engine!$C$2:$C$1960,0)),"",INDEX('Compliance Database'!$I$2:$I$1960,MATCH(301,Engine!$C$2:$C$1960,0)))</f>
        <v/>
      </c>
      <c r="J314" s="8">
        <f>IF(ISNA(MATCH(301,Engine!$C$2:$C$1960,0)),"",INDEX('Compliance Database'!$J$2:$J$1960,MATCH(301,Engine!$C$2:$C$1960,0)))</f>
        <v/>
      </c>
      <c r="K314" s="9">
        <f>IF(ISNA(MATCH(301,Engine!$C$2:$C$1960,0)),"",INDEX('Compliance Database'!$K$2:$K$1960,MATCH(301,Engine!$C$2:$C$1960,0)))</f>
        <v/>
      </c>
      <c r="L314" s="9">
        <f>IF(ISNA(MATCH(301,Engine!$C$2:$C$1960,0)),"",INDEX('Compliance Database'!$L$2:$L$1960,MATCH(301,Engine!$C$2:$C$1960,0)))</f>
        <v/>
      </c>
      <c r="M314" s="9">
        <f>IF(ISNA(MATCH(301,Engine!$C$2:$C$1960,0)),"",INDEX('Compliance Database'!$M$2:$M$1960,MATCH(301,Engine!$C$2:$C$1960,0)))</f>
        <v/>
      </c>
      <c r="N314" s="9">
        <f>IF(ISNA(MATCH(301,Engine!$C$2:$C$1960,0)),"",INDEX('Compliance Database'!$N$2:$N$1960,MATCH(301,Engine!$C$2:$C$1960,0)))</f>
        <v/>
      </c>
      <c r="O314" s="9">
        <f>IF(ISNA(MATCH(301,Engine!$C$2:$C$1960,0)),"",INDEX('Compliance Database'!$O$2:$O$1960,MATCH(301,Engine!$C$2:$C$1960,0)))</f>
        <v/>
      </c>
      <c r="P314" s="8">
        <f>IF(ISNA(MATCH(301,Engine!$C$2:$C$1960,0)),"",HYPERLINK("#Acts!A"&amp;INDEX('Compliance Database'!$P$2:$P$1960,MATCH(301,Engine!$C$2:$C$1960,0)),"Go to Act"))</f>
        <v/>
      </c>
    </row>
    <row r="315" ht="158" customHeight="1">
      <c r="A315" s="8">
        <f>IF(ISNA(MATCH(302,Engine!$C$2:$C$1960,0)),"",INDEX('Compliance Database'!$A$2:$A$1960,MATCH(302,Engine!$C$2:$C$1960,0)))</f>
        <v/>
      </c>
      <c r="B315" s="8">
        <f>IF(ISNA(MATCH(302,Engine!$C$2:$C$1960,0)),"",INDEX('Compliance Database'!$B$2:$B$1960,MATCH(302,Engine!$C$2:$C$1960,0)))</f>
        <v/>
      </c>
      <c r="C315" s="8">
        <f>IF(ISNA(MATCH(302,Engine!$C$2:$C$1960,0)),"",INDEX('Compliance Database'!$C$2:$C$1960,MATCH(302,Engine!$C$2:$C$1960,0)))</f>
        <v/>
      </c>
      <c r="D315" s="9">
        <f>IF(ISNA(MATCH(302,Engine!$C$2:$C$1960,0)),"",INDEX('Compliance Database'!$D$2:$D$1960,MATCH(302,Engine!$C$2:$C$1960,0)))</f>
        <v/>
      </c>
      <c r="E315" s="8">
        <f>IF(ISNA(MATCH(302,Engine!$C$2:$C$1960,0)),"",INDEX('Compliance Database'!$E$2:$E$1960,MATCH(302,Engine!$C$2:$C$1960,0)))</f>
        <v/>
      </c>
      <c r="F315" s="8">
        <f>IF(ISNA(MATCH(302,Engine!$C$2:$C$1960,0)),"",INDEX('Compliance Database'!$F$2:$F$1960,MATCH(302,Engine!$C$2:$C$1960,0)))</f>
        <v/>
      </c>
      <c r="G315" s="8">
        <f>IF(ISNA(MATCH(302,Engine!$C$2:$C$1960,0)),"",INDEX('Compliance Database'!$G$2:$G$1960,MATCH(302,Engine!$C$2:$C$1960,0)))</f>
        <v/>
      </c>
      <c r="H315" s="9">
        <f>IF(ISNA(MATCH(302,Engine!$C$2:$C$1960,0)),"",INDEX('Compliance Database'!$H$2:$H$1960,MATCH(302,Engine!$C$2:$C$1960,0)))</f>
        <v/>
      </c>
      <c r="I315" s="9">
        <f>IF(ISNA(MATCH(302,Engine!$C$2:$C$1960,0)),"",INDEX('Compliance Database'!$I$2:$I$1960,MATCH(302,Engine!$C$2:$C$1960,0)))</f>
        <v/>
      </c>
      <c r="J315" s="8">
        <f>IF(ISNA(MATCH(302,Engine!$C$2:$C$1960,0)),"",INDEX('Compliance Database'!$J$2:$J$1960,MATCH(302,Engine!$C$2:$C$1960,0)))</f>
        <v/>
      </c>
      <c r="K315" s="9">
        <f>IF(ISNA(MATCH(302,Engine!$C$2:$C$1960,0)),"",INDEX('Compliance Database'!$K$2:$K$1960,MATCH(302,Engine!$C$2:$C$1960,0)))</f>
        <v/>
      </c>
      <c r="L315" s="9">
        <f>IF(ISNA(MATCH(302,Engine!$C$2:$C$1960,0)),"",INDEX('Compliance Database'!$L$2:$L$1960,MATCH(302,Engine!$C$2:$C$1960,0)))</f>
        <v/>
      </c>
      <c r="M315" s="9">
        <f>IF(ISNA(MATCH(302,Engine!$C$2:$C$1960,0)),"",INDEX('Compliance Database'!$M$2:$M$1960,MATCH(302,Engine!$C$2:$C$1960,0)))</f>
        <v/>
      </c>
      <c r="N315" s="9">
        <f>IF(ISNA(MATCH(302,Engine!$C$2:$C$1960,0)),"",INDEX('Compliance Database'!$N$2:$N$1960,MATCH(302,Engine!$C$2:$C$1960,0)))</f>
        <v/>
      </c>
      <c r="O315" s="9">
        <f>IF(ISNA(MATCH(302,Engine!$C$2:$C$1960,0)),"",INDEX('Compliance Database'!$O$2:$O$1960,MATCH(302,Engine!$C$2:$C$1960,0)))</f>
        <v/>
      </c>
      <c r="P315" s="8">
        <f>IF(ISNA(MATCH(302,Engine!$C$2:$C$1960,0)),"",HYPERLINK("#Acts!A"&amp;INDEX('Compliance Database'!$P$2:$P$1960,MATCH(302,Engine!$C$2:$C$1960,0)),"Go to Act"))</f>
        <v/>
      </c>
    </row>
    <row r="316" ht="158" customHeight="1">
      <c r="A316" s="8">
        <f>IF(ISNA(MATCH(303,Engine!$C$2:$C$1960,0)),"",INDEX('Compliance Database'!$A$2:$A$1960,MATCH(303,Engine!$C$2:$C$1960,0)))</f>
        <v/>
      </c>
      <c r="B316" s="8">
        <f>IF(ISNA(MATCH(303,Engine!$C$2:$C$1960,0)),"",INDEX('Compliance Database'!$B$2:$B$1960,MATCH(303,Engine!$C$2:$C$1960,0)))</f>
        <v/>
      </c>
      <c r="C316" s="8">
        <f>IF(ISNA(MATCH(303,Engine!$C$2:$C$1960,0)),"",INDEX('Compliance Database'!$C$2:$C$1960,MATCH(303,Engine!$C$2:$C$1960,0)))</f>
        <v/>
      </c>
      <c r="D316" s="9">
        <f>IF(ISNA(MATCH(303,Engine!$C$2:$C$1960,0)),"",INDEX('Compliance Database'!$D$2:$D$1960,MATCH(303,Engine!$C$2:$C$1960,0)))</f>
        <v/>
      </c>
      <c r="E316" s="8">
        <f>IF(ISNA(MATCH(303,Engine!$C$2:$C$1960,0)),"",INDEX('Compliance Database'!$E$2:$E$1960,MATCH(303,Engine!$C$2:$C$1960,0)))</f>
        <v/>
      </c>
      <c r="F316" s="8">
        <f>IF(ISNA(MATCH(303,Engine!$C$2:$C$1960,0)),"",INDEX('Compliance Database'!$F$2:$F$1960,MATCH(303,Engine!$C$2:$C$1960,0)))</f>
        <v/>
      </c>
      <c r="G316" s="8">
        <f>IF(ISNA(MATCH(303,Engine!$C$2:$C$1960,0)),"",INDEX('Compliance Database'!$G$2:$G$1960,MATCH(303,Engine!$C$2:$C$1960,0)))</f>
        <v/>
      </c>
      <c r="H316" s="9">
        <f>IF(ISNA(MATCH(303,Engine!$C$2:$C$1960,0)),"",INDEX('Compliance Database'!$H$2:$H$1960,MATCH(303,Engine!$C$2:$C$1960,0)))</f>
        <v/>
      </c>
      <c r="I316" s="9">
        <f>IF(ISNA(MATCH(303,Engine!$C$2:$C$1960,0)),"",INDEX('Compliance Database'!$I$2:$I$1960,MATCH(303,Engine!$C$2:$C$1960,0)))</f>
        <v/>
      </c>
      <c r="J316" s="8">
        <f>IF(ISNA(MATCH(303,Engine!$C$2:$C$1960,0)),"",INDEX('Compliance Database'!$J$2:$J$1960,MATCH(303,Engine!$C$2:$C$1960,0)))</f>
        <v/>
      </c>
      <c r="K316" s="9">
        <f>IF(ISNA(MATCH(303,Engine!$C$2:$C$1960,0)),"",INDEX('Compliance Database'!$K$2:$K$1960,MATCH(303,Engine!$C$2:$C$1960,0)))</f>
        <v/>
      </c>
      <c r="L316" s="9">
        <f>IF(ISNA(MATCH(303,Engine!$C$2:$C$1960,0)),"",INDEX('Compliance Database'!$L$2:$L$1960,MATCH(303,Engine!$C$2:$C$1960,0)))</f>
        <v/>
      </c>
      <c r="M316" s="9">
        <f>IF(ISNA(MATCH(303,Engine!$C$2:$C$1960,0)),"",INDEX('Compliance Database'!$M$2:$M$1960,MATCH(303,Engine!$C$2:$C$1960,0)))</f>
        <v/>
      </c>
      <c r="N316" s="9">
        <f>IF(ISNA(MATCH(303,Engine!$C$2:$C$1960,0)),"",INDEX('Compliance Database'!$N$2:$N$1960,MATCH(303,Engine!$C$2:$C$1960,0)))</f>
        <v/>
      </c>
      <c r="O316" s="9">
        <f>IF(ISNA(MATCH(303,Engine!$C$2:$C$1960,0)),"",INDEX('Compliance Database'!$O$2:$O$1960,MATCH(303,Engine!$C$2:$C$1960,0)))</f>
        <v/>
      </c>
      <c r="P316" s="8">
        <f>IF(ISNA(MATCH(303,Engine!$C$2:$C$1960,0)),"",HYPERLINK("#Acts!A"&amp;INDEX('Compliance Database'!$P$2:$P$1960,MATCH(303,Engine!$C$2:$C$1960,0)),"Go to Act"))</f>
        <v/>
      </c>
    </row>
    <row r="317" ht="158" customHeight="1">
      <c r="A317" s="8">
        <f>IF(ISNA(MATCH(304,Engine!$C$2:$C$1960,0)),"",INDEX('Compliance Database'!$A$2:$A$1960,MATCH(304,Engine!$C$2:$C$1960,0)))</f>
        <v/>
      </c>
      <c r="B317" s="8">
        <f>IF(ISNA(MATCH(304,Engine!$C$2:$C$1960,0)),"",INDEX('Compliance Database'!$B$2:$B$1960,MATCH(304,Engine!$C$2:$C$1960,0)))</f>
        <v/>
      </c>
      <c r="C317" s="8">
        <f>IF(ISNA(MATCH(304,Engine!$C$2:$C$1960,0)),"",INDEX('Compliance Database'!$C$2:$C$1960,MATCH(304,Engine!$C$2:$C$1960,0)))</f>
        <v/>
      </c>
      <c r="D317" s="9">
        <f>IF(ISNA(MATCH(304,Engine!$C$2:$C$1960,0)),"",INDEX('Compliance Database'!$D$2:$D$1960,MATCH(304,Engine!$C$2:$C$1960,0)))</f>
        <v/>
      </c>
      <c r="E317" s="8">
        <f>IF(ISNA(MATCH(304,Engine!$C$2:$C$1960,0)),"",INDEX('Compliance Database'!$E$2:$E$1960,MATCH(304,Engine!$C$2:$C$1960,0)))</f>
        <v/>
      </c>
      <c r="F317" s="8">
        <f>IF(ISNA(MATCH(304,Engine!$C$2:$C$1960,0)),"",INDEX('Compliance Database'!$F$2:$F$1960,MATCH(304,Engine!$C$2:$C$1960,0)))</f>
        <v/>
      </c>
      <c r="G317" s="8">
        <f>IF(ISNA(MATCH(304,Engine!$C$2:$C$1960,0)),"",INDEX('Compliance Database'!$G$2:$G$1960,MATCH(304,Engine!$C$2:$C$1960,0)))</f>
        <v/>
      </c>
      <c r="H317" s="9">
        <f>IF(ISNA(MATCH(304,Engine!$C$2:$C$1960,0)),"",INDEX('Compliance Database'!$H$2:$H$1960,MATCH(304,Engine!$C$2:$C$1960,0)))</f>
        <v/>
      </c>
      <c r="I317" s="9">
        <f>IF(ISNA(MATCH(304,Engine!$C$2:$C$1960,0)),"",INDEX('Compliance Database'!$I$2:$I$1960,MATCH(304,Engine!$C$2:$C$1960,0)))</f>
        <v/>
      </c>
      <c r="J317" s="8">
        <f>IF(ISNA(MATCH(304,Engine!$C$2:$C$1960,0)),"",INDEX('Compliance Database'!$J$2:$J$1960,MATCH(304,Engine!$C$2:$C$1960,0)))</f>
        <v/>
      </c>
      <c r="K317" s="9">
        <f>IF(ISNA(MATCH(304,Engine!$C$2:$C$1960,0)),"",INDEX('Compliance Database'!$K$2:$K$1960,MATCH(304,Engine!$C$2:$C$1960,0)))</f>
        <v/>
      </c>
      <c r="L317" s="9">
        <f>IF(ISNA(MATCH(304,Engine!$C$2:$C$1960,0)),"",INDEX('Compliance Database'!$L$2:$L$1960,MATCH(304,Engine!$C$2:$C$1960,0)))</f>
        <v/>
      </c>
      <c r="M317" s="9">
        <f>IF(ISNA(MATCH(304,Engine!$C$2:$C$1960,0)),"",INDEX('Compliance Database'!$M$2:$M$1960,MATCH(304,Engine!$C$2:$C$1960,0)))</f>
        <v/>
      </c>
      <c r="N317" s="9">
        <f>IF(ISNA(MATCH(304,Engine!$C$2:$C$1960,0)),"",INDEX('Compliance Database'!$N$2:$N$1960,MATCH(304,Engine!$C$2:$C$1960,0)))</f>
        <v/>
      </c>
      <c r="O317" s="9">
        <f>IF(ISNA(MATCH(304,Engine!$C$2:$C$1960,0)),"",INDEX('Compliance Database'!$O$2:$O$1960,MATCH(304,Engine!$C$2:$C$1960,0)))</f>
        <v/>
      </c>
      <c r="P317" s="8">
        <f>IF(ISNA(MATCH(304,Engine!$C$2:$C$1960,0)),"",HYPERLINK("#Acts!A"&amp;INDEX('Compliance Database'!$P$2:$P$1960,MATCH(304,Engine!$C$2:$C$1960,0)),"Go to Act"))</f>
        <v/>
      </c>
    </row>
    <row r="318" ht="158" customHeight="1">
      <c r="A318" s="8">
        <f>IF(ISNA(MATCH(305,Engine!$C$2:$C$1960,0)),"",INDEX('Compliance Database'!$A$2:$A$1960,MATCH(305,Engine!$C$2:$C$1960,0)))</f>
        <v/>
      </c>
      <c r="B318" s="8">
        <f>IF(ISNA(MATCH(305,Engine!$C$2:$C$1960,0)),"",INDEX('Compliance Database'!$B$2:$B$1960,MATCH(305,Engine!$C$2:$C$1960,0)))</f>
        <v/>
      </c>
      <c r="C318" s="8">
        <f>IF(ISNA(MATCH(305,Engine!$C$2:$C$1960,0)),"",INDEX('Compliance Database'!$C$2:$C$1960,MATCH(305,Engine!$C$2:$C$1960,0)))</f>
        <v/>
      </c>
      <c r="D318" s="9">
        <f>IF(ISNA(MATCH(305,Engine!$C$2:$C$1960,0)),"",INDEX('Compliance Database'!$D$2:$D$1960,MATCH(305,Engine!$C$2:$C$1960,0)))</f>
        <v/>
      </c>
      <c r="E318" s="8">
        <f>IF(ISNA(MATCH(305,Engine!$C$2:$C$1960,0)),"",INDEX('Compliance Database'!$E$2:$E$1960,MATCH(305,Engine!$C$2:$C$1960,0)))</f>
        <v/>
      </c>
      <c r="F318" s="8">
        <f>IF(ISNA(MATCH(305,Engine!$C$2:$C$1960,0)),"",INDEX('Compliance Database'!$F$2:$F$1960,MATCH(305,Engine!$C$2:$C$1960,0)))</f>
        <v/>
      </c>
      <c r="G318" s="8">
        <f>IF(ISNA(MATCH(305,Engine!$C$2:$C$1960,0)),"",INDEX('Compliance Database'!$G$2:$G$1960,MATCH(305,Engine!$C$2:$C$1960,0)))</f>
        <v/>
      </c>
      <c r="H318" s="9">
        <f>IF(ISNA(MATCH(305,Engine!$C$2:$C$1960,0)),"",INDEX('Compliance Database'!$H$2:$H$1960,MATCH(305,Engine!$C$2:$C$1960,0)))</f>
        <v/>
      </c>
      <c r="I318" s="9">
        <f>IF(ISNA(MATCH(305,Engine!$C$2:$C$1960,0)),"",INDEX('Compliance Database'!$I$2:$I$1960,MATCH(305,Engine!$C$2:$C$1960,0)))</f>
        <v/>
      </c>
      <c r="J318" s="8">
        <f>IF(ISNA(MATCH(305,Engine!$C$2:$C$1960,0)),"",INDEX('Compliance Database'!$J$2:$J$1960,MATCH(305,Engine!$C$2:$C$1960,0)))</f>
        <v/>
      </c>
      <c r="K318" s="9">
        <f>IF(ISNA(MATCH(305,Engine!$C$2:$C$1960,0)),"",INDEX('Compliance Database'!$K$2:$K$1960,MATCH(305,Engine!$C$2:$C$1960,0)))</f>
        <v/>
      </c>
      <c r="L318" s="9">
        <f>IF(ISNA(MATCH(305,Engine!$C$2:$C$1960,0)),"",INDEX('Compliance Database'!$L$2:$L$1960,MATCH(305,Engine!$C$2:$C$1960,0)))</f>
        <v/>
      </c>
      <c r="M318" s="9">
        <f>IF(ISNA(MATCH(305,Engine!$C$2:$C$1960,0)),"",INDEX('Compliance Database'!$M$2:$M$1960,MATCH(305,Engine!$C$2:$C$1960,0)))</f>
        <v/>
      </c>
      <c r="N318" s="9">
        <f>IF(ISNA(MATCH(305,Engine!$C$2:$C$1960,0)),"",INDEX('Compliance Database'!$N$2:$N$1960,MATCH(305,Engine!$C$2:$C$1960,0)))</f>
        <v/>
      </c>
      <c r="O318" s="9">
        <f>IF(ISNA(MATCH(305,Engine!$C$2:$C$1960,0)),"",INDEX('Compliance Database'!$O$2:$O$1960,MATCH(305,Engine!$C$2:$C$1960,0)))</f>
        <v/>
      </c>
      <c r="P318" s="8">
        <f>IF(ISNA(MATCH(305,Engine!$C$2:$C$1960,0)),"",HYPERLINK("#Acts!A"&amp;INDEX('Compliance Database'!$P$2:$P$1960,MATCH(305,Engine!$C$2:$C$1960,0)),"Go to Act"))</f>
        <v/>
      </c>
    </row>
    <row r="319" ht="158" customHeight="1">
      <c r="A319" s="8">
        <f>IF(ISNA(MATCH(306,Engine!$C$2:$C$1960,0)),"",INDEX('Compliance Database'!$A$2:$A$1960,MATCH(306,Engine!$C$2:$C$1960,0)))</f>
        <v/>
      </c>
      <c r="B319" s="8">
        <f>IF(ISNA(MATCH(306,Engine!$C$2:$C$1960,0)),"",INDEX('Compliance Database'!$B$2:$B$1960,MATCH(306,Engine!$C$2:$C$1960,0)))</f>
        <v/>
      </c>
      <c r="C319" s="8">
        <f>IF(ISNA(MATCH(306,Engine!$C$2:$C$1960,0)),"",INDEX('Compliance Database'!$C$2:$C$1960,MATCH(306,Engine!$C$2:$C$1960,0)))</f>
        <v/>
      </c>
      <c r="D319" s="9">
        <f>IF(ISNA(MATCH(306,Engine!$C$2:$C$1960,0)),"",INDEX('Compliance Database'!$D$2:$D$1960,MATCH(306,Engine!$C$2:$C$1960,0)))</f>
        <v/>
      </c>
      <c r="E319" s="8">
        <f>IF(ISNA(MATCH(306,Engine!$C$2:$C$1960,0)),"",INDEX('Compliance Database'!$E$2:$E$1960,MATCH(306,Engine!$C$2:$C$1960,0)))</f>
        <v/>
      </c>
      <c r="F319" s="8">
        <f>IF(ISNA(MATCH(306,Engine!$C$2:$C$1960,0)),"",INDEX('Compliance Database'!$F$2:$F$1960,MATCH(306,Engine!$C$2:$C$1960,0)))</f>
        <v/>
      </c>
      <c r="G319" s="8">
        <f>IF(ISNA(MATCH(306,Engine!$C$2:$C$1960,0)),"",INDEX('Compliance Database'!$G$2:$G$1960,MATCH(306,Engine!$C$2:$C$1960,0)))</f>
        <v/>
      </c>
      <c r="H319" s="9">
        <f>IF(ISNA(MATCH(306,Engine!$C$2:$C$1960,0)),"",INDEX('Compliance Database'!$H$2:$H$1960,MATCH(306,Engine!$C$2:$C$1960,0)))</f>
        <v/>
      </c>
      <c r="I319" s="9">
        <f>IF(ISNA(MATCH(306,Engine!$C$2:$C$1960,0)),"",INDEX('Compliance Database'!$I$2:$I$1960,MATCH(306,Engine!$C$2:$C$1960,0)))</f>
        <v/>
      </c>
      <c r="J319" s="8">
        <f>IF(ISNA(MATCH(306,Engine!$C$2:$C$1960,0)),"",INDEX('Compliance Database'!$J$2:$J$1960,MATCH(306,Engine!$C$2:$C$1960,0)))</f>
        <v/>
      </c>
      <c r="K319" s="9">
        <f>IF(ISNA(MATCH(306,Engine!$C$2:$C$1960,0)),"",INDEX('Compliance Database'!$K$2:$K$1960,MATCH(306,Engine!$C$2:$C$1960,0)))</f>
        <v/>
      </c>
      <c r="L319" s="9">
        <f>IF(ISNA(MATCH(306,Engine!$C$2:$C$1960,0)),"",INDEX('Compliance Database'!$L$2:$L$1960,MATCH(306,Engine!$C$2:$C$1960,0)))</f>
        <v/>
      </c>
      <c r="M319" s="9">
        <f>IF(ISNA(MATCH(306,Engine!$C$2:$C$1960,0)),"",INDEX('Compliance Database'!$M$2:$M$1960,MATCH(306,Engine!$C$2:$C$1960,0)))</f>
        <v/>
      </c>
      <c r="N319" s="9">
        <f>IF(ISNA(MATCH(306,Engine!$C$2:$C$1960,0)),"",INDEX('Compliance Database'!$N$2:$N$1960,MATCH(306,Engine!$C$2:$C$1960,0)))</f>
        <v/>
      </c>
      <c r="O319" s="9">
        <f>IF(ISNA(MATCH(306,Engine!$C$2:$C$1960,0)),"",INDEX('Compliance Database'!$O$2:$O$1960,MATCH(306,Engine!$C$2:$C$1960,0)))</f>
        <v/>
      </c>
      <c r="P319" s="8">
        <f>IF(ISNA(MATCH(306,Engine!$C$2:$C$1960,0)),"",HYPERLINK("#Acts!A"&amp;INDEX('Compliance Database'!$P$2:$P$1960,MATCH(306,Engine!$C$2:$C$1960,0)),"Go to Act"))</f>
        <v/>
      </c>
    </row>
    <row r="320" ht="158" customHeight="1">
      <c r="A320" s="8">
        <f>IF(ISNA(MATCH(307,Engine!$C$2:$C$1960,0)),"",INDEX('Compliance Database'!$A$2:$A$1960,MATCH(307,Engine!$C$2:$C$1960,0)))</f>
        <v/>
      </c>
      <c r="B320" s="8">
        <f>IF(ISNA(MATCH(307,Engine!$C$2:$C$1960,0)),"",INDEX('Compliance Database'!$B$2:$B$1960,MATCH(307,Engine!$C$2:$C$1960,0)))</f>
        <v/>
      </c>
      <c r="C320" s="8">
        <f>IF(ISNA(MATCH(307,Engine!$C$2:$C$1960,0)),"",INDEX('Compliance Database'!$C$2:$C$1960,MATCH(307,Engine!$C$2:$C$1960,0)))</f>
        <v/>
      </c>
      <c r="D320" s="9">
        <f>IF(ISNA(MATCH(307,Engine!$C$2:$C$1960,0)),"",INDEX('Compliance Database'!$D$2:$D$1960,MATCH(307,Engine!$C$2:$C$1960,0)))</f>
        <v/>
      </c>
      <c r="E320" s="8">
        <f>IF(ISNA(MATCH(307,Engine!$C$2:$C$1960,0)),"",INDEX('Compliance Database'!$E$2:$E$1960,MATCH(307,Engine!$C$2:$C$1960,0)))</f>
        <v/>
      </c>
      <c r="F320" s="8">
        <f>IF(ISNA(MATCH(307,Engine!$C$2:$C$1960,0)),"",INDEX('Compliance Database'!$F$2:$F$1960,MATCH(307,Engine!$C$2:$C$1960,0)))</f>
        <v/>
      </c>
      <c r="G320" s="8">
        <f>IF(ISNA(MATCH(307,Engine!$C$2:$C$1960,0)),"",INDEX('Compliance Database'!$G$2:$G$1960,MATCH(307,Engine!$C$2:$C$1960,0)))</f>
        <v/>
      </c>
      <c r="H320" s="9">
        <f>IF(ISNA(MATCH(307,Engine!$C$2:$C$1960,0)),"",INDEX('Compliance Database'!$H$2:$H$1960,MATCH(307,Engine!$C$2:$C$1960,0)))</f>
        <v/>
      </c>
      <c r="I320" s="9">
        <f>IF(ISNA(MATCH(307,Engine!$C$2:$C$1960,0)),"",INDEX('Compliance Database'!$I$2:$I$1960,MATCH(307,Engine!$C$2:$C$1960,0)))</f>
        <v/>
      </c>
      <c r="J320" s="8">
        <f>IF(ISNA(MATCH(307,Engine!$C$2:$C$1960,0)),"",INDEX('Compliance Database'!$J$2:$J$1960,MATCH(307,Engine!$C$2:$C$1960,0)))</f>
        <v/>
      </c>
      <c r="K320" s="9">
        <f>IF(ISNA(MATCH(307,Engine!$C$2:$C$1960,0)),"",INDEX('Compliance Database'!$K$2:$K$1960,MATCH(307,Engine!$C$2:$C$1960,0)))</f>
        <v/>
      </c>
      <c r="L320" s="9">
        <f>IF(ISNA(MATCH(307,Engine!$C$2:$C$1960,0)),"",INDEX('Compliance Database'!$L$2:$L$1960,MATCH(307,Engine!$C$2:$C$1960,0)))</f>
        <v/>
      </c>
      <c r="M320" s="9">
        <f>IF(ISNA(MATCH(307,Engine!$C$2:$C$1960,0)),"",INDEX('Compliance Database'!$M$2:$M$1960,MATCH(307,Engine!$C$2:$C$1960,0)))</f>
        <v/>
      </c>
      <c r="N320" s="9">
        <f>IF(ISNA(MATCH(307,Engine!$C$2:$C$1960,0)),"",INDEX('Compliance Database'!$N$2:$N$1960,MATCH(307,Engine!$C$2:$C$1960,0)))</f>
        <v/>
      </c>
      <c r="O320" s="9">
        <f>IF(ISNA(MATCH(307,Engine!$C$2:$C$1960,0)),"",INDEX('Compliance Database'!$O$2:$O$1960,MATCH(307,Engine!$C$2:$C$1960,0)))</f>
        <v/>
      </c>
      <c r="P320" s="8">
        <f>IF(ISNA(MATCH(307,Engine!$C$2:$C$1960,0)),"",HYPERLINK("#Acts!A"&amp;INDEX('Compliance Database'!$P$2:$P$1960,MATCH(307,Engine!$C$2:$C$1960,0)),"Go to Act"))</f>
        <v/>
      </c>
    </row>
    <row r="321" ht="158" customHeight="1">
      <c r="A321" s="8">
        <f>IF(ISNA(MATCH(308,Engine!$C$2:$C$1960,0)),"",INDEX('Compliance Database'!$A$2:$A$1960,MATCH(308,Engine!$C$2:$C$1960,0)))</f>
        <v/>
      </c>
      <c r="B321" s="8">
        <f>IF(ISNA(MATCH(308,Engine!$C$2:$C$1960,0)),"",INDEX('Compliance Database'!$B$2:$B$1960,MATCH(308,Engine!$C$2:$C$1960,0)))</f>
        <v/>
      </c>
      <c r="C321" s="8">
        <f>IF(ISNA(MATCH(308,Engine!$C$2:$C$1960,0)),"",INDEX('Compliance Database'!$C$2:$C$1960,MATCH(308,Engine!$C$2:$C$1960,0)))</f>
        <v/>
      </c>
      <c r="D321" s="9">
        <f>IF(ISNA(MATCH(308,Engine!$C$2:$C$1960,0)),"",INDEX('Compliance Database'!$D$2:$D$1960,MATCH(308,Engine!$C$2:$C$1960,0)))</f>
        <v/>
      </c>
      <c r="E321" s="8">
        <f>IF(ISNA(MATCH(308,Engine!$C$2:$C$1960,0)),"",INDEX('Compliance Database'!$E$2:$E$1960,MATCH(308,Engine!$C$2:$C$1960,0)))</f>
        <v/>
      </c>
      <c r="F321" s="8">
        <f>IF(ISNA(MATCH(308,Engine!$C$2:$C$1960,0)),"",INDEX('Compliance Database'!$F$2:$F$1960,MATCH(308,Engine!$C$2:$C$1960,0)))</f>
        <v/>
      </c>
      <c r="G321" s="8">
        <f>IF(ISNA(MATCH(308,Engine!$C$2:$C$1960,0)),"",INDEX('Compliance Database'!$G$2:$G$1960,MATCH(308,Engine!$C$2:$C$1960,0)))</f>
        <v/>
      </c>
      <c r="H321" s="9">
        <f>IF(ISNA(MATCH(308,Engine!$C$2:$C$1960,0)),"",INDEX('Compliance Database'!$H$2:$H$1960,MATCH(308,Engine!$C$2:$C$1960,0)))</f>
        <v/>
      </c>
      <c r="I321" s="9">
        <f>IF(ISNA(MATCH(308,Engine!$C$2:$C$1960,0)),"",INDEX('Compliance Database'!$I$2:$I$1960,MATCH(308,Engine!$C$2:$C$1960,0)))</f>
        <v/>
      </c>
      <c r="J321" s="8">
        <f>IF(ISNA(MATCH(308,Engine!$C$2:$C$1960,0)),"",INDEX('Compliance Database'!$J$2:$J$1960,MATCH(308,Engine!$C$2:$C$1960,0)))</f>
        <v/>
      </c>
      <c r="K321" s="9">
        <f>IF(ISNA(MATCH(308,Engine!$C$2:$C$1960,0)),"",INDEX('Compliance Database'!$K$2:$K$1960,MATCH(308,Engine!$C$2:$C$1960,0)))</f>
        <v/>
      </c>
      <c r="L321" s="9">
        <f>IF(ISNA(MATCH(308,Engine!$C$2:$C$1960,0)),"",INDEX('Compliance Database'!$L$2:$L$1960,MATCH(308,Engine!$C$2:$C$1960,0)))</f>
        <v/>
      </c>
      <c r="M321" s="9">
        <f>IF(ISNA(MATCH(308,Engine!$C$2:$C$1960,0)),"",INDEX('Compliance Database'!$M$2:$M$1960,MATCH(308,Engine!$C$2:$C$1960,0)))</f>
        <v/>
      </c>
      <c r="N321" s="9">
        <f>IF(ISNA(MATCH(308,Engine!$C$2:$C$1960,0)),"",INDEX('Compliance Database'!$N$2:$N$1960,MATCH(308,Engine!$C$2:$C$1960,0)))</f>
        <v/>
      </c>
      <c r="O321" s="9">
        <f>IF(ISNA(MATCH(308,Engine!$C$2:$C$1960,0)),"",INDEX('Compliance Database'!$O$2:$O$1960,MATCH(308,Engine!$C$2:$C$1960,0)))</f>
        <v/>
      </c>
      <c r="P321" s="8">
        <f>IF(ISNA(MATCH(308,Engine!$C$2:$C$1960,0)),"",HYPERLINK("#Acts!A"&amp;INDEX('Compliance Database'!$P$2:$P$1960,MATCH(308,Engine!$C$2:$C$1960,0)),"Go to Act"))</f>
        <v/>
      </c>
    </row>
    <row r="322" ht="158" customHeight="1">
      <c r="A322" s="8">
        <f>IF(ISNA(MATCH(309,Engine!$C$2:$C$1960,0)),"",INDEX('Compliance Database'!$A$2:$A$1960,MATCH(309,Engine!$C$2:$C$1960,0)))</f>
        <v/>
      </c>
      <c r="B322" s="8">
        <f>IF(ISNA(MATCH(309,Engine!$C$2:$C$1960,0)),"",INDEX('Compliance Database'!$B$2:$B$1960,MATCH(309,Engine!$C$2:$C$1960,0)))</f>
        <v/>
      </c>
      <c r="C322" s="8">
        <f>IF(ISNA(MATCH(309,Engine!$C$2:$C$1960,0)),"",INDEX('Compliance Database'!$C$2:$C$1960,MATCH(309,Engine!$C$2:$C$1960,0)))</f>
        <v/>
      </c>
      <c r="D322" s="9">
        <f>IF(ISNA(MATCH(309,Engine!$C$2:$C$1960,0)),"",INDEX('Compliance Database'!$D$2:$D$1960,MATCH(309,Engine!$C$2:$C$1960,0)))</f>
        <v/>
      </c>
      <c r="E322" s="8">
        <f>IF(ISNA(MATCH(309,Engine!$C$2:$C$1960,0)),"",INDEX('Compliance Database'!$E$2:$E$1960,MATCH(309,Engine!$C$2:$C$1960,0)))</f>
        <v/>
      </c>
      <c r="F322" s="8">
        <f>IF(ISNA(MATCH(309,Engine!$C$2:$C$1960,0)),"",INDEX('Compliance Database'!$F$2:$F$1960,MATCH(309,Engine!$C$2:$C$1960,0)))</f>
        <v/>
      </c>
      <c r="G322" s="8">
        <f>IF(ISNA(MATCH(309,Engine!$C$2:$C$1960,0)),"",INDEX('Compliance Database'!$G$2:$G$1960,MATCH(309,Engine!$C$2:$C$1960,0)))</f>
        <v/>
      </c>
      <c r="H322" s="9">
        <f>IF(ISNA(MATCH(309,Engine!$C$2:$C$1960,0)),"",INDEX('Compliance Database'!$H$2:$H$1960,MATCH(309,Engine!$C$2:$C$1960,0)))</f>
        <v/>
      </c>
      <c r="I322" s="9">
        <f>IF(ISNA(MATCH(309,Engine!$C$2:$C$1960,0)),"",INDEX('Compliance Database'!$I$2:$I$1960,MATCH(309,Engine!$C$2:$C$1960,0)))</f>
        <v/>
      </c>
      <c r="J322" s="8">
        <f>IF(ISNA(MATCH(309,Engine!$C$2:$C$1960,0)),"",INDEX('Compliance Database'!$J$2:$J$1960,MATCH(309,Engine!$C$2:$C$1960,0)))</f>
        <v/>
      </c>
      <c r="K322" s="9">
        <f>IF(ISNA(MATCH(309,Engine!$C$2:$C$1960,0)),"",INDEX('Compliance Database'!$K$2:$K$1960,MATCH(309,Engine!$C$2:$C$1960,0)))</f>
        <v/>
      </c>
      <c r="L322" s="9">
        <f>IF(ISNA(MATCH(309,Engine!$C$2:$C$1960,0)),"",INDEX('Compliance Database'!$L$2:$L$1960,MATCH(309,Engine!$C$2:$C$1960,0)))</f>
        <v/>
      </c>
      <c r="M322" s="9">
        <f>IF(ISNA(MATCH(309,Engine!$C$2:$C$1960,0)),"",INDEX('Compliance Database'!$M$2:$M$1960,MATCH(309,Engine!$C$2:$C$1960,0)))</f>
        <v/>
      </c>
      <c r="N322" s="9">
        <f>IF(ISNA(MATCH(309,Engine!$C$2:$C$1960,0)),"",INDEX('Compliance Database'!$N$2:$N$1960,MATCH(309,Engine!$C$2:$C$1960,0)))</f>
        <v/>
      </c>
      <c r="O322" s="9">
        <f>IF(ISNA(MATCH(309,Engine!$C$2:$C$1960,0)),"",INDEX('Compliance Database'!$O$2:$O$1960,MATCH(309,Engine!$C$2:$C$1960,0)))</f>
        <v/>
      </c>
      <c r="P322" s="8">
        <f>IF(ISNA(MATCH(309,Engine!$C$2:$C$1960,0)),"",HYPERLINK("#Acts!A"&amp;INDEX('Compliance Database'!$P$2:$P$1960,MATCH(309,Engine!$C$2:$C$1960,0)),"Go to Act"))</f>
        <v/>
      </c>
    </row>
    <row r="323" ht="158" customHeight="1">
      <c r="A323" s="8">
        <f>IF(ISNA(MATCH(310,Engine!$C$2:$C$1960,0)),"",INDEX('Compliance Database'!$A$2:$A$1960,MATCH(310,Engine!$C$2:$C$1960,0)))</f>
        <v/>
      </c>
      <c r="B323" s="8">
        <f>IF(ISNA(MATCH(310,Engine!$C$2:$C$1960,0)),"",INDEX('Compliance Database'!$B$2:$B$1960,MATCH(310,Engine!$C$2:$C$1960,0)))</f>
        <v/>
      </c>
      <c r="C323" s="8">
        <f>IF(ISNA(MATCH(310,Engine!$C$2:$C$1960,0)),"",INDEX('Compliance Database'!$C$2:$C$1960,MATCH(310,Engine!$C$2:$C$1960,0)))</f>
        <v/>
      </c>
      <c r="D323" s="9">
        <f>IF(ISNA(MATCH(310,Engine!$C$2:$C$1960,0)),"",INDEX('Compliance Database'!$D$2:$D$1960,MATCH(310,Engine!$C$2:$C$1960,0)))</f>
        <v/>
      </c>
      <c r="E323" s="8">
        <f>IF(ISNA(MATCH(310,Engine!$C$2:$C$1960,0)),"",INDEX('Compliance Database'!$E$2:$E$1960,MATCH(310,Engine!$C$2:$C$1960,0)))</f>
        <v/>
      </c>
      <c r="F323" s="8">
        <f>IF(ISNA(MATCH(310,Engine!$C$2:$C$1960,0)),"",INDEX('Compliance Database'!$F$2:$F$1960,MATCH(310,Engine!$C$2:$C$1960,0)))</f>
        <v/>
      </c>
      <c r="G323" s="8">
        <f>IF(ISNA(MATCH(310,Engine!$C$2:$C$1960,0)),"",INDEX('Compliance Database'!$G$2:$G$1960,MATCH(310,Engine!$C$2:$C$1960,0)))</f>
        <v/>
      </c>
      <c r="H323" s="9">
        <f>IF(ISNA(MATCH(310,Engine!$C$2:$C$1960,0)),"",INDEX('Compliance Database'!$H$2:$H$1960,MATCH(310,Engine!$C$2:$C$1960,0)))</f>
        <v/>
      </c>
      <c r="I323" s="9">
        <f>IF(ISNA(MATCH(310,Engine!$C$2:$C$1960,0)),"",INDEX('Compliance Database'!$I$2:$I$1960,MATCH(310,Engine!$C$2:$C$1960,0)))</f>
        <v/>
      </c>
      <c r="J323" s="8">
        <f>IF(ISNA(MATCH(310,Engine!$C$2:$C$1960,0)),"",INDEX('Compliance Database'!$J$2:$J$1960,MATCH(310,Engine!$C$2:$C$1960,0)))</f>
        <v/>
      </c>
      <c r="K323" s="9">
        <f>IF(ISNA(MATCH(310,Engine!$C$2:$C$1960,0)),"",INDEX('Compliance Database'!$K$2:$K$1960,MATCH(310,Engine!$C$2:$C$1960,0)))</f>
        <v/>
      </c>
      <c r="L323" s="9">
        <f>IF(ISNA(MATCH(310,Engine!$C$2:$C$1960,0)),"",INDEX('Compliance Database'!$L$2:$L$1960,MATCH(310,Engine!$C$2:$C$1960,0)))</f>
        <v/>
      </c>
      <c r="M323" s="9">
        <f>IF(ISNA(MATCH(310,Engine!$C$2:$C$1960,0)),"",INDEX('Compliance Database'!$M$2:$M$1960,MATCH(310,Engine!$C$2:$C$1960,0)))</f>
        <v/>
      </c>
      <c r="N323" s="9">
        <f>IF(ISNA(MATCH(310,Engine!$C$2:$C$1960,0)),"",INDEX('Compliance Database'!$N$2:$N$1960,MATCH(310,Engine!$C$2:$C$1960,0)))</f>
        <v/>
      </c>
      <c r="O323" s="9">
        <f>IF(ISNA(MATCH(310,Engine!$C$2:$C$1960,0)),"",INDEX('Compliance Database'!$O$2:$O$1960,MATCH(310,Engine!$C$2:$C$1960,0)))</f>
        <v/>
      </c>
      <c r="P323" s="8">
        <f>IF(ISNA(MATCH(310,Engine!$C$2:$C$1960,0)),"",HYPERLINK("#Acts!A"&amp;INDEX('Compliance Database'!$P$2:$P$1960,MATCH(310,Engine!$C$2:$C$1960,0)),"Go to Act"))</f>
        <v/>
      </c>
    </row>
    <row r="324" ht="158" customHeight="1">
      <c r="A324" s="8">
        <f>IF(ISNA(MATCH(311,Engine!$C$2:$C$1960,0)),"",INDEX('Compliance Database'!$A$2:$A$1960,MATCH(311,Engine!$C$2:$C$1960,0)))</f>
        <v/>
      </c>
      <c r="B324" s="8">
        <f>IF(ISNA(MATCH(311,Engine!$C$2:$C$1960,0)),"",INDEX('Compliance Database'!$B$2:$B$1960,MATCH(311,Engine!$C$2:$C$1960,0)))</f>
        <v/>
      </c>
      <c r="C324" s="8">
        <f>IF(ISNA(MATCH(311,Engine!$C$2:$C$1960,0)),"",INDEX('Compliance Database'!$C$2:$C$1960,MATCH(311,Engine!$C$2:$C$1960,0)))</f>
        <v/>
      </c>
      <c r="D324" s="9">
        <f>IF(ISNA(MATCH(311,Engine!$C$2:$C$1960,0)),"",INDEX('Compliance Database'!$D$2:$D$1960,MATCH(311,Engine!$C$2:$C$1960,0)))</f>
        <v/>
      </c>
      <c r="E324" s="8">
        <f>IF(ISNA(MATCH(311,Engine!$C$2:$C$1960,0)),"",INDEX('Compliance Database'!$E$2:$E$1960,MATCH(311,Engine!$C$2:$C$1960,0)))</f>
        <v/>
      </c>
      <c r="F324" s="8">
        <f>IF(ISNA(MATCH(311,Engine!$C$2:$C$1960,0)),"",INDEX('Compliance Database'!$F$2:$F$1960,MATCH(311,Engine!$C$2:$C$1960,0)))</f>
        <v/>
      </c>
      <c r="G324" s="8">
        <f>IF(ISNA(MATCH(311,Engine!$C$2:$C$1960,0)),"",INDEX('Compliance Database'!$G$2:$G$1960,MATCH(311,Engine!$C$2:$C$1960,0)))</f>
        <v/>
      </c>
      <c r="H324" s="9">
        <f>IF(ISNA(MATCH(311,Engine!$C$2:$C$1960,0)),"",INDEX('Compliance Database'!$H$2:$H$1960,MATCH(311,Engine!$C$2:$C$1960,0)))</f>
        <v/>
      </c>
      <c r="I324" s="9">
        <f>IF(ISNA(MATCH(311,Engine!$C$2:$C$1960,0)),"",INDEX('Compliance Database'!$I$2:$I$1960,MATCH(311,Engine!$C$2:$C$1960,0)))</f>
        <v/>
      </c>
      <c r="J324" s="8">
        <f>IF(ISNA(MATCH(311,Engine!$C$2:$C$1960,0)),"",INDEX('Compliance Database'!$J$2:$J$1960,MATCH(311,Engine!$C$2:$C$1960,0)))</f>
        <v/>
      </c>
      <c r="K324" s="9">
        <f>IF(ISNA(MATCH(311,Engine!$C$2:$C$1960,0)),"",INDEX('Compliance Database'!$K$2:$K$1960,MATCH(311,Engine!$C$2:$C$1960,0)))</f>
        <v/>
      </c>
      <c r="L324" s="9">
        <f>IF(ISNA(MATCH(311,Engine!$C$2:$C$1960,0)),"",INDEX('Compliance Database'!$L$2:$L$1960,MATCH(311,Engine!$C$2:$C$1960,0)))</f>
        <v/>
      </c>
      <c r="M324" s="9">
        <f>IF(ISNA(MATCH(311,Engine!$C$2:$C$1960,0)),"",INDEX('Compliance Database'!$M$2:$M$1960,MATCH(311,Engine!$C$2:$C$1960,0)))</f>
        <v/>
      </c>
      <c r="N324" s="9">
        <f>IF(ISNA(MATCH(311,Engine!$C$2:$C$1960,0)),"",INDEX('Compliance Database'!$N$2:$N$1960,MATCH(311,Engine!$C$2:$C$1960,0)))</f>
        <v/>
      </c>
      <c r="O324" s="9">
        <f>IF(ISNA(MATCH(311,Engine!$C$2:$C$1960,0)),"",INDEX('Compliance Database'!$O$2:$O$1960,MATCH(311,Engine!$C$2:$C$1960,0)))</f>
        <v/>
      </c>
      <c r="P324" s="8">
        <f>IF(ISNA(MATCH(311,Engine!$C$2:$C$1960,0)),"",HYPERLINK("#Acts!A"&amp;INDEX('Compliance Database'!$P$2:$P$1960,MATCH(311,Engine!$C$2:$C$1960,0)),"Go to Act"))</f>
        <v/>
      </c>
    </row>
    <row r="325" ht="158" customHeight="1">
      <c r="A325" s="8">
        <f>IF(ISNA(MATCH(312,Engine!$C$2:$C$1960,0)),"",INDEX('Compliance Database'!$A$2:$A$1960,MATCH(312,Engine!$C$2:$C$1960,0)))</f>
        <v/>
      </c>
      <c r="B325" s="8">
        <f>IF(ISNA(MATCH(312,Engine!$C$2:$C$1960,0)),"",INDEX('Compliance Database'!$B$2:$B$1960,MATCH(312,Engine!$C$2:$C$1960,0)))</f>
        <v/>
      </c>
      <c r="C325" s="8">
        <f>IF(ISNA(MATCH(312,Engine!$C$2:$C$1960,0)),"",INDEX('Compliance Database'!$C$2:$C$1960,MATCH(312,Engine!$C$2:$C$1960,0)))</f>
        <v/>
      </c>
      <c r="D325" s="9">
        <f>IF(ISNA(MATCH(312,Engine!$C$2:$C$1960,0)),"",INDEX('Compliance Database'!$D$2:$D$1960,MATCH(312,Engine!$C$2:$C$1960,0)))</f>
        <v/>
      </c>
      <c r="E325" s="8">
        <f>IF(ISNA(MATCH(312,Engine!$C$2:$C$1960,0)),"",INDEX('Compliance Database'!$E$2:$E$1960,MATCH(312,Engine!$C$2:$C$1960,0)))</f>
        <v/>
      </c>
      <c r="F325" s="8">
        <f>IF(ISNA(MATCH(312,Engine!$C$2:$C$1960,0)),"",INDEX('Compliance Database'!$F$2:$F$1960,MATCH(312,Engine!$C$2:$C$1960,0)))</f>
        <v/>
      </c>
      <c r="G325" s="8">
        <f>IF(ISNA(MATCH(312,Engine!$C$2:$C$1960,0)),"",INDEX('Compliance Database'!$G$2:$G$1960,MATCH(312,Engine!$C$2:$C$1960,0)))</f>
        <v/>
      </c>
      <c r="H325" s="9">
        <f>IF(ISNA(MATCH(312,Engine!$C$2:$C$1960,0)),"",INDEX('Compliance Database'!$H$2:$H$1960,MATCH(312,Engine!$C$2:$C$1960,0)))</f>
        <v/>
      </c>
      <c r="I325" s="9">
        <f>IF(ISNA(MATCH(312,Engine!$C$2:$C$1960,0)),"",INDEX('Compliance Database'!$I$2:$I$1960,MATCH(312,Engine!$C$2:$C$1960,0)))</f>
        <v/>
      </c>
      <c r="J325" s="8">
        <f>IF(ISNA(MATCH(312,Engine!$C$2:$C$1960,0)),"",INDEX('Compliance Database'!$J$2:$J$1960,MATCH(312,Engine!$C$2:$C$1960,0)))</f>
        <v/>
      </c>
      <c r="K325" s="9">
        <f>IF(ISNA(MATCH(312,Engine!$C$2:$C$1960,0)),"",INDEX('Compliance Database'!$K$2:$K$1960,MATCH(312,Engine!$C$2:$C$1960,0)))</f>
        <v/>
      </c>
      <c r="L325" s="9">
        <f>IF(ISNA(MATCH(312,Engine!$C$2:$C$1960,0)),"",INDEX('Compliance Database'!$L$2:$L$1960,MATCH(312,Engine!$C$2:$C$1960,0)))</f>
        <v/>
      </c>
      <c r="M325" s="9">
        <f>IF(ISNA(MATCH(312,Engine!$C$2:$C$1960,0)),"",INDEX('Compliance Database'!$M$2:$M$1960,MATCH(312,Engine!$C$2:$C$1960,0)))</f>
        <v/>
      </c>
      <c r="N325" s="9">
        <f>IF(ISNA(MATCH(312,Engine!$C$2:$C$1960,0)),"",INDEX('Compliance Database'!$N$2:$N$1960,MATCH(312,Engine!$C$2:$C$1960,0)))</f>
        <v/>
      </c>
      <c r="O325" s="9">
        <f>IF(ISNA(MATCH(312,Engine!$C$2:$C$1960,0)),"",INDEX('Compliance Database'!$O$2:$O$1960,MATCH(312,Engine!$C$2:$C$1960,0)))</f>
        <v/>
      </c>
      <c r="P325" s="8">
        <f>IF(ISNA(MATCH(312,Engine!$C$2:$C$1960,0)),"",HYPERLINK("#Acts!A"&amp;INDEX('Compliance Database'!$P$2:$P$1960,MATCH(312,Engine!$C$2:$C$1960,0)),"Go to Act"))</f>
        <v/>
      </c>
    </row>
    <row r="326" ht="158" customHeight="1">
      <c r="A326" s="8">
        <f>IF(ISNA(MATCH(313,Engine!$C$2:$C$1960,0)),"",INDEX('Compliance Database'!$A$2:$A$1960,MATCH(313,Engine!$C$2:$C$1960,0)))</f>
        <v/>
      </c>
      <c r="B326" s="8">
        <f>IF(ISNA(MATCH(313,Engine!$C$2:$C$1960,0)),"",INDEX('Compliance Database'!$B$2:$B$1960,MATCH(313,Engine!$C$2:$C$1960,0)))</f>
        <v/>
      </c>
      <c r="C326" s="8">
        <f>IF(ISNA(MATCH(313,Engine!$C$2:$C$1960,0)),"",INDEX('Compliance Database'!$C$2:$C$1960,MATCH(313,Engine!$C$2:$C$1960,0)))</f>
        <v/>
      </c>
      <c r="D326" s="9">
        <f>IF(ISNA(MATCH(313,Engine!$C$2:$C$1960,0)),"",INDEX('Compliance Database'!$D$2:$D$1960,MATCH(313,Engine!$C$2:$C$1960,0)))</f>
        <v/>
      </c>
      <c r="E326" s="8">
        <f>IF(ISNA(MATCH(313,Engine!$C$2:$C$1960,0)),"",INDEX('Compliance Database'!$E$2:$E$1960,MATCH(313,Engine!$C$2:$C$1960,0)))</f>
        <v/>
      </c>
      <c r="F326" s="8">
        <f>IF(ISNA(MATCH(313,Engine!$C$2:$C$1960,0)),"",INDEX('Compliance Database'!$F$2:$F$1960,MATCH(313,Engine!$C$2:$C$1960,0)))</f>
        <v/>
      </c>
      <c r="G326" s="8">
        <f>IF(ISNA(MATCH(313,Engine!$C$2:$C$1960,0)),"",INDEX('Compliance Database'!$G$2:$G$1960,MATCH(313,Engine!$C$2:$C$1960,0)))</f>
        <v/>
      </c>
      <c r="H326" s="9">
        <f>IF(ISNA(MATCH(313,Engine!$C$2:$C$1960,0)),"",INDEX('Compliance Database'!$H$2:$H$1960,MATCH(313,Engine!$C$2:$C$1960,0)))</f>
        <v/>
      </c>
      <c r="I326" s="9">
        <f>IF(ISNA(MATCH(313,Engine!$C$2:$C$1960,0)),"",INDEX('Compliance Database'!$I$2:$I$1960,MATCH(313,Engine!$C$2:$C$1960,0)))</f>
        <v/>
      </c>
      <c r="J326" s="8">
        <f>IF(ISNA(MATCH(313,Engine!$C$2:$C$1960,0)),"",INDEX('Compliance Database'!$J$2:$J$1960,MATCH(313,Engine!$C$2:$C$1960,0)))</f>
        <v/>
      </c>
      <c r="K326" s="9">
        <f>IF(ISNA(MATCH(313,Engine!$C$2:$C$1960,0)),"",INDEX('Compliance Database'!$K$2:$K$1960,MATCH(313,Engine!$C$2:$C$1960,0)))</f>
        <v/>
      </c>
      <c r="L326" s="9">
        <f>IF(ISNA(MATCH(313,Engine!$C$2:$C$1960,0)),"",INDEX('Compliance Database'!$L$2:$L$1960,MATCH(313,Engine!$C$2:$C$1960,0)))</f>
        <v/>
      </c>
      <c r="M326" s="9">
        <f>IF(ISNA(MATCH(313,Engine!$C$2:$C$1960,0)),"",INDEX('Compliance Database'!$M$2:$M$1960,MATCH(313,Engine!$C$2:$C$1960,0)))</f>
        <v/>
      </c>
      <c r="N326" s="9">
        <f>IF(ISNA(MATCH(313,Engine!$C$2:$C$1960,0)),"",INDEX('Compliance Database'!$N$2:$N$1960,MATCH(313,Engine!$C$2:$C$1960,0)))</f>
        <v/>
      </c>
      <c r="O326" s="9">
        <f>IF(ISNA(MATCH(313,Engine!$C$2:$C$1960,0)),"",INDEX('Compliance Database'!$O$2:$O$1960,MATCH(313,Engine!$C$2:$C$1960,0)))</f>
        <v/>
      </c>
      <c r="P326" s="8">
        <f>IF(ISNA(MATCH(313,Engine!$C$2:$C$1960,0)),"",HYPERLINK("#Acts!A"&amp;INDEX('Compliance Database'!$P$2:$P$1960,MATCH(313,Engine!$C$2:$C$1960,0)),"Go to Act"))</f>
        <v/>
      </c>
    </row>
    <row r="327" ht="158" customHeight="1">
      <c r="A327" s="8">
        <f>IF(ISNA(MATCH(314,Engine!$C$2:$C$1960,0)),"",INDEX('Compliance Database'!$A$2:$A$1960,MATCH(314,Engine!$C$2:$C$1960,0)))</f>
        <v/>
      </c>
      <c r="B327" s="8">
        <f>IF(ISNA(MATCH(314,Engine!$C$2:$C$1960,0)),"",INDEX('Compliance Database'!$B$2:$B$1960,MATCH(314,Engine!$C$2:$C$1960,0)))</f>
        <v/>
      </c>
      <c r="C327" s="8">
        <f>IF(ISNA(MATCH(314,Engine!$C$2:$C$1960,0)),"",INDEX('Compliance Database'!$C$2:$C$1960,MATCH(314,Engine!$C$2:$C$1960,0)))</f>
        <v/>
      </c>
      <c r="D327" s="9">
        <f>IF(ISNA(MATCH(314,Engine!$C$2:$C$1960,0)),"",INDEX('Compliance Database'!$D$2:$D$1960,MATCH(314,Engine!$C$2:$C$1960,0)))</f>
        <v/>
      </c>
      <c r="E327" s="8">
        <f>IF(ISNA(MATCH(314,Engine!$C$2:$C$1960,0)),"",INDEX('Compliance Database'!$E$2:$E$1960,MATCH(314,Engine!$C$2:$C$1960,0)))</f>
        <v/>
      </c>
      <c r="F327" s="8">
        <f>IF(ISNA(MATCH(314,Engine!$C$2:$C$1960,0)),"",INDEX('Compliance Database'!$F$2:$F$1960,MATCH(314,Engine!$C$2:$C$1960,0)))</f>
        <v/>
      </c>
      <c r="G327" s="8">
        <f>IF(ISNA(MATCH(314,Engine!$C$2:$C$1960,0)),"",INDEX('Compliance Database'!$G$2:$G$1960,MATCH(314,Engine!$C$2:$C$1960,0)))</f>
        <v/>
      </c>
      <c r="H327" s="9">
        <f>IF(ISNA(MATCH(314,Engine!$C$2:$C$1960,0)),"",INDEX('Compliance Database'!$H$2:$H$1960,MATCH(314,Engine!$C$2:$C$1960,0)))</f>
        <v/>
      </c>
      <c r="I327" s="9">
        <f>IF(ISNA(MATCH(314,Engine!$C$2:$C$1960,0)),"",INDEX('Compliance Database'!$I$2:$I$1960,MATCH(314,Engine!$C$2:$C$1960,0)))</f>
        <v/>
      </c>
      <c r="J327" s="8">
        <f>IF(ISNA(MATCH(314,Engine!$C$2:$C$1960,0)),"",INDEX('Compliance Database'!$J$2:$J$1960,MATCH(314,Engine!$C$2:$C$1960,0)))</f>
        <v/>
      </c>
      <c r="K327" s="9">
        <f>IF(ISNA(MATCH(314,Engine!$C$2:$C$1960,0)),"",INDEX('Compliance Database'!$K$2:$K$1960,MATCH(314,Engine!$C$2:$C$1960,0)))</f>
        <v/>
      </c>
      <c r="L327" s="9">
        <f>IF(ISNA(MATCH(314,Engine!$C$2:$C$1960,0)),"",INDEX('Compliance Database'!$L$2:$L$1960,MATCH(314,Engine!$C$2:$C$1960,0)))</f>
        <v/>
      </c>
      <c r="M327" s="9">
        <f>IF(ISNA(MATCH(314,Engine!$C$2:$C$1960,0)),"",INDEX('Compliance Database'!$M$2:$M$1960,MATCH(314,Engine!$C$2:$C$1960,0)))</f>
        <v/>
      </c>
      <c r="N327" s="9">
        <f>IF(ISNA(MATCH(314,Engine!$C$2:$C$1960,0)),"",INDEX('Compliance Database'!$N$2:$N$1960,MATCH(314,Engine!$C$2:$C$1960,0)))</f>
        <v/>
      </c>
      <c r="O327" s="9">
        <f>IF(ISNA(MATCH(314,Engine!$C$2:$C$1960,0)),"",INDEX('Compliance Database'!$O$2:$O$1960,MATCH(314,Engine!$C$2:$C$1960,0)))</f>
        <v/>
      </c>
      <c r="P327" s="8">
        <f>IF(ISNA(MATCH(314,Engine!$C$2:$C$1960,0)),"",HYPERLINK("#Acts!A"&amp;INDEX('Compliance Database'!$P$2:$P$1960,MATCH(314,Engine!$C$2:$C$1960,0)),"Go to Act"))</f>
        <v/>
      </c>
    </row>
    <row r="328" ht="158" customHeight="1">
      <c r="A328" s="8">
        <f>IF(ISNA(MATCH(315,Engine!$C$2:$C$1960,0)),"",INDEX('Compliance Database'!$A$2:$A$1960,MATCH(315,Engine!$C$2:$C$1960,0)))</f>
        <v/>
      </c>
      <c r="B328" s="8">
        <f>IF(ISNA(MATCH(315,Engine!$C$2:$C$1960,0)),"",INDEX('Compliance Database'!$B$2:$B$1960,MATCH(315,Engine!$C$2:$C$1960,0)))</f>
        <v/>
      </c>
      <c r="C328" s="8">
        <f>IF(ISNA(MATCH(315,Engine!$C$2:$C$1960,0)),"",INDEX('Compliance Database'!$C$2:$C$1960,MATCH(315,Engine!$C$2:$C$1960,0)))</f>
        <v/>
      </c>
      <c r="D328" s="9">
        <f>IF(ISNA(MATCH(315,Engine!$C$2:$C$1960,0)),"",INDEX('Compliance Database'!$D$2:$D$1960,MATCH(315,Engine!$C$2:$C$1960,0)))</f>
        <v/>
      </c>
      <c r="E328" s="8">
        <f>IF(ISNA(MATCH(315,Engine!$C$2:$C$1960,0)),"",INDEX('Compliance Database'!$E$2:$E$1960,MATCH(315,Engine!$C$2:$C$1960,0)))</f>
        <v/>
      </c>
      <c r="F328" s="8">
        <f>IF(ISNA(MATCH(315,Engine!$C$2:$C$1960,0)),"",INDEX('Compliance Database'!$F$2:$F$1960,MATCH(315,Engine!$C$2:$C$1960,0)))</f>
        <v/>
      </c>
      <c r="G328" s="8">
        <f>IF(ISNA(MATCH(315,Engine!$C$2:$C$1960,0)),"",INDEX('Compliance Database'!$G$2:$G$1960,MATCH(315,Engine!$C$2:$C$1960,0)))</f>
        <v/>
      </c>
      <c r="H328" s="9">
        <f>IF(ISNA(MATCH(315,Engine!$C$2:$C$1960,0)),"",INDEX('Compliance Database'!$H$2:$H$1960,MATCH(315,Engine!$C$2:$C$1960,0)))</f>
        <v/>
      </c>
      <c r="I328" s="9">
        <f>IF(ISNA(MATCH(315,Engine!$C$2:$C$1960,0)),"",INDEX('Compliance Database'!$I$2:$I$1960,MATCH(315,Engine!$C$2:$C$1960,0)))</f>
        <v/>
      </c>
      <c r="J328" s="8">
        <f>IF(ISNA(MATCH(315,Engine!$C$2:$C$1960,0)),"",INDEX('Compliance Database'!$J$2:$J$1960,MATCH(315,Engine!$C$2:$C$1960,0)))</f>
        <v/>
      </c>
      <c r="K328" s="9">
        <f>IF(ISNA(MATCH(315,Engine!$C$2:$C$1960,0)),"",INDEX('Compliance Database'!$K$2:$K$1960,MATCH(315,Engine!$C$2:$C$1960,0)))</f>
        <v/>
      </c>
      <c r="L328" s="9">
        <f>IF(ISNA(MATCH(315,Engine!$C$2:$C$1960,0)),"",INDEX('Compliance Database'!$L$2:$L$1960,MATCH(315,Engine!$C$2:$C$1960,0)))</f>
        <v/>
      </c>
      <c r="M328" s="9">
        <f>IF(ISNA(MATCH(315,Engine!$C$2:$C$1960,0)),"",INDEX('Compliance Database'!$M$2:$M$1960,MATCH(315,Engine!$C$2:$C$1960,0)))</f>
        <v/>
      </c>
      <c r="N328" s="9">
        <f>IF(ISNA(MATCH(315,Engine!$C$2:$C$1960,0)),"",INDEX('Compliance Database'!$N$2:$N$1960,MATCH(315,Engine!$C$2:$C$1960,0)))</f>
        <v/>
      </c>
      <c r="O328" s="9">
        <f>IF(ISNA(MATCH(315,Engine!$C$2:$C$1960,0)),"",INDEX('Compliance Database'!$O$2:$O$1960,MATCH(315,Engine!$C$2:$C$1960,0)))</f>
        <v/>
      </c>
      <c r="P328" s="8">
        <f>IF(ISNA(MATCH(315,Engine!$C$2:$C$1960,0)),"",HYPERLINK("#Acts!A"&amp;INDEX('Compliance Database'!$P$2:$P$1960,MATCH(315,Engine!$C$2:$C$1960,0)),"Go to Act"))</f>
        <v/>
      </c>
    </row>
    <row r="329" ht="158" customHeight="1">
      <c r="A329" s="8">
        <f>IF(ISNA(MATCH(316,Engine!$C$2:$C$1960,0)),"",INDEX('Compliance Database'!$A$2:$A$1960,MATCH(316,Engine!$C$2:$C$1960,0)))</f>
        <v/>
      </c>
      <c r="B329" s="8">
        <f>IF(ISNA(MATCH(316,Engine!$C$2:$C$1960,0)),"",INDEX('Compliance Database'!$B$2:$B$1960,MATCH(316,Engine!$C$2:$C$1960,0)))</f>
        <v/>
      </c>
      <c r="C329" s="8">
        <f>IF(ISNA(MATCH(316,Engine!$C$2:$C$1960,0)),"",INDEX('Compliance Database'!$C$2:$C$1960,MATCH(316,Engine!$C$2:$C$1960,0)))</f>
        <v/>
      </c>
      <c r="D329" s="9">
        <f>IF(ISNA(MATCH(316,Engine!$C$2:$C$1960,0)),"",INDEX('Compliance Database'!$D$2:$D$1960,MATCH(316,Engine!$C$2:$C$1960,0)))</f>
        <v/>
      </c>
      <c r="E329" s="8">
        <f>IF(ISNA(MATCH(316,Engine!$C$2:$C$1960,0)),"",INDEX('Compliance Database'!$E$2:$E$1960,MATCH(316,Engine!$C$2:$C$1960,0)))</f>
        <v/>
      </c>
      <c r="F329" s="8">
        <f>IF(ISNA(MATCH(316,Engine!$C$2:$C$1960,0)),"",INDEX('Compliance Database'!$F$2:$F$1960,MATCH(316,Engine!$C$2:$C$1960,0)))</f>
        <v/>
      </c>
      <c r="G329" s="8">
        <f>IF(ISNA(MATCH(316,Engine!$C$2:$C$1960,0)),"",INDEX('Compliance Database'!$G$2:$G$1960,MATCH(316,Engine!$C$2:$C$1960,0)))</f>
        <v/>
      </c>
      <c r="H329" s="9">
        <f>IF(ISNA(MATCH(316,Engine!$C$2:$C$1960,0)),"",INDEX('Compliance Database'!$H$2:$H$1960,MATCH(316,Engine!$C$2:$C$1960,0)))</f>
        <v/>
      </c>
      <c r="I329" s="9">
        <f>IF(ISNA(MATCH(316,Engine!$C$2:$C$1960,0)),"",INDEX('Compliance Database'!$I$2:$I$1960,MATCH(316,Engine!$C$2:$C$1960,0)))</f>
        <v/>
      </c>
      <c r="J329" s="8">
        <f>IF(ISNA(MATCH(316,Engine!$C$2:$C$1960,0)),"",INDEX('Compliance Database'!$J$2:$J$1960,MATCH(316,Engine!$C$2:$C$1960,0)))</f>
        <v/>
      </c>
      <c r="K329" s="9">
        <f>IF(ISNA(MATCH(316,Engine!$C$2:$C$1960,0)),"",INDEX('Compliance Database'!$K$2:$K$1960,MATCH(316,Engine!$C$2:$C$1960,0)))</f>
        <v/>
      </c>
      <c r="L329" s="9">
        <f>IF(ISNA(MATCH(316,Engine!$C$2:$C$1960,0)),"",INDEX('Compliance Database'!$L$2:$L$1960,MATCH(316,Engine!$C$2:$C$1960,0)))</f>
        <v/>
      </c>
      <c r="M329" s="9">
        <f>IF(ISNA(MATCH(316,Engine!$C$2:$C$1960,0)),"",INDEX('Compliance Database'!$M$2:$M$1960,MATCH(316,Engine!$C$2:$C$1960,0)))</f>
        <v/>
      </c>
      <c r="N329" s="9">
        <f>IF(ISNA(MATCH(316,Engine!$C$2:$C$1960,0)),"",INDEX('Compliance Database'!$N$2:$N$1960,MATCH(316,Engine!$C$2:$C$1960,0)))</f>
        <v/>
      </c>
      <c r="O329" s="9">
        <f>IF(ISNA(MATCH(316,Engine!$C$2:$C$1960,0)),"",INDEX('Compliance Database'!$O$2:$O$1960,MATCH(316,Engine!$C$2:$C$1960,0)))</f>
        <v/>
      </c>
      <c r="P329" s="8">
        <f>IF(ISNA(MATCH(316,Engine!$C$2:$C$1960,0)),"",HYPERLINK("#Acts!A"&amp;INDEX('Compliance Database'!$P$2:$P$1960,MATCH(316,Engine!$C$2:$C$1960,0)),"Go to Act"))</f>
        <v/>
      </c>
    </row>
    <row r="330" ht="158" customHeight="1">
      <c r="A330" s="8">
        <f>IF(ISNA(MATCH(317,Engine!$C$2:$C$1960,0)),"",INDEX('Compliance Database'!$A$2:$A$1960,MATCH(317,Engine!$C$2:$C$1960,0)))</f>
        <v/>
      </c>
      <c r="B330" s="8">
        <f>IF(ISNA(MATCH(317,Engine!$C$2:$C$1960,0)),"",INDEX('Compliance Database'!$B$2:$B$1960,MATCH(317,Engine!$C$2:$C$1960,0)))</f>
        <v/>
      </c>
      <c r="C330" s="8">
        <f>IF(ISNA(MATCH(317,Engine!$C$2:$C$1960,0)),"",INDEX('Compliance Database'!$C$2:$C$1960,MATCH(317,Engine!$C$2:$C$1960,0)))</f>
        <v/>
      </c>
      <c r="D330" s="9">
        <f>IF(ISNA(MATCH(317,Engine!$C$2:$C$1960,0)),"",INDEX('Compliance Database'!$D$2:$D$1960,MATCH(317,Engine!$C$2:$C$1960,0)))</f>
        <v/>
      </c>
      <c r="E330" s="8">
        <f>IF(ISNA(MATCH(317,Engine!$C$2:$C$1960,0)),"",INDEX('Compliance Database'!$E$2:$E$1960,MATCH(317,Engine!$C$2:$C$1960,0)))</f>
        <v/>
      </c>
      <c r="F330" s="8">
        <f>IF(ISNA(MATCH(317,Engine!$C$2:$C$1960,0)),"",INDEX('Compliance Database'!$F$2:$F$1960,MATCH(317,Engine!$C$2:$C$1960,0)))</f>
        <v/>
      </c>
      <c r="G330" s="8">
        <f>IF(ISNA(MATCH(317,Engine!$C$2:$C$1960,0)),"",INDEX('Compliance Database'!$G$2:$G$1960,MATCH(317,Engine!$C$2:$C$1960,0)))</f>
        <v/>
      </c>
      <c r="H330" s="9">
        <f>IF(ISNA(MATCH(317,Engine!$C$2:$C$1960,0)),"",INDEX('Compliance Database'!$H$2:$H$1960,MATCH(317,Engine!$C$2:$C$1960,0)))</f>
        <v/>
      </c>
      <c r="I330" s="9">
        <f>IF(ISNA(MATCH(317,Engine!$C$2:$C$1960,0)),"",INDEX('Compliance Database'!$I$2:$I$1960,MATCH(317,Engine!$C$2:$C$1960,0)))</f>
        <v/>
      </c>
      <c r="J330" s="8">
        <f>IF(ISNA(MATCH(317,Engine!$C$2:$C$1960,0)),"",INDEX('Compliance Database'!$J$2:$J$1960,MATCH(317,Engine!$C$2:$C$1960,0)))</f>
        <v/>
      </c>
      <c r="K330" s="9">
        <f>IF(ISNA(MATCH(317,Engine!$C$2:$C$1960,0)),"",INDEX('Compliance Database'!$K$2:$K$1960,MATCH(317,Engine!$C$2:$C$1960,0)))</f>
        <v/>
      </c>
      <c r="L330" s="9">
        <f>IF(ISNA(MATCH(317,Engine!$C$2:$C$1960,0)),"",INDEX('Compliance Database'!$L$2:$L$1960,MATCH(317,Engine!$C$2:$C$1960,0)))</f>
        <v/>
      </c>
      <c r="M330" s="9">
        <f>IF(ISNA(MATCH(317,Engine!$C$2:$C$1960,0)),"",INDEX('Compliance Database'!$M$2:$M$1960,MATCH(317,Engine!$C$2:$C$1960,0)))</f>
        <v/>
      </c>
      <c r="N330" s="9">
        <f>IF(ISNA(MATCH(317,Engine!$C$2:$C$1960,0)),"",INDEX('Compliance Database'!$N$2:$N$1960,MATCH(317,Engine!$C$2:$C$1960,0)))</f>
        <v/>
      </c>
      <c r="O330" s="9">
        <f>IF(ISNA(MATCH(317,Engine!$C$2:$C$1960,0)),"",INDEX('Compliance Database'!$O$2:$O$1960,MATCH(317,Engine!$C$2:$C$1960,0)))</f>
        <v/>
      </c>
      <c r="P330" s="8">
        <f>IF(ISNA(MATCH(317,Engine!$C$2:$C$1960,0)),"",HYPERLINK("#Acts!A"&amp;INDEX('Compliance Database'!$P$2:$P$1960,MATCH(317,Engine!$C$2:$C$1960,0)),"Go to Act"))</f>
        <v/>
      </c>
    </row>
    <row r="331" ht="158" customHeight="1">
      <c r="A331" s="8">
        <f>IF(ISNA(MATCH(318,Engine!$C$2:$C$1960,0)),"",INDEX('Compliance Database'!$A$2:$A$1960,MATCH(318,Engine!$C$2:$C$1960,0)))</f>
        <v/>
      </c>
      <c r="B331" s="8">
        <f>IF(ISNA(MATCH(318,Engine!$C$2:$C$1960,0)),"",INDEX('Compliance Database'!$B$2:$B$1960,MATCH(318,Engine!$C$2:$C$1960,0)))</f>
        <v/>
      </c>
      <c r="C331" s="8">
        <f>IF(ISNA(MATCH(318,Engine!$C$2:$C$1960,0)),"",INDEX('Compliance Database'!$C$2:$C$1960,MATCH(318,Engine!$C$2:$C$1960,0)))</f>
        <v/>
      </c>
      <c r="D331" s="9">
        <f>IF(ISNA(MATCH(318,Engine!$C$2:$C$1960,0)),"",INDEX('Compliance Database'!$D$2:$D$1960,MATCH(318,Engine!$C$2:$C$1960,0)))</f>
        <v/>
      </c>
      <c r="E331" s="8">
        <f>IF(ISNA(MATCH(318,Engine!$C$2:$C$1960,0)),"",INDEX('Compliance Database'!$E$2:$E$1960,MATCH(318,Engine!$C$2:$C$1960,0)))</f>
        <v/>
      </c>
      <c r="F331" s="8">
        <f>IF(ISNA(MATCH(318,Engine!$C$2:$C$1960,0)),"",INDEX('Compliance Database'!$F$2:$F$1960,MATCH(318,Engine!$C$2:$C$1960,0)))</f>
        <v/>
      </c>
      <c r="G331" s="8">
        <f>IF(ISNA(MATCH(318,Engine!$C$2:$C$1960,0)),"",INDEX('Compliance Database'!$G$2:$G$1960,MATCH(318,Engine!$C$2:$C$1960,0)))</f>
        <v/>
      </c>
      <c r="H331" s="9">
        <f>IF(ISNA(MATCH(318,Engine!$C$2:$C$1960,0)),"",INDEX('Compliance Database'!$H$2:$H$1960,MATCH(318,Engine!$C$2:$C$1960,0)))</f>
        <v/>
      </c>
      <c r="I331" s="9">
        <f>IF(ISNA(MATCH(318,Engine!$C$2:$C$1960,0)),"",INDEX('Compliance Database'!$I$2:$I$1960,MATCH(318,Engine!$C$2:$C$1960,0)))</f>
        <v/>
      </c>
      <c r="J331" s="8">
        <f>IF(ISNA(MATCH(318,Engine!$C$2:$C$1960,0)),"",INDEX('Compliance Database'!$J$2:$J$1960,MATCH(318,Engine!$C$2:$C$1960,0)))</f>
        <v/>
      </c>
      <c r="K331" s="9">
        <f>IF(ISNA(MATCH(318,Engine!$C$2:$C$1960,0)),"",INDEX('Compliance Database'!$K$2:$K$1960,MATCH(318,Engine!$C$2:$C$1960,0)))</f>
        <v/>
      </c>
      <c r="L331" s="9">
        <f>IF(ISNA(MATCH(318,Engine!$C$2:$C$1960,0)),"",INDEX('Compliance Database'!$L$2:$L$1960,MATCH(318,Engine!$C$2:$C$1960,0)))</f>
        <v/>
      </c>
      <c r="M331" s="9">
        <f>IF(ISNA(MATCH(318,Engine!$C$2:$C$1960,0)),"",INDEX('Compliance Database'!$M$2:$M$1960,MATCH(318,Engine!$C$2:$C$1960,0)))</f>
        <v/>
      </c>
      <c r="N331" s="9">
        <f>IF(ISNA(MATCH(318,Engine!$C$2:$C$1960,0)),"",INDEX('Compliance Database'!$N$2:$N$1960,MATCH(318,Engine!$C$2:$C$1960,0)))</f>
        <v/>
      </c>
      <c r="O331" s="9">
        <f>IF(ISNA(MATCH(318,Engine!$C$2:$C$1960,0)),"",INDEX('Compliance Database'!$O$2:$O$1960,MATCH(318,Engine!$C$2:$C$1960,0)))</f>
        <v/>
      </c>
      <c r="P331" s="8">
        <f>IF(ISNA(MATCH(318,Engine!$C$2:$C$1960,0)),"",HYPERLINK("#Acts!A"&amp;INDEX('Compliance Database'!$P$2:$P$1960,MATCH(318,Engine!$C$2:$C$1960,0)),"Go to Act"))</f>
        <v/>
      </c>
    </row>
    <row r="332" ht="158" customHeight="1">
      <c r="A332" s="8">
        <f>IF(ISNA(MATCH(319,Engine!$C$2:$C$1960,0)),"",INDEX('Compliance Database'!$A$2:$A$1960,MATCH(319,Engine!$C$2:$C$1960,0)))</f>
        <v/>
      </c>
      <c r="B332" s="8">
        <f>IF(ISNA(MATCH(319,Engine!$C$2:$C$1960,0)),"",INDEX('Compliance Database'!$B$2:$B$1960,MATCH(319,Engine!$C$2:$C$1960,0)))</f>
        <v/>
      </c>
      <c r="C332" s="8">
        <f>IF(ISNA(MATCH(319,Engine!$C$2:$C$1960,0)),"",INDEX('Compliance Database'!$C$2:$C$1960,MATCH(319,Engine!$C$2:$C$1960,0)))</f>
        <v/>
      </c>
      <c r="D332" s="9">
        <f>IF(ISNA(MATCH(319,Engine!$C$2:$C$1960,0)),"",INDEX('Compliance Database'!$D$2:$D$1960,MATCH(319,Engine!$C$2:$C$1960,0)))</f>
        <v/>
      </c>
      <c r="E332" s="8">
        <f>IF(ISNA(MATCH(319,Engine!$C$2:$C$1960,0)),"",INDEX('Compliance Database'!$E$2:$E$1960,MATCH(319,Engine!$C$2:$C$1960,0)))</f>
        <v/>
      </c>
      <c r="F332" s="8">
        <f>IF(ISNA(MATCH(319,Engine!$C$2:$C$1960,0)),"",INDEX('Compliance Database'!$F$2:$F$1960,MATCH(319,Engine!$C$2:$C$1960,0)))</f>
        <v/>
      </c>
      <c r="G332" s="8">
        <f>IF(ISNA(MATCH(319,Engine!$C$2:$C$1960,0)),"",INDEX('Compliance Database'!$G$2:$G$1960,MATCH(319,Engine!$C$2:$C$1960,0)))</f>
        <v/>
      </c>
      <c r="H332" s="9">
        <f>IF(ISNA(MATCH(319,Engine!$C$2:$C$1960,0)),"",INDEX('Compliance Database'!$H$2:$H$1960,MATCH(319,Engine!$C$2:$C$1960,0)))</f>
        <v/>
      </c>
      <c r="I332" s="9">
        <f>IF(ISNA(MATCH(319,Engine!$C$2:$C$1960,0)),"",INDEX('Compliance Database'!$I$2:$I$1960,MATCH(319,Engine!$C$2:$C$1960,0)))</f>
        <v/>
      </c>
      <c r="J332" s="8">
        <f>IF(ISNA(MATCH(319,Engine!$C$2:$C$1960,0)),"",INDEX('Compliance Database'!$J$2:$J$1960,MATCH(319,Engine!$C$2:$C$1960,0)))</f>
        <v/>
      </c>
      <c r="K332" s="9">
        <f>IF(ISNA(MATCH(319,Engine!$C$2:$C$1960,0)),"",INDEX('Compliance Database'!$K$2:$K$1960,MATCH(319,Engine!$C$2:$C$1960,0)))</f>
        <v/>
      </c>
      <c r="L332" s="9">
        <f>IF(ISNA(MATCH(319,Engine!$C$2:$C$1960,0)),"",INDEX('Compliance Database'!$L$2:$L$1960,MATCH(319,Engine!$C$2:$C$1960,0)))</f>
        <v/>
      </c>
      <c r="M332" s="9">
        <f>IF(ISNA(MATCH(319,Engine!$C$2:$C$1960,0)),"",INDEX('Compliance Database'!$M$2:$M$1960,MATCH(319,Engine!$C$2:$C$1960,0)))</f>
        <v/>
      </c>
      <c r="N332" s="9">
        <f>IF(ISNA(MATCH(319,Engine!$C$2:$C$1960,0)),"",INDEX('Compliance Database'!$N$2:$N$1960,MATCH(319,Engine!$C$2:$C$1960,0)))</f>
        <v/>
      </c>
      <c r="O332" s="9">
        <f>IF(ISNA(MATCH(319,Engine!$C$2:$C$1960,0)),"",INDEX('Compliance Database'!$O$2:$O$1960,MATCH(319,Engine!$C$2:$C$1960,0)))</f>
        <v/>
      </c>
      <c r="P332" s="8">
        <f>IF(ISNA(MATCH(319,Engine!$C$2:$C$1960,0)),"",HYPERLINK("#Acts!A"&amp;INDEX('Compliance Database'!$P$2:$P$1960,MATCH(319,Engine!$C$2:$C$1960,0)),"Go to Act"))</f>
        <v/>
      </c>
    </row>
    <row r="333" ht="158" customHeight="1">
      <c r="A333" s="8">
        <f>IF(ISNA(MATCH(320,Engine!$C$2:$C$1960,0)),"",INDEX('Compliance Database'!$A$2:$A$1960,MATCH(320,Engine!$C$2:$C$1960,0)))</f>
        <v/>
      </c>
      <c r="B333" s="8">
        <f>IF(ISNA(MATCH(320,Engine!$C$2:$C$1960,0)),"",INDEX('Compliance Database'!$B$2:$B$1960,MATCH(320,Engine!$C$2:$C$1960,0)))</f>
        <v/>
      </c>
      <c r="C333" s="8">
        <f>IF(ISNA(MATCH(320,Engine!$C$2:$C$1960,0)),"",INDEX('Compliance Database'!$C$2:$C$1960,MATCH(320,Engine!$C$2:$C$1960,0)))</f>
        <v/>
      </c>
      <c r="D333" s="9">
        <f>IF(ISNA(MATCH(320,Engine!$C$2:$C$1960,0)),"",INDEX('Compliance Database'!$D$2:$D$1960,MATCH(320,Engine!$C$2:$C$1960,0)))</f>
        <v/>
      </c>
      <c r="E333" s="8">
        <f>IF(ISNA(MATCH(320,Engine!$C$2:$C$1960,0)),"",INDEX('Compliance Database'!$E$2:$E$1960,MATCH(320,Engine!$C$2:$C$1960,0)))</f>
        <v/>
      </c>
      <c r="F333" s="8">
        <f>IF(ISNA(MATCH(320,Engine!$C$2:$C$1960,0)),"",INDEX('Compliance Database'!$F$2:$F$1960,MATCH(320,Engine!$C$2:$C$1960,0)))</f>
        <v/>
      </c>
      <c r="G333" s="8">
        <f>IF(ISNA(MATCH(320,Engine!$C$2:$C$1960,0)),"",INDEX('Compliance Database'!$G$2:$G$1960,MATCH(320,Engine!$C$2:$C$1960,0)))</f>
        <v/>
      </c>
      <c r="H333" s="9">
        <f>IF(ISNA(MATCH(320,Engine!$C$2:$C$1960,0)),"",INDEX('Compliance Database'!$H$2:$H$1960,MATCH(320,Engine!$C$2:$C$1960,0)))</f>
        <v/>
      </c>
      <c r="I333" s="9">
        <f>IF(ISNA(MATCH(320,Engine!$C$2:$C$1960,0)),"",INDEX('Compliance Database'!$I$2:$I$1960,MATCH(320,Engine!$C$2:$C$1960,0)))</f>
        <v/>
      </c>
      <c r="J333" s="8">
        <f>IF(ISNA(MATCH(320,Engine!$C$2:$C$1960,0)),"",INDEX('Compliance Database'!$J$2:$J$1960,MATCH(320,Engine!$C$2:$C$1960,0)))</f>
        <v/>
      </c>
      <c r="K333" s="9">
        <f>IF(ISNA(MATCH(320,Engine!$C$2:$C$1960,0)),"",INDEX('Compliance Database'!$K$2:$K$1960,MATCH(320,Engine!$C$2:$C$1960,0)))</f>
        <v/>
      </c>
      <c r="L333" s="9">
        <f>IF(ISNA(MATCH(320,Engine!$C$2:$C$1960,0)),"",INDEX('Compliance Database'!$L$2:$L$1960,MATCH(320,Engine!$C$2:$C$1960,0)))</f>
        <v/>
      </c>
      <c r="M333" s="9">
        <f>IF(ISNA(MATCH(320,Engine!$C$2:$C$1960,0)),"",INDEX('Compliance Database'!$M$2:$M$1960,MATCH(320,Engine!$C$2:$C$1960,0)))</f>
        <v/>
      </c>
      <c r="N333" s="9">
        <f>IF(ISNA(MATCH(320,Engine!$C$2:$C$1960,0)),"",INDEX('Compliance Database'!$N$2:$N$1960,MATCH(320,Engine!$C$2:$C$1960,0)))</f>
        <v/>
      </c>
      <c r="O333" s="9">
        <f>IF(ISNA(MATCH(320,Engine!$C$2:$C$1960,0)),"",INDEX('Compliance Database'!$O$2:$O$1960,MATCH(320,Engine!$C$2:$C$1960,0)))</f>
        <v/>
      </c>
      <c r="P333" s="8">
        <f>IF(ISNA(MATCH(320,Engine!$C$2:$C$1960,0)),"",HYPERLINK("#Acts!A"&amp;INDEX('Compliance Database'!$P$2:$P$1960,MATCH(320,Engine!$C$2:$C$1960,0)),"Go to Act"))</f>
        <v/>
      </c>
    </row>
    <row r="334" ht="158" customHeight="1">
      <c r="A334" s="8">
        <f>IF(ISNA(MATCH(321,Engine!$C$2:$C$1960,0)),"",INDEX('Compliance Database'!$A$2:$A$1960,MATCH(321,Engine!$C$2:$C$1960,0)))</f>
        <v/>
      </c>
      <c r="B334" s="8">
        <f>IF(ISNA(MATCH(321,Engine!$C$2:$C$1960,0)),"",INDEX('Compliance Database'!$B$2:$B$1960,MATCH(321,Engine!$C$2:$C$1960,0)))</f>
        <v/>
      </c>
      <c r="C334" s="8">
        <f>IF(ISNA(MATCH(321,Engine!$C$2:$C$1960,0)),"",INDEX('Compliance Database'!$C$2:$C$1960,MATCH(321,Engine!$C$2:$C$1960,0)))</f>
        <v/>
      </c>
      <c r="D334" s="9">
        <f>IF(ISNA(MATCH(321,Engine!$C$2:$C$1960,0)),"",INDEX('Compliance Database'!$D$2:$D$1960,MATCH(321,Engine!$C$2:$C$1960,0)))</f>
        <v/>
      </c>
      <c r="E334" s="8">
        <f>IF(ISNA(MATCH(321,Engine!$C$2:$C$1960,0)),"",INDEX('Compliance Database'!$E$2:$E$1960,MATCH(321,Engine!$C$2:$C$1960,0)))</f>
        <v/>
      </c>
      <c r="F334" s="8">
        <f>IF(ISNA(MATCH(321,Engine!$C$2:$C$1960,0)),"",INDEX('Compliance Database'!$F$2:$F$1960,MATCH(321,Engine!$C$2:$C$1960,0)))</f>
        <v/>
      </c>
      <c r="G334" s="8">
        <f>IF(ISNA(MATCH(321,Engine!$C$2:$C$1960,0)),"",INDEX('Compliance Database'!$G$2:$G$1960,MATCH(321,Engine!$C$2:$C$1960,0)))</f>
        <v/>
      </c>
      <c r="H334" s="9">
        <f>IF(ISNA(MATCH(321,Engine!$C$2:$C$1960,0)),"",INDEX('Compliance Database'!$H$2:$H$1960,MATCH(321,Engine!$C$2:$C$1960,0)))</f>
        <v/>
      </c>
      <c r="I334" s="9">
        <f>IF(ISNA(MATCH(321,Engine!$C$2:$C$1960,0)),"",INDEX('Compliance Database'!$I$2:$I$1960,MATCH(321,Engine!$C$2:$C$1960,0)))</f>
        <v/>
      </c>
      <c r="J334" s="8">
        <f>IF(ISNA(MATCH(321,Engine!$C$2:$C$1960,0)),"",INDEX('Compliance Database'!$J$2:$J$1960,MATCH(321,Engine!$C$2:$C$1960,0)))</f>
        <v/>
      </c>
      <c r="K334" s="9">
        <f>IF(ISNA(MATCH(321,Engine!$C$2:$C$1960,0)),"",INDEX('Compliance Database'!$K$2:$K$1960,MATCH(321,Engine!$C$2:$C$1960,0)))</f>
        <v/>
      </c>
      <c r="L334" s="9">
        <f>IF(ISNA(MATCH(321,Engine!$C$2:$C$1960,0)),"",INDEX('Compliance Database'!$L$2:$L$1960,MATCH(321,Engine!$C$2:$C$1960,0)))</f>
        <v/>
      </c>
      <c r="M334" s="9">
        <f>IF(ISNA(MATCH(321,Engine!$C$2:$C$1960,0)),"",INDEX('Compliance Database'!$M$2:$M$1960,MATCH(321,Engine!$C$2:$C$1960,0)))</f>
        <v/>
      </c>
      <c r="N334" s="9">
        <f>IF(ISNA(MATCH(321,Engine!$C$2:$C$1960,0)),"",INDEX('Compliance Database'!$N$2:$N$1960,MATCH(321,Engine!$C$2:$C$1960,0)))</f>
        <v/>
      </c>
      <c r="O334" s="9">
        <f>IF(ISNA(MATCH(321,Engine!$C$2:$C$1960,0)),"",INDEX('Compliance Database'!$O$2:$O$1960,MATCH(321,Engine!$C$2:$C$1960,0)))</f>
        <v/>
      </c>
      <c r="P334" s="8">
        <f>IF(ISNA(MATCH(321,Engine!$C$2:$C$1960,0)),"",HYPERLINK("#Acts!A"&amp;INDEX('Compliance Database'!$P$2:$P$1960,MATCH(321,Engine!$C$2:$C$1960,0)),"Go to Act"))</f>
        <v/>
      </c>
    </row>
    <row r="335" ht="158" customHeight="1">
      <c r="A335" s="8">
        <f>IF(ISNA(MATCH(322,Engine!$C$2:$C$1960,0)),"",INDEX('Compliance Database'!$A$2:$A$1960,MATCH(322,Engine!$C$2:$C$1960,0)))</f>
        <v/>
      </c>
      <c r="B335" s="8">
        <f>IF(ISNA(MATCH(322,Engine!$C$2:$C$1960,0)),"",INDEX('Compliance Database'!$B$2:$B$1960,MATCH(322,Engine!$C$2:$C$1960,0)))</f>
        <v/>
      </c>
      <c r="C335" s="8">
        <f>IF(ISNA(MATCH(322,Engine!$C$2:$C$1960,0)),"",INDEX('Compliance Database'!$C$2:$C$1960,MATCH(322,Engine!$C$2:$C$1960,0)))</f>
        <v/>
      </c>
      <c r="D335" s="9">
        <f>IF(ISNA(MATCH(322,Engine!$C$2:$C$1960,0)),"",INDEX('Compliance Database'!$D$2:$D$1960,MATCH(322,Engine!$C$2:$C$1960,0)))</f>
        <v/>
      </c>
      <c r="E335" s="8">
        <f>IF(ISNA(MATCH(322,Engine!$C$2:$C$1960,0)),"",INDEX('Compliance Database'!$E$2:$E$1960,MATCH(322,Engine!$C$2:$C$1960,0)))</f>
        <v/>
      </c>
      <c r="F335" s="8">
        <f>IF(ISNA(MATCH(322,Engine!$C$2:$C$1960,0)),"",INDEX('Compliance Database'!$F$2:$F$1960,MATCH(322,Engine!$C$2:$C$1960,0)))</f>
        <v/>
      </c>
      <c r="G335" s="8">
        <f>IF(ISNA(MATCH(322,Engine!$C$2:$C$1960,0)),"",INDEX('Compliance Database'!$G$2:$G$1960,MATCH(322,Engine!$C$2:$C$1960,0)))</f>
        <v/>
      </c>
      <c r="H335" s="9">
        <f>IF(ISNA(MATCH(322,Engine!$C$2:$C$1960,0)),"",INDEX('Compliance Database'!$H$2:$H$1960,MATCH(322,Engine!$C$2:$C$1960,0)))</f>
        <v/>
      </c>
      <c r="I335" s="9">
        <f>IF(ISNA(MATCH(322,Engine!$C$2:$C$1960,0)),"",INDEX('Compliance Database'!$I$2:$I$1960,MATCH(322,Engine!$C$2:$C$1960,0)))</f>
        <v/>
      </c>
      <c r="J335" s="8">
        <f>IF(ISNA(MATCH(322,Engine!$C$2:$C$1960,0)),"",INDEX('Compliance Database'!$J$2:$J$1960,MATCH(322,Engine!$C$2:$C$1960,0)))</f>
        <v/>
      </c>
      <c r="K335" s="9">
        <f>IF(ISNA(MATCH(322,Engine!$C$2:$C$1960,0)),"",INDEX('Compliance Database'!$K$2:$K$1960,MATCH(322,Engine!$C$2:$C$1960,0)))</f>
        <v/>
      </c>
      <c r="L335" s="9">
        <f>IF(ISNA(MATCH(322,Engine!$C$2:$C$1960,0)),"",INDEX('Compliance Database'!$L$2:$L$1960,MATCH(322,Engine!$C$2:$C$1960,0)))</f>
        <v/>
      </c>
      <c r="M335" s="9">
        <f>IF(ISNA(MATCH(322,Engine!$C$2:$C$1960,0)),"",INDEX('Compliance Database'!$M$2:$M$1960,MATCH(322,Engine!$C$2:$C$1960,0)))</f>
        <v/>
      </c>
      <c r="N335" s="9">
        <f>IF(ISNA(MATCH(322,Engine!$C$2:$C$1960,0)),"",INDEX('Compliance Database'!$N$2:$N$1960,MATCH(322,Engine!$C$2:$C$1960,0)))</f>
        <v/>
      </c>
      <c r="O335" s="9">
        <f>IF(ISNA(MATCH(322,Engine!$C$2:$C$1960,0)),"",INDEX('Compliance Database'!$O$2:$O$1960,MATCH(322,Engine!$C$2:$C$1960,0)))</f>
        <v/>
      </c>
      <c r="P335" s="8">
        <f>IF(ISNA(MATCH(322,Engine!$C$2:$C$1960,0)),"",HYPERLINK("#Acts!A"&amp;INDEX('Compliance Database'!$P$2:$P$1960,MATCH(322,Engine!$C$2:$C$1960,0)),"Go to Act"))</f>
        <v/>
      </c>
    </row>
    <row r="336" ht="158" customHeight="1">
      <c r="A336" s="8">
        <f>IF(ISNA(MATCH(323,Engine!$C$2:$C$1960,0)),"",INDEX('Compliance Database'!$A$2:$A$1960,MATCH(323,Engine!$C$2:$C$1960,0)))</f>
        <v/>
      </c>
      <c r="B336" s="8">
        <f>IF(ISNA(MATCH(323,Engine!$C$2:$C$1960,0)),"",INDEX('Compliance Database'!$B$2:$B$1960,MATCH(323,Engine!$C$2:$C$1960,0)))</f>
        <v/>
      </c>
      <c r="C336" s="8">
        <f>IF(ISNA(MATCH(323,Engine!$C$2:$C$1960,0)),"",INDEX('Compliance Database'!$C$2:$C$1960,MATCH(323,Engine!$C$2:$C$1960,0)))</f>
        <v/>
      </c>
      <c r="D336" s="9">
        <f>IF(ISNA(MATCH(323,Engine!$C$2:$C$1960,0)),"",INDEX('Compliance Database'!$D$2:$D$1960,MATCH(323,Engine!$C$2:$C$1960,0)))</f>
        <v/>
      </c>
      <c r="E336" s="8">
        <f>IF(ISNA(MATCH(323,Engine!$C$2:$C$1960,0)),"",INDEX('Compliance Database'!$E$2:$E$1960,MATCH(323,Engine!$C$2:$C$1960,0)))</f>
        <v/>
      </c>
      <c r="F336" s="8">
        <f>IF(ISNA(MATCH(323,Engine!$C$2:$C$1960,0)),"",INDEX('Compliance Database'!$F$2:$F$1960,MATCH(323,Engine!$C$2:$C$1960,0)))</f>
        <v/>
      </c>
      <c r="G336" s="8">
        <f>IF(ISNA(MATCH(323,Engine!$C$2:$C$1960,0)),"",INDEX('Compliance Database'!$G$2:$G$1960,MATCH(323,Engine!$C$2:$C$1960,0)))</f>
        <v/>
      </c>
      <c r="H336" s="9">
        <f>IF(ISNA(MATCH(323,Engine!$C$2:$C$1960,0)),"",INDEX('Compliance Database'!$H$2:$H$1960,MATCH(323,Engine!$C$2:$C$1960,0)))</f>
        <v/>
      </c>
      <c r="I336" s="9">
        <f>IF(ISNA(MATCH(323,Engine!$C$2:$C$1960,0)),"",INDEX('Compliance Database'!$I$2:$I$1960,MATCH(323,Engine!$C$2:$C$1960,0)))</f>
        <v/>
      </c>
      <c r="J336" s="8">
        <f>IF(ISNA(MATCH(323,Engine!$C$2:$C$1960,0)),"",INDEX('Compliance Database'!$J$2:$J$1960,MATCH(323,Engine!$C$2:$C$1960,0)))</f>
        <v/>
      </c>
      <c r="K336" s="9">
        <f>IF(ISNA(MATCH(323,Engine!$C$2:$C$1960,0)),"",INDEX('Compliance Database'!$K$2:$K$1960,MATCH(323,Engine!$C$2:$C$1960,0)))</f>
        <v/>
      </c>
      <c r="L336" s="9">
        <f>IF(ISNA(MATCH(323,Engine!$C$2:$C$1960,0)),"",INDEX('Compliance Database'!$L$2:$L$1960,MATCH(323,Engine!$C$2:$C$1960,0)))</f>
        <v/>
      </c>
      <c r="M336" s="9">
        <f>IF(ISNA(MATCH(323,Engine!$C$2:$C$1960,0)),"",INDEX('Compliance Database'!$M$2:$M$1960,MATCH(323,Engine!$C$2:$C$1960,0)))</f>
        <v/>
      </c>
      <c r="N336" s="9">
        <f>IF(ISNA(MATCH(323,Engine!$C$2:$C$1960,0)),"",INDEX('Compliance Database'!$N$2:$N$1960,MATCH(323,Engine!$C$2:$C$1960,0)))</f>
        <v/>
      </c>
      <c r="O336" s="9">
        <f>IF(ISNA(MATCH(323,Engine!$C$2:$C$1960,0)),"",INDEX('Compliance Database'!$O$2:$O$1960,MATCH(323,Engine!$C$2:$C$1960,0)))</f>
        <v/>
      </c>
      <c r="P336" s="8">
        <f>IF(ISNA(MATCH(323,Engine!$C$2:$C$1960,0)),"",HYPERLINK("#Acts!A"&amp;INDEX('Compliance Database'!$P$2:$P$1960,MATCH(323,Engine!$C$2:$C$1960,0)),"Go to Act"))</f>
        <v/>
      </c>
    </row>
    <row r="337" ht="158" customHeight="1">
      <c r="A337" s="8">
        <f>IF(ISNA(MATCH(324,Engine!$C$2:$C$1960,0)),"",INDEX('Compliance Database'!$A$2:$A$1960,MATCH(324,Engine!$C$2:$C$1960,0)))</f>
        <v/>
      </c>
      <c r="B337" s="8">
        <f>IF(ISNA(MATCH(324,Engine!$C$2:$C$1960,0)),"",INDEX('Compliance Database'!$B$2:$B$1960,MATCH(324,Engine!$C$2:$C$1960,0)))</f>
        <v/>
      </c>
      <c r="C337" s="8">
        <f>IF(ISNA(MATCH(324,Engine!$C$2:$C$1960,0)),"",INDEX('Compliance Database'!$C$2:$C$1960,MATCH(324,Engine!$C$2:$C$1960,0)))</f>
        <v/>
      </c>
      <c r="D337" s="9">
        <f>IF(ISNA(MATCH(324,Engine!$C$2:$C$1960,0)),"",INDEX('Compliance Database'!$D$2:$D$1960,MATCH(324,Engine!$C$2:$C$1960,0)))</f>
        <v/>
      </c>
      <c r="E337" s="8">
        <f>IF(ISNA(MATCH(324,Engine!$C$2:$C$1960,0)),"",INDEX('Compliance Database'!$E$2:$E$1960,MATCH(324,Engine!$C$2:$C$1960,0)))</f>
        <v/>
      </c>
      <c r="F337" s="8">
        <f>IF(ISNA(MATCH(324,Engine!$C$2:$C$1960,0)),"",INDEX('Compliance Database'!$F$2:$F$1960,MATCH(324,Engine!$C$2:$C$1960,0)))</f>
        <v/>
      </c>
      <c r="G337" s="8">
        <f>IF(ISNA(MATCH(324,Engine!$C$2:$C$1960,0)),"",INDEX('Compliance Database'!$G$2:$G$1960,MATCH(324,Engine!$C$2:$C$1960,0)))</f>
        <v/>
      </c>
      <c r="H337" s="9">
        <f>IF(ISNA(MATCH(324,Engine!$C$2:$C$1960,0)),"",INDEX('Compliance Database'!$H$2:$H$1960,MATCH(324,Engine!$C$2:$C$1960,0)))</f>
        <v/>
      </c>
      <c r="I337" s="9">
        <f>IF(ISNA(MATCH(324,Engine!$C$2:$C$1960,0)),"",INDEX('Compliance Database'!$I$2:$I$1960,MATCH(324,Engine!$C$2:$C$1960,0)))</f>
        <v/>
      </c>
      <c r="J337" s="8">
        <f>IF(ISNA(MATCH(324,Engine!$C$2:$C$1960,0)),"",INDEX('Compliance Database'!$J$2:$J$1960,MATCH(324,Engine!$C$2:$C$1960,0)))</f>
        <v/>
      </c>
      <c r="K337" s="9">
        <f>IF(ISNA(MATCH(324,Engine!$C$2:$C$1960,0)),"",INDEX('Compliance Database'!$K$2:$K$1960,MATCH(324,Engine!$C$2:$C$1960,0)))</f>
        <v/>
      </c>
      <c r="L337" s="9">
        <f>IF(ISNA(MATCH(324,Engine!$C$2:$C$1960,0)),"",INDEX('Compliance Database'!$L$2:$L$1960,MATCH(324,Engine!$C$2:$C$1960,0)))</f>
        <v/>
      </c>
      <c r="M337" s="9">
        <f>IF(ISNA(MATCH(324,Engine!$C$2:$C$1960,0)),"",INDEX('Compliance Database'!$M$2:$M$1960,MATCH(324,Engine!$C$2:$C$1960,0)))</f>
        <v/>
      </c>
      <c r="N337" s="9">
        <f>IF(ISNA(MATCH(324,Engine!$C$2:$C$1960,0)),"",INDEX('Compliance Database'!$N$2:$N$1960,MATCH(324,Engine!$C$2:$C$1960,0)))</f>
        <v/>
      </c>
      <c r="O337" s="9">
        <f>IF(ISNA(MATCH(324,Engine!$C$2:$C$1960,0)),"",INDEX('Compliance Database'!$O$2:$O$1960,MATCH(324,Engine!$C$2:$C$1960,0)))</f>
        <v/>
      </c>
      <c r="P337" s="8">
        <f>IF(ISNA(MATCH(324,Engine!$C$2:$C$1960,0)),"",HYPERLINK("#Acts!A"&amp;INDEX('Compliance Database'!$P$2:$P$1960,MATCH(324,Engine!$C$2:$C$1960,0)),"Go to Act"))</f>
        <v/>
      </c>
    </row>
    <row r="338" ht="158" customHeight="1">
      <c r="A338" s="8">
        <f>IF(ISNA(MATCH(325,Engine!$C$2:$C$1960,0)),"",INDEX('Compliance Database'!$A$2:$A$1960,MATCH(325,Engine!$C$2:$C$1960,0)))</f>
        <v/>
      </c>
      <c r="B338" s="8">
        <f>IF(ISNA(MATCH(325,Engine!$C$2:$C$1960,0)),"",INDEX('Compliance Database'!$B$2:$B$1960,MATCH(325,Engine!$C$2:$C$1960,0)))</f>
        <v/>
      </c>
      <c r="C338" s="8">
        <f>IF(ISNA(MATCH(325,Engine!$C$2:$C$1960,0)),"",INDEX('Compliance Database'!$C$2:$C$1960,MATCH(325,Engine!$C$2:$C$1960,0)))</f>
        <v/>
      </c>
      <c r="D338" s="9">
        <f>IF(ISNA(MATCH(325,Engine!$C$2:$C$1960,0)),"",INDEX('Compliance Database'!$D$2:$D$1960,MATCH(325,Engine!$C$2:$C$1960,0)))</f>
        <v/>
      </c>
      <c r="E338" s="8">
        <f>IF(ISNA(MATCH(325,Engine!$C$2:$C$1960,0)),"",INDEX('Compliance Database'!$E$2:$E$1960,MATCH(325,Engine!$C$2:$C$1960,0)))</f>
        <v/>
      </c>
      <c r="F338" s="8">
        <f>IF(ISNA(MATCH(325,Engine!$C$2:$C$1960,0)),"",INDEX('Compliance Database'!$F$2:$F$1960,MATCH(325,Engine!$C$2:$C$1960,0)))</f>
        <v/>
      </c>
      <c r="G338" s="8">
        <f>IF(ISNA(MATCH(325,Engine!$C$2:$C$1960,0)),"",INDEX('Compliance Database'!$G$2:$G$1960,MATCH(325,Engine!$C$2:$C$1960,0)))</f>
        <v/>
      </c>
      <c r="H338" s="9">
        <f>IF(ISNA(MATCH(325,Engine!$C$2:$C$1960,0)),"",INDEX('Compliance Database'!$H$2:$H$1960,MATCH(325,Engine!$C$2:$C$1960,0)))</f>
        <v/>
      </c>
      <c r="I338" s="9">
        <f>IF(ISNA(MATCH(325,Engine!$C$2:$C$1960,0)),"",INDEX('Compliance Database'!$I$2:$I$1960,MATCH(325,Engine!$C$2:$C$1960,0)))</f>
        <v/>
      </c>
      <c r="J338" s="8">
        <f>IF(ISNA(MATCH(325,Engine!$C$2:$C$1960,0)),"",INDEX('Compliance Database'!$J$2:$J$1960,MATCH(325,Engine!$C$2:$C$1960,0)))</f>
        <v/>
      </c>
      <c r="K338" s="9">
        <f>IF(ISNA(MATCH(325,Engine!$C$2:$C$1960,0)),"",INDEX('Compliance Database'!$K$2:$K$1960,MATCH(325,Engine!$C$2:$C$1960,0)))</f>
        <v/>
      </c>
      <c r="L338" s="9">
        <f>IF(ISNA(MATCH(325,Engine!$C$2:$C$1960,0)),"",INDEX('Compliance Database'!$L$2:$L$1960,MATCH(325,Engine!$C$2:$C$1960,0)))</f>
        <v/>
      </c>
      <c r="M338" s="9">
        <f>IF(ISNA(MATCH(325,Engine!$C$2:$C$1960,0)),"",INDEX('Compliance Database'!$M$2:$M$1960,MATCH(325,Engine!$C$2:$C$1960,0)))</f>
        <v/>
      </c>
      <c r="N338" s="9">
        <f>IF(ISNA(MATCH(325,Engine!$C$2:$C$1960,0)),"",INDEX('Compliance Database'!$N$2:$N$1960,MATCH(325,Engine!$C$2:$C$1960,0)))</f>
        <v/>
      </c>
      <c r="O338" s="9">
        <f>IF(ISNA(MATCH(325,Engine!$C$2:$C$1960,0)),"",INDEX('Compliance Database'!$O$2:$O$1960,MATCH(325,Engine!$C$2:$C$1960,0)))</f>
        <v/>
      </c>
      <c r="P338" s="8">
        <f>IF(ISNA(MATCH(325,Engine!$C$2:$C$1960,0)),"",HYPERLINK("#Acts!A"&amp;INDEX('Compliance Database'!$P$2:$P$1960,MATCH(325,Engine!$C$2:$C$1960,0)),"Go to Act"))</f>
        <v/>
      </c>
    </row>
    <row r="339" ht="158" customHeight="1">
      <c r="A339" s="8">
        <f>IF(ISNA(MATCH(326,Engine!$C$2:$C$1960,0)),"",INDEX('Compliance Database'!$A$2:$A$1960,MATCH(326,Engine!$C$2:$C$1960,0)))</f>
        <v/>
      </c>
      <c r="B339" s="8">
        <f>IF(ISNA(MATCH(326,Engine!$C$2:$C$1960,0)),"",INDEX('Compliance Database'!$B$2:$B$1960,MATCH(326,Engine!$C$2:$C$1960,0)))</f>
        <v/>
      </c>
      <c r="C339" s="8">
        <f>IF(ISNA(MATCH(326,Engine!$C$2:$C$1960,0)),"",INDEX('Compliance Database'!$C$2:$C$1960,MATCH(326,Engine!$C$2:$C$1960,0)))</f>
        <v/>
      </c>
      <c r="D339" s="9">
        <f>IF(ISNA(MATCH(326,Engine!$C$2:$C$1960,0)),"",INDEX('Compliance Database'!$D$2:$D$1960,MATCH(326,Engine!$C$2:$C$1960,0)))</f>
        <v/>
      </c>
      <c r="E339" s="8">
        <f>IF(ISNA(MATCH(326,Engine!$C$2:$C$1960,0)),"",INDEX('Compliance Database'!$E$2:$E$1960,MATCH(326,Engine!$C$2:$C$1960,0)))</f>
        <v/>
      </c>
      <c r="F339" s="8">
        <f>IF(ISNA(MATCH(326,Engine!$C$2:$C$1960,0)),"",INDEX('Compliance Database'!$F$2:$F$1960,MATCH(326,Engine!$C$2:$C$1960,0)))</f>
        <v/>
      </c>
      <c r="G339" s="8">
        <f>IF(ISNA(MATCH(326,Engine!$C$2:$C$1960,0)),"",INDEX('Compliance Database'!$G$2:$G$1960,MATCH(326,Engine!$C$2:$C$1960,0)))</f>
        <v/>
      </c>
      <c r="H339" s="9">
        <f>IF(ISNA(MATCH(326,Engine!$C$2:$C$1960,0)),"",INDEX('Compliance Database'!$H$2:$H$1960,MATCH(326,Engine!$C$2:$C$1960,0)))</f>
        <v/>
      </c>
      <c r="I339" s="9">
        <f>IF(ISNA(MATCH(326,Engine!$C$2:$C$1960,0)),"",INDEX('Compliance Database'!$I$2:$I$1960,MATCH(326,Engine!$C$2:$C$1960,0)))</f>
        <v/>
      </c>
      <c r="J339" s="8">
        <f>IF(ISNA(MATCH(326,Engine!$C$2:$C$1960,0)),"",INDEX('Compliance Database'!$J$2:$J$1960,MATCH(326,Engine!$C$2:$C$1960,0)))</f>
        <v/>
      </c>
      <c r="K339" s="9">
        <f>IF(ISNA(MATCH(326,Engine!$C$2:$C$1960,0)),"",INDEX('Compliance Database'!$K$2:$K$1960,MATCH(326,Engine!$C$2:$C$1960,0)))</f>
        <v/>
      </c>
      <c r="L339" s="9">
        <f>IF(ISNA(MATCH(326,Engine!$C$2:$C$1960,0)),"",INDEX('Compliance Database'!$L$2:$L$1960,MATCH(326,Engine!$C$2:$C$1960,0)))</f>
        <v/>
      </c>
      <c r="M339" s="9">
        <f>IF(ISNA(MATCH(326,Engine!$C$2:$C$1960,0)),"",INDEX('Compliance Database'!$M$2:$M$1960,MATCH(326,Engine!$C$2:$C$1960,0)))</f>
        <v/>
      </c>
      <c r="N339" s="9">
        <f>IF(ISNA(MATCH(326,Engine!$C$2:$C$1960,0)),"",INDEX('Compliance Database'!$N$2:$N$1960,MATCH(326,Engine!$C$2:$C$1960,0)))</f>
        <v/>
      </c>
      <c r="O339" s="9">
        <f>IF(ISNA(MATCH(326,Engine!$C$2:$C$1960,0)),"",INDEX('Compliance Database'!$O$2:$O$1960,MATCH(326,Engine!$C$2:$C$1960,0)))</f>
        <v/>
      </c>
      <c r="P339" s="8">
        <f>IF(ISNA(MATCH(326,Engine!$C$2:$C$1960,0)),"",HYPERLINK("#Acts!A"&amp;INDEX('Compliance Database'!$P$2:$P$1960,MATCH(326,Engine!$C$2:$C$1960,0)),"Go to Act"))</f>
        <v/>
      </c>
    </row>
    <row r="340" ht="158" customHeight="1">
      <c r="A340" s="8">
        <f>IF(ISNA(MATCH(327,Engine!$C$2:$C$1960,0)),"",INDEX('Compliance Database'!$A$2:$A$1960,MATCH(327,Engine!$C$2:$C$1960,0)))</f>
        <v/>
      </c>
      <c r="B340" s="8">
        <f>IF(ISNA(MATCH(327,Engine!$C$2:$C$1960,0)),"",INDEX('Compliance Database'!$B$2:$B$1960,MATCH(327,Engine!$C$2:$C$1960,0)))</f>
        <v/>
      </c>
      <c r="C340" s="8">
        <f>IF(ISNA(MATCH(327,Engine!$C$2:$C$1960,0)),"",INDEX('Compliance Database'!$C$2:$C$1960,MATCH(327,Engine!$C$2:$C$1960,0)))</f>
        <v/>
      </c>
      <c r="D340" s="9">
        <f>IF(ISNA(MATCH(327,Engine!$C$2:$C$1960,0)),"",INDEX('Compliance Database'!$D$2:$D$1960,MATCH(327,Engine!$C$2:$C$1960,0)))</f>
        <v/>
      </c>
      <c r="E340" s="8">
        <f>IF(ISNA(MATCH(327,Engine!$C$2:$C$1960,0)),"",INDEX('Compliance Database'!$E$2:$E$1960,MATCH(327,Engine!$C$2:$C$1960,0)))</f>
        <v/>
      </c>
      <c r="F340" s="8">
        <f>IF(ISNA(MATCH(327,Engine!$C$2:$C$1960,0)),"",INDEX('Compliance Database'!$F$2:$F$1960,MATCH(327,Engine!$C$2:$C$1960,0)))</f>
        <v/>
      </c>
      <c r="G340" s="8">
        <f>IF(ISNA(MATCH(327,Engine!$C$2:$C$1960,0)),"",INDEX('Compliance Database'!$G$2:$G$1960,MATCH(327,Engine!$C$2:$C$1960,0)))</f>
        <v/>
      </c>
      <c r="H340" s="9">
        <f>IF(ISNA(MATCH(327,Engine!$C$2:$C$1960,0)),"",INDEX('Compliance Database'!$H$2:$H$1960,MATCH(327,Engine!$C$2:$C$1960,0)))</f>
        <v/>
      </c>
      <c r="I340" s="9">
        <f>IF(ISNA(MATCH(327,Engine!$C$2:$C$1960,0)),"",INDEX('Compliance Database'!$I$2:$I$1960,MATCH(327,Engine!$C$2:$C$1960,0)))</f>
        <v/>
      </c>
      <c r="J340" s="8">
        <f>IF(ISNA(MATCH(327,Engine!$C$2:$C$1960,0)),"",INDEX('Compliance Database'!$J$2:$J$1960,MATCH(327,Engine!$C$2:$C$1960,0)))</f>
        <v/>
      </c>
      <c r="K340" s="9">
        <f>IF(ISNA(MATCH(327,Engine!$C$2:$C$1960,0)),"",INDEX('Compliance Database'!$K$2:$K$1960,MATCH(327,Engine!$C$2:$C$1960,0)))</f>
        <v/>
      </c>
      <c r="L340" s="9">
        <f>IF(ISNA(MATCH(327,Engine!$C$2:$C$1960,0)),"",INDEX('Compliance Database'!$L$2:$L$1960,MATCH(327,Engine!$C$2:$C$1960,0)))</f>
        <v/>
      </c>
      <c r="M340" s="9">
        <f>IF(ISNA(MATCH(327,Engine!$C$2:$C$1960,0)),"",INDEX('Compliance Database'!$M$2:$M$1960,MATCH(327,Engine!$C$2:$C$1960,0)))</f>
        <v/>
      </c>
      <c r="N340" s="9">
        <f>IF(ISNA(MATCH(327,Engine!$C$2:$C$1960,0)),"",INDEX('Compliance Database'!$N$2:$N$1960,MATCH(327,Engine!$C$2:$C$1960,0)))</f>
        <v/>
      </c>
      <c r="O340" s="9">
        <f>IF(ISNA(MATCH(327,Engine!$C$2:$C$1960,0)),"",INDEX('Compliance Database'!$O$2:$O$1960,MATCH(327,Engine!$C$2:$C$1960,0)))</f>
        <v/>
      </c>
      <c r="P340" s="8">
        <f>IF(ISNA(MATCH(327,Engine!$C$2:$C$1960,0)),"",HYPERLINK("#Acts!A"&amp;INDEX('Compliance Database'!$P$2:$P$1960,MATCH(327,Engine!$C$2:$C$1960,0)),"Go to Act"))</f>
        <v/>
      </c>
    </row>
    <row r="341" ht="158" customHeight="1">
      <c r="A341" s="8">
        <f>IF(ISNA(MATCH(328,Engine!$C$2:$C$1960,0)),"",INDEX('Compliance Database'!$A$2:$A$1960,MATCH(328,Engine!$C$2:$C$1960,0)))</f>
        <v/>
      </c>
      <c r="B341" s="8">
        <f>IF(ISNA(MATCH(328,Engine!$C$2:$C$1960,0)),"",INDEX('Compliance Database'!$B$2:$B$1960,MATCH(328,Engine!$C$2:$C$1960,0)))</f>
        <v/>
      </c>
      <c r="C341" s="8">
        <f>IF(ISNA(MATCH(328,Engine!$C$2:$C$1960,0)),"",INDEX('Compliance Database'!$C$2:$C$1960,MATCH(328,Engine!$C$2:$C$1960,0)))</f>
        <v/>
      </c>
      <c r="D341" s="9">
        <f>IF(ISNA(MATCH(328,Engine!$C$2:$C$1960,0)),"",INDEX('Compliance Database'!$D$2:$D$1960,MATCH(328,Engine!$C$2:$C$1960,0)))</f>
        <v/>
      </c>
      <c r="E341" s="8">
        <f>IF(ISNA(MATCH(328,Engine!$C$2:$C$1960,0)),"",INDEX('Compliance Database'!$E$2:$E$1960,MATCH(328,Engine!$C$2:$C$1960,0)))</f>
        <v/>
      </c>
      <c r="F341" s="8">
        <f>IF(ISNA(MATCH(328,Engine!$C$2:$C$1960,0)),"",INDEX('Compliance Database'!$F$2:$F$1960,MATCH(328,Engine!$C$2:$C$1960,0)))</f>
        <v/>
      </c>
      <c r="G341" s="8">
        <f>IF(ISNA(MATCH(328,Engine!$C$2:$C$1960,0)),"",INDEX('Compliance Database'!$G$2:$G$1960,MATCH(328,Engine!$C$2:$C$1960,0)))</f>
        <v/>
      </c>
      <c r="H341" s="9">
        <f>IF(ISNA(MATCH(328,Engine!$C$2:$C$1960,0)),"",INDEX('Compliance Database'!$H$2:$H$1960,MATCH(328,Engine!$C$2:$C$1960,0)))</f>
        <v/>
      </c>
      <c r="I341" s="9">
        <f>IF(ISNA(MATCH(328,Engine!$C$2:$C$1960,0)),"",INDEX('Compliance Database'!$I$2:$I$1960,MATCH(328,Engine!$C$2:$C$1960,0)))</f>
        <v/>
      </c>
      <c r="J341" s="8">
        <f>IF(ISNA(MATCH(328,Engine!$C$2:$C$1960,0)),"",INDEX('Compliance Database'!$J$2:$J$1960,MATCH(328,Engine!$C$2:$C$1960,0)))</f>
        <v/>
      </c>
      <c r="K341" s="9">
        <f>IF(ISNA(MATCH(328,Engine!$C$2:$C$1960,0)),"",INDEX('Compliance Database'!$K$2:$K$1960,MATCH(328,Engine!$C$2:$C$1960,0)))</f>
        <v/>
      </c>
      <c r="L341" s="9">
        <f>IF(ISNA(MATCH(328,Engine!$C$2:$C$1960,0)),"",INDEX('Compliance Database'!$L$2:$L$1960,MATCH(328,Engine!$C$2:$C$1960,0)))</f>
        <v/>
      </c>
      <c r="M341" s="9">
        <f>IF(ISNA(MATCH(328,Engine!$C$2:$C$1960,0)),"",INDEX('Compliance Database'!$M$2:$M$1960,MATCH(328,Engine!$C$2:$C$1960,0)))</f>
        <v/>
      </c>
      <c r="N341" s="9">
        <f>IF(ISNA(MATCH(328,Engine!$C$2:$C$1960,0)),"",INDEX('Compliance Database'!$N$2:$N$1960,MATCH(328,Engine!$C$2:$C$1960,0)))</f>
        <v/>
      </c>
      <c r="O341" s="9">
        <f>IF(ISNA(MATCH(328,Engine!$C$2:$C$1960,0)),"",INDEX('Compliance Database'!$O$2:$O$1960,MATCH(328,Engine!$C$2:$C$1960,0)))</f>
        <v/>
      </c>
      <c r="P341" s="8">
        <f>IF(ISNA(MATCH(328,Engine!$C$2:$C$1960,0)),"",HYPERLINK("#Acts!A"&amp;INDEX('Compliance Database'!$P$2:$P$1960,MATCH(328,Engine!$C$2:$C$1960,0)),"Go to Act"))</f>
        <v/>
      </c>
    </row>
    <row r="342" ht="158" customHeight="1">
      <c r="A342" s="8">
        <f>IF(ISNA(MATCH(329,Engine!$C$2:$C$1960,0)),"",INDEX('Compliance Database'!$A$2:$A$1960,MATCH(329,Engine!$C$2:$C$1960,0)))</f>
        <v/>
      </c>
      <c r="B342" s="8">
        <f>IF(ISNA(MATCH(329,Engine!$C$2:$C$1960,0)),"",INDEX('Compliance Database'!$B$2:$B$1960,MATCH(329,Engine!$C$2:$C$1960,0)))</f>
        <v/>
      </c>
      <c r="C342" s="8">
        <f>IF(ISNA(MATCH(329,Engine!$C$2:$C$1960,0)),"",INDEX('Compliance Database'!$C$2:$C$1960,MATCH(329,Engine!$C$2:$C$1960,0)))</f>
        <v/>
      </c>
      <c r="D342" s="9">
        <f>IF(ISNA(MATCH(329,Engine!$C$2:$C$1960,0)),"",INDEX('Compliance Database'!$D$2:$D$1960,MATCH(329,Engine!$C$2:$C$1960,0)))</f>
        <v/>
      </c>
      <c r="E342" s="8">
        <f>IF(ISNA(MATCH(329,Engine!$C$2:$C$1960,0)),"",INDEX('Compliance Database'!$E$2:$E$1960,MATCH(329,Engine!$C$2:$C$1960,0)))</f>
        <v/>
      </c>
      <c r="F342" s="8">
        <f>IF(ISNA(MATCH(329,Engine!$C$2:$C$1960,0)),"",INDEX('Compliance Database'!$F$2:$F$1960,MATCH(329,Engine!$C$2:$C$1960,0)))</f>
        <v/>
      </c>
      <c r="G342" s="8">
        <f>IF(ISNA(MATCH(329,Engine!$C$2:$C$1960,0)),"",INDEX('Compliance Database'!$G$2:$G$1960,MATCH(329,Engine!$C$2:$C$1960,0)))</f>
        <v/>
      </c>
      <c r="H342" s="9">
        <f>IF(ISNA(MATCH(329,Engine!$C$2:$C$1960,0)),"",INDEX('Compliance Database'!$H$2:$H$1960,MATCH(329,Engine!$C$2:$C$1960,0)))</f>
        <v/>
      </c>
      <c r="I342" s="9">
        <f>IF(ISNA(MATCH(329,Engine!$C$2:$C$1960,0)),"",INDEX('Compliance Database'!$I$2:$I$1960,MATCH(329,Engine!$C$2:$C$1960,0)))</f>
        <v/>
      </c>
      <c r="J342" s="8">
        <f>IF(ISNA(MATCH(329,Engine!$C$2:$C$1960,0)),"",INDEX('Compliance Database'!$J$2:$J$1960,MATCH(329,Engine!$C$2:$C$1960,0)))</f>
        <v/>
      </c>
      <c r="K342" s="9">
        <f>IF(ISNA(MATCH(329,Engine!$C$2:$C$1960,0)),"",INDEX('Compliance Database'!$K$2:$K$1960,MATCH(329,Engine!$C$2:$C$1960,0)))</f>
        <v/>
      </c>
      <c r="L342" s="9">
        <f>IF(ISNA(MATCH(329,Engine!$C$2:$C$1960,0)),"",INDEX('Compliance Database'!$L$2:$L$1960,MATCH(329,Engine!$C$2:$C$1960,0)))</f>
        <v/>
      </c>
      <c r="M342" s="9">
        <f>IF(ISNA(MATCH(329,Engine!$C$2:$C$1960,0)),"",INDEX('Compliance Database'!$M$2:$M$1960,MATCH(329,Engine!$C$2:$C$1960,0)))</f>
        <v/>
      </c>
      <c r="N342" s="9">
        <f>IF(ISNA(MATCH(329,Engine!$C$2:$C$1960,0)),"",INDEX('Compliance Database'!$N$2:$N$1960,MATCH(329,Engine!$C$2:$C$1960,0)))</f>
        <v/>
      </c>
      <c r="O342" s="9">
        <f>IF(ISNA(MATCH(329,Engine!$C$2:$C$1960,0)),"",INDEX('Compliance Database'!$O$2:$O$1960,MATCH(329,Engine!$C$2:$C$1960,0)))</f>
        <v/>
      </c>
      <c r="P342" s="8">
        <f>IF(ISNA(MATCH(329,Engine!$C$2:$C$1960,0)),"",HYPERLINK("#Acts!A"&amp;INDEX('Compliance Database'!$P$2:$P$1960,MATCH(329,Engine!$C$2:$C$1960,0)),"Go to Act"))</f>
        <v/>
      </c>
    </row>
    <row r="343" ht="158" customHeight="1">
      <c r="A343" s="8">
        <f>IF(ISNA(MATCH(330,Engine!$C$2:$C$1960,0)),"",INDEX('Compliance Database'!$A$2:$A$1960,MATCH(330,Engine!$C$2:$C$1960,0)))</f>
        <v/>
      </c>
      <c r="B343" s="8">
        <f>IF(ISNA(MATCH(330,Engine!$C$2:$C$1960,0)),"",INDEX('Compliance Database'!$B$2:$B$1960,MATCH(330,Engine!$C$2:$C$1960,0)))</f>
        <v/>
      </c>
      <c r="C343" s="8">
        <f>IF(ISNA(MATCH(330,Engine!$C$2:$C$1960,0)),"",INDEX('Compliance Database'!$C$2:$C$1960,MATCH(330,Engine!$C$2:$C$1960,0)))</f>
        <v/>
      </c>
      <c r="D343" s="9">
        <f>IF(ISNA(MATCH(330,Engine!$C$2:$C$1960,0)),"",INDEX('Compliance Database'!$D$2:$D$1960,MATCH(330,Engine!$C$2:$C$1960,0)))</f>
        <v/>
      </c>
      <c r="E343" s="8">
        <f>IF(ISNA(MATCH(330,Engine!$C$2:$C$1960,0)),"",INDEX('Compliance Database'!$E$2:$E$1960,MATCH(330,Engine!$C$2:$C$1960,0)))</f>
        <v/>
      </c>
      <c r="F343" s="8">
        <f>IF(ISNA(MATCH(330,Engine!$C$2:$C$1960,0)),"",INDEX('Compliance Database'!$F$2:$F$1960,MATCH(330,Engine!$C$2:$C$1960,0)))</f>
        <v/>
      </c>
      <c r="G343" s="8">
        <f>IF(ISNA(MATCH(330,Engine!$C$2:$C$1960,0)),"",INDEX('Compliance Database'!$G$2:$G$1960,MATCH(330,Engine!$C$2:$C$1960,0)))</f>
        <v/>
      </c>
      <c r="H343" s="9">
        <f>IF(ISNA(MATCH(330,Engine!$C$2:$C$1960,0)),"",INDEX('Compliance Database'!$H$2:$H$1960,MATCH(330,Engine!$C$2:$C$1960,0)))</f>
        <v/>
      </c>
      <c r="I343" s="9">
        <f>IF(ISNA(MATCH(330,Engine!$C$2:$C$1960,0)),"",INDEX('Compliance Database'!$I$2:$I$1960,MATCH(330,Engine!$C$2:$C$1960,0)))</f>
        <v/>
      </c>
      <c r="J343" s="8">
        <f>IF(ISNA(MATCH(330,Engine!$C$2:$C$1960,0)),"",INDEX('Compliance Database'!$J$2:$J$1960,MATCH(330,Engine!$C$2:$C$1960,0)))</f>
        <v/>
      </c>
      <c r="K343" s="9">
        <f>IF(ISNA(MATCH(330,Engine!$C$2:$C$1960,0)),"",INDEX('Compliance Database'!$K$2:$K$1960,MATCH(330,Engine!$C$2:$C$1960,0)))</f>
        <v/>
      </c>
      <c r="L343" s="9">
        <f>IF(ISNA(MATCH(330,Engine!$C$2:$C$1960,0)),"",INDEX('Compliance Database'!$L$2:$L$1960,MATCH(330,Engine!$C$2:$C$1960,0)))</f>
        <v/>
      </c>
      <c r="M343" s="9">
        <f>IF(ISNA(MATCH(330,Engine!$C$2:$C$1960,0)),"",INDEX('Compliance Database'!$M$2:$M$1960,MATCH(330,Engine!$C$2:$C$1960,0)))</f>
        <v/>
      </c>
      <c r="N343" s="9">
        <f>IF(ISNA(MATCH(330,Engine!$C$2:$C$1960,0)),"",INDEX('Compliance Database'!$N$2:$N$1960,MATCH(330,Engine!$C$2:$C$1960,0)))</f>
        <v/>
      </c>
      <c r="O343" s="9">
        <f>IF(ISNA(MATCH(330,Engine!$C$2:$C$1960,0)),"",INDEX('Compliance Database'!$O$2:$O$1960,MATCH(330,Engine!$C$2:$C$1960,0)))</f>
        <v/>
      </c>
      <c r="P343" s="8">
        <f>IF(ISNA(MATCH(330,Engine!$C$2:$C$1960,0)),"",HYPERLINK("#Acts!A"&amp;INDEX('Compliance Database'!$P$2:$P$1960,MATCH(330,Engine!$C$2:$C$1960,0)),"Go to Act"))</f>
        <v/>
      </c>
    </row>
    <row r="344" ht="158" customHeight="1">
      <c r="A344" s="8">
        <f>IF(ISNA(MATCH(331,Engine!$C$2:$C$1960,0)),"",INDEX('Compliance Database'!$A$2:$A$1960,MATCH(331,Engine!$C$2:$C$1960,0)))</f>
        <v/>
      </c>
      <c r="B344" s="8">
        <f>IF(ISNA(MATCH(331,Engine!$C$2:$C$1960,0)),"",INDEX('Compliance Database'!$B$2:$B$1960,MATCH(331,Engine!$C$2:$C$1960,0)))</f>
        <v/>
      </c>
      <c r="C344" s="8">
        <f>IF(ISNA(MATCH(331,Engine!$C$2:$C$1960,0)),"",INDEX('Compliance Database'!$C$2:$C$1960,MATCH(331,Engine!$C$2:$C$1960,0)))</f>
        <v/>
      </c>
      <c r="D344" s="9">
        <f>IF(ISNA(MATCH(331,Engine!$C$2:$C$1960,0)),"",INDEX('Compliance Database'!$D$2:$D$1960,MATCH(331,Engine!$C$2:$C$1960,0)))</f>
        <v/>
      </c>
      <c r="E344" s="8">
        <f>IF(ISNA(MATCH(331,Engine!$C$2:$C$1960,0)),"",INDEX('Compliance Database'!$E$2:$E$1960,MATCH(331,Engine!$C$2:$C$1960,0)))</f>
        <v/>
      </c>
      <c r="F344" s="8">
        <f>IF(ISNA(MATCH(331,Engine!$C$2:$C$1960,0)),"",INDEX('Compliance Database'!$F$2:$F$1960,MATCH(331,Engine!$C$2:$C$1960,0)))</f>
        <v/>
      </c>
      <c r="G344" s="8">
        <f>IF(ISNA(MATCH(331,Engine!$C$2:$C$1960,0)),"",INDEX('Compliance Database'!$G$2:$G$1960,MATCH(331,Engine!$C$2:$C$1960,0)))</f>
        <v/>
      </c>
      <c r="H344" s="9">
        <f>IF(ISNA(MATCH(331,Engine!$C$2:$C$1960,0)),"",INDEX('Compliance Database'!$H$2:$H$1960,MATCH(331,Engine!$C$2:$C$1960,0)))</f>
        <v/>
      </c>
      <c r="I344" s="9">
        <f>IF(ISNA(MATCH(331,Engine!$C$2:$C$1960,0)),"",INDEX('Compliance Database'!$I$2:$I$1960,MATCH(331,Engine!$C$2:$C$1960,0)))</f>
        <v/>
      </c>
      <c r="J344" s="8">
        <f>IF(ISNA(MATCH(331,Engine!$C$2:$C$1960,0)),"",INDEX('Compliance Database'!$J$2:$J$1960,MATCH(331,Engine!$C$2:$C$1960,0)))</f>
        <v/>
      </c>
      <c r="K344" s="9">
        <f>IF(ISNA(MATCH(331,Engine!$C$2:$C$1960,0)),"",INDEX('Compliance Database'!$K$2:$K$1960,MATCH(331,Engine!$C$2:$C$1960,0)))</f>
        <v/>
      </c>
      <c r="L344" s="9">
        <f>IF(ISNA(MATCH(331,Engine!$C$2:$C$1960,0)),"",INDEX('Compliance Database'!$L$2:$L$1960,MATCH(331,Engine!$C$2:$C$1960,0)))</f>
        <v/>
      </c>
      <c r="M344" s="9">
        <f>IF(ISNA(MATCH(331,Engine!$C$2:$C$1960,0)),"",INDEX('Compliance Database'!$M$2:$M$1960,MATCH(331,Engine!$C$2:$C$1960,0)))</f>
        <v/>
      </c>
      <c r="N344" s="9">
        <f>IF(ISNA(MATCH(331,Engine!$C$2:$C$1960,0)),"",INDEX('Compliance Database'!$N$2:$N$1960,MATCH(331,Engine!$C$2:$C$1960,0)))</f>
        <v/>
      </c>
      <c r="O344" s="9">
        <f>IF(ISNA(MATCH(331,Engine!$C$2:$C$1960,0)),"",INDEX('Compliance Database'!$O$2:$O$1960,MATCH(331,Engine!$C$2:$C$1960,0)))</f>
        <v/>
      </c>
      <c r="P344" s="8">
        <f>IF(ISNA(MATCH(331,Engine!$C$2:$C$1960,0)),"",HYPERLINK("#Acts!A"&amp;INDEX('Compliance Database'!$P$2:$P$1960,MATCH(331,Engine!$C$2:$C$1960,0)),"Go to Act"))</f>
        <v/>
      </c>
    </row>
    <row r="345" ht="158" customHeight="1">
      <c r="A345" s="8">
        <f>IF(ISNA(MATCH(332,Engine!$C$2:$C$1960,0)),"",INDEX('Compliance Database'!$A$2:$A$1960,MATCH(332,Engine!$C$2:$C$1960,0)))</f>
        <v/>
      </c>
      <c r="B345" s="8">
        <f>IF(ISNA(MATCH(332,Engine!$C$2:$C$1960,0)),"",INDEX('Compliance Database'!$B$2:$B$1960,MATCH(332,Engine!$C$2:$C$1960,0)))</f>
        <v/>
      </c>
      <c r="C345" s="8">
        <f>IF(ISNA(MATCH(332,Engine!$C$2:$C$1960,0)),"",INDEX('Compliance Database'!$C$2:$C$1960,MATCH(332,Engine!$C$2:$C$1960,0)))</f>
        <v/>
      </c>
      <c r="D345" s="9">
        <f>IF(ISNA(MATCH(332,Engine!$C$2:$C$1960,0)),"",INDEX('Compliance Database'!$D$2:$D$1960,MATCH(332,Engine!$C$2:$C$1960,0)))</f>
        <v/>
      </c>
      <c r="E345" s="8">
        <f>IF(ISNA(MATCH(332,Engine!$C$2:$C$1960,0)),"",INDEX('Compliance Database'!$E$2:$E$1960,MATCH(332,Engine!$C$2:$C$1960,0)))</f>
        <v/>
      </c>
      <c r="F345" s="8">
        <f>IF(ISNA(MATCH(332,Engine!$C$2:$C$1960,0)),"",INDEX('Compliance Database'!$F$2:$F$1960,MATCH(332,Engine!$C$2:$C$1960,0)))</f>
        <v/>
      </c>
      <c r="G345" s="8">
        <f>IF(ISNA(MATCH(332,Engine!$C$2:$C$1960,0)),"",INDEX('Compliance Database'!$G$2:$G$1960,MATCH(332,Engine!$C$2:$C$1960,0)))</f>
        <v/>
      </c>
      <c r="H345" s="9">
        <f>IF(ISNA(MATCH(332,Engine!$C$2:$C$1960,0)),"",INDEX('Compliance Database'!$H$2:$H$1960,MATCH(332,Engine!$C$2:$C$1960,0)))</f>
        <v/>
      </c>
      <c r="I345" s="9">
        <f>IF(ISNA(MATCH(332,Engine!$C$2:$C$1960,0)),"",INDEX('Compliance Database'!$I$2:$I$1960,MATCH(332,Engine!$C$2:$C$1960,0)))</f>
        <v/>
      </c>
      <c r="J345" s="8">
        <f>IF(ISNA(MATCH(332,Engine!$C$2:$C$1960,0)),"",INDEX('Compliance Database'!$J$2:$J$1960,MATCH(332,Engine!$C$2:$C$1960,0)))</f>
        <v/>
      </c>
      <c r="K345" s="9">
        <f>IF(ISNA(MATCH(332,Engine!$C$2:$C$1960,0)),"",INDEX('Compliance Database'!$K$2:$K$1960,MATCH(332,Engine!$C$2:$C$1960,0)))</f>
        <v/>
      </c>
      <c r="L345" s="9">
        <f>IF(ISNA(MATCH(332,Engine!$C$2:$C$1960,0)),"",INDEX('Compliance Database'!$L$2:$L$1960,MATCH(332,Engine!$C$2:$C$1960,0)))</f>
        <v/>
      </c>
      <c r="M345" s="9">
        <f>IF(ISNA(MATCH(332,Engine!$C$2:$C$1960,0)),"",INDEX('Compliance Database'!$M$2:$M$1960,MATCH(332,Engine!$C$2:$C$1960,0)))</f>
        <v/>
      </c>
      <c r="N345" s="9">
        <f>IF(ISNA(MATCH(332,Engine!$C$2:$C$1960,0)),"",INDEX('Compliance Database'!$N$2:$N$1960,MATCH(332,Engine!$C$2:$C$1960,0)))</f>
        <v/>
      </c>
      <c r="O345" s="9">
        <f>IF(ISNA(MATCH(332,Engine!$C$2:$C$1960,0)),"",INDEX('Compliance Database'!$O$2:$O$1960,MATCH(332,Engine!$C$2:$C$1960,0)))</f>
        <v/>
      </c>
      <c r="P345" s="8">
        <f>IF(ISNA(MATCH(332,Engine!$C$2:$C$1960,0)),"",HYPERLINK("#Acts!A"&amp;INDEX('Compliance Database'!$P$2:$P$1960,MATCH(332,Engine!$C$2:$C$1960,0)),"Go to Act"))</f>
        <v/>
      </c>
    </row>
    <row r="346" ht="158" customHeight="1">
      <c r="A346" s="8">
        <f>IF(ISNA(MATCH(333,Engine!$C$2:$C$1960,0)),"",INDEX('Compliance Database'!$A$2:$A$1960,MATCH(333,Engine!$C$2:$C$1960,0)))</f>
        <v/>
      </c>
      <c r="B346" s="8">
        <f>IF(ISNA(MATCH(333,Engine!$C$2:$C$1960,0)),"",INDEX('Compliance Database'!$B$2:$B$1960,MATCH(333,Engine!$C$2:$C$1960,0)))</f>
        <v/>
      </c>
      <c r="C346" s="8">
        <f>IF(ISNA(MATCH(333,Engine!$C$2:$C$1960,0)),"",INDEX('Compliance Database'!$C$2:$C$1960,MATCH(333,Engine!$C$2:$C$1960,0)))</f>
        <v/>
      </c>
      <c r="D346" s="9">
        <f>IF(ISNA(MATCH(333,Engine!$C$2:$C$1960,0)),"",INDEX('Compliance Database'!$D$2:$D$1960,MATCH(333,Engine!$C$2:$C$1960,0)))</f>
        <v/>
      </c>
      <c r="E346" s="8">
        <f>IF(ISNA(MATCH(333,Engine!$C$2:$C$1960,0)),"",INDEX('Compliance Database'!$E$2:$E$1960,MATCH(333,Engine!$C$2:$C$1960,0)))</f>
        <v/>
      </c>
      <c r="F346" s="8">
        <f>IF(ISNA(MATCH(333,Engine!$C$2:$C$1960,0)),"",INDEX('Compliance Database'!$F$2:$F$1960,MATCH(333,Engine!$C$2:$C$1960,0)))</f>
        <v/>
      </c>
      <c r="G346" s="8">
        <f>IF(ISNA(MATCH(333,Engine!$C$2:$C$1960,0)),"",INDEX('Compliance Database'!$G$2:$G$1960,MATCH(333,Engine!$C$2:$C$1960,0)))</f>
        <v/>
      </c>
      <c r="H346" s="9">
        <f>IF(ISNA(MATCH(333,Engine!$C$2:$C$1960,0)),"",INDEX('Compliance Database'!$H$2:$H$1960,MATCH(333,Engine!$C$2:$C$1960,0)))</f>
        <v/>
      </c>
      <c r="I346" s="9">
        <f>IF(ISNA(MATCH(333,Engine!$C$2:$C$1960,0)),"",INDEX('Compliance Database'!$I$2:$I$1960,MATCH(333,Engine!$C$2:$C$1960,0)))</f>
        <v/>
      </c>
      <c r="J346" s="8">
        <f>IF(ISNA(MATCH(333,Engine!$C$2:$C$1960,0)),"",INDEX('Compliance Database'!$J$2:$J$1960,MATCH(333,Engine!$C$2:$C$1960,0)))</f>
        <v/>
      </c>
      <c r="K346" s="9">
        <f>IF(ISNA(MATCH(333,Engine!$C$2:$C$1960,0)),"",INDEX('Compliance Database'!$K$2:$K$1960,MATCH(333,Engine!$C$2:$C$1960,0)))</f>
        <v/>
      </c>
      <c r="L346" s="9">
        <f>IF(ISNA(MATCH(333,Engine!$C$2:$C$1960,0)),"",INDEX('Compliance Database'!$L$2:$L$1960,MATCH(333,Engine!$C$2:$C$1960,0)))</f>
        <v/>
      </c>
      <c r="M346" s="9">
        <f>IF(ISNA(MATCH(333,Engine!$C$2:$C$1960,0)),"",INDEX('Compliance Database'!$M$2:$M$1960,MATCH(333,Engine!$C$2:$C$1960,0)))</f>
        <v/>
      </c>
      <c r="N346" s="9">
        <f>IF(ISNA(MATCH(333,Engine!$C$2:$C$1960,0)),"",INDEX('Compliance Database'!$N$2:$N$1960,MATCH(333,Engine!$C$2:$C$1960,0)))</f>
        <v/>
      </c>
      <c r="O346" s="9">
        <f>IF(ISNA(MATCH(333,Engine!$C$2:$C$1960,0)),"",INDEX('Compliance Database'!$O$2:$O$1960,MATCH(333,Engine!$C$2:$C$1960,0)))</f>
        <v/>
      </c>
      <c r="P346" s="8">
        <f>IF(ISNA(MATCH(333,Engine!$C$2:$C$1960,0)),"",HYPERLINK("#Acts!A"&amp;INDEX('Compliance Database'!$P$2:$P$1960,MATCH(333,Engine!$C$2:$C$1960,0)),"Go to Act"))</f>
        <v/>
      </c>
    </row>
    <row r="347" ht="158" customHeight="1">
      <c r="A347" s="8">
        <f>IF(ISNA(MATCH(334,Engine!$C$2:$C$1960,0)),"",INDEX('Compliance Database'!$A$2:$A$1960,MATCH(334,Engine!$C$2:$C$1960,0)))</f>
        <v/>
      </c>
      <c r="B347" s="8">
        <f>IF(ISNA(MATCH(334,Engine!$C$2:$C$1960,0)),"",INDEX('Compliance Database'!$B$2:$B$1960,MATCH(334,Engine!$C$2:$C$1960,0)))</f>
        <v/>
      </c>
      <c r="C347" s="8">
        <f>IF(ISNA(MATCH(334,Engine!$C$2:$C$1960,0)),"",INDEX('Compliance Database'!$C$2:$C$1960,MATCH(334,Engine!$C$2:$C$1960,0)))</f>
        <v/>
      </c>
      <c r="D347" s="9">
        <f>IF(ISNA(MATCH(334,Engine!$C$2:$C$1960,0)),"",INDEX('Compliance Database'!$D$2:$D$1960,MATCH(334,Engine!$C$2:$C$1960,0)))</f>
        <v/>
      </c>
      <c r="E347" s="8">
        <f>IF(ISNA(MATCH(334,Engine!$C$2:$C$1960,0)),"",INDEX('Compliance Database'!$E$2:$E$1960,MATCH(334,Engine!$C$2:$C$1960,0)))</f>
        <v/>
      </c>
      <c r="F347" s="8">
        <f>IF(ISNA(MATCH(334,Engine!$C$2:$C$1960,0)),"",INDEX('Compliance Database'!$F$2:$F$1960,MATCH(334,Engine!$C$2:$C$1960,0)))</f>
        <v/>
      </c>
      <c r="G347" s="8">
        <f>IF(ISNA(MATCH(334,Engine!$C$2:$C$1960,0)),"",INDEX('Compliance Database'!$G$2:$G$1960,MATCH(334,Engine!$C$2:$C$1960,0)))</f>
        <v/>
      </c>
      <c r="H347" s="9">
        <f>IF(ISNA(MATCH(334,Engine!$C$2:$C$1960,0)),"",INDEX('Compliance Database'!$H$2:$H$1960,MATCH(334,Engine!$C$2:$C$1960,0)))</f>
        <v/>
      </c>
      <c r="I347" s="9">
        <f>IF(ISNA(MATCH(334,Engine!$C$2:$C$1960,0)),"",INDEX('Compliance Database'!$I$2:$I$1960,MATCH(334,Engine!$C$2:$C$1960,0)))</f>
        <v/>
      </c>
      <c r="J347" s="8">
        <f>IF(ISNA(MATCH(334,Engine!$C$2:$C$1960,0)),"",INDEX('Compliance Database'!$J$2:$J$1960,MATCH(334,Engine!$C$2:$C$1960,0)))</f>
        <v/>
      </c>
      <c r="K347" s="9">
        <f>IF(ISNA(MATCH(334,Engine!$C$2:$C$1960,0)),"",INDEX('Compliance Database'!$K$2:$K$1960,MATCH(334,Engine!$C$2:$C$1960,0)))</f>
        <v/>
      </c>
      <c r="L347" s="9">
        <f>IF(ISNA(MATCH(334,Engine!$C$2:$C$1960,0)),"",INDEX('Compliance Database'!$L$2:$L$1960,MATCH(334,Engine!$C$2:$C$1960,0)))</f>
        <v/>
      </c>
      <c r="M347" s="9">
        <f>IF(ISNA(MATCH(334,Engine!$C$2:$C$1960,0)),"",INDEX('Compliance Database'!$M$2:$M$1960,MATCH(334,Engine!$C$2:$C$1960,0)))</f>
        <v/>
      </c>
      <c r="N347" s="9">
        <f>IF(ISNA(MATCH(334,Engine!$C$2:$C$1960,0)),"",INDEX('Compliance Database'!$N$2:$N$1960,MATCH(334,Engine!$C$2:$C$1960,0)))</f>
        <v/>
      </c>
      <c r="O347" s="9">
        <f>IF(ISNA(MATCH(334,Engine!$C$2:$C$1960,0)),"",INDEX('Compliance Database'!$O$2:$O$1960,MATCH(334,Engine!$C$2:$C$1960,0)))</f>
        <v/>
      </c>
      <c r="P347" s="8">
        <f>IF(ISNA(MATCH(334,Engine!$C$2:$C$1960,0)),"",HYPERLINK("#Acts!A"&amp;INDEX('Compliance Database'!$P$2:$P$1960,MATCH(334,Engine!$C$2:$C$1960,0)),"Go to Act"))</f>
        <v/>
      </c>
    </row>
    <row r="348" ht="158" customHeight="1">
      <c r="A348" s="8">
        <f>IF(ISNA(MATCH(335,Engine!$C$2:$C$1960,0)),"",INDEX('Compliance Database'!$A$2:$A$1960,MATCH(335,Engine!$C$2:$C$1960,0)))</f>
        <v/>
      </c>
      <c r="B348" s="8">
        <f>IF(ISNA(MATCH(335,Engine!$C$2:$C$1960,0)),"",INDEX('Compliance Database'!$B$2:$B$1960,MATCH(335,Engine!$C$2:$C$1960,0)))</f>
        <v/>
      </c>
      <c r="C348" s="8">
        <f>IF(ISNA(MATCH(335,Engine!$C$2:$C$1960,0)),"",INDEX('Compliance Database'!$C$2:$C$1960,MATCH(335,Engine!$C$2:$C$1960,0)))</f>
        <v/>
      </c>
      <c r="D348" s="9">
        <f>IF(ISNA(MATCH(335,Engine!$C$2:$C$1960,0)),"",INDEX('Compliance Database'!$D$2:$D$1960,MATCH(335,Engine!$C$2:$C$1960,0)))</f>
        <v/>
      </c>
      <c r="E348" s="8">
        <f>IF(ISNA(MATCH(335,Engine!$C$2:$C$1960,0)),"",INDEX('Compliance Database'!$E$2:$E$1960,MATCH(335,Engine!$C$2:$C$1960,0)))</f>
        <v/>
      </c>
      <c r="F348" s="8">
        <f>IF(ISNA(MATCH(335,Engine!$C$2:$C$1960,0)),"",INDEX('Compliance Database'!$F$2:$F$1960,MATCH(335,Engine!$C$2:$C$1960,0)))</f>
        <v/>
      </c>
      <c r="G348" s="8">
        <f>IF(ISNA(MATCH(335,Engine!$C$2:$C$1960,0)),"",INDEX('Compliance Database'!$G$2:$G$1960,MATCH(335,Engine!$C$2:$C$1960,0)))</f>
        <v/>
      </c>
      <c r="H348" s="9">
        <f>IF(ISNA(MATCH(335,Engine!$C$2:$C$1960,0)),"",INDEX('Compliance Database'!$H$2:$H$1960,MATCH(335,Engine!$C$2:$C$1960,0)))</f>
        <v/>
      </c>
      <c r="I348" s="9">
        <f>IF(ISNA(MATCH(335,Engine!$C$2:$C$1960,0)),"",INDEX('Compliance Database'!$I$2:$I$1960,MATCH(335,Engine!$C$2:$C$1960,0)))</f>
        <v/>
      </c>
      <c r="J348" s="8">
        <f>IF(ISNA(MATCH(335,Engine!$C$2:$C$1960,0)),"",INDEX('Compliance Database'!$J$2:$J$1960,MATCH(335,Engine!$C$2:$C$1960,0)))</f>
        <v/>
      </c>
      <c r="K348" s="9">
        <f>IF(ISNA(MATCH(335,Engine!$C$2:$C$1960,0)),"",INDEX('Compliance Database'!$K$2:$K$1960,MATCH(335,Engine!$C$2:$C$1960,0)))</f>
        <v/>
      </c>
      <c r="L348" s="9">
        <f>IF(ISNA(MATCH(335,Engine!$C$2:$C$1960,0)),"",INDEX('Compliance Database'!$L$2:$L$1960,MATCH(335,Engine!$C$2:$C$1960,0)))</f>
        <v/>
      </c>
      <c r="M348" s="9">
        <f>IF(ISNA(MATCH(335,Engine!$C$2:$C$1960,0)),"",INDEX('Compliance Database'!$M$2:$M$1960,MATCH(335,Engine!$C$2:$C$1960,0)))</f>
        <v/>
      </c>
      <c r="N348" s="9">
        <f>IF(ISNA(MATCH(335,Engine!$C$2:$C$1960,0)),"",INDEX('Compliance Database'!$N$2:$N$1960,MATCH(335,Engine!$C$2:$C$1960,0)))</f>
        <v/>
      </c>
      <c r="O348" s="9">
        <f>IF(ISNA(MATCH(335,Engine!$C$2:$C$1960,0)),"",INDEX('Compliance Database'!$O$2:$O$1960,MATCH(335,Engine!$C$2:$C$1960,0)))</f>
        <v/>
      </c>
      <c r="P348" s="8">
        <f>IF(ISNA(MATCH(335,Engine!$C$2:$C$1960,0)),"",HYPERLINK("#Acts!A"&amp;INDEX('Compliance Database'!$P$2:$P$1960,MATCH(335,Engine!$C$2:$C$1960,0)),"Go to Act"))</f>
        <v/>
      </c>
    </row>
    <row r="349" ht="158" customHeight="1">
      <c r="A349" s="8">
        <f>IF(ISNA(MATCH(336,Engine!$C$2:$C$1960,0)),"",INDEX('Compliance Database'!$A$2:$A$1960,MATCH(336,Engine!$C$2:$C$1960,0)))</f>
        <v/>
      </c>
      <c r="B349" s="8">
        <f>IF(ISNA(MATCH(336,Engine!$C$2:$C$1960,0)),"",INDEX('Compliance Database'!$B$2:$B$1960,MATCH(336,Engine!$C$2:$C$1960,0)))</f>
        <v/>
      </c>
      <c r="C349" s="8">
        <f>IF(ISNA(MATCH(336,Engine!$C$2:$C$1960,0)),"",INDEX('Compliance Database'!$C$2:$C$1960,MATCH(336,Engine!$C$2:$C$1960,0)))</f>
        <v/>
      </c>
      <c r="D349" s="9">
        <f>IF(ISNA(MATCH(336,Engine!$C$2:$C$1960,0)),"",INDEX('Compliance Database'!$D$2:$D$1960,MATCH(336,Engine!$C$2:$C$1960,0)))</f>
        <v/>
      </c>
      <c r="E349" s="8">
        <f>IF(ISNA(MATCH(336,Engine!$C$2:$C$1960,0)),"",INDEX('Compliance Database'!$E$2:$E$1960,MATCH(336,Engine!$C$2:$C$1960,0)))</f>
        <v/>
      </c>
      <c r="F349" s="8">
        <f>IF(ISNA(MATCH(336,Engine!$C$2:$C$1960,0)),"",INDEX('Compliance Database'!$F$2:$F$1960,MATCH(336,Engine!$C$2:$C$1960,0)))</f>
        <v/>
      </c>
      <c r="G349" s="8">
        <f>IF(ISNA(MATCH(336,Engine!$C$2:$C$1960,0)),"",INDEX('Compliance Database'!$G$2:$G$1960,MATCH(336,Engine!$C$2:$C$1960,0)))</f>
        <v/>
      </c>
      <c r="H349" s="9">
        <f>IF(ISNA(MATCH(336,Engine!$C$2:$C$1960,0)),"",INDEX('Compliance Database'!$H$2:$H$1960,MATCH(336,Engine!$C$2:$C$1960,0)))</f>
        <v/>
      </c>
      <c r="I349" s="9">
        <f>IF(ISNA(MATCH(336,Engine!$C$2:$C$1960,0)),"",INDEX('Compliance Database'!$I$2:$I$1960,MATCH(336,Engine!$C$2:$C$1960,0)))</f>
        <v/>
      </c>
      <c r="J349" s="8">
        <f>IF(ISNA(MATCH(336,Engine!$C$2:$C$1960,0)),"",INDEX('Compliance Database'!$J$2:$J$1960,MATCH(336,Engine!$C$2:$C$1960,0)))</f>
        <v/>
      </c>
      <c r="K349" s="9">
        <f>IF(ISNA(MATCH(336,Engine!$C$2:$C$1960,0)),"",INDEX('Compliance Database'!$K$2:$K$1960,MATCH(336,Engine!$C$2:$C$1960,0)))</f>
        <v/>
      </c>
      <c r="L349" s="9">
        <f>IF(ISNA(MATCH(336,Engine!$C$2:$C$1960,0)),"",INDEX('Compliance Database'!$L$2:$L$1960,MATCH(336,Engine!$C$2:$C$1960,0)))</f>
        <v/>
      </c>
      <c r="M349" s="9">
        <f>IF(ISNA(MATCH(336,Engine!$C$2:$C$1960,0)),"",INDEX('Compliance Database'!$M$2:$M$1960,MATCH(336,Engine!$C$2:$C$1960,0)))</f>
        <v/>
      </c>
      <c r="N349" s="9">
        <f>IF(ISNA(MATCH(336,Engine!$C$2:$C$1960,0)),"",INDEX('Compliance Database'!$N$2:$N$1960,MATCH(336,Engine!$C$2:$C$1960,0)))</f>
        <v/>
      </c>
      <c r="O349" s="9">
        <f>IF(ISNA(MATCH(336,Engine!$C$2:$C$1960,0)),"",INDEX('Compliance Database'!$O$2:$O$1960,MATCH(336,Engine!$C$2:$C$1960,0)))</f>
        <v/>
      </c>
      <c r="P349" s="8">
        <f>IF(ISNA(MATCH(336,Engine!$C$2:$C$1960,0)),"",HYPERLINK("#Acts!A"&amp;INDEX('Compliance Database'!$P$2:$P$1960,MATCH(336,Engine!$C$2:$C$1960,0)),"Go to Act"))</f>
        <v/>
      </c>
    </row>
    <row r="350" ht="158" customHeight="1">
      <c r="A350" s="8">
        <f>IF(ISNA(MATCH(337,Engine!$C$2:$C$1960,0)),"",INDEX('Compliance Database'!$A$2:$A$1960,MATCH(337,Engine!$C$2:$C$1960,0)))</f>
        <v/>
      </c>
      <c r="B350" s="8">
        <f>IF(ISNA(MATCH(337,Engine!$C$2:$C$1960,0)),"",INDEX('Compliance Database'!$B$2:$B$1960,MATCH(337,Engine!$C$2:$C$1960,0)))</f>
        <v/>
      </c>
      <c r="C350" s="8">
        <f>IF(ISNA(MATCH(337,Engine!$C$2:$C$1960,0)),"",INDEX('Compliance Database'!$C$2:$C$1960,MATCH(337,Engine!$C$2:$C$1960,0)))</f>
        <v/>
      </c>
      <c r="D350" s="9">
        <f>IF(ISNA(MATCH(337,Engine!$C$2:$C$1960,0)),"",INDEX('Compliance Database'!$D$2:$D$1960,MATCH(337,Engine!$C$2:$C$1960,0)))</f>
        <v/>
      </c>
      <c r="E350" s="8">
        <f>IF(ISNA(MATCH(337,Engine!$C$2:$C$1960,0)),"",INDEX('Compliance Database'!$E$2:$E$1960,MATCH(337,Engine!$C$2:$C$1960,0)))</f>
        <v/>
      </c>
      <c r="F350" s="8">
        <f>IF(ISNA(MATCH(337,Engine!$C$2:$C$1960,0)),"",INDEX('Compliance Database'!$F$2:$F$1960,MATCH(337,Engine!$C$2:$C$1960,0)))</f>
        <v/>
      </c>
      <c r="G350" s="8">
        <f>IF(ISNA(MATCH(337,Engine!$C$2:$C$1960,0)),"",INDEX('Compliance Database'!$G$2:$G$1960,MATCH(337,Engine!$C$2:$C$1960,0)))</f>
        <v/>
      </c>
      <c r="H350" s="9">
        <f>IF(ISNA(MATCH(337,Engine!$C$2:$C$1960,0)),"",INDEX('Compliance Database'!$H$2:$H$1960,MATCH(337,Engine!$C$2:$C$1960,0)))</f>
        <v/>
      </c>
      <c r="I350" s="9">
        <f>IF(ISNA(MATCH(337,Engine!$C$2:$C$1960,0)),"",INDEX('Compliance Database'!$I$2:$I$1960,MATCH(337,Engine!$C$2:$C$1960,0)))</f>
        <v/>
      </c>
      <c r="J350" s="8">
        <f>IF(ISNA(MATCH(337,Engine!$C$2:$C$1960,0)),"",INDEX('Compliance Database'!$J$2:$J$1960,MATCH(337,Engine!$C$2:$C$1960,0)))</f>
        <v/>
      </c>
      <c r="K350" s="9">
        <f>IF(ISNA(MATCH(337,Engine!$C$2:$C$1960,0)),"",INDEX('Compliance Database'!$K$2:$K$1960,MATCH(337,Engine!$C$2:$C$1960,0)))</f>
        <v/>
      </c>
      <c r="L350" s="9">
        <f>IF(ISNA(MATCH(337,Engine!$C$2:$C$1960,0)),"",INDEX('Compliance Database'!$L$2:$L$1960,MATCH(337,Engine!$C$2:$C$1960,0)))</f>
        <v/>
      </c>
      <c r="M350" s="9">
        <f>IF(ISNA(MATCH(337,Engine!$C$2:$C$1960,0)),"",INDEX('Compliance Database'!$M$2:$M$1960,MATCH(337,Engine!$C$2:$C$1960,0)))</f>
        <v/>
      </c>
      <c r="N350" s="9">
        <f>IF(ISNA(MATCH(337,Engine!$C$2:$C$1960,0)),"",INDEX('Compliance Database'!$N$2:$N$1960,MATCH(337,Engine!$C$2:$C$1960,0)))</f>
        <v/>
      </c>
      <c r="O350" s="9">
        <f>IF(ISNA(MATCH(337,Engine!$C$2:$C$1960,0)),"",INDEX('Compliance Database'!$O$2:$O$1960,MATCH(337,Engine!$C$2:$C$1960,0)))</f>
        <v/>
      </c>
      <c r="P350" s="8">
        <f>IF(ISNA(MATCH(337,Engine!$C$2:$C$1960,0)),"",HYPERLINK("#Acts!A"&amp;INDEX('Compliance Database'!$P$2:$P$1960,MATCH(337,Engine!$C$2:$C$1960,0)),"Go to Act"))</f>
        <v/>
      </c>
    </row>
    <row r="351" ht="158" customHeight="1">
      <c r="A351" s="8">
        <f>IF(ISNA(MATCH(338,Engine!$C$2:$C$1960,0)),"",INDEX('Compliance Database'!$A$2:$A$1960,MATCH(338,Engine!$C$2:$C$1960,0)))</f>
        <v/>
      </c>
      <c r="B351" s="8">
        <f>IF(ISNA(MATCH(338,Engine!$C$2:$C$1960,0)),"",INDEX('Compliance Database'!$B$2:$B$1960,MATCH(338,Engine!$C$2:$C$1960,0)))</f>
        <v/>
      </c>
      <c r="C351" s="8">
        <f>IF(ISNA(MATCH(338,Engine!$C$2:$C$1960,0)),"",INDEX('Compliance Database'!$C$2:$C$1960,MATCH(338,Engine!$C$2:$C$1960,0)))</f>
        <v/>
      </c>
      <c r="D351" s="9">
        <f>IF(ISNA(MATCH(338,Engine!$C$2:$C$1960,0)),"",INDEX('Compliance Database'!$D$2:$D$1960,MATCH(338,Engine!$C$2:$C$1960,0)))</f>
        <v/>
      </c>
      <c r="E351" s="8">
        <f>IF(ISNA(MATCH(338,Engine!$C$2:$C$1960,0)),"",INDEX('Compliance Database'!$E$2:$E$1960,MATCH(338,Engine!$C$2:$C$1960,0)))</f>
        <v/>
      </c>
      <c r="F351" s="8">
        <f>IF(ISNA(MATCH(338,Engine!$C$2:$C$1960,0)),"",INDEX('Compliance Database'!$F$2:$F$1960,MATCH(338,Engine!$C$2:$C$1960,0)))</f>
        <v/>
      </c>
      <c r="G351" s="8">
        <f>IF(ISNA(MATCH(338,Engine!$C$2:$C$1960,0)),"",INDEX('Compliance Database'!$G$2:$G$1960,MATCH(338,Engine!$C$2:$C$1960,0)))</f>
        <v/>
      </c>
      <c r="H351" s="9">
        <f>IF(ISNA(MATCH(338,Engine!$C$2:$C$1960,0)),"",INDEX('Compliance Database'!$H$2:$H$1960,MATCH(338,Engine!$C$2:$C$1960,0)))</f>
        <v/>
      </c>
      <c r="I351" s="9">
        <f>IF(ISNA(MATCH(338,Engine!$C$2:$C$1960,0)),"",INDEX('Compliance Database'!$I$2:$I$1960,MATCH(338,Engine!$C$2:$C$1960,0)))</f>
        <v/>
      </c>
      <c r="J351" s="8">
        <f>IF(ISNA(MATCH(338,Engine!$C$2:$C$1960,0)),"",INDEX('Compliance Database'!$J$2:$J$1960,MATCH(338,Engine!$C$2:$C$1960,0)))</f>
        <v/>
      </c>
      <c r="K351" s="9">
        <f>IF(ISNA(MATCH(338,Engine!$C$2:$C$1960,0)),"",INDEX('Compliance Database'!$K$2:$K$1960,MATCH(338,Engine!$C$2:$C$1960,0)))</f>
        <v/>
      </c>
      <c r="L351" s="9">
        <f>IF(ISNA(MATCH(338,Engine!$C$2:$C$1960,0)),"",INDEX('Compliance Database'!$L$2:$L$1960,MATCH(338,Engine!$C$2:$C$1960,0)))</f>
        <v/>
      </c>
      <c r="M351" s="9">
        <f>IF(ISNA(MATCH(338,Engine!$C$2:$C$1960,0)),"",INDEX('Compliance Database'!$M$2:$M$1960,MATCH(338,Engine!$C$2:$C$1960,0)))</f>
        <v/>
      </c>
      <c r="N351" s="9">
        <f>IF(ISNA(MATCH(338,Engine!$C$2:$C$1960,0)),"",INDEX('Compliance Database'!$N$2:$N$1960,MATCH(338,Engine!$C$2:$C$1960,0)))</f>
        <v/>
      </c>
      <c r="O351" s="9">
        <f>IF(ISNA(MATCH(338,Engine!$C$2:$C$1960,0)),"",INDEX('Compliance Database'!$O$2:$O$1960,MATCH(338,Engine!$C$2:$C$1960,0)))</f>
        <v/>
      </c>
      <c r="P351" s="8">
        <f>IF(ISNA(MATCH(338,Engine!$C$2:$C$1960,0)),"",HYPERLINK("#Acts!A"&amp;INDEX('Compliance Database'!$P$2:$P$1960,MATCH(338,Engine!$C$2:$C$1960,0)),"Go to Act"))</f>
        <v/>
      </c>
    </row>
    <row r="352" ht="158" customHeight="1">
      <c r="A352" s="8">
        <f>IF(ISNA(MATCH(339,Engine!$C$2:$C$1960,0)),"",INDEX('Compliance Database'!$A$2:$A$1960,MATCH(339,Engine!$C$2:$C$1960,0)))</f>
        <v/>
      </c>
      <c r="B352" s="8">
        <f>IF(ISNA(MATCH(339,Engine!$C$2:$C$1960,0)),"",INDEX('Compliance Database'!$B$2:$B$1960,MATCH(339,Engine!$C$2:$C$1960,0)))</f>
        <v/>
      </c>
      <c r="C352" s="8">
        <f>IF(ISNA(MATCH(339,Engine!$C$2:$C$1960,0)),"",INDEX('Compliance Database'!$C$2:$C$1960,MATCH(339,Engine!$C$2:$C$1960,0)))</f>
        <v/>
      </c>
      <c r="D352" s="9">
        <f>IF(ISNA(MATCH(339,Engine!$C$2:$C$1960,0)),"",INDEX('Compliance Database'!$D$2:$D$1960,MATCH(339,Engine!$C$2:$C$1960,0)))</f>
        <v/>
      </c>
      <c r="E352" s="8">
        <f>IF(ISNA(MATCH(339,Engine!$C$2:$C$1960,0)),"",INDEX('Compliance Database'!$E$2:$E$1960,MATCH(339,Engine!$C$2:$C$1960,0)))</f>
        <v/>
      </c>
      <c r="F352" s="8">
        <f>IF(ISNA(MATCH(339,Engine!$C$2:$C$1960,0)),"",INDEX('Compliance Database'!$F$2:$F$1960,MATCH(339,Engine!$C$2:$C$1960,0)))</f>
        <v/>
      </c>
      <c r="G352" s="8">
        <f>IF(ISNA(MATCH(339,Engine!$C$2:$C$1960,0)),"",INDEX('Compliance Database'!$G$2:$G$1960,MATCH(339,Engine!$C$2:$C$1960,0)))</f>
        <v/>
      </c>
      <c r="H352" s="9">
        <f>IF(ISNA(MATCH(339,Engine!$C$2:$C$1960,0)),"",INDEX('Compliance Database'!$H$2:$H$1960,MATCH(339,Engine!$C$2:$C$1960,0)))</f>
        <v/>
      </c>
      <c r="I352" s="9">
        <f>IF(ISNA(MATCH(339,Engine!$C$2:$C$1960,0)),"",INDEX('Compliance Database'!$I$2:$I$1960,MATCH(339,Engine!$C$2:$C$1960,0)))</f>
        <v/>
      </c>
      <c r="J352" s="8">
        <f>IF(ISNA(MATCH(339,Engine!$C$2:$C$1960,0)),"",INDEX('Compliance Database'!$J$2:$J$1960,MATCH(339,Engine!$C$2:$C$1960,0)))</f>
        <v/>
      </c>
      <c r="K352" s="9">
        <f>IF(ISNA(MATCH(339,Engine!$C$2:$C$1960,0)),"",INDEX('Compliance Database'!$K$2:$K$1960,MATCH(339,Engine!$C$2:$C$1960,0)))</f>
        <v/>
      </c>
      <c r="L352" s="9">
        <f>IF(ISNA(MATCH(339,Engine!$C$2:$C$1960,0)),"",INDEX('Compliance Database'!$L$2:$L$1960,MATCH(339,Engine!$C$2:$C$1960,0)))</f>
        <v/>
      </c>
      <c r="M352" s="9">
        <f>IF(ISNA(MATCH(339,Engine!$C$2:$C$1960,0)),"",INDEX('Compliance Database'!$M$2:$M$1960,MATCH(339,Engine!$C$2:$C$1960,0)))</f>
        <v/>
      </c>
      <c r="N352" s="9">
        <f>IF(ISNA(MATCH(339,Engine!$C$2:$C$1960,0)),"",INDEX('Compliance Database'!$N$2:$N$1960,MATCH(339,Engine!$C$2:$C$1960,0)))</f>
        <v/>
      </c>
      <c r="O352" s="9">
        <f>IF(ISNA(MATCH(339,Engine!$C$2:$C$1960,0)),"",INDEX('Compliance Database'!$O$2:$O$1960,MATCH(339,Engine!$C$2:$C$1960,0)))</f>
        <v/>
      </c>
      <c r="P352" s="8">
        <f>IF(ISNA(MATCH(339,Engine!$C$2:$C$1960,0)),"",HYPERLINK("#Acts!A"&amp;INDEX('Compliance Database'!$P$2:$P$1960,MATCH(339,Engine!$C$2:$C$1960,0)),"Go to Act"))</f>
        <v/>
      </c>
    </row>
    <row r="353" ht="158" customHeight="1">
      <c r="A353" s="8">
        <f>IF(ISNA(MATCH(340,Engine!$C$2:$C$1960,0)),"",INDEX('Compliance Database'!$A$2:$A$1960,MATCH(340,Engine!$C$2:$C$1960,0)))</f>
        <v/>
      </c>
      <c r="B353" s="8">
        <f>IF(ISNA(MATCH(340,Engine!$C$2:$C$1960,0)),"",INDEX('Compliance Database'!$B$2:$B$1960,MATCH(340,Engine!$C$2:$C$1960,0)))</f>
        <v/>
      </c>
      <c r="C353" s="8">
        <f>IF(ISNA(MATCH(340,Engine!$C$2:$C$1960,0)),"",INDEX('Compliance Database'!$C$2:$C$1960,MATCH(340,Engine!$C$2:$C$1960,0)))</f>
        <v/>
      </c>
      <c r="D353" s="9">
        <f>IF(ISNA(MATCH(340,Engine!$C$2:$C$1960,0)),"",INDEX('Compliance Database'!$D$2:$D$1960,MATCH(340,Engine!$C$2:$C$1960,0)))</f>
        <v/>
      </c>
      <c r="E353" s="8">
        <f>IF(ISNA(MATCH(340,Engine!$C$2:$C$1960,0)),"",INDEX('Compliance Database'!$E$2:$E$1960,MATCH(340,Engine!$C$2:$C$1960,0)))</f>
        <v/>
      </c>
      <c r="F353" s="8">
        <f>IF(ISNA(MATCH(340,Engine!$C$2:$C$1960,0)),"",INDEX('Compliance Database'!$F$2:$F$1960,MATCH(340,Engine!$C$2:$C$1960,0)))</f>
        <v/>
      </c>
      <c r="G353" s="8">
        <f>IF(ISNA(MATCH(340,Engine!$C$2:$C$1960,0)),"",INDEX('Compliance Database'!$G$2:$G$1960,MATCH(340,Engine!$C$2:$C$1960,0)))</f>
        <v/>
      </c>
      <c r="H353" s="9">
        <f>IF(ISNA(MATCH(340,Engine!$C$2:$C$1960,0)),"",INDEX('Compliance Database'!$H$2:$H$1960,MATCH(340,Engine!$C$2:$C$1960,0)))</f>
        <v/>
      </c>
      <c r="I353" s="9">
        <f>IF(ISNA(MATCH(340,Engine!$C$2:$C$1960,0)),"",INDEX('Compliance Database'!$I$2:$I$1960,MATCH(340,Engine!$C$2:$C$1960,0)))</f>
        <v/>
      </c>
      <c r="J353" s="8">
        <f>IF(ISNA(MATCH(340,Engine!$C$2:$C$1960,0)),"",INDEX('Compliance Database'!$J$2:$J$1960,MATCH(340,Engine!$C$2:$C$1960,0)))</f>
        <v/>
      </c>
      <c r="K353" s="9">
        <f>IF(ISNA(MATCH(340,Engine!$C$2:$C$1960,0)),"",INDEX('Compliance Database'!$K$2:$K$1960,MATCH(340,Engine!$C$2:$C$1960,0)))</f>
        <v/>
      </c>
      <c r="L353" s="9">
        <f>IF(ISNA(MATCH(340,Engine!$C$2:$C$1960,0)),"",INDEX('Compliance Database'!$L$2:$L$1960,MATCH(340,Engine!$C$2:$C$1960,0)))</f>
        <v/>
      </c>
      <c r="M353" s="9">
        <f>IF(ISNA(MATCH(340,Engine!$C$2:$C$1960,0)),"",INDEX('Compliance Database'!$M$2:$M$1960,MATCH(340,Engine!$C$2:$C$1960,0)))</f>
        <v/>
      </c>
      <c r="N353" s="9">
        <f>IF(ISNA(MATCH(340,Engine!$C$2:$C$1960,0)),"",INDEX('Compliance Database'!$N$2:$N$1960,MATCH(340,Engine!$C$2:$C$1960,0)))</f>
        <v/>
      </c>
      <c r="O353" s="9">
        <f>IF(ISNA(MATCH(340,Engine!$C$2:$C$1960,0)),"",INDEX('Compliance Database'!$O$2:$O$1960,MATCH(340,Engine!$C$2:$C$1960,0)))</f>
        <v/>
      </c>
      <c r="P353" s="8">
        <f>IF(ISNA(MATCH(340,Engine!$C$2:$C$1960,0)),"",HYPERLINK("#Acts!A"&amp;INDEX('Compliance Database'!$P$2:$P$1960,MATCH(340,Engine!$C$2:$C$1960,0)),"Go to Act"))</f>
        <v/>
      </c>
    </row>
    <row r="354" ht="158" customHeight="1">
      <c r="A354" s="8">
        <f>IF(ISNA(MATCH(341,Engine!$C$2:$C$1960,0)),"",INDEX('Compliance Database'!$A$2:$A$1960,MATCH(341,Engine!$C$2:$C$1960,0)))</f>
        <v/>
      </c>
      <c r="B354" s="8">
        <f>IF(ISNA(MATCH(341,Engine!$C$2:$C$1960,0)),"",INDEX('Compliance Database'!$B$2:$B$1960,MATCH(341,Engine!$C$2:$C$1960,0)))</f>
        <v/>
      </c>
      <c r="C354" s="8">
        <f>IF(ISNA(MATCH(341,Engine!$C$2:$C$1960,0)),"",INDEX('Compliance Database'!$C$2:$C$1960,MATCH(341,Engine!$C$2:$C$1960,0)))</f>
        <v/>
      </c>
      <c r="D354" s="9">
        <f>IF(ISNA(MATCH(341,Engine!$C$2:$C$1960,0)),"",INDEX('Compliance Database'!$D$2:$D$1960,MATCH(341,Engine!$C$2:$C$1960,0)))</f>
        <v/>
      </c>
      <c r="E354" s="8">
        <f>IF(ISNA(MATCH(341,Engine!$C$2:$C$1960,0)),"",INDEX('Compliance Database'!$E$2:$E$1960,MATCH(341,Engine!$C$2:$C$1960,0)))</f>
        <v/>
      </c>
      <c r="F354" s="8">
        <f>IF(ISNA(MATCH(341,Engine!$C$2:$C$1960,0)),"",INDEX('Compliance Database'!$F$2:$F$1960,MATCH(341,Engine!$C$2:$C$1960,0)))</f>
        <v/>
      </c>
      <c r="G354" s="8">
        <f>IF(ISNA(MATCH(341,Engine!$C$2:$C$1960,0)),"",INDEX('Compliance Database'!$G$2:$G$1960,MATCH(341,Engine!$C$2:$C$1960,0)))</f>
        <v/>
      </c>
      <c r="H354" s="9">
        <f>IF(ISNA(MATCH(341,Engine!$C$2:$C$1960,0)),"",INDEX('Compliance Database'!$H$2:$H$1960,MATCH(341,Engine!$C$2:$C$1960,0)))</f>
        <v/>
      </c>
      <c r="I354" s="9">
        <f>IF(ISNA(MATCH(341,Engine!$C$2:$C$1960,0)),"",INDEX('Compliance Database'!$I$2:$I$1960,MATCH(341,Engine!$C$2:$C$1960,0)))</f>
        <v/>
      </c>
      <c r="J354" s="8">
        <f>IF(ISNA(MATCH(341,Engine!$C$2:$C$1960,0)),"",INDEX('Compliance Database'!$J$2:$J$1960,MATCH(341,Engine!$C$2:$C$1960,0)))</f>
        <v/>
      </c>
      <c r="K354" s="9">
        <f>IF(ISNA(MATCH(341,Engine!$C$2:$C$1960,0)),"",INDEX('Compliance Database'!$K$2:$K$1960,MATCH(341,Engine!$C$2:$C$1960,0)))</f>
        <v/>
      </c>
      <c r="L354" s="9">
        <f>IF(ISNA(MATCH(341,Engine!$C$2:$C$1960,0)),"",INDEX('Compliance Database'!$L$2:$L$1960,MATCH(341,Engine!$C$2:$C$1960,0)))</f>
        <v/>
      </c>
      <c r="M354" s="9">
        <f>IF(ISNA(MATCH(341,Engine!$C$2:$C$1960,0)),"",INDEX('Compliance Database'!$M$2:$M$1960,MATCH(341,Engine!$C$2:$C$1960,0)))</f>
        <v/>
      </c>
      <c r="N354" s="9">
        <f>IF(ISNA(MATCH(341,Engine!$C$2:$C$1960,0)),"",INDEX('Compliance Database'!$N$2:$N$1960,MATCH(341,Engine!$C$2:$C$1960,0)))</f>
        <v/>
      </c>
      <c r="O354" s="9">
        <f>IF(ISNA(MATCH(341,Engine!$C$2:$C$1960,0)),"",INDEX('Compliance Database'!$O$2:$O$1960,MATCH(341,Engine!$C$2:$C$1960,0)))</f>
        <v/>
      </c>
      <c r="P354" s="8">
        <f>IF(ISNA(MATCH(341,Engine!$C$2:$C$1960,0)),"",HYPERLINK("#Acts!A"&amp;INDEX('Compliance Database'!$P$2:$P$1960,MATCH(341,Engine!$C$2:$C$1960,0)),"Go to Act"))</f>
        <v/>
      </c>
    </row>
    <row r="355" ht="158" customHeight="1">
      <c r="A355" s="8">
        <f>IF(ISNA(MATCH(342,Engine!$C$2:$C$1960,0)),"",INDEX('Compliance Database'!$A$2:$A$1960,MATCH(342,Engine!$C$2:$C$1960,0)))</f>
        <v/>
      </c>
      <c r="B355" s="8">
        <f>IF(ISNA(MATCH(342,Engine!$C$2:$C$1960,0)),"",INDEX('Compliance Database'!$B$2:$B$1960,MATCH(342,Engine!$C$2:$C$1960,0)))</f>
        <v/>
      </c>
      <c r="C355" s="8">
        <f>IF(ISNA(MATCH(342,Engine!$C$2:$C$1960,0)),"",INDEX('Compliance Database'!$C$2:$C$1960,MATCH(342,Engine!$C$2:$C$1960,0)))</f>
        <v/>
      </c>
      <c r="D355" s="9">
        <f>IF(ISNA(MATCH(342,Engine!$C$2:$C$1960,0)),"",INDEX('Compliance Database'!$D$2:$D$1960,MATCH(342,Engine!$C$2:$C$1960,0)))</f>
        <v/>
      </c>
      <c r="E355" s="8">
        <f>IF(ISNA(MATCH(342,Engine!$C$2:$C$1960,0)),"",INDEX('Compliance Database'!$E$2:$E$1960,MATCH(342,Engine!$C$2:$C$1960,0)))</f>
        <v/>
      </c>
      <c r="F355" s="8">
        <f>IF(ISNA(MATCH(342,Engine!$C$2:$C$1960,0)),"",INDEX('Compliance Database'!$F$2:$F$1960,MATCH(342,Engine!$C$2:$C$1960,0)))</f>
        <v/>
      </c>
      <c r="G355" s="8">
        <f>IF(ISNA(MATCH(342,Engine!$C$2:$C$1960,0)),"",INDEX('Compliance Database'!$G$2:$G$1960,MATCH(342,Engine!$C$2:$C$1960,0)))</f>
        <v/>
      </c>
      <c r="H355" s="9">
        <f>IF(ISNA(MATCH(342,Engine!$C$2:$C$1960,0)),"",INDEX('Compliance Database'!$H$2:$H$1960,MATCH(342,Engine!$C$2:$C$1960,0)))</f>
        <v/>
      </c>
      <c r="I355" s="9">
        <f>IF(ISNA(MATCH(342,Engine!$C$2:$C$1960,0)),"",INDEX('Compliance Database'!$I$2:$I$1960,MATCH(342,Engine!$C$2:$C$1960,0)))</f>
        <v/>
      </c>
      <c r="J355" s="8">
        <f>IF(ISNA(MATCH(342,Engine!$C$2:$C$1960,0)),"",INDEX('Compliance Database'!$J$2:$J$1960,MATCH(342,Engine!$C$2:$C$1960,0)))</f>
        <v/>
      </c>
      <c r="K355" s="9">
        <f>IF(ISNA(MATCH(342,Engine!$C$2:$C$1960,0)),"",INDEX('Compliance Database'!$K$2:$K$1960,MATCH(342,Engine!$C$2:$C$1960,0)))</f>
        <v/>
      </c>
      <c r="L355" s="9">
        <f>IF(ISNA(MATCH(342,Engine!$C$2:$C$1960,0)),"",INDEX('Compliance Database'!$L$2:$L$1960,MATCH(342,Engine!$C$2:$C$1960,0)))</f>
        <v/>
      </c>
      <c r="M355" s="9">
        <f>IF(ISNA(MATCH(342,Engine!$C$2:$C$1960,0)),"",INDEX('Compliance Database'!$M$2:$M$1960,MATCH(342,Engine!$C$2:$C$1960,0)))</f>
        <v/>
      </c>
      <c r="N355" s="9">
        <f>IF(ISNA(MATCH(342,Engine!$C$2:$C$1960,0)),"",INDEX('Compliance Database'!$N$2:$N$1960,MATCH(342,Engine!$C$2:$C$1960,0)))</f>
        <v/>
      </c>
      <c r="O355" s="9">
        <f>IF(ISNA(MATCH(342,Engine!$C$2:$C$1960,0)),"",INDEX('Compliance Database'!$O$2:$O$1960,MATCH(342,Engine!$C$2:$C$1960,0)))</f>
        <v/>
      </c>
      <c r="P355" s="8">
        <f>IF(ISNA(MATCH(342,Engine!$C$2:$C$1960,0)),"",HYPERLINK("#Acts!A"&amp;INDEX('Compliance Database'!$P$2:$P$1960,MATCH(342,Engine!$C$2:$C$1960,0)),"Go to Act"))</f>
        <v/>
      </c>
    </row>
    <row r="356" ht="158" customHeight="1">
      <c r="A356" s="8">
        <f>IF(ISNA(MATCH(343,Engine!$C$2:$C$1960,0)),"",INDEX('Compliance Database'!$A$2:$A$1960,MATCH(343,Engine!$C$2:$C$1960,0)))</f>
        <v/>
      </c>
      <c r="B356" s="8">
        <f>IF(ISNA(MATCH(343,Engine!$C$2:$C$1960,0)),"",INDEX('Compliance Database'!$B$2:$B$1960,MATCH(343,Engine!$C$2:$C$1960,0)))</f>
        <v/>
      </c>
      <c r="C356" s="8">
        <f>IF(ISNA(MATCH(343,Engine!$C$2:$C$1960,0)),"",INDEX('Compliance Database'!$C$2:$C$1960,MATCH(343,Engine!$C$2:$C$1960,0)))</f>
        <v/>
      </c>
      <c r="D356" s="9">
        <f>IF(ISNA(MATCH(343,Engine!$C$2:$C$1960,0)),"",INDEX('Compliance Database'!$D$2:$D$1960,MATCH(343,Engine!$C$2:$C$1960,0)))</f>
        <v/>
      </c>
      <c r="E356" s="8">
        <f>IF(ISNA(MATCH(343,Engine!$C$2:$C$1960,0)),"",INDEX('Compliance Database'!$E$2:$E$1960,MATCH(343,Engine!$C$2:$C$1960,0)))</f>
        <v/>
      </c>
      <c r="F356" s="8">
        <f>IF(ISNA(MATCH(343,Engine!$C$2:$C$1960,0)),"",INDEX('Compliance Database'!$F$2:$F$1960,MATCH(343,Engine!$C$2:$C$1960,0)))</f>
        <v/>
      </c>
      <c r="G356" s="8">
        <f>IF(ISNA(MATCH(343,Engine!$C$2:$C$1960,0)),"",INDEX('Compliance Database'!$G$2:$G$1960,MATCH(343,Engine!$C$2:$C$1960,0)))</f>
        <v/>
      </c>
      <c r="H356" s="9">
        <f>IF(ISNA(MATCH(343,Engine!$C$2:$C$1960,0)),"",INDEX('Compliance Database'!$H$2:$H$1960,MATCH(343,Engine!$C$2:$C$1960,0)))</f>
        <v/>
      </c>
      <c r="I356" s="9">
        <f>IF(ISNA(MATCH(343,Engine!$C$2:$C$1960,0)),"",INDEX('Compliance Database'!$I$2:$I$1960,MATCH(343,Engine!$C$2:$C$1960,0)))</f>
        <v/>
      </c>
      <c r="J356" s="8">
        <f>IF(ISNA(MATCH(343,Engine!$C$2:$C$1960,0)),"",INDEX('Compliance Database'!$J$2:$J$1960,MATCH(343,Engine!$C$2:$C$1960,0)))</f>
        <v/>
      </c>
      <c r="K356" s="9">
        <f>IF(ISNA(MATCH(343,Engine!$C$2:$C$1960,0)),"",INDEX('Compliance Database'!$K$2:$K$1960,MATCH(343,Engine!$C$2:$C$1960,0)))</f>
        <v/>
      </c>
      <c r="L356" s="9">
        <f>IF(ISNA(MATCH(343,Engine!$C$2:$C$1960,0)),"",INDEX('Compliance Database'!$L$2:$L$1960,MATCH(343,Engine!$C$2:$C$1960,0)))</f>
        <v/>
      </c>
      <c r="M356" s="9">
        <f>IF(ISNA(MATCH(343,Engine!$C$2:$C$1960,0)),"",INDEX('Compliance Database'!$M$2:$M$1960,MATCH(343,Engine!$C$2:$C$1960,0)))</f>
        <v/>
      </c>
      <c r="N356" s="9">
        <f>IF(ISNA(MATCH(343,Engine!$C$2:$C$1960,0)),"",INDEX('Compliance Database'!$N$2:$N$1960,MATCH(343,Engine!$C$2:$C$1960,0)))</f>
        <v/>
      </c>
      <c r="O356" s="9">
        <f>IF(ISNA(MATCH(343,Engine!$C$2:$C$1960,0)),"",INDEX('Compliance Database'!$O$2:$O$1960,MATCH(343,Engine!$C$2:$C$1960,0)))</f>
        <v/>
      </c>
      <c r="P356" s="8">
        <f>IF(ISNA(MATCH(343,Engine!$C$2:$C$1960,0)),"",HYPERLINK("#Acts!A"&amp;INDEX('Compliance Database'!$P$2:$P$1960,MATCH(343,Engine!$C$2:$C$1960,0)),"Go to Act"))</f>
        <v/>
      </c>
    </row>
    <row r="357" ht="158" customHeight="1">
      <c r="A357" s="8">
        <f>IF(ISNA(MATCH(344,Engine!$C$2:$C$1960,0)),"",INDEX('Compliance Database'!$A$2:$A$1960,MATCH(344,Engine!$C$2:$C$1960,0)))</f>
        <v/>
      </c>
      <c r="B357" s="8">
        <f>IF(ISNA(MATCH(344,Engine!$C$2:$C$1960,0)),"",INDEX('Compliance Database'!$B$2:$B$1960,MATCH(344,Engine!$C$2:$C$1960,0)))</f>
        <v/>
      </c>
      <c r="C357" s="8">
        <f>IF(ISNA(MATCH(344,Engine!$C$2:$C$1960,0)),"",INDEX('Compliance Database'!$C$2:$C$1960,MATCH(344,Engine!$C$2:$C$1960,0)))</f>
        <v/>
      </c>
      <c r="D357" s="9">
        <f>IF(ISNA(MATCH(344,Engine!$C$2:$C$1960,0)),"",INDEX('Compliance Database'!$D$2:$D$1960,MATCH(344,Engine!$C$2:$C$1960,0)))</f>
        <v/>
      </c>
      <c r="E357" s="8">
        <f>IF(ISNA(MATCH(344,Engine!$C$2:$C$1960,0)),"",INDEX('Compliance Database'!$E$2:$E$1960,MATCH(344,Engine!$C$2:$C$1960,0)))</f>
        <v/>
      </c>
      <c r="F357" s="8">
        <f>IF(ISNA(MATCH(344,Engine!$C$2:$C$1960,0)),"",INDEX('Compliance Database'!$F$2:$F$1960,MATCH(344,Engine!$C$2:$C$1960,0)))</f>
        <v/>
      </c>
      <c r="G357" s="8">
        <f>IF(ISNA(MATCH(344,Engine!$C$2:$C$1960,0)),"",INDEX('Compliance Database'!$G$2:$G$1960,MATCH(344,Engine!$C$2:$C$1960,0)))</f>
        <v/>
      </c>
      <c r="H357" s="9">
        <f>IF(ISNA(MATCH(344,Engine!$C$2:$C$1960,0)),"",INDEX('Compliance Database'!$H$2:$H$1960,MATCH(344,Engine!$C$2:$C$1960,0)))</f>
        <v/>
      </c>
      <c r="I357" s="9">
        <f>IF(ISNA(MATCH(344,Engine!$C$2:$C$1960,0)),"",INDEX('Compliance Database'!$I$2:$I$1960,MATCH(344,Engine!$C$2:$C$1960,0)))</f>
        <v/>
      </c>
      <c r="J357" s="8">
        <f>IF(ISNA(MATCH(344,Engine!$C$2:$C$1960,0)),"",INDEX('Compliance Database'!$J$2:$J$1960,MATCH(344,Engine!$C$2:$C$1960,0)))</f>
        <v/>
      </c>
      <c r="K357" s="9">
        <f>IF(ISNA(MATCH(344,Engine!$C$2:$C$1960,0)),"",INDEX('Compliance Database'!$K$2:$K$1960,MATCH(344,Engine!$C$2:$C$1960,0)))</f>
        <v/>
      </c>
      <c r="L357" s="9">
        <f>IF(ISNA(MATCH(344,Engine!$C$2:$C$1960,0)),"",INDEX('Compliance Database'!$L$2:$L$1960,MATCH(344,Engine!$C$2:$C$1960,0)))</f>
        <v/>
      </c>
      <c r="M357" s="9">
        <f>IF(ISNA(MATCH(344,Engine!$C$2:$C$1960,0)),"",INDEX('Compliance Database'!$M$2:$M$1960,MATCH(344,Engine!$C$2:$C$1960,0)))</f>
        <v/>
      </c>
      <c r="N357" s="9">
        <f>IF(ISNA(MATCH(344,Engine!$C$2:$C$1960,0)),"",INDEX('Compliance Database'!$N$2:$N$1960,MATCH(344,Engine!$C$2:$C$1960,0)))</f>
        <v/>
      </c>
      <c r="O357" s="9">
        <f>IF(ISNA(MATCH(344,Engine!$C$2:$C$1960,0)),"",INDEX('Compliance Database'!$O$2:$O$1960,MATCH(344,Engine!$C$2:$C$1960,0)))</f>
        <v/>
      </c>
      <c r="P357" s="8">
        <f>IF(ISNA(MATCH(344,Engine!$C$2:$C$1960,0)),"",HYPERLINK("#Acts!A"&amp;INDEX('Compliance Database'!$P$2:$P$1960,MATCH(344,Engine!$C$2:$C$1960,0)),"Go to Act"))</f>
        <v/>
      </c>
    </row>
    <row r="358" ht="158" customHeight="1">
      <c r="A358" s="8">
        <f>IF(ISNA(MATCH(345,Engine!$C$2:$C$1960,0)),"",INDEX('Compliance Database'!$A$2:$A$1960,MATCH(345,Engine!$C$2:$C$1960,0)))</f>
        <v/>
      </c>
      <c r="B358" s="8">
        <f>IF(ISNA(MATCH(345,Engine!$C$2:$C$1960,0)),"",INDEX('Compliance Database'!$B$2:$B$1960,MATCH(345,Engine!$C$2:$C$1960,0)))</f>
        <v/>
      </c>
      <c r="C358" s="8">
        <f>IF(ISNA(MATCH(345,Engine!$C$2:$C$1960,0)),"",INDEX('Compliance Database'!$C$2:$C$1960,MATCH(345,Engine!$C$2:$C$1960,0)))</f>
        <v/>
      </c>
      <c r="D358" s="9">
        <f>IF(ISNA(MATCH(345,Engine!$C$2:$C$1960,0)),"",INDEX('Compliance Database'!$D$2:$D$1960,MATCH(345,Engine!$C$2:$C$1960,0)))</f>
        <v/>
      </c>
      <c r="E358" s="8">
        <f>IF(ISNA(MATCH(345,Engine!$C$2:$C$1960,0)),"",INDEX('Compliance Database'!$E$2:$E$1960,MATCH(345,Engine!$C$2:$C$1960,0)))</f>
        <v/>
      </c>
      <c r="F358" s="8">
        <f>IF(ISNA(MATCH(345,Engine!$C$2:$C$1960,0)),"",INDEX('Compliance Database'!$F$2:$F$1960,MATCH(345,Engine!$C$2:$C$1960,0)))</f>
        <v/>
      </c>
      <c r="G358" s="8">
        <f>IF(ISNA(MATCH(345,Engine!$C$2:$C$1960,0)),"",INDEX('Compliance Database'!$G$2:$G$1960,MATCH(345,Engine!$C$2:$C$1960,0)))</f>
        <v/>
      </c>
      <c r="H358" s="9">
        <f>IF(ISNA(MATCH(345,Engine!$C$2:$C$1960,0)),"",INDEX('Compliance Database'!$H$2:$H$1960,MATCH(345,Engine!$C$2:$C$1960,0)))</f>
        <v/>
      </c>
      <c r="I358" s="9">
        <f>IF(ISNA(MATCH(345,Engine!$C$2:$C$1960,0)),"",INDEX('Compliance Database'!$I$2:$I$1960,MATCH(345,Engine!$C$2:$C$1960,0)))</f>
        <v/>
      </c>
      <c r="J358" s="8">
        <f>IF(ISNA(MATCH(345,Engine!$C$2:$C$1960,0)),"",INDEX('Compliance Database'!$J$2:$J$1960,MATCH(345,Engine!$C$2:$C$1960,0)))</f>
        <v/>
      </c>
      <c r="K358" s="9">
        <f>IF(ISNA(MATCH(345,Engine!$C$2:$C$1960,0)),"",INDEX('Compliance Database'!$K$2:$K$1960,MATCH(345,Engine!$C$2:$C$1960,0)))</f>
        <v/>
      </c>
      <c r="L358" s="9">
        <f>IF(ISNA(MATCH(345,Engine!$C$2:$C$1960,0)),"",INDEX('Compliance Database'!$L$2:$L$1960,MATCH(345,Engine!$C$2:$C$1960,0)))</f>
        <v/>
      </c>
      <c r="M358" s="9">
        <f>IF(ISNA(MATCH(345,Engine!$C$2:$C$1960,0)),"",INDEX('Compliance Database'!$M$2:$M$1960,MATCH(345,Engine!$C$2:$C$1960,0)))</f>
        <v/>
      </c>
      <c r="N358" s="9">
        <f>IF(ISNA(MATCH(345,Engine!$C$2:$C$1960,0)),"",INDEX('Compliance Database'!$N$2:$N$1960,MATCH(345,Engine!$C$2:$C$1960,0)))</f>
        <v/>
      </c>
      <c r="O358" s="9">
        <f>IF(ISNA(MATCH(345,Engine!$C$2:$C$1960,0)),"",INDEX('Compliance Database'!$O$2:$O$1960,MATCH(345,Engine!$C$2:$C$1960,0)))</f>
        <v/>
      </c>
      <c r="P358" s="8">
        <f>IF(ISNA(MATCH(345,Engine!$C$2:$C$1960,0)),"",HYPERLINK("#Acts!A"&amp;INDEX('Compliance Database'!$P$2:$P$1960,MATCH(345,Engine!$C$2:$C$1960,0)),"Go to Act"))</f>
        <v/>
      </c>
    </row>
    <row r="359" ht="158" customHeight="1">
      <c r="A359" s="8">
        <f>IF(ISNA(MATCH(346,Engine!$C$2:$C$1960,0)),"",INDEX('Compliance Database'!$A$2:$A$1960,MATCH(346,Engine!$C$2:$C$1960,0)))</f>
        <v/>
      </c>
      <c r="B359" s="8">
        <f>IF(ISNA(MATCH(346,Engine!$C$2:$C$1960,0)),"",INDEX('Compliance Database'!$B$2:$B$1960,MATCH(346,Engine!$C$2:$C$1960,0)))</f>
        <v/>
      </c>
      <c r="C359" s="8">
        <f>IF(ISNA(MATCH(346,Engine!$C$2:$C$1960,0)),"",INDEX('Compliance Database'!$C$2:$C$1960,MATCH(346,Engine!$C$2:$C$1960,0)))</f>
        <v/>
      </c>
      <c r="D359" s="9">
        <f>IF(ISNA(MATCH(346,Engine!$C$2:$C$1960,0)),"",INDEX('Compliance Database'!$D$2:$D$1960,MATCH(346,Engine!$C$2:$C$1960,0)))</f>
        <v/>
      </c>
      <c r="E359" s="8">
        <f>IF(ISNA(MATCH(346,Engine!$C$2:$C$1960,0)),"",INDEX('Compliance Database'!$E$2:$E$1960,MATCH(346,Engine!$C$2:$C$1960,0)))</f>
        <v/>
      </c>
      <c r="F359" s="8">
        <f>IF(ISNA(MATCH(346,Engine!$C$2:$C$1960,0)),"",INDEX('Compliance Database'!$F$2:$F$1960,MATCH(346,Engine!$C$2:$C$1960,0)))</f>
        <v/>
      </c>
      <c r="G359" s="8">
        <f>IF(ISNA(MATCH(346,Engine!$C$2:$C$1960,0)),"",INDEX('Compliance Database'!$G$2:$G$1960,MATCH(346,Engine!$C$2:$C$1960,0)))</f>
        <v/>
      </c>
      <c r="H359" s="9">
        <f>IF(ISNA(MATCH(346,Engine!$C$2:$C$1960,0)),"",INDEX('Compliance Database'!$H$2:$H$1960,MATCH(346,Engine!$C$2:$C$1960,0)))</f>
        <v/>
      </c>
      <c r="I359" s="9">
        <f>IF(ISNA(MATCH(346,Engine!$C$2:$C$1960,0)),"",INDEX('Compliance Database'!$I$2:$I$1960,MATCH(346,Engine!$C$2:$C$1960,0)))</f>
        <v/>
      </c>
      <c r="J359" s="8">
        <f>IF(ISNA(MATCH(346,Engine!$C$2:$C$1960,0)),"",INDEX('Compliance Database'!$J$2:$J$1960,MATCH(346,Engine!$C$2:$C$1960,0)))</f>
        <v/>
      </c>
      <c r="K359" s="9">
        <f>IF(ISNA(MATCH(346,Engine!$C$2:$C$1960,0)),"",INDEX('Compliance Database'!$K$2:$K$1960,MATCH(346,Engine!$C$2:$C$1960,0)))</f>
        <v/>
      </c>
      <c r="L359" s="9">
        <f>IF(ISNA(MATCH(346,Engine!$C$2:$C$1960,0)),"",INDEX('Compliance Database'!$L$2:$L$1960,MATCH(346,Engine!$C$2:$C$1960,0)))</f>
        <v/>
      </c>
      <c r="M359" s="9">
        <f>IF(ISNA(MATCH(346,Engine!$C$2:$C$1960,0)),"",INDEX('Compliance Database'!$M$2:$M$1960,MATCH(346,Engine!$C$2:$C$1960,0)))</f>
        <v/>
      </c>
      <c r="N359" s="9">
        <f>IF(ISNA(MATCH(346,Engine!$C$2:$C$1960,0)),"",INDEX('Compliance Database'!$N$2:$N$1960,MATCH(346,Engine!$C$2:$C$1960,0)))</f>
        <v/>
      </c>
      <c r="O359" s="9">
        <f>IF(ISNA(MATCH(346,Engine!$C$2:$C$1960,0)),"",INDEX('Compliance Database'!$O$2:$O$1960,MATCH(346,Engine!$C$2:$C$1960,0)))</f>
        <v/>
      </c>
      <c r="P359" s="8">
        <f>IF(ISNA(MATCH(346,Engine!$C$2:$C$1960,0)),"",HYPERLINK("#Acts!A"&amp;INDEX('Compliance Database'!$P$2:$P$1960,MATCH(346,Engine!$C$2:$C$1960,0)),"Go to Act"))</f>
        <v/>
      </c>
    </row>
    <row r="360" ht="158" customHeight="1">
      <c r="A360" s="8">
        <f>IF(ISNA(MATCH(347,Engine!$C$2:$C$1960,0)),"",INDEX('Compliance Database'!$A$2:$A$1960,MATCH(347,Engine!$C$2:$C$1960,0)))</f>
        <v/>
      </c>
      <c r="B360" s="8">
        <f>IF(ISNA(MATCH(347,Engine!$C$2:$C$1960,0)),"",INDEX('Compliance Database'!$B$2:$B$1960,MATCH(347,Engine!$C$2:$C$1960,0)))</f>
        <v/>
      </c>
      <c r="C360" s="8">
        <f>IF(ISNA(MATCH(347,Engine!$C$2:$C$1960,0)),"",INDEX('Compliance Database'!$C$2:$C$1960,MATCH(347,Engine!$C$2:$C$1960,0)))</f>
        <v/>
      </c>
      <c r="D360" s="9">
        <f>IF(ISNA(MATCH(347,Engine!$C$2:$C$1960,0)),"",INDEX('Compliance Database'!$D$2:$D$1960,MATCH(347,Engine!$C$2:$C$1960,0)))</f>
        <v/>
      </c>
      <c r="E360" s="8">
        <f>IF(ISNA(MATCH(347,Engine!$C$2:$C$1960,0)),"",INDEX('Compliance Database'!$E$2:$E$1960,MATCH(347,Engine!$C$2:$C$1960,0)))</f>
        <v/>
      </c>
      <c r="F360" s="8">
        <f>IF(ISNA(MATCH(347,Engine!$C$2:$C$1960,0)),"",INDEX('Compliance Database'!$F$2:$F$1960,MATCH(347,Engine!$C$2:$C$1960,0)))</f>
        <v/>
      </c>
      <c r="G360" s="8">
        <f>IF(ISNA(MATCH(347,Engine!$C$2:$C$1960,0)),"",INDEX('Compliance Database'!$G$2:$G$1960,MATCH(347,Engine!$C$2:$C$1960,0)))</f>
        <v/>
      </c>
      <c r="H360" s="9">
        <f>IF(ISNA(MATCH(347,Engine!$C$2:$C$1960,0)),"",INDEX('Compliance Database'!$H$2:$H$1960,MATCH(347,Engine!$C$2:$C$1960,0)))</f>
        <v/>
      </c>
      <c r="I360" s="9">
        <f>IF(ISNA(MATCH(347,Engine!$C$2:$C$1960,0)),"",INDEX('Compliance Database'!$I$2:$I$1960,MATCH(347,Engine!$C$2:$C$1960,0)))</f>
        <v/>
      </c>
      <c r="J360" s="8">
        <f>IF(ISNA(MATCH(347,Engine!$C$2:$C$1960,0)),"",INDEX('Compliance Database'!$J$2:$J$1960,MATCH(347,Engine!$C$2:$C$1960,0)))</f>
        <v/>
      </c>
      <c r="K360" s="9">
        <f>IF(ISNA(MATCH(347,Engine!$C$2:$C$1960,0)),"",INDEX('Compliance Database'!$K$2:$K$1960,MATCH(347,Engine!$C$2:$C$1960,0)))</f>
        <v/>
      </c>
      <c r="L360" s="9">
        <f>IF(ISNA(MATCH(347,Engine!$C$2:$C$1960,0)),"",INDEX('Compliance Database'!$L$2:$L$1960,MATCH(347,Engine!$C$2:$C$1960,0)))</f>
        <v/>
      </c>
      <c r="M360" s="9">
        <f>IF(ISNA(MATCH(347,Engine!$C$2:$C$1960,0)),"",INDEX('Compliance Database'!$M$2:$M$1960,MATCH(347,Engine!$C$2:$C$1960,0)))</f>
        <v/>
      </c>
      <c r="N360" s="9">
        <f>IF(ISNA(MATCH(347,Engine!$C$2:$C$1960,0)),"",INDEX('Compliance Database'!$N$2:$N$1960,MATCH(347,Engine!$C$2:$C$1960,0)))</f>
        <v/>
      </c>
      <c r="O360" s="9">
        <f>IF(ISNA(MATCH(347,Engine!$C$2:$C$1960,0)),"",INDEX('Compliance Database'!$O$2:$O$1960,MATCH(347,Engine!$C$2:$C$1960,0)))</f>
        <v/>
      </c>
      <c r="P360" s="8">
        <f>IF(ISNA(MATCH(347,Engine!$C$2:$C$1960,0)),"",HYPERLINK("#Acts!A"&amp;INDEX('Compliance Database'!$P$2:$P$1960,MATCH(347,Engine!$C$2:$C$1960,0)),"Go to Act"))</f>
        <v/>
      </c>
    </row>
    <row r="361" ht="158" customHeight="1">
      <c r="A361" s="8">
        <f>IF(ISNA(MATCH(348,Engine!$C$2:$C$1960,0)),"",INDEX('Compliance Database'!$A$2:$A$1960,MATCH(348,Engine!$C$2:$C$1960,0)))</f>
        <v/>
      </c>
      <c r="B361" s="8">
        <f>IF(ISNA(MATCH(348,Engine!$C$2:$C$1960,0)),"",INDEX('Compliance Database'!$B$2:$B$1960,MATCH(348,Engine!$C$2:$C$1960,0)))</f>
        <v/>
      </c>
      <c r="C361" s="8">
        <f>IF(ISNA(MATCH(348,Engine!$C$2:$C$1960,0)),"",INDEX('Compliance Database'!$C$2:$C$1960,MATCH(348,Engine!$C$2:$C$1960,0)))</f>
        <v/>
      </c>
      <c r="D361" s="9">
        <f>IF(ISNA(MATCH(348,Engine!$C$2:$C$1960,0)),"",INDEX('Compliance Database'!$D$2:$D$1960,MATCH(348,Engine!$C$2:$C$1960,0)))</f>
        <v/>
      </c>
      <c r="E361" s="8">
        <f>IF(ISNA(MATCH(348,Engine!$C$2:$C$1960,0)),"",INDEX('Compliance Database'!$E$2:$E$1960,MATCH(348,Engine!$C$2:$C$1960,0)))</f>
        <v/>
      </c>
      <c r="F361" s="8">
        <f>IF(ISNA(MATCH(348,Engine!$C$2:$C$1960,0)),"",INDEX('Compliance Database'!$F$2:$F$1960,MATCH(348,Engine!$C$2:$C$1960,0)))</f>
        <v/>
      </c>
      <c r="G361" s="8">
        <f>IF(ISNA(MATCH(348,Engine!$C$2:$C$1960,0)),"",INDEX('Compliance Database'!$G$2:$G$1960,MATCH(348,Engine!$C$2:$C$1960,0)))</f>
        <v/>
      </c>
      <c r="H361" s="9">
        <f>IF(ISNA(MATCH(348,Engine!$C$2:$C$1960,0)),"",INDEX('Compliance Database'!$H$2:$H$1960,MATCH(348,Engine!$C$2:$C$1960,0)))</f>
        <v/>
      </c>
      <c r="I361" s="9">
        <f>IF(ISNA(MATCH(348,Engine!$C$2:$C$1960,0)),"",INDEX('Compliance Database'!$I$2:$I$1960,MATCH(348,Engine!$C$2:$C$1960,0)))</f>
        <v/>
      </c>
      <c r="J361" s="8">
        <f>IF(ISNA(MATCH(348,Engine!$C$2:$C$1960,0)),"",INDEX('Compliance Database'!$J$2:$J$1960,MATCH(348,Engine!$C$2:$C$1960,0)))</f>
        <v/>
      </c>
      <c r="K361" s="9">
        <f>IF(ISNA(MATCH(348,Engine!$C$2:$C$1960,0)),"",INDEX('Compliance Database'!$K$2:$K$1960,MATCH(348,Engine!$C$2:$C$1960,0)))</f>
        <v/>
      </c>
      <c r="L361" s="9">
        <f>IF(ISNA(MATCH(348,Engine!$C$2:$C$1960,0)),"",INDEX('Compliance Database'!$L$2:$L$1960,MATCH(348,Engine!$C$2:$C$1960,0)))</f>
        <v/>
      </c>
      <c r="M361" s="9">
        <f>IF(ISNA(MATCH(348,Engine!$C$2:$C$1960,0)),"",INDEX('Compliance Database'!$M$2:$M$1960,MATCH(348,Engine!$C$2:$C$1960,0)))</f>
        <v/>
      </c>
      <c r="N361" s="9">
        <f>IF(ISNA(MATCH(348,Engine!$C$2:$C$1960,0)),"",INDEX('Compliance Database'!$N$2:$N$1960,MATCH(348,Engine!$C$2:$C$1960,0)))</f>
        <v/>
      </c>
      <c r="O361" s="9">
        <f>IF(ISNA(MATCH(348,Engine!$C$2:$C$1960,0)),"",INDEX('Compliance Database'!$O$2:$O$1960,MATCH(348,Engine!$C$2:$C$1960,0)))</f>
        <v/>
      </c>
      <c r="P361" s="8">
        <f>IF(ISNA(MATCH(348,Engine!$C$2:$C$1960,0)),"",HYPERLINK("#Acts!A"&amp;INDEX('Compliance Database'!$P$2:$P$1960,MATCH(348,Engine!$C$2:$C$1960,0)),"Go to Act"))</f>
        <v/>
      </c>
    </row>
    <row r="362" ht="158" customHeight="1">
      <c r="A362" s="8">
        <f>IF(ISNA(MATCH(349,Engine!$C$2:$C$1960,0)),"",INDEX('Compliance Database'!$A$2:$A$1960,MATCH(349,Engine!$C$2:$C$1960,0)))</f>
        <v/>
      </c>
      <c r="B362" s="8">
        <f>IF(ISNA(MATCH(349,Engine!$C$2:$C$1960,0)),"",INDEX('Compliance Database'!$B$2:$B$1960,MATCH(349,Engine!$C$2:$C$1960,0)))</f>
        <v/>
      </c>
      <c r="C362" s="8">
        <f>IF(ISNA(MATCH(349,Engine!$C$2:$C$1960,0)),"",INDEX('Compliance Database'!$C$2:$C$1960,MATCH(349,Engine!$C$2:$C$1960,0)))</f>
        <v/>
      </c>
      <c r="D362" s="9">
        <f>IF(ISNA(MATCH(349,Engine!$C$2:$C$1960,0)),"",INDEX('Compliance Database'!$D$2:$D$1960,MATCH(349,Engine!$C$2:$C$1960,0)))</f>
        <v/>
      </c>
      <c r="E362" s="8">
        <f>IF(ISNA(MATCH(349,Engine!$C$2:$C$1960,0)),"",INDEX('Compliance Database'!$E$2:$E$1960,MATCH(349,Engine!$C$2:$C$1960,0)))</f>
        <v/>
      </c>
      <c r="F362" s="8">
        <f>IF(ISNA(MATCH(349,Engine!$C$2:$C$1960,0)),"",INDEX('Compliance Database'!$F$2:$F$1960,MATCH(349,Engine!$C$2:$C$1960,0)))</f>
        <v/>
      </c>
      <c r="G362" s="8">
        <f>IF(ISNA(MATCH(349,Engine!$C$2:$C$1960,0)),"",INDEX('Compliance Database'!$G$2:$G$1960,MATCH(349,Engine!$C$2:$C$1960,0)))</f>
        <v/>
      </c>
      <c r="H362" s="9">
        <f>IF(ISNA(MATCH(349,Engine!$C$2:$C$1960,0)),"",INDEX('Compliance Database'!$H$2:$H$1960,MATCH(349,Engine!$C$2:$C$1960,0)))</f>
        <v/>
      </c>
      <c r="I362" s="9">
        <f>IF(ISNA(MATCH(349,Engine!$C$2:$C$1960,0)),"",INDEX('Compliance Database'!$I$2:$I$1960,MATCH(349,Engine!$C$2:$C$1960,0)))</f>
        <v/>
      </c>
      <c r="J362" s="8">
        <f>IF(ISNA(MATCH(349,Engine!$C$2:$C$1960,0)),"",INDEX('Compliance Database'!$J$2:$J$1960,MATCH(349,Engine!$C$2:$C$1960,0)))</f>
        <v/>
      </c>
      <c r="K362" s="9">
        <f>IF(ISNA(MATCH(349,Engine!$C$2:$C$1960,0)),"",INDEX('Compliance Database'!$K$2:$K$1960,MATCH(349,Engine!$C$2:$C$1960,0)))</f>
        <v/>
      </c>
      <c r="L362" s="9">
        <f>IF(ISNA(MATCH(349,Engine!$C$2:$C$1960,0)),"",INDEX('Compliance Database'!$L$2:$L$1960,MATCH(349,Engine!$C$2:$C$1960,0)))</f>
        <v/>
      </c>
      <c r="M362" s="9">
        <f>IF(ISNA(MATCH(349,Engine!$C$2:$C$1960,0)),"",INDEX('Compliance Database'!$M$2:$M$1960,MATCH(349,Engine!$C$2:$C$1960,0)))</f>
        <v/>
      </c>
      <c r="N362" s="9">
        <f>IF(ISNA(MATCH(349,Engine!$C$2:$C$1960,0)),"",INDEX('Compliance Database'!$N$2:$N$1960,MATCH(349,Engine!$C$2:$C$1960,0)))</f>
        <v/>
      </c>
      <c r="O362" s="9">
        <f>IF(ISNA(MATCH(349,Engine!$C$2:$C$1960,0)),"",INDEX('Compliance Database'!$O$2:$O$1960,MATCH(349,Engine!$C$2:$C$1960,0)))</f>
        <v/>
      </c>
      <c r="P362" s="8">
        <f>IF(ISNA(MATCH(349,Engine!$C$2:$C$1960,0)),"",HYPERLINK("#Acts!A"&amp;INDEX('Compliance Database'!$P$2:$P$1960,MATCH(349,Engine!$C$2:$C$1960,0)),"Go to Act"))</f>
        <v/>
      </c>
    </row>
    <row r="363" ht="158" customHeight="1">
      <c r="A363" s="8">
        <f>IF(ISNA(MATCH(350,Engine!$C$2:$C$1960,0)),"",INDEX('Compliance Database'!$A$2:$A$1960,MATCH(350,Engine!$C$2:$C$1960,0)))</f>
        <v/>
      </c>
      <c r="B363" s="8">
        <f>IF(ISNA(MATCH(350,Engine!$C$2:$C$1960,0)),"",INDEX('Compliance Database'!$B$2:$B$1960,MATCH(350,Engine!$C$2:$C$1960,0)))</f>
        <v/>
      </c>
      <c r="C363" s="8">
        <f>IF(ISNA(MATCH(350,Engine!$C$2:$C$1960,0)),"",INDEX('Compliance Database'!$C$2:$C$1960,MATCH(350,Engine!$C$2:$C$1960,0)))</f>
        <v/>
      </c>
      <c r="D363" s="9">
        <f>IF(ISNA(MATCH(350,Engine!$C$2:$C$1960,0)),"",INDEX('Compliance Database'!$D$2:$D$1960,MATCH(350,Engine!$C$2:$C$1960,0)))</f>
        <v/>
      </c>
      <c r="E363" s="8">
        <f>IF(ISNA(MATCH(350,Engine!$C$2:$C$1960,0)),"",INDEX('Compliance Database'!$E$2:$E$1960,MATCH(350,Engine!$C$2:$C$1960,0)))</f>
        <v/>
      </c>
      <c r="F363" s="8">
        <f>IF(ISNA(MATCH(350,Engine!$C$2:$C$1960,0)),"",INDEX('Compliance Database'!$F$2:$F$1960,MATCH(350,Engine!$C$2:$C$1960,0)))</f>
        <v/>
      </c>
      <c r="G363" s="8">
        <f>IF(ISNA(MATCH(350,Engine!$C$2:$C$1960,0)),"",INDEX('Compliance Database'!$G$2:$G$1960,MATCH(350,Engine!$C$2:$C$1960,0)))</f>
        <v/>
      </c>
      <c r="H363" s="9">
        <f>IF(ISNA(MATCH(350,Engine!$C$2:$C$1960,0)),"",INDEX('Compliance Database'!$H$2:$H$1960,MATCH(350,Engine!$C$2:$C$1960,0)))</f>
        <v/>
      </c>
      <c r="I363" s="9">
        <f>IF(ISNA(MATCH(350,Engine!$C$2:$C$1960,0)),"",INDEX('Compliance Database'!$I$2:$I$1960,MATCH(350,Engine!$C$2:$C$1960,0)))</f>
        <v/>
      </c>
      <c r="J363" s="8">
        <f>IF(ISNA(MATCH(350,Engine!$C$2:$C$1960,0)),"",INDEX('Compliance Database'!$J$2:$J$1960,MATCH(350,Engine!$C$2:$C$1960,0)))</f>
        <v/>
      </c>
      <c r="K363" s="9">
        <f>IF(ISNA(MATCH(350,Engine!$C$2:$C$1960,0)),"",INDEX('Compliance Database'!$K$2:$K$1960,MATCH(350,Engine!$C$2:$C$1960,0)))</f>
        <v/>
      </c>
      <c r="L363" s="9">
        <f>IF(ISNA(MATCH(350,Engine!$C$2:$C$1960,0)),"",INDEX('Compliance Database'!$L$2:$L$1960,MATCH(350,Engine!$C$2:$C$1960,0)))</f>
        <v/>
      </c>
      <c r="M363" s="9">
        <f>IF(ISNA(MATCH(350,Engine!$C$2:$C$1960,0)),"",INDEX('Compliance Database'!$M$2:$M$1960,MATCH(350,Engine!$C$2:$C$1960,0)))</f>
        <v/>
      </c>
      <c r="N363" s="9">
        <f>IF(ISNA(MATCH(350,Engine!$C$2:$C$1960,0)),"",INDEX('Compliance Database'!$N$2:$N$1960,MATCH(350,Engine!$C$2:$C$1960,0)))</f>
        <v/>
      </c>
      <c r="O363" s="9">
        <f>IF(ISNA(MATCH(350,Engine!$C$2:$C$1960,0)),"",INDEX('Compliance Database'!$O$2:$O$1960,MATCH(350,Engine!$C$2:$C$1960,0)))</f>
        <v/>
      </c>
      <c r="P363" s="8">
        <f>IF(ISNA(MATCH(350,Engine!$C$2:$C$1960,0)),"",HYPERLINK("#Acts!A"&amp;INDEX('Compliance Database'!$P$2:$P$1960,MATCH(350,Engine!$C$2:$C$1960,0)),"Go to Act"))</f>
        <v/>
      </c>
    </row>
    <row r="364" ht="158" customHeight="1">
      <c r="A364" s="8">
        <f>IF(ISNA(MATCH(351,Engine!$C$2:$C$1960,0)),"",INDEX('Compliance Database'!$A$2:$A$1960,MATCH(351,Engine!$C$2:$C$1960,0)))</f>
        <v/>
      </c>
      <c r="B364" s="8">
        <f>IF(ISNA(MATCH(351,Engine!$C$2:$C$1960,0)),"",INDEX('Compliance Database'!$B$2:$B$1960,MATCH(351,Engine!$C$2:$C$1960,0)))</f>
        <v/>
      </c>
      <c r="C364" s="8">
        <f>IF(ISNA(MATCH(351,Engine!$C$2:$C$1960,0)),"",INDEX('Compliance Database'!$C$2:$C$1960,MATCH(351,Engine!$C$2:$C$1960,0)))</f>
        <v/>
      </c>
      <c r="D364" s="9">
        <f>IF(ISNA(MATCH(351,Engine!$C$2:$C$1960,0)),"",INDEX('Compliance Database'!$D$2:$D$1960,MATCH(351,Engine!$C$2:$C$1960,0)))</f>
        <v/>
      </c>
      <c r="E364" s="8">
        <f>IF(ISNA(MATCH(351,Engine!$C$2:$C$1960,0)),"",INDEX('Compliance Database'!$E$2:$E$1960,MATCH(351,Engine!$C$2:$C$1960,0)))</f>
        <v/>
      </c>
      <c r="F364" s="8">
        <f>IF(ISNA(MATCH(351,Engine!$C$2:$C$1960,0)),"",INDEX('Compliance Database'!$F$2:$F$1960,MATCH(351,Engine!$C$2:$C$1960,0)))</f>
        <v/>
      </c>
      <c r="G364" s="8">
        <f>IF(ISNA(MATCH(351,Engine!$C$2:$C$1960,0)),"",INDEX('Compliance Database'!$G$2:$G$1960,MATCH(351,Engine!$C$2:$C$1960,0)))</f>
        <v/>
      </c>
      <c r="H364" s="9">
        <f>IF(ISNA(MATCH(351,Engine!$C$2:$C$1960,0)),"",INDEX('Compliance Database'!$H$2:$H$1960,MATCH(351,Engine!$C$2:$C$1960,0)))</f>
        <v/>
      </c>
      <c r="I364" s="9">
        <f>IF(ISNA(MATCH(351,Engine!$C$2:$C$1960,0)),"",INDEX('Compliance Database'!$I$2:$I$1960,MATCH(351,Engine!$C$2:$C$1960,0)))</f>
        <v/>
      </c>
      <c r="J364" s="8">
        <f>IF(ISNA(MATCH(351,Engine!$C$2:$C$1960,0)),"",INDEX('Compliance Database'!$J$2:$J$1960,MATCH(351,Engine!$C$2:$C$1960,0)))</f>
        <v/>
      </c>
      <c r="K364" s="9">
        <f>IF(ISNA(MATCH(351,Engine!$C$2:$C$1960,0)),"",INDEX('Compliance Database'!$K$2:$K$1960,MATCH(351,Engine!$C$2:$C$1960,0)))</f>
        <v/>
      </c>
      <c r="L364" s="9">
        <f>IF(ISNA(MATCH(351,Engine!$C$2:$C$1960,0)),"",INDEX('Compliance Database'!$L$2:$L$1960,MATCH(351,Engine!$C$2:$C$1960,0)))</f>
        <v/>
      </c>
      <c r="M364" s="9">
        <f>IF(ISNA(MATCH(351,Engine!$C$2:$C$1960,0)),"",INDEX('Compliance Database'!$M$2:$M$1960,MATCH(351,Engine!$C$2:$C$1960,0)))</f>
        <v/>
      </c>
      <c r="N364" s="9">
        <f>IF(ISNA(MATCH(351,Engine!$C$2:$C$1960,0)),"",INDEX('Compliance Database'!$N$2:$N$1960,MATCH(351,Engine!$C$2:$C$1960,0)))</f>
        <v/>
      </c>
      <c r="O364" s="9">
        <f>IF(ISNA(MATCH(351,Engine!$C$2:$C$1960,0)),"",INDEX('Compliance Database'!$O$2:$O$1960,MATCH(351,Engine!$C$2:$C$1960,0)))</f>
        <v/>
      </c>
      <c r="P364" s="8">
        <f>IF(ISNA(MATCH(351,Engine!$C$2:$C$1960,0)),"",HYPERLINK("#Acts!A"&amp;INDEX('Compliance Database'!$P$2:$P$1960,MATCH(351,Engine!$C$2:$C$1960,0)),"Go to Act"))</f>
        <v/>
      </c>
    </row>
    <row r="365" ht="158" customHeight="1">
      <c r="A365" s="8">
        <f>IF(ISNA(MATCH(352,Engine!$C$2:$C$1960,0)),"",INDEX('Compliance Database'!$A$2:$A$1960,MATCH(352,Engine!$C$2:$C$1960,0)))</f>
        <v/>
      </c>
      <c r="B365" s="8">
        <f>IF(ISNA(MATCH(352,Engine!$C$2:$C$1960,0)),"",INDEX('Compliance Database'!$B$2:$B$1960,MATCH(352,Engine!$C$2:$C$1960,0)))</f>
        <v/>
      </c>
      <c r="C365" s="8">
        <f>IF(ISNA(MATCH(352,Engine!$C$2:$C$1960,0)),"",INDEX('Compliance Database'!$C$2:$C$1960,MATCH(352,Engine!$C$2:$C$1960,0)))</f>
        <v/>
      </c>
      <c r="D365" s="9">
        <f>IF(ISNA(MATCH(352,Engine!$C$2:$C$1960,0)),"",INDEX('Compliance Database'!$D$2:$D$1960,MATCH(352,Engine!$C$2:$C$1960,0)))</f>
        <v/>
      </c>
      <c r="E365" s="8">
        <f>IF(ISNA(MATCH(352,Engine!$C$2:$C$1960,0)),"",INDEX('Compliance Database'!$E$2:$E$1960,MATCH(352,Engine!$C$2:$C$1960,0)))</f>
        <v/>
      </c>
      <c r="F365" s="8">
        <f>IF(ISNA(MATCH(352,Engine!$C$2:$C$1960,0)),"",INDEX('Compliance Database'!$F$2:$F$1960,MATCH(352,Engine!$C$2:$C$1960,0)))</f>
        <v/>
      </c>
      <c r="G365" s="8">
        <f>IF(ISNA(MATCH(352,Engine!$C$2:$C$1960,0)),"",INDEX('Compliance Database'!$G$2:$G$1960,MATCH(352,Engine!$C$2:$C$1960,0)))</f>
        <v/>
      </c>
      <c r="H365" s="9">
        <f>IF(ISNA(MATCH(352,Engine!$C$2:$C$1960,0)),"",INDEX('Compliance Database'!$H$2:$H$1960,MATCH(352,Engine!$C$2:$C$1960,0)))</f>
        <v/>
      </c>
      <c r="I365" s="9">
        <f>IF(ISNA(MATCH(352,Engine!$C$2:$C$1960,0)),"",INDEX('Compliance Database'!$I$2:$I$1960,MATCH(352,Engine!$C$2:$C$1960,0)))</f>
        <v/>
      </c>
      <c r="J365" s="8">
        <f>IF(ISNA(MATCH(352,Engine!$C$2:$C$1960,0)),"",INDEX('Compliance Database'!$J$2:$J$1960,MATCH(352,Engine!$C$2:$C$1960,0)))</f>
        <v/>
      </c>
      <c r="K365" s="9">
        <f>IF(ISNA(MATCH(352,Engine!$C$2:$C$1960,0)),"",INDEX('Compliance Database'!$K$2:$K$1960,MATCH(352,Engine!$C$2:$C$1960,0)))</f>
        <v/>
      </c>
      <c r="L365" s="9">
        <f>IF(ISNA(MATCH(352,Engine!$C$2:$C$1960,0)),"",INDEX('Compliance Database'!$L$2:$L$1960,MATCH(352,Engine!$C$2:$C$1960,0)))</f>
        <v/>
      </c>
      <c r="M365" s="9">
        <f>IF(ISNA(MATCH(352,Engine!$C$2:$C$1960,0)),"",INDEX('Compliance Database'!$M$2:$M$1960,MATCH(352,Engine!$C$2:$C$1960,0)))</f>
        <v/>
      </c>
      <c r="N365" s="9">
        <f>IF(ISNA(MATCH(352,Engine!$C$2:$C$1960,0)),"",INDEX('Compliance Database'!$N$2:$N$1960,MATCH(352,Engine!$C$2:$C$1960,0)))</f>
        <v/>
      </c>
      <c r="O365" s="9">
        <f>IF(ISNA(MATCH(352,Engine!$C$2:$C$1960,0)),"",INDEX('Compliance Database'!$O$2:$O$1960,MATCH(352,Engine!$C$2:$C$1960,0)))</f>
        <v/>
      </c>
      <c r="P365" s="8">
        <f>IF(ISNA(MATCH(352,Engine!$C$2:$C$1960,0)),"",HYPERLINK("#Acts!A"&amp;INDEX('Compliance Database'!$P$2:$P$1960,MATCH(352,Engine!$C$2:$C$1960,0)),"Go to Act"))</f>
        <v/>
      </c>
    </row>
    <row r="366" ht="158" customHeight="1">
      <c r="A366" s="8">
        <f>IF(ISNA(MATCH(353,Engine!$C$2:$C$1960,0)),"",INDEX('Compliance Database'!$A$2:$A$1960,MATCH(353,Engine!$C$2:$C$1960,0)))</f>
        <v/>
      </c>
      <c r="B366" s="8">
        <f>IF(ISNA(MATCH(353,Engine!$C$2:$C$1960,0)),"",INDEX('Compliance Database'!$B$2:$B$1960,MATCH(353,Engine!$C$2:$C$1960,0)))</f>
        <v/>
      </c>
      <c r="C366" s="8">
        <f>IF(ISNA(MATCH(353,Engine!$C$2:$C$1960,0)),"",INDEX('Compliance Database'!$C$2:$C$1960,MATCH(353,Engine!$C$2:$C$1960,0)))</f>
        <v/>
      </c>
      <c r="D366" s="9">
        <f>IF(ISNA(MATCH(353,Engine!$C$2:$C$1960,0)),"",INDEX('Compliance Database'!$D$2:$D$1960,MATCH(353,Engine!$C$2:$C$1960,0)))</f>
        <v/>
      </c>
      <c r="E366" s="8">
        <f>IF(ISNA(MATCH(353,Engine!$C$2:$C$1960,0)),"",INDEX('Compliance Database'!$E$2:$E$1960,MATCH(353,Engine!$C$2:$C$1960,0)))</f>
        <v/>
      </c>
      <c r="F366" s="8">
        <f>IF(ISNA(MATCH(353,Engine!$C$2:$C$1960,0)),"",INDEX('Compliance Database'!$F$2:$F$1960,MATCH(353,Engine!$C$2:$C$1960,0)))</f>
        <v/>
      </c>
      <c r="G366" s="8">
        <f>IF(ISNA(MATCH(353,Engine!$C$2:$C$1960,0)),"",INDEX('Compliance Database'!$G$2:$G$1960,MATCH(353,Engine!$C$2:$C$1960,0)))</f>
        <v/>
      </c>
      <c r="H366" s="9">
        <f>IF(ISNA(MATCH(353,Engine!$C$2:$C$1960,0)),"",INDEX('Compliance Database'!$H$2:$H$1960,MATCH(353,Engine!$C$2:$C$1960,0)))</f>
        <v/>
      </c>
      <c r="I366" s="9">
        <f>IF(ISNA(MATCH(353,Engine!$C$2:$C$1960,0)),"",INDEX('Compliance Database'!$I$2:$I$1960,MATCH(353,Engine!$C$2:$C$1960,0)))</f>
        <v/>
      </c>
      <c r="J366" s="8">
        <f>IF(ISNA(MATCH(353,Engine!$C$2:$C$1960,0)),"",INDEX('Compliance Database'!$J$2:$J$1960,MATCH(353,Engine!$C$2:$C$1960,0)))</f>
        <v/>
      </c>
      <c r="K366" s="9">
        <f>IF(ISNA(MATCH(353,Engine!$C$2:$C$1960,0)),"",INDEX('Compliance Database'!$K$2:$K$1960,MATCH(353,Engine!$C$2:$C$1960,0)))</f>
        <v/>
      </c>
      <c r="L366" s="9">
        <f>IF(ISNA(MATCH(353,Engine!$C$2:$C$1960,0)),"",INDEX('Compliance Database'!$L$2:$L$1960,MATCH(353,Engine!$C$2:$C$1960,0)))</f>
        <v/>
      </c>
      <c r="M366" s="9">
        <f>IF(ISNA(MATCH(353,Engine!$C$2:$C$1960,0)),"",INDEX('Compliance Database'!$M$2:$M$1960,MATCH(353,Engine!$C$2:$C$1960,0)))</f>
        <v/>
      </c>
      <c r="N366" s="9">
        <f>IF(ISNA(MATCH(353,Engine!$C$2:$C$1960,0)),"",INDEX('Compliance Database'!$N$2:$N$1960,MATCH(353,Engine!$C$2:$C$1960,0)))</f>
        <v/>
      </c>
      <c r="O366" s="9">
        <f>IF(ISNA(MATCH(353,Engine!$C$2:$C$1960,0)),"",INDEX('Compliance Database'!$O$2:$O$1960,MATCH(353,Engine!$C$2:$C$1960,0)))</f>
        <v/>
      </c>
      <c r="P366" s="8">
        <f>IF(ISNA(MATCH(353,Engine!$C$2:$C$1960,0)),"",HYPERLINK("#Acts!A"&amp;INDEX('Compliance Database'!$P$2:$P$1960,MATCH(353,Engine!$C$2:$C$1960,0)),"Go to Act"))</f>
        <v/>
      </c>
    </row>
    <row r="367" ht="158" customHeight="1">
      <c r="A367" s="8">
        <f>IF(ISNA(MATCH(354,Engine!$C$2:$C$1960,0)),"",INDEX('Compliance Database'!$A$2:$A$1960,MATCH(354,Engine!$C$2:$C$1960,0)))</f>
        <v/>
      </c>
      <c r="B367" s="8">
        <f>IF(ISNA(MATCH(354,Engine!$C$2:$C$1960,0)),"",INDEX('Compliance Database'!$B$2:$B$1960,MATCH(354,Engine!$C$2:$C$1960,0)))</f>
        <v/>
      </c>
      <c r="C367" s="8">
        <f>IF(ISNA(MATCH(354,Engine!$C$2:$C$1960,0)),"",INDEX('Compliance Database'!$C$2:$C$1960,MATCH(354,Engine!$C$2:$C$1960,0)))</f>
        <v/>
      </c>
      <c r="D367" s="9">
        <f>IF(ISNA(MATCH(354,Engine!$C$2:$C$1960,0)),"",INDEX('Compliance Database'!$D$2:$D$1960,MATCH(354,Engine!$C$2:$C$1960,0)))</f>
        <v/>
      </c>
      <c r="E367" s="8">
        <f>IF(ISNA(MATCH(354,Engine!$C$2:$C$1960,0)),"",INDEX('Compliance Database'!$E$2:$E$1960,MATCH(354,Engine!$C$2:$C$1960,0)))</f>
        <v/>
      </c>
      <c r="F367" s="8">
        <f>IF(ISNA(MATCH(354,Engine!$C$2:$C$1960,0)),"",INDEX('Compliance Database'!$F$2:$F$1960,MATCH(354,Engine!$C$2:$C$1960,0)))</f>
        <v/>
      </c>
      <c r="G367" s="8">
        <f>IF(ISNA(MATCH(354,Engine!$C$2:$C$1960,0)),"",INDEX('Compliance Database'!$G$2:$G$1960,MATCH(354,Engine!$C$2:$C$1960,0)))</f>
        <v/>
      </c>
      <c r="H367" s="9">
        <f>IF(ISNA(MATCH(354,Engine!$C$2:$C$1960,0)),"",INDEX('Compliance Database'!$H$2:$H$1960,MATCH(354,Engine!$C$2:$C$1960,0)))</f>
        <v/>
      </c>
      <c r="I367" s="9">
        <f>IF(ISNA(MATCH(354,Engine!$C$2:$C$1960,0)),"",INDEX('Compliance Database'!$I$2:$I$1960,MATCH(354,Engine!$C$2:$C$1960,0)))</f>
        <v/>
      </c>
      <c r="J367" s="8">
        <f>IF(ISNA(MATCH(354,Engine!$C$2:$C$1960,0)),"",INDEX('Compliance Database'!$J$2:$J$1960,MATCH(354,Engine!$C$2:$C$1960,0)))</f>
        <v/>
      </c>
      <c r="K367" s="9">
        <f>IF(ISNA(MATCH(354,Engine!$C$2:$C$1960,0)),"",INDEX('Compliance Database'!$K$2:$K$1960,MATCH(354,Engine!$C$2:$C$1960,0)))</f>
        <v/>
      </c>
      <c r="L367" s="9">
        <f>IF(ISNA(MATCH(354,Engine!$C$2:$C$1960,0)),"",INDEX('Compliance Database'!$L$2:$L$1960,MATCH(354,Engine!$C$2:$C$1960,0)))</f>
        <v/>
      </c>
      <c r="M367" s="9">
        <f>IF(ISNA(MATCH(354,Engine!$C$2:$C$1960,0)),"",INDEX('Compliance Database'!$M$2:$M$1960,MATCH(354,Engine!$C$2:$C$1960,0)))</f>
        <v/>
      </c>
      <c r="N367" s="9">
        <f>IF(ISNA(MATCH(354,Engine!$C$2:$C$1960,0)),"",INDEX('Compliance Database'!$N$2:$N$1960,MATCH(354,Engine!$C$2:$C$1960,0)))</f>
        <v/>
      </c>
      <c r="O367" s="9">
        <f>IF(ISNA(MATCH(354,Engine!$C$2:$C$1960,0)),"",INDEX('Compliance Database'!$O$2:$O$1960,MATCH(354,Engine!$C$2:$C$1960,0)))</f>
        <v/>
      </c>
      <c r="P367" s="8">
        <f>IF(ISNA(MATCH(354,Engine!$C$2:$C$1960,0)),"",HYPERLINK("#Acts!A"&amp;INDEX('Compliance Database'!$P$2:$P$1960,MATCH(354,Engine!$C$2:$C$1960,0)),"Go to Act"))</f>
        <v/>
      </c>
    </row>
    <row r="368" ht="158" customHeight="1">
      <c r="A368" s="8">
        <f>IF(ISNA(MATCH(355,Engine!$C$2:$C$1960,0)),"",INDEX('Compliance Database'!$A$2:$A$1960,MATCH(355,Engine!$C$2:$C$1960,0)))</f>
        <v/>
      </c>
      <c r="B368" s="8">
        <f>IF(ISNA(MATCH(355,Engine!$C$2:$C$1960,0)),"",INDEX('Compliance Database'!$B$2:$B$1960,MATCH(355,Engine!$C$2:$C$1960,0)))</f>
        <v/>
      </c>
      <c r="C368" s="8">
        <f>IF(ISNA(MATCH(355,Engine!$C$2:$C$1960,0)),"",INDEX('Compliance Database'!$C$2:$C$1960,MATCH(355,Engine!$C$2:$C$1960,0)))</f>
        <v/>
      </c>
      <c r="D368" s="9">
        <f>IF(ISNA(MATCH(355,Engine!$C$2:$C$1960,0)),"",INDEX('Compliance Database'!$D$2:$D$1960,MATCH(355,Engine!$C$2:$C$1960,0)))</f>
        <v/>
      </c>
      <c r="E368" s="8">
        <f>IF(ISNA(MATCH(355,Engine!$C$2:$C$1960,0)),"",INDEX('Compliance Database'!$E$2:$E$1960,MATCH(355,Engine!$C$2:$C$1960,0)))</f>
        <v/>
      </c>
      <c r="F368" s="8">
        <f>IF(ISNA(MATCH(355,Engine!$C$2:$C$1960,0)),"",INDEX('Compliance Database'!$F$2:$F$1960,MATCH(355,Engine!$C$2:$C$1960,0)))</f>
        <v/>
      </c>
      <c r="G368" s="8">
        <f>IF(ISNA(MATCH(355,Engine!$C$2:$C$1960,0)),"",INDEX('Compliance Database'!$G$2:$G$1960,MATCH(355,Engine!$C$2:$C$1960,0)))</f>
        <v/>
      </c>
      <c r="H368" s="9">
        <f>IF(ISNA(MATCH(355,Engine!$C$2:$C$1960,0)),"",INDEX('Compliance Database'!$H$2:$H$1960,MATCH(355,Engine!$C$2:$C$1960,0)))</f>
        <v/>
      </c>
      <c r="I368" s="9">
        <f>IF(ISNA(MATCH(355,Engine!$C$2:$C$1960,0)),"",INDEX('Compliance Database'!$I$2:$I$1960,MATCH(355,Engine!$C$2:$C$1960,0)))</f>
        <v/>
      </c>
      <c r="J368" s="8">
        <f>IF(ISNA(MATCH(355,Engine!$C$2:$C$1960,0)),"",INDEX('Compliance Database'!$J$2:$J$1960,MATCH(355,Engine!$C$2:$C$1960,0)))</f>
        <v/>
      </c>
      <c r="K368" s="9">
        <f>IF(ISNA(MATCH(355,Engine!$C$2:$C$1960,0)),"",INDEX('Compliance Database'!$K$2:$K$1960,MATCH(355,Engine!$C$2:$C$1960,0)))</f>
        <v/>
      </c>
      <c r="L368" s="9">
        <f>IF(ISNA(MATCH(355,Engine!$C$2:$C$1960,0)),"",INDEX('Compliance Database'!$L$2:$L$1960,MATCH(355,Engine!$C$2:$C$1960,0)))</f>
        <v/>
      </c>
      <c r="M368" s="9">
        <f>IF(ISNA(MATCH(355,Engine!$C$2:$C$1960,0)),"",INDEX('Compliance Database'!$M$2:$M$1960,MATCH(355,Engine!$C$2:$C$1960,0)))</f>
        <v/>
      </c>
      <c r="N368" s="9">
        <f>IF(ISNA(MATCH(355,Engine!$C$2:$C$1960,0)),"",INDEX('Compliance Database'!$N$2:$N$1960,MATCH(355,Engine!$C$2:$C$1960,0)))</f>
        <v/>
      </c>
      <c r="O368" s="9">
        <f>IF(ISNA(MATCH(355,Engine!$C$2:$C$1960,0)),"",INDEX('Compliance Database'!$O$2:$O$1960,MATCH(355,Engine!$C$2:$C$1960,0)))</f>
        <v/>
      </c>
      <c r="P368" s="8">
        <f>IF(ISNA(MATCH(355,Engine!$C$2:$C$1960,0)),"",HYPERLINK("#Acts!A"&amp;INDEX('Compliance Database'!$P$2:$P$1960,MATCH(355,Engine!$C$2:$C$1960,0)),"Go to Act"))</f>
        <v/>
      </c>
    </row>
    <row r="369" ht="158" customHeight="1">
      <c r="A369" s="8">
        <f>IF(ISNA(MATCH(356,Engine!$C$2:$C$1960,0)),"",INDEX('Compliance Database'!$A$2:$A$1960,MATCH(356,Engine!$C$2:$C$1960,0)))</f>
        <v/>
      </c>
      <c r="B369" s="8">
        <f>IF(ISNA(MATCH(356,Engine!$C$2:$C$1960,0)),"",INDEX('Compliance Database'!$B$2:$B$1960,MATCH(356,Engine!$C$2:$C$1960,0)))</f>
        <v/>
      </c>
      <c r="C369" s="8">
        <f>IF(ISNA(MATCH(356,Engine!$C$2:$C$1960,0)),"",INDEX('Compliance Database'!$C$2:$C$1960,MATCH(356,Engine!$C$2:$C$1960,0)))</f>
        <v/>
      </c>
      <c r="D369" s="9">
        <f>IF(ISNA(MATCH(356,Engine!$C$2:$C$1960,0)),"",INDEX('Compliance Database'!$D$2:$D$1960,MATCH(356,Engine!$C$2:$C$1960,0)))</f>
        <v/>
      </c>
      <c r="E369" s="8">
        <f>IF(ISNA(MATCH(356,Engine!$C$2:$C$1960,0)),"",INDEX('Compliance Database'!$E$2:$E$1960,MATCH(356,Engine!$C$2:$C$1960,0)))</f>
        <v/>
      </c>
      <c r="F369" s="8">
        <f>IF(ISNA(MATCH(356,Engine!$C$2:$C$1960,0)),"",INDEX('Compliance Database'!$F$2:$F$1960,MATCH(356,Engine!$C$2:$C$1960,0)))</f>
        <v/>
      </c>
      <c r="G369" s="8">
        <f>IF(ISNA(MATCH(356,Engine!$C$2:$C$1960,0)),"",INDEX('Compliance Database'!$G$2:$G$1960,MATCH(356,Engine!$C$2:$C$1960,0)))</f>
        <v/>
      </c>
      <c r="H369" s="9">
        <f>IF(ISNA(MATCH(356,Engine!$C$2:$C$1960,0)),"",INDEX('Compliance Database'!$H$2:$H$1960,MATCH(356,Engine!$C$2:$C$1960,0)))</f>
        <v/>
      </c>
      <c r="I369" s="9">
        <f>IF(ISNA(MATCH(356,Engine!$C$2:$C$1960,0)),"",INDEX('Compliance Database'!$I$2:$I$1960,MATCH(356,Engine!$C$2:$C$1960,0)))</f>
        <v/>
      </c>
      <c r="J369" s="8">
        <f>IF(ISNA(MATCH(356,Engine!$C$2:$C$1960,0)),"",INDEX('Compliance Database'!$J$2:$J$1960,MATCH(356,Engine!$C$2:$C$1960,0)))</f>
        <v/>
      </c>
      <c r="K369" s="9">
        <f>IF(ISNA(MATCH(356,Engine!$C$2:$C$1960,0)),"",INDEX('Compliance Database'!$K$2:$K$1960,MATCH(356,Engine!$C$2:$C$1960,0)))</f>
        <v/>
      </c>
      <c r="L369" s="9">
        <f>IF(ISNA(MATCH(356,Engine!$C$2:$C$1960,0)),"",INDEX('Compliance Database'!$L$2:$L$1960,MATCH(356,Engine!$C$2:$C$1960,0)))</f>
        <v/>
      </c>
      <c r="M369" s="9">
        <f>IF(ISNA(MATCH(356,Engine!$C$2:$C$1960,0)),"",INDEX('Compliance Database'!$M$2:$M$1960,MATCH(356,Engine!$C$2:$C$1960,0)))</f>
        <v/>
      </c>
      <c r="N369" s="9">
        <f>IF(ISNA(MATCH(356,Engine!$C$2:$C$1960,0)),"",INDEX('Compliance Database'!$N$2:$N$1960,MATCH(356,Engine!$C$2:$C$1960,0)))</f>
        <v/>
      </c>
      <c r="O369" s="9">
        <f>IF(ISNA(MATCH(356,Engine!$C$2:$C$1960,0)),"",INDEX('Compliance Database'!$O$2:$O$1960,MATCH(356,Engine!$C$2:$C$1960,0)))</f>
        <v/>
      </c>
      <c r="P369" s="8">
        <f>IF(ISNA(MATCH(356,Engine!$C$2:$C$1960,0)),"",HYPERLINK("#Acts!A"&amp;INDEX('Compliance Database'!$P$2:$P$1960,MATCH(356,Engine!$C$2:$C$1960,0)),"Go to Act"))</f>
        <v/>
      </c>
    </row>
    <row r="370" ht="158" customHeight="1">
      <c r="A370" s="8">
        <f>IF(ISNA(MATCH(357,Engine!$C$2:$C$1960,0)),"",INDEX('Compliance Database'!$A$2:$A$1960,MATCH(357,Engine!$C$2:$C$1960,0)))</f>
        <v/>
      </c>
      <c r="B370" s="8">
        <f>IF(ISNA(MATCH(357,Engine!$C$2:$C$1960,0)),"",INDEX('Compliance Database'!$B$2:$B$1960,MATCH(357,Engine!$C$2:$C$1960,0)))</f>
        <v/>
      </c>
      <c r="C370" s="8">
        <f>IF(ISNA(MATCH(357,Engine!$C$2:$C$1960,0)),"",INDEX('Compliance Database'!$C$2:$C$1960,MATCH(357,Engine!$C$2:$C$1960,0)))</f>
        <v/>
      </c>
      <c r="D370" s="9">
        <f>IF(ISNA(MATCH(357,Engine!$C$2:$C$1960,0)),"",INDEX('Compliance Database'!$D$2:$D$1960,MATCH(357,Engine!$C$2:$C$1960,0)))</f>
        <v/>
      </c>
      <c r="E370" s="8">
        <f>IF(ISNA(MATCH(357,Engine!$C$2:$C$1960,0)),"",INDEX('Compliance Database'!$E$2:$E$1960,MATCH(357,Engine!$C$2:$C$1960,0)))</f>
        <v/>
      </c>
      <c r="F370" s="8">
        <f>IF(ISNA(MATCH(357,Engine!$C$2:$C$1960,0)),"",INDEX('Compliance Database'!$F$2:$F$1960,MATCH(357,Engine!$C$2:$C$1960,0)))</f>
        <v/>
      </c>
      <c r="G370" s="8">
        <f>IF(ISNA(MATCH(357,Engine!$C$2:$C$1960,0)),"",INDEX('Compliance Database'!$G$2:$G$1960,MATCH(357,Engine!$C$2:$C$1960,0)))</f>
        <v/>
      </c>
      <c r="H370" s="9">
        <f>IF(ISNA(MATCH(357,Engine!$C$2:$C$1960,0)),"",INDEX('Compliance Database'!$H$2:$H$1960,MATCH(357,Engine!$C$2:$C$1960,0)))</f>
        <v/>
      </c>
      <c r="I370" s="9">
        <f>IF(ISNA(MATCH(357,Engine!$C$2:$C$1960,0)),"",INDEX('Compliance Database'!$I$2:$I$1960,MATCH(357,Engine!$C$2:$C$1960,0)))</f>
        <v/>
      </c>
      <c r="J370" s="8">
        <f>IF(ISNA(MATCH(357,Engine!$C$2:$C$1960,0)),"",INDEX('Compliance Database'!$J$2:$J$1960,MATCH(357,Engine!$C$2:$C$1960,0)))</f>
        <v/>
      </c>
      <c r="K370" s="9">
        <f>IF(ISNA(MATCH(357,Engine!$C$2:$C$1960,0)),"",INDEX('Compliance Database'!$K$2:$K$1960,MATCH(357,Engine!$C$2:$C$1960,0)))</f>
        <v/>
      </c>
      <c r="L370" s="9">
        <f>IF(ISNA(MATCH(357,Engine!$C$2:$C$1960,0)),"",INDEX('Compliance Database'!$L$2:$L$1960,MATCH(357,Engine!$C$2:$C$1960,0)))</f>
        <v/>
      </c>
      <c r="M370" s="9">
        <f>IF(ISNA(MATCH(357,Engine!$C$2:$C$1960,0)),"",INDEX('Compliance Database'!$M$2:$M$1960,MATCH(357,Engine!$C$2:$C$1960,0)))</f>
        <v/>
      </c>
      <c r="N370" s="9">
        <f>IF(ISNA(MATCH(357,Engine!$C$2:$C$1960,0)),"",INDEX('Compliance Database'!$N$2:$N$1960,MATCH(357,Engine!$C$2:$C$1960,0)))</f>
        <v/>
      </c>
      <c r="O370" s="9">
        <f>IF(ISNA(MATCH(357,Engine!$C$2:$C$1960,0)),"",INDEX('Compliance Database'!$O$2:$O$1960,MATCH(357,Engine!$C$2:$C$1960,0)))</f>
        <v/>
      </c>
      <c r="P370" s="8">
        <f>IF(ISNA(MATCH(357,Engine!$C$2:$C$1960,0)),"",HYPERLINK("#Acts!A"&amp;INDEX('Compliance Database'!$P$2:$P$1960,MATCH(357,Engine!$C$2:$C$1960,0)),"Go to Act"))</f>
        <v/>
      </c>
    </row>
    <row r="371" ht="158" customHeight="1">
      <c r="A371" s="8">
        <f>IF(ISNA(MATCH(358,Engine!$C$2:$C$1960,0)),"",INDEX('Compliance Database'!$A$2:$A$1960,MATCH(358,Engine!$C$2:$C$1960,0)))</f>
        <v/>
      </c>
      <c r="B371" s="8">
        <f>IF(ISNA(MATCH(358,Engine!$C$2:$C$1960,0)),"",INDEX('Compliance Database'!$B$2:$B$1960,MATCH(358,Engine!$C$2:$C$1960,0)))</f>
        <v/>
      </c>
      <c r="C371" s="8">
        <f>IF(ISNA(MATCH(358,Engine!$C$2:$C$1960,0)),"",INDEX('Compliance Database'!$C$2:$C$1960,MATCH(358,Engine!$C$2:$C$1960,0)))</f>
        <v/>
      </c>
      <c r="D371" s="9">
        <f>IF(ISNA(MATCH(358,Engine!$C$2:$C$1960,0)),"",INDEX('Compliance Database'!$D$2:$D$1960,MATCH(358,Engine!$C$2:$C$1960,0)))</f>
        <v/>
      </c>
      <c r="E371" s="8">
        <f>IF(ISNA(MATCH(358,Engine!$C$2:$C$1960,0)),"",INDEX('Compliance Database'!$E$2:$E$1960,MATCH(358,Engine!$C$2:$C$1960,0)))</f>
        <v/>
      </c>
      <c r="F371" s="8">
        <f>IF(ISNA(MATCH(358,Engine!$C$2:$C$1960,0)),"",INDEX('Compliance Database'!$F$2:$F$1960,MATCH(358,Engine!$C$2:$C$1960,0)))</f>
        <v/>
      </c>
      <c r="G371" s="8">
        <f>IF(ISNA(MATCH(358,Engine!$C$2:$C$1960,0)),"",INDEX('Compliance Database'!$G$2:$G$1960,MATCH(358,Engine!$C$2:$C$1960,0)))</f>
        <v/>
      </c>
      <c r="H371" s="9">
        <f>IF(ISNA(MATCH(358,Engine!$C$2:$C$1960,0)),"",INDEX('Compliance Database'!$H$2:$H$1960,MATCH(358,Engine!$C$2:$C$1960,0)))</f>
        <v/>
      </c>
      <c r="I371" s="9">
        <f>IF(ISNA(MATCH(358,Engine!$C$2:$C$1960,0)),"",INDEX('Compliance Database'!$I$2:$I$1960,MATCH(358,Engine!$C$2:$C$1960,0)))</f>
        <v/>
      </c>
      <c r="J371" s="8">
        <f>IF(ISNA(MATCH(358,Engine!$C$2:$C$1960,0)),"",INDEX('Compliance Database'!$J$2:$J$1960,MATCH(358,Engine!$C$2:$C$1960,0)))</f>
        <v/>
      </c>
      <c r="K371" s="9">
        <f>IF(ISNA(MATCH(358,Engine!$C$2:$C$1960,0)),"",INDEX('Compliance Database'!$K$2:$K$1960,MATCH(358,Engine!$C$2:$C$1960,0)))</f>
        <v/>
      </c>
      <c r="L371" s="9">
        <f>IF(ISNA(MATCH(358,Engine!$C$2:$C$1960,0)),"",INDEX('Compliance Database'!$L$2:$L$1960,MATCH(358,Engine!$C$2:$C$1960,0)))</f>
        <v/>
      </c>
      <c r="M371" s="9">
        <f>IF(ISNA(MATCH(358,Engine!$C$2:$C$1960,0)),"",INDEX('Compliance Database'!$M$2:$M$1960,MATCH(358,Engine!$C$2:$C$1960,0)))</f>
        <v/>
      </c>
      <c r="N371" s="9">
        <f>IF(ISNA(MATCH(358,Engine!$C$2:$C$1960,0)),"",INDEX('Compliance Database'!$N$2:$N$1960,MATCH(358,Engine!$C$2:$C$1960,0)))</f>
        <v/>
      </c>
      <c r="O371" s="9">
        <f>IF(ISNA(MATCH(358,Engine!$C$2:$C$1960,0)),"",INDEX('Compliance Database'!$O$2:$O$1960,MATCH(358,Engine!$C$2:$C$1960,0)))</f>
        <v/>
      </c>
      <c r="P371" s="8">
        <f>IF(ISNA(MATCH(358,Engine!$C$2:$C$1960,0)),"",HYPERLINK("#Acts!A"&amp;INDEX('Compliance Database'!$P$2:$P$1960,MATCH(358,Engine!$C$2:$C$1960,0)),"Go to Act"))</f>
        <v/>
      </c>
    </row>
    <row r="372" ht="158" customHeight="1">
      <c r="A372" s="8">
        <f>IF(ISNA(MATCH(359,Engine!$C$2:$C$1960,0)),"",INDEX('Compliance Database'!$A$2:$A$1960,MATCH(359,Engine!$C$2:$C$1960,0)))</f>
        <v/>
      </c>
      <c r="B372" s="8">
        <f>IF(ISNA(MATCH(359,Engine!$C$2:$C$1960,0)),"",INDEX('Compliance Database'!$B$2:$B$1960,MATCH(359,Engine!$C$2:$C$1960,0)))</f>
        <v/>
      </c>
      <c r="C372" s="8">
        <f>IF(ISNA(MATCH(359,Engine!$C$2:$C$1960,0)),"",INDEX('Compliance Database'!$C$2:$C$1960,MATCH(359,Engine!$C$2:$C$1960,0)))</f>
        <v/>
      </c>
      <c r="D372" s="9">
        <f>IF(ISNA(MATCH(359,Engine!$C$2:$C$1960,0)),"",INDEX('Compliance Database'!$D$2:$D$1960,MATCH(359,Engine!$C$2:$C$1960,0)))</f>
        <v/>
      </c>
      <c r="E372" s="8">
        <f>IF(ISNA(MATCH(359,Engine!$C$2:$C$1960,0)),"",INDEX('Compliance Database'!$E$2:$E$1960,MATCH(359,Engine!$C$2:$C$1960,0)))</f>
        <v/>
      </c>
      <c r="F372" s="8">
        <f>IF(ISNA(MATCH(359,Engine!$C$2:$C$1960,0)),"",INDEX('Compliance Database'!$F$2:$F$1960,MATCH(359,Engine!$C$2:$C$1960,0)))</f>
        <v/>
      </c>
      <c r="G372" s="8">
        <f>IF(ISNA(MATCH(359,Engine!$C$2:$C$1960,0)),"",INDEX('Compliance Database'!$G$2:$G$1960,MATCH(359,Engine!$C$2:$C$1960,0)))</f>
        <v/>
      </c>
      <c r="H372" s="9">
        <f>IF(ISNA(MATCH(359,Engine!$C$2:$C$1960,0)),"",INDEX('Compliance Database'!$H$2:$H$1960,MATCH(359,Engine!$C$2:$C$1960,0)))</f>
        <v/>
      </c>
      <c r="I372" s="9">
        <f>IF(ISNA(MATCH(359,Engine!$C$2:$C$1960,0)),"",INDEX('Compliance Database'!$I$2:$I$1960,MATCH(359,Engine!$C$2:$C$1960,0)))</f>
        <v/>
      </c>
      <c r="J372" s="8">
        <f>IF(ISNA(MATCH(359,Engine!$C$2:$C$1960,0)),"",INDEX('Compliance Database'!$J$2:$J$1960,MATCH(359,Engine!$C$2:$C$1960,0)))</f>
        <v/>
      </c>
      <c r="K372" s="9">
        <f>IF(ISNA(MATCH(359,Engine!$C$2:$C$1960,0)),"",INDEX('Compliance Database'!$K$2:$K$1960,MATCH(359,Engine!$C$2:$C$1960,0)))</f>
        <v/>
      </c>
      <c r="L372" s="9">
        <f>IF(ISNA(MATCH(359,Engine!$C$2:$C$1960,0)),"",INDEX('Compliance Database'!$L$2:$L$1960,MATCH(359,Engine!$C$2:$C$1960,0)))</f>
        <v/>
      </c>
      <c r="M372" s="9">
        <f>IF(ISNA(MATCH(359,Engine!$C$2:$C$1960,0)),"",INDEX('Compliance Database'!$M$2:$M$1960,MATCH(359,Engine!$C$2:$C$1960,0)))</f>
        <v/>
      </c>
      <c r="N372" s="9">
        <f>IF(ISNA(MATCH(359,Engine!$C$2:$C$1960,0)),"",INDEX('Compliance Database'!$N$2:$N$1960,MATCH(359,Engine!$C$2:$C$1960,0)))</f>
        <v/>
      </c>
      <c r="O372" s="9">
        <f>IF(ISNA(MATCH(359,Engine!$C$2:$C$1960,0)),"",INDEX('Compliance Database'!$O$2:$O$1960,MATCH(359,Engine!$C$2:$C$1960,0)))</f>
        <v/>
      </c>
      <c r="P372" s="8">
        <f>IF(ISNA(MATCH(359,Engine!$C$2:$C$1960,0)),"",HYPERLINK("#Acts!A"&amp;INDEX('Compliance Database'!$P$2:$P$1960,MATCH(359,Engine!$C$2:$C$1960,0)),"Go to Act"))</f>
        <v/>
      </c>
    </row>
    <row r="373" ht="158" customHeight="1">
      <c r="A373" s="8">
        <f>IF(ISNA(MATCH(360,Engine!$C$2:$C$1960,0)),"",INDEX('Compliance Database'!$A$2:$A$1960,MATCH(360,Engine!$C$2:$C$1960,0)))</f>
        <v/>
      </c>
      <c r="B373" s="8">
        <f>IF(ISNA(MATCH(360,Engine!$C$2:$C$1960,0)),"",INDEX('Compliance Database'!$B$2:$B$1960,MATCH(360,Engine!$C$2:$C$1960,0)))</f>
        <v/>
      </c>
      <c r="C373" s="8">
        <f>IF(ISNA(MATCH(360,Engine!$C$2:$C$1960,0)),"",INDEX('Compliance Database'!$C$2:$C$1960,MATCH(360,Engine!$C$2:$C$1960,0)))</f>
        <v/>
      </c>
      <c r="D373" s="9">
        <f>IF(ISNA(MATCH(360,Engine!$C$2:$C$1960,0)),"",INDEX('Compliance Database'!$D$2:$D$1960,MATCH(360,Engine!$C$2:$C$1960,0)))</f>
        <v/>
      </c>
      <c r="E373" s="8">
        <f>IF(ISNA(MATCH(360,Engine!$C$2:$C$1960,0)),"",INDEX('Compliance Database'!$E$2:$E$1960,MATCH(360,Engine!$C$2:$C$1960,0)))</f>
        <v/>
      </c>
      <c r="F373" s="8">
        <f>IF(ISNA(MATCH(360,Engine!$C$2:$C$1960,0)),"",INDEX('Compliance Database'!$F$2:$F$1960,MATCH(360,Engine!$C$2:$C$1960,0)))</f>
        <v/>
      </c>
      <c r="G373" s="8">
        <f>IF(ISNA(MATCH(360,Engine!$C$2:$C$1960,0)),"",INDEX('Compliance Database'!$G$2:$G$1960,MATCH(360,Engine!$C$2:$C$1960,0)))</f>
        <v/>
      </c>
      <c r="H373" s="9">
        <f>IF(ISNA(MATCH(360,Engine!$C$2:$C$1960,0)),"",INDEX('Compliance Database'!$H$2:$H$1960,MATCH(360,Engine!$C$2:$C$1960,0)))</f>
        <v/>
      </c>
      <c r="I373" s="9">
        <f>IF(ISNA(MATCH(360,Engine!$C$2:$C$1960,0)),"",INDEX('Compliance Database'!$I$2:$I$1960,MATCH(360,Engine!$C$2:$C$1960,0)))</f>
        <v/>
      </c>
      <c r="J373" s="8">
        <f>IF(ISNA(MATCH(360,Engine!$C$2:$C$1960,0)),"",INDEX('Compliance Database'!$J$2:$J$1960,MATCH(360,Engine!$C$2:$C$1960,0)))</f>
        <v/>
      </c>
      <c r="K373" s="9">
        <f>IF(ISNA(MATCH(360,Engine!$C$2:$C$1960,0)),"",INDEX('Compliance Database'!$K$2:$K$1960,MATCH(360,Engine!$C$2:$C$1960,0)))</f>
        <v/>
      </c>
      <c r="L373" s="9">
        <f>IF(ISNA(MATCH(360,Engine!$C$2:$C$1960,0)),"",INDEX('Compliance Database'!$L$2:$L$1960,MATCH(360,Engine!$C$2:$C$1960,0)))</f>
        <v/>
      </c>
      <c r="M373" s="9">
        <f>IF(ISNA(MATCH(360,Engine!$C$2:$C$1960,0)),"",INDEX('Compliance Database'!$M$2:$M$1960,MATCH(360,Engine!$C$2:$C$1960,0)))</f>
        <v/>
      </c>
      <c r="N373" s="9">
        <f>IF(ISNA(MATCH(360,Engine!$C$2:$C$1960,0)),"",INDEX('Compliance Database'!$N$2:$N$1960,MATCH(360,Engine!$C$2:$C$1960,0)))</f>
        <v/>
      </c>
      <c r="O373" s="9">
        <f>IF(ISNA(MATCH(360,Engine!$C$2:$C$1960,0)),"",INDEX('Compliance Database'!$O$2:$O$1960,MATCH(360,Engine!$C$2:$C$1960,0)))</f>
        <v/>
      </c>
      <c r="P373" s="8">
        <f>IF(ISNA(MATCH(360,Engine!$C$2:$C$1960,0)),"",HYPERLINK("#Acts!A"&amp;INDEX('Compliance Database'!$P$2:$P$1960,MATCH(360,Engine!$C$2:$C$1960,0)),"Go to Act"))</f>
        <v/>
      </c>
    </row>
    <row r="374" ht="158" customHeight="1">
      <c r="A374" s="8">
        <f>IF(ISNA(MATCH(361,Engine!$C$2:$C$1960,0)),"",INDEX('Compliance Database'!$A$2:$A$1960,MATCH(361,Engine!$C$2:$C$1960,0)))</f>
        <v/>
      </c>
      <c r="B374" s="8">
        <f>IF(ISNA(MATCH(361,Engine!$C$2:$C$1960,0)),"",INDEX('Compliance Database'!$B$2:$B$1960,MATCH(361,Engine!$C$2:$C$1960,0)))</f>
        <v/>
      </c>
      <c r="C374" s="8">
        <f>IF(ISNA(MATCH(361,Engine!$C$2:$C$1960,0)),"",INDEX('Compliance Database'!$C$2:$C$1960,MATCH(361,Engine!$C$2:$C$1960,0)))</f>
        <v/>
      </c>
      <c r="D374" s="9">
        <f>IF(ISNA(MATCH(361,Engine!$C$2:$C$1960,0)),"",INDEX('Compliance Database'!$D$2:$D$1960,MATCH(361,Engine!$C$2:$C$1960,0)))</f>
        <v/>
      </c>
      <c r="E374" s="8">
        <f>IF(ISNA(MATCH(361,Engine!$C$2:$C$1960,0)),"",INDEX('Compliance Database'!$E$2:$E$1960,MATCH(361,Engine!$C$2:$C$1960,0)))</f>
        <v/>
      </c>
      <c r="F374" s="8">
        <f>IF(ISNA(MATCH(361,Engine!$C$2:$C$1960,0)),"",INDEX('Compliance Database'!$F$2:$F$1960,MATCH(361,Engine!$C$2:$C$1960,0)))</f>
        <v/>
      </c>
      <c r="G374" s="8">
        <f>IF(ISNA(MATCH(361,Engine!$C$2:$C$1960,0)),"",INDEX('Compliance Database'!$G$2:$G$1960,MATCH(361,Engine!$C$2:$C$1960,0)))</f>
        <v/>
      </c>
      <c r="H374" s="9">
        <f>IF(ISNA(MATCH(361,Engine!$C$2:$C$1960,0)),"",INDEX('Compliance Database'!$H$2:$H$1960,MATCH(361,Engine!$C$2:$C$1960,0)))</f>
        <v/>
      </c>
      <c r="I374" s="9">
        <f>IF(ISNA(MATCH(361,Engine!$C$2:$C$1960,0)),"",INDEX('Compliance Database'!$I$2:$I$1960,MATCH(361,Engine!$C$2:$C$1960,0)))</f>
        <v/>
      </c>
      <c r="J374" s="8">
        <f>IF(ISNA(MATCH(361,Engine!$C$2:$C$1960,0)),"",INDEX('Compliance Database'!$J$2:$J$1960,MATCH(361,Engine!$C$2:$C$1960,0)))</f>
        <v/>
      </c>
      <c r="K374" s="9">
        <f>IF(ISNA(MATCH(361,Engine!$C$2:$C$1960,0)),"",INDEX('Compliance Database'!$K$2:$K$1960,MATCH(361,Engine!$C$2:$C$1960,0)))</f>
        <v/>
      </c>
      <c r="L374" s="9">
        <f>IF(ISNA(MATCH(361,Engine!$C$2:$C$1960,0)),"",INDEX('Compliance Database'!$L$2:$L$1960,MATCH(361,Engine!$C$2:$C$1960,0)))</f>
        <v/>
      </c>
      <c r="M374" s="9">
        <f>IF(ISNA(MATCH(361,Engine!$C$2:$C$1960,0)),"",INDEX('Compliance Database'!$M$2:$M$1960,MATCH(361,Engine!$C$2:$C$1960,0)))</f>
        <v/>
      </c>
      <c r="N374" s="9">
        <f>IF(ISNA(MATCH(361,Engine!$C$2:$C$1960,0)),"",INDEX('Compliance Database'!$N$2:$N$1960,MATCH(361,Engine!$C$2:$C$1960,0)))</f>
        <v/>
      </c>
      <c r="O374" s="9">
        <f>IF(ISNA(MATCH(361,Engine!$C$2:$C$1960,0)),"",INDEX('Compliance Database'!$O$2:$O$1960,MATCH(361,Engine!$C$2:$C$1960,0)))</f>
        <v/>
      </c>
      <c r="P374" s="8">
        <f>IF(ISNA(MATCH(361,Engine!$C$2:$C$1960,0)),"",HYPERLINK("#Acts!A"&amp;INDEX('Compliance Database'!$P$2:$P$1960,MATCH(361,Engine!$C$2:$C$1960,0)),"Go to Act"))</f>
        <v/>
      </c>
    </row>
    <row r="375" ht="158" customHeight="1">
      <c r="A375" s="8">
        <f>IF(ISNA(MATCH(362,Engine!$C$2:$C$1960,0)),"",INDEX('Compliance Database'!$A$2:$A$1960,MATCH(362,Engine!$C$2:$C$1960,0)))</f>
        <v/>
      </c>
      <c r="B375" s="8">
        <f>IF(ISNA(MATCH(362,Engine!$C$2:$C$1960,0)),"",INDEX('Compliance Database'!$B$2:$B$1960,MATCH(362,Engine!$C$2:$C$1960,0)))</f>
        <v/>
      </c>
      <c r="C375" s="8">
        <f>IF(ISNA(MATCH(362,Engine!$C$2:$C$1960,0)),"",INDEX('Compliance Database'!$C$2:$C$1960,MATCH(362,Engine!$C$2:$C$1960,0)))</f>
        <v/>
      </c>
      <c r="D375" s="9">
        <f>IF(ISNA(MATCH(362,Engine!$C$2:$C$1960,0)),"",INDEX('Compliance Database'!$D$2:$D$1960,MATCH(362,Engine!$C$2:$C$1960,0)))</f>
        <v/>
      </c>
      <c r="E375" s="8">
        <f>IF(ISNA(MATCH(362,Engine!$C$2:$C$1960,0)),"",INDEX('Compliance Database'!$E$2:$E$1960,MATCH(362,Engine!$C$2:$C$1960,0)))</f>
        <v/>
      </c>
      <c r="F375" s="8">
        <f>IF(ISNA(MATCH(362,Engine!$C$2:$C$1960,0)),"",INDEX('Compliance Database'!$F$2:$F$1960,MATCH(362,Engine!$C$2:$C$1960,0)))</f>
        <v/>
      </c>
      <c r="G375" s="8">
        <f>IF(ISNA(MATCH(362,Engine!$C$2:$C$1960,0)),"",INDEX('Compliance Database'!$G$2:$G$1960,MATCH(362,Engine!$C$2:$C$1960,0)))</f>
        <v/>
      </c>
      <c r="H375" s="9">
        <f>IF(ISNA(MATCH(362,Engine!$C$2:$C$1960,0)),"",INDEX('Compliance Database'!$H$2:$H$1960,MATCH(362,Engine!$C$2:$C$1960,0)))</f>
        <v/>
      </c>
      <c r="I375" s="9">
        <f>IF(ISNA(MATCH(362,Engine!$C$2:$C$1960,0)),"",INDEX('Compliance Database'!$I$2:$I$1960,MATCH(362,Engine!$C$2:$C$1960,0)))</f>
        <v/>
      </c>
      <c r="J375" s="8">
        <f>IF(ISNA(MATCH(362,Engine!$C$2:$C$1960,0)),"",INDEX('Compliance Database'!$J$2:$J$1960,MATCH(362,Engine!$C$2:$C$1960,0)))</f>
        <v/>
      </c>
      <c r="K375" s="9">
        <f>IF(ISNA(MATCH(362,Engine!$C$2:$C$1960,0)),"",INDEX('Compliance Database'!$K$2:$K$1960,MATCH(362,Engine!$C$2:$C$1960,0)))</f>
        <v/>
      </c>
      <c r="L375" s="9">
        <f>IF(ISNA(MATCH(362,Engine!$C$2:$C$1960,0)),"",INDEX('Compliance Database'!$L$2:$L$1960,MATCH(362,Engine!$C$2:$C$1960,0)))</f>
        <v/>
      </c>
      <c r="M375" s="9">
        <f>IF(ISNA(MATCH(362,Engine!$C$2:$C$1960,0)),"",INDEX('Compliance Database'!$M$2:$M$1960,MATCH(362,Engine!$C$2:$C$1960,0)))</f>
        <v/>
      </c>
      <c r="N375" s="9">
        <f>IF(ISNA(MATCH(362,Engine!$C$2:$C$1960,0)),"",INDEX('Compliance Database'!$N$2:$N$1960,MATCH(362,Engine!$C$2:$C$1960,0)))</f>
        <v/>
      </c>
      <c r="O375" s="9">
        <f>IF(ISNA(MATCH(362,Engine!$C$2:$C$1960,0)),"",INDEX('Compliance Database'!$O$2:$O$1960,MATCH(362,Engine!$C$2:$C$1960,0)))</f>
        <v/>
      </c>
      <c r="P375" s="8">
        <f>IF(ISNA(MATCH(362,Engine!$C$2:$C$1960,0)),"",HYPERLINK("#Acts!A"&amp;INDEX('Compliance Database'!$P$2:$P$1960,MATCH(362,Engine!$C$2:$C$1960,0)),"Go to Act"))</f>
        <v/>
      </c>
    </row>
    <row r="376" ht="158" customHeight="1">
      <c r="A376" s="8">
        <f>IF(ISNA(MATCH(363,Engine!$C$2:$C$1960,0)),"",INDEX('Compliance Database'!$A$2:$A$1960,MATCH(363,Engine!$C$2:$C$1960,0)))</f>
        <v/>
      </c>
      <c r="B376" s="8">
        <f>IF(ISNA(MATCH(363,Engine!$C$2:$C$1960,0)),"",INDEX('Compliance Database'!$B$2:$B$1960,MATCH(363,Engine!$C$2:$C$1960,0)))</f>
        <v/>
      </c>
      <c r="C376" s="8">
        <f>IF(ISNA(MATCH(363,Engine!$C$2:$C$1960,0)),"",INDEX('Compliance Database'!$C$2:$C$1960,MATCH(363,Engine!$C$2:$C$1960,0)))</f>
        <v/>
      </c>
      <c r="D376" s="9">
        <f>IF(ISNA(MATCH(363,Engine!$C$2:$C$1960,0)),"",INDEX('Compliance Database'!$D$2:$D$1960,MATCH(363,Engine!$C$2:$C$1960,0)))</f>
        <v/>
      </c>
      <c r="E376" s="8">
        <f>IF(ISNA(MATCH(363,Engine!$C$2:$C$1960,0)),"",INDEX('Compliance Database'!$E$2:$E$1960,MATCH(363,Engine!$C$2:$C$1960,0)))</f>
        <v/>
      </c>
      <c r="F376" s="8">
        <f>IF(ISNA(MATCH(363,Engine!$C$2:$C$1960,0)),"",INDEX('Compliance Database'!$F$2:$F$1960,MATCH(363,Engine!$C$2:$C$1960,0)))</f>
        <v/>
      </c>
      <c r="G376" s="8">
        <f>IF(ISNA(MATCH(363,Engine!$C$2:$C$1960,0)),"",INDEX('Compliance Database'!$G$2:$G$1960,MATCH(363,Engine!$C$2:$C$1960,0)))</f>
        <v/>
      </c>
      <c r="H376" s="9">
        <f>IF(ISNA(MATCH(363,Engine!$C$2:$C$1960,0)),"",INDEX('Compliance Database'!$H$2:$H$1960,MATCH(363,Engine!$C$2:$C$1960,0)))</f>
        <v/>
      </c>
      <c r="I376" s="9">
        <f>IF(ISNA(MATCH(363,Engine!$C$2:$C$1960,0)),"",INDEX('Compliance Database'!$I$2:$I$1960,MATCH(363,Engine!$C$2:$C$1960,0)))</f>
        <v/>
      </c>
      <c r="J376" s="8">
        <f>IF(ISNA(MATCH(363,Engine!$C$2:$C$1960,0)),"",INDEX('Compliance Database'!$J$2:$J$1960,MATCH(363,Engine!$C$2:$C$1960,0)))</f>
        <v/>
      </c>
      <c r="K376" s="9">
        <f>IF(ISNA(MATCH(363,Engine!$C$2:$C$1960,0)),"",INDEX('Compliance Database'!$K$2:$K$1960,MATCH(363,Engine!$C$2:$C$1960,0)))</f>
        <v/>
      </c>
      <c r="L376" s="9">
        <f>IF(ISNA(MATCH(363,Engine!$C$2:$C$1960,0)),"",INDEX('Compliance Database'!$L$2:$L$1960,MATCH(363,Engine!$C$2:$C$1960,0)))</f>
        <v/>
      </c>
      <c r="M376" s="9">
        <f>IF(ISNA(MATCH(363,Engine!$C$2:$C$1960,0)),"",INDEX('Compliance Database'!$M$2:$M$1960,MATCH(363,Engine!$C$2:$C$1960,0)))</f>
        <v/>
      </c>
      <c r="N376" s="9">
        <f>IF(ISNA(MATCH(363,Engine!$C$2:$C$1960,0)),"",INDEX('Compliance Database'!$N$2:$N$1960,MATCH(363,Engine!$C$2:$C$1960,0)))</f>
        <v/>
      </c>
      <c r="O376" s="9">
        <f>IF(ISNA(MATCH(363,Engine!$C$2:$C$1960,0)),"",INDEX('Compliance Database'!$O$2:$O$1960,MATCH(363,Engine!$C$2:$C$1960,0)))</f>
        <v/>
      </c>
      <c r="P376" s="8">
        <f>IF(ISNA(MATCH(363,Engine!$C$2:$C$1960,0)),"",HYPERLINK("#Acts!A"&amp;INDEX('Compliance Database'!$P$2:$P$1960,MATCH(363,Engine!$C$2:$C$1960,0)),"Go to Act"))</f>
        <v/>
      </c>
    </row>
    <row r="377" ht="158" customHeight="1">
      <c r="A377" s="8">
        <f>IF(ISNA(MATCH(364,Engine!$C$2:$C$1960,0)),"",INDEX('Compliance Database'!$A$2:$A$1960,MATCH(364,Engine!$C$2:$C$1960,0)))</f>
        <v/>
      </c>
      <c r="B377" s="8">
        <f>IF(ISNA(MATCH(364,Engine!$C$2:$C$1960,0)),"",INDEX('Compliance Database'!$B$2:$B$1960,MATCH(364,Engine!$C$2:$C$1960,0)))</f>
        <v/>
      </c>
      <c r="C377" s="8">
        <f>IF(ISNA(MATCH(364,Engine!$C$2:$C$1960,0)),"",INDEX('Compliance Database'!$C$2:$C$1960,MATCH(364,Engine!$C$2:$C$1960,0)))</f>
        <v/>
      </c>
      <c r="D377" s="9">
        <f>IF(ISNA(MATCH(364,Engine!$C$2:$C$1960,0)),"",INDEX('Compliance Database'!$D$2:$D$1960,MATCH(364,Engine!$C$2:$C$1960,0)))</f>
        <v/>
      </c>
      <c r="E377" s="8">
        <f>IF(ISNA(MATCH(364,Engine!$C$2:$C$1960,0)),"",INDEX('Compliance Database'!$E$2:$E$1960,MATCH(364,Engine!$C$2:$C$1960,0)))</f>
        <v/>
      </c>
      <c r="F377" s="8">
        <f>IF(ISNA(MATCH(364,Engine!$C$2:$C$1960,0)),"",INDEX('Compliance Database'!$F$2:$F$1960,MATCH(364,Engine!$C$2:$C$1960,0)))</f>
        <v/>
      </c>
      <c r="G377" s="8">
        <f>IF(ISNA(MATCH(364,Engine!$C$2:$C$1960,0)),"",INDEX('Compliance Database'!$G$2:$G$1960,MATCH(364,Engine!$C$2:$C$1960,0)))</f>
        <v/>
      </c>
      <c r="H377" s="9">
        <f>IF(ISNA(MATCH(364,Engine!$C$2:$C$1960,0)),"",INDEX('Compliance Database'!$H$2:$H$1960,MATCH(364,Engine!$C$2:$C$1960,0)))</f>
        <v/>
      </c>
      <c r="I377" s="9">
        <f>IF(ISNA(MATCH(364,Engine!$C$2:$C$1960,0)),"",INDEX('Compliance Database'!$I$2:$I$1960,MATCH(364,Engine!$C$2:$C$1960,0)))</f>
        <v/>
      </c>
      <c r="J377" s="8">
        <f>IF(ISNA(MATCH(364,Engine!$C$2:$C$1960,0)),"",INDEX('Compliance Database'!$J$2:$J$1960,MATCH(364,Engine!$C$2:$C$1960,0)))</f>
        <v/>
      </c>
      <c r="K377" s="9">
        <f>IF(ISNA(MATCH(364,Engine!$C$2:$C$1960,0)),"",INDEX('Compliance Database'!$K$2:$K$1960,MATCH(364,Engine!$C$2:$C$1960,0)))</f>
        <v/>
      </c>
      <c r="L377" s="9">
        <f>IF(ISNA(MATCH(364,Engine!$C$2:$C$1960,0)),"",INDEX('Compliance Database'!$L$2:$L$1960,MATCH(364,Engine!$C$2:$C$1960,0)))</f>
        <v/>
      </c>
      <c r="M377" s="9">
        <f>IF(ISNA(MATCH(364,Engine!$C$2:$C$1960,0)),"",INDEX('Compliance Database'!$M$2:$M$1960,MATCH(364,Engine!$C$2:$C$1960,0)))</f>
        <v/>
      </c>
      <c r="N377" s="9">
        <f>IF(ISNA(MATCH(364,Engine!$C$2:$C$1960,0)),"",INDEX('Compliance Database'!$N$2:$N$1960,MATCH(364,Engine!$C$2:$C$1960,0)))</f>
        <v/>
      </c>
      <c r="O377" s="9">
        <f>IF(ISNA(MATCH(364,Engine!$C$2:$C$1960,0)),"",INDEX('Compliance Database'!$O$2:$O$1960,MATCH(364,Engine!$C$2:$C$1960,0)))</f>
        <v/>
      </c>
      <c r="P377" s="8">
        <f>IF(ISNA(MATCH(364,Engine!$C$2:$C$1960,0)),"",HYPERLINK("#Acts!A"&amp;INDEX('Compliance Database'!$P$2:$P$1960,MATCH(364,Engine!$C$2:$C$1960,0)),"Go to Act"))</f>
        <v/>
      </c>
    </row>
    <row r="378" ht="158" customHeight="1">
      <c r="A378" s="8">
        <f>IF(ISNA(MATCH(365,Engine!$C$2:$C$1960,0)),"",INDEX('Compliance Database'!$A$2:$A$1960,MATCH(365,Engine!$C$2:$C$1960,0)))</f>
        <v/>
      </c>
      <c r="B378" s="8">
        <f>IF(ISNA(MATCH(365,Engine!$C$2:$C$1960,0)),"",INDEX('Compliance Database'!$B$2:$B$1960,MATCH(365,Engine!$C$2:$C$1960,0)))</f>
        <v/>
      </c>
      <c r="C378" s="8">
        <f>IF(ISNA(MATCH(365,Engine!$C$2:$C$1960,0)),"",INDEX('Compliance Database'!$C$2:$C$1960,MATCH(365,Engine!$C$2:$C$1960,0)))</f>
        <v/>
      </c>
      <c r="D378" s="9">
        <f>IF(ISNA(MATCH(365,Engine!$C$2:$C$1960,0)),"",INDEX('Compliance Database'!$D$2:$D$1960,MATCH(365,Engine!$C$2:$C$1960,0)))</f>
        <v/>
      </c>
      <c r="E378" s="8">
        <f>IF(ISNA(MATCH(365,Engine!$C$2:$C$1960,0)),"",INDEX('Compliance Database'!$E$2:$E$1960,MATCH(365,Engine!$C$2:$C$1960,0)))</f>
        <v/>
      </c>
      <c r="F378" s="8">
        <f>IF(ISNA(MATCH(365,Engine!$C$2:$C$1960,0)),"",INDEX('Compliance Database'!$F$2:$F$1960,MATCH(365,Engine!$C$2:$C$1960,0)))</f>
        <v/>
      </c>
      <c r="G378" s="8">
        <f>IF(ISNA(MATCH(365,Engine!$C$2:$C$1960,0)),"",INDEX('Compliance Database'!$G$2:$G$1960,MATCH(365,Engine!$C$2:$C$1960,0)))</f>
        <v/>
      </c>
      <c r="H378" s="9">
        <f>IF(ISNA(MATCH(365,Engine!$C$2:$C$1960,0)),"",INDEX('Compliance Database'!$H$2:$H$1960,MATCH(365,Engine!$C$2:$C$1960,0)))</f>
        <v/>
      </c>
      <c r="I378" s="9">
        <f>IF(ISNA(MATCH(365,Engine!$C$2:$C$1960,0)),"",INDEX('Compliance Database'!$I$2:$I$1960,MATCH(365,Engine!$C$2:$C$1960,0)))</f>
        <v/>
      </c>
      <c r="J378" s="8">
        <f>IF(ISNA(MATCH(365,Engine!$C$2:$C$1960,0)),"",INDEX('Compliance Database'!$J$2:$J$1960,MATCH(365,Engine!$C$2:$C$1960,0)))</f>
        <v/>
      </c>
      <c r="K378" s="9">
        <f>IF(ISNA(MATCH(365,Engine!$C$2:$C$1960,0)),"",INDEX('Compliance Database'!$K$2:$K$1960,MATCH(365,Engine!$C$2:$C$1960,0)))</f>
        <v/>
      </c>
      <c r="L378" s="9">
        <f>IF(ISNA(MATCH(365,Engine!$C$2:$C$1960,0)),"",INDEX('Compliance Database'!$L$2:$L$1960,MATCH(365,Engine!$C$2:$C$1960,0)))</f>
        <v/>
      </c>
      <c r="M378" s="9">
        <f>IF(ISNA(MATCH(365,Engine!$C$2:$C$1960,0)),"",INDEX('Compliance Database'!$M$2:$M$1960,MATCH(365,Engine!$C$2:$C$1960,0)))</f>
        <v/>
      </c>
      <c r="N378" s="9">
        <f>IF(ISNA(MATCH(365,Engine!$C$2:$C$1960,0)),"",INDEX('Compliance Database'!$N$2:$N$1960,MATCH(365,Engine!$C$2:$C$1960,0)))</f>
        <v/>
      </c>
      <c r="O378" s="9">
        <f>IF(ISNA(MATCH(365,Engine!$C$2:$C$1960,0)),"",INDEX('Compliance Database'!$O$2:$O$1960,MATCH(365,Engine!$C$2:$C$1960,0)))</f>
        <v/>
      </c>
      <c r="P378" s="8">
        <f>IF(ISNA(MATCH(365,Engine!$C$2:$C$1960,0)),"",HYPERLINK("#Acts!A"&amp;INDEX('Compliance Database'!$P$2:$P$1960,MATCH(365,Engine!$C$2:$C$1960,0)),"Go to Act"))</f>
        <v/>
      </c>
    </row>
    <row r="379" ht="158" customHeight="1">
      <c r="A379" s="8">
        <f>IF(ISNA(MATCH(366,Engine!$C$2:$C$1960,0)),"",INDEX('Compliance Database'!$A$2:$A$1960,MATCH(366,Engine!$C$2:$C$1960,0)))</f>
        <v/>
      </c>
      <c r="B379" s="8">
        <f>IF(ISNA(MATCH(366,Engine!$C$2:$C$1960,0)),"",INDEX('Compliance Database'!$B$2:$B$1960,MATCH(366,Engine!$C$2:$C$1960,0)))</f>
        <v/>
      </c>
      <c r="C379" s="8">
        <f>IF(ISNA(MATCH(366,Engine!$C$2:$C$1960,0)),"",INDEX('Compliance Database'!$C$2:$C$1960,MATCH(366,Engine!$C$2:$C$1960,0)))</f>
        <v/>
      </c>
      <c r="D379" s="9">
        <f>IF(ISNA(MATCH(366,Engine!$C$2:$C$1960,0)),"",INDEX('Compliance Database'!$D$2:$D$1960,MATCH(366,Engine!$C$2:$C$1960,0)))</f>
        <v/>
      </c>
      <c r="E379" s="8">
        <f>IF(ISNA(MATCH(366,Engine!$C$2:$C$1960,0)),"",INDEX('Compliance Database'!$E$2:$E$1960,MATCH(366,Engine!$C$2:$C$1960,0)))</f>
        <v/>
      </c>
      <c r="F379" s="8">
        <f>IF(ISNA(MATCH(366,Engine!$C$2:$C$1960,0)),"",INDEX('Compliance Database'!$F$2:$F$1960,MATCH(366,Engine!$C$2:$C$1960,0)))</f>
        <v/>
      </c>
      <c r="G379" s="8">
        <f>IF(ISNA(MATCH(366,Engine!$C$2:$C$1960,0)),"",INDEX('Compliance Database'!$G$2:$G$1960,MATCH(366,Engine!$C$2:$C$1960,0)))</f>
        <v/>
      </c>
      <c r="H379" s="9">
        <f>IF(ISNA(MATCH(366,Engine!$C$2:$C$1960,0)),"",INDEX('Compliance Database'!$H$2:$H$1960,MATCH(366,Engine!$C$2:$C$1960,0)))</f>
        <v/>
      </c>
      <c r="I379" s="9">
        <f>IF(ISNA(MATCH(366,Engine!$C$2:$C$1960,0)),"",INDEX('Compliance Database'!$I$2:$I$1960,MATCH(366,Engine!$C$2:$C$1960,0)))</f>
        <v/>
      </c>
      <c r="J379" s="8">
        <f>IF(ISNA(MATCH(366,Engine!$C$2:$C$1960,0)),"",INDEX('Compliance Database'!$J$2:$J$1960,MATCH(366,Engine!$C$2:$C$1960,0)))</f>
        <v/>
      </c>
      <c r="K379" s="9">
        <f>IF(ISNA(MATCH(366,Engine!$C$2:$C$1960,0)),"",INDEX('Compliance Database'!$K$2:$K$1960,MATCH(366,Engine!$C$2:$C$1960,0)))</f>
        <v/>
      </c>
      <c r="L379" s="9">
        <f>IF(ISNA(MATCH(366,Engine!$C$2:$C$1960,0)),"",INDEX('Compliance Database'!$L$2:$L$1960,MATCH(366,Engine!$C$2:$C$1960,0)))</f>
        <v/>
      </c>
      <c r="M379" s="9">
        <f>IF(ISNA(MATCH(366,Engine!$C$2:$C$1960,0)),"",INDEX('Compliance Database'!$M$2:$M$1960,MATCH(366,Engine!$C$2:$C$1960,0)))</f>
        <v/>
      </c>
      <c r="N379" s="9">
        <f>IF(ISNA(MATCH(366,Engine!$C$2:$C$1960,0)),"",INDEX('Compliance Database'!$N$2:$N$1960,MATCH(366,Engine!$C$2:$C$1960,0)))</f>
        <v/>
      </c>
      <c r="O379" s="9">
        <f>IF(ISNA(MATCH(366,Engine!$C$2:$C$1960,0)),"",INDEX('Compliance Database'!$O$2:$O$1960,MATCH(366,Engine!$C$2:$C$1960,0)))</f>
        <v/>
      </c>
      <c r="P379" s="8">
        <f>IF(ISNA(MATCH(366,Engine!$C$2:$C$1960,0)),"",HYPERLINK("#Acts!A"&amp;INDEX('Compliance Database'!$P$2:$P$1960,MATCH(366,Engine!$C$2:$C$1960,0)),"Go to Act"))</f>
        <v/>
      </c>
    </row>
    <row r="380" ht="158" customHeight="1">
      <c r="A380" s="8">
        <f>IF(ISNA(MATCH(367,Engine!$C$2:$C$1960,0)),"",INDEX('Compliance Database'!$A$2:$A$1960,MATCH(367,Engine!$C$2:$C$1960,0)))</f>
        <v/>
      </c>
      <c r="B380" s="8">
        <f>IF(ISNA(MATCH(367,Engine!$C$2:$C$1960,0)),"",INDEX('Compliance Database'!$B$2:$B$1960,MATCH(367,Engine!$C$2:$C$1960,0)))</f>
        <v/>
      </c>
      <c r="C380" s="8">
        <f>IF(ISNA(MATCH(367,Engine!$C$2:$C$1960,0)),"",INDEX('Compliance Database'!$C$2:$C$1960,MATCH(367,Engine!$C$2:$C$1960,0)))</f>
        <v/>
      </c>
      <c r="D380" s="9">
        <f>IF(ISNA(MATCH(367,Engine!$C$2:$C$1960,0)),"",INDEX('Compliance Database'!$D$2:$D$1960,MATCH(367,Engine!$C$2:$C$1960,0)))</f>
        <v/>
      </c>
      <c r="E380" s="8">
        <f>IF(ISNA(MATCH(367,Engine!$C$2:$C$1960,0)),"",INDEX('Compliance Database'!$E$2:$E$1960,MATCH(367,Engine!$C$2:$C$1960,0)))</f>
        <v/>
      </c>
      <c r="F380" s="8">
        <f>IF(ISNA(MATCH(367,Engine!$C$2:$C$1960,0)),"",INDEX('Compliance Database'!$F$2:$F$1960,MATCH(367,Engine!$C$2:$C$1960,0)))</f>
        <v/>
      </c>
      <c r="G380" s="8">
        <f>IF(ISNA(MATCH(367,Engine!$C$2:$C$1960,0)),"",INDEX('Compliance Database'!$G$2:$G$1960,MATCH(367,Engine!$C$2:$C$1960,0)))</f>
        <v/>
      </c>
      <c r="H380" s="9">
        <f>IF(ISNA(MATCH(367,Engine!$C$2:$C$1960,0)),"",INDEX('Compliance Database'!$H$2:$H$1960,MATCH(367,Engine!$C$2:$C$1960,0)))</f>
        <v/>
      </c>
      <c r="I380" s="9">
        <f>IF(ISNA(MATCH(367,Engine!$C$2:$C$1960,0)),"",INDEX('Compliance Database'!$I$2:$I$1960,MATCH(367,Engine!$C$2:$C$1960,0)))</f>
        <v/>
      </c>
      <c r="J380" s="8">
        <f>IF(ISNA(MATCH(367,Engine!$C$2:$C$1960,0)),"",INDEX('Compliance Database'!$J$2:$J$1960,MATCH(367,Engine!$C$2:$C$1960,0)))</f>
        <v/>
      </c>
      <c r="K380" s="9">
        <f>IF(ISNA(MATCH(367,Engine!$C$2:$C$1960,0)),"",INDEX('Compliance Database'!$K$2:$K$1960,MATCH(367,Engine!$C$2:$C$1960,0)))</f>
        <v/>
      </c>
      <c r="L380" s="9">
        <f>IF(ISNA(MATCH(367,Engine!$C$2:$C$1960,0)),"",INDEX('Compliance Database'!$L$2:$L$1960,MATCH(367,Engine!$C$2:$C$1960,0)))</f>
        <v/>
      </c>
      <c r="M380" s="9">
        <f>IF(ISNA(MATCH(367,Engine!$C$2:$C$1960,0)),"",INDEX('Compliance Database'!$M$2:$M$1960,MATCH(367,Engine!$C$2:$C$1960,0)))</f>
        <v/>
      </c>
      <c r="N380" s="9">
        <f>IF(ISNA(MATCH(367,Engine!$C$2:$C$1960,0)),"",INDEX('Compliance Database'!$N$2:$N$1960,MATCH(367,Engine!$C$2:$C$1960,0)))</f>
        <v/>
      </c>
      <c r="O380" s="9">
        <f>IF(ISNA(MATCH(367,Engine!$C$2:$C$1960,0)),"",INDEX('Compliance Database'!$O$2:$O$1960,MATCH(367,Engine!$C$2:$C$1960,0)))</f>
        <v/>
      </c>
      <c r="P380" s="8">
        <f>IF(ISNA(MATCH(367,Engine!$C$2:$C$1960,0)),"",HYPERLINK("#Acts!A"&amp;INDEX('Compliance Database'!$P$2:$P$1960,MATCH(367,Engine!$C$2:$C$1960,0)),"Go to Act"))</f>
        <v/>
      </c>
    </row>
    <row r="381" ht="158" customHeight="1">
      <c r="A381" s="8">
        <f>IF(ISNA(MATCH(368,Engine!$C$2:$C$1960,0)),"",INDEX('Compliance Database'!$A$2:$A$1960,MATCH(368,Engine!$C$2:$C$1960,0)))</f>
        <v/>
      </c>
      <c r="B381" s="8">
        <f>IF(ISNA(MATCH(368,Engine!$C$2:$C$1960,0)),"",INDEX('Compliance Database'!$B$2:$B$1960,MATCH(368,Engine!$C$2:$C$1960,0)))</f>
        <v/>
      </c>
      <c r="C381" s="8">
        <f>IF(ISNA(MATCH(368,Engine!$C$2:$C$1960,0)),"",INDEX('Compliance Database'!$C$2:$C$1960,MATCH(368,Engine!$C$2:$C$1960,0)))</f>
        <v/>
      </c>
      <c r="D381" s="9">
        <f>IF(ISNA(MATCH(368,Engine!$C$2:$C$1960,0)),"",INDEX('Compliance Database'!$D$2:$D$1960,MATCH(368,Engine!$C$2:$C$1960,0)))</f>
        <v/>
      </c>
      <c r="E381" s="8">
        <f>IF(ISNA(MATCH(368,Engine!$C$2:$C$1960,0)),"",INDEX('Compliance Database'!$E$2:$E$1960,MATCH(368,Engine!$C$2:$C$1960,0)))</f>
        <v/>
      </c>
      <c r="F381" s="8">
        <f>IF(ISNA(MATCH(368,Engine!$C$2:$C$1960,0)),"",INDEX('Compliance Database'!$F$2:$F$1960,MATCH(368,Engine!$C$2:$C$1960,0)))</f>
        <v/>
      </c>
      <c r="G381" s="8">
        <f>IF(ISNA(MATCH(368,Engine!$C$2:$C$1960,0)),"",INDEX('Compliance Database'!$G$2:$G$1960,MATCH(368,Engine!$C$2:$C$1960,0)))</f>
        <v/>
      </c>
      <c r="H381" s="9">
        <f>IF(ISNA(MATCH(368,Engine!$C$2:$C$1960,0)),"",INDEX('Compliance Database'!$H$2:$H$1960,MATCH(368,Engine!$C$2:$C$1960,0)))</f>
        <v/>
      </c>
      <c r="I381" s="9">
        <f>IF(ISNA(MATCH(368,Engine!$C$2:$C$1960,0)),"",INDEX('Compliance Database'!$I$2:$I$1960,MATCH(368,Engine!$C$2:$C$1960,0)))</f>
        <v/>
      </c>
      <c r="J381" s="8">
        <f>IF(ISNA(MATCH(368,Engine!$C$2:$C$1960,0)),"",INDEX('Compliance Database'!$J$2:$J$1960,MATCH(368,Engine!$C$2:$C$1960,0)))</f>
        <v/>
      </c>
      <c r="K381" s="9">
        <f>IF(ISNA(MATCH(368,Engine!$C$2:$C$1960,0)),"",INDEX('Compliance Database'!$K$2:$K$1960,MATCH(368,Engine!$C$2:$C$1960,0)))</f>
        <v/>
      </c>
      <c r="L381" s="9">
        <f>IF(ISNA(MATCH(368,Engine!$C$2:$C$1960,0)),"",INDEX('Compliance Database'!$L$2:$L$1960,MATCH(368,Engine!$C$2:$C$1960,0)))</f>
        <v/>
      </c>
      <c r="M381" s="9">
        <f>IF(ISNA(MATCH(368,Engine!$C$2:$C$1960,0)),"",INDEX('Compliance Database'!$M$2:$M$1960,MATCH(368,Engine!$C$2:$C$1960,0)))</f>
        <v/>
      </c>
      <c r="N381" s="9">
        <f>IF(ISNA(MATCH(368,Engine!$C$2:$C$1960,0)),"",INDEX('Compliance Database'!$N$2:$N$1960,MATCH(368,Engine!$C$2:$C$1960,0)))</f>
        <v/>
      </c>
      <c r="O381" s="9">
        <f>IF(ISNA(MATCH(368,Engine!$C$2:$C$1960,0)),"",INDEX('Compliance Database'!$O$2:$O$1960,MATCH(368,Engine!$C$2:$C$1960,0)))</f>
        <v/>
      </c>
      <c r="P381" s="8">
        <f>IF(ISNA(MATCH(368,Engine!$C$2:$C$1960,0)),"",HYPERLINK("#Acts!A"&amp;INDEX('Compliance Database'!$P$2:$P$1960,MATCH(368,Engine!$C$2:$C$1960,0)),"Go to Act"))</f>
        <v/>
      </c>
    </row>
    <row r="382" ht="158" customHeight="1">
      <c r="A382" s="8">
        <f>IF(ISNA(MATCH(369,Engine!$C$2:$C$1960,0)),"",INDEX('Compliance Database'!$A$2:$A$1960,MATCH(369,Engine!$C$2:$C$1960,0)))</f>
        <v/>
      </c>
      <c r="B382" s="8">
        <f>IF(ISNA(MATCH(369,Engine!$C$2:$C$1960,0)),"",INDEX('Compliance Database'!$B$2:$B$1960,MATCH(369,Engine!$C$2:$C$1960,0)))</f>
        <v/>
      </c>
      <c r="C382" s="8">
        <f>IF(ISNA(MATCH(369,Engine!$C$2:$C$1960,0)),"",INDEX('Compliance Database'!$C$2:$C$1960,MATCH(369,Engine!$C$2:$C$1960,0)))</f>
        <v/>
      </c>
      <c r="D382" s="9">
        <f>IF(ISNA(MATCH(369,Engine!$C$2:$C$1960,0)),"",INDEX('Compliance Database'!$D$2:$D$1960,MATCH(369,Engine!$C$2:$C$1960,0)))</f>
        <v/>
      </c>
      <c r="E382" s="8">
        <f>IF(ISNA(MATCH(369,Engine!$C$2:$C$1960,0)),"",INDEX('Compliance Database'!$E$2:$E$1960,MATCH(369,Engine!$C$2:$C$1960,0)))</f>
        <v/>
      </c>
      <c r="F382" s="8">
        <f>IF(ISNA(MATCH(369,Engine!$C$2:$C$1960,0)),"",INDEX('Compliance Database'!$F$2:$F$1960,MATCH(369,Engine!$C$2:$C$1960,0)))</f>
        <v/>
      </c>
      <c r="G382" s="8">
        <f>IF(ISNA(MATCH(369,Engine!$C$2:$C$1960,0)),"",INDEX('Compliance Database'!$G$2:$G$1960,MATCH(369,Engine!$C$2:$C$1960,0)))</f>
        <v/>
      </c>
      <c r="H382" s="9">
        <f>IF(ISNA(MATCH(369,Engine!$C$2:$C$1960,0)),"",INDEX('Compliance Database'!$H$2:$H$1960,MATCH(369,Engine!$C$2:$C$1960,0)))</f>
        <v/>
      </c>
      <c r="I382" s="9">
        <f>IF(ISNA(MATCH(369,Engine!$C$2:$C$1960,0)),"",INDEX('Compliance Database'!$I$2:$I$1960,MATCH(369,Engine!$C$2:$C$1960,0)))</f>
        <v/>
      </c>
      <c r="J382" s="8">
        <f>IF(ISNA(MATCH(369,Engine!$C$2:$C$1960,0)),"",INDEX('Compliance Database'!$J$2:$J$1960,MATCH(369,Engine!$C$2:$C$1960,0)))</f>
        <v/>
      </c>
      <c r="K382" s="9">
        <f>IF(ISNA(MATCH(369,Engine!$C$2:$C$1960,0)),"",INDEX('Compliance Database'!$K$2:$K$1960,MATCH(369,Engine!$C$2:$C$1960,0)))</f>
        <v/>
      </c>
      <c r="L382" s="9">
        <f>IF(ISNA(MATCH(369,Engine!$C$2:$C$1960,0)),"",INDEX('Compliance Database'!$L$2:$L$1960,MATCH(369,Engine!$C$2:$C$1960,0)))</f>
        <v/>
      </c>
      <c r="M382" s="9">
        <f>IF(ISNA(MATCH(369,Engine!$C$2:$C$1960,0)),"",INDEX('Compliance Database'!$M$2:$M$1960,MATCH(369,Engine!$C$2:$C$1960,0)))</f>
        <v/>
      </c>
      <c r="N382" s="9">
        <f>IF(ISNA(MATCH(369,Engine!$C$2:$C$1960,0)),"",INDEX('Compliance Database'!$N$2:$N$1960,MATCH(369,Engine!$C$2:$C$1960,0)))</f>
        <v/>
      </c>
      <c r="O382" s="9">
        <f>IF(ISNA(MATCH(369,Engine!$C$2:$C$1960,0)),"",INDEX('Compliance Database'!$O$2:$O$1960,MATCH(369,Engine!$C$2:$C$1960,0)))</f>
        <v/>
      </c>
      <c r="P382" s="8">
        <f>IF(ISNA(MATCH(369,Engine!$C$2:$C$1960,0)),"",HYPERLINK("#Acts!A"&amp;INDEX('Compliance Database'!$P$2:$P$1960,MATCH(369,Engine!$C$2:$C$1960,0)),"Go to Act"))</f>
        <v/>
      </c>
    </row>
    <row r="383" ht="158" customHeight="1">
      <c r="A383" s="8">
        <f>IF(ISNA(MATCH(370,Engine!$C$2:$C$1960,0)),"",INDEX('Compliance Database'!$A$2:$A$1960,MATCH(370,Engine!$C$2:$C$1960,0)))</f>
        <v/>
      </c>
      <c r="B383" s="8">
        <f>IF(ISNA(MATCH(370,Engine!$C$2:$C$1960,0)),"",INDEX('Compliance Database'!$B$2:$B$1960,MATCH(370,Engine!$C$2:$C$1960,0)))</f>
        <v/>
      </c>
      <c r="C383" s="8">
        <f>IF(ISNA(MATCH(370,Engine!$C$2:$C$1960,0)),"",INDEX('Compliance Database'!$C$2:$C$1960,MATCH(370,Engine!$C$2:$C$1960,0)))</f>
        <v/>
      </c>
      <c r="D383" s="9">
        <f>IF(ISNA(MATCH(370,Engine!$C$2:$C$1960,0)),"",INDEX('Compliance Database'!$D$2:$D$1960,MATCH(370,Engine!$C$2:$C$1960,0)))</f>
        <v/>
      </c>
      <c r="E383" s="8">
        <f>IF(ISNA(MATCH(370,Engine!$C$2:$C$1960,0)),"",INDEX('Compliance Database'!$E$2:$E$1960,MATCH(370,Engine!$C$2:$C$1960,0)))</f>
        <v/>
      </c>
      <c r="F383" s="8">
        <f>IF(ISNA(MATCH(370,Engine!$C$2:$C$1960,0)),"",INDEX('Compliance Database'!$F$2:$F$1960,MATCH(370,Engine!$C$2:$C$1960,0)))</f>
        <v/>
      </c>
      <c r="G383" s="8">
        <f>IF(ISNA(MATCH(370,Engine!$C$2:$C$1960,0)),"",INDEX('Compliance Database'!$G$2:$G$1960,MATCH(370,Engine!$C$2:$C$1960,0)))</f>
        <v/>
      </c>
      <c r="H383" s="9">
        <f>IF(ISNA(MATCH(370,Engine!$C$2:$C$1960,0)),"",INDEX('Compliance Database'!$H$2:$H$1960,MATCH(370,Engine!$C$2:$C$1960,0)))</f>
        <v/>
      </c>
      <c r="I383" s="9">
        <f>IF(ISNA(MATCH(370,Engine!$C$2:$C$1960,0)),"",INDEX('Compliance Database'!$I$2:$I$1960,MATCH(370,Engine!$C$2:$C$1960,0)))</f>
        <v/>
      </c>
      <c r="J383" s="8">
        <f>IF(ISNA(MATCH(370,Engine!$C$2:$C$1960,0)),"",INDEX('Compliance Database'!$J$2:$J$1960,MATCH(370,Engine!$C$2:$C$1960,0)))</f>
        <v/>
      </c>
      <c r="K383" s="9">
        <f>IF(ISNA(MATCH(370,Engine!$C$2:$C$1960,0)),"",INDEX('Compliance Database'!$K$2:$K$1960,MATCH(370,Engine!$C$2:$C$1960,0)))</f>
        <v/>
      </c>
      <c r="L383" s="9">
        <f>IF(ISNA(MATCH(370,Engine!$C$2:$C$1960,0)),"",INDEX('Compliance Database'!$L$2:$L$1960,MATCH(370,Engine!$C$2:$C$1960,0)))</f>
        <v/>
      </c>
      <c r="M383" s="9">
        <f>IF(ISNA(MATCH(370,Engine!$C$2:$C$1960,0)),"",INDEX('Compliance Database'!$M$2:$M$1960,MATCH(370,Engine!$C$2:$C$1960,0)))</f>
        <v/>
      </c>
      <c r="N383" s="9">
        <f>IF(ISNA(MATCH(370,Engine!$C$2:$C$1960,0)),"",INDEX('Compliance Database'!$N$2:$N$1960,MATCH(370,Engine!$C$2:$C$1960,0)))</f>
        <v/>
      </c>
      <c r="O383" s="9">
        <f>IF(ISNA(MATCH(370,Engine!$C$2:$C$1960,0)),"",INDEX('Compliance Database'!$O$2:$O$1960,MATCH(370,Engine!$C$2:$C$1960,0)))</f>
        <v/>
      </c>
      <c r="P383" s="8">
        <f>IF(ISNA(MATCH(370,Engine!$C$2:$C$1960,0)),"",HYPERLINK("#Acts!A"&amp;INDEX('Compliance Database'!$P$2:$P$1960,MATCH(370,Engine!$C$2:$C$1960,0)),"Go to Act"))</f>
        <v/>
      </c>
    </row>
    <row r="384" ht="158" customHeight="1">
      <c r="A384" s="8">
        <f>IF(ISNA(MATCH(371,Engine!$C$2:$C$1960,0)),"",INDEX('Compliance Database'!$A$2:$A$1960,MATCH(371,Engine!$C$2:$C$1960,0)))</f>
        <v/>
      </c>
      <c r="B384" s="8">
        <f>IF(ISNA(MATCH(371,Engine!$C$2:$C$1960,0)),"",INDEX('Compliance Database'!$B$2:$B$1960,MATCH(371,Engine!$C$2:$C$1960,0)))</f>
        <v/>
      </c>
      <c r="C384" s="8">
        <f>IF(ISNA(MATCH(371,Engine!$C$2:$C$1960,0)),"",INDEX('Compliance Database'!$C$2:$C$1960,MATCH(371,Engine!$C$2:$C$1960,0)))</f>
        <v/>
      </c>
      <c r="D384" s="9">
        <f>IF(ISNA(MATCH(371,Engine!$C$2:$C$1960,0)),"",INDEX('Compliance Database'!$D$2:$D$1960,MATCH(371,Engine!$C$2:$C$1960,0)))</f>
        <v/>
      </c>
      <c r="E384" s="8">
        <f>IF(ISNA(MATCH(371,Engine!$C$2:$C$1960,0)),"",INDEX('Compliance Database'!$E$2:$E$1960,MATCH(371,Engine!$C$2:$C$1960,0)))</f>
        <v/>
      </c>
      <c r="F384" s="8">
        <f>IF(ISNA(MATCH(371,Engine!$C$2:$C$1960,0)),"",INDEX('Compliance Database'!$F$2:$F$1960,MATCH(371,Engine!$C$2:$C$1960,0)))</f>
        <v/>
      </c>
      <c r="G384" s="8">
        <f>IF(ISNA(MATCH(371,Engine!$C$2:$C$1960,0)),"",INDEX('Compliance Database'!$G$2:$G$1960,MATCH(371,Engine!$C$2:$C$1960,0)))</f>
        <v/>
      </c>
      <c r="H384" s="9">
        <f>IF(ISNA(MATCH(371,Engine!$C$2:$C$1960,0)),"",INDEX('Compliance Database'!$H$2:$H$1960,MATCH(371,Engine!$C$2:$C$1960,0)))</f>
        <v/>
      </c>
      <c r="I384" s="9">
        <f>IF(ISNA(MATCH(371,Engine!$C$2:$C$1960,0)),"",INDEX('Compliance Database'!$I$2:$I$1960,MATCH(371,Engine!$C$2:$C$1960,0)))</f>
        <v/>
      </c>
      <c r="J384" s="8">
        <f>IF(ISNA(MATCH(371,Engine!$C$2:$C$1960,0)),"",INDEX('Compliance Database'!$J$2:$J$1960,MATCH(371,Engine!$C$2:$C$1960,0)))</f>
        <v/>
      </c>
      <c r="K384" s="9">
        <f>IF(ISNA(MATCH(371,Engine!$C$2:$C$1960,0)),"",INDEX('Compliance Database'!$K$2:$K$1960,MATCH(371,Engine!$C$2:$C$1960,0)))</f>
        <v/>
      </c>
      <c r="L384" s="9">
        <f>IF(ISNA(MATCH(371,Engine!$C$2:$C$1960,0)),"",INDEX('Compliance Database'!$L$2:$L$1960,MATCH(371,Engine!$C$2:$C$1960,0)))</f>
        <v/>
      </c>
      <c r="M384" s="9">
        <f>IF(ISNA(MATCH(371,Engine!$C$2:$C$1960,0)),"",INDEX('Compliance Database'!$M$2:$M$1960,MATCH(371,Engine!$C$2:$C$1960,0)))</f>
        <v/>
      </c>
      <c r="N384" s="9">
        <f>IF(ISNA(MATCH(371,Engine!$C$2:$C$1960,0)),"",INDEX('Compliance Database'!$N$2:$N$1960,MATCH(371,Engine!$C$2:$C$1960,0)))</f>
        <v/>
      </c>
      <c r="O384" s="9">
        <f>IF(ISNA(MATCH(371,Engine!$C$2:$C$1960,0)),"",INDEX('Compliance Database'!$O$2:$O$1960,MATCH(371,Engine!$C$2:$C$1960,0)))</f>
        <v/>
      </c>
      <c r="P384" s="8">
        <f>IF(ISNA(MATCH(371,Engine!$C$2:$C$1960,0)),"",HYPERLINK("#Acts!A"&amp;INDEX('Compliance Database'!$P$2:$P$1960,MATCH(371,Engine!$C$2:$C$1960,0)),"Go to Act"))</f>
        <v/>
      </c>
    </row>
    <row r="385" ht="158" customHeight="1">
      <c r="A385" s="8">
        <f>IF(ISNA(MATCH(372,Engine!$C$2:$C$1960,0)),"",INDEX('Compliance Database'!$A$2:$A$1960,MATCH(372,Engine!$C$2:$C$1960,0)))</f>
        <v/>
      </c>
      <c r="B385" s="8">
        <f>IF(ISNA(MATCH(372,Engine!$C$2:$C$1960,0)),"",INDEX('Compliance Database'!$B$2:$B$1960,MATCH(372,Engine!$C$2:$C$1960,0)))</f>
        <v/>
      </c>
      <c r="C385" s="8">
        <f>IF(ISNA(MATCH(372,Engine!$C$2:$C$1960,0)),"",INDEX('Compliance Database'!$C$2:$C$1960,MATCH(372,Engine!$C$2:$C$1960,0)))</f>
        <v/>
      </c>
      <c r="D385" s="9">
        <f>IF(ISNA(MATCH(372,Engine!$C$2:$C$1960,0)),"",INDEX('Compliance Database'!$D$2:$D$1960,MATCH(372,Engine!$C$2:$C$1960,0)))</f>
        <v/>
      </c>
      <c r="E385" s="8">
        <f>IF(ISNA(MATCH(372,Engine!$C$2:$C$1960,0)),"",INDEX('Compliance Database'!$E$2:$E$1960,MATCH(372,Engine!$C$2:$C$1960,0)))</f>
        <v/>
      </c>
      <c r="F385" s="8">
        <f>IF(ISNA(MATCH(372,Engine!$C$2:$C$1960,0)),"",INDEX('Compliance Database'!$F$2:$F$1960,MATCH(372,Engine!$C$2:$C$1960,0)))</f>
        <v/>
      </c>
      <c r="G385" s="8">
        <f>IF(ISNA(MATCH(372,Engine!$C$2:$C$1960,0)),"",INDEX('Compliance Database'!$G$2:$G$1960,MATCH(372,Engine!$C$2:$C$1960,0)))</f>
        <v/>
      </c>
      <c r="H385" s="9">
        <f>IF(ISNA(MATCH(372,Engine!$C$2:$C$1960,0)),"",INDEX('Compliance Database'!$H$2:$H$1960,MATCH(372,Engine!$C$2:$C$1960,0)))</f>
        <v/>
      </c>
      <c r="I385" s="9">
        <f>IF(ISNA(MATCH(372,Engine!$C$2:$C$1960,0)),"",INDEX('Compliance Database'!$I$2:$I$1960,MATCH(372,Engine!$C$2:$C$1960,0)))</f>
        <v/>
      </c>
      <c r="J385" s="8">
        <f>IF(ISNA(MATCH(372,Engine!$C$2:$C$1960,0)),"",INDEX('Compliance Database'!$J$2:$J$1960,MATCH(372,Engine!$C$2:$C$1960,0)))</f>
        <v/>
      </c>
      <c r="K385" s="9">
        <f>IF(ISNA(MATCH(372,Engine!$C$2:$C$1960,0)),"",INDEX('Compliance Database'!$K$2:$K$1960,MATCH(372,Engine!$C$2:$C$1960,0)))</f>
        <v/>
      </c>
      <c r="L385" s="9">
        <f>IF(ISNA(MATCH(372,Engine!$C$2:$C$1960,0)),"",INDEX('Compliance Database'!$L$2:$L$1960,MATCH(372,Engine!$C$2:$C$1960,0)))</f>
        <v/>
      </c>
      <c r="M385" s="9">
        <f>IF(ISNA(MATCH(372,Engine!$C$2:$C$1960,0)),"",INDEX('Compliance Database'!$M$2:$M$1960,MATCH(372,Engine!$C$2:$C$1960,0)))</f>
        <v/>
      </c>
      <c r="N385" s="9">
        <f>IF(ISNA(MATCH(372,Engine!$C$2:$C$1960,0)),"",INDEX('Compliance Database'!$N$2:$N$1960,MATCH(372,Engine!$C$2:$C$1960,0)))</f>
        <v/>
      </c>
      <c r="O385" s="9">
        <f>IF(ISNA(MATCH(372,Engine!$C$2:$C$1960,0)),"",INDEX('Compliance Database'!$O$2:$O$1960,MATCH(372,Engine!$C$2:$C$1960,0)))</f>
        <v/>
      </c>
      <c r="P385" s="8">
        <f>IF(ISNA(MATCH(372,Engine!$C$2:$C$1960,0)),"",HYPERLINK("#Acts!A"&amp;INDEX('Compliance Database'!$P$2:$P$1960,MATCH(372,Engine!$C$2:$C$1960,0)),"Go to Act"))</f>
        <v/>
      </c>
    </row>
    <row r="386" ht="158" customHeight="1">
      <c r="A386" s="8">
        <f>IF(ISNA(MATCH(373,Engine!$C$2:$C$1960,0)),"",INDEX('Compliance Database'!$A$2:$A$1960,MATCH(373,Engine!$C$2:$C$1960,0)))</f>
        <v/>
      </c>
      <c r="B386" s="8">
        <f>IF(ISNA(MATCH(373,Engine!$C$2:$C$1960,0)),"",INDEX('Compliance Database'!$B$2:$B$1960,MATCH(373,Engine!$C$2:$C$1960,0)))</f>
        <v/>
      </c>
      <c r="C386" s="8">
        <f>IF(ISNA(MATCH(373,Engine!$C$2:$C$1960,0)),"",INDEX('Compliance Database'!$C$2:$C$1960,MATCH(373,Engine!$C$2:$C$1960,0)))</f>
        <v/>
      </c>
      <c r="D386" s="9">
        <f>IF(ISNA(MATCH(373,Engine!$C$2:$C$1960,0)),"",INDEX('Compliance Database'!$D$2:$D$1960,MATCH(373,Engine!$C$2:$C$1960,0)))</f>
        <v/>
      </c>
      <c r="E386" s="8">
        <f>IF(ISNA(MATCH(373,Engine!$C$2:$C$1960,0)),"",INDEX('Compliance Database'!$E$2:$E$1960,MATCH(373,Engine!$C$2:$C$1960,0)))</f>
        <v/>
      </c>
      <c r="F386" s="8">
        <f>IF(ISNA(MATCH(373,Engine!$C$2:$C$1960,0)),"",INDEX('Compliance Database'!$F$2:$F$1960,MATCH(373,Engine!$C$2:$C$1960,0)))</f>
        <v/>
      </c>
      <c r="G386" s="8">
        <f>IF(ISNA(MATCH(373,Engine!$C$2:$C$1960,0)),"",INDEX('Compliance Database'!$G$2:$G$1960,MATCH(373,Engine!$C$2:$C$1960,0)))</f>
        <v/>
      </c>
      <c r="H386" s="9">
        <f>IF(ISNA(MATCH(373,Engine!$C$2:$C$1960,0)),"",INDEX('Compliance Database'!$H$2:$H$1960,MATCH(373,Engine!$C$2:$C$1960,0)))</f>
        <v/>
      </c>
      <c r="I386" s="9">
        <f>IF(ISNA(MATCH(373,Engine!$C$2:$C$1960,0)),"",INDEX('Compliance Database'!$I$2:$I$1960,MATCH(373,Engine!$C$2:$C$1960,0)))</f>
        <v/>
      </c>
      <c r="J386" s="8">
        <f>IF(ISNA(MATCH(373,Engine!$C$2:$C$1960,0)),"",INDEX('Compliance Database'!$J$2:$J$1960,MATCH(373,Engine!$C$2:$C$1960,0)))</f>
        <v/>
      </c>
      <c r="K386" s="9">
        <f>IF(ISNA(MATCH(373,Engine!$C$2:$C$1960,0)),"",INDEX('Compliance Database'!$K$2:$K$1960,MATCH(373,Engine!$C$2:$C$1960,0)))</f>
        <v/>
      </c>
      <c r="L386" s="9">
        <f>IF(ISNA(MATCH(373,Engine!$C$2:$C$1960,0)),"",INDEX('Compliance Database'!$L$2:$L$1960,MATCH(373,Engine!$C$2:$C$1960,0)))</f>
        <v/>
      </c>
      <c r="M386" s="9">
        <f>IF(ISNA(MATCH(373,Engine!$C$2:$C$1960,0)),"",INDEX('Compliance Database'!$M$2:$M$1960,MATCH(373,Engine!$C$2:$C$1960,0)))</f>
        <v/>
      </c>
      <c r="N386" s="9">
        <f>IF(ISNA(MATCH(373,Engine!$C$2:$C$1960,0)),"",INDEX('Compliance Database'!$N$2:$N$1960,MATCH(373,Engine!$C$2:$C$1960,0)))</f>
        <v/>
      </c>
      <c r="O386" s="9">
        <f>IF(ISNA(MATCH(373,Engine!$C$2:$C$1960,0)),"",INDEX('Compliance Database'!$O$2:$O$1960,MATCH(373,Engine!$C$2:$C$1960,0)))</f>
        <v/>
      </c>
      <c r="P386" s="8">
        <f>IF(ISNA(MATCH(373,Engine!$C$2:$C$1960,0)),"",HYPERLINK("#Acts!A"&amp;INDEX('Compliance Database'!$P$2:$P$1960,MATCH(373,Engine!$C$2:$C$1960,0)),"Go to Act"))</f>
        <v/>
      </c>
    </row>
    <row r="387" ht="158" customHeight="1">
      <c r="A387" s="8">
        <f>IF(ISNA(MATCH(374,Engine!$C$2:$C$1960,0)),"",INDEX('Compliance Database'!$A$2:$A$1960,MATCH(374,Engine!$C$2:$C$1960,0)))</f>
        <v/>
      </c>
      <c r="B387" s="8">
        <f>IF(ISNA(MATCH(374,Engine!$C$2:$C$1960,0)),"",INDEX('Compliance Database'!$B$2:$B$1960,MATCH(374,Engine!$C$2:$C$1960,0)))</f>
        <v/>
      </c>
      <c r="C387" s="8">
        <f>IF(ISNA(MATCH(374,Engine!$C$2:$C$1960,0)),"",INDEX('Compliance Database'!$C$2:$C$1960,MATCH(374,Engine!$C$2:$C$1960,0)))</f>
        <v/>
      </c>
      <c r="D387" s="9">
        <f>IF(ISNA(MATCH(374,Engine!$C$2:$C$1960,0)),"",INDEX('Compliance Database'!$D$2:$D$1960,MATCH(374,Engine!$C$2:$C$1960,0)))</f>
        <v/>
      </c>
      <c r="E387" s="8">
        <f>IF(ISNA(MATCH(374,Engine!$C$2:$C$1960,0)),"",INDEX('Compliance Database'!$E$2:$E$1960,MATCH(374,Engine!$C$2:$C$1960,0)))</f>
        <v/>
      </c>
      <c r="F387" s="8">
        <f>IF(ISNA(MATCH(374,Engine!$C$2:$C$1960,0)),"",INDEX('Compliance Database'!$F$2:$F$1960,MATCH(374,Engine!$C$2:$C$1960,0)))</f>
        <v/>
      </c>
      <c r="G387" s="8">
        <f>IF(ISNA(MATCH(374,Engine!$C$2:$C$1960,0)),"",INDEX('Compliance Database'!$G$2:$G$1960,MATCH(374,Engine!$C$2:$C$1960,0)))</f>
        <v/>
      </c>
      <c r="H387" s="9">
        <f>IF(ISNA(MATCH(374,Engine!$C$2:$C$1960,0)),"",INDEX('Compliance Database'!$H$2:$H$1960,MATCH(374,Engine!$C$2:$C$1960,0)))</f>
        <v/>
      </c>
      <c r="I387" s="9">
        <f>IF(ISNA(MATCH(374,Engine!$C$2:$C$1960,0)),"",INDEX('Compliance Database'!$I$2:$I$1960,MATCH(374,Engine!$C$2:$C$1960,0)))</f>
        <v/>
      </c>
      <c r="J387" s="8">
        <f>IF(ISNA(MATCH(374,Engine!$C$2:$C$1960,0)),"",INDEX('Compliance Database'!$J$2:$J$1960,MATCH(374,Engine!$C$2:$C$1960,0)))</f>
        <v/>
      </c>
      <c r="K387" s="9">
        <f>IF(ISNA(MATCH(374,Engine!$C$2:$C$1960,0)),"",INDEX('Compliance Database'!$K$2:$K$1960,MATCH(374,Engine!$C$2:$C$1960,0)))</f>
        <v/>
      </c>
      <c r="L387" s="9">
        <f>IF(ISNA(MATCH(374,Engine!$C$2:$C$1960,0)),"",INDEX('Compliance Database'!$L$2:$L$1960,MATCH(374,Engine!$C$2:$C$1960,0)))</f>
        <v/>
      </c>
      <c r="M387" s="9">
        <f>IF(ISNA(MATCH(374,Engine!$C$2:$C$1960,0)),"",INDEX('Compliance Database'!$M$2:$M$1960,MATCH(374,Engine!$C$2:$C$1960,0)))</f>
        <v/>
      </c>
      <c r="N387" s="9">
        <f>IF(ISNA(MATCH(374,Engine!$C$2:$C$1960,0)),"",INDEX('Compliance Database'!$N$2:$N$1960,MATCH(374,Engine!$C$2:$C$1960,0)))</f>
        <v/>
      </c>
      <c r="O387" s="9">
        <f>IF(ISNA(MATCH(374,Engine!$C$2:$C$1960,0)),"",INDEX('Compliance Database'!$O$2:$O$1960,MATCH(374,Engine!$C$2:$C$1960,0)))</f>
        <v/>
      </c>
      <c r="P387" s="8">
        <f>IF(ISNA(MATCH(374,Engine!$C$2:$C$1960,0)),"",HYPERLINK("#Acts!A"&amp;INDEX('Compliance Database'!$P$2:$P$1960,MATCH(374,Engine!$C$2:$C$1960,0)),"Go to Act"))</f>
        <v/>
      </c>
    </row>
    <row r="388" ht="158" customHeight="1">
      <c r="A388" s="8">
        <f>IF(ISNA(MATCH(375,Engine!$C$2:$C$1960,0)),"",INDEX('Compliance Database'!$A$2:$A$1960,MATCH(375,Engine!$C$2:$C$1960,0)))</f>
        <v/>
      </c>
      <c r="B388" s="8">
        <f>IF(ISNA(MATCH(375,Engine!$C$2:$C$1960,0)),"",INDEX('Compliance Database'!$B$2:$B$1960,MATCH(375,Engine!$C$2:$C$1960,0)))</f>
        <v/>
      </c>
      <c r="C388" s="8">
        <f>IF(ISNA(MATCH(375,Engine!$C$2:$C$1960,0)),"",INDEX('Compliance Database'!$C$2:$C$1960,MATCH(375,Engine!$C$2:$C$1960,0)))</f>
        <v/>
      </c>
      <c r="D388" s="9">
        <f>IF(ISNA(MATCH(375,Engine!$C$2:$C$1960,0)),"",INDEX('Compliance Database'!$D$2:$D$1960,MATCH(375,Engine!$C$2:$C$1960,0)))</f>
        <v/>
      </c>
      <c r="E388" s="8">
        <f>IF(ISNA(MATCH(375,Engine!$C$2:$C$1960,0)),"",INDEX('Compliance Database'!$E$2:$E$1960,MATCH(375,Engine!$C$2:$C$1960,0)))</f>
        <v/>
      </c>
      <c r="F388" s="8">
        <f>IF(ISNA(MATCH(375,Engine!$C$2:$C$1960,0)),"",INDEX('Compliance Database'!$F$2:$F$1960,MATCH(375,Engine!$C$2:$C$1960,0)))</f>
        <v/>
      </c>
      <c r="G388" s="8">
        <f>IF(ISNA(MATCH(375,Engine!$C$2:$C$1960,0)),"",INDEX('Compliance Database'!$G$2:$G$1960,MATCH(375,Engine!$C$2:$C$1960,0)))</f>
        <v/>
      </c>
      <c r="H388" s="9">
        <f>IF(ISNA(MATCH(375,Engine!$C$2:$C$1960,0)),"",INDEX('Compliance Database'!$H$2:$H$1960,MATCH(375,Engine!$C$2:$C$1960,0)))</f>
        <v/>
      </c>
      <c r="I388" s="9">
        <f>IF(ISNA(MATCH(375,Engine!$C$2:$C$1960,0)),"",INDEX('Compliance Database'!$I$2:$I$1960,MATCH(375,Engine!$C$2:$C$1960,0)))</f>
        <v/>
      </c>
      <c r="J388" s="8">
        <f>IF(ISNA(MATCH(375,Engine!$C$2:$C$1960,0)),"",INDEX('Compliance Database'!$J$2:$J$1960,MATCH(375,Engine!$C$2:$C$1960,0)))</f>
        <v/>
      </c>
      <c r="K388" s="9">
        <f>IF(ISNA(MATCH(375,Engine!$C$2:$C$1960,0)),"",INDEX('Compliance Database'!$K$2:$K$1960,MATCH(375,Engine!$C$2:$C$1960,0)))</f>
        <v/>
      </c>
      <c r="L388" s="9">
        <f>IF(ISNA(MATCH(375,Engine!$C$2:$C$1960,0)),"",INDEX('Compliance Database'!$L$2:$L$1960,MATCH(375,Engine!$C$2:$C$1960,0)))</f>
        <v/>
      </c>
      <c r="M388" s="9">
        <f>IF(ISNA(MATCH(375,Engine!$C$2:$C$1960,0)),"",INDEX('Compliance Database'!$M$2:$M$1960,MATCH(375,Engine!$C$2:$C$1960,0)))</f>
        <v/>
      </c>
      <c r="N388" s="9">
        <f>IF(ISNA(MATCH(375,Engine!$C$2:$C$1960,0)),"",INDEX('Compliance Database'!$N$2:$N$1960,MATCH(375,Engine!$C$2:$C$1960,0)))</f>
        <v/>
      </c>
      <c r="O388" s="9">
        <f>IF(ISNA(MATCH(375,Engine!$C$2:$C$1960,0)),"",INDEX('Compliance Database'!$O$2:$O$1960,MATCH(375,Engine!$C$2:$C$1960,0)))</f>
        <v/>
      </c>
      <c r="P388" s="8">
        <f>IF(ISNA(MATCH(375,Engine!$C$2:$C$1960,0)),"",HYPERLINK("#Acts!A"&amp;INDEX('Compliance Database'!$P$2:$P$1960,MATCH(375,Engine!$C$2:$C$1960,0)),"Go to Act"))</f>
        <v/>
      </c>
    </row>
    <row r="389" ht="158" customHeight="1">
      <c r="A389" s="8">
        <f>IF(ISNA(MATCH(376,Engine!$C$2:$C$1960,0)),"",INDEX('Compliance Database'!$A$2:$A$1960,MATCH(376,Engine!$C$2:$C$1960,0)))</f>
        <v/>
      </c>
      <c r="B389" s="8">
        <f>IF(ISNA(MATCH(376,Engine!$C$2:$C$1960,0)),"",INDEX('Compliance Database'!$B$2:$B$1960,MATCH(376,Engine!$C$2:$C$1960,0)))</f>
        <v/>
      </c>
      <c r="C389" s="8">
        <f>IF(ISNA(MATCH(376,Engine!$C$2:$C$1960,0)),"",INDEX('Compliance Database'!$C$2:$C$1960,MATCH(376,Engine!$C$2:$C$1960,0)))</f>
        <v/>
      </c>
      <c r="D389" s="9">
        <f>IF(ISNA(MATCH(376,Engine!$C$2:$C$1960,0)),"",INDEX('Compliance Database'!$D$2:$D$1960,MATCH(376,Engine!$C$2:$C$1960,0)))</f>
        <v/>
      </c>
      <c r="E389" s="8">
        <f>IF(ISNA(MATCH(376,Engine!$C$2:$C$1960,0)),"",INDEX('Compliance Database'!$E$2:$E$1960,MATCH(376,Engine!$C$2:$C$1960,0)))</f>
        <v/>
      </c>
      <c r="F389" s="8">
        <f>IF(ISNA(MATCH(376,Engine!$C$2:$C$1960,0)),"",INDEX('Compliance Database'!$F$2:$F$1960,MATCH(376,Engine!$C$2:$C$1960,0)))</f>
        <v/>
      </c>
      <c r="G389" s="8">
        <f>IF(ISNA(MATCH(376,Engine!$C$2:$C$1960,0)),"",INDEX('Compliance Database'!$G$2:$G$1960,MATCH(376,Engine!$C$2:$C$1960,0)))</f>
        <v/>
      </c>
      <c r="H389" s="9">
        <f>IF(ISNA(MATCH(376,Engine!$C$2:$C$1960,0)),"",INDEX('Compliance Database'!$H$2:$H$1960,MATCH(376,Engine!$C$2:$C$1960,0)))</f>
        <v/>
      </c>
      <c r="I389" s="9">
        <f>IF(ISNA(MATCH(376,Engine!$C$2:$C$1960,0)),"",INDEX('Compliance Database'!$I$2:$I$1960,MATCH(376,Engine!$C$2:$C$1960,0)))</f>
        <v/>
      </c>
      <c r="J389" s="8">
        <f>IF(ISNA(MATCH(376,Engine!$C$2:$C$1960,0)),"",INDEX('Compliance Database'!$J$2:$J$1960,MATCH(376,Engine!$C$2:$C$1960,0)))</f>
        <v/>
      </c>
      <c r="K389" s="9">
        <f>IF(ISNA(MATCH(376,Engine!$C$2:$C$1960,0)),"",INDEX('Compliance Database'!$K$2:$K$1960,MATCH(376,Engine!$C$2:$C$1960,0)))</f>
        <v/>
      </c>
      <c r="L389" s="9">
        <f>IF(ISNA(MATCH(376,Engine!$C$2:$C$1960,0)),"",INDEX('Compliance Database'!$L$2:$L$1960,MATCH(376,Engine!$C$2:$C$1960,0)))</f>
        <v/>
      </c>
      <c r="M389" s="9">
        <f>IF(ISNA(MATCH(376,Engine!$C$2:$C$1960,0)),"",INDEX('Compliance Database'!$M$2:$M$1960,MATCH(376,Engine!$C$2:$C$1960,0)))</f>
        <v/>
      </c>
      <c r="N389" s="9">
        <f>IF(ISNA(MATCH(376,Engine!$C$2:$C$1960,0)),"",INDEX('Compliance Database'!$N$2:$N$1960,MATCH(376,Engine!$C$2:$C$1960,0)))</f>
        <v/>
      </c>
      <c r="O389" s="9">
        <f>IF(ISNA(MATCH(376,Engine!$C$2:$C$1960,0)),"",INDEX('Compliance Database'!$O$2:$O$1960,MATCH(376,Engine!$C$2:$C$1960,0)))</f>
        <v/>
      </c>
      <c r="P389" s="8">
        <f>IF(ISNA(MATCH(376,Engine!$C$2:$C$1960,0)),"",HYPERLINK("#Acts!A"&amp;INDEX('Compliance Database'!$P$2:$P$1960,MATCH(376,Engine!$C$2:$C$1960,0)),"Go to Act"))</f>
        <v/>
      </c>
    </row>
    <row r="390" ht="158" customHeight="1">
      <c r="A390" s="8">
        <f>IF(ISNA(MATCH(377,Engine!$C$2:$C$1960,0)),"",INDEX('Compliance Database'!$A$2:$A$1960,MATCH(377,Engine!$C$2:$C$1960,0)))</f>
        <v/>
      </c>
      <c r="B390" s="8">
        <f>IF(ISNA(MATCH(377,Engine!$C$2:$C$1960,0)),"",INDEX('Compliance Database'!$B$2:$B$1960,MATCH(377,Engine!$C$2:$C$1960,0)))</f>
        <v/>
      </c>
      <c r="C390" s="8">
        <f>IF(ISNA(MATCH(377,Engine!$C$2:$C$1960,0)),"",INDEX('Compliance Database'!$C$2:$C$1960,MATCH(377,Engine!$C$2:$C$1960,0)))</f>
        <v/>
      </c>
      <c r="D390" s="9">
        <f>IF(ISNA(MATCH(377,Engine!$C$2:$C$1960,0)),"",INDEX('Compliance Database'!$D$2:$D$1960,MATCH(377,Engine!$C$2:$C$1960,0)))</f>
        <v/>
      </c>
      <c r="E390" s="8">
        <f>IF(ISNA(MATCH(377,Engine!$C$2:$C$1960,0)),"",INDEX('Compliance Database'!$E$2:$E$1960,MATCH(377,Engine!$C$2:$C$1960,0)))</f>
        <v/>
      </c>
      <c r="F390" s="8">
        <f>IF(ISNA(MATCH(377,Engine!$C$2:$C$1960,0)),"",INDEX('Compliance Database'!$F$2:$F$1960,MATCH(377,Engine!$C$2:$C$1960,0)))</f>
        <v/>
      </c>
      <c r="G390" s="8">
        <f>IF(ISNA(MATCH(377,Engine!$C$2:$C$1960,0)),"",INDEX('Compliance Database'!$G$2:$G$1960,MATCH(377,Engine!$C$2:$C$1960,0)))</f>
        <v/>
      </c>
      <c r="H390" s="9">
        <f>IF(ISNA(MATCH(377,Engine!$C$2:$C$1960,0)),"",INDEX('Compliance Database'!$H$2:$H$1960,MATCH(377,Engine!$C$2:$C$1960,0)))</f>
        <v/>
      </c>
      <c r="I390" s="9">
        <f>IF(ISNA(MATCH(377,Engine!$C$2:$C$1960,0)),"",INDEX('Compliance Database'!$I$2:$I$1960,MATCH(377,Engine!$C$2:$C$1960,0)))</f>
        <v/>
      </c>
      <c r="J390" s="8">
        <f>IF(ISNA(MATCH(377,Engine!$C$2:$C$1960,0)),"",INDEX('Compliance Database'!$J$2:$J$1960,MATCH(377,Engine!$C$2:$C$1960,0)))</f>
        <v/>
      </c>
      <c r="K390" s="9">
        <f>IF(ISNA(MATCH(377,Engine!$C$2:$C$1960,0)),"",INDEX('Compliance Database'!$K$2:$K$1960,MATCH(377,Engine!$C$2:$C$1960,0)))</f>
        <v/>
      </c>
      <c r="L390" s="9">
        <f>IF(ISNA(MATCH(377,Engine!$C$2:$C$1960,0)),"",INDEX('Compliance Database'!$L$2:$L$1960,MATCH(377,Engine!$C$2:$C$1960,0)))</f>
        <v/>
      </c>
      <c r="M390" s="9">
        <f>IF(ISNA(MATCH(377,Engine!$C$2:$C$1960,0)),"",INDEX('Compliance Database'!$M$2:$M$1960,MATCH(377,Engine!$C$2:$C$1960,0)))</f>
        <v/>
      </c>
      <c r="N390" s="9">
        <f>IF(ISNA(MATCH(377,Engine!$C$2:$C$1960,0)),"",INDEX('Compliance Database'!$N$2:$N$1960,MATCH(377,Engine!$C$2:$C$1960,0)))</f>
        <v/>
      </c>
      <c r="O390" s="9">
        <f>IF(ISNA(MATCH(377,Engine!$C$2:$C$1960,0)),"",INDEX('Compliance Database'!$O$2:$O$1960,MATCH(377,Engine!$C$2:$C$1960,0)))</f>
        <v/>
      </c>
      <c r="P390" s="8">
        <f>IF(ISNA(MATCH(377,Engine!$C$2:$C$1960,0)),"",HYPERLINK("#Acts!A"&amp;INDEX('Compliance Database'!$P$2:$P$1960,MATCH(377,Engine!$C$2:$C$1960,0)),"Go to Act"))</f>
        <v/>
      </c>
    </row>
    <row r="391" ht="158" customHeight="1">
      <c r="A391" s="8">
        <f>IF(ISNA(MATCH(378,Engine!$C$2:$C$1960,0)),"",INDEX('Compliance Database'!$A$2:$A$1960,MATCH(378,Engine!$C$2:$C$1960,0)))</f>
        <v/>
      </c>
      <c r="B391" s="8">
        <f>IF(ISNA(MATCH(378,Engine!$C$2:$C$1960,0)),"",INDEX('Compliance Database'!$B$2:$B$1960,MATCH(378,Engine!$C$2:$C$1960,0)))</f>
        <v/>
      </c>
      <c r="C391" s="8">
        <f>IF(ISNA(MATCH(378,Engine!$C$2:$C$1960,0)),"",INDEX('Compliance Database'!$C$2:$C$1960,MATCH(378,Engine!$C$2:$C$1960,0)))</f>
        <v/>
      </c>
      <c r="D391" s="9">
        <f>IF(ISNA(MATCH(378,Engine!$C$2:$C$1960,0)),"",INDEX('Compliance Database'!$D$2:$D$1960,MATCH(378,Engine!$C$2:$C$1960,0)))</f>
        <v/>
      </c>
      <c r="E391" s="8">
        <f>IF(ISNA(MATCH(378,Engine!$C$2:$C$1960,0)),"",INDEX('Compliance Database'!$E$2:$E$1960,MATCH(378,Engine!$C$2:$C$1960,0)))</f>
        <v/>
      </c>
      <c r="F391" s="8">
        <f>IF(ISNA(MATCH(378,Engine!$C$2:$C$1960,0)),"",INDEX('Compliance Database'!$F$2:$F$1960,MATCH(378,Engine!$C$2:$C$1960,0)))</f>
        <v/>
      </c>
      <c r="G391" s="8">
        <f>IF(ISNA(MATCH(378,Engine!$C$2:$C$1960,0)),"",INDEX('Compliance Database'!$G$2:$G$1960,MATCH(378,Engine!$C$2:$C$1960,0)))</f>
        <v/>
      </c>
      <c r="H391" s="9">
        <f>IF(ISNA(MATCH(378,Engine!$C$2:$C$1960,0)),"",INDEX('Compliance Database'!$H$2:$H$1960,MATCH(378,Engine!$C$2:$C$1960,0)))</f>
        <v/>
      </c>
      <c r="I391" s="9">
        <f>IF(ISNA(MATCH(378,Engine!$C$2:$C$1960,0)),"",INDEX('Compliance Database'!$I$2:$I$1960,MATCH(378,Engine!$C$2:$C$1960,0)))</f>
        <v/>
      </c>
      <c r="J391" s="8">
        <f>IF(ISNA(MATCH(378,Engine!$C$2:$C$1960,0)),"",INDEX('Compliance Database'!$J$2:$J$1960,MATCH(378,Engine!$C$2:$C$1960,0)))</f>
        <v/>
      </c>
      <c r="K391" s="9">
        <f>IF(ISNA(MATCH(378,Engine!$C$2:$C$1960,0)),"",INDEX('Compliance Database'!$K$2:$K$1960,MATCH(378,Engine!$C$2:$C$1960,0)))</f>
        <v/>
      </c>
      <c r="L391" s="9">
        <f>IF(ISNA(MATCH(378,Engine!$C$2:$C$1960,0)),"",INDEX('Compliance Database'!$L$2:$L$1960,MATCH(378,Engine!$C$2:$C$1960,0)))</f>
        <v/>
      </c>
      <c r="M391" s="9">
        <f>IF(ISNA(MATCH(378,Engine!$C$2:$C$1960,0)),"",INDEX('Compliance Database'!$M$2:$M$1960,MATCH(378,Engine!$C$2:$C$1960,0)))</f>
        <v/>
      </c>
      <c r="N391" s="9">
        <f>IF(ISNA(MATCH(378,Engine!$C$2:$C$1960,0)),"",INDEX('Compliance Database'!$N$2:$N$1960,MATCH(378,Engine!$C$2:$C$1960,0)))</f>
        <v/>
      </c>
      <c r="O391" s="9">
        <f>IF(ISNA(MATCH(378,Engine!$C$2:$C$1960,0)),"",INDEX('Compliance Database'!$O$2:$O$1960,MATCH(378,Engine!$C$2:$C$1960,0)))</f>
        <v/>
      </c>
      <c r="P391" s="8">
        <f>IF(ISNA(MATCH(378,Engine!$C$2:$C$1960,0)),"",HYPERLINK("#Acts!A"&amp;INDEX('Compliance Database'!$P$2:$P$1960,MATCH(378,Engine!$C$2:$C$1960,0)),"Go to Act"))</f>
        <v/>
      </c>
    </row>
    <row r="392" ht="158" customHeight="1">
      <c r="A392" s="8">
        <f>IF(ISNA(MATCH(379,Engine!$C$2:$C$1960,0)),"",INDEX('Compliance Database'!$A$2:$A$1960,MATCH(379,Engine!$C$2:$C$1960,0)))</f>
        <v/>
      </c>
      <c r="B392" s="8">
        <f>IF(ISNA(MATCH(379,Engine!$C$2:$C$1960,0)),"",INDEX('Compliance Database'!$B$2:$B$1960,MATCH(379,Engine!$C$2:$C$1960,0)))</f>
        <v/>
      </c>
      <c r="C392" s="8">
        <f>IF(ISNA(MATCH(379,Engine!$C$2:$C$1960,0)),"",INDEX('Compliance Database'!$C$2:$C$1960,MATCH(379,Engine!$C$2:$C$1960,0)))</f>
        <v/>
      </c>
      <c r="D392" s="9">
        <f>IF(ISNA(MATCH(379,Engine!$C$2:$C$1960,0)),"",INDEX('Compliance Database'!$D$2:$D$1960,MATCH(379,Engine!$C$2:$C$1960,0)))</f>
        <v/>
      </c>
      <c r="E392" s="8">
        <f>IF(ISNA(MATCH(379,Engine!$C$2:$C$1960,0)),"",INDEX('Compliance Database'!$E$2:$E$1960,MATCH(379,Engine!$C$2:$C$1960,0)))</f>
        <v/>
      </c>
      <c r="F392" s="8">
        <f>IF(ISNA(MATCH(379,Engine!$C$2:$C$1960,0)),"",INDEX('Compliance Database'!$F$2:$F$1960,MATCH(379,Engine!$C$2:$C$1960,0)))</f>
        <v/>
      </c>
      <c r="G392" s="8">
        <f>IF(ISNA(MATCH(379,Engine!$C$2:$C$1960,0)),"",INDEX('Compliance Database'!$G$2:$G$1960,MATCH(379,Engine!$C$2:$C$1960,0)))</f>
        <v/>
      </c>
      <c r="H392" s="9">
        <f>IF(ISNA(MATCH(379,Engine!$C$2:$C$1960,0)),"",INDEX('Compliance Database'!$H$2:$H$1960,MATCH(379,Engine!$C$2:$C$1960,0)))</f>
        <v/>
      </c>
      <c r="I392" s="9">
        <f>IF(ISNA(MATCH(379,Engine!$C$2:$C$1960,0)),"",INDEX('Compliance Database'!$I$2:$I$1960,MATCH(379,Engine!$C$2:$C$1960,0)))</f>
        <v/>
      </c>
      <c r="J392" s="8">
        <f>IF(ISNA(MATCH(379,Engine!$C$2:$C$1960,0)),"",INDEX('Compliance Database'!$J$2:$J$1960,MATCH(379,Engine!$C$2:$C$1960,0)))</f>
        <v/>
      </c>
      <c r="K392" s="9">
        <f>IF(ISNA(MATCH(379,Engine!$C$2:$C$1960,0)),"",INDEX('Compliance Database'!$K$2:$K$1960,MATCH(379,Engine!$C$2:$C$1960,0)))</f>
        <v/>
      </c>
      <c r="L392" s="9">
        <f>IF(ISNA(MATCH(379,Engine!$C$2:$C$1960,0)),"",INDEX('Compliance Database'!$L$2:$L$1960,MATCH(379,Engine!$C$2:$C$1960,0)))</f>
        <v/>
      </c>
      <c r="M392" s="9">
        <f>IF(ISNA(MATCH(379,Engine!$C$2:$C$1960,0)),"",INDEX('Compliance Database'!$M$2:$M$1960,MATCH(379,Engine!$C$2:$C$1960,0)))</f>
        <v/>
      </c>
      <c r="N392" s="9">
        <f>IF(ISNA(MATCH(379,Engine!$C$2:$C$1960,0)),"",INDEX('Compliance Database'!$N$2:$N$1960,MATCH(379,Engine!$C$2:$C$1960,0)))</f>
        <v/>
      </c>
      <c r="O392" s="9">
        <f>IF(ISNA(MATCH(379,Engine!$C$2:$C$1960,0)),"",INDEX('Compliance Database'!$O$2:$O$1960,MATCH(379,Engine!$C$2:$C$1960,0)))</f>
        <v/>
      </c>
      <c r="P392" s="8">
        <f>IF(ISNA(MATCH(379,Engine!$C$2:$C$1960,0)),"",HYPERLINK("#Acts!A"&amp;INDEX('Compliance Database'!$P$2:$P$1960,MATCH(379,Engine!$C$2:$C$1960,0)),"Go to Act"))</f>
        <v/>
      </c>
    </row>
    <row r="393" ht="158" customHeight="1">
      <c r="A393" s="8">
        <f>IF(ISNA(MATCH(380,Engine!$C$2:$C$1960,0)),"",INDEX('Compliance Database'!$A$2:$A$1960,MATCH(380,Engine!$C$2:$C$1960,0)))</f>
        <v/>
      </c>
      <c r="B393" s="8">
        <f>IF(ISNA(MATCH(380,Engine!$C$2:$C$1960,0)),"",INDEX('Compliance Database'!$B$2:$B$1960,MATCH(380,Engine!$C$2:$C$1960,0)))</f>
        <v/>
      </c>
      <c r="C393" s="8">
        <f>IF(ISNA(MATCH(380,Engine!$C$2:$C$1960,0)),"",INDEX('Compliance Database'!$C$2:$C$1960,MATCH(380,Engine!$C$2:$C$1960,0)))</f>
        <v/>
      </c>
      <c r="D393" s="9">
        <f>IF(ISNA(MATCH(380,Engine!$C$2:$C$1960,0)),"",INDEX('Compliance Database'!$D$2:$D$1960,MATCH(380,Engine!$C$2:$C$1960,0)))</f>
        <v/>
      </c>
      <c r="E393" s="8">
        <f>IF(ISNA(MATCH(380,Engine!$C$2:$C$1960,0)),"",INDEX('Compliance Database'!$E$2:$E$1960,MATCH(380,Engine!$C$2:$C$1960,0)))</f>
        <v/>
      </c>
      <c r="F393" s="8">
        <f>IF(ISNA(MATCH(380,Engine!$C$2:$C$1960,0)),"",INDEX('Compliance Database'!$F$2:$F$1960,MATCH(380,Engine!$C$2:$C$1960,0)))</f>
        <v/>
      </c>
      <c r="G393" s="8">
        <f>IF(ISNA(MATCH(380,Engine!$C$2:$C$1960,0)),"",INDEX('Compliance Database'!$G$2:$G$1960,MATCH(380,Engine!$C$2:$C$1960,0)))</f>
        <v/>
      </c>
      <c r="H393" s="9">
        <f>IF(ISNA(MATCH(380,Engine!$C$2:$C$1960,0)),"",INDEX('Compliance Database'!$H$2:$H$1960,MATCH(380,Engine!$C$2:$C$1960,0)))</f>
        <v/>
      </c>
      <c r="I393" s="9">
        <f>IF(ISNA(MATCH(380,Engine!$C$2:$C$1960,0)),"",INDEX('Compliance Database'!$I$2:$I$1960,MATCH(380,Engine!$C$2:$C$1960,0)))</f>
        <v/>
      </c>
      <c r="J393" s="8">
        <f>IF(ISNA(MATCH(380,Engine!$C$2:$C$1960,0)),"",INDEX('Compliance Database'!$J$2:$J$1960,MATCH(380,Engine!$C$2:$C$1960,0)))</f>
        <v/>
      </c>
      <c r="K393" s="9">
        <f>IF(ISNA(MATCH(380,Engine!$C$2:$C$1960,0)),"",INDEX('Compliance Database'!$K$2:$K$1960,MATCH(380,Engine!$C$2:$C$1960,0)))</f>
        <v/>
      </c>
      <c r="L393" s="9">
        <f>IF(ISNA(MATCH(380,Engine!$C$2:$C$1960,0)),"",INDEX('Compliance Database'!$L$2:$L$1960,MATCH(380,Engine!$C$2:$C$1960,0)))</f>
        <v/>
      </c>
      <c r="M393" s="9">
        <f>IF(ISNA(MATCH(380,Engine!$C$2:$C$1960,0)),"",INDEX('Compliance Database'!$M$2:$M$1960,MATCH(380,Engine!$C$2:$C$1960,0)))</f>
        <v/>
      </c>
      <c r="N393" s="9">
        <f>IF(ISNA(MATCH(380,Engine!$C$2:$C$1960,0)),"",INDEX('Compliance Database'!$N$2:$N$1960,MATCH(380,Engine!$C$2:$C$1960,0)))</f>
        <v/>
      </c>
      <c r="O393" s="9">
        <f>IF(ISNA(MATCH(380,Engine!$C$2:$C$1960,0)),"",INDEX('Compliance Database'!$O$2:$O$1960,MATCH(380,Engine!$C$2:$C$1960,0)))</f>
        <v/>
      </c>
      <c r="P393" s="8">
        <f>IF(ISNA(MATCH(380,Engine!$C$2:$C$1960,0)),"",HYPERLINK("#Acts!A"&amp;INDEX('Compliance Database'!$P$2:$P$1960,MATCH(380,Engine!$C$2:$C$1960,0)),"Go to Act"))</f>
        <v/>
      </c>
    </row>
    <row r="394" ht="158" customHeight="1">
      <c r="A394" s="8">
        <f>IF(ISNA(MATCH(381,Engine!$C$2:$C$1960,0)),"",INDEX('Compliance Database'!$A$2:$A$1960,MATCH(381,Engine!$C$2:$C$1960,0)))</f>
        <v/>
      </c>
      <c r="B394" s="8">
        <f>IF(ISNA(MATCH(381,Engine!$C$2:$C$1960,0)),"",INDEX('Compliance Database'!$B$2:$B$1960,MATCH(381,Engine!$C$2:$C$1960,0)))</f>
        <v/>
      </c>
      <c r="C394" s="8">
        <f>IF(ISNA(MATCH(381,Engine!$C$2:$C$1960,0)),"",INDEX('Compliance Database'!$C$2:$C$1960,MATCH(381,Engine!$C$2:$C$1960,0)))</f>
        <v/>
      </c>
      <c r="D394" s="9">
        <f>IF(ISNA(MATCH(381,Engine!$C$2:$C$1960,0)),"",INDEX('Compliance Database'!$D$2:$D$1960,MATCH(381,Engine!$C$2:$C$1960,0)))</f>
        <v/>
      </c>
      <c r="E394" s="8">
        <f>IF(ISNA(MATCH(381,Engine!$C$2:$C$1960,0)),"",INDEX('Compliance Database'!$E$2:$E$1960,MATCH(381,Engine!$C$2:$C$1960,0)))</f>
        <v/>
      </c>
      <c r="F394" s="8">
        <f>IF(ISNA(MATCH(381,Engine!$C$2:$C$1960,0)),"",INDEX('Compliance Database'!$F$2:$F$1960,MATCH(381,Engine!$C$2:$C$1960,0)))</f>
        <v/>
      </c>
      <c r="G394" s="8">
        <f>IF(ISNA(MATCH(381,Engine!$C$2:$C$1960,0)),"",INDEX('Compliance Database'!$G$2:$G$1960,MATCH(381,Engine!$C$2:$C$1960,0)))</f>
        <v/>
      </c>
      <c r="H394" s="9">
        <f>IF(ISNA(MATCH(381,Engine!$C$2:$C$1960,0)),"",INDEX('Compliance Database'!$H$2:$H$1960,MATCH(381,Engine!$C$2:$C$1960,0)))</f>
        <v/>
      </c>
      <c r="I394" s="9">
        <f>IF(ISNA(MATCH(381,Engine!$C$2:$C$1960,0)),"",INDEX('Compliance Database'!$I$2:$I$1960,MATCH(381,Engine!$C$2:$C$1960,0)))</f>
        <v/>
      </c>
      <c r="J394" s="8">
        <f>IF(ISNA(MATCH(381,Engine!$C$2:$C$1960,0)),"",INDEX('Compliance Database'!$J$2:$J$1960,MATCH(381,Engine!$C$2:$C$1960,0)))</f>
        <v/>
      </c>
      <c r="K394" s="9">
        <f>IF(ISNA(MATCH(381,Engine!$C$2:$C$1960,0)),"",INDEX('Compliance Database'!$K$2:$K$1960,MATCH(381,Engine!$C$2:$C$1960,0)))</f>
        <v/>
      </c>
      <c r="L394" s="9">
        <f>IF(ISNA(MATCH(381,Engine!$C$2:$C$1960,0)),"",INDEX('Compliance Database'!$L$2:$L$1960,MATCH(381,Engine!$C$2:$C$1960,0)))</f>
        <v/>
      </c>
      <c r="M394" s="9">
        <f>IF(ISNA(MATCH(381,Engine!$C$2:$C$1960,0)),"",INDEX('Compliance Database'!$M$2:$M$1960,MATCH(381,Engine!$C$2:$C$1960,0)))</f>
        <v/>
      </c>
      <c r="N394" s="9">
        <f>IF(ISNA(MATCH(381,Engine!$C$2:$C$1960,0)),"",INDEX('Compliance Database'!$N$2:$N$1960,MATCH(381,Engine!$C$2:$C$1960,0)))</f>
        <v/>
      </c>
      <c r="O394" s="9">
        <f>IF(ISNA(MATCH(381,Engine!$C$2:$C$1960,0)),"",INDEX('Compliance Database'!$O$2:$O$1960,MATCH(381,Engine!$C$2:$C$1960,0)))</f>
        <v/>
      </c>
      <c r="P394" s="8">
        <f>IF(ISNA(MATCH(381,Engine!$C$2:$C$1960,0)),"",HYPERLINK("#Acts!A"&amp;INDEX('Compliance Database'!$P$2:$P$1960,MATCH(381,Engine!$C$2:$C$1960,0)),"Go to Act"))</f>
        <v/>
      </c>
    </row>
    <row r="395" ht="158" customHeight="1">
      <c r="A395" s="8">
        <f>IF(ISNA(MATCH(382,Engine!$C$2:$C$1960,0)),"",INDEX('Compliance Database'!$A$2:$A$1960,MATCH(382,Engine!$C$2:$C$1960,0)))</f>
        <v/>
      </c>
      <c r="B395" s="8">
        <f>IF(ISNA(MATCH(382,Engine!$C$2:$C$1960,0)),"",INDEX('Compliance Database'!$B$2:$B$1960,MATCH(382,Engine!$C$2:$C$1960,0)))</f>
        <v/>
      </c>
      <c r="C395" s="8">
        <f>IF(ISNA(MATCH(382,Engine!$C$2:$C$1960,0)),"",INDEX('Compliance Database'!$C$2:$C$1960,MATCH(382,Engine!$C$2:$C$1960,0)))</f>
        <v/>
      </c>
      <c r="D395" s="9">
        <f>IF(ISNA(MATCH(382,Engine!$C$2:$C$1960,0)),"",INDEX('Compliance Database'!$D$2:$D$1960,MATCH(382,Engine!$C$2:$C$1960,0)))</f>
        <v/>
      </c>
      <c r="E395" s="8">
        <f>IF(ISNA(MATCH(382,Engine!$C$2:$C$1960,0)),"",INDEX('Compliance Database'!$E$2:$E$1960,MATCH(382,Engine!$C$2:$C$1960,0)))</f>
        <v/>
      </c>
      <c r="F395" s="8">
        <f>IF(ISNA(MATCH(382,Engine!$C$2:$C$1960,0)),"",INDEX('Compliance Database'!$F$2:$F$1960,MATCH(382,Engine!$C$2:$C$1960,0)))</f>
        <v/>
      </c>
      <c r="G395" s="8">
        <f>IF(ISNA(MATCH(382,Engine!$C$2:$C$1960,0)),"",INDEX('Compliance Database'!$G$2:$G$1960,MATCH(382,Engine!$C$2:$C$1960,0)))</f>
        <v/>
      </c>
      <c r="H395" s="9">
        <f>IF(ISNA(MATCH(382,Engine!$C$2:$C$1960,0)),"",INDEX('Compliance Database'!$H$2:$H$1960,MATCH(382,Engine!$C$2:$C$1960,0)))</f>
        <v/>
      </c>
      <c r="I395" s="9">
        <f>IF(ISNA(MATCH(382,Engine!$C$2:$C$1960,0)),"",INDEX('Compliance Database'!$I$2:$I$1960,MATCH(382,Engine!$C$2:$C$1960,0)))</f>
        <v/>
      </c>
      <c r="J395" s="8">
        <f>IF(ISNA(MATCH(382,Engine!$C$2:$C$1960,0)),"",INDEX('Compliance Database'!$J$2:$J$1960,MATCH(382,Engine!$C$2:$C$1960,0)))</f>
        <v/>
      </c>
      <c r="K395" s="9">
        <f>IF(ISNA(MATCH(382,Engine!$C$2:$C$1960,0)),"",INDEX('Compliance Database'!$K$2:$K$1960,MATCH(382,Engine!$C$2:$C$1960,0)))</f>
        <v/>
      </c>
      <c r="L395" s="9">
        <f>IF(ISNA(MATCH(382,Engine!$C$2:$C$1960,0)),"",INDEX('Compliance Database'!$L$2:$L$1960,MATCH(382,Engine!$C$2:$C$1960,0)))</f>
        <v/>
      </c>
      <c r="M395" s="9">
        <f>IF(ISNA(MATCH(382,Engine!$C$2:$C$1960,0)),"",INDEX('Compliance Database'!$M$2:$M$1960,MATCH(382,Engine!$C$2:$C$1960,0)))</f>
        <v/>
      </c>
      <c r="N395" s="9">
        <f>IF(ISNA(MATCH(382,Engine!$C$2:$C$1960,0)),"",INDEX('Compliance Database'!$N$2:$N$1960,MATCH(382,Engine!$C$2:$C$1960,0)))</f>
        <v/>
      </c>
      <c r="O395" s="9">
        <f>IF(ISNA(MATCH(382,Engine!$C$2:$C$1960,0)),"",INDEX('Compliance Database'!$O$2:$O$1960,MATCH(382,Engine!$C$2:$C$1960,0)))</f>
        <v/>
      </c>
      <c r="P395" s="8">
        <f>IF(ISNA(MATCH(382,Engine!$C$2:$C$1960,0)),"",HYPERLINK("#Acts!A"&amp;INDEX('Compliance Database'!$P$2:$P$1960,MATCH(382,Engine!$C$2:$C$1960,0)),"Go to Act"))</f>
        <v/>
      </c>
    </row>
    <row r="396" ht="158" customHeight="1">
      <c r="A396" s="8">
        <f>IF(ISNA(MATCH(383,Engine!$C$2:$C$1960,0)),"",INDEX('Compliance Database'!$A$2:$A$1960,MATCH(383,Engine!$C$2:$C$1960,0)))</f>
        <v/>
      </c>
      <c r="B396" s="8">
        <f>IF(ISNA(MATCH(383,Engine!$C$2:$C$1960,0)),"",INDEX('Compliance Database'!$B$2:$B$1960,MATCH(383,Engine!$C$2:$C$1960,0)))</f>
        <v/>
      </c>
      <c r="C396" s="8">
        <f>IF(ISNA(MATCH(383,Engine!$C$2:$C$1960,0)),"",INDEX('Compliance Database'!$C$2:$C$1960,MATCH(383,Engine!$C$2:$C$1960,0)))</f>
        <v/>
      </c>
      <c r="D396" s="9">
        <f>IF(ISNA(MATCH(383,Engine!$C$2:$C$1960,0)),"",INDEX('Compliance Database'!$D$2:$D$1960,MATCH(383,Engine!$C$2:$C$1960,0)))</f>
        <v/>
      </c>
      <c r="E396" s="8">
        <f>IF(ISNA(MATCH(383,Engine!$C$2:$C$1960,0)),"",INDEX('Compliance Database'!$E$2:$E$1960,MATCH(383,Engine!$C$2:$C$1960,0)))</f>
        <v/>
      </c>
      <c r="F396" s="8">
        <f>IF(ISNA(MATCH(383,Engine!$C$2:$C$1960,0)),"",INDEX('Compliance Database'!$F$2:$F$1960,MATCH(383,Engine!$C$2:$C$1960,0)))</f>
        <v/>
      </c>
      <c r="G396" s="8">
        <f>IF(ISNA(MATCH(383,Engine!$C$2:$C$1960,0)),"",INDEX('Compliance Database'!$G$2:$G$1960,MATCH(383,Engine!$C$2:$C$1960,0)))</f>
        <v/>
      </c>
      <c r="H396" s="9">
        <f>IF(ISNA(MATCH(383,Engine!$C$2:$C$1960,0)),"",INDEX('Compliance Database'!$H$2:$H$1960,MATCH(383,Engine!$C$2:$C$1960,0)))</f>
        <v/>
      </c>
      <c r="I396" s="9">
        <f>IF(ISNA(MATCH(383,Engine!$C$2:$C$1960,0)),"",INDEX('Compliance Database'!$I$2:$I$1960,MATCH(383,Engine!$C$2:$C$1960,0)))</f>
        <v/>
      </c>
      <c r="J396" s="8">
        <f>IF(ISNA(MATCH(383,Engine!$C$2:$C$1960,0)),"",INDEX('Compliance Database'!$J$2:$J$1960,MATCH(383,Engine!$C$2:$C$1960,0)))</f>
        <v/>
      </c>
      <c r="K396" s="9">
        <f>IF(ISNA(MATCH(383,Engine!$C$2:$C$1960,0)),"",INDEX('Compliance Database'!$K$2:$K$1960,MATCH(383,Engine!$C$2:$C$1960,0)))</f>
        <v/>
      </c>
      <c r="L396" s="9">
        <f>IF(ISNA(MATCH(383,Engine!$C$2:$C$1960,0)),"",INDEX('Compliance Database'!$L$2:$L$1960,MATCH(383,Engine!$C$2:$C$1960,0)))</f>
        <v/>
      </c>
      <c r="M396" s="9">
        <f>IF(ISNA(MATCH(383,Engine!$C$2:$C$1960,0)),"",INDEX('Compliance Database'!$M$2:$M$1960,MATCH(383,Engine!$C$2:$C$1960,0)))</f>
        <v/>
      </c>
      <c r="N396" s="9">
        <f>IF(ISNA(MATCH(383,Engine!$C$2:$C$1960,0)),"",INDEX('Compliance Database'!$N$2:$N$1960,MATCH(383,Engine!$C$2:$C$1960,0)))</f>
        <v/>
      </c>
      <c r="O396" s="9">
        <f>IF(ISNA(MATCH(383,Engine!$C$2:$C$1960,0)),"",INDEX('Compliance Database'!$O$2:$O$1960,MATCH(383,Engine!$C$2:$C$1960,0)))</f>
        <v/>
      </c>
      <c r="P396" s="8">
        <f>IF(ISNA(MATCH(383,Engine!$C$2:$C$1960,0)),"",HYPERLINK("#Acts!A"&amp;INDEX('Compliance Database'!$P$2:$P$1960,MATCH(383,Engine!$C$2:$C$1960,0)),"Go to Act"))</f>
        <v/>
      </c>
    </row>
    <row r="397" ht="158" customHeight="1">
      <c r="A397" s="8">
        <f>IF(ISNA(MATCH(384,Engine!$C$2:$C$1960,0)),"",INDEX('Compliance Database'!$A$2:$A$1960,MATCH(384,Engine!$C$2:$C$1960,0)))</f>
        <v/>
      </c>
      <c r="B397" s="8">
        <f>IF(ISNA(MATCH(384,Engine!$C$2:$C$1960,0)),"",INDEX('Compliance Database'!$B$2:$B$1960,MATCH(384,Engine!$C$2:$C$1960,0)))</f>
        <v/>
      </c>
      <c r="C397" s="8">
        <f>IF(ISNA(MATCH(384,Engine!$C$2:$C$1960,0)),"",INDEX('Compliance Database'!$C$2:$C$1960,MATCH(384,Engine!$C$2:$C$1960,0)))</f>
        <v/>
      </c>
      <c r="D397" s="9">
        <f>IF(ISNA(MATCH(384,Engine!$C$2:$C$1960,0)),"",INDEX('Compliance Database'!$D$2:$D$1960,MATCH(384,Engine!$C$2:$C$1960,0)))</f>
        <v/>
      </c>
      <c r="E397" s="8">
        <f>IF(ISNA(MATCH(384,Engine!$C$2:$C$1960,0)),"",INDEX('Compliance Database'!$E$2:$E$1960,MATCH(384,Engine!$C$2:$C$1960,0)))</f>
        <v/>
      </c>
      <c r="F397" s="8">
        <f>IF(ISNA(MATCH(384,Engine!$C$2:$C$1960,0)),"",INDEX('Compliance Database'!$F$2:$F$1960,MATCH(384,Engine!$C$2:$C$1960,0)))</f>
        <v/>
      </c>
      <c r="G397" s="8">
        <f>IF(ISNA(MATCH(384,Engine!$C$2:$C$1960,0)),"",INDEX('Compliance Database'!$G$2:$G$1960,MATCH(384,Engine!$C$2:$C$1960,0)))</f>
        <v/>
      </c>
      <c r="H397" s="9">
        <f>IF(ISNA(MATCH(384,Engine!$C$2:$C$1960,0)),"",INDEX('Compliance Database'!$H$2:$H$1960,MATCH(384,Engine!$C$2:$C$1960,0)))</f>
        <v/>
      </c>
      <c r="I397" s="9">
        <f>IF(ISNA(MATCH(384,Engine!$C$2:$C$1960,0)),"",INDEX('Compliance Database'!$I$2:$I$1960,MATCH(384,Engine!$C$2:$C$1960,0)))</f>
        <v/>
      </c>
      <c r="J397" s="8">
        <f>IF(ISNA(MATCH(384,Engine!$C$2:$C$1960,0)),"",INDEX('Compliance Database'!$J$2:$J$1960,MATCH(384,Engine!$C$2:$C$1960,0)))</f>
        <v/>
      </c>
      <c r="K397" s="9">
        <f>IF(ISNA(MATCH(384,Engine!$C$2:$C$1960,0)),"",INDEX('Compliance Database'!$K$2:$K$1960,MATCH(384,Engine!$C$2:$C$1960,0)))</f>
        <v/>
      </c>
      <c r="L397" s="9">
        <f>IF(ISNA(MATCH(384,Engine!$C$2:$C$1960,0)),"",INDEX('Compliance Database'!$L$2:$L$1960,MATCH(384,Engine!$C$2:$C$1960,0)))</f>
        <v/>
      </c>
      <c r="M397" s="9">
        <f>IF(ISNA(MATCH(384,Engine!$C$2:$C$1960,0)),"",INDEX('Compliance Database'!$M$2:$M$1960,MATCH(384,Engine!$C$2:$C$1960,0)))</f>
        <v/>
      </c>
      <c r="N397" s="9">
        <f>IF(ISNA(MATCH(384,Engine!$C$2:$C$1960,0)),"",INDEX('Compliance Database'!$N$2:$N$1960,MATCH(384,Engine!$C$2:$C$1960,0)))</f>
        <v/>
      </c>
      <c r="O397" s="9">
        <f>IF(ISNA(MATCH(384,Engine!$C$2:$C$1960,0)),"",INDEX('Compliance Database'!$O$2:$O$1960,MATCH(384,Engine!$C$2:$C$1960,0)))</f>
        <v/>
      </c>
      <c r="P397" s="8">
        <f>IF(ISNA(MATCH(384,Engine!$C$2:$C$1960,0)),"",HYPERLINK("#Acts!A"&amp;INDEX('Compliance Database'!$P$2:$P$1960,MATCH(384,Engine!$C$2:$C$1960,0)),"Go to Act"))</f>
        <v/>
      </c>
    </row>
    <row r="398" ht="158" customHeight="1">
      <c r="A398" s="8">
        <f>IF(ISNA(MATCH(385,Engine!$C$2:$C$1960,0)),"",INDEX('Compliance Database'!$A$2:$A$1960,MATCH(385,Engine!$C$2:$C$1960,0)))</f>
        <v/>
      </c>
      <c r="B398" s="8">
        <f>IF(ISNA(MATCH(385,Engine!$C$2:$C$1960,0)),"",INDEX('Compliance Database'!$B$2:$B$1960,MATCH(385,Engine!$C$2:$C$1960,0)))</f>
        <v/>
      </c>
      <c r="C398" s="8">
        <f>IF(ISNA(MATCH(385,Engine!$C$2:$C$1960,0)),"",INDEX('Compliance Database'!$C$2:$C$1960,MATCH(385,Engine!$C$2:$C$1960,0)))</f>
        <v/>
      </c>
      <c r="D398" s="9">
        <f>IF(ISNA(MATCH(385,Engine!$C$2:$C$1960,0)),"",INDEX('Compliance Database'!$D$2:$D$1960,MATCH(385,Engine!$C$2:$C$1960,0)))</f>
        <v/>
      </c>
      <c r="E398" s="8">
        <f>IF(ISNA(MATCH(385,Engine!$C$2:$C$1960,0)),"",INDEX('Compliance Database'!$E$2:$E$1960,MATCH(385,Engine!$C$2:$C$1960,0)))</f>
        <v/>
      </c>
      <c r="F398" s="8">
        <f>IF(ISNA(MATCH(385,Engine!$C$2:$C$1960,0)),"",INDEX('Compliance Database'!$F$2:$F$1960,MATCH(385,Engine!$C$2:$C$1960,0)))</f>
        <v/>
      </c>
      <c r="G398" s="8">
        <f>IF(ISNA(MATCH(385,Engine!$C$2:$C$1960,0)),"",INDEX('Compliance Database'!$G$2:$G$1960,MATCH(385,Engine!$C$2:$C$1960,0)))</f>
        <v/>
      </c>
      <c r="H398" s="9">
        <f>IF(ISNA(MATCH(385,Engine!$C$2:$C$1960,0)),"",INDEX('Compliance Database'!$H$2:$H$1960,MATCH(385,Engine!$C$2:$C$1960,0)))</f>
        <v/>
      </c>
      <c r="I398" s="9">
        <f>IF(ISNA(MATCH(385,Engine!$C$2:$C$1960,0)),"",INDEX('Compliance Database'!$I$2:$I$1960,MATCH(385,Engine!$C$2:$C$1960,0)))</f>
        <v/>
      </c>
      <c r="J398" s="8">
        <f>IF(ISNA(MATCH(385,Engine!$C$2:$C$1960,0)),"",INDEX('Compliance Database'!$J$2:$J$1960,MATCH(385,Engine!$C$2:$C$1960,0)))</f>
        <v/>
      </c>
      <c r="K398" s="9">
        <f>IF(ISNA(MATCH(385,Engine!$C$2:$C$1960,0)),"",INDEX('Compliance Database'!$K$2:$K$1960,MATCH(385,Engine!$C$2:$C$1960,0)))</f>
        <v/>
      </c>
      <c r="L398" s="9">
        <f>IF(ISNA(MATCH(385,Engine!$C$2:$C$1960,0)),"",INDEX('Compliance Database'!$L$2:$L$1960,MATCH(385,Engine!$C$2:$C$1960,0)))</f>
        <v/>
      </c>
      <c r="M398" s="9">
        <f>IF(ISNA(MATCH(385,Engine!$C$2:$C$1960,0)),"",INDEX('Compliance Database'!$M$2:$M$1960,MATCH(385,Engine!$C$2:$C$1960,0)))</f>
        <v/>
      </c>
      <c r="N398" s="9">
        <f>IF(ISNA(MATCH(385,Engine!$C$2:$C$1960,0)),"",INDEX('Compliance Database'!$N$2:$N$1960,MATCH(385,Engine!$C$2:$C$1960,0)))</f>
        <v/>
      </c>
      <c r="O398" s="9">
        <f>IF(ISNA(MATCH(385,Engine!$C$2:$C$1960,0)),"",INDEX('Compliance Database'!$O$2:$O$1960,MATCH(385,Engine!$C$2:$C$1960,0)))</f>
        <v/>
      </c>
      <c r="P398" s="8">
        <f>IF(ISNA(MATCH(385,Engine!$C$2:$C$1960,0)),"",HYPERLINK("#Acts!A"&amp;INDEX('Compliance Database'!$P$2:$P$1960,MATCH(385,Engine!$C$2:$C$1960,0)),"Go to Act"))</f>
        <v/>
      </c>
    </row>
    <row r="399" ht="158" customHeight="1">
      <c r="A399" s="8">
        <f>IF(ISNA(MATCH(386,Engine!$C$2:$C$1960,0)),"",INDEX('Compliance Database'!$A$2:$A$1960,MATCH(386,Engine!$C$2:$C$1960,0)))</f>
        <v/>
      </c>
      <c r="B399" s="8">
        <f>IF(ISNA(MATCH(386,Engine!$C$2:$C$1960,0)),"",INDEX('Compliance Database'!$B$2:$B$1960,MATCH(386,Engine!$C$2:$C$1960,0)))</f>
        <v/>
      </c>
      <c r="C399" s="8">
        <f>IF(ISNA(MATCH(386,Engine!$C$2:$C$1960,0)),"",INDEX('Compliance Database'!$C$2:$C$1960,MATCH(386,Engine!$C$2:$C$1960,0)))</f>
        <v/>
      </c>
      <c r="D399" s="9">
        <f>IF(ISNA(MATCH(386,Engine!$C$2:$C$1960,0)),"",INDEX('Compliance Database'!$D$2:$D$1960,MATCH(386,Engine!$C$2:$C$1960,0)))</f>
        <v/>
      </c>
      <c r="E399" s="8">
        <f>IF(ISNA(MATCH(386,Engine!$C$2:$C$1960,0)),"",INDEX('Compliance Database'!$E$2:$E$1960,MATCH(386,Engine!$C$2:$C$1960,0)))</f>
        <v/>
      </c>
      <c r="F399" s="8">
        <f>IF(ISNA(MATCH(386,Engine!$C$2:$C$1960,0)),"",INDEX('Compliance Database'!$F$2:$F$1960,MATCH(386,Engine!$C$2:$C$1960,0)))</f>
        <v/>
      </c>
      <c r="G399" s="8">
        <f>IF(ISNA(MATCH(386,Engine!$C$2:$C$1960,0)),"",INDEX('Compliance Database'!$G$2:$G$1960,MATCH(386,Engine!$C$2:$C$1960,0)))</f>
        <v/>
      </c>
      <c r="H399" s="9">
        <f>IF(ISNA(MATCH(386,Engine!$C$2:$C$1960,0)),"",INDEX('Compliance Database'!$H$2:$H$1960,MATCH(386,Engine!$C$2:$C$1960,0)))</f>
        <v/>
      </c>
      <c r="I399" s="9">
        <f>IF(ISNA(MATCH(386,Engine!$C$2:$C$1960,0)),"",INDEX('Compliance Database'!$I$2:$I$1960,MATCH(386,Engine!$C$2:$C$1960,0)))</f>
        <v/>
      </c>
      <c r="J399" s="8">
        <f>IF(ISNA(MATCH(386,Engine!$C$2:$C$1960,0)),"",INDEX('Compliance Database'!$J$2:$J$1960,MATCH(386,Engine!$C$2:$C$1960,0)))</f>
        <v/>
      </c>
      <c r="K399" s="9">
        <f>IF(ISNA(MATCH(386,Engine!$C$2:$C$1960,0)),"",INDEX('Compliance Database'!$K$2:$K$1960,MATCH(386,Engine!$C$2:$C$1960,0)))</f>
        <v/>
      </c>
      <c r="L399" s="9">
        <f>IF(ISNA(MATCH(386,Engine!$C$2:$C$1960,0)),"",INDEX('Compliance Database'!$L$2:$L$1960,MATCH(386,Engine!$C$2:$C$1960,0)))</f>
        <v/>
      </c>
      <c r="M399" s="9">
        <f>IF(ISNA(MATCH(386,Engine!$C$2:$C$1960,0)),"",INDEX('Compliance Database'!$M$2:$M$1960,MATCH(386,Engine!$C$2:$C$1960,0)))</f>
        <v/>
      </c>
      <c r="N399" s="9">
        <f>IF(ISNA(MATCH(386,Engine!$C$2:$C$1960,0)),"",INDEX('Compliance Database'!$N$2:$N$1960,MATCH(386,Engine!$C$2:$C$1960,0)))</f>
        <v/>
      </c>
      <c r="O399" s="9">
        <f>IF(ISNA(MATCH(386,Engine!$C$2:$C$1960,0)),"",INDEX('Compliance Database'!$O$2:$O$1960,MATCH(386,Engine!$C$2:$C$1960,0)))</f>
        <v/>
      </c>
      <c r="P399" s="8">
        <f>IF(ISNA(MATCH(386,Engine!$C$2:$C$1960,0)),"",HYPERLINK("#Acts!A"&amp;INDEX('Compliance Database'!$P$2:$P$1960,MATCH(386,Engine!$C$2:$C$1960,0)),"Go to Act"))</f>
        <v/>
      </c>
    </row>
    <row r="400" ht="158" customHeight="1">
      <c r="A400" s="8">
        <f>IF(ISNA(MATCH(387,Engine!$C$2:$C$1960,0)),"",INDEX('Compliance Database'!$A$2:$A$1960,MATCH(387,Engine!$C$2:$C$1960,0)))</f>
        <v/>
      </c>
      <c r="B400" s="8">
        <f>IF(ISNA(MATCH(387,Engine!$C$2:$C$1960,0)),"",INDEX('Compliance Database'!$B$2:$B$1960,MATCH(387,Engine!$C$2:$C$1960,0)))</f>
        <v/>
      </c>
      <c r="C400" s="8">
        <f>IF(ISNA(MATCH(387,Engine!$C$2:$C$1960,0)),"",INDEX('Compliance Database'!$C$2:$C$1960,MATCH(387,Engine!$C$2:$C$1960,0)))</f>
        <v/>
      </c>
      <c r="D400" s="9">
        <f>IF(ISNA(MATCH(387,Engine!$C$2:$C$1960,0)),"",INDEX('Compliance Database'!$D$2:$D$1960,MATCH(387,Engine!$C$2:$C$1960,0)))</f>
        <v/>
      </c>
      <c r="E400" s="8">
        <f>IF(ISNA(MATCH(387,Engine!$C$2:$C$1960,0)),"",INDEX('Compliance Database'!$E$2:$E$1960,MATCH(387,Engine!$C$2:$C$1960,0)))</f>
        <v/>
      </c>
      <c r="F400" s="8">
        <f>IF(ISNA(MATCH(387,Engine!$C$2:$C$1960,0)),"",INDEX('Compliance Database'!$F$2:$F$1960,MATCH(387,Engine!$C$2:$C$1960,0)))</f>
        <v/>
      </c>
      <c r="G400" s="8">
        <f>IF(ISNA(MATCH(387,Engine!$C$2:$C$1960,0)),"",INDEX('Compliance Database'!$G$2:$G$1960,MATCH(387,Engine!$C$2:$C$1960,0)))</f>
        <v/>
      </c>
      <c r="H400" s="9">
        <f>IF(ISNA(MATCH(387,Engine!$C$2:$C$1960,0)),"",INDEX('Compliance Database'!$H$2:$H$1960,MATCH(387,Engine!$C$2:$C$1960,0)))</f>
        <v/>
      </c>
      <c r="I400" s="9">
        <f>IF(ISNA(MATCH(387,Engine!$C$2:$C$1960,0)),"",INDEX('Compliance Database'!$I$2:$I$1960,MATCH(387,Engine!$C$2:$C$1960,0)))</f>
        <v/>
      </c>
      <c r="J400" s="8">
        <f>IF(ISNA(MATCH(387,Engine!$C$2:$C$1960,0)),"",INDEX('Compliance Database'!$J$2:$J$1960,MATCH(387,Engine!$C$2:$C$1960,0)))</f>
        <v/>
      </c>
      <c r="K400" s="9">
        <f>IF(ISNA(MATCH(387,Engine!$C$2:$C$1960,0)),"",INDEX('Compliance Database'!$K$2:$K$1960,MATCH(387,Engine!$C$2:$C$1960,0)))</f>
        <v/>
      </c>
      <c r="L400" s="9">
        <f>IF(ISNA(MATCH(387,Engine!$C$2:$C$1960,0)),"",INDEX('Compliance Database'!$L$2:$L$1960,MATCH(387,Engine!$C$2:$C$1960,0)))</f>
        <v/>
      </c>
      <c r="M400" s="9">
        <f>IF(ISNA(MATCH(387,Engine!$C$2:$C$1960,0)),"",INDEX('Compliance Database'!$M$2:$M$1960,MATCH(387,Engine!$C$2:$C$1960,0)))</f>
        <v/>
      </c>
      <c r="N400" s="9">
        <f>IF(ISNA(MATCH(387,Engine!$C$2:$C$1960,0)),"",INDEX('Compliance Database'!$N$2:$N$1960,MATCH(387,Engine!$C$2:$C$1960,0)))</f>
        <v/>
      </c>
      <c r="O400" s="9">
        <f>IF(ISNA(MATCH(387,Engine!$C$2:$C$1960,0)),"",INDEX('Compliance Database'!$O$2:$O$1960,MATCH(387,Engine!$C$2:$C$1960,0)))</f>
        <v/>
      </c>
      <c r="P400" s="8">
        <f>IF(ISNA(MATCH(387,Engine!$C$2:$C$1960,0)),"",HYPERLINK("#Acts!A"&amp;INDEX('Compliance Database'!$P$2:$P$1960,MATCH(387,Engine!$C$2:$C$1960,0)),"Go to Act"))</f>
        <v/>
      </c>
    </row>
    <row r="401" ht="158" customHeight="1">
      <c r="A401" s="8">
        <f>IF(ISNA(MATCH(388,Engine!$C$2:$C$1960,0)),"",INDEX('Compliance Database'!$A$2:$A$1960,MATCH(388,Engine!$C$2:$C$1960,0)))</f>
        <v/>
      </c>
      <c r="B401" s="8">
        <f>IF(ISNA(MATCH(388,Engine!$C$2:$C$1960,0)),"",INDEX('Compliance Database'!$B$2:$B$1960,MATCH(388,Engine!$C$2:$C$1960,0)))</f>
        <v/>
      </c>
      <c r="C401" s="8">
        <f>IF(ISNA(MATCH(388,Engine!$C$2:$C$1960,0)),"",INDEX('Compliance Database'!$C$2:$C$1960,MATCH(388,Engine!$C$2:$C$1960,0)))</f>
        <v/>
      </c>
      <c r="D401" s="9">
        <f>IF(ISNA(MATCH(388,Engine!$C$2:$C$1960,0)),"",INDEX('Compliance Database'!$D$2:$D$1960,MATCH(388,Engine!$C$2:$C$1960,0)))</f>
        <v/>
      </c>
      <c r="E401" s="8">
        <f>IF(ISNA(MATCH(388,Engine!$C$2:$C$1960,0)),"",INDEX('Compliance Database'!$E$2:$E$1960,MATCH(388,Engine!$C$2:$C$1960,0)))</f>
        <v/>
      </c>
      <c r="F401" s="8">
        <f>IF(ISNA(MATCH(388,Engine!$C$2:$C$1960,0)),"",INDEX('Compliance Database'!$F$2:$F$1960,MATCH(388,Engine!$C$2:$C$1960,0)))</f>
        <v/>
      </c>
      <c r="G401" s="8">
        <f>IF(ISNA(MATCH(388,Engine!$C$2:$C$1960,0)),"",INDEX('Compliance Database'!$G$2:$G$1960,MATCH(388,Engine!$C$2:$C$1960,0)))</f>
        <v/>
      </c>
      <c r="H401" s="9">
        <f>IF(ISNA(MATCH(388,Engine!$C$2:$C$1960,0)),"",INDEX('Compliance Database'!$H$2:$H$1960,MATCH(388,Engine!$C$2:$C$1960,0)))</f>
        <v/>
      </c>
      <c r="I401" s="9">
        <f>IF(ISNA(MATCH(388,Engine!$C$2:$C$1960,0)),"",INDEX('Compliance Database'!$I$2:$I$1960,MATCH(388,Engine!$C$2:$C$1960,0)))</f>
        <v/>
      </c>
      <c r="J401" s="8">
        <f>IF(ISNA(MATCH(388,Engine!$C$2:$C$1960,0)),"",INDEX('Compliance Database'!$J$2:$J$1960,MATCH(388,Engine!$C$2:$C$1960,0)))</f>
        <v/>
      </c>
      <c r="K401" s="9">
        <f>IF(ISNA(MATCH(388,Engine!$C$2:$C$1960,0)),"",INDEX('Compliance Database'!$K$2:$K$1960,MATCH(388,Engine!$C$2:$C$1960,0)))</f>
        <v/>
      </c>
      <c r="L401" s="9">
        <f>IF(ISNA(MATCH(388,Engine!$C$2:$C$1960,0)),"",INDEX('Compliance Database'!$L$2:$L$1960,MATCH(388,Engine!$C$2:$C$1960,0)))</f>
        <v/>
      </c>
      <c r="M401" s="9">
        <f>IF(ISNA(MATCH(388,Engine!$C$2:$C$1960,0)),"",INDEX('Compliance Database'!$M$2:$M$1960,MATCH(388,Engine!$C$2:$C$1960,0)))</f>
        <v/>
      </c>
      <c r="N401" s="9">
        <f>IF(ISNA(MATCH(388,Engine!$C$2:$C$1960,0)),"",INDEX('Compliance Database'!$N$2:$N$1960,MATCH(388,Engine!$C$2:$C$1960,0)))</f>
        <v/>
      </c>
      <c r="O401" s="9">
        <f>IF(ISNA(MATCH(388,Engine!$C$2:$C$1960,0)),"",INDEX('Compliance Database'!$O$2:$O$1960,MATCH(388,Engine!$C$2:$C$1960,0)))</f>
        <v/>
      </c>
      <c r="P401" s="8">
        <f>IF(ISNA(MATCH(388,Engine!$C$2:$C$1960,0)),"",HYPERLINK("#Acts!A"&amp;INDEX('Compliance Database'!$P$2:$P$1960,MATCH(388,Engine!$C$2:$C$1960,0)),"Go to Act"))</f>
        <v/>
      </c>
    </row>
    <row r="402" ht="158" customHeight="1">
      <c r="A402" s="8">
        <f>IF(ISNA(MATCH(389,Engine!$C$2:$C$1960,0)),"",INDEX('Compliance Database'!$A$2:$A$1960,MATCH(389,Engine!$C$2:$C$1960,0)))</f>
        <v/>
      </c>
      <c r="B402" s="8">
        <f>IF(ISNA(MATCH(389,Engine!$C$2:$C$1960,0)),"",INDEX('Compliance Database'!$B$2:$B$1960,MATCH(389,Engine!$C$2:$C$1960,0)))</f>
        <v/>
      </c>
      <c r="C402" s="8">
        <f>IF(ISNA(MATCH(389,Engine!$C$2:$C$1960,0)),"",INDEX('Compliance Database'!$C$2:$C$1960,MATCH(389,Engine!$C$2:$C$1960,0)))</f>
        <v/>
      </c>
      <c r="D402" s="9">
        <f>IF(ISNA(MATCH(389,Engine!$C$2:$C$1960,0)),"",INDEX('Compliance Database'!$D$2:$D$1960,MATCH(389,Engine!$C$2:$C$1960,0)))</f>
        <v/>
      </c>
      <c r="E402" s="8">
        <f>IF(ISNA(MATCH(389,Engine!$C$2:$C$1960,0)),"",INDEX('Compliance Database'!$E$2:$E$1960,MATCH(389,Engine!$C$2:$C$1960,0)))</f>
        <v/>
      </c>
      <c r="F402" s="8">
        <f>IF(ISNA(MATCH(389,Engine!$C$2:$C$1960,0)),"",INDEX('Compliance Database'!$F$2:$F$1960,MATCH(389,Engine!$C$2:$C$1960,0)))</f>
        <v/>
      </c>
      <c r="G402" s="8">
        <f>IF(ISNA(MATCH(389,Engine!$C$2:$C$1960,0)),"",INDEX('Compliance Database'!$G$2:$G$1960,MATCH(389,Engine!$C$2:$C$1960,0)))</f>
        <v/>
      </c>
      <c r="H402" s="9">
        <f>IF(ISNA(MATCH(389,Engine!$C$2:$C$1960,0)),"",INDEX('Compliance Database'!$H$2:$H$1960,MATCH(389,Engine!$C$2:$C$1960,0)))</f>
        <v/>
      </c>
      <c r="I402" s="9">
        <f>IF(ISNA(MATCH(389,Engine!$C$2:$C$1960,0)),"",INDEX('Compliance Database'!$I$2:$I$1960,MATCH(389,Engine!$C$2:$C$1960,0)))</f>
        <v/>
      </c>
      <c r="J402" s="8">
        <f>IF(ISNA(MATCH(389,Engine!$C$2:$C$1960,0)),"",INDEX('Compliance Database'!$J$2:$J$1960,MATCH(389,Engine!$C$2:$C$1960,0)))</f>
        <v/>
      </c>
      <c r="K402" s="9">
        <f>IF(ISNA(MATCH(389,Engine!$C$2:$C$1960,0)),"",INDEX('Compliance Database'!$K$2:$K$1960,MATCH(389,Engine!$C$2:$C$1960,0)))</f>
        <v/>
      </c>
      <c r="L402" s="9">
        <f>IF(ISNA(MATCH(389,Engine!$C$2:$C$1960,0)),"",INDEX('Compliance Database'!$L$2:$L$1960,MATCH(389,Engine!$C$2:$C$1960,0)))</f>
        <v/>
      </c>
      <c r="M402" s="9">
        <f>IF(ISNA(MATCH(389,Engine!$C$2:$C$1960,0)),"",INDEX('Compliance Database'!$M$2:$M$1960,MATCH(389,Engine!$C$2:$C$1960,0)))</f>
        <v/>
      </c>
      <c r="N402" s="9">
        <f>IF(ISNA(MATCH(389,Engine!$C$2:$C$1960,0)),"",INDEX('Compliance Database'!$N$2:$N$1960,MATCH(389,Engine!$C$2:$C$1960,0)))</f>
        <v/>
      </c>
      <c r="O402" s="9">
        <f>IF(ISNA(MATCH(389,Engine!$C$2:$C$1960,0)),"",INDEX('Compliance Database'!$O$2:$O$1960,MATCH(389,Engine!$C$2:$C$1960,0)))</f>
        <v/>
      </c>
      <c r="P402" s="8">
        <f>IF(ISNA(MATCH(389,Engine!$C$2:$C$1960,0)),"",HYPERLINK("#Acts!A"&amp;INDEX('Compliance Database'!$P$2:$P$1960,MATCH(389,Engine!$C$2:$C$1960,0)),"Go to Act"))</f>
        <v/>
      </c>
    </row>
    <row r="403" ht="158" customHeight="1">
      <c r="A403" s="8">
        <f>IF(ISNA(MATCH(390,Engine!$C$2:$C$1960,0)),"",INDEX('Compliance Database'!$A$2:$A$1960,MATCH(390,Engine!$C$2:$C$1960,0)))</f>
        <v/>
      </c>
      <c r="B403" s="8">
        <f>IF(ISNA(MATCH(390,Engine!$C$2:$C$1960,0)),"",INDEX('Compliance Database'!$B$2:$B$1960,MATCH(390,Engine!$C$2:$C$1960,0)))</f>
        <v/>
      </c>
      <c r="C403" s="8">
        <f>IF(ISNA(MATCH(390,Engine!$C$2:$C$1960,0)),"",INDEX('Compliance Database'!$C$2:$C$1960,MATCH(390,Engine!$C$2:$C$1960,0)))</f>
        <v/>
      </c>
      <c r="D403" s="9">
        <f>IF(ISNA(MATCH(390,Engine!$C$2:$C$1960,0)),"",INDEX('Compliance Database'!$D$2:$D$1960,MATCH(390,Engine!$C$2:$C$1960,0)))</f>
        <v/>
      </c>
      <c r="E403" s="8">
        <f>IF(ISNA(MATCH(390,Engine!$C$2:$C$1960,0)),"",INDEX('Compliance Database'!$E$2:$E$1960,MATCH(390,Engine!$C$2:$C$1960,0)))</f>
        <v/>
      </c>
      <c r="F403" s="8">
        <f>IF(ISNA(MATCH(390,Engine!$C$2:$C$1960,0)),"",INDEX('Compliance Database'!$F$2:$F$1960,MATCH(390,Engine!$C$2:$C$1960,0)))</f>
        <v/>
      </c>
      <c r="G403" s="8">
        <f>IF(ISNA(MATCH(390,Engine!$C$2:$C$1960,0)),"",INDEX('Compliance Database'!$G$2:$G$1960,MATCH(390,Engine!$C$2:$C$1960,0)))</f>
        <v/>
      </c>
      <c r="H403" s="9">
        <f>IF(ISNA(MATCH(390,Engine!$C$2:$C$1960,0)),"",INDEX('Compliance Database'!$H$2:$H$1960,MATCH(390,Engine!$C$2:$C$1960,0)))</f>
        <v/>
      </c>
      <c r="I403" s="9">
        <f>IF(ISNA(MATCH(390,Engine!$C$2:$C$1960,0)),"",INDEX('Compliance Database'!$I$2:$I$1960,MATCH(390,Engine!$C$2:$C$1960,0)))</f>
        <v/>
      </c>
      <c r="J403" s="8">
        <f>IF(ISNA(MATCH(390,Engine!$C$2:$C$1960,0)),"",INDEX('Compliance Database'!$J$2:$J$1960,MATCH(390,Engine!$C$2:$C$1960,0)))</f>
        <v/>
      </c>
      <c r="K403" s="9">
        <f>IF(ISNA(MATCH(390,Engine!$C$2:$C$1960,0)),"",INDEX('Compliance Database'!$K$2:$K$1960,MATCH(390,Engine!$C$2:$C$1960,0)))</f>
        <v/>
      </c>
      <c r="L403" s="9">
        <f>IF(ISNA(MATCH(390,Engine!$C$2:$C$1960,0)),"",INDEX('Compliance Database'!$L$2:$L$1960,MATCH(390,Engine!$C$2:$C$1960,0)))</f>
        <v/>
      </c>
      <c r="M403" s="9">
        <f>IF(ISNA(MATCH(390,Engine!$C$2:$C$1960,0)),"",INDEX('Compliance Database'!$M$2:$M$1960,MATCH(390,Engine!$C$2:$C$1960,0)))</f>
        <v/>
      </c>
      <c r="N403" s="9">
        <f>IF(ISNA(MATCH(390,Engine!$C$2:$C$1960,0)),"",INDEX('Compliance Database'!$N$2:$N$1960,MATCH(390,Engine!$C$2:$C$1960,0)))</f>
        <v/>
      </c>
      <c r="O403" s="9">
        <f>IF(ISNA(MATCH(390,Engine!$C$2:$C$1960,0)),"",INDEX('Compliance Database'!$O$2:$O$1960,MATCH(390,Engine!$C$2:$C$1960,0)))</f>
        <v/>
      </c>
      <c r="P403" s="8">
        <f>IF(ISNA(MATCH(390,Engine!$C$2:$C$1960,0)),"",HYPERLINK("#Acts!A"&amp;INDEX('Compliance Database'!$P$2:$P$1960,MATCH(390,Engine!$C$2:$C$1960,0)),"Go to Act"))</f>
        <v/>
      </c>
    </row>
    <row r="404" ht="158" customHeight="1">
      <c r="A404" s="8">
        <f>IF(ISNA(MATCH(391,Engine!$C$2:$C$1960,0)),"",INDEX('Compliance Database'!$A$2:$A$1960,MATCH(391,Engine!$C$2:$C$1960,0)))</f>
        <v/>
      </c>
      <c r="B404" s="8">
        <f>IF(ISNA(MATCH(391,Engine!$C$2:$C$1960,0)),"",INDEX('Compliance Database'!$B$2:$B$1960,MATCH(391,Engine!$C$2:$C$1960,0)))</f>
        <v/>
      </c>
      <c r="C404" s="8">
        <f>IF(ISNA(MATCH(391,Engine!$C$2:$C$1960,0)),"",INDEX('Compliance Database'!$C$2:$C$1960,MATCH(391,Engine!$C$2:$C$1960,0)))</f>
        <v/>
      </c>
      <c r="D404" s="9">
        <f>IF(ISNA(MATCH(391,Engine!$C$2:$C$1960,0)),"",INDEX('Compliance Database'!$D$2:$D$1960,MATCH(391,Engine!$C$2:$C$1960,0)))</f>
        <v/>
      </c>
      <c r="E404" s="8">
        <f>IF(ISNA(MATCH(391,Engine!$C$2:$C$1960,0)),"",INDEX('Compliance Database'!$E$2:$E$1960,MATCH(391,Engine!$C$2:$C$1960,0)))</f>
        <v/>
      </c>
      <c r="F404" s="8">
        <f>IF(ISNA(MATCH(391,Engine!$C$2:$C$1960,0)),"",INDEX('Compliance Database'!$F$2:$F$1960,MATCH(391,Engine!$C$2:$C$1960,0)))</f>
        <v/>
      </c>
      <c r="G404" s="8">
        <f>IF(ISNA(MATCH(391,Engine!$C$2:$C$1960,0)),"",INDEX('Compliance Database'!$G$2:$G$1960,MATCH(391,Engine!$C$2:$C$1960,0)))</f>
        <v/>
      </c>
      <c r="H404" s="9">
        <f>IF(ISNA(MATCH(391,Engine!$C$2:$C$1960,0)),"",INDEX('Compliance Database'!$H$2:$H$1960,MATCH(391,Engine!$C$2:$C$1960,0)))</f>
        <v/>
      </c>
      <c r="I404" s="9">
        <f>IF(ISNA(MATCH(391,Engine!$C$2:$C$1960,0)),"",INDEX('Compliance Database'!$I$2:$I$1960,MATCH(391,Engine!$C$2:$C$1960,0)))</f>
        <v/>
      </c>
      <c r="J404" s="8">
        <f>IF(ISNA(MATCH(391,Engine!$C$2:$C$1960,0)),"",INDEX('Compliance Database'!$J$2:$J$1960,MATCH(391,Engine!$C$2:$C$1960,0)))</f>
        <v/>
      </c>
      <c r="K404" s="9">
        <f>IF(ISNA(MATCH(391,Engine!$C$2:$C$1960,0)),"",INDEX('Compliance Database'!$K$2:$K$1960,MATCH(391,Engine!$C$2:$C$1960,0)))</f>
        <v/>
      </c>
      <c r="L404" s="9">
        <f>IF(ISNA(MATCH(391,Engine!$C$2:$C$1960,0)),"",INDEX('Compliance Database'!$L$2:$L$1960,MATCH(391,Engine!$C$2:$C$1960,0)))</f>
        <v/>
      </c>
      <c r="M404" s="9">
        <f>IF(ISNA(MATCH(391,Engine!$C$2:$C$1960,0)),"",INDEX('Compliance Database'!$M$2:$M$1960,MATCH(391,Engine!$C$2:$C$1960,0)))</f>
        <v/>
      </c>
      <c r="N404" s="9">
        <f>IF(ISNA(MATCH(391,Engine!$C$2:$C$1960,0)),"",INDEX('Compliance Database'!$N$2:$N$1960,MATCH(391,Engine!$C$2:$C$1960,0)))</f>
        <v/>
      </c>
      <c r="O404" s="9">
        <f>IF(ISNA(MATCH(391,Engine!$C$2:$C$1960,0)),"",INDEX('Compliance Database'!$O$2:$O$1960,MATCH(391,Engine!$C$2:$C$1960,0)))</f>
        <v/>
      </c>
      <c r="P404" s="8">
        <f>IF(ISNA(MATCH(391,Engine!$C$2:$C$1960,0)),"",HYPERLINK("#Acts!A"&amp;INDEX('Compliance Database'!$P$2:$P$1960,MATCH(391,Engine!$C$2:$C$1960,0)),"Go to Act"))</f>
        <v/>
      </c>
    </row>
    <row r="405" ht="158" customHeight="1">
      <c r="A405" s="8">
        <f>IF(ISNA(MATCH(392,Engine!$C$2:$C$1960,0)),"",INDEX('Compliance Database'!$A$2:$A$1960,MATCH(392,Engine!$C$2:$C$1960,0)))</f>
        <v/>
      </c>
      <c r="B405" s="8">
        <f>IF(ISNA(MATCH(392,Engine!$C$2:$C$1960,0)),"",INDEX('Compliance Database'!$B$2:$B$1960,MATCH(392,Engine!$C$2:$C$1960,0)))</f>
        <v/>
      </c>
      <c r="C405" s="8">
        <f>IF(ISNA(MATCH(392,Engine!$C$2:$C$1960,0)),"",INDEX('Compliance Database'!$C$2:$C$1960,MATCH(392,Engine!$C$2:$C$1960,0)))</f>
        <v/>
      </c>
      <c r="D405" s="9">
        <f>IF(ISNA(MATCH(392,Engine!$C$2:$C$1960,0)),"",INDEX('Compliance Database'!$D$2:$D$1960,MATCH(392,Engine!$C$2:$C$1960,0)))</f>
        <v/>
      </c>
      <c r="E405" s="8">
        <f>IF(ISNA(MATCH(392,Engine!$C$2:$C$1960,0)),"",INDEX('Compliance Database'!$E$2:$E$1960,MATCH(392,Engine!$C$2:$C$1960,0)))</f>
        <v/>
      </c>
      <c r="F405" s="8">
        <f>IF(ISNA(MATCH(392,Engine!$C$2:$C$1960,0)),"",INDEX('Compliance Database'!$F$2:$F$1960,MATCH(392,Engine!$C$2:$C$1960,0)))</f>
        <v/>
      </c>
      <c r="G405" s="8">
        <f>IF(ISNA(MATCH(392,Engine!$C$2:$C$1960,0)),"",INDEX('Compliance Database'!$G$2:$G$1960,MATCH(392,Engine!$C$2:$C$1960,0)))</f>
        <v/>
      </c>
      <c r="H405" s="9">
        <f>IF(ISNA(MATCH(392,Engine!$C$2:$C$1960,0)),"",INDEX('Compliance Database'!$H$2:$H$1960,MATCH(392,Engine!$C$2:$C$1960,0)))</f>
        <v/>
      </c>
      <c r="I405" s="9">
        <f>IF(ISNA(MATCH(392,Engine!$C$2:$C$1960,0)),"",INDEX('Compliance Database'!$I$2:$I$1960,MATCH(392,Engine!$C$2:$C$1960,0)))</f>
        <v/>
      </c>
      <c r="J405" s="8">
        <f>IF(ISNA(MATCH(392,Engine!$C$2:$C$1960,0)),"",INDEX('Compliance Database'!$J$2:$J$1960,MATCH(392,Engine!$C$2:$C$1960,0)))</f>
        <v/>
      </c>
      <c r="K405" s="9">
        <f>IF(ISNA(MATCH(392,Engine!$C$2:$C$1960,0)),"",INDEX('Compliance Database'!$K$2:$K$1960,MATCH(392,Engine!$C$2:$C$1960,0)))</f>
        <v/>
      </c>
      <c r="L405" s="9">
        <f>IF(ISNA(MATCH(392,Engine!$C$2:$C$1960,0)),"",INDEX('Compliance Database'!$L$2:$L$1960,MATCH(392,Engine!$C$2:$C$1960,0)))</f>
        <v/>
      </c>
      <c r="M405" s="9">
        <f>IF(ISNA(MATCH(392,Engine!$C$2:$C$1960,0)),"",INDEX('Compliance Database'!$M$2:$M$1960,MATCH(392,Engine!$C$2:$C$1960,0)))</f>
        <v/>
      </c>
      <c r="N405" s="9">
        <f>IF(ISNA(MATCH(392,Engine!$C$2:$C$1960,0)),"",INDEX('Compliance Database'!$N$2:$N$1960,MATCH(392,Engine!$C$2:$C$1960,0)))</f>
        <v/>
      </c>
      <c r="O405" s="9">
        <f>IF(ISNA(MATCH(392,Engine!$C$2:$C$1960,0)),"",INDEX('Compliance Database'!$O$2:$O$1960,MATCH(392,Engine!$C$2:$C$1960,0)))</f>
        <v/>
      </c>
      <c r="P405" s="8">
        <f>IF(ISNA(MATCH(392,Engine!$C$2:$C$1960,0)),"",HYPERLINK("#Acts!A"&amp;INDEX('Compliance Database'!$P$2:$P$1960,MATCH(392,Engine!$C$2:$C$1960,0)),"Go to Act"))</f>
        <v/>
      </c>
    </row>
    <row r="406" ht="158" customHeight="1">
      <c r="A406" s="8">
        <f>IF(ISNA(MATCH(393,Engine!$C$2:$C$1960,0)),"",INDEX('Compliance Database'!$A$2:$A$1960,MATCH(393,Engine!$C$2:$C$1960,0)))</f>
        <v/>
      </c>
      <c r="B406" s="8">
        <f>IF(ISNA(MATCH(393,Engine!$C$2:$C$1960,0)),"",INDEX('Compliance Database'!$B$2:$B$1960,MATCH(393,Engine!$C$2:$C$1960,0)))</f>
        <v/>
      </c>
      <c r="C406" s="8">
        <f>IF(ISNA(MATCH(393,Engine!$C$2:$C$1960,0)),"",INDEX('Compliance Database'!$C$2:$C$1960,MATCH(393,Engine!$C$2:$C$1960,0)))</f>
        <v/>
      </c>
      <c r="D406" s="9">
        <f>IF(ISNA(MATCH(393,Engine!$C$2:$C$1960,0)),"",INDEX('Compliance Database'!$D$2:$D$1960,MATCH(393,Engine!$C$2:$C$1960,0)))</f>
        <v/>
      </c>
      <c r="E406" s="8">
        <f>IF(ISNA(MATCH(393,Engine!$C$2:$C$1960,0)),"",INDEX('Compliance Database'!$E$2:$E$1960,MATCH(393,Engine!$C$2:$C$1960,0)))</f>
        <v/>
      </c>
      <c r="F406" s="8">
        <f>IF(ISNA(MATCH(393,Engine!$C$2:$C$1960,0)),"",INDEX('Compliance Database'!$F$2:$F$1960,MATCH(393,Engine!$C$2:$C$1960,0)))</f>
        <v/>
      </c>
      <c r="G406" s="8">
        <f>IF(ISNA(MATCH(393,Engine!$C$2:$C$1960,0)),"",INDEX('Compliance Database'!$G$2:$G$1960,MATCH(393,Engine!$C$2:$C$1960,0)))</f>
        <v/>
      </c>
      <c r="H406" s="9">
        <f>IF(ISNA(MATCH(393,Engine!$C$2:$C$1960,0)),"",INDEX('Compliance Database'!$H$2:$H$1960,MATCH(393,Engine!$C$2:$C$1960,0)))</f>
        <v/>
      </c>
      <c r="I406" s="9">
        <f>IF(ISNA(MATCH(393,Engine!$C$2:$C$1960,0)),"",INDEX('Compliance Database'!$I$2:$I$1960,MATCH(393,Engine!$C$2:$C$1960,0)))</f>
        <v/>
      </c>
      <c r="J406" s="8">
        <f>IF(ISNA(MATCH(393,Engine!$C$2:$C$1960,0)),"",INDEX('Compliance Database'!$J$2:$J$1960,MATCH(393,Engine!$C$2:$C$1960,0)))</f>
        <v/>
      </c>
      <c r="K406" s="9">
        <f>IF(ISNA(MATCH(393,Engine!$C$2:$C$1960,0)),"",INDEX('Compliance Database'!$K$2:$K$1960,MATCH(393,Engine!$C$2:$C$1960,0)))</f>
        <v/>
      </c>
      <c r="L406" s="9">
        <f>IF(ISNA(MATCH(393,Engine!$C$2:$C$1960,0)),"",INDEX('Compliance Database'!$L$2:$L$1960,MATCH(393,Engine!$C$2:$C$1960,0)))</f>
        <v/>
      </c>
      <c r="M406" s="9">
        <f>IF(ISNA(MATCH(393,Engine!$C$2:$C$1960,0)),"",INDEX('Compliance Database'!$M$2:$M$1960,MATCH(393,Engine!$C$2:$C$1960,0)))</f>
        <v/>
      </c>
      <c r="N406" s="9">
        <f>IF(ISNA(MATCH(393,Engine!$C$2:$C$1960,0)),"",INDEX('Compliance Database'!$N$2:$N$1960,MATCH(393,Engine!$C$2:$C$1960,0)))</f>
        <v/>
      </c>
      <c r="O406" s="9">
        <f>IF(ISNA(MATCH(393,Engine!$C$2:$C$1960,0)),"",INDEX('Compliance Database'!$O$2:$O$1960,MATCH(393,Engine!$C$2:$C$1960,0)))</f>
        <v/>
      </c>
      <c r="P406" s="8">
        <f>IF(ISNA(MATCH(393,Engine!$C$2:$C$1960,0)),"",HYPERLINK("#Acts!A"&amp;INDEX('Compliance Database'!$P$2:$P$1960,MATCH(393,Engine!$C$2:$C$1960,0)),"Go to Act"))</f>
        <v/>
      </c>
    </row>
    <row r="407" ht="158" customHeight="1">
      <c r="A407" s="8">
        <f>IF(ISNA(MATCH(394,Engine!$C$2:$C$1960,0)),"",INDEX('Compliance Database'!$A$2:$A$1960,MATCH(394,Engine!$C$2:$C$1960,0)))</f>
        <v/>
      </c>
      <c r="B407" s="8">
        <f>IF(ISNA(MATCH(394,Engine!$C$2:$C$1960,0)),"",INDEX('Compliance Database'!$B$2:$B$1960,MATCH(394,Engine!$C$2:$C$1960,0)))</f>
        <v/>
      </c>
      <c r="C407" s="8">
        <f>IF(ISNA(MATCH(394,Engine!$C$2:$C$1960,0)),"",INDEX('Compliance Database'!$C$2:$C$1960,MATCH(394,Engine!$C$2:$C$1960,0)))</f>
        <v/>
      </c>
      <c r="D407" s="9">
        <f>IF(ISNA(MATCH(394,Engine!$C$2:$C$1960,0)),"",INDEX('Compliance Database'!$D$2:$D$1960,MATCH(394,Engine!$C$2:$C$1960,0)))</f>
        <v/>
      </c>
      <c r="E407" s="8">
        <f>IF(ISNA(MATCH(394,Engine!$C$2:$C$1960,0)),"",INDEX('Compliance Database'!$E$2:$E$1960,MATCH(394,Engine!$C$2:$C$1960,0)))</f>
        <v/>
      </c>
      <c r="F407" s="8">
        <f>IF(ISNA(MATCH(394,Engine!$C$2:$C$1960,0)),"",INDEX('Compliance Database'!$F$2:$F$1960,MATCH(394,Engine!$C$2:$C$1960,0)))</f>
        <v/>
      </c>
      <c r="G407" s="8">
        <f>IF(ISNA(MATCH(394,Engine!$C$2:$C$1960,0)),"",INDEX('Compliance Database'!$G$2:$G$1960,MATCH(394,Engine!$C$2:$C$1960,0)))</f>
        <v/>
      </c>
      <c r="H407" s="9">
        <f>IF(ISNA(MATCH(394,Engine!$C$2:$C$1960,0)),"",INDEX('Compliance Database'!$H$2:$H$1960,MATCH(394,Engine!$C$2:$C$1960,0)))</f>
        <v/>
      </c>
      <c r="I407" s="9">
        <f>IF(ISNA(MATCH(394,Engine!$C$2:$C$1960,0)),"",INDEX('Compliance Database'!$I$2:$I$1960,MATCH(394,Engine!$C$2:$C$1960,0)))</f>
        <v/>
      </c>
      <c r="J407" s="8">
        <f>IF(ISNA(MATCH(394,Engine!$C$2:$C$1960,0)),"",INDEX('Compliance Database'!$J$2:$J$1960,MATCH(394,Engine!$C$2:$C$1960,0)))</f>
        <v/>
      </c>
      <c r="K407" s="9">
        <f>IF(ISNA(MATCH(394,Engine!$C$2:$C$1960,0)),"",INDEX('Compliance Database'!$K$2:$K$1960,MATCH(394,Engine!$C$2:$C$1960,0)))</f>
        <v/>
      </c>
      <c r="L407" s="9">
        <f>IF(ISNA(MATCH(394,Engine!$C$2:$C$1960,0)),"",INDEX('Compliance Database'!$L$2:$L$1960,MATCH(394,Engine!$C$2:$C$1960,0)))</f>
        <v/>
      </c>
      <c r="M407" s="9">
        <f>IF(ISNA(MATCH(394,Engine!$C$2:$C$1960,0)),"",INDEX('Compliance Database'!$M$2:$M$1960,MATCH(394,Engine!$C$2:$C$1960,0)))</f>
        <v/>
      </c>
      <c r="N407" s="9">
        <f>IF(ISNA(MATCH(394,Engine!$C$2:$C$1960,0)),"",INDEX('Compliance Database'!$N$2:$N$1960,MATCH(394,Engine!$C$2:$C$1960,0)))</f>
        <v/>
      </c>
      <c r="O407" s="9">
        <f>IF(ISNA(MATCH(394,Engine!$C$2:$C$1960,0)),"",INDEX('Compliance Database'!$O$2:$O$1960,MATCH(394,Engine!$C$2:$C$1960,0)))</f>
        <v/>
      </c>
      <c r="P407" s="8">
        <f>IF(ISNA(MATCH(394,Engine!$C$2:$C$1960,0)),"",HYPERLINK("#Acts!A"&amp;INDEX('Compliance Database'!$P$2:$P$1960,MATCH(394,Engine!$C$2:$C$1960,0)),"Go to Act"))</f>
        <v/>
      </c>
    </row>
    <row r="408" ht="158" customHeight="1">
      <c r="A408" s="8">
        <f>IF(ISNA(MATCH(395,Engine!$C$2:$C$1960,0)),"",INDEX('Compliance Database'!$A$2:$A$1960,MATCH(395,Engine!$C$2:$C$1960,0)))</f>
        <v/>
      </c>
      <c r="B408" s="8">
        <f>IF(ISNA(MATCH(395,Engine!$C$2:$C$1960,0)),"",INDEX('Compliance Database'!$B$2:$B$1960,MATCH(395,Engine!$C$2:$C$1960,0)))</f>
        <v/>
      </c>
      <c r="C408" s="8">
        <f>IF(ISNA(MATCH(395,Engine!$C$2:$C$1960,0)),"",INDEX('Compliance Database'!$C$2:$C$1960,MATCH(395,Engine!$C$2:$C$1960,0)))</f>
        <v/>
      </c>
      <c r="D408" s="9">
        <f>IF(ISNA(MATCH(395,Engine!$C$2:$C$1960,0)),"",INDEX('Compliance Database'!$D$2:$D$1960,MATCH(395,Engine!$C$2:$C$1960,0)))</f>
        <v/>
      </c>
      <c r="E408" s="8">
        <f>IF(ISNA(MATCH(395,Engine!$C$2:$C$1960,0)),"",INDEX('Compliance Database'!$E$2:$E$1960,MATCH(395,Engine!$C$2:$C$1960,0)))</f>
        <v/>
      </c>
      <c r="F408" s="8">
        <f>IF(ISNA(MATCH(395,Engine!$C$2:$C$1960,0)),"",INDEX('Compliance Database'!$F$2:$F$1960,MATCH(395,Engine!$C$2:$C$1960,0)))</f>
        <v/>
      </c>
      <c r="G408" s="8">
        <f>IF(ISNA(MATCH(395,Engine!$C$2:$C$1960,0)),"",INDEX('Compliance Database'!$G$2:$G$1960,MATCH(395,Engine!$C$2:$C$1960,0)))</f>
        <v/>
      </c>
      <c r="H408" s="9">
        <f>IF(ISNA(MATCH(395,Engine!$C$2:$C$1960,0)),"",INDEX('Compliance Database'!$H$2:$H$1960,MATCH(395,Engine!$C$2:$C$1960,0)))</f>
        <v/>
      </c>
      <c r="I408" s="9">
        <f>IF(ISNA(MATCH(395,Engine!$C$2:$C$1960,0)),"",INDEX('Compliance Database'!$I$2:$I$1960,MATCH(395,Engine!$C$2:$C$1960,0)))</f>
        <v/>
      </c>
      <c r="J408" s="8">
        <f>IF(ISNA(MATCH(395,Engine!$C$2:$C$1960,0)),"",INDEX('Compliance Database'!$J$2:$J$1960,MATCH(395,Engine!$C$2:$C$1960,0)))</f>
        <v/>
      </c>
      <c r="K408" s="9">
        <f>IF(ISNA(MATCH(395,Engine!$C$2:$C$1960,0)),"",INDEX('Compliance Database'!$K$2:$K$1960,MATCH(395,Engine!$C$2:$C$1960,0)))</f>
        <v/>
      </c>
      <c r="L408" s="9">
        <f>IF(ISNA(MATCH(395,Engine!$C$2:$C$1960,0)),"",INDEX('Compliance Database'!$L$2:$L$1960,MATCH(395,Engine!$C$2:$C$1960,0)))</f>
        <v/>
      </c>
      <c r="M408" s="9">
        <f>IF(ISNA(MATCH(395,Engine!$C$2:$C$1960,0)),"",INDEX('Compliance Database'!$M$2:$M$1960,MATCH(395,Engine!$C$2:$C$1960,0)))</f>
        <v/>
      </c>
      <c r="N408" s="9">
        <f>IF(ISNA(MATCH(395,Engine!$C$2:$C$1960,0)),"",INDEX('Compliance Database'!$N$2:$N$1960,MATCH(395,Engine!$C$2:$C$1960,0)))</f>
        <v/>
      </c>
      <c r="O408" s="9">
        <f>IF(ISNA(MATCH(395,Engine!$C$2:$C$1960,0)),"",INDEX('Compliance Database'!$O$2:$O$1960,MATCH(395,Engine!$C$2:$C$1960,0)))</f>
        <v/>
      </c>
      <c r="P408" s="8">
        <f>IF(ISNA(MATCH(395,Engine!$C$2:$C$1960,0)),"",HYPERLINK("#Acts!A"&amp;INDEX('Compliance Database'!$P$2:$P$1960,MATCH(395,Engine!$C$2:$C$1960,0)),"Go to Act"))</f>
        <v/>
      </c>
    </row>
    <row r="409" ht="158" customHeight="1">
      <c r="A409" s="8">
        <f>IF(ISNA(MATCH(396,Engine!$C$2:$C$1960,0)),"",INDEX('Compliance Database'!$A$2:$A$1960,MATCH(396,Engine!$C$2:$C$1960,0)))</f>
        <v/>
      </c>
      <c r="B409" s="8">
        <f>IF(ISNA(MATCH(396,Engine!$C$2:$C$1960,0)),"",INDEX('Compliance Database'!$B$2:$B$1960,MATCH(396,Engine!$C$2:$C$1960,0)))</f>
        <v/>
      </c>
      <c r="C409" s="8">
        <f>IF(ISNA(MATCH(396,Engine!$C$2:$C$1960,0)),"",INDEX('Compliance Database'!$C$2:$C$1960,MATCH(396,Engine!$C$2:$C$1960,0)))</f>
        <v/>
      </c>
      <c r="D409" s="9">
        <f>IF(ISNA(MATCH(396,Engine!$C$2:$C$1960,0)),"",INDEX('Compliance Database'!$D$2:$D$1960,MATCH(396,Engine!$C$2:$C$1960,0)))</f>
        <v/>
      </c>
      <c r="E409" s="8">
        <f>IF(ISNA(MATCH(396,Engine!$C$2:$C$1960,0)),"",INDEX('Compliance Database'!$E$2:$E$1960,MATCH(396,Engine!$C$2:$C$1960,0)))</f>
        <v/>
      </c>
      <c r="F409" s="8">
        <f>IF(ISNA(MATCH(396,Engine!$C$2:$C$1960,0)),"",INDEX('Compliance Database'!$F$2:$F$1960,MATCH(396,Engine!$C$2:$C$1960,0)))</f>
        <v/>
      </c>
      <c r="G409" s="8">
        <f>IF(ISNA(MATCH(396,Engine!$C$2:$C$1960,0)),"",INDEX('Compliance Database'!$G$2:$G$1960,MATCH(396,Engine!$C$2:$C$1960,0)))</f>
        <v/>
      </c>
      <c r="H409" s="9">
        <f>IF(ISNA(MATCH(396,Engine!$C$2:$C$1960,0)),"",INDEX('Compliance Database'!$H$2:$H$1960,MATCH(396,Engine!$C$2:$C$1960,0)))</f>
        <v/>
      </c>
      <c r="I409" s="9">
        <f>IF(ISNA(MATCH(396,Engine!$C$2:$C$1960,0)),"",INDEX('Compliance Database'!$I$2:$I$1960,MATCH(396,Engine!$C$2:$C$1960,0)))</f>
        <v/>
      </c>
      <c r="J409" s="8">
        <f>IF(ISNA(MATCH(396,Engine!$C$2:$C$1960,0)),"",INDEX('Compliance Database'!$J$2:$J$1960,MATCH(396,Engine!$C$2:$C$1960,0)))</f>
        <v/>
      </c>
      <c r="K409" s="9">
        <f>IF(ISNA(MATCH(396,Engine!$C$2:$C$1960,0)),"",INDEX('Compliance Database'!$K$2:$K$1960,MATCH(396,Engine!$C$2:$C$1960,0)))</f>
        <v/>
      </c>
      <c r="L409" s="9">
        <f>IF(ISNA(MATCH(396,Engine!$C$2:$C$1960,0)),"",INDEX('Compliance Database'!$L$2:$L$1960,MATCH(396,Engine!$C$2:$C$1960,0)))</f>
        <v/>
      </c>
      <c r="M409" s="9">
        <f>IF(ISNA(MATCH(396,Engine!$C$2:$C$1960,0)),"",INDEX('Compliance Database'!$M$2:$M$1960,MATCH(396,Engine!$C$2:$C$1960,0)))</f>
        <v/>
      </c>
      <c r="N409" s="9">
        <f>IF(ISNA(MATCH(396,Engine!$C$2:$C$1960,0)),"",INDEX('Compliance Database'!$N$2:$N$1960,MATCH(396,Engine!$C$2:$C$1960,0)))</f>
        <v/>
      </c>
      <c r="O409" s="9">
        <f>IF(ISNA(MATCH(396,Engine!$C$2:$C$1960,0)),"",INDEX('Compliance Database'!$O$2:$O$1960,MATCH(396,Engine!$C$2:$C$1960,0)))</f>
        <v/>
      </c>
      <c r="P409" s="8">
        <f>IF(ISNA(MATCH(396,Engine!$C$2:$C$1960,0)),"",HYPERLINK("#Acts!A"&amp;INDEX('Compliance Database'!$P$2:$P$1960,MATCH(396,Engine!$C$2:$C$1960,0)),"Go to Act"))</f>
        <v/>
      </c>
    </row>
    <row r="410" ht="158" customHeight="1">
      <c r="A410" s="8">
        <f>IF(ISNA(MATCH(397,Engine!$C$2:$C$1960,0)),"",INDEX('Compliance Database'!$A$2:$A$1960,MATCH(397,Engine!$C$2:$C$1960,0)))</f>
        <v/>
      </c>
      <c r="B410" s="8">
        <f>IF(ISNA(MATCH(397,Engine!$C$2:$C$1960,0)),"",INDEX('Compliance Database'!$B$2:$B$1960,MATCH(397,Engine!$C$2:$C$1960,0)))</f>
        <v/>
      </c>
      <c r="C410" s="8">
        <f>IF(ISNA(MATCH(397,Engine!$C$2:$C$1960,0)),"",INDEX('Compliance Database'!$C$2:$C$1960,MATCH(397,Engine!$C$2:$C$1960,0)))</f>
        <v/>
      </c>
      <c r="D410" s="9">
        <f>IF(ISNA(MATCH(397,Engine!$C$2:$C$1960,0)),"",INDEX('Compliance Database'!$D$2:$D$1960,MATCH(397,Engine!$C$2:$C$1960,0)))</f>
        <v/>
      </c>
      <c r="E410" s="8">
        <f>IF(ISNA(MATCH(397,Engine!$C$2:$C$1960,0)),"",INDEX('Compliance Database'!$E$2:$E$1960,MATCH(397,Engine!$C$2:$C$1960,0)))</f>
        <v/>
      </c>
      <c r="F410" s="8">
        <f>IF(ISNA(MATCH(397,Engine!$C$2:$C$1960,0)),"",INDEX('Compliance Database'!$F$2:$F$1960,MATCH(397,Engine!$C$2:$C$1960,0)))</f>
        <v/>
      </c>
      <c r="G410" s="8">
        <f>IF(ISNA(MATCH(397,Engine!$C$2:$C$1960,0)),"",INDEX('Compliance Database'!$G$2:$G$1960,MATCH(397,Engine!$C$2:$C$1960,0)))</f>
        <v/>
      </c>
      <c r="H410" s="9">
        <f>IF(ISNA(MATCH(397,Engine!$C$2:$C$1960,0)),"",INDEX('Compliance Database'!$H$2:$H$1960,MATCH(397,Engine!$C$2:$C$1960,0)))</f>
        <v/>
      </c>
      <c r="I410" s="9">
        <f>IF(ISNA(MATCH(397,Engine!$C$2:$C$1960,0)),"",INDEX('Compliance Database'!$I$2:$I$1960,MATCH(397,Engine!$C$2:$C$1960,0)))</f>
        <v/>
      </c>
      <c r="J410" s="8">
        <f>IF(ISNA(MATCH(397,Engine!$C$2:$C$1960,0)),"",INDEX('Compliance Database'!$J$2:$J$1960,MATCH(397,Engine!$C$2:$C$1960,0)))</f>
        <v/>
      </c>
      <c r="K410" s="9">
        <f>IF(ISNA(MATCH(397,Engine!$C$2:$C$1960,0)),"",INDEX('Compliance Database'!$K$2:$K$1960,MATCH(397,Engine!$C$2:$C$1960,0)))</f>
        <v/>
      </c>
      <c r="L410" s="9">
        <f>IF(ISNA(MATCH(397,Engine!$C$2:$C$1960,0)),"",INDEX('Compliance Database'!$L$2:$L$1960,MATCH(397,Engine!$C$2:$C$1960,0)))</f>
        <v/>
      </c>
      <c r="M410" s="9">
        <f>IF(ISNA(MATCH(397,Engine!$C$2:$C$1960,0)),"",INDEX('Compliance Database'!$M$2:$M$1960,MATCH(397,Engine!$C$2:$C$1960,0)))</f>
        <v/>
      </c>
      <c r="N410" s="9">
        <f>IF(ISNA(MATCH(397,Engine!$C$2:$C$1960,0)),"",INDEX('Compliance Database'!$N$2:$N$1960,MATCH(397,Engine!$C$2:$C$1960,0)))</f>
        <v/>
      </c>
      <c r="O410" s="9">
        <f>IF(ISNA(MATCH(397,Engine!$C$2:$C$1960,0)),"",INDEX('Compliance Database'!$O$2:$O$1960,MATCH(397,Engine!$C$2:$C$1960,0)))</f>
        <v/>
      </c>
      <c r="P410" s="8">
        <f>IF(ISNA(MATCH(397,Engine!$C$2:$C$1960,0)),"",HYPERLINK("#Acts!A"&amp;INDEX('Compliance Database'!$P$2:$P$1960,MATCH(397,Engine!$C$2:$C$1960,0)),"Go to Act"))</f>
        <v/>
      </c>
    </row>
    <row r="411" ht="158" customHeight="1">
      <c r="A411" s="8">
        <f>IF(ISNA(MATCH(398,Engine!$C$2:$C$1960,0)),"",INDEX('Compliance Database'!$A$2:$A$1960,MATCH(398,Engine!$C$2:$C$1960,0)))</f>
        <v/>
      </c>
      <c r="B411" s="8">
        <f>IF(ISNA(MATCH(398,Engine!$C$2:$C$1960,0)),"",INDEX('Compliance Database'!$B$2:$B$1960,MATCH(398,Engine!$C$2:$C$1960,0)))</f>
        <v/>
      </c>
      <c r="C411" s="8">
        <f>IF(ISNA(MATCH(398,Engine!$C$2:$C$1960,0)),"",INDEX('Compliance Database'!$C$2:$C$1960,MATCH(398,Engine!$C$2:$C$1960,0)))</f>
        <v/>
      </c>
      <c r="D411" s="9">
        <f>IF(ISNA(MATCH(398,Engine!$C$2:$C$1960,0)),"",INDEX('Compliance Database'!$D$2:$D$1960,MATCH(398,Engine!$C$2:$C$1960,0)))</f>
        <v/>
      </c>
      <c r="E411" s="8">
        <f>IF(ISNA(MATCH(398,Engine!$C$2:$C$1960,0)),"",INDEX('Compliance Database'!$E$2:$E$1960,MATCH(398,Engine!$C$2:$C$1960,0)))</f>
        <v/>
      </c>
      <c r="F411" s="8">
        <f>IF(ISNA(MATCH(398,Engine!$C$2:$C$1960,0)),"",INDEX('Compliance Database'!$F$2:$F$1960,MATCH(398,Engine!$C$2:$C$1960,0)))</f>
        <v/>
      </c>
      <c r="G411" s="8">
        <f>IF(ISNA(MATCH(398,Engine!$C$2:$C$1960,0)),"",INDEX('Compliance Database'!$G$2:$G$1960,MATCH(398,Engine!$C$2:$C$1960,0)))</f>
        <v/>
      </c>
      <c r="H411" s="9">
        <f>IF(ISNA(MATCH(398,Engine!$C$2:$C$1960,0)),"",INDEX('Compliance Database'!$H$2:$H$1960,MATCH(398,Engine!$C$2:$C$1960,0)))</f>
        <v/>
      </c>
      <c r="I411" s="9">
        <f>IF(ISNA(MATCH(398,Engine!$C$2:$C$1960,0)),"",INDEX('Compliance Database'!$I$2:$I$1960,MATCH(398,Engine!$C$2:$C$1960,0)))</f>
        <v/>
      </c>
      <c r="J411" s="8">
        <f>IF(ISNA(MATCH(398,Engine!$C$2:$C$1960,0)),"",INDEX('Compliance Database'!$J$2:$J$1960,MATCH(398,Engine!$C$2:$C$1960,0)))</f>
        <v/>
      </c>
      <c r="K411" s="9">
        <f>IF(ISNA(MATCH(398,Engine!$C$2:$C$1960,0)),"",INDEX('Compliance Database'!$K$2:$K$1960,MATCH(398,Engine!$C$2:$C$1960,0)))</f>
        <v/>
      </c>
      <c r="L411" s="9">
        <f>IF(ISNA(MATCH(398,Engine!$C$2:$C$1960,0)),"",INDEX('Compliance Database'!$L$2:$L$1960,MATCH(398,Engine!$C$2:$C$1960,0)))</f>
        <v/>
      </c>
      <c r="M411" s="9">
        <f>IF(ISNA(MATCH(398,Engine!$C$2:$C$1960,0)),"",INDEX('Compliance Database'!$M$2:$M$1960,MATCH(398,Engine!$C$2:$C$1960,0)))</f>
        <v/>
      </c>
      <c r="N411" s="9">
        <f>IF(ISNA(MATCH(398,Engine!$C$2:$C$1960,0)),"",INDEX('Compliance Database'!$N$2:$N$1960,MATCH(398,Engine!$C$2:$C$1960,0)))</f>
        <v/>
      </c>
      <c r="O411" s="9">
        <f>IF(ISNA(MATCH(398,Engine!$C$2:$C$1960,0)),"",INDEX('Compliance Database'!$O$2:$O$1960,MATCH(398,Engine!$C$2:$C$1960,0)))</f>
        <v/>
      </c>
      <c r="P411" s="8">
        <f>IF(ISNA(MATCH(398,Engine!$C$2:$C$1960,0)),"",HYPERLINK("#Acts!A"&amp;INDEX('Compliance Database'!$P$2:$P$1960,MATCH(398,Engine!$C$2:$C$1960,0)),"Go to Act"))</f>
        <v/>
      </c>
    </row>
    <row r="412" ht="158" customHeight="1">
      <c r="A412" s="8">
        <f>IF(ISNA(MATCH(399,Engine!$C$2:$C$1960,0)),"",INDEX('Compliance Database'!$A$2:$A$1960,MATCH(399,Engine!$C$2:$C$1960,0)))</f>
        <v/>
      </c>
      <c r="B412" s="8">
        <f>IF(ISNA(MATCH(399,Engine!$C$2:$C$1960,0)),"",INDEX('Compliance Database'!$B$2:$B$1960,MATCH(399,Engine!$C$2:$C$1960,0)))</f>
        <v/>
      </c>
      <c r="C412" s="8">
        <f>IF(ISNA(MATCH(399,Engine!$C$2:$C$1960,0)),"",INDEX('Compliance Database'!$C$2:$C$1960,MATCH(399,Engine!$C$2:$C$1960,0)))</f>
        <v/>
      </c>
      <c r="D412" s="9">
        <f>IF(ISNA(MATCH(399,Engine!$C$2:$C$1960,0)),"",INDEX('Compliance Database'!$D$2:$D$1960,MATCH(399,Engine!$C$2:$C$1960,0)))</f>
        <v/>
      </c>
      <c r="E412" s="8">
        <f>IF(ISNA(MATCH(399,Engine!$C$2:$C$1960,0)),"",INDEX('Compliance Database'!$E$2:$E$1960,MATCH(399,Engine!$C$2:$C$1960,0)))</f>
        <v/>
      </c>
      <c r="F412" s="8">
        <f>IF(ISNA(MATCH(399,Engine!$C$2:$C$1960,0)),"",INDEX('Compliance Database'!$F$2:$F$1960,MATCH(399,Engine!$C$2:$C$1960,0)))</f>
        <v/>
      </c>
      <c r="G412" s="8">
        <f>IF(ISNA(MATCH(399,Engine!$C$2:$C$1960,0)),"",INDEX('Compliance Database'!$G$2:$G$1960,MATCH(399,Engine!$C$2:$C$1960,0)))</f>
        <v/>
      </c>
      <c r="H412" s="9">
        <f>IF(ISNA(MATCH(399,Engine!$C$2:$C$1960,0)),"",INDEX('Compliance Database'!$H$2:$H$1960,MATCH(399,Engine!$C$2:$C$1960,0)))</f>
        <v/>
      </c>
      <c r="I412" s="9">
        <f>IF(ISNA(MATCH(399,Engine!$C$2:$C$1960,0)),"",INDEX('Compliance Database'!$I$2:$I$1960,MATCH(399,Engine!$C$2:$C$1960,0)))</f>
        <v/>
      </c>
      <c r="J412" s="8">
        <f>IF(ISNA(MATCH(399,Engine!$C$2:$C$1960,0)),"",INDEX('Compliance Database'!$J$2:$J$1960,MATCH(399,Engine!$C$2:$C$1960,0)))</f>
        <v/>
      </c>
      <c r="K412" s="9">
        <f>IF(ISNA(MATCH(399,Engine!$C$2:$C$1960,0)),"",INDEX('Compliance Database'!$K$2:$K$1960,MATCH(399,Engine!$C$2:$C$1960,0)))</f>
        <v/>
      </c>
      <c r="L412" s="9">
        <f>IF(ISNA(MATCH(399,Engine!$C$2:$C$1960,0)),"",INDEX('Compliance Database'!$L$2:$L$1960,MATCH(399,Engine!$C$2:$C$1960,0)))</f>
        <v/>
      </c>
      <c r="M412" s="9">
        <f>IF(ISNA(MATCH(399,Engine!$C$2:$C$1960,0)),"",INDEX('Compliance Database'!$M$2:$M$1960,MATCH(399,Engine!$C$2:$C$1960,0)))</f>
        <v/>
      </c>
      <c r="N412" s="9">
        <f>IF(ISNA(MATCH(399,Engine!$C$2:$C$1960,0)),"",INDEX('Compliance Database'!$N$2:$N$1960,MATCH(399,Engine!$C$2:$C$1960,0)))</f>
        <v/>
      </c>
      <c r="O412" s="9">
        <f>IF(ISNA(MATCH(399,Engine!$C$2:$C$1960,0)),"",INDEX('Compliance Database'!$O$2:$O$1960,MATCH(399,Engine!$C$2:$C$1960,0)))</f>
        <v/>
      </c>
      <c r="P412" s="8">
        <f>IF(ISNA(MATCH(399,Engine!$C$2:$C$1960,0)),"",HYPERLINK("#Acts!A"&amp;INDEX('Compliance Database'!$P$2:$P$1960,MATCH(399,Engine!$C$2:$C$1960,0)),"Go to Act"))</f>
        <v/>
      </c>
    </row>
    <row r="413" ht="158" customHeight="1">
      <c r="A413" s="8">
        <f>IF(ISNA(MATCH(400,Engine!$C$2:$C$1960,0)),"",INDEX('Compliance Database'!$A$2:$A$1960,MATCH(400,Engine!$C$2:$C$1960,0)))</f>
        <v/>
      </c>
      <c r="B413" s="8">
        <f>IF(ISNA(MATCH(400,Engine!$C$2:$C$1960,0)),"",INDEX('Compliance Database'!$B$2:$B$1960,MATCH(400,Engine!$C$2:$C$1960,0)))</f>
        <v/>
      </c>
      <c r="C413" s="8">
        <f>IF(ISNA(MATCH(400,Engine!$C$2:$C$1960,0)),"",INDEX('Compliance Database'!$C$2:$C$1960,MATCH(400,Engine!$C$2:$C$1960,0)))</f>
        <v/>
      </c>
      <c r="D413" s="9">
        <f>IF(ISNA(MATCH(400,Engine!$C$2:$C$1960,0)),"",INDEX('Compliance Database'!$D$2:$D$1960,MATCH(400,Engine!$C$2:$C$1960,0)))</f>
        <v/>
      </c>
      <c r="E413" s="8">
        <f>IF(ISNA(MATCH(400,Engine!$C$2:$C$1960,0)),"",INDEX('Compliance Database'!$E$2:$E$1960,MATCH(400,Engine!$C$2:$C$1960,0)))</f>
        <v/>
      </c>
      <c r="F413" s="8">
        <f>IF(ISNA(MATCH(400,Engine!$C$2:$C$1960,0)),"",INDEX('Compliance Database'!$F$2:$F$1960,MATCH(400,Engine!$C$2:$C$1960,0)))</f>
        <v/>
      </c>
      <c r="G413" s="8">
        <f>IF(ISNA(MATCH(400,Engine!$C$2:$C$1960,0)),"",INDEX('Compliance Database'!$G$2:$G$1960,MATCH(400,Engine!$C$2:$C$1960,0)))</f>
        <v/>
      </c>
      <c r="H413" s="9">
        <f>IF(ISNA(MATCH(400,Engine!$C$2:$C$1960,0)),"",INDEX('Compliance Database'!$H$2:$H$1960,MATCH(400,Engine!$C$2:$C$1960,0)))</f>
        <v/>
      </c>
      <c r="I413" s="9">
        <f>IF(ISNA(MATCH(400,Engine!$C$2:$C$1960,0)),"",INDEX('Compliance Database'!$I$2:$I$1960,MATCH(400,Engine!$C$2:$C$1960,0)))</f>
        <v/>
      </c>
      <c r="J413" s="8">
        <f>IF(ISNA(MATCH(400,Engine!$C$2:$C$1960,0)),"",INDEX('Compliance Database'!$J$2:$J$1960,MATCH(400,Engine!$C$2:$C$1960,0)))</f>
        <v/>
      </c>
      <c r="K413" s="9">
        <f>IF(ISNA(MATCH(400,Engine!$C$2:$C$1960,0)),"",INDEX('Compliance Database'!$K$2:$K$1960,MATCH(400,Engine!$C$2:$C$1960,0)))</f>
        <v/>
      </c>
      <c r="L413" s="9">
        <f>IF(ISNA(MATCH(400,Engine!$C$2:$C$1960,0)),"",INDEX('Compliance Database'!$L$2:$L$1960,MATCH(400,Engine!$C$2:$C$1960,0)))</f>
        <v/>
      </c>
      <c r="M413" s="9">
        <f>IF(ISNA(MATCH(400,Engine!$C$2:$C$1960,0)),"",INDEX('Compliance Database'!$M$2:$M$1960,MATCH(400,Engine!$C$2:$C$1960,0)))</f>
        <v/>
      </c>
      <c r="N413" s="9">
        <f>IF(ISNA(MATCH(400,Engine!$C$2:$C$1960,0)),"",INDEX('Compliance Database'!$N$2:$N$1960,MATCH(400,Engine!$C$2:$C$1960,0)))</f>
        <v/>
      </c>
      <c r="O413" s="9">
        <f>IF(ISNA(MATCH(400,Engine!$C$2:$C$1960,0)),"",INDEX('Compliance Database'!$O$2:$O$1960,MATCH(400,Engine!$C$2:$C$1960,0)))</f>
        <v/>
      </c>
      <c r="P413" s="8">
        <f>IF(ISNA(MATCH(400,Engine!$C$2:$C$1960,0)),"",HYPERLINK("#Acts!A"&amp;INDEX('Compliance Database'!$P$2:$P$1960,MATCH(400,Engine!$C$2:$C$1960,0)),"Go to Act"))</f>
        <v/>
      </c>
    </row>
    <row r="414" ht="158" customHeight="1">
      <c r="A414" s="8">
        <f>IF(ISNA(MATCH(401,Engine!$C$2:$C$1960,0)),"",INDEX('Compliance Database'!$A$2:$A$1960,MATCH(401,Engine!$C$2:$C$1960,0)))</f>
        <v/>
      </c>
      <c r="B414" s="8">
        <f>IF(ISNA(MATCH(401,Engine!$C$2:$C$1960,0)),"",INDEX('Compliance Database'!$B$2:$B$1960,MATCH(401,Engine!$C$2:$C$1960,0)))</f>
        <v/>
      </c>
      <c r="C414" s="8">
        <f>IF(ISNA(MATCH(401,Engine!$C$2:$C$1960,0)),"",INDEX('Compliance Database'!$C$2:$C$1960,MATCH(401,Engine!$C$2:$C$1960,0)))</f>
        <v/>
      </c>
      <c r="D414" s="9">
        <f>IF(ISNA(MATCH(401,Engine!$C$2:$C$1960,0)),"",INDEX('Compliance Database'!$D$2:$D$1960,MATCH(401,Engine!$C$2:$C$1960,0)))</f>
        <v/>
      </c>
      <c r="E414" s="8">
        <f>IF(ISNA(MATCH(401,Engine!$C$2:$C$1960,0)),"",INDEX('Compliance Database'!$E$2:$E$1960,MATCH(401,Engine!$C$2:$C$1960,0)))</f>
        <v/>
      </c>
      <c r="F414" s="8">
        <f>IF(ISNA(MATCH(401,Engine!$C$2:$C$1960,0)),"",INDEX('Compliance Database'!$F$2:$F$1960,MATCH(401,Engine!$C$2:$C$1960,0)))</f>
        <v/>
      </c>
      <c r="G414" s="8">
        <f>IF(ISNA(MATCH(401,Engine!$C$2:$C$1960,0)),"",INDEX('Compliance Database'!$G$2:$G$1960,MATCH(401,Engine!$C$2:$C$1960,0)))</f>
        <v/>
      </c>
      <c r="H414" s="9">
        <f>IF(ISNA(MATCH(401,Engine!$C$2:$C$1960,0)),"",INDEX('Compliance Database'!$H$2:$H$1960,MATCH(401,Engine!$C$2:$C$1960,0)))</f>
        <v/>
      </c>
      <c r="I414" s="9">
        <f>IF(ISNA(MATCH(401,Engine!$C$2:$C$1960,0)),"",INDEX('Compliance Database'!$I$2:$I$1960,MATCH(401,Engine!$C$2:$C$1960,0)))</f>
        <v/>
      </c>
      <c r="J414" s="8">
        <f>IF(ISNA(MATCH(401,Engine!$C$2:$C$1960,0)),"",INDEX('Compliance Database'!$J$2:$J$1960,MATCH(401,Engine!$C$2:$C$1960,0)))</f>
        <v/>
      </c>
      <c r="K414" s="9">
        <f>IF(ISNA(MATCH(401,Engine!$C$2:$C$1960,0)),"",INDEX('Compliance Database'!$K$2:$K$1960,MATCH(401,Engine!$C$2:$C$1960,0)))</f>
        <v/>
      </c>
      <c r="L414" s="9">
        <f>IF(ISNA(MATCH(401,Engine!$C$2:$C$1960,0)),"",INDEX('Compliance Database'!$L$2:$L$1960,MATCH(401,Engine!$C$2:$C$1960,0)))</f>
        <v/>
      </c>
      <c r="M414" s="9">
        <f>IF(ISNA(MATCH(401,Engine!$C$2:$C$1960,0)),"",INDEX('Compliance Database'!$M$2:$M$1960,MATCH(401,Engine!$C$2:$C$1960,0)))</f>
        <v/>
      </c>
      <c r="N414" s="9">
        <f>IF(ISNA(MATCH(401,Engine!$C$2:$C$1960,0)),"",INDEX('Compliance Database'!$N$2:$N$1960,MATCH(401,Engine!$C$2:$C$1960,0)))</f>
        <v/>
      </c>
      <c r="O414" s="9">
        <f>IF(ISNA(MATCH(401,Engine!$C$2:$C$1960,0)),"",INDEX('Compliance Database'!$O$2:$O$1960,MATCH(401,Engine!$C$2:$C$1960,0)))</f>
        <v/>
      </c>
      <c r="P414" s="8">
        <f>IF(ISNA(MATCH(401,Engine!$C$2:$C$1960,0)),"",HYPERLINK("#Acts!A"&amp;INDEX('Compliance Database'!$P$2:$P$1960,MATCH(401,Engine!$C$2:$C$1960,0)),"Go to Act"))</f>
        <v/>
      </c>
    </row>
    <row r="415" ht="158" customHeight="1">
      <c r="A415" s="8">
        <f>IF(ISNA(MATCH(402,Engine!$C$2:$C$1960,0)),"",INDEX('Compliance Database'!$A$2:$A$1960,MATCH(402,Engine!$C$2:$C$1960,0)))</f>
        <v/>
      </c>
      <c r="B415" s="8">
        <f>IF(ISNA(MATCH(402,Engine!$C$2:$C$1960,0)),"",INDEX('Compliance Database'!$B$2:$B$1960,MATCH(402,Engine!$C$2:$C$1960,0)))</f>
        <v/>
      </c>
      <c r="C415" s="8">
        <f>IF(ISNA(MATCH(402,Engine!$C$2:$C$1960,0)),"",INDEX('Compliance Database'!$C$2:$C$1960,MATCH(402,Engine!$C$2:$C$1960,0)))</f>
        <v/>
      </c>
      <c r="D415" s="9">
        <f>IF(ISNA(MATCH(402,Engine!$C$2:$C$1960,0)),"",INDEX('Compliance Database'!$D$2:$D$1960,MATCH(402,Engine!$C$2:$C$1960,0)))</f>
        <v/>
      </c>
      <c r="E415" s="8">
        <f>IF(ISNA(MATCH(402,Engine!$C$2:$C$1960,0)),"",INDEX('Compliance Database'!$E$2:$E$1960,MATCH(402,Engine!$C$2:$C$1960,0)))</f>
        <v/>
      </c>
      <c r="F415" s="8">
        <f>IF(ISNA(MATCH(402,Engine!$C$2:$C$1960,0)),"",INDEX('Compliance Database'!$F$2:$F$1960,MATCH(402,Engine!$C$2:$C$1960,0)))</f>
        <v/>
      </c>
      <c r="G415" s="8">
        <f>IF(ISNA(MATCH(402,Engine!$C$2:$C$1960,0)),"",INDEX('Compliance Database'!$G$2:$G$1960,MATCH(402,Engine!$C$2:$C$1960,0)))</f>
        <v/>
      </c>
      <c r="H415" s="9">
        <f>IF(ISNA(MATCH(402,Engine!$C$2:$C$1960,0)),"",INDEX('Compliance Database'!$H$2:$H$1960,MATCH(402,Engine!$C$2:$C$1960,0)))</f>
        <v/>
      </c>
      <c r="I415" s="9">
        <f>IF(ISNA(MATCH(402,Engine!$C$2:$C$1960,0)),"",INDEX('Compliance Database'!$I$2:$I$1960,MATCH(402,Engine!$C$2:$C$1960,0)))</f>
        <v/>
      </c>
      <c r="J415" s="8">
        <f>IF(ISNA(MATCH(402,Engine!$C$2:$C$1960,0)),"",INDEX('Compliance Database'!$J$2:$J$1960,MATCH(402,Engine!$C$2:$C$1960,0)))</f>
        <v/>
      </c>
      <c r="K415" s="9">
        <f>IF(ISNA(MATCH(402,Engine!$C$2:$C$1960,0)),"",INDEX('Compliance Database'!$K$2:$K$1960,MATCH(402,Engine!$C$2:$C$1960,0)))</f>
        <v/>
      </c>
      <c r="L415" s="9">
        <f>IF(ISNA(MATCH(402,Engine!$C$2:$C$1960,0)),"",INDEX('Compliance Database'!$L$2:$L$1960,MATCH(402,Engine!$C$2:$C$1960,0)))</f>
        <v/>
      </c>
      <c r="M415" s="9">
        <f>IF(ISNA(MATCH(402,Engine!$C$2:$C$1960,0)),"",INDEX('Compliance Database'!$M$2:$M$1960,MATCH(402,Engine!$C$2:$C$1960,0)))</f>
        <v/>
      </c>
      <c r="N415" s="9">
        <f>IF(ISNA(MATCH(402,Engine!$C$2:$C$1960,0)),"",INDEX('Compliance Database'!$N$2:$N$1960,MATCH(402,Engine!$C$2:$C$1960,0)))</f>
        <v/>
      </c>
      <c r="O415" s="9">
        <f>IF(ISNA(MATCH(402,Engine!$C$2:$C$1960,0)),"",INDEX('Compliance Database'!$O$2:$O$1960,MATCH(402,Engine!$C$2:$C$1960,0)))</f>
        <v/>
      </c>
      <c r="P415" s="8">
        <f>IF(ISNA(MATCH(402,Engine!$C$2:$C$1960,0)),"",HYPERLINK("#Acts!A"&amp;INDEX('Compliance Database'!$P$2:$P$1960,MATCH(402,Engine!$C$2:$C$1960,0)),"Go to Act"))</f>
        <v/>
      </c>
    </row>
    <row r="416" ht="158" customHeight="1">
      <c r="A416" s="8">
        <f>IF(ISNA(MATCH(403,Engine!$C$2:$C$1960,0)),"",INDEX('Compliance Database'!$A$2:$A$1960,MATCH(403,Engine!$C$2:$C$1960,0)))</f>
        <v/>
      </c>
      <c r="B416" s="8">
        <f>IF(ISNA(MATCH(403,Engine!$C$2:$C$1960,0)),"",INDEX('Compliance Database'!$B$2:$B$1960,MATCH(403,Engine!$C$2:$C$1960,0)))</f>
        <v/>
      </c>
      <c r="C416" s="8">
        <f>IF(ISNA(MATCH(403,Engine!$C$2:$C$1960,0)),"",INDEX('Compliance Database'!$C$2:$C$1960,MATCH(403,Engine!$C$2:$C$1960,0)))</f>
        <v/>
      </c>
      <c r="D416" s="9">
        <f>IF(ISNA(MATCH(403,Engine!$C$2:$C$1960,0)),"",INDEX('Compliance Database'!$D$2:$D$1960,MATCH(403,Engine!$C$2:$C$1960,0)))</f>
        <v/>
      </c>
      <c r="E416" s="8">
        <f>IF(ISNA(MATCH(403,Engine!$C$2:$C$1960,0)),"",INDEX('Compliance Database'!$E$2:$E$1960,MATCH(403,Engine!$C$2:$C$1960,0)))</f>
        <v/>
      </c>
      <c r="F416" s="8">
        <f>IF(ISNA(MATCH(403,Engine!$C$2:$C$1960,0)),"",INDEX('Compliance Database'!$F$2:$F$1960,MATCH(403,Engine!$C$2:$C$1960,0)))</f>
        <v/>
      </c>
      <c r="G416" s="8">
        <f>IF(ISNA(MATCH(403,Engine!$C$2:$C$1960,0)),"",INDEX('Compliance Database'!$G$2:$G$1960,MATCH(403,Engine!$C$2:$C$1960,0)))</f>
        <v/>
      </c>
      <c r="H416" s="9">
        <f>IF(ISNA(MATCH(403,Engine!$C$2:$C$1960,0)),"",INDEX('Compliance Database'!$H$2:$H$1960,MATCH(403,Engine!$C$2:$C$1960,0)))</f>
        <v/>
      </c>
      <c r="I416" s="9">
        <f>IF(ISNA(MATCH(403,Engine!$C$2:$C$1960,0)),"",INDEX('Compliance Database'!$I$2:$I$1960,MATCH(403,Engine!$C$2:$C$1960,0)))</f>
        <v/>
      </c>
      <c r="J416" s="8">
        <f>IF(ISNA(MATCH(403,Engine!$C$2:$C$1960,0)),"",INDEX('Compliance Database'!$J$2:$J$1960,MATCH(403,Engine!$C$2:$C$1960,0)))</f>
        <v/>
      </c>
      <c r="K416" s="9">
        <f>IF(ISNA(MATCH(403,Engine!$C$2:$C$1960,0)),"",INDEX('Compliance Database'!$K$2:$K$1960,MATCH(403,Engine!$C$2:$C$1960,0)))</f>
        <v/>
      </c>
      <c r="L416" s="9">
        <f>IF(ISNA(MATCH(403,Engine!$C$2:$C$1960,0)),"",INDEX('Compliance Database'!$L$2:$L$1960,MATCH(403,Engine!$C$2:$C$1960,0)))</f>
        <v/>
      </c>
      <c r="M416" s="9">
        <f>IF(ISNA(MATCH(403,Engine!$C$2:$C$1960,0)),"",INDEX('Compliance Database'!$M$2:$M$1960,MATCH(403,Engine!$C$2:$C$1960,0)))</f>
        <v/>
      </c>
      <c r="N416" s="9">
        <f>IF(ISNA(MATCH(403,Engine!$C$2:$C$1960,0)),"",INDEX('Compliance Database'!$N$2:$N$1960,MATCH(403,Engine!$C$2:$C$1960,0)))</f>
        <v/>
      </c>
      <c r="O416" s="9">
        <f>IF(ISNA(MATCH(403,Engine!$C$2:$C$1960,0)),"",INDEX('Compliance Database'!$O$2:$O$1960,MATCH(403,Engine!$C$2:$C$1960,0)))</f>
        <v/>
      </c>
      <c r="P416" s="8">
        <f>IF(ISNA(MATCH(403,Engine!$C$2:$C$1960,0)),"",HYPERLINK("#Acts!A"&amp;INDEX('Compliance Database'!$P$2:$P$1960,MATCH(403,Engine!$C$2:$C$1960,0)),"Go to Act"))</f>
        <v/>
      </c>
    </row>
    <row r="417" ht="158" customHeight="1">
      <c r="A417" s="8">
        <f>IF(ISNA(MATCH(404,Engine!$C$2:$C$1960,0)),"",INDEX('Compliance Database'!$A$2:$A$1960,MATCH(404,Engine!$C$2:$C$1960,0)))</f>
        <v/>
      </c>
      <c r="B417" s="8">
        <f>IF(ISNA(MATCH(404,Engine!$C$2:$C$1960,0)),"",INDEX('Compliance Database'!$B$2:$B$1960,MATCH(404,Engine!$C$2:$C$1960,0)))</f>
        <v/>
      </c>
      <c r="C417" s="8">
        <f>IF(ISNA(MATCH(404,Engine!$C$2:$C$1960,0)),"",INDEX('Compliance Database'!$C$2:$C$1960,MATCH(404,Engine!$C$2:$C$1960,0)))</f>
        <v/>
      </c>
      <c r="D417" s="9">
        <f>IF(ISNA(MATCH(404,Engine!$C$2:$C$1960,0)),"",INDEX('Compliance Database'!$D$2:$D$1960,MATCH(404,Engine!$C$2:$C$1960,0)))</f>
        <v/>
      </c>
      <c r="E417" s="8">
        <f>IF(ISNA(MATCH(404,Engine!$C$2:$C$1960,0)),"",INDEX('Compliance Database'!$E$2:$E$1960,MATCH(404,Engine!$C$2:$C$1960,0)))</f>
        <v/>
      </c>
      <c r="F417" s="8">
        <f>IF(ISNA(MATCH(404,Engine!$C$2:$C$1960,0)),"",INDEX('Compliance Database'!$F$2:$F$1960,MATCH(404,Engine!$C$2:$C$1960,0)))</f>
        <v/>
      </c>
      <c r="G417" s="8">
        <f>IF(ISNA(MATCH(404,Engine!$C$2:$C$1960,0)),"",INDEX('Compliance Database'!$G$2:$G$1960,MATCH(404,Engine!$C$2:$C$1960,0)))</f>
        <v/>
      </c>
      <c r="H417" s="9">
        <f>IF(ISNA(MATCH(404,Engine!$C$2:$C$1960,0)),"",INDEX('Compliance Database'!$H$2:$H$1960,MATCH(404,Engine!$C$2:$C$1960,0)))</f>
        <v/>
      </c>
      <c r="I417" s="9">
        <f>IF(ISNA(MATCH(404,Engine!$C$2:$C$1960,0)),"",INDEX('Compliance Database'!$I$2:$I$1960,MATCH(404,Engine!$C$2:$C$1960,0)))</f>
        <v/>
      </c>
      <c r="J417" s="8">
        <f>IF(ISNA(MATCH(404,Engine!$C$2:$C$1960,0)),"",INDEX('Compliance Database'!$J$2:$J$1960,MATCH(404,Engine!$C$2:$C$1960,0)))</f>
        <v/>
      </c>
      <c r="K417" s="9">
        <f>IF(ISNA(MATCH(404,Engine!$C$2:$C$1960,0)),"",INDEX('Compliance Database'!$K$2:$K$1960,MATCH(404,Engine!$C$2:$C$1960,0)))</f>
        <v/>
      </c>
      <c r="L417" s="9">
        <f>IF(ISNA(MATCH(404,Engine!$C$2:$C$1960,0)),"",INDEX('Compliance Database'!$L$2:$L$1960,MATCH(404,Engine!$C$2:$C$1960,0)))</f>
        <v/>
      </c>
      <c r="M417" s="9">
        <f>IF(ISNA(MATCH(404,Engine!$C$2:$C$1960,0)),"",INDEX('Compliance Database'!$M$2:$M$1960,MATCH(404,Engine!$C$2:$C$1960,0)))</f>
        <v/>
      </c>
      <c r="N417" s="9">
        <f>IF(ISNA(MATCH(404,Engine!$C$2:$C$1960,0)),"",INDEX('Compliance Database'!$N$2:$N$1960,MATCH(404,Engine!$C$2:$C$1960,0)))</f>
        <v/>
      </c>
      <c r="O417" s="9">
        <f>IF(ISNA(MATCH(404,Engine!$C$2:$C$1960,0)),"",INDEX('Compliance Database'!$O$2:$O$1960,MATCH(404,Engine!$C$2:$C$1960,0)))</f>
        <v/>
      </c>
      <c r="P417" s="8">
        <f>IF(ISNA(MATCH(404,Engine!$C$2:$C$1960,0)),"",HYPERLINK("#Acts!A"&amp;INDEX('Compliance Database'!$P$2:$P$1960,MATCH(404,Engine!$C$2:$C$1960,0)),"Go to Act"))</f>
        <v/>
      </c>
    </row>
    <row r="418" ht="158" customHeight="1">
      <c r="A418" s="8">
        <f>IF(ISNA(MATCH(405,Engine!$C$2:$C$1960,0)),"",INDEX('Compliance Database'!$A$2:$A$1960,MATCH(405,Engine!$C$2:$C$1960,0)))</f>
        <v/>
      </c>
      <c r="B418" s="8">
        <f>IF(ISNA(MATCH(405,Engine!$C$2:$C$1960,0)),"",INDEX('Compliance Database'!$B$2:$B$1960,MATCH(405,Engine!$C$2:$C$1960,0)))</f>
        <v/>
      </c>
      <c r="C418" s="8">
        <f>IF(ISNA(MATCH(405,Engine!$C$2:$C$1960,0)),"",INDEX('Compliance Database'!$C$2:$C$1960,MATCH(405,Engine!$C$2:$C$1960,0)))</f>
        <v/>
      </c>
      <c r="D418" s="9">
        <f>IF(ISNA(MATCH(405,Engine!$C$2:$C$1960,0)),"",INDEX('Compliance Database'!$D$2:$D$1960,MATCH(405,Engine!$C$2:$C$1960,0)))</f>
        <v/>
      </c>
      <c r="E418" s="8">
        <f>IF(ISNA(MATCH(405,Engine!$C$2:$C$1960,0)),"",INDEX('Compliance Database'!$E$2:$E$1960,MATCH(405,Engine!$C$2:$C$1960,0)))</f>
        <v/>
      </c>
      <c r="F418" s="8">
        <f>IF(ISNA(MATCH(405,Engine!$C$2:$C$1960,0)),"",INDEX('Compliance Database'!$F$2:$F$1960,MATCH(405,Engine!$C$2:$C$1960,0)))</f>
        <v/>
      </c>
      <c r="G418" s="8">
        <f>IF(ISNA(MATCH(405,Engine!$C$2:$C$1960,0)),"",INDEX('Compliance Database'!$G$2:$G$1960,MATCH(405,Engine!$C$2:$C$1960,0)))</f>
        <v/>
      </c>
      <c r="H418" s="9">
        <f>IF(ISNA(MATCH(405,Engine!$C$2:$C$1960,0)),"",INDEX('Compliance Database'!$H$2:$H$1960,MATCH(405,Engine!$C$2:$C$1960,0)))</f>
        <v/>
      </c>
      <c r="I418" s="9">
        <f>IF(ISNA(MATCH(405,Engine!$C$2:$C$1960,0)),"",INDEX('Compliance Database'!$I$2:$I$1960,MATCH(405,Engine!$C$2:$C$1960,0)))</f>
        <v/>
      </c>
      <c r="J418" s="8">
        <f>IF(ISNA(MATCH(405,Engine!$C$2:$C$1960,0)),"",INDEX('Compliance Database'!$J$2:$J$1960,MATCH(405,Engine!$C$2:$C$1960,0)))</f>
        <v/>
      </c>
      <c r="K418" s="9">
        <f>IF(ISNA(MATCH(405,Engine!$C$2:$C$1960,0)),"",INDEX('Compliance Database'!$K$2:$K$1960,MATCH(405,Engine!$C$2:$C$1960,0)))</f>
        <v/>
      </c>
      <c r="L418" s="9">
        <f>IF(ISNA(MATCH(405,Engine!$C$2:$C$1960,0)),"",INDEX('Compliance Database'!$L$2:$L$1960,MATCH(405,Engine!$C$2:$C$1960,0)))</f>
        <v/>
      </c>
      <c r="M418" s="9">
        <f>IF(ISNA(MATCH(405,Engine!$C$2:$C$1960,0)),"",INDEX('Compliance Database'!$M$2:$M$1960,MATCH(405,Engine!$C$2:$C$1960,0)))</f>
        <v/>
      </c>
      <c r="N418" s="9">
        <f>IF(ISNA(MATCH(405,Engine!$C$2:$C$1960,0)),"",INDEX('Compliance Database'!$N$2:$N$1960,MATCH(405,Engine!$C$2:$C$1960,0)))</f>
        <v/>
      </c>
      <c r="O418" s="9">
        <f>IF(ISNA(MATCH(405,Engine!$C$2:$C$1960,0)),"",INDEX('Compliance Database'!$O$2:$O$1960,MATCH(405,Engine!$C$2:$C$1960,0)))</f>
        <v/>
      </c>
      <c r="P418" s="8">
        <f>IF(ISNA(MATCH(405,Engine!$C$2:$C$1960,0)),"",HYPERLINK("#Acts!A"&amp;INDEX('Compliance Database'!$P$2:$P$1960,MATCH(405,Engine!$C$2:$C$1960,0)),"Go to Act"))</f>
        <v/>
      </c>
    </row>
    <row r="419" ht="158" customHeight="1">
      <c r="A419" s="8">
        <f>IF(ISNA(MATCH(406,Engine!$C$2:$C$1960,0)),"",INDEX('Compliance Database'!$A$2:$A$1960,MATCH(406,Engine!$C$2:$C$1960,0)))</f>
        <v/>
      </c>
      <c r="B419" s="8">
        <f>IF(ISNA(MATCH(406,Engine!$C$2:$C$1960,0)),"",INDEX('Compliance Database'!$B$2:$B$1960,MATCH(406,Engine!$C$2:$C$1960,0)))</f>
        <v/>
      </c>
      <c r="C419" s="8">
        <f>IF(ISNA(MATCH(406,Engine!$C$2:$C$1960,0)),"",INDEX('Compliance Database'!$C$2:$C$1960,MATCH(406,Engine!$C$2:$C$1960,0)))</f>
        <v/>
      </c>
      <c r="D419" s="9">
        <f>IF(ISNA(MATCH(406,Engine!$C$2:$C$1960,0)),"",INDEX('Compliance Database'!$D$2:$D$1960,MATCH(406,Engine!$C$2:$C$1960,0)))</f>
        <v/>
      </c>
      <c r="E419" s="8">
        <f>IF(ISNA(MATCH(406,Engine!$C$2:$C$1960,0)),"",INDEX('Compliance Database'!$E$2:$E$1960,MATCH(406,Engine!$C$2:$C$1960,0)))</f>
        <v/>
      </c>
      <c r="F419" s="8">
        <f>IF(ISNA(MATCH(406,Engine!$C$2:$C$1960,0)),"",INDEX('Compliance Database'!$F$2:$F$1960,MATCH(406,Engine!$C$2:$C$1960,0)))</f>
        <v/>
      </c>
      <c r="G419" s="8">
        <f>IF(ISNA(MATCH(406,Engine!$C$2:$C$1960,0)),"",INDEX('Compliance Database'!$G$2:$G$1960,MATCH(406,Engine!$C$2:$C$1960,0)))</f>
        <v/>
      </c>
      <c r="H419" s="9">
        <f>IF(ISNA(MATCH(406,Engine!$C$2:$C$1960,0)),"",INDEX('Compliance Database'!$H$2:$H$1960,MATCH(406,Engine!$C$2:$C$1960,0)))</f>
        <v/>
      </c>
      <c r="I419" s="9">
        <f>IF(ISNA(MATCH(406,Engine!$C$2:$C$1960,0)),"",INDEX('Compliance Database'!$I$2:$I$1960,MATCH(406,Engine!$C$2:$C$1960,0)))</f>
        <v/>
      </c>
      <c r="J419" s="8">
        <f>IF(ISNA(MATCH(406,Engine!$C$2:$C$1960,0)),"",INDEX('Compliance Database'!$J$2:$J$1960,MATCH(406,Engine!$C$2:$C$1960,0)))</f>
        <v/>
      </c>
      <c r="K419" s="9">
        <f>IF(ISNA(MATCH(406,Engine!$C$2:$C$1960,0)),"",INDEX('Compliance Database'!$K$2:$K$1960,MATCH(406,Engine!$C$2:$C$1960,0)))</f>
        <v/>
      </c>
      <c r="L419" s="9">
        <f>IF(ISNA(MATCH(406,Engine!$C$2:$C$1960,0)),"",INDEX('Compliance Database'!$L$2:$L$1960,MATCH(406,Engine!$C$2:$C$1960,0)))</f>
        <v/>
      </c>
      <c r="M419" s="9">
        <f>IF(ISNA(MATCH(406,Engine!$C$2:$C$1960,0)),"",INDEX('Compliance Database'!$M$2:$M$1960,MATCH(406,Engine!$C$2:$C$1960,0)))</f>
        <v/>
      </c>
      <c r="N419" s="9">
        <f>IF(ISNA(MATCH(406,Engine!$C$2:$C$1960,0)),"",INDEX('Compliance Database'!$N$2:$N$1960,MATCH(406,Engine!$C$2:$C$1960,0)))</f>
        <v/>
      </c>
      <c r="O419" s="9">
        <f>IF(ISNA(MATCH(406,Engine!$C$2:$C$1960,0)),"",INDEX('Compliance Database'!$O$2:$O$1960,MATCH(406,Engine!$C$2:$C$1960,0)))</f>
        <v/>
      </c>
      <c r="P419" s="8">
        <f>IF(ISNA(MATCH(406,Engine!$C$2:$C$1960,0)),"",HYPERLINK("#Acts!A"&amp;INDEX('Compliance Database'!$P$2:$P$1960,MATCH(406,Engine!$C$2:$C$1960,0)),"Go to Act"))</f>
        <v/>
      </c>
    </row>
    <row r="420" ht="158" customHeight="1">
      <c r="A420" s="8">
        <f>IF(ISNA(MATCH(407,Engine!$C$2:$C$1960,0)),"",INDEX('Compliance Database'!$A$2:$A$1960,MATCH(407,Engine!$C$2:$C$1960,0)))</f>
        <v/>
      </c>
      <c r="B420" s="8">
        <f>IF(ISNA(MATCH(407,Engine!$C$2:$C$1960,0)),"",INDEX('Compliance Database'!$B$2:$B$1960,MATCH(407,Engine!$C$2:$C$1960,0)))</f>
        <v/>
      </c>
      <c r="C420" s="8">
        <f>IF(ISNA(MATCH(407,Engine!$C$2:$C$1960,0)),"",INDEX('Compliance Database'!$C$2:$C$1960,MATCH(407,Engine!$C$2:$C$1960,0)))</f>
        <v/>
      </c>
      <c r="D420" s="9">
        <f>IF(ISNA(MATCH(407,Engine!$C$2:$C$1960,0)),"",INDEX('Compliance Database'!$D$2:$D$1960,MATCH(407,Engine!$C$2:$C$1960,0)))</f>
        <v/>
      </c>
      <c r="E420" s="8">
        <f>IF(ISNA(MATCH(407,Engine!$C$2:$C$1960,0)),"",INDEX('Compliance Database'!$E$2:$E$1960,MATCH(407,Engine!$C$2:$C$1960,0)))</f>
        <v/>
      </c>
      <c r="F420" s="8">
        <f>IF(ISNA(MATCH(407,Engine!$C$2:$C$1960,0)),"",INDEX('Compliance Database'!$F$2:$F$1960,MATCH(407,Engine!$C$2:$C$1960,0)))</f>
        <v/>
      </c>
      <c r="G420" s="8">
        <f>IF(ISNA(MATCH(407,Engine!$C$2:$C$1960,0)),"",INDEX('Compliance Database'!$G$2:$G$1960,MATCH(407,Engine!$C$2:$C$1960,0)))</f>
        <v/>
      </c>
      <c r="H420" s="9">
        <f>IF(ISNA(MATCH(407,Engine!$C$2:$C$1960,0)),"",INDEX('Compliance Database'!$H$2:$H$1960,MATCH(407,Engine!$C$2:$C$1960,0)))</f>
        <v/>
      </c>
      <c r="I420" s="9">
        <f>IF(ISNA(MATCH(407,Engine!$C$2:$C$1960,0)),"",INDEX('Compliance Database'!$I$2:$I$1960,MATCH(407,Engine!$C$2:$C$1960,0)))</f>
        <v/>
      </c>
      <c r="J420" s="8">
        <f>IF(ISNA(MATCH(407,Engine!$C$2:$C$1960,0)),"",INDEX('Compliance Database'!$J$2:$J$1960,MATCH(407,Engine!$C$2:$C$1960,0)))</f>
        <v/>
      </c>
      <c r="K420" s="9">
        <f>IF(ISNA(MATCH(407,Engine!$C$2:$C$1960,0)),"",INDEX('Compliance Database'!$K$2:$K$1960,MATCH(407,Engine!$C$2:$C$1960,0)))</f>
        <v/>
      </c>
      <c r="L420" s="9">
        <f>IF(ISNA(MATCH(407,Engine!$C$2:$C$1960,0)),"",INDEX('Compliance Database'!$L$2:$L$1960,MATCH(407,Engine!$C$2:$C$1960,0)))</f>
        <v/>
      </c>
      <c r="M420" s="9">
        <f>IF(ISNA(MATCH(407,Engine!$C$2:$C$1960,0)),"",INDEX('Compliance Database'!$M$2:$M$1960,MATCH(407,Engine!$C$2:$C$1960,0)))</f>
        <v/>
      </c>
      <c r="N420" s="9">
        <f>IF(ISNA(MATCH(407,Engine!$C$2:$C$1960,0)),"",INDEX('Compliance Database'!$N$2:$N$1960,MATCH(407,Engine!$C$2:$C$1960,0)))</f>
        <v/>
      </c>
      <c r="O420" s="9">
        <f>IF(ISNA(MATCH(407,Engine!$C$2:$C$1960,0)),"",INDEX('Compliance Database'!$O$2:$O$1960,MATCH(407,Engine!$C$2:$C$1960,0)))</f>
        <v/>
      </c>
      <c r="P420" s="8">
        <f>IF(ISNA(MATCH(407,Engine!$C$2:$C$1960,0)),"",HYPERLINK("#Acts!A"&amp;INDEX('Compliance Database'!$P$2:$P$1960,MATCH(407,Engine!$C$2:$C$1960,0)),"Go to Act"))</f>
        <v/>
      </c>
    </row>
    <row r="421" ht="158" customHeight="1">
      <c r="A421" s="8">
        <f>IF(ISNA(MATCH(408,Engine!$C$2:$C$1960,0)),"",INDEX('Compliance Database'!$A$2:$A$1960,MATCH(408,Engine!$C$2:$C$1960,0)))</f>
        <v/>
      </c>
      <c r="B421" s="8">
        <f>IF(ISNA(MATCH(408,Engine!$C$2:$C$1960,0)),"",INDEX('Compliance Database'!$B$2:$B$1960,MATCH(408,Engine!$C$2:$C$1960,0)))</f>
        <v/>
      </c>
      <c r="C421" s="8">
        <f>IF(ISNA(MATCH(408,Engine!$C$2:$C$1960,0)),"",INDEX('Compliance Database'!$C$2:$C$1960,MATCH(408,Engine!$C$2:$C$1960,0)))</f>
        <v/>
      </c>
      <c r="D421" s="9">
        <f>IF(ISNA(MATCH(408,Engine!$C$2:$C$1960,0)),"",INDEX('Compliance Database'!$D$2:$D$1960,MATCH(408,Engine!$C$2:$C$1960,0)))</f>
        <v/>
      </c>
      <c r="E421" s="8">
        <f>IF(ISNA(MATCH(408,Engine!$C$2:$C$1960,0)),"",INDEX('Compliance Database'!$E$2:$E$1960,MATCH(408,Engine!$C$2:$C$1960,0)))</f>
        <v/>
      </c>
      <c r="F421" s="8">
        <f>IF(ISNA(MATCH(408,Engine!$C$2:$C$1960,0)),"",INDEX('Compliance Database'!$F$2:$F$1960,MATCH(408,Engine!$C$2:$C$1960,0)))</f>
        <v/>
      </c>
      <c r="G421" s="8">
        <f>IF(ISNA(MATCH(408,Engine!$C$2:$C$1960,0)),"",INDEX('Compliance Database'!$G$2:$G$1960,MATCH(408,Engine!$C$2:$C$1960,0)))</f>
        <v/>
      </c>
      <c r="H421" s="9">
        <f>IF(ISNA(MATCH(408,Engine!$C$2:$C$1960,0)),"",INDEX('Compliance Database'!$H$2:$H$1960,MATCH(408,Engine!$C$2:$C$1960,0)))</f>
        <v/>
      </c>
      <c r="I421" s="9">
        <f>IF(ISNA(MATCH(408,Engine!$C$2:$C$1960,0)),"",INDEX('Compliance Database'!$I$2:$I$1960,MATCH(408,Engine!$C$2:$C$1960,0)))</f>
        <v/>
      </c>
      <c r="J421" s="8">
        <f>IF(ISNA(MATCH(408,Engine!$C$2:$C$1960,0)),"",INDEX('Compliance Database'!$J$2:$J$1960,MATCH(408,Engine!$C$2:$C$1960,0)))</f>
        <v/>
      </c>
      <c r="K421" s="9">
        <f>IF(ISNA(MATCH(408,Engine!$C$2:$C$1960,0)),"",INDEX('Compliance Database'!$K$2:$K$1960,MATCH(408,Engine!$C$2:$C$1960,0)))</f>
        <v/>
      </c>
      <c r="L421" s="9">
        <f>IF(ISNA(MATCH(408,Engine!$C$2:$C$1960,0)),"",INDEX('Compliance Database'!$L$2:$L$1960,MATCH(408,Engine!$C$2:$C$1960,0)))</f>
        <v/>
      </c>
      <c r="M421" s="9">
        <f>IF(ISNA(MATCH(408,Engine!$C$2:$C$1960,0)),"",INDEX('Compliance Database'!$M$2:$M$1960,MATCH(408,Engine!$C$2:$C$1960,0)))</f>
        <v/>
      </c>
      <c r="N421" s="9">
        <f>IF(ISNA(MATCH(408,Engine!$C$2:$C$1960,0)),"",INDEX('Compliance Database'!$N$2:$N$1960,MATCH(408,Engine!$C$2:$C$1960,0)))</f>
        <v/>
      </c>
      <c r="O421" s="9">
        <f>IF(ISNA(MATCH(408,Engine!$C$2:$C$1960,0)),"",INDEX('Compliance Database'!$O$2:$O$1960,MATCH(408,Engine!$C$2:$C$1960,0)))</f>
        <v/>
      </c>
      <c r="P421" s="8">
        <f>IF(ISNA(MATCH(408,Engine!$C$2:$C$1960,0)),"",HYPERLINK("#Acts!A"&amp;INDEX('Compliance Database'!$P$2:$P$1960,MATCH(408,Engine!$C$2:$C$1960,0)),"Go to Act"))</f>
        <v/>
      </c>
    </row>
    <row r="422" ht="158" customHeight="1">
      <c r="A422" s="8">
        <f>IF(ISNA(MATCH(409,Engine!$C$2:$C$1960,0)),"",INDEX('Compliance Database'!$A$2:$A$1960,MATCH(409,Engine!$C$2:$C$1960,0)))</f>
        <v/>
      </c>
      <c r="B422" s="8">
        <f>IF(ISNA(MATCH(409,Engine!$C$2:$C$1960,0)),"",INDEX('Compliance Database'!$B$2:$B$1960,MATCH(409,Engine!$C$2:$C$1960,0)))</f>
        <v/>
      </c>
      <c r="C422" s="8">
        <f>IF(ISNA(MATCH(409,Engine!$C$2:$C$1960,0)),"",INDEX('Compliance Database'!$C$2:$C$1960,MATCH(409,Engine!$C$2:$C$1960,0)))</f>
        <v/>
      </c>
      <c r="D422" s="9">
        <f>IF(ISNA(MATCH(409,Engine!$C$2:$C$1960,0)),"",INDEX('Compliance Database'!$D$2:$D$1960,MATCH(409,Engine!$C$2:$C$1960,0)))</f>
        <v/>
      </c>
      <c r="E422" s="8">
        <f>IF(ISNA(MATCH(409,Engine!$C$2:$C$1960,0)),"",INDEX('Compliance Database'!$E$2:$E$1960,MATCH(409,Engine!$C$2:$C$1960,0)))</f>
        <v/>
      </c>
      <c r="F422" s="8">
        <f>IF(ISNA(MATCH(409,Engine!$C$2:$C$1960,0)),"",INDEX('Compliance Database'!$F$2:$F$1960,MATCH(409,Engine!$C$2:$C$1960,0)))</f>
        <v/>
      </c>
      <c r="G422" s="8">
        <f>IF(ISNA(MATCH(409,Engine!$C$2:$C$1960,0)),"",INDEX('Compliance Database'!$G$2:$G$1960,MATCH(409,Engine!$C$2:$C$1960,0)))</f>
        <v/>
      </c>
      <c r="H422" s="9">
        <f>IF(ISNA(MATCH(409,Engine!$C$2:$C$1960,0)),"",INDEX('Compliance Database'!$H$2:$H$1960,MATCH(409,Engine!$C$2:$C$1960,0)))</f>
        <v/>
      </c>
      <c r="I422" s="9">
        <f>IF(ISNA(MATCH(409,Engine!$C$2:$C$1960,0)),"",INDEX('Compliance Database'!$I$2:$I$1960,MATCH(409,Engine!$C$2:$C$1960,0)))</f>
        <v/>
      </c>
      <c r="J422" s="8">
        <f>IF(ISNA(MATCH(409,Engine!$C$2:$C$1960,0)),"",INDEX('Compliance Database'!$J$2:$J$1960,MATCH(409,Engine!$C$2:$C$1960,0)))</f>
        <v/>
      </c>
      <c r="K422" s="9">
        <f>IF(ISNA(MATCH(409,Engine!$C$2:$C$1960,0)),"",INDEX('Compliance Database'!$K$2:$K$1960,MATCH(409,Engine!$C$2:$C$1960,0)))</f>
        <v/>
      </c>
      <c r="L422" s="9">
        <f>IF(ISNA(MATCH(409,Engine!$C$2:$C$1960,0)),"",INDEX('Compliance Database'!$L$2:$L$1960,MATCH(409,Engine!$C$2:$C$1960,0)))</f>
        <v/>
      </c>
      <c r="M422" s="9">
        <f>IF(ISNA(MATCH(409,Engine!$C$2:$C$1960,0)),"",INDEX('Compliance Database'!$M$2:$M$1960,MATCH(409,Engine!$C$2:$C$1960,0)))</f>
        <v/>
      </c>
      <c r="N422" s="9">
        <f>IF(ISNA(MATCH(409,Engine!$C$2:$C$1960,0)),"",INDEX('Compliance Database'!$N$2:$N$1960,MATCH(409,Engine!$C$2:$C$1960,0)))</f>
        <v/>
      </c>
      <c r="O422" s="9">
        <f>IF(ISNA(MATCH(409,Engine!$C$2:$C$1960,0)),"",INDEX('Compliance Database'!$O$2:$O$1960,MATCH(409,Engine!$C$2:$C$1960,0)))</f>
        <v/>
      </c>
      <c r="P422" s="8">
        <f>IF(ISNA(MATCH(409,Engine!$C$2:$C$1960,0)),"",HYPERLINK("#Acts!A"&amp;INDEX('Compliance Database'!$P$2:$P$1960,MATCH(409,Engine!$C$2:$C$1960,0)),"Go to Act"))</f>
        <v/>
      </c>
    </row>
    <row r="423" ht="158" customHeight="1">
      <c r="A423" s="8">
        <f>IF(ISNA(MATCH(410,Engine!$C$2:$C$1960,0)),"",INDEX('Compliance Database'!$A$2:$A$1960,MATCH(410,Engine!$C$2:$C$1960,0)))</f>
        <v/>
      </c>
      <c r="B423" s="8">
        <f>IF(ISNA(MATCH(410,Engine!$C$2:$C$1960,0)),"",INDEX('Compliance Database'!$B$2:$B$1960,MATCH(410,Engine!$C$2:$C$1960,0)))</f>
        <v/>
      </c>
      <c r="C423" s="8">
        <f>IF(ISNA(MATCH(410,Engine!$C$2:$C$1960,0)),"",INDEX('Compliance Database'!$C$2:$C$1960,MATCH(410,Engine!$C$2:$C$1960,0)))</f>
        <v/>
      </c>
      <c r="D423" s="9">
        <f>IF(ISNA(MATCH(410,Engine!$C$2:$C$1960,0)),"",INDEX('Compliance Database'!$D$2:$D$1960,MATCH(410,Engine!$C$2:$C$1960,0)))</f>
        <v/>
      </c>
      <c r="E423" s="8">
        <f>IF(ISNA(MATCH(410,Engine!$C$2:$C$1960,0)),"",INDEX('Compliance Database'!$E$2:$E$1960,MATCH(410,Engine!$C$2:$C$1960,0)))</f>
        <v/>
      </c>
      <c r="F423" s="8">
        <f>IF(ISNA(MATCH(410,Engine!$C$2:$C$1960,0)),"",INDEX('Compliance Database'!$F$2:$F$1960,MATCH(410,Engine!$C$2:$C$1960,0)))</f>
        <v/>
      </c>
      <c r="G423" s="8">
        <f>IF(ISNA(MATCH(410,Engine!$C$2:$C$1960,0)),"",INDEX('Compliance Database'!$G$2:$G$1960,MATCH(410,Engine!$C$2:$C$1960,0)))</f>
        <v/>
      </c>
      <c r="H423" s="9">
        <f>IF(ISNA(MATCH(410,Engine!$C$2:$C$1960,0)),"",INDEX('Compliance Database'!$H$2:$H$1960,MATCH(410,Engine!$C$2:$C$1960,0)))</f>
        <v/>
      </c>
      <c r="I423" s="9">
        <f>IF(ISNA(MATCH(410,Engine!$C$2:$C$1960,0)),"",INDEX('Compliance Database'!$I$2:$I$1960,MATCH(410,Engine!$C$2:$C$1960,0)))</f>
        <v/>
      </c>
      <c r="J423" s="8">
        <f>IF(ISNA(MATCH(410,Engine!$C$2:$C$1960,0)),"",INDEX('Compliance Database'!$J$2:$J$1960,MATCH(410,Engine!$C$2:$C$1960,0)))</f>
        <v/>
      </c>
      <c r="K423" s="9">
        <f>IF(ISNA(MATCH(410,Engine!$C$2:$C$1960,0)),"",INDEX('Compliance Database'!$K$2:$K$1960,MATCH(410,Engine!$C$2:$C$1960,0)))</f>
        <v/>
      </c>
      <c r="L423" s="9">
        <f>IF(ISNA(MATCH(410,Engine!$C$2:$C$1960,0)),"",INDEX('Compliance Database'!$L$2:$L$1960,MATCH(410,Engine!$C$2:$C$1960,0)))</f>
        <v/>
      </c>
      <c r="M423" s="9">
        <f>IF(ISNA(MATCH(410,Engine!$C$2:$C$1960,0)),"",INDEX('Compliance Database'!$M$2:$M$1960,MATCH(410,Engine!$C$2:$C$1960,0)))</f>
        <v/>
      </c>
      <c r="N423" s="9">
        <f>IF(ISNA(MATCH(410,Engine!$C$2:$C$1960,0)),"",INDEX('Compliance Database'!$N$2:$N$1960,MATCH(410,Engine!$C$2:$C$1960,0)))</f>
        <v/>
      </c>
      <c r="O423" s="9">
        <f>IF(ISNA(MATCH(410,Engine!$C$2:$C$1960,0)),"",INDEX('Compliance Database'!$O$2:$O$1960,MATCH(410,Engine!$C$2:$C$1960,0)))</f>
        <v/>
      </c>
      <c r="P423" s="8">
        <f>IF(ISNA(MATCH(410,Engine!$C$2:$C$1960,0)),"",HYPERLINK("#Acts!A"&amp;INDEX('Compliance Database'!$P$2:$P$1960,MATCH(410,Engine!$C$2:$C$1960,0)),"Go to Act"))</f>
        <v/>
      </c>
    </row>
    <row r="424" ht="158" customHeight="1">
      <c r="A424" s="8">
        <f>IF(ISNA(MATCH(411,Engine!$C$2:$C$1960,0)),"",INDEX('Compliance Database'!$A$2:$A$1960,MATCH(411,Engine!$C$2:$C$1960,0)))</f>
        <v/>
      </c>
      <c r="B424" s="8">
        <f>IF(ISNA(MATCH(411,Engine!$C$2:$C$1960,0)),"",INDEX('Compliance Database'!$B$2:$B$1960,MATCH(411,Engine!$C$2:$C$1960,0)))</f>
        <v/>
      </c>
      <c r="C424" s="8">
        <f>IF(ISNA(MATCH(411,Engine!$C$2:$C$1960,0)),"",INDEX('Compliance Database'!$C$2:$C$1960,MATCH(411,Engine!$C$2:$C$1960,0)))</f>
        <v/>
      </c>
      <c r="D424" s="9">
        <f>IF(ISNA(MATCH(411,Engine!$C$2:$C$1960,0)),"",INDEX('Compliance Database'!$D$2:$D$1960,MATCH(411,Engine!$C$2:$C$1960,0)))</f>
        <v/>
      </c>
      <c r="E424" s="8">
        <f>IF(ISNA(MATCH(411,Engine!$C$2:$C$1960,0)),"",INDEX('Compliance Database'!$E$2:$E$1960,MATCH(411,Engine!$C$2:$C$1960,0)))</f>
        <v/>
      </c>
      <c r="F424" s="8">
        <f>IF(ISNA(MATCH(411,Engine!$C$2:$C$1960,0)),"",INDEX('Compliance Database'!$F$2:$F$1960,MATCH(411,Engine!$C$2:$C$1960,0)))</f>
        <v/>
      </c>
      <c r="G424" s="8">
        <f>IF(ISNA(MATCH(411,Engine!$C$2:$C$1960,0)),"",INDEX('Compliance Database'!$G$2:$G$1960,MATCH(411,Engine!$C$2:$C$1960,0)))</f>
        <v/>
      </c>
      <c r="H424" s="9">
        <f>IF(ISNA(MATCH(411,Engine!$C$2:$C$1960,0)),"",INDEX('Compliance Database'!$H$2:$H$1960,MATCH(411,Engine!$C$2:$C$1960,0)))</f>
        <v/>
      </c>
      <c r="I424" s="9">
        <f>IF(ISNA(MATCH(411,Engine!$C$2:$C$1960,0)),"",INDEX('Compliance Database'!$I$2:$I$1960,MATCH(411,Engine!$C$2:$C$1960,0)))</f>
        <v/>
      </c>
      <c r="J424" s="8">
        <f>IF(ISNA(MATCH(411,Engine!$C$2:$C$1960,0)),"",INDEX('Compliance Database'!$J$2:$J$1960,MATCH(411,Engine!$C$2:$C$1960,0)))</f>
        <v/>
      </c>
      <c r="K424" s="9">
        <f>IF(ISNA(MATCH(411,Engine!$C$2:$C$1960,0)),"",INDEX('Compliance Database'!$K$2:$K$1960,MATCH(411,Engine!$C$2:$C$1960,0)))</f>
        <v/>
      </c>
      <c r="L424" s="9">
        <f>IF(ISNA(MATCH(411,Engine!$C$2:$C$1960,0)),"",INDEX('Compliance Database'!$L$2:$L$1960,MATCH(411,Engine!$C$2:$C$1960,0)))</f>
        <v/>
      </c>
      <c r="M424" s="9">
        <f>IF(ISNA(MATCH(411,Engine!$C$2:$C$1960,0)),"",INDEX('Compliance Database'!$M$2:$M$1960,MATCH(411,Engine!$C$2:$C$1960,0)))</f>
        <v/>
      </c>
      <c r="N424" s="9">
        <f>IF(ISNA(MATCH(411,Engine!$C$2:$C$1960,0)),"",INDEX('Compliance Database'!$N$2:$N$1960,MATCH(411,Engine!$C$2:$C$1960,0)))</f>
        <v/>
      </c>
      <c r="O424" s="9">
        <f>IF(ISNA(MATCH(411,Engine!$C$2:$C$1960,0)),"",INDEX('Compliance Database'!$O$2:$O$1960,MATCH(411,Engine!$C$2:$C$1960,0)))</f>
        <v/>
      </c>
      <c r="P424" s="8">
        <f>IF(ISNA(MATCH(411,Engine!$C$2:$C$1960,0)),"",HYPERLINK("#Acts!A"&amp;INDEX('Compliance Database'!$P$2:$P$1960,MATCH(411,Engine!$C$2:$C$1960,0)),"Go to Act"))</f>
        <v/>
      </c>
    </row>
    <row r="425" ht="158" customHeight="1">
      <c r="A425" s="8">
        <f>IF(ISNA(MATCH(412,Engine!$C$2:$C$1960,0)),"",INDEX('Compliance Database'!$A$2:$A$1960,MATCH(412,Engine!$C$2:$C$1960,0)))</f>
        <v/>
      </c>
      <c r="B425" s="8">
        <f>IF(ISNA(MATCH(412,Engine!$C$2:$C$1960,0)),"",INDEX('Compliance Database'!$B$2:$B$1960,MATCH(412,Engine!$C$2:$C$1960,0)))</f>
        <v/>
      </c>
      <c r="C425" s="8">
        <f>IF(ISNA(MATCH(412,Engine!$C$2:$C$1960,0)),"",INDEX('Compliance Database'!$C$2:$C$1960,MATCH(412,Engine!$C$2:$C$1960,0)))</f>
        <v/>
      </c>
      <c r="D425" s="9">
        <f>IF(ISNA(MATCH(412,Engine!$C$2:$C$1960,0)),"",INDEX('Compliance Database'!$D$2:$D$1960,MATCH(412,Engine!$C$2:$C$1960,0)))</f>
        <v/>
      </c>
      <c r="E425" s="8">
        <f>IF(ISNA(MATCH(412,Engine!$C$2:$C$1960,0)),"",INDEX('Compliance Database'!$E$2:$E$1960,MATCH(412,Engine!$C$2:$C$1960,0)))</f>
        <v/>
      </c>
      <c r="F425" s="8">
        <f>IF(ISNA(MATCH(412,Engine!$C$2:$C$1960,0)),"",INDEX('Compliance Database'!$F$2:$F$1960,MATCH(412,Engine!$C$2:$C$1960,0)))</f>
        <v/>
      </c>
      <c r="G425" s="8">
        <f>IF(ISNA(MATCH(412,Engine!$C$2:$C$1960,0)),"",INDEX('Compliance Database'!$G$2:$G$1960,MATCH(412,Engine!$C$2:$C$1960,0)))</f>
        <v/>
      </c>
      <c r="H425" s="9">
        <f>IF(ISNA(MATCH(412,Engine!$C$2:$C$1960,0)),"",INDEX('Compliance Database'!$H$2:$H$1960,MATCH(412,Engine!$C$2:$C$1960,0)))</f>
        <v/>
      </c>
      <c r="I425" s="9">
        <f>IF(ISNA(MATCH(412,Engine!$C$2:$C$1960,0)),"",INDEX('Compliance Database'!$I$2:$I$1960,MATCH(412,Engine!$C$2:$C$1960,0)))</f>
        <v/>
      </c>
      <c r="J425" s="8">
        <f>IF(ISNA(MATCH(412,Engine!$C$2:$C$1960,0)),"",INDEX('Compliance Database'!$J$2:$J$1960,MATCH(412,Engine!$C$2:$C$1960,0)))</f>
        <v/>
      </c>
      <c r="K425" s="9">
        <f>IF(ISNA(MATCH(412,Engine!$C$2:$C$1960,0)),"",INDEX('Compliance Database'!$K$2:$K$1960,MATCH(412,Engine!$C$2:$C$1960,0)))</f>
        <v/>
      </c>
      <c r="L425" s="9">
        <f>IF(ISNA(MATCH(412,Engine!$C$2:$C$1960,0)),"",INDEX('Compliance Database'!$L$2:$L$1960,MATCH(412,Engine!$C$2:$C$1960,0)))</f>
        <v/>
      </c>
      <c r="M425" s="9">
        <f>IF(ISNA(MATCH(412,Engine!$C$2:$C$1960,0)),"",INDEX('Compliance Database'!$M$2:$M$1960,MATCH(412,Engine!$C$2:$C$1960,0)))</f>
        <v/>
      </c>
      <c r="N425" s="9">
        <f>IF(ISNA(MATCH(412,Engine!$C$2:$C$1960,0)),"",INDEX('Compliance Database'!$N$2:$N$1960,MATCH(412,Engine!$C$2:$C$1960,0)))</f>
        <v/>
      </c>
      <c r="O425" s="9">
        <f>IF(ISNA(MATCH(412,Engine!$C$2:$C$1960,0)),"",INDEX('Compliance Database'!$O$2:$O$1960,MATCH(412,Engine!$C$2:$C$1960,0)))</f>
        <v/>
      </c>
      <c r="P425" s="8">
        <f>IF(ISNA(MATCH(412,Engine!$C$2:$C$1960,0)),"",HYPERLINK("#Acts!A"&amp;INDEX('Compliance Database'!$P$2:$P$1960,MATCH(412,Engine!$C$2:$C$1960,0)),"Go to Act"))</f>
        <v/>
      </c>
    </row>
    <row r="426" ht="158" customHeight="1">
      <c r="A426" s="8">
        <f>IF(ISNA(MATCH(413,Engine!$C$2:$C$1960,0)),"",INDEX('Compliance Database'!$A$2:$A$1960,MATCH(413,Engine!$C$2:$C$1960,0)))</f>
        <v/>
      </c>
      <c r="B426" s="8">
        <f>IF(ISNA(MATCH(413,Engine!$C$2:$C$1960,0)),"",INDEX('Compliance Database'!$B$2:$B$1960,MATCH(413,Engine!$C$2:$C$1960,0)))</f>
        <v/>
      </c>
      <c r="C426" s="8">
        <f>IF(ISNA(MATCH(413,Engine!$C$2:$C$1960,0)),"",INDEX('Compliance Database'!$C$2:$C$1960,MATCH(413,Engine!$C$2:$C$1960,0)))</f>
        <v/>
      </c>
      <c r="D426" s="9">
        <f>IF(ISNA(MATCH(413,Engine!$C$2:$C$1960,0)),"",INDEX('Compliance Database'!$D$2:$D$1960,MATCH(413,Engine!$C$2:$C$1960,0)))</f>
        <v/>
      </c>
      <c r="E426" s="8">
        <f>IF(ISNA(MATCH(413,Engine!$C$2:$C$1960,0)),"",INDEX('Compliance Database'!$E$2:$E$1960,MATCH(413,Engine!$C$2:$C$1960,0)))</f>
        <v/>
      </c>
      <c r="F426" s="8">
        <f>IF(ISNA(MATCH(413,Engine!$C$2:$C$1960,0)),"",INDEX('Compliance Database'!$F$2:$F$1960,MATCH(413,Engine!$C$2:$C$1960,0)))</f>
        <v/>
      </c>
      <c r="G426" s="8">
        <f>IF(ISNA(MATCH(413,Engine!$C$2:$C$1960,0)),"",INDEX('Compliance Database'!$G$2:$G$1960,MATCH(413,Engine!$C$2:$C$1960,0)))</f>
        <v/>
      </c>
      <c r="H426" s="9">
        <f>IF(ISNA(MATCH(413,Engine!$C$2:$C$1960,0)),"",INDEX('Compliance Database'!$H$2:$H$1960,MATCH(413,Engine!$C$2:$C$1960,0)))</f>
        <v/>
      </c>
      <c r="I426" s="9">
        <f>IF(ISNA(MATCH(413,Engine!$C$2:$C$1960,0)),"",INDEX('Compliance Database'!$I$2:$I$1960,MATCH(413,Engine!$C$2:$C$1960,0)))</f>
        <v/>
      </c>
      <c r="J426" s="8">
        <f>IF(ISNA(MATCH(413,Engine!$C$2:$C$1960,0)),"",INDEX('Compliance Database'!$J$2:$J$1960,MATCH(413,Engine!$C$2:$C$1960,0)))</f>
        <v/>
      </c>
      <c r="K426" s="9">
        <f>IF(ISNA(MATCH(413,Engine!$C$2:$C$1960,0)),"",INDEX('Compliance Database'!$K$2:$K$1960,MATCH(413,Engine!$C$2:$C$1960,0)))</f>
        <v/>
      </c>
      <c r="L426" s="9">
        <f>IF(ISNA(MATCH(413,Engine!$C$2:$C$1960,0)),"",INDEX('Compliance Database'!$L$2:$L$1960,MATCH(413,Engine!$C$2:$C$1960,0)))</f>
        <v/>
      </c>
      <c r="M426" s="9">
        <f>IF(ISNA(MATCH(413,Engine!$C$2:$C$1960,0)),"",INDEX('Compliance Database'!$M$2:$M$1960,MATCH(413,Engine!$C$2:$C$1960,0)))</f>
        <v/>
      </c>
      <c r="N426" s="9">
        <f>IF(ISNA(MATCH(413,Engine!$C$2:$C$1960,0)),"",INDEX('Compliance Database'!$N$2:$N$1960,MATCH(413,Engine!$C$2:$C$1960,0)))</f>
        <v/>
      </c>
      <c r="O426" s="9">
        <f>IF(ISNA(MATCH(413,Engine!$C$2:$C$1960,0)),"",INDEX('Compliance Database'!$O$2:$O$1960,MATCH(413,Engine!$C$2:$C$1960,0)))</f>
        <v/>
      </c>
      <c r="P426" s="8">
        <f>IF(ISNA(MATCH(413,Engine!$C$2:$C$1960,0)),"",HYPERLINK("#Acts!A"&amp;INDEX('Compliance Database'!$P$2:$P$1960,MATCH(413,Engine!$C$2:$C$1960,0)),"Go to Act"))</f>
        <v/>
      </c>
    </row>
    <row r="427" ht="158" customHeight="1">
      <c r="A427" s="8">
        <f>IF(ISNA(MATCH(414,Engine!$C$2:$C$1960,0)),"",INDEX('Compliance Database'!$A$2:$A$1960,MATCH(414,Engine!$C$2:$C$1960,0)))</f>
        <v/>
      </c>
      <c r="B427" s="8">
        <f>IF(ISNA(MATCH(414,Engine!$C$2:$C$1960,0)),"",INDEX('Compliance Database'!$B$2:$B$1960,MATCH(414,Engine!$C$2:$C$1960,0)))</f>
        <v/>
      </c>
      <c r="C427" s="8">
        <f>IF(ISNA(MATCH(414,Engine!$C$2:$C$1960,0)),"",INDEX('Compliance Database'!$C$2:$C$1960,MATCH(414,Engine!$C$2:$C$1960,0)))</f>
        <v/>
      </c>
      <c r="D427" s="9">
        <f>IF(ISNA(MATCH(414,Engine!$C$2:$C$1960,0)),"",INDEX('Compliance Database'!$D$2:$D$1960,MATCH(414,Engine!$C$2:$C$1960,0)))</f>
        <v/>
      </c>
      <c r="E427" s="8">
        <f>IF(ISNA(MATCH(414,Engine!$C$2:$C$1960,0)),"",INDEX('Compliance Database'!$E$2:$E$1960,MATCH(414,Engine!$C$2:$C$1960,0)))</f>
        <v/>
      </c>
      <c r="F427" s="8">
        <f>IF(ISNA(MATCH(414,Engine!$C$2:$C$1960,0)),"",INDEX('Compliance Database'!$F$2:$F$1960,MATCH(414,Engine!$C$2:$C$1960,0)))</f>
        <v/>
      </c>
      <c r="G427" s="8">
        <f>IF(ISNA(MATCH(414,Engine!$C$2:$C$1960,0)),"",INDEX('Compliance Database'!$G$2:$G$1960,MATCH(414,Engine!$C$2:$C$1960,0)))</f>
        <v/>
      </c>
      <c r="H427" s="9">
        <f>IF(ISNA(MATCH(414,Engine!$C$2:$C$1960,0)),"",INDEX('Compliance Database'!$H$2:$H$1960,MATCH(414,Engine!$C$2:$C$1960,0)))</f>
        <v/>
      </c>
      <c r="I427" s="9">
        <f>IF(ISNA(MATCH(414,Engine!$C$2:$C$1960,0)),"",INDEX('Compliance Database'!$I$2:$I$1960,MATCH(414,Engine!$C$2:$C$1960,0)))</f>
        <v/>
      </c>
      <c r="J427" s="8">
        <f>IF(ISNA(MATCH(414,Engine!$C$2:$C$1960,0)),"",INDEX('Compliance Database'!$J$2:$J$1960,MATCH(414,Engine!$C$2:$C$1960,0)))</f>
        <v/>
      </c>
      <c r="K427" s="9">
        <f>IF(ISNA(MATCH(414,Engine!$C$2:$C$1960,0)),"",INDEX('Compliance Database'!$K$2:$K$1960,MATCH(414,Engine!$C$2:$C$1960,0)))</f>
        <v/>
      </c>
      <c r="L427" s="9">
        <f>IF(ISNA(MATCH(414,Engine!$C$2:$C$1960,0)),"",INDEX('Compliance Database'!$L$2:$L$1960,MATCH(414,Engine!$C$2:$C$1960,0)))</f>
        <v/>
      </c>
      <c r="M427" s="9">
        <f>IF(ISNA(MATCH(414,Engine!$C$2:$C$1960,0)),"",INDEX('Compliance Database'!$M$2:$M$1960,MATCH(414,Engine!$C$2:$C$1960,0)))</f>
        <v/>
      </c>
      <c r="N427" s="9">
        <f>IF(ISNA(MATCH(414,Engine!$C$2:$C$1960,0)),"",INDEX('Compliance Database'!$N$2:$N$1960,MATCH(414,Engine!$C$2:$C$1960,0)))</f>
        <v/>
      </c>
      <c r="O427" s="9">
        <f>IF(ISNA(MATCH(414,Engine!$C$2:$C$1960,0)),"",INDEX('Compliance Database'!$O$2:$O$1960,MATCH(414,Engine!$C$2:$C$1960,0)))</f>
        <v/>
      </c>
      <c r="P427" s="8">
        <f>IF(ISNA(MATCH(414,Engine!$C$2:$C$1960,0)),"",HYPERLINK("#Acts!A"&amp;INDEX('Compliance Database'!$P$2:$P$1960,MATCH(414,Engine!$C$2:$C$1960,0)),"Go to Act"))</f>
        <v/>
      </c>
    </row>
    <row r="428" ht="158" customHeight="1">
      <c r="A428" s="8">
        <f>IF(ISNA(MATCH(415,Engine!$C$2:$C$1960,0)),"",INDEX('Compliance Database'!$A$2:$A$1960,MATCH(415,Engine!$C$2:$C$1960,0)))</f>
        <v/>
      </c>
      <c r="B428" s="8">
        <f>IF(ISNA(MATCH(415,Engine!$C$2:$C$1960,0)),"",INDEX('Compliance Database'!$B$2:$B$1960,MATCH(415,Engine!$C$2:$C$1960,0)))</f>
        <v/>
      </c>
      <c r="C428" s="8">
        <f>IF(ISNA(MATCH(415,Engine!$C$2:$C$1960,0)),"",INDEX('Compliance Database'!$C$2:$C$1960,MATCH(415,Engine!$C$2:$C$1960,0)))</f>
        <v/>
      </c>
      <c r="D428" s="9">
        <f>IF(ISNA(MATCH(415,Engine!$C$2:$C$1960,0)),"",INDEX('Compliance Database'!$D$2:$D$1960,MATCH(415,Engine!$C$2:$C$1960,0)))</f>
        <v/>
      </c>
      <c r="E428" s="8">
        <f>IF(ISNA(MATCH(415,Engine!$C$2:$C$1960,0)),"",INDEX('Compliance Database'!$E$2:$E$1960,MATCH(415,Engine!$C$2:$C$1960,0)))</f>
        <v/>
      </c>
      <c r="F428" s="8">
        <f>IF(ISNA(MATCH(415,Engine!$C$2:$C$1960,0)),"",INDEX('Compliance Database'!$F$2:$F$1960,MATCH(415,Engine!$C$2:$C$1960,0)))</f>
        <v/>
      </c>
      <c r="G428" s="8">
        <f>IF(ISNA(MATCH(415,Engine!$C$2:$C$1960,0)),"",INDEX('Compliance Database'!$G$2:$G$1960,MATCH(415,Engine!$C$2:$C$1960,0)))</f>
        <v/>
      </c>
      <c r="H428" s="9">
        <f>IF(ISNA(MATCH(415,Engine!$C$2:$C$1960,0)),"",INDEX('Compliance Database'!$H$2:$H$1960,MATCH(415,Engine!$C$2:$C$1960,0)))</f>
        <v/>
      </c>
      <c r="I428" s="9">
        <f>IF(ISNA(MATCH(415,Engine!$C$2:$C$1960,0)),"",INDEX('Compliance Database'!$I$2:$I$1960,MATCH(415,Engine!$C$2:$C$1960,0)))</f>
        <v/>
      </c>
      <c r="J428" s="8">
        <f>IF(ISNA(MATCH(415,Engine!$C$2:$C$1960,0)),"",INDEX('Compliance Database'!$J$2:$J$1960,MATCH(415,Engine!$C$2:$C$1960,0)))</f>
        <v/>
      </c>
      <c r="K428" s="9">
        <f>IF(ISNA(MATCH(415,Engine!$C$2:$C$1960,0)),"",INDEX('Compliance Database'!$K$2:$K$1960,MATCH(415,Engine!$C$2:$C$1960,0)))</f>
        <v/>
      </c>
      <c r="L428" s="9">
        <f>IF(ISNA(MATCH(415,Engine!$C$2:$C$1960,0)),"",INDEX('Compliance Database'!$L$2:$L$1960,MATCH(415,Engine!$C$2:$C$1960,0)))</f>
        <v/>
      </c>
      <c r="M428" s="9">
        <f>IF(ISNA(MATCH(415,Engine!$C$2:$C$1960,0)),"",INDEX('Compliance Database'!$M$2:$M$1960,MATCH(415,Engine!$C$2:$C$1960,0)))</f>
        <v/>
      </c>
      <c r="N428" s="9">
        <f>IF(ISNA(MATCH(415,Engine!$C$2:$C$1960,0)),"",INDEX('Compliance Database'!$N$2:$N$1960,MATCH(415,Engine!$C$2:$C$1960,0)))</f>
        <v/>
      </c>
      <c r="O428" s="9">
        <f>IF(ISNA(MATCH(415,Engine!$C$2:$C$1960,0)),"",INDEX('Compliance Database'!$O$2:$O$1960,MATCH(415,Engine!$C$2:$C$1960,0)))</f>
        <v/>
      </c>
      <c r="P428" s="8">
        <f>IF(ISNA(MATCH(415,Engine!$C$2:$C$1960,0)),"",HYPERLINK("#Acts!A"&amp;INDEX('Compliance Database'!$P$2:$P$1960,MATCH(415,Engine!$C$2:$C$1960,0)),"Go to Act"))</f>
        <v/>
      </c>
    </row>
    <row r="429" ht="158" customHeight="1">
      <c r="A429" s="8">
        <f>IF(ISNA(MATCH(416,Engine!$C$2:$C$1960,0)),"",INDEX('Compliance Database'!$A$2:$A$1960,MATCH(416,Engine!$C$2:$C$1960,0)))</f>
        <v/>
      </c>
      <c r="B429" s="8">
        <f>IF(ISNA(MATCH(416,Engine!$C$2:$C$1960,0)),"",INDEX('Compliance Database'!$B$2:$B$1960,MATCH(416,Engine!$C$2:$C$1960,0)))</f>
        <v/>
      </c>
      <c r="C429" s="8">
        <f>IF(ISNA(MATCH(416,Engine!$C$2:$C$1960,0)),"",INDEX('Compliance Database'!$C$2:$C$1960,MATCH(416,Engine!$C$2:$C$1960,0)))</f>
        <v/>
      </c>
      <c r="D429" s="9">
        <f>IF(ISNA(MATCH(416,Engine!$C$2:$C$1960,0)),"",INDEX('Compliance Database'!$D$2:$D$1960,MATCH(416,Engine!$C$2:$C$1960,0)))</f>
        <v/>
      </c>
      <c r="E429" s="8">
        <f>IF(ISNA(MATCH(416,Engine!$C$2:$C$1960,0)),"",INDEX('Compliance Database'!$E$2:$E$1960,MATCH(416,Engine!$C$2:$C$1960,0)))</f>
        <v/>
      </c>
      <c r="F429" s="8">
        <f>IF(ISNA(MATCH(416,Engine!$C$2:$C$1960,0)),"",INDEX('Compliance Database'!$F$2:$F$1960,MATCH(416,Engine!$C$2:$C$1960,0)))</f>
        <v/>
      </c>
      <c r="G429" s="8">
        <f>IF(ISNA(MATCH(416,Engine!$C$2:$C$1960,0)),"",INDEX('Compliance Database'!$G$2:$G$1960,MATCH(416,Engine!$C$2:$C$1960,0)))</f>
        <v/>
      </c>
      <c r="H429" s="9">
        <f>IF(ISNA(MATCH(416,Engine!$C$2:$C$1960,0)),"",INDEX('Compliance Database'!$H$2:$H$1960,MATCH(416,Engine!$C$2:$C$1960,0)))</f>
        <v/>
      </c>
      <c r="I429" s="9">
        <f>IF(ISNA(MATCH(416,Engine!$C$2:$C$1960,0)),"",INDEX('Compliance Database'!$I$2:$I$1960,MATCH(416,Engine!$C$2:$C$1960,0)))</f>
        <v/>
      </c>
      <c r="J429" s="8">
        <f>IF(ISNA(MATCH(416,Engine!$C$2:$C$1960,0)),"",INDEX('Compliance Database'!$J$2:$J$1960,MATCH(416,Engine!$C$2:$C$1960,0)))</f>
        <v/>
      </c>
      <c r="K429" s="9">
        <f>IF(ISNA(MATCH(416,Engine!$C$2:$C$1960,0)),"",INDEX('Compliance Database'!$K$2:$K$1960,MATCH(416,Engine!$C$2:$C$1960,0)))</f>
        <v/>
      </c>
      <c r="L429" s="9">
        <f>IF(ISNA(MATCH(416,Engine!$C$2:$C$1960,0)),"",INDEX('Compliance Database'!$L$2:$L$1960,MATCH(416,Engine!$C$2:$C$1960,0)))</f>
        <v/>
      </c>
      <c r="M429" s="9">
        <f>IF(ISNA(MATCH(416,Engine!$C$2:$C$1960,0)),"",INDEX('Compliance Database'!$M$2:$M$1960,MATCH(416,Engine!$C$2:$C$1960,0)))</f>
        <v/>
      </c>
      <c r="N429" s="9">
        <f>IF(ISNA(MATCH(416,Engine!$C$2:$C$1960,0)),"",INDEX('Compliance Database'!$N$2:$N$1960,MATCH(416,Engine!$C$2:$C$1960,0)))</f>
        <v/>
      </c>
      <c r="O429" s="9">
        <f>IF(ISNA(MATCH(416,Engine!$C$2:$C$1960,0)),"",INDEX('Compliance Database'!$O$2:$O$1960,MATCH(416,Engine!$C$2:$C$1960,0)))</f>
        <v/>
      </c>
      <c r="P429" s="8">
        <f>IF(ISNA(MATCH(416,Engine!$C$2:$C$1960,0)),"",HYPERLINK("#Acts!A"&amp;INDEX('Compliance Database'!$P$2:$P$1960,MATCH(416,Engine!$C$2:$C$1960,0)),"Go to Act"))</f>
        <v/>
      </c>
    </row>
    <row r="430" ht="158" customHeight="1">
      <c r="A430" s="8">
        <f>IF(ISNA(MATCH(417,Engine!$C$2:$C$1960,0)),"",INDEX('Compliance Database'!$A$2:$A$1960,MATCH(417,Engine!$C$2:$C$1960,0)))</f>
        <v/>
      </c>
      <c r="B430" s="8">
        <f>IF(ISNA(MATCH(417,Engine!$C$2:$C$1960,0)),"",INDEX('Compliance Database'!$B$2:$B$1960,MATCH(417,Engine!$C$2:$C$1960,0)))</f>
        <v/>
      </c>
      <c r="C430" s="8">
        <f>IF(ISNA(MATCH(417,Engine!$C$2:$C$1960,0)),"",INDEX('Compliance Database'!$C$2:$C$1960,MATCH(417,Engine!$C$2:$C$1960,0)))</f>
        <v/>
      </c>
      <c r="D430" s="9">
        <f>IF(ISNA(MATCH(417,Engine!$C$2:$C$1960,0)),"",INDEX('Compliance Database'!$D$2:$D$1960,MATCH(417,Engine!$C$2:$C$1960,0)))</f>
        <v/>
      </c>
      <c r="E430" s="8">
        <f>IF(ISNA(MATCH(417,Engine!$C$2:$C$1960,0)),"",INDEX('Compliance Database'!$E$2:$E$1960,MATCH(417,Engine!$C$2:$C$1960,0)))</f>
        <v/>
      </c>
      <c r="F430" s="8">
        <f>IF(ISNA(MATCH(417,Engine!$C$2:$C$1960,0)),"",INDEX('Compliance Database'!$F$2:$F$1960,MATCH(417,Engine!$C$2:$C$1960,0)))</f>
        <v/>
      </c>
      <c r="G430" s="8">
        <f>IF(ISNA(MATCH(417,Engine!$C$2:$C$1960,0)),"",INDEX('Compliance Database'!$G$2:$G$1960,MATCH(417,Engine!$C$2:$C$1960,0)))</f>
        <v/>
      </c>
      <c r="H430" s="9">
        <f>IF(ISNA(MATCH(417,Engine!$C$2:$C$1960,0)),"",INDEX('Compliance Database'!$H$2:$H$1960,MATCH(417,Engine!$C$2:$C$1960,0)))</f>
        <v/>
      </c>
      <c r="I430" s="9">
        <f>IF(ISNA(MATCH(417,Engine!$C$2:$C$1960,0)),"",INDEX('Compliance Database'!$I$2:$I$1960,MATCH(417,Engine!$C$2:$C$1960,0)))</f>
        <v/>
      </c>
      <c r="J430" s="8">
        <f>IF(ISNA(MATCH(417,Engine!$C$2:$C$1960,0)),"",INDEX('Compliance Database'!$J$2:$J$1960,MATCH(417,Engine!$C$2:$C$1960,0)))</f>
        <v/>
      </c>
      <c r="K430" s="9">
        <f>IF(ISNA(MATCH(417,Engine!$C$2:$C$1960,0)),"",INDEX('Compliance Database'!$K$2:$K$1960,MATCH(417,Engine!$C$2:$C$1960,0)))</f>
        <v/>
      </c>
      <c r="L430" s="9">
        <f>IF(ISNA(MATCH(417,Engine!$C$2:$C$1960,0)),"",INDEX('Compliance Database'!$L$2:$L$1960,MATCH(417,Engine!$C$2:$C$1960,0)))</f>
        <v/>
      </c>
      <c r="M430" s="9">
        <f>IF(ISNA(MATCH(417,Engine!$C$2:$C$1960,0)),"",INDEX('Compliance Database'!$M$2:$M$1960,MATCH(417,Engine!$C$2:$C$1960,0)))</f>
        <v/>
      </c>
      <c r="N430" s="9">
        <f>IF(ISNA(MATCH(417,Engine!$C$2:$C$1960,0)),"",INDEX('Compliance Database'!$N$2:$N$1960,MATCH(417,Engine!$C$2:$C$1960,0)))</f>
        <v/>
      </c>
      <c r="O430" s="9">
        <f>IF(ISNA(MATCH(417,Engine!$C$2:$C$1960,0)),"",INDEX('Compliance Database'!$O$2:$O$1960,MATCH(417,Engine!$C$2:$C$1960,0)))</f>
        <v/>
      </c>
      <c r="P430" s="8">
        <f>IF(ISNA(MATCH(417,Engine!$C$2:$C$1960,0)),"",HYPERLINK("#Acts!A"&amp;INDEX('Compliance Database'!$P$2:$P$1960,MATCH(417,Engine!$C$2:$C$1960,0)),"Go to Act"))</f>
        <v/>
      </c>
    </row>
    <row r="431" ht="158" customHeight="1">
      <c r="A431" s="8">
        <f>IF(ISNA(MATCH(418,Engine!$C$2:$C$1960,0)),"",INDEX('Compliance Database'!$A$2:$A$1960,MATCH(418,Engine!$C$2:$C$1960,0)))</f>
        <v/>
      </c>
      <c r="B431" s="8">
        <f>IF(ISNA(MATCH(418,Engine!$C$2:$C$1960,0)),"",INDEX('Compliance Database'!$B$2:$B$1960,MATCH(418,Engine!$C$2:$C$1960,0)))</f>
        <v/>
      </c>
      <c r="C431" s="8">
        <f>IF(ISNA(MATCH(418,Engine!$C$2:$C$1960,0)),"",INDEX('Compliance Database'!$C$2:$C$1960,MATCH(418,Engine!$C$2:$C$1960,0)))</f>
        <v/>
      </c>
      <c r="D431" s="9">
        <f>IF(ISNA(MATCH(418,Engine!$C$2:$C$1960,0)),"",INDEX('Compliance Database'!$D$2:$D$1960,MATCH(418,Engine!$C$2:$C$1960,0)))</f>
        <v/>
      </c>
      <c r="E431" s="8">
        <f>IF(ISNA(MATCH(418,Engine!$C$2:$C$1960,0)),"",INDEX('Compliance Database'!$E$2:$E$1960,MATCH(418,Engine!$C$2:$C$1960,0)))</f>
        <v/>
      </c>
      <c r="F431" s="8">
        <f>IF(ISNA(MATCH(418,Engine!$C$2:$C$1960,0)),"",INDEX('Compliance Database'!$F$2:$F$1960,MATCH(418,Engine!$C$2:$C$1960,0)))</f>
        <v/>
      </c>
      <c r="G431" s="8">
        <f>IF(ISNA(MATCH(418,Engine!$C$2:$C$1960,0)),"",INDEX('Compliance Database'!$G$2:$G$1960,MATCH(418,Engine!$C$2:$C$1960,0)))</f>
        <v/>
      </c>
      <c r="H431" s="9">
        <f>IF(ISNA(MATCH(418,Engine!$C$2:$C$1960,0)),"",INDEX('Compliance Database'!$H$2:$H$1960,MATCH(418,Engine!$C$2:$C$1960,0)))</f>
        <v/>
      </c>
      <c r="I431" s="9">
        <f>IF(ISNA(MATCH(418,Engine!$C$2:$C$1960,0)),"",INDEX('Compliance Database'!$I$2:$I$1960,MATCH(418,Engine!$C$2:$C$1960,0)))</f>
        <v/>
      </c>
      <c r="J431" s="8">
        <f>IF(ISNA(MATCH(418,Engine!$C$2:$C$1960,0)),"",INDEX('Compliance Database'!$J$2:$J$1960,MATCH(418,Engine!$C$2:$C$1960,0)))</f>
        <v/>
      </c>
      <c r="K431" s="9">
        <f>IF(ISNA(MATCH(418,Engine!$C$2:$C$1960,0)),"",INDEX('Compliance Database'!$K$2:$K$1960,MATCH(418,Engine!$C$2:$C$1960,0)))</f>
        <v/>
      </c>
      <c r="L431" s="9">
        <f>IF(ISNA(MATCH(418,Engine!$C$2:$C$1960,0)),"",INDEX('Compliance Database'!$L$2:$L$1960,MATCH(418,Engine!$C$2:$C$1960,0)))</f>
        <v/>
      </c>
      <c r="M431" s="9">
        <f>IF(ISNA(MATCH(418,Engine!$C$2:$C$1960,0)),"",INDEX('Compliance Database'!$M$2:$M$1960,MATCH(418,Engine!$C$2:$C$1960,0)))</f>
        <v/>
      </c>
      <c r="N431" s="9">
        <f>IF(ISNA(MATCH(418,Engine!$C$2:$C$1960,0)),"",INDEX('Compliance Database'!$N$2:$N$1960,MATCH(418,Engine!$C$2:$C$1960,0)))</f>
        <v/>
      </c>
      <c r="O431" s="9">
        <f>IF(ISNA(MATCH(418,Engine!$C$2:$C$1960,0)),"",INDEX('Compliance Database'!$O$2:$O$1960,MATCH(418,Engine!$C$2:$C$1960,0)))</f>
        <v/>
      </c>
      <c r="P431" s="8">
        <f>IF(ISNA(MATCH(418,Engine!$C$2:$C$1960,0)),"",HYPERLINK("#Acts!A"&amp;INDEX('Compliance Database'!$P$2:$P$1960,MATCH(418,Engine!$C$2:$C$1960,0)),"Go to Act"))</f>
        <v/>
      </c>
    </row>
    <row r="432" ht="158" customHeight="1">
      <c r="A432" s="8">
        <f>IF(ISNA(MATCH(419,Engine!$C$2:$C$1960,0)),"",INDEX('Compliance Database'!$A$2:$A$1960,MATCH(419,Engine!$C$2:$C$1960,0)))</f>
        <v/>
      </c>
      <c r="B432" s="8">
        <f>IF(ISNA(MATCH(419,Engine!$C$2:$C$1960,0)),"",INDEX('Compliance Database'!$B$2:$B$1960,MATCH(419,Engine!$C$2:$C$1960,0)))</f>
        <v/>
      </c>
      <c r="C432" s="8">
        <f>IF(ISNA(MATCH(419,Engine!$C$2:$C$1960,0)),"",INDEX('Compliance Database'!$C$2:$C$1960,MATCH(419,Engine!$C$2:$C$1960,0)))</f>
        <v/>
      </c>
      <c r="D432" s="9">
        <f>IF(ISNA(MATCH(419,Engine!$C$2:$C$1960,0)),"",INDEX('Compliance Database'!$D$2:$D$1960,MATCH(419,Engine!$C$2:$C$1960,0)))</f>
        <v/>
      </c>
      <c r="E432" s="8">
        <f>IF(ISNA(MATCH(419,Engine!$C$2:$C$1960,0)),"",INDEX('Compliance Database'!$E$2:$E$1960,MATCH(419,Engine!$C$2:$C$1960,0)))</f>
        <v/>
      </c>
      <c r="F432" s="8">
        <f>IF(ISNA(MATCH(419,Engine!$C$2:$C$1960,0)),"",INDEX('Compliance Database'!$F$2:$F$1960,MATCH(419,Engine!$C$2:$C$1960,0)))</f>
        <v/>
      </c>
      <c r="G432" s="8">
        <f>IF(ISNA(MATCH(419,Engine!$C$2:$C$1960,0)),"",INDEX('Compliance Database'!$G$2:$G$1960,MATCH(419,Engine!$C$2:$C$1960,0)))</f>
        <v/>
      </c>
      <c r="H432" s="9">
        <f>IF(ISNA(MATCH(419,Engine!$C$2:$C$1960,0)),"",INDEX('Compliance Database'!$H$2:$H$1960,MATCH(419,Engine!$C$2:$C$1960,0)))</f>
        <v/>
      </c>
      <c r="I432" s="9">
        <f>IF(ISNA(MATCH(419,Engine!$C$2:$C$1960,0)),"",INDEX('Compliance Database'!$I$2:$I$1960,MATCH(419,Engine!$C$2:$C$1960,0)))</f>
        <v/>
      </c>
      <c r="J432" s="8">
        <f>IF(ISNA(MATCH(419,Engine!$C$2:$C$1960,0)),"",INDEX('Compliance Database'!$J$2:$J$1960,MATCH(419,Engine!$C$2:$C$1960,0)))</f>
        <v/>
      </c>
      <c r="K432" s="9">
        <f>IF(ISNA(MATCH(419,Engine!$C$2:$C$1960,0)),"",INDEX('Compliance Database'!$K$2:$K$1960,MATCH(419,Engine!$C$2:$C$1960,0)))</f>
        <v/>
      </c>
      <c r="L432" s="9">
        <f>IF(ISNA(MATCH(419,Engine!$C$2:$C$1960,0)),"",INDEX('Compliance Database'!$L$2:$L$1960,MATCH(419,Engine!$C$2:$C$1960,0)))</f>
        <v/>
      </c>
      <c r="M432" s="9">
        <f>IF(ISNA(MATCH(419,Engine!$C$2:$C$1960,0)),"",INDEX('Compliance Database'!$M$2:$M$1960,MATCH(419,Engine!$C$2:$C$1960,0)))</f>
        <v/>
      </c>
      <c r="N432" s="9">
        <f>IF(ISNA(MATCH(419,Engine!$C$2:$C$1960,0)),"",INDEX('Compliance Database'!$N$2:$N$1960,MATCH(419,Engine!$C$2:$C$1960,0)))</f>
        <v/>
      </c>
      <c r="O432" s="9">
        <f>IF(ISNA(MATCH(419,Engine!$C$2:$C$1960,0)),"",INDEX('Compliance Database'!$O$2:$O$1960,MATCH(419,Engine!$C$2:$C$1960,0)))</f>
        <v/>
      </c>
      <c r="P432" s="8">
        <f>IF(ISNA(MATCH(419,Engine!$C$2:$C$1960,0)),"",HYPERLINK("#Acts!A"&amp;INDEX('Compliance Database'!$P$2:$P$1960,MATCH(419,Engine!$C$2:$C$1960,0)),"Go to Act"))</f>
        <v/>
      </c>
    </row>
    <row r="433" ht="158" customHeight="1">
      <c r="A433" s="8">
        <f>IF(ISNA(MATCH(420,Engine!$C$2:$C$1960,0)),"",INDEX('Compliance Database'!$A$2:$A$1960,MATCH(420,Engine!$C$2:$C$1960,0)))</f>
        <v/>
      </c>
      <c r="B433" s="8">
        <f>IF(ISNA(MATCH(420,Engine!$C$2:$C$1960,0)),"",INDEX('Compliance Database'!$B$2:$B$1960,MATCH(420,Engine!$C$2:$C$1960,0)))</f>
        <v/>
      </c>
      <c r="C433" s="8">
        <f>IF(ISNA(MATCH(420,Engine!$C$2:$C$1960,0)),"",INDEX('Compliance Database'!$C$2:$C$1960,MATCH(420,Engine!$C$2:$C$1960,0)))</f>
        <v/>
      </c>
      <c r="D433" s="9">
        <f>IF(ISNA(MATCH(420,Engine!$C$2:$C$1960,0)),"",INDEX('Compliance Database'!$D$2:$D$1960,MATCH(420,Engine!$C$2:$C$1960,0)))</f>
        <v/>
      </c>
      <c r="E433" s="8">
        <f>IF(ISNA(MATCH(420,Engine!$C$2:$C$1960,0)),"",INDEX('Compliance Database'!$E$2:$E$1960,MATCH(420,Engine!$C$2:$C$1960,0)))</f>
        <v/>
      </c>
      <c r="F433" s="8">
        <f>IF(ISNA(MATCH(420,Engine!$C$2:$C$1960,0)),"",INDEX('Compliance Database'!$F$2:$F$1960,MATCH(420,Engine!$C$2:$C$1960,0)))</f>
        <v/>
      </c>
      <c r="G433" s="8">
        <f>IF(ISNA(MATCH(420,Engine!$C$2:$C$1960,0)),"",INDEX('Compliance Database'!$G$2:$G$1960,MATCH(420,Engine!$C$2:$C$1960,0)))</f>
        <v/>
      </c>
      <c r="H433" s="9">
        <f>IF(ISNA(MATCH(420,Engine!$C$2:$C$1960,0)),"",INDEX('Compliance Database'!$H$2:$H$1960,MATCH(420,Engine!$C$2:$C$1960,0)))</f>
        <v/>
      </c>
      <c r="I433" s="9">
        <f>IF(ISNA(MATCH(420,Engine!$C$2:$C$1960,0)),"",INDEX('Compliance Database'!$I$2:$I$1960,MATCH(420,Engine!$C$2:$C$1960,0)))</f>
        <v/>
      </c>
      <c r="J433" s="8">
        <f>IF(ISNA(MATCH(420,Engine!$C$2:$C$1960,0)),"",INDEX('Compliance Database'!$J$2:$J$1960,MATCH(420,Engine!$C$2:$C$1960,0)))</f>
        <v/>
      </c>
      <c r="K433" s="9">
        <f>IF(ISNA(MATCH(420,Engine!$C$2:$C$1960,0)),"",INDEX('Compliance Database'!$K$2:$K$1960,MATCH(420,Engine!$C$2:$C$1960,0)))</f>
        <v/>
      </c>
      <c r="L433" s="9">
        <f>IF(ISNA(MATCH(420,Engine!$C$2:$C$1960,0)),"",INDEX('Compliance Database'!$L$2:$L$1960,MATCH(420,Engine!$C$2:$C$1960,0)))</f>
        <v/>
      </c>
      <c r="M433" s="9">
        <f>IF(ISNA(MATCH(420,Engine!$C$2:$C$1960,0)),"",INDEX('Compliance Database'!$M$2:$M$1960,MATCH(420,Engine!$C$2:$C$1960,0)))</f>
        <v/>
      </c>
      <c r="N433" s="9">
        <f>IF(ISNA(MATCH(420,Engine!$C$2:$C$1960,0)),"",INDEX('Compliance Database'!$N$2:$N$1960,MATCH(420,Engine!$C$2:$C$1960,0)))</f>
        <v/>
      </c>
      <c r="O433" s="9">
        <f>IF(ISNA(MATCH(420,Engine!$C$2:$C$1960,0)),"",INDEX('Compliance Database'!$O$2:$O$1960,MATCH(420,Engine!$C$2:$C$1960,0)))</f>
        <v/>
      </c>
      <c r="P433" s="8">
        <f>IF(ISNA(MATCH(420,Engine!$C$2:$C$1960,0)),"",HYPERLINK("#Acts!A"&amp;INDEX('Compliance Database'!$P$2:$P$1960,MATCH(420,Engine!$C$2:$C$1960,0)),"Go to Act"))</f>
        <v/>
      </c>
    </row>
    <row r="434" ht="158" customHeight="1">
      <c r="A434" s="8">
        <f>IF(ISNA(MATCH(421,Engine!$C$2:$C$1960,0)),"",INDEX('Compliance Database'!$A$2:$A$1960,MATCH(421,Engine!$C$2:$C$1960,0)))</f>
        <v/>
      </c>
      <c r="B434" s="8">
        <f>IF(ISNA(MATCH(421,Engine!$C$2:$C$1960,0)),"",INDEX('Compliance Database'!$B$2:$B$1960,MATCH(421,Engine!$C$2:$C$1960,0)))</f>
        <v/>
      </c>
      <c r="C434" s="8">
        <f>IF(ISNA(MATCH(421,Engine!$C$2:$C$1960,0)),"",INDEX('Compliance Database'!$C$2:$C$1960,MATCH(421,Engine!$C$2:$C$1960,0)))</f>
        <v/>
      </c>
      <c r="D434" s="9">
        <f>IF(ISNA(MATCH(421,Engine!$C$2:$C$1960,0)),"",INDEX('Compliance Database'!$D$2:$D$1960,MATCH(421,Engine!$C$2:$C$1960,0)))</f>
        <v/>
      </c>
      <c r="E434" s="8">
        <f>IF(ISNA(MATCH(421,Engine!$C$2:$C$1960,0)),"",INDEX('Compliance Database'!$E$2:$E$1960,MATCH(421,Engine!$C$2:$C$1960,0)))</f>
        <v/>
      </c>
      <c r="F434" s="8">
        <f>IF(ISNA(MATCH(421,Engine!$C$2:$C$1960,0)),"",INDEX('Compliance Database'!$F$2:$F$1960,MATCH(421,Engine!$C$2:$C$1960,0)))</f>
        <v/>
      </c>
      <c r="G434" s="8">
        <f>IF(ISNA(MATCH(421,Engine!$C$2:$C$1960,0)),"",INDEX('Compliance Database'!$G$2:$G$1960,MATCH(421,Engine!$C$2:$C$1960,0)))</f>
        <v/>
      </c>
      <c r="H434" s="9">
        <f>IF(ISNA(MATCH(421,Engine!$C$2:$C$1960,0)),"",INDEX('Compliance Database'!$H$2:$H$1960,MATCH(421,Engine!$C$2:$C$1960,0)))</f>
        <v/>
      </c>
      <c r="I434" s="9">
        <f>IF(ISNA(MATCH(421,Engine!$C$2:$C$1960,0)),"",INDEX('Compliance Database'!$I$2:$I$1960,MATCH(421,Engine!$C$2:$C$1960,0)))</f>
        <v/>
      </c>
      <c r="J434" s="8">
        <f>IF(ISNA(MATCH(421,Engine!$C$2:$C$1960,0)),"",INDEX('Compliance Database'!$J$2:$J$1960,MATCH(421,Engine!$C$2:$C$1960,0)))</f>
        <v/>
      </c>
      <c r="K434" s="9">
        <f>IF(ISNA(MATCH(421,Engine!$C$2:$C$1960,0)),"",INDEX('Compliance Database'!$K$2:$K$1960,MATCH(421,Engine!$C$2:$C$1960,0)))</f>
        <v/>
      </c>
      <c r="L434" s="9">
        <f>IF(ISNA(MATCH(421,Engine!$C$2:$C$1960,0)),"",INDEX('Compliance Database'!$L$2:$L$1960,MATCH(421,Engine!$C$2:$C$1960,0)))</f>
        <v/>
      </c>
      <c r="M434" s="9">
        <f>IF(ISNA(MATCH(421,Engine!$C$2:$C$1960,0)),"",INDEX('Compliance Database'!$M$2:$M$1960,MATCH(421,Engine!$C$2:$C$1960,0)))</f>
        <v/>
      </c>
      <c r="N434" s="9">
        <f>IF(ISNA(MATCH(421,Engine!$C$2:$C$1960,0)),"",INDEX('Compliance Database'!$N$2:$N$1960,MATCH(421,Engine!$C$2:$C$1960,0)))</f>
        <v/>
      </c>
      <c r="O434" s="9">
        <f>IF(ISNA(MATCH(421,Engine!$C$2:$C$1960,0)),"",INDEX('Compliance Database'!$O$2:$O$1960,MATCH(421,Engine!$C$2:$C$1960,0)))</f>
        <v/>
      </c>
      <c r="P434" s="8">
        <f>IF(ISNA(MATCH(421,Engine!$C$2:$C$1960,0)),"",HYPERLINK("#Acts!A"&amp;INDEX('Compliance Database'!$P$2:$P$1960,MATCH(421,Engine!$C$2:$C$1960,0)),"Go to Act"))</f>
        <v/>
      </c>
    </row>
    <row r="435" ht="158" customHeight="1">
      <c r="A435" s="8">
        <f>IF(ISNA(MATCH(422,Engine!$C$2:$C$1960,0)),"",INDEX('Compliance Database'!$A$2:$A$1960,MATCH(422,Engine!$C$2:$C$1960,0)))</f>
        <v/>
      </c>
      <c r="B435" s="8">
        <f>IF(ISNA(MATCH(422,Engine!$C$2:$C$1960,0)),"",INDEX('Compliance Database'!$B$2:$B$1960,MATCH(422,Engine!$C$2:$C$1960,0)))</f>
        <v/>
      </c>
      <c r="C435" s="8">
        <f>IF(ISNA(MATCH(422,Engine!$C$2:$C$1960,0)),"",INDEX('Compliance Database'!$C$2:$C$1960,MATCH(422,Engine!$C$2:$C$1960,0)))</f>
        <v/>
      </c>
      <c r="D435" s="9">
        <f>IF(ISNA(MATCH(422,Engine!$C$2:$C$1960,0)),"",INDEX('Compliance Database'!$D$2:$D$1960,MATCH(422,Engine!$C$2:$C$1960,0)))</f>
        <v/>
      </c>
      <c r="E435" s="8">
        <f>IF(ISNA(MATCH(422,Engine!$C$2:$C$1960,0)),"",INDEX('Compliance Database'!$E$2:$E$1960,MATCH(422,Engine!$C$2:$C$1960,0)))</f>
        <v/>
      </c>
      <c r="F435" s="8">
        <f>IF(ISNA(MATCH(422,Engine!$C$2:$C$1960,0)),"",INDEX('Compliance Database'!$F$2:$F$1960,MATCH(422,Engine!$C$2:$C$1960,0)))</f>
        <v/>
      </c>
      <c r="G435" s="8">
        <f>IF(ISNA(MATCH(422,Engine!$C$2:$C$1960,0)),"",INDEX('Compliance Database'!$G$2:$G$1960,MATCH(422,Engine!$C$2:$C$1960,0)))</f>
        <v/>
      </c>
      <c r="H435" s="9">
        <f>IF(ISNA(MATCH(422,Engine!$C$2:$C$1960,0)),"",INDEX('Compliance Database'!$H$2:$H$1960,MATCH(422,Engine!$C$2:$C$1960,0)))</f>
        <v/>
      </c>
      <c r="I435" s="9">
        <f>IF(ISNA(MATCH(422,Engine!$C$2:$C$1960,0)),"",INDEX('Compliance Database'!$I$2:$I$1960,MATCH(422,Engine!$C$2:$C$1960,0)))</f>
        <v/>
      </c>
      <c r="J435" s="8">
        <f>IF(ISNA(MATCH(422,Engine!$C$2:$C$1960,0)),"",INDEX('Compliance Database'!$J$2:$J$1960,MATCH(422,Engine!$C$2:$C$1960,0)))</f>
        <v/>
      </c>
      <c r="K435" s="9">
        <f>IF(ISNA(MATCH(422,Engine!$C$2:$C$1960,0)),"",INDEX('Compliance Database'!$K$2:$K$1960,MATCH(422,Engine!$C$2:$C$1960,0)))</f>
        <v/>
      </c>
      <c r="L435" s="9">
        <f>IF(ISNA(MATCH(422,Engine!$C$2:$C$1960,0)),"",INDEX('Compliance Database'!$L$2:$L$1960,MATCH(422,Engine!$C$2:$C$1960,0)))</f>
        <v/>
      </c>
      <c r="M435" s="9">
        <f>IF(ISNA(MATCH(422,Engine!$C$2:$C$1960,0)),"",INDEX('Compliance Database'!$M$2:$M$1960,MATCH(422,Engine!$C$2:$C$1960,0)))</f>
        <v/>
      </c>
      <c r="N435" s="9">
        <f>IF(ISNA(MATCH(422,Engine!$C$2:$C$1960,0)),"",INDEX('Compliance Database'!$N$2:$N$1960,MATCH(422,Engine!$C$2:$C$1960,0)))</f>
        <v/>
      </c>
      <c r="O435" s="9">
        <f>IF(ISNA(MATCH(422,Engine!$C$2:$C$1960,0)),"",INDEX('Compliance Database'!$O$2:$O$1960,MATCH(422,Engine!$C$2:$C$1960,0)))</f>
        <v/>
      </c>
      <c r="P435" s="8">
        <f>IF(ISNA(MATCH(422,Engine!$C$2:$C$1960,0)),"",HYPERLINK("#Acts!A"&amp;INDEX('Compliance Database'!$P$2:$P$1960,MATCH(422,Engine!$C$2:$C$1960,0)),"Go to Act"))</f>
        <v/>
      </c>
    </row>
    <row r="436" ht="158" customHeight="1">
      <c r="A436" s="8">
        <f>IF(ISNA(MATCH(423,Engine!$C$2:$C$1960,0)),"",INDEX('Compliance Database'!$A$2:$A$1960,MATCH(423,Engine!$C$2:$C$1960,0)))</f>
        <v/>
      </c>
      <c r="B436" s="8">
        <f>IF(ISNA(MATCH(423,Engine!$C$2:$C$1960,0)),"",INDEX('Compliance Database'!$B$2:$B$1960,MATCH(423,Engine!$C$2:$C$1960,0)))</f>
        <v/>
      </c>
      <c r="C436" s="8">
        <f>IF(ISNA(MATCH(423,Engine!$C$2:$C$1960,0)),"",INDEX('Compliance Database'!$C$2:$C$1960,MATCH(423,Engine!$C$2:$C$1960,0)))</f>
        <v/>
      </c>
      <c r="D436" s="9">
        <f>IF(ISNA(MATCH(423,Engine!$C$2:$C$1960,0)),"",INDEX('Compliance Database'!$D$2:$D$1960,MATCH(423,Engine!$C$2:$C$1960,0)))</f>
        <v/>
      </c>
      <c r="E436" s="8">
        <f>IF(ISNA(MATCH(423,Engine!$C$2:$C$1960,0)),"",INDEX('Compliance Database'!$E$2:$E$1960,MATCH(423,Engine!$C$2:$C$1960,0)))</f>
        <v/>
      </c>
      <c r="F436" s="8">
        <f>IF(ISNA(MATCH(423,Engine!$C$2:$C$1960,0)),"",INDEX('Compliance Database'!$F$2:$F$1960,MATCH(423,Engine!$C$2:$C$1960,0)))</f>
        <v/>
      </c>
      <c r="G436" s="8">
        <f>IF(ISNA(MATCH(423,Engine!$C$2:$C$1960,0)),"",INDEX('Compliance Database'!$G$2:$G$1960,MATCH(423,Engine!$C$2:$C$1960,0)))</f>
        <v/>
      </c>
      <c r="H436" s="9">
        <f>IF(ISNA(MATCH(423,Engine!$C$2:$C$1960,0)),"",INDEX('Compliance Database'!$H$2:$H$1960,MATCH(423,Engine!$C$2:$C$1960,0)))</f>
        <v/>
      </c>
      <c r="I436" s="9">
        <f>IF(ISNA(MATCH(423,Engine!$C$2:$C$1960,0)),"",INDEX('Compliance Database'!$I$2:$I$1960,MATCH(423,Engine!$C$2:$C$1960,0)))</f>
        <v/>
      </c>
      <c r="J436" s="8">
        <f>IF(ISNA(MATCH(423,Engine!$C$2:$C$1960,0)),"",INDEX('Compliance Database'!$J$2:$J$1960,MATCH(423,Engine!$C$2:$C$1960,0)))</f>
        <v/>
      </c>
      <c r="K436" s="9">
        <f>IF(ISNA(MATCH(423,Engine!$C$2:$C$1960,0)),"",INDEX('Compliance Database'!$K$2:$K$1960,MATCH(423,Engine!$C$2:$C$1960,0)))</f>
        <v/>
      </c>
      <c r="L436" s="9">
        <f>IF(ISNA(MATCH(423,Engine!$C$2:$C$1960,0)),"",INDEX('Compliance Database'!$L$2:$L$1960,MATCH(423,Engine!$C$2:$C$1960,0)))</f>
        <v/>
      </c>
      <c r="M436" s="9">
        <f>IF(ISNA(MATCH(423,Engine!$C$2:$C$1960,0)),"",INDEX('Compliance Database'!$M$2:$M$1960,MATCH(423,Engine!$C$2:$C$1960,0)))</f>
        <v/>
      </c>
      <c r="N436" s="9">
        <f>IF(ISNA(MATCH(423,Engine!$C$2:$C$1960,0)),"",INDEX('Compliance Database'!$N$2:$N$1960,MATCH(423,Engine!$C$2:$C$1960,0)))</f>
        <v/>
      </c>
      <c r="O436" s="9">
        <f>IF(ISNA(MATCH(423,Engine!$C$2:$C$1960,0)),"",INDEX('Compliance Database'!$O$2:$O$1960,MATCH(423,Engine!$C$2:$C$1960,0)))</f>
        <v/>
      </c>
      <c r="P436" s="8">
        <f>IF(ISNA(MATCH(423,Engine!$C$2:$C$1960,0)),"",HYPERLINK("#Acts!A"&amp;INDEX('Compliance Database'!$P$2:$P$1960,MATCH(423,Engine!$C$2:$C$1960,0)),"Go to Act"))</f>
        <v/>
      </c>
    </row>
    <row r="437" ht="158" customHeight="1">
      <c r="A437" s="8">
        <f>IF(ISNA(MATCH(424,Engine!$C$2:$C$1960,0)),"",INDEX('Compliance Database'!$A$2:$A$1960,MATCH(424,Engine!$C$2:$C$1960,0)))</f>
        <v/>
      </c>
      <c r="B437" s="8">
        <f>IF(ISNA(MATCH(424,Engine!$C$2:$C$1960,0)),"",INDEX('Compliance Database'!$B$2:$B$1960,MATCH(424,Engine!$C$2:$C$1960,0)))</f>
        <v/>
      </c>
      <c r="C437" s="8">
        <f>IF(ISNA(MATCH(424,Engine!$C$2:$C$1960,0)),"",INDEX('Compliance Database'!$C$2:$C$1960,MATCH(424,Engine!$C$2:$C$1960,0)))</f>
        <v/>
      </c>
      <c r="D437" s="9">
        <f>IF(ISNA(MATCH(424,Engine!$C$2:$C$1960,0)),"",INDEX('Compliance Database'!$D$2:$D$1960,MATCH(424,Engine!$C$2:$C$1960,0)))</f>
        <v/>
      </c>
      <c r="E437" s="8">
        <f>IF(ISNA(MATCH(424,Engine!$C$2:$C$1960,0)),"",INDEX('Compliance Database'!$E$2:$E$1960,MATCH(424,Engine!$C$2:$C$1960,0)))</f>
        <v/>
      </c>
      <c r="F437" s="8">
        <f>IF(ISNA(MATCH(424,Engine!$C$2:$C$1960,0)),"",INDEX('Compliance Database'!$F$2:$F$1960,MATCH(424,Engine!$C$2:$C$1960,0)))</f>
        <v/>
      </c>
      <c r="G437" s="8">
        <f>IF(ISNA(MATCH(424,Engine!$C$2:$C$1960,0)),"",INDEX('Compliance Database'!$G$2:$G$1960,MATCH(424,Engine!$C$2:$C$1960,0)))</f>
        <v/>
      </c>
      <c r="H437" s="9">
        <f>IF(ISNA(MATCH(424,Engine!$C$2:$C$1960,0)),"",INDEX('Compliance Database'!$H$2:$H$1960,MATCH(424,Engine!$C$2:$C$1960,0)))</f>
        <v/>
      </c>
      <c r="I437" s="9">
        <f>IF(ISNA(MATCH(424,Engine!$C$2:$C$1960,0)),"",INDEX('Compliance Database'!$I$2:$I$1960,MATCH(424,Engine!$C$2:$C$1960,0)))</f>
        <v/>
      </c>
      <c r="J437" s="8">
        <f>IF(ISNA(MATCH(424,Engine!$C$2:$C$1960,0)),"",INDEX('Compliance Database'!$J$2:$J$1960,MATCH(424,Engine!$C$2:$C$1960,0)))</f>
        <v/>
      </c>
      <c r="K437" s="9">
        <f>IF(ISNA(MATCH(424,Engine!$C$2:$C$1960,0)),"",INDEX('Compliance Database'!$K$2:$K$1960,MATCH(424,Engine!$C$2:$C$1960,0)))</f>
        <v/>
      </c>
      <c r="L437" s="9">
        <f>IF(ISNA(MATCH(424,Engine!$C$2:$C$1960,0)),"",INDEX('Compliance Database'!$L$2:$L$1960,MATCH(424,Engine!$C$2:$C$1960,0)))</f>
        <v/>
      </c>
      <c r="M437" s="9">
        <f>IF(ISNA(MATCH(424,Engine!$C$2:$C$1960,0)),"",INDEX('Compliance Database'!$M$2:$M$1960,MATCH(424,Engine!$C$2:$C$1960,0)))</f>
        <v/>
      </c>
      <c r="N437" s="9">
        <f>IF(ISNA(MATCH(424,Engine!$C$2:$C$1960,0)),"",INDEX('Compliance Database'!$N$2:$N$1960,MATCH(424,Engine!$C$2:$C$1960,0)))</f>
        <v/>
      </c>
      <c r="O437" s="9">
        <f>IF(ISNA(MATCH(424,Engine!$C$2:$C$1960,0)),"",INDEX('Compliance Database'!$O$2:$O$1960,MATCH(424,Engine!$C$2:$C$1960,0)))</f>
        <v/>
      </c>
      <c r="P437" s="8">
        <f>IF(ISNA(MATCH(424,Engine!$C$2:$C$1960,0)),"",HYPERLINK("#Acts!A"&amp;INDEX('Compliance Database'!$P$2:$P$1960,MATCH(424,Engine!$C$2:$C$1960,0)),"Go to Act"))</f>
        <v/>
      </c>
    </row>
    <row r="438" ht="158" customHeight="1">
      <c r="A438" s="8">
        <f>IF(ISNA(MATCH(425,Engine!$C$2:$C$1960,0)),"",INDEX('Compliance Database'!$A$2:$A$1960,MATCH(425,Engine!$C$2:$C$1960,0)))</f>
        <v/>
      </c>
      <c r="B438" s="8">
        <f>IF(ISNA(MATCH(425,Engine!$C$2:$C$1960,0)),"",INDEX('Compliance Database'!$B$2:$B$1960,MATCH(425,Engine!$C$2:$C$1960,0)))</f>
        <v/>
      </c>
      <c r="C438" s="8">
        <f>IF(ISNA(MATCH(425,Engine!$C$2:$C$1960,0)),"",INDEX('Compliance Database'!$C$2:$C$1960,MATCH(425,Engine!$C$2:$C$1960,0)))</f>
        <v/>
      </c>
      <c r="D438" s="9">
        <f>IF(ISNA(MATCH(425,Engine!$C$2:$C$1960,0)),"",INDEX('Compliance Database'!$D$2:$D$1960,MATCH(425,Engine!$C$2:$C$1960,0)))</f>
        <v/>
      </c>
      <c r="E438" s="8">
        <f>IF(ISNA(MATCH(425,Engine!$C$2:$C$1960,0)),"",INDEX('Compliance Database'!$E$2:$E$1960,MATCH(425,Engine!$C$2:$C$1960,0)))</f>
        <v/>
      </c>
      <c r="F438" s="8">
        <f>IF(ISNA(MATCH(425,Engine!$C$2:$C$1960,0)),"",INDEX('Compliance Database'!$F$2:$F$1960,MATCH(425,Engine!$C$2:$C$1960,0)))</f>
        <v/>
      </c>
      <c r="G438" s="8">
        <f>IF(ISNA(MATCH(425,Engine!$C$2:$C$1960,0)),"",INDEX('Compliance Database'!$G$2:$G$1960,MATCH(425,Engine!$C$2:$C$1960,0)))</f>
        <v/>
      </c>
      <c r="H438" s="9">
        <f>IF(ISNA(MATCH(425,Engine!$C$2:$C$1960,0)),"",INDEX('Compliance Database'!$H$2:$H$1960,MATCH(425,Engine!$C$2:$C$1960,0)))</f>
        <v/>
      </c>
      <c r="I438" s="9">
        <f>IF(ISNA(MATCH(425,Engine!$C$2:$C$1960,0)),"",INDEX('Compliance Database'!$I$2:$I$1960,MATCH(425,Engine!$C$2:$C$1960,0)))</f>
        <v/>
      </c>
      <c r="J438" s="8">
        <f>IF(ISNA(MATCH(425,Engine!$C$2:$C$1960,0)),"",INDEX('Compliance Database'!$J$2:$J$1960,MATCH(425,Engine!$C$2:$C$1960,0)))</f>
        <v/>
      </c>
      <c r="K438" s="9">
        <f>IF(ISNA(MATCH(425,Engine!$C$2:$C$1960,0)),"",INDEX('Compliance Database'!$K$2:$K$1960,MATCH(425,Engine!$C$2:$C$1960,0)))</f>
        <v/>
      </c>
      <c r="L438" s="9">
        <f>IF(ISNA(MATCH(425,Engine!$C$2:$C$1960,0)),"",INDEX('Compliance Database'!$L$2:$L$1960,MATCH(425,Engine!$C$2:$C$1960,0)))</f>
        <v/>
      </c>
      <c r="M438" s="9">
        <f>IF(ISNA(MATCH(425,Engine!$C$2:$C$1960,0)),"",INDEX('Compliance Database'!$M$2:$M$1960,MATCH(425,Engine!$C$2:$C$1960,0)))</f>
        <v/>
      </c>
      <c r="N438" s="9">
        <f>IF(ISNA(MATCH(425,Engine!$C$2:$C$1960,0)),"",INDEX('Compliance Database'!$N$2:$N$1960,MATCH(425,Engine!$C$2:$C$1960,0)))</f>
        <v/>
      </c>
      <c r="O438" s="9">
        <f>IF(ISNA(MATCH(425,Engine!$C$2:$C$1960,0)),"",INDEX('Compliance Database'!$O$2:$O$1960,MATCH(425,Engine!$C$2:$C$1960,0)))</f>
        <v/>
      </c>
      <c r="P438" s="8">
        <f>IF(ISNA(MATCH(425,Engine!$C$2:$C$1960,0)),"",HYPERLINK("#Acts!A"&amp;INDEX('Compliance Database'!$P$2:$P$1960,MATCH(425,Engine!$C$2:$C$1960,0)),"Go to Act"))</f>
        <v/>
      </c>
    </row>
    <row r="439" ht="158" customHeight="1">
      <c r="A439" s="8">
        <f>IF(ISNA(MATCH(426,Engine!$C$2:$C$1960,0)),"",INDEX('Compliance Database'!$A$2:$A$1960,MATCH(426,Engine!$C$2:$C$1960,0)))</f>
        <v/>
      </c>
      <c r="B439" s="8">
        <f>IF(ISNA(MATCH(426,Engine!$C$2:$C$1960,0)),"",INDEX('Compliance Database'!$B$2:$B$1960,MATCH(426,Engine!$C$2:$C$1960,0)))</f>
        <v/>
      </c>
      <c r="C439" s="8">
        <f>IF(ISNA(MATCH(426,Engine!$C$2:$C$1960,0)),"",INDEX('Compliance Database'!$C$2:$C$1960,MATCH(426,Engine!$C$2:$C$1960,0)))</f>
        <v/>
      </c>
      <c r="D439" s="9">
        <f>IF(ISNA(MATCH(426,Engine!$C$2:$C$1960,0)),"",INDEX('Compliance Database'!$D$2:$D$1960,MATCH(426,Engine!$C$2:$C$1960,0)))</f>
        <v/>
      </c>
      <c r="E439" s="8">
        <f>IF(ISNA(MATCH(426,Engine!$C$2:$C$1960,0)),"",INDEX('Compliance Database'!$E$2:$E$1960,MATCH(426,Engine!$C$2:$C$1960,0)))</f>
        <v/>
      </c>
      <c r="F439" s="8">
        <f>IF(ISNA(MATCH(426,Engine!$C$2:$C$1960,0)),"",INDEX('Compliance Database'!$F$2:$F$1960,MATCH(426,Engine!$C$2:$C$1960,0)))</f>
        <v/>
      </c>
      <c r="G439" s="8">
        <f>IF(ISNA(MATCH(426,Engine!$C$2:$C$1960,0)),"",INDEX('Compliance Database'!$G$2:$G$1960,MATCH(426,Engine!$C$2:$C$1960,0)))</f>
        <v/>
      </c>
      <c r="H439" s="9">
        <f>IF(ISNA(MATCH(426,Engine!$C$2:$C$1960,0)),"",INDEX('Compliance Database'!$H$2:$H$1960,MATCH(426,Engine!$C$2:$C$1960,0)))</f>
        <v/>
      </c>
      <c r="I439" s="9">
        <f>IF(ISNA(MATCH(426,Engine!$C$2:$C$1960,0)),"",INDEX('Compliance Database'!$I$2:$I$1960,MATCH(426,Engine!$C$2:$C$1960,0)))</f>
        <v/>
      </c>
      <c r="J439" s="8">
        <f>IF(ISNA(MATCH(426,Engine!$C$2:$C$1960,0)),"",INDEX('Compliance Database'!$J$2:$J$1960,MATCH(426,Engine!$C$2:$C$1960,0)))</f>
        <v/>
      </c>
      <c r="K439" s="9">
        <f>IF(ISNA(MATCH(426,Engine!$C$2:$C$1960,0)),"",INDEX('Compliance Database'!$K$2:$K$1960,MATCH(426,Engine!$C$2:$C$1960,0)))</f>
        <v/>
      </c>
      <c r="L439" s="9">
        <f>IF(ISNA(MATCH(426,Engine!$C$2:$C$1960,0)),"",INDEX('Compliance Database'!$L$2:$L$1960,MATCH(426,Engine!$C$2:$C$1960,0)))</f>
        <v/>
      </c>
      <c r="M439" s="9">
        <f>IF(ISNA(MATCH(426,Engine!$C$2:$C$1960,0)),"",INDEX('Compliance Database'!$M$2:$M$1960,MATCH(426,Engine!$C$2:$C$1960,0)))</f>
        <v/>
      </c>
      <c r="N439" s="9">
        <f>IF(ISNA(MATCH(426,Engine!$C$2:$C$1960,0)),"",INDEX('Compliance Database'!$N$2:$N$1960,MATCH(426,Engine!$C$2:$C$1960,0)))</f>
        <v/>
      </c>
      <c r="O439" s="9">
        <f>IF(ISNA(MATCH(426,Engine!$C$2:$C$1960,0)),"",INDEX('Compliance Database'!$O$2:$O$1960,MATCH(426,Engine!$C$2:$C$1960,0)))</f>
        <v/>
      </c>
      <c r="P439" s="8">
        <f>IF(ISNA(MATCH(426,Engine!$C$2:$C$1960,0)),"",HYPERLINK("#Acts!A"&amp;INDEX('Compliance Database'!$P$2:$P$1960,MATCH(426,Engine!$C$2:$C$1960,0)),"Go to Act"))</f>
        <v/>
      </c>
    </row>
    <row r="440" ht="158" customHeight="1">
      <c r="A440" s="8">
        <f>IF(ISNA(MATCH(427,Engine!$C$2:$C$1960,0)),"",INDEX('Compliance Database'!$A$2:$A$1960,MATCH(427,Engine!$C$2:$C$1960,0)))</f>
        <v/>
      </c>
      <c r="B440" s="8">
        <f>IF(ISNA(MATCH(427,Engine!$C$2:$C$1960,0)),"",INDEX('Compliance Database'!$B$2:$B$1960,MATCH(427,Engine!$C$2:$C$1960,0)))</f>
        <v/>
      </c>
      <c r="C440" s="8">
        <f>IF(ISNA(MATCH(427,Engine!$C$2:$C$1960,0)),"",INDEX('Compliance Database'!$C$2:$C$1960,MATCH(427,Engine!$C$2:$C$1960,0)))</f>
        <v/>
      </c>
      <c r="D440" s="9">
        <f>IF(ISNA(MATCH(427,Engine!$C$2:$C$1960,0)),"",INDEX('Compliance Database'!$D$2:$D$1960,MATCH(427,Engine!$C$2:$C$1960,0)))</f>
        <v/>
      </c>
      <c r="E440" s="8">
        <f>IF(ISNA(MATCH(427,Engine!$C$2:$C$1960,0)),"",INDEX('Compliance Database'!$E$2:$E$1960,MATCH(427,Engine!$C$2:$C$1960,0)))</f>
        <v/>
      </c>
      <c r="F440" s="8">
        <f>IF(ISNA(MATCH(427,Engine!$C$2:$C$1960,0)),"",INDEX('Compliance Database'!$F$2:$F$1960,MATCH(427,Engine!$C$2:$C$1960,0)))</f>
        <v/>
      </c>
      <c r="G440" s="8">
        <f>IF(ISNA(MATCH(427,Engine!$C$2:$C$1960,0)),"",INDEX('Compliance Database'!$G$2:$G$1960,MATCH(427,Engine!$C$2:$C$1960,0)))</f>
        <v/>
      </c>
      <c r="H440" s="9">
        <f>IF(ISNA(MATCH(427,Engine!$C$2:$C$1960,0)),"",INDEX('Compliance Database'!$H$2:$H$1960,MATCH(427,Engine!$C$2:$C$1960,0)))</f>
        <v/>
      </c>
      <c r="I440" s="9">
        <f>IF(ISNA(MATCH(427,Engine!$C$2:$C$1960,0)),"",INDEX('Compliance Database'!$I$2:$I$1960,MATCH(427,Engine!$C$2:$C$1960,0)))</f>
        <v/>
      </c>
      <c r="J440" s="8">
        <f>IF(ISNA(MATCH(427,Engine!$C$2:$C$1960,0)),"",INDEX('Compliance Database'!$J$2:$J$1960,MATCH(427,Engine!$C$2:$C$1960,0)))</f>
        <v/>
      </c>
      <c r="K440" s="9">
        <f>IF(ISNA(MATCH(427,Engine!$C$2:$C$1960,0)),"",INDEX('Compliance Database'!$K$2:$K$1960,MATCH(427,Engine!$C$2:$C$1960,0)))</f>
        <v/>
      </c>
      <c r="L440" s="9">
        <f>IF(ISNA(MATCH(427,Engine!$C$2:$C$1960,0)),"",INDEX('Compliance Database'!$L$2:$L$1960,MATCH(427,Engine!$C$2:$C$1960,0)))</f>
        <v/>
      </c>
      <c r="M440" s="9">
        <f>IF(ISNA(MATCH(427,Engine!$C$2:$C$1960,0)),"",INDEX('Compliance Database'!$M$2:$M$1960,MATCH(427,Engine!$C$2:$C$1960,0)))</f>
        <v/>
      </c>
      <c r="N440" s="9">
        <f>IF(ISNA(MATCH(427,Engine!$C$2:$C$1960,0)),"",INDEX('Compliance Database'!$N$2:$N$1960,MATCH(427,Engine!$C$2:$C$1960,0)))</f>
        <v/>
      </c>
      <c r="O440" s="9">
        <f>IF(ISNA(MATCH(427,Engine!$C$2:$C$1960,0)),"",INDEX('Compliance Database'!$O$2:$O$1960,MATCH(427,Engine!$C$2:$C$1960,0)))</f>
        <v/>
      </c>
      <c r="P440" s="8">
        <f>IF(ISNA(MATCH(427,Engine!$C$2:$C$1960,0)),"",HYPERLINK("#Acts!A"&amp;INDEX('Compliance Database'!$P$2:$P$1960,MATCH(427,Engine!$C$2:$C$1960,0)),"Go to Act"))</f>
        <v/>
      </c>
    </row>
    <row r="441" ht="158" customHeight="1">
      <c r="A441" s="8">
        <f>IF(ISNA(MATCH(428,Engine!$C$2:$C$1960,0)),"",INDEX('Compliance Database'!$A$2:$A$1960,MATCH(428,Engine!$C$2:$C$1960,0)))</f>
        <v/>
      </c>
      <c r="B441" s="8">
        <f>IF(ISNA(MATCH(428,Engine!$C$2:$C$1960,0)),"",INDEX('Compliance Database'!$B$2:$B$1960,MATCH(428,Engine!$C$2:$C$1960,0)))</f>
        <v/>
      </c>
      <c r="C441" s="8">
        <f>IF(ISNA(MATCH(428,Engine!$C$2:$C$1960,0)),"",INDEX('Compliance Database'!$C$2:$C$1960,MATCH(428,Engine!$C$2:$C$1960,0)))</f>
        <v/>
      </c>
      <c r="D441" s="9">
        <f>IF(ISNA(MATCH(428,Engine!$C$2:$C$1960,0)),"",INDEX('Compliance Database'!$D$2:$D$1960,MATCH(428,Engine!$C$2:$C$1960,0)))</f>
        <v/>
      </c>
      <c r="E441" s="8">
        <f>IF(ISNA(MATCH(428,Engine!$C$2:$C$1960,0)),"",INDEX('Compliance Database'!$E$2:$E$1960,MATCH(428,Engine!$C$2:$C$1960,0)))</f>
        <v/>
      </c>
      <c r="F441" s="8">
        <f>IF(ISNA(MATCH(428,Engine!$C$2:$C$1960,0)),"",INDEX('Compliance Database'!$F$2:$F$1960,MATCH(428,Engine!$C$2:$C$1960,0)))</f>
        <v/>
      </c>
      <c r="G441" s="8">
        <f>IF(ISNA(MATCH(428,Engine!$C$2:$C$1960,0)),"",INDEX('Compliance Database'!$G$2:$G$1960,MATCH(428,Engine!$C$2:$C$1960,0)))</f>
        <v/>
      </c>
      <c r="H441" s="9">
        <f>IF(ISNA(MATCH(428,Engine!$C$2:$C$1960,0)),"",INDEX('Compliance Database'!$H$2:$H$1960,MATCH(428,Engine!$C$2:$C$1960,0)))</f>
        <v/>
      </c>
      <c r="I441" s="9">
        <f>IF(ISNA(MATCH(428,Engine!$C$2:$C$1960,0)),"",INDEX('Compliance Database'!$I$2:$I$1960,MATCH(428,Engine!$C$2:$C$1960,0)))</f>
        <v/>
      </c>
      <c r="J441" s="8">
        <f>IF(ISNA(MATCH(428,Engine!$C$2:$C$1960,0)),"",INDEX('Compliance Database'!$J$2:$J$1960,MATCH(428,Engine!$C$2:$C$1960,0)))</f>
        <v/>
      </c>
      <c r="K441" s="9">
        <f>IF(ISNA(MATCH(428,Engine!$C$2:$C$1960,0)),"",INDEX('Compliance Database'!$K$2:$K$1960,MATCH(428,Engine!$C$2:$C$1960,0)))</f>
        <v/>
      </c>
      <c r="L441" s="9">
        <f>IF(ISNA(MATCH(428,Engine!$C$2:$C$1960,0)),"",INDEX('Compliance Database'!$L$2:$L$1960,MATCH(428,Engine!$C$2:$C$1960,0)))</f>
        <v/>
      </c>
      <c r="M441" s="9">
        <f>IF(ISNA(MATCH(428,Engine!$C$2:$C$1960,0)),"",INDEX('Compliance Database'!$M$2:$M$1960,MATCH(428,Engine!$C$2:$C$1960,0)))</f>
        <v/>
      </c>
      <c r="N441" s="9">
        <f>IF(ISNA(MATCH(428,Engine!$C$2:$C$1960,0)),"",INDEX('Compliance Database'!$N$2:$N$1960,MATCH(428,Engine!$C$2:$C$1960,0)))</f>
        <v/>
      </c>
      <c r="O441" s="9">
        <f>IF(ISNA(MATCH(428,Engine!$C$2:$C$1960,0)),"",INDEX('Compliance Database'!$O$2:$O$1960,MATCH(428,Engine!$C$2:$C$1960,0)))</f>
        <v/>
      </c>
      <c r="P441" s="8">
        <f>IF(ISNA(MATCH(428,Engine!$C$2:$C$1960,0)),"",HYPERLINK("#Acts!A"&amp;INDEX('Compliance Database'!$P$2:$P$1960,MATCH(428,Engine!$C$2:$C$1960,0)),"Go to Act"))</f>
        <v/>
      </c>
    </row>
    <row r="442" ht="158" customHeight="1">
      <c r="A442" s="8">
        <f>IF(ISNA(MATCH(429,Engine!$C$2:$C$1960,0)),"",INDEX('Compliance Database'!$A$2:$A$1960,MATCH(429,Engine!$C$2:$C$1960,0)))</f>
        <v/>
      </c>
      <c r="B442" s="8">
        <f>IF(ISNA(MATCH(429,Engine!$C$2:$C$1960,0)),"",INDEX('Compliance Database'!$B$2:$B$1960,MATCH(429,Engine!$C$2:$C$1960,0)))</f>
        <v/>
      </c>
      <c r="C442" s="8">
        <f>IF(ISNA(MATCH(429,Engine!$C$2:$C$1960,0)),"",INDEX('Compliance Database'!$C$2:$C$1960,MATCH(429,Engine!$C$2:$C$1960,0)))</f>
        <v/>
      </c>
      <c r="D442" s="9">
        <f>IF(ISNA(MATCH(429,Engine!$C$2:$C$1960,0)),"",INDEX('Compliance Database'!$D$2:$D$1960,MATCH(429,Engine!$C$2:$C$1960,0)))</f>
        <v/>
      </c>
      <c r="E442" s="8">
        <f>IF(ISNA(MATCH(429,Engine!$C$2:$C$1960,0)),"",INDEX('Compliance Database'!$E$2:$E$1960,MATCH(429,Engine!$C$2:$C$1960,0)))</f>
        <v/>
      </c>
      <c r="F442" s="8">
        <f>IF(ISNA(MATCH(429,Engine!$C$2:$C$1960,0)),"",INDEX('Compliance Database'!$F$2:$F$1960,MATCH(429,Engine!$C$2:$C$1960,0)))</f>
        <v/>
      </c>
      <c r="G442" s="8">
        <f>IF(ISNA(MATCH(429,Engine!$C$2:$C$1960,0)),"",INDEX('Compliance Database'!$G$2:$G$1960,MATCH(429,Engine!$C$2:$C$1960,0)))</f>
        <v/>
      </c>
      <c r="H442" s="9">
        <f>IF(ISNA(MATCH(429,Engine!$C$2:$C$1960,0)),"",INDEX('Compliance Database'!$H$2:$H$1960,MATCH(429,Engine!$C$2:$C$1960,0)))</f>
        <v/>
      </c>
      <c r="I442" s="9">
        <f>IF(ISNA(MATCH(429,Engine!$C$2:$C$1960,0)),"",INDEX('Compliance Database'!$I$2:$I$1960,MATCH(429,Engine!$C$2:$C$1960,0)))</f>
        <v/>
      </c>
      <c r="J442" s="8">
        <f>IF(ISNA(MATCH(429,Engine!$C$2:$C$1960,0)),"",INDEX('Compliance Database'!$J$2:$J$1960,MATCH(429,Engine!$C$2:$C$1960,0)))</f>
        <v/>
      </c>
      <c r="K442" s="9">
        <f>IF(ISNA(MATCH(429,Engine!$C$2:$C$1960,0)),"",INDEX('Compliance Database'!$K$2:$K$1960,MATCH(429,Engine!$C$2:$C$1960,0)))</f>
        <v/>
      </c>
      <c r="L442" s="9">
        <f>IF(ISNA(MATCH(429,Engine!$C$2:$C$1960,0)),"",INDEX('Compliance Database'!$L$2:$L$1960,MATCH(429,Engine!$C$2:$C$1960,0)))</f>
        <v/>
      </c>
      <c r="M442" s="9">
        <f>IF(ISNA(MATCH(429,Engine!$C$2:$C$1960,0)),"",INDEX('Compliance Database'!$M$2:$M$1960,MATCH(429,Engine!$C$2:$C$1960,0)))</f>
        <v/>
      </c>
      <c r="N442" s="9">
        <f>IF(ISNA(MATCH(429,Engine!$C$2:$C$1960,0)),"",INDEX('Compliance Database'!$N$2:$N$1960,MATCH(429,Engine!$C$2:$C$1960,0)))</f>
        <v/>
      </c>
      <c r="O442" s="9">
        <f>IF(ISNA(MATCH(429,Engine!$C$2:$C$1960,0)),"",INDEX('Compliance Database'!$O$2:$O$1960,MATCH(429,Engine!$C$2:$C$1960,0)))</f>
        <v/>
      </c>
      <c r="P442" s="8">
        <f>IF(ISNA(MATCH(429,Engine!$C$2:$C$1960,0)),"",HYPERLINK("#Acts!A"&amp;INDEX('Compliance Database'!$P$2:$P$1960,MATCH(429,Engine!$C$2:$C$1960,0)),"Go to Act"))</f>
        <v/>
      </c>
    </row>
    <row r="443" ht="158" customHeight="1">
      <c r="A443" s="8">
        <f>IF(ISNA(MATCH(430,Engine!$C$2:$C$1960,0)),"",INDEX('Compliance Database'!$A$2:$A$1960,MATCH(430,Engine!$C$2:$C$1960,0)))</f>
        <v/>
      </c>
      <c r="B443" s="8">
        <f>IF(ISNA(MATCH(430,Engine!$C$2:$C$1960,0)),"",INDEX('Compliance Database'!$B$2:$B$1960,MATCH(430,Engine!$C$2:$C$1960,0)))</f>
        <v/>
      </c>
      <c r="C443" s="8">
        <f>IF(ISNA(MATCH(430,Engine!$C$2:$C$1960,0)),"",INDEX('Compliance Database'!$C$2:$C$1960,MATCH(430,Engine!$C$2:$C$1960,0)))</f>
        <v/>
      </c>
      <c r="D443" s="9">
        <f>IF(ISNA(MATCH(430,Engine!$C$2:$C$1960,0)),"",INDEX('Compliance Database'!$D$2:$D$1960,MATCH(430,Engine!$C$2:$C$1960,0)))</f>
        <v/>
      </c>
      <c r="E443" s="8">
        <f>IF(ISNA(MATCH(430,Engine!$C$2:$C$1960,0)),"",INDEX('Compliance Database'!$E$2:$E$1960,MATCH(430,Engine!$C$2:$C$1960,0)))</f>
        <v/>
      </c>
      <c r="F443" s="8">
        <f>IF(ISNA(MATCH(430,Engine!$C$2:$C$1960,0)),"",INDEX('Compliance Database'!$F$2:$F$1960,MATCH(430,Engine!$C$2:$C$1960,0)))</f>
        <v/>
      </c>
      <c r="G443" s="8">
        <f>IF(ISNA(MATCH(430,Engine!$C$2:$C$1960,0)),"",INDEX('Compliance Database'!$G$2:$G$1960,MATCH(430,Engine!$C$2:$C$1960,0)))</f>
        <v/>
      </c>
      <c r="H443" s="9">
        <f>IF(ISNA(MATCH(430,Engine!$C$2:$C$1960,0)),"",INDEX('Compliance Database'!$H$2:$H$1960,MATCH(430,Engine!$C$2:$C$1960,0)))</f>
        <v/>
      </c>
      <c r="I443" s="9">
        <f>IF(ISNA(MATCH(430,Engine!$C$2:$C$1960,0)),"",INDEX('Compliance Database'!$I$2:$I$1960,MATCH(430,Engine!$C$2:$C$1960,0)))</f>
        <v/>
      </c>
      <c r="J443" s="8">
        <f>IF(ISNA(MATCH(430,Engine!$C$2:$C$1960,0)),"",INDEX('Compliance Database'!$J$2:$J$1960,MATCH(430,Engine!$C$2:$C$1960,0)))</f>
        <v/>
      </c>
      <c r="K443" s="9">
        <f>IF(ISNA(MATCH(430,Engine!$C$2:$C$1960,0)),"",INDEX('Compliance Database'!$K$2:$K$1960,MATCH(430,Engine!$C$2:$C$1960,0)))</f>
        <v/>
      </c>
      <c r="L443" s="9">
        <f>IF(ISNA(MATCH(430,Engine!$C$2:$C$1960,0)),"",INDEX('Compliance Database'!$L$2:$L$1960,MATCH(430,Engine!$C$2:$C$1960,0)))</f>
        <v/>
      </c>
      <c r="M443" s="9">
        <f>IF(ISNA(MATCH(430,Engine!$C$2:$C$1960,0)),"",INDEX('Compliance Database'!$M$2:$M$1960,MATCH(430,Engine!$C$2:$C$1960,0)))</f>
        <v/>
      </c>
      <c r="N443" s="9">
        <f>IF(ISNA(MATCH(430,Engine!$C$2:$C$1960,0)),"",INDEX('Compliance Database'!$N$2:$N$1960,MATCH(430,Engine!$C$2:$C$1960,0)))</f>
        <v/>
      </c>
      <c r="O443" s="9">
        <f>IF(ISNA(MATCH(430,Engine!$C$2:$C$1960,0)),"",INDEX('Compliance Database'!$O$2:$O$1960,MATCH(430,Engine!$C$2:$C$1960,0)))</f>
        <v/>
      </c>
      <c r="P443" s="8">
        <f>IF(ISNA(MATCH(430,Engine!$C$2:$C$1960,0)),"",HYPERLINK("#Acts!A"&amp;INDEX('Compliance Database'!$P$2:$P$1960,MATCH(430,Engine!$C$2:$C$1960,0)),"Go to Act"))</f>
        <v/>
      </c>
    </row>
    <row r="444" ht="158" customHeight="1">
      <c r="A444" s="8">
        <f>IF(ISNA(MATCH(431,Engine!$C$2:$C$1960,0)),"",INDEX('Compliance Database'!$A$2:$A$1960,MATCH(431,Engine!$C$2:$C$1960,0)))</f>
        <v/>
      </c>
      <c r="B444" s="8">
        <f>IF(ISNA(MATCH(431,Engine!$C$2:$C$1960,0)),"",INDEX('Compliance Database'!$B$2:$B$1960,MATCH(431,Engine!$C$2:$C$1960,0)))</f>
        <v/>
      </c>
      <c r="C444" s="8">
        <f>IF(ISNA(MATCH(431,Engine!$C$2:$C$1960,0)),"",INDEX('Compliance Database'!$C$2:$C$1960,MATCH(431,Engine!$C$2:$C$1960,0)))</f>
        <v/>
      </c>
      <c r="D444" s="9">
        <f>IF(ISNA(MATCH(431,Engine!$C$2:$C$1960,0)),"",INDEX('Compliance Database'!$D$2:$D$1960,MATCH(431,Engine!$C$2:$C$1960,0)))</f>
        <v/>
      </c>
      <c r="E444" s="8">
        <f>IF(ISNA(MATCH(431,Engine!$C$2:$C$1960,0)),"",INDEX('Compliance Database'!$E$2:$E$1960,MATCH(431,Engine!$C$2:$C$1960,0)))</f>
        <v/>
      </c>
      <c r="F444" s="8">
        <f>IF(ISNA(MATCH(431,Engine!$C$2:$C$1960,0)),"",INDEX('Compliance Database'!$F$2:$F$1960,MATCH(431,Engine!$C$2:$C$1960,0)))</f>
        <v/>
      </c>
      <c r="G444" s="8">
        <f>IF(ISNA(MATCH(431,Engine!$C$2:$C$1960,0)),"",INDEX('Compliance Database'!$G$2:$G$1960,MATCH(431,Engine!$C$2:$C$1960,0)))</f>
        <v/>
      </c>
      <c r="H444" s="9">
        <f>IF(ISNA(MATCH(431,Engine!$C$2:$C$1960,0)),"",INDEX('Compliance Database'!$H$2:$H$1960,MATCH(431,Engine!$C$2:$C$1960,0)))</f>
        <v/>
      </c>
      <c r="I444" s="9">
        <f>IF(ISNA(MATCH(431,Engine!$C$2:$C$1960,0)),"",INDEX('Compliance Database'!$I$2:$I$1960,MATCH(431,Engine!$C$2:$C$1960,0)))</f>
        <v/>
      </c>
      <c r="J444" s="8">
        <f>IF(ISNA(MATCH(431,Engine!$C$2:$C$1960,0)),"",INDEX('Compliance Database'!$J$2:$J$1960,MATCH(431,Engine!$C$2:$C$1960,0)))</f>
        <v/>
      </c>
      <c r="K444" s="9">
        <f>IF(ISNA(MATCH(431,Engine!$C$2:$C$1960,0)),"",INDEX('Compliance Database'!$K$2:$K$1960,MATCH(431,Engine!$C$2:$C$1960,0)))</f>
        <v/>
      </c>
      <c r="L444" s="9">
        <f>IF(ISNA(MATCH(431,Engine!$C$2:$C$1960,0)),"",INDEX('Compliance Database'!$L$2:$L$1960,MATCH(431,Engine!$C$2:$C$1960,0)))</f>
        <v/>
      </c>
      <c r="M444" s="9">
        <f>IF(ISNA(MATCH(431,Engine!$C$2:$C$1960,0)),"",INDEX('Compliance Database'!$M$2:$M$1960,MATCH(431,Engine!$C$2:$C$1960,0)))</f>
        <v/>
      </c>
      <c r="N444" s="9">
        <f>IF(ISNA(MATCH(431,Engine!$C$2:$C$1960,0)),"",INDEX('Compliance Database'!$N$2:$N$1960,MATCH(431,Engine!$C$2:$C$1960,0)))</f>
        <v/>
      </c>
      <c r="O444" s="9">
        <f>IF(ISNA(MATCH(431,Engine!$C$2:$C$1960,0)),"",INDEX('Compliance Database'!$O$2:$O$1960,MATCH(431,Engine!$C$2:$C$1960,0)))</f>
        <v/>
      </c>
      <c r="P444" s="8">
        <f>IF(ISNA(MATCH(431,Engine!$C$2:$C$1960,0)),"",HYPERLINK("#Acts!A"&amp;INDEX('Compliance Database'!$P$2:$P$1960,MATCH(431,Engine!$C$2:$C$1960,0)),"Go to Act"))</f>
        <v/>
      </c>
    </row>
    <row r="445" ht="158" customHeight="1">
      <c r="A445" s="8">
        <f>IF(ISNA(MATCH(432,Engine!$C$2:$C$1960,0)),"",INDEX('Compliance Database'!$A$2:$A$1960,MATCH(432,Engine!$C$2:$C$1960,0)))</f>
        <v/>
      </c>
      <c r="B445" s="8">
        <f>IF(ISNA(MATCH(432,Engine!$C$2:$C$1960,0)),"",INDEX('Compliance Database'!$B$2:$B$1960,MATCH(432,Engine!$C$2:$C$1960,0)))</f>
        <v/>
      </c>
      <c r="C445" s="8">
        <f>IF(ISNA(MATCH(432,Engine!$C$2:$C$1960,0)),"",INDEX('Compliance Database'!$C$2:$C$1960,MATCH(432,Engine!$C$2:$C$1960,0)))</f>
        <v/>
      </c>
      <c r="D445" s="9">
        <f>IF(ISNA(MATCH(432,Engine!$C$2:$C$1960,0)),"",INDEX('Compliance Database'!$D$2:$D$1960,MATCH(432,Engine!$C$2:$C$1960,0)))</f>
        <v/>
      </c>
      <c r="E445" s="8">
        <f>IF(ISNA(MATCH(432,Engine!$C$2:$C$1960,0)),"",INDEX('Compliance Database'!$E$2:$E$1960,MATCH(432,Engine!$C$2:$C$1960,0)))</f>
        <v/>
      </c>
      <c r="F445" s="8">
        <f>IF(ISNA(MATCH(432,Engine!$C$2:$C$1960,0)),"",INDEX('Compliance Database'!$F$2:$F$1960,MATCH(432,Engine!$C$2:$C$1960,0)))</f>
        <v/>
      </c>
      <c r="G445" s="8">
        <f>IF(ISNA(MATCH(432,Engine!$C$2:$C$1960,0)),"",INDEX('Compliance Database'!$G$2:$G$1960,MATCH(432,Engine!$C$2:$C$1960,0)))</f>
        <v/>
      </c>
      <c r="H445" s="9">
        <f>IF(ISNA(MATCH(432,Engine!$C$2:$C$1960,0)),"",INDEX('Compliance Database'!$H$2:$H$1960,MATCH(432,Engine!$C$2:$C$1960,0)))</f>
        <v/>
      </c>
      <c r="I445" s="9">
        <f>IF(ISNA(MATCH(432,Engine!$C$2:$C$1960,0)),"",INDEX('Compliance Database'!$I$2:$I$1960,MATCH(432,Engine!$C$2:$C$1960,0)))</f>
        <v/>
      </c>
      <c r="J445" s="8">
        <f>IF(ISNA(MATCH(432,Engine!$C$2:$C$1960,0)),"",INDEX('Compliance Database'!$J$2:$J$1960,MATCH(432,Engine!$C$2:$C$1960,0)))</f>
        <v/>
      </c>
      <c r="K445" s="9">
        <f>IF(ISNA(MATCH(432,Engine!$C$2:$C$1960,0)),"",INDEX('Compliance Database'!$K$2:$K$1960,MATCH(432,Engine!$C$2:$C$1960,0)))</f>
        <v/>
      </c>
      <c r="L445" s="9">
        <f>IF(ISNA(MATCH(432,Engine!$C$2:$C$1960,0)),"",INDEX('Compliance Database'!$L$2:$L$1960,MATCH(432,Engine!$C$2:$C$1960,0)))</f>
        <v/>
      </c>
      <c r="M445" s="9">
        <f>IF(ISNA(MATCH(432,Engine!$C$2:$C$1960,0)),"",INDEX('Compliance Database'!$M$2:$M$1960,MATCH(432,Engine!$C$2:$C$1960,0)))</f>
        <v/>
      </c>
      <c r="N445" s="9">
        <f>IF(ISNA(MATCH(432,Engine!$C$2:$C$1960,0)),"",INDEX('Compliance Database'!$N$2:$N$1960,MATCH(432,Engine!$C$2:$C$1960,0)))</f>
        <v/>
      </c>
      <c r="O445" s="9">
        <f>IF(ISNA(MATCH(432,Engine!$C$2:$C$1960,0)),"",INDEX('Compliance Database'!$O$2:$O$1960,MATCH(432,Engine!$C$2:$C$1960,0)))</f>
        <v/>
      </c>
      <c r="P445" s="8">
        <f>IF(ISNA(MATCH(432,Engine!$C$2:$C$1960,0)),"",HYPERLINK("#Acts!A"&amp;INDEX('Compliance Database'!$P$2:$P$1960,MATCH(432,Engine!$C$2:$C$1960,0)),"Go to Act"))</f>
        <v/>
      </c>
    </row>
    <row r="446" ht="158" customHeight="1">
      <c r="A446" s="8">
        <f>IF(ISNA(MATCH(433,Engine!$C$2:$C$1960,0)),"",INDEX('Compliance Database'!$A$2:$A$1960,MATCH(433,Engine!$C$2:$C$1960,0)))</f>
        <v/>
      </c>
      <c r="B446" s="8">
        <f>IF(ISNA(MATCH(433,Engine!$C$2:$C$1960,0)),"",INDEX('Compliance Database'!$B$2:$B$1960,MATCH(433,Engine!$C$2:$C$1960,0)))</f>
        <v/>
      </c>
      <c r="C446" s="8">
        <f>IF(ISNA(MATCH(433,Engine!$C$2:$C$1960,0)),"",INDEX('Compliance Database'!$C$2:$C$1960,MATCH(433,Engine!$C$2:$C$1960,0)))</f>
        <v/>
      </c>
      <c r="D446" s="9">
        <f>IF(ISNA(MATCH(433,Engine!$C$2:$C$1960,0)),"",INDEX('Compliance Database'!$D$2:$D$1960,MATCH(433,Engine!$C$2:$C$1960,0)))</f>
        <v/>
      </c>
      <c r="E446" s="8">
        <f>IF(ISNA(MATCH(433,Engine!$C$2:$C$1960,0)),"",INDEX('Compliance Database'!$E$2:$E$1960,MATCH(433,Engine!$C$2:$C$1960,0)))</f>
        <v/>
      </c>
      <c r="F446" s="8">
        <f>IF(ISNA(MATCH(433,Engine!$C$2:$C$1960,0)),"",INDEX('Compliance Database'!$F$2:$F$1960,MATCH(433,Engine!$C$2:$C$1960,0)))</f>
        <v/>
      </c>
      <c r="G446" s="8">
        <f>IF(ISNA(MATCH(433,Engine!$C$2:$C$1960,0)),"",INDEX('Compliance Database'!$G$2:$G$1960,MATCH(433,Engine!$C$2:$C$1960,0)))</f>
        <v/>
      </c>
      <c r="H446" s="9">
        <f>IF(ISNA(MATCH(433,Engine!$C$2:$C$1960,0)),"",INDEX('Compliance Database'!$H$2:$H$1960,MATCH(433,Engine!$C$2:$C$1960,0)))</f>
        <v/>
      </c>
      <c r="I446" s="9">
        <f>IF(ISNA(MATCH(433,Engine!$C$2:$C$1960,0)),"",INDEX('Compliance Database'!$I$2:$I$1960,MATCH(433,Engine!$C$2:$C$1960,0)))</f>
        <v/>
      </c>
      <c r="J446" s="8">
        <f>IF(ISNA(MATCH(433,Engine!$C$2:$C$1960,0)),"",INDEX('Compliance Database'!$J$2:$J$1960,MATCH(433,Engine!$C$2:$C$1960,0)))</f>
        <v/>
      </c>
      <c r="K446" s="9">
        <f>IF(ISNA(MATCH(433,Engine!$C$2:$C$1960,0)),"",INDEX('Compliance Database'!$K$2:$K$1960,MATCH(433,Engine!$C$2:$C$1960,0)))</f>
        <v/>
      </c>
      <c r="L446" s="9">
        <f>IF(ISNA(MATCH(433,Engine!$C$2:$C$1960,0)),"",INDEX('Compliance Database'!$L$2:$L$1960,MATCH(433,Engine!$C$2:$C$1960,0)))</f>
        <v/>
      </c>
      <c r="M446" s="9">
        <f>IF(ISNA(MATCH(433,Engine!$C$2:$C$1960,0)),"",INDEX('Compliance Database'!$M$2:$M$1960,MATCH(433,Engine!$C$2:$C$1960,0)))</f>
        <v/>
      </c>
      <c r="N446" s="9">
        <f>IF(ISNA(MATCH(433,Engine!$C$2:$C$1960,0)),"",INDEX('Compliance Database'!$N$2:$N$1960,MATCH(433,Engine!$C$2:$C$1960,0)))</f>
        <v/>
      </c>
      <c r="O446" s="9">
        <f>IF(ISNA(MATCH(433,Engine!$C$2:$C$1960,0)),"",INDEX('Compliance Database'!$O$2:$O$1960,MATCH(433,Engine!$C$2:$C$1960,0)))</f>
        <v/>
      </c>
      <c r="P446" s="8">
        <f>IF(ISNA(MATCH(433,Engine!$C$2:$C$1960,0)),"",HYPERLINK("#Acts!A"&amp;INDEX('Compliance Database'!$P$2:$P$1960,MATCH(433,Engine!$C$2:$C$1960,0)),"Go to Act"))</f>
        <v/>
      </c>
    </row>
    <row r="447" ht="158" customHeight="1">
      <c r="A447" s="8">
        <f>IF(ISNA(MATCH(434,Engine!$C$2:$C$1960,0)),"",INDEX('Compliance Database'!$A$2:$A$1960,MATCH(434,Engine!$C$2:$C$1960,0)))</f>
        <v/>
      </c>
      <c r="B447" s="8">
        <f>IF(ISNA(MATCH(434,Engine!$C$2:$C$1960,0)),"",INDEX('Compliance Database'!$B$2:$B$1960,MATCH(434,Engine!$C$2:$C$1960,0)))</f>
        <v/>
      </c>
      <c r="C447" s="8">
        <f>IF(ISNA(MATCH(434,Engine!$C$2:$C$1960,0)),"",INDEX('Compliance Database'!$C$2:$C$1960,MATCH(434,Engine!$C$2:$C$1960,0)))</f>
        <v/>
      </c>
      <c r="D447" s="9">
        <f>IF(ISNA(MATCH(434,Engine!$C$2:$C$1960,0)),"",INDEX('Compliance Database'!$D$2:$D$1960,MATCH(434,Engine!$C$2:$C$1960,0)))</f>
        <v/>
      </c>
      <c r="E447" s="8">
        <f>IF(ISNA(MATCH(434,Engine!$C$2:$C$1960,0)),"",INDEX('Compliance Database'!$E$2:$E$1960,MATCH(434,Engine!$C$2:$C$1960,0)))</f>
        <v/>
      </c>
      <c r="F447" s="8">
        <f>IF(ISNA(MATCH(434,Engine!$C$2:$C$1960,0)),"",INDEX('Compliance Database'!$F$2:$F$1960,MATCH(434,Engine!$C$2:$C$1960,0)))</f>
        <v/>
      </c>
      <c r="G447" s="8">
        <f>IF(ISNA(MATCH(434,Engine!$C$2:$C$1960,0)),"",INDEX('Compliance Database'!$G$2:$G$1960,MATCH(434,Engine!$C$2:$C$1960,0)))</f>
        <v/>
      </c>
      <c r="H447" s="9">
        <f>IF(ISNA(MATCH(434,Engine!$C$2:$C$1960,0)),"",INDEX('Compliance Database'!$H$2:$H$1960,MATCH(434,Engine!$C$2:$C$1960,0)))</f>
        <v/>
      </c>
      <c r="I447" s="9">
        <f>IF(ISNA(MATCH(434,Engine!$C$2:$C$1960,0)),"",INDEX('Compliance Database'!$I$2:$I$1960,MATCH(434,Engine!$C$2:$C$1960,0)))</f>
        <v/>
      </c>
      <c r="J447" s="8">
        <f>IF(ISNA(MATCH(434,Engine!$C$2:$C$1960,0)),"",INDEX('Compliance Database'!$J$2:$J$1960,MATCH(434,Engine!$C$2:$C$1960,0)))</f>
        <v/>
      </c>
      <c r="K447" s="9">
        <f>IF(ISNA(MATCH(434,Engine!$C$2:$C$1960,0)),"",INDEX('Compliance Database'!$K$2:$K$1960,MATCH(434,Engine!$C$2:$C$1960,0)))</f>
        <v/>
      </c>
      <c r="L447" s="9">
        <f>IF(ISNA(MATCH(434,Engine!$C$2:$C$1960,0)),"",INDEX('Compliance Database'!$L$2:$L$1960,MATCH(434,Engine!$C$2:$C$1960,0)))</f>
        <v/>
      </c>
      <c r="M447" s="9">
        <f>IF(ISNA(MATCH(434,Engine!$C$2:$C$1960,0)),"",INDEX('Compliance Database'!$M$2:$M$1960,MATCH(434,Engine!$C$2:$C$1960,0)))</f>
        <v/>
      </c>
      <c r="N447" s="9">
        <f>IF(ISNA(MATCH(434,Engine!$C$2:$C$1960,0)),"",INDEX('Compliance Database'!$N$2:$N$1960,MATCH(434,Engine!$C$2:$C$1960,0)))</f>
        <v/>
      </c>
      <c r="O447" s="9">
        <f>IF(ISNA(MATCH(434,Engine!$C$2:$C$1960,0)),"",INDEX('Compliance Database'!$O$2:$O$1960,MATCH(434,Engine!$C$2:$C$1960,0)))</f>
        <v/>
      </c>
      <c r="P447" s="8">
        <f>IF(ISNA(MATCH(434,Engine!$C$2:$C$1960,0)),"",HYPERLINK("#Acts!A"&amp;INDEX('Compliance Database'!$P$2:$P$1960,MATCH(434,Engine!$C$2:$C$1960,0)),"Go to Act"))</f>
        <v/>
      </c>
    </row>
    <row r="448" ht="158" customHeight="1">
      <c r="A448" s="8">
        <f>IF(ISNA(MATCH(435,Engine!$C$2:$C$1960,0)),"",INDEX('Compliance Database'!$A$2:$A$1960,MATCH(435,Engine!$C$2:$C$1960,0)))</f>
        <v/>
      </c>
      <c r="B448" s="8">
        <f>IF(ISNA(MATCH(435,Engine!$C$2:$C$1960,0)),"",INDEX('Compliance Database'!$B$2:$B$1960,MATCH(435,Engine!$C$2:$C$1960,0)))</f>
        <v/>
      </c>
      <c r="C448" s="8">
        <f>IF(ISNA(MATCH(435,Engine!$C$2:$C$1960,0)),"",INDEX('Compliance Database'!$C$2:$C$1960,MATCH(435,Engine!$C$2:$C$1960,0)))</f>
        <v/>
      </c>
      <c r="D448" s="9">
        <f>IF(ISNA(MATCH(435,Engine!$C$2:$C$1960,0)),"",INDEX('Compliance Database'!$D$2:$D$1960,MATCH(435,Engine!$C$2:$C$1960,0)))</f>
        <v/>
      </c>
      <c r="E448" s="8">
        <f>IF(ISNA(MATCH(435,Engine!$C$2:$C$1960,0)),"",INDEX('Compliance Database'!$E$2:$E$1960,MATCH(435,Engine!$C$2:$C$1960,0)))</f>
        <v/>
      </c>
      <c r="F448" s="8">
        <f>IF(ISNA(MATCH(435,Engine!$C$2:$C$1960,0)),"",INDEX('Compliance Database'!$F$2:$F$1960,MATCH(435,Engine!$C$2:$C$1960,0)))</f>
        <v/>
      </c>
      <c r="G448" s="8">
        <f>IF(ISNA(MATCH(435,Engine!$C$2:$C$1960,0)),"",INDEX('Compliance Database'!$G$2:$G$1960,MATCH(435,Engine!$C$2:$C$1960,0)))</f>
        <v/>
      </c>
      <c r="H448" s="9">
        <f>IF(ISNA(MATCH(435,Engine!$C$2:$C$1960,0)),"",INDEX('Compliance Database'!$H$2:$H$1960,MATCH(435,Engine!$C$2:$C$1960,0)))</f>
        <v/>
      </c>
      <c r="I448" s="9">
        <f>IF(ISNA(MATCH(435,Engine!$C$2:$C$1960,0)),"",INDEX('Compliance Database'!$I$2:$I$1960,MATCH(435,Engine!$C$2:$C$1960,0)))</f>
        <v/>
      </c>
      <c r="J448" s="8">
        <f>IF(ISNA(MATCH(435,Engine!$C$2:$C$1960,0)),"",INDEX('Compliance Database'!$J$2:$J$1960,MATCH(435,Engine!$C$2:$C$1960,0)))</f>
        <v/>
      </c>
      <c r="K448" s="9">
        <f>IF(ISNA(MATCH(435,Engine!$C$2:$C$1960,0)),"",INDEX('Compliance Database'!$K$2:$K$1960,MATCH(435,Engine!$C$2:$C$1960,0)))</f>
        <v/>
      </c>
      <c r="L448" s="9">
        <f>IF(ISNA(MATCH(435,Engine!$C$2:$C$1960,0)),"",INDEX('Compliance Database'!$L$2:$L$1960,MATCH(435,Engine!$C$2:$C$1960,0)))</f>
        <v/>
      </c>
      <c r="M448" s="9">
        <f>IF(ISNA(MATCH(435,Engine!$C$2:$C$1960,0)),"",INDEX('Compliance Database'!$M$2:$M$1960,MATCH(435,Engine!$C$2:$C$1960,0)))</f>
        <v/>
      </c>
      <c r="N448" s="9">
        <f>IF(ISNA(MATCH(435,Engine!$C$2:$C$1960,0)),"",INDEX('Compliance Database'!$N$2:$N$1960,MATCH(435,Engine!$C$2:$C$1960,0)))</f>
        <v/>
      </c>
      <c r="O448" s="9">
        <f>IF(ISNA(MATCH(435,Engine!$C$2:$C$1960,0)),"",INDEX('Compliance Database'!$O$2:$O$1960,MATCH(435,Engine!$C$2:$C$1960,0)))</f>
        <v/>
      </c>
      <c r="P448" s="8">
        <f>IF(ISNA(MATCH(435,Engine!$C$2:$C$1960,0)),"",HYPERLINK("#Acts!A"&amp;INDEX('Compliance Database'!$P$2:$P$1960,MATCH(435,Engine!$C$2:$C$1960,0)),"Go to Act"))</f>
        <v/>
      </c>
    </row>
    <row r="449" ht="158" customHeight="1">
      <c r="A449" s="8">
        <f>IF(ISNA(MATCH(436,Engine!$C$2:$C$1960,0)),"",INDEX('Compliance Database'!$A$2:$A$1960,MATCH(436,Engine!$C$2:$C$1960,0)))</f>
        <v/>
      </c>
      <c r="B449" s="8">
        <f>IF(ISNA(MATCH(436,Engine!$C$2:$C$1960,0)),"",INDEX('Compliance Database'!$B$2:$B$1960,MATCH(436,Engine!$C$2:$C$1960,0)))</f>
        <v/>
      </c>
      <c r="C449" s="8">
        <f>IF(ISNA(MATCH(436,Engine!$C$2:$C$1960,0)),"",INDEX('Compliance Database'!$C$2:$C$1960,MATCH(436,Engine!$C$2:$C$1960,0)))</f>
        <v/>
      </c>
      <c r="D449" s="9">
        <f>IF(ISNA(MATCH(436,Engine!$C$2:$C$1960,0)),"",INDEX('Compliance Database'!$D$2:$D$1960,MATCH(436,Engine!$C$2:$C$1960,0)))</f>
        <v/>
      </c>
      <c r="E449" s="8">
        <f>IF(ISNA(MATCH(436,Engine!$C$2:$C$1960,0)),"",INDEX('Compliance Database'!$E$2:$E$1960,MATCH(436,Engine!$C$2:$C$1960,0)))</f>
        <v/>
      </c>
      <c r="F449" s="8">
        <f>IF(ISNA(MATCH(436,Engine!$C$2:$C$1960,0)),"",INDEX('Compliance Database'!$F$2:$F$1960,MATCH(436,Engine!$C$2:$C$1960,0)))</f>
        <v/>
      </c>
      <c r="G449" s="8">
        <f>IF(ISNA(MATCH(436,Engine!$C$2:$C$1960,0)),"",INDEX('Compliance Database'!$G$2:$G$1960,MATCH(436,Engine!$C$2:$C$1960,0)))</f>
        <v/>
      </c>
      <c r="H449" s="9">
        <f>IF(ISNA(MATCH(436,Engine!$C$2:$C$1960,0)),"",INDEX('Compliance Database'!$H$2:$H$1960,MATCH(436,Engine!$C$2:$C$1960,0)))</f>
        <v/>
      </c>
      <c r="I449" s="9">
        <f>IF(ISNA(MATCH(436,Engine!$C$2:$C$1960,0)),"",INDEX('Compliance Database'!$I$2:$I$1960,MATCH(436,Engine!$C$2:$C$1960,0)))</f>
        <v/>
      </c>
      <c r="J449" s="8">
        <f>IF(ISNA(MATCH(436,Engine!$C$2:$C$1960,0)),"",INDEX('Compliance Database'!$J$2:$J$1960,MATCH(436,Engine!$C$2:$C$1960,0)))</f>
        <v/>
      </c>
      <c r="K449" s="9">
        <f>IF(ISNA(MATCH(436,Engine!$C$2:$C$1960,0)),"",INDEX('Compliance Database'!$K$2:$K$1960,MATCH(436,Engine!$C$2:$C$1960,0)))</f>
        <v/>
      </c>
      <c r="L449" s="9">
        <f>IF(ISNA(MATCH(436,Engine!$C$2:$C$1960,0)),"",INDEX('Compliance Database'!$L$2:$L$1960,MATCH(436,Engine!$C$2:$C$1960,0)))</f>
        <v/>
      </c>
      <c r="M449" s="9">
        <f>IF(ISNA(MATCH(436,Engine!$C$2:$C$1960,0)),"",INDEX('Compliance Database'!$M$2:$M$1960,MATCH(436,Engine!$C$2:$C$1960,0)))</f>
        <v/>
      </c>
      <c r="N449" s="9">
        <f>IF(ISNA(MATCH(436,Engine!$C$2:$C$1960,0)),"",INDEX('Compliance Database'!$N$2:$N$1960,MATCH(436,Engine!$C$2:$C$1960,0)))</f>
        <v/>
      </c>
      <c r="O449" s="9">
        <f>IF(ISNA(MATCH(436,Engine!$C$2:$C$1960,0)),"",INDEX('Compliance Database'!$O$2:$O$1960,MATCH(436,Engine!$C$2:$C$1960,0)))</f>
        <v/>
      </c>
      <c r="P449" s="8">
        <f>IF(ISNA(MATCH(436,Engine!$C$2:$C$1960,0)),"",HYPERLINK("#Acts!A"&amp;INDEX('Compliance Database'!$P$2:$P$1960,MATCH(436,Engine!$C$2:$C$1960,0)),"Go to Act"))</f>
        <v/>
      </c>
    </row>
    <row r="450" ht="158" customHeight="1">
      <c r="A450" s="8">
        <f>IF(ISNA(MATCH(437,Engine!$C$2:$C$1960,0)),"",INDEX('Compliance Database'!$A$2:$A$1960,MATCH(437,Engine!$C$2:$C$1960,0)))</f>
        <v/>
      </c>
      <c r="B450" s="8">
        <f>IF(ISNA(MATCH(437,Engine!$C$2:$C$1960,0)),"",INDEX('Compliance Database'!$B$2:$B$1960,MATCH(437,Engine!$C$2:$C$1960,0)))</f>
        <v/>
      </c>
      <c r="C450" s="8">
        <f>IF(ISNA(MATCH(437,Engine!$C$2:$C$1960,0)),"",INDEX('Compliance Database'!$C$2:$C$1960,MATCH(437,Engine!$C$2:$C$1960,0)))</f>
        <v/>
      </c>
      <c r="D450" s="9">
        <f>IF(ISNA(MATCH(437,Engine!$C$2:$C$1960,0)),"",INDEX('Compliance Database'!$D$2:$D$1960,MATCH(437,Engine!$C$2:$C$1960,0)))</f>
        <v/>
      </c>
      <c r="E450" s="8">
        <f>IF(ISNA(MATCH(437,Engine!$C$2:$C$1960,0)),"",INDEX('Compliance Database'!$E$2:$E$1960,MATCH(437,Engine!$C$2:$C$1960,0)))</f>
        <v/>
      </c>
      <c r="F450" s="8">
        <f>IF(ISNA(MATCH(437,Engine!$C$2:$C$1960,0)),"",INDEX('Compliance Database'!$F$2:$F$1960,MATCH(437,Engine!$C$2:$C$1960,0)))</f>
        <v/>
      </c>
      <c r="G450" s="8">
        <f>IF(ISNA(MATCH(437,Engine!$C$2:$C$1960,0)),"",INDEX('Compliance Database'!$G$2:$G$1960,MATCH(437,Engine!$C$2:$C$1960,0)))</f>
        <v/>
      </c>
      <c r="H450" s="9">
        <f>IF(ISNA(MATCH(437,Engine!$C$2:$C$1960,0)),"",INDEX('Compliance Database'!$H$2:$H$1960,MATCH(437,Engine!$C$2:$C$1960,0)))</f>
        <v/>
      </c>
      <c r="I450" s="9">
        <f>IF(ISNA(MATCH(437,Engine!$C$2:$C$1960,0)),"",INDEX('Compliance Database'!$I$2:$I$1960,MATCH(437,Engine!$C$2:$C$1960,0)))</f>
        <v/>
      </c>
      <c r="J450" s="8">
        <f>IF(ISNA(MATCH(437,Engine!$C$2:$C$1960,0)),"",INDEX('Compliance Database'!$J$2:$J$1960,MATCH(437,Engine!$C$2:$C$1960,0)))</f>
        <v/>
      </c>
      <c r="K450" s="9">
        <f>IF(ISNA(MATCH(437,Engine!$C$2:$C$1960,0)),"",INDEX('Compliance Database'!$K$2:$K$1960,MATCH(437,Engine!$C$2:$C$1960,0)))</f>
        <v/>
      </c>
      <c r="L450" s="9">
        <f>IF(ISNA(MATCH(437,Engine!$C$2:$C$1960,0)),"",INDEX('Compliance Database'!$L$2:$L$1960,MATCH(437,Engine!$C$2:$C$1960,0)))</f>
        <v/>
      </c>
      <c r="M450" s="9">
        <f>IF(ISNA(MATCH(437,Engine!$C$2:$C$1960,0)),"",INDEX('Compliance Database'!$M$2:$M$1960,MATCH(437,Engine!$C$2:$C$1960,0)))</f>
        <v/>
      </c>
      <c r="N450" s="9">
        <f>IF(ISNA(MATCH(437,Engine!$C$2:$C$1960,0)),"",INDEX('Compliance Database'!$N$2:$N$1960,MATCH(437,Engine!$C$2:$C$1960,0)))</f>
        <v/>
      </c>
      <c r="O450" s="9">
        <f>IF(ISNA(MATCH(437,Engine!$C$2:$C$1960,0)),"",INDEX('Compliance Database'!$O$2:$O$1960,MATCH(437,Engine!$C$2:$C$1960,0)))</f>
        <v/>
      </c>
      <c r="P450" s="8">
        <f>IF(ISNA(MATCH(437,Engine!$C$2:$C$1960,0)),"",HYPERLINK("#Acts!A"&amp;INDEX('Compliance Database'!$P$2:$P$1960,MATCH(437,Engine!$C$2:$C$1960,0)),"Go to Act"))</f>
        <v/>
      </c>
    </row>
    <row r="451" ht="158" customHeight="1">
      <c r="A451" s="8">
        <f>IF(ISNA(MATCH(438,Engine!$C$2:$C$1960,0)),"",INDEX('Compliance Database'!$A$2:$A$1960,MATCH(438,Engine!$C$2:$C$1960,0)))</f>
        <v/>
      </c>
      <c r="B451" s="8">
        <f>IF(ISNA(MATCH(438,Engine!$C$2:$C$1960,0)),"",INDEX('Compliance Database'!$B$2:$B$1960,MATCH(438,Engine!$C$2:$C$1960,0)))</f>
        <v/>
      </c>
      <c r="C451" s="8">
        <f>IF(ISNA(MATCH(438,Engine!$C$2:$C$1960,0)),"",INDEX('Compliance Database'!$C$2:$C$1960,MATCH(438,Engine!$C$2:$C$1960,0)))</f>
        <v/>
      </c>
      <c r="D451" s="9">
        <f>IF(ISNA(MATCH(438,Engine!$C$2:$C$1960,0)),"",INDEX('Compliance Database'!$D$2:$D$1960,MATCH(438,Engine!$C$2:$C$1960,0)))</f>
        <v/>
      </c>
      <c r="E451" s="8">
        <f>IF(ISNA(MATCH(438,Engine!$C$2:$C$1960,0)),"",INDEX('Compliance Database'!$E$2:$E$1960,MATCH(438,Engine!$C$2:$C$1960,0)))</f>
        <v/>
      </c>
      <c r="F451" s="8">
        <f>IF(ISNA(MATCH(438,Engine!$C$2:$C$1960,0)),"",INDEX('Compliance Database'!$F$2:$F$1960,MATCH(438,Engine!$C$2:$C$1960,0)))</f>
        <v/>
      </c>
      <c r="G451" s="8">
        <f>IF(ISNA(MATCH(438,Engine!$C$2:$C$1960,0)),"",INDEX('Compliance Database'!$G$2:$G$1960,MATCH(438,Engine!$C$2:$C$1960,0)))</f>
        <v/>
      </c>
      <c r="H451" s="9">
        <f>IF(ISNA(MATCH(438,Engine!$C$2:$C$1960,0)),"",INDEX('Compliance Database'!$H$2:$H$1960,MATCH(438,Engine!$C$2:$C$1960,0)))</f>
        <v/>
      </c>
      <c r="I451" s="9">
        <f>IF(ISNA(MATCH(438,Engine!$C$2:$C$1960,0)),"",INDEX('Compliance Database'!$I$2:$I$1960,MATCH(438,Engine!$C$2:$C$1960,0)))</f>
        <v/>
      </c>
      <c r="J451" s="8">
        <f>IF(ISNA(MATCH(438,Engine!$C$2:$C$1960,0)),"",INDEX('Compliance Database'!$J$2:$J$1960,MATCH(438,Engine!$C$2:$C$1960,0)))</f>
        <v/>
      </c>
      <c r="K451" s="9">
        <f>IF(ISNA(MATCH(438,Engine!$C$2:$C$1960,0)),"",INDEX('Compliance Database'!$K$2:$K$1960,MATCH(438,Engine!$C$2:$C$1960,0)))</f>
        <v/>
      </c>
      <c r="L451" s="9">
        <f>IF(ISNA(MATCH(438,Engine!$C$2:$C$1960,0)),"",INDEX('Compliance Database'!$L$2:$L$1960,MATCH(438,Engine!$C$2:$C$1960,0)))</f>
        <v/>
      </c>
      <c r="M451" s="9">
        <f>IF(ISNA(MATCH(438,Engine!$C$2:$C$1960,0)),"",INDEX('Compliance Database'!$M$2:$M$1960,MATCH(438,Engine!$C$2:$C$1960,0)))</f>
        <v/>
      </c>
      <c r="N451" s="9">
        <f>IF(ISNA(MATCH(438,Engine!$C$2:$C$1960,0)),"",INDEX('Compliance Database'!$N$2:$N$1960,MATCH(438,Engine!$C$2:$C$1960,0)))</f>
        <v/>
      </c>
      <c r="O451" s="9">
        <f>IF(ISNA(MATCH(438,Engine!$C$2:$C$1960,0)),"",INDEX('Compliance Database'!$O$2:$O$1960,MATCH(438,Engine!$C$2:$C$1960,0)))</f>
        <v/>
      </c>
      <c r="P451" s="8">
        <f>IF(ISNA(MATCH(438,Engine!$C$2:$C$1960,0)),"",HYPERLINK("#Acts!A"&amp;INDEX('Compliance Database'!$P$2:$P$1960,MATCH(438,Engine!$C$2:$C$1960,0)),"Go to Act"))</f>
        <v/>
      </c>
    </row>
    <row r="452" ht="158" customHeight="1">
      <c r="A452" s="8">
        <f>IF(ISNA(MATCH(439,Engine!$C$2:$C$1960,0)),"",INDEX('Compliance Database'!$A$2:$A$1960,MATCH(439,Engine!$C$2:$C$1960,0)))</f>
        <v/>
      </c>
      <c r="B452" s="8">
        <f>IF(ISNA(MATCH(439,Engine!$C$2:$C$1960,0)),"",INDEX('Compliance Database'!$B$2:$B$1960,MATCH(439,Engine!$C$2:$C$1960,0)))</f>
        <v/>
      </c>
      <c r="C452" s="8">
        <f>IF(ISNA(MATCH(439,Engine!$C$2:$C$1960,0)),"",INDEX('Compliance Database'!$C$2:$C$1960,MATCH(439,Engine!$C$2:$C$1960,0)))</f>
        <v/>
      </c>
      <c r="D452" s="9">
        <f>IF(ISNA(MATCH(439,Engine!$C$2:$C$1960,0)),"",INDEX('Compliance Database'!$D$2:$D$1960,MATCH(439,Engine!$C$2:$C$1960,0)))</f>
        <v/>
      </c>
      <c r="E452" s="8">
        <f>IF(ISNA(MATCH(439,Engine!$C$2:$C$1960,0)),"",INDEX('Compliance Database'!$E$2:$E$1960,MATCH(439,Engine!$C$2:$C$1960,0)))</f>
        <v/>
      </c>
      <c r="F452" s="8">
        <f>IF(ISNA(MATCH(439,Engine!$C$2:$C$1960,0)),"",INDEX('Compliance Database'!$F$2:$F$1960,MATCH(439,Engine!$C$2:$C$1960,0)))</f>
        <v/>
      </c>
      <c r="G452" s="8">
        <f>IF(ISNA(MATCH(439,Engine!$C$2:$C$1960,0)),"",INDEX('Compliance Database'!$G$2:$G$1960,MATCH(439,Engine!$C$2:$C$1960,0)))</f>
        <v/>
      </c>
      <c r="H452" s="9">
        <f>IF(ISNA(MATCH(439,Engine!$C$2:$C$1960,0)),"",INDEX('Compliance Database'!$H$2:$H$1960,MATCH(439,Engine!$C$2:$C$1960,0)))</f>
        <v/>
      </c>
      <c r="I452" s="9">
        <f>IF(ISNA(MATCH(439,Engine!$C$2:$C$1960,0)),"",INDEX('Compliance Database'!$I$2:$I$1960,MATCH(439,Engine!$C$2:$C$1960,0)))</f>
        <v/>
      </c>
      <c r="J452" s="8">
        <f>IF(ISNA(MATCH(439,Engine!$C$2:$C$1960,0)),"",INDEX('Compliance Database'!$J$2:$J$1960,MATCH(439,Engine!$C$2:$C$1960,0)))</f>
        <v/>
      </c>
      <c r="K452" s="9">
        <f>IF(ISNA(MATCH(439,Engine!$C$2:$C$1960,0)),"",INDEX('Compliance Database'!$K$2:$K$1960,MATCH(439,Engine!$C$2:$C$1960,0)))</f>
        <v/>
      </c>
      <c r="L452" s="9">
        <f>IF(ISNA(MATCH(439,Engine!$C$2:$C$1960,0)),"",INDEX('Compliance Database'!$L$2:$L$1960,MATCH(439,Engine!$C$2:$C$1960,0)))</f>
        <v/>
      </c>
      <c r="M452" s="9">
        <f>IF(ISNA(MATCH(439,Engine!$C$2:$C$1960,0)),"",INDEX('Compliance Database'!$M$2:$M$1960,MATCH(439,Engine!$C$2:$C$1960,0)))</f>
        <v/>
      </c>
      <c r="N452" s="9">
        <f>IF(ISNA(MATCH(439,Engine!$C$2:$C$1960,0)),"",INDEX('Compliance Database'!$N$2:$N$1960,MATCH(439,Engine!$C$2:$C$1960,0)))</f>
        <v/>
      </c>
      <c r="O452" s="9">
        <f>IF(ISNA(MATCH(439,Engine!$C$2:$C$1960,0)),"",INDEX('Compliance Database'!$O$2:$O$1960,MATCH(439,Engine!$C$2:$C$1960,0)))</f>
        <v/>
      </c>
      <c r="P452" s="8">
        <f>IF(ISNA(MATCH(439,Engine!$C$2:$C$1960,0)),"",HYPERLINK("#Acts!A"&amp;INDEX('Compliance Database'!$P$2:$P$1960,MATCH(439,Engine!$C$2:$C$1960,0)),"Go to Act"))</f>
        <v/>
      </c>
    </row>
    <row r="453" ht="158" customHeight="1">
      <c r="A453" s="8">
        <f>IF(ISNA(MATCH(440,Engine!$C$2:$C$1960,0)),"",INDEX('Compliance Database'!$A$2:$A$1960,MATCH(440,Engine!$C$2:$C$1960,0)))</f>
        <v/>
      </c>
      <c r="B453" s="8">
        <f>IF(ISNA(MATCH(440,Engine!$C$2:$C$1960,0)),"",INDEX('Compliance Database'!$B$2:$B$1960,MATCH(440,Engine!$C$2:$C$1960,0)))</f>
        <v/>
      </c>
      <c r="C453" s="8">
        <f>IF(ISNA(MATCH(440,Engine!$C$2:$C$1960,0)),"",INDEX('Compliance Database'!$C$2:$C$1960,MATCH(440,Engine!$C$2:$C$1960,0)))</f>
        <v/>
      </c>
      <c r="D453" s="9">
        <f>IF(ISNA(MATCH(440,Engine!$C$2:$C$1960,0)),"",INDEX('Compliance Database'!$D$2:$D$1960,MATCH(440,Engine!$C$2:$C$1960,0)))</f>
        <v/>
      </c>
      <c r="E453" s="8">
        <f>IF(ISNA(MATCH(440,Engine!$C$2:$C$1960,0)),"",INDEX('Compliance Database'!$E$2:$E$1960,MATCH(440,Engine!$C$2:$C$1960,0)))</f>
        <v/>
      </c>
      <c r="F453" s="8">
        <f>IF(ISNA(MATCH(440,Engine!$C$2:$C$1960,0)),"",INDEX('Compliance Database'!$F$2:$F$1960,MATCH(440,Engine!$C$2:$C$1960,0)))</f>
        <v/>
      </c>
      <c r="G453" s="8">
        <f>IF(ISNA(MATCH(440,Engine!$C$2:$C$1960,0)),"",INDEX('Compliance Database'!$G$2:$G$1960,MATCH(440,Engine!$C$2:$C$1960,0)))</f>
        <v/>
      </c>
      <c r="H453" s="9">
        <f>IF(ISNA(MATCH(440,Engine!$C$2:$C$1960,0)),"",INDEX('Compliance Database'!$H$2:$H$1960,MATCH(440,Engine!$C$2:$C$1960,0)))</f>
        <v/>
      </c>
      <c r="I453" s="9">
        <f>IF(ISNA(MATCH(440,Engine!$C$2:$C$1960,0)),"",INDEX('Compliance Database'!$I$2:$I$1960,MATCH(440,Engine!$C$2:$C$1960,0)))</f>
        <v/>
      </c>
      <c r="J453" s="8">
        <f>IF(ISNA(MATCH(440,Engine!$C$2:$C$1960,0)),"",INDEX('Compliance Database'!$J$2:$J$1960,MATCH(440,Engine!$C$2:$C$1960,0)))</f>
        <v/>
      </c>
      <c r="K453" s="9">
        <f>IF(ISNA(MATCH(440,Engine!$C$2:$C$1960,0)),"",INDEX('Compliance Database'!$K$2:$K$1960,MATCH(440,Engine!$C$2:$C$1960,0)))</f>
        <v/>
      </c>
      <c r="L453" s="9">
        <f>IF(ISNA(MATCH(440,Engine!$C$2:$C$1960,0)),"",INDEX('Compliance Database'!$L$2:$L$1960,MATCH(440,Engine!$C$2:$C$1960,0)))</f>
        <v/>
      </c>
      <c r="M453" s="9">
        <f>IF(ISNA(MATCH(440,Engine!$C$2:$C$1960,0)),"",INDEX('Compliance Database'!$M$2:$M$1960,MATCH(440,Engine!$C$2:$C$1960,0)))</f>
        <v/>
      </c>
      <c r="N453" s="9">
        <f>IF(ISNA(MATCH(440,Engine!$C$2:$C$1960,0)),"",INDEX('Compliance Database'!$N$2:$N$1960,MATCH(440,Engine!$C$2:$C$1960,0)))</f>
        <v/>
      </c>
      <c r="O453" s="9">
        <f>IF(ISNA(MATCH(440,Engine!$C$2:$C$1960,0)),"",INDEX('Compliance Database'!$O$2:$O$1960,MATCH(440,Engine!$C$2:$C$1960,0)))</f>
        <v/>
      </c>
      <c r="P453" s="8">
        <f>IF(ISNA(MATCH(440,Engine!$C$2:$C$1960,0)),"",HYPERLINK("#Acts!A"&amp;INDEX('Compliance Database'!$P$2:$P$1960,MATCH(440,Engine!$C$2:$C$1960,0)),"Go to Act"))</f>
        <v/>
      </c>
    </row>
    <row r="454" ht="158" customHeight="1">
      <c r="A454" s="8">
        <f>IF(ISNA(MATCH(441,Engine!$C$2:$C$1960,0)),"",INDEX('Compliance Database'!$A$2:$A$1960,MATCH(441,Engine!$C$2:$C$1960,0)))</f>
        <v/>
      </c>
      <c r="B454" s="8">
        <f>IF(ISNA(MATCH(441,Engine!$C$2:$C$1960,0)),"",INDEX('Compliance Database'!$B$2:$B$1960,MATCH(441,Engine!$C$2:$C$1960,0)))</f>
        <v/>
      </c>
      <c r="C454" s="8">
        <f>IF(ISNA(MATCH(441,Engine!$C$2:$C$1960,0)),"",INDEX('Compliance Database'!$C$2:$C$1960,MATCH(441,Engine!$C$2:$C$1960,0)))</f>
        <v/>
      </c>
      <c r="D454" s="9">
        <f>IF(ISNA(MATCH(441,Engine!$C$2:$C$1960,0)),"",INDEX('Compliance Database'!$D$2:$D$1960,MATCH(441,Engine!$C$2:$C$1960,0)))</f>
        <v/>
      </c>
      <c r="E454" s="8">
        <f>IF(ISNA(MATCH(441,Engine!$C$2:$C$1960,0)),"",INDEX('Compliance Database'!$E$2:$E$1960,MATCH(441,Engine!$C$2:$C$1960,0)))</f>
        <v/>
      </c>
      <c r="F454" s="8">
        <f>IF(ISNA(MATCH(441,Engine!$C$2:$C$1960,0)),"",INDEX('Compliance Database'!$F$2:$F$1960,MATCH(441,Engine!$C$2:$C$1960,0)))</f>
        <v/>
      </c>
      <c r="G454" s="8">
        <f>IF(ISNA(MATCH(441,Engine!$C$2:$C$1960,0)),"",INDEX('Compliance Database'!$G$2:$G$1960,MATCH(441,Engine!$C$2:$C$1960,0)))</f>
        <v/>
      </c>
      <c r="H454" s="9">
        <f>IF(ISNA(MATCH(441,Engine!$C$2:$C$1960,0)),"",INDEX('Compliance Database'!$H$2:$H$1960,MATCH(441,Engine!$C$2:$C$1960,0)))</f>
        <v/>
      </c>
      <c r="I454" s="9">
        <f>IF(ISNA(MATCH(441,Engine!$C$2:$C$1960,0)),"",INDEX('Compliance Database'!$I$2:$I$1960,MATCH(441,Engine!$C$2:$C$1960,0)))</f>
        <v/>
      </c>
      <c r="J454" s="8">
        <f>IF(ISNA(MATCH(441,Engine!$C$2:$C$1960,0)),"",INDEX('Compliance Database'!$J$2:$J$1960,MATCH(441,Engine!$C$2:$C$1960,0)))</f>
        <v/>
      </c>
      <c r="K454" s="9">
        <f>IF(ISNA(MATCH(441,Engine!$C$2:$C$1960,0)),"",INDEX('Compliance Database'!$K$2:$K$1960,MATCH(441,Engine!$C$2:$C$1960,0)))</f>
        <v/>
      </c>
      <c r="L454" s="9">
        <f>IF(ISNA(MATCH(441,Engine!$C$2:$C$1960,0)),"",INDEX('Compliance Database'!$L$2:$L$1960,MATCH(441,Engine!$C$2:$C$1960,0)))</f>
        <v/>
      </c>
      <c r="M454" s="9">
        <f>IF(ISNA(MATCH(441,Engine!$C$2:$C$1960,0)),"",INDEX('Compliance Database'!$M$2:$M$1960,MATCH(441,Engine!$C$2:$C$1960,0)))</f>
        <v/>
      </c>
      <c r="N454" s="9">
        <f>IF(ISNA(MATCH(441,Engine!$C$2:$C$1960,0)),"",INDEX('Compliance Database'!$N$2:$N$1960,MATCH(441,Engine!$C$2:$C$1960,0)))</f>
        <v/>
      </c>
      <c r="O454" s="9">
        <f>IF(ISNA(MATCH(441,Engine!$C$2:$C$1960,0)),"",INDEX('Compliance Database'!$O$2:$O$1960,MATCH(441,Engine!$C$2:$C$1960,0)))</f>
        <v/>
      </c>
      <c r="P454" s="8">
        <f>IF(ISNA(MATCH(441,Engine!$C$2:$C$1960,0)),"",HYPERLINK("#Acts!A"&amp;INDEX('Compliance Database'!$P$2:$P$1960,MATCH(441,Engine!$C$2:$C$1960,0)),"Go to Act"))</f>
        <v/>
      </c>
    </row>
    <row r="455" ht="158" customHeight="1">
      <c r="A455" s="8">
        <f>IF(ISNA(MATCH(442,Engine!$C$2:$C$1960,0)),"",INDEX('Compliance Database'!$A$2:$A$1960,MATCH(442,Engine!$C$2:$C$1960,0)))</f>
        <v/>
      </c>
      <c r="B455" s="8">
        <f>IF(ISNA(MATCH(442,Engine!$C$2:$C$1960,0)),"",INDEX('Compliance Database'!$B$2:$B$1960,MATCH(442,Engine!$C$2:$C$1960,0)))</f>
        <v/>
      </c>
      <c r="C455" s="8">
        <f>IF(ISNA(MATCH(442,Engine!$C$2:$C$1960,0)),"",INDEX('Compliance Database'!$C$2:$C$1960,MATCH(442,Engine!$C$2:$C$1960,0)))</f>
        <v/>
      </c>
      <c r="D455" s="9">
        <f>IF(ISNA(MATCH(442,Engine!$C$2:$C$1960,0)),"",INDEX('Compliance Database'!$D$2:$D$1960,MATCH(442,Engine!$C$2:$C$1960,0)))</f>
        <v/>
      </c>
      <c r="E455" s="8">
        <f>IF(ISNA(MATCH(442,Engine!$C$2:$C$1960,0)),"",INDEX('Compliance Database'!$E$2:$E$1960,MATCH(442,Engine!$C$2:$C$1960,0)))</f>
        <v/>
      </c>
      <c r="F455" s="8">
        <f>IF(ISNA(MATCH(442,Engine!$C$2:$C$1960,0)),"",INDEX('Compliance Database'!$F$2:$F$1960,MATCH(442,Engine!$C$2:$C$1960,0)))</f>
        <v/>
      </c>
      <c r="G455" s="8">
        <f>IF(ISNA(MATCH(442,Engine!$C$2:$C$1960,0)),"",INDEX('Compliance Database'!$G$2:$G$1960,MATCH(442,Engine!$C$2:$C$1960,0)))</f>
        <v/>
      </c>
      <c r="H455" s="9">
        <f>IF(ISNA(MATCH(442,Engine!$C$2:$C$1960,0)),"",INDEX('Compliance Database'!$H$2:$H$1960,MATCH(442,Engine!$C$2:$C$1960,0)))</f>
        <v/>
      </c>
      <c r="I455" s="9">
        <f>IF(ISNA(MATCH(442,Engine!$C$2:$C$1960,0)),"",INDEX('Compliance Database'!$I$2:$I$1960,MATCH(442,Engine!$C$2:$C$1960,0)))</f>
        <v/>
      </c>
      <c r="J455" s="8">
        <f>IF(ISNA(MATCH(442,Engine!$C$2:$C$1960,0)),"",INDEX('Compliance Database'!$J$2:$J$1960,MATCH(442,Engine!$C$2:$C$1960,0)))</f>
        <v/>
      </c>
      <c r="K455" s="9">
        <f>IF(ISNA(MATCH(442,Engine!$C$2:$C$1960,0)),"",INDEX('Compliance Database'!$K$2:$K$1960,MATCH(442,Engine!$C$2:$C$1960,0)))</f>
        <v/>
      </c>
      <c r="L455" s="9">
        <f>IF(ISNA(MATCH(442,Engine!$C$2:$C$1960,0)),"",INDEX('Compliance Database'!$L$2:$L$1960,MATCH(442,Engine!$C$2:$C$1960,0)))</f>
        <v/>
      </c>
      <c r="M455" s="9">
        <f>IF(ISNA(MATCH(442,Engine!$C$2:$C$1960,0)),"",INDEX('Compliance Database'!$M$2:$M$1960,MATCH(442,Engine!$C$2:$C$1960,0)))</f>
        <v/>
      </c>
      <c r="N455" s="9">
        <f>IF(ISNA(MATCH(442,Engine!$C$2:$C$1960,0)),"",INDEX('Compliance Database'!$N$2:$N$1960,MATCH(442,Engine!$C$2:$C$1960,0)))</f>
        <v/>
      </c>
      <c r="O455" s="9">
        <f>IF(ISNA(MATCH(442,Engine!$C$2:$C$1960,0)),"",INDEX('Compliance Database'!$O$2:$O$1960,MATCH(442,Engine!$C$2:$C$1960,0)))</f>
        <v/>
      </c>
      <c r="P455" s="8">
        <f>IF(ISNA(MATCH(442,Engine!$C$2:$C$1960,0)),"",HYPERLINK("#Acts!A"&amp;INDEX('Compliance Database'!$P$2:$P$1960,MATCH(442,Engine!$C$2:$C$1960,0)),"Go to Act"))</f>
        <v/>
      </c>
    </row>
    <row r="456" ht="158" customHeight="1">
      <c r="A456" s="8">
        <f>IF(ISNA(MATCH(443,Engine!$C$2:$C$1960,0)),"",INDEX('Compliance Database'!$A$2:$A$1960,MATCH(443,Engine!$C$2:$C$1960,0)))</f>
        <v/>
      </c>
      <c r="B456" s="8">
        <f>IF(ISNA(MATCH(443,Engine!$C$2:$C$1960,0)),"",INDEX('Compliance Database'!$B$2:$B$1960,MATCH(443,Engine!$C$2:$C$1960,0)))</f>
        <v/>
      </c>
      <c r="C456" s="8">
        <f>IF(ISNA(MATCH(443,Engine!$C$2:$C$1960,0)),"",INDEX('Compliance Database'!$C$2:$C$1960,MATCH(443,Engine!$C$2:$C$1960,0)))</f>
        <v/>
      </c>
      <c r="D456" s="9">
        <f>IF(ISNA(MATCH(443,Engine!$C$2:$C$1960,0)),"",INDEX('Compliance Database'!$D$2:$D$1960,MATCH(443,Engine!$C$2:$C$1960,0)))</f>
        <v/>
      </c>
      <c r="E456" s="8">
        <f>IF(ISNA(MATCH(443,Engine!$C$2:$C$1960,0)),"",INDEX('Compliance Database'!$E$2:$E$1960,MATCH(443,Engine!$C$2:$C$1960,0)))</f>
        <v/>
      </c>
      <c r="F456" s="8">
        <f>IF(ISNA(MATCH(443,Engine!$C$2:$C$1960,0)),"",INDEX('Compliance Database'!$F$2:$F$1960,MATCH(443,Engine!$C$2:$C$1960,0)))</f>
        <v/>
      </c>
      <c r="G456" s="8">
        <f>IF(ISNA(MATCH(443,Engine!$C$2:$C$1960,0)),"",INDEX('Compliance Database'!$G$2:$G$1960,MATCH(443,Engine!$C$2:$C$1960,0)))</f>
        <v/>
      </c>
      <c r="H456" s="9">
        <f>IF(ISNA(MATCH(443,Engine!$C$2:$C$1960,0)),"",INDEX('Compliance Database'!$H$2:$H$1960,MATCH(443,Engine!$C$2:$C$1960,0)))</f>
        <v/>
      </c>
      <c r="I456" s="9">
        <f>IF(ISNA(MATCH(443,Engine!$C$2:$C$1960,0)),"",INDEX('Compliance Database'!$I$2:$I$1960,MATCH(443,Engine!$C$2:$C$1960,0)))</f>
        <v/>
      </c>
      <c r="J456" s="8">
        <f>IF(ISNA(MATCH(443,Engine!$C$2:$C$1960,0)),"",INDEX('Compliance Database'!$J$2:$J$1960,MATCH(443,Engine!$C$2:$C$1960,0)))</f>
        <v/>
      </c>
      <c r="K456" s="9">
        <f>IF(ISNA(MATCH(443,Engine!$C$2:$C$1960,0)),"",INDEX('Compliance Database'!$K$2:$K$1960,MATCH(443,Engine!$C$2:$C$1960,0)))</f>
        <v/>
      </c>
      <c r="L456" s="9">
        <f>IF(ISNA(MATCH(443,Engine!$C$2:$C$1960,0)),"",INDEX('Compliance Database'!$L$2:$L$1960,MATCH(443,Engine!$C$2:$C$1960,0)))</f>
        <v/>
      </c>
      <c r="M456" s="9">
        <f>IF(ISNA(MATCH(443,Engine!$C$2:$C$1960,0)),"",INDEX('Compliance Database'!$M$2:$M$1960,MATCH(443,Engine!$C$2:$C$1960,0)))</f>
        <v/>
      </c>
      <c r="N456" s="9">
        <f>IF(ISNA(MATCH(443,Engine!$C$2:$C$1960,0)),"",INDEX('Compliance Database'!$N$2:$N$1960,MATCH(443,Engine!$C$2:$C$1960,0)))</f>
        <v/>
      </c>
      <c r="O456" s="9">
        <f>IF(ISNA(MATCH(443,Engine!$C$2:$C$1960,0)),"",INDEX('Compliance Database'!$O$2:$O$1960,MATCH(443,Engine!$C$2:$C$1960,0)))</f>
        <v/>
      </c>
      <c r="P456" s="8">
        <f>IF(ISNA(MATCH(443,Engine!$C$2:$C$1960,0)),"",HYPERLINK("#Acts!A"&amp;INDEX('Compliance Database'!$P$2:$P$1960,MATCH(443,Engine!$C$2:$C$1960,0)),"Go to Act"))</f>
        <v/>
      </c>
    </row>
    <row r="457" ht="158" customHeight="1">
      <c r="A457" s="8">
        <f>IF(ISNA(MATCH(444,Engine!$C$2:$C$1960,0)),"",INDEX('Compliance Database'!$A$2:$A$1960,MATCH(444,Engine!$C$2:$C$1960,0)))</f>
        <v/>
      </c>
      <c r="B457" s="8">
        <f>IF(ISNA(MATCH(444,Engine!$C$2:$C$1960,0)),"",INDEX('Compliance Database'!$B$2:$B$1960,MATCH(444,Engine!$C$2:$C$1960,0)))</f>
        <v/>
      </c>
      <c r="C457" s="8">
        <f>IF(ISNA(MATCH(444,Engine!$C$2:$C$1960,0)),"",INDEX('Compliance Database'!$C$2:$C$1960,MATCH(444,Engine!$C$2:$C$1960,0)))</f>
        <v/>
      </c>
      <c r="D457" s="9">
        <f>IF(ISNA(MATCH(444,Engine!$C$2:$C$1960,0)),"",INDEX('Compliance Database'!$D$2:$D$1960,MATCH(444,Engine!$C$2:$C$1960,0)))</f>
        <v/>
      </c>
      <c r="E457" s="8">
        <f>IF(ISNA(MATCH(444,Engine!$C$2:$C$1960,0)),"",INDEX('Compliance Database'!$E$2:$E$1960,MATCH(444,Engine!$C$2:$C$1960,0)))</f>
        <v/>
      </c>
      <c r="F457" s="8">
        <f>IF(ISNA(MATCH(444,Engine!$C$2:$C$1960,0)),"",INDEX('Compliance Database'!$F$2:$F$1960,MATCH(444,Engine!$C$2:$C$1960,0)))</f>
        <v/>
      </c>
      <c r="G457" s="8">
        <f>IF(ISNA(MATCH(444,Engine!$C$2:$C$1960,0)),"",INDEX('Compliance Database'!$G$2:$G$1960,MATCH(444,Engine!$C$2:$C$1960,0)))</f>
        <v/>
      </c>
      <c r="H457" s="9">
        <f>IF(ISNA(MATCH(444,Engine!$C$2:$C$1960,0)),"",INDEX('Compliance Database'!$H$2:$H$1960,MATCH(444,Engine!$C$2:$C$1960,0)))</f>
        <v/>
      </c>
      <c r="I457" s="9">
        <f>IF(ISNA(MATCH(444,Engine!$C$2:$C$1960,0)),"",INDEX('Compliance Database'!$I$2:$I$1960,MATCH(444,Engine!$C$2:$C$1960,0)))</f>
        <v/>
      </c>
      <c r="J457" s="8">
        <f>IF(ISNA(MATCH(444,Engine!$C$2:$C$1960,0)),"",INDEX('Compliance Database'!$J$2:$J$1960,MATCH(444,Engine!$C$2:$C$1960,0)))</f>
        <v/>
      </c>
      <c r="K457" s="9">
        <f>IF(ISNA(MATCH(444,Engine!$C$2:$C$1960,0)),"",INDEX('Compliance Database'!$K$2:$K$1960,MATCH(444,Engine!$C$2:$C$1960,0)))</f>
        <v/>
      </c>
      <c r="L457" s="9">
        <f>IF(ISNA(MATCH(444,Engine!$C$2:$C$1960,0)),"",INDEX('Compliance Database'!$L$2:$L$1960,MATCH(444,Engine!$C$2:$C$1960,0)))</f>
        <v/>
      </c>
      <c r="M457" s="9">
        <f>IF(ISNA(MATCH(444,Engine!$C$2:$C$1960,0)),"",INDEX('Compliance Database'!$M$2:$M$1960,MATCH(444,Engine!$C$2:$C$1960,0)))</f>
        <v/>
      </c>
      <c r="N457" s="9">
        <f>IF(ISNA(MATCH(444,Engine!$C$2:$C$1960,0)),"",INDEX('Compliance Database'!$N$2:$N$1960,MATCH(444,Engine!$C$2:$C$1960,0)))</f>
        <v/>
      </c>
      <c r="O457" s="9">
        <f>IF(ISNA(MATCH(444,Engine!$C$2:$C$1960,0)),"",INDEX('Compliance Database'!$O$2:$O$1960,MATCH(444,Engine!$C$2:$C$1960,0)))</f>
        <v/>
      </c>
      <c r="P457" s="8">
        <f>IF(ISNA(MATCH(444,Engine!$C$2:$C$1960,0)),"",HYPERLINK("#Acts!A"&amp;INDEX('Compliance Database'!$P$2:$P$1960,MATCH(444,Engine!$C$2:$C$1960,0)),"Go to Act"))</f>
        <v/>
      </c>
    </row>
    <row r="458" ht="158" customHeight="1">
      <c r="A458" s="8">
        <f>IF(ISNA(MATCH(445,Engine!$C$2:$C$1960,0)),"",INDEX('Compliance Database'!$A$2:$A$1960,MATCH(445,Engine!$C$2:$C$1960,0)))</f>
        <v/>
      </c>
      <c r="B458" s="8">
        <f>IF(ISNA(MATCH(445,Engine!$C$2:$C$1960,0)),"",INDEX('Compliance Database'!$B$2:$B$1960,MATCH(445,Engine!$C$2:$C$1960,0)))</f>
        <v/>
      </c>
      <c r="C458" s="8">
        <f>IF(ISNA(MATCH(445,Engine!$C$2:$C$1960,0)),"",INDEX('Compliance Database'!$C$2:$C$1960,MATCH(445,Engine!$C$2:$C$1960,0)))</f>
        <v/>
      </c>
      <c r="D458" s="9">
        <f>IF(ISNA(MATCH(445,Engine!$C$2:$C$1960,0)),"",INDEX('Compliance Database'!$D$2:$D$1960,MATCH(445,Engine!$C$2:$C$1960,0)))</f>
        <v/>
      </c>
      <c r="E458" s="8">
        <f>IF(ISNA(MATCH(445,Engine!$C$2:$C$1960,0)),"",INDEX('Compliance Database'!$E$2:$E$1960,MATCH(445,Engine!$C$2:$C$1960,0)))</f>
        <v/>
      </c>
      <c r="F458" s="8">
        <f>IF(ISNA(MATCH(445,Engine!$C$2:$C$1960,0)),"",INDEX('Compliance Database'!$F$2:$F$1960,MATCH(445,Engine!$C$2:$C$1960,0)))</f>
        <v/>
      </c>
      <c r="G458" s="8">
        <f>IF(ISNA(MATCH(445,Engine!$C$2:$C$1960,0)),"",INDEX('Compliance Database'!$G$2:$G$1960,MATCH(445,Engine!$C$2:$C$1960,0)))</f>
        <v/>
      </c>
      <c r="H458" s="9">
        <f>IF(ISNA(MATCH(445,Engine!$C$2:$C$1960,0)),"",INDEX('Compliance Database'!$H$2:$H$1960,MATCH(445,Engine!$C$2:$C$1960,0)))</f>
        <v/>
      </c>
      <c r="I458" s="9">
        <f>IF(ISNA(MATCH(445,Engine!$C$2:$C$1960,0)),"",INDEX('Compliance Database'!$I$2:$I$1960,MATCH(445,Engine!$C$2:$C$1960,0)))</f>
        <v/>
      </c>
      <c r="J458" s="8">
        <f>IF(ISNA(MATCH(445,Engine!$C$2:$C$1960,0)),"",INDEX('Compliance Database'!$J$2:$J$1960,MATCH(445,Engine!$C$2:$C$1960,0)))</f>
        <v/>
      </c>
      <c r="K458" s="9">
        <f>IF(ISNA(MATCH(445,Engine!$C$2:$C$1960,0)),"",INDEX('Compliance Database'!$K$2:$K$1960,MATCH(445,Engine!$C$2:$C$1960,0)))</f>
        <v/>
      </c>
      <c r="L458" s="9">
        <f>IF(ISNA(MATCH(445,Engine!$C$2:$C$1960,0)),"",INDEX('Compliance Database'!$L$2:$L$1960,MATCH(445,Engine!$C$2:$C$1960,0)))</f>
        <v/>
      </c>
      <c r="M458" s="9">
        <f>IF(ISNA(MATCH(445,Engine!$C$2:$C$1960,0)),"",INDEX('Compliance Database'!$M$2:$M$1960,MATCH(445,Engine!$C$2:$C$1960,0)))</f>
        <v/>
      </c>
      <c r="N458" s="9">
        <f>IF(ISNA(MATCH(445,Engine!$C$2:$C$1960,0)),"",INDEX('Compliance Database'!$N$2:$N$1960,MATCH(445,Engine!$C$2:$C$1960,0)))</f>
        <v/>
      </c>
      <c r="O458" s="9">
        <f>IF(ISNA(MATCH(445,Engine!$C$2:$C$1960,0)),"",INDEX('Compliance Database'!$O$2:$O$1960,MATCH(445,Engine!$C$2:$C$1960,0)))</f>
        <v/>
      </c>
      <c r="P458" s="8">
        <f>IF(ISNA(MATCH(445,Engine!$C$2:$C$1960,0)),"",HYPERLINK("#Acts!A"&amp;INDEX('Compliance Database'!$P$2:$P$1960,MATCH(445,Engine!$C$2:$C$1960,0)),"Go to Act"))</f>
        <v/>
      </c>
    </row>
    <row r="459" ht="158" customHeight="1">
      <c r="A459" s="8">
        <f>IF(ISNA(MATCH(446,Engine!$C$2:$C$1960,0)),"",INDEX('Compliance Database'!$A$2:$A$1960,MATCH(446,Engine!$C$2:$C$1960,0)))</f>
        <v/>
      </c>
      <c r="B459" s="8">
        <f>IF(ISNA(MATCH(446,Engine!$C$2:$C$1960,0)),"",INDEX('Compliance Database'!$B$2:$B$1960,MATCH(446,Engine!$C$2:$C$1960,0)))</f>
        <v/>
      </c>
      <c r="C459" s="8">
        <f>IF(ISNA(MATCH(446,Engine!$C$2:$C$1960,0)),"",INDEX('Compliance Database'!$C$2:$C$1960,MATCH(446,Engine!$C$2:$C$1960,0)))</f>
        <v/>
      </c>
      <c r="D459" s="9">
        <f>IF(ISNA(MATCH(446,Engine!$C$2:$C$1960,0)),"",INDEX('Compliance Database'!$D$2:$D$1960,MATCH(446,Engine!$C$2:$C$1960,0)))</f>
        <v/>
      </c>
      <c r="E459" s="8">
        <f>IF(ISNA(MATCH(446,Engine!$C$2:$C$1960,0)),"",INDEX('Compliance Database'!$E$2:$E$1960,MATCH(446,Engine!$C$2:$C$1960,0)))</f>
        <v/>
      </c>
      <c r="F459" s="8">
        <f>IF(ISNA(MATCH(446,Engine!$C$2:$C$1960,0)),"",INDEX('Compliance Database'!$F$2:$F$1960,MATCH(446,Engine!$C$2:$C$1960,0)))</f>
        <v/>
      </c>
      <c r="G459" s="8">
        <f>IF(ISNA(MATCH(446,Engine!$C$2:$C$1960,0)),"",INDEX('Compliance Database'!$G$2:$G$1960,MATCH(446,Engine!$C$2:$C$1960,0)))</f>
        <v/>
      </c>
      <c r="H459" s="9">
        <f>IF(ISNA(MATCH(446,Engine!$C$2:$C$1960,0)),"",INDEX('Compliance Database'!$H$2:$H$1960,MATCH(446,Engine!$C$2:$C$1960,0)))</f>
        <v/>
      </c>
      <c r="I459" s="9">
        <f>IF(ISNA(MATCH(446,Engine!$C$2:$C$1960,0)),"",INDEX('Compliance Database'!$I$2:$I$1960,MATCH(446,Engine!$C$2:$C$1960,0)))</f>
        <v/>
      </c>
      <c r="J459" s="8">
        <f>IF(ISNA(MATCH(446,Engine!$C$2:$C$1960,0)),"",INDEX('Compliance Database'!$J$2:$J$1960,MATCH(446,Engine!$C$2:$C$1960,0)))</f>
        <v/>
      </c>
      <c r="K459" s="9">
        <f>IF(ISNA(MATCH(446,Engine!$C$2:$C$1960,0)),"",INDEX('Compliance Database'!$K$2:$K$1960,MATCH(446,Engine!$C$2:$C$1960,0)))</f>
        <v/>
      </c>
      <c r="L459" s="9">
        <f>IF(ISNA(MATCH(446,Engine!$C$2:$C$1960,0)),"",INDEX('Compliance Database'!$L$2:$L$1960,MATCH(446,Engine!$C$2:$C$1960,0)))</f>
        <v/>
      </c>
      <c r="M459" s="9">
        <f>IF(ISNA(MATCH(446,Engine!$C$2:$C$1960,0)),"",INDEX('Compliance Database'!$M$2:$M$1960,MATCH(446,Engine!$C$2:$C$1960,0)))</f>
        <v/>
      </c>
      <c r="N459" s="9">
        <f>IF(ISNA(MATCH(446,Engine!$C$2:$C$1960,0)),"",INDEX('Compliance Database'!$N$2:$N$1960,MATCH(446,Engine!$C$2:$C$1960,0)))</f>
        <v/>
      </c>
      <c r="O459" s="9">
        <f>IF(ISNA(MATCH(446,Engine!$C$2:$C$1960,0)),"",INDEX('Compliance Database'!$O$2:$O$1960,MATCH(446,Engine!$C$2:$C$1960,0)))</f>
        <v/>
      </c>
      <c r="P459" s="8">
        <f>IF(ISNA(MATCH(446,Engine!$C$2:$C$1960,0)),"",HYPERLINK("#Acts!A"&amp;INDEX('Compliance Database'!$P$2:$P$1960,MATCH(446,Engine!$C$2:$C$1960,0)),"Go to Act"))</f>
        <v/>
      </c>
    </row>
    <row r="460" ht="158" customHeight="1">
      <c r="A460" s="8">
        <f>IF(ISNA(MATCH(447,Engine!$C$2:$C$1960,0)),"",INDEX('Compliance Database'!$A$2:$A$1960,MATCH(447,Engine!$C$2:$C$1960,0)))</f>
        <v/>
      </c>
      <c r="B460" s="8">
        <f>IF(ISNA(MATCH(447,Engine!$C$2:$C$1960,0)),"",INDEX('Compliance Database'!$B$2:$B$1960,MATCH(447,Engine!$C$2:$C$1960,0)))</f>
        <v/>
      </c>
      <c r="C460" s="8">
        <f>IF(ISNA(MATCH(447,Engine!$C$2:$C$1960,0)),"",INDEX('Compliance Database'!$C$2:$C$1960,MATCH(447,Engine!$C$2:$C$1960,0)))</f>
        <v/>
      </c>
      <c r="D460" s="9">
        <f>IF(ISNA(MATCH(447,Engine!$C$2:$C$1960,0)),"",INDEX('Compliance Database'!$D$2:$D$1960,MATCH(447,Engine!$C$2:$C$1960,0)))</f>
        <v/>
      </c>
      <c r="E460" s="8">
        <f>IF(ISNA(MATCH(447,Engine!$C$2:$C$1960,0)),"",INDEX('Compliance Database'!$E$2:$E$1960,MATCH(447,Engine!$C$2:$C$1960,0)))</f>
        <v/>
      </c>
      <c r="F460" s="8">
        <f>IF(ISNA(MATCH(447,Engine!$C$2:$C$1960,0)),"",INDEX('Compliance Database'!$F$2:$F$1960,MATCH(447,Engine!$C$2:$C$1960,0)))</f>
        <v/>
      </c>
      <c r="G460" s="8">
        <f>IF(ISNA(MATCH(447,Engine!$C$2:$C$1960,0)),"",INDEX('Compliance Database'!$G$2:$G$1960,MATCH(447,Engine!$C$2:$C$1960,0)))</f>
        <v/>
      </c>
      <c r="H460" s="9">
        <f>IF(ISNA(MATCH(447,Engine!$C$2:$C$1960,0)),"",INDEX('Compliance Database'!$H$2:$H$1960,MATCH(447,Engine!$C$2:$C$1960,0)))</f>
        <v/>
      </c>
      <c r="I460" s="9">
        <f>IF(ISNA(MATCH(447,Engine!$C$2:$C$1960,0)),"",INDEX('Compliance Database'!$I$2:$I$1960,MATCH(447,Engine!$C$2:$C$1960,0)))</f>
        <v/>
      </c>
      <c r="J460" s="8">
        <f>IF(ISNA(MATCH(447,Engine!$C$2:$C$1960,0)),"",INDEX('Compliance Database'!$J$2:$J$1960,MATCH(447,Engine!$C$2:$C$1960,0)))</f>
        <v/>
      </c>
      <c r="K460" s="9">
        <f>IF(ISNA(MATCH(447,Engine!$C$2:$C$1960,0)),"",INDEX('Compliance Database'!$K$2:$K$1960,MATCH(447,Engine!$C$2:$C$1960,0)))</f>
        <v/>
      </c>
      <c r="L460" s="9">
        <f>IF(ISNA(MATCH(447,Engine!$C$2:$C$1960,0)),"",INDEX('Compliance Database'!$L$2:$L$1960,MATCH(447,Engine!$C$2:$C$1960,0)))</f>
        <v/>
      </c>
      <c r="M460" s="9">
        <f>IF(ISNA(MATCH(447,Engine!$C$2:$C$1960,0)),"",INDEX('Compliance Database'!$M$2:$M$1960,MATCH(447,Engine!$C$2:$C$1960,0)))</f>
        <v/>
      </c>
      <c r="N460" s="9">
        <f>IF(ISNA(MATCH(447,Engine!$C$2:$C$1960,0)),"",INDEX('Compliance Database'!$N$2:$N$1960,MATCH(447,Engine!$C$2:$C$1960,0)))</f>
        <v/>
      </c>
      <c r="O460" s="9">
        <f>IF(ISNA(MATCH(447,Engine!$C$2:$C$1960,0)),"",INDEX('Compliance Database'!$O$2:$O$1960,MATCH(447,Engine!$C$2:$C$1960,0)))</f>
        <v/>
      </c>
      <c r="P460" s="8">
        <f>IF(ISNA(MATCH(447,Engine!$C$2:$C$1960,0)),"",HYPERLINK("#Acts!A"&amp;INDEX('Compliance Database'!$P$2:$P$1960,MATCH(447,Engine!$C$2:$C$1960,0)),"Go to Act"))</f>
        <v/>
      </c>
    </row>
    <row r="461" ht="158" customHeight="1">
      <c r="A461" s="8">
        <f>IF(ISNA(MATCH(448,Engine!$C$2:$C$1960,0)),"",INDEX('Compliance Database'!$A$2:$A$1960,MATCH(448,Engine!$C$2:$C$1960,0)))</f>
        <v/>
      </c>
      <c r="B461" s="8">
        <f>IF(ISNA(MATCH(448,Engine!$C$2:$C$1960,0)),"",INDEX('Compliance Database'!$B$2:$B$1960,MATCH(448,Engine!$C$2:$C$1960,0)))</f>
        <v/>
      </c>
      <c r="C461" s="8">
        <f>IF(ISNA(MATCH(448,Engine!$C$2:$C$1960,0)),"",INDEX('Compliance Database'!$C$2:$C$1960,MATCH(448,Engine!$C$2:$C$1960,0)))</f>
        <v/>
      </c>
      <c r="D461" s="9">
        <f>IF(ISNA(MATCH(448,Engine!$C$2:$C$1960,0)),"",INDEX('Compliance Database'!$D$2:$D$1960,MATCH(448,Engine!$C$2:$C$1960,0)))</f>
        <v/>
      </c>
      <c r="E461" s="8">
        <f>IF(ISNA(MATCH(448,Engine!$C$2:$C$1960,0)),"",INDEX('Compliance Database'!$E$2:$E$1960,MATCH(448,Engine!$C$2:$C$1960,0)))</f>
        <v/>
      </c>
      <c r="F461" s="8">
        <f>IF(ISNA(MATCH(448,Engine!$C$2:$C$1960,0)),"",INDEX('Compliance Database'!$F$2:$F$1960,MATCH(448,Engine!$C$2:$C$1960,0)))</f>
        <v/>
      </c>
      <c r="G461" s="8">
        <f>IF(ISNA(MATCH(448,Engine!$C$2:$C$1960,0)),"",INDEX('Compliance Database'!$G$2:$G$1960,MATCH(448,Engine!$C$2:$C$1960,0)))</f>
        <v/>
      </c>
      <c r="H461" s="9">
        <f>IF(ISNA(MATCH(448,Engine!$C$2:$C$1960,0)),"",INDEX('Compliance Database'!$H$2:$H$1960,MATCH(448,Engine!$C$2:$C$1960,0)))</f>
        <v/>
      </c>
      <c r="I461" s="9">
        <f>IF(ISNA(MATCH(448,Engine!$C$2:$C$1960,0)),"",INDEX('Compliance Database'!$I$2:$I$1960,MATCH(448,Engine!$C$2:$C$1960,0)))</f>
        <v/>
      </c>
      <c r="J461" s="8">
        <f>IF(ISNA(MATCH(448,Engine!$C$2:$C$1960,0)),"",INDEX('Compliance Database'!$J$2:$J$1960,MATCH(448,Engine!$C$2:$C$1960,0)))</f>
        <v/>
      </c>
      <c r="K461" s="9">
        <f>IF(ISNA(MATCH(448,Engine!$C$2:$C$1960,0)),"",INDEX('Compliance Database'!$K$2:$K$1960,MATCH(448,Engine!$C$2:$C$1960,0)))</f>
        <v/>
      </c>
      <c r="L461" s="9">
        <f>IF(ISNA(MATCH(448,Engine!$C$2:$C$1960,0)),"",INDEX('Compliance Database'!$L$2:$L$1960,MATCH(448,Engine!$C$2:$C$1960,0)))</f>
        <v/>
      </c>
      <c r="M461" s="9">
        <f>IF(ISNA(MATCH(448,Engine!$C$2:$C$1960,0)),"",INDEX('Compliance Database'!$M$2:$M$1960,MATCH(448,Engine!$C$2:$C$1960,0)))</f>
        <v/>
      </c>
      <c r="N461" s="9">
        <f>IF(ISNA(MATCH(448,Engine!$C$2:$C$1960,0)),"",INDEX('Compliance Database'!$N$2:$N$1960,MATCH(448,Engine!$C$2:$C$1960,0)))</f>
        <v/>
      </c>
      <c r="O461" s="9">
        <f>IF(ISNA(MATCH(448,Engine!$C$2:$C$1960,0)),"",INDEX('Compliance Database'!$O$2:$O$1960,MATCH(448,Engine!$C$2:$C$1960,0)))</f>
        <v/>
      </c>
      <c r="P461" s="8">
        <f>IF(ISNA(MATCH(448,Engine!$C$2:$C$1960,0)),"",HYPERLINK("#Acts!A"&amp;INDEX('Compliance Database'!$P$2:$P$1960,MATCH(448,Engine!$C$2:$C$1960,0)),"Go to Act"))</f>
        <v/>
      </c>
    </row>
    <row r="462" ht="158" customHeight="1">
      <c r="A462" s="8">
        <f>IF(ISNA(MATCH(449,Engine!$C$2:$C$1960,0)),"",INDEX('Compliance Database'!$A$2:$A$1960,MATCH(449,Engine!$C$2:$C$1960,0)))</f>
        <v/>
      </c>
      <c r="B462" s="8">
        <f>IF(ISNA(MATCH(449,Engine!$C$2:$C$1960,0)),"",INDEX('Compliance Database'!$B$2:$B$1960,MATCH(449,Engine!$C$2:$C$1960,0)))</f>
        <v/>
      </c>
      <c r="C462" s="8">
        <f>IF(ISNA(MATCH(449,Engine!$C$2:$C$1960,0)),"",INDEX('Compliance Database'!$C$2:$C$1960,MATCH(449,Engine!$C$2:$C$1960,0)))</f>
        <v/>
      </c>
      <c r="D462" s="9">
        <f>IF(ISNA(MATCH(449,Engine!$C$2:$C$1960,0)),"",INDEX('Compliance Database'!$D$2:$D$1960,MATCH(449,Engine!$C$2:$C$1960,0)))</f>
        <v/>
      </c>
      <c r="E462" s="8">
        <f>IF(ISNA(MATCH(449,Engine!$C$2:$C$1960,0)),"",INDEX('Compliance Database'!$E$2:$E$1960,MATCH(449,Engine!$C$2:$C$1960,0)))</f>
        <v/>
      </c>
      <c r="F462" s="8">
        <f>IF(ISNA(MATCH(449,Engine!$C$2:$C$1960,0)),"",INDEX('Compliance Database'!$F$2:$F$1960,MATCH(449,Engine!$C$2:$C$1960,0)))</f>
        <v/>
      </c>
      <c r="G462" s="8">
        <f>IF(ISNA(MATCH(449,Engine!$C$2:$C$1960,0)),"",INDEX('Compliance Database'!$G$2:$G$1960,MATCH(449,Engine!$C$2:$C$1960,0)))</f>
        <v/>
      </c>
      <c r="H462" s="9">
        <f>IF(ISNA(MATCH(449,Engine!$C$2:$C$1960,0)),"",INDEX('Compliance Database'!$H$2:$H$1960,MATCH(449,Engine!$C$2:$C$1960,0)))</f>
        <v/>
      </c>
      <c r="I462" s="9">
        <f>IF(ISNA(MATCH(449,Engine!$C$2:$C$1960,0)),"",INDEX('Compliance Database'!$I$2:$I$1960,MATCH(449,Engine!$C$2:$C$1960,0)))</f>
        <v/>
      </c>
      <c r="J462" s="8">
        <f>IF(ISNA(MATCH(449,Engine!$C$2:$C$1960,0)),"",INDEX('Compliance Database'!$J$2:$J$1960,MATCH(449,Engine!$C$2:$C$1960,0)))</f>
        <v/>
      </c>
      <c r="K462" s="9">
        <f>IF(ISNA(MATCH(449,Engine!$C$2:$C$1960,0)),"",INDEX('Compliance Database'!$K$2:$K$1960,MATCH(449,Engine!$C$2:$C$1960,0)))</f>
        <v/>
      </c>
      <c r="L462" s="9">
        <f>IF(ISNA(MATCH(449,Engine!$C$2:$C$1960,0)),"",INDEX('Compliance Database'!$L$2:$L$1960,MATCH(449,Engine!$C$2:$C$1960,0)))</f>
        <v/>
      </c>
      <c r="M462" s="9">
        <f>IF(ISNA(MATCH(449,Engine!$C$2:$C$1960,0)),"",INDEX('Compliance Database'!$M$2:$M$1960,MATCH(449,Engine!$C$2:$C$1960,0)))</f>
        <v/>
      </c>
      <c r="N462" s="9">
        <f>IF(ISNA(MATCH(449,Engine!$C$2:$C$1960,0)),"",INDEX('Compliance Database'!$N$2:$N$1960,MATCH(449,Engine!$C$2:$C$1960,0)))</f>
        <v/>
      </c>
      <c r="O462" s="9">
        <f>IF(ISNA(MATCH(449,Engine!$C$2:$C$1960,0)),"",INDEX('Compliance Database'!$O$2:$O$1960,MATCH(449,Engine!$C$2:$C$1960,0)))</f>
        <v/>
      </c>
      <c r="P462" s="8">
        <f>IF(ISNA(MATCH(449,Engine!$C$2:$C$1960,0)),"",HYPERLINK("#Acts!A"&amp;INDEX('Compliance Database'!$P$2:$P$1960,MATCH(449,Engine!$C$2:$C$1960,0)),"Go to Act"))</f>
        <v/>
      </c>
    </row>
    <row r="463" ht="158" customHeight="1">
      <c r="A463" s="8">
        <f>IF(ISNA(MATCH(450,Engine!$C$2:$C$1960,0)),"",INDEX('Compliance Database'!$A$2:$A$1960,MATCH(450,Engine!$C$2:$C$1960,0)))</f>
        <v/>
      </c>
      <c r="B463" s="8">
        <f>IF(ISNA(MATCH(450,Engine!$C$2:$C$1960,0)),"",INDEX('Compliance Database'!$B$2:$B$1960,MATCH(450,Engine!$C$2:$C$1960,0)))</f>
        <v/>
      </c>
      <c r="C463" s="8">
        <f>IF(ISNA(MATCH(450,Engine!$C$2:$C$1960,0)),"",INDEX('Compliance Database'!$C$2:$C$1960,MATCH(450,Engine!$C$2:$C$1960,0)))</f>
        <v/>
      </c>
      <c r="D463" s="9">
        <f>IF(ISNA(MATCH(450,Engine!$C$2:$C$1960,0)),"",INDEX('Compliance Database'!$D$2:$D$1960,MATCH(450,Engine!$C$2:$C$1960,0)))</f>
        <v/>
      </c>
      <c r="E463" s="8">
        <f>IF(ISNA(MATCH(450,Engine!$C$2:$C$1960,0)),"",INDEX('Compliance Database'!$E$2:$E$1960,MATCH(450,Engine!$C$2:$C$1960,0)))</f>
        <v/>
      </c>
      <c r="F463" s="8">
        <f>IF(ISNA(MATCH(450,Engine!$C$2:$C$1960,0)),"",INDEX('Compliance Database'!$F$2:$F$1960,MATCH(450,Engine!$C$2:$C$1960,0)))</f>
        <v/>
      </c>
      <c r="G463" s="8">
        <f>IF(ISNA(MATCH(450,Engine!$C$2:$C$1960,0)),"",INDEX('Compliance Database'!$G$2:$G$1960,MATCH(450,Engine!$C$2:$C$1960,0)))</f>
        <v/>
      </c>
      <c r="H463" s="9">
        <f>IF(ISNA(MATCH(450,Engine!$C$2:$C$1960,0)),"",INDEX('Compliance Database'!$H$2:$H$1960,MATCH(450,Engine!$C$2:$C$1960,0)))</f>
        <v/>
      </c>
      <c r="I463" s="9">
        <f>IF(ISNA(MATCH(450,Engine!$C$2:$C$1960,0)),"",INDEX('Compliance Database'!$I$2:$I$1960,MATCH(450,Engine!$C$2:$C$1960,0)))</f>
        <v/>
      </c>
      <c r="J463" s="8">
        <f>IF(ISNA(MATCH(450,Engine!$C$2:$C$1960,0)),"",INDEX('Compliance Database'!$J$2:$J$1960,MATCH(450,Engine!$C$2:$C$1960,0)))</f>
        <v/>
      </c>
      <c r="K463" s="9">
        <f>IF(ISNA(MATCH(450,Engine!$C$2:$C$1960,0)),"",INDEX('Compliance Database'!$K$2:$K$1960,MATCH(450,Engine!$C$2:$C$1960,0)))</f>
        <v/>
      </c>
      <c r="L463" s="9">
        <f>IF(ISNA(MATCH(450,Engine!$C$2:$C$1960,0)),"",INDEX('Compliance Database'!$L$2:$L$1960,MATCH(450,Engine!$C$2:$C$1960,0)))</f>
        <v/>
      </c>
      <c r="M463" s="9">
        <f>IF(ISNA(MATCH(450,Engine!$C$2:$C$1960,0)),"",INDEX('Compliance Database'!$M$2:$M$1960,MATCH(450,Engine!$C$2:$C$1960,0)))</f>
        <v/>
      </c>
      <c r="N463" s="9">
        <f>IF(ISNA(MATCH(450,Engine!$C$2:$C$1960,0)),"",INDEX('Compliance Database'!$N$2:$N$1960,MATCH(450,Engine!$C$2:$C$1960,0)))</f>
        <v/>
      </c>
      <c r="O463" s="9">
        <f>IF(ISNA(MATCH(450,Engine!$C$2:$C$1960,0)),"",INDEX('Compliance Database'!$O$2:$O$1960,MATCH(450,Engine!$C$2:$C$1960,0)))</f>
        <v/>
      </c>
      <c r="P463" s="8">
        <f>IF(ISNA(MATCH(450,Engine!$C$2:$C$1960,0)),"",HYPERLINK("#Acts!A"&amp;INDEX('Compliance Database'!$P$2:$P$1960,MATCH(450,Engine!$C$2:$C$1960,0)),"Go to Act"))</f>
        <v/>
      </c>
    </row>
    <row r="464" ht="158" customHeight="1">
      <c r="A464" s="8">
        <f>IF(ISNA(MATCH(451,Engine!$C$2:$C$1960,0)),"",INDEX('Compliance Database'!$A$2:$A$1960,MATCH(451,Engine!$C$2:$C$1960,0)))</f>
        <v/>
      </c>
      <c r="B464" s="8">
        <f>IF(ISNA(MATCH(451,Engine!$C$2:$C$1960,0)),"",INDEX('Compliance Database'!$B$2:$B$1960,MATCH(451,Engine!$C$2:$C$1960,0)))</f>
        <v/>
      </c>
      <c r="C464" s="8">
        <f>IF(ISNA(MATCH(451,Engine!$C$2:$C$1960,0)),"",INDEX('Compliance Database'!$C$2:$C$1960,MATCH(451,Engine!$C$2:$C$1960,0)))</f>
        <v/>
      </c>
      <c r="D464" s="9">
        <f>IF(ISNA(MATCH(451,Engine!$C$2:$C$1960,0)),"",INDEX('Compliance Database'!$D$2:$D$1960,MATCH(451,Engine!$C$2:$C$1960,0)))</f>
        <v/>
      </c>
      <c r="E464" s="8">
        <f>IF(ISNA(MATCH(451,Engine!$C$2:$C$1960,0)),"",INDEX('Compliance Database'!$E$2:$E$1960,MATCH(451,Engine!$C$2:$C$1960,0)))</f>
        <v/>
      </c>
      <c r="F464" s="8">
        <f>IF(ISNA(MATCH(451,Engine!$C$2:$C$1960,0)),"",INDEX('Compliance Database'!$F$2:$F$1960,MATCH(451,Engine!$C$2:$C$1960,0)))</f>
        <v/>
      </c>
      <c r="G464" s="8">
        <f>IF(ISNA(MATCH(451,Engine!$C$2:$C$1960,0)),"",INDEX('Compliance Database'!$G$2:$G$1960,MATCH(451,Engine!$C$2:$C$1960,0)))</f>
        <v/>
      </c>
      <c r="H464" s="9">
        <f>IF(ISNA(MATCH(451,Engine!$C$2:$C$1960,0)),"",INDEX('Compliance Database'!$H$2:$H$1960,MATCH(451,Engine!$C$2:$C$1960,0)))</f>
        <v/>
      </c>
      <c r="I464" s="9">
        <f>IF(ISNA(MATCH(451,Engine!$C$2:$C$1960,0)),"",INDEX('Compliance Database'!$I$2:$I$1960,MATCH(451,Engine!$C$2:$C$1960,0)))</f>
        <v/>
      </c>
      <c r="J464" s="8">
        <f>IF(ISNA(MATCH(451,Engine!$C$2:$C$1960,0)),"",INDEX('Compliance Database'!$J$2:$J$1960,MATCH(451,Engine!$C$2:$C$1960,0)))</f>
        <v/>
      </c>
      <c r="K464" s="9">
        <f>IF(ISNA(MATCH(451,Engine!$C$2:$C$1960,0)),"",INDEX('Compliance Database'!$K$2:$K$1960,MATCH(451,Engine!$C$2:$C$1960,0)))</f>
        <v/>
      </c>
      <c r="L464" s="9">
        <f>IF(ISNA(MATCH(451,Engine!$C$2:$C$1960,0)),"",INDEX('Compliance Database'!$L$2:$L$1960,MATCH(451,Engine!$C$2:$C$1960,0)))</f>
        <v/>
      </c>
      <c r="M464" s="9">
        <f>IF(ISNA(MATCH(451,Engine!$C$2:$C$1960,0)),"",INDEX('Compliance Database'!$M$2:$M$1960,MATCH(451,Engine!$C$2:$C$1960,0)))</f>
        <v/>
      </c>
      <c r="N464" s="9">
        <f>IF(ISNA(MATCH(451,Engine!$C$2:$C$1960,0)),"",INDEX('Compliance Database'!$N$2:$N$1960,MATCH(451,Engine!$C$2:$C$1960,0)))</f>
        <v/>
      </c>
      <c r="O464" s="9">
        <f>IF(ISNA(MATCH(451,Engine!$C$2:$C$1960,0)),"",INDEX('Compliance Database'!$O$2:$O$1960,MATCH(451,Engine!$C$2:$C$1960,0)))</f>
        <v/>
      </c>
      <c r="P464" s="8">
        <f>IF(ISNA(MATCH(451,Engine!$C$2:$C$1960,0)),"",HYPERLINK("#Acts!A"&amp;INDEX('Compliance Database'!$P$2:$P$1960,MATCH(451,Engine!$C$2:$C$1960,0)),"Go to Act"))</f>
        <v/>
      </c>
    </row>
    <row r="465" ht="158" customHeight="1">
      <c r="A465" s="8">
        <f>IF(ISNA(MATCH(452,Engine!$C$2:$C$1960,0)),"",INDEX('Compliance Database'!$A$2:$A$1960,MATCH(452,Engine!$C$2:$C$1960,0)))</f>
        <v/>
      </c>
      <c r="B465" s="8">
        <f>IF(ISNA(MATCH(452,Engine!$C$2:$C$1960,0)),"",INDEX('Compliance Database'!$B$2:$B$1960,MATCH(452,Engine!$C$2:$C$1960,0)))</f>
        <v/>
      </c>
      <c r="C465" s="8">
        <f>IF(ISNA(MATCH(452,Engine!$C$2:$C$1960,0)),"",INDEX('Compliance Database'!$C$2:$C$1960,MATCH(452,Engine!$C$2:$C$1960,0)))</f>
        <v/>
      </c>
      <c r="D465" s="9">
        <f>IF(ISNA(MATCH(452,Engine!$C$2:$C$1960,0)),"",INDEX('Compliance Database'!$D$2:$D$1960,MATCH(452,Engine!$C$2:$C$1960,0)))</f>
        <v/>
      </c>
      <c r="E465" s="8">
        <f>IF(ISNA(MATCH(452,Engine!$C$2:$C$1960,0)),"",INDEX('Compliance Database'!$E$2:$E$1960,MATCH(452,Engine!$C$2:$C$1960,0)))</f>
        <v/>
      </c>
      <c r="F465" s="8">
        <f>IF(ISNA(MATCH(452,Engine!$C$2:$C$1960,0)),"",INDEX('Compliance Database'!$F$2:$F$1960,MATCH(452,Engine!$C$2:$C$1960,0)))</f>
        <v/>
      </c>
      <c r="G465" s="8">
        <f>IF(ISNA(MATCH(452,Engine!$C$2:$C$1960,0)),"",INDEX('Compliance Database'!$G$2:$G$1960,MATCH(452,Engine!$C$2:$C$1960,0)))</f>
        <v/>
      </c>
      <c r="H465" s="9">
        <f>IF(ISNA(MATCH(452,Engine!$C$2:$C$1960,0)),"",INDEX('Compliance Database'!$H$2:$H$1960,MATCH(452,Engine!$C$2:$C$1960,0)))</f>
        <v/>
      </c>
      <c r="I465" s="9">
        <f>IF(ISNA(MATCH(452,Engine!$C$2:$C$1960,0)),"",INDEX('Compliance Database'!$I$2:$I$1960,MATCH(452,Engine!$C$2:$C$1960,0)))</f>
        <v/>
      </c>
      <c r="J465" s="8">
        <f>IF(ISNA(MATCH(452,Engine!$C$2:$C$1960,0)),"",INDEX('Compliance Database'!$J$2:$J$1960,MATCH(452,Engine!$C$2:$C$1960,0)))</f>
        <v/>
      </c>
      <c r="K465" s="9">
        <f>IF(ISNA(MATCH(452,Engine!$C$2:$C$1960,0)),"",INDEX('Compliance Database'!$K$2:$K$1960,MATCH(452,Engine!$C$2:$C$1960,0)))</f>
        <v/>
      </c>
      <c r="L465" s="9">
        <f>IF(ISNA(MATCH(452,Engine!$C$2:$C$1960,0)),"",INDEX('Compliance Database'!$L$2:$L$1960,MATCH(452,Engine!$C$2:$C$1960,0)))</f>
        <v/>
      </c>
      <c r="M465" s="9">
        <f>IF(ISNA(MATCH(452,Engine!$C$2:$C$1960,0)),"",INDEX('Compliance Database'!$M$2:$M$1960,MATCH(452,Engine!$C$2:$C$1960,0)))</f>
        <v/>
      </c>
      <c r="N465" s="9">
        <f>IF(ISNA(MATCH(452,Engine!$C$2:$C$1960,0)),"",INDEX('Compliance Database'!$N$2:$N$1960,MATCH(452,Engine!$C$2:$C$1960,0)))</f>
        <v/>
      </c>
      <c r="O465" s="9">
        <f>IF(ISNA(MATCH(452,Engine!$C$2:$C$1960,0)),"",INDEX('Compliance Database'!$O$2:$O$1960,MATCH(452,Engine!$C$2:$C$1960,0)))</f>
        <v/>
      </c>
      <c r="P465" s="8">
        <f>IF(ISNA(MATCH(452,Engine!$C$2:$C$1960,0)),"",HYPERLINK("#Acts!A"&amp;INDEX('Compliance Database'!$P$2:$P$1960,MATCH(452,Engine!$C$2:$C$1960,0)),"Go to Act"))</f>
        <v/>
      </c>
    </row>
    <row r="466" ht="158" customHeight="1">
      <c r="A466" s="8">
        <f>IF(ISNA(MATCH(453,Engine!$C$2:$C$1960,0)),"",INDEX('Compliance Database'!$A$2:$A$1960,MATCH(453,Engine!$C$2:$C$1960,0)))</f>
        <v/>
      </c>
      <c r="B466" s="8">
        <f>IF(ISNA(MATCH(453,Engine!$C$2:$C$1960,0)),"",INDEX('Compliance Database'!$B$2:$B$1960,MATCH(453,Engine!$C$2:$C$1960,0)))</f>
        <v/>
      </c>
      <c r="C466" s="8">
        <f>IF(ISNA(MATCH(453,Engine!$C$2:$C$1960,0)),"",INDEX('Compliance Database'!$C$2:$C$1960,MATCH(453,Engine!$C$2:$C$1960,0)))</f>
        <v/>
      </c>
      <c r="D466" s="9">
        <f>IF(ISNA(MATCH(453,Engine!$C$2:$C$1960,0)),"",INDEX('Compliance Database'!$D$2:$D$1960,MATCH(453,Engine!$C$2:$C$1960,0)))</f>
        <v/>
      </c>
      <c r="E466" s="8">
        <f>IF(ISNA(MATCH(453,Engine!$C$2:$C$1960,0)),"",INDEX('Compliance Database'!$E$2:$E$1960,MATCH(453,Engine!$C$2:$C$1960,0)))</f>
        <v/>
      </c>
      <c r="F466" s="8">
        <f>IF(ISNA(MATCH(453,Engine!$C$2:$C$1960,0)),"",INDEX('Compliance Database'!$F$2:$F$1960,MATCH(453,Engine!$C$2:$C$1960,0)))</f>
        <v/>
      </c>
      <c r="G466" s="8">
        <f>IF(ISNA(MATCH(453,Engine!$C$2:$C$1960,0)),"",INDEX('Compliance Database'!$G$2:$G$1960,MATCH(453,Engine!$C$2:$C$1960,0)))</f>
        <v/>
      </c>
      <c r="H466" s="9">
        <f>IF(ISNA(MATCH(453,Engine!$C$2:$C$1960,0)),"",INDEX('Compliance Database'!$H$2:$H$1960,MATCH(453,Engine!$C$2:$C$1960,0)))</f>
        <v/>
      </c>
      <c r="I466" s="9">
        <f>IF(ISNA(MATCH(453,Engine!$C$2:$C$1960,0)),"",INDEX('Compliance Database'!$I$2:$I$1960,MATCH(453,Engine!$C$2:$C$1960,0)))</f>
        <v/>
      </c>
      <c r="J466" s="8">
        <f>IF(ISNA(MATCH(453,Engine!$C$2:$C$1960,0)),"",INDEX('Compliance Database'!$J$2:$J$1960,MATCH(453,Engine!$C$2:$C$1960,0)))</f>
        <v/>
      </c>
      <c r="K466" s="9">
        <f>IF(ISNA(MATCH(453,Engine!$C$2:$C$1960,0)),"",INDEX('Compliance Database'!$K$2:$K$1960,MATCH(453,Engine!$C$2:$C$1960,0)))</f>
        <v/>
      </c>
      <c r="L466" s="9">
        <f>IF(ISNA(MATCH(453,Engine!$C$2:$C$1960,0)),"",INDEX('Compliance Database'!$L$2:$L$1960,MATCH(453,Engine!$C$2:$C$1960,0)))</f>
        <v/>
      </c>
      <c r="M466" s="9">
        <f>IF(ISNA(MATCH(453,Engine!$C$2:$C$1960,0)),"",INDEX('Compliance Database'!$M$2:$M$1960,MATCH(453,Engine!$C$2:$C$1960,0)))</f>
        <v/>
      </c>
      <c r="N466" s="9">
        <f>IF(ISNA(MATCH(453,Engine!$C$2:$C$1960,0)),"",INDEX('Compliance Database'!$N$2:$N$1960,MATCH(453,Engine!$C$2:$C$1960,0)))</f>
        <v/>
      </c>
      <c r="O466" s="9">
        <f>IF(ISNA(MATCH(453,Engine!$C$2:$C$1960,0)),"",INDEX('Compliance Database'!$O$2:$O$1960,MATCH(453,Engine!$C$2:$C$1960,0)))</f>
        <v/>
      </c>
      <c r="P466" s="8">
        <f>IF(ISNA(MATCH(453,Engine!$C$2:$C$1960,0)),"",HYPERLINK("#Acts!A"&amp;INDEX('Compliance Database'!$P$2:$P$1960,MATCH(453,Engine!$C$2:$C$1960,0)),"Go to Act"))</f>
        <v/>
      </c>
    </row>
    <row r="467" ht="158" customHeight="1">
      <c r="A467" s="8">
        <f>IF(ISNA(MATCH(454,Engine!$C$2:$C$1960,0)),"",INDEX('Compliance Database'!$A$2:$A$1960,MATCH(454,Engine!$C$2:$C$1960,0)))</f>
        <v/>
      </c>
      <c r="B467" s="8">
        <f>IF(ISNA(MATCH(454,Engine!$C$2:$C$1960,0)),"",INDEX('Compliance Database'!$B$2:$B$1960,MATCH(454,Engine!$C$2:$C$1960,0)))</f>
        <v/>
      </c>
      <c r="C467" s="8">
        <f>IF(ISNA(MATCH(454,Engine!$C$2:$C$1960,0)),"",INDEX('Compliance Database'!$C$2:$C$1960,MATCH(454,Engine!$C$2:$C$1960,0)))</f>
        <v/>
      </c>
      <c r="D467" s="9">
        <f>IF(ISNA(MATCH(454,Engine!$C$2:$C$1960,0)),"",INDEX('Compliance Database'!$D$2:$D$1960,MATCH(454,Engine!$C$2:$C$1960,0)))</f>
        <v/>
      </c>
      <c r="E467" s="8">
        <f>IF(ISNA(MATCH(454,Engine!$C$2:$C$1960,0)),"",INDEX('Compliance Database'!$E$2:$E$1960,MATCH(454,Engine!$C$2:$C$1960,0)))</f>
        <v/>
      </c>
      <c r="F467" s="8">
        <f>IF(ISNA(MATCH(454,Engine!$C$2:$C$1960,0)),"",INDEX('Compliance Database'!$F$2:$F$1960,MATCH(454,Engine!$C$2:$C$1960,0)))</f>
        <v/>
      </c>
      <c r="G467" s="8">
        <f>IF(ISNA(MATCH(454,Engine!$C$2:$C$1960,0)),"",INDEX('Compliance Database'!$G$2:$G$1960,MATCH(454,Engine!$C$2:$C$1960,0)))</f>
        <v/>
      </c>
      <c r="H467" s="9">
        <f>IF(ISNA(MATCH(454,Engine!$C$2:$C$1960,0)),"",INDEX('Compliance Database'!$H$2:$H$1960,MATCH(454,Engine!$C$2:$C$1960,0)))</f>
        <v/>
      </c>
      <c r="I467" s="9">
        <f>IF(ISNA(MATCH(454,Engine!$C$2:$C$1960,0)),"",INDEX('Compliance Database'!$I$2:$I$1960,MATCH(454,Engine!$C$2:$C$1960,0)))</f>
        <v/>
      </c>
      <c r="J467" s="8">
        <f>IF(ISNA(MATCH(454,Engine!$C$2:$C$1960,0)),"",INDEX('Compliance Database'!$J$2:$J$1960,MATCH(454,Engine!$C$2:$C$1960,0)))</f>
        <v/>
      </c>
      <c r="K467" s="9">
        <f>IF(ISNA(MATCH(454,Engine!$C$2:$C$1960,0)),"",INDEX('Compliance Database'!$K$2:$K$1960,MATCH(454,Engine!$C$2:$C$1960,0)))</f>
        <v/>
      </c>
      <c r="L467" s="9">
        <f>IF(ISNA(MATCH(454,Engine!$C$2:$C$1960,0)),"",INDEX('Compliance Database'!$L$2:$L$1960,MATCH(454,Engine!$C$2:$C$1960,0)))</f>
        <v/>
      </c>
      <c r="M467" s="9">
        <f>IF(ISNA(MATCH(454,Engine!$C$2:$C$1960,0)),"",INDEX('Compliance Database'!$M$2:$M$1960,MATCH(454,Engine!$C$2:$C$1960,0)))</f>
        <v/>
      </c>
      <c r="N467" s="9">
        <f>IF(ISNA(MATCH(454,Engine!$C$2:$C$1960,0)),"",INDEX('Compliance Database'!$N$2:$N$1960,MATCH(454,Engine!$C$2:$C$1960,0)))</f>
        <v/>
      </c>
      <c r="O467" s="9">
        <f>IF(ISNA(MATCH(454,Engine!$C$2:$C$1960,0)),"",INDEX('Compliance Database'!$O$2:$O$1960,MATCH(454,Engine!$C$2:$C$1960,0)))</f>
        <v/>
      </c>
      <c r="P467" s="8">
        <f>IF(ISNA(MATCH(454,Engine!$C$2:$C$1960,0)),"",HYPERLINK("#Acts!A"&amp;INDEX('Compliance Database'!$P$2:$P$1960,MATCH(454,Engine!$C$2:$C$1960,0)),"Go to Act"))</f>
        <v/>
      </c>
    </row>
    <row r="468" ht="158" customHeight="1">
      <c r="A468" s="8">
        <f>IF(ISNA(MATCH(455,Engine!$C$2:$C$1960,0)),"",INDEX('Compliance Database'!$A$2:$A$1960,MATCH(455,Engine!$C$2:$C$1960,0)))</f>
        <v/>
      </c>
      <c r="B468" s="8">
        <f>IF(ISNA(MATCH(455,Engine!$C$2:$C$1960,0)),"",INDEX('Compliance Database'!$B$2:$B$1960,MATCH(455,Engine!$C$2:$C$1960,0)))</f>
        <v/>
      </c>
      <c r="C468" s="8">
        <f>IF(ISNA(MATCH(455,Engine!$C$2:$C$1960,0)),"",INDEX('Compliance Database'!$C$2:$C$1960,MATCH(455,Engine!$C$2:$C$1960,0)))</f>
        <v/>
      </c>
      <c r="D468" s="9">
        <f>IF(ISNA(MATCH(455,Engine!$C$2:$C$1960,0)),"",INDEX('Compliance Database'!$D$2:$D$1960,MATCH(455,Engine!$C$2:$C$1960,0)))</f>
        <v/>
      </c>
      <c r="E468" s="8">
        <f>IF(ISNA(MATCH(455,Engine!$C$2:$C$1960,0)),"",INDEX('Compliance Database'!$E$2:$E$1960,MATCH(455,Engine!$C$2:$C$1960,0)))</f>
        <v/>
      </c>
      <c r="F468" s="8">
        <f>IF(ISNA(MATCH(455,Engine!$C$2:$C$1960,0)),"",INDEX('Compliance Database'!$F$2:$F$1960,MATCH(455,Engine!$C$2:$C$1960,0)))</f>
        <v/>
      </c>
      <c r="G468" s="8">
        <f>IF(ISNA(MATCH(455,Engine!$C$2:$C$1960,0)),"",INDEX('Compliance Database'!$G$2:$G$1960,MATCH(455,Engine!$C$2:$C$1960,0)))</f>
        <v/>
      </c>
      <c r="H468" s="9">
        <f>IF(ISNA(MATCH(455,Engine!$C$2:$C$1960,0)),"",INDEX('Compliance Database'!$H$2:$H$1960,MATCH(455,Engine!$C$2:$C$1960,0)))</f>
        <v/>
      </c>
      <c r="I468" s="9">
        <f>IF(ISNA(MATCH(455,Engine!$C$2:$C$1960,0)),"",INDEX('Compliance Database'!$I$2:$I$1960,MATCH(455,Engine!$C$2:$C$1960,0)))</f>
        <v/>
      </c>
      <c r="J468" s="8">
        <f>IF(ISNA(MATCH(455,Engine!$C$2:$C$1960,0)),"",INDEX('Compliance Database'!$J$2:$J$1960,MATCH(455,Engine!$C$2:$C$1960,0)))</f>
        <v/>
      </c>
      <c r="K468" s="9">
        <f>IF(ISNA(MATCH(455,Engine!$C$2:$C$1960,0)),"",INDEX('Compliance Database'!$K$2:$K$1960,MATCH(455,Engine!$C$2:$C$1960,0)))</f>
        <v/>
      </c>
      <c r="L468" s="9">
        <f>IF(ISNA(MATCH(455,Engine!$C$2:$C$1960,0)),"",INDEX('Compliance Database'!$L$2:$L$1960,MATCH(455,Engine!$C$2:$C$1960,0)))</f>
        <v/>
      </c>
      <c r="M468" s="9">
        <f>IF(ISNA(MATCH(455,Engine!$C$2:$C$1960,0)),"",INDEX('Compliance Database'!$M$2:$M$1960,MATCH(455,Engine!$C$2:$C$1960,0)))</f>
        <v/>
      </c>
      <c r="N468" s="9">
        <f>IF(ISNA(MATCH(455,Engine!$C$2:$C$1960,0)),"",INDEX('Compliance Database'!$N$2:$N$1960,MATCH(455,Engine!$C$2:$C$1960,0)))</f>
        <v/>
      </c>
      <c r="O468" s="9">
        <f>IF(ISNA(MATCH(455,Engine!$C$2:$C$1960,0)),"",INDEX('Compliance Database'!$O$2:$O$1960,MATCH(455,Engine!$C$2:$C$1960,0)))</f>
        <v/>
      </c>
      <c r="P468" s="8">
        <f>IF(ISNA(MATCH(455,Engine!$C$2:$C$1960,0)),"",HYPERLINK("#Acts!A"&amp;INDEX('Compliance Database'!$P$2:$P$1960,MATCH(455,Engine!$C$2:$C$1960,0)),"Go to Act"))</f>
        <v/>
      </c>
    </row>
    <row r="469" ht="158" customHeight="1">
      <c r="A469" s="8">
        <f>IF(ISNA(MATCH(456,Engine!$C$2:$C$1960,0)),"",INDEX('Compliance Database'!$A$2:$A$1960,MATCH(456,Engine!$C$2:$C$1960,0)))</f>
        <v/>
      </c>
      <c r="B469" s="8">
        <f>IF(ISNA(MATCH(456,Engine!$C$2:$C$1960,0)),"",INDEX('Compliance Database'!$B$2:$B$1960,MATCH(456,Engine!$C$2:$C$1960,0)))</f>
        <v/>
      </c>
      <c r="C469" s="8">
        <f>IF(ISNA(MATCH(456,Engine!$C$2:$C$1960,0)),"",INDEX('Compliance Database'!$C$2:$C$1960,MATCH(456,Engine!$C$2:$C$1960,0)))</f>
        <v/>
      </c>
      <c r="D469" s="9">
        <f>IF(ISNA(MATCH(456,Engine!$C$2:$C$1960,0)),"",INDEX('Compliance Database'!$D$2:$D$1960,MATCH(456,Engine!$C$2:$C$1960,0)))</f>
        <v/>
      </c>
      <c r="E469" s="8">
        <f>IF(ISNA(MATCH(456,Engine!$C$2:$C$1960,0)),"",INDEX('Compliance Database'!$E$2:$E$1960,MATCH(456,Engine!$C$2:$C$1960,0)))</f>
        <v/>
      </c>
      <c r="F469" s="8">
        <f>IF(ISNA(MATCH(456,Engine!$C$2:$C$1960,0)),"",INDEX('Compliance Database'!$F$2:$F$1960,MATCH(456,Engine!$C$2:$C$1960,0)))</f>
        <v/>
      </c>
      <c r="G469" s="8">
        <f>IF(ISNA(MATCH(456,Engine!$C$2:$C$1960,0)),"",INDEX('Compliance Database'!$G$2:$G$1960,MATCH(456,Engine!$C$2:$C$1960,0)))</f>
        <v/>
      </c>
      <c r="H469" s="9">
        <f>IF(ISNA(MATCH(456,Engine!$C$2:$C$1960,0)),"",INDEX('Compliance Database'!$H$2:$H$1960,MATCH(456,Engine!$C$2:$C$1960,0)))</f>
        <v/>
      </c>
      <c r="I469" s="9">
        <f>IF(ISNA(MATCH(456,Engine!$C$2:$C$1960,0)),"",INDEX('Compliance Database'!$I$2:$I$1960,MATCH(456,Engine!$C$2:$C$1960,0)))</f>
        <v/>
      </c>
      <c r="J469" s="8">
        <f>IF(ISNA(MATCH(456,Engine!$C$2:$C$1960,0)),"",INDEX('Compliance Database'!$J$2:$J$1960,MATCH(456,Engine!$C$2:$C$1960,0)))</f>
        <v/>
      </c>
      <c r="K469" s="9">
        <f>IF(ISNA(MATCH(456,Engine!$C$2:$C$1960,0)),"",INDEX('Compliance Database'!$K$2:$K$1960,MATCH(456,Engine!$C$2:$C$1960,0)))</f>
        <v/>
      </c>
      <c r="L469" s="9">
        <f>IF(ISNA(MATCH(456,Engine!$C$2:$C$1960,0)),"",INDEX('Compliance Database'!$L$2:$L$1960,MATCH(456,Engine!$C$2:$C$1960,0)))</f>
        <v/>
      </c>
      <c r="M469" s="9">
        <f>IF(ISNA(MATCH(456,Engine!$C$2:$C$1960,0)),"",INDEX('Compliance Database'!$M$2:$M$1960,MATCH(456,Engine!$C$2:$C$1960,0)))</f>
        <v/>
      </c>
      <c r="N469" s="9">
        <f>IF(ISNA(MATCH(456,Engine!$C$2:$C$1960,0)),"",INDEX('Compliance Database'!$N$2:$N$1960,MATCH(456,Engine!$C$2:$C$1960,0)))</f>
        <v/>
      </c>
      <c r="O469" s="9">
        <f>IF(ISNA(MATCH(456,Engine!$C$2:$C$1960,0)),"",INDEX('Compliance Database'!$O$2:$O$1960,MATCH(456,Engine!$C$2:$C$1960,0)))</f>
        <v/>
      </c>
      <c r="P469" s="8">
        <f>IF(ISNA(MATCH(456,Engine!$C$2:$C$1960,0)),"",HYPERLINK("#Acts!A"&amp;INDEX('Compliance Database'!$P$2:$P$1960,MATCH(456,Engine!$C$2:$C$1960,0)),"Go to Act"))</f>
        <v/>
      </c>
    </row>
    <row r="470" ht="158" customHeight="1">
      <c r="A470" s="8">
        <f>IF(ISNA(MATCH(457,Engine!$C$2:$C$1960,0)),"",INDEX('Compliance Database'!$A$2:$A$1960,MATCH(457,Engine!$C$2:$C$1960,0)))</f>
        <v/>
      </c>
      <c r="B470" s="8">
        <f>IF(ISNA(MATCH(457,Engine!$C$2:$C$1960,0)),"",INDEX('Compliance Database'!$B$2:$B$1960,MATCH(457,Engine!$C$2:$C$1960,0)))</f>
        <v/>
      </c>
      <c r="C470" s="8">
        <f>IF(ISNA(MATCH(457,Engine!$C$2:$C$1960,0)),"",INDEX('Compliance Database'!$C$2:$C$1960,MATCH(457,Engine!$C$2:$C$1960,0)))</f>
        <v/>
      </c>
      <c r="D470" s="9">
        <f>IF(ISNA(MATCH(457,Engine!$C$2:$C$1960,0)),"",INDEX('Compliance Database'!$D$2:$D$1960,MATCH(457,Engine!$C$2:$C$1960,0)))</f>
        <v/>
      </c>
      <c r="E470" s="8">
        <f>IF(ISNA(MATCH(457,Engine!$C$2:$C$1960,0)),"",INDEX('Compliance Database'!$E$2:$E$1960,MATCH(457,Engine!$C$2:$C$1960,0)))</f>
        <v/>
      </c>
      <c r="F470" s="8">
        <f>IF(ISNA(MATCH(457,Engine!$C$2:$C$1960,0)),"",INDEX('Compliance Database'!$F$2:$F$1960,MATCH(457,Engine!$C$2:$C$1960,0)))</f>
        <v/>
      </c>
      <c r="G470" s="8">
        <f>IF(ISNA(MATCH(457,Engine!$C$2:$C$1960,0)),"",INDEX('Compliance Database'!$G$2:$G$1960,MATCH(457,Engine!$C$2:$C$1960,0)))</f>
        <v/>
      </c>
      <c r="H470" s="9">
        <f>IF(ISNA(MATCH(457,Engine!$C$2:$C$1960,0)),"",INDEX('Compliance Database'!$H$2:$H$1960,MATCH(457,Engine!$C$2:$C$1960,0)))</f>
        <v/>
      </c>
      <c r="I470" s="9">
        <f>IF(ISNA(MATCH(457,Engine!$C$2:$C$1960,0)),"",INDEX('Compliance Database'!$I$2:$I$1960,MATCH(457,Engine!$C$2:$C$1960,0)))</f>
        <v/>
      </c>
      <c r="J470" s="8">
        <f>IF(ISNA(MATCH(457,Engine!$C$2:$C$1960,0)),"",INDEX('Compliance Database'!$J$2:$J$1960,MATCH(457,Engine!$C$2:$C$1960,0)))</f>
        <v/>
      </c>
      <c r="K470" s="9">
        <f>IF(ISNA(MATCH(457,Engine!$C$2:$C$1960,0)),"",INDEX('Compliance Database'!$K$2:$K$1960,MATCH(457,Engine!$C$2:$C$1960,0)))</f>
        <v/>
      </c>
      <c r="L470" s="9">
        <f>IF(ISNA(MATCH(457,Engine!$C$2:$C$1960,0)),"",INDEX('Compliance Database'!$L$2:$L$1960,MATCH(457,Engine!$C$2:$C$1960,0)))</f>
        <v/>
      </c>
      <c r="M470" s="9">
        <f>IF(ISNA(MATCH(457,Engine!$C$2:$C$1960,0)),"",INDEX('Compliance Database'!$M$2:$M$1960,MATCH(457,Engine!$C$2:$C$1960,0)))</f>
        <v/>
      </c>
      <c r="N470" s="9">
        <f>IF(ISNA(MATCH(457,Engine!$C$2:$C$1960,0)),"",INDEX('Compliance Database'!$N$2:$N$1960,MATCH(457,Engine!$C$2:$C$1960,0)))</f>
        <v/>
      </c>
      <c r="O470" s="9">
        <f>IF(ISNA(MATCH(457,Engine!$C$2:$C$1960,0)),"",INDEX('Compliance Database'!$O$2:$O$1960,MATCH(457,Engine!$C$2:$C$1960,0)))</f>
        <v/>
      </c>
      <c r="P470" s="8">
        <f>IF(ISNA(MATCH(457,Engine!$C$2:$C$1960,0)),"",HYPERLINK("#Acts!A"&amp;INDEX('Compliance Database'!$P$2:$P$1960,MATCH(457,Engine!$C$2:$C$1960,0)),"Go to Act"))</f>
        <v/>
      </c>
    </row>
    <row r="471" ht="158" customHeight="1">
      <c r="A471" s="8">
        <f>IF(ISNA(MATCH(458,Engine!$C$2:$C$1960,0)),"",INDEX('Compliance Database'!$A$2:$A$1960,MATCH(458,Engine!$C$2:$C$1960,0)))</f>
        <v/>
      </c>
      <c r="B471" s="8">
        <f>IF(ISNA(MATCH(458,Engine!$C$2:$C$1960,0)),"",INDEX('Compliance Database'!$B$2:$B$1960,MATCH(458,Engine!$C$2:$C$1960,0)))</f>
        <v/>
      </c>
      <c r="C471" s="8">
        <f>IF(ISNA(MATCH(458,Engine!$C$2:$C$1960,0)),"",INDEX('Compliance Database'!$C$2:$C$1960,MATCH(458,Engine!$C$2:$C$1960,0)))</f>
        <v/>
      </c>
      <c r="D471" s="9">
        <f>IF(ISNA(MATCH(458,Engine!$C$2:$C$1960,0)),"",INDEX('Compliance Database'!$D$2:$D$1960,MATCH(458,Engine!$C$2:$C$1960,0)))</f>
        <v/>
      </c>
      <c r="E471" s="8">
        <f>IF(ISNA(MATCH(458,Engine!$C$2:$C$1960,0)),"",INDEX('Compliance Database'!$E$2:$E$1960,MATCH(458,Engine!$C$2:$C$1960,0)))</f>
        <v/>
      </c>
      <c r="F471" s="8">
        <f>IF(ISNA(MATCH(458,Engine!$C$2:$C$1960,0)),"",INDEX('Compliance Database'!$F$2:$F$1960,MATCH(458,Engine!$C$2:$C$1960,0)))</f>
        <v/>
      </c>
      <c r="G471" s="8">
        <f>IF(ISNA(MATCH(458,Engine!$C$2:$C$1960,0)),"",INDEX('Compliance Database'!$G$2:$G$1960,MATCH(458,Engine!$C$2:$C$1960,0)))</f>
        <v/>
      </c>
      <c r="H471" s="9">
        <f>IF(ISNA(MATCH(458,Engine!$C$2:$C$1960,0)),"",INDEX('Compliance Database'!$H$2:$H$1960,MATCH(458,Engine!$C$2:$C$1960,0)))</f>
        <v/>
      </c>
      <c r="I471" s="9">
        <f>IF(ISNA(MATCH(458,Engine!$C$2:$C$1960,0)),"",INDEX('Compliance Database'!$I$2:$I$1960,MATCH(458,Engine!$C$2:$C$1960,0)))</f>
        <v/>
      </c>
      <c r="J471" s="8">
        <f>IF(ISNA(MATCH(458,Engine!$C$2:$C$1960,0)),"",INDEX('Compliance Database'!$J$2:$J$1960,MATCH(458,Engine!$C$2:$C$1960,0)))</f>
        <v/>
      </c>
      <c r="K471" s="9">
        <f>IF(ISNA(MATCH(458,Engine!$C$2:$C$1960,0)),"",INDEX('Compliance Database'!$K$2:$K$1960,MATCH(458,Engine!$C$2:$C$1960,0)))</f>
        <v/>
      </c>
      <c r="L471" s="9">
        <f>IF(ISNA(MATCH(458,Engine!$C$2:$C$1960,0)),"",INDEX('Compliance Database'!$L$2:$L$1960,MATCH(458,Engine!$C$2:$C$1960,0)))</f>
        <v/>
      </c>
      <c r="M471" s="9">
        <f>IF(ISNA(MATCH(458,Engine!$C$2:$C$1960,0)),"",INDEX('Compliance Database'!$M$2:$M$1960,MATCH(458,Engine!$C$2:$C$1960,0)))</f>
        <v/>
      </c>
      <c r="N471" s="9">
        <f>IF(ISNA(MATCH(458,Engine!$C$2:$C$1960,0)),"",INDEX('Compliance Database'!$N$2:$N$1960,MATCH(458,Engine!$C$2:$C$1960,0)))</f>
        <v/>
      </c>
      <c r="O471" s="9">
        <f>IF(ISNA(MATCH(458,Engine!$C$2:$C$1960,0)),"",INDEX('Compliance Database'!$O$2:$O$1960,MATCH(458,Engine!$C$2:$C$1960,0)))</f>
        <v/>
      </c>
      <c r="P471" s="8">
        <f>IF(ISNA(MATCH(458,Engine!$C$2:$C$1960,0)),"",HYPERLINK("#Acts!A"&amp;INDEX('Compliance Database'!$P$2:$P$1960,MATCH(458,Engine!$C$2:$C$1960,0)),"Go to Act"))</f>
        <v/>
      </c>
    </row>
    <row r="472" ht="158" customHeight="1">
      <c r="A472" s="8">
        <f>IF(ISNA(MATCH(459,Engine!$C$2:$C$1960,0)),"",INDEX('Compliance Database'!$A$2:$A$1960,MATCH(459,Engine!$C$2:$C$1960,0)))</f>
        <v/>
      </c>
      <c r="B472" s="8">
        <f>IF(ISNA(MATCH(459,Engine!$C$2:$C$1960,0)),"",INDEX('Compliance Database'!$B$2:$B$1960,MATCH(459,Engine!$C$2:$C$1960,0)))</f>
        <v/>
      </c>
      <c r="C472" s="8">
        <f>IF(ISNA(MATCH(459,Engine!$C$2:$C$1960,0)),"",INDEX('Compliance Database'!$C$2:$C$1960,MATCH(459,Engine!$C$2:$C$1960,0)))</f>
        <v/>
      </c>
      <c r="D472" s="9">
        <f>IF(ISNA(MATCH(459,Engine!$C$2:$C$1960,0)),"",INDEX('Compliance Database'!$D$2:$D$1960,MATCH(459,Engine!$C$2:$C$1960,0)))</f>
        <v/>
      </c>
      <c r="E472" s="8">
        <f>IF(ISNA(MATCH(459,Engine!$C$2:$C$1960,0)),"",INDEX('Compliance Database'!$E$2:$E$1960,MATCH(459,Engine!$C$2:$C$1960,0)))</f>
        <v/>
      </c>
      <c r="F472" s="8">
        <f>IF(ISNA(MATCH(459,Engine!$C$2:$C$1960,0)),"",INDEX('Compliance Database'!$F$2:$F$1960,MATCH(459,Engine!$C$2:$C$1960,0)))</f>
        <v/>
      </c>
      <c r="G472" s="8">
        <f>IF(ISNA(MATCH(459,Engine!$C$2:$C$1960,0)),"",INDEX('Compliance Database'!$G$2:$G$1960,MATCH(459,Engine!$C$2:$C$1960,0)))</f>
        <v/>
      </c>
      <c r="H472" s="9">
        <f>IF(ISNA(MATCH(459,Engine!$C$2:$C$1960,0)),"",INDEX('Compliance Database'!$H$2:$H$1960,MATCH(459,Engine!$C$2:$C$1960,0)))</f>
        <v/>
      </c>
      <c r="I472" s="9">
        <f>IF(ISNA(MATCH(459,Engine!$C$2:$C$1960,0)),"",INDEX('Compliance Database'!$I$2:$I$1960,MATCH(459,Engine!$C$2:$C$1960,0)))</f>
        <v/>
      </c>
      <c r="J472" s="8">
        <f>IF(ISNA(MATCH(459,Engine!$C$2:$C$1960,0)),"",INDEX('Compliance Database'!$J$2:$J$1960,MATCH(459,Engine!$C$2:$C$1960,0)))</f>
        <v/>
      </c>
      <c r="K472" s="9">
        <f>IF(ISNA(MATCH(459,Engine!$C$2:$C$1960,0)),"",INDEX('Compliance Database'!$K$2:$K$1960,MATCH(459,Engine!$C$2:$C$1960,0)))</f>
        <v/>
      </c>
      <c r="L472" s="9">
        <f>IF(ISNA(MATCH(459,Engine!$C$2:$C$1960,0)),"",INDEX('Compliance Database'!$L$2:$L$1960,MATCH(459,Engine!$C$2:$C$1960,0)))</f>
        <v/>
      </c>
      <c r="M472" s="9">
        <f>IF(ISNA(MATCH(459,Engine!$C$2:$C$1960,0)),"",INDEX('Compliance Database'!$M$2:$M$1960,MATCH(459,Engine!$C$2:$C$1960,0)))</f>
        <v/>
      </c>
      <c r="N472" s="9">
        <f>IF(ISNA(MATCH(459,Engine!$C$2:$C$1960,0)),"",INDEX('Compliance Database'!$N$2:$N$1960,MATCH(459,Engine!$C$2:$C$1960,0)))</f>
        <v/>
      </c>
      <c r="O472" s="9">
        <f>IF(ISNA(MATCH(459,Engine!$C$2:$C$1960,0)),"",INDEX('Compliance Database'!$O$2:$O$1960,MATCH(459,Engine!$C$2:$C$1960,0)))</f>
        <v/>
      </c>
      <c r="P472" s="8">
        <f>IF(ISNA(MATCH(459,Engine!$C$2:$C$1960,0)),"",HYPERLINK("#Acts!A"&amp;INDEX('Compliance Database'!$P$2:$P$1960,MATCH(459,Engine!$C$2:$C$1960,0)),"Go to Act"))</f>
        <v/>
      </c>
    </row>
    <row r="473" ht="158" customHeight="1">
      <c r="A473" s="8">
        <f>IF(ISNA(MATCH(460,Engine!$C$2:$C$1960,0)),"",INDEX('Compliance Database'!$A$2:$A$1960,MATCH(460,Engine!$C$2:$C$1960,0)))</f>
        <v/>
      </c>
      <c r="B473" s="8">
        <f>IF(ISNA(MATCH(460,Engine!$C$2:$C$1960,0)),"",INDEX('Compliance Database'!$B$2:$B$1960,MATCH(460,Engine!$C$2:$C$1960,0)))</f>
        <v/>
      </c>
      <c r="C473" s="8">
        <f>IF(ISNA(MATCH(460,Engine!$C$2:$C$1960,0)),"",INDEX('Compliance Database'!$C$2:$C$1960,MATCH(460,Engine!$C$2:$C$1960,0)))</f>
        <v/>
      </c>
      <c r="D473" s="9">
        <f>IF(ISNA(MATCH(460,Engine!$C$2:$C$1960,0)),"",INDEX('Compliance Database'!$D$2:$D$1960,MATCH(460,Engine!$C$2:$C$1960,0)))</f>
        <v/>
      </c>
      <c r="E473" s="8">
        <f>IF(ISNA(MATCH(460,Engine!$C$2:$C$1960,0)),"",INDEX('Compliance Database'!$E$2:$E$1960,MATCH(460,Engine!$C$2:$C$1960,0)))</f>
        <v/>
      </c>
      <c r="F473" s="8">
        <f>IF(ISNA(MATCH(460,Engine!$C$2:$C$1960,0)),"",INDEX('Compliance Database'!$F$2:$F$1960,MATCH(460,Engine!$C$2:$C$1960,0)))</f>
        <v/>
      </c>
      <c r="G473" s="8">
        <f>IF(ISNA(MATCH(460,Engine!$C$2:$C$1960,0)),"",INDEX('Compliance Database'!$G$2:$G$1960,MATCH(460,Engine!$C$2:$C$1960,0)))</f>
        <v/>
      </c>
      <c r="H473" s="9">
        <f>IF(ISNA(MATCH(460,Engine!$C$2:$C$1960,0)),"",INDEX('Compliance Database'!$H$2:$H$1960,MATCH(460,Engine!$C$2:$C$1960,0)))</f>
        <v/>
      </c>
      <c r="I473" s="9">
        <f>IF(ISNA(MATCH(460,Engine!$C$2:$C$1960,0)),"",INDEX('Compliance Database'!$I$2:$I$1960,MATCH(460,Engine!$C$2:$C$1960,0)))</f>
        <v/>
      </c>
      <c r="J473" s="8">
        <f>IF(ISNA(MATCH(460,Engine!$C$2:$C$1960,0)),"",INDEX('Compliance Database'!$J$2:$J$1960,MATCH(460,Engine!$C$2:$C$1960,0)))</f>
        <v/>
      </c>
      <c r="K473" s="9">
        <f>IF(ISNA(MATCH(460,Engine!$C$2:$C$1960,0)),"",INDEX('Compliance Database'!$K$2:$K$1960,MATCH(460,Engine!$C$2:$C$1960,0)))</f>
        <v/>
      </c>
      <c r="L473" s="9">
        <f>IF(ISNA(MATCH(460,Engine!$C$2:$C$1960,0)),"",INDEX('Compliance Database'!$L$2:$L$1960,MATCH(460,Engine!$C$2:$C$1960,0)))</f>
        <v/>
      </c>
      <c r="M473" s="9">
        <f>IF(ISNA(MATCH(460,Engine!$C$2:$C$1960,0)),"",INDEX('Compliance Database'!$M$2:$M$1960,MATCH(460,Engine!$C$2:$C$1960,0)))</f>
        <v/>
      </c>
      <c r="N473" s="9">
        <f>IF(ISNA(MATCH(460,Engine!$C$2:$C$1960,0)),"",INDEX('Compliance Database'!$N$2:$N$1960,MATCH(460,Engine!$C$2:$C$1960,0)))</f>
        <v/>
      </c>
      <c r="O473" s="9">
        <f>IF(ISNA(MATCH(460,Engine!$C$2:$C$1960,0)),"",INDEX('Compliance Database'!$O$2:$O$1960,MATCH(460,Engine!$C$2:$C$1960,0)))</f>
        <v/>
      </c>
      <c r="P473" s="8">
        <f>IF(ISNA(MATCH(460,Engine!$C$2:$C$1960,0)),"",HYPERLINK("#Acts!A"&amp;INDEX('Compliance Database'!$P$2:$P$1960,MATCH(460,Engine!$C$2:$C$1960,0)),"Go to Act"))</f>
        <v/>
      </c>
    </row>
    <row r="474" ht="158" customHeight="1">
      <c r="A474" s="8">
        <f>IF(ISNA(MATCH(461,Engine!$C$2:$C$1960,0)),"",INDEX('Compliance Database'!$A$2:$A$1960,MATCH(461,Engine!$C$2:$C$1960,0)))</f>
        <v/>
      </c>
      <c r="B474" s="8">
        <f>IF(ISNA(MATCH(461,Engine!$C$2:$C$1960,0)),"",INDEX('Compliance Database'!$B$2:$B$1960,MATCH(461,Engine!$C$2:$C$1960,0)))</f>
        <v/>
      </c>
      <c r="C474" s="8">
        <f>IF(ISNA(MATCH(461,Engine!$C$2:$C$1960,0)),"",INDEX('Compliance Database'!$C$2:$C$1960,MATCH(461,Engine!$C$2:$C$1960,0)))</f>
        <v/>
      </c>
      <c r="D474" s="9">
        <f>IF(ISNA(MATCH(461,Engine!$C$2:$C$1960,0)),"",INDEX('Compliance Database'!$D$2:$D$1960,MATCH(461,Engine!$C$2:$C$1960,0)))</f>
        <v/>
      </c>
      <c r="E474" s="8">
        <f>IF(ISNA(MATCH(461,Engine!$C$2:$C$1960,0)),"",INDEX('Compliance Database'!$E$2:$E$1960,MATCH(461,Engine!$C$2:$C$1960,0)))</f>
        <v/>
      </c>
      <c r="F474" s="8">
        <f>IF(ISNA(MATCH(461,Engine!$C$2:$C$1960,0)),"",INDEX('Compliance Database'!$F$2:$F$1960,MATCH(461,Engine!$C$2:$C$1960,0)))</f>
        <v/>
      </c>
      <c r="G474" s="8">
        <f>IF(ISNA(MATCH(461,Engine!$C$2:$C$1960,0)),"",INDEX('Compliance Database'!$G$2:$G$1960,MATCH(461,Engine!$C$2:$C$1960,0)))</f>
        <v/>
      </c>
      <c r="H474" s="9">
        <f>IF(ISNA(MATCH(461,Engine!$C$2:$C$1960,0)),"",INDEX('Compliance Database'!$H$2:$H$1960,MATCH(461,Engine!$C$2:$C$1960,0)))</f>
        <v/>
      </c>
      <c r="I474" s="9">
        <f>IF(ISNA(MATCH(461,Engine!$C$2:$C$1960,0)),"",INDEX('Compliance Database'!$I$2:$I$1960,MATCH(461,Engine!$C$2:$C$1960,0)))</f>
        <v/>
      </c>
      <c r="J474" s="8">
        <f>IF(ISNA(MATCH(461,Engine!$C$2:$C$1960,0)),"",INDEX('Compliance Database'!$J$2:$J$1960,MATCH(461,Engine!$C$2:$C$1960,0)))</f>
        <v/>
      </c>
      <c r="K474" s="9">
        <f>IF(ISNA(MATCH(461,Engine!$C$2:$C$1960,0)),"",INDEX('Compliance Database'!$K$2:$K$1960,MATCH(461,Engine!$C$2:$C$1960,0)))</f>
        <v/>
      </c>
      <c r="L474" s="9">
        <f>IF(ISNA(MATCH(461,Engine!$C$2:$C$1960,0)),"",INDEX('Compliance Database'!$L$2:$L$1960,MATCH(461,Engine!$C$2:$C$1960,0)))</f>
        <v/>
      </c>
      <c r="M474" s="9">
        <f>IF(ISNA(MATCH(461,Engine!$C$2:$C$1960,0)),"",INDEX('Compliance Database'!$M$2:$M$1960,MATCH(461,Engine!$C$2:$C$1960,0)))</f>
        <v/>
      </c>
      <c r="N474" s="9">
        <f>IF(ISNA(MATCH(461,Engine!$C$2:$C$1960,0)),"",INDEX('Compliance Database'!$N$2:$N$1960,MATCH(461,Engine!$C$2:$C$1960,0)))</f>
        <v/>
      </c>
      <c r="O474" s="9">
        <f>IF(ISNA(MATCH(461,Engine!$C$2:$C$1960,0)),"",INDEX('Compliance Database'!$O$2:$O$1960,MATCH(461,Engine!$C$2:$C$1960,0)))</f>
        <v/>
      </c>
      <c r="P474" s="8">
        <f>IF(ISNA(MATCH(461,Engine!$C$2:$C$1960,0)),"",HYPERLINK("#Acts!A"&amp;INDEX('Compliance Database'!$P$2:$P$1960,MATCH(461,Engine!$C$2:$C$1960,0)),"Go to Act"))</f>
        <v/>
      </c>
    </row>
    <row r="475" ht="158" customHeight="1">
      <c r="A475" s="8">
        <f>IF(ISNA(MATCH(462,Engine!$C$2:$C$1960,0)),"",INDEX('Compliance Database'!$A$2:$A$1960,MATCH(462,Engine!$C$2:$C$1960,0)))</f>
        <v/>
      </c>
      <c r="B475" s="8">
        <f>IF(ISNA(MATCH(462,Engine!$C$2:$C$1960,0)),"",INDEX('Compliance Database'!$B$2:$B$1960,MATCH(462,Engine!$C$2:$C$1960,0)))</f>
        <v/>
      </c>
      <c r="C475" s="8">
        <f>IF(ISNA(MATCH(462,Engine!$C$2:$C$1960,0)),"",INDEX('Compliance Database'!$C$2:$C$1960,MATCH(462,Engine!$C$2:$C$1960,0)))</f>
        <v/>
      </c>
      <c r="D475" s="9">
        <f>IF(ISNA(MATCH(462,Engine!$C$2:$C$1960,0)),"",INDEX('Compliance Database'!$D$2:$D$1960,MATCH(462,Engine!$C$2:$C$1960,0)))</f>
        <v/>
      </c>
      <c r="E475" s="8">
        <f>IF(ISNA(MATCH(462,Engine!$C$2:$C$1960,0)),"",INDEX('Compliance Database'!$E$2:$E$1960,MATCH(462,Engine!$C$2:$C$1960,0)))</f>
        <v/>
      </c>
      <c r="F475" s="8">
        <f>IF(ISNA(MATCH(462,Engine!$C$2:$C$1960,0)),"",INDEX('Compliance Database'!$F$2:$F$1960,MATCH(462,Engine!$C$2:$C$1960,0)))</f>
        <v/>
      </c>
      <c r="G475" s="8">
        <f>IF(ISNA(MATCH(462,Engine!$C$2:$C$1960,0)),"",INDEX('Compliance Database'!$G$2:$G$1960,MATCH(462,Engine!$C$2:$C$1960,0)))</f>
        <v/>
      </c>
      <c r="H475" s="9">
        <f>IF(ISNA(MATCH(462,Engine!$C$2:$C$1960,0)),"",INDEX('Compliance Database'!$H$2:$H$1960,MATCH(462,Engine!$C$2:$C$1960,0)))</f>
        <v/>
      </c>
      <c r="I475" s="9">
        <f>IF(ISNA(MATCH(462,Engine!$C$2:$C$1960,0)),"",INDEX('Compliance Database'!$I$2:$I$1960,MATCH(462,Engine!$C$2:$C$1960,0)))</f>
        <v/>
      </c>
      <c r="J475" s="8">
        <f>IF(ISNA(MATCH(462,Engine!$C$2:$C$1960,0)),"",INDEX('Compliance Database'!$J$2:$J$1960,MATCH(462,Engine!$C$2:$C$1960,0)))</f>
        <v/>
      </c>
      <c r="K475" s="9">
        <f>IF(ISNA(MATCH(462,Engine!$C$2:$C$1960,0)),"",INDEX('Compliance Database'!$K$2:$K$1960,MATCH(462,Engine!$C$2:$C$1960,0)))</f>
        <v/>
      </c>
      <c r="L475" s="9">
        <f>IF(ISNA(MATCH(462,Engine!$C$2:$C$1960,0)),"",INDEX('Compliance Database'!$L$2:$L$1960,MATCH(462,Engine!$C$2:$C$1960,0)))</f>
        <v/>
      </c>
      <c r="M475" s="9">
        <f>IF(ISNA(MATCH(462,Engine!$C$2:$C$1960,0)),"",INDEX('Compliance Database'!$M$2:$M$1960,MATCH(462,Engine!$C$2:$C$1960,0)))</f>
        <v/>
      </c>
      <c r="N475" s="9">
        <f>IF(ISNA(MATCH(462,Engine!$C$2:$C$1960,0)),"",INDEX('Compliance Database'!$N$2:$N$1960,MATCH(462,Engine!$C$2:$C$1960,0)))</f>
        <v/>
      </c>
      <c r="O475" s="9">
        <f>IF(ISNA(MATCH(462,Engine!$C$2:$C$1960,0)),"",INDEX('Compliance Database'!$O$2:$O$1960,MATCH(462,Engine!$C$2:$C$1960,0)))</f>
        <v/>
      </c>
      <c r="P475" s="8">
        <f>IF(ISNA(MATCH(462,Engine!$C$2:$C$1960,0)),"",HYPERLINK("#Acts!A"&amp;INDEX('Compliance Database'!$P$2:$P$1960,MATCH(462,Engine!$C$2:$C$1960,0)),"Go to Act"))</f>
        <v/>
      </c>
    </row>
    <row r="476" ht="158" customHeight="1">
      <c r="A476" s="8">
        <f>IF(ISNA(MATCH(463,Engine!$C$2:$C$1960,0)),"",INDEX('Compliance Database'!$A$2:$A$1960,MATCH(463,Engine!$C$2:$C$1960,0)))</f>
        <v/>
      </c>
      <c r="B476" s="8">
        <f>IF(ISNA(MATCH(463,Engine!$C$2:$C$1960,0)),"",INDEX('Compliance Database'!$B$2:$B$1960,MATCH(463,Engine!$C$2:$C$1960,0)))</f>
        <v/>
      </c>
      <c r="C476" s="8">
        <f>IF(ISNA(MATCH(463,Engine!$C$2:$C$1960,0)),"",INDEX('Compliance Database'!$C$2:$C$1960,MATCH(463,Engine!$C$2:$C$1960,0)))</f>
        <v/>
      </c>
      <c r="D476" s="9">
        <f>IF(ISNA(MATCH(463,Engine!$C$2:$C$1960,0)),"",INDEX('Compliance Database'!$D$2:$D$1960,MATCH(463,Engine!$C$2:$C$1960,0)))</f>
        <v/>
      </c>
      <c r="E476" s="8">
        <f>IF(ISNA(MATCH(463,Engine!$C$2:$C$1960,0)),"",INDEX('Compliance Database'!$E$2:$E$1960,MATCH(463,Engine!$C$2:$C$1960,0)))</f>
        <v/>
      </c>
      <c r="F476" s="8">
        <f>IF(ISNA(MATCH(463,Engine!$C$2:$C$1960,0)),"",INDEX('Compliance Database'!$F$2:$F$1960,MATCH(463,Engine!$C$2:$C$1960,0)))</f>
        <v/>
      </c>
      <c r="G476" s="8">
        <f>IF(ISNA(MATCH(463,Engine!$C$2:$C$1960,0)),"",INDEX('Compliance Database'!$G$2:$G$1960,MATCH(463,Engine!$C$2:$C$1960,0)))</f>
        <v/>
      </c>
      <c r="H476" s="9">
        <f>IF(ISNA(MATCH(463,Engine!$C$2:$C$1960,0)),"",INDEX('Compliance Database'!$H$2:$H$1960,MATCH(463,Engine!$C$2:$C$1960,0)))</f>
        <v/>
      </c>
      <c r="I476" s="9">
        <f>IF(ISNA(MATCH(463,Engine!$C$2:$C$1960,0)),"",INDEX('Compliance Database'!$I$2:$I$1960,MATCH(463,Engine!$C$2:$C$1960,0)))</f>
        <v/>
      </c>
      <c r="J476" s="8">
        <f>IF(ISNA(MATCH(463,Engine!$C$2:$C$1960,0)),"",INDEX('Compliance Database'!$J$2:$J$1960,MATCH(463,Engine!$C$2:$C$1960,0)))</f>
        <v/>
      </c>
      <c r="K476" s="9">
        <f>IF(ISNA(MATCH(463,Engine!$C$2:$C$1960,0)),"",INDEX('Compliance Database'!$K$2:$K$1960,MATCH(463,Engine!$C$2:$C$1960,0)))</f>
        <v/>
      </c>
      <c r="L476" s="9">
        <f>IF(ISNA(MATCH(463,Engine!$C$2:$C$1960,0)),"",INDEX('Compliance Database'!$L$2:$L$1960,MATCH(463,Engine!$C$2:$C$1960,0)))</f>
        <v/>
      </c>
      <c r="M476" s="9">
        <f>IF(ISNA(MATCH(463,Engine!$C$2:$C$1960,0)),"",INDEX('Compliance Database'!$M$2:$M$1960,MATCH(463,Engine!$C$2:$C$1960,0)))</f>
        <v/>
      </c>
      <c r="N476" s="9">
        <f>IF(ISNA(MATCH(463,Engine!$C$2:$C$1960,0)),"",INDEX('Compliance Database'!$N$2:$N$1960,MATCH(463,Engine!$C$2:$C$1960,0)))</f>
        <v/>
      </c>
      <c r="O476" s="9">
        <f>IF(ISNA(MATCH(463,Engine!$C$2:$C$1960,0)),"",INDEX('Compliance Database'!$O$2:$O$1960,MATCH(463,Engine!$C$2:$C$1960,0)))</f>
        <v/>
      </c>
      <c r="P476" s="8">
        <f>IF(ISNA(MATCH(463,Engine!$C$2:$C$1960,0)),"",HYPERLINK("#Acts!A"&amp;INDEX('Compliance Database'!$P$2:$P$1960,MATCH(463,Engine!$C$2:$C$1960,0)),"Go to Act"))</f>
        <v/>
      </c>
    </row>
    <row r="477" ht="158" customHeight="1">
      <c r="A477" s="8">
        <f>IF(ISNA(MATCH(464,Engine!$C$2:$C$1960,0)),"",INDEX('Compliance Database'!$A$2:$A$1960,MATCH(464,Engine!$C$2:$C$1960,0)))</f>
        <v/>
      </c>
      <c r="B477" s="8">
        <f>IF(ISNA(MATCH(464,Engine!$C$2:$C$1960,0)),"",INDEX('Compliance Database'!$B$2:$B$1960,MATCH(464,Engine!$C$2:$C$1960,0)))</f>
        <v/>
      </c>
      <c r="C477" s="8">
        <f>IF(ISNA(MATCH(464,Engine!$C$2:$C$1960,0)),"",INDEX('Compliance Database'!$C$2:$C$1960,MATCH(464,Engine!$C$2:$C$1960,0)))</f>
        <v/>
      </c>
      <c r="D477" s="9">
        <f>IF(ISNA(MATCH(464,Engine!$C$2:$C$1960,0)),"",INDEX('Compliance Database'!$D$2:$D$1960,MATCH(464,Engine!$C$2:$C$1960,0)))</f>
        <v/>
      </c>
      <c r="E477" s="8">
        <f>IF(ISNA(MATCH(464,Engine!$C$2:$C$1960,0)),"",INDEX('Compliance Database'!$E$2:$E$1960,MATCH(464,Engine!$C$2:$C$1960,0)))</f>
        <v/>
      </c>
      <c r="F477" s="8">
        <f>IF(ISNA(MATCH(464,Engine!$C$2:$C$1960,0)),"",INDEX('Compliance Database'!$F$2:$F$1960,MATCH(464,Engine!$C$2:$C$1960,0)))</f>
        <v/>
      </c>
      <c r="G477" s="8">
        <f>IF(ISNA(MATCH(464,Engine!$C$2:$C$1960,0)),"",INDEX('Compliance Database'!$G$2:$G$1960,MATCH(464,Engine!$C$2:$C$1960,0)))</f>
        <v/>
      </c>
      <c r="H477" s="9">
        <f>IF(ISNA(MATCH(464,Engine!$C$2:$C$1960,0)),"",INDEX('Compliance Database'!$H$2:$H$1960,MATCH(464,Engine!$C$2:$C$1960,0)))</f>
        <v/>
      </c>
      <c r="I477" s="9">
        <f>IF(ISNA(MATCH(464,Engine!$C$2:$C$1960,0)),"",INDEX('Compliance Database'!$I$2:$I$1960,MATCH(464,Engine!$C$2:$C$1960,0)))</f>
        <v/>
      </c>
      <c r="J477" s="8">
        <f>IF(ISNA(MATCH(464,Engine!$C$2:$C$1960,0)),"",INDEX('Compliance Database'!$J$2:$J$1960,MATCH(464,Engine!$C$2:$C$1960,0)))</f>
        <v/>
      </c>
      <c r="K477" s="9">
        <f>IF(ISNA(MATCH(464,Engine!$C$2:$C$1960,0)),"",INDEX('Compliance Database'!$K$2:$K$1960,MATCH(464,Engine!$C$2:$C$1960,0)))</f>
        <v/>
      </c>
      <c r="L477" s="9">
        <f>IF(ISNA(MATCH(464,Engine!$C$2:$C$1960,0)),"",INDEX('Compliance Database'!$L$2:$L$1960,MATCH(464,Engine!$C$2:$C$1960,0)))</f>
        <v/>
      </c>
      <c r="M477" s="9">
        <f>IF(ISNA(MATCH(464,Engine!$C$2:$C$1960,0)),"",INDEX('Compliance Database'!$M$2:$M$1960,MATCH(464,Engine!$C$2:$C$1960,0)))</f>
        <v/>
      </c>
      <c r="N477" s="9">
        <f>IF(ISNA(MATCH(464,Engine!$C$2:$C$1960,0)),"",INDEX('Compliance Database'!$N$2:$N$1960,MATCH(464,Engine!$C$2:$C$1960,0)))</f>
        <v/>
      </c>
      <c r="O477" s="9">
        <f>IF(ISNA(MATCH(464,Engine!$C$2:$C$1960,0)),"",INDEX('Compliance Database'!$O$2:$O$1960,MATCH(464,Engine!$C$2:$C$1960,0)))</f>
        <v/>
      </c>
      <c r="P477" s="8">
        <f>IF(ISNA(MATCH(464,Engine!$C$2:$C$1960,0)),"",HYPERLINK("#Acts!A"&amp;INDEX('Compliance Database'!$P$2:$P$1960,MATCH(464,Engine!$C$2:$C$1960,0)),"Go to Act"))</f>
        <v/>
      </c>
    </row>
    <row r="478" ht="158" customHeight="1">
      <c r="A478" s="8">
        <f>IF(ISNA(MATCH(465,Engine!$C$2:$C$1960,0)),"",INDEX('Compliance Database'!$A$2:$A$1960,MATCH(465,Engine!$C$2:$C$1960,0)))</f>
        <v/>
      </c>
      <c r="B478" s="8">
        <f>IF(ISNA(MATCH(465,Engine!$C$2:$C$1960,0)),"",INDEX('Compliance Database'!$B$2:$B$1960,MATCH(465,Engine!$C$2:$C$1960,0)))</f>
        <v/>
      </c>
      <c r="C478" s="8">
        <f>IF(ISNA(MATCH(465,Engine!$C$2:$C$1960,0)),"",INDEX('Compliance Database'!$C$2:$C$1960,MATCH(465,Engine!$C$2:$C$1960,0)))</f>
        <v/>
      </c>
      <c r="D478" s="9">
        <f>IF(ISNA(MATCH(465,Engine!$C$2:$C$1960,0)),"",INDEX('Compliance Database'!$D$2:$D$1960,MATCH(465,Engine!$C$2:$C$1960,0)))</f>
        <v/>
      </c>
      <c r="E478" s="8">
        <f>IF(ISNA(MATCH(465,Engine!$C$2:$C$1960,0)),"",INDEX('Compliance Database'!$E$2:$E$1960,MATCH(465,Engine!$C$2:$C$1960,0)))</f>
        <v/>
      </c>
      <c r="F478" s="8">
        <f>IF(ISNA(MATCH(465,Engine!$C$2:$C$1960,0)),"",INDEX('Compliance Database'!$F$2:$F$1960,MATCH(465,Engine!$C$2:$C$1960,0)))</f>
        <v/>
      </c>
      <c r="G478" s="8">
        <f>IF(ISNA(MATCH(465,Engine!$C$2:$C$1960,0)),"",INDEX('Compliance Database'!$G$2:$G$1960,MATCH(465,Engine!$C$2:$C$1960,0)))</f>
        <v/>
      </c>
      <c r="H478" s="9">
        <f>IF(ISNA(MATCH(465,Engine!$C$2:$C$1960,0)),"",INDEX('Compliance Database'!$H$2:$H$1960,MATCH(465,Engine!$C$2:$C$1960,0)))</f>
        <v/>
      </c>
      <c r="I478" s="9">
        <f>IF(ISNA(MATCH(465,Engine!$C$2:$C$1960,0)),"",INDEX('Compliance Database'!$I$2:$I$1960,MATCH(465,Engine!$C$2:$C$1960,0)))</f>
        <v/>
      </c>
      <c r="J478" s="8">
        <f>IF(ISNA(MATCH(465,Engine!$C$2:$C$1960,0)),"",INDEX('Compliance Database'!$J$2:$J$1960,MATCH(465,Engine!$C$2:$C$1960,0)))</f>
        <v/>
      </c>
      <c r="K478" s="9">
        <f>IF(ISNA(MATCH(465,Engine!$C$2:$C$1960,0)),"",INDEX('Compliance Database'!$K$2:$K$1960,MATCH(465,Engine!$C$2:$C$1960,0)))</f>
        <v/>
      </c>
      <c r="L478" s="9">
        <f>IF(ISNA(MATCH(465,Engine!$C$2:$C$1960,0)),"",INDEX('Compliance Database'!$L$2:$L$1960,MATCH(465,Engine!$C$2:$C$1960,0)))</f>
        <v/>
      </c>
      <c r="M478" s="9">
        <f>IF(ISNA(MATCH(465,Engine!$C$2:$C$1960,0)),"",INDEX('Compliance Database'!$M$2:$M$1960,MATCH(465,Engine!$C$2:$C$1960,0)))</f>
        <v/>
      </c>
      <c r="N478" s="9">
        <f>IF(ISNA(MATCH(465,Engine!$C$2:$C$1960,0)),"",INDEX('Compliance Database'!$N$2:$N$1960,MATCH(465,Engine!$C$2:$C$1960,0)))</f>
        <v/>
      </c>
      <c r="O478" s="9">
        <f>IF(ISNA(MATCH(465,Engine!$C$2:$C$1960,0)),"",INDEX('Compliance Database'!$O$2:$O$1960,MATCH(465,Engine!$C$2:$C$1960,0)))</f>
        <v/>
      </c>
      <c r="P478" s="8">
        <f>IF(ISNA(MATCH(465,Engine!$C$2:$C$1960,0)),"",HYPERLINK("#Acts!A"&amp;INDEX('Compliance Database'!$P$2:$P$1960,MATCH(465,Engine!$C$2:$C$1960,0)),"Go to Act"))</f>
        <v/>
      </c>
    </row>
    <row r="479" ht="158" customHeight="1">
      <c r="A479" s="8">
        <f>IF(ISNA(MATCH(466,Engine!$C$2:$C$1960,0)),"",INDEX('Compliance Database'!$A$2:$A$1960,MATCH(466,Engine!$C$2:$C$1960,0)))</f>
        <v/>
      </c>
      <c r="B479" s="8">
        <f>IF(ISNA(MATCH(466,Engine!$C$2:$C$1960,0)),"",INDEX('Compliance Database'!$B$2:$B$1960,MATCH(466,Engine!$C$2:$C$1960,0)))</f>
        <v/>
      </c>
      <c r="C479" s="8">
        <f>IF(ISNA(MATCH(466,Engine!$C$2:$C$1960,0)),"",INDEX('Compliance Database'!$C$2:$C$1960,MATCH(466,Engine!$C$2:$C$1960,0)))</f>
        <v/>
      </c>
      <c r="D479" s="9">
        <f>IF(ISNA(MATCH(466,Engine!$C$2:$C$1960,0)),"",INDEX('Compliance Database'!$D$2:$D$1960,MATCH(466,Engine!$C$2:$C$1960,0)))</f>
        <v/>
      </c>
      <c r="E479" s="8">
        <f>IF(ISNA(MATCH(466,Engine!$C$2:$C$1960,0)),"",INDEX('Compliance Database'!$E$2:$E$1960,MATCH(466,Engine!$C$2:$C$1960,0)))</f>
        <v/>
      </c>
      <c r="F479" s="8">
        <f>IF(ISNA(MATCH(466,Engine!$C$2:$C$1960,0)),"",INDEX('Compliance Database'!$F$2:$F$1960,MATCH(466,Engine!$C$2:$C$1960,0)))</f>
        <v/>
      </c>
      <c r="G479" s="8">
        <f>IF(ISNA(MATCH(466,Engine!$C$2:$C$1960,0)),"",INDEX('Compliance Database'!$G$2:$G$1960,MATCH(466,Engine!$C$2:$C$1960,0)))</f>
        <v/>
      </c>
      <c r="H479" s="9">
        <f>IF(ISNA(MATCH(466,Engine!$C$2:$C$1960,0)),"",INDEX('Compliance Database'!$H$2:$H$1960,MATCH(466,Engine!$C$2:$C$1960,0)))</f>
        <v/>
      </c>
      <c r="I479" s="9">
        <f>IF(ISNA(MATCH(466,Engine!$C$2:$C$1960,0)),"",INDEX('Compliance Database'!$I$2:$I$1960,MATCH(466,Engine!$C$2:$C$1960,0)))</f>
        <v/>
      </c>
      <c r="J479" s="8">
        <f>IF(ISNA(MATCH(466,Engine!$C$2:$C$1960,0)),"",INDEX('Compliance Database'!$J$2:$J$1960,MATCH(466,Engine!$C$2:$C$1960,0)))</f>
        <v/>
      </c>
      <c r="K479" s="9">
        <f>IF(ISNA(MATCH(466,Engine!$C$2:$C$1960,0)),"",INDEX('Compliance Database'!$K$2:$K$1960,MATCH(466,Engine!$C$2:$C$1960,0)))</f>
        <v/>
      </c>
      <c r="L479" s="9">
        <f>IF(ISNA(MATCH(466,Engine!$C$2:$C$1960,0)),"",INDEX('Compliance Database'!$L$2:$L$1960,MATCH(466,Engine!$C$2:$C$1960,0)))</f>
        <v/>
      </c>
      <c r="M479" s="9">
        <f>IF(ISNA(MATCH(466,Engine!$C$2:$C$1960,0)),"",INDEX('Compliance Database'!$M$2:$M$1960,MATCH(466,Engine!$C$2:$C$1960,0)))</f>
        <v/>
      </c>
      <c r="N479" s="9">
        <f>IF(ISNA(MATCH(466,Engine!$C$2:$C$1960,0)),"",INDEX('Compliance Database'!$N$2:$N$1960,MATCH(466,Engine!$C$2:$C$1960,0)))</f>
        <v/>
      </c>
      <c r="O479" s="9">
        <f>IF(ISNA(MATCH(466,Engine!$C$2:$C$1960,0)),"",INDEX('Compliance Database'!$O$2:$O$1960,MATCH(466,Engine!$C$2:$C$1960,0)))</f>
        <v/>
      </c>
      <c r="P479" s="8">
        <f>IF(ISNA(MATCH(466,Engine!$C$2:$C$1960,0)),"",HYPERLINK("#Acts!A"&amp;INDEX('Compliance Database'!$P$2:$P$1960,MATCH(466,Engine!$C$2:$C$1960,0)),"Go to Act"))</f>
        <v/>
      </c>
    </row>
    <row r="480" ht="158" customHeight="1">
      <c r="A480" s="8">
        <f>IF(ISNA(MATCH(467,Engine!$C$2:$C$1960,0)),"",INDEX('Compliance Database'!$A$2:$A$1960,MATCH(467,Engine!$C$2:$C$1960,0)))</f>
        <v/>
      </c>
      <c r="B480" s="8">
        <f>IF(ISNA(MATCH(467,Engine!$C$2:$C$1960,0)),"",INDEX('Compliance Database'!$B$2:$B$1960,MATCH(467,Engine!$C$2:$C$1960,0)))</f>
        <v/>
      </c>
      <c r="C480" s="8">
        <f>IF(ISNA(MATCH(467,Engine!$C$2:$C$1960,0)),"",INDEX('Compliance Database'!$C$2:$C$1960,MATCH(467,Engine!$C$2:$C$1960,0)))</f>
        <v/>
      </c>
      <c r="D480" s="9">
        <f>IF(ISNA(MATCH(467,Engine!$C$2:$C$1960,0)),"",INDEX('Compliance Database'!$D$2:$D$1960,MATCH(467,Engine!$C$2:$C$1960,0)))</f>
        <v/>
      </c>
      <c r="E480" s="8">
        <f>IF(ISNA(MATCH(467,Engine!$C$2:$C$1960,0)),"",INDEX('Compliance Database'!$E$2:$E$1960,MATCH(467,Engine!$C$2:$C$1960,0)))</f>
        <v/>
      </c>
      <c r="F480" s="8">
        <f>IF(ISNA(MATCH(467,Engine!$C$2:$C$1960,0)),"",INDEX('Compliance Database'!$F$2:$F$1960,MATCH(467,Engine!$C$2:$C$1960,0)))</f>
        <v/>
      </c>
      <c r="G480" s="8">
        <f>IF(ISNA(MATCH(467,Engine!$C$2:$C$1960,0)),"",INDEX('Compliance Database'!$G$2:$G$1960,MATCH(467,Engine!$C$2:$C$1960,0)))</f>
        <v/>
      </c>
      <c r="H480" s="9">
        <f>IF(ISNA(MATCH(467,Engine!$C$2:$C$1960,0)),"",INDEX('Compliance Database'!$H$2:$H$1960,MATCH(467,Engine!$C$2:$C$1960,0)))</f>
        <v/>
      </c>
      <c r="I480" s="9">
        <f>IF(ISNA(MATCH(467,Engine!$C$2:$C$1960,0)),"",INDEX('Compliance Database'!$I$2:$I$1960,MATCH(467,Engine!$C$2:$C$1960,0)))</f>
        <v/>
      </c>
      <c r="J480" s="8">
        <f>IF(ISNA(MATCH(467,Engine!$C$2:$C$1960,0)),"",INDEX('Compliance Database'!$J$2:$J$1960,MATCH(467,Engine!$C$2:$C$1960,0)))</f>
        <v/>
      </c>
      <c r="K480" s="9">
        <f>IF(ISNA(MATCH(467,Engine!$C$2:$C$1960,0)),"",INDEX('Compliance Database'!$K$2:$K$1960,MATCH(467,Engine!$C$2:$C$1960,0)))</f>
        <v/>
      </c>
      <c r="L480" s="9">
        <f>IF(ISNA(MATCH(467,Engine!$C$2:$C$1960,0)),"",INDEX('Compliance Database'!$L$2:$L$1960,MATCH(467,Engine!$C$2:$C$1960,0)))</f>
        <v/>
      </c>
      <c r="M480" s="9">
        <f>IF(ISNA(MATCH(467,Engine!$C$2:$C$1960,0)),"",INDEX('Compliance Database'!$M$2:$M$1960,MATCH(467,Engine!$C$2:$C$1960,0)))</f>
        <v/>
      </c>
      <c r="N480" s="9">
        <f>IF(ISNA(MATCH(467,Engine!$C$2:$C$1960,0)),"",INDEX('Compliance Database'!$N$2:$N$1960,MATCH(467,Engine!$C$2:$C$1960,0)))</f>
        <v/>
      </c>
      <c r="O480" s="9">
        <f>IF(ISNA(MATCH(467,Engine!$C$2:$C$1960,0)),"",INDEX('Compliance Database'!$O$2:$O$1960,MATCH(467,Engine!$C$2:$C$1960,0)))</f>
        <v/>
      </c>
      <c r="P480" s="8">
        <f>IF(ISNA(MATCH(467,Engine!$C$2:$C$1960,0)),"",HYPERLINK("#Acts!A"&amp;INDEX('Compliance Database'!$P$2:$P$1960,MATCH(467,Engine!$C$2:$C$1960,0)),"Go to Act"))</f>
        <v/>
      </c>
    </row>
    <row r="481" ht="158" customHeight="1">
      <c r="A481" s="8">
        <f>IF(ISNA(MATCH(468,Engine!$C$2:$C$1960,0)),"",INDEX('Compliance Database'!$A$2:$A$1960,MATCH(468,Engine!$C$2:$C$1960,0)))</f>
        <v/>
      </c>
      <c r="B481" s="8">
        <f>IF(ISNA(MATCH(468,Engine!$C$2:$C$1960,0)),"",INDEX('Compliance Database'!$B$2:$B$1960,MATCH(468,Engine!$C$2:$C$1960,0)))</f>
        <v/>
      </c>
      <c r="C481" s="8">
        <f>IF(ISNA(MATCH(468,Engine!$C$2:$C$1960,0)),"",INDEX('Compliance Database'!$C$2:$C$1960,MATCH(468,Engine!$C$2:$C$1960,0)))</f>
        <v/>
      </c>
      <c r="D481" s="9">
        <f>IF(ISNA(MATCH(468,Engine!$C$2:$C$1960,0)),"",INDEX('Compliance Database'!$D$2:$D$1960,MATCH(468,Engine!$C$2:$C$1960,0)))</f>
        <v/>
      </c>
      <c r="E481" s="8">
        <f>IF(ISNA(MATCH(468,Engine!$C$2:$C$1960,0)),"",INDEX('Compliance Database'!$E$2:$E$1960,MATCH(468,Engine!$C$2:$C$1960,0)))</f>
        <v/>
      </c>
      <c r="F481" s="8">
        <f>IF(ISNA(MATCH(468,Engine!$C$2:$C$1960,0)),"",INDEX('Compliance Database'!$F$2:$F$1960,MATCH(468,Engine!$C$2:$C$1960,0)))</f>
        <v/>
      </c>
      <c r="G481" s="8">
        <f>IF(ISNA(MATCH(468,Engine!$C$2:$C$1960,0)),"",INDEX('Compliance Database'!$G$2:$G$1960,MATCH(468,Engine!$C$2:$C$1960,0)))</f>
        <v/>
      </c>
      <c r="H481" s="9">
        <f>IF(ISNA(MATCH(468,Engine!$C$2:$C$1960,0)),"",INDEX('Compliance Database'!$H$2:$H$1960,MATCH(468,Engine!$C$2:$C$1960,0)))</f>
        <v/>
      </c>
      <c r="I481" s="9">
        <f>IF(ISNA(MATCH(468,Engine!$C$2:$C$1960,0)),"",INDEX('Compliance Database'!$I$2:$I$1960,MATCH(468,Engine!$C$2:$C$1960,0)))</f>
        <v/>
      </c>
      <c r="J481" s="8">
        <f>IF(ISNA(MATCH(468,Engine!$C$2:$C$1960,0)),"",INDEX('Compliance Database'!$J$2:$J$1960,MATCH(468,Engine!$C$2:$C$1960,0)))</f>
        <v/>
      </c>
      <c r="K481" s="9">
        <f>IF(ISNA(MATCH(468,Engine!$C$2:$C$1960,0)),"",INDEX('Compliance Database'!$K$2:$K$1960,MATCH(468,Engine!$C$2:$C$1960,0)))</f>
        <v/>
      </c>
      <c r="L481" s="9">
        <f>IF(ISNA(MATCH(468,Engine!$C$2:$C$1960,0)),"",INDEX('Compliance Database'!$L$2:$L$1960,MATCH(468,Engine!$C$2:$C$1960,0)))</f>
        <v/>
      </c>
      <c r="M481" s="9">
        <f>IF(ISNA(MATCH(468,Engine!$C$2:$C$1960,0)),"",INDEX('Compliance Database'!$M$2:$M$1960,MATCH(468,Engine!$C$2:$C$1960,0)))</f>
        <v/>
      </c>
      <c r="N481" s="9">
        <f>IF(ISNA(MATCH(468,Engine!$C$2:$C$1960,0)),"",INDEX('Compliance Database'!$N$2:$N$1960,MATCH(468,Engine!$C$2:$C$1960,0)))</f>
        <v/>
      </c>
      <c r="O481" s="9">
        <f>IF(ISNA(MATCH(468,Engine!$C$2:$C$1960,0)),"",INDEX('Compliance Database'!$O$2:$O$1960,MATCH(468,Engine!$C$2:$C$1960,0)))</f>
        <v/>
      </c>
      <c r="P481" s="8">
        <f>IF(ISNA(MATCH(468,Engine!$C$2:$C$1960,0)),"",HYPERLINK("#Acts!A"&amp;INDEX('Compliance Database'!$P$2:$P$1960,MATCH(468,Engine!$C$2:$C$1960,0)),"Go to Act"))</f>
        <v/>
      </c>
    </row>
    <row r="482" ht="158" customHeight="1">
      <c r="A482" s="8">
        <f>IF(ISNA(MATCH(469,Engine!$C$2:$C$1960,0)),"",INDEX('Compliance Database'!$A$2:$A$1960,MATCH(469,Engine!$C$2:$C$1960,0)))</f>
        <v/>
      </c>
      <c r="B482" s="8">
        <f>IF(ISNA(MATCH(469,Engine!$C$2:$C$1960,0)),"",INDEX('Compliance Database'!$B$2:$B$1960,MATCH(469,Engine!$C$2:$C$1960,0)))</f>
        <v/>
      </c>
      <c r="C482" s="8">
        <f>IF(ISNA(MATCH(469,Engine!$C$2:$C$1960,0)),"",INDEX('Compliance Database'!$C$2:$C$1960,MATCH(469,Engine!$C$2:$C$1960,0)))</f>
        <v/>
      </c>
      <c r="D482" s="9">
        <f>IF(ISNA(MATCH(469,Engine!$C$2:$C$1960,0)),"",INDEX('Compliance Database'!$D$2:$D$1960,MATCH(469,Engine!$C$2:$C$1960,0)))</f>
        <v/>
      </c>
      <c r="E482" s="8">
        <f>IF(ISNA(MATCH(469,Engine!$C$2:$C$1960,0)),"",INDEX('Compliance Database'!$E$2:$E$1960,MATCH(469,Engine!$C$2:$C$1960,0)))</f>
        <v/>
      </c>
      <c r="F482" s="8">
        <f>IF(ISNA(MATCH(469,Engine!$C$2:$C$1960,0)),"",INDEX('Compliance Database'!$F$2:$F$1960,MATCH(469,Engine!$C$2:$C$1960,0)))</f>
        <v/>
      </c>
      <c r="G482" s="8">
        <f>IF(ISNA(MATCH(469,Engine!$C$2:$C$1960,0)),"",INDEX('Compliance Database'!$G$2:$G$1960,MATCH(469,Engine!$C$2:$C$1960,0)))</f>
        <v/>
      </c>
      <c r="H482" s="9">
        <f>IF(ISNA(MATCH(469,Engine!$C$2:$C$1960,0)),"",INDEX('Compliance Database'!$H$2:$H$1960,MATCH(469,Engine!$C$2:$C$1960,0)))</f>
        <v/>
      </c>
      <c r="I482" s="9">
        <f>IF(ISNA(MATCH(469,Engine!$C$2:$C$1960,0)),"",INDEX('Compliance Database'!$I$2:$I$1960,MATCH(469,Engine!$C$2:$C$1960,0)))</f>
        <v/>
      </c>
      <c r="J482" s="8">
        <f>IF(ISNA(MATCH(469,Engine!$C$2:$C$1960,0)),"",INDEX('Compliance Database'!$J$2:$J$1960,MATCH(469,Engine!$C$2:$C$1960,0)))</f>
        <v/>
      </c>
      <c r="K482" s="9">
        <f>IF(ISNA(MATCH(469,Engine!$C$2:$C$1960,0)),"",INDEX('Compliance Database'!$K$2:$K$1960,MATCH(469,Engine!$C$2:$C$1960,0)))</f>
        <v/>
      </c>
      <c r="L482" s="9">
        <f>IF(ISNA(MATCH(469,Engine!$C$2:$C$1960,0)),"",INDEX('Compliance Database'!$L$2:$L$1960,MATCH(469,Engine!$C$2:$C$1960,0)))</f>
        <v/>
      </c>
      <c r="M482" s="9">
        <f>IF(ISNA(MATCH(469,Engine!$C$2:$C$1960,0)),"",INDEX('Compliance Database'!$M$2:$M$1960,MATCH(469,Engine!$C$2:$C$1960,0)))</f>
        <v/>
      </c>
      <c r="N482" s="9">
        <f>IF(ISNA(MATCH(469,Engine!$C$2:$C$1960,0)),"",INDEX('Compliance Database'!$N$2:$N$1960,MATCH(469,Engine!$C$2:$C$1960,0)))</f>
        <v/>
      </c>
      <c r="O482" s="9">
        <f>IF(ISNA(MATCH(469,Engine!$C$2:$C$1960,0)),"",INDEX('Compliance Database'!$O$2:$O$1960,MATCH(469,Engine!$C$2:$C$1960,0)))</f>
        <v/>
      </c>
      <c r="P482" s="8">
        <f>IF(ISNA(MATCH(469,Engine!$C$2:$C$1960,0)),"",HYPERLINK("#Acts!A"&amp;INDEX('Compliance Database'!$P$2:$P$1960,MATCH(469,Engine!$C$2:$C$1960,0)),"Go to Act"))</f>
        <v/>
      </c>
    </row>
    <row r="483" ht="158" customHeight="1">
      <c r="A483" s="8">
        <f>IF(ISNA(MATCH(470,Engine!$C$2:$C$1960,0)),"",INDEX('Compliance Database'!$A$2:$A$1960,MATCH(470,Engine!$C$2:$C$1960,0)))</f>
        <v/>
      </c>
      <c r="B483" s="8">
        <f>IF(ISNA(MATCH(470,Engine!$C$2:$C$1960,0)),"",INDEX('Compliance Database'!$B$2:$B$1960,MATCH(470,Engine!$C$2:$C$1960,0)))</f>
        <v/>
      </c>
      <c r="C483" s="8">
        <f>IF(ISNA(MATCH(470,Engine!$C$2:$C$1960,0)),"",INDEX('Compliance Database'!$C$2:$C$1960,MATCH(470,Engine!$C$2:$C$1960,0)))</f>
        <v/>
      </c>
      <c r="D483" s="9">
        <f>IF(ISNA(MATCH(470,Engine!$C$2:$C$1960,0)),"",INDEX('Compliance Database'!$D$2:$D$1960,MATCH(470,Engine!$C$2:$C$1960,0)))</f>
        <v/>
      </c>
      <c r="E483" s="8">
        <f>IF(ISNA(MATCH(470,Engine!$C$2:$C$1960,0)),"",INDEX('Compliance Database'!$E$2:$E$1960,MATCH(470,Engine!$C$2:$C$1960,0)))</f>
        <v/>
      </c>
      <c r="F483" s="8">
        <f>IF(ISNA(MATCH(470,Engine!$C$2:$C$1960,0)),"",INDEX('Compliance Database'!$F$2:$F$1960,MATCH(470,Engine!$C$2:$C$1960,0)))</f>
        <v/>
      </c>
      <c r="G483" s="8">
        <f>IF(ISNA(MATCH(470,Engine!$C$2:$C$1960,0)),"",INDEX('Compliance Database'!$G$2:$G$1960,MATCH(470,Engine!$C$2:$C$1960,0)))</f>
        <v/>
      </c>
      <c r="H483" s="9">
        <f>IF(ISNA(MATCH(470,Engine!$C$2:$C$1960,0)),"",INDEX('Compliance Database'!$H$2:$H$1960,MATCH(470,Engine!$C$2:$C$1960,0)))</f>
        <v/>
      </c>
      <c r="I483" s="9">
        <f>IF(ISNA(MATCH(470,Engine!$C$2:$C$1960,0)),"",INDEX('Compliance Database'!$I$2:$I$1960,MATCH(470,Engine!$C$2:$C$1960,0)))</f>
        <v/>
      </c>
      <c r="J483" s="8">
        <f>IF(ISNA(MATCH(470,Engine!$C$2:$C$1960,0)),"",INDEX('Compliance Database'!$J$2:$J$1960,MATCH(470,Engine!$C$2:$C$1960,0)))</f>
        <v/>
      </c>
      <c r="K483" s="9">
        <f>IF(ISNA(MATCH(470,Engine!$C$2:$C$1960,0)),"",INDEX('Compliance Database'!$K$2:$K$1960,MATCH(470,Engine!$C$2:$C$1960,0)))</f>
        <v/>
      </c>
      <c r="L483" s="9">
        <f>IF(ISNA(MATCH(470,Engine!$C$2:$C$1960,0)),"",INDEX('Compliance Database'!$L$2:$L$1960,MATCH(470,Engine!$C$2:$C$1960,0)))</f>
        <v/>
      </c>
      <c r="M483" s="9">
        <f>IF(ISNA(MATCH(470,Engine!$C$2:$C$1960,0)),"",INDEX('Compliance Database'!$M$2:$M$1960,MATCH(470,Engine!$C$2:$C$1960,0)))</f>
        <v/>
      </c>
      <c r="N483" s="9">
        <f>IF(ISNA(MATCH(470,Engine!$C$2:$C$1960,0)),"",INDEX('Compliance Database'!$N$2:$N$1960,MATCH(470,Engine!$C$2:$C$1960,0)))</f>
        <v/>
      </c>
      <c r="O483" s="9">
        <f>IF(ISNA(MATCH(470,Engine!$C$2:$C$1960,0)),"",INDEX('Compliance Database'!$O$2:$O$1960,MATCH(470,Engine!$C$2:$C$1960,0)))</f>
        <v/>
      </c>
      <c r="P483" s="8">
        <f>IF(ISNA(MATCH(470,Engine!$C$2:$C$1960,0)),"",HYPERLINK("#Acts!A"&amp;INDEX('Compliance Database'!$P$2:$P$1960,MATCH(470,Engine!$C$2:$C$1960,0)),"Go to Act"))</f>
        <v/>
      </c>
    </row>
    <row r="484" ht="158" customHeight="1">
      <c r="A484" s="8">
        <f>IF(ISNA(MATCH(471,Engine!$C$2:$C$1960,0)),"",INDEX('Compliance Database'!$A$2:$A$1960,MATCH(471,Engine!$C$2:$C$1960,0)))</f>
        <v/>
      </c>
      <c r="B484" s="8">
        <f>IF(ISNA(MATCH(471,Engine!$C$2:$C$1960,0)),"",INDEX('Compliance Database'!$B$2:$B$1960,MATCH(471,Engine!$C$2:$C$1960,0)))</f>
        <v/>
      </c>
      <c r="C484" s="8">
        <f>IF(ISNA(MATCH(471,Engine!$C$2:$C$1960,0)),"",INDEX('Compliance Database'!$C$2:$C$1960,MATCH(471,Engine!$C$2:$C$1960,0)))</f>
        <v/>
      </c>
      <c r="D484" s="9">
        <f>IF(ISNA(MATCH(471,Engine!$C$2:$C$1960,0)),"",INDEX('Compliance Database'!$D$2:$D$1960,MATCH(471,Engine!$C$2:$C$1960,0)))</f>
        <v/>
      </c>
      <c r="E484" s="8">
        <f>IF(ISNA(MATCH(471,Engine!$C$2:$C$1960,0)),"",INDEX('Compliance Database'!$E$2:$E$1960,MATCH(471,Engine!$C$2:$C$1960,0)))</f>
        <v/>
      </c>
      <c r="F484" s="8">
        <f>IF(ISNA(MATCH(471,Engine!$C$2:$C$1960,0)),"",INDEX('Compliance Database'!$F$2:$F$1960,MATCH(471,Engine!$C$2:$C$1960,0)))</f>
        <v/>
      </c>
      <c r="G484" s="8">
        <f>IF(ISNA(MATCH(471,Engine!$C$2:$C$1960,0)),"",INDEX('Compliance Database'!$G$2:$G$1960,MATCH(471,Engine!$C$2:$C$1960,0)))</f>
        <v/>
      </c>
      <c r="H484" s="9">
        <f>IF(ISNA(MATCH(471,Engine!$C$2:$C$1960,0)),"",INDEX('Compliance Database'!$H$2:$H$1960,MATCH(471,Engine!$C$2:$C$1960,0)))</f>
        <v/>
      </c>
      <c r="I484" s="9">
        <f>IF(ISNA(MATCH(471,Engine!$C$2:$C$1960,0)),"",INDEX('Compliance Database'!$I$2:$I$1960,MATCH(471,Engine!$C$2:$C$1960,0)))</f>
        <v/>
      </c>
      <c r="J484" s="8">
        <f>IF(ISNA(MATCH(471,Engine!$C$2:$C$1960,0)),"",INDEX('Compliance Database'!$J$2:$J$1960,MATCH(471,Engine!$C$2:$C$1960,0)))</f>
        <v/>
      </c>
      <c r="K484" s="9">
        <f>IF(ISNA(MATCH(471,Engine!$C$2:$C$1960,0)),"",INDEX('Compliance Database'!$K$2:$K$1960,MATCH(471,Engine!$C$2:$C$1960,0)))</f>
        <v/>
      </c>
      <c r="L484" s="9">
        <f>IF(ISNA(MATCH(471,Engine!$C$2:$C$1960,0)),"",INDEX('Compliance Database'!$L$2:$L$1960,MATCH(471,Engine!$C$2:$C$1960,0)))</f>
        <v/>
      </c>
      <c r="M484" s="9">
        <f>IF(ISNA(MATCH(471,Engine!$C$2:$C$1960,0)),"",INDEX('Compliance Database'!$M$2:$M$1960,MATCH(471,Engine!$C$2:$C$1960,0)))</f>
        <v/>
      </c>
      <c r="N484" s="9">
        <f>IF(ISNA(MATCH(471,Engine!$C$2:$C$1960,0)),"",INDEX('Compliance Database'!$N$2:$N$1960,MATCH(471,Engine!$C$2:$C$1960,0)))</f>
        <v/>
      </c>
      <c r="O484" s="9">
        <f>IF(ISNA(MATCH(471,Engine!$C$2:$C$1960,0)),"",INDEX('Compliance Database'!$O$2:$O$1960,MATCH(471,Engine!$C$2:$C$1960,0)))</f>
        <v/>
      </c>
      <c r="P484" s="8">
        <f>IF(ISNA(MATCH(471,Engine!$C$2:$C$1960,0)),"",HYPERLINK("#Acts!A"&amp;INDEX('Compliance Database'!$P$2:$P$1960,MATCH(471,Engine!$C$2:$C$1960,0)),"Go to Act"))</f>
        <v/>
      </c>
    </row>
    <row r="485" ht="158" customHeight="1">
      <c r="A485" s="8">
        <f>IF(ISNA(MATCH(472,Engine!$C$2:$C$1960,0)),"",INDEX('Compliance Database'!$A$2:$A$1960,MATCH(472,Engine!$C$2:$C$1960,0)))</f>
        <v/>
      </c>
      <c r="B485" s="8">
        <f>IF(ISNA(MATCH(472,Engine!$C$2:$C$1960,0)),"",INDEX('Compliance Database'!$B$2:$B$1960,MATCH(472,Engine!$C$2:$C$1960,0)))</f>
        <v/>
      </c>
      <c r="C485" s="8">
        <f>IF(ISNA(MATCH(472,Engine!$C$2:$C$1960,0)),"",INDEX('Compliance Database'!$C$2:$C$1960,MATCH(472,Engine!$C$2:$C$1960,0)))</f>
        <v/>
      </c>
      <c r="D485" s="9">
        <f>IF(ISNA(MATCH(472,Engine!$C$2:$C$1960,0)),"",INDEX('Compliance Database'!$D$2:$D$1960,MATCH(472,Engine!$C$2:$C$1960,0)))</f>
        <v/>
      </c>
      <c r="E485" s="8">
        <f>IF(ISNA(MATCH(472,Engine!$C$2:$C$1960,0)),"",INDEX('Compliance Database'!$E$2:$E$1960,MATCH(472,Engine!$C$2:$C$1960,0)))</f>
        <v/>
      </c>
      <c r="F485" s="8">
        <f>IF(ISNA(MATCH(472,Engine!$C$2:$C$1960,0)),"",INDEX('Compliance Database'!$F$2:$F$1960,MATCH(472,Engine!$C$2:$C$1960,0)))</f>
        <v/>
      </c>
      <c r="G485" s="8">
        <f>IF(ISNA(MATCH(472,Engine!$C$2:$C$1960,0)),"",INDEX('Compliance Database'!$G$2:$G$1960,MATCH(472,Engine!$C$2:$C$1960,0)))</f>
        <v/>
      </c>
      <c r="H485" s="9">
        <f>IF(ISNA(MATCH(472,Engine!$C$2:$C$1960,0)),"",INDEX('Compliance Database'!$H$2:$H$1960,MATCH(472,Engine!$C$2:$C$1960,0)))</f>
        <v/>
      </c>
      <c r="I485" s="9">
        <f>IF(ISNA(MATCH(472,Engine!$C$2:$C$1960,0)),"",INDEX('Compliance Database'!$I$2:$I$1960,MATCH(472,Engine!$C$2:$C$1960,0)))</f>
        <v/>
      </c>
      <c r="J485" s="8">
        <f>IF(ISNA(MATCH(472,Engine!$C$2:$C$1960,0)),"",INDEX('Compliance Database'!$J$2:$J$1960,MATCH(472,Engine!$C$2:$C$1960,0)))</f>
        <v/>
      </c>
      <c r="K485" s="9">
        <f>IF(ISNA(MATCH(472,Engine!$C$2:$C$1960,0)),"",INDEX('Compliance Database'!$K$2:$K$1960,MATCH(472,Engine!$C$2:$C$1960,0)))</f>
        <v/>
      </c>
      <c r="L485" s="9">
        <f>IF(ISNA(MATCH(472,Engine!$C$2:$C$1960,0)),"",INDEX('Compliance Database'!$L$2:$L$1960,MATCH(472,Engine!$C$2:$C$1960,0)))</f>
        <v/>
      </c>
      <c r="M485" s="9">
        <f>IF(ISNA(MATCH(472,Engine!$C$2:$C$1960,0)),"",INDEX('Compliance Database'!$M$2:$M$1960,MATCH(472,Engine!$C$2:$C$1960,0)))</f>
        <v/>
      </c>
      <c r="N485" s="9">
        <f>IF(ISNA(MATCH(472,Engine!$C$2:$C$1960,0)),"",INDEX('Compliance Database'!$N$2:$N$1960,MATCH(472,Engine!$C$2:$C$1960,0)))</f>
        <v/>
      </c>
      <c r="O485" s="9">
        <f>IF(ISNA(MATCH(472,Engine!$C$2:$C$1960,0)),"",INDEX('Compliance Database'!$O$2:$O$1960,MATCH(472,Engine!$C$2:$C$1960,0)))</f>
        <v/>
      </c>
      <c r="P485" s="8">
        <f>IF(ISNA(MATCH(472,Engine!$C$2:$C$1960,0)),"",HYPERLINK("#Acts!A"&amp;INDEX('Compliance Database'!$P$2:$P$1960,MATCH(472,Engine!$C$2:$C$1960,0)),"Go to Act"))</f>
        <v/>
      </c>
    </row>
    <row r="486" ht="158" customHeight="1">
      <c r="A486" s="8">
        <f>IF(ISNA(MATCH(473,Engine!$C$2:$C$1960,0)),"",INDEX('Compliance Database'!$A$2:$A$1960,MATCH(473,Engine!$C$2:$C$1960,0)))</f>
        <v/>
      </c>
      <c r="B486" s="8">
        <f>IF(ISNA(MATCH(473,Engine!$C$2:$C$1960,0)),"",INDEX('Compliance Database'!$B$2:$B$1960,MATCH(473,Engine!$C$2:$C$1960,0)))</f>
        <v/>
      </c>
      <c r="C486" s="8">
        <f>IF(ISNA(MATCH(473,Engine!$C$2:$C$1960,0)),"",INDEX('Compliance Database'!$C$2:$C$1960,MATCH(473,Engine!$C$2:$C$1960,0)))</f>
        <v/>
      </c>
      <c r="D486" s="9">
        <f>IF(ISNA(MATCH(473,Engine!$C$2:$C$1960,0)),"",INDEX('Compliance Database'!$D$2:$D$1960,MATCH(473,Engine!$C$2:$C$1960,0)))</f>
        <v/>
      </c>
      <c r="E486" s="8">
        <f>IF(ISNA(MATCH(473,Engine!$C$2:$C$1960,0)),"",INDEX('Compliance Database'!$E$2:$E$1960,MATCH(473,Engine!$C$2:$C$1960,0)))</f>
        <v/>
      </c>
      <c r="F486" s="8">
        <f>IF(ISNA(MATCH(473,Engine!$C$2:$C$1960,0)),"",INDEX('Compliance Database'!$F$2:$F$1960,MATCH(473,Engine!$C$2:$C$1960,0)))</f>
        <v/>
      </c>
      <c r="G486" s="8">
        <f>IF(ISNA(MATCH(473,Engine!$C$2:$C$1960,0)),"",INDEX('Compliance Database'!$G$2:$G$1960,MATCH(473,Engine!$C$2:$C$1960,0)))</f>
        <v/>
      </c>
      <c r="H486" s="9">
        <f>IF(ISNA(MATCH(473,Engine!$C$2:$C$1960,0)),"",INDEX('Compliance Database'!$H$2:$H$1960,MATCH(473,Engine!$C$2:$C$1960,0)))</f>
        <v/>
      </c>
      <c r="I486" s="9">
        <f>IF(ISNA(MATCH(473,Engine!$C$2:$C$1960,0)),"",INDEX('Compliance Database'!$I$2:$I$1960,MATCH(473,Engine!$C$2:$C$1960,0)))</f>
        <v/>
      </c>
      <c r="J486" s="8">
        <f>IF(ISNA(MATCH(473,Engine!$C$2:$C$1960,0)),"",INDEX('Compliance Database'!$J$2:$J$1960,MATCH(473,Engine!$C$2:$C$1960,0)))</f>
        <v/>
      </c>
      <c r="K486" s="9">
        <f>IF(ISNA(MATCH(473,Engine!$C$2:$C$1960,0)),"",INDEX('Compliance Database'!$K$2:$K$1960,MATCH(473,Engine!$C$2:$C$1960,0)))</f>
        <v/>
      </c>
      <c r="L486" s="9">
        <f>IF(ISNA(MATCH(473,Engine!$C$2:$C$1960,0)),"",INDEX('Compliance Database'!$L$2:$L$1960,MATCH(473,Engine!$C$2:$C$1960,0)))</f>
        <v/>
      </c>
      <c r="M486" s="9">
        <f>IF(ISNA(MATCH(473,Engine!$C$2:$C$1960,0)),"",INDEX('Compliance Database'!$M$2:$M$1960,MATCH(473,Engine!$C$2:$C$1960,0)))</f>
        <v/>
      </c>
      <c r="N486" s="9">
        <f>IF(ISNA(MATCH(473,Engine!$C$2:$C$1960,0)),"",INDEX('Compliance Database'!$N$2:$N$1960,MATCH(473,Engine!$C$2:$C$1960,0)))</f>
        <v/>
      </c>
      <c r="O486" s="9">
        <f>IF(ISNA(MATCH(473,Engine!$C$2:$C$1960,0)),"",INDEX('Compliance Database'!$O$2:$O$1960,MATCH(473,Engine!$C$2:$C$1960,0)))</f>
        <v/>
      </c>
      <c r="P486" s="8">
        <f>IF(ISNA(MATCH(473,Engine!$C$2:$C$1960,0)),"",HYPERLINK("#Acts!A"&amp;INDEX('Compliance Database'!$P$2:$P$1960,MATCH(473,Engine!$C$2:$C$1960,0)),"Go to Act"))</f>
        <v/>
      </c>
    </row>
    <row r="487" ht="158" customHeight="1">
      <c r="A487" s="8">
        <f>IF(ISNA(MATCH(474,Engine!$C$2:$C$1960,0)),"",INDEX('Compliance Database'!$A$2:$A$1960,MATCH(474,Engine!$C$2:$C$1960,0)))</f>
        <v/>
      </c>
      <c r="B487" s="8">
        <f>IF(ISNA(MATCH(474,Engine!$C$2:$C$1960,0)),"",INDEX('Compliance Database'!$B$2:$B$1960,MATCH(474,Engine!$C$2:$C$1960,0)))</f>
        <v/>
      </c>
      <c r="C487" s="8">
        <f>IF(ISNA(MATCH(474,Engine!$C$2:$C$1960,0)),"",INDEX('Compliance Database'!$C$2:$C$1960,MATCH(474,Engine!$C$2:$C$1960,0)))</f>
        <v/>
      </c>
      <c r="D487" s="9">
        <f>IF(ISNA(MATCH(474,Engine!$C$2:$C$1960,0)),"",INDEX('Compliance Database'!$D$2:$D$1960,MATCH(474,Engine!$C$2:$C$1960,0)))</f>
        <v/>
      </c>
      <c r="E487" s="8">
        <f>IF(ISNA(MATCH(474,Engine!$C$2:$C$1960,0)),"",INDEX('Compliance Database'!$E$2:$E$1960,MATCH(474,Engine!$C$2:$C$1960,0)))</f>
        <v/>
      </c>
      <c r="F487" s="8">
        <f>IF(ISNA(MATCH(474,Engine!$C$2:$C$1960,0)),"",INDEX('Compliance Database'!$F$2:$F$1960,MATCH(474,Engine!$C$2:$C$1960,0)))</f>
        <v/>
      </c>
      <c r="G487" s="8">
        <f>IF(ISNA(MATCH(474,Engine!$C$2:$C$1960,0)),"",INDEX('Compliance Database'!$G$2:$G$1960,MATCH(474,Engine!$C$2:$C$1960,0)))</f>
        <v/>
      </c>
      <c r="H487" s="9">
        <f>IF(ISNA(MATCH(474,Engine!$C$2:$C$1960,0)),"",INDEX('Compliance Database'!$H$2:$H$1960,MATCH(474,Engine!$C$2:$C$1960,0)))</f>
        <v/>
      </c>
      <c r="I487" s="9">
        <f>IF(ISNA(MATCH(474,Engine!$C$2:$C$1960,0)),"",INDEX('Compliance Database'!$I$2:$I$1960,MATCH(474,Engine!$C$2:$C$1960,0)))</f>
        <v/>
      </c>
      <c r="J487" s="8">
        <f>IF(ISNA(MATCH(474,Engine!$C$2:$C$1960,0)),"",INDEX('Compliance Database'!$J$2:$J$1960,MATCH(474,Engine!$C$2:$C$1960,0)))</f>
        <v/>
      </c>
      <c r="K487" s="9">
        <f>IF(ISNA(MATCH(474,Engine!$C$2:$C$1960,0)),"",INDEX('Compliance Database'!$K$2:$K$1960,MATCH(474,Engine!$C$2:$C$1960,0)))</f>
        <v/>
      </c>
      <c r="L487" s="9">
        <f>IF(ISNA(MATCH(474,Engine!$C$2:$C$1960,0)),"",INDEX('Compliance Database'!$L$2:$L$1960,MATCH(474,Engine!$C$2:$C$1960,0)))</f>
        <v/>
      </c>
      <c r="M487" s="9">
        <f>IF(ISNA(MATCH(474,Engine!$C$2:$C$1960,0)),"",INDEX('Compliance Database'!$M$2:$M$1960,MATCH(474,Engine!$C$2:$C$1960,0)))</f>
        <v/>
      </c>
      <c r="N487" s="9">
        <f>IF(ISNA(MATCH(474,Engine!$C$2:$C$1960,0)),"",INDEX('Compliance Database'!$N$2:$N$1960,MATCH(474,Engine!$C$2:$C$1960,0)))</f>
        <v/>
      </c>
      <c r="O487" s="9">
        <f>IF(ISNA(MATCH(474,Engine!$C$2:$C$1960,0)),"",INDEX('Compliance Database'!$O$2:$O$1960,MATCH(474,Engine!$C$2:$C$1960,0)))</f>
        <v/>
      </c>
      <c r="P487" s="8">
        <f>IF(ISNA(MATCH(474,Engine!$C$2:$C$1960,0)),"",HYPERLINK("#Acts!A"&amp;INDEX('Compliance Database'!$P$2:$P$1960,MATCH(474,Engine!$C$2:$C$1960,0)),"Go to Act"))</f>
        <v/>
      </c>
    </row>
    <row r="488" ht="158" customHeight="1">
      <c r="A488" s="8">
        <f>IF(ISNA(MATCH(475,Engine!$C$2:$C$1960,0)),"",INDEX('Compliance Database'!$A$2:$A$1960,MATCH(475,Engine!$C$2:$C$1960,0)))</f>
        <v/>
      </c>
      <c r="B488" s="8">
        <f>IF(ISNA(MATCH(475,Engine!$C$2:$C$1960,0)),"",INDEX('Compliance Database'!$B$2:$B$1960,MATCH(475,Engine!$C$2:$C$1960,0)))</f>
        <v/>
      </c>
      <c r="C488" s="8">
        <f>IF(ISNA(MATCH(475,Engine!$C$2:$C$1960,0)),"",INDEX('Compliance Database'!$C$2:$C$1960,MATCH(475,Engine!$C$2:$C$1960,0)))</f>
        <v/>
      </c>
      <c r="D488" s="9">
        <f>IF(ISNA(MATCH(475,Engine!$C$2:$C$1960,0)),"",INDEX('Compliance Database'!$D$2:$D$1960,MATCH(475,Engine!$C$2:$C$1960,0)))</f>
        <v/>
      </c>
      <c r="E488" s="8">
        <f>IF(ISNA(MATCH(475,Engine!$C$2:$C$1960,0)),"",INDEX('Compliance Database'!$E$2:$E$1960,MATCH(475,Engine!$C$2:$C$1960,0)))</f>
        <v/>
      </c>
      <c r="F488" s="8">
        <f>IF(ISNA(MATCH(475,Engine!$C$2:$C$1960,0)),"",INDEX('Compliance Database'!$F$2:$F$1960,MATCH(475,Engine!$C$2:$C$1960,0)))</f>
        <v/>
      </c>
      <c r="G488" s="8">
        <f>IF(ISNA(MATCH(475,Engine!$C$2:$C$1960,0)),"",INDEX('Compliance Database'!$G$2:$G$1960,MATCH(475,Engine!$C$2:$C$1960,0)))</f>
        <v/>
      </c>
      <c r="H488" s="9">
        <f>IF(ISNA(MATCH(475,Engine!$C$2:$C$1960,0)),"",INDEX('Compliance Database'!$H$2:$H$1960,MATCH(475,Engine!$C$2:$C$1960,0)))</f>
        <v/>
      </c>
      <c r="I488" s="9">
        <f>IF(ISNA(MATCH(475,Engine!$C$2:$C$1960,0)),"",INDEX('Compliance Database'!$I$2:$I$1960,MATCH(475,Engine!$C$2:$C$1960,0)))</f>
        <v/>
      </c>
      <c r="J488" s="8">
        <f>IF(ISNA(MATCH(475,Engine!$C$2:$C$1960,0)),"",INDEX('Compliance Database'!$J$2:$J$1960,MATCH(475,Engine!$C$2:$C$1960,0)))</f>
        <v/>
      </c>
      <c r="K488" s="9">
        <f>IF(ISNA(MATCH(475,Engine!$C$2:$C$1960,0)),"",INDEX('Compliance Database'!$K$2:$K$1960,MATCH(475,Engine!$C$2:$C$1960,0)))</f>
        <v/>
      </c>
      <c r="L488" s="9">
        <f>IF(ISNA(MATCH(475,Engine!$C$2:$C$1960,0)),"",INDEX('Compliance Database'!$L$2:$L$1960,MATCH(475,Engine!$C$2:$C$1960,0)))</f>
        <v/>
      </c>
      <c r="M488" s="9">
        <f>IF(ISNA(MATCH(475,Engine!$C$2:$C$1960,0)),"",INDEX('Compliance Database'!$M$2:$M$1960,MATCH(475,Engine!$C$2:$C$1960,0)))</f>
        <v/>
      </c>
      <c r="N488" s="9">
        <f>IF(ISNA(MATCH(475,Engine!$C$2:$C$1960,0)),"",INDEX('Compliance Database'!$N$2:$N$1960,MATCH(475,Engine!$C$2:$C$1960,0)))</f>
        <v/>
      </c>
      <c r="O488" s="9">
        <f>IF(ISNA(MATCH(475,Engine!$C$2:$C$1960,0)),"",INDEX('Compliance Database'!$O$2:$O$1960,MATCH(475,Engine!$C$2:$C$1960,0)))</f>
        <v/>
      </c>
      <c r="P488" s="8">
        <f>IF(ISNA(MATCH(475,Engine!$C$2:$C$1960,0)),"",HYPERLINK("#Acts!A"&amp;INDEX('Compliance Database'!$P$2:$P$1960,MATCH(475,Engine!$C$2:$C$1960,0)),"Go to Act"))</f>
        <v/>
      </c>
    </row>
    <row r="489" ht="158" customHeight="1">
      <c r="A489" s="8">
        <f>IF(ISNA(MATCH(476,Engine!$C$2:$C$1960,0)),"",INDEX('Compliance Database'!$A$2:$A$1960,MATCH(476,Engine!$C$2:$C$1960,0)))</f>
        <v/>
      </c>
      <c r="B489" s="8">
        <f>IF(ISNA(MATCH(476,Engine!$C$2:$C$1960,0)),"",INDEX('Compliance Database'!$B$2:$B$1960,MATCH(476,Engine!$C$2:$C$1960,0)))</f>
        <v/>
      </c>
      <c r="C489" s="8">
        <f>IF(ISNA(MATCH(476,Engine!$C$2:$C$1960,0)),"",INDEX('Compliance Database'!$C$2:$C$1960,MATCH(476,Engine!$C$2:$C$1960,0)))</f>
        <v/>
      </c>
      <c r="D489" s="9">
        <f>IF(ISNA(MATCH(476,Engine!$C$2:$C$1960,0)),"",INDEX('Compliance Database'!$D$2:$D$1960,MATCH(476,Engine!$C$2:$C$1960,0)))</f>
        <v/>
      </c>
      <c r="E489" s="8">
        <f>IF(ISNA(MATCH(476,Engine!$C$2:$C$1960,0)),"",INDEX('Compliance Database'!$E$2:$E$1960,MATCH(476,Engine!$C$2:$C$1960,0)))</f>
        <v/>
      </c>
      <c r="F489" s="8">
        <f>IF(ISNA(MATCH(476,Engine!$C$2:$C$1960,0)),"",INDEX('Compliance Database'!$F$2:$F$1960,MATCH(476,Engine!$C$2:$C$1960,0)))</f>
        <v/>
      </c>
      <c r="G489" s="8">
        <f>IF(ISNA(MATCH(476,Engine!$C$2:$C$1960,0)),"",INDEX('Compliance Database'!$G$2:$G$1960,MATCH(476,Engine!$C$2:$C$1960,0)))</f>
        <v/>
      </c>
      <c r="H489" s="9">
        <f>IF(ISNA(MATCH(476,Engine!$C$2:$C$1960,0)),"",INDEX('Compliance Database'!$H$2:$H$1960,MATCH(476,Engine!$C$2:$C$1960,0)))</f>
        <v/>
      </c>
      <c r="I489" s="9">
        <f>IF(ISNA(MATCH(476,Engine!$C$2:$C$1960,0)),"",INDEX('Compliance Database'!$I$2:$I$1960,MATCH(476,Engine!$C$2:$C$1960,0)))</f>
        <v/>
      </c>
      <c r="J489" s="8">
        <f>IF(ISNA(MATCH(476,Engine!$C$2:$C$1960,0)),"",INDEX('Compliance Database'!$J$2:$J$1960,MATCH(476,Engine!$C$2:$C$1960,0)))</f>
        <v/>
      </c>
      <c r="K489" s="9">
        <f>IF(ISNA(MATCH(476,Engine!$C$2:$C$1960,0)),"",INDEX('Compliance Database'!$K$2:$K$1960,MATCH(476,Engine!$C$2:$C$1960,0)))</f>
        <v/>
      </c>
      <c r="L489" s="9">
        <f>IF(ISNA(MATCH(476,Engine!$C$2:$C$1960,0)),"",INDEX('Compliance Database'!$L$2:$L$1960,MATCH(476,Engine!$C$2:$C$1960,0)))</f>
        <v/>
      </c>
      <c r="M489" s="9">
        <f>IF(ISNA(MATCH(476,Engine!$C$2:$C$1960,0)),"",INDEX('Compliance Database'!$M$2:$M$1960,MATCH(476,Engine!$C$2:$C$1960,0)))</f>
        <v/>
      </c>
      <c r="N489" s="9">
        <f>IF(ISNA(MATCH(476,Engine!$C$2:$C$1960,0)),"",INDEX('Compliance Database'!$N$2:$N$1960,MATCH(476,Engine!$C$2:$C$1960,0)))</f>
        <v/>
      </c>
      <c r="O489" s="9">
        <f>IF(ISNA(MATCH(476,Engine!$C$2:$C$1960,0)),"",INDEX('Compliance Database'!$O$2:$O$1960,MATCH(476,Engine!$C$2:$C$1960,0)))</f>
        <v/>
      </c>
      <c r="P489" s="8">
        <f>IF(ISNA(MATCH(476,Engine!$C$2:$C$1960,0)),"",HYPERLINK("#Acts!A"&amp;INDEX('Compliance Database'!$P$2:$P$1960,MATCH(476,Engine!$C$2:$C$1960,0)),"Go to Act"))</f>
        <v/>
      </c>
    </row>
    <row r="490" ht="158" customHeight="1">
      <c r="A490" s="8">
        <f>IF(ISNA(MATCH(477,Engine!$C$2:$C$1960,0)),"",INDEX('Compliance Database'!$A$2:$A$1960,MATCH(477,Engine!$C$2:$C$1960,0)))</f>
        <v/>
      </c>
      <c r="B490" s="8">
        <f>IF(ISNA(MATCH(477,Engine!$C$2:$C$1960,0)),"",INDEX('Compliance Database'!$B$2:$B$1960,MATCH(477,Engine!$C$2:$C$1960,0)))</f>
        <v/>
      </c>
      <c r="C490" s="8">
        <f>IF(ISNA(MATCH(477,Engine!$C$2:$C$1960,0)),"",INDEX('Compliance Database'!$C$2:$C$1960,MATCH(477,Engine!$C$2:$C$1960,0)))</f>
        <v/>
      </c>
      <c r="D490" s="9">
        <f>IF(ISNA(MATCH(477,Engine!$C$2:$C$1960,0)),"",INDEX('Compliance Database'!$D$2:$D$1960,MATCH(477,Engine!$C$2:$C$1960,0)))</f>
        <v/>
      </c>
      <c r="E490" s="8">
        <f>IF(ISNA(MATCH(477,Engine!$C$2:$C$1960,0)),"",INDEX('Compliance Database'!$E$2:$E$1960,MATCH(477,Engine!$C$2:$C$1960,0)))</f>
        <v/>
      </c>
      <c r="F490" s="8">
        <f>IF(ISNA(MATCH(477,Engine!$C$2:$C$1960,0)),"",INDEX('Compliance Database'!$F$2:$F$1960,MATCH(477,Engine!$C$2:$C$1960,0)))</f>
        <v/>
      </c>
      <c r="G490" s="8">
        <f>IF(ISNA(MATCH(477,Engine!$C$2:$C$1960,0)),"",INDEX('Compliance Database'!$G$2:$G$1960,MATCH(477,Engine!$C$2:$C$1960,0)))</f>
        <v/>
      </c>
      <c r="H490" s="9">
        <f>IF(ISNA(MATCH(477,Engine!$C$2:$C$1960,0)),"",INDEX('Compliance Database'!$H$2:$H$1960,MATCH(477,Engine!$C$2:$C$1960,0)))</f>
        <v/>
      </c>
      <c r="I490" s="9">
        <f>IF(ISNA(MATCH(477,Engine!$C$2:$C$1960,0)),"",INDEX('Compliance Database'!$I$2:$I$1960,MATCH(477,Engine!$C$2:$C$1960,0)))</f>
        <v/>
      </c>
      <c r="J490" s="8">
        <f>IF(ISNA(MATCH(477,Engine!$C$2:$C$1960,0)),"",INDEX('Compliance Database'!$J$2:$J$1960,MATCH(477,Engine!$C$2:$C$1960,0)))</f>
        <v/>
      </c>
      <c r="K490" s="9">
        <f>IF(ISNA(MATCH(477,Engine!$C$2:$C$1960,0)),"",INDEX('Compliance Database'!$K$2:$K$1960,MATCH(477,Engine!$C$2:$C$1960,0)))</f>
        <v/>
      </c>
      <c r="L490" s="9">
        <f>IF(ISNA(MATCH(477,Engine!$C$2:$C$1960,0)),"",INDEX('Compliance Database'!$L$2:$L$1960,MATCH(477,Engine!$C$2:$C$1960,0)))</f>
        <v/>
      </c>
      <c r="M490" s="9">
        <f>IF(ISNA(MATCH(477,Engine!$C$2:$C$1960,0)),"",INDEX('Compliance Database'!$M$2:$M$1960,MATCH(477,Engine!$C$2:$C$1960,0)))</f>
        <v/>
      </c>
      <c r="N490" s="9">
        <f>IF(ISNA(MATCH(477,Engine!$C$2:$C$1960,0)),"",INDEX('Compliance Database'!$N$2:$N$1960,MATCH(477,Engine!$C$2:$C$1960,0)))</f>
        <v/>
      </c>
      <c r="O490" s="9">
        <f>IF(ISNA(MATCH(477,Engine!$C$2:$C$1960,0)),"",INDEX('Compliance Database'!$O$2:$O$1960,MATCH(477,Engine!$C$2:$C$1960,0)))</f>
        <v/>
      </c>
      <c r="P490" s="8">
        <f>IF(ISNA(MATCH(477,Engine!$C$2:$C$1960,0)),"",HYPERLINK("#Acts!A"&amp;INDEX('Compliance Database'!$P$2:$P$1960,MATCH(477,Engine!$C$2:$C$1960,0)),"Go to Act"))</f>
        <v/>
      </c>
    </row>
    <row r="491" ht="158" customHeight="1">
      <c r="A491" s="8">
        <f>IF(ISNA(MATCH(478,Engine!$C$2:$C$1960,0)),"",INDEX('Compliance Database'!$A$2:$A$1960,MATCH(478,Engine!$C$2:$C$1960,0)))</f>
        <v/>
      </c>
      <c r="B491" s="8">
        <f>IF(ISNA(MATCH(478,Engine!$C$2:$C$1960,0)),"",INDEX('Compliance Database'!$B$2:$B$1960,MATCH(478,Engine!$C$2:$C$1960,0)))</f>
        <v/>
      </c>
      <c r="C491" s="8">
        <f>IF(ISNA(MATCH(478,Engine!$C$2:$C$1960,0)),"",INDEX('Compliance Database'!$C$2:$C$1960,MATCH(478,Engine!$C$2:$C$1960,0)))</f>
        <v/>
      </c>
      <c r="D491" s="9">
        <f>IF(ISNA(MATCH(478,Engine!$C$2:$C$1960,0)),"",INDEX('Compliance Database'!$D$2:$D$1960,MATCH(478,Engine!$C$2:$C$1960,0)))</f>
        <v/>
      </c>
      <c r="E491" s="8">
        <f>IF(ISNA(MATCH(478,Engine!$C$2:$C$1960,0)),"",INDEX('Compliance Database'!$E$2:$E$1960,MATCH(478,Engine!$C$2:$C$1960,0)))</f>
        <v/>
      </c>
      <c r="F491" s="8">
        <f>IF(ISNA(MATCH(478,Engine!$C$2:$C$1960,0)),"",INDEX('Compliance Database'!$F$2:$F$1960,MATCH(478,Engine!$C$2:$C$1960,0)))</f>
        <v/>
      </c>
      <c r="G491" s="8">
        <f>IF(ISNA(MATCH(478,Engine!$C$2:$C$1960,0)),"",INDEX('Compliance Database'!$G$2:$G$1960,MATCH(478,Engine!$C$2:$C$1960,0)))</f>
        <v/>
      </c>
      <c r="H491" s="9">
        <f>IF(ISNA(MATCH(478,Engine!$C$2:$C$1960,0)),"",INDEX('Compliance Database'!$H$2:$H$1960,MATCH(478,Engine!$C$2:$C$1960,0)))</f>
        <v/>
      </c>
      <c r="I491" s="9">
        <f>IF(ISNA(MATCH(478,Engine!$C$2:$C$1960,0)),"",INDEX('Compliance Database'!$I$2:$I$1960,MATCH(478,Engine!$C$2:$C$1960,0)))</f>
        <v/>
      </c>
      <c r="J491" s="8">
        <f>IF(ISNA(MATCH(478,Engine!$C$2:$C$1960,0)),"",INDEX('Compliance Database'!$J$2:$J$1960,MATCH(478,Engine!$C$2:$C$1960,0)))</f>
        <v/>
      </c>
      <c r="K491" s="9">
        <f>IF(ISNA(MATCH(478,Engine!$C$2:$C$1960,0)),"",INDEX('Compliance Database'!$K$2:$K$1960,MATCH(478,Engine!$C$2:$C$1960,0)))</f>
        <v/>
      </c>
      <c r="L491" s="9">
        <f>IF(ISNA(MATCH(478,Engine!$C$2:$C$1960,0)),"",INDEX('Compliance Database'!$L$2:$L$1960,MATCH(478,Engine!$C$2:$C$1960,0)))</f>
        <v/>
      </c>
      <c r="M491" s="9">
        <f>IF(ISNA(MATCH(478,Engine!$C$2:$C$1960,0)),"",INDEX('Compliance Database'!$M$2:$M$1960,MATCH(478,Engine!$C$2:$C$1960,0)))</f>
        <v/>
      </c>
      <c r="N491" s="9">
        <f>IF(ISNA(MATCH(478,Engine!$C$2:$C$1960,0)),"",INDEX('Compliance Database'!$N$2:$N$1960,MATCH(478,Engine!$C$2:$C$1960,0)))</f>
        <v/>
      </c>
      <c r="O491" s="9">
        <f>IF(ISNA(MATCH(478,Engine!$C$2:$C$1960,0)),"",INDEX('Compliance Database'!$O$2:$O$1960,MATCH(478,Engine!$C$2:$C$1960,0)))</f>
        <v/>
      </c>
      <c r="P491" s="8">
        <f>IF(ISNA(MATCH(478,Engine!$C$2:$C$1960,0)),"",HYPERLINK("#Acts!A"&amp;INDEX('Compliance Database'!$P$2:$P$1960,MATCH(478,Engine!$C$2:$C$1960,0)),"Go to Act"))</f>
        <v/>
      </c>
    </row>
    <row r="492" ht="158" customHeight="1">
      <c r="A492" s="8">
        <f>IF(ISNA(MATCH(479,Engine!$C$2:$C$1960,0)),"",INDEX('Compliance Database'!$A$2:$A$1960,MATCH(479,Engine!$C$2:$C$1960,0)))</f>
        <v/>
      </c>
      <c r="B492" s="8">
        <f>IF(ISNA(MATCH(479,Engine!$C$2:$C$1960,0)),"",INDEX('Compliance Database'!$B$2:$B$1960,MATCH(479,Engine!$C$2:$C$1960,0)))</f>
        <v/>
      </c>
      <c r="C492" s="8">
        <f>IF(ISNA(MATCH(479,Engine!$C$2:$C$1960,0)),"",INDEX('Compliance Database'!$C$2:$C$1960,MATCH(479,Engine!$C$2:$C$1960,0)))</f>
        <v/>
      </c>
      <c r="D492" s="9">
        <f>IF(ISNA(MATCH(479,Engine!$C$2:$C$1960,0)),"",INDEX('Compliance Database'!$D$2:$D$1960,MATCH(479,Engine!$C$2:$C$1960,0)))</f>
        <v/>
      </c>
      <c r="E492" s="8">
        <f>IF(ISNA(MATCH(479,Engine!$C$2:$C$1960,0)),"",INDEX('Compliance Database'!$E$2:$E$1960,MATCH(479,Engine!$C$2:$C$1960,0)))</f>
        <v/>
      </c>
      <c r="F492" s="8">
        <f>IF(ISNA(MATCH(479,Engine!$C$2:$C$1960,0)),"",INDEX('Compliance Database'!$F$2:$F$1960,MATCH(479,Engine!$C$2:$C$1960,0)))</f>
        <v/>
      </c>
      <c r="G492" s="8">
        <f>IF(ISNA(MATCH(479,Engine!$C$2:$C$1960,0)),"",INDEX('Compliance Database'!$G$2:$G$1960,MATCH(479,Engine!$C$2:$C$1960,0)))</f>
        <v/>
      </c>
      <c r="H492" s="9">
        <f>IF(ISNA(MATCH(479,Engine!$C$2:$C$1960,0)),"",INDEX('Compliance Database'!$H$2:$H$1960,MATCH(479,Engine!$C$2:$C$1960,0)))</f>
        <v/>
      </c>
      <c r="I492" s="9">
        <f>IF(ISNA(MATCH(479,Engine!$C$2:$C$1960,0)),"",INDEX('Compliance Database'!$I$2:$I$1960,MATCH(479,Engine!$C$2:$C$1960,0)))</f>
        <v/>
      </c>
      <c r="J492" s="8">
        <f>IF(ISNA(MATCH(479,Engine!$C$2:$C$1960,0)),"",INDEX('Compliance Database'!$J$2:$J$1960,MATCH(479,Engine!$C$2:$C$1960,0)))</f>
        <v/>
      </c>
      <c r="K492" s="9">
        <f>IF(ISNA(MATCH(479,Engine!$C$2:$C$1960,0)),"",INDEX('Compliance Database'!$K$2:$K$1960,MATCH(479,Engine!$C$2:$C$1960,0)))</f>
        <v/>
      </c>
      <c r="L492" s="9">
        <f>IF(ISNA(MATCH(479,Engine!$C$2:$C$1960,0)),"",INDEX('Compliance Database'!$L$2:$L$1960,MATCH(479,Engine!$C$2:$C$1960,0)))</f>
        <v/>
      </c>
      <c r="M492" s="9">
        <f>IF(ISNA(MATCH(479,Engine!$C$2:$C$1960,0)),"",INDEX('Compliance Database'!$M$2:$M$1960,MATCH(479,Engine!$C$2:$C$1960,0)))</f>
        <v/>
      </c>
      <c r="N492" s="9">
        <f>IF(ISNA(MATCH(479,Engine!$C$2:$C$1960,0)),"",INDEX('Compliance Database'!$N$2:$N$1960,MATCH(479,Engine!$C$2:$C$1960,0)))</f>
        <v/>
      </c>
      <c r="O492" s="9">
        <f>IF(ISNA(MATCH(479,Engine!$C$2:$C$1960,0)),"",INDEX('Compliance Database'!$O$2:$O$1960,MATCH(479,Engine!$C$2:$C$1960,0)))</f>
        <v/>
      </c>
      <c r="P492" s="8">
        <f>IF(ISNA(MATCH(479,Engine!$C$2:$C$1960,0)),"",HYPERLINK("#Acts!A"&amp;INDEX('Compliance Database'!$P$2:$P$1960,MATCH(479,Engine!$C$2:$C$1960,0)),"Go to Act"))</f>
        <v/>
      </c>
    </row>
    <row r="493" ht="158" customHeight="1">
      <c r="A493" s="8">
        <f>IF(ISNA(MATCH(480,Engine!$C$2:$C$1960,0)),"",INDEX('Compliance Database'!$A$2:$A$1960,MATCH(480,Engine!$C$2:$C$1960,0)))</f>
        <v/>
      </c>
      <c r="B493" s="8">
        <f>IF(ISNA(MATCH(480,Engine!$C$2:$C$1960,0)),"",INDEX('Compliance Database'!$B$2:$B$1960,MATCH(480,Engine!$C$2:$C$1960,0)))</f>
        <v/>
      </c>
      <c r="C493" s="8">
        <f>IF(ISNA(MATCH(480,Engine!$C$2:$C$1960,0)),"",INDEX('Compliance Database'!$C$2:$C$1960,MATCH(480,Engine!$C$2:$C$1960,0)))</f>
        <v/>
      </c>
      <c r="D493" s="9">
        <f>IF(ISNA(MATCH(480,Engine!$C$2:$C$1960,0)),"",INDEX('Compliance Database'!$D$2:$D$1960,MATCH(480,Engine!$C$2:$C$1960,0)))</f>
        <v/>
      </c>
      <c r="E493" s="8">
        <f>IF(ISNA(MATCH(480,Engine!$C$2:$C$1960,0)),"",INDEX('Compliance Database'!$E$2:$E$1960,MATCH(480,Engine!$C$2:$C$1960,0)))</f>
        <v/>
      </c>
      <c r="F493" s="8">
        <f>IF(ISNA(MATCH(480,Engine!$C$2:$C$1960,0)),"",INDEX('Compliance Database'!$F$2:$F$1960,MATCH(480,Engine!$C$2:$C$1960,0)))</f>
        <v/>
      </c>
      <c r="G493" s="8">
        <f>IF(ISNA(MATCH(480,Engine!$C$2:$C$1960,0)),"",INDEX('Compliance Database'!$G$2:$G$1960,MATCH(480,Engine!$C$2:$C$1960,0)))</f>
        <v/>
      </c>
      <c r="H493" s="9">
        <f>IF(ISNA(MATCH(480,Engine!$C$2:$C$1960,0)),"",INDEX('Compliance Database'!$H$2:$H$1960,MATCH(480,Engine!$C$2:$C$1960,0)))</f>
        <v/>
      </c>
      <c r="I493" s="9">
        <f>IF(ISNA(MATCH(480,Engine!$C$2:$C$1960,0)),"",INDEX('Compliance Database'!$I$2:$I$1960,MATCH(480,Engine!$C$2:$C$1960,0)))</f>
        <v/>
      </c>
      <c r="J493" s="8">
        <f>IF(ISNA(MATCH(480,Engine!$C$2:$C$1960,0)),"",INDEX('Compliance Database'!$J$2:$J$1960,MATCH(480,Engine!$C$2:$C$1960,0)))</f>
        <v/>
      </c>
      <c r="K493" s="9">
        <f>IF(ISNA(MATCH(480,Engine!$C$2:$C$1960,0)),"",INDEX('Compliance Database'!$K$2:$K$1960,MATCH(480,Engine!$C$2:$C$1960,0)))</f>
        <v/>
      </c>
      <c r="L493" s="9">
        <f>IF(ISNA(MATCH(480,Engine!$C$2:$C$1960,0)),"",INDEX('Compliance Database'!$L$2:$L$1960,MATCH(480,Engine!$C$2:$C$1960,0)))</f>
        <v/>
      </c>
      <c r="M493" s="9">
        <f>IF(ISNA(MATCH(480,Engine!$C$2:$C$1960,0)),"",INDEX('Compliance Database'!$M$2:$M$1960,MATCH(480,Engine!$C$2:$C$1960,0)))</f>
        <v/>
      </c>
      <c r="N493" s="9">
        <f>IF(ISNA(MATCH(480,Engine!$C$2:$C$1960,0)),"",INDEX('Compliance Database'!$N$2:$N$1960,MATCH(480,Engine!$C$2:$C$1960,0)))</f>
        <v/>
      </c>
      <c r="O493" s="9">
        <f>IF(ISNA(MATCH(480,Engine!$C$2:$C$1960,0)),"",INDEX('Compliance Database'!$O$2:$O$1960,MATCH(480,Engine!$C$2:$C$1960,0)))</f>
        <v/>
      </c>
      <c r="P493" s="8">
        <f>IF(ISNA(MATCH(480,Engine!$C$2:$C$1960,0)),"",HYPERLINK("#Acts!A"&amp;INDEX('Compliance Database'!$P$2:$P$1960,MATCH(480,Engine!$C$2:$C$1960,0)),"Go to Act"))</f>
        <v/>
      </c>
    </row>
    <row r="494" ht="158" customHeight="1">
      <c r="A494" s="8">
        <f>IF(ISNA(MATCH(481,Engine!$C$2:$C$1960,0)),"",INDEX('Compliance Database'!$A$2:$A$1960,MATCH(481,Engine!$C$2:$C$1960,0)))</f>
        <v/>
      </c>
      <c r="B494" s="8">
        <f>IF(ISNA(MATCH(481,Engine!$C$2:$C$1960,0)),"",INDEX('Compliance Database'!$B$2:$B$1960,MATCH(481,Engine!$C$2:$C$1960,0)))</f>
        <v/>
      </c>
      <c r="C494" s="8">
        <f>IF(ISNA(MATCH(481,Engine!$C$2:$C$1960,0)),"",INDEX('Compliance Database'!$C$2:$C$1960,MATCH(481,Engine!$C$2:$C$1960,0)))</f>
        <v/>
      </c>
      <c r="D494" s="9">
        <f>IF(ISNA(MATCH(481,Engine!$C$2:$C$1960,0)),"",INDEX('Compliance Database'!$D$2:$D$1960,MATCH(481,Engine!$C$2:$C$1960,0)))</f>
        <v/>
      </c>
      <c r="E494" s="8">
        <f>IF(ISNA(MATCH(481,Engine!$C$2:$C$1960,0)),"",INDEX('Compliance Database'!$E$2:$E$1960,MATCH(481,Engine!$C$2:$C$1960,0)))</f>
        <v/>
      </c>
      <c r="F494" s="8">
        <f>IF(ISNA(MATCH(481,Engine!$C$2:$C$1960,0)),"",INDEX('Compliance Database'!$F$2:$F$1960,MATCH(481,Engine!$C$2:$C$1960,0)))</f>
        <v/>
      </c>
      <c r="G494" s="8">
        <f>IF(ISNA(MATCH(481,Engine!$C$2:$C$1960,0)),"",INDEX('Compliance Database'!$G$2:$G$1960,MATCH(481,Engine!$C$2:$C$1960,0)))</f>
        <v/>
      </c>
      <c r="H494" s="9">
        <f>IF(ISNA(MATCH(481,Engine!$C$2:$C$1960,0)),"",INDEX('Compliance Database'!$H$2:$H$1960,MATCH(481,Engine!$C$2:$C$1960,0)))</f>
        <v/>
      </c>
      <c r="I494" s="9">
        <f>IF(ISNA(MATCH(481,Engine!$C$2:$C$1960,0)),"",INDEX('Compliance Database'!$I$2:$I$1960,MATCH(481,Engine!$C$2:$C$1960,0)))</f>
        <v/>
      </c>
      <c r="J494" s="8">
        <f>IF(ISNA(MATCH(481,Engine!$C$2:$C$1960,0)),"",INDEX('Compliance Database'!$J$2:$J$1960,MATCH(481,Engine!$C$2:$C$1960,0)))</f>
        <v/>
      </c>
      <c r="K494" s="9">
        <f>IF(ISNA(MATCH(481,Engine!$C$2:$C$1960,0)),"",INDEX('Compliance Database'!$K$2:$K$1960,MATCH(481,Engine!$C$2:$C$1960,0)))</f>
        <v/>
      </c>
      <c r="L494" s="9">
        <f>IF(ISNA(MATCH(481,Engine!$C$2:$C$1960,0)),"",INDEX('Compliance Database'!$L$2:$L$1960,MATCH(481,Engine!$C$2:$C$1960,0)))</f>
        <v/>
      </c>
      <c r="M494" s="9">
        <f>IF(ISNA(MATCH(481,Engine!$C$2:$C$1960,0)),"",INDEX('Compliance Database'!$M$2:$M$1960,MATCH(481,Engine!$C$2:$C$1960,0)))</f>
        <v/>
      </c>
      <c r="N494" s="9">
        <f>IF(ISNA(MATCH(481,Engine!$C$2:$C$1960,0)),"",INDEX('Compliance Database'!$N$2:$N$1960,MATCH(481,Engine!$C$2:$C$1960,0)))</f>
        <v/>
      </c>
      <c r="O494" s="9">
        <f>IF(ISNA(MATCH(481,Engine!$C$2:$C$1960,0)),"",INDEX('Compliance Database'!$O$2:$O$1960,MATCH(481,Engine!$C$2:$C$1960,0)))</f>
        <v/>
      </c>
      <c r="P494" s="8">
        <f>IF(ISNA(MATCH(481,Engine!$C$2:$C$1960,0)),"",HYPERLINK("#Acts!A"&amp;INDEX('Compliance Database'!$P$2:$P$1960,MATCH(481,Engine!$C$2:$C$1960,0)),"Go to Act"))</f>
        <v/>
      </c>
    </row>
    <row r="495" ht="158" customHeight="1">
      <c r="A495" s="8">
        <f>IF(ISNA(MATCH(482,Engine!$C$2:$C$1960,0)),"",INDEX('Compliance Database'!$A$2:$A$1960,MATCH(482,Engine!$C$2:$C$1960,0)))</f>
        <v/>
      </c>
      <c r="B495" s="8">
        <f>IF(ISNA(MATCH(482,Engine!$C$2:$C$1960,0)),"",INDEX('Compliance Database'!$B$2:$B$1960,MATCH(482,Engine!$C$2:$C$1960,0)))</f>
        <v/>
      </c>
      <c r="C495" s="8">
        <f>IF(ISNA(MATCH(482,Engine!$C$2:$C$1960,0)),"",INDEX('Compliance Database'!$C$2:$C$1960,MATCH(482,Engine!$C$2:$C$1960,0)))</f>
        <v/>
      </c>
      <c r="D495" s="9">
        <f>IF(ISNA(MATCH(482,Engine!$C$2:$C$1960,0)),"",INDEX('Compliance Database'!$D$2:$D$1960,MATCH(482,Engine!$C$2:$C$1960,0)))</f>
        <v/>
      </c>
      <c r="E495" s="8">
        <f>IF(ISNA(MATCH(482,Engine!$C$2:$C$1960,0)),"",INDEX('Compliance Database'!$E$2:$E$1960,MATCH(482,Engine!$C$2:$C$1960,0)))</f>
        <v/>
      </c>
      <c r="F495" s="8">
        <f>IF(ISNA(MATCH(482,Engine!$C$2:$C$1960,0)),"",INDEX('Compliance Database'!$F$2:$F$1960,MATCH(482,Engine!$C$2:$C$1960,0)))</f>
        <v/>
      </c>
      <c r="G495" s="8">
        <f>IF(ISNA(MATCH(482,Engine!$C$2:$C$1960,0)),"",INDEX('Compliance Database'!$G$2:$G$1960,MATCH(482,Engine!$C$2:$C$1960,0)))</f>
        <v/>
      </c>
      <c r="H495" s="9">
        <f>IF(ISNA(MATCH(482,Engine!$C$2:$C$1960,0)),"",INDEX('Compliance Database'!$H$2:$H$1960,MATCH(482,Engine!$C$2:$C$1960,0)))</f>
        <v/>
      </c>
      <c r="I495" s="9">
        <f>IF(ISNA(MATCH(482,Engine!$C$2:$C$1960,0)),"",INDEX('Compliance Database'!$I$2:$I$1960,MATCH(482,Engine!$C$2:$C$1960,0)))</f>
        <v/>
      </c>
      <c r="J495" s="8">
        <f>IF(ISNA(MATCH(482,Engine!$C$2:$C$1960,0)),"",INDEX('Compliance Database'!$J$2:$J$1960,MATCH(482,Engine!$C$2:$C$1960,0)))</f>
        <v/>
      </c>
      <c r="K495" s="9">
        <f>IF(ISNA(MATCH(482,Engine!$C$2:$C$1960,0)),"",INDEX('Compliance Database'!$K$2:$K$1960,MATCH(482,Engine!$C$2:$C$1960,0)))</f>
        <v/>
      </c>
      <c r="L495" s="9">
        <f>IF(ISNA(MATCH(482,Engine!$C$2:$C$1960,0)),"",INDEX('Compliance Database'!$L$2:$L$1960,MATCH(482,Engine!$C$2:$C$1960,0)))</f>
        <v/>
      </c>
      <c r="M495" s="9">
        <f>IF(ISNA(MATCH(482,Engine!$C$2:$C$1960,0)),"",INDEX('Compliance Database'!$M$2:$M$1960,MATCH(482,Engine!$C$2:$C$1960,0)))</f>
        <v/>
      </c>
      <c r="N495" s="9">
        <f>IF(ISNA(MATCH(482,Engine!$C$2:$C$1960,0)),"",INDEX('Compliance Database'!$N$2:$N$1960,MATCH(482,Engine!$C$2:$C$1960,0)))</f>
        <v/>
      </c>
      <c r="O495" s="9">
        <f>IF(ISNA(MATCH(482,Engine!$C$2:$C$1960,0)),"",INDEX('Compliance Database'!$O$2:$O$1960,MATCH(482,Engine!$C$2:$C$1960,0)))</f>
        <v/>
      </c>
      <c r="P495" s="8">
        <f>IF(ISNA(MATCH(482,Engine!$C$2:$C$1960,0)),"",HYPERLINK("#Acts!A"&amp;INDEX('Compliance Database'!$P$2:$P$1960,MATCH(482,Engine!$C$2:$C$1960,0)),"Go to Act"))</f>
        <v/>
      </c>
    </row>
    <row r="496" ht="158" customHeight="1">
      <c r="A496" s="8">
        <f>IF(ISNA(MATCH(483,Engine!$C$2:$C$1960,0)),"",INDEX('Compliance Database'!$A$2:$A$1960,MATCH(483,Engine!$C$2:$C$1960,0)))</f>
        <v/>
      </c>
      <c r="B496" s="8">
        <f>IF(ISNA(MATCH(483,Engine!$C$2:$C$1960,0)),"",INDEX('Compliance Database'!$B$2:$B$1960,MATCH(483,Engine!$C$2:$C$1960,0)))</f>
        <v/>
      </c>
      <c r="C496" s="8">
        <f>IF(ISNA(MATCH(483,Engine!$C$2:$C$1960,0)),"",INDEX('Compliance Database'!$C$2:$C$1960,MATCH(483,Engine!$C$2:$C$1960,0)))</f>
        <v/>
      </c>
      <c r="D496" s="9">
        <f>IF(ISNA(MATCH(483,Engine!$C$2:$C$1960,0)),"",INDEX('Compliance Database'!$D$2:$D$1960,MATCH(483,Engine!$C$2:$C$1960,0)))</f>
        <v/>
      </c>
      <c r="E496" s="8">
        <f>IF(ISNA(MATCH(483,Engine!$C$2:$C$1960,0)),"",INDEX('Compliance Database'!$E$2:$E$1960,MATCH(483,Engine!$C$2:$C$1960,0)))</f>
        <v/>
      </c>
      <c r="F496" s="8">
        <f>IF(ISNA(MATCH(483,Engine!$C$2:$C$1960,0)),"",INDEX('Compliance Database'!$F$2:$F$1960,MATCH(483,Engine!$C$2:$C$1960,0)))</f>
        <v/>
      </c>
      <c r="G496" s="8">
        <f>IF(ISNA(MATCH(483,Engine!$C$2:$C$1960,0)),"",INDEX('Compliance Database'!$G$2:$G$1960,MATCH(483,Engine!$C$2:$C$1960,0)))</f>
        <v/>
      </c>
      <c r="H496" s="9">
        <f>IF(ISNA(MATCH(483,Engine!$C$2:$C$1960,0)),"",INDEX('Compliance Database'!$H$2:$H$1960,MATCH(483,Engine!$C$2:$C$1960,0)))</f>
        <v/>
      </c>
      <c r="I496" s="9">
        <f>IF(ISNA(MATCH(483,Engine!$C$2:$C$1960,0)),"",INDEX('Compliance Database'!$I$2:$I$1960,MATCH(483,Engine!$C$2:$C$1960,0)))</f>
        <v/>
      </c>
      <c r="J496" s="8">
        <f>IF(ISNA(MATCH(483,Engine!$C$2:$C$1960,0)),"",INDEX('Compliance Database'!$J$2:$J$1960,MATCH(483,Engine!$C$2:$C$1960,0)))</f>
        <v/>
      </c>
      <c r="K496" s="9">
        <f>IF(ISNA(MATCH(483,Engine!$C$2:$C$1960,0)),"",INDEX('Compliance Database'!$K$2:$K$1960,MATCH(483,Engine!$C$2:$C$1960,0)))</f>
        <v/>
      </c>
      <c r="L496" s="9">
        <f>IF(ISNA(MATCH(483,Engine!$C$2:$C$1960,0)),"",INDEX('Compliance Database'!$L$2:$L$1960,MATCH(483,Engine!$C$2:$C$1960,0)))</f>
        <v/>
      </c>
      <c r="M496" s="9">
        <f>IF(ISNA(MATCH(483,Engine!$C$2:$C$1960,0)),"",INDEX('Compliance Database'!$M$2:$M$1960,MATCH(483,Engine!$C$2:$C$1960,0)))</f>
        <v/>
      </c>
      <c r="N496" s="9">
        <f>IF(ISNA(MATCH(483,Engine!$C$2:$C$1960,0)),"",INDEX('Compliance Database'!$N$2:$N$1960,MATCH(483,Engine!$C$2:$C$1960,0)))</f>
        <v/>
      </c>
      <c r="O496" s="9">
        <f>IF(ISNA(MATCH(483,Engine!$C$2:$C$1960,0)),"",INDEX('Compliance Database'!$O$2:$O$1960,MATCH(483,Engine!$C$2:$C$1960,0)))</f>
        <v/>
      </c>
      <c r="P496" s="8">
        <f>IF(ISNA(MATCH(483,Engine!$C$2:$C$1960,0)),"",HYPERLINK("#Acts!A"&amp;INDEX('Compliance Database'!$P$2:$P$1960,MATCH(483,Engine!$C$2:$C$1960,0)),"Go to Act"))</f>
        <v/>
      </c>
    </row>
    <row r="497" ht="158" customHeight="1">
      <c r="A497" s="8">
        <f>IF(ISNA(MATCH(484,Engine!$C$2:$C$1960,0)),"",INDEX('Compliance Database'!$A$2:$A$1960,MATCH(484,Engine!$C$2:$C$1960,0)))</f>
        <v/>
      </c>
      <c r="B497" s="8">
        <f>IF(ISNA(MATCH(484,Engine!$C$2:$C$1960,0)),"",INDEX('Compliance Database'!$B$2:$B$1960,MATCH(484,Engine!$C$2:$C$1960,0)))</f>
        <v/>
      </c>
      <c r="C497" s="8">
        <f>IF(ISNA(MATCH(484,Engine!$C$2:$C$1960,0)),"",INDEX('Compliance Database'!$C$2:$C$1960,MATCH(484,Engine!$C$2:$C$1960,0)))</f>
        <v/>
      </c>
      <c r="D497" s="9">
        <f>IF(ISNA(MATCH(484,Engine!$C$2:$C$1960,0)),"",INDEX('Compliance Database'!$D$2:$D$1960,MATCH(484,Engine!$C$2:$C$1960,0)))</f>
        <v/>
      </c>
      <c r="E497" s="8">
        <f>IF(ISNA(MATCH(484,Engine!$C$2:$C$1960,0)),"",INDEX('Compliance Database'!$E$2:$E$1960,MATCH(484,Engine!$C$2:$C$1960,0)))</f>
        <v/>
      </c>
      <c r="F497" s="8">
        <f>IF(ISNA(MATCH(484,Engine!$C$2:$C$1960,0)),"",INDEX('Compliance Database'!$F$2:$F$1960,MATCH(484,Engine!$C$2:$C$1960,0)))</f>
        <v/>
      </c>
      <c r="G497" s="8">
        <f>IF(ISNA(MATCH(484,Engine!$C$2:$C$1960,0)),"",INDEX('Compliance Database'!$G$2:$G$1960,MATCH(484,Engine!$C$2:$C$1960,0)))</f>
        <v/>
      </c>
      <c r="H497" s="9">
        <f>IF(ISNA(MATCH(484,Engine!$C$2:$C$1960,0)),"",INDEX('Compliance Database'!$H$2:$H$1960,MATCH(484,Engine!$C$2:$C$1960,0)))</f>
        <v/>
      </c>
      <c r="I497" s="9">
        <f>IF(ISNA(MATCH(484,Engine!$C$2:$C$1960,0)),"",INDEX('Compliance Database'!$I$2:$I$1960,MATCH(484,Engine!$C$2:$C$1960,0)))</f>
        <v/>
      </c>
      <c r="J497" s="8">
        <f>IF(ISNA(MATCH(484,Engine!$C$2:$C$1960,0)),"",INDEX('Compliance Database'!$J$2:$J$1960,MATCH(484,Engine!$C$2:$C$1960,0)))</f>
        <v/>
      </c>
      <c r="K497" s="9">
        <f>IF(ISNA(MATCH(484,Engine!$C$2:$C$1960,0)),"",INDEX('Compliance Database'!$K$2:$K$1960,MATCH(484,Engine!$C$2:$C$1960,0)))</f>
        <v/>
      </c>
      <c r="L497" s="9">
        <f>IF(ISNA(MATCH(484,Engine!$C$2:$C$1960,0)),"",INDEX('Compliance Database'!$L$2:$L$1960,MATCH(484,Engine!$C$2:$C$1960,0)))</f>
        <v/>
      </c>
      <c r="M497" s="9">
        <f>IF(ISNA(MATCH(484,Engine!$C$2:$C$1960,0)),"",INDEX('Compliance Database'!$M$2:$M$1960,MATCH(484,Engine!$C$2:$C$1960,0)))</f>
        <v/>
      </c>
      <c r="N497" s="9">
        <f>IF(ISNA(MATCH(484,Engine!$C$2:$C$1960,0)),"",INDEX('Compliance Database'!$N$2:$N$1960,MATCH(484,Engine!$C$2:$C$1960,0)))</f>
        <v/>
      </c>
      <c r="O497" s="9">
        <f>IF(ISNA(MATCH(484,Engine!$C$2:$C$1960,0)),"",INDEX('Compliance Database'!$O$2:$O$1960,MATCH(484,Engine!$C$2:$C$1960,0)))</f>
        <v/>
      </c>
      <c r="P497" s="8">
        <f>IF(ISNA(MATCH(484,Engine!$C$2:$C$1960,0)),"",HYPERLINK("#Acts!A"&amp;INDEX('Compliance Database'!$P$2:$P$1960,MATCH(484,Engine!$C$2:$C$1960,0)),"Go to Act"))</f>
        <v/>
      </c>
    </row>
    <row r="498" ht="158" customHeight="1">
      <c r="A498" s="8">
        <f>IF(ISNA(MATCH(485,Engine!$C$2:$C$1960,0)),"",INDEX('Compliance Database'!$A$2:$A$1960,MATCH(485,Engine!$C$2:$C$1960,0)))</f>
        <v/>
      </c>
      <c r="B498" s="8">
        <f>IF(ISNA(MATCH(485,Engine!$C$2:$C$1960,0)),"",INDEX('Compliance Database'!$B$2:$B$1960,MATCH(485,Engine!$C$2:$C$1960,0)))</f>
        <v/>
      </c>
      <c r="C498" s="8">
        <f>IF(ISNA(MATCH(485,Engine!$C$2:$C$1960,0)),"",INDEX('Compliance Database'!$C$2:$C$1960,MATCH(485,Engine!$C$2:$C$1960,0)))</f>
        <v/>
      </c>
      <c r="D498" s="9">
        <f>IF(ISNA(MATCH(485,Engine!$C$2:$C$1960,0)),"",INDEX('Compliance Database'!$D$2:$D$1960,MATCH(485,Engine!$C$2:$C$1960,0)))</f>
        <v/>
      </c>
      <c r="E498" s="8">
        <f>IF(ISNA(MATCH(485,Engine!$C$2:$C$1960,0)),"",INDEX('Compliance Database'!$E$2:$E$1960,MATCH(485,Engine!$C$2:$C$1960,0)))</f>
        <v/>
      </c>
      <c r="F498" s="8">
        <f>IF(ISNA(MATCH(485,Engine!$C$2:$C$1960,0)),"",INDEX('Compliance Database'!$F$2:$F$1960,MATCH(485,Engine!$C$2:$C$1960,0)))</f>
        <v/>
      </c>
      <c r="G498" s="8">
        <f>IF(ISNA(MATCH(485,Engine!$C$2:$C$1960,0)),"",INDEX('Compliance Database'!$G$2:$G$1960,MATCH(485,Engine!$C$2:$C$1960,0)))</f>
        <v/>
      </c>
      <c r="H498" s="9">
        <f>IF(ISNA(MATCH(485,Engine!$C$2:$C$1960,0)),"",INDEX('Compliance Database'!$H$2:$H$1960,MATCH(485,Engine!$C$2:$C$1960,0)))</f>
        <v/>
      </c>
      <c r="I498" s="9">
        <f>IF(ISNA(MATCH(485,Engine!$C$2:$C$1960,0)),"",INDEX('Compliance Database'!$I$2:$I$1960,MATCH(485,Engine!$C$2:$C$1960,0)))</f>
        <v/>
      </c>
      <c r="J498" s="8">
        <f>IF(ISNA(MATCH(485,Engine!$C$2:$C$1960,0)),"",INDEX('Compliance Database'!$J$2:$J$1960,MATCH(485,Engine!$C$2:$C$1960,0)))</f>
        <v/>
      </c>
      <c r="K498" s="9">
        <f>IF(ISNA(MATCH(485,Engine!$C$2:$C$1960,0)),"",INDEX('Compliance Database'!$K$2:$K$1960,MATCH(485,Engine!$C$2:$C$1960,0)))</f>
        <v/>
      </c>
      <c r="L498" s="9">
        <f>IF(ISNA(MATCH(485,Engine!$C$2:$C$1960,0)),"",INDEX('Compliance Database'!$L$2:$L$1960,MATCH(485,Engine!$C$2:$C$1960,0)))</f>
        <v/>
      </c>
      <c r="M498" s="9">
        <f>IF(ISNA(MATCH(485,Engine!$C$2:$C$1960,0)),"",INDEX('Compliance Database'!$M$2:$M$1960,MATCH(485,Engine!$C$2:$C$1960,0)))</f>
        <v/>
      </c>
      <c r="N498" s="9">
        <f>IF(ISNA(MATCH(485,Engine!$C$2:$C$1960,0)),"",INDEX('Compliance Database'!$N$2:$N$1960,MATCH(485,Engine!$C$2:$C$1960,0)))</f>
        <v/>
      </c>
      <c r="O498" s="9">
        <f>IF(ISNA(MATCH(485,Engine!$C$2:$C$1960,0)),"",INDEX('Compliance Database'!$O$2:$O$1960,MATCH(485,Engine!$C$2:$C$1960,0)))</f>
        <v/>
      </c>
      <c r="P498" s="8">
        <f>IF(ISNA(MATCH(485,Engine!$C$2:$C$1960,0)),"",HYPERLINK("#Acts!A"&amp;INDEX('Compliance Database'!$P$2:$P$1960,MATCH(485,Engine!$C$2:$C$1960,0)),"Go to Act"))</f>
        <v/>
      </c>
    </row>
    <row r="499" ht="158" customHeight="1">
      <c r="A499" s="8">
        <f>IF(ISNA(MATCH(486,Engine!$C$2:$C$1960,0)),"",INDEX('Compliance Database'!$A$2:$A$1960,MATCH(486,Engine!$C$2:$C$1960,0)))</f>
        <v/>
      </c>
      <c r="B499" s="8">
        <f>IF(ISNA(MATCH(486,Engine!$C$2:$C$1960,0)),"",INDEX('Compliance Database'!$B$2:$B$1960,MATCH(486,Engine!$C$2:$C$1960,0)))</f>
        <v/>
      </c>
      <c r="C499" s="8">
        <f>IF(ISNA(MATCH(486,Engine!$C$2:$C$1960,0)),"",INDEX('Compliance Database'!$C$2:$C$1960,MATCH(486,Engine!$C$2:$C$1960,0)))</f>
        <v/>
      </c>
      <c r="D499" s="9">
        <f>IF(ISNA(MATCH(486,Engine!$C$2:$C$1960,0)),"",INDEX('Compliance Database'!$D$2:$D$1960,MATCH(486,Engine!$C$2:$C$1960,0)))</f>
        <v/>
      </c>
      <c r="E499" s="8">
        <f>IF(ISNA(MATCH(486,Engine!$C$2:$C$1960,0)),"",INDEX('Compliance Database'!$E$2:$E$1960,MATCH(486,Engine!$C$2:$C$1960,0)))</f>
        <v/>
      </c>
      <c r="F499" s="8">
        <f>IF(ISNA(MATCH(486,Engine!$C$2:$C$1960,0)),"",INDEX('Compliance Database'!$F$2:$F$1960,MATCH(486,Engine!$C$2:$C$1960,0)))</f>
        <v/>
      </c>
      <c r="G499" s="8">
        <f>IF(ISNA(MATCH(486,Engine!$C$2:$C$1960,0)),"",INDEX('Compliance Database'!$G$2:$G$1960,MATCH(486,Engine!$C$2:$C$1960,0)))</f>
        <v/>
      </c>
      <c r="H499" s="9">
        <f>IF(ISNA(MATCH(486,Engine!$C$2:$C$1960,0)),"",INDEX('Compliance Database'!$H$2:$H$1960,MATCH(486,Engine!$C$2:$C$1960,0)))</f>
        <v/>
      </c>
      <c r="I499" s="9">
        <f>IF(ISNA(MATCH(486,Engine!$C$2:$C$1960,0)),"",INDEX('Compliance Database'!$I$2:$I$1960,MATCH(486,Engine!$C$2:$C$1960,0)))</f>
        <v/>
      </c>
      <c r="J499" s="8">
        <f>IF(ISNA(MATCH(486,Engine!$C$2:$C$1960,0)),"",INDEX('Compliance Database'!$J$2:$J$1960,MATCH(486,Engine!$C$2:$C$1960,0)))</f>
        <v/>
      </c>
      <c r="K499" s="9">
        <f>IF(ISNA(MATCH(486,Engine!$C$2:$C$1960,0)),"",INDEX('Compliance Database'!$K$2:$K$1960,MATCH(486,Engine!$C$2:$C$1960,0)))</f>
        <v/>
      </c>
      <c r="L499" s="9">
        <f>IF(ISNA(MATCH(486,Engine!$C$2:$C$1960,0)),"",INDEX('Compliance Database'!$L$2:$L$1960,MATCH(486,Engine!$C$2:$C$1960,0)))</f>
        <v/>
      </c>
      <c r="M499" s="9">
        <f>IF(ISNA(MATCH(486,Engine!$C$2:$C$1960,0)),"",INDEX('Compliance Database'!$M$2:$M$1960,MATCH(486,Engine!$C$2:$C$1960,0)))</f>
        <v/>
      </c>
      <c r="N499" s="9">
        <f>IF(ISNA(MATCH(486,Engine!$C$2:$C$1960,0)),"",INDEX('Compliance Database'!$N$2:$N$1960,MATCH(486,Engine!$C$2:$C$1960,0)))</f>
        <v/>
      </c>
      <c r="O499" s="9">
        <f>IF(ISNA(MATCH(486,Engine!$C$2:$C$1960,0)),"",INDEX('Compliance Database'!$O$2:$O$1960,MATCH(486,Engine!$C$2:$C$1960,0)))</f>
        <v/>
      </c>
      <c r="P499" s="8">
        <f>IF(ISNA(MATCH(486,Engine!$C$2:$C$1960,0)),"",HYPERLINK("#Acts!A"&amp;INDEX('Compliance Database'!$P$2:$P$1960,MATCH(486,Engine!$C$2:$C$1960,0)),"Go to Act"))</f>
        <v/>
      </c>
    </row>
    <row r="500" ht="158" customHeight="1">
      <c r="A500" s="8">
        <f>IF(ISNA(MATCH(487,Engine!$C$2:$C$1960,0)),"",INDEX('Compliance Database'!$A$2:$A$1960,MATCH(487,Engine!$C$2:$C$1960,0)))</f>
        <v/>
      </c>
      <c r="B500" s="8">
        <f>IF(ISNA(MATCH(487,Engine!$C$2:$C$1960,0)),"",INDEX('Compliance Database'!$B$2:$B$1960,MATCH(487,Engine!$C$2:$C$1960,0)))</f>
        <v/>
      </c>
      <c r="C500" s="8">
        <f>IF(ISNA(MATCH(487,Engine!$C$2:$C$1960,0)),"",INDEX('Compliance Database'!$C$2:$C$1960,MATCH(487,Engine!$C$2:$C$1960,0)))</f>
        <v/>
      </c>
      <c r="D500" s="9">
        <f>IF(ISNA(MATCH(487,Engine!$C$2:$C$1960,0)),"",INDEX('Compliance Database'!$D$2:$D$1960,MATCH(487,Engine!$C$2:$C$1960,0)))</f>
        <v/>
      </c>
      <c r="E500" s="8">
        <f>IF(ISNA(MATCH(487,Engine!$C$2:$C$1960,0)),"",INDEX('Compliance Database'!$E$2:$E$1960,MATCH(487,Engine!$C$2:$C$1960,0)))</f>
        <v/>
      </c>
      <c r="F500" s="8">
        <f>IF(ISNA(MATCH(487,Engine!$C$2:$C$1960,0)),"",INDEX('Compliance Database'!$F$2:$F$1960,MATCH(487,Engine!$C$2:$C$1960,0)))</f>
        <v/>
      </c>
      <c r="G500" s="8">
        <f>IF(ISNA(MATCH(487,Engine!$C$2:$C$1960,0)),"",INDEX('Compliance Database'!$G$2:$G$1960,MATCH(487,Engine!$C$2:$C$1960,0)))</f>
        <v/>
      </c>
      <c r="H500" s="9">
        <f>IF(ISNA(MATCH(487,Engine!$C$2:$C$1960,0)),"",INDEX('Compliance Database'!$H$2:$H$1960,MATCH(487,Engine!$C$2:$C$1960,0)))</f>
        <v/>
      </c>
      <c r="I500" s="9">
        <f>IF(ISNA(MATCH(487,Engine!$C$2:$C$1960,0)),"",INDEX('Compliance Database'!$I$2:$I$1960,MATCH(487,Engine!$C$2:$C$1960,0)))</f>
        <v/>
      </c>
      <c r="J500" s="8">
        <f>IF(ISNA(MATCH(487,Engine!$C$2:$C$1960,0)),"",INDEX('Compliance Database'!$J$2:$J$1960,MATCH(487,Engine!$C$2:$C$1960,0)))</f>
        <v/>
      </c>
      <c r="K500" s="9">
        <f>IF(ISNA(MATCH(487,Engine!$C$2:$C$1960,0)),"",INDEX('Compliance Database'!$K$2:$K$1960,MATCH(487,Engine!$C$2:$C$1960,0)))</f>
        <v/>
      </c>
      <c r="L500" s="9">
        <f>IF(ISNA(MATCH(487,Engine!$C$2:$C$1960,0)),"",INDEX('Compliance Database'!$L$2:$L$1960,MATCH(487,Engine!$C$2:$C$1960,0)))</f>
        <v/>
      </c>
      <c r="M500" s="9">
        <f>IF(ISNA(MATCH(487,Engine!$C$2:$C$1960,0)),"",INDEX('Compliance Database'!$M$2:$M$1960,MATCH(487,Engine!$C$2:$C$1960,0)))</f>
        <v/>
      </c>
      <c r="N500" s="9">
        <f>IF(ISNA(MATCH(487,Engine!$C$2:$C$1960,0)),"",INDEX('Compliance Database'!$N$2:$N$1960,MATCH(487,Engine!$C$2:$C$1960,0)))</f>
        <v/>
      </c>
      <c r="O500" s="9">
        <f>IF(ISNA(MATCH(487,Engine!$C$2:$C$1960,0)),"",INDEX('Compliance Database'!$O$2:$O$1960,MATCH(487,Engine!$C$2:$C$1960,0)))</f>
        <v/>
      </c>
      <c r="P500" s="8">
        <f>IF(ISNA(MATCH(487,Engine!$C$2:$C$1960,0)),"",HYPERLINK("#Acts!A"&amp;INDEX('Compliance Database'!$P$2:$P$1960,MATCH(487,Engine!$C$2:$C$1960,0)),"Go to Act"))</f>
        <v/>
      </c>
    </row>
    <row r="501" ht="158" customHeight="1">
      <c r="A501" s="8">
        <f>IF(ISNA(MATCH(488,Engine!$C$2:$C$1960,0)),"",INDEX('Compliance Database'!$A$2:$A$1960,MATCH(488,Engine!$C$2:$C$1960,0)))</f>
        <v/>
      </c>
      <c r="B501" s="8">
        <f>IF(ISNA(MATCH(488,Engine!$C$2:$C$1960,0)),"",INDEX('Compliance Database'!$B$2:$B$1960,MATCH(488,Engine!$C$2:$C$1960,0)))</f>
        <v/>
      </c>
      <c r="C501" s="8">
        <f>IF(ISNA(MATCH(488,Engine!$C$2:$C$1960,0)),"",INDEX('Compliance Database'!$C$2:$C$1960,MATCH(488,Engine!$C$2:$C$1960,0)))</f>
        <v/>
      </c>
      <c r="D501" s="9">
        <f>IF(ISNA(MATCH(488,Engine!$C$2:$C$1960,0)),"",INDEX('Compliance Database'!$D$2:$D$1960,MATCH(488,Engine!$C$2:$C$1960,0)))</f>
        <v/>
      </c>
      <c r="E501" s="8">
        <f>IF(ISNA(MATCH(488,Engine!$C$2:$C$1960,0)),"",INDEX('Compliance Database'!$E$2:$E$1960,MATCH(488,Engine!$C$2:$C$1960,0)))</f>
        <v/>
      </c>
      <c r="F501" s="8">
        <f>IF(ISNA(MATCH(488,Engine!$C$2:$C$1960,0)),"",INDEX('Compliance Database'!$F$2:$F$1960,MATCH(488,Engine!$C$2:$C$1960,0)))</f>
        <v/>
      </c>
      <c r="G501" s="8">
        <f>IF(ISNA(MATCH(488,Engine!$C$2:$C$1960,0)),"",INDEX('Compliance Database'!$G$2:$G$1960,MATCH(488,Engine!$C$2:$C$1960,0)))</f>
        <v/>
      </c>
      <c r="H501" s="9">
        <f>IF(ISNA(MATCH(488,Engine!$C$2:$C$1960,0)),"",INDEX('Compliance Database'!$H$2:$H$1960,MATCH(488,Engine!$C$2:$C$1960,0)))</f>
        <v/>
      </c>
      <c r="I501" s="9">
        <f>IF(ISNA(MATCH(488,Engine!$C$2:$C$1960,0)),"",INDEX('Compliance Database'!$I$2:$I$1960,MATCH(488,Engine!$C$2:$C$1960,0)))</f>
        <v/>
      </c>
      <c r="J501" s="8">
        <f>IF(ISNA(MATCH(488,Engine!$C$2:$C$1960,0)),"",INDEX('Compliance Database'!$J$2:$J$1960,MATCH(488,Engine!$C$2:$C$1960,0)))</f>
        <v/>
      </c>
      <c r="K501" s="9">
        <f>IF(ISNA(MATCH(488,Engine!$C$2:$C$1960,0)),"",INDEX('Compliance Database'!$K$2:$K$1960,MATCH(488,Engine!$C$2:$C$1960,0)))</f>
        <v/>
      </c>
      <c r="L501" s="9">
        <f>IF(ISNA(MATCH(488,Engine!$C$2:$C$1960,0)),"",INDEX('Compliance Database'!$L$2:$L$1960,MATCH(488,Engine!$C$2:$C$1960,0)))</f>
        <v/>
      </c>
      <c r="M501" s="9">
        <f>IF(ISNA(MATCH(488,Engine!$C$2:$C$1960,0)),"",INDEX('Compliance Database'!$M$2:$M$1960,MATCH(488,Engine!$C$2:$C$1960,0)))</f>
        <v/>
      </c>
      <c r="N501" s="9">
        <f>IF(ISNA(MATCH(488,Engine!$C$2:$C$1960,0)),"",INDEX('Compliance Database'!$N$2:$N$1960,MATCH(488,Engine!$C$2:$C$1960,0)))</f>
        <v/>
      </c>
      <c r="O501" s="9">
        <f>IF(ISNA(MATCH(488,Engine!$C$2:$C$1960,0)),"",INDEX('Compliance Database'!$O$2:$O$1960,MATCH(488,Engine!$C$2:$C$1960,0)))</f>
        <v/>
      </c>
      <c r="P501" s="8">
        <f>IF(ISNA(MATCH(488,Engine!$C$2:$C$1960,0)),"",HYPERLINK("#Acts!A"&amp;INDEX('Compliance Database'!$P$2:$P$1960,MATCH(488,Engine!$C$2:$C$1960,0)),"Go to Act"))</f>
        <v/>
      </c>
    </row>
    <row r="502" ht="158" customHeight="1">
      <c r="A502" s="8">
        <f>IF(ISNA(MATCH(489,Engine!$C$2:$C$1960,0)),"",INDEX('Compliance Database'!$A$2:$A$1960,MATCH(489,Engine!$C$2:$C$1960,0)))</f>
        <v/>
      </c>
      <c r="B502" s="8">
        <f>IF(ISNA(MATCH(489,Engine!$C$2:$C$1960,0)),"",INDEX('Compliance Database'!$B$2:$B$1960,MATCH(489,Engine!$C$2:$C$1960,0)))</f>
        <v/>
      </c>
      <c r="C502" s="8">
        <f>IF(ISNA(MATCH(489,Engine!$C$2:$C$1960,0)),"",INDEX('Compliance Database'!$C$2:$C$1960,MATCH(489,Engine!$C$2:$C$1960,0)))</f>
        <v/>
      </c>
      <c r="D502" s="9">
        <f>IF(ISNA(MATCH(489,Engine!$C$2:$C$1960,0)),"",INDEX('Compliance Database'!$D$2:$D$1960,MATCH(489,Engine!$C$2:$C$1960,0)))</f>
        <v/>
      </c>
      <c r="E502" s="8">
        <f>IF(ISNA(MATCH(489,Engine!$C$2:$C$1960,0)),"",INDEX('Compliance Database'!$E$2:$E$1960,MATCH(489,Engine!$C$2:$C$1960,0)))</f>
        <v/>
      </c>
      <c r="F502" s="8">
        <f>IF(ISNA(MATCH(489,Engine!$C$2:$C$1960,0)),"",INDEX('Compliance Database'!$F$2:$F$1960,MATCH(489,Engine!$C$2:$C$1960,0)))</f>
        <v/>
      </c>
      <c r="G502" s="8">
        <f>IF(ISNA(MATCH(489,Engine!$C$2:$C$1960,0)),"",INDEX('Compliance Database'!$G$2:$G$1960,MATCH(489,Engine!$C$2:$C$1960,0)))</f>
        <v/>
      </c>
      <c r="H502" s="9">
        <f>IF(ISNA(MATCH(489,Engine!$C$2:$C$1960,0)),"",INDEX('Compliance Database'!$H$2:$H$1960,MATCH(489,Engine!$C$2:$C$1960,0)))</f>
        <v/>
      </c>
      <c r="I502" s="9">
        <f>IF(ISNA(MATCH(489,Engine!$C$2:$C$1960,0)),"",INDEX('Compliance Database'!$I$2:$I$1960,MATCH(489,Engine!$C$2:$C$1960,0)))</f>
        <v/>
      </c>
      <c r="J502" s="8">
        <f>IF(ISNA(MATCH(489,Engine!$C$2:$C$1960,0)),"",INDEX('Compliance Database'!$J$2:$J$1960,MATCH(489,Engine!$C$2:$C$1960,0)))</f>
        <v/>
      </c>
      <c r="K502" s="9">
        <f>IF(ISNA(MATCH(489,Engine!$C$2:$C$1960,0)),"",INDEX('Compliance Database'!$K$2:$K$1960,MATCH(489,Engine!$C$2:$C$1960,0)))</f>
        <v/>
      </c>
      <c r="L502" s="9">
        <f>IF(ISNA(MATCH(489,Engine!$C$2:$C$1960,0)),"",INDEX('Compliance Database'!$L$2:$L$1960,MATCH(489,Engine!$C$2:$C$1960,0)))</f>
        <v/>
      </c>
      <c r="M502" s="9">
        <f>IF(ISNA(MATCH(489,Engine!$C$2:$C$1960,0)),"",INDEX('Compliance Database'!$M$2:$M$1960,MATCH(489,Engine!$C$2:$C$1960,0)))</f>
        <v/>
      </c>
      <c r="N502" s="9">
        <f>IF(ISNA(MATCH(489,Engine!$C$2:$C$1960,0)),"",INDEX('Compliance Database'!$N$2:$N$1960,MATCH(489,Engine!$C$2:$C$1960,0)))</f>
        <v/>
      </c>
      <c r="O502" s="9">
        <f>IF(ISNA(MATCH(489,Engine!$C$2:$C$1960,0)),"",INDEX('Compliance Database'!$O$2:$O$1960,MATCH(489,Engine!$C$2:$C$1960,0)))</f>
        <v/>
      </c>
      <c r="P502" s="8">
        <f>IF(ISNA(MATCH(489,Engine!$C$2:$C$1960,0)),"",HYPERLINK("#Acts!A"&amp;INDEX('Compliance Database'!$P$2:$P$1960,MATCH(489,Engine!$C$2:$C$1960,0)),"Go to Act"))</f>
        <v/>
      </c>
    </row>
    <row r="503" ht="158" customHeight="1">
      <c r="A503" s="8">
        <f>IF(ISNA(MATCH(490,Engine!$C$2:$C$1960,0)),"",INDEX('Compliance Database'!$A$2:$A$1960,MATCH(490,Engine!$C$2:$C$1960,0)))</f>
        <v/>
      </c>
      <c r="B503" s="8">
        <f>IF(ISNA(MATCH(490,Engine!$C$2:$C$1960,0)),"",INDEX('Compliance Database'!$B$2:$B$1960,MATCH(490,Engine!$C$2:$C$1960,0)))</f>
        <v/>
      </c>
      <c r="C503" s="8">
        <f>IF(ISNA(MATCH(490,Engine!$C$2:$C$1960,0)),"",INDEX('Compliance Database'!$C$2:$C$1960,MATCH(490,Engine!$C$2:$C$1960,0)))</f>
        <v/>
      </c>
      <c r="D503" s="9">
        <f>IF(ISNA(MATCH(490,Engine!$C$2:$C$1960,0)),"",INDEX('Compliance Database'!$D$2:$D$1960,MATCH(490,Engine!$C$2:$C$1960,0)))</f>
        <v/>
      </c>
      <c r="E503" s="8">
        <f>IF(ISNA(MATCH(490,Engine!$C$2:$C$1960,0)),"",INDEX('Compliance Database'!$E$2:$E$1960,MATCH(490,Engine!$C$2:$C$1960,0)))</f>
        <v/>
      </c>
      <c r="F503" s="8">
        <f>IF(ISNA(MATCH(490,Engine!$C$2:$C$1960,0)),"",INDEX('Compliance Database'!$F$2:$F$1960,MATCH(490,Engine!$C$2:$C$1960,0)))</f>
        <v/>
      </c>
      <c r="G503" s="8">
        <f>IF(ISNA(MATCH(490,Engine!$C$2:$C$1960,0)),"",INDEX('Compliance Database'!$G$2:$G$1960,MATCH(490,Engine!$C$2:$C$1960,0)))</f>
        <v/>
      </c>
      <c r="H503" s="9">
        <f>IF(ISNA(MATCH(490,Engine!$C$2:$C$1960,0)),"",INDEX('Compliance Database'!$H$2:$H$1960,MATCH(490,Engine!$C$2:$C$1960,0)))</f>
        <v/>
      </c>
      <c r="I503" s="9">
        <f>IF(ISNA(MATCH(490,Engine!$C$2:$C$1960,0)),"",INDEX('Compliance Database'!$I$2:$I$1960,MATCH(490,Engine!$C$2:$C$1960,0)))</f>
        <v/>
      </c>
      <c r="J503" s="8">
        <f>IF(ISNA(MATCH(490,Engine!$C$2:$C$1960,0)),"",INDEX('Compliance Database'!$J$2:$J$1960,MATCH(490,Engine!$C$2:$C$1960,0)))</f>
        <v/>
      </c>
      <c r="K503" s="9">
        <f>IF(ISNA(MATCH(490,Engine!$C$2:$C$1960,0)),"",INDEX('Compliance Database'!$K$2:$K$1960,MATCH(490,Engine!$C$2:$C$1960,0)))</f>
        <v/>
      </c>
      <c r="L503" s="9">
        <f>IF(ISNA(MATCH(490,Engine!$C$2:$C$1960,0)),"",INDEX('Compliance Database'!$L$2:$L$1960,MATCH(490,Engine!$C$2:$C$1960,0)))</f>
        <v/>
      </c>
      <c r="M503" s="9">
        <f>IF(ISNA(MATCH(490,Engine!$C$2:$C$1960,0)),"",INDEX('Compliance Database'!$M$2:$M$1960,MATCH(490,Engine!$C$2:$C$1960,0)))</f>
        <v/>
      </c>
      <c r="N503" s="9">
        <f>IF(ISNA(MATCH(490,Engine!$C$2:$C$1960,0)),"",INDEX('Compliance Database'!$N$2:$N$1960,MATCH(490,Engine!$C$2:$C$1960,0)))</f>
        <v/>
      </c>
      <c r="O503" s="9">
        <f>IF(ISNA(MATCH(490,Engine!$C$2:$C$1960,0)),"",INDEX('Compliance Database'!$O$2:$O$1960,MATCH(490,Engine!$C$2:$C$1960,0)))</f>
        <v/>
      </c>
      <c r="P503" s="8">
        <f>IF(ISNA(MATCH(490,Engine!$C$2:$C$1960,0)),"",HYPERLINK("#Acts!A"&amp;INDEX('Compliance Database'!$P$2:$P$1960,MATCH(490,Engine!$C$2:$C$1960,0)),"Go to Act"))</f>
        <v/>
      </c>
    </row>
    <row r="504" ht="158" customHeight="1">
      <c r="A504" s="8">
        <f>IF(ISNA(MATCH(491,Engine!$C$2:$C$1960,0)),"",INDEX('Compliance Database'!$A$2:$A$1960,MATCH(491,Engine!$C$2:$C$1960,0)))</f>
        <v/>
      </c>
      <c r="B504" s="8">
        <f>IF(ISNA(MATCH(491,Engine!$C$2:$C$1960,0)),"",INDEX('Compliance Database'!$B$2:$B$1960,MATCH(491,Engine!$C$2:$C$1960,0)))</f>
        <v/>
      </c>
      <c r="C504" s="8">
        <f>IF(ISNA(MATCH(491,Engine!$C$2:$C$1960,0)),"",INDEX('Compliance Database'!$C$2:$C$1960,MATCH(491,Engine!$C$2:$C$1960,0)))</f>
        <v/>
      </c>
      <c r="D504" s="9">
        <f>IF(ISNA(MATCH(491,Engine!$C$2:$C$1960,0)),"",INDEX('Compliance Database'!$D$2:$D$1960,MATCH(491,Engine!$C$2:$C$1960,0)))</f>
        <v/>
      </c>
      <c r="E504" s="8">
        <f>IF(ISNA(MATCH(491,Engine!$C$2:$C$1960,0)),"",INDEX('Compliance Database'!$E$2:$E$1960,MATCH(491,Engine!$C$2:$C$1960,0)))</f>
        <v/>
      </c>
      <c r="F504" s="8">
        <f>IF(ISNA(MATCH(491,Engine!$C$2:$C$1960,0)),"",INDEX('Compliance Database'!$F$2:$F$1960,MATCH(491,Engine!$C$2:$C$1960,0)))</f>
        <v/>
      </c>
      <c r="G504" s="8">
        <f>IF(ISNA(MATCH(491,Engine!$C$2:$C$1960,0)),"",INDEX('Compliance Database'!$G$2:$G$1960,MATCH(491,Engine!$C$2:$C$1960,0)))</f>
        <v/>
      </c>
      <c r="H504" s="9">
        <f>IF(ISNA(MATCH(491,Engine!$C$2:$C$1960,0)),"",INDEX('Compliance Database'!$H$2:$H$1960,MATCH(491,Engine!$C$2:$C$1960,0)))</f>
        <v/>
      </c>
      <c r="I504" s="9">
        <f>IF(ISNA(MATCH(491,Engine!$C$2:$C$1960,0)),"",INDEX('Compliance Database'!$I$2:$I$1960,MATCH(491,Engine!$C$2:$C$1960,0)))</f>
        <v/>
      </c>
      <c r="J504" s="8">
        <f>IF(ISNA(MATCH(491,Engine!$C$2:$C$1960,0)),"",INDEX('Compliance Database'!$J$2:$J$1960,MATCH(491,Engine!$C$2:$C$1960,0)))</f>
        <v/>
      </c>
      <c r="K504" s="9">
        <f>IF(ISNA(MATCH(491,Engine!$C$2:$C$1960,0)),"",INDEX('Compliance Database'!$K$2:$K$1960,MATCH(491,Engine!$C$2:$C$1960,0)))</f>
        <v/>
      </c>
      <c r="L504" s="9">
        <f>IF(ISNA(MATCH(491,Engine!$C$2:$C$1960,0)),"",INDEX('Compliance Database'!$L$2:$L$1960,MATCH(491,Engine!$C$2:$C$1960,0)))</f>
        <v/>
      </c>
      <c r="M504" s="9">
        <f>IF(ISNA(MATCH(491,Engine!$C$2:$C$1960,0)),"",INDEX('Compliance Database'!$M$2:$M$1960,MATCH(491,Engine!$C$2:$C$1960,0)))</f>
        <v/>
      </c>
      <c r="N504" s="9">
        <f>IF(ISNA(MATCH(491,Engine!$C$2:$C$1960,0)),"",INDEX('Compliance Database'!$N$2:$N$1960,MATCH(491,Engine!$C$2:$C$1960,0)))</f>
        <v/>
      </c>
      <c r="O504" s="9">
        <f>IF(ISNA(MATCH(491,Engine!$C$2:$C$1960,0)),"",INDEX('Compliance Database'!$O$2:$O$1960,MATCH(491,Engine!$C$2:$C$1960,0)))</f>
        <v/>
      </c>
      <c r="P504" s="8">
        <f>IF(ISNA(MATCH(491,Engine!$C$2:$C$1960,0)),"",HYPERLINK("#Acts!A"&amp;INDEX('Compliance Database'!$P$2:$P$1960,MATCH(491,Engine!$C$2:$C$1960,0)),"Go to Act"))</f>
        <v/>
      </c>
    </row>
    <row r="505" ht="158" customHeight="1">
      <c r="A505" s="8">
        <f>IF(ISNA(MATCH(492,Engine!$C$2:$C$1960,0)),"",INDEX('Compliance Database'!$A$2:$A$1960,MATCH(492,Engine!$C$2:$C$1960,0)))</f>
        <v/>
      </c>
      <c r="B505" s="8">
        <f>IF(ISNA(MATCH(492,Engine!$C$2:$C$1960,0)),"",INDEX('Compliance Database'!$B$2:$B$1960,MATCH(492,Engine!$C$2:$C$1960,0)))</f>
        <v/>
      </c>
      <c r="C505" s="8">
        <f>IF(ISNA(MATCH(492,Engine!$C$2:$C$1960,0)),"",INDEX('Compliance Database'!$C$2:$C$1960,MATCH(492,Engine!$C$2:$C$1960,0)))</f>
        <v/>
      </c>
      <c r="D505" s="9">
        <f>IF(ISNA(MATCH(492,Engine!$C$2:$C$1960,0)),"",INDEX('Compliance Database'!$D$2:$D$1960,MATCH(492,Engine!$C$2:$C$1960,0)))</f>
        <v/>
      </c>
      <c r="E505" s="8">
        <f>IF(ISNA(MATCH(492,Engine!$C$2:$C$1960,0)),"",INDEX('Compliance Database'!$E$2:$E$1960,MATCH(492,Engine!$C$2:$C$1960,0)))</f>
        <v/>
      </c>
      <c r="F505" s="8">
        <f>IF(ISNA(MATCH(492,Engine!$C$2:$C$1960,0)),"",INDEX('Compliance Database'!$F$2:$F$1960,MATCH(492,Engine!$C$2:$C$1960,0)))</f>
        <v/>
      </c>
      <c r="G505" s="8">
        <f>IF(ISNA(MATCH(492,Engine!$C$2:$C$1960,0)),"",INDEX('Compliance Database'!$G$2:$G$1960,MATCH(492,Engine!$C$2:$C$1960,0)))</f>
        <v/>
      </c>
      <c r="H505" s="9">
        <f>IF(ISNA(MATCH(492,Engine!$C$2:$C$1960,0)),"",INDEX('Compliance Database'!$H$2:$H$1960,MATCH(492,Engine!$C$2:$C$1960,0)))</f>
        <v/>
      </c>
      <c r="I505" s="9">
        <f>IF(ISNA(MATCH(492,Engine!$C$2:$C$1960,0)),"",INDEX('Compliance Database'!$I$2:$I$1960,MATCH(492,Engine!$C$2:$C$1960,0)))</f>
        <v/>
      </c>
      <c r="J505" s="8">
        <f>IF(ISNA(MATCH(492,Engine!$C$2:$C$1960,0)),"",INDEX('Compliance Database'!$J$2:$J$1960,MATCH(492,Engine!$C$2:$C$1960,0)))</f>
        <v/>
      </c>
      <c r="K505" s="9">
        <f>IF(ISNA(MATCH(492,Engine!$C$2:$C$1960,0)),"",INDEX('Compliance Database'!$K$2:$K$1960,MATCH(492,Engine!$C$2:$C$1960,0)))</f>
        <v/>
      </c>
      <c r="L505" s="9">
        <f>IF(ISNA(MATCH(492,Engine!$C$2:$C$1960,0)),"",INDEX('Compliance Database'!$L$2:$L$1960,MATCH(492,Engine!$C$2:$C$1960,0)))</f>
        <v/>
      </c>
      <c r="M505" s="9">
        <f>IF(ISNA(MATCH(492,Engine!$C$2:$C$1960,0)),"",INDEX('Compliance Database'!$M$2:$M$1960,MATCH(492,Engine!$C$2:$C$1960,0)))</f>
        <v/>
      </c>
      <c r="N505" s="9">
        <f>IF(ISNA(MATCH(492,Engine!$C$2:$C$1960,0)),"",INDEX('Compliance Database'!$N$2:$N$1960,MATCH(492,Engine!$C$2:$C$1960,0)))</f>
        <v/>
      </c>
      <c r="O505" s="9">
        <f>IF(ISNA(MATCH(492,Engine!$C$2:$C$1960,0)),"",INDEX('Compliance Database'!$O$2:$O$1960,MATCH(492,Engine!$C$2:$C$1960,0)))</f>
        <v/>
      </c>
      <c r="P505" s="8">
        <f>IF(ISNA(MATCH(492,Engine!$C$2:$C$1960,0)),"",HYPERLINK("#Acts!A"&amp;INDEX('Compliance Database'!$P$2:$P$1960,MATCH(492,Engine!$C$2:$C$1960,0)),"Go to Act"))</f>
        <v/>
      </c>
    </row>
    <row r="506" ht="158" customHeight="1">
      <c r="A506" s="8">
        <f>IF(ISNA(MATCH(493,Engine!$C$2:$C$1960,0)),"",INDEX('Compliance Database'!$A$2:$A$1960,MATCH(493,Engine!$C$2:$C$1960,0)))</f>
        <v/>
      </c>
      <c r="B506" s="8">
        <f>IF(ISNA(MATCH(493,Engine!$C$2:$C$1960,0)),"",INDEX('Compliance Database'!$B$2:$B$1960,MATCH(493,Engine!$C$2:$C$1960,0)))</f>
        <v/>
      </c>
      <c r="C506" s="8">
        <f>IF(ISNA(MATCH(493,Engine!$C$2:$C$1960,0)),"",INDEX('Compliance Database'!$C$2:$C$1960,MATCH(493,Engine!$C$2:$C$1960,0)))</f>
        <v/>
      </c>
      <c r="D506" s="9">
        <f>IF(ISNA(MATCH(493,Engine!$C$2:$C$1960,0)),"",INDEX('Compliance Database'!$D$2:$D$1960,MATCH(493,Engine!$C$2:$C$1960,0)))</f>
        <v/>
      </c>
      <c r="E506" s="8">
        <f>IF(ISNA(MATCH(493,Engine!$C$2:$C$1960,0)),"",INDEX('Compliance Database'!$E$2:$E$1960,MATCH(493,Engine!$C$2:$C$1960,0)))</f>
        <v/>
      </c>
      <c r="F506" s="8">
        <f>IF(ISNA(MATCH(493,Engine!$C$2:$C$1960,0)),"",INDEX('Compliance Database'!$F$2:$F$1960,MATCH(493,Engine!$C$2:$C$1960,0)))</f>
        <v/>
      </c>
      <c r="G506" s="8">
        <f>IF(ISNA(MATCH(493,Engine!$C$2:$C$1960,0)),"",INDEX('Compliance Database'!$G$2:$G$1960,MATCH(493,Engine!$C$2:$C$1960,0)))</f>
        <v/>
      </c>
      <c r="H506" s="9">
        <f>IF(ISNA(MATCH(493,Engine!$C$2:$C$1960,0)),"",INDEX('Compliance Database'!$H$2:$H$1960,MATCH(493,Engine!$C$2:$C$1960,0)))</f>
        <v/>
      </c>
      <c r="I506" s="9">
        <f>IF(ISNA(MATCH(493,Engine!$C$2:$C$1960,0)),"",INDEX('Compliance Database'!$I$2:$I$1960,MATCH(493,Engine!$C$2:$C$1960,0)))</f>
        <v/>
      </c>
      <c r="J506" s="8">
        <f>IF(ISNA(MATCH(493,Engine!$C$2:$C$1960,0)),"",INDEX('Compliance Database'!$J$2:$J$1960,MATCH(493,Engine!$C$2:$C$1960,0)))</f>
        <v/>
      </c>
      <c r="K506" s="9">
        <f>IF(ISNA(MATCH(493,Engine!$C$2:$C$1960,0)),"",INDEX('Compliance Database'!$K$2:$K$1960,MATCH(493,Engine!$C$2:$C$1960,0)))</f>
        <v/>
      </c>
      <c r="L506" s="9">
        <f>IF(ISNA(MATCH(493,Engine!$C$2:$C$1960,0)),"",INDEX('Compliance Database'!$L$2:$L$1960,MATCH(493,Engine!$C$2:$C$1960,0)))</f>
        <v/>
      </c>
      <c r="M506" s="9">
        <f>IF(ISNA(MATCH(493,Engine!$C$2:$C$1960,0)),"",INDEX('Compliance Database'!$M$2:$M$1960,MATCH(493,Engine!$C$2:$C$1960,0)))</f>
        <v/>
      </c>
      <c r="N506" s="9">
        <f>IF(ISNA(MATCH(493,Engine!$C$2:$C$1960,0)),"",INDEX('Compliance Database'!$N$2:$N$1960,MATCH(493,Engine!$C$2:$C$1960,0)))</f>
        <v/>
      </c>
      <c r="O506" s="9">
        <f>IF(ISNA(MATCH(493,Engine!$C$2:$C$1960,0)),"",INDEX('Compliance Database'!$O$2:$O$1960,MATCH(493,Engine!$C$2:$C$1960,0)))</f>
        <v/>
      </c>
      <c r="P506" s="8">
        <f>IF(ISNA(MATCH(493,Engine!$C$2:$C$1960,0)),"",HYPERLINK("#Acts!A"&amp;INDEX('Compliance Database'!$P$2:$P$1960,MATCH(493,Engine!$C$2:$C$1960,0)),"Go to Act"))</f>
        <v/>
      </c>
    </row>
    <row r="507" ht="158" customHeight="1">
      <c r="A507" s="8">
        <f>IF(ISNA(MATCH(494,Engine!$C$2:$C$1960,0)),"",INDEX('Compliance Database'!$A$2:$A$1960,MATCH(494,Engine!$C$2:$C$1960,0)))</f>
        <v/>
      </c>
      <c r="B507" s="8">
        <f>IF(ISNA(MATCH(494,Engine!$C$2:$C$1960,0)),"",INDEX('Compliance Database'!$B$2:$B$1960,MATCH(494,Engine!$C$2:$C$1960,0)))</f>
        <v/>
      </c>
      <c r="C507" s="8">
        <f>IF(ISNA(MATCH(494,Engine!$C$2:$C$1960,0)),"",INDEX('Compliance Database'!$C$2:$C$1960,MATCH(494,Engine!$C$2:$C$1960,0)))</f>
        <v/>
      </c>
      <c r="D507" s="9">
        <f>IF(ISNA(MATCH(494,Engine!$C$2:$C$1960,0)),"",INDEX('Compliance Database'!$D$2:$D$1960,MATCH(494,Engine!$C$2:$C$1960,0)))</f>
        <v/>
      </c>
      <c r="E507" s="8">
        <f>IF(ISNA(MATCH(494,Engine!$C$2:$C$1960,0)),"",INDEX('Compliance Database'!$E$2:$E$1960,MATCH(494,Engine!$C$2:$C$1960,0)))</f>
        <v/>
      </c>
      <c r="F507" s="8">
        <f>IF(ISNA(MATCH(494,Engine!$C$2:$C$1960,0)),"",INDEX('Compliance Database'!$F$2:$F$1960,MATCH(494,Engine!$C$2:$C$1960,0)))</f>
        <v/>
      </c>
      <c r="G507" s="8">
        <f>IF(ISNA(MATCH(494,Engine!$C$2:$C$1960,0)),"",INDEX('Compliance Database'!$G$2:$G$1960,MATCH(494,Engine!$C$2:$C$1960,0)))</f>
        <v/>
      </c>
      <c r="H507" s="9">
        <f>IF(ISNA(MATCH(494,Engine!$C$2:$C$1960,0)),"",INDEX('Compliance Database'!$H$2:$H$1960,MATCH(494,Engine!$C$2:$C$1960,0)))</f>
        <v/>
      </c>
      <c r="I507" s="9">
        <f>IF(ISNA(MATCH(494,Engine!$C$2:$C$1960,0)),"",INDEX('Compliance Database'!$I$2:$I$1960,MATCH(494,Engine!$C$2:$C$1960,0)))</f>
        <v/>
      </c>
      <c r="J507" s="8">
        <f>IF(ISNA(MATCH(494,Engine!$C$2:$C$1960,0)),"",INDEX('Compliance Database'!$J$2:$J$1960,MATCH(494,Engine!$C$2:$C$1960,0)))</f>
        <v/>
      </c>
      <c r="K507" s="9">
        <f>IF(ISNA(MATCH(494,Engine!$C$2:$C$1960,0)),"",INDEX('Compliance Database'!$K$2:$K$1960,MATCH(494,Engine!$C$2:$C$1960,0)))</f>
        <v/>
      </c>
      <c r="L507" s="9">
        <f>IF(ISNA(MATCH(494,Engine!$C$2:$C$1960,0)),"",INDEX('Compliance Database'!$L$2:$L$1960,MATCH(494,Engine!$C$2:$C$1960,0)))</f>
        <v/>
      </c>
      <c r="M507" s="9">
        <f>IF(ISNA(MATCH(494,Engine!$C$2:$C$1960,0)),"",INDEX('Compliance Database'!$M$2:$M$1960,MATCH(494,Engine!$C$2:$C$1960,0)))</f>
        <v/>
      </c>
      <c r="N507" s="9">
        <f>IF(ISNA(MATCH(494,Engine!$C$2:$C$1960,0)),"",INDEX('Compliance Database'!$N$2:$N$1960,MATCH(494,Engine!$C$2:$C$1960,0)))</f>
        <v/>
      </c>
      <c r="O507" s="9">
        <f>IF(ISNA(MATCH(494,Engine!$C$2:$C$1960,0)),"",INDEX('Compliance Database'!$O$2:$O$1960,MATCH(494,Engine!$C$2:$C$1960,0)))</f>
        <v/>
      </c>
      <c r="P507" s="8">
        <f>IF(ISNA(MATCH(494,Engine!$C$2:$C$1960,0)),"",HYPERLINK("#Acts!A"&amp;INDEX('Compliance Database'!$P$2:$P$1960,MATCH(494,Engine!$C$2:$C$1960,0)),"Go to Act"))</f>
        <v/>
      </c>
    </row>
    <row r="508" ht="158" customHeight="1">
      <c r="A508" s="8">
        <f>IF(ISNA(MATCH(495,Engine!$C$2:$C$1960,0)),"",INDEX('Compliance Database'!$A$2:$A$1960,MATCH(495,Engine!$C$2:$C$1960,0)))</f>
        <v/>
      </c>
      <c r="B508" s="8">
        <f>IF(ISNA(MATCH(495,Engine!$C$2:$C$1960,0)),"",INDEX('Compliance Database'!$B$2:$B$1960,MATCH(495,Engine!$C$2:$C$1960,0)))</f>
        <v/>
      </c>
      <c r="C508" s="8">
        <f>IF(ISNA(MATCH(495,Engine!$C$2:$C$1960,0)),"",INDEX('Compliance Database'!$C$2:$C$1960,MATCH(495,Engine!$C$2:$C$1960,0)))</f>
        <v/>
      </c>
      <c r="D508" s="9">
        <f>IF(ISNA(MATCH(495,Engine!$C$2:$C$1960,0)),"",INDEX('Compliance Database'!$D$2:$D$1960,MATCH(495,Engine!$C$2:$C$1960,0)))</f>
        <v/>
      </c>
      <c r="E508" s="8">
        <f>IF(ISNA(MATCH(495,Engine!$C$2:$C$1960,0)),"",INDEX('Compliance Database'!$E$2:$E$1960,MATCH(495,Engine!$C$2:$C$1960,0)))</f>
        <v/>
      </c>
      <c r="F508" s="8">
        <f>IF(ISNA(MATCH(495,Engine!$C$2:$C$1960,0)),"",INDEX('Compliance Database'!$F$2:$F$1960,MATCH(495,Engine!$C$2:$C$1960,0)))</f>
        <v/>
      </c>
      <c r="G508" s="8">
        <f>IF(ISNA(MATCH(495,Engine!$C$2:$C$1960,0)),"",INDEX('Compliance Database'!$G$2:$G$1960,MATCH(495,Engine!$C$2:$C$1960,0)))</f>
        <v/>
      </c>
      <c r="H508" s="9">
        <f>IF(ISNA(MATCH(495,Engine!$C$2:$C$1960,0)),"",INDEX('Compliance Database'!$H$2:$H$1960,MATCH(495,Engine!$C$2:$C$1960,0)))</f>
        <v/>
      </c>
      <c r="I508" s="9">
        <f>IF(ISNA(MATCH(495,Engine!$C$2:$C$1960,0)),"",INDEX('Compliance Database'!$I$2:$I$1960,MATCH(495,Engine!$C$2:$C$1960,0)))</f>
        <v/>
      </c>
      <c r="J508" s="8">
        <f>IF(ISNA(MATCH(495,Engine!$C$2:$C$1960,0)),"",INDEX('Compliance Database'!$J$2:$J$1960,MATCH(495,Engine!$C$2:$C$1960,0)))</f>
        <v/>
      </c>
      <c r="K508" s="9">
        <f>IF(ISNA(MATCH(495,Engine!$C$2:$C$1960,0)),"",INDEX('Compliance Database'!$K$2:$K$1960,MATCH(495,Engine!$C$2:$C$1960,0)))</f>
        <v/>
      </c>
      <c r="L508" s="9">
        <f>IF(ISNA(MATCH(495,Engine!$C$2:$C$1960,0)),"",INDEX('Compliance Database'!$L$2:$L$1960,MATCH(495,Engine!$C$2:$C$1960,0)))</f>
        <v/>
      </c>
      <c r="M508" s="9">
        <f>IF(ISNA(MATCH(495,Engine!$C$2:$C$1960,0)),"",INDEX('Compliance Database'!$M$2:$M$1960,MATCH(495,Engine!$C$2:$C$1960,0)))</f>
        <v/>
      </c>
      <c r="N508" s="9">
        <f>IF(ISNA(MATCH(495,Engine!$C$2:$C$1960,0)),"",INDEX('Compliance Database'!$N$2:$N$1960,MATCH(495,Engine!$C$2:$C$1960,0)))</f>
        <v/>
      </c>
      <c r="O508" s="9">
        <f>IF(ISNA(MATCH(495,Engine!$C$2:$C$1960,0)),"",INDEX('Compliance Database'!$O$2:$O$1960,MATCH(495,Engine!$C$2:$C$1960,0)))</f>
        <v/>
      </c>
      <c r="P508" s="8">
        <f>IF(ISNA(MATCH(495,Engine!$C$2:$C$1960,0)),"",HYPERLINK("#Acts!A"&amp;INDEX('Compliance Database'!$P$2:$P$1960,MATCH(495,Engine!$C$2:$C$1960,0)),"Go to Act"))</f>
        <v/>
      </c>
    </row>
    <row r="509" ht="158" customHeight="1">
      <c r="A509" s="8">
        <f>IF(ISNA(MATCH(496,Engine!$C$2:$C$1960,0)),"",INDEX('Compliance Database'!$A$2:$A$1960,MATCH(496,Engine!$C$2:$C$1960,0)))</f>
        <v/>
      </c>
      <c r="B509" s="8">
        <f>IF(ISNA(MATCH(496,Engine!$C$2:$C$1960,0)),"",INDEX('Compliance Database'!$B$2:$B$1960,MATCH(496,Engine!$C$2:$C$1960,0)))</f>
        <v/>
      </c>
      <c r="C509" s="8">
        <f>IF(ISNA(MATCH(496,Engine!$C$2:$C$1960,0)),"",INDEX('Compliance Database'!$C$2:$C$1960,MATCH(496,Engine!$C$2:$C$1960,0)))</f>
        <v/>
      </c>
      <c r="D509" s="9">
        <f>IF(ISNA(MATCH(496,Engine!$C$2:$C$1960,0)),"",INDEX('Compliance Database'!$D$2:$D$1960,MATCH(496,Engine!$C$2:$C$1960,0)))</f>
        <v/>
      </c>
      <c r="E509" s="8">
        <f>IF(ISNA(MATCH(496,Engine!$C$2:$C$1960,0)),"",INDEX('Compliance Database'!$E$2:$E$1960,MATCH(496,Engine!$C$2:$C$1960,0)))</f>
        <v/>
      </c>
      <c r="F509" s="8">
        <f>IF(ISNA(MATCH(496,Engine!$C$2:$C$1960,0)),"",INDEX('Compliance Database'!$F$2:$F$1960,MATCH(496,Engine!$C$2:$C$1960,0)))</f>
        <v/>
      </c>
      <c r="G509" s="8">
        <f>IF(ISNA(MATCH(496,Engine!$C$2:$C$1960,0)),"",INDEX('Compliance Database'!$G$2:$G$1960,MATCH(496,Engine!$C$2:$C$1960,0)))</f>
        <v/>
      </c>
      <c r="H509" s="9">
        <f>IF(ISNA(MATCH(496,Engine!$C$2:$C$1960,0)),"",INDEX('Compliance Database'!$H$2:$H$1960,MATCH(496,Engine!$C$2:$C$1960,0)))</f>
        <v/>
      </c>
      <c r="I509" s="9">
        <f>IF(ISNA(MATCH(496,Engine!$C$2:$C$1960,0)),"",INDEX('Compliance Database'!$I$2:$I$1960,MATCH(496,Engine!$C$2:$C$1960,0)))</f>
        <v/>
      </c>
      <c r="J509" s="8">
        <f>IF(ISNA(MATCH(496,Engine!$C$2:$C$1960,0)),"",INDEX('Compliance Database'!$J$2:$J$1960,MATCH(496,Engine!$C$2:$C$1960,0)))</f>
        <v/>
      </c>
      <c r="K509" s="9">
        <f>IF(ISNA(MATCH(496,Engine!$C$2:$C$1960,0)),"",INDEX('Compliance Database'!$K$2:$K$1960,MATCH(496,Engine!$C$2:$C$1960,0)))</f>
        <v/>
      </c>
      <c r="L509" s="9">
        <f>IF(ISNA(MATCH(496,Engine!$C$2:$C$1960,0)),"",INDEX('Compliance Database'!$L$2:$L$1960,MATCH(496,Engine!$C$2:$C$1960,0)))</f>
        <v/>
      </c>
      <c r="M509" s="9">
        <f>IF(ISNA(MATCH(496,Engine!$C$2:$C$1960,0)),"",INDEX('Compliance Database'!$M$2:$M$1960,MATCH(496,Engine!$C$2:$C$1960,0)))</f>
        <v/>
      </c>
      <c r="N509" s="9">
        <f>IF(ISNA(MATCH(496,Engine!$C$2:$C$1960,0)),"",INDEX('Compliance Database'!$N$2:$N$1960,MATCH(496,Engine!$C$2:$C$1960,0)))</f>
        <v/>
      </c>
      <c r="O509" s="9">
        <f>IF(ISNA(MATCH(496,Engine!$C$2:$C$1960,0)),"",INDEX('Compliance Database'!$O$2:$O$1960,MATCH(496,Engine!$C$2:$C$1960,0)))</f>
        <v/>
      </c>
      <c r="P509" s="8">
        <f>IF(ISNA(MATCH(496,Engine!$C$2:$C$1960,0)),"",HYPERLINK("#Acts!A"&amp;INDEX('Compliance Database'!$P$2:$P$1960,MATCH(496,Engine!$C$2:$C$1960,0)),"Go to Act"))</f>
        <v/>
      </c>
    </row>
    <row r="510" ht="158" customHeight="1">
      <c r="A510" s="8">
        <f>IF(ISNA(MATCH(497,Engine!$C$2:$C$1960,0)),"",INDEX('Compliance Database'!$A$2:$A$1960,MATCH(497,Engine!$C$2:$C$1960,0)))</f>
        <v/>
      </c>
      <c r="B510" s="8">
        <f>IF(ISNA(MATCH(497,Engine!$C$2:$C$1960,0)),"",INDEX('Compliance Database'!$B$2:$B$1960,MATCH(497,Engine!$C$2:$C$1960,0)))</f>
        <v/>
      </c>
      <c r="C510" s="8">
        <f>IF(ISNA(MATCH(497,Engine!$C$2:$C$1960,0)),"",INDEX('Compliance Database'!$C$2:$C$1960,MATCH(497,Engine!$C$2:$C$1960,0)))</f>
        <v/>
      </c>
      <c r="D510" s="9">
        <f>IF(ISNA(MATCH(497,Engine!$C$2:$C$1960,0)),"",INDEX('Compliance Database'!$D$2:$D$1960,MATCH(497,Engine!$C$2:$C$1960,0)))</f>
        <v/>
      </c>
      <c r="E510" s="8">
        <f>IF(ISNA(MATCH(497,Engine!$C$2:$C$1960,0)),"",INDEX('Compliance Database'!$E$2:$E$1960,MATCH(497,Engine!$C$2:$C$1960,0)))</f>
        <v/>
      </c>
      <c r="F510" s="8">
        <f>IF(ISNA(MATCH(497,Engine!$C$2:$C$1960,0)),"",INDEX('Compliance Database'!$F$2:$F$1960,MATCH(497,Engine!$C$2:$C$1960,0)))</f>
        <v/>
      </c>
      <c r="G510" s="8">
        <f>IF(ISNA(MATCH(497,Engine!$C$2:$C$1960,0)),"",INDEX('Compliance Database'!$G$2:$G$1960,MATCH(497,Engine!$C$2:$C$1960,0)))</f>
        <v/>
      </c>
      <c r="H510" s="9">
        <f>IF(ISNA(MATCH(497,Engine!$C$2:$C$1960,0)),"",INDEX('Compliance Database'!$H$2:$H$1960,MATCH(497,Engine!$C$2:$C$1960,0)))</f>
        <v/>
      </c>
      <c r="I510" s="9">
        <f>IF(ISNA(MATCH(497,Engine!$C$2:$C$1960,0)),"",INDEX('Compliance Database'!$I$2:$I$1960,MATCH(497,Engine!$C$2:$C$1960,0)))</f>
        <v/>
      </c>
      <c r="J510" s="8">
        <f>IF(ISNA(MATCH(497,Engine!$C$2:$C$1960,0)),"",INDEX('Compliance Database'!$J$2:$J$1960,MATCH(497,Engine!$C$2:$C$1960,0)))</f>
        <v/>
      </c>
      <c r="K510" s="9">
        <f>IF(ISNA(MATCH(497,Engine!$C$2:$C$1960,0)),"",INDEX('Compliance Database'!$K$2:$K$1960,MATCH(497,Engine!$C$2:$C$1960,0)))</f>
        <v/>
      </c>
      <c r="L510" s="9">
        <f>IF(ISNA(MATCH(497,Engine!$C$2:$C$1960,0)),"",INDEX('Compliance Database'!$L$2:$L$1960,MATCH(497,Engine!$C$2:$C$1960,0)))</f>
        <v/>
      </c>
      <c r="M510" s="9">
        <f>IF(ISNA(MATCH(497,Engine!$C$2:$C$1960,0)),"",INDEX('Compliance Database'!$M$2:$M$1960,MATCH(497,Engine!$C$2:$C$1960,0)))</f>
        <v/>
      </c>
      <c r="N510" s="9">
        <f>IF(ISNA(MATCH(497,Engine!$C$2:$C$1960,0)),"",INDEX('Compliance Database'!$N$2:$N$1960,MATCH(497,Engine!$C$2:$C$1960,0)))</f>
        <v/>
      </c>
      <c r="O510" s="9">
        <f>IF(ISNA(MATCH(497,Engine!$C$2:$C$1960,0)),"",INDEX('Compliance Database'!$O$2:$O$1960,MATCH(497,Engine!$C$2:$C$1960,0)))</f>
        <v/>
      </c>
      <c r="P510" s="8">
        <f>IF(ISNA(MATCH(497,Engine!$C$2:$C$1960,0)),"",HYPERLINK("#Acts!A"&amp;INDEX('Compliance Database'!$P$2:$P$1960,MATCH(497,Engine!$C$2:$C$1960,0)),"Go to Act"))</f>
        <v/>
      </c>
    </row>
    <row r="511" ht="158" customHeight="1">
      <c r="A511" s="8">
        <f>IF(ISNA(MATCH(498,Engine!$C$2:$C$1960,0)),"",INDEX('Compliance Database'!$A$2:$A$1960,MATCH(498,Engine!$C$2:$C$1960,0)))</f>
        <v/>
      </c>
      <c r="B511" s="8">
        <f>IF(ISNA(MATCH(498,Engine!$C$2:$C$1960,0)),"",INDEX('Compliance Database'!$B$2:$B$1960,MATCH(498,Engine!$C$2:$C$1960,0)))</f>
        <v/>
      </c>
      <c r="C511" s="8">
        <f>IF(ISNA(MATCH(498,Engine!$C$2:$C$1960,0)),"",INDEX('Compliance Database'!$C$2:$C$1960,MATCH(498,Engine!$C$2:$C$1960,0)))</f>
        <v/>
      </c>
      <c r="D511" s="9">
        <f>IF(ISNA(MATCH(498,Engine!$C$2:$C$1960,0)),"",INDEX('Compliance Database'!$D$2:$D$1960,MATCH(498,Engine!$C$2:$C$1960,0)))</f>
        <v/>
      </c>
      <c r="E511" s="8">
        <f>IF(ISNA(MATCH(498,Engine!$C$2:$C$1960,0)),"",INDEX('Compliance Database'!$E$2:$E$1960,MATCH(498,Engine!$C$2:$C$1960,0)))</f>
        <v/>
      </c>
      <c r="F511" s="8">
        <f>IF(ISNA(MATCH(498,Engine!$C$2:$C$1960,0)),"",INDEX('Compliance Database'!$F$2:$F$1960,MATCH(498,Engine!$C$2:$C$1960,0)))</f>
        <v/>
      </c>
      <c r="G511" s="8">
        <f>IF(ISNA(MATCH(498,Engine!$C$2:$C$1960,0)),"",INDEX('Compliance Database'!$G$2:$G$1960,MATCH(498,Engine!$C$2:$C$1960,0)))</f>
        <v/>
      </c>
      <c r="H511" s="9">
        <f>IF(ISNA(MATCH(498,Engine!$C$2:$C$1960,0)),"",INDEX('Compliance Database'!$H$2:$H$1960,MATCH(498,Engine!$C$2:$C$1960,0)))</f>
        <v/>
      </c>
      <c r="I511" s="9">
        <f>IF(ISNA(MATCH(498,Engine!$C$2:$C$1960,0)),"",INDEX('Compliance Database'!$I$2:$I$1960,MATCH(498,Engine!$C$2:$C$1960,0)))</f>
        <v/>
      </c>
      <c r="J511" s="8">
        <f>IF(ISNA(MATCH(498,Engine!$C$2:$C$1960,0)),"",INDEX('Compliance Database'!$J$2:$J$1960,MATCH(498,Engine!$C$2:$C$1960,0)))</f>
        <v/>
      </c>
      <c r="K511" s="9">
        <f>IF(ISNA(MATCH(498,Engine!$C$2:$C$1960,0)),"",INDEX('Compliance Database'!$K$2:$K$1960,MATCH(498,Engine!$C$2:$C$1960,0)))</f>
        <v/>
      </c>
      <c r="L511" s="9">
        <f>IF(ISNA(MATCH(498,Engine!$C$2:$C$1960,0)),"",INDEX('Compliance Database'!$L$2:$L$1960,MATCH(498,Engine!$C$2:$C$1960,0)))</f>
        <v/>
      </c>
      <c r="M511" s="9">
        <f>IF(ISNA(MATCH(498,Engine!$C$2:$C$1960,0)),"",INDEX('Compliance Database'!$M$2:$M$1960,MATCH(498,Engine!$C$2:$C$1960,0)))</f>
        <v/>
      </c>
      <c r="N511" s="9">
        <f>IF(ISNA(MATCH(498,Engine!$C$2:$C$1960,0)),"",INDEX('Compliance Database'!$N$2:$N$1960,MATCH(498,Engine!$C$2:$C$1960,0)))</f>
        <v/>
      </c>
      <c r="O511" s="9">
        <f>IF(ISNA(MATCH(498,Engine!$C$2:$C$1960,0)),"",INDEX('Compliance Database'!$O$2:$O$1960,MATCH(498,Engine!$C$2:$C$1960,0)))</f>
        <v/>
      </c>
      <c r="P511" s="8">
        <f>IF(ISNA(MATCH(498,Engine!$C$2:$C$1960,0)),"",HYPERLINK("#Acts!A"&amp;INDEX('Compliance Database'!$P$2:$P$1960,MATCH(498,Engine!$C$2:$C$1960,0)),"Go to Act"))</f>
        <v/>
      </c>
    </row>
    <row r="512" ht="158" customHeight="1">
      <c r="A512" s="8">
        <f>IF(ISNA(MATCH(499,Engine!$C$2:$C$1960,0)),"",INDEX('Compliance Database'!$A$2:$A$1960,MATCH(499,Engine!$C$2:$C$1960,0)))</f>
        <v/>
      </c>
      <c r="B512" s="8">
        <f>IF(ISNA(MATCH(499,Engine!$C$2:$C$1960,0)),"",INDEX('Compliance Database'!$B$2:$B$1960,MATCH(499,Engine!$C$2:$C$1960,0)))</f>
        <v/>
      </c>
      <c r="C512" s="8">
        <f>IF(ISNA(MATCH(499,Engine!$C$2:$C$1960,0)),"",INDEX('Compliance Database'!$C$2:$C$1960,MATCH(499,Engine!$C$2:$C$1960,0)))</f>
        <v/>
      </c>
      <c r="D512" s="9">
        <f>IF(ISNA(MATCH(499,Engine!$C$2:$C$1960,0)),"",INDEX('Compliance Database'!$D$2:$D$1960,MATCH(499,Engine!$C$2:$C$1960,0)))</f>
        <v/>
      </c>
      <c r="E512" s="8">
        <f>IF(ISNA(MATCH(499,Engine!$C$2:$C$1960,0)),"",INDEX('Compliance Database'!$E$2:$E$1960,MATCH(499,Engine!$C$2:$C$1960,0)))</f>
        <v/>
      </c>
      <c r="F512" s="8">
        <f>IF(ISNA(MATCH(499,Engine!$C$2:$C$1960,0)),"",INDEX('Compliance Database'!$F$2:$F$1960,MATCH(499,Engine!$C$2:$C$1960,0)))</f>
        <v/>
      </c>
      <c r="G512" s="8">
        <f>IF(ISNA(MATCH(499,Engine!$C$2:$C$1960,0)),"",INDEX('Compliance Database'!$G$2:$G$1960,MATCH(499,Engine!$C$2:$C$1960,0)))</f>
        <v/>
      </c>
      <c r="H512" s="9">
        <f>IF(ISNA(MATCH(499,Engine!$C$2:$C$1960,0)),"",INDEX('Compliance Database'!$H$2:$H$1960,MATCH(499,Engine!$C$2:$C$1960,0)))</f>
        <v/>
      </c>
      <c r="I512" s="9">
        <f>IF(ISNA(MATCH(499,Engine!$C$2:$C$1960,0)),"",INDEX('Compliance Database'!$I$2:$I$1960,MATCH(499,Engine!$C$2:$C$1960,0)))</f>
        <v/>
      </c>
      <c r="J512" s="8">
        <f>IF(ISNA(MATCH(499,Engine!$C$2:$C$1960,0)),"",INDEX('Compliance Database'!$J$2:$J$1960,MATCH(499,Engine!$C$2:$C$1960,0)))</f>
        <v/>
      </c>
      <c r="K512" s="9">
        <f>IF(ISNA(MATCH(499,Engine!$C$2:$C$1960,0)),"",INDEX('Compliance Database'!$K$2:$K$1960,MATCH(499,Engine!$C$2:$C$1960,0)))</f>
        <v/>
      </c>
      <c r="L512" s="9">
        <f>IF(ISNA(MATCH(499,Engine!$C$2:$C$1960,0)),"",INDEX('Compliance Database'!$L$2:$L$1960,MATCH(499,Engine!$C$2:$C$1960,0)))</f>
        <v/>
      </c>
      <c r="M512" s="9">
        <f>IF(ISNA(MATCH(499,Engine!$C$2:$C$1960,0)),"",INDEX('Compliance Database'!$M$2:$M$1960,MATCH(499,Engine!$C$2:$C$1960,0)))</f>
        <v/>
      </c>
      <c r="N512" s="9">
        <f>IF(ISNA(MATCH(499,Engine!$C$2:$C$1960,0)),"",INDEX('Compliance Database'!$N$2:$N$1960,MATCH(499,Engine!$C$2:$C$1960,0)))</f>
        <v/>
      </c>
      <c r="O512" s="9">
        <f>IF(ISNA(MATCH(499,Engine!$C$2:$C$1960,0)),"",INDEX('Compliance Database'!$O$2:$O$1960,MATCH(499,Engine!$C$2:$C$1960,0)))</f>
        <v/>
      </c>
      <c r="P512" s="8">
        <f>IF(ISNA(MATCH(499,Engine!$C$2:$C$1960,0)),"",HYPERLINK("#Acts!A"&amp;INDEX('Compliance Database'!$P$2:$P$1960,MATCH(499,Engine!$C$2:$C$1960,0)),"Go to Act"))</f>
        <v/>
      </c>
    </row>
    <row r="513" ht="158" customHeight="1">
      <c r="A513" s="8">
        <f>IF(ISNA(MATCH(500,Engine!$C$2:$C$1960,0)),"",INDEX('Compliance Database'!$A$2:$A$1960,MATCH(500,Engine!$C$2:$C$1960,0)))</f>
        <v/>
      </c>
      <c r="B513" s="8">
        <f>IF(ISNA(MATCH(500,Engine!$C$2:$C$1960,0)),"",INDEX('Compliance Database'!$B$2:$B$1960,MATCH(500,Engine!$C$2:$C$1960,0)))</f>
        <v/>
      </c>
      <c r="C513" s="8">
        <f>IF(ISNA(MATCH(500,Engine!$C$2:$C$1960,0)),"",INDEX('Compliance Database'!$C$2:$C$1960,MATCH(500,Engine!$C$2:$C$1960,0)))</f>
        <v/>
      </c>
      <c r="D513" s="9">
        <f>IF(ISNA(MATCH(500,Engine!$C$2:$C$1960,0)),"",INDEX('Compliance Database'!$D$2:$D$1960,MATCH(500,Engine!$C$2:$C$1960,0)))</f>
        <v/>
      </c>
      <c r="E513" s="8">
        <f>IF(ISNA(MATCH(500,Engine!$C$2:$C$1960,0)),"",INDEX('Compliance Database'!$E$2:$E$1960,MATCH(500,Engine!$C$2:$C$1960,0)))</f>
        <v/>
      </c>
      <c r="F513" s="8">
        <f>IF(ISNA(MATCH(500,Engine!$C$2:$C$1960,0)),"",INDEX('Compliance Database'!$F$2:$F$1960,MATCH(500,Engine!$C$2:$C$1960,0)))</f>
        <v/>
      </c>
      <c r="G513" s="8">
        <f>IF(ISNA(MATCH(500,Engine!$C$2:$C$1960,0)),"",INDEX('Compliance Database'!$G$2:$G$1960,MATCH(500,Engine!$C$2:$C$1960,0)))</f>
        <v/>
      </c>
      <c r="H513" s="9">
        <f>IF(ISNA(MATCH(500,Engine!$C$2:$C$1960,0)),"",INDEX('Compliance Database'!$H$2:$H$1960,MATCH(500,Engine!$C$2:$C$1960,0)))</f>
        <v/>
      </c>
      <c r="I513" s="9">
        <f>IF(ISNA(MATCH(500,Engine!$C$2:$C$1960,0)),"",INDEX('Compliance Database'!$I$2:$I$1960,MATCH(500,Engine!$C$2:$C$1960,0)))</f>
        <v/>
      </c>
      <c r="J513" s="8">
        <f>IF(ISNA(MATCH(500,Engine!$C$2:$C$1960,0)),"",INDEX('Compliance Database'!$J$2:$J$1960,MATCH(500,Engine!$C$2:$C$1960,0)))</f>
        <v/>
      </c>
      <c r="K513" s="9">
        <f>IF(ISNA(MATCH(500,Engine!$C$2:$C$1960,0)),"",INDEX('Compliance Database'!$K$2:$K$1960,MATCH(500,Engine!$C$2:$C$1960,0)))</f>
        <v/>
      </c>
      <c r="L513" s="9">
        <f>IF(ISNA(MATCH(500,Engine!$C$2:$C$1960,0)),"",INDEX('Compliance Database'!$L$2:$L$1960,MATCH(500,Engine!$C$2:$C$1960,0)))</f>
        <v/>
      </c>
      <c r="M513" s="9">
        <f>IF(ISNA(MATCH(500,Engine!$C$2:$C$1960,0)),"",INDEX('Compliance Database'!$M$2:$M$1960,MATCH(500,Engine!$C$2:$C$1960,0)))</f>
        <v/>
      </c>
      <c r="N513" s="9">
        <f>IF(ISNA(MATCH(500,Engine!$C$2:$C$1960,0)),"",INDEX('Compliance Database'!$N$2:$N$1960,MATCH(500,Engine!$C$2:$C$1960,0)))</f>
        <v/>
      </c>
      <c r="O513" s="9">
        <f>IF(ISNA(MATCH(500,Engine!$C$2:$C$1960,0)),"",INDEX('Compliance Database'!$O$2:$O$1960,MATCH(500,Engine!$C$2:$C$1960,0)))</f>
        <v/>
      </c>
      <c r="P513" s="8">
        <f>IF(ISNA(MATCH(500,Engine!$C$2:$C$1960,0)),"",HYPERLINK("#Acts!A"&amp;INDEX('Compliance Database'!$P$2:$P$1960,MATCH(500,Engine!$C$2:$C$1960,0)),"Go to Act"))</f>
        <v/>
      </c>
    </row>
    <row r="514" ht="158" customHeight="1">
      <c r="A514" s="8">
        <f>IF(ISNA(MATCH(501,Engine!$C$2:$C$1960,0)),"",INDEX('Compliance Database'!$A$2:$A$1960,MATCH(501,Engine!$C$2:$C$1960,0)))</f>
        <v/>
      </c>
      <c r="B514" s="8">
        <f>IF(ISNA(MATCH(501,Engine!$C$2:$C$1960,0)),"",INDEX('Compliance Database'!$B$2:$B$1960,MATCH(501,Engine!$C$2:$C$1960,0)))</f>
        <v/>
      </c>
      <c r="C514" s="8">
        <f>IF(ISNA(MATCH(501,Engine!$C$2:$C$1960,0)),"",INDEX('Compliance Database'!$C$2:$C$1960,MATCH(501,Engine!$C$2:$C$1960,0)))</f>
        <v/>
      </c>
      <c r="D514" s="9">
        <f>IF(ISNA(MATCH(501,Engine!$C$2:$C$1960,0)),"",INDEX('Compliance Database'!$D$2:$D$1960,MATCH(501,Engine!$C$2:$C$1960,0)))</f>
        <v/>
      </c>
      <c r="E514" s="8">
        <f>IF(ISNA(MATCH(501,Engine!$C$2:$C$1960,0)),"",INDEX('Compliance Database'!$E$2:$E$1960,MATCH(501,Engine!$C$2:$C$1960,0)))</f>
        <v/>
      </c>
      <c r="F514" s="8">
        <f>IF(ISNA(MATCH(501,Engine!$C$2:$C$1960,0)),"",INDEX('Compliance Database'!$F$2:$F$1960,MATCH(501,Engine!$C$2:$C$1960,0)))</f>
        <v/>
      </c>
      <c r="G514" s="8">
        <f>IF(ISNA(MATCH(501,Engine!$C$2:$C$1960,0)),"",INDEX('Compliance Database'!$G$2:$G$1960,MATCH(501,Engine!$C$2:$C$1960,0)))</f>
        <v/>
      </c>
      <c r="H514" s="9">
        <f>IF(ISNA(MATCH(501,Engine!$C$2:$C$1960,0)),"",INDEX('Compliance Database'!$H$2:$H$1960,MATCH(501,Engine!$C$2:$C$1960,0)))</f>
        <v/>
      </c>
      <c r="I514" s="9">
        <f>IF(ISNA(MATCH(501,Engine!$C$2:$C$1960,0)),"",INDEX('Compliance Database'!$I$2:$I$1960,MATCH(501,Engine!$C$2:$C$1960,0)))</f>
        <v/>
      </c>
      <c r="J514" s="8">
        <f>IF(ISNA(MATCH(501,Engine!$C$2:$C$1960,0)),"",INDEX('Compliance Database'!$J$2:$J$1960,MATCH(501,Engine!$C$2:$C$1960,0)))</f>
        <v/>
      </c>
      <c r="K514" s="9">
        <f>IF(ISNA(MATCH(501,Engine!$C$2:$C$1960,0)),"",INDEX('Compliance Database'!$K$2:$K$1960,MATCH(501,Engine!$C$2:$C$1960,0)))</f>
        <v/>
      </c>
      <c r="L514" s="9">
        <f>IF(ISNA(MATCH(501,Engine!$C$2:$C$1960,0)),"",INDEX('Compliance Database'!$L$2:$L$1960,MATCH(501,Engine!$C$2:$C$1960,0)))</f>
        <v/>
      </c>
      <c r="M514" s="9">
        <f>IF(ISNA(MATCH(501,Engine!$C$2:$C$1960,0)),"",INDEX('Compliance Database'!$M$2:$M$1960,MATCH(501,Engine!$C$2:$C$1960,0)))</f>
        <v/>
      </c>
      <c r="N514" s="9">
        <f>IF(ISNA(MATCH(501,Engine!$C$2:$C$1960,0)),"",INDEX('Compliance Database'!$N$2:$N$1960,MATCH(501,Engine!$C$2:$C$1960,0)))</f>
        <v/>
      </c>
      <c r="O514" s="9">
        <f>IF(ISNA(MATCH(501,Engine!$C$2:$C$1960,0)),"",INDEX('Compliance Database'!$O$2:$O$1960,MATCH(501,Engine!$C$2:$C$1960,0)))</f>
        <v/>
      </c>
      <c r="P514" s="8">
        <f>IF(ISNA(MATCH(501,Engine!$C$2:$C$1960,0)),"",HYPERLINK("#Acts!A"&amp;INDEX('Compliance Database'!$P$2:$P$1960,MATCH(501,Engine!$C$2:$C$1960,0)),"Go to Act"))</f>
        <v/>
      </c>
    </row>
    <row r="515" ht="158" customHeight="1">
      <c r="A515" s="8">
        <f>IF(ISNA(MATCH(502,Engine!$C$2:$C$1960,0)),"",INDEX('Compliance Database'!$A$2:$A$1960,MATCH(502,Engine!$C$2:$C$1960,0)))</f>
        <v/>
      </c>
      <c r="B515" s="8">
        <f>IF(ISNA(MATCH(502,Engine!$C$2:$C$1960,0)),"",INDEX('Compliance Database'!$B$2:$B$1960,MATCH(502,Engine!$C$2:$C$1960,0)))</f>
        <v/>
      </c>
      <c r="C515" s="8">
        <f>IF(ISNA(MATCH(502,Engine!$C$2:$C$1960,0)),"",INDEX('Compliance Database'!$C$2:$C$1960,MATCH(502,Engine!$C$2:$C$1960,0)))</f>
        <v/>
      </c>
      <c r="D515" s="9">
        <f>IF(ISNA(MATCH(502,Engine!$C$2:$C$1960,0)),"",INDEX('Compliance Database'!$D$2:$D$1960,MATCH(502,Engine!$C$2:$C$1960,0)))</f>
        <v/>
      </c>
      <c r="E515" s="8">
        <f>IF(ISNA(MATCH(502,Engine!$C$2:$C$1960,0)),"",INDEX('Compliance Database'!$E$2:$E$1960,MATCH(502,Engine!$C$2:$C$1960,0)))</f>
        <v/>
      </c>
      <c r="F515" s="8">
        <f>IF(ISNA(MATCH(502,Engine!$C$2:$C$1960,0)),"",INDEX('Compliance Database'!$F$2:$F$1960,MATCH(502,Engine!$C$2:$C$1960,0)))</f>
        <v/>
      </c>
      <c r="G515" s="8">
        <f>IF(ISNA(MATCH(502,Engine!$C$2:$C$1960,0)),"",INDEX('Compliance Database'!$G$2:$G$1960,MATCH(502,Engine!$C$2:$C$1960,0)))</f>
        <v/>
      </c>
      <c r="H515" s="9">
        <f>IF(ISNA(MATCH(502,Engine!$C$2:$C$1960,0)),"",INDEX('Compliance Database'!$H$2:$H$1960,MATCH(502,Engine!$C$2:$C$1960,0)))</f>
        <v/>
      </c>
      <c r="I515" s="9">
        <f>IF(ISNA(MATCH(502,Engine!$C$2:$C$1960,0)),"",INDEX('Compliance Database'!$I$2:$I$1960,MATCH(502,Engine!$C$2:$C$1960,0)))</f>
        <v/>
      </c>
      <c r="J515" s="8">
        <f>IF(ISNA(MATCH(502,Engine!$C$2:$C$1960,0)),"",INDEX('Compliance Database'!$J$2:$J$1960,MATCH(502,Engine!$C$2:$C$1960,0)))</f>
        <v/>
      </c>
      <c r="K515" s="9">
        <f>IF(ISNA(MATCH(502,Engine!$C$2:$C$1960,0)),"",INDEX('Compliance Database'!$K$2:$K$1960,MATCH(502,Engine!$C$2:$C$1960,0)))</f>
        <v/>
      </c>
      <c r="L515" s="9">
        <f>IF(ISNA(MATCH(502,Engine!$C$2:$C$1960,0)),"",INDEX('Compliance Database'!$L$2:$L$1960,MATCH(502,Engine!$C$2:$C$1960,0)))</f>
        <v/>
      </c>
      <c r="M515" s="9">
        <f>IF(ISNA(MATCH(502,Engine!$C$2:$C$1960,0)),"",INDEX('Compliance Database'!$M$2:$M$1960,MATCH(502,Engine!$C$2:$C$1960,0)))</f>
        <v/>
      </c>
      <c r="N515" s="9">
        <f>IF(ISNA(MATCH(502,Engine!$C$2:$C$1960,0)),"",INDEX('Compliance Database'!$N$2:$N$1960,MATCH(502,Engine!$C$2:$C$1960,0)))</f>
        <v/>
      </c>
      <c r="O515" s="9">
        <f>IF(ISNA(MATCH(502,Engine!$C$2:$C$1960,0)),"",INDEX('Compliance Database'!$O$2:$O$1960,MATCH(502,Engine!$C$2:$C$1960,0)))</f>
        <v/>
      </c>
      <c r="P515" s="8">
        <f>IF(ISNA(MATCH(502,Engine!$C$2:$C$1960,0)),"",HYPERLINK("#Acts!A"&amp;INDEX('Compliance Database'!$P$2:$P$1960,MATCH(502,Engine!$C$2:$C$1960,0)),"Go to Act"))</f>
        <v/>
      </c>
    </row>
    <row r="516" ht="158" customHeight="1">
      <c r="A516" s="8">
        <f>IF(ISNA(MATCH(503,Engine!$C$2:$C$1960,0)),"",INDEX('Compliance Database'!$A$2:$A$1960,MATCH(503,Engine!$C$2:$C$1960,0)))</f>
        <v/>
      </c>
      <c r="B516" s="8">
        <f>IF(ISNA(MATCH(503,Engine!$C$2:$C$1960,0)),"",INDEX('Compliance Database'!$B$2:$B$1960,MATCH(503,Engine!$C$2:$C$1960,0)))</f>
        <v/>
      </c>
      <c r="C516" s="8">
        <f>IF(ISNA(MATCH(503,Engine!$C$2:$C$1960,0)),"",INDEX('Compliance Database'!$C$2:$C$1960,MATCH(503,Engine!$C$2:$C$1960,0)))</f>
        <v/>
      </c>
      <c r="D516" s="9">
        <f>IF(ISNA(MATCH(503,Engine!$C$2:$C$1960,0)),"",INDEX('Compliance Database'!$D$2:$D$1960,MATCH(503,Engine!$C$2:$C$1960,0)))</f>
        <v/>
      </c>
      <c r="E516" s="8">
        <f>IF(ISNA(MATCH(503,Engine!$C$2:$C$1960,0)),"",INDEX('Compliance Database'!$E$2:$E$1960,MATCH(503,Engine!$C$2:$C$1960,0)))</f>
        <v/>
      </c>
      <c r="F516" s="8">
        <f>IF(ISNA(MATCH(503,Engine!$C$2:$C$1960,0)),"",INDEX('Compliance Database'!$F$2:$F$1960,MATCH(503,Engine!$C$2:$C$1960,0)))</f>
        <v/>
      </c>
      <c r="G516" s="8">
        <f>IF(ISNA(MATCH(503,Engine!$C$2:$C$1960,0)),"",INDEX('Compliance Database'!$G$2:$G$1960,MATCH(503,Engine!$C$2:$C$1960,0)))</f>
        <v/>
      </c>
      <c r="H516" s="9">
        <f>IF(ISNA(MATCH(503,Engine!$C$2:$C$1960,0)),"",INDEX('Compliance Database'!$H$2:$H$1960,MATCH(503,Engine!$C$2:$C$1960,0)))</f>
        <v/>
      </c>
      <c r="I516" s="9">
        <f>IF(ISNA(MATCH(503,Engine!$C$2:$C$1960,0)),"",INDEX('Compliance Database'!$I$2:$I$1960,MATCH(503,Engine!$C$2:$C$1960,0)))</f>
        <v/>
      </c>
      <c r="J516" s="8">
        <f>IF(ISNA(MATCH(503,Engine!$C$2:$C$1960,0)),"",INDEX('Compliance Database'!$J$2:$J$1960,MATCH(503,Engine!$C$2:$C$1960,0)))</f>
        <v/>
      </c>
      <c r="K516" s="9">
        <f>IF(ISNA(MATCH(503,Engine!$C$2:$C$1960,0)),"",INDEX('Compliance Database'!$K$2:$K$1960,MATCH(503,Engine!$C$2:$C$1960,0)))</f>
        <v/>
      </c>
      <c r="L516" s="9">
        <f>IF(ISNA(MATCH(503,Engine!$C$2:$C$1960,0)),"",INDEX('Compliance Database'!$L$2:$L$1960,MATCH(503,Engine!$C$2:$C$1960,0)))</f>
        <v/>
      </c>
      <c r="M516" s="9">
        <f>IF(ISNA(MATCH(503,Engine!$C$2:$C$1960,0)),"",INDEX('Compliance Database'!$M$2:$M$1960,MATCH(503,Engine!$C$2:$C$1960,0)))</f>
        <v/>
      </c>
      <c r="N516" s="9">
        <f>IF(ISNA(MATCH(503,Engine!$C$2:$C$1960,0)),"",INDEX('Compliance Database'!$N$2:$N$1960,MATCH(503,Engine!$C$2:$C$1960,0)))</f>
        <v/>
      </c>
      <c r="O516" s="9">
        <f>IF(ISNA(MATCH(503,Engine!$C$2:$C$1960,0)),"",INDEX('Compliance Database'!$O$2:$O$1960,MATCH(503,Engine!$C$2:$C$1960,0)))</f>
        <v/>
      </c>
      <c r="P516" s="8">
        <f>IF(ISNA(MATCH(503,Engine!$C$2:$C$1960,0)),"",HYPERLINK("#Acts!A"&amp;INDEX('Compliance Database'!$P$2:$P$1960,MATCH(503,Engine!$C$2:$C$1960,0)),"Go to Act"))</f>
        <v/>
      </c>
    </row>
    <row r="517" ht="158" customHeight="1">
      <c r="A517" s="8">
        <f>IF(ISNA(MATCH(504,Engine!$C$2:$C$1960,0)),"",INDEX('Compliance Database'!$A$2:$A$1960,MATCH(504,Engine!$C$2:$C$1960,0)))</f>
        <v/>
      </c>
      <c r="B517" s="8">
        <f>IF(ISNA(MATCH(504,Engine!$C$2:$C$1960,0)),"",INDEX('Compliance Database'!$B$2:$B$1960,MATCH(504,Engine!$C$2:$C$1960,0)))</f>
        <v/>
      </c>
      <c r="C517" s="8">
        <f>IF(ISNA(MATCH(504,Engine!$C$2:$C$1960,0)),"",INDEX('Compliance Database'!$C$2:$C$1960,MATCH(504,Engine!$C$2:$C$1960,0)))</f>
        <v/>
      </c>
      <c r="D517" s="9">
        <f>IF(ISNA(MATCH(504,Engine!$C$2:$C$1960,0)),"",INDEX('Compliance Database'!$D$2:$D$1960,MATCH(504,Engine!$C$2:$C$1960,0)))</f>
        <v/>
      </c>
      <c r="E517" s="8">
        <f>IF(ISNA(MATCH(504,Engine!$C$2:$C$1960,0)),"",INDEX('Compliance Database'!$E$2:$E$1960,MATCH(504,Engine!$C$2:$C$1960,0)))</f>
        <v/>
      </c>
      <c r="F517" s="8">
        <f>IF(ISNA(MATCH(504,Engine!$C$2:$C$1960,0)),"",INDEX('Compliance Database'!$F$2:$F$1960,MATCH(504,Engine!$C$2:$C$1960,0)))</f>
        <v/>
      </c>
      <c r="G517" s="8">
        <f>IF(ISNA(MATCH(504,Engine!$C$2:$C$1960,0)),"",INDEX('Compliance Database'!$G$2:$G$1960,MATCH(504,Engine!$C$2:$C$1960,0)))</f>
        <v/>
      </c>
      <c r="H517" s="9">
        <f>IF(ISNA(MATCH(504,Engine!$C$2:$C$1960,0)),"",INDEX('Compliance Database'!$H$2:$H$1960,MATCH(504,Engine!$C$2:$C$1960,0)))</f>
        <v/>
      </c>
      <c r="I517" s="9">
        <f>IF(ISNA(MATCH(504,Engine!$C$2:$C$1960,0)),"",INDEX('Compliance Database'!$I$2:$I$1960,MATCH(504,Engine!$C$2:$C$1960,0)))</f>
        <v/>
      </c>
      <c r="J517" s="8">
        <f>IF(ISNA(MATCH(504,Engine!$C$2:$C$1960,0)),"",INDEX('Compliance Database'!$J$2:$J$1960,MATCH(504,Engine!$C$2:$C$1960,0)))</f>
        <v/>
      </c>
      <c r="K517" s="9">
        <f>IF(ISNA(MATCH(504,Engine!$C$2:$C$1960,0)),"",INDEX('Compliance Database'!$K$2:$K$1960,MATCH(504,Engine!$C$2:$C$1960,0)))</f>
        <v/>
      </c>
      <c r="L517" s="9">
        <f>IF(ISNA(MATCH(504,Engine!$C$2:$C$1960,0)),"",INDEX('Compliance Database'!$L$2:$L$1960,MATCH(504,Engine!$C$2:$C$1960,0)))</f>
        <v/>
      </c>
      <c r="M517" s="9">
        <f>IF(ISNA(MATCH(504,Engine!$C$2:$C$1960,0)),"",INDEX('Compliance Database'!$M$2:$M$1960,MATCH(504,Engine!$C$2:$C$1960,0)))</f>
        <v/>
      </c>
      <c r="N517" s="9">
        <f>IF(ISNA(MATCH(504,Engine!$C$2:$C$1960,0)),"",INDEX('Compliance Database'!$N$2:$N$1960,MATCH(504,Engine!$C$2:$C$1960,0)))</f>
        <v/>
      </c>
      <c r="O517" s="9">
        <f>IF(ISNA(MATCH(504,Engine!$C$2:$C$1960,0)),"",INDEX('Compliance Database'!$O$2:$O$1960,MATCH(504,Engine!$C$2:$C$1960,0)))</f>
        <v/>
      </c>
      <c r="P517" s="8">
        <f>IF(ISNA(MATCH(504,Engine!$C$2:$C$1960,0)),"",HYPERLINK("#Acts!A"&amp;INDEX('Compliance Database'!$P$2:$P$1960,MATCH(504,Engine!$C$2:$C$1960,0)),"Go to Act"))</f>
        <v/>
      </c>
    </row>
    <row r="518" ht="158" customHeight="1">
      <c r="A518" s="8">
        <f>IF(ISNA(MATCH(505,Engine!$C$2:$C$1960,0)),"",INDEX('Compliance Database'!$A$2:$A$1960,MATCH(505,Engine!$C$2:$C$1960,0)))</f>
        <v/>
      </c>
      <c r="B518" s="8">
        <f>IF(ISNA(MATCH(505,Engine!$C$2:$C$1960,0)),"",INDEX('Compliance Database'!$B$2:$B$1960,MATCH(505,Engine!$C$2:$C$1960,0)))</f>
        <v/>
      </c>
      <c r="C518" s="8">
        <f>IF(ISNA(MATCH(505,Engine!$C$2:$C$1960,0)),"",INDEX('Compliance Database'!$C$2:$C$1960,MATCH(505,Engine!$C$2:$C$1960,0)))</f>
        <v/>
      </c>
      <c r="D518" s="9">
        <f>IF(ISNA(MATCH(505,Engine!$C$2:$C$1960,0)),"",INDEX('Compliance Database'!$D$2:$D$1960,MATCH(505,Engine!$C$2:$C$1960,0)))</f>
        <v/>
      </c>
      <c r="E518" s="8">
        <f>IF(ISNA(MATCH(505,Engine!$C$2:$C$1960,0)),"",INDEX('Compliance Database'!$E$2:$E$1960,MATCH(505,Engine!$C$2:$C$1960,0)))</f>
        <v/>
      </c>
      <c r="F518" s="8">
        <f>IF(ISNA(MATCH(505,Engine!$C$2:$C$1960,0)),"",INDEX('Compliance Database'!$F$2:$F$1960,MATCH(505,Engine!$C$2:$C$1960,0)))</f>
        <v/>
      </c>
      <c r="G518" s="8">
        <f>IF(ISNA(MATCH(505,Engine!$C$2:$C$1960,0)),"",INDEX('Compliance Database'!$G$2:$G$1960,MATCH(505,Engine!$C$2:$C$1960,0)))</f>
        <v/>
      </c>
      <c r="H518" s="9">
        <f>IF(ISNA(MATCH(505,Engine!$C$2:$C$1960,0)),"",INDEX('Compliance Database'!$H$2:$H$1960,MATCH(505,Engine!$C$2:$C$1960,0)))</f>
        <v/>
      </c>
      <c r="I518" s="9">
        <f>IF(ISNA(MATCH(505,Engine!$C$2:$C$1960,0)),"",INDEX('Compliance Database'!$I$2:$I$1960,MATCH(505,Engine!$C$2:$C$1960,0)))</f>
        <v/>
      </c>
      <c r="J518" s="8">
        <f>IF(ISNA(MATCH(505,Engine!$C$2:$C$1960,0)),"",INDEX('Compliance Database'!$J$2:$J$1960,MATCH(505,Engine!$C$2:$C$1960,0)))</f>
        <v/>
      </c>
      <c r="K518" s="9">
        <f>IF(ISNA(MATCH(505,Engine!$C$2:$C$1960,0)),"",INDEX('Compliance Database'!$K$2:$K$1960,MATCH(505,Engine!$C$2:$C$1960,0)))</f>
        <v/>
      </c>
      <c r="L518" s="9">
        <f>IF(ISNA(MATCH(505,Engine!$C$2:$C$1960,0)),"",INDEX('Compliance Database'!$L$2:$L$1960,MATCH(505,Engine!$C$2:$C$1960,0)))</f>
        <v/>
      </c>
      <c r="M518" s="9">
        <f>IF(ISNA(MATCH(505,Engine!$C$2:$C$1960,0)),"",INDEX('Compliance Database'!$M$2:$M$1960,MATCH(505,Engine!$C$2:$C$1960,0)))</f>
        <v/>
      </c>
      <c r="N518" s="9">
        <f>IF(ISNA(MATCH(505,Engine!$C$2:$C$1960,0)),"",INDEX('Compliance Database'!$N$2:$N$1960,MATCH(505,Engine!$C$2:$C$1960,0)))</f>
        <v/>
      </c>
      <c r="O518" s="9">
        <f>IF(ISNA(MATCH(505,Engine!$C$2:$C$1960,0)),"",INDEX('Compliance Database'!$O$2:$O$1960,MATCH(505,Engine!$C$2:$C$1960,0)))</f>
        <v/>
      </c>
      <c r="P518" s="8">
        <f>IF(ISNA(MATCH(505,Engine!$C$2:$C$1960,0)),"",HYPERLINK("#Acts!A"&amp;INDEX('Compliance Database'!$P$2:$P$1960,MATCH(505,Engine!$C$2:$C$1960,0)),"Go to Act"))</f>
        <v/>
      </c>
    </row>
    <row r="519" ht="158" customHeight="1">
      <c r="A519" s="8">
        <f>IF(ISNA(MATCH(506,Engine!$C$2:$C$1960,0)),"",INDEX('Compliance Database'!$A$2:$A$1960,MATCH(506,Engine!$C$2:$C$1960,0)))</f>
        <v/>
      </c>
      <c r="B519" s="8">
        <f>IF(ISNA(MATCH(506,Engine!$C$2:$C$1960,0)),"",INDEX('Compliance Database'!$B$2:$B$1960,MATCH(506,Engine!$C$2:$C$1960,0)))</f>
        <v/>
      </c>
      <c r="C519" s="8">
        <f>IF(ISNA(MATCH(506,Engine!$C$2:$C$1960,0)),"",INDEX('Compliance Database'!$C$2:$C$1960,MATCH(506,Engine!$C$2:$C$1960,0)))</f>
        <v/>
      </c>
      <c r="D519" s="9">
        <f>IF(ISNA(MATCH(506,Engine!$C$2:$C$1960,0)),"",INDEX('Compliance Database'!$D$2:$D$1960,MATCH(506,Engine!$C$2:$C$1960,0)))</f>
        <v/>
      </c>
      <c r="E519" s="8">
        <f>IF(ISNA(MATCH(506,Engine!$C$2:$C$1960,0)),"",INDEX('Compliance Database'!$E$2:$E$1960,MATCH(506,Engine!$C$2:$C$1960,0)))</f>
        <v/>
      </c>
      <c r="F519" s="8">
        <f>IF(ISNA(MATCH(506,Engine!$C$2:$C$1960,0)),"",INDEX('Compliance Database'!$F$2:$F$1960,MATCH(506,Engine!$C$2:$C$1960,0)))</f>
        <v/>
      </c>
      <c r="G519" s="8">
        <f>IF(ISNA(MATCH(506,Engine!$C$2:$C$1960,0)),"",INDEX('Compliance Database'!$G$2:$G$1960,MATCH(506,Engine!$C$2:$C$1960,0)))</f>
        <v/>
      </c>
      <c r="H519" s="9">
        <f>IF(ISNA(MATCH(506,Engine!$C$2:$C$1960,0)),"",INDEX('Compliance Database'!$H$2:$H$1960,MATCH(506,Engine!$C$2:$C$1960,0)))</f>
        <v/>
      </c>
      <c r="I519" s="9">
        <f>IF(ISNA(MATCH(506,Engine!$C$2:$C$1960,0)),"",INDEX('Compliance Database'!$I$2:$I$1960,MATCH(506,Engine!$C$2:$C$1960,0)))</f>
        <v/>
      </c>
      <c r="J519" s="8">
        <f>IF(ISNA(MATCH(506,Engine!$C$2:$C$1960,0)),"",INDEX('Compliance Database'!$J$2:$J$1960,MATCH(506,Engine!$C$2:$C$1960,0)))</f>
        <v/>
      </c>
      <c r="K519" s="9">
        <f>IF(ISNA(MATCH(506,Engine!$C$2:$C$1960,0)),"",INDEX('Compliance Database'!$K$2:$K$1960,MATCH(506,Engine!$C$2:$C$1960,0)))</f>
        <v/>
      </c>
      <c r="L519" s="9">
        <f>IF(ISNA(MATCH(506,Engine!$C$2:$C$1960,0)),"",INDEX('Compliance Database'!$L$2:$L$1960,MATCH(506,Engine!$C$2:$C$1960,0)))</f>
        <v/>
      </c>
      <c r="M519" s="9">
        <f>IF(ISNA(MATCH(506,Engine!$C$2:$C$1960,0)),"",INDEX('Compliance Database'!$M$2:$M$1960,MATCH(506,Engine!$C$2:$C$1960,0)))</f>
        <v/>
      </c>
      <c r="N519" s="9">
        <f>IF(ISNA(MATCH(506,Engine!$C$2:$C$1960,0)),"",INDEX('Compliance Database'!$N$2:$N$1960,MATCH(506,Engine!$C$2:$C$1960,0)))</f>
        <v/>
      </c>
      <c r="O519" s="9">
        <f>IF(ISNA(MATCH(506,Engine!$C$2:$C$1960,0)),"",INDEX('Compliance Database'!$O$2:$O$1960,MATCH(506,Engine!$C$2:$C$1960,0)))</f>
        <v/>
      </c>
      <c r="P519" s="8">
        <f>IF(ISNA(MATCH(506,Engine!$C$2:$C$1960,0)),"",HYPERLINK("#Acts!A"&amp;INDEX('Compliance Database'!$P$2:$P$1960,MATCH(506,Engine!$C$2:$C$1960,0)),"Go to Act"))</f>
        <v/>
      </c>
    </row>
    <row r="520" ht="158" customHeight="1">
      <c r="A520" s="8">
        <f>IF(ISNA(MATCH(507,Engine!$C$2:$C$1960,0)),"",INDEX('Compliance Database'!$A$2:$A$1960,MATCH(507,Engine!$C$2:$C$1960,0)))</f>
        <v/>
      </c>
      <c r="B520" s="8">
        <f>IF(ISNA(MATCH(507,Engine!$C$2:$C$1960,0)),"",INDEX('Compliance Database'!$B$2:$B$1960,MATCH(507,Engine!$C$2:$C$1960,0)))</f>
        <v/>
      </c>
      <c r="C520" s="8">
        <f>IF(ISNA(MATCH(507,Engine!$C$2:$C$1960,0)),"",INDEX('Compliance Database'!$C$2:$C$1960,MATCH(507,Engine!$C$2:$C$1960,0)))</f>
        <v/>
      </c>
      <c r="D520" s="9">
        <f>IF(ISNA(MATCH(507,Engine!$C$2:$C$1960,0)),"",INDEX('Compliance Database'!$D$2:$D$1960,MATCH(507,Engine!$C$2:$C$1960,0)))</f>
        <v/>
      </c>
      <c r="E520" s="8">
        <f>IF(ISNA(MATCH(507,Engine!$C$2:$C$1960,0)),"",INDEX('Compliance Database'!$E$2:$E$1960,MATCH(507,Engine!$C$2:$C$1960,0)))</f>
        <v/>
      </c>
      <c r="F520" s="8">
        <f>IF(ISNA(MATCH(507,Engine!$C$2:$C$1960,0)),"",INDEX('Compliance Database'!$F$2:$F$1960,MATCH(507,Engine!$C$2:$C$1960,0)))</f>
        <v/>
      </c>
      <c r="G520" s="8">
        <f>IF(ISNA(MATCH(507,Engine!$C$2:$C$1960,0)),"",INDEX('Compliance Database'!$G$2:$G$1960,MATCH(507,Engine!$C$2:$C$1960,0)))</f>
        <v/>
      </c>
      <c r="H520" s="9">
        <f>IF(ISNA(MATCH(507,Engine!$C$2:$C$1960,0)),"",INDEX('Compliance Database'!$H$2:$H$1960,MATCH(507,Engine!$C$2:$C$1960,0)))</f>
        <v/>
      </c>
      <c r="I520" s="9">
        <f>IF(ISNA(MATCH(507,Engine!$C$2:$C$1960,0)),"",INDEX('Compliance Database'!$I$2:$I$1960,MATCH(507,Engine!$C$2:$C$1960,0)))</f>
        <v/>
      </c>
      <c r="J520" s="8">
        <f>IF(ISNA(MATCH(507,Engine!$C$2:$C$1960,0)),"",INDEX('Compliance Database'!$J$2:$J$1960,MATCH(507,Engine!$C$2:$C$1960,0)))</f>
        <v/>
      </c>
      <c r="K520" s="9">
        <f>IF(ISNA(MATCH(507,Engine!$C$2:$C$1960,0)),"",INDEX('Compliance Database'!$K$2:$K$1960,MATCH(507,Engine!$C$2:$C$1960,0)))</f>
        <v/>
      </c>
      <c r="L520" s="9">
        <f>IF(ISNA(MATCH(507,Engine!$C$2:$C$1960,0)),"",INDEX('Compliance Database'!$L$2:$L$1960,MATCH(507,Engine!$C$2:$C$1960,0)))</f>
        <v/>
      </c>
      <c r="M520" s="9">
        <f>IF(ISNA(MATCH(507,Engine!$C$2:$C$1960,0)),"",INDEX('Compliance Database'!$M$2:$M$1960,MATCH(507,Engine!$C$2:$C$1960,0)))</f>
        <v/>
      </c>
      <c r="N520" s="9">
        <f>IF(ISNA(MATCH(507,Engine!$C$2:$C$1960,0)),"",INDEX('Compliance Database'!$N$2:$N$1960,MATCH(507,Engine!$C$2:$C$1960,0)))</f>
        <v/>
      </c>
      <c r="O520" s="9">
        <f>IF(ISNA(MATCH(507,Engine!$C$2:$C$1960,0)),"",INDEX('Compliance Database'!$O$2:$O$1960,MATCH(507,Engine!$C$2:$C$1960,0)))</f>
        <v/>
      </c>
      <c r="P520" s="8">
        <f>IF(ISNA(MATCH(507,Engine!$C$2:$C$1960,0)),"",HYPERLINK("#Acts!A"&amp;INDEX('Compliance Database'!$P$2:$P$1960,MATCH(507,Engine!$C$2:$C$1960,0)),"Go to Act"))</f>
        <v/>
      </c>
    </row>
    <row r="521" ht="158" customHeight="1">
      <c r="A521" s="8">
        <f>IF(ISNA(MATCH(508,Engine!$C$2:$C$1960,0)),"",INDEX('Compliance Database'!$A$2:$A$1960,MATCH(508,Engine!$C$2:$C$1960,0)))</f>
        <v/>
      </c>
      <c r="B521" s="8">
        <f>IF(ISNA(MATCH(508,Engine!$C$2:$C$1960,0)),"",INDEX('Compliance Database'!$B$2:$B$1960,MATCH(508,Engine!$C$2:$C$1960,0)))</f>
        <v/>
      </c>
      <c r="C521" s="8">
        <f>IF(ISNA(MATCH(508,Engine!$C$2:$C$1960,0)),"",INDEX('Compliance Database'!$C$2:$C$1960,MATCH(508,Engine!$C$2:$C$1960,0)))</f>
        <v/>
      </c>
      <c r="D521" s="9">
        <f>IF(ISNA(MATCH(508,Engine!$C$2:$C$1960,0)),"",INDEX('Compliance Database'!$D$2:$D$1960,MATCH(508,Engine!$C$2:$C$1960,0)))</f>
        <v/>
      </c>
      <c r="E521" s="8">
        <f>IF(ISNA(MATCH(508,Engine!$C$2:$C$1960,0)),"",INDEX('Compliance Database'!$E$2:$E$1960,MATCH(508,Engine!$C$2:$C$1960,0)))</f>
        <v/>
      </c>
      <c r="F521" s="8">
        <f>IF(ISNA(MATCH(508,Engine!$C$2:$C$1960,0)),"",INDEX('Compliance Database'!$F$2:$F$1960,MATCH(508,Engine!$C$2:$C$1960,0)))</f>
        <v/>
      </c>
      <c r="G521" s="8">
        <f>IF(ISNA(MATCH(508,Engine!$C$2:$C$1960,0)),"",INDEX('Compliance Database'!$G$2:$G$1960,MATCH(508,Engine!$C$2:$C$1960,0)))</f>
        <v/>
      </c>
      <c r="H521" s="9">
        <f>IF(ISNA(MATCH(508,Engine!$C$2:$C$1960,0)),"",INDEX('Compliance Database'!$H$2:$H$1960,MATCH(508,Engine!$C$2:$C$1960,0)))</f>
        <v/>
      </c>
      <c r="I521" s="9">
        <f>IF(ISNA(MATCH(508,Engine!$C$2:$C$1960,0)),"",INDEX('Compliance Database'!$I$2:$I$1960,MATCH(508,Engine!$C$2:$C$1960,0)))</f>
        <v/>
      </c>
      <c r="J521" s="8">
        <f>IF(ISNA(MATCH(508,Engine!$C$2:$C$1960,0)),"",INDEX('Compliance Database'!$J$2:$J$1960,MATCH(508,Engine!$C$2:$C$1960,0)))</f>
        <v/>
      </c>
      <c r="K521" s="9">
        <f>IF(ISNA(MATCH(508,Engine!$C$2:$C$1960,0)),"",INDEX('Compliance Database'!$K$2:$K$1960,MATCH(508,Engine!$C$2:$C$1960,0)))</f>
        <v/>
      </c>
      <c r="L521" s="9">
        <f>IF(ISNA(MATCH(508,Engine!$C$2:$C$1960,0)),"",INDEX('Compliance Database'!$L$2:$L$1960,MATCH(508,Engine!$C$2:$C$1960,0)))</f>
        <v/>
      </c>
      <c r="M521" s="9">
        <f>IF(ISNA(MATCH(508,Engine!$C$2:$C$1960,0)),"",INDEX('Compliance Database'!$M$2:$M$1960,MATCH(508,Engine!$C$2:$C$1960,0)))</f>
        <v/>
      </c>
      <c r="N521" s="9">
        <f>IF(ISNA(MATCH(508,Engine!$C$2:$C$1960,0)),"",INDEX('Compliance Database'!$N$2:$N$1960,MATCH(508,Engine!$C$2:$C$1960,0)))</f>
        <v/>
      </c>
      <c r="O521" s="9">
        <f>IF(ISNA(MATCH(508,Engine!$C$2:$C$1960,0)),"",INDEX('Compliance Database'!$O$2:$O$1960,MATCH(508,Engine!$C$2:$C$1960,0)))</f>
        <v/>
      </c>
      <c r="P521" s="8">
        <f>IF(ISNA(MATCH(508,Engine!$C$2:$C$1960,0)),"",HYPERLINK("#Acts!A"&amp;INDEX('Compliance Database'!$P$2:$P$1960,MATCH(508,Engine!$C$2:$C$1960,0)),"Go to Act"))</f>
        <v/>
      </c>
    </row>
    <row r="522" ht="158" customHeight="1">
      <c r="A522" s="8">
        <f>IF(ISNA(MATCH(509,Engine!$C$2:$C$1960,0)),"",INDEX('Compliance Database'!$A$2:$A$1960,MATCH(509,Engine!$C$2:$C$1960,0)))</f>
        <v/>
      </c>
      <c r="B522" s="8">
        <f>IF(ISNA(MATCH(509,Engine!$C$2:$C$1960,0)),"",INDEX('Compliance Database'!$B$2:$B$1960,MATCH(509,Engine!$C$2:$C$1960,0)))</f>
        <v/>
      </c>
      <c r="C522" s="8">
        <f>IF(ISNA(MATCH(509,Engine!$C$2:$C$1960,0)),"",INDEX('Compliance Database'!$C$2:$C$1960,MATCH(509,Engine!$C$2:$C$1960,0)))</f>
        <v/>
      </c>
      <c r="D522" s="9">
        <f>IF(ISNA(MATCH(509,Engine!$C$2:$C$1960,0)),"",INDEX('Compliance Database'!$D$2:$D$1960,MATCH(509,Engine!$C$2:$C$1960,0)))</f>
        <v/>
      </c>
      <c r="E522" s="8">
        <f>IF(ISNA(MATCH(509,Engine!$C$2:$C$1960,0)),"",INDEX('Compliance Database'!$E$2:$E$1960,MATCH(509,Engine!$C$2:$C$1960,0)))</f>
        <v/>
      </c>
      <c r="F522" s="8">
        <f>IF(ISNA(MATCH(509,Engine!$C$2:$C$1960,0)),"",INDEX('Compliance Database'!$F$2:$F$1960,MATCH(509,Engine!$C$2:$C$1960,0)))</f>
        <v/>
      </c>
      <c r="G522" s="8">
        <f>IF(ISNA(MATCH(509,Engine!$C$2:$C$1960,0)),"",INDEX('Compliance Database'!$G$2:$G$1960,MATCH(509,Engine!$C$2:$C$1960,0)))</f>
        <v/>
      </c>
      <c r="H522" s="9">
        <f>IF(ISNA(MATCH(509,Engine!$C$2:$C$1960,0)),"",INDEX('Compliance Database'!$H$2:$H$1960,MATCH(509,Engine!$C$2:$C$1960,0)))</f>
        <v/>
      </c>
      <c r="I522" s="9">
        <f>IF(ISNA(MATCH(509,Engine!$C$2:$C$1960,0)),"",INDEX('Compliance Database'!$I$2:$I$1960,MATCH(509,Engine!$C$2:$C$1960,0)))</f>
        <v/>
      </c>
      <c r="J522" s="8">
        <f>IF(ISNA(MATCH(509,Engine!$C$2:$C$1960,0)),"",INDEX('Compliance Database'!$J$2:$J$1960,MATCH(509,Engine!$C$2:$C$1960,0)))</f>
        <v/>
      </c>
      <c r="K522" s="9">
        <f>IF(ISNA(MATCH(509,Engine!$C$2:$C$1960,0)),"",INDEX('Compliance Database'!$K$2:$K$1960,MATCH(509,Engine!$C$2:$C$1960,0)))</f>
        <v/>
      </c>
      <c r="L522" s="9">
        <f>IF(ISNA(MATCH(509,Engine!$C$2:$C$1960,0)),"",INDEX('Compliance Database'!$L$2:$L$1960,MATCH(509,Engine!$C$2:$C$1960,0)))</f>
        <v/>
      </c>
      <c r="M522" s="9">
        <f>IF(ISNA(MATCH(509,Engine!$C$2:$C$1960,0)),"",INDEX('Compliance Database'!$M$2:$M$1960,MATCH(509,Engine!$C$2:$C$1960,0)))</f>
        <v/>
      </c>
      <c r="N522" s="9">
        <f>IF(ISNA(MATCH(509,Engine!$C$2:$C$1960,0)),"",INDEX('Compliance Database'!$N$2:$N$1960,MATCH(509,Engine!$C$2:$C$1960,0)))</f>
        <v/>
      </c>
      <c r="O522" s="9">
        <f>IF(ISNA(MATCH(509,Engine!$C$2:$C$1960,0)),"",INDEX('Compliance Database'!$O$2:$O$1960,MATCH(509,Engine!$C$2:$C$1960,0)))</f>
        <v/>
      </c>
      <c r="P522" s="8">
        <f>IF(ISNA(MATCH(509,Engine!$C$2:$C$1960,0)),"",HYPERLINK("#Acts!A"&amp;INDEX('Compliance Database'!$P$2:$P$1960,MATCH(509,Engine!$C$2:$C$1960,0)),"Go to Act"))</f>
        <v/>
      </c>
    </row>
    <row r="523" ht="158" customHeight="1">
      <c r="A523" s="8">
        <f>IF(ISNA(MATCH(510,Engine!$C$2:$C$1960,0)),"",INDEX('Compliance Database'!$A$2:$A$1960,MATCH(510,Engine!$C$2:$C$1960,0)))</f>
        <v/>
      </c>
      <c r="B523" s="8">
        <f>IF(ISNA(MATCH(510,Engine!$C$2:$C$1960,0)),"",INDEX('Compliance Database'!$B$2:$B$1960,MATCH(510,Engine!$C$2:$C$1960,0)))</f>
        <v/>
      </c>
      <c r="C523" s="8">
        <f>IF(ISNA(MATCH(510,Engine!$C$2:$C$1960,0)),"",INDEX('Compliance Database'!$C$2:$C$1960,MATCH(510,Engine!$C$2:$C$1960,0)))</f>
        <v/>
      </c>
      <c r="D523" s="9">
        <f>IF(ISNA(MATCH(510,Engine!$C$2:$C$1960,0)),"",INDEX('Compliance Database'!$D$2:$D$1960,MATCH(510,Engine!$C$2:$C$1960,0)))</f>
        <v/>
      </c>
      <c r="E523" s="8">
        <f>IF(ISNA(MATCH(510,Engine!$C$2:$C$1960,0)),"",INDEX('Compliance Database'!$E$2:$E$1960,MATCH(510,Engine!$C$2:$C$1960,0)))</f>
        <v/>
      </c>
      <c r="F523" s="8">
        <f>IF(ISNA(MATCH(510,Engine!$C$2:$C$1960,0)),"",INDEX('Compliance Database'!$F$2:$F$1960,MATCH(510,Engine!$C$2:$C$1960,0)))</f>
        <v/>
      </c>
      <c r="G523" s="8">
        <f>IF(ISNA(MATCH(510,Engine!$C$2:$C$1960,0)),"",INDEX('Compliance Database'!$G$2:$G$1960,MATCH(510,Engine!$C$2:$C$1960,0)))</f>
        <v/>
      </c>
      <c r="H523" s="9">
        <f>IF(ISNA(MATCH(510,Engine!$C$2:$C$1960,0)),"",INDEX('Compliance Database'!$H$2:$H$1960,MATCH(510,Engine!$C$2:$C$1960,0)))</f>
        <v/>
      </c>
      <c r="I523" s="9">
        <f>IF(ISNA(MATCH(510,Engine!$C$2:$C$1960,0)),"",INDEX('Compliance Database'!$I$2:$I$1960,MATCH(510,Engine!$C$2:$C$1960,0)))</f>
        <v/>
      </c>
      <c r="J523" s="8">
        <f>IF(ISNA(MATCH(510,Engine!$C$2:$C$1960,0)),"",INDEX('Compliance Database'!$J$2:$J$1960,MATCH(510,Engine!$C$2:$C$1960,0)))</f>
        <v/>
      </c>
      <c r="K523" s="9">
        <f>IF(ISNA(MATCH(510,Engine!$C$2:$C$1960,0)),"",INDEX('Compliance Database'!$K$2:$K$1960,MATCH(510,Engine!$C$2:$C$1960,0)))</f>
        <v/>
      </c>
      <c r="L523" s="9">
        <f>IF(ISNA(MATCH(510,Engine!$C$2:$C$1960,0)),"",INDEX('Compliance Database'!$L$2:$L$1960,MATCH(510,Engine!$C$2:$C$1960,0)))</f>
        <v/>
      </c>
      <c r="M523" s="9">
        <f>IF(ISNA(MATCH(510,Engine!$C$2:$C$1960,0)),"",INDEX('Compliance Database'!$M$2:$M$1960,MATCH(510,Engine!$C$2:$C$1960,0)))</f>
        <v/>
      </c>
      <c r="N523" s="9">
        <f>IF(ISNA(MATCH(510,Engine!$C$2:$C$1960,0)),"",INDEX('Compliance Database'!$N$2:$N$1960,MATCH(510,Engine!$C$2:$C$1960,0)))</f>
        <v/>
      </c>
      <c r="O523" s="9">
        <f>IF(ISNA(MATCH(510,Engine!$C$2:$C$1960,0)),"",INDEX('Compliance Database'!$O$2:$O$1960,MATCH(510,Engine!$C$2:$C$1960,0)))</f>
        <v/>
      </c>
      <c r="P523" s="8">
        <f>IF(ISNA(MATCH(510,Engine!$C$2:$C$1960,0)),"",HYPERLINK("#Acts!A"&amp;INDEX('Compliance Database'!$P$2:$P$1960,MATCH(510,Engine!$C$2:$C$1960,0)),"Go to Act"))</f>
        <v/>
      </c>
    </row>
    <row r="524" ht="158" customHeight="1">
      <c r="A524" s="8">
        <f>IF(ISNA(MATCH(511,Engine!$C$2:$C$1960,0)),"",INDEX('Compliance Database'!$A$2:$A$1960,MATCH(511,Engine!$C$2:$C$1960,0)))</f>
        <v/>
      </c>
      <c r="B524" s="8">
        <f>IF(ISNA(MATCH(511,Engine!$C$2:$C$1960,0)),"",INDEX('Compliance Database'!$B$2:$B$1960,MATCH(511,Engine!$C$2:$C$1960,0)))</f>
        <v/>
      </c>
      <c r="C524" s="8">
        <f>IF(ISNA(MATCH(511,Engine!$C$2:$C$1960,0)),"",INDEX('Compliance Database'!$C$2:$C$1960,MATCH(511,Engine!$C$2:$C$1960,0)))</f>
        <v/>
      </c>
      <c r="D524" s="9">
        <f>IF(ISNA(MATCH(511,Engine!$C$2:$C$1960,0)),"",INDEX('Compliance Database'!$D$2:$D$1960,MATCH(511,Engine!$C$2:$C$1960,0)))</f>
        <v/>
      </c>
      <c r="E524" s="8">
        <f>IF(ISNA(MATCH(511,Engine!$C$2:$C$1960,0)),"",INDEX('Compliance Database'!$E$2:$E$1960,MATCH(511,Engine!$C$2:$C$1960,0)))</f>
        <v/>
      </c>
      <c r="F524" s="8">
        <f>IF(ISNA(MATCH(511,Engine!$C$2:$C$1960,0)),"",INDEX('Compliance Database'!$F$2:$F$1960,MATCH(511,Engine!$C$2:$C$1960,0)))</f>
        <v/>
      </c>
      <c r="G524" s="8">
        <f>IF(ISNA(MATCH(511,Engine!$C$2:$C$1960,0)),"",INDEX('Compliance Database'!$G$2:$G$1960,MATCH(511,Engine!$C$2:$C$1960,0)))</f>
        <v/>
      </c>
      <c r="H524" s="9">
        <f>IF(ISNA(MATCH(511,Engine!$C$2:$C$1960,0)),"",INDEX('Compliance Database'!$H$2:$H$1960,MATCH(511,Engine!$C$2:$C$1960,0)))</f>
        <v/>
      </c>
      <c r="I524" s="9">
        <f>IF(ISNA(MATCH(511,Engine!$C$2:$C$1960,0)),"",INDEX('Compliance Database'!$I$2:$I$1960,MATCH(511,Engine!$C$2:$C$1960,0)))</f>
        <v/>
      </c>
      <c r="J524" s="8">
        <f>IF(ISNA(MATCH(511,Engine!$C$2:$C$1960,0)),"",INDEX('Compliance Database'!$J$2:$J$1960,MATCH(511,Engine!$C$2:$C$1960,0)))</f>
        <v/>
      </c>
      <c r="K524" s="9">
        <f>IF(ISNA(MATCH(511,Engine!$C$2:$C$1960,0)),"",INDEX('Compliance Database'!$K$2:$K$1960,MATCH(511,Engine!$C$2:$C$1960,0)))</f>
        <v/>
      </c>
      <c r="L524" s="9">
        <f>IF(ISNA(MATCH(511,Engine!$C$2:$C$1960,0)),"",INDEX('Compliance Database'!$L$2:$L$1960,MATCH(511,Engine!$C$2:$C$1960,0)))</f>
        <v/>
      </c>
      <c r="M524" s="9">
        <f>IF(ISNA(MATCH(511,Engine!$C$2:$C$1960,0)),"",INDEX('Compliance Database'!$M$2:$M$1960,MATCH(511,Engine!$C$2:$C$1960,0)))</f>
        <v/>
      </c>
      <c r="N524" s="9">
        <f>IF(ISNA(MATCH(511,Engine!$C$2:$C$1960,0)),"",INDEX('Compliance Database'!$N$2:$N$1960,MATCH(511,Engine!$C$2:$C$1960,0)))</f>
        <v/>
      </c>
      <c r="O524" s="9">
        <f>IF(ISNA(MATCH(511,Engine!$C$2:$C$1960,0)),"",INDEX('Compliance Database'!$O$2:$O$1960,MATCH(511,Engine!$C$2:$C$1960,0)))</f>
        <v/>
      </c>
      <c r="P524" s="8">
        <f>IF(ISNA(MATCH(511,Engine!$C$2:$C$1960,0)),"",HYPERLINK("#Acts!A"&amp;INDEX('Compliance Database'!$P$2:$P$1960,MATCH(511,Engine!$C$2:$C$1960,0)),"Go to Act"))</f>
        <v/>
      </c>
    </row>
    <row r="525" ht="158" customHeight="1">
      <c r="A525" s="8">
        <f>IF(ISNA(MATCH(512,Engine!$C$2:$C$1960,0)),"",INDEX('Compliance Database'!$A$2:$A$1960,MATCH(512,Engine!$C$2:$C$1960,0)))</f>
        <v/>
      </c>
      <c r="B525" s="8">
        <f>IF(ISNA(MATCH(512,Engine!$C$2:$C$1960,0)),"",INDEX('Compliance Database'!$B$2:$B$1960,MATCH(512,Engine!$C$2:$C$1960,0)))</f>
        <v/>
      </c>
      <c r="C525" s="8">
        <f>IF(ISNA(MATCH(512,Engine!$C$2:$C$1960,0)),"",INDEX('Compliance Database'!$C$2:$C$1960,MATCH(512,Engine!$C$2:$C$1960,0)))</f>
        <v/>
      </c>
      <c r="D525" s="9">
        <f>IF(ISNA(MATCH(512,Engine!$C$2:$C$1960,0)),"",INDEX('Compliance Database'!$D$2:$D$1960,MATCH(512,Engine!$C$2:$C$1960,0)))</f>
        <v/>
      </c>
      <c r="E525" s="8">
        <f>IF(ISNA(MATCH(512,Engine!$C$2:$C$1960,0)),"",INDEX('Compliance Database'!$E$2:$E$1960,MATCH(512,Engine!$C$2:$C$1960,0)))</f>
        <v/>
      </c>
      <c r="F525" s="8">
        <f>IF(ISNA(MATCH(512,Engine!$C$2:$C$1960,0)),"",INDEX('Compliance Database'!$F$2:$F$1960,MATCH(512,Engine!$C$2:$C$1960,0)))</f>
        <v/>
      </c>
      <c r="G525" s="8">
        <f>IF(ISNA(MATCH(512,Engine!$C$2:$C$1960,0)),"",INDEX('Compliance Database'!$G$2:$G$1960,MATCH(512,Engine!$C$2:$C$1960,0)))</f>
        <v/>
      </c>
      <c r="H525" s="9">
        <f>IF(ISNA(MATCH(512,Engine!$C$2:$C$1960,0)),"",INDEX('Compliance Database'!$H$2:$H$1960,MATCH(512,Engine!$C$2:$C$1960,0)))</f>
        <v/>
      </c>
      <c r="I525" s="9">
        <f>IF(ISNA(MATCH(512,Engine!$C$2:$C$1960,0)),"",INDEX('Compliance Database'!$I$2:$I$1960,MATCH(512,Engine!$C$2:$C$1960,0)))</f>
        <v/>
      </c>
      <c r="J525" s="8">
        <f>IF(ISNA(MATCH(512,Engine!$C$2:$C$1960,0)),"",INDEX('Compliance Database'!$J$2:$J$1960,MATCH(512,Engine!$C$2:$C$1960,0)))</f>
        <v/>
      </c>
      <c r="K525" s="9">
        <f>IF(ISNA(MATCH(512,Engine!$C$2:$C$1960,0)),"",INDEX('Compliance Database'!$K$2:$K$1960,MATCH(512,Engine!$C$2:$C$1960,0)))</f>
        <v/>
      </c>
      <c r="L525" s="9">
        <f>IF(ISNA(MATCH(512,Engine!$C$2:$C$1960,0)),"",INDEX('Compliance Database'!$L$2:$L$1960,MATCH(512,Engine!$C$2:$C$1960,0)))</f>
        <v/>
      </c>
      <c r="M525" s="9">
        <f>IF(ISNA(MATCH(512,Engine!$C$2:$C$1960,0)),"",INDEX('Compliance Database'!$M$2:$M$1960,MATCH(512,Engine!$C$2:$C$1960,0)))</f>
        <v/>
      </c>
      <c r="N525" s="9">
        <f>IF(ISNA(MATCH(512,Engine!$C$2:$C$1960,0)),"",INDEX('Compliance Database'!$N$2:$N$1960,MATCH(512,Engine!$C$2:$C$1960,0)))</f>
        <v/>
      </c>
      <c r="O525" s="9">
        <f>IF(ISNA(MATCH(512,Engine!$C$2:$C$1960,0)),"",INDEX('Compliance Database'!$O$2:$O$1960,MATCH(512,Engine!$C$2:$C$1960,0)))</f>
        <v/>
      </c>
      <c r="P525" s="8">
        <f>IF(ISNA(MATCH(512,Engine!$C$2:$C$1960,0)),"",HYPERLINK("#Acts!A"&amp;INDEX('Compliance Database'!$P$2:$P$1960,MATCH(512,Engine!$C$2:$C$1960,0)),"Go to Act"))</f>
        <v/>
      </c>
    </row>
    <row r="526" ht="158" customHeight="1">
      <c r="A526" s="8">
        <f>IF(ISNA(MATCH(513,Engine!$C$2:$C$1960,0)),"",INDEX('Compliance Database'!$A$2:$A$1960,MATCH(513,Engine!$C$2:$C$1960,0)))</f>
        <v/>
      </c>
      <c r="B526" s="8">
        <f>IF(ISNA(MATCH(513,Engine!$C$2:$C$1960,0)),"",INDEX('Compliance Database'!$B$2:$B$1960,MATCH(513,Engine!$C$2:$C$1960,0)))</f>
        <v/>
      </c>
      <c r="C526" s="8">
        <f>IF(ISNA(MATCH(513,Engine!$C$2:$C$1960,0)),"",INDEX('Compliance Database'!$C$2:$C$1960,MATCH(513,Engine!$C$2:$C$1960,0)))</f>
        <v/>
      </c>
      <c r="D526" s="9">
        <f>IF(ISNA(MATCH(513,Engine!$C$2:$C$1960,0)),"",INDEX('Compliance Database'!$D$2:$D$1960,MATCH(513,Engine!$C$2:$C$1960,0)))</f>
        <v/>
      </c>
      <c r="E526" s="8">
        <f>IF(ISNA(MATCH(513,Engine!$C$2:$C$1960,0)),"",INDEX('Compliance Database'!$E$2:$E$1960,MATCH(513,Engine!$C$2:$C$1960,0)))</f>
        <v/>
      </c>
      <c r="F526" s="8">
        <f>IF(ISNA(MATCH(513,Engine!$C$2:$C$1960,0)),"",INDEX('Compliance Database'!$F$2:$F$1960,MATCH(513,Engine!$C$2:$C$1960,0)))</f>
        <v/>
      </c>
      <c r="G526" s="8">
        <f>IF(ISNA(MATCH(513,Engine!$C$2:$C$1960,0)),"",INDEX('Compliance Database'!$G$2:$G$1960,MATCH(513,Engine!$C$2:$C$1960,0)))</f>
        <v/>
      </c>
      <c r="H526" s="9">
        <f>IF(ISNA(MATCH(513,Engine!$C$2:$C$1960,0)),"",INDEX('Compliance Database'!$H$2:$H$1960,MATCH(513,Engine!$C$2:$C$1960,0)))</f>
        <v/>
      </c>
      <c r="I526" s="9">
        <f>IF(ISNA(MATCH(513,Engine!$C$2:$C$1960,0)),"",INDEX('Compliance Database'!$I$2:$I$1960,MATCH(513,Engine!$C$2:$C$1960,0)))</f>
        <v/>
      </c>
      <c r="J526" s="8">
        <f>IF(ISNA(MATCH(513,Engine!$C$2:$C$1960,0)),"",INDEX('Compliance Database'!$J$2:$J$1960,MATCH(513,Engine!$C$2:$C$1960,0)))</f>
        <v/>
      </c>
      <c r="K526" s="9">
        <f>IF(ISNA(MATCH(513,Engine!$C$2:$C$1960,0)),"",INDEX('Compliance Database'!$K$2:$K$1960,MATCH(513,Engine!$C$2:$C$1960,0)))</f>
        <v/>
      </c>
      <c r="L526" s="9">
        <f>IF(ISNA(MATCH(513,Engine!$C$2:$C$1960,0)),"",INDEX('Compliance Database'!$L$2:$L$1960,MATCH(513,Engine!$C$2:$C$1960,0)))</f>
        <v/>
      </c>
      <c r="M526" s="9">
        <f>IF(ISNA(MATCH(513,Engine!$C$2:$C$1960,0)),"",INDEX('Compliance Database'!$M$2:$M$1960,MATCH(513,Engine!$C$2:$C$1960,0)))</f>
        <v/>
      </c>
      <c r="N526" s="9">
        <f>IF(ISNA(MATCH(513,Engine!$C$2:$C$1960,0)),"",INDEX('Compliance Database'!$N$2:$N$1960,MATCH(513,Engine!$C$2:$C$1960,0)))</f>
        <v/>
      </c>
      <c r="O526" s="9">
        <f>IF(ISNA(MATCH(513,Engine!$C$2:$C$1960,0)),"",INDEX('Compliance Database'!$O$2:$O$1960,MATCH(513,Engine!$C$2:$C$1960,0)))</f>
        <v/>
      </c>
      <c r="P526" s="8">
        <f>IF(ISNA(MATCH(513,Engine!$C$2:$C$1960,0)),"",HYPERLINK("#Acts!A"&amp;INDEX('Compliance Database'!$P$2:$P$1960,MATCH(513,Engine!$C$2:$C$1960,0)),"Go to Act"))</f>
        <v/>
      </c>
    </row>
    <row r="527" ht="158" customHeight="1">
      <c r="A527" s="8">
        <f>IF(ISNA(MATCH(514,Engine!$C$2:$C$1960,0)),"",INDEX('Compliance Database'!$A$2:$A$1960,MATCH(514,Engine!$C$2:$C$1960,0)))</f>
        <v/>
      </c>
      <c r="B527" s="8">
        <f>IF(ISNA(MATCH(514,Engine!$C$2:$C$1960,0)),"",INDEX('Compliance Database'!$B$2:$B$1960,MATCH(514,Engine!$C$2:$C$1960,0)))</f>
        <v/>
      </c>
      <c r="C527" s="8">
        <f>IF(ISNA(MATCH(514,Engine!$C$2:$C$1960,0)),"",INDEX('Compliance Database'!$C$2:$C$1960,MATCH(514,Engine!$C$2:$C$1960,0)))</f>
        <v/>
      </c>
      <c r="D527" s="9">
        <f>IF(ISNA(MATCH(514,Engine!$C$2:$C$1960,0)),"",INDEX('Compliance Database'!$D$2:$D$1960,MATCH(514,Engine!$C$2:$C$1960,0)))</f>
        <v/>
      </c>
      <c r="E527" s="8">
        <f>IF(ISNA(MATCH(514,Engine!$C$2:$C$1960,0)),"",INDEX('Compliance Database'!$E$2:$E$1960,MATCH(514,Engine!$C$2:$C$1960,0)))</f>
        <v/>
      </c>
      <c r="F527" s="8">
        <f>IF(ISNA(MATCH(514,Engine!$C$2:$C$1960,0)),"",INDEX('Compliance Database'!$F$2:$F$1960,MATCH(514,Engine!$C$2:$C$1960,0)))</f>
        <v/>
      </c>
      <c r="G527" s="8">
        <f>IF(ISNA(MATCH(514,Engine!$C$2:$C$1960,0)),"",INDEX('Compliance Database'!$G$2:$G$1960,MATCH(514,Engine!$C$2:$C$1960,0)))</f>
        <v/>
      </c>
      <c r="H527" s="9">
        <f>IF(ISNA(MATCH(514,Engine!$C$2:$C$1960,0)),"",INDEX('Compliance Database'!$H$2:$H$1960,MATCH(514,Engine!$C$2:$C$1960,0)))</f>
        <v/>
      </c>
      <c r="I527" s="9">
        <f>IF(ISNA(MATCH(514,Engine!$C$2:$C$1960,0)),"",INDEX('Compliance Database'!$I$2:$I$1960,MATCH(514,Engine!$C$2:$C$1960,0)))</f>
        <v/>
      </c>
      <c r="J527" s="8">
        <f>IF(ISNA(MATCH(514,Engine!$C$2:$C$1960,0)),"",INDEX('Compliance Database'!$J$2:$J$1960,MATCH(514,Engine!$C$2:$C$1960,0)))</f>
        <v/>
      </c>
      <c r="K527" s="9">
        <f>IF(ISNA(MATCH(514,Engine!$C$2:$C$1960,0)),"",INDEX('Compliance Database'!$K$2:$K$1960,MATCH(514,Engine!$C$2:$C$1960,0)))</f>
        <v/>
      </c>
      <c r="L527" s="9">
        <f>IF(ISNA(MATCH(514,Engine!$C$2:$C$1960,0)),"",INDEX('Compliance Database'!$L$2:$L$1960,MATCH(514,Engine!$C$2:$C$1960,0)))</f>
        <v/>
      </c>
      <c r="M527" s="9">
        <f>IF(ISNA(MATCH(514,Engine!$C$2:$C$1960,0)),"",INDEX('Compliance Database'!$M$2:$M$1960,MATCH(514,Engine!$C$2:$C$1960,0)))</f>
        <v/>
      </c>
      <c r="N527" s="9">
        <f>IF(ISNA(MATCH(514,Engine!$C$2:$C$1960,0)),"",INDEX('Compliance Database'!$N$2:$N$1960,MATCH(514,Engine!$C$2:$C$1960,0)))</f>
        <v/>
      </c>
      <c r="O527" s="9">
        <f>IF(ISNA(MATCH(514,Engine!$C$2:$C$1960,0)),"",INDEX('Compliance Database'!$O$2:$O$1960,MATCH(514,Engine!$C$2:$C$1960,0)))</f>
        <v/>
      </c>
      <c r="P527" s="8">
        <f>IF(ISNA(MATCH(514,Engine!$C$2:$C$1960,0)),"",HYPERLINK("#Acts!A"&amp;INDEX('Compliance Database'!$P$2:$P$1960,MATCH(514,Engine!$C$2:$C$1960,0)),"Go to Act"))</f>
        <v/>
      </c>
    </row>
    <row r="528" ht="158" customHeight="1">
      <c r="A528" s="8">
        <f>IF(ISNA(MATCH(515,Engine!$C$2:$C$1960,0)),"",INDEX('Compliance Database'!$A$2:$A$1960,MATCH(515,Engine!$C$2:$C$1960,0)))</f>
        <v/>
      </c>
      <c r="B528" s="8">
        <f>IF(ISNA(MATCH(515,Engine!$C$2:$C$1960,0)),"",INDEX('Compliance Database'!$B$2:$B$1960,MATCH(515,Engine!$C$2:$C$1960,0)))</f>
        <v/>
      </c>
      <c r="C528" s="8">
        <f>IF(ISNA(MATCH(515,Engine!$C$2:$C$1960,0)),"",INDEX('Compliance Database'!$C$2:$C$1960,MATCH(515,Engine!$C$2:$C$1960,0)))</f>
        <v/>
      </c>
      <c r="D528" s="9">
        <f>IF(ISNA(MATCH(515,Engine!$C$2:$C$1960,0)),"",INDEX('Compliance Database'!$D$2:$D$1960,MATCH(515,Engine!$C$2:$C$1960,0)))</f>
        <v/>
      </c>
      <c r="E528" s="8">
        <f>IF(ISNA(MATCH(515,Engine!$C$2:$C$1960,0)),"",INDEX('Compliance Database'!$E$2:$E$1960,MATCH(515,Engine!$C$2:$C$1960,0)))</f>
        <v/>
      </c>
      <c r="F528" s="8">
        <f>IF(ISNA(MATCH(515,Engine!$C$2:$C$1960,0)),"",INDEX('Compliance Database'!$F$2:$F$1960,MATCH(515,Engine!$C$2:$C$1960,0)))</f>
        <v/>
      </c>
      <c r="G528" s="8">
        <f>IF(ISNA(MATCH(515,Engine!$C$2:$C$1960,0)),"",INDEX('Compliance Database'!$G$2:$G$1960,MATCH(515,Engine!$C$2:$C$1960,0)))</f>
        <v/>
      </c>
      <c r="H528" s="9">
        <f>IF(ISNA(MATCH(515,Engine!$C$2:$C$1960,0)),"",INDEX('Compliance Database'!$H$2:$H$1960,MATCH(515,Engine!$C$2:$C$1960,0)))</f>
        <v/>
      </c>
      <c r="I528" s="9">
        <f>IF(ISNA(MATCH(515,Engine!$C$2:$C$1960,0)),"",INDEX('Compliance Database'!$I$2:$I$1960,MATCH(515,Engine!$C$2:$C$1960,0)))</f>
        <v/>
      </c>
      <c r="J528" s="8">
        <f>IF(ISNA(MATCH(515,Engine!$C$2:$C$1960,0)),"",INDEX('Compliance Database'!$J$2:$J$1960,MATCH(515,Engine!$C$2:$C$1960,0)))</f>
        <v/>
      </c>
      <c r="K528" s="9">
        <f>IF(ISNA(MATCH(515,Engine!$C$2:$C$1960,0)),"",INDEX('Compliance Database'!$K$2:$K$1960,MATCH(515,Engine!$C$2:$C$1960,0)))</f>
        <v/>
      </c>
      <c r="L528" s="9">
        <f>IF(ISNA(MATCH(515,Engine!$C$2:$C$1960,0)),"",INDEX('Compliance Database'!$L$2:$L$1960,MATCH(515,Engine!$C$2:$C$1960,0)))</f>
        <v/>
      </c>
      <c r="M528" s="9">
        <f>IF(ISNA(MATCH(515,Engine!$C$2:$C$1960,0)),"",INDEX('Compliance Database'!$M$2:$M$1960,MATCH(515,Engine!$C$2:$C$1960,0)))</f>
        <v/>
      </c>
      <c r="N528" s="9">
        <f>IF(ISNA(MATCH(515,Engine!$C$2:$C$1960,0)),"",INDEX('Compliance Database'!$N$2:$N$1960,MATCH(515,Engine!$C$2:$C$1960,0)))</f>
        <v/>
      </c>
      <c r="O528" s="9">
        <f>IF(ISNA(MATCH(515,Engine!$C$2:$C$1960,0)),"",INDEX('Compliance Database'!$O$2:$O$1960,MATCH(515,Engine!$C$2:$C$1960,0)))</f>
        <v/>
      </c>
      <c r="P528" s="8">
        <f>IF(ISNA(MATCH(515,Engine!$C$2:$C$1960,0)),"",HYPERLINK("#Acts!A"&amp;INDEX('Compliance Database'!$P$2:$P$1960,MATCH(515,Engine!$C$2:$C$1960,0)),"Go to Act"))</f>
        <v/>
      </c>
    </row>
    <row r="529" ht="158" customHeight="1">
      <c r="A529" s="8">
        <f>IF(ISNA(MATCH(516,Engine!$C$2:$C$1960,0)),"",INDEX('Compliance Database'!$A$2:$A$1960,MATCH(516,Engine!$C$2:$C$1960,0)))</f>
        <v/>
      </c>
      <c r="B529" s="8">
        <f>IF(ISNA(MATCH(516,Engine!$C$2:$C$1960,0)),"",INDEX('Compliance Database'!$B$2:$B$1960,MATCH(516,Engine!$C$2:$C$1960,0)))</f>
        <v/>
      </c>
      <c r="C529" s="8">
        <f>IF(ISNA(MATCH(516,Engine!$C$2:$C$1960,0)),"",INDEX('Compliance Database'!$C$2:$C$1960,MATCH(516,Engine!$C$2:$C$1960,0)))</f>
        <v/>
      </c>
      <c r="D529" s="9">
        <f>IF(ISNA(MATCH(516,Engine!$C$2:$C$1960,0)),"",INDEX('Compliance Database'!$D$2:$D$1960,MATCH(516,Engine!$C$2:$C$1960,0)))</f>
        <v/>
      </c>
      <c r="E529" s="8">
        <f>IF(ISNA(MATCH(516,Engine!$C$2:$C$1960,0)),"",INDEX('Compliance Database'!$E$2:$E$1960,MATCH(516,Engine!$C$2:$C$1960,0)))</f>
        <v/>
      </c>
      <c r="F529" s="8">
        <f>IF(ISNA(MATCH(516,Engine!$C$2:$C$1960,0)),"",INDEX('Compliance Database'!$F$2:$F$1960,MATCH(516,Engine!$C$2:$C$1960,0)))</f>
        <v/>
      </c>
      <c r="G529" s="8">
        <f>IF(ISNA(MATCH(516,Engine!$C$2:$C$1960,0)),"",INDEX('Compliance Database'!$G$2:$G$1960,MATCH(516,Engine!$C$2:$C$1960,0)))</f>
        <v/>
      </c>
      <c r="H529" s="9">
        <f>IF(ISNA(MATCH(516,Engine!$C$2:$C$1960,0)),"",INDEX('Compliance Database'!$H$2:$H$1960,MATCH(516,Engine!$C$2:$C$1960,0)))</f>
        <v/>
      </c>
      <c r="I529" s="9">
        <f>IF(ISNA(MATCH(516,Engine!$C$2:$C$1960,0)),"",INDEX('Compliance Database'!$I$2:$I$1960,MATCH(516,Engine!$C$2:$C$1960,0)))</f>
        <v/>
      </c>
      <c r="J529" s="8">
        <f>IF(ISNA(MATCH(516,Engine!$C$2:$C$1960,0)),"",INDEX('Compliance Database'!$J$2:$J$1960,MATCH(516,Engine!$C$2:$C$1960,0)))</f>
        <v/>
      </c>
      <c r="K529" s="9">
        <f>IF(ISNA(MATCH(516,Engine!$C$2:$C$1960,0)),"",INDEX('Compliance Database'!$K$2:$K$1960,MATCH(516,Engine!$C$2:$C$1960,0)))</f>
        <v/>
      </c>
      <c r="L529" s="9">
        <f>IF(ISNA(MATCH(516,Engine!$C$2:$C$1960,0)),"",INDEX('Compliance Database'!$L$2:$L$1960,MATCH(516,Engine!$C$2:$C$1960,0)))</f>
        <v/>
      </c>
      <c r="M529" s="9">
        <f>IF(ISNA(MATCH(516,Engine!$C$2:$C$1960,0)),"",INDEX('Compliance Database'!$M$2:$M$1960,MATCH(516,Engine!$C$2:$C$1960,0)))</f>
        <v/>
      </c>
      <c r="N529" s="9">
        <f>IF(ISNA(MATCH(516,Engine!$C$2:$C$1960,0)),"",INDEX('Compliance Database'!$N$2:$N$1960,MATCH(516,Engine!$C$2:$C$1960,0)))</f>
        <v/>
      </c>
      <c r="O529" s="9">
        <f>IF(ISNA(MATCH(516,Engine!$C$2:$C$1960,0)),"",INDEX('Compliance Database'!$O$2:$O$1960,MATCH(516,Engine!$C$2:$C$1960,0)))</f>
        <v/>
      </c>
      <c r="P529" s="8">
        <f>IF(ISNA(MATCH(516,Engine!$C$2:$C$1960,0)),"",HYPERLINK("#Acts!A"&amp;INDEX('Compliance Database'!$P$2:$P$1960,MATCH(516,Engine!$C$2:$C$1960,0)),"Go to Act"))</f>
        <v/>
      </c>
    </row>
    <row r="530" ht="158" customHeight="1">
      <c r="A530" s="8">
        <f>IF(ISNA(MATCH(517,Engine!$C$2:$C$1960,0)),"",INDEX('Compliance Database'!$A$2:$A$1960,MATCH(517,Engine!$C$2:$C$1960,0)))</f>
        <v/>
      </c>
      <c r="B530" s="8">
        <f>IF(ISNA(MATCH(517,Engine!$C$2:$C$1960,0)),"",INDEX('Compliance Database'!$B$2:$B$1960,MATCH(517,Engine!$C$2:$C$1960,0)))</f>
        <v/>
      </c>
      <c r="C530" s="8">
        <f>IF(ISNA(MATCH(517,Engine!$C$2:$C$1960,0)),"",INDEX('Compliance Database'!$C$2:$C$1960,MATCH(517,Engine!$C$2:$C$1960,0)))</f>
        <v/>
      </c>
      <c r="D530" s="9">
        <f>IF(ISNA(MATCH(517,Engine!$C$2:$C$1960,0)),"",INDEX('Compliance Database'!$D$2:$D$1960,MATCH(517,Engine!$C$2:$C$1960,0)))</f>
        <v/>
      </c>
      <c r="E530" s="8">
        <f>IF(ISNA(MATCH(517,Engine!$C$2:$C$1960,0)),"",INDEX('Compliance Database'!$E$2:$E$1960,MATCH(517,Engine!$C$2:$C$1960,0)))</f>
        <v/>
      </c>
      <c r="F530" s="8">
        <f>IF(ISNA(MATCH(517,Engine!$C$2:$C$1960,0)),"",INDEX('Compliance Database'!$F$2:$F$1960,MATCH(517,Engine!$C$2:$C$1960,0)))</f>
        <v/>
      </c>
      <c r="G530" s="8">
        <f>IF(ISNA(MATCH(517,Engine!$C$2:$C$1960,0)),"",INDEX('Compliance Database'!$G$2:$G$1960,MATCH(517,Engine!$C$2:$C$1960,0)))</f>
        <v/>
      </c>
      <c r="H530" s="9">
        <f>IF(ISNA(MATCH(517,Engine!$C$2:$C$1960,0)),"",INDEX('Compliance Database'!$H$2:$H$1960,MATCH(517,Engine!$C$2:$C$1960,0)))</f>
        <v/>
      </c>
      <c r="I530" s="9">
        <f>IF(ISNA(MATCH(517,Engine!$C$2:$C$1960,0)),"",INDEX('Compliance Database'!$I$2:$I$1960,MATCH(517,Engine!$C$2:$C$1960,0)))</f>
        <v/>
      </c>
      <c r="J530" s="8">
        <f>IF(ISNA(MATCH(517,Engine!$C$2:$C$1960,0)),"",INDEX('Compliance Database'!$J$2:$J$1960,MATCH(517,Engine!$C$2:$C$1960,0)))</f>
        <v/>
      </c>
      <c r="K530" s="9">
        <f>IF(ISNA(MATCH(517,Engine!$C$2:$C$1960,0)),"",INDEX('Compliance Database'!$K$2:$K$1960,MATCH(517,Engine!$C$2:$C$1960,0)))</f>
        <v/>
      </c>
      <c r="L530" s="9">
        <f>IF(ISNA(MATCH(517,Engine!$C$2:$C$1960,0)),"",INDEX('Compliance Database'!$L$2:$L$1960,MATCH(517,Engine!$C$2:$C$1960,0)))</f>
        <v/>
      </c>
      <c r="M530" s="9">
        <f>IF(ISNA(MATCH(517,Engine!$C$2:$C$1960,0)),"",INDEX('Compliance Database'!$M$2:$M$1960,MATCH(517,Engine!$C$2:$C$1960,0)))</f>
        <v/>
      </c>
      <c r="N530" s="9">
        <f>IF(ISNA(MATCH(517,Engine!$C$2:$C$1960,0)),"",INDEX('Compliance Database'!$N$2:$N$1960,MATCH(517,Engine!$C$2:$C$1960,0)))</f>
        <v/>
      </c>
      <c r="O530" s="9">
        <f>IF(ISNA(MATCH(517,Engine!$C$2:$C$1960,0)),"",INDEX('Compliance Database'!$O$2:$O$1960,MATCH(517,Engine!$C$2:$C$1960,0)))</f>
        <v/>
      </c>
      <c r="P530" s="8">
        <f>IF(ISNA(MATCH(517,Engine!$C$2:$C$1960,0)),"",HYPERLINK("#Acts!A"&amp;INDEX('Compliance Database'!$P$2:$P$1960,MATCH(517,Engine!$C$2:$C$1960,0)),"Go to Act"))</f>
        <v/>
      </c>
    </row>
    <row r="531" ht="158" customHeight="1">
      <c r="A531" s="8">
        <f>IF(ISNA(MATCH(518,Engine!$C$2:$C$1960,0)),"",INDEX('Compliance Database'!$A$2:$A$1960,MATCH(518,Engine!$C$2:$C$1960,0)))</f>
        <v/>
      </c>
      <c r="B531" s="8">
        <f>IF(ISNA(MATCH(518,Engine!$C$2:$C$1960,0)),"",INDEX('Compliance Database'!$B$2:$B$1960,MATCH(518,Engine!$C$2:$C$1960,0)))</f>
        <v/>
      </c>
      <c r="C531" s="8">
        <f>IF(ISNA(MATCH(518,Engine!$C$2:$C$1960,0)),"",INDEX('Compliance Database'!$C$2:$C$1960,MATCH(518,Engine!$C$2:$C$1960,0)))</f>
        <v/>
      </c>
      <c r="D531" s="9">
        <f>IF(ISNA(MATCH(518,Engine!$C$2:$C$1960,0)),"",INDEX('Compliance Database'!$D$2:$D$1960,MATCH(518,Engine!$C$2:$C$1960,0)))</f>
        <v/>
      </c>
      <c r="E531" s="8">
        <f>IF(ISNA(MATCH(518,Engine!$C$2:$C$1960,0)),"",INDEX('Compliance Database'!$E$2:$E$1960,MATCH(518,Engine!$C$2:$C$1960,0)))</f>
        <v/>
      </c>
      <c r="F531" s="8">
        <f>IF(ISNA(MATCH(518,Engine!$C$2:$C$1960,0)),"",INDEX('Compliance Database'!$F$2:$F$1960,MATCH(518,Engine!$C$2:$C$1960,0)))</f>
        <v/>
      </c>
      <c r="G531" s="8">
        <f>IF(ISNA(MATCH(518,Engine!$C$2:$C$1960,0)),"",INDEX('Compliance Database'!$G$2:$G$1960,MATCH(518,Engine!$C$2:$C$1960,0)))</f>
        <v/>
      </c>
      <c r="H531" s="9">
        <f>IF(ISNA(MATCH(518,Engine!$C$2:$C$1960,0)),"",INDEX('Compliance Database'!$H$2:$H$1960,MATCH(518,Engine!$C$2:$C$1960,0)))</f>
        <v/>
      </c>
      <c r="I531" s="9">
        <f>IF(ISNA(MATCH(518,Engine!$C$2:$C$1960,0)),"",INDEX('Compliance Database'!$I$2:$I$1960,MATCH(518,Engine!$C$2:$C$1960,0)))</f>
        <v/>
      </c>
      <c r="J531" s="8">
        <f>IF(ISNA(MATCH(518,Engine!$C$2:$C$1960,0)),"",INDEX('Compliance Database'!$J$2:$J$1960,MATCH(518,Engine!$C$2:$C$1960,0)))</f>
        <v/>
      </c>
      <c r="K531" s="9">
        <f>IF(ISNA(MATCH(518,Engine!$C$2:$C$1960,0)),"",INDEX('Compliance Database'!$K$2:$K$1960,MATCH(518,Engine!$C$2:$C$1960,0)))</f>
        <v/>
      </c>
      <c r="L531" s="9">
        <f>IF(ISNA(MATCH(518,Engine!$C$2:$C$1960,0)),"",INDEX('Compliance Database'!$L$2:$L$1960,MATCH(518,Engine!$C$2:$C$1960,0)))</f>
        <v/>
      </c>
      <c r="M531" s="9">
        <f>IF(ISNA(MATCH(518,Engine!$C$2:$C$1960,0)),"",INDEX('Compliance Database'!$M$2:$M$1960,MATCH(518,Engine!$C$2:$C$1960,0)))</f>
        <v/>
      </c>
      <c r="N531" s="9">
        <f>IF(ISNA(MATCH(518,Engine!$C$2:$C$1960,0)),"",INDEX('Compliance Database'!$N$2:$N$1960,MATCH(518,Engine!$C$2:$C$1960,0)))</f>
        <v/>
      </c>
      <c r="O531" s="9">
        <f>IF(ISNA(MATCH(518,Engine!$C$2:$C$1960,0)),"",INDEX('Compliance Database'!$O$2:$O$1960,MATCH(518,Engine!$C$2:$C$1960,0)))</f>
        <v/>
      </c>
      <c r="P531" s="8">
        <f>IF(ISNA(MATCH(518,Engine!$C$2:$C$1960,0)),"",HYPERLINK("#Acts!A"&amp;INDEX('Compliance Database'!$P$2:$P$1960,MATCH(518,Engine!$C$2:$C$1960,0)),"Go to Act"))</f>
        <v/>
      </c>
    </row>
    <row r="532" ht="158" customHeight="1">
      <c r="A532" s="8">
        <f>IF(ISNA(MATCH(519,Engine!$C$2:$C$1960,0)),"",INDEX('Compliance Database'!$A$2:$A$1960,MATCH(519,Engine!$C$2:$C$1960,0)))</f>
        <v/>
      </c>
      <c r="B532" s="8">
        <f>IF(ISNA(MATCH(519,Engine!$C$2:$C$1960,0)),"",INDEX('Compliance Database'!$B$2:$B$1960,MATCH(519,Engine!$C$2:$C$1960,0)))</f>
        <v/>
      </c>
      <c r="C532" s="8">
        <f>IF(ISNA(MATCH(519,Engine!$C$2:$C$1960,0)),"",INDEX('Compliance Database'!$C$2:$C$1960,MATCH(519,Engine!$C$2:$C$1960,0)))</f>
        <v/>
      </c>
      <c r="D532" s="9">
        <f>IF(ISNA(MATCH(519,Engine!$C$2:$C$1960,0)),"",INDEX('Compliance Database'!$D$2:$D$1960,MATCH(519,Engine!$C$2:$C$1960,0)))</f>
        <v/>
      </c>
      <c r="E532" s="8">
        <f>IF(ISNA(MATCH(519,Engine!$C$2:$C$1960,0)),"",INDEX('Compliance Database'!$E$2:$E$1960,MATCH(519,Engine!$C$2:$C$1960,0)))</f>
        <v/>
      </c>
      <c r="F532" s="8">
        <f>IF(ISNA(MATCH(519,Engine!$C$2:$C$1960,0)),"",INDEX('Compliance Database'!$F$2:$F$1960,MATCH(519,Engine!$C$2:$C$1960,0)))</f>
        <v/>
      </c>
      <c r="G532" s="8">
        <f>IF(ISNA(MATCH(519,Engine!$C$2:$C$1960,0)),"",INDEX('Compliance Database'!$G$2:$G$1960,MATCH(519,Engine!$C$2:$C$1960,0)))</f>
        <v/>
      </c>
      <c r="H532" s="9">
        <f>IF(ISNA(MATCH(519,Engine!$C$2:$C$1960,0)),"",INDEX('Compliance Database'!$H$2:$H$1960,MATCH(519,Engine!$C$2:$C$1960,0)))</f>
        <v/>
      </c>
      <c r="I532" s="9">
        <f>IF(ISNA(MATCH(519,Engine!$C$2:$C$1960,0)),"",INDEX('Compliance Database'!$I$2:$I$1960,MATCH(519,Engine!$C$2:$C$1960,0)))</f>
        <v/>
      </c>
      <c r="J532" s="8">
        <f>IF(ISNA(MATCH(519,Engine!$C$2:$C$1960,0)),"",INDEX('Compliance Database'!$J$2:$J$1960,MATCH(519,Engine!$C$2:$C$1960,0)))</f>
        <v/>
      </c>
      <c r="K532" s="9">
        <f>IF(ISNA(MATCH(519,Engine!$C$2:$C$1960,0)),"",INDEX('Compliance Database'!$K$2:$K$1960,MATCH(519,Engine!$C$2:$C$1960,0)))</f>
        <v/>
      </c>
      <c r="L532" s="9">
        <f>IF(ISNA(MATCH(519,Engine!$C$2:$C$1960,0)),"",INDEX('Compliance Database'!$L$2:$L$1960,MATCH(519,Engine!$C$2:$C$1960,0)))</f>
        <v/>
      </c>
      <c r="M532" s="9">
        <f>IF(ISNA(MATCH(519,Engine!$C$2:$C$1960,0)),"",INDEX('Compliance Database'!$M$2:$M$1960,MATCH(519,Engine!$C$2:$C$1960,0)))</f>
        <v/>
      </c>
      <c r="N532" s="9">
        <f>IF(ISNA(MATCH(519,Engine!$C$2:$C$1960,0)),"",INDEX('Compliance Database'!$N$2:$N$1960,MATCH(519,Engine!$C$2:$C$1960,0)))</f>
        <v/>
      </c>
      <c r="O532" s="9">
        <f>IF(ISNA(MATCH(519,Engine!$C$2:$C$1960,0)),"",INDEX('Compliance Database'!$O$2:$O$1960,MATCH(519,Engine!$C$2:$C$1960,0)))</f>
        <v/>
      </c>
      <c r="P532" s="8">
        <f>IF(ISNA(MATCH(519,Engine!$C$2:$C$1960,0)),"",HYPERLINK("#Acts!A"&amp;INDEX('Compliance Database'!$P$2:$P$1960,MATCH(519,Engine!$C$2:$C$1960,0)),"Go to Act"))</f>
        <v/>
      </c>
    </row>
    <row r="533" ht="158" customHeight="1">
      <c r="A533" s="8">
        <f>IF(ISNA(MATCH(520,Engine!$C$2:$C$1960,0)),"",INDEX('Compliance Database'!$A$2:$A$1960,MATCH(520,Engine!$C$2:$C$1960,0)))</f>
        <v/>
      </c>
      <c r="B533" s="8">
        <f>IF(ISNA(MATCH(520,Engine!$C$2:$C$1960,0)),"",INDEX('Compliance Database'!$B$2:$B$1960,MATCH(520,Engine!$C$2:$C$1960,0)))</f>
        <v/>
      </c>
      <c r="C533" s="8">
        <f>IF(ISNA(MATCH(520,Engine!$C$2:$C$1960,0)),"",INDEX('Compliance Database'!$C$2:$C$1960,MATCH(520,Engine!$C$2:$C$1960,0)))</f>
        <v/>
      </c>
      <c r="D533" s="9">
        <f>IF(ISNA(MATCH(520,Engine!$C$2:$C$1960,0)),"",INDEX('Compliance Database'!$D$2:$D$1960,MATCH(520,Engine!$C$2:$C$1960,0)))</f>
        <v/>
      </c>
      <c r="E533" s="8">
        <f>IF(ISNA(MATCH(520,Engine!$C$2:$C$1960,0)),"",INDEX('Compliance Database'!$E$2:$E$1960,MATCH(520,Engine!$C$2:$C$1960,0)))</f>
        <v/>
      </c>
      <c r="F533" s="8">
        <f>IF(ISNA(MATCH(520,Engine!$C$2:$C$1960,0)),"",INDEX('Compliance Database'!$F$2:$F$1960,MATCH(520,Engine!$C$2:$C$1960,0)))</f>
        <v/>
      </c>
      <c r="G533" s="8">
        <f>IF(ISNA(MATCH(520,Engine!$C$2:$C$1960,0)),"",INDEX('Compliance Database'!$G$2:$G$1960,MATCH(520,Engine!$C$2:$C$1960,0)))</f>
        <v/>
      </c>
      <c r="H533" s="9">
        <f>IF(ISNA(MATCH(520,Engine!$C$2:$C$1960,0)),"",INDEX('Compliance Database'!$H$2:$H$1960,MATCH(520,Engine!$C$2:$C$1960,0)))</f>
        <v/>
      </c>
      <c r="I533" s="9">
        <f>IF(ISNA(MATCH(520,Engine!$C$2:$C$1960,0)),"",INDEX('Compliance Database'!$I$2:$I$1960,MATCH(520,Engine!$C$2:$C$1960,0)))</f>
        <v/>
      </c>
      <c r="J533" s="8">
        <f>IF(ISNA(MATCH(520,Engine!$C$2:$C$1960,0)),"",INDEX('Compliance Database'!$J$2:$J$1960,MATCH(520,Engine!$C$2:$C$1960,0)))</f>
        <v/>
      </c>
      <c r="K533" s="9">
        <f>IF(ISNA(MATCH(520,Engine!$C$2:$C$1960,0)),"",INDEX('Compliance Database'!$K$2:$K$1960,MATCH(520,Engine!$C$2:$C$1960,0)))</f>
        <v/>
      </c>
      <c r="L533" s="9">
        <f>IF(ISNA(MATCH(520,Engine!$C$2:$C$1960,0)),"",INDEX('Compliance Database'!$L$2:$L$1960,MATCH(520,Engine!$C$2:$C$1960,0)))</f>
        <v/>
      </c>
      <c r="M533" s="9">
        <f>IF(ISNA(MATCH(520,Engine!$C$2:$C$1960,0)),"",INDEX('Compliance Database'!$M$2:$M$1960,MATCH(520,Engine!$C$2:$C$1960,0)))</f>
        <v/>
      </c>
      <c r="N533" s="9">
        <f>IF(ISNA(MATCH(520,Engine!$C$2:$C$1960,0)),"",INDEX('Compliance Database'!$N$2:$N$1960,MATCH(520,Engine!$C$2:$C$1960,0)))</f>
        <v/>
      </c>
      <c r="O533" s="9">
        <f>IF(ISNA(MATCH(520,Engine!$C$2:$C$1960,0)),"",INDEX('Compliance Database'!$O$2:$O$1960,MATCH(520,Engine!$C$2:$C$1960,0)))</f>
        <v/>
      </c>
      <c r="P533" s="8">
        <f>IF(ISNA(MATCH(520,Engine!$C$2:$C$1960,0)),"",HYPERLINK("#Acts!A"&amp;INDEX('Compliance Database'!$P$2:$P$1960,MATCH(520,Engine!$C$2:$C$1960,0)),"Go to Act"))</f>
        <v/>
      </c>
    </row>
    <row r="534" ht="158" customHeight="1">
      <c r="A534" s="8">
        <f>IF(ISNA(MATCH(521,Engine!$C$2:$C$1960,0)),"",INDEX('Compliance Database'!$A$2:$A$1960,MATCH(521,Engine!$C$2:$C$1960,0)))</f>
        <v/>
      </c>
      <c r="B534" s="8">
        <f>IF(ISNA(MATCH(521,Engine!$C$2:$C$1960,0)),"",INDEX('Compliance Database'!$B$2:$B$1960,MATCH(521,Engine!$C$2:$C$1960,0)))</f>
        <v/>
      </c>
      <c r="C534" s="8">
        <f>IF(ISNA(MATCH(521,Engine!$C$2:$C$1960,0)),"",INDEX('Compliance Database'!$C$2:$C$1960,MATCH(521,Engine!$C$2:$C$1960,0)))</f>
        <v/>
      </c>
      <c r="D534" s="9">
        <f>IF(ISNA(MATCH(521,Engine!$C$2:$C$1960,0)),"",INDEX('Compliance Database'!$D$2:$D$1960,MATCH(521,Engine!$C$2:$C$1960,0)))</f>
        <v/>
      </c>
      <c r="E534" s="8">
        <f>IF(ISNA(MATCH(521,Engine!$C$2:$C$1960,0)),"",INDEX('Compliance Database'!$E$2:$E$1960,MATCH(521,Engine!$C$2:$C$1960,0)))</f>
        <v/>
      </c>
      <c r="F534" s="8">
        <f>IF(ISNA(MATCH(521,Engine!$C$2:$C$1960,0)),"",INDEX('Compliance Database'!$F$2:$F$1960,MATCH(521,Engine!$C$2:$C$1960,0)))</f>
        <v/>
      </c>
      <c r="G534" s="8">
        <f>IF(ISNA(MATCH(521,Engine!$C$2:$C$1960,0)),"",INDEX('Compliance Database'!$G$2:$G$1960,MATCH(521,Engine!$C$2:$C$1960,0)))</f>
        <v/>
      </c>
      <c r="H534" s="9">
        <f>IF(ISNA(MATCH(521,Engine!$C$2:$C$1960,0)),"",INDEX('Compliance Database'!$H$2:$H$1960,MATCH(521,Engine!$C$2:$C$1960,0)))</f>
        <v/>
      </c>
      <c r="I534" s="9">
        <f>IF(ISNA(MATCH(521,Engine!$C$2:$C$1960,0)),"",INDEX('Compliance Database'!$I$2:$I$1960,MATCH(521,Engine!$C$2:$C$1960,0)))</f>
        <v/>
      </c>
      <c r="J534" s="8">
        <f>IF(ISNA(MATCH(521,Engine!$C$2:$C$1960,0)),"",INDEX('Compliance Database'!$J$2:$J$1960,MATCH(521,Engine!$C$2:$C$1960,0)))</f>
        <v/>
      </c>
      <c r="K534" s="9">
        <f>IF(ISNA(MATCH(521,Engine!$C$2:$C$1960,0)),"",INDEX('Compliance Database'!$K$2:$K$1960,MATCH(521,Engine!$C$2:$C$1960,0)))</f>
        <v/>
      </c>
      <c r="L534" s="9">
        <f>IF(ISNA(MATCH(521,Engine!$C$2:$C$1960,0)),"",INDEX('Compliance Database'!$L$2:$L$1960,MATCH(521,Engine!$C$2:$C$1960,0)))</f>
        <v/>
      </c>
      <c r="M534" s="9">
        <f>IF(ISNA(MATCH(521,Engine!$C$2:$C$1960,0)),"",INDEX('Compliance Database'!$M$2:$M$1960,MATCH(521,Engine!$C$2:$C$1960,0)))</f>
        <v/>
      </c>
      <c r="N534" s="9">
        <f>IF(ISNA(MATCH(521,Engine!$C$2:$C$1960,0)),"",INDEX('Compliance Database'!$N$2:$N$1960,MATCH(521,Engine!$C$2:$C$1960,0)))</f>
        <v/>
      </c>
      <c r="O534" s="9">
        <f>IF(ISNA(MATCH(521,Engine!$C$2:$C$1960,0)),"",INDEX('Compliance Database'!$O$2:$O$1960,MATCH(521,Engine!$C$2:$C$1960,0)))</f>
        <v/>
      </c>
      <c r="P534" s="8">
        <f>IF(ISNA(MATCH(521,Engine!$C$2:$C$1960,0)),"",HYPERLINK("#Acts!A"&amp;INDEX('Compliance Database'!$P$2:$P$1960,MATCH(521,Engine!$C$2:$C$1960,0)),"Go to Act"))</f>
        <v/>
      </c>
    </row>
    <row r="535" ht="158" customHeight="1">
      <c r="A535" s="8">
        <f>IF(ISNA(MATCH(522,Engine!$C$2:$C$1960,0)),"",INDEX('Compliance Database'!$A$2:$A$1960,MATCH(522,Engine!$C$2:$C$1960,0)))</f>
        <v/>
      </c>
      <c r="B535" s="8">
        <f>IF(ISNA(MATCH(522,Engine!$C$2:$C$1960,0)),"",INDEX('Compliance Database'!$B$2:$B$1960,MATCH(522,Engine!$C$2:$C$1960,0)))</f>
        <v/>
      </c>
      <c r="C535" s="8">
        <f>IF(ISNA(MATCH(522,Engine!$C$2:$C$1960,0)),"",INDEX('Compliance Database'!$C$2:$C$1960,MATCH(522,Engine!$C$2:$C$1960,0)))</f>
        <v/>
      </c>
      <c r="D535" s="9">
        <f>IF(ISNA(MATCH(522,Engine!$C$2:$C$1960,0)),"",INDEX('Compliance Database'!$D$2:$D$1960,MATCH(522,Engine!$C$2:$C$1960,0)))</f>
        <v/>
      </c>
      <c r="E535" s="8">
        <f>IF(ISNA(MATCH(522,Engine!$C$2:$C$1960,0)),"",INDEX('Compliance Database'!$E$2:$E$1960,MATCH(522,Engine!$C$2:$C$1960,0)))</f>
        <v/>
      </c>
      <c r="F535" s="8">
        <f>IF(ISNA(MATCH(522,Engine!$C$2:$C$1960,0)),"",INDEX('Compliance Database'!$F$2:$F$1960,MATCH(522,Engine!$C$2:$C$1960,0)))</f>
        <v/>
      </c>
      <c r="G535" s="8">
        <f>IF(ISNA(MATCH(522,Engine!$C$2:$C$1960,0)),"",INDEX('Compliance Database'!$G$2:$G$1960,MATCH(522,Engine!$C$2:$C$1960,0)))</f>
        <v/>
      </c>
      <c r="H535" s="9">
        <f>IF(ISNA(MATCH(522,Engine!$C$2:$C$1960,0)),"",INDEX('Compliance Database'!$H$2:$H$1960,MATCH(522,Engine!$C$2:$C$1960,0)))</f>
        <v/>
      </c>
      <c r="I535" s="9">
        <f>IF(ISNA(MATCH(522,Engine!$C$2:$C$1960,0)),"",INDEX('Compliance Database'!$I$2:$I$1960,MATCH(522,Engine!$C$2:$C$1960,0)))</f>
        <v/>
      </c>
      <c r="J535" s="8">
        <f>IF(ISNA(MATCH(522,Engine!$C$2:$C$1960,0)),"",INDEX('Compliance Database'!$J$2:$J$1960,MATCH(522,Engine!$C$2:$C$1960,0)))</f>
        <v/>
      </c>
      <c r="K535" s="9">
        <f>IF(ISNA(MATCH(522,Engine!$C$2:$C$1960,0)),"",INDEX('Compliance Database'!$K$2:$K$1960,MATCH(522,Engine!$C$2:$C$1960,0)))</f>
        <v/>
      </c>
      <c r="L535" s="9">
        <f>IF(ISNA(MATCH(522,Engine!$C$2:$C$1960,0)),"",INDEX('Compliance Database'!$L$2:$L$1960,MATCH(522,Engine!$C$2:$C$1960,0)))</f>
        <v/>
      </c>
      <c r="M535" s="9">
        <f>IF(ISNA(MATCH(522,Engine!$C$2:$C$1960,0)),"",INDEX('Compliance Database'!$M$2:$M$1960,MATCH(522,Engine!$C$2:$C$1960,0)))</f>
        <v/>
      </c>
      <c r="N535" s="9">
        <f>IF(ISNA(MATCH(522,Engine!$C$2:$C$1960,0)),"",INDEX('Compliance Database'!$N$2:$N$1960,MATCH(522,Engine!$C$2:$C$1960,0)))</f>
        <v/>
      </c>
      <c r="O535" s="9">
        <f>IF(ISNA(MATCH(522,Engine!$C$2:$C$1960,0)),"",INDEX('Compliance Database'!$O$2:$O$1960,MATCH(522,Engine!$C$2:$C$1960,0)))</f>
        <v/>
      </c>
      <c r="P535" s="8">
        <f>IF(ISNA(MATCH(522,Engine!$C$2:$C$1960,0)),"",HYPERLINK("#Acts!A"&amp;INDEX('Compliance Database'!$P$2:$P$1960,MATCH(522,Engine!$C$2:$C$1960,0)),"Go to Act"))</f>
        <v/>
      </c>
    </row>
    <row r="536" ht="158" customHeight="1">
      <c r="A536" s="8">
        <f>IF(ISNA(MATCH(523,Engine!$C$2:$C$1960,0)),"",INDEX('Compliance Database'!$A$2:$A$1960,MATCH(523,Engine!$C$2:$C$1960,0)))</f>
        <v/>
      </c>
      <c r="B536" s="8">
        <f>IF(ISNA(MATCH(523,Engine!$C$2:$C$1960,0)),"",INDEX('Compliance Database'!$B$2:$B$1960,MATCH(523,Engine!$C$2:$C$1960,0)))</f>
        <v/>
      </c>
      <c r="C536" s="8">
        <f>IF(ISNA(MATCH(523,Engine!$C$2:$C$1960,0)),"",INDEX('Compliance Database'!$C$2:$C$1960,MATCH(523,Engine!$C$2:$C$1960,0)))</f>
        <v/>
      </c>
      <c r="D536" s="9">
        <f>IF(ISNA(MATCH(523,Engine!$C$2:$C$1960,0)),"",INDEX('Compliance Database'!$D$2:$D$1960,MATCH(523,Engine!$C$2:$C$1960,0)))</f>
        <v/>
      </c>
      <c r="E536" s="8">
        <f>IF(ISNA(MATCH(523,Engine!$C$2:$C$1960,0)),"",INDEX('Compliance Database'!$E$2:$E$1960,MATCH(523,Engine!$C$2:$C$1960,0)))</f>
        <v/>
      </c>
      <c r="F536" s="8">
        <f>IF(ISNA(MATCH(523,Engine!$C$2:$C$1960,0)),"",INDEX('Compliance Database'!$F$2:$F$1960,MATCH(523,Engine!$C$2:$C$1960,0)))</f>
        <v/>
      </c>
      <c r="G536" s="8">
        <f>IF(ISNA(MATCH(523,Engine!$C$2:$C$1960,0)),"",INDEX('Compliance Database'!$G$2:$G$1960,MATCH(523,Engine!$C$2:$C$1960,0)))</f>
        <v/>
      </c>
      <c r="H536" s="9">
        <f>IF(ISNA(MATCH(523,Engine!$C$2:$C$1960,0)),"",INDEX('Compliance Database'!$H$2:$H$1960,MATCH(523,Engine!$C$2:$C$1960,0)))</f>
        <v/>
      </c>
      <c r="I536" s="9">
        <f>IF(ISNA(MATCH(523,Engine!$C$2:$C$1960,0)),"",INDEX('Compliance Database'!$I$2:$I$1960,MATCH(523,Engine!$C$2:$C$1960,0)))</f>
        <v/>
      </c>
      <c r="J536" s="8">
        <f>IF(ISNA(MATCH(523,Engine!$C$2:$C$1960,0)),"",INDEX('Compliance Database'!$J$2:$J$1960,MATCH(523,Engine!$C$2:$C$1960,0)))</f>
        <v/>
      </c>
      <c r="K536" s="9">
        <f>IF(ISNA(MATCH(523,Engine!$C$2:$C$1960,0)),"",INDEX('Compliance Database'!$K$2:$K$1960,MATCH(523,Engine!$C$2:$C$1960,0)))</f>
        <v/>
      </c>
      <c r="L536" s="9">
        <f>IF(ISNA(MATCH(523,Engine!$C$2:$C$1960,0)),"",INDEX('Compliance Database'!$L$2:$L$1960,MATCH(523,Engine!$C$2:$C$1960,0)))</f>
        <v/>
      </c>
      <c r="M536" s="9">
        <f>IF(ISNA(MATCH(523,Engine!$C$2:$C$1960,0)),"",INDEX('Compliance Database'!$M$2:$M$1960,MATCH(523,Engine!$C$2:$C$1960,0)))</f>
        <v/>
      </c>
      <c r="N536" s="9">
        <f>IF(ISNA(MATCH(523,Engine!$C$2:$C$1960,0)),"",INDEX('Compliance Database'!$N$2:$N$1960,MATCH(523,Engine!$C$2:$C$1960,0)))</f>
        <v/>
      </c>
      <c r="O536" s="9">
        <f>IF(ISNA(MATCH(523,Engine!$C$2:$C$1960,0)),"",INDEX('Compliance Database'!$O$2:$O$1960,MATCH(523,Engine!$C$2:$C$1960,0)))</f>
        <v/>
      </c>
      <c r="P536" s="8">
        <f>IF(ISNA(MATCH(523,Engine!$C$2:$C$1960,0)),"",HYPERLINK("#Acts!A"&amp;INDEX('Compliance Database'!$P$2:$P$1960,MATCH(523,Engine!$C$2:$C$1960,0)),"Go to Act"))</f>
        <v/>
      </c>
    </row>
    <row r="537" ht="158" customHeight="1">
      <c r="A537" s="8">
        <f>IF(ISNA(MATCH(524,Engine!$C$2:$C$1960,0)),"",INDEX('Compliance Database'!$A$2:$A$1960,MATCH(524,Engine!$C$2:$C$1960,0)))</f>
        <v/>
      </c>
      <c r="B537" s="8">
        <f>IF(ISNA(MATCH(524,Engine!$C$2:$C$1960,0)),"",INDEX('Compliance Database'!$B$2:$B$1960,MATCH(524,Engine!$C$2:$C$1960,0)))</f>
        <v/>
      </c>
      <c r="C537" s="8">
        <f>IF(ISNA(MATCH(524,Engine!$C$2:$C$1960,0)),"",INDEX('Compliance Database'!$C$2:$C$1960,MATCH(524,Engine!$C$2:$C$1960,0)))</f>
        <v/>
      </c>
      <c r="D537" s="9">
        <f>IF(ISNA(MATCH(524,Engine!$C$2:$C$1960,0)),"",INDEX('Compliance Database'!$D$2:$D$1960,MATCH(524,Engine!$C$2:$C$1960,0)))</f>
        <v/>
      </c>
      <c r="E537" s="8">
        <f>IF(ISNA(MATCH(524,Engine!$C$2:$C$1960,0)),"",INDEX('Compliance Database'!$E$2:$E$1960,MATCH(524,Engine!$C$2:$C$1960,0)))</f>
        <v/>
      </c>
      <c r="F537" s="8">
        <f>IF(ISNA(MATCH(524,Engine!$C$2:$C$1960,0)),"",INDEX('Compliance Database'!$F$2:$F$1960,MATCH(524,Engine!$C$2:$C$1960,0)))</f>
        <v/>
      </c>
      <c r="G537" s="8">
        <f>IF(ISNA(MATCH(524,Engine!$C$2:$C$1960,0)),"",INDEX('Compliance Database'!$G$2:$G$1960,MATCH(524,Engine!$C$2:$C$1960,0)))</f>
        <v/>
      </c>
      <c r="H537" s="9">
        <f>IF(ISNA(MATCH(524,Engine!$C$2:$C$1960,0)),"",INDEX('Compliance Database'!$H$2:$H$1960,MATCH(524,Engine!$C$2:$C$1960,0)))</f>
        <v/>
      </c>
      <c r="I537" s="9">
        <f>IF(ISNA(MATCH(524,Engine!$C$2:$C$1960,0)),"",INDEX('Compliance Database'!$I$2:$I$1960,MATCH(524,Engine!$C$2:$C$1960,0)))</f>
        <v/>
      </c>
      <c r="J537" s="8">
        <f>IF(ISNA(MATCH(524,Engine!$C$2:$C$1960,0)),"",INDEX('Compliance Database'!$J$2:$J$1960,MATCH(524,Engine!$C$2:$C$1960,0)))</f>
        <v/>
      </c>
      <c r="K537" s="9">
        <f>IF(ISNA(MATCH(524,Engine!$C$2:$C$1960,0)),"",INDEX('Compliance Database'!$K$2:$K$1960,MATCH(524,Engine!$C$2:$C$1960,0)))</f>
        <v/>
      </c>
      <c r="L537" s="9">
        <f>IF(ISNA(MATCH(524,Engine!$C$2:$C$1960,0)),"",INDEX('Compliance Database'!$L$2:$L$1960,MATCH(524,Engine!$C$2:$C$1960,0)))</f>
        <v/>
      </c>
      <c r="M537" s="9">
        <f>IF(ISNA(MATCH(524,Engine!$C$2:$C$1960,0)),"",INDEX('Compliance Database'!$M$2:$M$1960,MATCH(524,Engine!$C$2:$C$1960,0)))</f>
        <v/>
      </c>
      <c r="N537" s="9">
        <f>IF(ISNA(MATCH(524,Engine!$C$2:$C$1960,0)),"",INDEX('Compliance Database'!$N$2:$N$1960,MATCH(524,Engine!$C$2:$C$1960,0)))</f>
        <v/>
      </c>
      <c r="O537" s="9">
        <f>IF(ISNA(MATCH(524,Engine!$C$2:$C$1960,0)),"",INDEX('Compliance Database'!$O$2:$O$1960,MATCH(524,Engine!$C$2:$C$1960,0)))</f>
        <v/>
      </c>
      <c r="P537" s="8">
        <f>IF(ISNA(MATCH(524,Engine!$C$2:$C$1960,0)),"",HYPERLINK("#Acts!A"&amp;INDEX('Compliance Database'!$P$2:$P$1960,MATCH(524,Engine!$C$2:$C$1960,0)),"Go to Act"))</f>
        <v/>
      </c>
    </row>
    <row r="538" ht="158" customHeight="1">
      <c r="A538" s="8">
        <f>IF(ISNA(MATCH(525,Engine!$C$2:$C$1960,0)),"",INDEX('Compliance Database'!$A$2:$A$1960,MATCH(525,Engine!$C$2:$C$1960,0)))</f>
        <v/>
      </c>
      <c r="B538" s="8">
        <f>IF(ISNA(MATCH(525,Engine!$C$2:$C$1960,0)),"",INDEX('Compliance Database'!$B$2:$B$1960,MATCH(525,Engine!$C$2:$C$1960,0)))</f>
        <v/>
      </c>
      <c r="C538" s="8">
        <f>IF(ISNA(MATCH(525,Engine!$C$2:$C$1960,0)),"",INDEX('Compliance Database'!$C$2:$C$1960,MATCH(525,Engine!$C$2:$C$1960,0)))</f>
        <v/>
      </c>
      <c r="D538" s="9">
        <f>IF(ISNA(MATCH(525,Engine!$C$2:$C$1960,0)),"",INDEX('Compliance Database'!$D$2:$D$1960,MATCH(525,Engine!$C$2:$C$1960,0)))</f>
        <v/>
      </c>
      <c r="E538" s="8">
        <f>IF(ISNA(MATCH(525,Engine!$C$2:$C$1960,0)),"",INDEX('Compliance Database'!$E$2:$E$1960,MATCH(525,Engine!$C$2:$C$1960,0)))</f>
        <v/>
      </c>
      <c r="F538" s="8">
        <f>IF(ISNA(MATCH(525,Engine!$C$2:$C$1960,0)),"",INDEX('Compliance Database'!$F$2:$F$1960,MATCH(525,Engine!$C$2:$C$1960,0)))</f>
        <v/>
      </c>
      <c r="G538" s="8">
        <f>IF(ISNA(MATCH(525,Engine!$C$2:$C$1960,0)),"",INDEX('Compliance Database'!$G$2:$G$1960,MATCH(525,Engine!$C$2:$C$1960,0)))</f>
        <v/>
      </c>
      <c r="H538" s="9">
        <f>IF(ISNA(MATCH(525,Engine!$C$2:$C$1960,0)),"",INDEX('Compliance Database'!$H$2:$H$1960,MATCH(525,Engine!$C$2:$C$1960,0)))</f>
        <v/>
      </c>
      <c r="I538" s="9">
        <f>IF(ISNA(MATCH(525,Engine!$C$2:$C$1960,0)),"",INDEX('Compliance Database'!$I$2:$I$1960,MATCH(525,Engine!$C$2:$C$1960,0)))</f>
        <v/>
      </c>
      <c r="J538" s="8">
        <f>IF(ISNA(MATCH(525,Engine!$C$2:$C$1960,0)),"",INDEX('Compliance Database'!$J$2:$J$1960,MATCH(525,Engine!$C$2:$C$1960,0)))</f>
        <v/>
      </c>
      <c r="K538" s="9">
        <f>IF(ISNA(MATCH(525,Engine!$C$2:$C$1960,0)),"",INDEX('Compliance Database'!$K$2:$K$1960,MATCH(525,Engine!$C$2:$C$1960,0)))</f>
        <v/>
      </c>
      <c r="L538" s="9">
        <f>IF(ISNA(MATCH(525,Engine!$C$2:$C$1960,0)),"",INDEX('Compliance Database'!$L$2:$L$1960,MATCH(525,Engine!$C$2:$C$1960,0)))</f>
        <v/>
      </c>
      <c r="M538" s="9">
        <f>IF(ISNA(MATCH(525,Engine!$C$2:$C$1960,0)),"",INDEX('Compliance Database'!$M$2:$M$1960,MATCH(525,Engine!$C$2:$C$1960,0)))</f>
        <v/>
      </c>
      <c r="N538" s="9">
        <f>IF(ISNA(MATCH(525,Engine!$C$2:$C$1960,0)),"",INDEX('Compliance Database'!$N$2:$N$1960,MATCH(525,Engine!$C$2:$C$1960,0)))</f>
        <v/>
      </c>
      <c r="O538" s="9">
        <f>IF(ISNA(MATCH(525,Engine!$C$2:$C$1960,0)),"",INDEX('Compliance Database'!$O$2:$O$1960,MATCH(525,Engine!$C$2:$C$1960,0)))</f>
        <v/>
      </c>
      <c r="P538" s="8">
        <f>IF(ISNA(MATCH(525,Engine!$C$2:$C$1960,0)),"",HYPERLINK("#Acts!A"&amp;INDEX('Compliance Database'!$P$2:$P$1960,MATCH(525,Engine!$C$2:$C$1960,0)),"Go to Act"))</f>
        <v/>
      </c>
    </row>
    <row r="539" ht="158" customHeight="1">
      <c r="A539" s="8">
        <f>IF(ISNA(MATCH(526,Engine!$C$2:$C$1960,0)),"",INDEX('Compliance Database'!$A$2:$A$1960,MATCH(526,Engine!$C$2:$C$1960,0)))</f>
        <v/>
      </c>
      <c r="B539" s="8">
        <f>IF(ISNA(MATCH(526,Engine!$C$2:$C$1960,0)),"",INDEX('Compliance Database'!$B$2:$B$1960,MATCH(526,Engine!$C$2:$C$1960,0)))</f>
        <v/>
      </c>
      <c r="C539" s="8">
        <f>IF(ISNA(MATCH(526,Engine!$C$2:$C$1960,0)),"",INDEX('Compliance Database'!$C$2:$C$1960,MATCH(526,Engine!$C$2:$C$1960,0)))</f>
        <v/>
      </c>
      <c r="D539" s="9">
        <f>IF(ISNA(MATCH(526,Engine!$C$2:$C$1960,0)),"",INDEX('Compliance Database'!$D$2:$D$1960,MATCH(526,Engine!$C$2:$C$1960,0)))</f>
        <v/>
      </c>
      <c r="E539" s="8">
        <f>IF(ISNA(MATCH(526,Engine!$C$2:$C$1960,0)),"",INDEX('Compliance Database'!$E$2:$E$1960,MATCH(526,Engine!$C$2:$C$1960,0)))</f>
        <v/>
      </c>
      <c r="F539" s="8">
        <f>IF(ISNA(MATCH(526,Engine!$C$2:$C$1960,0)),"",INDEX('Compliance Database'!$F$2:$F$1960,MATCH(526,Engine!$C$2:$C$1960,0)))</f>
        <v/>
      </c>
      <c r="G539" s="8">
        <f>IF(ISNA(MATCH(526,Engine!$C$2:$C$1960,0)),"",INDEX('Compliance Database'!$G$2:$G$1960,MATCH(526,Engine!$C$2:$C$1960,0)))</f>
        <v/>
      </c>
      <c r="H539" s="9">
        <f>IF(ISNA(MATCH(526,Engine!$C$2:$C$1960,0)),"",INDEX('Compliance Database'!$H$2:$H$1960,MATCH(526,Engine!$C$2:$C$1960,0)))</f>
        <v/>
      </c>
      <c r="I539" s="9">
        <f>IF(ISNA(MATCH(526,Engine!$C$2:$C$1960,0)),"",INDEX('Compliance Database'!$I$2:$I$1960,MATCH(526,Engine!$C$2:$C$1960,0)))</f>
        <v/>
      </c>
      <c r="J539" s="8">
        <f>IF(ISNA(MATCH(526,Engine!$C$2:$C$1960,0)),"",INDEX('Compliance Database'!$J$2:$J$1960,MATCH(526,Engine!$C$2:$C$1960,0)))</f>
        <v/>
      </c>
      <c r="K539" s="9">
        <f>IF(ISNA(MATCH(526,Engine!$C$2:$C$1960,0)),"",INDEX('Compliance Database'!$K$2:$K$1960,MATCH(526,Engine!$C$2:$C$1960,0)))</f>
        <v/>
      </c>
      <c r="L539" s="9">
        <f>IF(ISNA(MATCH(526,Engine!$C$2:$C$1960,0)),"",INDEX('Compliance Database'!$L$2:$L$1960,MATCH(526,Engine!$C$2:$C$1960,0)))</f>
        <v/>
      </c>
      <c r="M539" s="9">
        <f>IF(ISNA(MATCH(526,Engine!$C$2:$C$1960,0)),"",INDEX('Compliance Database'!$M$2:$M$1960,MATCH(526,Engine!$C$2:$C$1960,0)))</f>
        <v/>
      </c>
      <c r="N539" s="9">
        <f>IF(ISNA(MATCH(526,Engine!$C$2:$C$1960,0)),"",INDEX('Compliance Database'!$N$2:$N$1960,MATCH(526,Engine!$C$2:$C$1960,0)))</f>
        <v/>
      </c>
      <c r="O539" s="9">
        <f>IF(ISNA(MATCH(526,Engine!$C$2:$C$1960,0)),"",INDEX('Compliance Database'!$O$2:$O$1960,MATCH(526,Engine!$C$2:$C$1960,0)))</f>
        <v/>
      </c>
      <c r="P539" s="8">
        <f>IF(ISNA(MATCH(526,Engine!$C$2:$C$1960,0)),"",HYPERLINK("#Acts!A"&amp;INDEX('Compliance Database'!$P$2:$P$1960,MATCH(526,Engine!$C$2:$C$1960,0)),"Go to Act"))</f>
        <v/>
      </c>
    </row>
    <row r="540" ht="158" customHeight="1">
      <c r="A540" s="8">
        <f>IF(ISNA(MATCH(527,Engine!$C$2:$C$1960,0)),"",INDEX('Compliance Database'!$A$2:$A$1960,MATCH(527,Engine!$C$2:$C$1960,0)))</f>
        <v/>
      </c>
      <c r="B540" s="8">
        <f>IF(ISNA(MATCH(527,Engine!$C$2:$C$1960,0)),"",INDEX('Compliance Database'!$B$2:$B$1960,MATCH(527,Engine!$C$2:$C$1960,0)))</f>
        <v/>
      </c>
      <c r="C540" s="8">
        <f>IF(ISNA(MATCH(527,Engine!$C$2:$C$1960,0)),"",INDEX('Compliance Database'!$C$2:$C$1960,MATCH(527,Engine!$C$2:$C$1960,0)))</f>
        <v/>
      </c>
      <c r="D540" s="9">
        <f>IF(ISNA(MATCH(527,Engine!$C$2:$C$1960,0)),"",INDEX('Compliance Database'!$D$2:$D$1960,MATCH(527,Engine!$C$2:$C$1960,0)))</f>
        <v/>
      </c>
      <c r="E540" s="8">
        <f>IF(ISNA(MATCH(527,Engine!$C$2:$C$1960,0)),"",INDEX('Compliance Database'!$E$2:$E$1960,MATCH(527,Engine!$C$2:$C$1960,0)))</f>
        <v/>
      </c>
      <c r="F540" s="8">
        <f>IF(ISNA(MATCH(527,Engine!$C$2:$C$1960,0)),"",INDEX('Compliance Database'!$F$2:$F$1960,MATCH(527,Engine!$C$2:$C$1960,0)))</f>
        <v/>
      </c>
      <c r="G540" s="8">
        <f>IF(ISNA(MATCH(527,Engine!$C$2:$C$1960,0)),"",INDEX('Compliance Database'!$G$2:$G$1960,MATCH(527,Engine!$C$2:$C$1960,0)))</f>
        <v/>
      </c>
      <c r="H540" s="9">
        <f>IF(ISNA(MATCH(527,Engine!$C$2:$C$1960,0)),"",INDEX('Compliance Database'!$H$2:$H$1960,MATCH(527,Engine!$C$2:$C$1960,0)))</f>
        <v/>
      </c>
      <c r="I540" s="9">
        <f>IF(ISNA(MATCH(527,Engine!$C$2:$C$1960,0)),"",INDEX('Compliance Database'!$I$2:$I$1960,MATCH(527,Engine!$C$2:$C$1960,0)))</f>
        <v/>
      </c>
      <c r="J540" s="8">
        <f>IF(ISNA(MATCH(527,Engine!$C$2:$C$1960,0)),"",INDEX('Compliance Database'!$J$2:$J$1960,MATCH(527,Engine!$C$2:$C$1960,0)))</f>
        <v/>
      </c>
      <c r="K540" s="9">
        <f>IF(ISNA(MATCH(527,Engine!$C$2:$C$1960,0)),"",INDEX('Compliance Database'!$K$2:$K$1960,MATCH(527,Engine!$C$2:$C$1960,0)))</f>
        <v/>
      </c>
      <c r="L540" s="9">
        <f>IF(ISNA(MATCH(527,Engine!$C$2:$C$1960,0)),"",INDEX('Compliance Database'!$L$2:$L$1960,MATCH(527,Engine!$C$2:$C$1960,0)))</f>
        <v/>
      </c>
      <c r="M540" s="9">
        <f>IF(ISNA(MATCH(527,Engine!$C$2:$C$1960,0)),"",INDEX('Compliance Database'!$M$2:$M$1960,MATCH(527,Engine!$C$2:$C$1960,0)))</f>
        <v/>
      </c>
      <c r="N540" s="9">
        <f>IF(ISNA(MATCH(527,Engine!$C$2:$C$1960,0)),"",INDEX('Compliance Database'!$N$2:$N$1960,MATCH(527,Engine!$C$2:$C$1960,0)))</f>
        <v/>
      </c>
      <c r="O540" s="9">
        <f>IF(ISNA(MATCH(527,Engine!$C$2:$C$1960,0)),"",INDEX('Compliance Database'!$O$2:$O$1960,MATCH(527,Engine!$C$2:$C$1960,0)))</f>
        <v/>
      </c>
      <c r="P540" s="8">
        <f>IF(ISNA(MATCH(527,Engine!$C$2:$C$1960,0)),"",HYPERLINK("#Acts!A"&amp;INDEX('Compliance Database'!$P$2:$P$1960,MATCH(527,Engine!$C$2:$C$1960,0)),"Go to Act"))</f>
        <v/>
      </c>
    </row>
    <row r="541" ht="158" customHeight="1">
      <c r="A541" s="8">
        <f>IF(ISNA(MATCH(528,Engine!$C$2:$C$1960,0)),"",INDEX('Compliance Database'!$A$2:$A$1960,MATCH(528,Engine!$C$2:$C$1960,0)))</f>
        <v/>
      </c>
      <c r="B541" s="8">
        <f>IF(ISNA(MATCH(528,Engine!$C$2:$C$1960,0)),"",INDEX('Compliance Database'!$B$2:$B$1960,MATCH(528,Engine!$C$2:$C$1960,0)))</f>
        <v/>
      </c>
      <c r="C541" s="8">
        <f>IF(ISNA(MATCH(528,Engine!$C$2:$C$1960,0)),"",INDEX('Compliance Database'!$C$2:$C$1960,MATCH(528,Engine!$C$2:$C$1960,0)))</f>
        <v/>
      </c>
      <c r="D541" s="9">
        <f>IF(ISNA(MATCH(528,Engine!$C$2:$C$1960,0)),"",INDEX('Compliance Database'!$D$2:$D$1960,MATCH(528,Engine!$C$2:$C$1960,0)))</f>
        <v/>
      </c>
      <c r="E541" s="8">
        <f>IF(ISNA(MATCH(528,Engine!$C$2:$C$1960,0)),"",INDEX('Compliance Database'!$E$2:$E$1960,MATCH(528,Engine!$C$2:$C$1960,0)))</f>
        <v/>
      </c>
      <c r="F541" s="8">
        <f>IF(ISNA(MATCH(528,Engine!$C$2:$C$1960,0)),"",INDEX('Compliance Database'!$F$2:$F$1960,MATCH(528,Engine!$C$2:$C$1960,0)))</f>
        <v/>
      </c>
      <c r="G541" s="8">
        <f>IF(ISNA(MATCH(528,Engine!$C$2:$C$1960,0)),"",INDEX('Compliance Database'!$G$2:$G$1960,MATCH(528,Engine!$C$2:$C$1960,0)))</f>
        <v/>
      </c>
      <c r="H541" s="9">
        <f>IF(ISNA(MATCH(528,Engine!$C$2:$C$1960,0)),"",INDEX('Compliance Database'!$H$2:$H$1960,MATCH(528,Engine!$C$2:$C$1960,0)))</f>
        <v/>
      </c>
      <c r="I541" s="9">
        <f>IF(ISNA(MATCH(528,Engine!$C$2:$C$1960,0)),"",INDEX('Compliance Database'!$I$2:$I$1960,MATCH(528,Engine!$C$2:$C$1960,0)))</f>
        <v/>
      </c>
      <c r="J541" s="8">
        <f>IF(ISNA(MATCH(528,Engine!$C$2:$C$1960,0)),"",INDEX('Compliance Database'!$J$2:$J$1960,MATCH(528,Engine!$C$2:$C$1960,0)))</f>
        <v/>
      </c>
      <c r="K541" s="9">
        <f>IF(ISNA(MATCH(528,Engine!$C$2:$C$1960,0)),"",INDEX('Compliance Database'!$K$2:$K$1960,MATCH(528,Engine!$C$2:$C$1960,0)))</f>
        <v/>
      </c>
      <c r="L541" s="9">
        <f>IF(ISNA(MATCH(528,Engine!$C$2:$C$1960,0)),"",INDEX('Compliance Database'!$L$2:$L$1960,MATCH(528,Engine!$C$2:$C$1960,0)))</f>
        <v/>
      </c>
      <c r="M541" s="9">
        <f>IF(ISNA(MATCH(528,Engine!$C$2:$C$1960,0)),"",INDEX('Compliance Database'!$M$2:$M$1960,MATCH(528,Engine!$C$2:$C$1960,0)))</f>
        <v/>
      </c>
      <c r="N541" s="9">
        <f>IF(ISNA(MATCH(528,Engine!$C$2:$C$1960,0)),"",INDEX('Compliance Database'!$N$2:$N$1960,MATCH(528,Engine!$C$2:$C$1960,0)))</f>
        <v/>
      </c>
      <c r="O541" s="9">
        <f>IF(ISNA(MATCH(528,Engine!$C$2:$C$1960,0)),"",INDEX('Compliance Database'!$O$2:$O$1960,MATCH(528,Engine!$C$2:$C$1960,0)))</f>
        <v/>
      </c>
      <c r="P541" s="8">
        <f>IF(ISNA(MATCH(528,Engine!$C$2:$C$1960,0)),"",HYPERLINK("#Acts!A"&amp;INDEX('Compliance Database'!$P$2:$P$1960,MATCH(528,Engine!$C$2:$C$1960,0)),"Go to Act"))</f>
        <v/>
      </c>
    </row>
    <row r="542" ht="158" customHeight="1">
      <c r="A542" s="8">
        <f>IF(ISNA(MATCH(529,Engine!$C$2:$C$1960,0)),"",INDEX('Compliance Database'!$A$2:$A$1960,MATCH(529,Engine!$C$2:$C$1960,0)))</f>
        <v/>
      </c>
      <c r="B542" s="8">
        <f>IF(ISNA(MATCH(529,Engine!$C$2:$C$1960,0)),"",INDEX('Compliance Database'!$B$2:$B$1960,MATCH(529,Engine!$C$2:$C$1960,0)))</f>
        <v/>
      </c>
      <c r="C542" s="8">
        <f>IF(ISNA(MATCH(529,Engine!$C$2:$C$1960,0)),"",INDEX('Compliance Database'!$C$2:$C$1960,MATCH(529,Engine!$C$2:$C$1960,0)))</f>
        <v/>
      </c>
      <c r="D542" s="9">
        <f>IF(ISNA(MATCH(529,Engine!$C$2:$C$1960,0)),"",INDEX('Compliance Database'!$D$2:$D$1960,MATCH(529,Engine!$C$2:$C$1960,0)))</f>
        <v/>
      </c>
      <c r="E542" s="8">
        <f>IF(ISNA(MATCH(529,Engine!$C$2:$C$1960,0)),"",INDEX('Compliance Database'!$E$2:$E$1960,MATCH(529,Engine!$C$2:$C$1960,0)))</f>
        <v/>
      </c>
      <c r="F542" s="8">
        <f>IF(ISNA(MATCH(529,Engine!$C$2:$C$1960,0)),"",INDEX('Compliance Database'!$F$2:$F$1960,MATCH(529,Engine!$C$2:$C$1960,0)))</f>
        <v/>
      </c>
      <c r="G542" s="8">
        <f>IF(ISNA(MATCH(529,Engine!$C$2:$C$1960,0)),"",INDEX('Compliance Database'!$G$2:$G$1960,MATCH(529,Engine!$C$2:$C$1960,0)))</f>
        <v/>
      </c>
      <c r="H542" s="9">
        <f>IF(ISNA(MATCH(529,Engine!$C$2:$C$1960,0)),"",INDEX('Compliance Database'!$H$2:$H$1960,MATCH(529,Engine!$C$2:$C$1960,0)))</f>
        <v/>
      </c>
      <c r="I542" s="9">
        <f>IF(ISNA(MATCH(529,Engine!$C$2:$C$1960,0)),"",INDEX('Compliance Database'!$I$2:$I$1960,MATCH(529,Engine!$C$2:$C$1960,0)))</f>
        <v/>
      </c>
      <c r="J542" s="8">
        <f>IF(ISNA(MATCH(529,Engine!$C$2:$C$1960,0)),"",INDEX('Compliance Database'!$J$2:$J$1960,MATCH(529,Engine!$C$2:$C$1960,0)))</f>
        <v/>
      </c>
      <c r="K542" s="9">
        <f>IF(ISNA(MATCH(529,Engine!$C$2:$C$1960,0)),"",INDEX('Compliance Database'!$K$2:$K$1960,MATCH(529,Engine!$C$2:$C$1960,0)))</f>
        <v/>
      </c>
      <c r="L542" s="9">
        <f>IF(ISNA(MATCH(529,Engine!$C$2:$C$1960,0)),"",INDEX('Compliance Database'!$L$2:$L$1960,MATCH(529,Engine!$C$2:$C$1960,0)))</f>
        <v/>
      </c>
      <c r="M542" s="9">
        <f>IF(ISNA(MATCH(529,Engine!$C$2:$C$1960,0)),"",INDEX('Compliance Database'!$M$2:$M$1960,MATCH(529,Engine!$C$2:$C$1960,0)))</f>
        <v/>
      </c>
      <c r="N542" s="9">
        <f>IF(ISNA(MATCH(529,Engine!$C$2:$C$1960,0)),"",INDEX('Compliance Database'!$N$2:$N$1960,MATCH(529,Engine!$C$2:$C$1960,0)))</f>
        <v/>
      </c>
      <c r="O542" s="9">
        <f>IF(ISNA(MATCH(529,Engine!$C$2:$C$1960,0)),"",INDEX('Compliance Database'!$O$2:$O$1960,MATCH(529,Engine!$C$2:$C$1960,0)))</f>
        <v/>
      </c>
      <c r="P542" s="8">
        <f>IF(ISNA(MATCH(529,Engine!$C$2:$C$1960,0)),"",HYPERLINK("#Acts!A"&amp;INDEX('Compliance Database'!$P$2:$P$1960,MATCH(529,Engine!$C$2:$C$1960,0)),"Go to Act"))</f>
        <v/>
      </c>
    </row>
    <row r="543" ht="158" customHeight="1">
      <c r="A543" s="8">
        <f>IF(ISNA(MATCH(530,Engine!$C$2:$C$1960,0)),"",INDEX('Compliance Database'!$A$2:$A$1960,MATCH(530,Engine!$C$2:$C$1960,0)))</f>
        <v/>
      </c>
      <c r="B543" s="8">
        <f>IF(ISNA(MATCH(530,Engine!$C$2:$C$1960,0)),"",INDEX('Compliance Database'!$B$2:$B$1960,MATCH(530,Engine!$C$2:$C$1960,0)))</f>
        <v/>
      </c>
      <c r="C543" s="8">
        <f>IF(ISNA(MATCH(530,Engine!$C$2:$C$1960,0)),"",INDEX('Compliance Database'!$C$2:$C$1960,MATCH(530,Engine!$C$2:$C$1960,0)))</f>
        <v/>
      </c>
      <c r="D543" s="9">
        <f>IF(ISNA(MATCH(530,Engine!$C$2:$C$1960,0)),"",INDEX('Compliance Database'!$D$2:$D$1960,MATCH(530,Engine!$C$2:$C$1960,0)))</f>
        <v/>
      </c>
      <c r="E543" s="8">
        <f>IF(ISNA(MATCH(530,Engine!$C$2:$C$1960,0)),"",INDEX('Compliance Database'!$E$2:$E$1960,MATCH(530,Engine!$C$2:$C$1960,0)))</f>
        <v/>
      </c>
      <c r="F543" s="8">
        <f>IF(ISNA(MATCH(530,Engine!$C$2:$C$1960,0)),"",INDEX('Compliance Database'!$F$2:$F$1960,MATCH(530,Engine!$C$2:$C$1960,0)))</f>
        <v/>
      </c>
      <c r="G543" s="8">
        <f>IF(ISNA(MATCH(530,Engine!$C$2:$C$1960,0)),"",INDEX('Compliance Database'!$G$2:$G$1960,MATCH(530,Engine!$C$2:$C$1960,0)))</f>
        <v/>
      </c>
      <c r="H543" s="9">
        <f>IF(ISNA(MATCH(530,Engine!$C$2:$C$1960,0)),"",INDEX('Compliance Database'!$H$2:$H$1960,MATCH(530,Engine!$C$2:$C$1960,0)))</f>
        <v/>
      </c>
      <c r="I543" s="9">
        <f>IF(ISNA(MATCH(530,Engine!$C$2:$C$1960,0)),"",INDEX('Compliance Database'!$I$2:$I$1960,MATCH(530,Engine!$C$2:$C$1960,0)))</f>
        <v/>
      </c>
      <c r="J543" s="8">
        <f>IF(ISNA(MATCH(530,Engine!$C$2:$C$1960,0)),"",INDEX('Compliance Database'!$J$2:$J$1960,MATCH(530,Engine!$C$2:$C$1960,0)))</f>
        <v/>
      </c>
      <c r="K543" s="9">
        <f>IF(ISNA(MATCH(530,Engine!$C$2:$C$1960,0)),"",INDEX('Compliance Database'!$K$2:$K$1960,MATCH(530,Engine!$C$2:$C$1960,0)))</f>
        <v/>
      </c>
      <c r="L543" s="9">
        <f>IF(ISNA(MATCH(530,Engine!$C$2:$C$1960,0)),"",INDEX('Compliance Database'!$L$2:$L$1960,MATCH(530,Engine!$C$2:$C$1960,0)))</f>
        <v/>
      </c>
      <c r="M543" s="9">
        <f>IF(ISNA(MATCH(530,Engine!$C$2:$C$1960,0)),"",INDEX('Compliance Database'!$M$2:$M$1960,MATCH(530,Engine!$C$2:$C$1960,0)))</f>
        <v/>
      </c>
      <c r="N543" s="9">
        <f>IF(ISNA(MATCH(530,Engine!$C$2:$C$1960,0)),"",INDEX('Compliance Database'!$N$2:$N$1960,MATCH(530,Engine!$C$2:$C$1960,0)))</f>
        <v/>
      </c>
      <c r="O543" s="9">
        <f>IF(ISNA(MATCH(530,Engine!$C$2:$C$1960,0)),"",INDEX('Compliance Database'!$O$2:$O$1960,MATCH(530,Engine!$C$2:$C$1960,0)))</f>
        <v/>
      </c>
      <c r="P543" s="8">
        <f>IF(ISNA(MATCH(530,Engine!$C$2:$C$1960,0)),"",HYPERLINK("#Acts!A"&amp;INDEX('Compliance Database'!$P$2:$P$1960,MATCH(530,Engine!$C$2:$C$1960,0)),"Go to Act"))</f>
        <v/>
      </c>
    </row>
    <row r="544" ht="158" customHeight="1">
      <c r="A544" s="8">
        <f>IF(ISNA(MATCH(531,Engine!$C$2:$C$1960,0)),"",INDEX('Compliance Database'!$A$2:$A$1960,MATCH(531,Engine!$C$2:$C$1960,0)))</f>
        <v/>
      </c>
      <c r="B544" s="8">
        <f>IF(ISNA(MATCH(531,Engine!$C$2:$C$1960,0)),"",INDEX('Compliance Database'!$B$2:$B$1960,MATCH(531,Engine!$C$2:$C$1960,0)))</f>
        <v/>
      </c>
      <c r="C544" s="8">
        <f>IF(ISNA(MATCH(531,Engine!$C$2:$C$1960,0)),"",INDEX('Compliance Database'!$C$2:$C$1960,MATCH(531,Engine!$C$2:$C$1960,0)))</f>
        <v/>
      </c>
      <c r="D544" s="9">
        <f>IF(ISNA(MATCH(531,Engine!$C$2:$C$1960,0)),"",INDEX('Compliance Database'!$D$2:$D$1960,MATCH(531,Engine!$C$2:$C$1960,0)))</f>
        <v/>
      </c>
      <c r="E544" s="8">
        <f>IF(ISNA(MATCH(531,Engine!$C$2:$C$1960,0)),"",INDEX('Compliance Database'!$E$2:$E$1960,MATCH(531,Engine!$C$2:$C$1960,0)))</f>
        <v/>
      </c>
      <c r="F544" s="8">
        <f>IF(ISNA(MATCH(531,Engine!$C$2:$C$1960,0)),"",INDEX('Compliance Database'!$F$2:$F$1960,MATCH(531,Engine!$C$2:$C$1960,0)))</f>
        <v/>
      </c>
      <c r="G544" s="8">
        <f>IF(ISNA(MATCH(531,Engine!$C$2:$C$1960,0)),"",INDEX('Compliance Database'!$G$2:$G$1960,MATCH(531,Engine!$C$2:$C$1960,0)))</f>
        <v/>
      </c>
      <c r="H544" s="9">
        <f>IF(ISNA(MATCH(531,Engine!$C$2:$C$1960,0)),"",INDEX('Compliance Database'!$H$2:$H$1960,MATCH(531,Engine!$C$2:$C$1960,0)))</f>
        <v/>
      </c>
      <c r="I544" s="9">
        <f>IF(ISNA(MATCH(531,Engine!$C$2:$C$1960,0)),"",INDEX('Compliance Database'!$I$2:$I$1960,MATCH(531,Engine!$C$2:$C$1960,0)))</f>
        <v/>
      </c>
      <c r="J544" s="8">
        <f>IF(ISNA(MATCH(531,Engine!$C$2:$C$1960,0)),"",INDEX('Compliance Database'!$J$2:$J$1960,MATCH(531,Engine!$C$2:$C$1960,0)))</f>
        <v/>
      </c>
      <c r="K544" s="9">
        <f>IF(ISNA(MATCH(531,Engine!$C$2:$C$1960,0)),"",INDEX('Compliance Database'!$K$2:$K$1960,MATCH(531,Engine!$C$2:$C$1960,0)))</f>
        <v/>
      </c>
      <c r="L544" s="9">
        <f>IF(ISNA(MATCH(531,Engine!$C$2:$C$1960,0)),"",INDEX('Compliance Database'!$L$2:$L$1960,MATCH(531,Engine!$C$2:$C$1960,0)))</f>
        <v/>
      </c>
      <c r="M544" s="9">
        <f>IF(ISNA(MATCH(531,Engine!$C$2:$C$1960,0)),"",INDEX('Compliance Database'!$M$2:$M$1960,MATCH(531,Engine!$C$2:$C$1960,0)))</f>
        <v/>
      </c>
      <c r="N544" s="9">
        <f>IF(ISNA(MATCH(531,Engine!$C$2:$C$1960,0)),"",INDEX('Compliance Database'!$N$2:$N$1960,MATCH(531,Engine!$C$2:$C$1960,0)))</f>
        <v/>
      </c>
      <c r="O544" s="9">
        <f>IF(ISNA(MATCH(531,Engine!$C$2:$C$1960,0)),"",INDEX('Compliance Database'!$O$2:$O$1960,MATCH(531,Engine!$C$2:$C$1960,0)))</f>
        <v/>
      </c>
      <c r="P544" s="8">
        <f>IF(ISNA(MATCH(531,Engine!$C$2:$C$1960,0)),"",HYPERLINK("#Acts!A"&amp;INDEX('Compliance Database'!$P$2:$P$1960,MATCH(531,Engine!$C$2:$C$1960,0)),"Go to Act"))</f>
        <v/>
      </c>
    </row>
    <row r="545" ht="158" customHeight="1">
      <c r="A545" s="8">
        <f>IF(ISNA(MATCH(532,Engine!$C$2:$C$1960,0)),"",INDEX('Compliance Database'!$A$2:$A$1960,MATCH(532,Engine!$C$2:$C$1960,0)))</f>
        <v/>
      </c>
      <c r="B545" s="8">
        <f>IF(ISNA(MATCH(532,Engine!$C$2:$C$1960,0)),"",INDEX('Compliance Database'!$B$2:$B$1960,MATCH(532,Engine!$C$2:$C$1960,0)))</f>
        <v/>
      </c>
      <c r="C545" s="8">
        <f>IF(ISNA(MATCH(532,Engine!$C$2:$C$1960,0)),"",INDEX('Compliance Database'!$C$2:$C$1960,MATCH(532,Engine!$C$2:$C$1960,0)))</f>
        <v/>
      </c>
      <c r="D545" s="9">
        <f>IF(ISNA(MATCH(532,Engine!$C$2:$C$1960,0)),"",INDEX('Compliance Database'!$D$2:$D$1960,MATCH(532,Engine!$C$2:$C$1960,0)))</f>
        <v/>
      </c>
      <c r="E545" s="8">
        <f>IF(ISNA(MATCH(532,Engine!$C$2:$C$1960,0)),"",INDEX('Compliance Database'!$E$2:$E$1960,MATCH(532,Engine!$C$2:$C$1960,0)))</f>
        <v/>
      </c>
      <c r="F545" s="8">
        <f>IF(ISNA(MATCH(532,Engine!$C$2:$C$1960,0)),"",INDEX('Compliance Database'!$F$2:$F$1960,MATCH(532,Engine!$C$2:$C$1960,0)))</f>
        <v/>
      </c>
      <c r="G545" s="8">
        <f>IF(ISNA(MATCH(532,Engine!$C$2:$C$1960,0)),"",INDEX('Compliance Database'!$G$2:$G$1960,MATCH(532,Engine!$C$2:$C$1960,0)))</f>
        <v/>
      </c>
      <c r="H545" s="9">
        <f>IF(ISNA(MATCH(532,Engine!$C$2:$C$1960,0)),"",INDEX('Compliance Database'!$H$2:$H$1960,MATCH(532,Engine!$C$2:$C$1960,0)))</f>
        <v/>
      </c>
      <c r="I545" s="9">
        <f>IF(ISNA(MATCH(532,Engine!$C$2:$C$1960,0)),"",INDEX('Compliance Database'!$I$2:$I$1960,MATCH(532,Engine!$C$2:$C$1960,0)))</f>
        <v/>
      </c>
      <c r="J545" s="8">
        <f>IF(ISNA(MATCH(532,Engine!$C$2:$C$1960,0)),"",INDEX('Compliance Database'!$J$2:$J$1960,MATCH(532,Engine!$C$2:$C$1960,0)))</f>
        <v/>
      </c>
      <c r="K545" s="9">
        <f>IF(ISNA(MATCH(532,Engine!$C$2:$C$1960,0)),"",INDEX('Compliance Database'!$K$2:$K$1960,MATCH(532,Engine!$C$2:$C$1960,0)))</f>
        <v/>
      </c>
      <c r="L545" s="9">
        <f>IF(ISNA(MATCH(532,Engine!$C$2:$C$1960,0)),"",INDEX('Compliance Database'!$L$2:$L$1960,MATCH(532,Engine!$C$2:$C$1960,0)))</f>
        <v/>
      </c>
      <c r="M545" s="9">
        <f>IF(ISNA(MATCH(532,Engine!$C$2:$C$1960,0)),"",INDEX('Compliance Database'!$M$2:$M$1960,MATCH(532,Engine!$C$2:$C$1960,0)))</f>
        <v/>
      </c>
      <c r="N545" s="9">
        <f>IF(ISNA(MATCH(532,Engine!$C$2:$C$1960,0)),"",INDEX('Compliance Database'!$N$2:$N$1960,MATCH(532,Engine!$C$2:$C$1960,0)))</f>
        <v/>
      </c>
      <c r="O545" s="9">
        <f>IF(ISNA(MATCH(532,Engine!$C$2:$C$1960,0)),"",INDEX('Compliance Database'!$O$2:$O$1960,MATCH(532,Engine!$C$2:$C$1960,0)))</f>
        <v/>
      </c>
      <c r="P545" s="8">
        <f>IF(ISNA(MATCH(532,Engine!$C$2:$C$1960,0)),"",HYPERLINK("#Acts!A"&amp;INDEX('Compliance Database'!$P$2:$P$1960,MATCH(532,Engine!$C$2:$C$1960,0)),"Go to Act"))</f>
        <v/>
      </c>
    </row>
    <row r="546" ht="158" customHeight="1">
      <c r="A546" s="8">
        <f>IF(ISNA(MATCH(533,Engine!$C$2:$C$1960,0)),"",INDEX('Compliance Database'!$A$2:$A$1960,MATCH(533,Engine!$C$2:$C$1960,0)))</f>
        <v/>
      </c>
      <c r="B546" s="8">
        <f>IF(ISNA(MATCH(533,Engine!$C$2:$C$1960,0)),"",INDEX('Compliance Database'!$B$2:$B$1960,MATCH(533,Engine!$C$2:$C$1960,0)))</f>
        <v/>
      </c>
      <c r="C546" s="8">
        <f>IF(ISNA(MATCH(533,Engine!$C$2:$C$1960,0)),"",INDEX('Compliance Database'!$C$2:$C$1960,MATCH(533,Engine!$C$2:$C$1960,0)))</f>
        <v/>
      </c>
      <c r="D546" s="9">
        <f>IF(ISNA(MATCH(533,Engine!$C$2:$C$1960,0)),"",INDEX('Compliance Database'!$D$2:$D$1960,MATCH(533,Engine!$C$2:$C$1960,0)))</f>
        <v/>
      </c>
      <c r="E546" s="8">
        <f>IF(ISNA(MATCH(533,Engine!$C$2:$C$1960,0)),"",INDEX('Compliance Database'!$E$2:$E$1960,MATCH(533,Engine!$C$2:$C$1960,0)))</f>
        <v/>
      </c>
      <c r="F546" s="8">
        <f>IF(ISNA(MATCH(533,Engine!$C$2:$C$1960,0)),"",INDEX('Compliance Database'!$F$2:$F$1960,MATCH(533,Engine!$C$2:$C$1960,0)))</f>
        <v/>
      </c>
      <c r="G546" s="8">
        <f>IF(ISNA(MATCH(533,Engine!$C$2:$C$1960,0)),"",INDEX('Compliance Database'!$G$2:$G$1960,MATCH(533,Engine!$C$2:$C$1960,0)))</f>
        <v/>
      </c>
      <c r="H546" s="9">
        <f>IF(ISNA(MATCH(533,Engine!$C$2:$C$1960,0)),"",INDEX('Compliance Database'!$H$2:$H$1960,MATCH(533,Engine!$C$2:$C$1960,0)))</f>
        <v/>
      </c>
      <c r="I546" s="9">
        <f>IF(ISNA(MATCH(533,Engine!$C$2:$C$1960,0)),"",INDEX('Compliance Database'!$I$2:$I$1960,MATCH(533,Engine!$C$2:$C$1960,0)))</f>
        <v/>
      </c>
      <c r="J546" s="8">
        <f>IF(ISNA(MATCH(533,Engine!$C$2:$C$1960,0)),"",INDEX('Compliance Database'!$J$2:$J$1960,MATCH(533,Engine!$C$2:$C$1960,0)))</f>
        <v/>
      </c>
      <c r="K546" s="9">
        <f>IF(ISNA(MATCH(533,Engine!$C$2:$C$1960,0)),"",INDEX('Compliance Database'!$K$2:$K$1960,MATCH(533,Engine!$C$2:$C$1960,0)))</f>
        <v/>
      </c>
      <c r="L546" s="9">
        <f>IF(ISNA(MATCH(533,Engine!$C$2:$C$1960,0)),"",INDEX('Compliance Database'!$L$2:$L$1960,MATCH(533,Engine!$C$2:$C$1960,0)))</f>
        <v/>
      </c>
      <c r="M546" s="9">
        <f>IF(ISNA(MATCH(533,Engine!$C$2:$C$1960,0)),"",INDEX('Compliance Database'!$M$2:$M$1960,MATCH(533,Engine!$C$2:$C$1960,0)))</f>
        <v/>
      </c>
      <c r="N546" s="9">
        <f>IF(ISNA(MATCH(533,Engine!$C$2:$C$1960,0)),"",INDEX('Compliance Database'!$N$2:$N$1960,MATCH(533,Engine!$C$2:$C$1960,0)))</f>
        <v/>
      </c>
      <c r="O546" s="9">
        <f>IF(ISNA(MATCH(533,Engine!$C$2:$C$1960,0)),"",INDEX('Compliance Database'!$O$2:$O$1960,MATCH(533,Engine!$C$2:$C$1960,0)))</f>
        <v/>
      </c>
      <c r="P546" s="8">
        <f>IF(ISNA(MATCH(533,Engine!$C$2:$C$1960,0)),"",HYPERLINK("#Acts!A"&amp;INDEX('Compliance Database'!$P$2:$P$1960,MATCH(533,Engine!$C$2:$C$1960,0)),"Go to Act"))</f>
        <v/>
      </c>
    </row>
    <row r="547" ht="158" customHeight="1">
      <c r="A547" s="8">
        <f>IF(ISNA(MATCH(534,Engine!$C$2:$C$1960,0)),"",INDEX('Compliance Database'!$A$2:$A$1960,MATCH(534,Engine!$C$2:$C$1960,0)))</f>
        <v/>
      </c>
      <c r="B547" s="8">
        <f>IF(ISNA(MATCH(534,Engine!$C$2:$C$1960,0)),"",INDEX('Compliance Database'!$B$2:$B$1960,MATCH(534,Engine!$C$2:$C$1960,0)))</f>
        <v/>
      </c>
      <c r="C547" s="8">
        <f>IF(ISNA(MATCH(534,Engine!$C$2:$C$1960,0)),"",INDEX('Compliance Database'!$C$2:$C$1960,MATCH(534,Engine!$C$2:$C$1960,0)))</f>
        <v/>
      </c>
      <c r="D547" s="9">
        <f>IF(ISNA(MATCH(534,Engine!$C$2:$C$1960,0)),"",INDEX('Compliance Database'!$D$2:$D$1960,MATCH(534,Engine!$C$2:$C$1960,0)))</f>
        <v/>
      </c>
      <c r="E547" s="8">
        <f>IF(ISNA(MATCH(534,Engine!$C$2:$C$1960,0)),"",INDEX('Compliance Database'!$E$2:$E$1960,MATCH(534,Engine!$C$2:$C$1960,0)))</f>
        <v/>
      </c>
      <c r="F547" s="8">
        <f>IF(ISNA(MATCH(534,Engine!$C$2:$C$1960,0)),"",INDEX('Compliance Database'!$F$2:$F$1960,MATCH(534,Engine!$C$2:$C$1960,0)))</f>
        <v/>
      </c>
      <c r="G547" s="8">
        <f>IF(ISNA(MATCH(534,Engine!$C$2:$C$1960,0)),"",INDEX('Compliance Database'!$G$2:$G$1960,MATCH(534,Engine!$C$2:$C$1960,0)))</f>
        <v/>
      </c>
      <c r="H547" s="9">
        <f>IF(ISNA(MATCH(534,Engine!$C$2:$C$1960,0)),"",INDEX('Compliance Database'!$H$2:$H$1960,MATCH(534,Engine!$C$2:$C$1960,0)))</f>
        <v/>
      </c>
      <c r="I547" s="9">
        <f>IF(ISNA(MATCH(534,Engine!$C$2:$C$1960,0)),"",INDEX('Compliance Database'!$I$2:$I$1960,MATCH(534,Engine!$C$2:$C$1960,0)))</f>
        <v/>
      </c>
      <c r="J547" s="8">
        <f>IF(ISNA(MATCH(534,Engine!$C$2:$C$1960,0)),"",INDEX('Compliance Database'!$J$2:$J$1960,MATCH(534,Engine!$C$2:$C$1960,0)))</f>
        <v/>
      </c>
      <c r="K547" s="9">
        <f>IF(ISNA(MATCH(534,Engine!$C$2:$C$1960,0)),"",INDEX('Compliance Database'!$K$2:$K$1960,MATCH(534,Engine!$C$2:$C$1960,0)))</f>
        <v/>
      </c>
      <c r="L547" s="9">
        <f>IF(ISNA(MATCH(534,Engine!$C$2:$C$1960,0)),"",INDEX('Compliance Database'!$L$2:$L$1960,MATCH(534,Engine!$C$2:$C$1960,0)))</f>
        <v/>
      </c>
      <c r="M547" s="9">
        <f>IF(ISNA(MATCH(534,Engine!$C$2:$C$1960,0)),"",INDEX('Compliance Database'!$M$2:$M$1960,MATCH(534,Engine!$C$2:$C$1960,0)))</f>
        <v/>
      </c>
      <c r="N547" s="9">
        <f>IF(ISNA(MATCH(534,Engine!$C$2:$C$1960,0)),"",INDEX('Compliance Database'!$N$2:$N$1960,MATCH(534,Engine!$C$2:$C$1960,0)))</f>
        <v/>
      </c>
      <c r="O547" s="9">
        <f>IF(ISNA(MATCH(534,Engine!$C$2:$C$1960,0)),"",INDEX('Compliance Database'!$O$2:$O$1960,MATCH(534,Engine!$C$2:$C$1960,0)))</f>
        <v/>
      </c>
      <c r="P547" s="8">
        <f>IF(ISNA(MATCH(534,Engine!$C$2:$C$1960,0)),"",HYPERLINK("#Acts!A"&amp;INDEX('Compliance Database'!$P$2:$P$1960,MATCH(534,Engine!$C$2:$C$1960,0)),"Go to Act"))</f>
        <v/>
      </c>
    </row>
    <row r="548" ht="158" customHeight="1">
      <c r="A548" s="8">
        <f>IF(ISNA(MATCH(535,Engine!$C$2:$C$1960,0)),"",INDEX('Compliance Database'!$A$2:$A$1960,MATCH(535,Engine!$C$2:$C$1960,0)))</f>
        <v/>
      </c>
      <c r="B548" s="8">
        <f>IF(ISNA(MATCH(535,Engine!$C$2:$C$1960,0)),"",INDEX('Compliance Database'!$B$2:$B$1960,MATCH(535,Engine!$C$2:$C$1960,0)))</f>
        <v/>
      </c>
      <c r="C548" s="8">
        <f>IF(ISNA(MATCH(535,Engine!$C$2:$C$1960,0)),"",INDEX('Compliance Database'!$C$2:$C$1960,MATCH(535,Engine!$C$2:$C$1960,0)))</f>
        <v/>
      </c>
      <c r="D548" s="9">
        <f>IF(ISNA(MATCH(535,Engine!$C$2:$C$1960,0)),"",INDEX('Compliance Database'!$D$2:$D$1960,MATCH(535,Engine!$C$2:$C$1960,0)))</f>
        <v/>
      </c>
      <c r="E548" s="8">
        <f>IF(ISNA(MATCH(535,Engine!$C$2:$C$1960,0)),"",INDEX('Compliance Database'!$E$2:$E$1960,MATCH(535,Engine!$C$2:$C$1960,0)))</f>
        <v/>
      </c>
      <c r="F548" s="8">
        <f>IF(ISNA(MATCH(535,Engine!$C$2:$C$1960,0)),"",INDEX('Compliance Database'!$F$2:$F$1960,MATCH(535,Engine!$C$2:$C$1960,0)))</f>
        <v/>
      </c>
      <c r="G548" s="8">
        <f>IF(ISNA(MATCH(535,Engine!$C$2:$C$1960,0)),"",INDEX('Compliance Database'!$G$2:$G$1960,MATCH(535,Engine!$C$2:$C$1960,0)))</f>
        <v/>
      </c>
      <c r="H548" s="9">
        <f>IF(ISNA(MATCH(535,Engine!$C$2:$C$1960,0)),"",INDEX('Compliance Database'!$H$2:$H$1960,MATCH(535,Engine!$C$2:$C$1960,0)))</f>
        <v/>
      </c>
      <c r="I548" s="9">
        <f>IF(ISNA(MATCH(535,Engine!$C$2:$C$1960,0)),"",INDEX('Compliance Database'!$I$2:$I$1960,MATCH(535,Engine!$C$2:$C$1960,0)))</f>
        <v/>
      </c>
      <c r="J548" s="8">
        <f>IF(ISNA(MATCH(535,Engine!$C$2:$C$1960,0)),"",INDEX('Compliance Database'!$J$2:$J$1960,MATCH(535,Engine!$C$2:$C$1960,0)))</f>
        <v/>
      </c>
      <c r="K548" s="9">
        <f>IF(ISNA(MATCH(535,Engine!$C$2:$C$1960,0)),"",INDEX('Compliance Database'!$K$2:$K$1960,MATCH(535,Engine!$C$2:$C$1960,0)))</f>
        <v/>
      </c>
      <c r="L548" s="9">
        <f>IF(ISNA(MATCH(535,Engine!$C$2:$C$1960,0)),"",INDEX('Compliance Database'!$L$2:$L$1960,MATCH(535,Engine!$C$2:$C$1960,0)))</f>
        <v/>
      </c>
      <c r="M548" s="9">
        <f>IF(ISNA(MATCH(535,Engine!$C$2:$C$1960,0)),"",INDEX('Compliance Database'!$M$2:$M$1960,MATCH(535,Engine!$C$2:$C$1960,0)))</f>
        <v/>
      </c>
      <c r="N548" s="9">
        <f>IF(ISNA(MATCH(535,Engine!$C$2:$C$1960,0)),"",INDEX('Compliance Database'!$N$2:$N$1960,MATCH(535,Engine!$C$2:$C$1960,0)))</f>
        <v/>
      </c>
      <c r="O548" s="9">
        <f>IF(ISNA(MATCH(535,Engine!$C$2:$C$1960,0)),"",INDEX('Compliance Database'!$O$2:$O$1960,MATCH(535,Engine!$C$2:$C$1960,0)))</f>
        <v/>
      </c>
      <c r="P548" s="8">
        <f>IF(ISNA(MATCH(535,Engine!$C$2:$C$1960,0)),"",HYPERLINK("#Acts!A"&amp;INDEX('Compliance Database'!$P$2:$P$1960,MATCH(535,Engine!$C$2:$C$1960,0)),"Go to Act"))</f>
        <v/>
      </c>
    </row>
    <row r="549" ht="158" customHeight="1">
      <c r="A549" s="8">
        <f>IF(ISNA(MATCH(536,Engine!$C$2:$C$1960,0)),"",INDEX('Compliance Database'!$A$2:$A$1960,MATCH(536,Engine!$C$2:$C$1960,0)))</f>
        <v/>
      </c>
      <c r="B549" s="8">
        <f>IF(ISNA(MATCH(536,Engine!$C$2:$C$1960,0)),"",INDEX('Compliance Database'!$B$2:$B$1960,MATCH(536,Engine!$C$2:$C$1960,0)))</f>
        <v/>
      </c>
      <c r="C549" s="8">
        <f>IF(ISNA(MATCH(536,Engine!$C$2:$C$1960,0)),"",INDEX('Compliance Database'!$C$2:$C$1960,MATCH(536,Engine!$C$2:$C$1960,0)))</f>
        <v/>
      </c>
      <c r="D549" s="9">
        <f>IF(ISNA(MATCH(536,Engine!$C$2:$C$1960,0)),"",INDEX('Compliance Database'!$D$2:$D$1960,MATCH(536,Engine!$C$2:$C$1960,0)))</f>
        <v/>
      </c>
      <c r="E549" s="8">
        <f>IF(ISNA(MATCH(536,Engine!$C$2:$C$1960,0)),"",INDEX('Compliance Database'!$E$2:$E$1960,MATCH(536,Engine!$C$2:$C$1960,0)))</f>
        <v/>
      </c>
      <c r="F549" s="8">
        <f>IF(ISNA(MATCH(536,Engine!$C$2:$C$1960,0)),"",INDEX('Compliance Database'!$F$2:$F$1960,MATCH(536,Engine!$C$2:$C$1960,0)))</f>
        <v/>
      </c>
      <c r="G549" s="8">
        <f>IF(ISNA(MATCH(536,Engine!$C$2:$C$1960,0)),"",INDEX('Compliance Database'!$G$2:$G$1960,MATCH(536,Engine!$C$2:$C$1960,0)))</f>
        <v/>
      </c>
      <c r="H549" s="9">
        <f>IF(ISNA(MATCH(536,Engine!$C$2:$C$1960,0)),"",INDEX('Compliance Database'!$H$2:$H$1960,MATCH(536,Engine!$C$2:$C$1960,0)))</f>
        <v/>
      </c>
      <c r="I549" s="9">
        <f>IF(ISNA(MATCH(536,Engine!$C$2:$C$1960,0)),"",INDEX('Compliance Database'!$I$2:$I$1960,MATCH(536,Engine!$C$2:$C$1960,0)))</f>
        <v/>
      </c>
      <c r="J549" s="8">
        <f>IF(ISNA(MATCH(536,Engine!$C$2:$C$1960,0)),"",INDEX('Compliance Database'!$J$2:$J$1960,MATCH(536,Engine!$C$2:$C$1960,0)))</f>
        <v/>
      </c>
      <c r="K549" s="9">
        <f>IF(ISNA(MATCH(536,Engine!$C$2:$C$1960,0)),"",INDEX('Compliance Database'!$K$2:$K$1960,MATCH(536,Engine!$C$2:$C$1960,0)))</f>
        <v/>
      </c>
      <c r="L549" s="9">
        <f>IF(ISNA(MATCH(536,Engine!$C$2:$C$1960,0)),"",INDEX('Compliance Database'!$L$2:$L$1960,MATCH(536,Engine!$C$2:$C$1960,0)))</f>
        <v/>
      </c>
      <c r="M549" s="9">
        <f>IF(ISNA(MATCH(536,Engine!$C$2:$C$1960,0)),"",INDEX('Compliance Database'!$M$2:$M$1960,MATCH(536,Engine!$C$2:$C$1960,0)))</f>
        <v/>
      </c>
      <c r="N549" s="9">
        <f>IF(ISNA(MATCH(536,Engine!$C$2:$C$1960,0)),"",INDEX('Compliance Database'!$N$2:$N$1960,MATCH(536,Engine!$C$2:$C$1960,0)))</f>
        <v/>
      </c>
      <c r="O549" s="9">
        <f>IF(ISNA(MATCH(536,Engine!$C$2:$C$1960,0)),"",INDEX('Compliance Database'!$O$2:$O$1960,MATCH(536,Engine!$C$2:$C$1960,0)))</f>
        <v/>
      </c>
      <c r="P549" s="8">
        <f>IF(ISNA(MATCH(536,Engine!$C$2:$C$1960,0)),"",HYPERLINK("#Acts!A"&amp;INDEX('Compliance Database'!$P$2:$P$1960,MATCH(536,Engine!$C$2:$C$1960,0)),"Go to Act"))</f>
        <v/>
      </c>
    </row>
    <row r="550" ht="158" customHeight="1">
      <c r="A550" s="8">
        <f>IF(ISNA(MATCH(537,Engine!$C$2:$C$1960,0)),"",INDEX('Compliance Database'!$A$2:$A$1960,MATCH(537,Engine!$C$2:$C$1960,0)))</f>
        <v/>
      </c>
      <c r="B550" s="8">
        <f>IF(ISNA(MATCH(537,Engine!$C$2:$C$1960,0)),"",INDEX('Compliance Database'!$B$2:$B$1960,MATCH(537,Engine!$C$2:$C$1960,0)))</f>
        <v/>
      </c>
      <c r="C550" s="8">
        <f>IF(ISNA(MATCH(537,Engine!$C$2:$C$1960,0)),"",INDEX('Compliance Database'!$C$2:$C$1960,MATCH(537,Engine!$C$2:$C$1960,0)))</f>
        <v/>
      </c>
      <c r="D550" s="9">
        <f>IF(ISNA(MATCH(537,Engine!$C$2:$C$1960,0)),"",INDEX('Compliance Database'!$D$2:$D$1960,MATCH(537,Engine!$C$2:$C$1960,0)))</f>
        <v/>
      </c>
      <c r="E550" s="8">
        <f>IF(ISNA(MATCH(537,Engine!$C$2:$C$1960,0)),"",INDEX('Compliance Database'!$E$2:$E$1960,MATCH(537,Engine!$C$2:$C$1960,0)))</f>
        <v/>
      </c>
      <c r="F550" s="8">
        <f>IF(ISNA(MATCH(537,Engine!$C$2:$C$1960,0)),"",INDEX('Compliance Database'!$F$2:$F$1960,MATCH(537,Engine!$C$2:$C$1960,0)))</f>
        <v/>
      </c>
      <c r="G550" s="8">
        <f>IF(ISNA(MATCH(537,Engine!$C$2:$C$1960,0)),"",INDEX('Compliance Database'!$G$2:$G$1960,MATCH(537,Engine!$C$2:$C$1960,0)))</f>
        <v/>
      </c>
      <c r="H550" s="9">
        <f>IF(ISNA(MATCH(537,Engine!$C$2:$C$1960,0)),"",INDEX('Compliance Database'!$H$2:$H$1960,MATCH(537,Engine!$C$2:$C$1960,0)))</f>
        <v/>
      </c>
      <c r="I550" s="9">
        <f>IF(ISNA(MATCH(537,Engine!$C$2:$C$1960,0)),"",INDEX('Compliance Database'!$I$2:$I$1960,MATCH(537,Engine!$C$2:$C$1960,0)))</f>
        <v/>
      </c>
      <c r="J550" s="8">
        <f>IF(ISNA(MATCH(537,Engine!$C$2:$C$1960,0)),"",INDEX('Compliance Database'!$J$2:$J$1960,MATCH(537,Engine!$C$2:$C$1960,0)))</f>
        <v/>
      </c>
      <c r="K550" s="9">
        <f>IF(ISNA(MATCH(537,Engine!$C$2:$C$1960,0)),"",INDEX('Compliance Database'!$K$2:$K$1960,MATCH(537,Engine!$C$2:$C$1960,0)))</f>
        <v/>
      </c>
      <c r="L550" s="9">
        <f>IF(ISNA(MATCH(537,Engine!$C$2:$C$1960,0)),"",INDEX('Compliance Database'!$L$2:$L$1960,MATCH(537,Engine!$C$2:$C$1960,0)))</f>
        <v/>
      </c>
      <c r="M550" s="9">
        <f>IF(ISNA(MATCH(537,Engine!$C$2:$C$1960,0)),"",INDEX('Compliance Database'!$M$2:$M$1960,MATCH(537,Engine!$C$2:$C$1960,0)))</f>
        <v/>
      </c>
      <c r="N550" s="9">
        <f>IF(ISNA(MATCH(537,Engine!$C$2:$C$1960,0)),"",INDEX('Compliance Database'!$N$2:$N$1960,MATCH(537,Engine!$C$2:$C$1960,0)))</f>
        <v/>
      </c>
      <c r="O550" s="9">
        <f>IF(ISNA(MATCH(537,Engine!$C$2:$C$1960,0)),"",INDEX('Compliance Database'!$O$2:$O$1960,MATCH(537,Engine!$C$2:$C$1960,0)))</f>
        <v/>
      </c>
      <c r="P550" s="8">
        <f>IF(ISNA(MATCH(537,Engine!$C$2:$C$1960,0)),"",HYPERLINK("#Acts!A"&amp;INDEX('Compliance Database'!$P$2:$P$1960,MATCH(537,Engine!$C$2:$C$1960,0)),"Go to Act"))</f>
        <v/>
      </c>
    </row>
    <row r="551" ht="158" customHeight="1">
      <c r="A551" s="8">
        <f>IF(ISNA(MATCH(538,Engine!$C$2:$C$1960,0)),"",INDEX('Compliance Database'!$A$2:$A$1960,MATCH(538,Engine!$C$2:$C$1960,0)))</f>
        <v/>
      </c>
      <c r="B551" s="8">
        <f>IF(ISNA(MATCH(538,Engine!$C$2:$C$1960,0)),"",INDEX('Compliance Database'!$B$2:$B$1960,MATCH(538,Engine!$C$2:$C$1960,0)))</f>
        <v/>
      </c>
      <c r="C551" s="8">
        <f>IF(ISNA(MATCH(538,Engine!$C$2:$C$1960,0)),"",INDEX('Compliance Database'!$C$2:$C$1960,MATCH(538,Engine!$C$2:$C$1960,0)))</f>
        <v/>
      </c>
      <c r="D551" s="9">
        <f>IF(ISNA(MATCH(538,Engine!$C$2:$C$1960,0)),"",INDEX('Compliance Database'!$D$2:$D$1960,MATCH(538,Engine!$C$2:$C$1960,0)))</f>
        <v/>
      </c>
      <c r="E551" s="8">
        <f>IF(ISNA(MATCH(538,Engine!$C$2:$C$1960,0)),"",INDEX('Compliance Database'!$E$2:$E$1960,MATCH(538,Engine!$C$2:$C$1960,0)))</f>
        <v/>
      </c>
      <c r="F551" s="8">
        <f>IF(ISNA(MATCH(538,Engine!$C$2:$C$1960,0)),"",INDEX('Compliance Database'!$F$2:$F$1960,MATCH(538,Engine!$C$2:$C$1960,0)))</f>
        <v/>
      </c>
      <c r="G551" s="8">
        <f>IF(ISNA(MATCH(538,Engine!$C$2:$C$1960,0)),"",INDEX('Compliance Database'!$G$2:$G$1960,MATCH(538,Engine!$C$2:$C$1960,0)))</f>
        <v/>
      </c>
      <c r="H551" s="9">
        <f>IF(ISNA(MATCH(538,Engine!$C$2:$C$1960,0)),"",INDEX('Compliance Database'!$H$2:$H$1960,MATCH(538,Engine!$C$2:$C$1960,0)))</f>
        <v/>
      </c>
      <c r="I551" s="9">
        <f>IF(ISNA(MATCH(538,Engine!$C$2:$C$1960,0)),"",INDEX('Compliance Database'!$I$2:$I$1960,MATCH(538,Engine!$C$2:$C$1960,0)))</f>
        <v/>
      </c>
      <c r="J551" s="8">
        <f>IF(ISNA(MATCH(538,Engine!$C$2:$C$1960,0)),"",INDEX('Compliance Database'!$J$2:$J$1960,MATCH(538,Engine!$C$2:$C$1960,0)))</f>
        <v/>
      </c>
      <c r="K551" s="9">
        <f>IF(ISNA(MATCH(538,Engine!$C$2:$C$1960,0)),"",INDEX('Compliance Database'!$K$2:$K$1960,MATCH(538,Engine!$C$2:$C$1960,0)))</f>
        <v/>
      </c>
      <c r="L551" s="9">
        <f>IF(ISNA(MATCH(538,Engine!$C$2:$C$1960,0)),"",INDEX('Compliance Database'!$L$2:$L$1960,MATCH(538,Engine!$C$2:$C$1960,0)))</f>
        <v/>
      </c>
      <c r="M551" s="9">
        <f>IF(ISNA(MATCH(538,Engine!$C$2:$C$1960,0)),"",INDEX('Compliance Database'!$M$2:$M$1960,MATCH(538,Engine!$C$2:$C$1960,0)))</f>
        <v/>
      </c>
      <c r="N551" s="9">
        <f>IF(ISNA(MATCH(538,Engine!$C$2:$C$1960,0)),"",INDEX('Compliance Database'!$N$2:$N$1960,MATCH(538,Engine!$C$2:$C$1960,0)))</f>
        <v/>
      </c>
      <c r="O551" s="9">
        <f>IF(ISNA(MATCH(538,Engine!$C$2:$C$1960,0)),"",INDEX('Compliance Database'!$O$2:$O$1960,MATCH(538,Engine!$C$2:$C$1960,0)))</f>
        <v/>
      </c>
      <c r="P551" s="8">
        <f>IF(ISNA(MATCH(538,Engine!$C$2:$C$1960,0)),"",HYPERLINK("#Acts!A"&amp;INDEX('Compliance Database'!$P$2:$P$1960,MATCH(538,Engine!$C$2:$C$1960,0)),"Go to Act"))</f>
        <v/>
      </c>
    </row>
    <row r="552" ht="158" customHeight="1">
      <c r="A552" s="8">
        <f>IF(ISNA(MATCH(539,Engine!$C$2:$C$1960,0)),"",INDEX('Compliance Database'!$A$2:$A$1960,MATCH(539,Engine!$C$2:$C$1960,0)))</f>
        <v/>
      </c>
      <c r="B552" s="8">
        <f>IF(ISNA(MATCH(539,Engine!$C$2:$C$1960,0)),"",INDEX('Compliance Database'!$B$2:$B$1960,MATCH(539,Engine!$C$2:$C$1960,0)))</f>
        <v/>
      </c>
      <c r="C552" s="8">
        <f>IF(ISNA(MATCH(539,Engine!$C$2:$C$1960,0)),"",INDEX('Compliance Database'!$C$2:$C$1960,MATCH(539,Engine!$C$2:$C$1960,0)))</f>
        <v/>
      </c>
      <c r="D552" s="9">
        <f>IF(ISNA(MATCH(539,Engine!$C$2:$C$1960,0)),"",INDEX('Compliance Database'!$D$2:$D$1960,MATCH(539,Engine!$C$2:$C$1960,0)))</f>
        <v/>
      </c>
      <c r="E552" s="8">
        <f>IF(ISNA(MATCH(539,Engine!$C$2:$C$1960,0)),"",INDEX('Compliance Database'!$E$2:$E$1960,MATCH(539,Engine!$C$2:$C$1960,0)))</f>
        <v/>
      </c>
      <c r="F552" s="8">
        <f>IF(ISNA(MATCH(539,Engine!$C$2:$C$1960,0)),"",INDEX('Compliance Database'!$F$2:$F$1960,MATCH(539,Engine!$C$2:$C$1960,0)))</f>
        <v/>
      </c>
      <c r="G552" s="8">
        <f>IF(ISNA(MATCH(539,Engine!$C$2:$C$1960,0)),"",INDEX('Compliance Database'!$G$2:$G$1960,MATCH(539,Engine!$C$2:$C$1960,0)))</f>
        <v/>
      </c>
      <c r="H552" s="9">
        <f>IF(ISNA(MATCH(539,Engine!$C$2:$C$1960,0)),"",INDEX('Compliance Database'!$H$2:$H$1960,MATCH(539,Engine!$C$2:$C$1960,0)))</f>
        <v/>
      </c>
      <c r="I552" s="9">
        <f>IF(ISNA(MATCH(539,Engine!$C$2:$C$1960,0)),"",INDEX('Compliance Database'!$I$2:$I$1960,MATCH(539,Engine!$C$2:$C$1960,0)))</f>
        <v/>
      </c>
      <c r="J552" s="8">
        <f>IF(ISNA(MATCH(539,Engine!$C$2:$C$1960,0)),"",INDEX('Compliance Database'!$J$2:$J$1960,MATCH(539,Engine!$C$2:$C$1960,0)))</f>
        <v/>
      </c>
      <c r="K552" s="9">
        <f>IF(ISNA(MATCH(539,Engine!$C$2:$C$1960,0)),"",INDEX('Compliance Database'!$K$2:$K$1960,MATCH(539,Engine!$C$2:$C$1960,0)))</f>
        <v/>
      </c>
      <c r="L552" s="9">
        <f>IF(ISNA(MATCH(539,Engine!$C$2:$C$1960,0)),"",INDEX('Compliance Database'!$L$2:$L$1960,MATCH(539,Engine!$C$2:$C$1960,0)))</f>
        <v/>
      </c>
      <c r="M552" s="9">
        <f>IF(ISNA(MATCH(539,Engine!$C$2:$C$1960,0)),"",INDEX('Compliance Database'!$M$2:$M$1960,MATCH(539,Engine!$C$2:$C$1960,0)))</f>
        <v/>
      </c>
      <c r="N552" s="9">
        <f>IF(ISNA(MATCH(539,Engine!$C$2:$C$1960,0)),"",INDEX('Compliance Database'!$N$2:$N$1960,MATCH(539,Engine!$C$2:$C$1960,0)))</f>
        <v/>
      </c>
      <c r="O552" s="9">
        <f>IF(ISNA(MATCH(539,Engine!$C$2:$C$1960,0)),"",INDEX('Compliance Database'!$O$2:$O$1960,MATCH(539,Engine!$C$2:$C$1960,0)))</f>
        <v/>
      </c>
      <c r="P552" s="8">
        <f>IF(ISNA(MATCH(539,Engine!$C$2:$C$1960,0)),"",HYPERLINK("#Acts!A"&amp;INDEX('Compliance Database'!$P$2:$P$1960,MATCH(539,Engine!$C$2:$C$1960,0)),"Go to Act"))</f>
        <v/>
      </c>
    </row>
    <row r="553" ht="158" customHeight="1">
      <c r="A553" s="8">
        <f>IF(ISNA(MATCH(540,Engine!$C$2:$C$1960,0)),"",INDEX('Compliance Database'!$A$2:$A$1960,MATCH(540,Engine!$C$2:$C$1960,0)))</f>
        <v/>
      </c>
      <c r="B553" s="8">
        <f>IF(ISNA(MATCH(540,Engine!$C$2:$C$1960,0)),"",INDEX('Compliance Database'!$B$2:$B$1960,MATCH(540,Engine!$C$2:$C$1960,0)))</f>
        <v/>
      </c>
      <c r="C553" s="8">
        <f>IF(ISNA(MATCH(540,Engine!$C$2:$C$1960,0)),"",INDEX('Compliance Database'!$C$2:$C$1960,MATCH(540,Engine!$C$2:$C$1960,0)))</f>
        <v/>
      </c>
      <c r="D553" s="9">
        <f>IF(ISNA(MATCH(540,Engine!$C$2:$C$1960,0)),"",INDEX('Compliance Database'!$D$2:$D$1960,MATCH(540,Engine!$C$2:$C$1960,0)))</f>
        <v/>
      </c>
      <c r="E553" s="8">
        <f>IF(ISNA(MATCH(540,Engine!$C$2:$C$1960,0)),"",INDEX('Compliance Database'!$E$2:$E$1960,MATCH(540,Engine!$C$2:$C$1960,0)))</f>
        <v/>
      </c>
      <c r="F553" s="8">
        <f>IF(ISNA(MATCH(540,Engine!$C$2:$C$1960,0)),"",INDEX('Compliance Database'!$F$2:$F$1960,MATCH(540,Engine!$C$2:$C$1960,0)))</f>
        <v/>
      </c>
      <c r="G553" s="8">
        <f>IF(ISNA(MATCH(540,Engine!$C$2:$C$1960,0)),"",INDEX('Compliance Database'!$G$2:$G$1960,MATCH(540,Engine!$C$2:$C$1960,0)))</f>
        <v/>
      </c>
      <c r="H553" s="9">
        <f>IF(ISNA(MATCH(540,Engine!$C$2:$C$1960,0)),"",INDEX('Compliance Database'!$H$2:$H$1960,MATCH(540,Engine!$C$2:$C$1960,0)))</f>
        <v/>
      </c>
      <c r="I553" s="9">
        <f>IF(ISNA(MATCH(540,Engine!$C$2:$C$1960,0)),"",INDEX('Compliance Database'!$I$2:$I$1960,MATCH(540,Engine!$C$2:$C$1960,0)))</f>
        <v/>
      </c>
      <c r="J553" s="8">
        <f>IF(ISNA(MATCH(540,Engine!$C$2:$C$1960,0)),"",INDEX('Compliance Database'!$J$2:$J$1960,MATCH(540,Engine!$C$2:$C$1960,0)))</f>
        <v/>
      </c>
      <c r="K553" s="9">
        <f>IF(ISNA(MATCH(540,Engine!$C$2:$C$1960,0)),"",INDEX('Compliance Database'!$K$2:$K$1960,MATCH(540,Engine!$C$2:$C$1960,0)))</f>
        <v/>
      </c>
      <c r="L553" s="9">
        <f>IF(ISNA(MATCH(540,Engine!$C$2:$C$1960,0)),"",INDEX('Compliance Database'!$L$2:$L$1960,MATCH(540,Engine!$C$2:$C$1960,0)))</f>
        <v/>
      </c>
      <c r="M553" s="9">
        <f>IF(ISNA(MATCH(540,Engine!$C$2:$C$1960,0)),"",INDEX('Compliance Database'!$M$2:$M$1960,MATCH(540,Engine!$C$2:$C$1960,0)))</f>
        <v/>
      </c>
      <c r="N553" s="9">
        <f>IF(ISNA(MATCH(540,Engine!$C$2:$C$1960,0)),"",INDEX('Compliance Database'!$N$2:$N$1960,MATCH(540,Engine!$C$2:$C$1960,0)))</f>
        <v/>
      </c>
      <c r="O553" s="9">
        <f>IF(ISNA(MATCH(540,Engine!$C$2:$C$1960,0)),"",INDEX('Compliance Database'!$O$2:$O$1960,MATCH(540,Engine!$C$2:$C$1960,0)))</f>
        <v/>
      </c>
      <c r="P553" s="8">
        <f>IF(ISNA(MATCH(540,Engine!$C$2:$C$1960,0)),"",HYPERLINK("#Acts!A"&amp;INDEX('Compliance Database'!$P$2:$P$1960,MATCH(540,Engine!$C$2:$C$1960,0)),"Go to Act"))</f>
        <v/>
      </c>
    </row>
    <row r="554" ht="158" customHeight="1">
      <c r="A554" s="8">
        <f>IF(ISNA(MATCH(541,Engine!$C$2:$C$1960,0)),"",INDEX('Compliance Database'!$A$2:$A$1960,MATCH(541,Engine!$C$2:$C$1960,0)))</f>
        <v/>
      </c>
      <c r="B554" s="8">
        <f>IF(ISNA(MATCH(541,Engine!$C$2:$C$1960,0)),"",INDEX('Compliance Database'!$B$2:$B$1960,MATCH(541,Engine!$C$2:$C$1960,0)))</f>
        <v/>
      </c>
      <c r="C554" s="8">
        <f>IF(ISNA(MATCH(541,Engine!$C$2:$C$1960,0)),"",INDEX('Compliance Database'!$C$2:$C$1960,MATCH(541,Engine!$C$2:$C$1960,0)))</f>
        <v/>
      </c>
      <c r="D554" s="9">
        <f>IF(ISNA(MATCH(541,Engine!$C$2:$C$1960,0)),"",INDEX('Compliance Database'!$D$2:$D$1960,MATCH(541,Engine!$C$2:$C$1960,0)))</f>
        <v/>
      </c>
      <c r="E554" s="8">
        <f>IF(ISNA(MATCH(541,Engine!$C$2:$C$1960,0)),"",INDEX('Compliance Database'!$E$2:$E$1960,MATCH(541,Engine!$C$2:$C$1960,0)))</f>
        <v/>
      </c>
      <c r="F554" s="8">
        <f>IF(ISNA(MATCH(541,Engine!$C$2:$C$1960,0)),"",INDEX('Compliance Database'!$F$2:$F$1960,MATCH(541,Engine!$C$2:$C$1960,0)))</f>
        <v/>
      </c>
      <c r="G554" s="8">
        <f>IF(ISNA(MATCH(541,Engine!$C$2:$C$1960,0)),"",INDEX('Compliance Database'!$G$2:$G$1960,MATCH(541,Engine!$C$2:$C$1960,0)))</f>
        <v/>
      </c>
      <c r="H554" s="9">
        <f>IF(ISNA(MATCH(541,Engine!$C$2:$C$1960,0)),"",INDEX('Compliance Database'!$H$2:$H$1960,MATCH(541,Engine!$C$2:$C$1960,0)))</f>
        <v/>
      </c>
      <c r="I554" s="9">
        <f>IF(ISNA(MATCH(541,Engine!$C$2:$C$1960,0)),"",INDEX('Compliance Database'!$I$2:$I$1960,MATCH(541,Engine!$C$2:$C$1960,0)))</f>
        <v/>
      </c>
      <c r="J554" s="8">
        <f>IF(ISNA(MATCH(541,Engine!$C$2:$C$1960,0)),"",INDEX('Compliance Database'!$J$2:$J$1960,MATCH(541,Engine!$C$2:$C$1960,0)))</f>
        <v/>
      </c>
      <c r="K554" s="9">
        <f>IF(ISNA(MATCH(541,Engine!$C$2:$C$1960,0)),"",INDEX('Compliance Database'!$K$2:$K$1960,MATCH(541,Engine!$C$2:$C$1960,0)))</f>
        <v/>
      </c>
      <c r="L554" s="9">
        <f>IF(ISNA(MATCH(541,Engine!$C$2:$C$1960,0)),"",INDEX('Compliance Database'!$L$2:$L$1960,MATCH(541,Engine!$C$2:$C$1960,0)))</f>
        <v/>
      </c>
      <c r="M554" s="9">
        <f>IF(ISNA(MATCH(541,Engine!$C$2:$C$1960,0)),"",INDEX('Compliance Database'!$M$2:$M$1960,MATCH(541,Engine!$C$2:$C$1960,0)))</f>
        <v/>
      </c>
      <c r="N554" s="9">
        <f>IF(ISNA(MATCH(541,Engine!$C$2:$C$1960,0)),"",INDEX('Compliance Database'!$N$2:$N$1960,MATCH(541,Engine!$C$2:$C$1960,0)))</f>
        <v/>
      </c>
      <c r="O554" s="9">
        <f>IF(ISNA(MATCH(541,Engine!$C$2:$C$1960,0)),"",INDEX('Compliance Database'!$O$2:$O$1960,MATCH(541,Engine!$C$2:$C$1960,0)))</f>
        <v/>
      </c>
      <c r="P554" s="8">
        <f>IF(ISNA(MATCH(541,Engine!$C$2:$C$1960,0)),"",HYPERLINK("#Acts!A"&amp;INDEX('Compliance Database'!$P$2:$P$1960,MATCH(541,Engine!$C$2:$C$1960,0)),"Go to Act"))</f>
        <v/>
      </c>
    </row>
    <row r="555" ht="158" customHeight="1">
      <c r="A555" s="8">
        <f>IF(ISNA(MATCH(542,Engine!$C$2:$C$1960,0)),"",INDEX('Compliance Database'!$A$2:$A$1960,MATCH(542,Engine!$C$2:$C$1960,0)))</f>
        <v/>
      </c>
      <c r="B555" s="8">
        <f>IF(ISNA(MATCH(542,Engine!$C$2:$C$1960,0)),"",INDEX('Compliance Database'!$B$2:$B$1960,MATCH(542,Engine!$C$2:$C$1960,0)))</f>
        <v/>
      </c>
      <c r="C555" s="8">
        <f>IF(ISNA(MATCH(542,Engine!$C$2:$C$1960,0)),"",INDEX('Compliance Database'!$C$2:$C$1960,MATCH(542,Engine!$C$2:$C$1960,0)))</f>
        <v/>
      </c>
      <c r="D555" s="9">
        <f>IF(ISNA(MATCH(542,Engine!$C$2:$C$1960,0)),"",INDEX('Compliance Database'!$D$2:$D$1960,MATCH(542,Engine!$C$2:$C$1960,0)))</f>
        <v/>
      </c>
      <c r="E555" s="8">
        <f>IF(ISNA(MATCH(542,Engine!$C$2:$C$1960,0)),"",INDEX('Compliance Database'!$E$2:$E$1960,MATCH(542,Engine!$C$2:$C$1960,0)))</f>
        <v/>
      </c>
      <c r="F555" s="8">
        <f>IF(ISNA(MATCH(542,Engine!$C$2:$C$1960,0)),"",INDEX('Compliance Database'!$F$2:$F$1960,MATCH(542,Engine!$C$2:$C$1960,0)))</f>
        <v/>
      </c>
      <c r="G555" s="8">
        <f>IF(ISNA(MATCH(542,Engine!$C$2:$C$1960,0)),"",INDEX('Compliance Database'!$G$2:$G$1960,MATCH(542,Engine!$C$2:$C$1960,0)))</f>
        <v/>
      </c>
      <c r="H555" s="9">
        <f>IF(ISNA(MATCH(542,Engine!$C$2:$C$1960,0)),"",INDEX('Compliance Database'!$H$2:$H$1960,MATCH(542,Engine!$C$2:$C$1960,0)))</f>
        <v/>
      </c>
      <c r="I555" s="9">
        <f>IF(ISNA(MATCH(542,Engine!$C$2:$C$1960,0)),"",INDEX('Compliance Database'!$I$2:$I$1960,MATCH(542,Engine!$C$2:$C$1960,0)))</f>
        <v/>
      </c>
      <c r="J555" s="8">
        <f>IF(ISNA(MATCH(542,Engine!$C$2:$C$1960,0)),"",INDEX('Compliance Database'!$J$2:$J$1960,MATCH(542,Engine!$C$2:$C$1960,0)))</f>
        <v/>
      </c>
      <c r="K555" s="9">
        <f>IF(ISNA(MATCH(542,Engine!$C$2:$C$1960,0)),"",INDEX('Compliance Database'!$K$2:$K$1960,MATCH(542,Engine!$C$2:$C$1960,0)))</f>
        <v/>
      </c>
      <c r="L555" s="9">
        <f>IF(ISNA(MATCH(542,Engine!$C$2:$C$1960,0)),"",INDEX('Compliance Database'!$L$2:$L$1960,MATCH(542,Engine!$C$2:$C$1960,0)))</f>
        <v/>
      </c>
      <c r="M555" s="9">
        <f>IF(ISNA(MATCH(542,Engine!$C$2:$C$1960,0)),"",INDEX('Compliance Database'!$M$2:$M$1960,MATCH(542,Engine!$C$2:$C$1960,0)))</f>
        <v/>
      </c>
      <c r="N555" s="9">
        <f>IF(ISNA(MATCH(542,Engine!$C$2:$C$1960,0)),"",INDEX('Compliance Database'!$N$2:$N$1960,MATCH(542,Engine!$C$2:$C$1960,0)))</f>
        <v/>
      </c>
      <c r="O555" s="9">
        <f>IF(ISNA(MATCH(542,Engine!$C$2:$C$1960,0)),"",INDEX('Compliance Database'!$O$2:$O$1960,MATCH(542,Engine!$C$2:$C$1960,0)))</f>
        <v/>
      </c>
      <c r="P555" s="8">
        <f>IF(ISNA(MATCH(542,Engine!$C$2:$C$1960,0)),"",HYPERLINK("#Acts!A"&amp;INDEX('Compliance Database'!$P$2:$P$1960,MATCH(542,Engine!$C$2:$C$1960,0)),"Go to Act"))</f>
        <v/>
      </c>
    </row>
    <row r="556" ht="158" customHeight="1">
      <c r="A556" s="8">
        <f>IF(ISNA(MATCH(543,Engine!$C$2:$C$1960,0)),"",INDEX('Compliance Database'!$A$2:$A$1960,MATCH(543,Engine!$C$2:$C$1960,0)))</f>
        <v/>
      </c>
      <c r="B556" s="8">
        <f>IF(ISNA(MATCH(543,Engine!$C$2:$C$1960,0)),"",INDEX('Compliance Database'!$B$2:$B$1960,MATCH(543,Engine!$C$2:$C$1960,0)))</f>
        <v/>
      </c>
      <c r="C556" s="8">
        <f>IF(ISNA(MATCH(543,Engine!$C$2:$C$1960,0)),"",INDEX('Compliance Database'!$C$2:$C$1960,MATCH(543,Engine!$C$2:$C$1960,0)))</f>
        <v/>
      </c>
      <c r="D556" s="9">
        <f>IF(ISNA(MATCH(543,Engine!$C$2:$C$1960,0)),"",INDEX('Compliance Database'!$D$2:$D$1960,MATCH(543,Engine!$C$2:$C$1960,0)))</f>
        <v/>
      </c>
      <c r="E556" s="8">
        <f>IF(ISNA(MATCH(543,Engine!$C$2:$C$1960,0)),"",INDEX('Compliance Database'!$E$2:$E$1960,MATCH(543,Engine!$C$2:$C$1960,0)))</f>
        <v/>
      </c>
      <c r="F556" s="8">
        <f>IF(ISNA(MATCH(543,Engine!$C$2:$C$1960,0)),"",INDEX('Compliance Database'!$F$2:$F$1960,MATCH(543,Engine!$C$2:$C$1960,0)))</f>
        <v/>
      </c>
      <c r="G556" s="8">
        <f>IF(ISNA(MATCH(543,Engine!$C$2:$C$1960,0)),"",INDEX('Compliance Database'!$G$2:$G$1960,MATCH(543,Engine!$C$2:$C$1960,0)))</f>
        <v/>
      </c>
      <c r="H556" s="9">
        <f>IF(ISNA(MATCH(543,Engine!$C$2:$C$1960,0)),"",INDEX('Compliance Database'!$H$2:$H$1960,MATCH(543,Engine!$C$2:$C$1960,0)))</f>
        <v/>
      </c>
      <c r="I556" s="9">
        <f>IF(ISNA(MATCH(543,Engine!$C$2:$C$1960,0)),"",INDEX('Compliance Database'!$I$2:$I$1960,MATCH(543,Engine!$C$2:$C$1960,0)))</f>
        <v/>
      </c>
      <c r="J556" s="8">
        <f>IF(ISNA(MATCH(543,Engine!$C$2:$C$1960,0)),"",INDEX('Compliance Database'!$J$2:$J$1960,MATCH(543,Engine!$C$2:$C$1960,0)))</f>
        <v/>
      </c>
      <c r="K556" s="9">
        <f>IF(ISNA(MATCH(543,Engine!$C$2:$C$1960,0)),"",INDEX('Compliance Database'!$K$2:$K$1960,MATCH(543,Engine!$C$2:$C$1960,0)))</f>
        <v/>
      </c>
      <c r="L556" s="9">
        <f>IF(ISNA(MATCH(543,Engine!$C$2:$C$1960,0)),"",INDEX('Compliance Database'!$L$2:$L$1960,MATCH(543,Engine!$C$2:$C$1960,0)))</f>
        <v/>
      </c>
      <c r="M556" s="9">
        <f>IF(ISNA(MATCH(543,Engine!$C$2:$C$1960,0)),"",INDEX('Compliance Database'!$M$2:$M$1960,MATCH(543,Engine!$C$2:$C$1960,0)))</f>
        <v/>
      </c>
      <c r="N556" s="9">
        <f>IF(ISNA(MATCH(543,Engine!$C$2:$C$1960,0)),"",INDEX('Compliance Database'!$N$2:$N$1960,MATCH(543,Engine!$C$2:$C$1960,0)))</f>
        <v/>
      </c>
      <c r="O556" s="9">
        <f>IF(ISNA(MATCH(543,Engine!$C$2:$C$1960,0)),"",INDEX('Compliance Database'!$O$2:$O$1960,MATCH(543,Engine!$C$2:$C$1960,0)))</f>
        <v/>
      </c>
      <c r="P556" s="8">
        <f>IF(ISNA(MATCH(543,Engine!$C$2:$C$1960,0)),"",HYPERLINK("#Acts!A"&amp;INDEX('Compliance Database'!$P$2:$P$1960,MATCH(543,Engine!$C$2:$C$1960,0)),"Go to Act"))</f>
        <v/>
      </c>
    </row>
    <row r="557" ht="158" customHeight="1">
      <c r="A557" s="8">
        <f>IF(ISNA(MATCH(544,Engine!$C$2:$C$1960,0)),"",INDEX('Compliance Database'!$A$2:$A$1960,MATCH(544,Engine!$C$2:$C$1960,0)))</f>
        <v/>
      </c>
      <c r="B557" s="8">
        <f>IF(ISNA(MATCH(544,Engine!$C$2:$C$1960,0)),"",INDEX('Compliance Database'!$B$2:$B$1960,MATCH(544,Engine!$C$2:$C$1960,0)))</f>
        <v/>
      </c>
      <c r="C557" s="8">
        <f>IF(ISNA(MATCH(544,Engine!$C$2:$C$1960,0)),"",INDEX('Compliance Database'!$C$2:$C$1960,MATCH(544,Engine!$C$2:$C$1960,0)))</f>
        <v/>
      </c>
      <c r="D557" s="9">
        <f>IF(ISNA(MATCH(544,Engine!$C$2:$C$1960,0)),"",INDEX('Compliance Database'!$D$2:$D$1960,MATCH(544,Engine!$C$2:$C$1960,0)))</f>
        <v/>
      </c>
      <c r="E557" s="8">
        <f>IF(ISNA(MATCH(544,Engine!$C$2:$C$1960,0)),"",INDEX('Compliance Database'!$E$2:$E$1960,MATCH(544,Engine!$C$2:$C$1960,0)))</f>
        <v/>
      </c>
      <c r="F557" s="8">
        <f>IF(ISNA(MATCH(544,Engine!$C$2:$C$1960,0)),"",INDEX('Compliance Database'!$F$2:$F$1960,MATCH(544,Engine!$C$2:$C$1960,0)))</f>
        <v/>
      </c>
      <c r="G557" s="8">
        <f>IF(ISNA(MATCH(544,Engine!$C$2:$C$1960,0)),"",INDEX('Compliance Database'!$G$2:$G$1960,MATCH(544,Engine!$C$2:$C$1960,0)))</f>
        <v/>
      </c>
      <c r="H557" s="9">
        <f>IF(ISNA(MATCH(544,Engine!$C$2:$C$1960,0)),"",INDEX('Compliance Database'!$H$2:$H$1960,MATCH(544,Engine!$C$2:$C$1960,0)))</f>
        <v/>
      </c>
      <c r="I557" s="9">
        <f>IF(ISNA(MATCH(544,Engine!$C$2:$C$1960,0)),"",INDEX('Compliance Database'!$I$2:$I$1960,MATCH(544,Engine!$C$2:$C$1960,0)))</f>
        <v/>
      </c>
      <c r="J557" s="8">
        <f>IF(ISNA(MATCH(544,Engine!$C$2:$C$1960,0)),"",INDEX('Compliance Database'!$J$2:$J$1960,MATCH(544,Engine!$C$2:$C$1960,0)))</f>
        <v/>
      </c>
      <c r="K557" s="9">
        <f>IF(ISNA(MATCH(544,Engine!$C$2:$C$1960,0)),"",INDEX('Compliance Database'!$K$2:$K$1960,MATCH(544,Engine!$C$2:$C$1960,0)))</f>
        <v/>
      </c>
      <c r="L557" s="9">
        <f>IF(ISNA(MATCH(544,Engine!$C$2:$C$1960,0)),"",INDEX('Compliance Database'!$L$2:$L$1960,MATCH(544,Engine!$C$2:$C$1960,0)))</f>
        <v/>
      </c>
      <c r="M557" s="9">
        <f>IF(ISNA(MATCH(544,Engine!$C$2:$C$1960,0)),"",INDEX('Compliance Database'!$M$2:$M$1960,MATCH(544,Engine!$C$2:$C$1960,0)))</f>
        <v/>
      </c>
      <c r="N557" s="9">
        <f>IF(ISNA(MATCH(544,Engine!$C$2:$C$1960,0)),"",INDEX('Compliance Database'!$N$2:$N$1960,MATCH(544,Engine!$C$2:$C$1960,0)))</f>
        <v/>
      </c>
      <c r="O557" s="9">
        <f>IF(ISNA(MATCH(544,Engine!$C$2:$C$1960,0)),"",INDEX('Compliance Database'!$O$2:$O$1960,MATCH(544,Engine!$C$2:$C$1960,0)))</f>
        <v/>
      </c>
      <c r="P557" s="8">
        <f>IF(ISNA(MATCH(544,Engine!$C$2:$C$1960,0)),"",HYPERLINK("#Acts!A"&amp;INDEX('Compliance Database'!$P$2:$P$1960,MATCH(544,Engine!$C$2:$C$1960,0)),"Go to Act"))</f>
        <v/>
      </c>
    </row>
    <row r="558" ht="158" customHeight="1">
      <c r="A558" s="8">
        <f>IF(ISNA(MATCH(545,Engine!$C$2:$C$1960,0)),"",INDEX('Compliance Database'!$A$2:$A$1960,MATCH(545,Engine!$C$2:$C$1960,0)))</f>
        <v/>
      </c>
      <c r="B558" s="8">
        <f>IF(ISNA(MATCH(545,Engine!$C$2:$C$1960,0)),"",INDEX('Compliance Database'!$B$2:$B$1960,MATCH(545,Engine!$C$2:$C$1960,0)))</f>
        <v/>
      </c>
      <c r="C558" s="8">
        <f>IF(ISNA(MATCH(545,Engine!$C$2:$C$1960,0)),"",INDEX('Compliance Database'!$C$2:$C$1960,MATCH(545,Engine!$C$2:$C$1960,0)))</f>
        <v/>
      </c>
      <c r="D558" s="9">
        <f>IF(ISNA(MATCH(545,Engine!$C$2:$C$1960,0)),"",INDEX('Compliance Database'!$D$2:$D$1960,MATCH(545,Engine!$C$2:$C$1960,0)))</f>
        <v/>
      </c>
      <c r="E558" s="8">
        <f>IF(ISNA(MATCH(545,Engine!$C$2:$C$1960,0)),"",INDEX('Compliance Database'!$E$2:$E$1960,MATCH(545,Engine!$C$2:$C$1960,0)))</f>
        <v/>
      </c>
      <c r="F558" s="8">
        <f>IF(ISNA(MATCH(545,Engine!$C$2:$C$1960,0)),"",INDEX('Compliance Database'!$F$2:$F$1960,MATCH(545,Engine!$C$2:$C$1960,0)))</f>
        <v/>
      </c>
      <c r="G558" s="8">
        <f>IF(ISNA(MATCH(545,Engine!$C$2:$C$1960,0)),"",INDEX('Compliance Database'!$G$2:$G$1960,MATCH(545,Engine!$C$2:$C$1960,0)))</f>
        <v/>
      </c>
      <c r="H558" s="9">
        <f>IF(ISNA(MATCH(545,Engine!$C$2:$C$1960,0)),"",INDEX('Compliance Database'!$H$2:$H$1960,MATCH(545,Engine!$C$2:$C$1960,0)))</f>
        <v/>
      </c>
      <c r="I558" s="9">
        <f>IF(ISNA(MATCH(545,Engine!$C$2:$C$1960,0)),"",INDEX('Compliance Database'!$I$2:$I$1960,MATCH(545,Engine!$C$2:$C$1960,0)))</f>
        <v/>
      </c>
      <c r="J558" s="8">
        <f>IF(ISNA(MATCH(545,Engine!$C$2:$C$1960,0)),"",INDEX('Compliance Database'!$J$2:$J$1960,MATCH(545,Engine!$C$2:$C$1960,0)))</f>
        <v/>
      </c>
      <c r="K558" s="9">
        <f>IF(ISNA(MATCH(545,Engine!$C$2:$C$1960,0)),"",INDEX('Compliance Database'!$K$2:$K$1960,MATCH(545,Engine!$C$2:$C$1960,0)))</f>
        <v/>
      </c>
      <c r="L558" s="9">
        <f>IF(ISNA(MATCH(545,Engine!$C$2:$C$1960,0)),"",INDEX('Compliance Database'!$L$2:$L$1960,MATCH(545,Engine!$C$2:$C$1960,0)))</f>
        <v/>
      </c>
      <c r="M558" s="9">
        <f>IF(ISNA(MATCH(545,Engine!$C$2:$C$1960,0)),"",INDEX('Compliance Database'!$M$2:$M$1960,MATCH(545,Engine!$C$2:$C$1960,0)))</f>
        <v/>
      </c>
      <c r="N558" s="9">
        <f>IF(ISNA(MATCH(545,Engine!$C$2:$C$1960,0)),"",INDEX('Compliance Database'!$N$2:$N$1960,MATCH(545,Engine!$C$2:$C$1960,0)))</f>
        <v/>
      </c>
      <c r="O558" s="9">
        <f>IF(ISNA(MATCH(545,Engine!$C$2:$C$1960,0)),"",INDEX('Compliance Database'!$O$2:$O$1960,MATCH(545,Engine!$C$2:$C$1960,0)))</f>
        <v/>
      </c>
      <c r="P558" s="8">
        <f>IF(ISNA(MATCH(545,Engine!$C$2:$C$1960,0)),"",HYPERLINK("#Acts!A"&amp;INDEX('Compliance Database'!$P$2:$P$1960,MATCH(545,Engine!$C$2:$C$1960,0)),"Go to Act"))</f>
        <v/>
      </c>
    </row>
    <row r="559" ht="158" customHeight="1">
      <c r="A559" s="8">
        <f>IF(ISNA(MATCH(546,Engine!$C$2:$C$1960,0)),"",INDEX('Compliance Database'!$A$2:$A$1960,MATCH(546,Engine!$C$2:$C$1960,0)))</f>
        <v/>
      </c>
      <c r="B559" s="8">
        <f>IF(ISNA(MATCH(546,Engine!$C$2:$C$1960,0)),"",INDEX('Compliance Database'!$B$2:$B$1960,MATCH(546,Engine!$C$2:$C$1960,0)))</f>
        <v/>
      </c>
      <c r="C559" s="8">
        <f>IF(ISNA(MATCH(546,Engine!$C$2:$C$1960,0)),"",INDEX('Compliance Database'!$C$2:$C$1960,MATCH(546,Engine!$C$2:$C$1960,0)))</f>
        <v/>
      </c>
      <c r="D559" s="9">
        <f>IF(ISNA(MATCH(546,Engine!$C$2:$C$1960,0)),"",INDEX('Compliance Database'!$D$2:$D$1960,MATCH(546,Engine!$C$2:$C$1960,0)))</f>
        <v/>
      </c>
      <c r="E559" s="8">
        <f>IF(ISNA(MATCH(546,Engine!$C$2:$C$1960,0)),"",INDEX('Compliance Database'!$E$2:$E$1960,MATCH(546,Engine!$C$2:$C$1960,0)))</f>
        <v/>
      </c>
      <c r="F559" s="8">
        <f>IF(ISNA(MATCH(546,Engine!$C$2:$C$1960,0)),"",INDEX('Compliance Database'!$F$2:$F$1960,MATCH(546,Engine!$C$2:$C$1960,0)))</f>
        <v/>
      </c>
      <c r="G559" s="8">
        <f>IF(ISNA(MATCH(546,Engine!$C$2:$C$1960,0)),"",INDEX('Compliance Database'!$G$2:$G$1960,MATCH(546,Engine!$C$2:$C$1960,0)))</f>
        <v/>
      </c>
      <c r="H559" s="9">
        <f>IF(ISNA(MATCH(546,Engine!$C$2:$C$1960,0)),"",INDEX('Compliance Database'!$H$2:$H$1960,MATCH(546,Engine!$C$2:$C$1960,0)))</f>
        <v/>
      </c>
      <c r="I559" s="9">
        <f>IF(ISNA(MATCH(546,Engine!$C$2:$C$1960,0)),"",INDEX('Compliance Database'!$I$2:$I$1960,MATCH(546,Engine!$C$2:$C$1960,0)))</f>
        <v/>
      </c>
      <c r="J559" s="8">
        <f>IF(ISNA(MATCH(546,Engine!$C$2:$C$1960,0)),"",INDEX('Compliance Database'!$J$2:$J$1960,MATCH(546,Engine!$C$2:$C$1960,0)))</f>
        <v/>
      </c>
      <c r="K559" s="9">
        <f>IF(ISNA(MATCH(546,Engine!$C$2:$C$1960,0)),"",INDEX('Compliance Database'!$K$2:$K$1960,MATCH(546,Engine!$C$2:$C$1960,0)))</f>
        <v/>
      </c>
      <c r="L559" s="9">
        <f>IF(ISNA(MATCH(546,Engine!$C$2:$C$1960,0)),"",INDEX('Compliance Database'!$L$2:$L$1960,MATCH(546,Engine!$C$2:$C$1960,0)))</f>
        <v/>
      </c>
      <c r="M559" s="9">
        <f>IF(ISNA(MATCH(546,Engine!$C$2:$C$1960,0)),"",INDEX('Compliance Database'!$M$2:$M$1960,MATCH(546,Engine!$C$2:$C$1960,0)))</f>
        <v/>
      </c>
      <c r="N559" s="9">
        <f>IF(ISNA(MATCH(546,Engine!$C$2:$C$1960,0)),"",INDEX('Compliance Database'!$N$2:$N$1960,MATCH(546,Engine!$C$2:$C$1960,0)))</f>
        <v/>
      </c>
      <c r="O559" s="9">
        <f>IF(ISNA(MATCH(546,Engine!$C$2:$C$1960,0)),"",INDEX('Compliance Database'!$O$2:$O$1960,MATCH(546,Engine!$C$2:$C$1960,0)))</f>
        <v/>
      </c>
      <c r="P559" s="8">
        <f>IF(ISNA(MATCH(546,Engine!$C$2:$C$1960,0)),"",HYPERLINK("#Acts!A"&amp;INDEX('Compliance Database'!$P$2:$P$1960,MATCH(546,Engine!$C$2:$C$1960,0)),"Go to Act"))</f>
        <v/>
      </c>
    </row>
    <row r="560" ht="158" customHeight="1">
      <c r="A560" s="8">
        <f>IF(ISNA(MATCH(547,Engine!$C$2:$C$1960,0)),"",INDEX('Compliance Database'!$A$2:$A$1960,MATCH(547,Engine!$C$2:$C$1960,0)))</f>
        <v/>
      </c>
      <c r="B560" s="8">
        <f>IF(ISNA(MATCH(547,Engine!$C$2:$C$1960,0)),"",INDEX('Compliance Database'!$B$2:$B$1960,MATCH(547,Engine!$C$2:$C$1960,0)))</f>
        <v/>
      </c>
      <c r="C560" s="8">
        <f>IF(ISNA(MATCH(547,Engine!$C$2:$C$1960,0)),"",INDEX('Compliance Database'!$C$2:$C$1960,MATCH(547,Engine!$C$2:$C$1960,0)))</f>
        <v/>
      </c>
      <c r="D560" s="9">
        <f>IF(ISNA(MATCH(547,Engine!$C$2:$C$1960,0)),"",INDEX('Compliance Database'!$D$2:$D$1960,MATCH(547,Engine!$C$2:$C$1960,0)))</f>
        <v/>
      </c>
      <c r="E560" s="8">
        <f>IF(ISNA(MATCH(547,Engine!$C$2:$C$1960,0)),"",INDEX('Compliance Database'!$E$2:$E$1960,MATCH(547,Engine!$C$2:$C$1960,0)))</f>
        <v/>
      </c>
      <c r="F560" s="8">
        <f>IF(ISNA(MATCH(547,Engine!$C$2:$C$1960,0)),"",INDEX('Compliance Database'!$F$2:$F$1960,MATCH(547,Engine!$C$2:$C$1960,0)))</f>
        <v/>
      </c>
      <c r="G560" s="8">
        <f>IF(ISNA(MATCH(547,Engine!$C$2:$C$1960,0)),"",INDEX('Compliance Database'!$G$2:$G$1960,MATCH(547,Engine!$C$2:$C$1960,0)))</f>
        <v/>
      </c>
      <c r="H560" s="9">
        <f>IF(ISNA(MATCH(547,Engine!$C$2:$C$1960,0)),"",INDEX('Compliance Database'!$H$2:$H$1960,MATCH(547,Engine!$C$2:$C$1960,0)))</f>
        <v/>
      </c>
      <c r="I560" s="9">
        <f>IF(ISNA(MATCH(547,Engine!$C$2:$C$1960,0)),"",INDEX('Compliance Database'!$I$2:$I$1960,MATCH(547,Engine!$C$2:$C$1960,0)))</f>
        <v/>
      </c>
      <c r="J560" s="8">
        <f>IF(ISNA(MATCH(547,Engine!$C$2:$C$1960,0)),"",INDEX('Compliance Database'!$J$2:$J$1960,MATCH(547,Engine!$C$2:$C$1960,0)))</f>
        <v/>
      </c>
      <c r="K560" s="9">
        <f>IF(ISNA(MATCH(547,Engine!$C$2:$C$1960,0)),"",INDEX('Compliance Database'!$K$2:$K$1960,MATCH(547,Engine!$C$2:$C$1960,0)))</f>
        <v/>
      </c>
      <c r="L560" s="9">
        <f>IF(ISNA(MATCH(547,Engine!$C$2:$C$1960,0)),"",INDEX('Compliance Database'!$L$2:$L$1960,MATCH(547,Engine!$C$2:$C$1960,0)))</f>
        <v/>
      </c>
      <c r="M560" s="9">
        <f>IF(ISNA(MATCH(547,Engine!$C$2:$C$1960,0)),"",INDEX('Compliance Database'!$M$2:$M$1960,MATCH(547,Engine!$C$2:$C$1960,0)))</f>
        <v/>
      </c>
      <c r="N560" s="9">
        <f>IF(ISNA(MATCH(547,Engine!$C$2:$C$1960,0)),"",INDEX('Compliance Database'!$N$2:$N$1960,MATCH(547,Engine!$C$2:$C$1960,0)))</f>
        <v/>
      </c>
      <c r="O560" s="9">
        <f>IF(ISNA(MATCH(547,Engine!$C$2:$C$1960,0)),"",INDEX('Compliance Database'!$O$2:$O$1960,MATCH(547,Engine!$C$2:$C$1960,0)))</f>
        <v/>
      </c>
      <c r="P560" s="8">
        <f>IF(ISNA(MATCH(547,Engine!$C$2:$C$1960,0)),"",HYPERLINK("#Acts!A"&amp;INDEX('Compliance Database'!$P$2:$P$1960,MATCH(547,Engine!$C$2:$C$1960,0)),"Go to Act"))</f>
        <v/>
      </c>
    </row>
    <row r="561" ht="158" customHeight="1">
      <c r="A561" s="8">
        <f>IF(ISNA(MATCH(548,Engine!$C$2:$C$1960,0)),"",INDEX('Compliance Database'!$A$2:$A$1960,MATCH(548,Engine!$C$2:$C$1960,0)))</f>
        <v/>
      </c>
      <c r="B561" s="8">
        <f>IF(ISNA(MATCH(548,Engine!$C$2:$C$1960,0)),"",INDEX('Compliance Database'!$B$2:$B$1960,MATCH(548,Engine!$C$2:$C$1960,0)))</f>
        <v/>
      </c>
      <c r="C561" s="8">
        <f>IF(ISNA(MATCH(548,Engine!$C$2:$C$1960,0)),"",INDEX('Compliance Database'!$C$2:$C$1960,MATCH(548,Engine!$C$2:$C$1960,0)))</f>
        <v/>
      </c>
      <c r="D561" s="9">
        <f>IF(ISNA(MATCH(548,Engine!$C$2:$C$1960,0)),"",INDEX('Compliance Database'!$D$2:$D$1960,MATCH(548,Engine!$C$2:$C$1960,0)))</f>
        <v/>
      </c>
      <c r="E561" s="8">
        <f>IF(ISNA(MATCH(548,Engine!$C$2:$C$1960,0)),"",INDEX('Compliance Database'!$E$2:$E$1960,MATCH(548,Engine!$C$2:$C$1960,0)))</f>
        <v/>
      </c>
      <c r="F561" s="8">
        <f>IF(ISNA(MATCH(548,Engine!$C$2:$C$1960,0)),"",INDEX('Compliance Database'!$F$2:$F$1960,MATCH(548,Engine!$C$2:$C$1960,0)))</f>
        <v/>
      </c>
      <c r="G561" s="8">
        <f>IF(ISNA(MATCH(548,Engine!$C$2:$C$1960,0)),"",INDEX('Compliance Database'!$G$2:$G$1960,MATCH(548,Engine!$C$2:$C$1960,0)))</f>
        <v/>
      </c>
      <c r="H561" s="9">
        <f>IF(ISNA(MATCH(548,Engine!$C$2:$C$1960,0)),"",INDEX('Compliance Database'!$H$2:$H$1960,MATCH(548,Engine!$C$2:$C$1960,0)))</f>
        <v/>
      </c>
      <c r="I561" s="9">
        <f>IF(ISNA(MATCH(548,Engine!$C$2:$C$1960,0)),"",INDEX('Compliance Database'!$I$2:$I$1960,MATCH(548,Engine!$C$2:$C$1960,0)))</f>
        <v/>
      </c>
      <c r="J561" s="8">
        <f>IF(ISNA(MATCH(548,Engine!$C$2:$C$1960,0)),"",INDEX('Compliance Database'!$J$2:$J$1960,MATCH(548,Engine!$C$2:$C$1960,0)))</f>
        <v/>
      </c>
      <c r="K561" s="9">
        <f>IF(ISNA(MATCH(548,Engine!$C$2:$C$1960,0)),"",INDEX('Compliance Database'!$K$2:$K$1960,MATCH(548,Engine!$C$2:$C$1960,0)))</f>
        <v/>
      </c>
      <c r="L561" s="9">
        <f>IF(ISNA(MATCH(548,Engine!$C$2:$C$1960,0)),"",INDEX('Compliance Database'!$L$2:$L$1960,MATCH(548,Engine!$C$2:$C$1960,0)))</f>
        <v/>
      </c>
      <c r="M561" s="9">
        <f>IF(ISNA(MATCH(548,Engine!$C$2:$C$1960,0)),"",INDEX('Compliance Database'!$M$2:$M$1960,MATCH(548,Engine!$C$2:$C$1960,0)))</f>
        <v/>
      </c>
      <c r="N561" s="9">
        <f>IF(ISNA(MATCH(548,Engine!$C$2:$C$1960,0)),"",INDEX('Compliance Database'!$N$2:$N$1960,MATCH(548,Engine!$C$2:$C$1960,0)))</f>
        <v/>
      </c>
      <c r="O561" s="9">
        <f>IF(ISNA(MATCH(548,Engine!$C$2:$C$1960,0)),"",INDEX('Compliance Database'!$O$2:$O$1960,MATCH(548,Engine!$C$2:$C$1960,0)))</f>
        <v/>
      </c>
      <c r="P561" s="8">
        <f>IF(ISNA(MATCH(548,Engine!$C$2:$C$1960,0)),"",HYPERLINK("#Acts!A"&amp;INDEX('Compliance Database'!$P$2:$P$1960,MATCH(548,Engine!$C$2:$C$1960,0)),"Go to Act"))</f>
        <v/>
      </c>
    </row>
    <row r="562" ht="158" customHeight="1">
      <c r="A562" s="8">
        <f>IF(ISNA(MATCH(549,Engine!$C$2:$C$1960,0)),"",INDEX('Compliance Database'!$A$2:$A$1960,MATCH(549,Engine!$C$2:$C$1960,0)))</f>
        <v/>
      </c>
      <c r="B562" s="8">
        <f>IF(ISNA(MATCH(549,Engine!$C$2:$C$1960,0)),"",INDEX('Compliance Database'!$B$2:$B$1960,MATCH(549,Engine!$C$2:$C$1960,0)))</f>
        <v/>
      </c>
      <c r="C562" s="8">
        <f>IF(ISNA(MATCH(549,Engine!$C$2:$C$1960,0)),"",INDEX('Compliance Database'!$C$2:$C$1960,MATCH(549,Engine!$C$2:$C$1960,0)))</f>
        <v/>
      </c>
      <c r="D562" s="9">
        <f>IF(ISNA(MATCH(549,Engine!$C$2:$C$1960,0)),"",INDEX('Compliance Database'!$D$2:$D$1960,MATCH(549,Engine!$C$2:$C$1960,0)))</f>
        <v/>
      </c>
      <c r="E562" s="8">
        <f>IF(ISNA(MATCH(549,Engine!$C$2:$C$1960,0)),"",INDEX('Compliance Database'!$E$2:$E$1960,MATCH(549,Engine!$C$2:$C$1960,0)))</f>
        <v/>
      </c>
      <c r="F562" s="8">
        <f>IF(ISNA(MATCH(549,Engine!$C$2:$C$1960,0)),"",INDEX('Compliance Database'!$F$2:$F$1960,MATCH(549,Engine!$C$2:$C$1960,0)))</f>
        <v/>
      </c>
      <c r="G562" s="8">
        <f>IF(ISNA(MATCH(549,Engine!$C$2:$C$1960,0)),"",INDEX('Compliance Database'!$G$2:$G$1960,MATCH(549,Engine!$C$2:$C$1960,0)))</f>
        <v/>
      </c>
      <c r="H562" s="9">
        <f>IF(ISNA(MATCH(549,Engine!$C$2:$C$1960,0)),"",INDEX('Compliance Database'!$H$2:$H$1960,MATCH(549,Engine!$C$2:$C$1960,0)))</f>
        <v/>
      </c>
      <c r="I562" s="9">
        <f>IF(ISNA(MATCH(549,Engine!$C$2:$C$1960,0)),"",INDEX('Compliance Database'!$I$2:$I$1960,MATCH(549,Engine!$C$2:$C$1960,0)))</f>
        <v/>
      </c>
      <c r="J562" s="8">
        <f>IF(ISNA(MATCH(549,Engine!$C$2:$C$1960,0)),"",INDEX('Compliance Database'!$J$2:$J$1960,MATCH(549,Engine!$C$2:$C$1960,0)))</f>
        <v/>
      </c>
      <c r="K562" s="9">
        <f>IF(ISNA(MATCH(549,Engine!$C$2:$C$1960,0)),"",INDEX('Compliance Database'!$K$2:$K$1960,MATCH(549,Engine!$C$2:$C$1960,0)))</f>
        <v/>
      </c>
      <c r="L562" s="9">
        <f>IF(ISNA(MATCH(549,Engine!$C$2:$C$1960,0)),"",INDEX('Compliance Database'!$L$2:$L$1960,MATCH(549,Engine!$C$2:$C$1960,0)))</f>
        <v/>
      </c>
      <c r="M562" s="9">
        <f>IF(ISNA(MATCH(549,Engine!$C$2:$C$1960,0)),"",INDEX('Compliance Database'!$M$2:$M$1960,MATCH(549,Engine!$C$2:$C$1960,0)))</f>
        <v/>
      </c>
      <c r="N562" s="9">
        <f>IF(ISNA(MATCH(549,Engine!$C$2:$C$1960,0)),"",INDEX('Compliance Database'!$N$2:$N$1960,MATCH(549,Engine!$C$2:$C$1960,0)))</f>
        <v/>
      </c>
      <c r="O562" s="9">
        <f>IF(ISNA(MATCH(549,Engine!$C$2:$C$1960,0)),"",INDEX('Compliance Database'!$O$2:$O$1960,MATCH(549,Engine!$C$2:$C$1960,0)))</f>
        <v/>
      </c>
      <c r="P562" s="8">
        <f>IF(ISNA(MATCH(549,Engine!$C$2:$C$1960,0)),"",HYPERLINK("#Acts!A"&amp;INDEX('Compliance Database'!$P$2:$P$1960,MATCH(549,Engine!$C$2:$C$1960,0)),"Go to Act"))</f>
        <v/>
      </c>
    </row>
    <row r="563" ht="158" customHeight="1">
      <c r="A563" s="8">
        <f>IF(ISNA(MATCH(550,Engine!$C$2:$C$1960,0)),"",INDEX('Compliance Database'!$A$2:$A$1960,MATCH(550,Engine!$C$2:$C$1960,0)))</f>
        <v/>
      </c>
      <c r="B563" s="8">
        <f>IF(ISNA(MATCH(550,Engine!$C$2:$C$1960,0)),"",INDEX('Compliance Database'!$B$2:$B$1960,MATCH(550,Engine!$C$2:$C$1960,0)))</f>
        <v/>
      </c>
      <c r="C563" s="8">
        <f>IF(ISNA(MATCH(550,Engine!$C$2:$C$1960,0)),"",INDEX('Compliance Database'!$C$2:$C$1960,MATCH(550,Engine!$C$2:$C$1960,0)))</f>
        <v/>
      </c>
      <c r="D563" s="9">
        <f>IF(ISNA(MATCH(550,Engine!$C$2:$C$1960,0)),"",INDEX('Compliance Database'!$D$2:$D$1960,MATCH(550,Engine!$C$2:$C$1960,0)))</f>
        <v/>
      </c>
      <c r="E563" s="8">
        <f>IF(ISNA(MATCH(550,Engine!$C$2:$C$1960,0)),"",INDEX('Compliance Database'!$E$2:$E$1960,MATCH(550,Engine!$C$2:$C$1960,0)))</f>
        <v/>
      </c>
      <c r="F563" s="8">
        <f>IF(ISNA(MATCH(550,Engine!$C$2:$C$1960,0)),"",INDEX('Compliance Database'!$F$2:$F$1960,MATCH(550,Engine!$C$2:$C$1960,0)))</f>
        <v/>
      </c>
      <c r="G563" s="8">
        <f>IF(ISNA(MATCH(550,Engine!$C$2:$C$1960,0)),"",INDEX('Compliance Database'!$G$2:$G$1960,MATCH(550,Engine!$C$2:$C$1960,0)))</f>
        <v/>
      </c>
      <c r="H563" s="9">
        <f>IF(ISNA(MATCH(550,Engine!$C$2:$C$1960,0)),"",INDEX('Compliance Database'!$H$2:$H$1960,MATCH(550,Engine!$C$2:$C$1960,0)))</f>
        <v/>
      </c>
      <c r="I563" s="9">
        <f>IF(ISNA(MATCH(550,Engine!$C$2:$C$1960,0)),"",INDEX('Compliance Database'!$I$2:$I$1960,MATCH(550,Engine!$C$2:$C$1960,0)))</f>
        <v/>
      </c>
      <c r="J563" s="8">
        <f>IF(ISNA(MATCH(550,Engine!$C$2:$C$1960,0)),"",INDEX('Compliance Database'!$J$2:$J$1960,MATCH(550,Engine!$C$2:$C$1960,0)))</f>
        <v/>
      </c>
      <c r="K563" s="9">
        <f>IF(ISNA(MATCH(550,Engine!$C$2:$C$1960,0)),"",INDEX('Compliance Database'!$K$2:$K$1960,MATCH(550,Engine!$C$2:$C$1960,0)))</f>
        <v/>
      </c>
      <c r="L563" s="9">
        <f>IF(ISNA(MATCH(550,Engine!$C$2:$C$1960,0)),"",INDEX('Compliance Database'!$L$2:$L$1960,MATCH(550,Engine!$C$2:$C$1960,0)))</f>
        <v/>
      </c>
      <c r="M563" s="9">
        <f>IF(ISNA(MATCH(550,Engine!$C$2:$C$1960,0)),"",INDEX('Compliance Database'!$M$2:$M$1960,MATCH(550,Engine!$C$2:$C$1960,0)))</f>
        <v/>
      </c>
      <c r="N563" s="9">
        <f>IF(ISNA(MATCH(550,Engine!$C$2:$C$1960,0)),"",INDEX('Compliance Database'!$N$2:$N$1960,MATCH(550,Engine!$C$2:$C$1960,0)))</f>
        <v/>
      </c>
      <c r="O563" s="9">
        <f>IF(ISNA(MATCH(550,Engine!$C$2:$C$1960,0)),"",INDEX('Compliance Database'!$O$2:$O$1960,MATCH(550,Engine!$C$2:$C$1960,0)))</f>
        <v/>
      </c>
      <c r="P563" s="8">
        <f>IF(ISNA(MATCH(550,Engine!$C$2:$C$1960,0)),"",HYPERLINK("#Acts!A"&amp;INDEX('Compliance Database'!$P$2:$P$1960,MATCH(550,Engine!$C$2:$C$1960,0)),"Go to Act"))</f>
        <v/>
      </c>
    </row>
    <row r="564" ht="158" customHeight="1">
      <c r="A564" s="8">
        <f>IF(ISNA(MATCH(551,Engine!$C$2:$C$1960,0)),"",INDEX('Compliance Database'!$A$2:$A$1960,MATCH(551,Engine!$C$2:$C$1960,0)))</f>
        <v/>
      </c>
      <c r="B564" s="8">
        <f>IF(ISNA(MATCH(551,Engine!$C$2:$C$1960,0)),"",INDEX('Compliance Database'!$B$2:$B$1960,MATCH(551,Engine!$C$2:$C$1960,0)))</f>
        <v/>
      </c>
      <c r="C564" s="8">
        <f>IF(ISNA(MATCH(551,Engine!$C$2:$C$1960,0)),"",INDEX('Compliance Database'!$C$2:$C$1960,MATCH(551,Engine!$C$2:$C$1960,0)))</f>
        <v/>
      </c>
      <c r="D564" s="9">
        <f>IF(ISNA(MATCH(551,Engine!$C$2:$C$1960,0)),"",INDEX('Compliance Database'!$D$2:$D$1960,MATCH(551,Engine!$C$2:$C$1960,0)))</f>
        <v/>
      </c>
      <c r="E564" s="8">
        <f>IF(ISNA(MATCH(551,Engine!$C$2:$C$1960,0)),"",INDEX('Compliance Database'!$E$2:$E$1960,MATCH(551,Engine!$C$2:$C$1960,0)))</f>
        <v/>
      </c>
      <c r="F564" s="8">
        <f>IF(ISNA(MATCH(551,Engine!$C$2:$C$1960,0)),"",INDEX('Compliance Database'!$F$2:$F$1960,MATCH(551,Engine!$C$2:$C$1960,0)))</f>
        <v/>
      </c>
      <c r="G564" s="8">
        <f>IF(ISNA(MATCH(551,Engine!$C$2:$C$1960,0)),"",INDEX('Compliance Database'!$G$2:$G$1960,MATCH(551,Engine!$C$2:$C$1960,0)))</f>
        <v/>
      </c>
      <c r="H564" s="9">
        <f>IF(ISNA(MATCH(551,Engine!$C$2:$C$1960,0)),"",INDEX('Compliance Database'!$H$2:$H$1960,MATCH(551,Engine!$C$2:$C$1960,0)))</f>
        <v/>
      </c>
      <c r="I564" s="9">
        <f>IF(ISNA(MATCH(551,Engine!$C$2:$C$1960,0)),"",INDEX('Compliance Database'!$I$2:$I$1960,MATCH(551,Engine!$C$2:$C$1960,0)))</f>
        <v/>
      </c>
      <c r="J564" s="8">
        <f>IF(ISNA(MATCH(551,Engine!$C$2:$C$1960,0)),"",INDEX('Compliance Database'!$J$2:$J$1960,MATCH(551,Engine!$C$2:$C$1960,0)))</f>
        <v/>
      </c>
      <c r="K564" s="9">
        <f>IF(ISNA(MATCH(551,Engine!$C$2:$C$1960,0)),"",INDEX('Compliance Database'!$K$2:$K$1960,MATCH(551,Engine!$C$2:$C$1960,0)))</f>
        <v/>
      </c>
      <c r="L564" s="9">
        <f>IF(ISNA(MATCH(551,Engine!$C$2:$C$1960,0)),"",INDEX('Compliance Database'!$L$2:$L$1960,MATCH(551,Engine!$C$2:$C$1960,0)))</f>
        <v/>
      </c>
      <c r="M564" s="9">
        <f>IF(ISNA(MATCH(551,Engine!$C$2:$C$1960,0)),"",INDEX('Compliance Database'!$M$2:$M$1960,MATCH(551,Engine!$C$2:$C$1960,0)))</f>
        <v/>
      </c>
      <c r="N564" s="9">
        <f>IF(ISNA(MATCH(551,Engine!$C$2:$C$1960,0)),"",INDEX('Compliance Database'!$N$2:$N$1960,MATCH(551,Engine!$C$2:$C$1960,0)))</f>
        <v/>
      </c>
      <c r="O564" s="9">
        <f>IF(ISNA(MATCH(551,Engine!$C$2:$C$1960,0)),"",INDEX('Compliance Database'!$O$2:$O$1960,MATCH(551,Engine!$C$2:$C$1960,0)))</f>
        <v/>
      </c>
      <c r="P564" s="8">
        <f>IF(ISNA(MATCH(551,Engine!$C$2:$C$1960,0)),"",HYPERLINK("#Acts!A"&amp;INDEX('Compliance Database'!$P$2:$P$1960,MATCH(551,Engine!$C$2:$C$1960,0)),"Go to Act"))</f>
        <v/>
      </c>
    </row>
    <row r="565" ht="158" customHeight="1">
      <c r="A565" s="8">
        <f>IF(ISNA(MATCH(552,Engine!$C$2:$C$1960,0)),"",INDEX('Compliance Database'!$A$2:$A$1960,MATCH(552,Engine!$C$2:$C$1960,0)))</f>
        <v/>
      </c>
      <c r="B565" s="8">
        <f>IF(ISNA(MATCH(552,Engine!$C$2:$C$1960,0)),"",INDEX('Compliance Database'!$B$2:$B$1960,MATCH(552,Engine!$C$2:$C$1960,0)))</f>
        <v/>
      </c>
      <c r="C565" s="8">
        <f>IF(ISNA(MATCH(552,Engine!$C$2:$C$1960,0)),"",INDEX('Compliance Database'!$C$2:$C$1960,MATCH(552,Engine!$C$2:$C$1960,0)))</f>
        <v/>
      </c>
      <c r="D565" s="9">
        <f>IF(ISNA(MATCH(552,Engine!$C$2:$C$1960,0)),"",INDEX('Compliance Database'!$D$2:$D$1960,MATCH(552,Engine!$C$2:$C$1960,0)))</f>
        <v/>
      </c>
      <c r="E565" s="8">
        <f>IF(ISNA(MATCH(552,Engine!$C$2:$C$1960,0)),"",INDEX('Compliance Database'!$E$2:$E$1960,MATCH(552,Engine!$C$2:$C$1960,0)))</f>
        <v/>
      </c>
      <c r="F565" s="8">
        <f>IF(ISNA(MATCH(552,Engine!$C$2:$C$1960,0)),"",INDEX('Compliance Database'!$F$2:$F$1960,MATCH(552,Engine!$C$2:$C$1960,0)))</f>
        <v/>
      </c>
      <c r="G565" s="8">
        <f>IF(ISNA(MATCH(552,Engine!$C$2:$C$1960,0)),"",INDEX('Compliance Database'!$G$2:$G$1960,MATCH(552,Engine!$C$2:$C$1960,0)))</f>
        <v/>
      </c>
      <c r="H565" s="9">
        <f>IF(ISNA(MATCH(552,Engine!$C$2:$C$1960,0)),"",INDEX('Compliance Database'!$H$2:$H$1960,MATCH(552,Engine!$C$2:$C$1960,0)))</f>
        <v/>
      </c>
      <c r="I565" s="9">
        <f>IF(ISNA(MATCH(552,Engine!$C$2:$C$1960,0)),"",INDEX('Compliance Database'!$I$2:$I$1960,MATCH(552,Engine!$C$2:$C$1960,0)))</f>
        <v/>
      </c>
      <c r="J565" s="8">
        <f>IF(ISNA(MATCH(552,Engine!$C$2:$C$1960,0)),"",INDEX('Compliance Database'!$J$2:$J$1960,MATCH(552,Engine!$C$2:$C$1960,0)))</f>
        <v/>
      </c>
      <c r="K565" s="9">
        <f>IF(ISNA(MATCH(552,Engine!$C$2:$C$1960,0)),"",INDEX('Compliance Database'!$K$2:$K$1960,MATCH(552,Engine!$C$2:$C$1960,0)))</f>
        <v/>
      </c>
      <c r="L565" s="9">
        <f>IF(ISNA(MATCH(552,Engine!$C$2:$C$1960,0)),"",INDEX('Compliance Database'!$L$2:$L$1960,MATCH(552,Engine!$C$2:$C$1960,0)))</f>
        <v/>
      </c>
      <c r="M565" s="9">
        <f>IF(ISNA(MATCH(552,Engine!$C$2:$C$1960,0)),"",INDEX('Compliance Database'!$M$2:$M$1960,MATCH(552,Engine!$C$2:$C$1960,0)))</f>
        <v/>
      </c>
      <c r="N565" s="9">
        <f>IF(ISNA(MATCH(552,Engine!$C$2:$C$1960,0)),"",INDEX('Compliance Database'!$N$2:$N$1960,MATCH(552,Engine!$C$2:$C$1960,0)))</f>
        <v/>
      </c>
      <c r="O565" s="9">
        <f>IF(ISNA(MATCH(552,Engine!$C$2:$C$1960,0)),"",INDEX('Compliance Database'!$O$2:$O$1960,MATCH(552,Engine!$C$2:$C$1960,0)))</f>
        <v/>
      </c>
      <c r="P565" s="8">
        <f>IF(ISNA(MATCH(552,Engine!$C$2:$C$1960,0)),"",HYPERLINK("#Acts!A"&amp;INDEX('Compliance Database'!$P$2:$P$1960,MATCH(552,Engine!$C$2:$C$1960,0)),"Go to Act"))</f>
        <v/>
      </c>
    </row>
    <row r="566" ht="158" customHeight="1">
      <c r="A566" s="8">
        <f>IF(ISNA(MATCH(553,Engine!$C$2:$C$1960,0)),"",INDEX('Compliance Database'!$A$2:$A$1960,MATCH(553,Engine!$C$2:$C$1960,0)))</f>
        <v/>
      </c>
      <c r="B566" s="8">
        <f>IF(ISNA(MATCH(553,Engine!$C$2:$C$1960,0)),"",INDEX('Compliance Database'!$B$2:$B$1960,MATCH(553,Engine!$C$2:$C$1960,0)))</f>
        <v/>
      </c>
      <c r="C566" s="8">
        <f>IF(ISNA(MATCH(553,Engine!$C$2:$C$1960,0)),"",INDEX('Compliance Database'!$C$2:$C$1960,MATCH(553,Engine!$C$2:$C$1960,0)))</f>
        <v/>
      </c>
      <c r="D566" s="9">
        <f>IF(ISNA(MATCH(553,Engine!$C$2:$C$1960,0)),"",INDEX('Compliance Database'!$D$2:$D$1960,MATCH(553,Engine!$C$2:$C$1960,0)))</f>
        <v/>
      </c>
      <c r="E566" s="8">
        <f>IF(ISNA(MATCH(553,Engine!$C$2:$C$1960,0)),"",INDEX('Compliance Database'!$E$2:$E$1960,MATCH(553,Engine!$C$2:$C$1960,0)))</f>
        <v/>
      </c>
      <c r="F566" s="8">
        <f>IF(ISNA(MATCH(553,Engine!$C$2:$C$1960,0)),"",INDEX('Compliance Database'!$F$2:$F$1960,MATCH(553,Engine!$C$2:$C$1960,0)))</f>
        <v/>
      </c>
      <c r="G566" s="8">
        <f>IF(ISNA(MATCH(553,Engine!$C$2:$C$1960,0)),"",INDEX('Compliance Database'!$G$2:$G$1960,MATCH(553,Engine!$C$2:$C$1960,0)))</f>
        <v/>
      </c>
      <c r="H566" s="9">
        <f>IF(ISNA(MATCH(553,Engine!$C$2:$C$1960,0)),"",INDEX('Compliance Database'!$H$2:$H$1960,MATCH(553,Engine!$C$2:$C$1960,0)))</f>
        <v/>
      </c>
      <c r="I566" s="9">
        <f>IF(ISNA(MATCH(553,Engine!$C$2:$C$1960,0)),"",INDEX('Compliance Database'!$I$2:$I$1960,MATCH(553,Engine!$C$2:$C$1960,0)))</f>
        <v/>
      </c>
      <c r="J566" s="8">
        <f>IF(ISNA(MATCH(553,Engine!$C$2:$C$1960,0)),"",INDEX('Compliance Database'!$J$2:$J$1960,MATCH(553,Engine!$C$2:$C$1960,0)))</f>
        <v/>
      </c>
      <c r="K566" s="9">
        <f>IF(ISNA(MATCH(553,Engine!$C$2:$C$1960,0)),"",INDEX('Compliance Database'!$K$2:$K$1960,MATCH(553,Engine!$C$2:$C$1960,0)))</f>
        <v/>
      </c>
      <c r="L566" s="9">
        <f>IF(ISNA(MATCH(553,Engine!$C$2:$C$1960,0)),"",INDEX('Compliance Database'!$L$2:$L$1960,MATCH(553,Engine!$C$2:$C$1960,0)))</f>
        <v/>
      </c>
      <c r="M566" s="9">
        <f>IF(ISNA(MATCH(553,Engine!$C$2:$C$1960,0)),"",INDEX('Compliance Database'!$M$2:$M$1960,MATCH(553,Engine!$C$2:$C$1960,0)))</f>
        <v/>
      </c>
      <c r="N566" s="9">
        <f>IF(ISNA(MATCH(553,Engine!$C$2:$C$1960,0)),"",INDEX('Compliance Database'!$N$2:$N$1960,MATCH(553,Engine!$C$2:$C$1960,0)))</f>
        <v/>
      </c>
      <c r="O566" s="9">
        <f>IF(ISNA(MATCH(553,Engine!$C$2:$C$1960,0)),"",INDEX('Compliance Database'!$O$2:$O$1960,MATCH(553,Engine!$C$2:$C$1960,0)))</f>
        <v/>
      </c>
      <c r="P566" s="8">
        <f>IF(ISNA(MATCH(553,Engine!$C$2:$C$1960,0)),"",HYPERLINK("#Acts!A"&amp;INDEX('Compliance Database'!$P$2:$P$1960,MATCH(553,Engine!$C$2:$C$1960,0)),"Go to Act"))</f>
        <v/>
      </c>
    </row>
    <row r="567" ht="158" customHeight="1">
      <c r="A567" s="8">
        <f>IF(ISNA(MATCH(554,Engine!$C$2:$C$1960,0)),"",INDEX('Compliance Database'!$A$2:$A$1960,MATCH(554,Engine!$C$2:$C$1960,0)))</f>
        <v/>
      </c>
      <c r="B567" s="8">
        <f>IF(ISNA(MATCH(554,Engine!$C$2:$C$1960,0)),"",INDEX('Compliance Database'!$B$2:$B$1960,MATCH(554,Engine!$C$2:$C$1960,0)))</f>
        <v/>
      </c>
      <c r="C567" s="8">
        <f>IF(ISNA(MATCH(554,Engine!$C$2:$C$1960,0)),"",INDEX('Compliance Database'!$C$2:$C$1960,MATCH(554,Engine!$C$2:$C$1960,0)))</f>
        <v/>
      </c>
      <c r="D567" s="9">
        <f>IF(ISNA(MATCH(554,Engine!$C$2:$C$1960,0)),"",INDEX('Compliance Database'!$D$2:$D$1960,MATCH(554,Engine!$C$2:$C$1960,0)))</f>
        <v/>
      </c>
      <c r="E567" s="8">
        <f>IF(ISNA(MATCH(554,Engine!$C$2:$C$1960,0)),"",INDEX('Compliance Database'!$E$2:$E$1960,MATCH(554,Engine!$C$2:$C$1960,0)))</f>
        <v/>
      </c>
      <c r="F567" s="8">
        <f>IF(ISNA(MATCH(554,Engine!$C$2:$C$1960,0)),"",INDEX('Compliance Database'!$F$2:$F$1960,MATCH(554,Engine!$C$2:$C$1960,0)))</f>
        <v/>
      </c>
      <c r="G567" s="8">
        <f>IF(ISNA(MATCH(554,Engine!$C$2:$C$1960,0)),"",INDEX('Compliance Database'!$G$2:$G$1960,MATCH(554,Engine!$C$2:$C$1960,0)))</f>
        <v/>
      </c>
      <c r="H567" s="9">
        <f>IF(ISNA(MATCH(554,Engine!$C$2:$C$1960,0)),"",INDEX('Compliance Database'!$H$2:$H$1960,MATCH(554,Engine!$C$2:$C$1960,0)))</f>
        <v/>
      </c>
      <c r="I567" s="9">
        <f>IF(ISNA(MATCH(554,Engine!$C$2:$C$1960,0)),"",INDEX('Compliance Database'!$I$2:$I$1960,MATCH(554,Engine!$C$2:$C$1960,0)))</f>
        <v/>
      </c>
      <c r="J567" s="8">
        <f>IF(ISNA(MATCH(554,Engine!$C$2:$C$1960,0)),"",INDEX('Compliance Database'!$J$2:$J$1960,MATCH(554,Engine!$C$2:$C$1960,0)))</f>
        <v/>
      </c>
      <c r="K567" s="9">
        <f>IF(ISNA(MATCH(554,Engine!$C$2:$C$1960,0)),"",INDEX('Compliance Database'!$K$2:$K$1960,MATCH(554,Engine!$C$2:$C$1960,0)))</f>
        <v/>
      </c>
      <c r="L567" s="9">
        <f>IF(ISNA(MATCH(554,Engine!$C$2:$C$1960,0)),"",INDEX('Compliance Database'!$L$2:$L$1960,MATCH(554,Engine!$C$2:$C$1960,0)))</f>
        <v/>
      </c>
      <c r="M567" s="9">
        <f>IF(ISNA(MATCH(554,Engine!$C$2:$C$1960,0)),"",INDEX('Compliance Database'!$M$2:$M$1960,MATCH(554,Engine!$C$2:$C$1960,0)))</f>
        <v/>
      </c>
      <c r="N567" s="9">
        <f>IF(ISNA(MATCH(554,Engine!$C$2:$C$1960,0)),"",INDEX('Compliance Database'!$N$2:$N$1960,MATCH(554,Engine!$C$2:$C$1960,0)))</f>
        <v/>
      </c>
      <c r="O567" s="9">
        <f>IF(ISNA(MATCH(554,Engine!$C$2:$C$1960,0)),"",INDEX('Compliance Database'!$O$2:$O$1960,MATCH(554,Engine!$C$2:$C$1960,0)))</f>
        <v/>
      </c>
      <c r="P567" s="8">
        <f>IF(ISNA(MATCH(554,Engine!$C$2:$C$1960,0)),"",HYPERLINK("#Acts!A"&amp;INDEX('Compliance Database'!$P$2:$P$1960,MATCH(554,Engine!$C$2:$C$1960,0)),"Go to Act"))</f>
        <v/>
      </c>
    </row>
    <row r="568" ht="158" customHeight="1">
      <c r="A568" s="8">
        <f>IF(ISNA(MATCH(555,Engine!$C$2:$C$1960,0)),"",INDEX('Compliance Database'!$A$2:$A$1960,MATCH(555,Engine!$C$2:$C$1960,0)))</f>
        <v/>
      </c>
      <c r="B568" s="8">
        <f>IF(ISNA(MATCH(555,Engine!$C$2:$C$1960,0)),"",INDEX('Compliance Database'!$B$2:$B$1960,MATCH(555,Engine!$C$2:$C$1960,0)))</f>
        <v/>
      </c>
      <c r="C568" s="8">
        <f>IF(ISNA(MATCH(555,Engine!$C$2:$C$1960,0)),"",INDEX('Compliance Database'!$C$2:$C$1960,MATCH(555,Engine!$C$2:$C$1960,0)))</f>
        <v/>
      </c>
      <c r="D568" s="9">
        <f>IF(ISNA(MATCH(555,Engine!$C$2:$C$1960,0)),"",INDEX('Compliance Database'!$D$2:$D$1960,MATCH(555,Engine!$C$2:$C$1960,0)))</f>
        <v/>
      </c>
      <c r="E568" s="8">
        <f>IF(ISNA(MATCH(555,Engine!$C$2:$C$1960,0)),"",INDEX('Compliance Database'!$E$2:$E$1960,MATCH(555,Engine!$C$2:$C$1960,0)))</f>
        <v/>
      </c>
      <c r="F568" s="8">
        <f>IF(ISNA(MATCH(555,Engine!$C$2:$C$1960,0)),"",INDEX('Compliance Database'!$F$2:$F$1960,MATCH(555,Engine!$C$2:$C$1960,0)))</f>
        <v/>
      </c>
      <c r="G568" s="8">
        <f>IF(ISNA(MATCH(555,Engine!$C$2:$C$1960,0)),"",INDEX('Compliance Database'!$G$2:$G$1960,MATCH(555,Engine!$C$2:$C$1960,0)))</f>
        <v/>
      </c>
      <c r="H568" s="9">
        <f>IF(ISNA(MATCH(555,Engine!$C$2:$C$1960,0)),"",INDEX('Compliance Database'!$H$2:$H$1960,MATCH(555,Engine!$C$2:$C$1960,0)))</f>
        <v/>
      </c>
      <c r="I568" s="9">
        <f>IF(ISNA(MATCH(555,Engine!$C$2:$C$1960,0)),"",INDEX('Compliance Database'!$I$2:$I$1960,MATCH(555,Engine!$C$2:$C$1960,0)))</f>
        <v/>
      </c>
      <c r="J568" s="8">
        <f>IF(ISNA(MATCH(555,Engine!$C$2:$C$1960,0)),"",INDEX('Compliance Database'!$J$2:$J$1960,MATCH(555,Engine!$C$2:$C$1960,0)))</f>
        <v/>
      </c>
      <c r="K568" s="9">
        <f>IF(ISNA(MATCH(555,Engine!$C$2:$C$1960,0)),"",INDEX('Compliance Database'!$K$2:$K$1960,MATCH(555,Engine!$C$2:$C$1960,0)))</f>
        <v/>
      </c>
      <c r="L568" s="9">
        <f>IF(ISNA(MATCH(555,Engine!$C$2:$C$1960,0)),"",INDEX('Compliance Database'!$L$2:$L$1960,MATCH(555,Engine!$C$2:$C$1960,0)))</f>
        <v/>
      </c>
      <c r="M568" s="9">
        <f>IF(ISNA(MATCH(555,Engine!$C$2:$C$1960,0)),"",INDEX('Compliance Database'!$M$2:$M$1960,MATCH(555,Engine!$C$2:$C$1960,0)))</f>
        <v/>
      </c>
      <c r="N568" s="9">
        <f>IF(ISNA(MATCH(555,Engine!$C$2:$C$1960,0)),"",INDEX('Compliance Database'!$N$2:$N$1960,MATCH(555,Engine!$C$2:$C$1960,0)))</f>
        <v/>
      </c>
      <c r="O568" s="9">
        <f>IF(ISNA(MATCH(555,Engine!$C$2:$C$1960,0)),"",INDEX('Compliance Database'!$O$2:$O$1960,MATCH(555,Engine!$C$2:$C$1960,0)))</f>
        <v/>
      </c>
      <c r="P568" s="8">
        <f>IF(ISNA(MATCH(555,Engine!$C$2:$C$1960,0)),"",HYPERLINK("#Acts!A"&amp;INDEX('Compliance Database'!$P$2:$P$1960,MATCH(555,Engine!$C$2:$C$1960,0)),"Go to Act"))</f>
        <v/>
      </c>
    </row>
    <row r="569" ht="158" customHeight="1">
      <c r="A569" s="8">
        <f>IF(ISNA(MATCH(556,Engine!$C$2:$C$1960,0)),"",INDEX('Compliance Database'!$A$2:$A$1960,MATCH(556,Engine!$C$2:$C$1960,0)))</f>
        <v/>
      </c>
      <c r="B569" s="8">
        <f>IF(ISNA(MATCH(556,Engine!$C$2:$C$1960,0)),"",INDEX('Compliance Database'!$B$2:$B$1960,MATCH(556,Engine!$C$2:$C$1960,0)))</f>
        <v/>
      </c>
      <c r="C569" s="8">
        <f>IF(ISNA(MATCH(556,Engine!$C$2:$C$1960,0)),"",INDEX('Compliance Database'!$C$2:$C$1960,MATCH(556,Engine!$C$2:$C$1960,0)))</f>
        <v/>
      </c>
      <c r="D569" s="9">
        <f>IF(ISNA(MATCH(556,Engine!$C$2:$C$1960,0)),"",INDEX('Compliance Database'!$D$2:$D$1960,MATCH(556,Engine!$C$2:$C$1960,0)))</f>
        <v/>
      </c>
      <c r="E569" s="8">
        <f>IF(ISNA(MATCH(556,Engine!$C$2:$C$1960,0)),"",INDEX('Compliance Database'!$E$2:$E$1960,MATCH(556,Engine!$C$2:$C$1960,0)))</f>
        <v/>
      </c>
      <c r="F569" s="8">
        <f>IF(ISNA(MATCH(556,Engine!$C$2:$C$1960,0)),"",INDEX('Compliance Database'!$F$2:$F$1960,MATCH(556,Engine!$C$2:$C$1960,0)))</f>
        <v/>
      </c>
      <c r="G569" s="8">
        <f>IF(ISNA(MATCH(556,Engine!$C$2:$C$1960,0)),"",INDEX('Compliance Database'!$G$2:$G$1960,MATCH(556,Engine!$C$2:$C$1960,0)))</f>
        <v/>
      </c>
      <c r="H569" s="9">
        <f>IF(ISNA(MATCH(556,Engine!$C$2:$C$1960,0)),"",INDEX('Compliance Database'!$H$2:$H$1960,MATCH(556,Engine!$C$2:$C$1960,0)))</f>
        <v/>
      </c>
      <c r="I569" s="9">
        <f>IF(ISNA(MATCH(556,Engine!$C$2:$C$1960,0)),"",INDEX('Compliance Database'!$I$2:$I$1960,MATCH(556,Engine!$C$2:$C$1960,0)))</f>
        <v/>
      </c>
      <c r="J569" s="8">
        <f>IF(ISNA(MATCH(556,Engine!$C$2:$C$1960,0)),"",INDEX('Compliance Database'!$J$2:$J$1960,MATCH(556,Engine!$C$2:$C$1960,0)))</f>
        <v/>
      </c>
      <c r="K569" s="9">
        <f>IF(ISNA(MATCH(556,Engine!$C$2:$C$1960,0)),"",INDEX('Compliance Database'!$K$2:$K$1960,MATCH(556,Engine!$C$2:$C$1960,0)))</f>
        <v/>
      </c>
      <c r="L569" s="9">
        <f>IF(ISNA(MATCH(556,Engine!$C$2:$C$1960,0)),"",INDEX('Compliance Database'!$L$2:$L$1960,MATCH(556,Engine!$C$2:$C$1960,0)))</f>
        <v/>
      </c>
      <c r="M569" s="9">
        <f>IF(ISNA(MATCH(556,Engine!$C$2:$C$1960,0)),"",INDEX('Compliance Database'!$M$2:$M$1960,MATCH(556,Engine!$C$2:$C$1960,0)))</f>
        <v/>
      </c>
      <c r="N569" s="9">
        <f>IF(ISNA(MATCH(556,Engine!$C$2:$C$1960,0)),"",INDEX('Compliance Database'!$N$2:$N$1960,MATCH(556,Engine!$C$2:$C$1960,0)))</f>
        <v/>
      </c>
      <c r="O569" s="9">
        <f>IF(ISNA(MATCH(556,Engine!$C$2:$C$1960,0)),"",INDEX('Compliance Database'!$O$2:$O$1960,MATCH(556,Engine!$C$2:$C$1960,0)))</f>
        <v/>
      </c>
      <c r="P569" s="8">
        <f>IF(ISNA(MATCH(556,Engine!$C$2:$C$1960,0)),"",HYPERLINK("#Acts!A"&amp;INDEX('Compliance Database'!$P$2:$P$1960,MATCH(556,Engine!$C$2:$C$1960,0)),"Go to Act"))</f>
        <v/>
      </c>
    </row>
    <row r="570" ht="158" customHeight="1">
      <c r="A570" s="8">
        <f>IF(ISNA(MATCH(557,Engine!$C$2:$C$1960,0)),"",INDEX('Compliance Database'!$A$2:$A$1960,MATCH(557,Engine!$C$2:$C$1960,0)))</f>
        <v/>
      </c>
      <c r="B570" s="8">
        <f>IF(ISNA(MATCH(557,Engine!$C$2:$C$1960,0)),"",INDEX('Compliance Database'!$B$2:$B$1960,MATCH(557,Engine!$C$2:$C$1960,0)))</f>
        <v/>
      </c>
      <c r="C570" s="8">
        <f>IF(ISNA(MATCH(557,Engine!$C$2:$C$1960,0)),"",INDEX('Compliance Database'!$C$2:$C$1960,MATCH(557,Engine!$C$2:$C$1960,0)))</f>
        <v/>
      </c>
      <c r="D570" s="9">
        <f>IF(ISNA(MATCH(557,Engine!$C$2:$C$1960,0)),"",INDEX('Compliance Database'!$D$2:$D$1960,MATCH(557,Engine!$C$2:$C$1960,0)))</f>
        <v/>
      </c>
      <c r="E570" s="8">
        <f>IF(ISNA(MATCH(557,Engine!$C$2:$C$1960,0)),"",INDEX('Compliance Database'!$E$2:$E$1960,MATCH(557,Engine!$C$2:$C$1960,0)))</f>
        <v/>
      </c>
      <c r="F570" s="8">
        <f>IF(ISNA(MATCH(557,Engine!$C$2:$C$1960,0)),"",INDEX('Compliance Database'!$F$2:$F$1960,MATCH(557,Engine!$C$2:$C$1960,0)))</f>
        <v/>
      </c>
      <c r="G570" s="8">
        <f>IF(ISNA(MATCH(557,Engine!$C$2:$C$1960,0)),"",INDEX('Compliance Database'!$G$2:$G$1960,MATCH(557,Engine!$C$2:$C$1960,0)))</f>
        <v/>
      </c>
      <c r="H570" s="9">
        <f>IF(ISNA(MATCH(557,Engine!$C$2:$C$1960,0)),"",INDEX('Compliance Database'!$H$2:$H$1960,MATCH(557,Engine!$C$2:$C$1960,0)))</f>
        <v/>
      </c>
      <c r="I570" s="9">
        <f>IF(ISNA(MATCH(557,Engine!$C$2:$C$1960,0)),"",INDEX('Compliance Database'!$I$2:$I$1960,MATCH(557,Engine!$C$2:$C$1960,0)))</f>
        <v/>
      </c>
      <c r="J570" s="8">
        <f>IF(ISNA(MATCH(557,Engine!$C$2:$C$1960,0)),"",INDEX('Compliance Database'!$J$2:$J$1960,MATCH(557,Engine!$C$2:$C$1960,0)))</f>
        <v/>
      </c>
      <c r="K570" s="9">
        <f>IF(ISNA(MATCH(557,Engine!$C$2:$C$1960,0)),"",INDEX('Compliance Database'!$K$2:$K$1960,MATCH(557,Engine!$C$2:$C$1960,0)))</f>
        <v/>
      </c>
      <c r="L570" s="9">
        <f>IF(ISNA(MATCH(557,Engine!$C$2:$C$1960,0)),"",INDEX('Compliance Database'!$L$2:$L$1960,MATCH(557,Engine!$C$2:$C$1960,0)))</f>
        <v/>
      </c>
      <c r="M570" s="9">
        <f>IF(ISNA(MATCH(557,Engine!$C$2:$C$1960,0)),"",INDEX('Compliance Database'!$M$2:$M$1960,MATCH(557,Engine!$C$2:$C$1960,0)))</f>
        <v/>
      </c>
      <c r="N570" s="9">
        <f>IF(ISNA(MATCH(557,Engine!$C$2:$C$1960,0)),"",INDEX('Compliance Database'!$N$2:$N$1960,MATCH(557,Engine!$C$2:$C$1960,0)))</f>
        <v/>
      </c>
      <c r="O570" s="9">
        <f>IF(ISNA(MATCH(557,Engine!$C$2:$C$1960,0)),"",INDEX('Compliance Database'!$O$2:$O$1960,MATCH(557,Engine!$C$2:$C$1960,0)))</f>
        <v/>
      </c>
      <c r="P570" s="8">
        <f>IF(ISNA(MATCH(557,Engine!$C$2:$C$1960,0)),"",HYPERLINK("#Acts!A"&amp;INDEX('Compliance Database'!$P$2:$P$1960,MATCH(557,Engine!$C$2:$C$1960,0)),"Go to Act"))</f>
        <v/>
      </c>
    </row>
    <row r="571" ht="158" customHeight="1">
      <c r="A571" s="8">
        <f>IF(ISNA(MATCH(558,Engine!$C$2:$C$1960,0)),"",INDEX('Compliance Database'!$A$2:$A$1960,MATCH(558,Engine!$C$2:$C$1960,0)))</f>
        <v/>
      </c>
      <c r="B571" s="8">
        <f>IF(ISNA(MATCH(558,Engine!$C$2:$C$1960,0)),"",INDEX('Compliance Database'!$B$2:$B$1960,MATCH(558,Engine!$C$2:$C$1960,0)))</f>
        <v/>
      </c>
      <c r="C571" s="8">
        <f>IF(ISNA(MATCH(558,Engine!$C$2:$C$1960,0)),"",INDEX('Compliance Database'!$C$2:$C$1960,MATCH(558,Engine!$C$2:$C$1960,0)))</f>
        <v/>
      </c>
      <c r="D571" s="9">
        <f>IF(ISNA(MATCH(558,Engine!$C$2:$C$1960,0)),"",INDEX('Compliance Database'!$D$2:$D$1960,MATCH(558,Engine!$C$2:$C$1960,0)))</f>
        <v/>
      </c>
      <c r="E571" s="8">
        <f>IF(ISNA(MATCH(558,Engine!$C$2:$C$1960,0)),"",INDEX('Compliance Database'!$E$2:$E$1960,MATCH(558,Engine!$C$2:$C$1960,0)))</f>
        <v/>
      </c>
      <c r="F571" s="8">
        <f>IF(ISNA(MATCH(558,Engine!$C$2:$C$1960,0)),"",INDEX('Compliance Database'!$F$2:$F$1960,MATCH(558,Engine!$C$2:$C$1960,0)))</f>
        <v/>
      </c>
      <c r="G571" s="8">
        <f>IF(ISNA(MATCH(558,Engine!$C$2:$C$1960,0)),"",INDEX('Compliance Database'!$G$2:$G$1960,MATCH(558,Engine!$C$2:$C$1960,0)))</f>
        <v/>
      </c>
      <c r="H571" s="9">
        <f>IF(ISNA(MATCH(558,Engine!$C$2:$C$1960,0)),"",INDEX('Compliance Database'!$H$2:$H$1960,MATCH(558,Engine!$C$2:$C$1960,0)))</f>
        <v/>
      </c>
      <c r="I571" s="9">
        <f>IF(ISNA(MATCH(558,Engine!$C$2:$C$1960,0)),"",INDEX('Compliance Database'!$I$2:$I$1960,MATCH(558,Engine!$C$2:$C$1960,0)))</f>
        <v/>
      </c>
      <c r="J571" s="8">
        <f>IF(ISNA(MATCH(558,Engine!$C$2:$C$1960,0)),"",INDEX('Compliance Database'!$J$2:$J$1960,MATCH(558,Engine!$C$2:$C$1960,0)))</f>
        <v/>
      </c>
      <c r="K571" s="9">
        <f>IF(ISNA(MATCH(558,Engine!$C$2:$C$1960,0)),"",INDEX('Compliance Database'!$K$2:$K$1960,MATCH(558,Engine!$C$2:$C$1960,0)))</f>
        <v/>
      </c>
      <c r="L571" s="9">
        <f>IF(ISNA(MATCH(558,Engine!$C$2:$C$1960,0)),"",INDEX('Compliance Database'!$L$2:$L$1960,MATCH(558,Engine!$C$2:$C$1960,0)))</f>
        <v/>
      </c>
      <c r="M571" s="9">
        <f>IF(ISNA(MATCH(558,Engine!$C$2:$C$1960,0)),"",INDEX('Compliance Database'!$M$2:$M$1960,MATCH(558,Engine!$C$2:$C$1960,0)))</f>
        <v/>
      </c>
      <c r="N571" s="9">
        <f>IF(ISNA(MATCH(558,Engine!$C$2:$C$1960,0)),"",INDEX('Compliance Database'!$N$2:$N$1960,MATCH(558,Engine!$C$2:$C$1960,0)))</f>
        <v/>
      </c>
      <c r="O571" s="9">
        <f>IF(ISNA(MATCH(558,Engine!$C$2:$C$1960,0)),"",INDEX('Compliance Database'!$O$2:$O$1960,MATCH(558,Engine!$C$2:$C$1960,0)))</f>
        <v/>
      </c>
      <c r="P571" s="8">
        <f>IF(ISNA(MATCH(558,Engine!$C$2:$C$1960,0)),"",HYPERLINK("#Acts!A"&amp;INDEX('Compliance Database'!$P$2:$P$1960,MATCH(558,Engine!$C$2:$C$1960,0)),"Go to Act"))</f>
        <v/>
      </c>
    </row>
    <row r="572" ht="158" customHeight="1">
      <c r="A572" s="8">
        <f>IF(ISNA(MATCH(559,Engine!$C$2:$C$1960,0)),"",INDEX('Compliance Database'!$A$2:$A$1960,MATCH(559,Engine!$C$2:$C$1960,0)))</f>
        <v/>
      </c>
      <c r="B572" s="8">
        <f>IF(ISNA(MATCH(559,Engine!$C$2:$C$1960,0)),"",INDEX('Compliance Database'!$B$2:$B$1960,MATCH(559,Engine!$C$2:$C$1960,0)))</f>
        <v/>
      </c>
      <c r="C572" s="8">
        <f>IF(ISNA(MATCH(559,Engine!$C$2:$C$1960,0)),"",INDEX('Compliance Database'!$C$2:$C$1960,MATCH(559,Engine!$C$2:$C$1960,0)))</f>
        <v/>
      </c>
      <c r="D572" s="9">
        <f>IF(ISNA(MATCH(559,Engine!$C$2:$C$1960,0)),"",INDEX('Compliance Database'!$D$2:$D$1960,MATCH(559,Engine!$C$2:$C$1960,0)))</f>
        <v/>
      </c>
      <c r="E572" s="8">
        <f>IF(ISNA(MATCH(559,Engine!$C$2:$C$1960,0)),"",INDEX('Compliance Database'!$E$2:$E$1960,MATCH(559,Engine!$C$2:$C$1960,0)))</f>
        <v/>
      </c>
      <c r="F572" s="8">
        <f>IF(ISNA(MATCH(559,Engine!$C$2:$C$1960,0)),"",INDEX('Compliance Database'!$F$2:$F$1960,MATCH(559,Engine!$C$2:$C$1960,0)))</f>
        <v/>
      </c>
      <c r="G572" s="8">
        <f>IF(ISNA(MATCH(559,Engine!$C$2:$C$1960,0)),"",INDEX('Compliance Database'!$G$2:$G$1960,MATCH(559,Engine!$C$2:$C$1960,0)))</f>
        <v/>
      </c>
      <c r="H572" s="9">
        <f>IF(ISNA(MATCH(559,Engine!$C$2:$C$1960,0)),"",INDEX('Compliance Database'!$H$2:$H$1960,MATCH(559,Engine!$C$2:$C$1960,0)))</f>
        <v/>
      </c>
      <c r="I572" s="9">
        <f>IF(ISNA(MATCH(559,Engine!$C$2:$C$1960,0)),"",INDEX('Compliance Database'!$I$2:$I$1960,MATCH(559,Engine!$C$2:$C$1960,0)))</f>
        <v/>
      </c>
      <c r="J572" s="8">
        <f>IF(ISNA(MATCH(559,Engine!$C$2:$C$1960,0)),"",INDEX('Compliance Database'!$J$2:$J$1960,MATCH(559,Engine!$C$2:$C$1960,0)))</f>
        <v/>
      </c>
      <c r="K572" s="9">
        <f>IF(ISNA(MATCH(559,Engine!$C$2:$C$1960,0)),"",INDEX('Compliance Database'!$K$2:$K$1960,MATCH(559,Engine!$C$2:$C$1960,0)))</f>
        <v/>
      </c>
      <c r="L572" s="9">
        <f>IF(ISNA(MATCH(559,Engine!$C$2:$C$1960,0)),"",INDEX('Compliance Database'!$L$2:$L$1960,MATCH(559,Engine!$C$2:$C$1960,0)))</f>
        <v/>
      </c>
      <c r="M572" s="9">
        <f>IF(ISNA(MATCH(559,Engine!$C$2:$C$1960,0)),"",INDEX('Compliance Database'!$M$2:$M$1960,MATCH(559,Engine!$C$2:$C$1960,0)))</f>
        <v/>
      </c>
      <c r="N572" s="9">
        <f>IF(ISNA(MATCH(559,Engine!$C$2:$C$1960,0)),"",INDEX('Compliance Database'!$N$2:$N$1960,MATCH(559,Engine!$C$2:$C$1960,0)))</f>
        <v/>
      </c>
      <c r="O572" s="9">
        <f>IF(ISNA(MATCH(559,Engine!$C$2:$C$1960,0)),"",INDEX('Compliance Database'!$O$2:$O$1960,MATCH(559,Engine!$C$2:$C$1960,0)))</f>
        <v/>
      </c>
      <c r="P572" s="8">
        <f>IF(ISNA(MATCH(559,Engine!$C$2:$C$1960,0)),"",HYPERLINK("#Acts!A"&amp;INDEX('Compliance Database'!$P$2:$P$1960,MATCH(559,Engine!$C$2:$C$1960,0)),"Go to Act"))</f>
        <v/>
      </c>
    </row>
    <row r="573" ht="158" customHeight="1">
      <c r="A573" s="8">
        <f>IF(ISNA(MATCH(560,Engine!$C$2:$C$1960,0)),"",INDEX('Compliance Database'!$A$2:$A$1960,MATCH(560,Engine!$C$2:$C$1960,0)))</f>
        <v/>
      </c>
      <c r="B573" s="8">
        <f>IF(ISNA(MATCH(560,Engine!$C$2:$C$1960,0)),"",INDEX('Compliance Database'!$B$2:$B$1960,MATCH(560,Engine!$C$2:$C$1960,0)))</f>
        <v/>
      </c>
      <c r="C573" s="8">
        <f>IF(ISNA(MATCH(560,Engine!$C$2:$C$1960,0)),"",INDEX('Compliance Database'!$C$2:$C$1960,MATCH(560,Engine!$C$2:$C$1960,0)))</f>
        <v/>
      </c>
      <c r="D573" s="9">
        <f>IF(ISNA(MATCH(560,Engine!$C$2:$C$1960,0)),"",INDEX('Compliance Database'!$D$2:$D$1960,MATCH(560,Engine!$C$2:$C$1960,0)))</f>
        <v/>
      </c>
      <c r="E573" s="8">
        <f>IF(ISNA(MATCH(560,Engine!$C$2:$C$1960,0)),"",INDEX('Compliance Database'!$E$2:$E$1960,MATCH(560,Engine!$C$2:$C$1960,0)))</f>
        <v/>
      </c>
      <c r="F573" s="8">
        <f>IF(ISNA(MATCH(560,Engine!$C$2:$C$1960,0)),"",INDEX('Compliance Database'!$F$2:$F$1960,MATCH(560,Engine!$C$2:$C$1960,0)))</f>
        <v/>
      </c>
      <c r="G573" s="8">
        <f>IF(ISNA(MATCH(560,Engine!$C$2:$C$1960,0)),"",INDEX('Compliance Database'!$G$2:$G$1960,MATCH(560,Engine!$C$2:$C$1960,0)))</f>
        <v/>
      </c>
      <c r="H573" s="9">
        <f>IF(ISNA(MATCH(560,Engine!$C$2:$C$1960,0)),"",INDEX('Compliance Database'!$H$2:$H$1960,MATCH(560,Engine!$C$2:$C$1960,0)))</f>
        <v/>
      </c>
      <c r="I573" s="9">
        <f>IF(ISNA(MATCH(560,Engine!$C$2:$C$1960,0)),"",INDEX('Compliance Database'!$I$2:$I$1960,MATCH(560,Engine!$C$2:$C$1960,0)))</f>
        <v/>
      </c>
      <c r="J573" s="8">
        <f>IF(ISNA(MATCH(560,Engine!$C$2:$C$1960,0)),"",INDEX('Compliance Database'!$J$2:$J$1960,MATCH(560,Engine!$C$2:$C$1960,0)))</f>
        <v/>
      </c>
      <c r="K573" s="9">
        <f>IF(ISNA(MATCH(560,Engine!$C$2:$C$1960,0)),"",INDEX('Compliance Database'!$K$2:$K$1960,MATCH(560,Engine!$C$2:$C$1960,0)))</f>
        <v/>
      </c>
      <c r="L573" s="9">
        <f>IF(ISNA(MATCH(560,Engine!$C$2:$C$1960,0)),"",INDEX('Compliance Database'!$L$2:$L$1960,MATCH(560,Engine!$C$2:$C$1960,0)))</f>
        <v/>
      </c>
      <c r="M573" s="9">
        <f>IF(ISNA(MATCH(560,Engine!$C$2:$C$1960,0)),"",INDEX('Compliance Database'!$M$2:$M$1960,MATCH(560,Engine!$C$2:$C$1960,0)))</f>
        <v/>
      </c>
      <c r="N573" s="9">
        <f>IF(ISNA(MATCH(560,Engine!$C$2:$C$1960,0)),"",INDEX('Compliance Database'!$N$2:$N$1960,MATCH(560,Engine!$C$2:$C$1960,0)))</f>
        <v/>
      </c>
      <c r="O573" s="9">
        <f>IF(ISNA(MATCH(560,Engine!$C$2:$C$1960,0)),"",INDEX('Compliance Database'!$O$2:$O$1960,MATCH(560,Engine!$C$2:$C$1960,0)))</f>
        <v/>
      </c>
      <c r="P573" s="8">
        <f>IF(ISNA(MATCH(560,Engine!$C$2:$C$1960,0)),"",HYPERLINK("#Acts!A"&amp;INDEX('Compliance Database'!$P$2:$P$1960,MATCH(560,Engine!$C$2:$C$1960,0)),"Go to Act"))</f>
        <v/>
      </c>
    </row>
    <row r="574" ht="158" customHeight="1">
      <c r="A574" s="8">
        <f>IF(ISNA(MATCH(561,Engine!$C$2:$C$1960,0)),"",INDEX('Compliance Database'!$A$2:$A$1960,MATCH(561,Engine!$C$2:$C$1960,0)))</f>
        <v/>
      </c>
      <c r="B574" s="8">
        <f>IF(ISNA(MATCH(561,Engine!$C$2:$C$1960,0)),"",INDEX('Compliance Database'!$B$2:$B$1960,MATCH(561,Engine!$C$2:$C$1960,0)))</f>
        <v/>
      </c>
      <c r="C574" s="8">
        <f>IF(ISNA(MATCH(561,Engine!$C$2:$C$1960,0)),"",INDEX('Compliance Database'!$C$2:$C$1960,MATCH(561,Engine!$C$2:$C$1960,0)))</f>
        <v/>
      </c>
      <c r="D574" s="9">
        <f>IF(ISNA(MATCH(561,Engine!$C$2:$C$1960,0)),"",INDEX('Compliance Database'!$D$2:$D$1960,MATCH(561,Engine!$C$2:$C$1960,0)))</f>
        <v/>
      </c>
      <c r="E574" s="8">
        <f>IF(ISNA(MATCH(561,Engine!$C$2:$C$1960,0)),"",INDEX('Compliance Database'!$E$2:$E$1960,MATCH(561,Engine!$C$2:$C$1960,0)))</f>
        <v/>
      </c>
      <c r="F574" s="8">
        <f>IF(ISNA(MATCH(561,Engine!$C$2:$C$1960,0)),"",INDEX('Compliance Database'!$F$2:$F$1960,MATCH(561,Engine!$C$2:$C$1960,0)))</f>
        <v/>
      </c>
      <c r="G574" s="8">
        <f>IF(ISNA(MATCH(561,Engine!$C$2:$C$1960,0)),"",INDEX('Compliance Database'!$G$2:$G$1960,MATCH(561,Engine!$C$2:$C$1960,0)))</f>
        <v/>
      </c>
      <c r="H574" s="9">
        <f>IF(ISNA(MATCH(561,Engine!$C$2:$C$1960,0)),"",INDEX('Compliance Database'!$H$2:$H$1960,MATCH(561,Engine!$C$2:$C$1960,0)))</f>
        <v/>
      </c>
      <c r="I574" s="9">
        <f>IF(ISNA(MATCH(561,Engine!$C$2:$C$1960,0)),"",INDEX('Compliance Database'!$I$2:$I$1960,MATCH(561,Engine!$C$2:$C$1960,0)))</f>
        <v/>
      </c>
      <c r="J574" s="8">
        <f>IF(ISNA(MATCH(561,Engine!$C$2:$C$1960,0)),"",INDEX('Compliance Database'!$J$2:$J$1960,MATCH(561,Engine!$C$2:$C$1960,0)))</f>
        <v/>
      </c>
      <c r="K574" s="9">
        <f>IF(ISNA(MATCH(561,Engine!$C$2:$C$1960,0)),"",INDEX('Compliance Database'!$K$2:$K$1960,MATCH(561,Engine!$C$2:$C$1960,0)))</f>
        <v/>
      </c>
      <c r="L574" s="9">
        <f>IF(ISNA(MATCH(561,Engine!$C$2:$C$1960,0)),"",INDEX('Compliance Database'!$L$2:$L$1960,MATCH(561,Engine!$C$2:$C$1960,0)))</f>
        <v/>
      </c>
      <c r="M574" s="9">
        <f>IF(ISNA(MATCH(561,Engine!$C$2:$C$1960,0)),"",INDEX('Compliance Database'!$M$2:$M$1960,MATCH(561,Engine!$C$2:$C$1960,0)))</f>
        <v/>
      </c>
      <c r="N574" s="9">
        <f>IF(ISNA(MATCH(561,Engine!$C$2:$C$1960,0)),"",INDEX('Compliance Database'!$N$2:$N$1960,MATCH(561,Engine!$C$2:$C$1960,0)))</f>
        <v/>
      </c>
      <c r="O574" s="9">
        <f>IF(ISNA(MATCH(561,Engine!$C$2:$C$1960,0)),"",INDEX('Compliance Database'!$O$2:$O$1960,MATCH(561,Engine!$C$2:$C$1960,0)))</f>
        <v/>
      </c>
      <c r="P574" s="8">
        <f>IF(ISNA(MATCH(561,Engine!$C$2:$C$1960,0)),"",HYPERLINK("#Acts!A"&amp;INDEX('Compliance Database'!$P$2:$P$1960,MATCH(561,Engine!$C$2:$C$1960,0)),"Go to Act"))</f>
        <v/>
      </c>
    </row>
    <row r="575" ht="158" customHeight="1">
      <c r="A575" s="8">
        <f>IF(ISNA(MATCH(562,Engine!$C$2:$C$1960,0)),"",INDEX('Compliance Database'!$A$2:$A$1960,MATCH(562,Engine!$C$2:$C$1960,0)))</f>
        <v/>
      </c>
      <c r="B575" s="8">
        <f>IF(ISNA(MATCH(562,Engine!$C$2:$C$1960,0)),"",INDEX('Compliance Database'!$B$2:$B$1960,MATCH(562,Engine!$C$2:$C$1960,0)))</f>
        <v/>
      </c>
      <c r="C575" s="8">
        <f>IF(ISNA(MATCH(562,Engine!$C$2:$C$1960,0)),"",INDEX('Compliance Database'!$C$2:$C$1960,MATCH(562,Engine!$C$2:$C$1960,0)))</f>
        <v/>
      </c>
      <c r="D575" s="9">
        <f>IF(ISNA(MATCH(562,Engine!$C$2:$C$1960,0)),"",INDEX('Compliance Database'!$D$2:$D$1960,MATCH(562,Engine!$C$2:$C$1960,0)))</f>
        <v/>
      </c>
      <c r="E575" s="8">
        <f>IF(ISNA(MATCH(562,Engine!$C$2:$C$1960,0)),"",INDEX('Compliance Database'!$E$2:$E$1960,MATCH(562,Engine!$C$2:$C$1960,0)))</f>
        <v/>
      </c>
      <c r="F575" s="8">
        <f>IF(ISNA(MATCH(562,Engine!$C$2:$C$1960,0)),"",INDEX('Compliance Database'!$F$2:$F$1960,MATCH(562,Engine!$C$2:$C$1960,0)))</f>
        <v/>
      </c>
      <c r="G575" s="8">
        <f>IF(ISNA(MATCH(562,Engine!$C$2:$C$1960,0)),"",INDEX('Compliance Database'!$G$2:$G$1960,MATCH(562,Engine!$C$2:$C$1960,0)))</f>
        <v/>
      </c>
      <c r="H575" s="9">
        <f>IF(ISNA(MATCH(562,Engine!$C$2:$C$1960,0)),"",INDEX('Compliance Database'!$H$2:$H$1960,MATCH(562,Engine!$C$2:$C$1960,0)))</f>
        <v/>
      </c>
      <c r="I575" s="9">
        <f>IF(ISNA(MATCH(562,Engine!$C$2:$C$1960,0)),"",INDEX('Compliance Database'!$I$2:$I$1960,MATCH(562,Engine!$C$2:$C$1960,0)))</f>
        <v/>
      </c>
      <c r="J575" s="8">
        <f>IF(ISNA(MATCH(562,Engine!$C$2:$C$1960,0)),"",INDEX('Compliance Database'!$J$2:$J$1960,MATCH(562,Engine!$C$2:$C$1960,0)))</f>
        <v/>
      </c>
      <c r="K575" s="9">
        <f>IF(ISNA(MATCH(562,Engine!$C$2:$C$1960,0)),"",INDEX('Compliance Database'!$K$2:$K$1960,MATCH(562,Engine!$C$2:$C$1960,0)))</f>
        <v/>
      </c>
      <c r="L575" s="9">
        <f>IF(ISNA(MATCH(562,Engine!$C$2:$C$1960,0)),"",INDEX('Compliance Database'!$L$2:$L$1960,MATCH(562,Engine!$C$2:$C$1960,0)))</f>
        <v/>
      </c>
      <c r="M575" s="9">
        <f>IF(ISNA(MATCH(562,Engine!$C$2:$C$1960,0)),"",INDEX('Compliance Database'!$M$2:$M$1960,MATCH(562,Engine!$C$2:$C$1960,0)))</f>
        <v/>
      </c>
      <c r="N575" s="9">
        <f>IF(ISNA(MATCH(562,Engine!$C$2:$C$1960,0)),"",INDEX('Compliance Database'!$N$2:$N$1960,MATCH(562,Engine!$C$2:$C$1960,0)))</f>
        <v/>
      </c>
      <c r="O575" s="9">
        <f>IF(ISNA(MATCH(562,Engine!$C$2:$C$1960,0)),"",INDEX('Compliance Database'!$O$2:$O$1960,MATCH(562,Engine!$C$2:$C$1960,0)))</f>
        <v/>
      </c>
      <c r="P575" s="8">
        <f>IF(ISNA(MATCH(562,Engine!$C$2:$C$1960,0)),"",HYPERLINK("#Acts!A"&amp;INDEX('Compliance Database'!$P$2:$P$1960,MATCH(562,Engine!$C$2:$C$1960,0)),"Go to Act"))</f>
        <v/>
      </c>
    </row>
    <row r="576" ht="158" customHeight="1">
      <c r="A576" s="8">
        <f>IF(ISNA(MATCH(563,Engine!$C$2:$C$1960,0)),"",INDEX('Compliance Database'!$A$2:$A$1960,MATCH(563,Engine!$C$2:$C$1960,0)))</f>
        <v/>
      </c>
      <c r="B576" s="8">
        <f>IF(ISNA(MATCH(563,Engine!$C$2:$C$1960,0)),"",INDEX('Compliance Database'!$B$2:$B$1960,MATCH(563,Engine!$C$2:$C$1960,0)))</f>
        <v/>
      </c>
      <c r="C576" s="8">
        <f>IF(ISNA(MATCH(563,Engine!$C$2:$C$1960,0)),"",INDEX('Compliance Database'!$C$2:$C$1960,MATCH(563,Engine!$C$2:$C$1960,0)))</f>
        <v/>
      </c>
      <c r="D576" s="9">
        <f>IF(ISNA(MATCH(563,Engine!$C$2:$C$1960,0)),"",INDEX('Compliance Database'!$D$2:$D$1960,MATCH(563,Engine!$C$2:$C$1960,0)))</f>
        <v/>
      </c>
      <c r="E576" s="8">
        <f>IF(ISNA(MATCH(563,Engine!$C$2:$C$1960,0)),"",INDEX('Compliance Database'!$E$2:$E$1960,MATCH(563,Engine!$C$2:$C$1960,0)))</f>
        <v/>
      </c>
      <c r="F576" s="8">
        <f>IF(ISNA(MATCH(563,Engine!$C$2:$C$1960,0)),"",INDEX('Compliance Database'!$F$2:$F$1960,MATCH(563,Engine!$C$2:$C$1960,0)))</f>
        <v/>
      </c>
      <c r="G576" s="8">
        <f>IF(ISNA(MATCH(563,Engine!$C$2:$C$1960,0)),"",INDEX('Compliance Database'!$G$2:$G$1960,MATCH(563,Engine!$C$2:$C$1960,0)))</f>
        <v/>
      </c>
      <c r="H576" s="9">
        <f>IF(ISNA(MATCH(563,Engine!$C$2:$C$1960,0)),"",INDEX('Compliance Database'!$H$2:$H$1960,MATCH(563,Engine!$C$2:$C$1960,0)))</f>
        <v/>
      </c>
      <c r="I576" s="9">
        <f>IF(ISNA(MATCH(563,Engine!$C$2:$C$1960,0)),"",INDEX('Compliance Database'!$I$2:$I$1960,MATCH(563,Engine!$C$2:$C$1960,0)))</f>
        <v/>
      </c>
      <c r="J576" s="8">
        <f>IF(ISNA(MATCH(563,Engine!$C$2:$C$1960,0)),"",INDEX('Compliance Database'!$J$2:$J$1960,MATCH(563,Engine!$C$2:$C$1960,0)))</f>
        <v/>
      </c>
      <c r="K576" s="9">
        <f>IF(ISNA(MATCH(563,Engine!$C$2:$C$1960,0)),"",INDEX('Compliance Database'!$K$2:$K$1960,MATCH(563,Engine!$C$2:$C$1960,0)))</f>
        <v/>
      </c>
      <c r="L576" s="9">
        <f>IF(ISNA(MATCH(563,Engine!$C$2:$C$1960,0)),"",INDEX('Compliance Database'!$L$2:$L$1960,MATCH(563,Engine!$C$2:$C$1960,0)))</f>
        <v/>
      </c>
      <c r="M576" s="9">
        <f>IF(ISNA(MATCH(563,Engine!$C$2:$C$1960,0)),"",INDEX('Compliance Database'!$M$2:$M$1960,MATCH(563,Engine!$C$2:$C$1960,0)))</f>
        <v/>
      </c>
      <c r="N576" s="9">
        <f>IF(ISNA(MATCH(563,Engine!$C$2:$C$1960,0)),"",INDEX('Compliance Database'!$N$2:$N$1960,MATCH(563,Engine!$C$2:$C$1960,0)))</f>
        <v/>
      </c>
      <c r="O576" s="9">
        <f>IF(ISNA(MATCH(563,Engine!$C$2:$C$1960,0)),"",INDEX('Compliance Database'!$O$2:$O$1960,MATCH(563,Engine!$C$2:$C$1960,0)))</f>
        <v/>
      </c>
      <c r="P576" s="8">
        <f>IF(ISNA(MATCH(563,Engine!$C$2:$C$1960,0)),"",HYPERLINK("#Acts!A"&amp;INDEX('Compliance Database'!$P$2:$P$1960,MATCH(563,Engine!$C$2:$C$1960,0)),"Go to Act"))</f>
        <v/>
      </c>
    </row>
    <row r="577" ht="158" customHeight="1">
      <c r="A577" s="8">
        <f>IF(ISNA(MATCH(564,Engine!$C$2:$C$1960,0)),"",INDEX('Compliance Database'!$A$2:$A$1960,MATCH(564,Engine!$C$2:$C$1960,0)))</f>
        <v/>
      </c>
      <c r="B577" s="8">
        <f>IF(ISNA(MATCH(564,Engine!$C$2:$C$1960,0)),"",INDEX('Compliance Database'!$B$2:$B$1960,MATCH(564,Engine!$C$2:$C$1960,0)))</f>
        <v/>
      </c>
      <c r="C577" s="8">
        <f>IF(ISNA(MATCH(564,Engine!$C$2:$C$1960,0)),"",INDEX('Compliance Database'!$C$2:$C$1960,MATCH(564,Engine!$C$2:$C$1960,0)))</f>
        <v/>
      </c>
      <c r="D577" s="9">
        <f>IF(ISNA(MATCH(564,Engine!$C$2:$C$1960,0)),"",INDEX('Compliance Database'!$D$2:$D$1960,MATCH(564,Engine!$C$2:$C$1960,0)))</f>
        <v/>
      </c>
      <c r="E577" s="8">
        <f>IF(ISNA(MATCH(564,Engine!$C$2:$C$1960,0)),"",INDEX('Compliance Database'!$E$2:$E$1960,MATCH(564,Engine!$C$2:$C$1960,0)))</f>
        <v/>
      </c>
      <c r="F577" s="8">
        <f>IF(ISNA(MATCH(564,Engine!$C$2:$C$1960,0)),"",INDEX('Compliance Database'!$F$2:$F$1960,MATCH(564,Engine!$C$2:$C$1960,0)))</f>
        <v/>
      </c>
      <c r="G577" s="8">
        <f>IF(ISNA(MATCH(564,Engine!$C$2:$C$1960,0)),"",INDEX('Compliance Database'!$G$2:$G$1960,MATCH(564,Engine!$C$2:$C$1960,0)))</f>
        <v/>
      </c>
      <c r="H577" s="9">
        <f>IF(ISNA(MATCH(564,Engine!$C$2:$C$1960,0)),"",INDEX('Compliance Database'!$H$2:$H$1960,MATCH(564,Engine!$C$2:$C$1960,0)))</f>
        <v/>
      </c>
      <c r="I577" s="9">
        <f>IF(ISNA(MATCH(564,Engine!$C$2:$C$1960,0)),"",INDEX('Compliance Database'!$I$2:$I$1960,MATCH(564,Engine!$C$2:$C$1960,0)))</f>
        <v/>
      </c>
      <c r="J577" s="8">
        <f>IF(ISNA(MATCH(564,Engine!$C$2:$C$1960,0)),"",INDEX('Compliance Database'!$J$2:$J$1960,MATCH(564,Engine!$C$2:$C$1960,0)))</f>
        <v/>
      </c>
      <c r="K577" s="9">
        <f>IF(ISNA(MATCH(564,Engine!$C$2:$C$1960,0)),"",INDEX('Compliance Database'!$K$2:$K$1960,MATCH(564,Engine!$C$2:$C$1960,0)))</f>
        <v/>
      </c>
      <c r="L577" s="9">
        <f>IF(ISNA(MATCH(564,Engine!$C$2:$C$1960,0)),"",INDEX('Compliance Database'!$L$2:$L$1960,MATCH(564,Engine!$C$2:$C$1960,0)))</f>
        <v/>
      </c>
      <c r="M577" s="9">
        <f>IF(ISNA(MATCH(564,Engine!$C$2:$C$1960,0)),"",INDEX('Compliance Database'!$M$2:$M$1960,MATCH(564,Engine!$C$2:$C$1960,0)))</f>
        <v/>
      </c>
      <c r="N577" s="9">
        <f>IF(ISNA(MATCH(564,Engine!$C$2:$C$1960,0)),"",INDEX('Compliance Database'!$N$2:$N$1960,MATCH(564,Engine!$C$2:$C$1960,0)))</f>
        <v/>
      </c>
      <c r="O577" s="9">
        <f>IF(ISNA(MATCH(564,Engine!$C$2:$C$1960,0)),"",INDEX('Compliance Database'!$O$2:$O$1960,MATCH(564,Engine!$C$2:$C$1960,0)))</f>
        <v/>
      </c>
      <c r="P577" s="8">
        <f>IF(ISNA(MATCH(564,Engine!$C$2:$C$1960,0)),"",HYPERLINK("#Acts!A"&amp;INDEX('Compliance Database'!$P$2:$P$1960,MATCH(564,Engine!$C$2:$C$1960,0)),"Go to Act"))</f>
        <v/>
      </c>
    </row>
    <row r="578" ht="158" customHeight="1">
      <c r="A578" s="8">
        <f>IF(ISNA(MATCH(565,Engine!$C$2:$C$1960,0)),"",INDEX('Compliance Database'!$A$2:$A$1960,MATCH(565,Engine!$C$2:$C$1960,0)))</f>
        <v/>
      </c>
      <c r="B578" s="8">
        <f>IF(ISNA(MATCH(565,Engine!$C$2:$C$1960,0)),"",INDEX('Compliance Database'!$B$2:$B$1960,MATCH(565,Engine!$C$2:$C$1960,0)))</f>
        <v/>
      </c>
      <c r="C578" s="8">
        <f>IF(ISNA(MATCH(565,Engine!$C$2:$C$1960,0)),"",INDEX('Compliance Database'!$C$2:$C$1960,MATCH(565,Engine!$C$2:$C$1960,0)))</f>
        <v/>
      </c>
      <c r="D578" s="9">
        <f>IF(ISNA(MATCH(565,Engine!$C$2:$C$1960,0)),"",INDEX('Compliance Database'!$D$2:$D$1960,MATCH(565,Engine!$C$2:$C$1960,0)))</f>
        <v/>
      </c>
      <c r="E578" s="8">
        <f>IF(ISNA(MATCH(565,Engine!$C$2:$C$1960,0)),"",INDEX('Compliance Database'!$E$2:$E$1960,MATCH(565,Engine!$C$2:$C$1960,0)))</f>
        <v/>
      </c>
      <c r="F578" s="8">
        <f>IF(ISNA(MATCH(565,Engine!$C$2:$C$1960,0)),"",INDEX('Compliance Database'!$F$2:$F$1960,MATCH(565,Engine!$C$2:$C$1960,0)))</f>
        <v/>
      </c>
      <c r="G578" s="8">
        <f>IF(ISNA(MATCH(565,Engine!$C$2:$C$1960,0)),"",INDEX('Compliance Database'!$G$2:$G$1960,MATCH(565,Engine!$C$2:$C$1960,0)))</f>
        <v/>
      </c>
      <c r="H578" s="9">
        <f>IF(ISNA(MATCH(565,Engine!$C$2:$C$1960,0)),"",INDEX('Compliance Database'!$H$2:$H$1960,MATCH(565,Engine!$C$2:$C$1960,0)))</f>
        <v/>
      </c>
      <c r="I578" s="9">
        <f>IF(ISNA(MATCH(565,Engine!$C$2:$C$1960,0)),"",INDEX('Compliance Database'!$I$2:$I$1960,MATCH(565,Engine!$C$2:$C$1960,0)))</f>
        <v/>
      </c>
      <c r="J578" s="8">
        <f>IF(ISNA(MATCH(565,Engine!$C$2:$C$1960,0)),"",INDEX('Compliance Database'!$J$2:$J$1960,MATCH(565,Engine!$C$2:$C$1960,0)))</f>
        <v/>
      </c>
      <c r="K578" s="9">
        <f>IF(ISNA(MATCH(565,Engine!$C$2:$C$1960,0)),"",INDEX('Compliance Database'!$K$2:$K$1960,MATCH(565,Engine!$C$2:$C$1960,0)))</f>
        <v/>
      </c>
      <c r="L578" s="9">
        <f>IF(ISNA(MATCH(565,Engine!$C$2:$C$1960,0)),"",INDEX('Compliance Database'!$L$2:$L$1960,MATCH(565,Engine!$C$2:$C$1960,0)))</f>
        <v/>
      </c>
      <c r="M578" s="9">
        <f>IF(ISNA(MATCH(565,Engine!$C$2:$C$1960,0)),"",INDEX('Compliance Database'!$M$2:$M$1960,MATCH(565,Engine!$C$2:$C$1960,0)))</f>
        <v/>
      </c>
      <c r="N578" s="9">
        <f>IF(ISNA(MATCH(565,Engine!$C$2:$C$1960,0)),"",INDEX('Compliance Database'!$N$2:$N$1960,MATCH(565,Engine!$C$2:$C$1960,0)))</f>
        <v/>
      </c>
      <c r="O578" s="9">
        <f>IF(ISNA(MATCH(565,Engine!$C$2:$C$1960,0)),"",INDEX('Compliance Database'!$O$2:$O$1960,MATCH(565,Engine!$C$2:$C$1960,0)))</f>
        <v/>
      </c>
      <c r="P578" s="8">
        <f>IF(ISNA(MATCH(565,Engine!$C$2:$C$1960,0)),"",HYPERLINK("#Acts!A"&amp;INDEX('Compliance Database'!$P$2:$P$1960,MATCH(565,Engine!$C$2:$C$1960,0)),"Go to Act"))</f>
        <v/>
      </c>
    </row>
    <row r="579" ht="158" customHeight="1">
      <c r="A579" s="8">
        <f>IF(ISNA(MATCH(566,Engine!$C$2:$C$1960,0)),"",INDEX('Compliance Database'!$A$2:$A$1960,MATCH(566,Engine!$C$2:$C$1960,0)))</f>
        <v/>
      </c>
      <c r="B579" s="8">
        <f>IF(ISNA(MATCH(566,Engine!$C$2:$C$1960,0)),"",INDEX('Compliance Database'!$B$2:$B$1960,MATCH(566,Engine!$C$2:$C$1960,0)))</f>
        <v/>
      </c>
      <c r="C579" s="8">
        <f>IF(ISNA(MATCH(566,Engine!$C$2:$C$1960,0)),"",INDEX('Compliance Database'!$C$2:$C$1960,MATCH(566,Engine!$C$2:$C$1960,0)))</f>
        <v/>
      </c>
      <c r="D579" s="9">
        <f>IF(ISNA(MATCH(566,Engine!$C$2:$C$1960,0)),"",INDEX('Compliance Database'!$D$2:$D$1960,MATCH(566,Engine!$C$2:$C$1960,0)))</f>
        <v/>
      </c>
      <c r="E579" s="8">
        <f>IF(ISNA(MATCH(566,Engine!$C$2:$C$1960,0)),"",INDEX('Compliance Database'!$E$2:$E$1960,MATCH(566,Engine!$C$2:$C$1960,0)))</f>
        <v/>
      </c>
      <c r="F579" s="8">
        <f>IF(ISNA(MATCH(566,Engine!$C$2:$C$1960,0)),"",INDEX('Compliance Database'!$F$2:$F$1960,MATCH(566,Engine!$C$2:$C$1960,0)))</f>
        <v/>
      </c>
      <c r="G579" s="8">
        <f>IF(ISNA(MATCH(566,Engine!$C$2:$C$1960,0)),"",INDEX('Compliance Database'!$G$2:$G$1960,MATCH(566,Engine!$C$2:$C$1960,0)))</f>
        <v/>
      </c>
      <c r="H579" s="9">
        <f>IF(ISNA(MATCH(566,Engine!$C$2:$C$1960,0)),"",INDEX('Compliance Database'!$H$2:$H$1960,MATCH(566,Engine!$C$2:$C$1960,0)))</f>
        <v/>
      </c>
      <c r="I579" s="9">
        <f>IF(ISNA(MATCH(566,Engine!$C$2:$C$1960,0)),"",INDEX('Compliance Database'!$I$2:$I$1960,MATCH(566,Engine!$C$2:$C$1960,0)))</f>
        <v/>
      </c>
      <c r="J579" s="8">
        <f>IF(ISNA(MATCH(566,Engine!$C$2:$C$1960,0)),"",INDEX('Compliance Database'!$J$2:$J$1960,MATCH(566,Engine!$C$2:$C$1960,0)))</f>
        <v/>
      </c>
      <c r="K579" s="9">
        <f>IF(ISNA(MATCH(566,Engine!$C$2:$C$1960,0)),"",INDEX('Compliance Database'!$K$2:$K$1960,MATCH(566,Engine!$C$2:$C$1960,0)))</f>
        <v/>
      </c>
      <c r="L579" s="9">
        <f>IF(ISNA(MATCH(566,Engine!$C$2:$C$1960,0)),"",INDEX('Compliance Database'!$L$2:$L$1960,MATCH(566,Engine!$C$2:$C$1960,0)))</f>
        <v/>
      </c>
      <c r="M579" s="9">
        <f>IF(ISNA(MATCH(566,Engine!$C$2:$C$1960,0)),"",INDEX('Compliance Database'!$M$2:$M$1960,MATCH(566,Engine!$C$2:$C$1960,0)))</f>
        <v/>
      </c>
      <c r="N579" s="9">
        <f>IF(ISNA(MATCH(566,Engine!$C$2:$C$1960,0)),"",INDEX('Compliance Database'!$N$2:$N$1960,MATCH(566,Engine!$C$2:$C$1960,0)))</f>
        <v/>
      </c>
      <c r="O579" s="9">
        <f>IF(ISNA(MATCH(566,Engine!$C$2:$C$1960,0)),"",INDEX('Compliance Database'!$O$2:$O$1960,MATCH(566,Engine!$C$2:$C$1960,0)))</f>
        <v/>
      </c>
      <c r="P579" s="8">
        <f>IF(ISNA(MATCH(566,Engine!$C$2:$C$1960,0)),"",HYPERLINK("#Acts!A"&amp;INDEX('Compliance Database'!$P$2:$P$1960,MATCH(566,Engine!$C$2:$C$1960,0)),"Go to Act"))</f>
        <v/>
      </c>
    </row>
    <row r="580" ht="158" customHeight="1">
      <c r="A580" s="8">
        <f>IF(ISNA(MATCH(567,Engine!$C$2:$C$1960,0)),"",INDEX('Compliance Database'!$A$2:$A$1960,MATCH(567,Engine!$C$2:$C$1960,0)))</f>
        <v/>
      </c>
      <c r="B580" s="8">
        <f>IF(ISNA(MATCH(567,Engine!$C$2:$C$1960,0)),"",INDEX('Compliance Database'!$B$2:$B$1960,MATCH(567,Engine!$C$2:$C$1960,0)))</f>
        <v/>
      </c>
      <c r="C580" s="8">
        <f>IF(ISNA(MATCH(567,Engine!$C$2:$C$1960,0)),"",INDEX('Compliance Database'!$C$2:$C$1960,MATCH(567,Engine!$C$2:$C$1960,0)))</f>
        <v/>
      </c>
      <c r="D580" s="9">
        <f>IF(ISNA(MATCH(567,Engine!$C$2:$C$1960,0)),"",INDEX('Compliance Database'!$D$2:$D$1960,MATCH(567,Engine!$C$2:$C$1960,0)))</f>
        <v/>
      </c>
      <c r="E580" s="8">
        <f>IF(ISNA(MATCH(567,Engine!$C$2:$C$1960,0)),"",INDEX('Compliance Database'!$E$2:$E$1960,MATCH(567,Engine!$C$2:$C$1960,0)))</f>
        <v/>
      </c>
      <c r="F580" s="8">
        <f>IF(ISNA(MATCH(567,Engine!$C$2:$C$1960,0)),"",INDEX('Compliance Database'!$F$2:$F$1960,MATCH(567,Engine!$C$2:$C$1960,0)))</f>
        <v/>
      </c>
      <c r="G580" s="8">
        <f>IF(ISNA(MATCH(567,Engine!$C$2:$C$1960,0)),"",INDEX('Compliance Database'!$G$2:$G$1960,MATCH(567,Engine!$C$2:$C$1960,0)))</f>
        <v/>
      </c>
      <c r="H580" s="9">
        <f>IF(ISNA(MATCH(567,Engine!$C$2:$C$1960,0)),"",INDEX('Compliance Database'!$H$2:$H$1960,MATCH(567,Engine!$C$2:$C$1960,0)))</f>
        <v/>
      </c>
      <c r="I580" s="9">
        <f>IF(ISNA(MATCH(567,Engine!$C$2:$C$1960,0)),"",INDEX('Compliance Database'!$I$2:$I$1960,MATCH(567,Engine!$C$2:$C$1960,0)))</f>
        <v/>
      </c>
      <c r="J580" s="8">
        <f>IF(ISNA(MATCH(567,Engine!$C$2:$C$1960,0)),"",INDEX('Compliance Database'!$J$2:$J$1960,MATCH(567,Engine!$C$2:$C$1960,0)))</f>
        <v/>
      </c>
      <c r="K580" s="9">
        <f>IF(ISNA(MATCH(567,Engine!$C$2:$C$1960,0)),"",INDEX('Compliance Database'!$K$2:$K$1960,MATCH(567,Engine!$C$2:$C$1960,0)))</f>
        <v/>
      </c>
      <c r="L580" s="9">
        <f>IF(ISNA(MATCH(567,Engine!$C$2:$C$1960,0)),"",INDEX('Compliance Database'!$L$2:$L$1960,MATCH(567,Engine!$C$2:$C$1960,0)))</f>
        <v/>
      </c>
      <c r="M580" s="9">
        <f>IF(ISNA(MATCH(567,Engine!$C$2:$C$1960,0)),"",INDEX('Compliance Database'!$M$2:$M$1960,MATCH(567,Engine!$C$2:$C$1960,0)))</f>
        <v/>
      </c>
      <c r="N580" s="9">
        <f>IF(ISNA(MATCH(567,Engine!$C$2:$C$1960,0)),"",INDEX('Compliance Database'!$N$2:$N$1960,MATCH(567,Engine!$C$2:$C$1960,0)))</f>
        <v/>
      </c>
      <c r="O580" s="9">
        <f>IF(ISNA(MATCH(567,Engine!$C$2:$C$1960,0)),"",INDEX('Compliance Database'!$O$2:$O$1960,MATCH(567,Engine!$C$2:$C$1960,0)))</f>
        <v/>
      </c>
      <c r="P580" s="8">
        <f>IF(ISNA(MATCH(567,Engine!$C$2:$C$1960,0)),"",HYPERLINK("#Acts!A"&amp;INDEX('Compliance Database'!$P$2:$P$1960,MATCH(567,Engine!$C$2:$C$1960,0)),"Go to Act"))</f>
        <v/>
      </c>
    </row>
    <row r="581" ht="158" customHeight="1">
      <c r="A581" s="8">
        <f>IF(ISNA(MATCH(568,Engine!$C$2:$C$1960,0)),"",INDEX('Compliance Database'!$A$2:$A$1960,MATCH(568,Engine!$C$2:$C$1960,0)))</f>
        <v/>
      </c>
      <c r="B581" s="8">
        <f>IF(ISNA(MATCH(568,Engine!$C$2:$C$1960,0)),"",INDEX('Compliance Database'!$B$2:$B$1960,MATCH(568,Engine!$C$2:$C$1960,0)))</f>
        <v/>
      </c>
      <c r="C581" s="8">
        <f>IF(ISNA(MATCH(568,Engine!$C$2:$C$1960,0)),"",INDEX('Compliance Database'!$C$2:$C$1960,MATCH(568,Engine!$C$2:$C$1960,0)))</f>
        <v/>
      </c>
      <c r="D581" s="9">
        <f>IF(ISNA(MATCH(568,Engine!$C$2:$C$1960,0)),"",INDEX('Compliance Database'!$D$2:$D$1960,MATCH(568,Engine!$C$2:$C$1960,0)))</f>
        <v/>
      </c>
      <c r="E581" s="8">
        <f>IF(ISNA(MATCH(568,Engine!$C$2:$C$1960,0)),"",INDEX('Compliance Database'!$E$2:$E$1960,MATCH(568,Engine!$C$2:$C$1960,0)))</f>
        <v/>
      </c>
      <c r="F581" s="8">
        <f>IF(ISNA(MATCH(568,Engine!$C$2:$C$1960,0)),"",INDEX('Compliance Database'!$F$2:$F$1960,MATCH(568,Engine!$C$2:$C$1960,0)))</f>
        <v/>
      </c>
      <c r="G581" s="8">
        <f>IF(ISNA(MATCH(568,Engine!$C$2:$C$1960,0)),"",INDEX('Compliance Database'!$G$2:$G$1960,MATCH(568,Engine!$C$2:$C$1960,0)))</f>
        <v/>
      </c>
      <c r="H581" s="9">
        <f>IF(ISNA(MATCH(568,Engine!$C$2:$C$1960,0)),"",INDEX('Compliance Database'!$H$2:$H$1960,MATCH(568,Engine!$C$2:$C$1960,0)))</f>
        <v/>
      </c>
      <c r="I581" s="9">
        <f>IF(ISNA(MATCH(568,Engine!$C$2:$C$1960,0)),"",INDEX('Compliance Database'!$I$2:$I$1960,MATCH(568,Engine!$C$2:$C$1960,0)))</f>
        <v/>
      </c>
      <c r="J581" s="8">
        <f>IF(ISNA(MATCH(568,Engine!$C$2:$C$1960,0)),"",INDEX('Compliance Database'!$J$2:$J$1960,MATCH(568,Engine!$C$2:$C$1960,0)))</f>
        <v/>
      </c>
      <c r="K581" s="9">
        <f>IF(ISNA(MATCH(568,Engine!$C$2:$C$1960,0)),"",INDEX('Compliance Database'!$K$2:$K$1960,MATCH(568,Engine!$C$2:$C$1960,0)))</f>
        <v/>
      </c>
      <c r="L581" s="9">
        <f>IF(ISNA(MATCH(568,Engine!$C$2:$C$1960,0)),"",INDEX('Compliance Database'!$L$2:$L$1960,MATCH(568,Engine!$C$2:$C$1960,0)))</f>
        <v/>
      </c>
      <c r="M581" s="9">
        <f>IF(ISNA(MATCH(568,Engine!$C$2:$C$1960,0)),"",INDEX('Compliance Database'!$M$2:$M$1960,MATCH(568,Engine!$C$2:$C$1960,0)))</f>
        <v/>
      </c>
      <c r="N581" s="9">
        <f>IF(ISNA(MATCH(568,Engine!$C$2:$C$1960,0)),"",INDEX('Compliance Database'!$N$2:$N$1960,MATCH(568,Engine!$C$2:$C$1960,0)))</f>
        <v/>
      </c>
      <c r="O581" s="9">
        <f>IF(ISNA(MATCH(568,Engine!$C$2:$C$1960,0)),"",INDEX('Compliance Database'!$O$2:$O$1960,MATCH(568,Engine!$C$2:$C$1960,0)))</f>
        <v/>
      </c>
      <c r="P581" s="8">
        <f>IF(ISNA(MATCH(568,Engine!$C$2:$C$1960,0)),"",HYPERLINK("#Acts!A"&amp;INDEX('Compliance Database'!$P$2:$P$1960,MATCH(568,Engine!$C$2:$C$1960,0)),"Go to Act"))</f>
        <v/>
      </c>
    </row>
    <row r="582" ht="158" customHeight="1">
      <c r="A582" s="8">
        <f>IF(ISNA(MATCH(569,Engine!$C$2:$C$1960,0)),"",INDEX('Compliance Database'!$A$2:$A$1960,MATCH(569,Engine!$C$2:$C$1960,0)))</f>
        <v/>
      </c>
      <c r="B582" s="8">
        <f>IF(ISNA(MATCH(569,Engine!$C$2:$C$1960,0)),"",INDEX('Compliance Database'!$B$2:$B$1960,MATCH(569,Engine!$C$2:$C$1960,0)))</f>
        <v/>
      </c>
      <c r="C582" s="8">
        <f>IF(ISNA(MATCH(569,Engine!$C$2:$C$1960,0)),"",INDEX('Compliance Database'!$C$2:$C$1960,MATCH(569,Engine!$C$2:$C$1960,0)))</f>
        <v/>
      </c>
      <c r="D582" s="9">
        <f>IF(ISNA(MATCH(569,Engine!$C$2:$C$1960,0)),"",INDEX('Compliance Database'!$D$2:$D$1960,MATCH(569,Engine!$C$2:$C$1960,0)))</f>
        <v/>
      </c>
      <c r="E582" s="8">
        <f>IF(ISNA(MATCH(569,Engine!$C$2:$C$1960,0)),"",INDEX('Compliance Database'!$E$2:$E$1960,MATCH(569,Engine!$C$2:$C$1960,0)))</f>
        <v/>
      </c>
      <c r="F582" s="8">
        <f>IF(ISNA(MATCH(569,Engine!$C$2:$C$1960,0)),"",INDEX('Compliance Database'!$F$2:$F$1960,MATCH(569,Engine!$C$2:$C$1960,0)))</f>
        <v/>
      </c>
      <c r="G582" s="8">
        <f>IF(ISNA(MATCH(569,Engine!$C$2:$C$1960,0)),"",INDEX('Compliance Database'!$G$2:$G$1960,MATCH(569,Engine!$C$2:$C$1960,0)))</f>
        <v/>
      </c>
      <c r="H582" s="9">
        <f>IF(ISNA(MATCH(569,Engine!$C$2:$C$1960,0)),"",INDEX('Compliance Database'!$H$2:$H$1960,MATCH(569,Engine!$C$2:$C$1960,0)))</f>
        <v/>
      </c>
      <c r="I582" s="9">
        <f>IF(ISNA(MATCH(569,Engine!$C$2:$C$1960,0)),"",INDEX('Compliance Database'!$I$2:$I$1960,MATCH(569,Engine!$C$2:$C$1960,0)))</f>
        <v/>
      </c>
      <c r="J582" s="8">
        <f>IF(ISNA(MATCH(569,Engine!$C$2:$C$1960,0)),"",INDEX('Compliance Database'!$J$2:$J$1960,MATCH(569,Engine!$C$2:$C$1960,0)))</f>
        <v/>
      </c>
      <c r="K582" s="9">
        <f>IF(ISNA(MATCH(569,Engine!$C$2:$C$1960,0)),"",INDEX('Compliance Database'!$K$2:$K$1960,MATCH(569,Engine!$C$2:$C$1960,0)))</f>
        <v/>
      </c>
      <c r="L582" s="9">
        <f>IF(ISNA(MATCH(569,Engine!$C$2:$C$1960,0)),"",INDEX('Compliance Database'!$L$2:$L$1960,MATCH(569,Engine!$C$2:$C$1960,0)))</f>
        <v/>
      </c>
      <c r="M582" s="9">
        <f>IF(ISNA(MATCH(569,Engine!$C$2:$C$1960,0)),"",INDEX('Compliance Database'!$M$2:$M$1960,MATCH(569,Engine!$C$2:$C$1960,0)))</f>
        <v/>
      </c>
      <c r="N582" s="9">
        <f>IF(ISNA(MATCH(569,Engine!$C$2:$C$1960,0)),"",INDEX('Compliance Database'!$N$2:$N$1960,MATCH(569,Engine!$C$2:$C$1960,0)))</f>
        <v/>
      </c>
      <c r="O582" s="9">
        <f>IF(ISNA(MATCH(569,Engine!$C$2:$C$1960,0)),"",INDEX('Compliance Database'!$O$2:$O$1960,MATCH(569,Engine!$C$2:$C$1960,0)))</f>
        <v/>
      </c>
      <c r="P582" s="8">
        <f>IF(ISNA(MATCH(569,Engine!$C$2:$C$1960,0)),"",HYPERLINK("#Acts!A"&amp;INDEX('Compliance Database'!$P$2:$P$1960,MATCH(569,Engine!$C$2:$C$1960,0)),"Go to Act"))</f>
        <v/>
      </c>
    </row>
    <row r="583" ht="158" customHeight="1">
      <c r="A583" s="8">
        <f>IF(ISNA(MATCH(570,Engine!$C$2:$C$1960,0)),"",INDEX('Compliance Database'!$A$2:$A$1960,MATCH(570,Engine!$C$2:$C$1960,0)))</f>
        <v/>
      </c>
      <c r="B583" s="8">
        <f>IF(ISNA(MATCH(570,Engine!$C$2:$C$1960,0)),"",INDEX('Compliance Database'!$B$2:$B$1960,MATCH(570,Engine!$C$2:$C$1960,0)))</f>
        <v/>
      </c>
      <c r="C583" s="8">
        <f>IF(ISNA(MATCH(570,Engine!$C$2:$C$1960,0)),"",INDEX('Compliance Database'!$C$2:$C$1960,MATCH(570,Engine!$C$2:$C$1960,0)))</f>
        <v/>
      </c>
      <c r="D583" s="9">
        <f>IF(ISNA(MATCH(570,Engine!$C$2:$C$1960,0)),"",INDEX('Compliance Database'!$D$2:$D$1960,MATCH(570,Engine!$C$2:$C$1960,0)))</f>
        <v/>
      </c>
      <c r="E583" s="8">
        <f>IF(ISNA(MATCH(570,Engine!$C$2:$C$1960,0)),"",INDEX('Compliance Database'!$E$2:$E$1960,MATCH(570,Engine!$C$2:$C$1960,0)))</f>
        <v/>
      </c>
      <c r="F583" s="8">
        <f>IF(ISNA(MATCH(570,Engine!$C$2:$C$1960,0)),"",INDEX('Compliance Database'!$F$2:$F$1960,MATCH(570,Engine!$C$2:$C$1960,0)))</f>
        <v/>
      </c>
      <c r="G583" s="8">
        <f>IF(ISNA(MATCH(570,Engine!$C$2:$C$1960,0)),"",INDEX('Compliance Database'!$G$2:$G$1960,MATCH(570,Engine!$C$2:$C$1960,0)))</f>
        <v/>
      </c>
      <c r="H583" s="9">
        <f>IF(ISNA(MATCH(570,Engine!$C$2:$C$1960,0)),"",INDEX('Compliance Database'!$H$2:$H$1960,MATCH(570,Engine!$C$2:$C$1960,0)))</f>
        <v/>
      </c>
      <c r="I583" s="9">
        <f>IF(ISNA(MATCH(570,Engine!$C$2:$C$1960,0)),"",INDEX('Compliance Database'!$I$2:$I$1960,MATCH(570,Engine!$C$2:$C$1960,0)))</f>
        <v/>
      </c>
      <c r="J583" s="8">
        <f>IF(ISNA(MATCH(570,Engine!$C$2:$C$1960,0)),"",INDEX('Compliance Database'!$J$2:$J$1960,MATCH(570,Engine!$C$2:$C$1960,0)))</f>
        <v/>
      </c>
      <c r="K583" s="9">
        <f>IF(ISNA(MATCH(570,Engine!$C$2:$C$1960,0)),"",INDEX('Compliance Database'!$K$2:$K$1960,MATCH(570,Engine!$C$2:$C$1960,0)))</f>
        <v/>
      </c>
      <c r="L583" s="9">
        <f>IF(ISNA(MATCH(570,Engine!$C$2:$C$1960,0)),"",INDEX('Compliance Database'!$L$2:$L$1960,MATCH(570,Engine!$C$2:$C$1960,0)))</f>
        <v/>
      </c>
      <c r="M583" s="9">
        <f>IF(ISNA(MATCH(570,Engine!$C$2:$C$1960,0)),"",INDEX('Compliance Database'!$M$2:$M$1960,MATCH(570,Engine!$C$2:$C$1960,0)))</f>
        <v/>
      </c>
      <c r="N583" s="9">
        <f>IF(ISNA(MATCH(570,Engine!$C$2:$C$1960,0)),"",INDEX('Compliance Database'!$N$2:$N$1960,MATCH(570,Engine!$C$2:$C$1960,0)))</f>
        <v/>
      </c>
      <c r="O583" s="9">
        <f>IF(ISNA(MATCH(570,Engine!$C$2:$C$1960,0)),"",INDEX('Compliance Database'!$O$2:$O$1960,MATCH(570,Engine!$C$2:$C$1960,0)))</f>
        <v/>
      </c>
      <c r="P583" s="8">
        <f>IF(ISNA(MATCH(570,Engine!$C$2:$C$1960,0)),"",HYPERLINK("#Acts!A"&amp;INDEX('Compliance Database'!$P$2:$P$1960,MATCH(570,Engine!$C$2:$C$1960,0)),"Go to Act"))</f>
        <v/>
      </c>
    </row>
    <row r="584" ht="158" customHeight="1">
      <c r="A584" s="8">
        <f>IF(ISNA(MATCH(571,Engine!$C$2:$C$1960,0)),"",INDEX('Compliance Database'!$A$2:$A$1960,MATCH(571,Engine!$C$2:$C$1960,0)))</f>
        <v/>
      </c>
      <c r="B584" s="8">
        <f>IF(ISNA(MATCH(571,Engine!$C$2:$C$1960,0)),"",INDEX('Compliance Database'!$B$2:$B$1960,MATCH(571,Engine!$C$2:$C$1960,0)))</f>
        <v/>
      </c>
      <c r="C584" s="8">
        <f>IF(ISNA(MATCH(571,Engine!$C$2:$C$1960,0)),"",INDEX('Compliance Database'!$C$2:$C$1960,MATCH(571,Engine!$C$2:$C$1960,0)))</f>
        <v/>
      </c>
      <c r="D584" s="9">
        <f>IF(ISNA(MATCH(571,Engine!$C$2:$C$1960,0)),"",INDEX('Compliance Database'!$D$2:$D$1960,MATCH(571,Engine!$C$2:$C$1960,0)))</f>
        <v/>
      </c>
      <c r="E584" s="8">
        <f>IF(ISNA(MATCH(571,Engine!$C$2:$C$1960,0)),"",INDEX('Compliance Database'!$E$2:$E$1960,MATCH(571,Engine!$C$2:$C$1960,0)))</f>
        <v/>
      </c>
      <c r="F584" s="8">
        <f>IF(ISNA(MATCH(571,Engine!$C$2:$C$1960,0)),"",INDEX('Compliance Database'!$F$2:$F$1960,MATCH(571,Engine!$C$2:$C$1960,0)))</f>
        <v/>
      </c>
      <c r="G584" s="8">
        <f>IF(ISNA(MATCH(571,Engine!$C$2:$C$1960,0)),"",INDEX('Compliance Database'!$G$2:$G$1960,MATCH(571,Engine!$C$2:$C$1960,0)))</f>
        <v/>
      </c>
      <c r="H584" s="9">
        <f>IF(ISNA(MATCH(571,Engine!$C$2:$C$1960,0)),"",INDEX('Compliance Database'!$H$2:$H$1960,MATCH(571,Engine!$C$2:$C$1960,0)))</f>
        <v/>
      </c>
      <c r="I584" s="9">
        <f>IF(ISNA(MATCH(571,Engine!$C$2:$C$1960,0)),"",INDEX('Compliance Database'!$I$2:$I$1960,MATCH(571,Engine!$C$2:$C$1960,0)))</f>
        <v/>
      </c>
      <c r="J584" s="8">
        <f>IF(ISNA(MATCH(571,Engine!$C$2:$C$1960,0)),"",INDEX('Compliance Database'!$J$2:$J$1960,MATCH(571,Engine!$C$2:$C$1960,0)))</f>
        <v/>
      </c>
      <c r="K584" s="9">
        <f>IF(ISNA(MATCH(571,Engine!$C$2:$C$1960,0)),"",INDEX('Compliance Database'!$K$2:$K$1960,MATCH(571,Engine!$C$2:$C$1960,0)))</f>
        <v/>
      </c>
      <c r="L584" s="9">
        <f>IF(ISNA(MATCH(571,Engine!$C$2:$C$1960,0)),"",INDEX('Compliance Database'!$L$2:$L$1960,MATCH(571,Engine!$C$2:$C$1960,0)))</f>
        <v/>
      </c>
      <c r="M584" s="9">
        <f>IF(ISNA(MATCH(571,Engine!$C$2:$C$1960,0)),"",INDEX('Compliance Database'!$M$2:$M$1960,MATCH(571,Engine!$C$2:$C$1960,0)))</f>
        <v/>
      </c>
      <c r="N584" s="9">
        <f>IF(ISNA(MATCH(571,Engine!$C$2:$C$1960,0)),"",INDEX('Compliance Database'!$N$2:$N$1960,MATCH(571,Engine!$C$2:$C$1960,0)))</f>
        <v/>
      </c>
      <c r="O584" s="9">
        <f>IF(ISNA(MATCH(571,Engine!$C$2:$C$1960,0)),"",INDEX('Compliance Database'!$O$2:$O$1960,MATCH(571,Engine!$C$2:$C$1960,0)))</f>
        <v/>
      </c>
      <c r="P584" s="8">
        <f>IF(ISNA(MATCH(571,Engine!$C$2:$C$1960,0)),"",HYPERLINK("#Acts!A"&amp;INDEX('Compliance Database'!$P$2:$P$1960,MATCH(571,Engine!$C$2:$C$1960,0)),"Go to Act"))</f>
        <v/>
      </c>
    </row>
    <row r="585" ht="158" customHeight="1">
      <c r="A585" s="8">
        <f>IF(ISNA(MATCH(572,Engine!$C$2:$C$1960,0)),"",INDEX('Compliance Database'!$A$2:$A$1960,MATCH(572,Engine!$C$2:$C$1960,0)))</f>
        <v/>
      </c>
      <c r="B585" s="8">
        <f>IF(ISNA(MATCH(572,Engine!$C$2:$C$1960,0)),"",INDEX('Compliance Database'!$B$2:$B$1960,MATCH(572,Engine!$C$2:$C$1960,0)))</f>
        <v/>
      </c>
      <c r="C585" s="8">
        <f>IF(ISNA(MATCH(572,Engine!$C$2:$C$1960,0)),"",INDEX('Compliance Database'!$C$2:$C$1960,MATCH(572,Engine!$C$2:$C$1960,0)))</f>
        <v/>
      </c>
      <c r="D585" s="9">
        <f>IF(ISNA(MATCH(572,Engine!$C$2:$C$1960,0)),"",INDEX('Compliance Database'!$D$2:$D$1960,MATCH(572,Engine!$C$2:$C$1960,0)))</f>
        <v/>
      </c>
      <c r="E585" s="8">
        <f>IF(ISNA(MATCH(572,Engine!$C$2:$C$1960,0)),"",INDEX('Compliance Database'!$E$2:$E$1960,MATCH(572,Engine!$C$2:$C$1960,0)))</f>
        <v/>
      </c>
      <c r="F585" s="8">
        <f>IF(ISNA(MATCH(572,Engine!$C$2:$C$1960,0)),"",INDEX('Compliance Database'!$F$2:$F$1960,MATCH(572,Engine!$C$2:$C$1960,0)))</f>
        <v/>
      </c>
      <c r="G585" s="8">
        <f>IF(ISNA(MATCH(572,Engine!$C$2:$C$1960,0)),"",INDEX('Compliance Database'!$G$2:$G$1960,MATCH(572,Engine!$C$2:$C$1960,0)))</f>
        <v/>
      </c>
      <c r="H585" s="9">
        <f>IF(ISNA(MATCH(572,Engine!$C$2:$C$1960,0)),"",INDEX('Compliance Database'!$H$2:$H$1960,MATCH(572,Engine!$C$2:$C$1960,0)))</f>
        <v/>
      </c>
      <c r="I585" s="9">
        <f>IF(ISNA(MATCH(572,Engine!$C$2:$C$1960,0)),"",INDEX('Compliance Database'!$I$2:$I$1960,MATCH(572,Engine!$C$2:$C$1960,0)))</f>
        <v/>
      </c>
      <c r="J585" s="8">
        <f>IF(ISNA(MATCH(572,Engine!$C$2:$C$1960,0)),"",INDEX('Compliance Database'!$J$2:$J$1960,MATCH(572,Engine!$C$2:$C$1960,0)))</f>
        <v/>
      </c>
      <c r="K585" s="9">
        <f>IF(ISNA(MATCH(572,Engine!$C$2:$C$1960,0)),"",INDEX('Compliance Database'!$K$2:$K$1960,MATCH(572,Engine!$C$2:$C$1960,0)))</f>
        <v/>
      </c>
      <c r="L585" s="9">
        <f>IF(ISNA(MATCH(572,Engine!$C$2:$C$1960,0)),"",INDEX('Compliance Database'!$L$2:$L$1960,MATCH(572,Engine!$C$2:$C$1960,0)))</f>
        <v/>
      </c>
      <c r="M585" s="9">
        <f>IF(ISNA(MATCH(572,Engine!$C$2:$C$1960,0)),"",INDEX('Compliance Database'!$M$2:$M$1960,MATCH(572,Engine!$C$2:$C$1960,0)))</f>
        <v/>
      </c>
      <c r="N585" s="9">
        <f>IF(ISNA(MATCH(572,Engine!$C$2:$C$1960,0)),"",INDEX('Compliance Database'!$N$2:$N$1960,MATCH(572,Engine!$C$2:$C$1960,0)))</f>
        <v/>
      </c>
      <c r="O585" s="9">
        <f>IF(ISNA(MATCH(572,Engine!$C$2:$C$1960,0)),"",INDEX('Compliance Database'!$O$2:$O$1960,MATCH(572,Engine!$C$2:$C$1960,0)))</f>
        <v/>
      </c>
      <c r="P585" s="8">
        <f>IF(ISNA(MATCH(572,Engine!$C$2:$C$1960,0)),"",HYPERLINK("#Acts!A"&amp;INDEX('Compliance Database'!$P$2:$P$1960,MATCH(572,Engine!$C$2:$C$1960,0)),"Go to Act"))</f>
        <v/>
      </c>
    </row>
    <row r="586" ht="158" customHeight="1">
      <c r="A586" s="8">
        <f>IF(ISNA(MATCH(573,Engine!$C$2:$C$1960,0)),"",INDEX('Compliance Database'!$A$2:$A$1960,MATCH(573,Engine!$C$2:$C$1960,0)))</f>
        <v/>
      </c>
      <c r="B586" s="8">
        <f>IF(ISNA(MATCH(573,Engine!$C$2:$C$1960,0)),"",INDEX('Compliance Database'!$B$2:$B$1960,MATCH(573,Engine!$C$2:$C$1960,0)))</f>
        <v/>
      </c>
      <c r="C586" s="8">
        <f>IF(ISNA(MATCH(573,Engine!$C$2:$C$1960,0)),"",INDEX('Compliance Database'!$C$2:$C$1960,MATCH(573,Engine!$C$2:$C$1960,0)))</f>
        <v/>
      </c>
      <c r="D586" s="9">
        <f>IF(ISNA(MATCH(573,Engine!$C$2:$C$1960,0)),"",INDEX('Compliance Database'!$D$2:$D$1960,MATCH(573,Engine!$C$2:$C$1960,0)))</f>
        <v/>
      </c>
      <c r="E586" s="8">
        <f>IF(ISNA(MATCH(573,Engine!$C$2:$C$1960,0)),"",INDEX('Compliance Database'!$E$2:$E$1960,MATCH(573,Engine!$C$2:$C$1960,0)))</f>
        <v/>
      </c>
      <c r="F586" s="8">
        <f>IF(ISNA(MATCH(573,Engine!$C$2:$C$1960,0)),"",INDEX('Compliance Database'!$F$2:$F$1960,MATCH(573,Engine!$C$2:$C$1960,0)))</f>
        <v/>
      </c>
      <c r="G586" s="8">
        <f>IF(ISNA(MATCH(573,Engine!$C$2:$C$1960,0)),"",INDEX('Compliance Database'!$G$2:$G$1960,MATCH(573,Engine!$C$2:$C$1960,0)))</f>
        <v/>
      </c>
      <c r="H586" s="9">
        <f>IF(ISNA(MATCH(573,Engine!$C$2:$C$1960,0)),"",INDEX('Compliance Database'!$H$2:$H$1960,MATCH(573,Engine!$C$2:$C$1960,0)))</f>
        <v/>
      </c>
      <c r="I586" s="9">
        <f>IF(ISNA(MATCH(573,Engine!$C$2:$C$1960,0)),"",INDEX('Compliance Database'!$I$2:$I$1960,MATCH(573,Engine!$C$2:$C$1960,0)))</f>
        <v/>
      </c>
      <c r="J586" s="8">
        <f>IF(ISNA(MATCH(573,Engine!$C$2:$C$1960,0)),"",INDEX('Compliance Database'!$J$2:$J$1960,MATCH(573,Engine!$C$2:$C$1960,0)))</f>
        <v/>
      </c>
      <c r="K586" s="9">
        <f>IF(ISNA(MATCH(573,Engine!$C$2:$C$1960,0)),"",INDEX('Compliance Database'!$K$2:$K$1960,MATCH(573,Engine!$C$2:$C$1960,0)))</f>
        <v/>
      </c>
      <c r="L586" s="9">
        <f>IF(ISNA(MATCH(573,Engine!$C$2:$C$1960,0)),"",INDEX('Compliance Database'!$L$2:$L$1960,MATCH(573,Engine!$C$2:$C$1960,0)))</f>
        <v/>
      </c>
      <c r="M586" s="9">
        <f>IF(ISNA(MATCH(573,Engine!$C$2:$C$1960,0)),"",INDEX('Compliance Database'!$M$2:$M$1960,MATCH(573,Engine!$C$2:$C$1960,0)))</f>
        <v/>
      </c>
      <c r="N586" s="9">
        <f>IF(ISNA(MATCH(573,Engine!$C$2:$C$1960,0)),"",INDEX('Compliance Database'!$N$2:$N$1960,MATCH(573,Engine!$C$2:$C$1960,0)))</f>
        <v/>
      </c>
      <c r="O586" s="9">
        <f>IF(ISNA(MATCH(573,Engine!$C$2:$C$1960,0)),"",INDEX('Compliance Database'!$O$2:$O$1960,MATCH(573,Engine!$C$2:$C$1960,0)))</f>
        <v/>
      </c>
      <c r="P586" s="8">
        <f>IF(ISNA(MATCH(573,Engine!$C$2:$C$1960,0)),"",HYPERLINK("#Acts!A"&amp;INDEX('Compliance Database'!$P$2:$P$1960,MATCH(573,Engine!$C$2:$C$1960,0)),"Go to Act"))</f>
        <v/>
      </c>
    </row>
    <row r="587" ht="158" customHeight="1">
      <c r="A587" s="8">
        <f>IF(ISNA(MATCH(574,Engine!$C$2:$C$1960,0)),"",INDEX('Compliance Database'!$A$2:$A$1960,MATCH(574,Engine!$C$2:$C$1960,0)))</f>
        <v/>
      </c>
      <c r="B587" s="8">
        <f>IF(ISNA(MATCH(574,Engine!$C$2:$C$1960,0)),"",INDEX('Compliance Database'!$B$2:$B$1960,MATCH(574,Engine!$C$2:$C$1960,0)))</f>
        <v/>
      </c>
      <c r="C587" s="8">
        <f>IF(ISNA(MATCH(574,Engine!$C$2:$C$1960,0)),"",INDEX('Compliance Database'!$C$2:$C$1960,MATCH(574,Engine!$C$2:$C$1960,0)))</f>
        <v/>
      </c>
      <c r="D587" s="9">
        <f>IF(ISNA(MATCH(574,Engine!$C$2:$C$1960,0)),"",INDEX('Compliance Database'!$D$2:$D$1960,MATCH(574,Engine!$C$2:$C$1960,0)))</f>
        <v/>
      </c>
      <c r="E587" s="8">
        <f>IF(ISNA(MATCH(574,Engine!$C$2:$C$1960,0)),"",INDEX('Compliance Database'!$E$2:$E$1960,MATCH(574,Engine!$C$2:$C$1960,0)))</f>
        <v/>
      </c>
      <c r="F587" s="8">
        <f>IF(ISNA(MATCH(574,Engine!$C$2:$C$1960,0)),"",INDEX('Compliance Database'!$F$2:$F$1960,MATCH(574,Engine!$C$2:$C$1960,0)))</f>
        <v/>
      </c>
      <c r="G587" s="8">
        <f>IF(ISNA(MATCH(574,Engine!$C$2:$C$1960,0)),"",INDEX('Compliance Database'!$G$2:$G$1960,MATCH(574,Engine!$C$2:$C$1960,0)))</f>
        <v/>
      </c>
      <c r="H587" s="9">
        <f>IF(ISNA(MATCH(574,Engine!$C$2:$C$1960,0)),"",INDEX('Compliance Database'!$H$2:$H$1960,MATCH(574,Engine!$C$2:$C$1960,0)))</f>
        <v/>
      </c>
      <c r="I587" s="9">
        <f>IF(ISNA(MATCH(574,Engine!$C$2:$C$1960,0)),"",INDEX('Compliance Database'!$I$2:$I$1960,MATCH(574,Engine!$C$2:$C$1960,0)))</f>
        <v/>
      </c>
      <c r="J587" s="8">
        <f>IF(ISNA(MATCH(574,Engine!$C$2:$C$1960,0)),"",INDEX('Compliance Database'!$J$2:$J$1960,MATCH(574,Engine!$C$2:$C$1960,0)))</f>
        <v/>
      </c>
      <c r="K587" s="9">
        <f>IF(ISNA(MATCH(574,Engine!$C$2:$C$1960,0)),"",INDEX('Compliance Database'!$K$2:$K$1960,MATCH(574,Engine!$C$2:$C$1960,0)))</f>
        <v/>
      </c>
      <c r="L587" s="9">
        <f>IF(ISNA(MATCH(574,Engine!$C$2:$C$1960,0)),"",INDEX('Compliance Database'!$L$2:$L$1960,MATCH(574,Engine!$C$2:$C$1960,0)))</f>
        <v/>
      </c>
      <c r="M587" s="9">
        <f>IF(ISNA(MATCH(574,Engine!$C$2:$C$1960,0)),"",INDEX('Compliance Database'!$M$2:$M$1960,MATCH(574,Engine!$C$2:$C$1960,0)))</f>
        <v/>
      </c>
      <c r="N587" s="9">
        <f>IF(ISNA(MATCH(574,Engine!$C$2:$C$1960,0)),"",INDEX('Compliance Database'!$N$2:$N$1960,MATCH(574,Engine!$C$2:$C$1960,0)))</f>
        <v/>
      </c>
      <c r="O587" s="9">
        <f>IF(ISNA(MATCH(574,Engine!$C$2:$C$1960,0)),"",INDEX('Compliance Database'!$O$2:$O$1960,MATCH(574,Engine!$C$2:$C$1960,0)))</f>
        <v/>
      </c>
      <c r="P587" s="8">
        <f>IF(ISNA(MATCH(574,Engine!$C$2:$C$1960,0)),"",HYPERLINK("#Acts!A"&amp;INDEX('Compliance Database'!$P$2:$P$1960,MATCH(574,Engine!$C$2:$C$1960,0)),"Go to Act"))</f>
        <v/>
      </c>
    </row>
    <row r="588" ht="158" customHeight="1">
      <c r="A588" s="8">
        <f>IF(ISNA(MATCH(575,Engine!$C$2:$C$1960,0)),"",INDEX('Compliance Database'!$A$2:$A$1960,MATCH(575,Engine!$C$2:$C$1960,0)))</f>
        <v/>
      </c>
      <c r="B588" s="8">
        <f>IF(ISNA(MATCH(575,Engine!$C$2:$C$1960,0)),"",INDEX('Compliance Database'!$B$2:$B$1960,MATCH(575,Engine!$C$2:$C$1960,0)))</f>
        <v/>
      </c>
      <c r="C588" s="8">
        <f>IF(ISNA(MATCH(575,Engine!$C$2:$C$1960,0)),"",INDEX('Compliance Database'!$C$2:$C$1960,MATCH(575,Engine!$C$2:$C$1960,0)))</f>
        <v/>
      </c>
      <c r="D588" s="9">
        <f>IF(ISNA(MATCH(575,Engine!$C$2:$C$1960,0)),"",INDEX('Compliance Database'!$D$2:$D$1960,MATCH(575,Engine!$C$2:$C$1960,0)))</f>
        <v/>
      </c>
      <c r="E588" s="8">
        <f>IF(ISNA(MATCH(575,Engine!$C$2:$C$1960,0)),"",INDEX('Compliance Database'!$E$2:$E$1960,MATCH(575,Engine!$C$2:$C$1960,0)))</f>
        <v/>
      </c>
      <c r="F588" s="8">
        <f>IF(ISNA(MATCH(575,Engine!$C$2:$C$1960,0)),"",INDEX('Compliance Database'!$F$2:$F$1960,MATCH(575,Engine!$C$2:$C$1960,0)))</f>
        <v/>
      </c>
      <c r="G588" s="8">
        <f>IF(ISNA(MATCH(575,Engine!$C$2:$C$1960,0)),"",INDEX('Compliance Database'!$G$2:$G$1960,MATCH(575,Engine!$C$2:$C$1960,0)))</f>
        <v/>
      </c>
      <c r="H588" s="9">
        <f>IF(ISNA(MATCH(575,Engine!$C$2:$C$1960,0)),"",INDEX('Compliance Database'!$H$2:$H$1960,MATCH(575,Engine!$C$2:$C$1960,0)))</f>
        <v/>
      </c>
      <c r="I588" s="9">
        <f>IF(ISNA(MATCH(575,Engine!$C$2:$C$1960,0)),"",INDEX('Compliance Database'!$I$2:$I$1960,MATCH(575,Engine!$C$2:$C$1960,0)))</f>
        <v/>
      </c>
      <c r="J588" s="8">
        <f>IF(ISNA(MATCH(575,Engine!$C$2:$C$1960,0)),"",INDEX('Compliance Database'!$J$2:$J$1960,MATCH(575,Engine!$C$2:$C$1960,0)))</f>
        <v/>
      </c>
      <c r="K588" s="9">
        <f>IF(ISNA(MATCH(575,Engine!$C$2:$C$1960,0)),"",INDEX('Compliance Database'!$K$2:$K$1960,MATCH(575,Engine!$C$2:$C$1960,0)))</f>
        <v/>
      </c>
      <c r="L588" s="9">
        <f>IF(ISNA(MATCH(575,Engine!$C$2:$C$1960,0)),"",INDEX('Compliance Database'!$L$2:$L$1960,MATCH(575,Engine!$C$2:$C$1960,0)))</f>
        <v/>
      </c>
      <c r="M588" s="9">
        <f>IF(ISNA(MATCH(575,Engine!$C$2:$C$1960,0)),"",INDEX('Compliance Database'!$M$2:$M$1960,MATCH(575,Engine!$C$2:$C$1960,0)))</f>
        <v/>
      </c>
      <c r="N588" s="9">
        <f>IF(ISNA(MATCH(575,Engine!$C$2:$C$1960,0)),"",INDEX('Compliance Database'!$N$2:$N$1960,MATCH(575,Engine!$C$2:$C$1960,0)))</f>
        <v/>
      </c>
      <c r="O588" s="9">
        <f>IF(ISNA(MATCH(575,Engine!$C$2:$C$1960,0)),"",INDEX('Compliance Database'!$O$2:$O$1960,MATCH(575,Engine!$C$2:$C$1960,0)))</f>
        <v/>
      </c>
      <c r="P588" s="8">
        <f>IF(ISNA(MATCH(575,Engine!$C$2:$C$1960,0)),"",HYPERLINK("#Acts!A"&amp;INDEX('Compliance Database'!$P$2:$P$1960,MATCH(575,Engine!$C$2:$C$1960,0)),"Go to Act"))</f>
        <v/>
      </c>
    </row>
    <row r="589" ht="158" customHeight="1">
      <c r="A589" s="8">
        <f>IF(ISNA(MATCH(576,Engine!$C$2:$C$1960,0)),"",INDEX('Compliance Database'!$A$2:$A$1960,MATCH(576,Engine!$C$2:$C$1960,0)))</f>
        <v/>
      </c>
      <c r="B589" s="8">
        <f>IF(ISNA(MATCH(576,Engine!$C$2:$C$1960,0)),"",INDEX('Compliance Database'!$B$2:$B$1960,MATCH(576,Engine!$C$2:$C$1960,0)))</f>
        <v/>
      </c>
      <c r="C589" s="8">
        <f>IF(ISNA(MATCH(576,Engine!$C$2:$C$1960,0)),"",INDEX('Compliance Database'!$C$2:$C$1960,MATCH(576,Engine!$C$2:$C$1960,0)))</f>
        <v/>
      </c>
      <c r="D589" s="9">
        <f>IF(ISNA(MATCH(576,Engine!$C$2:$C$1960,0)),"",INDEX('Compliance Database'!$D$2:$D$1960,MATCH(576,Engine!$C$2:$C$1960,0)))</f>
        <v/>
      </c>
      <c r="E589" s="8">
        <f>IF(ISNA(MATCH(576,Engine!$C$2:$C$1960,0)),"",INDEX('Compliance Database'!$E$2:$E$1960,MATCH(576,Engine!$C$2:$C$1960,0)))</f>
        <v/>
      </c>
      <c r="F589" s="8">
        <f>IF(ISNA(MATCH(576,Engine!$C$2:$C$1960,0)),"",INDEX('Compliance Database'!$F$2:$F$1960,MATCH(576,Engine!$C$2:$C$1960,0)))</f>
        <v/>
      </c>
      <c r="G589" s="8">
        <f>IF(ISNA(MATCH(576,Engine!$C$2:$C$1960,0)),"",INDEX('Compliance Database'!$G$2:$G$1960,MATCH(576,Engine!$C$2:$C$1960,0)))</f>
        <v/>
      </c>
      <c r="H589" s="9">
        <f>IF(ISNA(MATCH(576,Engine!$C$2:$C$1960,0)),"",INDEX('Compliance Database'!$H$2:$H$1960,MATCH(576,Engine!$C$2:$C$1960,0)))</f>
        <v/>
      </c>
      <c r="I589" s="9">
        <f>IF(ISNA(MATCH(576,Engine!$C$2:$C$1960,0)),"",INDEX('Compliance Database'!$I$2:$I$1960,MATCH(576,Engine!$C$2:$C$1960,0)))</f>
        <v/>
      </c>
      <c r="J589" s="8">
        <f>IF(ISNA(MATCH(576,Engine!$C$2:$C$1960,0)),"",INDEX('Compliance Database'!$J$2:$J$1960,MATCH(576,Engine!$C$2:$C$1960,0)))</f>
        <v/>
      </c>
      <c r="K589" s="9">
        <f>IF(ISNA(MATCH(576,Engine!$C$2:$C$1960,0)),"",INDEX('Compliance Database'!$K$2:$K$1960,MATCH(576,Engine!$C$2:$C$1960,0)))</f>
        <v/>
      </c>
      <c r="L589" s="9">
        <f>IF(ISNA(MATCH(576,Engine!$C$2:$C$1960,0)),"",INDEX('Compliance Database'!$L$2:$L$1960,MATCH(576,Engine!$C$2:$C$1960,0)))</f>
        <v/>
      </c>
      <c r="M589" s="9">
        <f>IF(ISNA(MATCH(576,Engine!$C$2:$C$1960,0)),"",INDEX('Compliance Database'!$M$2:$M$1960,MATCH(576,Engine!$C$2:$C$1960,0)))</f>
        <v/>
      </c>
      <c r="N589" s="9">
        <f>IF(ISNA(MATCH(576,Engine!$C$2:$C$1960,0)),"",INDEX('Compliance Database'!$N$2:$N$1960,MATCH(576,Engine!$C$2:$C$1960,0)))</f>
        <v/>
      </c>
      <c r="O589" s="9">
        <f>IF(ISNA(MATCH(576,Engine!$C$2:$C$1960,0)),"",INDEX('Compliance Database'!$O$2:$O$1960,MATCH(576,Engine!$C$2:$C$1960,0)))</f>
        <v/>
      </c>
      <c r="P589" s="8">
        <f>IF(ISNA(MATCH(576,Engine!$C$2:$C$1960,0)),"",HYPERLINK("#Acts!A"&amp;INDEX('Compliance Database'!$P$2:$P$1960,MATCH(576,Engine!$C$2:$C$1960,0)),"Go to Act"))</f>
        <v/>
      </c>
    </row>
    <row r="590" ht="158" customHeight="1">
      <c r="A590" s="8">
        <f>IF(ISNA(MATCH(577,Engine!$C$2:$C$1960,0)),"",INDEX('Compliance Database'!$A$2:$A$1960,MATCH(577,Engine!$C$2:$C$1960,0)))</f>
        <v/>
      </c>
      <c r="B590" s="8">
        <f>IF(ISNA(MATCH(577,Engine!$C$2:$C$1960,0)),"",INDEX('Compliance Database'!$B$2:$B$1960,MATCH(577,Engine!$C$2:$C$1960,0)))</f>
        <v/>
      </c>
      <c r="C590" s="8">
        <f>IF(ISNA(MATCH(577,Engine!$C$2:$C$1960,0)),"",INDEX('Compliance Database'!$C$2:$C$1960,MATCH(577,Engine!$C$2:$C$1960,0)))</f>
        <v/>
      </c>
      <c r="D590" s="9">
        <f>IF(ISNA(MATCH(577,Engine!$C$2:$C$1960,0)),"",INDEX('Compliance Database'!$D$2:$D$1960,MATCH(577,Engine!$C$2:$C$1960,0)))</f>
        <v/>
      </c>
      <c r="E590" s="8">
        <f>IF(ISNA(MATCH(577,Engine!$C$2:$C$1960,0)),"",INDEX('Compliance Database'!$E$2:$E$1960,MATCH(577,Engine!$C$2:$C$1960,0)))</f>
        <v/>
      </c>
      <c r="F590" s="8">
        <f>IF(ISNA(MATCH(577,Engine!$C$2:$C$1960,0)),"",INDEX('Compliance Database'!$F$2:$F$1960,MATCH(577,Engine!$C$2:$C$1960,0)))</f>
        <v/>
      </c>
      <c r="G590" s="8">
        <f>IF(ISNA(MATCH(577,Engine!$C$2:$C$1960,0)),"",INDEX('Compliance Database'!$G$2:$G$1960,MATCH(577,Engine!$C$2:$C$1960,0)))</f>
        <v/>
      </c>
      <c r="H590" s="9">
        <f>IF(ISNA(MATCH(577,Engine!$C$2:$C$1960,0)),"",INDEX('Compliance Database'!$H$2:$H$1960,MATCH(577,Engine!$C$2:$C$1960,0)))</f>
        <v/>
      </c>
      <c r="I590" s="9">
        <f>IF(ISNA(MATCH(577,Engine!$C$2:$C$1960,0)),"",INDEX('Compliance Database'!$I$2:$I$1960,MATCH(577,Engine!$C$2:$C$1960,0)))</f>
        <v/>
      </c>
      <c r="J590" s="8">
        <f>IF(ISNA(MATCH(577,Engine!$C$2:$C$1960,0)),"",INDEX('Compliance Database'!$J$2:$J$1960,MATCH(577,Engine!$C$2:$C$1960,0)))</f>
        <v/>
      </c>
      <c r="K590" s="9">
        <f>IF(ISNA(MATCH(577,Engine!$C$2:$C$1960,0)),"",INDEX('Compliance Database'!$K$2:$K$1960,MATCH(577,Engine!$C$2:$C$1960,0)))</f>
        <v/>
      </c>
      <c r="L590" s="9">
        <f>IF(ISNA(MATCH(577,Engine!$C$2:$C$1960,0)),"",INDEX('Compliance Database'!$L$2:$L$1960,MATCH(577,Engine!$C$2:$C$1960,0)))</f>
        <v/>
      </c>
      <c r="M590" s="9">
        <f>IF(ISNA(MATCH(577,Engine!$C$2:$C$1960,0)),"",INDEX('Compliance Database'!$M$2:$M$1960,MATCH(577,Engine!$C$2:$C$1960,0)))</f>
        <v/>
      </c>
      <c r="N590" s="9">
        <f>IF(ISNA(MATCH(577,Engine!$C$2:$C$1960,0)),"",INDEX('Compliance Database'!$N$2:$N$1960,MATCH(577,Engine!$C$2:$C$1960,0)))</f>
        <v/>
      </c>
      <c r="O590" s="9">
        <f>IF(ISNA(MATCH(577,Engine!$C$2:$C$1960,0)),"",INDEX('Compliance Database'!$O$2:$O$1960,MATCH(577,Engine!$C$2:$C$1960,0)))</f>
        <v/>
      </c>
      <c r="P590" s="8">
        <f>IF(ISNA(MATCH(577,Engine!$C$2:$C$1960,0)),"",HYPERLINK("#Acts!A"&amp;INDEX('Compliance Database'!$P$2:$P$1960,MATCH(577,Engine!$C$2:$C$1960,0)),"Go to Act"))</f>
        <v/>
      </c>
    </row>
    <row r="591" ht="158" customHeight="1">
      <c r="A591" s="8">
        <f>IF(ISNA(MATCH(578,Engine!$C$2:$C$1960,0)),"",INDEX('Compliance Database'!$A$2:$A$1960,MATCH(578,Engine!$C$2:$C$1960,0)))</f>
        <v/>
      </c>
      <c r="B591" s="8">
        <f>IF(ISNA(MATCH(578,Engine!$C$2:$C$1960,0)),"",INDEX('Compliance Database'!$B$2:$B$1960,MATCH(578,Engine!$C$2:$C$1960,0)))</f>
        <v/>
      </c>
      <c r="C591" s="8">
        <f>IF(ISNA(MATCH(578,Engine!$C$2:$C$1960,0)),"",INDEX('Compliance Database'!$C$2:$C$1960,MATCH(578,Engine!$C$2:$C$1960,0)))</f>
        <v/>
      </c>
      <c r="D591" s="9">
        <f>IF(ISNA(MATCH(578,Engine!$C$2:$C$1960,0)),"",INDEX('Compliance Database'!$D$2:$D$1960,MATCH(578,Engine!$C$2:$C$1960,0)))</f>
        <v/>
      </c>
      <c r="E591" s="8">
        <f>IF(ISNA(MATCH(578,Engine!$C$2:$C$1960,0)),"",INDEX('Compliance Database'!$E$2:$E$1960,MATCH(578,Engine!$C$2:$C$1960,0)))</f>
        <v/>
      </c>
      <c r="F591" s="8">
        <f>IF(ISNA(MATCH(578,Engine!$C$2:$C$1960,0)),"",INDEX('Compliance Database'!$F$2:$F$1960,MATCH(578,Engine!$C$2:$C$1960,0)))</f>
        <v/>
      </c>
      <c r="G591" s="8">
        <f>IF(ISNA(MATCH(578,Engine!$C$2:$C$1960,0)),"",INDEX('Compliance Database'!$G$2:$G$1960,MATCH(578,Engine!$C$2:$C$1960,0)))</f>
        <v/>
      </c>
      <c r="H591" s="9">
        <f>IF(ISNA(MATCH(578,Engine!$C$2:$C$1960,0)),"",INDEX('Compliance Database'!$H$2:$H$1960,MATCH(578,Engine!$C$2:$C$1960,0)))</f>
        <v/>
      </c>
      <c r="I591" s="9">
        <f>IF(ISNA(MATCH(578,Engine!$C$2:$C$1960,0)),"",INDEX('Compliance Database'!$I$2:$I$1960,MATCH(578,Engine!$C$2:$C$1960,0)))</f>
        <v/>
      </c>
      <c r="J591" s="8">
        <f>IF(ISNA(MATCH(578,Engine!$C$2:$C$1960,0)),"",INDEX('Compliance Database'!$J$2:$J$1960,MATCH(578,Engine!$C$2:$C$1960,0)))</f>
        <v/>
      </c>
      <c r="K591" s="9">
        <f>IF(ISNA(MATCH(578,Engine!$C$2:$C$1960,0)),"",INDEX('Compliance Database'!$K$2:$K$1960,MATCH(578,Engine!$C$2:$C$1960,0)))</f>
        <v/>
      </c>
      <c r="L591" s="9">
        <f>IF(ISNA(MATCH(578,Engine!$C$2:$C$1960,0)),"",INDEX('Compliance Database'!$L$2:$L$1960,MATCH(578,Engine!$C$2:$C$1960,0)))</f>
        <v/>
      </c>
      <c r="M591" s="9">
        <f>IF(ISNA(MATCH(578,Engine!$C$2:$C$1960,0)),"",INDEX('Compliance Database'!$M$2:$M$1960,MATCH(578,Engine!$C$2:$C$1960,0)))</f>
        <v/>
      </c>
      <c r="N591" s="9">
        <f>IF(ISNA(MATCH(578,Engine!$C$2:$C$1960,0)),"",INDEX('Compliance Database'!$N$2:$N$1960,MATCH(578,Engine!$C$2:$C$1960,0)))</f>
        <v/>
      </c>
      <c r="O591" s="9">
        <f>IF(ISNA(MATCH(578,Engine!$C$2:$C$1960,0)),"",INDEX('Compliance Database'!$O$2:$O$1960,MATCH(578,Engine!$C$2:$C$1960,0)))</f>
        <v/>
      </c>
      <c r="P591" s="8">
        <f>IF(ISNA(MATCH(578,Engine!$C$2:$C$1960,0)),"",HYPERLINK("#Acts!A"&amp;INDEX('Compliance Database'!$P$2:$P$1960,MATCH(578,Engine!$C$2:$C$1960,0)),"Go to Act"))</f>
        <v/>
      </c>
    </row>
    <row r="592" ht="158" customHeight="1">
      <c r="A592" s="8">
        <f>IF(ISNA(MATCH(579,Engine!$C$2:$C$1960,0)),"",INDEX('Compliance Database'!$A$2:$A$1960,MATCH(579,Engine!$C$2:$C$1960,0)))</f>
        <v/>
      </c>
      <c r="B592" s="8">
        <f>IF(ISNA(MATCH(579,Engine!$C$2:$C$1960,0)),"",INDEX('Compliance Database'!$B$2:$B$1960,MATCH(579,Engine!$C$2:$C$1960,0)))</f>
        <v/>
      </c>
      <c r="C592" s="8">
        <f>IF(ISNA(MATCH(579,Engine!$C$2:$C$1960,0)),"",INDEX('Compliance Database'!$C$2:$C$1960,MATCH(579,Engine!$C$2:$C$1960,0)))</f>
        <v/>
      </c>
      <c r="D592" s="9">
        <f>IF(ISNA(MATCH(579,Engine!$C$2:$C$1960,0)),"",INDEX('Compliance Database'!$D$2:$D$1960,MATCH(579,Engine!$C$2:$C$1960,0)))</f>
        <v/>
      </c>
      <c r="E592" s="8">
        <f>IF(ISNA(MATCH(579,Engine!$C$2:$C$1960,0)),"",INDEX('Compliance Database'!$E$2:$E$1960,MATCH(579,Engine!$C$2:$C$1960,0)))</f>
        <v/>
      </c>
      <c r="F592" s="8">
        <f>IF(ISNA(MATCH(579,Engine!$C$2:$C$1960,0)),"",INDEX('Compliance Database'!$F$2:$F$1960,MATCH(579,Engine!$C$2:$C$1960,0)))</f>
        <v/>
      </c>
      <c r="G592" s="8">
        <f>IF(ISNA(MATCH(579,Engine!$C$2:$C$1960,0)),"",INDEX('Compliance Database'!$G$2:$G$1960,MATCH(579,Engine!$C$2:$C$1960,0)))</f>
        <v/>
      </c>
      <c r="H592" s="9">
        <f>IF(ISNA(MATCH(579,Engine!$C$2:$C$1960,0)),"",INDEX('Compliance Database'!$H$2:$H$1960,MATCH(579,Engine!$C$2:$C$1960,0)))</f>
        <v/>
      </c>
      <c r="I592" s="9">
        <f>IF(ISNA(MATCH(579,Engine!$C$2:$C$1960,0)),"",INDEX('Compliance Database'!$I$2:$I$1960,MATCH(579,Engine!$C$2:$C$1960,0)))</f>
        <v/>
      </c>
      <c r="J592" s="8">
        <f>IF(ISNA(MATCH(579,Engine!$C$2:$C$1960,0)),"",INDEX('Compliance Database'!$J$2:$J$1960,MATCH(579,Engine!$C$2:$C$1960,0)))</f>
        <v/>
      </c>
      <c r="K592" s="9">
        <f>IF(ISNA(MATCH(579,Engine!$C$2:$C$1960,0)),"",INDEX('Compliance Database'!$K$2:$K$1960,MATCH(579,Engine!$C$2:$C$1960,0)))</f>
        <v/>
      </c>
      <c r="L592" s="9">
        <f>IF(ISNA(MATCH(579,Engine!$C$2:$C$1960,0)),"",INDEX('Compliance Database'!$L$2:$L$1960,MATCH(579,Engine!$C$2:$C$1960,0)))</f>
        <v/>
      </c>
      <c r="M592" s="9">
        <f>IF(ISNA(MATCH(579,Engine!$C$2:$C$1960,0)),"",INDEX('Compliance Database'!$M$2:$M$1960,MATCH(579,Engine!$C$2:$C$1960,0)))</f>
        <v/>
      </c>
      <c r="N592" s="9">
        <f>IF(ISNA(MATCH(579,Engine!$C$2:$C$1960,0)),"",INDEX('Compliance Database'!$N$2:$N$1960,MATCH(579,Engine!$C$2:$C$1960,0)))</f>
        <v/>
      </c>
      <c r="O592" s="9">
        <f>IF(ISNA(MATCH(579,Engine!$C$2:$C$1960,0)),"",INDEX('Compliance Database'!$O$2:$O$1960,MATCH(579,Engine!$C$2:$C$1960,0)))</f>
        <v/>
      </c>
      <c r="P592" s="8">
        <f>IF(ISNA(MATCH(579,Engine!$C$2:$C$1960,0)),"",HYPERLINK("#Acts!A"&amp;INDEX('Compliance Database'!$P$2:$P$1960,MATCH(579,Engine!$C$2:$C$1960,0)),"Go to Act"))</f>
        <v/>
      </c>
    </row>
    <row r="593" ht="158" customHeight="1">
      <c r="A593" s="8">
        <f>IF(ISNA(MATCH(580,Engine!$C$2:$C$1960,0)),"",INDEX('Compliance Database'!$A$2:$A$1960,MATCH(580,Engine!$C$2:$C$1960,0)))</f>
        <v/>
      </c>
      <c r="B593" s="8">
        <f>IF(ISNA(MATCH(580,Engine!$C$2:$C$1960,0)),"",INDEX('Compliance Database'!$B$2:$B$1960,MATCH(580,Engine!$C$2:$C$1960,0)))</f>
        <v/>
      </c>
      <c r="C593" s="8">
        <f>IF(ISNA(MATCH(580,Engine!$C$2:$C$1960,0)),"",INDEX('Compliance Database'!$C$2:$C$1960,MATCH(580,Engine!$C$2:$C$1960,0)))</f>
        <v/>
      </c>
      <c r="D593" s="9">
        <f>IF(ISNA(MATCH(580,Engine!$C$2:$C$1960,0)),"",INDEX('Compliance Database'!$D$2:$D$1960,MATCH(580,Engine!$C$2:$C$1960,0)))</f>
        <v/>
      </c>
      <c r="E593" s="8">
        <f>IF(ISNA(MATCH(580,Engine!$C$2:$C$1960,0)),"",INDEX('Compliance Database'!$E$2:$E$1960,MATCH(580,Engine!$C$2:$C$1960,0)))</f>
        <v/>
      </c>
      <c r="F593" s="8">
        <f>IF(ISNA(MATCH(580,Engine!$C$2:$C$1960,0)),"",INDEX('Compliance Database'!$F$2:$F$1960,MATCH(580,Engine!$C$2:$C$1960,0)))</f>
        <v/>
      </c>
      <c r="G593" s="8">
        <f>IF(ISNA(MATCH(580,Engine!$C$2:$C$1960,0)),"",INDEX('Compliance Database'!$G$2:$G$1960,MATCH(580,Engine!$C$2:$C$1960,0)))</f>
        <v/>
      </c>
      <c r="H593" s="9">
        <f>IF(ISNA(MATCH(580,Engine!$C$2:$C$1960,0)),"",INDEX('Compliance Database'!$H$2:$H$1960,MATCH(580,Engine!$C$2:$C$1960,0)))</f>
        <v/>
      </c>
      <c r="I593" s="9">
        <f>IF(ISNA(MATCH(580,Engine!$C$2:$C$1960,0)),"",INDEX('Compliance Database'!$I$2:$I$1960,MATCH(580,Engine!$C$2:$C$1960,0)))</f>
        <v/>
      </c>
      <c r="J593" s="8">
        <f>IF(ISNA(MATCH(580,Engine!$C$2:$C$1960,0)),"",INDEX('Compliance Database'!$J$2:$J$1960,MATCH(580,Engine!$C$2:$C$1960,0)))</f>
        <v/>
      </c>
      <c r="K593" s="9">
        <f>IF(ISNA(MATCH(580,Engine!$C$2:$C$1960,0)),"",INDEX('Compliance Database'!$K$2:$K$1960,MATCH(580,Engine!$C$2:$C$1960,0)))</f>
        <v/>
      </c>
      <c r="L593" s="9">
        <f>IF(ISNA(MATCH(580,Engine!$C$2:$C$1960,0)),"",INDEX('Compliance Database'!$L$2:$L$1960,MATCH(580,Engine!$C$2:$C$1960,0)))</f>
        <v/>
      </c>
      <c r="M593" s="9">
        <f>IF(ISNA(MATCH(580,Engine!$C$2:$C$1960,0)),"",INDEX('Compliance Database'!$M$2:$M$1960,MATCH(580,Engine!$C$2:$C$1960,0)))</f>
        <v/>
      </c>
      <c r="N593" s="9">
        <f>IF(ISNA(MATCH(580,Engine!$C$2:$C$1960,0)),"",INDEX('Compliance Database'!$N$2:$N$1960,MATCH(580,Engine!$C$2:$C$1960,0)))</f>
        <v/>
      </c>
      <c r="O593" s="9">
        <f>IF(ISNA(MATCH(580,Engine!$C$2:$C$1960,0)),"",INDEX('Compliance Database'!$O$2:$O$1960,MATCH(580,Engine!$C$2:$C$1960,0)))</f>
        <v/>
      </c>
      <c r="P593" s="8">
        <f>IF(ISNA(MATCH(580,Engine!$C$2:$C$1960,0)),"",HYPERLINK("#Acts!A"&amp;INDEX('Compliance Database'!$P$2:$P$1960,MATCH(580,Engine!$C$2:$C$1960,0)),"Go to Act"))</f>
        <v/>
      </c>
    </row>
    <row r="594" ht="158" customHeight="1">
      <c r="A594" s="8">
        <f>IF(ISNA(MATCH(581,Engine!$C$2:$C$1960,0)),"",INDEX('Compliance Database'!$A$2:$A$1960,MATCH(581,Engine!$C$2:$C$1960,0)))</f>
        <v/>
      </c>
      <c r="B594" s="8">
        <f>IF(ISNA(MATCH(581,Engine!$C$2:$C$1960,0)),"",INDEX('Compliance Database'!$B$2:$B$1960,MATCH(581,Engine!$C$2:$C$1960,0)))</f>
        <v/>
      </c>
      <c r="C594" s="8">
        <f>IF(ISNA(MATCH(581,Engine!$C$2:$C$1960,0)),"",INDEX('Compliance Database'!$C$2:$C$1960,MATCH(581,Engine!$C$2:$C$1960,0)))</f>
        <v/>
      </c>
      <c r="D594" s="9">
        <f>IF(ISNA(MATCH(581,Engine!$C$2:$C$1960,0)),"",INDEX('Compliance Database'!$D$2:$D$1960,MATCH(581,Engine!$C$2:$C$1960,0)))</f>
        <v/>
      </c>
      <c r="E594" s="8">
        <f>IF(ISNA(MATCH(581,Engine!$C$2:$C$1960,0)),"",INDEX('Compliance Database'!$E$2:$E$1960,MATCH(581,Engine!$C$2:$C$1960,0)))</f>
        <v/>
      </c>
      <c r="F594" s="8">
        <f>IF(ISNA(MATCH(581,Engine!$C$2:$C$1960,0)),"",INDEX('Compliance Database'!$F$2:$F$1960,MATCH(581,Engine!$C$2:$C$1960,0)))</f>
        <v/>
      </c>
      <c r="G594" s="8">
        <f>IF(ISNA(MATCH(581,Engine!$C$2:$C$1960,0)),"",INDEX('Compliance Database'!$G$2:$G$1960,MATCH(581,Engine!$C$2:$C$1960,0)))</f>
        <v/>
      </c>
      <c r="H594" s="9">
        <f>IF(ISNA(MATCH(581,Engine!$C$2:$C$1960,0)),"",INDEX('Compliance Database'!$H$2:$H$1960,MATCH(581,Engine!$C$2:$C$1960,0)))</f>
        <v/>
      </c>
      <c r="I594" s="9">
        <f>IF(ISNA(MATCH(581,Engine!$C$2:$C$1960,0)),"",INDEX('Compliance Database'!$I$2:$I$1960,MATCH(581,Engine!$C$2:$C$1960,0)))</f>
        <v/>
      </c>
      <c r="J594" s="8">
        <f>IF(ISNA(MATCH(581,Engine!$C$2:$C$1960,0)),"",INDEX('Compliance Database'!$J$2:$J$1960,MATCH(581,Engine!$C$2:$C$1960,0)))</f>
        <v/>
      </c>
      <c r="K594" s="9">
        <f>IF(ISNA(MATCH(581,Engine!$C$2:$C$1960,0)),"",INDEX('Compliance Database'!$K$2:$K$1960,MATCH(581,Engine!$C$2:$C$1960,0)))</f>
        <v/>
      </c>
      <c r="L594" s="9">
        <f>IF(ISNA(MATCH(581,Engine!$C$2:$C$1960,0)),"",INDEX('Compliance Database'!$L$2:$L$1960,MATCH(581,Engine!$C$2:$C$1960,0)))</f>
        <v/>
      </c>
      <c r="M594" s="9">
        <f>IF(ISNA(MATCH(581,Engine!$C$2:$C$1960,0)),"",INDEX('Compliance Database'!$M$2:$M$1960,MATCH(581,Engine!$C$2:$C$1960,0)))</f>
        <v/>
      </c>
      <c r="N594" s="9">
        <f>IF(ISNA(MATCH(581,Engine!$C$2:$C$1960,0)),"",INDEX('Compliance Database'!$N$2:$N$1960,MATCH(581,Engine!$C$2:$C$1960,0)))</f>
        <v/>
      </c>
      <c r="O594" s="9">
        <f>IF(ISNA(MATCH(581,Engine!$C$2:$C$1960,0)),"",INDEX('Compliance Database'!$O$2:$O$1960,MATCH(581,Engine!$C$2:$C$1960,0)))</f>
        <v/>
      </c>
      <c r="P594" s="8">
        <f>IF(ISNA(MATCH(581,Engine!$C$2:$C$1960,0)),"",HYPERLINK("#Acts!A"&amp;INDEX('Compliance Database'!$P$2:$P$1960,MATCH(581,Engine!$C$2:$C$1960,0)),"Go to Act"))</f>
        <v/>
      </c>
    </row>
    <row r="595" ht="158" customHeight="1">
      <c r="A595" s="8">
        <f>IF(ISNA(MATCH(582,Engine!$C$2:$C$1960,0)),"",INDEX('Compliance Database'!$A$2:$A$1960,MATCH(582,Engine!$C$2:$C$1960,0)))</f>
        <v/>
      </c>
      <c r="B595" s="8">
        <f>IF(ISNA(MATCH(582,Engine!$C$2:$C$1960,0)),"",INDEX('Compliance Database'!$B$2:$B$1960,MATCH(582,Engine!$C$2:$C$1960,0)))</f>
        <v/>
      </c>
      <c r="C595" s="8">
        <f>IF(ISNA(MATCH(582,Engine!$C$2:$C$1960,0)),"",INDEX('Compliance Database'!$C$2:$C$1960,MATCH(582,Engine!$C$2:$C$1960,0)))</f>
        <v/>
      </c>
      <c r="D595" s="9">
        <f>IF(ISNA(MATCH(582,Engine!$C$2:$C$1960,0)),"",INDEX('Compliance Database'!$D$2:$D$1960,MATCH(582,Engine!$C$2:$C$1960,0)))</f>
        <v/>
      </c>
      <c r="E595" s="8">
        <f>IF(ISNA(MATCH(582,Engine!$C$2:$C$1960,0)),"",INDEX('Compliance Database'!$E$2:$E$1960,MATCH(582,Engine!$C$2:$C$1960,0)))</f>
        <v/>
      </c>
      <c r="F595" s="8">
        <f>IF(ISNA(MATCH(582,Engine!$C$2:$C$1960,0)),"",INDEX('Compliance Database'!$F$2:$F$1960,MATCH(582,Engine!$C$2:$C$1960,0)))</f>
        <v/>
      </c>
      <c r="G595" s="8">
        <f>IF(ISNA(MATCH(582,Engine!$C$2:$C$1960,0)),"",INDEX('Compliance Database'!$G$2:$G$1960,MATCH(582,Engine!$C$2:$C$1960,0)))</f>
        <v/>
      </c>
      <c r="H595" s="9">
        <f>IF(ISNA(MATCH(582,Engine!$C$2:$C$1960,0)),"",INDEX('Compliance Database'!$H$2:$H$1960,MATCH(582,Engine!$C$2:$C$1960,0)))</f>
        <v/>
      </c>
      <c r="I595" s="9">
        <f>IF(ISNA(MATCH(582,Engine!$C$2:$C$1960,0)),"",INDEX('Compliance Database'!$I$2:$I$1960,MATCH(582,Engine!$C$2:$C$1960,0)))</f>
        <v/>
      </c>
      <c r="J595" s="8">
        <f>IF(ISNA(MATCH(582,Engine!$C$2:$C$1960,0)),"",INDEX('Compliance Database'!$J$2:$J$1960,MATCH(582,Engine!$C$2:$C$1960,0)))</f>
        <v/>
      </c>
      <c r="K595" s="9">
        <f>IF(ISNA(MATCH(582,Engine!$C$2:$C$1960,0)),"",INDEX('Compliance Database'!$K$2:$K$1960,MATCH(582,Engine!$C$2:$C$1960,0)))</f>
        <v/>
      </c>
      <c r="L595" s="9">
        <f>IF(ISNA(MATCH(582,Engine!$C$2:$C$1960,0)),"",INDEX('Compliance Database'!$L$2:$L$1960,MATCH(582,Engine!$C$2:$C$1960,0)))</f>
        <v/>
      </c>
      <c r="M595" s="9">
        <f>IF(ISNA(MATCH(582,Engine!$C$2:$C$1960,0)),"",INDEX('Compliance Database'!$M$2:$M$1960,MATCH(582,Engine!$C$2:$C$1960,0)))</f>
        <v/>
      </c>
      <c r="N595" s="9">
        <f>IF(ISNA(MATCH(582,Engine!$C$2:$C$1960,0)),"",INDEX('Compliance Database'!$N$2:$N$1960,MATCH(582,Engine!$C$2:$C$1960,0)))</f>
        <v/>
      </c>
      <c r="O595" s="9">
        <f>IF(ISNA(MATCH(582,Engine!$C$2:$C$1960,0)),"",INDEX('Compliance Database'!$O$2:$O$1960,MATCH(582,Engine!$C$2:$C$1960,0)))</f>
        <v/>
      </c>
      <c r="P595" s="8">
        <f>IF(ISNA(MATCH(582,Engine!$C$2:$C$1960,0)),"",HYPERLINK("#Acts!A"&amp;INDEX('Compliance Database'!$P$2:$P$1960,MATCH(582,Engine!$C$2:$C$1960,0)),"Go to Act"))</f>
        <v/>
      </c>
    </row>
    <row r="596" ht="158" customHeight="1">
      <c r="A596" s="8">
        <f>IF(ISNA(MATCH(583,Engine!$C$2:$C$1960,0)),"",INDEX('Compliance Database'!$A$2:$A$1960,MATCH(583,Engine!$C$2:$C$1960,0)))</f>
        <v/>
      </c>
      <c r="B596" s="8">
        <f>IF(ISNA(MATCH(583,Engine!$C$2:$C$1960,0)),"",INDEX('Compliance Database'!$B$2:$B$1960,MATCH(583,Engine!$C$2:$C$1960,0)))</f>
        <v/>
      </c>
      <c r="C596" s="8">
        <f>IF(ISNA(MATCH(583,Engine!$C$2:$C$1960,0)),"",INDEX('Compliance Database'!$C$2:$C$1960,MATCH(583,Engine!$C$2:$C$1960,0)))</f>
        <v/>
      </c>
      <c r="D596" s="9">
        <f>IF(ISNA(MATCH(583,Engine!$C$2:$C$1960,0)),"",INDEX('Compliance Database'!$D$2:$D$1960,MATCH(583,Engine!$C$2:$C$1960,0)))</f>
        <v/>
      </c>
      <c r="E596" s="8">
        <f>IF(ISNA(MATCH(583,Engine!$C$2:$C$1960,0)),"",INDEX('Compliance Database'!$E$2:$E$1960,MATCH(583,Engine!$C$2:$C$1960,0)))</f>
        <v/>
      </c>
      <c r="F596" s="8">
        <f>IF(ISNA(MATCH(583,Engine!$C$2:$C$1960,0)),"",INDEX('Compliance Database'!$F$2:$F$1960,MATCH(583,Engine!$C$2:$C$1960,0)))</f>
        <v/>
      </c>
      <c r="G596" s="8">
        <f>IF(ISNA(MATCH(583,Engine!$C$2:$C$1960,0)),"",INDEX('Compliance Database'!$G$2:$G$1960,MATCH(583,Engine!$C$2:$C$1960,0)))</f>
        <v/>
      </c>
      <c r="H596" s="9">
        <f>IF(ISNA(MATCH(583,Engine!$C$2:$C$1960,0)),"",INDEX('Compliance Database'!$H$2:$H$1960,MATCH(583,Engine!$C$2:$C$1960,0)))</f>
        <v/>
      </c>
      <c r="I596" s="9">
        <f>IF(ISNA(MATCH(583,Engine!$C$2:$C$1960,0)),"",INDEX('Compliance Database'!$I$2:$I$1960,MATCH(583,Engine!$C$2:$C$1960,0)))</f>
        <v/>
      </c>
      <c r="J596" s="8">
        <f>IF(ISNA(MATCH(583,Engine!$C$2:$C$1960,0)),"",INDEX('Compliance Database'!$J$2:$J$1960,MATCH(583,Engine!$C$2:$C$1960,0)))</f>
        <v/>
      </c>
      <c r="K596" s="9">
        <f>IF(ISNA(MATCH(583,Engine!$C$2:$C$1960,0)),"",INDEX('Compliance Database'!$K$2:$K$1960,MATCH(583,Engine!$C$2:$C$1960,0)))</f>
        <v/>
      </c>
      <c r="L596" s="9">
        <f>IF(ISNA(MATCH(583,Engine!$C$2:$C$1960,0)),"",INDEX('Compliance Database'!$L$2:$L$1960,MATCH(583,Engine!$C$2:$C$1960,0)))</f>
        <v/>
      </c>
      <c r="M596" s="9">
        <f>IF(ISNA(MATCH(583,Engine!$C$2:$C$1960,0)),"",INDEX('Compliance Database'!$M$2:$M$1960,MATCH(583,Engine!$C$2:$C$1960,0)))</f>
        <v/>
      </c>
      <c r="N596" s="9">
        <f>IF(ISNA(MATCH(583,Engine!$C$2:$C$1960,0)),"",INDEX('Compliance Database'!$N$2:$N$1960,MATCH(583,Engine!$C$2:$C$1960,0)))</f>
        <v/>
      </c>
      <c r="O596" s="9">
        <f>IF(ISNA(MATCH(583,Engine!$C$2:$C$1960,0)),"",INDEX('Compliance Database'!$O$2:$O$1960,MATCH(583,Engine!$C$2:$C$1960,0)))</f>
        <v/>
      </c>
      <c r="P596" s="8">
        <f>IF(ISNA(MATCH(583,Engine!$C$2:$C$1960,0)),"",HYPERLINK("#Acts!A"&amp;INDEX('Compliance Database'!$P$2:$P$1960,MATCH(583,Engine!$C$2:$C$1960,0)),"Go to Act"))</f>
        <v/>
      </c>
    </row>
    <row r="597" ht="158" customHeight="1">
      <c r="A597" s="8">
        <f>IF(ISNA(MATCH(584,Engine!$C$2:$C$1960,0)),"",INDEX('Compliance Database'!$A$2:$A$1960,MATCH(584,Engine!$C$2:$C$1960,0)))</f>
        <v/>
      </c>
      <c r="B597" s="8">
        <f>IF(ISNA(MATCH(584,Engine!$C$2:$C$1960,0)),"",INDEX('Compliance Database'!$B$2:$B$1960,MATCH(584,Engine!$C$2:$C$1960,0)))</f>
        <v/>
      </c>
      <c r="C597" s="8">
        <f>IF(ISNA(MATCH(584,Engine!$C$2:$C$1960,0)),"",INDEX('Compliance Database'!$C$2:$C$1960,MATCH(584,Engine!$C$2:$C$1960,0)))</f>
        <v/>
      </c>
      <c r="D597" s="9">
        <f>IF(ISNA(MATCH(584,Engine!$C$2:$C$1960,0)),"",INDEX('Compliance Database'!$D$2:$D$1960,MATCH(584,Engine!$C$2:$C$1960,0)))</f>
        <v/>
      </c>
      <c r="E597" s="8">
        <f>IF(ISNA(MATCH(584,Engine!$C$2:$C$1960,0)),"",INDEX('Compliance Database'!$E$2:$E$1960,MATCH(584,Engine!$C$2:$C$1960,0)))</f>
        <v/>
      </c>
      <c r="F597" s="8">
        <f>IF(ISNA(MATCH(584,Engine!$C$2:$C$1960,0)),"",INDEX('Compliance Database'!$F$2:$F$1960,MATCH(584,Engine!$C$2:$C$1960,0)))</f>
        <v/>
      </c>
      <c r="G597" s="8">
        <f>IF(ISNA(MATCH(584,Engine!$C$2:$C$1960,0)),"",INDEX('Compliance Database'!$G$2:$G$1960,MATCH(584,Engine!$C$2:$C$1960,0)))</f>
        <v/>
      </c>
      <c r="H597" s="9">
        <f>IF(ISNA(MATCH(584,Engine!$C$2:$C$1960,0)),"",INDEX('Compliance Database'!$H$2:$H$1960,MATCH(584,Engine!$C$2:$C$1960,0)))</f>
        <v/>
      </c>
      <c r="I597" s="9">
        <f>IF(ISNA(MATCH(584,Engine!$C$2:$C$1960,0)),"",INDEX('Compliance Database'!$I$2:$I$1960,MATCH(584,Engine!$C$2:$C$1960,0)))</f>
        <v/>
      </c>
      <c r="J597" s="8">
        <f>IF(ISNA(MATCH(584,Engine!$C$2:$C$1960,0)),"",INDEX('Compliance Database'!$J$2:$J$1960,MATCH(584,Engine!$C$2:$C$1960,0)))</f>
        <v/>
      </c>
      <c r="K597" s="9">
        <f>IF(ISNA(MATCH(584,Engine!$C$2:$C$1960,0)),"",INDEX('Compliance Database'!$K$2:$K$1960,MATCH(584,Engine!$C$2:$C$1960,0)))</f>
        <v/>
      </c>
      <c r="L597" s="9">
        <f>IF(ISNA(MATCH(584,Engine!$C$2:$C$1960,0)),"",INDEX('Compliance Database'!$L$2:$L$1960,MATCH(584,Engine!$C$2:$C$1960,0)))</f>
        <v/>
      </c>
      <c r="M597" s="9">
        <f>IF(ISNA(MATCH(584,Engine!$C$2:$C$1960,0)),"",INDEX('Compliance Database'!$M$2:$M$1960,MATCH(584,Engine!$C$2:$C$1960,0)))</f>
        <v/>
      </c>
      <c r="N597" s="9">
        <f>IF(ISNA(MATCH(584,Engine!$C$2:$C$1960,0)),"",INDEX('Compliance Database'!$N$2:$N$1960,MATCH(584,Engine!$C$2:$C$1960,0)))</f>
        <v/>
      </c>
      <c r="O597" s="9">
        <f>IF(ISNA(MATCH(584,Engine!$C$2:$C$1960,0)),"",INDEX('Compliance Database'!$O$2:$O$1960,MATCH(584,Engine!$C$2:$C$1960,0)))</f>
        <v/>
      </c>
      <c r="P597" s="8">
        <f>IF(ISNA(MATCH(584,Engine!$C$2:$C$1960,0)),"",HYPERLINK("#Acts!A"&amp;INDEX('Compliance Database'!$P$2:$P$1960,MATCH(584,Engine!$C$2:$C$1960,0)),"Go to Act"))</f>
        <v/>
      </c>
    </row>
    <row r="598" ht="158" customHeight="1">
      <c r="A598" s="8">
        <f>IF(ISNA(MATCH(585,Engine!$C$2:$C$1960,0)),"",INDEX('Compliance Database'!$A$2:$A$1960,MATCH(585,Engine!$C$2:$C$1960,0)))</f>
        <v/>
      </c>
      <c r="B598" s="8">
        <f>IF(ISNA(MATCH(585,Engine!$C$2:$C$1960,0)),"",INDEX('Compliance Database'!$B$2:$B$1960,MATCH(585,Engine!$C$2:$C$1960,0)))</f>
        <v/>
      </c>
      <c r="C598" s="8">
        <f>IF(ISNA(MATCH(585,Engine!$C$2:$C$1960,0)),"",INDEX('Compliance Database'!$C$2:$C$1960,MATCH(585,Engine!$C$2:$C$1960,0)))</f>
        <v/>
      </c>
      <c r="D598" s="9">
        <f>IF(ISNA(MATCH(585,Engine!$C$2:$C$1960,0)),"",INDEX('Compliance Database'!$D$2:$D$1960,MATCH(585,Engine!$C$2:$C$1960,0)))</f>
        <v/>
      </c>
      <c r="E598" s="8">
        <f>IF(ISNA(MATCH(585,Engine!$C$2:$C$1960,0)),"",INDEX('Compliance Database'!$E$2:$E$1960,MATCH(585,Engine!$C$2:$C$1960,0)))</f>
        <v/>
      </c>
      <c r="F598" s="8">
        <f>IF(ISNA(MATCH(585,Engine!$C$2:$C$1960,0)),"",INDEX('Compliance Database'!$F$2:$F$1960,MATCH(585,Engine!$C$2:$C$1960,0)))</f>
        <v/>
      </c>
      <c r="G598" s="8">
        <f>IF(ISNA(MATCH(585,Engine!$C$2:$C$1960,0)),"",INDEX('Compliance Database'!$G$2:$G$1960,MATCH(585,Engine!$C$2:$C$1960,0)))</f>
        <v/>
      </c>
      <c r="H598" s="9">
        <f>IF(ISNA(MATCH(585,Engine!$C$2:$C$1960,0)),"",INDEX('Compliance Database'!$H$2:$H$1960,MATCH(585,Engine!$C$2:$C$1960,0)))</f>
        <v/>
      </c>
      <c r="I598" s="9">
        <f>IF(ISNA(MATCH(585,Engine!$C$2:$C$1960,0)),"",INDEX('Compliance Database'!$I$2:$I$1960,MATCH(585,Engine!$C$2:$C$1960,0)))</f>
        <v/>
      </c>
      <c r="J598" s="8">
        <f>IF(ISNA(MATCH(585,Engine!$C$2:$C$1960,0)),"",INDEX('Compliance Database'!$J$2:$J$1960,MATCH(585,Engine!$C$2:$C$1960,0)))</f>
        <v/>
      </c>
      <c r="K598" s="9">
        <f>IF(ISNA(MATCH(585,Engine!$C$2:$C$1960,0)),"",INDEX('Compliance Database'!$K$2:$K$1960,MATCH(585,Engine!$C$2:$C$1960,0)))</f>
        <v/>
      </c>
      <c r="L598" s="9">
        <f>IF(ISNA(MATCH(585,Engine!$C$2:$C$1960,0)),"",INDEX('Compliance Database'!$L$2:$L$1960,MATCH(585,Engine!$C$2:$C$1960,0)))</f>
        <v/>
      </c>
      <c r="M598" s="9">
        <f>IF(ISNA(MATCH(585,Engine!$C$2:$C$1960,0)),"",INDEX('Compliance Database'!$M$2:$M$1960,MATCH(585,Engine!$C$2:$C$1960,0)))</f>
        <v/>
      </c>
      <c r="N598" s="9">
        <f>IF(ISNA(MATCH(585,Engine!$C$2:$C$1960,0)),"",INDEX('Compliance Database'!$N$2:$N$1960,MATCH(585,Engine!$C$2:$C$1960,0)))</f>
        <v/>
      </c>
      <c r="O598" s="9">
        <f>IF(ISNA(MATCH(585,Engine!$C$2:$C$1960,0)),"",INDEX('Compliance Database'!$O$2:$O$1960,MATCH(585,Engine!$C$2:$C$1960,0)))</f>
        <v/>
      </c>
      <c r="P598" s="8">
        <f>IF(ISNA(MATCH(585,Engine!$C$2:$C$1960,0)),"",HYPERLINK("#Acts!A"&amp;INDEX('Compliance Database'!$P$2:$P$1960,MATCH(585,Engine!$C$2:$C$1960,0)),"Go to Act"))</f>
        <v/>
      </c>
    </row>
    <row r="599" ht="158" customHeight="1">
      <c r="A599" s="8">
        <f>IF(ISNA(MATCH(586,Engine!$C$2:$C$1960,0)),"",INDEX('Compliance Database'!$A$2:$A$1960,MATCH(586,Engine!$C$2:$C$1960,0)))</f>
        <v/>
      </c>
      <c r="B599" s="8">
        <f>IF(ISNA(MATCH(586,Engine!$C$2:$C$1960,0)),"",INDEX('Compliance Database'!$B$2:$B$1960,MATCH(586,Engine!$C$2:$C$1960,0)))</f>
        <v/>
      </c>
      <c r="C599" s="8">
        <f>IF(ISNA(MATCH(586,Engine!$C$2:$C$1960,0)),"",INDEX('Compliance Database'!$C$2:$C$1960,MATCH(586,Engine!$C$2:$C$1960,0)))</f>
        <v/>
      </c>
      <c r="D599" s="9">
        <f>IF(ISNA(MATCH(586,Engine!$C$2:$C$1960,0)),"",INDEX('Compliance Database'!$D$2:$D$1960,MATCH(586,Engine!$C$2:$C$1960,0)))</f>
        <v/>
      </c>
      <c r="E599" s="8">
        <f>IF(ISNA(MATCH(586,Engine!$C$2:$C$1960,0)),"",INDEX('Compliance Database'!$E$2:$E$1960,MATCH(586,Engine!$C$2:$C$1960,0)))</f>
        <v/>
      </c>
      <c r="F599" s="8">
        <f>IF(ISNA(MATCH(586,Engine!$C$2:$C$1960,0)),"",INDEX('Compliance Database'!$F$2:$F$1960,MATCH(586,Engine!$C$2:$C$1960,0)))</f>
        <v/>
      </c>
      <c r="G599" s="8">
        <f>IF(ISNA(MATCH(586,Engine!$C$2:$C$1960,0)),"",INDEX('Compliance Database'!$G$2:$G$1960,MATCH(586,Engine!$C$2:$C$1960,0)))</f>
        <v/>
      </c>
      <c r="H599" s="9">
        <f>IF(ISNA(MATCH(586,Engine!$C$2:$C$1960,0)),"",INDEX('Compliance Database'!$H$2:$H$1960,MATCH(586,Engine!$C$2:$C$1960,0)))</f>
        <v/>
      </c>
      <c r="I599" s="9">
        <f>IF(ISNA(MATCH(586,Engine!$C$2:$C$1960,0)),"",INDEX('Compliance Database'!$I$2:$I$1960,MATCH(586,Engine!$C$2:$C$1960,0)))</f>
        <v/>
      </c>
      <c r="J599" s="8">
        <f>IF(ISNA(MATCH(586,Engine!$C$2:$C$1960,0)),"",INDEX('Compliance Database'!$J$2:$J$1960,MATCH(586,Engine!$C$2:$C$1960,0)))</f>
        <v/>
      </c>
      <c r="K599" s="9">
        <f>IF(ISNA(MATCH(586,Engine!$C$2:$C$1960,0)),"",INDEX('Compliance Database'!$K$2:$K$1960,MATCH(586,Engine!$C$2:$C$1960,0)))</f>
        <v/>
      </c>
      <c r="L599" s="9">
        <f>IF(ISNA(MATCH(586,Engine!$C$2:$C$1960,0)),"",INDEX('Compliance Database'!$L$2:$L$1960,MATCH(586,Engine!$C$2:$C$1960,0)))</f>
        <v/>
      </c>
      <c r="M599" s="9">
        <f>IF(ISNA(MATCH(586,Engine!$C$2:$C$1960,0)),"",INDEX('Compliance Database'!$M$2:$M$1960,MATCH(586,Engine!$C$2:$C$1960,0)))</f>
        <v/>
      </c>
      <c r="N599" s="9">
        <f>IF(ISNA(MATCH(586,Engine!$C$2:$C$1960,0)),"",INDEX('Compliance Database'!$N$2:$N$1960,MATCH(586,Engine!$C$2:$C$1960,0)))</f>
        <v/>
      </c>
      <c r="O599" s="9">
        <f>IF(ISNA(MATCH(586,Engine!$C$2:$C$1960,0)),"",INDEX('Compliance Database'!$O$2:$O$1960,MATCH(586,Engine!$C$2:$C$1960,0)))</f>
        <v/>
      </c>
      <c r="P599" s="8">
        <f>IF(ISNA(MATCH(586,Engine!$C$2:$C$1960,0)),"",HYPERLINK("#Acts!A"&amp;INDEX('Compliance Database'!$P$2:$P$1960,MATCH(586,Engine!$C$2:$C$1960,0)),"Go to Act"))</f>
        <v/>
      </c>
    </row>
    <row r="600" ht="158" customHeight="1">
      <c r="A600" s="8">
        <f>IF(ISNA(MATCH(587,Engine!$C$2:$C$1960,0)),"",INDEX('Compliance Database'!$A$2:$A$1960,MATCH(587,Engine!$C$2:$C$1960,0)))</f>
        <v/>
      </c>
      <c r="B600" s="8">
        <f>IF(ISNA(MATCH(587,Engine!$C$2:$C$1960,0)),"",INDEX('Compliance Database'!$B$2:$B$1960,MATCH(587,Engine!$C$2:$C$1960,0)))</f>
        <v/>
      </c>
      <c r="C600" s="8">
        <f>IF(ISNA(MATCH(587,Engine!$C$2:$C$1960,0)),"",INDEX('Compliance Database'!$C$2:$C$1960,MATCH(587,Engine!$C$2:$C$1960,0)))</f>
        <v/>
      </c>
      <c r="D600" s="9">
        <f>IF(ISNA(MATCH(587,Engine!$C$2:$C$1960,0)),"",INDEX('Compliance Database'!$D$2:$D$1960,MATCH(587,Engine!$C$2:$C$1960,0)))</f>
        <v/>
      </c>
      <c r="E600" s="8">
        <f>IF(ISNA(MATCH(587,Engine!$C$2:$C$1960,0)),"",INDEX('Compliance Database'!$E$2:$E$1960,MATCH(587,Engine!$C$2:$C$1960,0)))</f>
        <v/>
      </c>
      <c r="F600" s="8">
        <f>IF(ISNA(MATCH(587,Engine!$C$2:$C$1960,0)),"",INDEX('Compliance Database'!$F$2:$F$1960,MATCH(587,Engine!$C$2:$C$1960,0)))</f>
        <v/>
      </c>
      <c r="G600" s="8">
        <f>IF(ISNA(MATCH(587,Engine!$C$2:$C$1960,0)),"",INDEX('Compliance Database'!$G$2:$G$1960,MATCH(587,Engine!$C$2:$C$1960,0)))</f>
        <v/>
      </c>
      <c r="H600" s="9">
        <f>IF(ISNA(MATCH(587,Engine!$C$2:$C$1960,0)),"",INDEX('Compliance Database'!$H$2:$H$1960,MATCH(587,Engine!$C$2:$C$1960,0)))</f>
        <v/>
      </c>
      <c r="I600" s="9">
        <f>IF(ISNA(MATCH(587,Engine!$C$2:$C$1960,0)),"",INDEX('Compliance Database'!$I$2:$I$1960,MATCH(587,Engine!$C$2:$C$1960,0)))</f>
        <v/>
      </c>
      <c r="J600" s="8">
        <f>IF(ISNA(MATCH(587,Engine!$C$2:$C$1960,0)),"",INDEX('Compliance Database'!$J$2:$J$1960,MATCH(587,Engine!$C$2:$C$1960,0)))</f>
        <v/>
      </c>
      <c r="K600" s="9">
        <f>IF(ISNA(MATCH(587,Engine!$C$2:$C$1960,0)),"",INDEX('Compliance Database'!$K$2:$K$1960,MATCH(587,Engine!$C$2:$C$1960,0)))</f>
        <v/>
      </c>
      <c r="L600" s="9">
        <f>IF(ISNA(MATCH(587,Engine!$C$2:$C$1960,0)),"",INDEX('Compliance Database'!$L$2:$L$1960,MATCH(587,Engine!$C$2:$C$1960,0)))</f>
        <v/>
      </c>
      <c r="M600" s="9">
        <f>IF(ISNA(MATCH(587,Engine!$C$2:$C$1960,0)),"",INDEX('Compliance Database'!$M$2:$M$1960,MATCH(587,Engine!$C$2:$C$1960,0)))</f>
        <v/>
      </c>
      <c r="N600" s="9">
        <f>IF(ISNA(MATCH(587,Engine!$C$2:$C$1960,0)),"",INDEX('Compliance Database'!$N$2:$N$1960,MATCH(587,Engine!$C$2:$C$1960,0)))</f>
        <v/>
      </c>
      <c r="O600" s="9">
        <f>IF(ISNA(MATCH(587,Engine!$C$2:$C$1960,0)),"",INDEX('Compliance Database'!$O$2:$O$1960,MATCH(587,Engine!$C$2:$C$1960,0)))</f>
        <v/>
      </c>
      <c r="P600" s="8">
        <f>IF(ISNA(MATCH(587,Engine!$C$2:$C$1960,0)),"",HYPERLINK("#Acts!A"&amp;INDEX('Compliance Database'!$P$2:$P$1960,MATCH(587,Engine!$C$2:$C$1960,0)),"Go to Act"))</f>
        <v/>
      </c>
    </row>
    <row r="601" ht="158" customHeight="1">
      <c r="A601" s="8">
        <f>IF(ISNA(MATCH(588,Engine!$C$2:$C$1960,0)),"",INDEX('Compliance Database'!$A$2:$A$1960,MATCH(588,Engine!$C$2:$C$1960,0)))</f>
        <v/>
      </c>
      <c r="B601" s="8">
        <f>IF(ISNA(MATCH(588,Engine!$C$2:$C$1960,0)),"",INDEX('Compliance Database'!$B$2:$B$1960,MATCH(588,Engine!$C$2:$C$1960,0)))</f>
        <v/>
      </c>
      <c r="C601" s="8">
        <f>IF(ISNA(MATCH(588,Engine!$C$2:$C$1960,0)),"",INDEX('Compliance Database'!$C$2:$C$1960,MATCH(588,Engine!$C$2:$C$1960,0)))</f>
        <v/>
      </c>
      <c r="D601" s="9">
        <f>IF(ISNA(MATCH(588,Engine!$C$2:$C$1960,0)),"",INDEX('Compliance Database'!$D$2:$D$1960,MATCH(588,Engine!$C$2:$C$1960,0)))</f>
        <v/>
      </c>
      <c r="E601" s="8">
        <f>IF(ISNA(MATCH(588,Engine!$C$2:$C$1960,0)),"",INDEX('Compliance Database'!$E$2:$E$1960,MATCH(588,Engine!$C$2:$C$1960,0)))</f>
        <v/>
      </c>
      <c r="F601" s="8">
        <f>IF(ISNA(MATCH(588,Engine!$C$2:$C$1960,0)),"",INDEX('Compliance Database'!$F$2:$F$1960,MATCH(588,Engine!$C$2:$C$1960,0)))</f>
        <v/>
      </c>
      <c r="G601" s="8">
        <f>IF(ISNA(MATCH(588,Engine!$C$2:$C$1960,0)),"",INDEX('Compliance Database'!$G$2:$G$1960,MATCH(588,Engine!$C$2:$C$1960,0)))</f>
        <v/>
      </c>
      <c r="H601" s="9">
        <f>IF(ISNA(MATCH(588,Engine!$C$2:$C$1960,0)),"",INDEX('Compliance Database'!$H$2:$H$1960,MATCH(588,Engine!$C$2:$C$1960,0)))</f>
        <v/>
      </c>
      <c r="I601" s="9">
        <f>IF(ISNA(MATCH(588,Engine!$C$2:$C$1960,0)),"",INDEX('Compliance Database'!$I$2:$I$1960,MATCH(588,Engine!$C$2:$C$1960,0)))</f>
        <v/>
      </c>
      <c r="J601" s="8">
        <f>IF(ISNA(MATCH(588,Engine!$C$2:$C$1960,0)),"",INDEX('Compliance Database'!$J$2:$J$1960,MATCH(588,Engine!$C$2:$C$1960,0)))</f>
        <v/>
      </c>
      <c r="K601" s="9">
        <f>IF(ISNA(MATCH(588,Engine!$C$2:$C$1960,0)),"",INDEX('Compliance Database'!$K$2:$K$1960,MATCH(588,Engine!$C$2:$C$1960,0)))</f>
        <v/>
      </c>
      <c r="L601" s="9">
        <f>IF(ISNA(MATCH(588,Engine!$C$2:$C$1960,0)),"",INDEX('Compliance Database'!$L$2:$L$1960,MATCH(588,Engine!$C$2:$C$1960,0)))</f>
        <v/>
      </c>
      <c r="M601" s="9">
        <f>IF(ISNA(MATCH(588,Engine!$C$2:$C$1960,0)),"",INDEX('Compliance Database'!$M$2:$M$1960,MATCH(588,Engine!$C$2:$C$1960,0)))</f>
        <v/>
      </c>
      <c r="N601" s="9">
        <f>IF(ISNA(MATCH(588,Engine!$C$2:$C$1960,0)),"",INDEX('Compliance Database'!$N$2:$N$1960,MATCH(588,Engine!$C$2:$C$1960,0)))</f>
        <v/>
      </c>
      <c r="O601" s="9">
        <f>IF(ISNA(MATCH(588,Engine!$C$2:$C$1960,0)),"",INDEX('Compliance Database'!$O$2:$O$1960,MATCH(588,Engine!$C$2:$C$1960,0)))</f>
        <v/>
      </c>
      <c r="P601" s="8">
        <f>IF(ISNA(MATCH(588,Engine!$C$2:$C$1960,0)),"",HYPERLINK("#Acts!A"&amp;INDEX('Compliance Database'!$P$2:$P$1960,MATCH(588,Engine!$C$2:$C$1960,0)),"Go to Act"))</f>
        <v/>
      </c>
    </row>
    <row r="602" ht="158" customHeight="1">
      <c r="A602" s="8">
        <f>IF(ISNA(MATCH(589,Engine!$C$2:$C$1960,0)),"",INDEX('Compliance Database'!$A$2:$A$1960,MATCH(589,Engine!$C$2:$C$1960,0)))</f>
        <v/>
      </c>
      <c r="B602" s="8">
        <f>IF(ISNA(MATCH(589,Engine!$C$2:$C$1960,0)),"",INDEX('Compliance Database'!$B$2:$B$1960,MATCH(589,Engine!$C$2:$C$1960,0)))</f>
        <v/>
      </c>
      <c r="C602" s="8">
        <f>IF(ISNA(MATCH(589,Engine!$C$2:$C$1960,0)),"",INDEX('Compliance Database'!$C$2:$C$1960,MATCH(589,Engine!$C$2:$C$1960,0)))</f>
        <v/>
      </c>
      <c r="D602" s="9">
        <f>IF(ISNA(MATCH(589,Engine!$C$2:$C$1960,0)),"",INDEX('Compliance Database'!$D$2:$D$1960,MATCH(589,Engine!$C$2:$C$1960,0)))</f>
        <v/>
      </c>
      <c r="E602" s="8">
        <f>IF(ISNA(MATCH(589,Engine!$C$2:$C$1960,0)),"",INDEX('Compliance Database'!$E$2:$E$1960,MATCH(589,Engine!$C$2:$C$1960,0)))</f>
        <v/>
      </c>
      <c r="F602" s="8">
        <f>IF(ISNA(MATCH(589,Engine!$C$2:$C$1960,0)),"",INDEX('Compliance Database'!$F$2:$F$1960,MATCH(589,Engine!$C$2:$C$1960,0)))</f>
        <v/>
      </c>
      <c r="G602" s="8">
        <f>IF(ISNA(MATCH(589,Engine!$C$2:$C$1960,0)),"",INDEX('Compliance Database'!$G$2:$G$1960,MATCH(589,Engine!$C$2:$C$1960,0)))</f>
        <v/>
      </c>
      <c r="H602" s="9">
        <f>IF(ISNA(MATCH(589,Engine!$C$2:$C$1960,0)),"",INDEX('Compliance Database'!$H$2:$H$1960,MATCH(589,Engine!$C$2:$C$1960,0)))</f>
        <v/>
      </c>
      <c r="I602" s="9">
        <f>IF(ISNA(MATCH(589,Engine!$C$2:$C$1960,0)),"",INDEX('Compliance Database'!$I$2:$I$1960,MATCH(589,Engine!$C$2:$C$1960,0)))</f>
        <v/>
      </c>
      <c r="J602" s="8">
        <f>IF(ISNA(MATCH(589,Engine!$C$2:$C$1960,0)),"",INDEX('Compliance Database'!$J$2:$J$1960,MATCH(589,Engine!$C$2:$C$1960,0)))</f>
        <v/>
      </c>
      <c r="K602" s="9">
        <f>IF(ISNA(MATCH(589,Engine!$C$2:$C$1960,0)),"",INDEX('Compliance Database'!$K$2:$K$1960,MATCH(589,Engine!$C$2:$C$1960,0)))</f>
        <v/>
      </c>
      <c r="L602" s="9">
        <f>IF(ISNA(MATCH(589,Engine!$C$2:$C$1960,0)),"",INDEX('Compliance Database'!$L$2:$L$1960,MATCH(589,Engine!$C$2:$C$1960,0)))</f>
        <v/>
      </c>
      <c r="M602" s="9">
        <f>IF(ISNA(MATCH(589,Engine!$C$2:$C$1960,0)),"",INDEX('Compliance Database'!$M$2:$M$1960,MATCH(589,Engine!$C$2:$C$1960,0)))</f>
        <v/>
      </c>
      <c r="N602" s="9">
        <f>IF(ISNA(MATCH(589,Engine!$C$2:$C$1960,0)),"",INDEX('Compliance Database'!$N$2:$N$1960,MATCH(589,Engine!$C$2:$C$1960,0)))</f>
        <v/>
      </c>
      <c r="O602" s="9">
        <f>IF(ISNA(MATCH(589,Engine!$C$2:$C$1960,0)),"",INDEX('Compliance Database'!$O$2:$O$1960,MATCH(589,Engine!$C$2:$C$1960,0)))</f>
        <v/>
      </c>
      <c r="P602" s="8">
        <f>IF(ISNA(MATCH(589,Engine!$C$2:$C$1960,0)),"",HYPERLINK("#Acts!A"&amp;INDEX('Compliance Database'!$P$2:$P$1960,MATCH(589,Engine!$C$2:$C$1960,0)),"Go to Act"))</f>
        <v/>
      </c>
    </row>
    <row r="603" ht="158" customHeight="1">
      <c r="A603" s="8">
        <f>IF(ISNA(MATCH(590,Engine!$C$2:$C$1960,0)),"",INDEX('Compliance Database'!$A$2:$A$1960,MATCH(590,Engine!$C$2:$C$1960,0)))</f>
        <v/>
      </c>
      <c r="B603" s="8">
        <f>IF(ISNA(MATCH(590,Engine!$C$2:$C$1960,0)),"",INDEX('Compliance Database'!$B$2:$B$1960,MATCH(590,Engine!$C$2:$C$1960,0)))</f>
        <v/>
      </c>
      <c r="C603" s="8">
        <f>IF(ISNA(MATCH(590,Engine!$C$2:$C$1960,0)),"",INDEX('Compliance Database'!$C$2:$C$1960,MATCH(590,Engine!$C$2:$C$1960,0)))</f>
        <v/>
      </c>
      <c r="D603" s="9">
        <f>IF(ISNA(MATCH(590,Engine!$C$2:$C$1960,0)),"",INDEX('Compliance Database'!$D$2:$D$1960,MATCH(590,Engine!$C$2:$C$1960,0)))</f>
        <v/>
      </c>
      <c r="E603" s="8">
        <f>IF(ISNA(MATCH(590,Engine!$C$2:$C$1960,0)),"",INDEX('Compliance Database'!$E$2:$E$1960,MATCH(590,Engine!$C$2:$C$1960,0)))</f>
        <v/>
      </c>
      <c r="F603" s="8">
        <f>IF(ISNA(MATCH(590,Engine!$C$2:$C$1960,0)),"",INDEX('Compliance Database'!$F$2:$F$1960,MATCH(590,Engine!$C$2:$C$1960,0)))</f>
        <v/>
      </c>
      <c r="G603" s="8">
        <f>IF(ISNA(MATCH(590,Engine!$C$2:$C$1960,0)),"",INDEX('Compliance Database'!$G$2:$G$1960,MATCH(590,Engine!$C$2:$C$1960,0)))</f>
        <v/>
      </c>
      <c r="H603" s="9">
        <f>IF(ISNA(MATCH(590,Engine!$C$2:$C$1960,0)),"",INDEX('Compliance Database'!$H$2:$H$1960,MATCH(590,Engine!$C$2:$C$1960,0)))</f>
        <v/>
      </c>
      <c r="I603" s="9">
        <f>IF(ISNA(MATCH(590,Engine!$C$2:$C$1960,0)),"",INDEX('Compliance Database'!$I$2:$I$1960,MATCH(590,Engine!$C$2:$C$1960,0)))</f>
        <v/>
      </c>
      <c r="J603" s="8">
        <f>IF(ISNA(MATCH(590,Engine!$C$2:$C$1960,0)),"",INDEX('Compliance Database'!$J$2:$J$1960,MATCH(590,Engine!$C$2:$C$1960,0)))</f>
        <v/>
      </c>
      <c r="K603" s="9">
        <f>IF(ISNA(MATCH(590,Engine!$C$2:$C$1960,0)),"",INDEX('Compliance Database'!$K$2:$K$1960,MATCH(590,Engine!$C$2:$C$1960,0)))</f>
        <v/>
      </c>
      <c r="L603" s="9">
        <f>IF(ISNA(MATCH(590,Engine!$C$2:$C$1960,0)),"",INDEX('Compliance Database'!$L$2:$L$1960,MATCH(590,Engine!$C$2:$C$1960,0)))</f>
        <v/>
      </c>
      <c r="M603" s="9">
        <f>IF(ISNA(MATCH(590,Engine!$C$2:$C$1960,0)),"",INDEX('Compliance Database'!$M$2:$M$1960,MATCH(590,Engine!$C$2:$C$1960,0)))</f>
        <v/>
      </c>
      <c r="N603" s="9">
        <f>IF(ISNA(MATCH(590,Engine!$C$2:$C$1960,0)),"",INDEX('Compliance Database'!$N$2:$N$1960,MATCH(590,Engine!$C$2:$C$1960,0)))</f>
        <v/>
      </c>
      <c r="O603" s="9">
        <f>IF(ISNA(MATCH(590,Engine!$C$2:$C$1960,0)),"",INDEX('Compliance Database'!$O$2:$O$1960,MATCH(590,Engine!$C$2:$C$1960,0)))</f>
        <v/>
      </c>
      <c r="P603" s="8">
        <f>IF(ISNA(MATCH(590,Engine!$C$2:$C$1960,0)),"",HYPERLINK("#Acts!A"&amp;INDEX('Compliance Database'!$P$2:$P$1960,MATCH(590,Engine!$C$2:$C$1960,0)),"Go to Act"))</f>
        <v/>
      </c>
    </row>
    <row r="604" ht="158" customHeight="1">
      <c r="A604" s="8">
        <f>IF(ISNA(MATCH(591,Engine!$C$2:$C$1960,0)),"",INDEX('Compliance Database'!$A$2:$A$1960,MATCH(591,Engine!$C$2:$C$1960,0)))</f>
        <v/>
      </c>
      <c r="B604" s="8">
        <f>IF(ISNA(MATCH(591,Engine!$C$2:$C$1960,0)),"",INDEX('Compliance Database'!$B$2:$B$1960,MATCH(591,Engine!$C$2:$C$1960,0)))</f>
        <v/>
      </c>
      <c r="C604" s="8">
        <f>IF(ISNA(MATCH(591,Engine!$C$2:$C$1960,0)),"",INDEX('Compliance Database'!$C$2:$C$1960,MATCH(591,Engine!$C$2:$C$1960,0)))</f>
        <v/>
      </c>
      <c r="D604" s="9">
        <f>IF(ISNA(MATCH(591,Engine!$C$2:$C$1960,0)),"",INDEX('Compliance Database'!$D$2:$D$1960,MATCH(591,Engine!$C$2:$C$1960,0)))</f>
        <v/>
      </c>
      <c r="E604" s="8">
        <f>IF(ISNA(MATCH(591,Engine!$C$2:$C$1960,0)),"",INDEX('Compliance Database'!$E$2:$E$1960,MATCH(591,Engine!$C$2:$C$1960,0)))</f>
        <v/>
      </c>
      <c r="F604" s="8">
        <f>IF(ISNA(MATCH(591,Engine!$C$2:$C$1960,0)),"",INDEX('Compliance Database'!$F$2:$F$1960,MATCH(591,Engine!$C$2:$C$1960,0)))</f>
        <v/>
      </c>
      <c r="G604" s="8">
        <f>IF(ISNA(MATCH(591,Engine!$C$2:$C$1960,0)),"",INDEX('Compliance Database'!$G$2:$G$1960,MATCH(591,Engine!$C$2:$C$1960,0)))</f>
        <v/>
      </c>
      <c r="H604" s="9">
        <f>IF(ISNA(MATCH(591,Engine!$C$2:$C$1960,0)),"",INDEX('Compliance Database'!$H$2:$H$1960,MATCH(591,Engine!$C$2:$C$1960,0)))</f>
        <v/>
      </c>
      <c r="I604" s="9">
        <f>IF(ISNA(MATCH(591,Engine!$C$2:$C$1960,0)),"",INDEX('Compliance Database'!$I$2:$I$1960,MATCH(591,Engine!$C$2:$C$1960,0)))</f>
        <v/>
      </c>
      <c r="J604" s="8">
        <f>IF(ISNA(MATCH(591,Engine!$C$2:$C$1960,0)),"",INDEX('Compliance Database'!$J$2:$J$1960,MATCH(591,Engine!$C$2:$C$1960,0)))</f>
        <v/>
      </c>
      <c r="K604" s="9">
        <f>IF(ISNA(MATCH(591,Engine!$C$2:$C$1960,0)),"",INDEX('Compliance Database'!$K$2:$K$1960,MATCH(591,Engine!$C$2:$C$1960,0)))</f>
        <v/>
      </c>
      <c r="L604" s="9">
        <f>IF(ISNA(MATCH(591,Engine!$C$2:$C$1960,0)),"",INDEX('Compliance Database'!$L$2:$L$1960,MATCH(591,Engine!$C$2:$C$1960,0)))</f>
        <v/>
      </c>
      <c r="M604" s="9">
        <f>IF(ISNA(MATCH(591,Engine!$C$2:$C$1960,0)),"",INDEX('Compliance Database'!$M$2:$M$1960,MATCH(591,Engine!$C$2:$C$1960,0)))</f>
        <v/>
      </c>
      <c r="N604" s="9">
        <f>IF(ISNA(MATCH(591,Engine!$C$2:$C$1960,0)),"",INDEX('Compliance Database'!$N$2:$N$1960,MATCH(591,Engine!$C$2:$C$1960,0)))</f>
        <v/>
      </c>
      <c r="O604" s="9">
        <f>IF(ISNA(MATCH(591,Engine!$C$2:$C$1960,0)),"",INDEX('Compliance Database'!$O$2:$O$1960,MATCH(591,Engine!$C$2:$C$1960,0)))</f>
        <v/>
      </c>
      <c r="P604" s="8">
        <f>IF(ISNA(MATCH(591,Engine!$C$2:$C$1960,0)),"",HYPERLINK("#Acts!A"&amp;INDEX('Compliance Database'!$P$2:$P$1960,MATCH(591,Engine!$C$2:$C$1960,0)),"Go to Act"))</f>
        <v/>
      </c>
    </row>
    <row r="605" ht="158" customHeight="1">
      <c r="A605" s="8">
        <f>IF(ISNA(MATCH(592,Engine!$C$2:$C$1960,0)),"",INDEX('Compliance Database'!$A$2:$A$1960,MATCH(592,Engine!$C$2:$C$1960,0)))</f>
        <v/>
      </c>
      <c r="B605" s="8">
        <f>IF(ISNA(MATCH(592,Engine!$C$2:$C$1960,0)),"",INDEX('Compliance Database'!$B$2:$B$1960,MATCH(592,Engine!$C$2:$C$1960,0)))</f>
        <v/>
      </c>
      <c r="C605" s="8">
        <f>IF(ISNA(MATCH(592,Engine!$C$2:$C$1960,0)),"",INDEX('Compliance Database'!$C$2:$C$1960,MATCH(592,Engine!$C$2:$C$1960,0)))</f>
        <v/>
      </c>
      <c r="D605" s="9">
        <f>IF(ISNA(MATCH(592,Engine!$C$2:$C$1960,0)),"",INDEX('Compliance Database'!$D$2:$D$1960,MATCH(592,Engine!$C$2:$C$1960,0)))</f>
        <v/>
      </c>
      <c r="E605" s="8">
        <f>IF(ISNA(MATCH(592,Engine!$C$2:$C$1960,0)),"",INDEX('Compliance Database'!$E$2:$E$1960,MATCH(592,Engine!$C$2:$C$1960,0)))</f>
        <v/>
      </c>
      <c r="F605" s="8">
        <f>IF(ISNA(MATCH(592,Engine!$C$2:$C$1960,0)),"",INDEX('Compliance Database'!$F$2:$F$1960,MATCH(592,Engine!$C$2:$C$1960,0)))</f>
        <v/>
      </c>
      <c r="G605" s="8">
        <f>IF(ISNA(MATCH(592,Engine!$C$2:$C$1960,0)),"",INDEX('Compliance Database'!$G$2:$G$1960,MATCH(592,Engine!$C$2:$C$1960,0)))</f>
        <v/>
      </c>
      <c r="H605" s="9">
        <f>IF(ISNA(MATCH(592,Engine!$C$2:$C$1960,0)),"",INDEX('Compliance Database'!$H$2:$H$1960,MATCH(592,Engine!$C$2:$C$1960,0)))</f>
        <v/>
      </c>
      <c r="I605" s="9">
        <f>IF(ISNA(MATCH(592,Engine!$C$2:$C$1960,0)),"",INDEX('Compliance Database'!$I$2:$I$1960,MATCH(592,Engine!$C$2:$C$1960,0)))</f>
        <v/>
      </c>
      <c r="J605" s="8">
        <f>IF(ISNA(MATCH(592,Engine!$C$2:$C$1960,0)),"",INDEX('Compliance Database'!$J$2:$J$1960,MATCH(592,Engine!$C$2:$C$1960,0)))</f>
        <v/>
      </c>
      <c r="K605" s="9">
        <f>IF(ISNA(MATCH(592,Engine!$C$2:$C$1960,0)),"",INDEX('Compliance Database'!$K$2:$K$1960,MATCH(592,Engine!$C$2:$C$1960,0)))</f>
        <v/>
      </c>
      <c r="L605" s="9">
        <f>IF(ISNA(MATCH(592,Engine!$C$2:$C$1960,0)),"",INDEX('Compliance Database'!$L$2:$L$1960,MATCH(592,Engine!$C$2:$C$1960,0)))</f>
        <v/>
      </c>
      <c r="M605" s="9">
        <f>IF(ISNA(MATCH(592,Engine!$C$2:$C$1960,0)),"",INDEX('Compliance Database'!$M$2:$M$1960,MATCH(592,Engine!$C$2:$C$1960,0)))</f>
        <v/>
      </c>
      <c r="N605" s="9">
        <f>IF(ISNA(MATCH(592,Engine!$C$2:$C$1960,0)),"",INDEX('Compliance Database'!$N$2:$N$1960,MATCH(592,Engine!$C$2:$C$1960,0)))</f>
        <v/>
      </c>
      <c r="O605" s="9">
        <f>IF(ISNA(MATCH(592,Engine!$C$2:$C$1960,0)),"",INDEX('Compliance Database'!$O$2:$O$1960,MATCH(592,Engine!$C$2:$C$1960,0)))</f>
        <v/>
      </c>
      <c r="P605" s="8">
        <f>IF(ISNA(MATCH(592,Engine!$C$2:$C$1960,0)),"",HYPERLINK("#Acts!A"&amp;INDEX('Compliance Database'!$P$2:$P$1960,MATCH(592,Engine!$C$2:$C$1960,0)),"Go to Act"))</f>
        <v/>
      </c>
    </row>
    <row r="606" ht="158" customHeight="1">
      <c r="A606" s="8">
        <f>IF(ISNA(MATCH(593,Engine!$C$2:$C$1960,0)),"",INDEX('Compliance Database'!$A$2:$A$1960,MATCH(593,Engine!$C$2:$C$1960,0)))</f>
        <v/>
      </c>
      <c r="B606" s="8">
        <f>IF(ISNA(MATCH(593,Engine!$C$2:$C$1960,0)),"",INDEX('Compliance Database'!$B$2:$B$1960,MATCH(593,Engine!$C$2:$C$1960,0)))</f>
        <v/>
      </c>
      <c r="C606" s="8">
        <f>IF(ISNA(MATCH(593,Engine!$C$2:$C$1960,0)),"",INDEX('Compliance Database'!$C$2:$C$1960,MATCH(593,Engine!$C$2:$C$1960,0)))</f>
        <v/>
      </c>
      <c r="D606" s="9">
        <f>IF(ISNA(MATCH(593,Engine!$C$2:$C$1960,0)),"",INDEX('Compliance Database'!$D$2:$D$1960,MATCH(593,Engine!$C$2:$C$1960,0)))</f>
        <v/>
      </c>
      <c r="E606" s="8">
        <f>IF(ISNA(MATCH(593,Engine!$C$2:$C$1960,0)),"",INDEX('Compliance Database'!$E$2:$E$1960,MATCH(593,Engine!$C$2:$C$1960,0)))</f>
        <v/>
      </c>
      <c r="F606" s="8">
        <f>IF(ISNA(MATCH(593,Engine!$C$2:$C$1960,0)),"",INDEX('Compliance Database'!$F$2:$F$1960,MATCH(593,Engine!$C$2:$C$1960,0)))</f>
        <v/>
      </c>
      <c r="G606" s="8">
        <f>IF(ISNA(MATCH(593,Engine!$C$2:$C$1960,0)),"",INDEX('Compliance Database'!$G$2:$G$1960,MATCH(593,Engine!$C$2:$C$1960,0)))</f>
        <v/>
      </c>
      <c r="H606" s="9">
        <f>IF(ISNA(MATCH(593,Engine!$C$2:$C$1960,0)),"",INDEX('Compliance Database'!$H$2:$H$1960,MATCH(593,Engine!$C$2:$C$1960,0)))</f>
        <v/>
      </c>
      <c r="I606" s="9">
        <f>IF(ISNA(MATCH(593,Engine!$C$2:$C$1960,0)),"",INDEX('Compliance Database'!$I$2:$I$1960,MATCH(593,Engine!$C$2:$C$1960,0)))</f>
        <v/>
      </c>
      <c r="J606" s="8">
        <f>IF(ISNA(MATCH(593,Engine!$C$2:$C$1960,0)),"",INDEX('Compliance Database'!$J$2:$J$1960,MATCH(593,Engine!$C$2:$C$1960,0)))</f>
        <v/>
      </c>
      <c r="K606" s="9">
        <f>IF(ISNA(MATCH(593,Engine!$C$2:$C$1960,0)),"",INDEX('Compliance Database'!$K$2:$K$1960,MATCH(593,Engine!$C$2:$C$1960,0)))</f>
        <v/>
      </c>
      <c r="L606" s="9">
        <f>IF(ISNA(MATCH(593,Engine!$C$2:$C$1960,0)),"",INDEX('Compliance Database'!$L$2:$L$1960,MATCH(593,Engine!$C$2:$C$1960,0)))</f>
        <v/>
      </c>
      <c r="M606" s="9">
        <f>IF(ISNA(MATCH(593,Engine!$C$2:$C$1960,0)),"",INDEX('Compliance Database'!$M$2:$M$1960,MATCH(593,Engine!$C$2:$C$1960,0)))</f>
        <v/>
      </c>
      <c r="N606" s="9">
        <f>IF(ISNA(MATCH(593,Engine!$C$2:$C$1960,0)),"",INDEX('Compliance Database'!$N$2:$N$1960,MATCH(593,Engine!$C$2:$C$1960,0)))</f>
        <v/>
      </c>
      <c r="O606" s="9">
        <f>IF(ISNA(MATCH(593,Engine!$C$2:$C$1960,0)),"",INDEX('Compliance Database'!$O$2:$O$1960,MATCH(593,Engine!$C$2:$C$1960,0)))</f>
        <v/>
      </c>
      <c r="P606" s="8">
        <f>IF(ISNA(MATCH(593,Engine!$C$2:$C$1960,0)),"",HYPERLINK("#Acts!A"&amp;INDEX('Compliance Database'!$P$2:$P$1960,MATCH(593,Engine!$C$2:$C$1960,0)),"Go to Act"))</f>
        <v/>
      </c>
    </row>
    <row r="607" ht="158" customHeight="1">
      <c r="A607" s="8">
        <f>IF(ISNA(MATCH(594,Engine!$C$2:$C$1960,0)),"",INDEX('Compliance Database'!$A$2:$A$1960,MATCH(594,Engine!$C$2:$C$1960,0)))</f>
        <v/>
      </c>
      <c r="B607" s="8">
        <f>IF(ISNA(MATCH(594,Engine!$C$2:$C$1960,0)),"",INDEX('Compliance Database'!$B$2:$B$1960,MATCH(594,Engine!$C$2:$C$1960,0)))</f>
        <v/>
      </c>
      <c r="C607" s="8">
        <f>IF(ISNA(MATCH(594,Engine!$C$2:$C$1960,0)),"",INDEX('Compliance Database'!$C$2:$C$1960,MATCH(594,Engine!$C$2:$C$1960,0)))</f>
        <v/>
      </c>
      <c r="D607" s="9">
        <f>IF(ISNA(MATCH(594,Engine!$C$2:$C$1960,0)),"",INDEX('Compliance Database'!$D$2:$D$1960,MATCH(594,Engine!$C$2:$C$1960,0)))</f>
        <v/>
      </c>
      <c r="E607" s="8">
        <f>IF(ISNA(MATCH(594,Engine!$C$2:$C$1960,0)),"",INDEX('Compliance Database'!$E$2:$E$1960,MATCH(594,Engine!$C$2:$C$1960,0)))</f>
        <v/>
      </c>
      <c r="F607" s="8">
        <f>IF(ISNA(MATCH(594,Engine!$C$2:$C$1960,0)),"",INDEX('Compliance Database'!$F$2:$F$1960,MATCH(594,Engine!$C$2:$C$1960,0)))</f>
        <v/>
      </c>
      <c r="G607" s="8">
        <f>IF(ISNA(MATCH(594,Engine!$C$2:$C$1960,0)),"",INDEX('Compliance Database'!$G$2:$G$1960,MATCH(594,Engine!$C$2:$C$1960,0)))</f>
        <v/>
      </c>
      <c r="H607" s="9">
        <f>IF(ISNA(MATCH(594,Engine!$C$2:$C$1960,0)),"",INDEX('Compliance Database'!$H$2:$H$1960,MATCH(594,Engine!$C$2:$C$1960,0)))</f>
        <v/>
      </c>
      <c r="I607" s="9">
        <f>IF(ISNA(MATCH(594,Engine!$C$2:$C$1960,0)),"",INDEX('Compliance Database'!$I$2:$I$1960,MATCH(594,Engine!$C$2:$C$1960,0)))</f>
        <v/>
      </c>
      <c r="J607" s="8">
        <f>IF(ISNA(MATCH(594,Engine!$C$2:$C$1960,0)),"",INDEX('Compliance Database'!$J$2:$J$1960,MATCH(594,Engine!$C$2:$C$1960,0)))</f>
        <v/>
      </c>
      <c r="K607" s="9">
        <f>IF(ISNA(MATCH(594,Engine!$C$2:$C$1960,0)),"",INDEX('Compliance Database'!$K$2:$K$1960,MATCH(594,Engine!$C$2:$C$1960,0)))</f>
        <v/>
      </c>
      <c r="L607" s="9">
        <f>IF(ISNA(MATCH(594,Engine!$C$2:$C$1960,0)),"",INDEX('Compliance Database'!$L$2:$L$1960,MATCH(594,Engine!$C$2:$C$1960,0)))</f>
        <v/>
      </c>
      <c r="M607" s="9">
        <f>IF(ISNA(MATCH(594,Engine!$C$2:$C$1960,0)),"",INDEX('Compliance Database'!$M$2:$M$1960,MATCH(594,Engine!$C$2:$C$1960,0)))</f>
        <v/>
      </c>
      <c r="N607" s="9">
        <f>IF(ISNA(MATCH(594,Engine!$C$2:$C$1960,0)),"",INDEX('Compliance Database'!$N$2:$N$1960,MATCH(594,Engine!$C$2:$C$1960,0)))</f>
        <v/>
      </c>
      <c r="O607" s="9">
        <f>IF(ISNA(MATCH(594,Engine!$C$2:$C$1960,0)),"",INDEX('Compliance Database'!$O$2:$O$1960,MATCH(594,Engine!$C$2:$C$1960,0)))</f>
        <v/>
      </c>
      <c r="P607" s="8">
        <f>IF(ISNA(MATCH(594,Engine!$C$2:$C$1960,0)),"",HYPERLINK("#Acts!A"&amp;INDEX('Compliance Database'!$P$2:$P$1960,MATCH(594,Engine!$C$2:$C$1960,0)),"Go to Act"))</f>
        <v/>
      </c>
    </row>
    <row r="608" ht="158" customHeight="1">
      <c r="A608" s="8">
        <f>IF(ISNA(MATCH(595,Engine!$C$2:$C$1960,0)),"",INDEX('Compliance Database'!$A$2:$A$1960,MATCH(595,Engine!$C$2:$C$1960,0)))</f>
        <v/>
      </c>
      <c r="B608" s="8">
        <f>IF(ISNA(MATCH(595,Engine!$C$2:$C$1960,0)),"",INDEX('Compliance Database'!$B$2:$B$1960,MATCH(595,Engine!$C$2:$C$1960,0)))</f>
        <v/>
      </c>
      <c r="C608" s="8">
        <f>IF(ISNA(MATCH(595,Engine!$C$2:$C$1960,0)),"",INDEX('Compliance Database'!$C$2:$C$1960,MATCH(595,Engine!$C$2:$C$1960,0)))</f>
        <v/>
      </c>
      <c r="D608" s="9">
        <f>IF(ISNA(MATCH(595,Engine!$C$2:$C$1960,0)),"",INDEX('Compliance Database'!$D$2:$D$1960,MATCH(595,Engine!$C$2:$C$1960,0)))</f>
        <v/>
      </c>
      <c r="E608" s="8">
        <f>IF(ISNA(MATCH(595,Engine!$C$2:$C$1960,0)),"",INDEX('Compliance Database'!$E$2:$E$1960,MATCH(595,Engine!$C$2:$C$1960,0)))</f>
        <v/>
      </c>
      <c r="F608" s="8">
        <f>IF(ISNA(MATCH(595,Engine!$C$2:$C$1960,0)),"",INDEX('Compliance Database'!$F$2:$F$1960,MATCH(595,Engine!$C$2:$C$1960,0)))</f>
        <v/>
      </c>
      <c r="G608" s="8">
        <f>IF(ISNA(MATCH(595,Engine!$C$2:$C$1960,0)),"",INDEX('Compliance Database'!$G$2:$G$1960,MATCH(595,Engine!$C$2:$C$1960,0)))</f>
        <v/>
      </c>
      <c r="H608" s="9">
        <f>IF(ISNA(MATCH(595,Engine!$C$2:$C$1960,0)),"",INDEX('Compliance Database'!$H$2:$H$1960,MATCH(595,Engine!$C$2:$C$1960,0)))</f>
        <v/>
      </c>
      <c r="I608" s="9">
        <f>IF(ISNA(MATCH(595,Engine!$C$2:$C$1960,0)),"",INDEX('Compliance Database'!$I$2:$I$1960,MATCH(595,Engine!$C$2:$C$1960,0)))</f>
        <v/>
      </c>
      <c r="J608" s="8">
        <f>IF(ISNA(MATCH(595,Engine!$C$2:$C$1960,0)),"",INDEX('Compliance Database'!$J$2:$J$1960,MATCH(595,Engine!$C$2:$C$1960,0)))</f>
        <v/>
      </c>
      <c r="K608" s="9">
        <f>IF(ISNA(MATCH(595,Engine!$C$2:$C$1960,0)),"",INDEX('Compliance Database'!$K$2:$K$1960,MATCH(595,Engine!$C$2:$C$1960,0)))</f>
        <v/>
      </c>
      <c r="L608" s="9">
        <f>IF(ISNA(MATCH(595,Engine!$C$2:$C$1960,0)),"",INDEX('Compliance Database'!$L$2:$L$1960,MATCH(595,Engine!$C$2:$C$1960,0)))</f>
        <v/>
      </c>
      <c r="M608" s="9">
        <f>IF(ISNA(MATCH(595,Engine!$C$2:$C$1960,0)),"",INDEX('Compliance Database'!$M$2:$M$1960,MATCH(595,Engine!$C$2:$C$1960,0)))</f>
        <v/>
      </c>
      <c r="N608" s="9">
        <f>IF(ISNA(MATCH(595,Engine!$C$2:$C$1960,0)),"",INDEX('Compliance Database'!$N$2:$N$1960,MATCH(595,Engine!$C$2:$C$1960,0)))</f>
        <v/>
      </c>
      <c r="O608" s="9">
        <f>IF(ISNA(MATCH(595,Engine!$C$2:$C$1960,0)),"",INDEX('Compliance Database'!$O$2:$O$1960,MATCH(595,Engine!$C$2:$C$1960,0)))</f>
        <v/>
      </c>
      <c r="P608" s="8">
        <f>IF(ISNA(MATCH(595,Engine!$C$2:$C$1960,0)),"",HYPERLINK("#Acts!A"&amp;INDEX('Compliance Database'!$P$2:$P$1960,MATCH(595,Engine!$C$2:$C$1960,0)),"Go to Act"))</f>
        <v/>
      </c>
    </row>
    <row r="609" ht="158" customHeight="1">
      <c r="A609" s="8">
        <f>IF(ISNA(MATCH(596,Engine!$C$2:$C$1960,0)),"",INDEX('Compliance Database'!$A$2:$A$1960,MATCH(596,Engine!$C$2:$C$1960,0)))</f>
        <v/>
      </c>
      <c r="B609" s="8">
        <f>IF(ISNA(MATCH(596,Engine!$C$2:$C$1960,0)),"",INDEX('Compliance Database'!$B$2:$B$1960,MATCH(596,Engine!$C$2:$C$1960,0)))</f>
        <v/>
      </c>
      <c r="C609" s="8">
        <f>IF(ISNA(MATCH(596,Engine!$C$2:$C$1960,0)),"",INDEX('Compliance Database'!$C$2:$C$1960,MATCH(596,Engine!$C$2:$C$1960,0)))</f>
        <v/>
      </c>
      <c r="D609" s="9">
        <f>IF(ISNA(MATCH(596,Engine!$C$2:$C$1960,0)),"",INDEX('Compliance Database'!$D$2:$D$1960,MATCH(596,Engine!$C$2:$C$1960,0)))</f>
        <v/>
      </c>
      <c r="E609" s="8">
        <f>IF(ISNA(MATCH(596,Engine!$C$2:$C$1960,0)),"",INDEX('Compliance Database'!$E$2:$E$1960,MATCH(596,Engine!$C$2:$C$1960,0)))</f>
        <v/>
      </c>
      <c r="F609" s="8">
        <f>IF(ISNA(MATCH(596,Engine!$C$2:$C$1960,0)),"",INDEX('Compliance Database'!$F$2:$F$1960,MATCH(596,Engine!$C$2:$C$1960,0)))</f>
        <v/>
      </c>
      <c r="G609" s="8">
        <f>IF(ISNA(MATCH(596,Engine!$C$2:$C$1960,0)),"",INDEX('Compliance Database'!$G$2:$G$1960,MATCH(596,Engine!$C$2:$C$1960,0)))</f>
        <v/>
      </c>
      <c r="H609" s="9">
        <f>IF(ISNA(MATCH(596,Engine!$C$2:$C$1960,0)),"",INDEX('Compliance Database'!$H$2:$H$1960,MATCH(596,Engine!$C$2:$C$1960,0)))</f>
        <v/>
      </c>
      <c r="I609" s="9">
        <f>IF(ISNA(MATCH(596,Engine!$C$2:$C$1960,0)),"",INDEX('Compliance Database'!$I$2:$I$1960,MATCH(596,Engine!$C$2:$C$1960,0)))</f>
        <v/>
      </c>
      <c r="J609" s="8">
        <f>IF(ISNA(MATCH(596,Engine!$C$2:$C$1960,0)),"",INDEX('Compliance Database'!$J$2:$J$1960,MATCH(596,Engine!$C$2:$C$1960,0)))</f>
        <v/>
      </c>
      <c r="K609" s="9">
        <f>IF(ISNA(MATCH(596,Engine!$C$2:$C$1960,0)),"",INDEX('Compliance Database'!$K$2:$K$1960,MATCH(596,Engine!$C$2:$C$1960,0)))</f>
        <v/>
      </c>
      <c r="L609" s="9">
        <f>IF(ISNA(MATCH(596,Engine!$C$2:$C$1960,0)),"",INDEX('Compliance Database'!$L$2:$L$1960,MATCH(596,Engine!$C$2:$C$1960,0)))</f>
        <v/>
      </c>
      <c r="M609" s="9">
        <f>IF(ISNA(MATCH(596,Engine!$C$2:$C$1960,0)),"",INDEX('Compliance Database'!$M$2:$M$1960,MATCH(596,Engine!$C$2:$C$1960,0)))</f>
        <v/>
      </c>
      <c r="N609" s="9">
        <f>IF(ISNA(MATCH(596,Engine!$C$2:$C$1960,0)),"",INDEX('Compliance Database'!$N$2:$N$1960,MATCH(596,Engine!$C$2:$C$1960,0)))</f>
        <v/>
      </c>
      <c r="O609" s="9">
        <f>IF(ISNA(MATCH(596,Engine!$C$2:$C$1960,0)),"",INDEX('Compliance Database'!$O$2:$O$1960,MATCH(596,Engine!$C$2:$C$1960,0)))</f>
        <v/>
      </c>
      <c r="P609" s="8">
        <f>IF(ISNA(MATCH(596,Engine!$C$2:$C$1960,0)),"",HYPERLINK("#Acts!A"&amp;INDEX('Compliance Database'!$P$2:$P$1960,MATCH(596,Engine!$C$2:$C$1960,0)),"Go to Act"))</f>
        <v/>
      </c>
    </row>
    <row r="610" ht="158" customHeight="1">
      <c r="A610" s="8">
        <f>IF(ISNA(MATCH(597,Engine!$C$2:$C$1960,0)),"",INDEX('Compliance Database'!$A$2:$A$1960,MATCH(597,Engine!$C$2:$C$1960,0)))</f>
        <v/>
      </c>
      <c r="B610" s="8">
        <f>IF(ISNA(MATCH(597,Engine!$C$2:$C$1960,0)),"",INDEX('Compliance Database'!$B$2:$B$1960,MATCH(597,Engine!$C$2:$C$1960,0)))</f>
        <v/>
      </c>
      <c r="C610" s="8">
        <f>IF(ISNA(MATCH(597,Engine!$C$2:$C$1960,0)),"",INDEX('Compliance Database'!$C$2:$C$1960,MATCH(597,Engine!$C$2:$C$1960,0)))</f>
        <v/>
      </c>
      <c r="D610" s="9">
        <f>IF(ISNA(MATCH(597,Engine!$C$2:$C$1960,0)),"",INDEX('Compliance Database'!$D$2:$D$1960,MATCH(597,Engine!$C$2:$C$1960,0)))</f>
        <v/>
      </c>
      <c r="E610" s="8">
        <f>IF(ISNA(MATCH(597,Engine!$C$2:$C$1960,0)),"",INDEX('Compliance Database'!$E$2:$E$1960,MATCH(597,Engine!$C$2:$C$1960,0)))</f>
        <v/>
      </c>
      <c r="F610" s="8">
        <f>IF(ISNA(MATCH(597,Engine!$C$2:$C$1960,0)),"",INDEX('Compliance Database'!$F$2:$F$1960,MATCH(597,Engine!$C$2:$C$1960,0)))</f>
        <v/>
      </c>
      <c r="G610" s="8">
        <f>IF(ISNA(MATCH(597,Engine!$C$2:$C$1960,0)),"",INDEX('Compliance Database'!$G$2:$G$1960,MATCH(597,Engine!$C$2:$C$1960,0)))</f>
        <v/>
      </c>
      <c r="H610" s="9">
        <f>IF(ISNA(MATCH(597,Engine!$C$2:$C$1960,0)),"",INDEX('Compliance Database'!$H$2:$H$1960,MATCH(597,Engine!$C$2:$C$1960,0)))</f>
        <v/>
      </c>
      <c r="I610" s="9">
        <f>IF(ISNA(MATCH(597,Engine!$C$2:$C$1960,0)),"",INDEX('Compliance Database'!$I$2:$I$1960,MATCH(597,Engine!$C$2:$C$1960,0)))</f>
        <v/>
      </c>
      <c r="J610" s="8">
        <f>IF(ISNA(MATCH(597,Engine!$C$2:$C$1960,0)),"",INDEX('Compliance Database'!$J$2:$J$1960,MATCH(597,Engine!$C$2:$C$1960,0)))</f>
        <v/>
      </c>
      <c r="K610" s="9">
        <f>IF(ISNA(MATCH(597,Engine!$C$2:$C$1960,0)),"",INDEX('Compliance Database'!$K$2:$K$1960,MATCH(597,Engine!$C$2:$C$1960,0)))</f>
        <v/>
      </c>
      <c r="L610" s="9">
        <f>IF(ISNA(MATCH(597,Engine!$C$2:$C$1960,0)),"",INDEX('Compliance Database'!$L$2:$L$1960,MATCH(597,Engine!$C$2:$C$1960,0)))</f>
        <v/>
      </c>
      <c r="M610" s="9">
        <f>IF(ISNA(MATCH(597,Engine!$C$2:$C$1960,0)),"",INDEX('Compliance Database'!$M$2:$M$1960,MATCH(597,Engine!$C$2:$C$1960,0)))</f>
        <v/>
      </c>
      <c r="N610" s="9">
        <f>IF(ISNA(MATCH(597,Engine!$C$2:$C$1960,0)),"",INDEX('Compliance Database'!$N$2:$N$1960,MATCH(597,Engine!$C$2:$C$1960,0)))</f>
        <v/>
      </c>
      <c r="O610" s="9">
        <f>IF(ISNA(MATCH(597,Engine!$C$2:$C$1960,0)),"",INDEX('Compliance Database'!$O$2:$O$1960,MATCH(597,Engine!$C$2:$C$1960,0)))</f>
        <v/>
      </c>
      <c r="P610" s="8">
        <f>IF(ISNA(MATCH(597,Engine!$C$2:$C$1960,0)),"",HYPERLINK("#Acts!A"&amp;INDEX('Compliance Database'!$P$2:$P$1960,MATCH(597,Engine!$C$2:$C$1960,0)),"Go to Act"))</f>
        <v/>
      </c>
    </row>
    <row r="611" ht="158" customHeight="1">
      <c r="A611" s="8">
        <f>IF(ISNA(MATCH(598,Engine!$C$2:$C$1960,0)),"",INDEX('Compliance Database'!$A$2:$A$1960,MATCH(598,Engine!$C$2:$C$1960,0)))</f>
        <v/>
      </c>
      <c r="B611" s="8">
        <f>IF(ISNA(MATCH(598,Engine!$C$2:$C$1960,0)),"",INDEX('Compliance Database'!$B$2:$B$1960,MATCH(598,Engine!$C$2:$C$1960,0)))</f>
        <v/>
      </c>
      <c r="C611" s="8">
        <f>IF(ISNA(MATCH(598,Engine!$C$2:$C$1960,0)),"",INDEX('Compliance Database'!$C$2:$C$1960,MATCH(598,Engine!$C$2:$C$1960,0)))</f>
        <v/>
      </c>
      <c r="D611" s="9">
        <f>IF(ISNA(MATCH(598,Engine!$C$2:$C$1960,0)),"",INDEX('Compliance Database'!$D$2:$D$1960,MATCH(598,Engine!$C$2:$C$1960,0)))</f>
        <v/>
      </c>
      <c r="E611" s="8">
        <f>IF(ISNA(MATCH(598,Engine!$C$2:$C$1960,0)),"",INDEX('Compliance Database'!$E$2:$E$1960,MATCH(598,Engine!$C$2:$C$1960,0)))</f>
        <v/>
      </c>
      <c r="F611" s="8">
        <f>IF(ISNA(MATCH(598,Engine!$C$2:$C$1960,0)),"",INDEX('Compliance Database'!$F$2:$F$1960,MATCH(598,Engine!$C$2:$C$1960,0)))</f>
        <v/>
      </c>
      <c r="G611" s="8">
        <f>IF(ISNA(MATCH(598,Engine!$C$2:$C$1960,0)),"",INDEX('Compliance Database'!$G$2:$G$1960,MATCH(598,Engine!$C$2:$C$1960,0)))</f>
        <v/>
      </c>
      <c r="H611" s="9">
        <f>IF(ISNA(MATCH(598,Engine!$C$2:$C$1960,0)),"",INDEX('Compliance Database'!$H$2:$H$1960,MATCH(598,Engine!$C$2:$C$1960,0)))</f>
        <v/>
      </c>
      <c r="I611" s="9">
        <f>IF(ISNA(MATCH(598,Engine!$C$2:$C$1960,0)),"",INDEX('Compliance Database'!$I$2:$I$1960,MATCH(598,Engine!$C$2:$C$1960,0)))</f>
        <v/>
      </c>
      <c r="J611" s="8">
        <f>IF(ISNA(MATCH(598,Engine!$C$2:$C$1960,0)),"",INDEX('Compliance Database'!$J$2:$J$1960,MATCH(598,Engine!$C$2:$C$1960,0)))</f>
        <v/>
      </c>
      <c r="K611" s="9">
        <f>IF(ISNA(MATCH(598,Engine!$C$2:$C$1960,0)),"",INDEX('Compliance Database'!$K$2:$K$1960,MATCH(598,Engine!$C$2:$C$1960,0)))</f>
        <v/>
      </c>
      <c r="L611" s="9">
        <f>IF(ISNA(MATCH(598,Engine!$C$2:$C$1960,0)),"",INDEX('Compliance Database'!$L$2:$L$1960,MATCH(598,Engine!$C$2:$C$1960,0)))</f>
        <v/>
      </c>
      <c r="M611" s="9">
        <f>IF(ISNA(MATCH(598,Engine!$C$2:$C$1960,0)),"",INDEX('Compliance Database'!$M$2:$M$1960,MATCH(598,Engine!$C$2:$C$1960,0)))</f>
        <v/>
      </c>
      <c r="N611" s="9">
        <f>IF(ISNA(MATCH(598,Engine!$C$2:$C$1960,0)),"",INDEX('Compliance Database'!$N$2:$N$1960,MATCH(598,Engine!$C$2:$C$1960,0)))</f>
        <v/>
      </c>
      <c r="O611" s="9">
        <f>IF(ISNA(MATCH(598,Engine!$C$2:$C$1960,0)),"",INDEX('Compliance Database'!$O$2:$O$1960,MATCH(598,Engine!$C$2:$C$1960,0)))</f>
        <v/>
      </c>
      <c r="P611" s="8">
        <f>IF(ISNA(MATCH(598,Engine!$C$2:$C$1960,0)),"",HYPERLINK("#Acts!A"&amp;INDEX('Compliance Database'!$P$2:$P$1960,MATCH(598,Engine!$C$2:$C$1960,0)),"Go to Act"))</f>
        <v/>
      </c>
    </row>
    <row r="612" ht="158" customHeight="1">
      <c r="A612" s="8">
        <f>IF(ISNA(MATCH(599,Engine!$C$2:$C$1960,0)),"",INDEX('Compliance Database'!$A$2:$A$1960,MATCH(599,Engine!$C$2:$C$1960,0)))</f>
        <v/>
      </c>
      <c r="B612" s="8">
        <f>IF(ISNA(MATCH(599,Engine!$C$2:$C$1960,0)),"",INDEX('Compliance Database'!$B$2:$B$1960,MATCH(599,Engine!$C$2:$C$1960,0)))</f>
        <v/>
      </c>
      <c r="C612" s="8">
        <f>IF(ISNA(MATCH(599,Engine!$C$2:$C$1960,0)),"",INDEX('Compliance Database'!$C$2:$C$1960,MATCH(599,Engine!$C$2:$C$1960,0)))</f>
        <v/>
      </c>
      <c r="D612" s="9">
        <f>IF(ISNA(MATCH(599,Engine!$C$2:$C$1960,0)),"",INDEX('Compliance Database'!$D$2:$D$1960,MATCH(599,Engine!$C$2:$C$1960,0)))</f>
        <v/>
      </c>
      <c r="E612" s="8">
        <f>IF(ISNA(MATCH(599,Engine!$C$2:$C$1960,0)),"",INDEX('Compliance Database'!$E$2:$E$1960,MATCH(599,Engine!$C$2:$C$1960,0)))</f>
        <v/>
      </c>
      <c r="F612" s="8">
        <f>IF(ISNA(MATCH(599,Engine!$C$2:$C$1960,0)),"",INDEX('Compliance Database'!$F$2:$F$1960,MATCH(599,Engine!$C$2:$C$1960,0)))</f>
        <v/>
      </c>
      <c r="G612" s="8">
        <f>IF(ISNA(MATCH(599,Engine!$C$2:$C$1960,0)),"",INDEX('Compliance Database'!$G$2:$G$1960,MATCH(599,Engine!$C$2:$C$1960,0)))</f>
        <v/>
      </c>
      <c r="H612" s="9">
        <f>IF(ISNA(MATCH(599,Engine!$C$2:$C$1960,0)),"",INDEX('Compliance Database'!$H$2:$H$1960,MATCH(599,Engine!$C$2:$C$1960,0)))</f>
        <v/>
      </c>
      <c r="I612" s="9">
        <f>IF(ISNA(MATCH(599,Engine!$C$2:$C$1960,0)),"",INDEX('Compliance Database'!$I$2:$I$1960,MATCH(599,Engine!$C$2:$C$1960,0)))</f>
        <v/>
      </c>
      <c r="J612" s="8">
        <f>IF(ISNA(MATCH(599,Engine!$C$2:$C$1960,0)),"",INDEX('Compliance Database'!$J$2:$J$1960,MATCH(599,Engine!$C$2:$C$1960,0)))</f>
        <v/>
      </c>
      <c r="K612" s="9">
        <f>IF(ISNA(MATCH(599,Engine!$C$2:$C$1960,0)),"",INDEX('Compliance Database'!$K$2:$K$1960,MATCH(599,Engine!$C$2:$C$1960,0)))</f>
        <v/>
      </c>
      <c r="L612" s="9">
        <f>IF(ISNA(MATCH(599,Engine!$C$2:$C$1960,0)),"",INDEX('Compliance Database'!$L$2:$L$1960,MATCH(599,Engine!$C$2:$C$1960,0)))</f>
        <v/>
      </c>
      <c r="M612" s="9">
        <f>IF(ISNA(MATCH(599,Engine!$C$2:$C$1960,0)),"",INDEX('Compliance Database'!$M$2:$M$1960,MATCH(599,Engine!$C$2:$C$1960,0)))</f>
        <v/>
      </c>
      <c r="N612" s="9">
        <f>IF(ISNA(MATCH(599,Engine!$C$2:$C$1960,0)),"",INDEX('Compliance Database'!$N$2:$N$1960,MATCH(599,Engine!$C$2:$C$1960,0)))</f>
        <v/>
      </c>
      <c r="O612" s="9">
        <f>IF(ISNA(MATCH(599,Engine!$C$2:$C$1960,0)),"",INDEX('Compliance Database'!$O$2:$O$1960,MATCH(599,Engine!$C$2:$C$1960,0)))</f>
        <v/>
      </c>
      <c r="P612" s="8">
        <f>IF(ISNA(MATCH(599,Engine!$C$2:$C$1960,0)),"",HYPERLINK("#Acts!A"&amp;INDEX('Compliance Database'!$P$2:$P$1960,MATCH(599,Engine!$C$2:$C$1960,0)),"Go to Act"))</f>
        <v/>
      </c>
    </row>
    <row r="613" ht="158" customHeight="1">
      <c r="A613" s="8">
        <f>IF(ISNA(MATCH(600,Engine!$C$2:$C$1960,0)),"",INDEX('Compliance Database'!$A$2:$A$1960,MATCH(600,Engine!$C$2:$C$1960,0)))</f>
        <v/>
      </c>
      <c r="B613" s="8">
        <f>IF(ISNA(MATCH(600,Engine!$C$2:$C$1960,0)),"",INDEX('Compliance Database'!$B$2:$B$1960,MATCH(600,Engine!$C$2:$C$1960,0)))</f>
        <v/>
      </c>
      <c r="C613" s="8">
        <f>IF(ISNA(MATCH(600,Engine!$C$2:$C$1960,0)),"",INDEX('Compliance Database'!$C$2:$C$1960,MATCH(600,Engine!$C$2:$C$1960,0)))</f>
        <v/>
      </c>
      <c r="D613" s="9">
        <f>IF(ISNA(MATCH(600,Engine!$C$2:$C$1960,0)),"",INDEX('Compliance Database'!$D$2:$D$1960,MATCH(600,Engine!$C$2:$C$1960,0)))</f>
        <v/>
      </c>
      <c r="E613" s="8">
        <f>IF(ISNA(MATCH(600,Engine!$C$2:$C$1960,0)),"",INDEX('Compliance Database'!$E$2:$E$1960,MATCH(600,Engine!$C$2:$C$1960,0)))</f>
        <v/>
      </c>
      <c r="F613" s="8">
        <f>IF(ISNA(MATCH(600,Engine!$C$2:$C$1960,0)),"",INDEX('Compliance Database'!$F$2:$F$1960,MATCH(600,Engine!$C$2:$C$1960,0)))</f>
        <v/>
      </c>
      <c r="G613" s="8">
        <f>IF(ISNA(MATCH(600,Engine!$C$2:$C$1960,0)),"",INDEX('Compliance Database'!$G$2:$G$1960,MATCH(600,Engine!$C$2:$C$1960,0)))</f>
        <v/>
      </c>
      <c r="H613" s="9">
        <f>IF(ISNA(MATCH(600,Engine!$C$2:$C$1960,0)),"",INDEX('Compliance Database'!$H$2:$H$1960,MATCH(600,Engine!$C$2:$C$1960,0)))</f>
        <v/>
      </c>
      <c r="I613" s="9">
        <f>IF(ISNA(MATCH(600,Engine!$C$2:$C$1960,0)),"",INDEX('Compliance Database'!$I$2:$I$1960,MATCH(600,Engine!$C$2:$C$1960,0)))</f>
        <v/>
      </c>
      <c r="J613" s="8">
        <f>IF(ISNA(MATCH(600,Engine!$C$2:$C$1960,0)),"",INDEX('Compliance Database'!$J$2:$J$1960,MATCH(600,Engine!$C$2:$C$1960,0)))</f>
        <v/>
      </c>
      <c r="K613" s="9">
        <f>IF(ISNA(MATCH(600,Engine!$C$2:$C$1960,0)),"",INDEX('Compliance Database'!$K$2:$K$1960,MATCH(600,Engine!$C$2:$C$1960,0)))</f>
        <v/>
      </c>
      <c r="L613" s="9">
        <f>IF(ISNA(MATCH(600,Engine!$C$2:$C$1960,0)),"",INDEX('Compliance Database'!$L$2:$L$1960,MATCH(600,Engine!$C$2:$C$1960,0)))</f>
        <v/>
      </c>
      <c r="M613" s="9">
        <f>IF(ISNA(MATCH(600,Engine!$C$2:$C$1960,0)),"",INDEX('Compliance Database'!$M$2:$M$1960,MATCH(600,Engine!$C$2:$C$1960,0)))</f>
        <v/>
      </c>
      <c r="N613" s="9">
        <f>IF(ISNA(MATCH(600,Engine!$C$2:$C$1960,0)),"",INDEX('Compliance Database'!$N$2:$N$1960,MATCH(600,Engine!$C$2:$C$1960,0)))</f>
        <v/>
      </c>
      <c r="O613" s="9">
        <f>IF(ISNA(MATCH(600,Engine!$C$2:$C$1960,0)),"",INDEX('Compliance Database'!$O$2:$O$1960,MATCH(600,Engine!$C$2:$C$1960,0)))</f>
        <v/>
      </c>
      <c r="P613" s="8">
        <f>IF(ISNA(MATCH(600,Engine!$C$2:$C$1960,0)),"",HYPERLINK("#Acts!A"&amp;INDEX('Compliance Database'!$P$2:$P$1960,MATCH(600,Engine!$C$2:$C$1960,0)),"Go to Act"))</f>
        <v/>
      </c>
    </row>
    <row r="614" ht="158" customHeight="1">
      <c r="A614" s="8">
        <f>IF(ISNA(MATCH(601,Engine!$C$2:$C$1960,0)),"",INDEX('Compliance Database'!$A$2:$A$1960,MATCH(601,Engine!$C$2:$C$1960,0)))</f>
        <v/>
      </c>
      <c r="B614" s="8">
        <f>IF(ISNA(MATCH(601,Engine!$C$2:$C$1960,0)),"",INDEX('Compliance Database'!$B$2:$B$1960,MATCH(601,Engine!$C$2:$C$1960,0)))</f>
        <v/>
      </c>
      <c r="C614" s="8">
        <f>IF(ISNA(MATCH(601,Engine!$C$2:$C$1960,0)),"",INDEX('Compliance Database'!$C$2:$C$1960,MATCH(601,Engine!$C$2:$C$1960,0)))</f>
        <v/>
      </c>
      <c r="D614" s="9">
        <f>IF(ISNA(MATCH(601,Engine!$C$2:$C$1960,0)),"",INDEX('Compliance Database'!$D$2:$D$1960,MATCH(601,Engine!$C$2:$C$1960,0)))</f>
        <v/>
      </c>
      <c r="E614" s="8">
        <f>IF(ISNA(MATCH(601,Engine!$C$2:$C$1960,0)),"",INDEX('Compliance Database'!$E$2:$E$1960,MATCH(601,Engine!$C$2:$C$1960,0)))</f>
        <v/>
      </c>
      <c r="F614" s="8">
        <f>IF(ISNA(MATCH(601,Engine!$C$2:$C$1960,0)),"",INDEX('Compliance Database'!$F$2:$F$1960,MATCH(601,Engine!$C$2:$C$1960,0)))</f>
        <v/>
      </c>
      <c r="G614" s="8">
        <f>IF(ISNA(MATCH(601,Engine!$C$2:$C$1960,0)),"",INDEX('Compliance Database'!$G$2:$G$1960,MATCH(601,Engine!$C$2:$C$1960,0)))</f>
        <v/>
      </c>
      <c r="H614" s="9">
        <f>IF(ISNA(MATCH(601,Engine!$C$2:$C$1960,0)),"",INDEX('Compliance Database'!$H$2:$H$1960,MATCH(601,Engine!$C$2:$C$1960,0)))</f>
        <v/>
      </c>
      <c r="I614" s="9">
        <f>IF(ISNA(MATCH(601,Engine!$C$2:$C$1960,0)),"",INDEX('Compliance Database'!$I$2:$I$1960,MATCH(601,Engine!$C$2:$C$1960,0)))</f>
        <v/>
      </c>
      <c r="J614" s="8">
        <f>IF(ISNA(MATCH(601,Engine!$C$2:$C$1960,0)),"",INDEX('Compliance Database'!$J$2:$J$1960,MATCH(601,Engine!$C$2:$C$1960,0)))</f>
        <v/>
      </c>
      <c r="K614" s="9">
        <f>IF(ISNA(MATCH(601,Engine!$C$2:$C$1960,0)),"",INDEX('Compliance Database'!$K$2:$K$1960,MATCH(601,Engine!$C$2:$C$1960,0)))</f>
        <v/>
      </c>
      <c r="L614" s="9">
        <f>IF(ISNA(MATCH(601,Engine!$C$2:$C$1960,0)),"",INDEX('Compliance Database'!$L$2:$L$1960,MATCH(601,Engine!$C$2:$C$1960,0)))</f>
        <v/>
      </c>
      <c r="M614" s="9">
        <f>IF(ISNA(MATCH(601,Engine!$C$2:$C$1960,0)),"",INDEX('Compliance Database'!$M$2:$M$1960,MATCH(601,Engine!$C$2:$C$1960,0)))</f>
        <v/>
      </c>
      <c r="N614" s="9">
        <f>IF(ISNA(MATCH(601,Engine!$C$2:$C$1960,0)),"",INDEX('Compliance Database'!$N$2:$N$1960,MATCH(601,Engine!$C$2:$C$1960,0)))</f>
        <v/>
      </c>
      <c r="O614" s="9">
        <f>IF(ISNA(MATCH(601,Engine!$C$2:$C$1960,0)),"",INDEX('Compliance Database'!$O$2:$O$1960,MATCH(601,Engine!$C$2:$C$1960,0)))</f>
        <v/>
      </c>
      <c r="P614" s="8">
        <f>IF(ISNA(MATCH(601,Engine!$C$2:$C$1960,0)),"",HYPERLINK("#Acts!A"&amp;INDEX('Compliance Database'!$P$2:$P$1960,MATCH(601,Engine!$C$2:$C$1960,0)),"Go to Act"))</f>
        <v/>
      </c>
    </row>
    <row r="615" ht="158" customHeight="1">
      <c r="A615" s="8">
        <f>IF(ISNA(MATCH(602,Engine!$C$2:$C$1960,0)),"",INDEX('Compliance Database'!$A$2:$A$1960,MATCH(602,Engine!$C$2:$C$1960,0)))</f>
        <v/>
      </c>
      <c r="B615" s="8">
        <f>IF(ISNA(MATCH(602,Engine!$C$2:$C$1960,0)),"",INDEX('Compliance Database'!$B$2:$B$1960,MATCH(602,Engine!$C$2:$C$1960,0)))</f>
        <v/>
      </c>
      <c r="C615" s="8">
        <f>IF(ISNA(MATCH(602,Engine!$C$2:$C$1960,0)),"",INDEX('Compliance Database'!$C$2:$C$1960,MATCH(602,Engine!$C$2:$C$1960,0)))</f>
        <v/>
      </c>
      <c r="D615" s="9">
        <f>IF(ISNA(MATCH(602,Engine!$C$2:$C$1960,0)),"",INDEX('Compliance Database'!$D$2:$D$1960,MATCH(602,Engine!$C$2:$C$1960,0)))</f>
        <v/>
      </c>
      <c r="E615" s="8">
        <f>IF(ISNA(MATCH(602,Engine!$C$2:$C$1960,0)),"",INDEX('Compliance Database'!$E$2:$E$1960,MATCH(602,Engine!$C$2:$C$1960,0)))</f>
        <v/>
      </c>
      <c r="F615" s="8">
        <f>IF(ISNA(MATCH(602,Engine!$C$2:$C$1960,0)),"",INDEX('Compliance Database'!$F$2:$F$1960,MATCH(602,Engine!$C$2:$C$1960,0)))</f>
        <v/>
      </c>
      <c r="G615" s="8">
        <f>IF(ISNA(MATCH(602,Engine!$C$2:$C$1960,0)),"",INDEX('Compliance Database'!$G$2:$G$1960,MATCH(602,Engine!$C$2:$C$1960,0)))</f>
        <v/>
      </c>
      <c r="H615" s="9">
        <f>IF(ISNA(MATCH(602,Engine!$C$2:$C$1960,0)),"",INDEX('Compliance Database'!$H$2:$H$1960,MATCH(602,Engine!$C$2:$C$1960,0)))</f>
        <v/>
      </c>
      <c r="I615" s="9">
        <f>IF(ISNA(MATCH(602,Engine!$C$2:$C$1960,0)),"",INDEX('Compliance Database'!$I$2:$I$1960,MATCH(602,Engine!$C$2:$C$1960,0)))</f>
        <v/>
      </c>
      <c r="J615" s="8">
        <f>IF(ISNA(MATCH(602,Engine!$C$2:$C$1960,0)),"",INDEX('Compliance Database'!$J$2:$J$1960,MATCH(602,Engine!$C$2:$C$1960,0)))</f>
        <v/>
      </c>
      <c r="K615" s="9">
        <f>IF(ISNA(MATCH(602,Engine!$C$2:$C$1960,0)),"",INDEX('Compliance Database'!$K$2:$K$1960,MATCH(602,Engine!$C$2:$C$1960,0)))</f>
        <v/>
      </c>
      <c r="L615" s="9">
        <f>IF(ISNA(MATCH(602,Engine!$C$2:$C$1960,0)),"",INDEX('Compliance Database'!$L$2:$L$1960,MATCH(602,Engine!$C$2:$C$1960,0)))</f>
        <v/>
      </c>
      <c r="M615" s="9">
        <f>IF(ISNA(MATCH(602,Engine!$C$2:$C$1960,0)),"",INDEX('Compliance Database'!$M$2:$M$1960,MATCH(602,Engine!$C$2:$C$1960,0)))</f>
        <v/>
      </c>
      <c r="N615" s="9">
        <f>IF(ISNA(MATCH(602,Engine!$C$2:$C$1960,0)),"",INDEX('Compliance Database'!$N$2:$N$1960,MATCH(602,Engine!$C$2:$C$1960,0)))</f>
        <v/>
      </c>
      <c r="O615" s="9">
        <f>IF(ISNA(MATCH(602,Engine!$C$2:$C$1960,0)),"",INDEX('Compliance Database'!$O$2:$O$1960,MATCH(602,Engine!$C$2:$C$1960,0)))</f>
        <v/>
      </c>
      <c r="P615" s="8">
        <f>IF(ISNA(MATCH(602,Engine!$C$2:$C$1960,0)),"",HYPERLINK("#Acts!A"&amp;INDEX('Compliance Database'!$P$2:$P$1960,MATCH(602,Engine!$C$2:$C$1960,0)),"Go to Act"))</f>
        <v/>
      </c>
    </row>
    <row r="616" ht="158" customHeight="1">
      <c r="A616" s="8">
        <f>IF(ISNA(MATCH(603,Engine!$C$2:$C$1960,0)),"",INDEX('Compliance Database'!$A$2:$A$1960,MATCH(603,Engine!$C$2:$C$1960,0)))</f>
        <v/>
      </c>
      <c r="B616" s="8">
        <f>IF(ISNA(MATCH(603,Engine!$C$2:$C$1960,0)),"",INDEX('Compliance Database'!$B$2:$B$1960,MATCH(603,Engine!$C$2:$C$1960,0)))</f>
        <v/>
      </c>
      <c r="C616" s="8">
        <f>IF(ISNA(MATCH(603,Engine!$C$2:$C$1960,0)),"",INDEX('Compliance Database'!$C$2:$C$1960,MATCH(603,Engine!$C$2:$C$1960,0)))</f>
        <v/>
      </c>
      <c r="D616" s="9">
        <f>IF(ISNA(MATCH(603,Engine!$C$2:$C$1960,0)),"",INDEX('Compliance Database'!$D$2:$D$1960,MATCH(603,Engine!$C$2:$C$1960,0)))</f>
        <v/>
      </c>
      <c r="E616" s="8">
        <f>IF(ISNA(MATCH(603,Engine!$C$2:$C$1960,0)),"",INDEX('Compliance Database'!$E$2:$E$1960,MATCH(603,Engine!$C$2:$C$1960,0)))</f>
        <v/>
      </c>
      <c r="F616" s="8">
        <f>IF(ISNA(MATCH(603,Engine!$C$2:$C$1960,0)),"",INDEX('Compliance Database'!$F$2:$F$1960,MATCH(603,Engine!$C$2:$C$1960,0)))</f>
        <v/>
      </c>
      <c r="G616" s="8">
        <f>IF(ISNA(MATCH(603,Engine!$C$2:$C$1960,0)),"",INDEX('Compliance Database'!$G$2:$G$1960,MATCH(603,Engine!$C$2:$C$1960,0)))</f>
        <v/>
      </c>
      <c r="H616" s="9">
        <f>IF(ISNA(MATCH(603,Engine!$C$2:$C$1960,0)),"",INDEX('Compliance Database'!$H$2:$H$1960,MATCH(603,Engine!$C$2:$C$1960,0)))</f>
        <v/>
      </c>
      <c r="I616" s="9">
        <f>IF(ISNA(MATCH(603,Engine!$C$2:$C$1960,0)),"",INDEX('Compliance Database'!$I$2:$I$1960,MATCH(603,Engine!$C$2:$C$1960,0)))</f>
        <v/>
      </c>
      <c r="J616" s="8">
        <f>IF(ISNA(MATCH(603,Engine!$C$2:$C$1960,0)),"",INDEX('Compliance Database'!$J$2:$J$1960,MATCH(603,Engine!$C$2:$C$1960,0)))</f>
        <v/>
      </c>
      <c r="K616" s="9">
        <f>IF(ISNA(MATCH(603,Engine!$C$2:$C$1960,0)),"",INDEX('Compliance Database'!$K$2:$K$1960,MATCH(603,Engine!$C$2:$C$1960,0)))</f>
        <v/>
      </c>
      <c r="L616" s="9">
        <f>IF(ISNA(MATCH(603,Engine!$C$2:$C$1960,0)),"",INDEX('Compliance Database'!$L$2:$L$1960,MATCH(603,Engine!$C$2:$C$1960,0)))</f>
        <v/>
      </c>
      <c r="M616" s="9">
        <f>IF(ISNA(MATCH(603,Engine!$C$2:$C$1960,0)),"",INDEX('Compliance Database'!$M$2:$M$1960,MATCH(603,Engine!$C$2:$C$1960,0)))</f>
        <v/>
      </c>
      <c r="N616" s="9">
        <f>IF(ISNA(MATCH(603,Engine!$C$2:$C$1960,0)),"",INDEX('Compliance Database'!$N$2:$N$1960,MATCH(603,Engine!$C$2:$C$1960,0)))</f>
        <v/>
      </c>
      <c r="O616" s="9">
        <f>IF(ISNA(MATCH(603,Engine!$C$2:$C$1960,0)),"",INDEX('Compliance Database'!$O$2:$O$1960,MATCH(603,Engine!$C$2:$C$1960,0)))</f>
        <v/>
      </c>
      <c r="P616" s="8">
        <f>IF(ISNA(MATCH(603,Engine!$C$2:$C$1960,0)),"",HYPERLINK("#Acts!A"&amp;INDEX('Compliance Database'!$P$2:$P$1960,MATCH(603,Engine!$C$2:$C$1960,0)),"Go to Act"))</f>
        <v/>
      </c>
    </row>
    <row r="617" ht="158" customHeight="1">
      <c r="A617" s="8">
        <f>IF(ISNA(MATCH(604,Engine!$C$2:$C$1960,0)),"",INDEX('Compliance Database'!$A$2:$A$1960,MATCH(604,Engine!$C$2:$C$1960,0)))</f>
        <v/>
      </c>
      <c r="B617" s="8">
        <f>IF(ISNA(MATCH(604,Engine!$C$2:$C$1960,0)),"",INDEX('Compliance Database'!$B$2:$B$1960,MATCH(604,Engine!$C$2:$C$1960,0)))</f>
        <v/>
      </c>
      <c r="C617" s="8">
        <f>IF(ISNA(MATCH(604,Engine!$C$2:$C$1960,0)),"",INDEX('Compliance Database'!$C$2:$C$1960,MATCH(604,Engine!$C$2:$C$1960,0)))</f>
        <v/>
      </c>
      <c r="D617" s="9">
        <f>IF(ISNA(MATCH(604,Engine!$C$2:$C$1960,0)),"",INDEX('Compliance Database'!$D$2:$D$1960,MATCH(604,Engine!$C$2:$C$1960,0)))</f>
        <v/>
      </c>
      <c r="E617" s="8">
        <f>IF(ISNA(MATCH(604,Engine!$C$2:$C$1960,0)),"",INDEX('Compliance Database'!$E$2:$E$1960,MATCH(604,Engine!$C$2:$C$1960,0)))</f>
        <v/>
      </c>
      <c r="F617" s="8">
        <f>IF(ISNA(MATCH(604,Engine!$C$2:$C$1960,0)),"",INDEX('Compliance Database'!$F$2:$F$1960,MATCH(604,Engine!$C$2:$C$1960,0)))</f>
        <v/>
      </c>
      <c r="G617" s="8">
        <f>IF(ISNA(MATCH(604,Engine!$C$2:$C$1960,0)),"",INDEX('Compliance Database'!$G$2:$G$1960,MATCH(604,Engine!$C$2:$C$1960,0)))</f>
        <v/>
      </c>
      <c r="H617" s="9">
        <f>IF(ISNA(MATCH(604,Engine!$C$2:$C$1960,0)),"",INDEX('Compliance Database'!$H$2:$H$1960,MATCH(604,Engine!$C$2:$C$1960,0)))</f>
        <v/>
      </c>
      <c r="I617" s="9">
        <f>IF(ISNA(MATCH(604,Engine!$C$2:$C$1960,0)),"",INDEX('Compliance Database'!$I$2:$I$1960,MATCH(604,Engine!$C$2:$C$1960,0)))</f>
        <v/>
      </c>
      <c r="J617" s="8">
        <f>IF(ISNA(MATCH(604,Engine!$C$2:$C$1960,0)),"",INDEX('Compliance Database'!$J$2:$J$1960,MATCH(604,Engine!$C$2:$C$1960,0)))</f>
        <v/>
      </c>
      <c r="K617" s="9">
        <f>IF(ISNA(MATCH(604,Engine!$C$2:$C$1960,0)),"",INDEX('Compliance Database'!$K$2:$K$1960,MATCH(604,Engine!$C$2:$C$1960,0)))</f>
        <v/>
      </c>
      <c r="L617" s="9">
        <f>IF(ISNA(MATCH(604,Engine!$C$2:$C$1960,0)),"",INDEX('Compliance Database'!$L$2:$L$1960,MATCH(604,Engine!$C$2:$C$1960,0)))</f>
        <v/>
      </c>
      <c r="M617" s="9">
        <f>IF(ISNA(MATCH(604,Engine!$C$2:$C$1960,0)),"",INDEX('Compliance Database'!$M$2:$M$1960,MATCH(604,Engine!$C$2:$C$1960,0)))</f>
        <v/>
      </c>
      <c r="N617" s="9">
        <f>IF(ISNA(MATCH(604,Engine!$C$2:$C$1960,0)),"",INDEX('Compliance Database'!$N$2:$N$1960,MATCH(604,Engine!$C$2:$C$1960,0)))</f>
        <v/>
      </c>
      <c r="O617" s="9">
        <f>IF(ISNA(MATCH(604,Engine!$C$2:$C$1960,0)),"",INDEX('Compliance Database'!$O$2:$O$1960,MATCH(604,Engine!$C$2:$C$1960,0)))</f>
        <v/>
      </c>
      <c r="P617" s="8">
        <f>IF(ISNA(MATCH(604,Engine!$C$2:$C$1960,0)),"",HYPERLINK("#Acts!A"&amp;INDEX('Compliance Database'!$P$2:$P$1960,MATCH(604,Engine!$C$2:$C$1960,0)),"Go to Act"))</f>
        <v/>
      </c>
    </row>
    <row r="618" ht="158" customHeight="1">
      <c r="A618" s="8">
        <f>IF(ISNA(MATCH(605,Engine!$C$2:$C$1960,0)),"",INDEX('Compliance Database'!$A$2:$A$1960,MATCH(605,Engine!$C$2:$C$1960,0)))</f>
        <v/>
      </c>
      <c r="B618" s="8">
        <f>IF(ISNA(MATCH(605,Engine!$C$2:$C$1960,0)),"",INDEX('Compliance Database'!$B$2:$B$1960,MATCH(605,Engine!$C$2:$C$1960,0)))</f>
        <v/>
      </c>
      <c r="C618" s="8">
        <f>IF(ISNA(MATCH(605,Engine!$C$2:$C$1960,0)),"",INDEX('Compliance Database'!$C$2:$C$1960,MATCH(605,Engine!$C$2:$C$1960,0)))</f>
        <v/>
      </c>
      <c r="D618" s="9">
        <f>IF(ISNA(MATCH(605,Engine!$C$2:$C$1960,0)),"",INDEX('Compliance Database'!$D$2:$D$1960,MATCH(605,Engine!$C$2:$C$1960,0)))</f>
        <v/>
      </c>
      <c r="E618" s="8">
        <f>IF(ISNA(MATCH(605,Engine!$C$2:$C$1960,0)),"",INDEX('Compliance Database'!$E$2:$E$1960,MATCH(605,Engine!$C$2:$C$1960,0)))</f>
        <v/>
      </c>
      <c r="F618" s="8">
        <f>IF(ISNA(MATCH(605,Engine!$C$2:$C$1960,0)),"",INDEX('Compliance Database'!$F$2:$F$1960,MATCH(605,Engine!$C$2:$C$1960,0)))</f>
        <v/>
      </c>
      <c r="G618" s="8">
        <f>IF(ISNA(MATCH(605,Engine!$C$2:$C$1960,0)),"",INDEX('Compliance Database'!$G$2:$G$1960,MATCH(605,Engine!$C$2:$C$1960,0)))</f>
        <v/>
      </c>
      <c r="H618" s="9">
        <f>IF(ISNA(MATCH(605,Engine!$C$2:$C$1960,0)),"",INDEX('Compliance Database'!$H$2:$H$1960,MATCH(605,Engine!$C$2:$C$1960,0)))</f>
        <v/>
      </c>
      <c r="I618" s="9">
        <f>IF(ISNA(MATCH(605,Engine!$C$2:$C$1960,0)),"",INDEX('Compliance Database'!$I$2:$I$1960,MATCH(605,Engine!$C$2:$C$1960,0)))</f>
        <v/>
      </c>
      <c r="J618" s="8">
        <f>IF(ISNA(MATCH(605,Engine!$C$2:$C$1960,0)),"",INDEX('Compliance Database'!$J$2:$J$1960,MATCH(605,Engine!$C$2:$C$1960,0)))</f>
        <v/>
      </c>
      <c r="K618" s="9">
        <f>IF(ISNA(MATCH(605,Engine!$C$2:$C$1960,0)),"",INDEX('Compliance Database'!$K$2:$K$1960,MATCH(605,Engine!$C$2:$C$1960,0)))</f>
        <v/>
      </c>
      <c r="L618" s="9">
        <f>IF(ISNA(MATCH(605,Engine!$C$2:$C$1960,0)),"",INDEX('Compliance Database'!$L$2:$L$1960,MATCH(605,Engine!$C$2:$C$1960,0)))</f>
        <v/>
      </c>
      <c r="M618" s="9">
        <f>IF(ISNA(MATCH(605,Engine!$C$2:$C$1960,0)),"",INDEX('Compliance Database'!$M$2:$M$1960,MATCH(605,Engine!$C$2:$C$1960,0)))</f>
        <v/>
      </c>
      <c r="N618" s="9">
        <f>IF(ISNA(MATCH(605,Engine!$C$2:$C$1960,0)),"",INDEX('Compliance Database'!$N$2:$N$1960,MATCH(605,Engine!$C$2:$C$1960,0)))</f>
        <v/>
      </c>
      <c r="O618" s="9">
        <f>IF(ISNA(MATCH(605,Engine!$C$2:$C$1960,0)),"",INDEX('Compliance Database'!$O$2:$O$1960,MATCH(605,Engine!$C$2:$C$1960,0)))</f>
        <v/>
      </c>
      <c r="P618" s="8">
        <f>IF(ISNA(MATCH(605,Engine!$C$2:$C$1960,0)),"",HYPERLINK("#Acts!A"&amp;INDEX('Compliance Database'!$P$2:$P$1960,MATCH(605,Engine!$C$2:$C$1960,0)),"Go to Act"))</f>
        <v/>
      </c>
    </row>
    <row r="619" ht="158" customHeight="1">
      <c r="A619" s="8">
        <f>IF(ISNA(MATCH(606,Engine!$C$2:$C$1960,0)),"",INDEX('Compliance Database'!$A$2:$A$1960,MATCH(606,Engine!$C$2:$C$1960,0)))</f>
        <v/>
      </c>
      <c r="B619" s="8">
        <f>IF(ISNA(MATCH(606,Engine!$C$2:$C$1960,0)),"",INDEX('Compliance Database'!$B$2:$B$1960,MATCH(606,Engine!$C$2:$C$1960,0)))</f>
        <v/>
      </c>
      <c r="C619" s="8">
        <f>IF(ISNA(MATCH(606,Engine!$C$2:$C$1960,0)),"",INDEX('Compliance Database'!$C$2:$C$1960,MATCH(606,Engine!$C$2:$C$1960,0)))</f>
        <v/>
      </c>
      <c r="D619" s="9">
        <f>IF(ISNA(MATCH(606,Engine!$C$2:$C$1960,0)),"",INDEX('Compliance Database'!$D$2:$D$1960,MATCH(606,Engine!$C$2:$C$1960,0)))</f>
        <v/>
      </c>
      <c r="E619" s="8">
        <f>IF(ISNA(MATCH(606,Engine!$C$2:$C$1960,0)),"",INDEX('Compliance Database'!$E$2:$E$1960,MATCH(606,Engine!$C$2:$C$1960,0)))</f>
        <v/>
      </c>
      <c r="F619" s="8">
        <f>IF(ISNA(MATCH(606,Engine!$C$2:$C$1960,0)),"",INDEX('Compliance Database'!$F$2:$F$1960,MATCH(606,Engine!$C$2:$C$1960,0)))</f>
        <v/>
      </c>
      <c r="G619" s="8">
        <f>IF(ISNA(MATCH(606,Engine!$C$2:$C$1960,0)),"",INDEX('Compliance Database'!$G$2:$G$1960,MATCH(606,Engine!$C$2:$C$1960,0)))</f>
        <v/>
      </c>
      <c r="H619" s="9">
        <f>IF(ISNA(MATCH(606,Engine!$C$2:$C$1960,0)),"",INDEX('Compliance Database'!$H$2:$H$1960,MATCH(606,Engine!$C$2:$C$1960,0)))</f>
        <v/>
      </c>
      <c r="I619" s="9">
        <f>IF(ISNA(MATCH(606,Engine!$C$2:$C$1960,0)),"",INDEX('Compliance Database'!$I$2:$I$1960,MATCH(606,Engine!$C$2:$C$1960,0)))</f>
        <v/>
      </c>
      <c r="J619" s="8">
        <f>IF(ISNA(MATCH(606,Engine!$C$2:$C$1960,0)),"",INDEX('Compliance Database'!$J$2:$J$1960,MATCH(606,Engine!$C$2:$C$1960,0)))</f>
        <v/>
      </c>
      <c r="K619" s="9">
        <f>IF(ISNA(MATCH(606,Engine!$C$2:$C$1960,0)),"",INDEX('Compliance Database'!$K$2:$K$1960,MATCH(606,Engine!$C$2:$C$1960,0)))</f>
        <v/>
      </c>
      <c r="L619" s="9">
        <f>IF(ISNA(MATCH(606,Engine!$C$2:$C$1960,0)),"",INDEX('Compliance Database'!$L$2:$L$1960,MATCH(606,Engine!$C$2:$C$1960,0)))</f>
        <v/>
      </c>
      <c r="M619" s="9">
        <f>IF(ISNA(MATCH(606,Engine!$C$2:$C$1960,0)),"",INDEX('Compliance Database'!$M$2:$M$1960,MATCH(606,Engine!$C$2:$C$1960,0)))</f>
        <v/>
      </c>
      <c r="N619" s="9">
        <f>IF(ISNA(MATCH(606,Engine!$C$2:$C$1960,0)),"",INDEX('Compliance Database'!$N$2:$N$1960,MATCH(606,Engine!$C$2:$C$1960,0)))</f>
        <v/>
      </c>
      <c r="O619" s="9">
        <f>IF(ISNA(MATCH(606,Engine!$C$2:$C$1960,0)),"",INDEX('Compliance Database'!$O$2:$O$1960,MATCH(606,Engine!$C$2:$C$1960,0)))</f>
        <v/>
      </c>
      <c r="P619" s="8">
        <f>IF(ISNA(MATCH(606,Engine!$C$2:$C$1960,0)),"",HYPERLINK("#Acts!A"&amp;INDEX('Compliance Database'!$P$2:$P$1960,MATCH(606,Engine!$C$2:$C$1960,0)),"Go to Act"))</f>
        <v/>
      </c>
    </row>
    <row r="620" ht="158" customHeight="1">
      <c r="A620" s="8">
        <f>IF(ISNA(MATCH(607,Engine!$C$2:$C$1960,0)),"",INDEX('Compliance Database'!$A$2:$A$1960,MATCH(607,Engine!$C$2:$C$1960,0)))</f>
        <v/>
      </c>
      <c r="B620" s="8">
        <f>IF(ISNA(MATCH(607,Engine!$C$2:$C$1960,0)),"",INDEX('Compliance Database'!$B$2:$B$1960,MATCH(607,Engine!$C$2:$C$1960,0)))</f>
        <v/>
      </c>
      <c r="C620" s="8">
        <f>IF(ISNA(MATCH(607,Engine!$C$2:$C$1960,0)),"",INDEX('Compliance Database'!$C$2:$C$1960,MATCH(607,Engine!$C$2:$C$1960,0)))</f>
        <v/>
      </c>
      <c r="D620" s="9">
        <f>IF(ISNA(MATCH(607,Engine!$C$2:$C$1960,0)),"",INDEX('Compliance Database'!$D$2:$D$1960,MATCH(607,Engine!$C$2:$C$1960,0)))</f>
        <v/>
      </c>
      <c r="E620" s="8">
        <f>IF(ISNA(MATCH(607,Engine!$C$2:$C$1960,0)),"",INDEX('Compliance Database'!$E$2:$E$1960,MATCH(607,Engine!$C$2:$C$1960,0)))</f>
        <v/>
      </c>
      <c r="F620" s="8">
        <f>IF(ISNA(MATCH(607,Engine!$C$2:$C$1960,0)),"",INDEX('Compliance Database'!$F$2:$F$1960,MATCH(607,Engine!$C$2:$C$1960,0)))</f>
        <v/>
      </c>
      <c r="G620" s="8">
        <f>IF(ISNA(MATCH(607,Engine!$C$2:$C$1960,0)),"",INDEX('Compliance Database'!$G$2:$G$1960,MATCH(607,Engine!$C$2:$C$1960,0)))</f>
        <v/>
      </c>
      <c r="H620" s="9">
        <f>IF(ISNA(MATCH(607,Engine!$C$2:$C$1960,0)),"",INDEX('Compliance Database'!$H$2:$H$1960,MATCH(607,Engine!$C$2:$C$1960,0)))</f>
        <v/>
      </c>
      <c r="I620" s="9">
        <f>IF(ISNA(MATCH(607,Engine!$C$2:$C$1960,0)),"",INDEX('Compliance Database'!$I$2:$I$1960,MATCH(607,Engine!$C$2:$C$1960,0)))</f>
        <v/>
      </c>
      <c r="J620" s="8">
        <f>IF(ISNA(MATCH(607,Engine!$C$2:$C$1960,0)),"",INDEX('Compliance Database'!$J$2:$J$1960,MATCH(607,Engine!$C$2:$C$1960,0)))</f>
        <v/>
      </c>
      <c r="K620" s="9">
        <f>IF(ISNA(MATCH(607,Engine!$C$2:$C$1960,0)),"",INDEX('Compliance Database'!$K$2:$K$1960,MATCH(607,Engine!$C$2:$C$1960,0)))</f>
        <v/>
      </c>
      <c r="L620" s="9">
        <f>IF(ISNA(MATCH(607,Engine!$C$2:$C$1960,0)),"",INDEX('Compliance Database'!$L$2:$L$1960,MATCH(607,Engine!$C$2:$C$1960,0)))</f>
        <v/>
      </c>
      <c r="M620" s="9">
        <f>IF(ISNA(MATCH(607,Engine!$C$2:$C$1960,0)),"",INDEX('Compliance Database'!$M$2:$M$1960,MATCH(607,Engine!$C$2:$C$1960,0)))</f>
        <v/>
      </c>
      <c r="N620" s="9">
        <f>IF(ISNA(MATCH(607,Engine!$C$2:$C$1960,0)),"",INDEX('Compliance Database'!$N$2:$N$1960,MATCH(607,Engine!$C$2:$C$1960,0)))</f>
        <v/>
      </c>
      <c r="O620" s="9">
        <f>IF(ISNA(MATCH(607,Engine!$C$2:$C$1960,0)),"",INDEX('Compliance Database'!$O$2:$O$1960,MATCH(607,Engine!$C$2:$C$1960,0)))</f>
        <v/>
      </c>
      <c r="P620" s="8">
        <f>IF(ISNA(MATCH(607,Engine!$C$2:$C$1960,0)),"",HYPERLINK("#Acts!A"&amp;INDEX('Compliance Database'!$P$2:$P$1960,MATCH(607,Engine!$C$2:$C$1960,0)),"Go to Act"))</f>
        <v/>
      </c>
    </row>
    <row r="621" ht="158" customHeight="1">
      <c r="A621" s="8">
        <f>IF(ISNA(MATCH(608,Engine!$C$2:$C$1960,0)),"",INDEX('Compliance Database'!$A$2:$A$1960,MATCH(608,Engine!$C$2:$C$1960,0)))</f>
        <v/>
      </c>
      <c r="B621" s="8">
        <f>IF(ISNA(MATCH(608,Engine!$C$2:$C$1960,0)),"",INDEX('Compliance Database'!$B$2:$B$1960,MATCH(608,Engine!$C$2:$C$1960,0)))</f>
        <v/>
      </c>
      <c r="C621" s="8">
        <f>IF(ISNA(MATCH(608,Engine!$C$2:$C$1960,0)),"",INDEX('Compliance Database'!$C$2:$C$1960,MATCH(608,Engine!$C$2:$C$1960,0)))</f>
        <v/>
      </c>
      <c r="D621" s="9">
        <f>IF(ISNA(MATCH(608,Engine!$C$2:$C$1960,0)),"",INDEX('Compliance Database'!$D$2:$D$1960,MATCH(608,Engine!$C$2:$C$1960,0)))</f>
        <v/>
      </c>
      <c r="E621" s="8">
        <f>IF(ISNA(MATCH(608,Engine!$C$2:$C$1960,0)),"",INDEX('Compliance Database'!$E$2:$E$1960,MATCH(608,Engine!$C$2:$C$1960,0)))</f>
        <v/>
      </c>
      <c r="F621" s="8">
        <f>IF(ISNA(MATCH(608,Engine!$C$2:$C$1960,0)),"",INDEX('Compliance Database'!$F$2:$F$1960,MATCH(608,Engine!$C$2:$C$1960,0)))</f>
        <v/>
      </c>
      <c r="G621" s="8">
        <f>IF(ISNA(MATCH(608,Engine!$C$2:$C$1960,0)),"",INDEX('Compliance Database'!$G$2:$G$1960,MATCH(608,Engine!$C$2:$C$1960,0)))</f>
        <v/>
      </c>
      <c r="H621" s="9">
        <f>IF(ISNA(MATCH(608,Engine!$C$2:$C$1960,0)),"",INDEX('Compliance Database'!$H$2:$H$1960,MATCH(608,Engine!$C$2:$C$1960,0)))</f>
        <v/>
      </c>
      <c r="I621" s="9">
        <f>IF(ISNA(MATCH(608,Engine!$C$2:$C$1960,0)),"",INDEX('Compliance Database'!$I$2:$I$1960,MATCH(608,Engine!$C$2:$C$1960,0)))</f>
        <v/>
      </c>
      <c r="J621" s="8">
        <f>IF(ISNA(MATCH(608,Engine!$C$2:$C$1960,0)),"",INDEX('Compliance Database'!$J$2:$J$1960,MATCH(608,Engine!$C$2:$C$1960,0)))</f>
        <v/>
      </c>
      <c r="K621" s="9">
        <f>IF(ISNA(MATCH(608,Engine!$C$2:$C$1960,0)),"",INDEX('Compliance Database'!$K$2:$K$1960,MATCH(608,Engine!$C$2:$C$1960,0)))</f>
        <v/>
      </c>
      <c r="L621" s="9">
        <f>IF(ISNA(MATCH(608,Engine!$C$2:$C$1960,0)),"",INDEX('Compliance Database'!$L$2:$L$1960,MATCH(608,Engine!$C$2:$C$1960,0)))</f>
        <v/>
      </c>
      <c r="M621" s="9">
        <f>IF(ISNA(MATCH(608,Engine!$C$2:$C$1960,0)),"",INDEX('Compliance Database'!$M$2:$M$1960,MATCH(608,Engine!$C$2:$C$1960,0)))</f>
        <v/>
      </c>
      <c r="N621" s="9">
        <f>IF(ISNA(MATCH(608,Engine!$C$2:$C$1960,0)),"",INDEX('Compliance Database'!$N$2:$N$1960,MATCH(608,Engine!$C$2:$C$1960,0)))</f>
        <v/>
      </c>
      <c r="O621" s="9">
        <f>IF(ISNA(MATCH(608,Engine!$C$2:$C$1960,0)),"",INDEX('Compliance Database'!$O$2:$O$1960,MATCH(608,Engine!$C$2:$C$1960,0)))</f>
        <v/>
      </c>
      <c r="P621" s="8">
        <f>IF(ISNA(MATCH(608,Engine!$C$2:$C$1960,0)),"",HYPERLINK("#Acts!A"&amp;INDEX('Compliance Database'!$P$2:$P$1960,MATCH(608,Engine!$C$2:$C$1960,0)),"Go to Act"))</f>
        <v/>
      </c>
    </row>
    <row r="622" ht="158" customHeight="1">
      <c r="A622" s="8">
        <f>IF(ISNA(MATCH(609,Engine!$C$2:$C$1960,0)),"",INDEX('Compliance Database'!$A$2:$A$1960,MATCH(609,Engine!$C$2:$C$1960,0)))</f>
        <v/>
      </c>
      <c r="B622" s="8">
        <f>IF(ISNA(MATCH(609,Engine!$C$2:$C$1960,0)),"",INDEX('Compliance Database'!$B$2:$B$1960,MATCH(609,Engine!$C$2:$C$1960,0)))</f>
        <v/>
      </c>
      <c r="C622" s="8">
        <f>IF(ISNA(MATCH(609,Engine!$C$2:$C$1960,0)),"",INDEX('Compliance Database'!$C$2:$C$1960,MATCH(609,Engine!$C$2:$C$1960,0)))</f>
        <v/>
      </c>
      <c r="D622" s="9">
        <f>IF(ISNA(MATCH(609,Engine!$C$2:$C$1960,0)),"",INDEX('Compliance Database'!$D$2:$D$1960,MATCH(609,Engine!$C$2:$C$1960,0)))</f>
        <v/>
      </c>
      <c r="E622" s="8">
        <f>IF(ISNA(MATCH(609,Engine!$C$2:$C$1960,0)),"",INDEX('Compliance Database'!$E$2:$E$1960,MATCH(609,Engine!$C$2:$C$1960,0)))</f>
        <v/>
      </c>
      <c r="F622" s="8">
        <f>IF(ISNA(MATCH(609,Engine!$C$2:$C$1960,0)),"",INDEX('Compliance Database'!$F$2:$F$1960,MATCH(609,Engine!$C$2:$C$1960,0)))</f>
        <v/>
      </c>
      <c r="G622" s="8">
        <f>IF(ISNA(MATCH(609,Engine!$C$2:$C$1960,0)),"",INDEX('Compliance Database'!$G$2:$G$1960,MATCH(609,Engine!$C$2:$C$1960,0)))</f>
        <v/>
      </c>
      <c r="H622" s="9">
        <f>IF(ISNA(MATCH(609,Engine!$C$2:$C$1960,0)),"",INDEX('Compliance Database'!$H$2:$H$1960,MATCH(609,Engine!$C$2:$C$1960,0)))</f>
        <v/>
      </c>
      <c r="I622" s="9">
        <f>IF(ISNA(MATCH(609,Engine!$C$2:$C$1960,0)),"",INDEX('Compliance Database'!$I$2:$I$1960,MATCH(609,Engine!$C$2:$C$1960,0)))</f>
        <v/>
      </c>
      <c r="J622" s="8">
        <f>IF(ISNA(MATCH(609,Engine!$C$2:$C$1960,0)),"",INDEX('Compliance Database'!$J$2:$J$1960,MATCH(609,Engine!$C$2:$C$1960,0)))</f>
        <v/>
      </c>
      <c r="K622" s="9">
        <f>IF(ISNA(MATCH(609,Engine!$C$2:$C$1960,0)),"",INDEX('Compliance Database'!$K$2:$K$1960,MATCH(609,Engine!$C$2:$C$1960,0)))</f>
        <v/>
      </c>
      <c r="L622" s="9">
        <f>IF(ISNA(MATCH(609,Engine!$C$2:$C$1960,0)),"",INDEX('Compliance Database'!$L$2:$L$1960,MATCH(609,Engine!$C$2:$C$1960,0)))</f>
        <v/>
      </c>
      <c r="M622" s="9">
        <f>IF(ISNA(MATCH(609,Engine!$C$2:$C$1960,0)),"",INDEX('Compliance Database'!$M$2:$M$1960,MATCH(609,Engine!$C$2:$C$1960,0)))</f>
        <v/>
      </c>
      <c r="N622" s="9">
        <f>IF(ISNA(MATCH(609,Engine!$C$2:$C$1960,0)),"",INDEX('Compliance Database'!$N$2:$N$1960,MATCH(609,Engine!$C$2:$C$1960,0)))</f>
        <v/>
      </c>
      <c r="O622" s="9">
        <f>IF(ISNA(MATCH(609,Engine!$C$2:$C$1960,0)),"",INDEX('Compliance Database'!$O$2:$O$1960,MATCH(609,Engine!$C$2:$C$1960,0)))</f>
        <v/>
      </c>
      <c r="P622" s="8">
        <f>IF(ISNA(MATCH(609,Engine!$C$2:$C$1960,0)),"",HYPERLINK("#Acts!A"&amp;INDEX('Compliance Database'!$P$2:$P$1960,MATCH(609,Engine!$C$2:$C$1960,0)),"Go to Act"))</f>
        <v/>
      </c>
    </row>
    <row r="623" ht="158" customHeight="1">
      <c r="A623" s="8">
        <f>IF(ISNA(MATCH(610,Engine!$C$2:$C$1960,0)),"",INDEX('Compliance Database'!$A$2:$A$1960,MATCH(610,Engine!$C$2:$C$1960,0)))</f>
        <v/>
      </c>
      <c r="B623" s="8">
        <f>IF(ISNA(MATCH(610,Engine!$C$2:$C$1960,0)),"",INDEX('Compliance Database'!$B$2:$B$1960,MATCH(610,Engine!$C$2:$C$1960,0)))</f>
        <v/>
      </c>
      <c r="C623" s="8">
        <f>IF(ISNA(MATCH(610,Engine!$C$2:$C$1960,0)),"",INDEX('Compliance Database'!$C$2:$C$1960,MATCH(610,Engine!$C$2:$C$1960,0)))</f>
        <v/>
      </c>
      <c r="D623" s="9">
        <f>IF(ISNA(MATCH(610,Engine!$C$2:$C$1960,0)),"",INDEX('Compliance Database'!$D$2:$D$1960,MATCH(610,Engine!$C$2:$C$1960,0)))</f>
        <v/>
      </c>
      <c r="E623" s="8">
        <f>IF(ISNA(MATCH(610,Engine!$C$2:$C$1960,0)),"",INDEX('Compliance Database'!$E$2:$E$1960,MATCH(610,Engine!$C$2:$C$1960,0)))</f>
        <v/>
      </c>
      <c r="F623" s="8">
        <f>IF(ISNA(MATCH(610,Engine!$C$2:$C$1960,0)),"",INDEX('Compliance Database'!$F$2:$F$1960,MATCH(610,Engine!$C$2:$C$1960,0)))</f>
        <v/>
      </c>
      <c r="G623" s="8">
        <f>IF(ISNA(MATCH(610,Engine!$C$2:$C$1960,0)),"",INDEX('Compliance Database'!$G$2:$G$1960,MATCH(610,Engine!$C$2:$C$1960,0)))</f>
        <v/>
      </c>
      <c r="H623" s="9">
        <f>IF(ISNA(MATCH(610,Engine!$C$2:$C$1960,0)),"",INDEX('Compliance Database'!$H$2:$H$1960,MATCH(610,Engine!$C$2:$C$1960,0)))</f>
        <v/>
      </c>
      <c r="I623" s="9">
        <f>IF(ISNA(MATCH(610,Engine!$C$2:$C$1960,0)),"",INDEX('Compliance Database'!$I$2:$I$1960,MATCH(610,Engine!$C$2:$C$1960,0)))</f>
        <v/>
      </c>
      <c r="J623" s="8">
        <f>IF(ISNA(MATCH(610,Engine!$C$2:$C$1960,0)),"",INDEX('Compliance Database'!$J$2:$J$1960,MATCH(610,Engine!$C$2:$C$1960,0)))</f>
        <v/>
      </c>
      <c r="K623" s="9">
        <f>IF(ISNA(MATCH(610,Engine!$C$2:$C$1960,0)),"",INDEX('Compliance Database'!$K$2:$K$1960,MATCH(610,Engine!$C$2:$C$1960,0)))</f>
        <v/>
      </c>
      <c r="L623" s="9">
        <f>IF(ISNA(MATCH(610,Engine!$C$2:$C$1960,0)),"",INDEX('Compliance Database'!$L$2:$L$1960,MATCH(610,Engine!$C$2:$C$1960,0)))</f>
        <v/>
      </c>
      <c r="M623" s="9">
        <f>IF(ISNA(MATCH(610,Engine!$C$2:$C$1960,0)),"",INDEX('Compliance Database'!$M$2:$M$1960,MATCH(610,Engine!$C$2:$C$1960,0)))</f>
        <v/>
      </c>
      <c r="N623" s="9">
        <f>IF(ISNA(MATCH(610,Engine!$C$2:$C$1960,0)),"",INDEX('Compliance Database'!$N$2:$N$1960,MATCH(610,Engine!$C$2:$C$1960,0)))</f>
        <v/>
      </c>
      <c r="O623" s="9">
        <f>IF(ISNA(MATCH(610,Engine!$C$2:$C$1960,0)),"",INDEX('Compliance Database'!$O$2:$O$1960,MATCH(610,Engine!$C$2:$C$1960,0)))</f>
        <v/>
      </c>
      <c r="P623" s="8">
        <f>IF(ISNA(MATCH(610,Engine!$C$2:$C$1960,0)),"",HYPERLINK("#Acts!A"&amp;INDEX('Compliance Database'!$P$2:$P$1960,MATCH(610,Engine!$C$2:$C$1960,0)),"Go to Act"))</f>
        <v/>
      </c>
    </row>
    <row r="624" ht="158" customHeight="1">
      <c r="A624" s="8">
        <f>IF(ISNA(MATCH(611,Engine!$C$2:$C$1960,0)),"",INDEX('Compliance Database'!$A$2:$A$1960,MATCH(611,Engine!$C$2:$C$1960,0)))</f>
        <v/>
      </c>
      <c r="B624" s="8">
        <f>IF(ISNA(MATCH(611,Engine!$C$2:$C$1960,0)),"",INDEX('Compliance Database'!$B$2:$B$1960,MATCH(611,Engine!$C$2:$C$1960,0)))</f>
        <v/>
      </c>
      <c r="C624" s="8">
        <f>IF(ISNA(MATCH(611,Engine!$C$2:$C$1960,0)),"",INDEX('Compliance Database'!$C$2:$C$1960,MATCH(611,Engine!$C$2:$C$1960,0)))</f>
        <v/>
      </c>
      <c r="D624" s="9">
        <f>IF(ISNA(MATCH(611,Engine!$C$2:$C$1960,0)),"",INDEX('Compliance Database'!$D$2:$D$1960,MATCH(611,Engine!$C$2:$C$1960,0)))</f>
        <v/>
      </c>
      <c r="E624" s="8">
        <f>IF(ISNA(MATCH(611,Engine!$C$2:$C$1960,0)),"",INDEX('Compliance Database'!$E$2:$E$1960,MATCH(611,Engine!$C$2:$C$1960,0)))</f>
        <v/>
      </c>
      <c r="F624" s="8">
        <f>IF(ISNA(MATCH(611,Engine!$C$2:$C$1960,0)),"",INDEX('Compliance Database'!$F$2:$F$1960,MATCH(611,Engine!$C$2:$C$1960,0)))</f>
        <v/>
      </c>
      <c r="G624" s="8">
        <f>IF(ISNA(MATCH(611,Engine!$C$2:$C$1960,0)),"",INDEX('Compliance Database'!$G$2:$G$1960,MATCH(611,Engine!$C$2:$C$1960,0)))</f>
        <v/>
      </c>
      <c r="H624" s="9">
        <f>IF(ISNA(MATCH(611,Engine!$C$2:$C$1960,0)),"",INDEX('Compliance Database'!$H$2:$H$1960,MATCH(611,Engine!$C$2:$C$1960,0)))</f>
        <v/>
      </c>
      <c r="I624" s="9">
        <f>IF(ISNA(MATCH(611,Engine!$C$2:$C$1960,0)),"",INDEX('Compliance Database'!$I$2:$I$1960,MATCH(611,Engine!$C$2:$C$1960,0)))</f>
        <v/>
      </c>
      <c r="J624" s="8">
        <f>IF(ISNA(MATCH(611,Engine!$C$2:$C$1960,0)),"",INDEX('Compliance Database'!$J$2:$J$1960,MATCH(611,Engine!$C$2:$C$1960,0)))</f>
        <v/>
      </c>
      <c r="K624" s="9">
        <f>IF(ISNA(MATCH(611,Engine!$C$2:$C$1960,0)),"",INDEX('Compliance Database'!$K$2:$K$1960,MATCH(611,Engine!$C$2:$C$1960,0)))</f>
        <v/>
      </c>
      <c r="L624" s="9">
        <f>IF(ISNA(MATCH(611,Engine!$C$2:$C$1960,0)),"",INDEX('Compliance Database'!$L$2:$L$1960,MATCH(611,Engine!$C$2:$C$1960,0)))</f>
        <v/>
      </c>
      <c r="M624" s="9">
        <f>IF(ISNA(MATCH(611,Engine!$C$2:$C$1960,0)),"",INDEX('Compliance Database'!$M$2:$M$1960,MATCH(611,Engine!$C$2:$C$1960,0)))</f>
        <v/>
      </c>
      <c r="N624" s="9">
        <f>IF(ISNA(MATCH(611,Engine!$C$2:$C$1960,0)),"",INDEX('Compliance Database'!$N$2:$N$1960,MATCH(611,Engine!$C$2:$C$1960,0)))</f>
        <v/>
      </c>
      <c r="O624" s="9">
        <f>IF(ISNA(MATCH(611,Engine!$C$2:$C$1960,0)),"",INDEX('Compliance Database'!$O$2:$O$1960,MATCH(611,Engine!$C$2:$C$1960,0)))</f>
        <v/>
      </c>
      <c r="P624" s="8">
        <f>IF(ISNA(MATCH(611,Engine!$C$2:$C$1960,0)),"",HYPERLINK("#Acts!A"&amp;INDEX('Compliance Database'!$P$2:$P$1960,MATCH(611,Engine!$C$2:$C$1960,0)),"Go to Act"))</f>
        <v/>
      </c>
    </row>
    <row r="625" ht="158" customHeight="1">
      <c r="A625" s="8">
        <f>IF(ISNA(MATCH(612,Engine!$C$2:$C$1960,0)),"",INDEX('Compliance Database'!$A$2:$A$1960,MATCH(612,Engine!$C$2:$C$1960,0)))</f>
        <v/>
      </c>
      <c r="B625" s="8">
        <f>IF(ISNA(MATCH(612,Engine!$C$2:$C$1960,0)),"",INDEX('Compliance Database'!$B$2:$B$1960,MATCH(612,Engine!$C$2:$C$1960,0)))</f>
        <v/>
      </c>
      <c r="C625" s="8">
        <f>IF(ISNA(MATCH(612,Engine!$C$2:$C$1960,0)),"",INDEX('Compliance Database'!$C$2:$C$1960,MATCH(612,Engine!$C$2:$C$1960,0)))</f>
        <v/>
      </c>
      <c r="D625" s="9">
        <f>IF(ISNA(MATCH(612,Engine!$C$2:$C$1960,0)),"",INDEX('Compliance Database'!$D$2:$D$1960,MATCH(612,Engine!$C$2:$C$1960,0)))</f>
        <v/>
      </c>
      <c r="E625" s="8">
        <f>IF(ISNA(MATCH(612,Engine!$C$2:$C$1960,0)),"",INDEX('Compliance Database'!$E$2:$E$1960,MATCH(612,Engine!$C$2:$C$1960,0)))</f>
        <v/>
      </c>
      <c r="F625" s="8">
        <f>IF(ISNA(MATCH(612,Engine!$C$2:$C$1960,0)),"",INDEX('Compliance Database'!$F$2:$F$1960,MATCH(612,Engine!$C$2:$C$1960,0)))</f>
        <v/>
      </c>
      <c r="G625" s="8">
        <f>IF(ISNA(MATCH(612,Engine!$C$2:$C$1960,0)),"",INDEX('Compliance Database'!$G$2:$G$1960,MATCH(612,Engine!$C$2:$C$1960,0)))</f>
        <v/>
      </c>
      <c r="H625" s="9">
        <f>IF(ISNA(MATCH(612,Engine!$C$2:$C$1960,0)),"",INDEX('Compliance Database'!$H$2:$H$1960,MATCH(612,Engine!$C$2:$C$1960,0)))</f>
        <v/>
      </c>
      <c r="I625" s="9">
        <f>IF(ISNA(MATCH(612,Engine!$C$2:$C$1960,0)),"",INDEX('Compliance Database'!$I$2:$I$1960,MATCH(612,Engine!$C$2:$C$1960,0)))</f>
        <v/>
      </c>
      <c r="J625" s="8">
        <f>IF(ISNA(MATCH(612,Engine!$C$2:$C$1960,0)),"",INDEX('Compliance Database'!$J$2:$J$1960,MATCH(612,Engine!$C$2:$C$1960,0)))</f>
        <v/>
      </c>
      <c r="K625" s="9">
        <f>IF(ISNA(MATCH(612,Engine!$C$2:$C$1960,0)),"",INDEX('Compliance Database'!$K$2:$K$1960,MATCH(612,Engine!$C$2:$C$1960,0)))</f>
        <v/>
      </c>
      <c r="L625" s="9">
        <f>IF(ISNA(MATCH(612,Engine!$C$2:$C$1960,0)),"",INDEX('Compliance Database'!$L$2:$L$1960,MATCH(612,Engine!$C$2:$C$1960,0)))</f>
        <v/>
      </c>
      <c r="M625" s="9">
        <f>IF(ISNA(MATCH(612,Engine!$C$2:$C$1960,0)),"",INDEX('Compliance Database'!$M$2:$M$1960,MATCH(612,Engine!$C$2:$C$1960,0)))</f>
        <v/>
      </c>
      <c r="N625" s="9">
        <f>IF(ISNA(MATCH(612,Engine!$C$2:$C$1960,0)),"",INDEX('Compliance Database'!$N$2:$N$1960,MATCH(612,Engine!$C$2:$C$1960,0)))</f>
        <v/>
      </c>
      <c r="O625" s="9">
        <f>IF(ISNA(MATCH(612,Engine!$C$2:$C$1960,0)),"",INDEX('Compliance Database'!$O$2:$O$1960,MATCH(612,Engine!$C$2:$C$1960,0)))</f>
        <v/>
      </c>
      <c r="P625" s="8">
        <f>IF(ISNA(MATCH(612,Engine!$C$2:$C$1960,0)),"",HYPERLINK("#Acts!A"&amp;INDEX('Compliance Database'!$P$2:$P$1960,MATCH(612,Engine!$C$2:$C$1960,0)),"Go to Act"))</f>
        <v/>
      </c>
    </row>
    <row r="626" ht="158" customHeight="1">
      <c r="A626" s="8">
        <f>IF(ISNA(MATCH(613,Engine!$C$2:$C$1960,0)),"",INDEX('Compliance Database'!$A$2:$A$1960,MATCH(613,Engine!$C$2:$C$1960,0)))</f>
        <v/>
      </c>
      <c r="B626" s="8">
        <f>IF(ISNA(MATCH(613,Engine!$C$2:$C$1960,0)),"",INDEX('Compliance Database'!$B$2:$B$1960,MATCH(613,Engine!$C$2:$C$1960,0)))</f>
        <v/>
      </c>
      <c r="C626" s="8">
        <f>IF(ISNA(MATCH(613,Engine!$C$2:$C$1960,0)),"",INDEX('Compliance Database'!$C$2:$C$1960,MATCH(613,Engine!$C$2:$C$1960,0)))</f>
        <v/>
      </c>
      <c r="D626" s="9">
        <f>IF(ISNA(MATCH(613,Engine!$C$2:$C$1960,0)),"",INDEX('Compliance Database'!$D$2:$D$1960,MATCH(613,Engine!$C$2:$C$1960,0)))</f>
        <v/>
      </c>
      <c r="E626" s="8">
        <f>IF(ISNA(MATCH(613,Engine!$C$2:$C$1960,0)),"",INDEX('Compliance Database'!$E$2:$E$1960,MATCH(613,Engine!$C$2:$C$1960,0)))</f>
        <v/>
      </c>
      <c r="F626" s="8">
        <f>IF(ISNA(MATCH(613,Engine!$C$2:$C$1960,0)),"",INDEX('Compliance Database'!$F$2:$F$1960,MATCH(613,Engine!$C$2:$C$1960,0)))</f>
        <v/>
      </c>
      <c r="G626" s="8">
        <f>IF(ISNA(MATCH(613,Engine!$C$2:$C$1960,0)),"",INDEX('Compliance Database'!$G$2:$G$1960,MATCH(613,Engine!$C$2:$C$1960,0)))</f>
        <v/>
      </c>
      <c r="H626" s="9">
        <f>IF(ISNA(MATCH(613,Engine!$C$2:$C$1960,0)),"",INDEX('Compliance Database'!$H$2:$H$1960,MATCH(613,Engine!$C$2:$C$1960,0)))</f>
        <v/>
      </c>
      <c r="I626" s="9">
        <f>IF(ISNA(MATCH(613,Engine!$C$2:$C$1960,0)),"",INDEX('Compliance Database'!$I$2:$I$1960,MATCH(613,Engine!$C$2:$C$1960,0)))</f>
        <v/>
      </c>
      <c r="J626" s="8">
        <f>IF(ISNA(MATCH(613,Engine!$C$2:$C$1960,0)),"",INDEX('Compliance Database'!$J$2:$J$1960,MATCH(613,Engine!$C$2:$C$1960,0)))</f>
        <v/>
      </c>
      <c r="K626" s="9">
        <f>IF(ISNA(MATCH(613,Engine!$C$2:$C$1960,0)),"",INDEX('Compliance Database'!$K$2:$K$1960,MATCH(613,Engine!$C$2:$C$1960,0)))</f>
        <v/>
      </c>
      <c r="L626" s="9">
        <f>IF(ISNA(MATCH(613,Engine!$C$2:$C$1960,0)),"",INDEX('Compliance Database'!$L$2:$L$1960,MATCH(613,Engine!$C$2:$C$1960,0)))</f>
        <v/>
      </c>
      <c r="M626" s="9">
        <f>IF(ISNA(MATCH(613,Engine!$C$2:$C$1960,0)),"",INDEX('Compliance Database'!$M$2:$M$1960,MATCH(613,Engine!$C$2:$C$1960,0)))</f>
        <v/>
      </c>
      <c r="N626" s="9">
        <f>IF(ISNA(MATCH(613,Engine!$C$2:$C$1960,0)),"",INDEX('Compliance Database'!$N$2:$N$1960,MATCH(613,Engine!$C$2:$C$1960,0)))</f>
        <v/>
      </c>
      <c r="O626" s="9">
        <f>IF(ISNA(MATCH(613,Engine!$C$2:$C$1960,0)),"",INDEX('Compliance Database'!$O$2:$O$1960,MATCH(613,Engine!$C$2:$C$1960,0)))</f>
        <v/>
      </c>
      <c r="P626" s="8">
        <f>IF(ISNA(MATCH(613,Engine!$C$2:$C$1960,0)),"",HYPERLINK("#Acts!A"&amp;INDEX('Compliance Database'!$P$2:$P$1960,MATCH(613,Engine!$C$2:$C$1960,0)),"Go to Act"))</f>
        <v/>
      </c>
    </row>
    <row r="627" ht="158" customHeight="1">
      <c r="A627" s="8">
        <f>IF(ISNA(MATCH(614,Engine!$C$2:$C$1960,0)),"",INDEX('Compliance Database'!$A$2:$A$1960,MATCH(614,Engine!$C$2:$C$1960,0)))</f>
        <v/>
      </c>
      <c r="B627" s="8">
        <f>IF(ISNA(MATCH(614,Engine!$C$2:$C$1960,0)),"",INDEX('Compliance Database'!$B$2:$B$1960,MATCH(614,Engine!$C$2:$C$1960,0)))</f>
        <v/>
      </c>
      <c r="C627" s="8">
        <f>IF(ISNA(MATCH(614,Engine!$C$2:$C$1960,0)),"",INDEX('Compliance Database'!$C$2:$C$1960,MATCH(614,Engine!$C$2:$C$1960,0)))</f>
        <v/>
      </c>
      <c r="D627" s="9">
        <f>IF(ISNA(MATCH(614,Engine!$C$2:$C$1960,0)),"",INDEX('Compliance Database'!$D$2:$D$1960,MATCH(614,Engine!$C$2:$C$1960,0)))</f>
        <v/>
      </c>
      <c r="E627" s="8">
        <f>IF(ISNA(MATCH(614,Engine!$C$2:$C$1960,0)),"",INDEX('Compliance Database'!$E$2:$E$1960,MATCH(614,Engine!$C$2:$C$1960,0)))</f>
        <v/>
      </c>
      <c r="F627" s="8">
        <f>IF(ISNA(MATCH(614,Engine!$C$2:$C$1960,0)),"",INDEX('Compliance Database'!$F$2:$F$1960,MATCH(614,Engine!$C$2:$C$1960,0)))</f>
        <v/>
      </c>
      <c r="G627" s="8">
        <f>IF(ISNA(MATCH(614,Engine!$C$2:$C$1960,0)),"",INDEX('Compliance Database'!$G$2:$G$1960,MATCH(614,Engine!$C$2:$C$1960,0)))</f>
        <v/>
      </c>
      <c r="H627" s="9">
        <f>IF(ISNA(MATCH(614,Engine!$C$2:$C$1960,0)),"",INDEX('Compliance Database'!$H$2:$H$1960,MATCH(614,Engine!$C$2:$C$1960,0)))</f>
        <v/>
      </c>
      <c r="I627" s="9">
        <f>IF(ISNA(MATCH(614,Engine!$C$2:$C$1960,0)),"",INDEX('Compliance Database'!$I$2:$I$1960,MATCH(614,Engine!$C$2:$C$1960,0)))</f>
        <v/>
      </c>
      <c r="J627" s="8">
        <f>IF(ISNA(MATCH(614,Engine!$C$2:$C$1960,0)),"",INDEX('Compliance Database'!$J$2:$J$1960,MATCH(614,Engine!$C$2:$C$1960,0)))</f>
        <v/>
      </c>
      <c r="K627" s="9">
        <f>IF(ISNA(MATCH(614,Engine!$C$2:$C$1960,0)),"",INDEX('Compliance Database'!$K$2:$K$1960,MATCH(614,Engine!$C$2:$C$1960,0)))</f>
        <v/>
      </c>
      <c r="L627" s="9">
        <f>IF(ISNA(MATCH(614,Engine!$C$2:$C$1960,0)),"",INDEX('Compliance Database'!$L$2:$L$1960,MATCH(614,Engine!$C$2:$C$1960,0)))</f>
        <v/>
      </c>
      <c r="M627" s="9">
        <f>IF(ISNA(MATCH(614,Engine!$C$2:$C$1960,0)),"",INDEX('Compliance Database'!$M$2:$M$1960,MATCH(614,Engine!$C$2:$C$1960,0)))</f>
        <v/>
      </c>
      <c r="N627" s="9">
        <f>IF(ISNA(MATCH(614,Engine!$C$2:$C$1960,0)),"",INDEX('Compliance Database'!$N$2:$N$1960,MATCH(614,Engine!$C$2:$C$1960,0)))</f>
        <v/>
      </c>
      <c r="O627" s="9">
        <f>IF(ISNA(MATCH(614,Engine!$C$2:$C$1960,0)),"",INDEX('Compliance Database'!$O$2:$O$1960,MATCH(614,Engine!$C$2:$C$1960,0)))</f>
        <v/>
      </c>
      <c r="P627" s="8">
        <f>IF(ISNA(MATCH(614,Engine!$C$2:$C$1960,0)),"",HYPERLINK("#Acts!A"&amp;INDEX('Compliance Database'!$P$2:$P$1960,MATCH(614,Engine!$C$2:$C$1960,0)),"Go to Act"))</f>
        <v/>
      </c>
    </row>
    <row r="628" ht="158" customHeight="1">
      <c r="A628" s="8">
        <f>IF(ISNA(MATCH(615,Engine!$C$2:$C$1960,0)),"",INDEX('Compliance Database'!$A$2:$A$1960,MATCH(615,Engine!$C$2:$C$1960,0)))</f>
        <v/>
      </c>
      <c r="B628" s="8">
        <f>IF(ISNA(MATCH(615,Engine!$C$2:$C$1960,0)),"",INDEX('Compliance Database'!$B$2:$B$1960,MATCH(615,Engine!$C$2:$C$1960,0)))</f>
        <v/>
      </c>
      <c r="C628" s="8">
        <f>IF(ISNA(MATCH(615,Engine!$C$2:$C$1960,0)),"",INDEX('Compliance Database'!$C$2:$C$1960,MATCH(615,Engine!$C$2:$C$1960,0)))</f>
        <v/>
      </c>
      <c r="D628" s="9">
        <f>IF(ISNA(MATCH(615,Engine!$C$2:$C$1960,0)),"",INDEX('Compliance Database'!$D$2:$D$1960,MATCH(615,Engine!$C$2:$C$1960,0)))</f>
        <v/>
      </c>
      <c r="E628" s="8">
        <f>IF(ISNA(MATCH(615,Engine!$C$2:$C$1960,0)),"",INDEX('Compliance Database'!$E$2:$E$1960,MATCH(615,Engine!$C$2:$C$1960,0)))</f>
        <v/>
      </c>
      <c r="F628" s="8">
        <f>IF(ISNA(MATCH(615,Engine!$C$2:$C$1960,0)),"",INDEX('Compliance Database'!$F$2:$F$1960,MATCH(615,Engine!$C$2:$C$1960,0)))</f>
        <v/>
      </c>
      <c r="G628" s="8">
        <f>IF(ISNA(MATCH(615,Engine!$C$2:$C$1960,0)),"",INDEX('Compliance Database'!$G$2:$G$1960,MATCH(615,Engine!$C$2:$C$1960,0)))</f>
        <v/>
      </c>
      <c r="H628" s="9">
        <f>IF(ISNA(MATCH(615,Engine!$C$2:$C$1960,0)),"",INDEX('Compliance Database'!$H$2:$H$1960,MATCH(615,Engine!$C$2:$C$1960,0)))</f>
        <v/>
      </c>
      <c r="I628" s="9">
        <f>IF(ISNA(MATCH(615,Engine!$C$2:$C$1960,0)),"",INDEX('Compliance Database'!$I$2:$I$1960,MATCH(615,Engine!$C$2:$C$1960,0)))</f>
        <v/>
      </c>
      <c r="J628" s="8">
        <f>IF(ISNA(MATCH(615,Engine!$C$2:$C$1960,0)),"",INDEX('Compliance Database'!$J$2:$J$1960,MATCH(615,Engine!$C$2:$C$1960,0)))</f>
        <v/>
      </c>
      <c r="K628" s="9">
        <f>IF(ISNA(MATCH(615,Engine!$C$2:$C$1960,0)),"",INDEX('Compliance Database'!$K$2:$K$1960,MATCH(615,Engine!$C$2:$C$1960,0)))</f>
        <v/>
      </c>
      <c r="L628" s="9">
        <f>IF(ISNA(MATCH(615,Engine!$C$2:$C$1960,0)),"",INDEX('Compliance Database'!$L$2:$L$1960,MATCH(615,Engine!$C$2:$C$1960,0)))</f>
        <v/>
      </c>
      <c r="M628" s="9">
        <f>IF(ISNA(MATCH(615,Engine!$C$2:$C$1960,0)),"",INDEX('Compliance Database'!$M$2:$M$1960,MATCH(615,Engine!$C$2:$C$1960,0)))</f>
        <v/>
      </c>
      <c r="N628" s="9">
        <f>IF(ISNA(MATCH(615,Engine!$C$2:$C$1960,0)),"",INDEX('Compliance Database'!$N$2:$N$1960,MATCH(615,Engine!$C$2:$C$1960,0)))</f>
        <v/>
      </c>
      <c r="O628" s="9">
        <f>IF(ISNA(MATCH(615,Engine!$C$2:$C$1960,0)),"",INDEX('Compliance Database'!$O$2:$O$1960,MATCH(615,Engine!$C$2:$C$1960,0)))</f>
        <v/>
      </c>
      <c r="P628" s="8">
        <f>IF(ISNA(MATCH(615,Engine!$C$2:$C$1960,0)),"",HYPERLINK("#Acts!A"&amp;INDEX('Compliance Database'!$P$2:$P$1960,MATCH(615,Engine!$C$2:$C$1960,0)),"Go to Act"))</f>
        <v/>
      </c>
    </row>
    <row r="629" ht="158" customHeight="1">
      <c r="A629" s="8">
        <f>IF(ISNA(MATCH(616,Engine!$C$2:$C$1960,0)),"",INDEX('Compliance Database'!$A$2:$A$1960,MATCH(616,Engine!$C$2:$C$1960,0)))</f>
        <v/>
      </c>
      <c r="B629" s="8">
        <f>IF(ISNA(MATCH(616,Engine!$C$2:$C$1960,0)),"",INDEX('Compliance Database'!$B$2:$B$1960,MATCH(616,Engine!$C$2:$C$1960,0)))</f>
        <v/>
      </c>
      <c r="C629" s="8">
        <f>IF(ISNA(MATCH(616,Engine!$C$2:$C$1960,0)),"",INDEX('Compliance Database'!$C$2:$C$1960,MATCH(616,Engine!$C$2:$C$1960,0)))</f>
        <v/>
      </c>
      <c r="D629" s="9">
        <f>IF(ISNA(MATCH(616,Engine!$C$2:$C$1960,0)),"",INDEX('Compliance Database'!$D$2:$D$1960,MATCH(616,Engine!$C$2:$C$1960,0)))</f>
        <v/>
      </c>
      <c r="E629" s="8">
        <f>IF(ISNA(MATCH(616,Engine!$C$2:$C$1960,0)),"",INDEX('Compliance Database'!$E$2:$E$1960,MATCH(616,Engine!$C$2:$C$1960,0)))</f>
        <v/>
      </c>
      <c r="F629" s="8">
        <f>IF(ISNA(MATCH(616,Engine!$C$2:$C$1960,0)),"",INDEX('Compliance Database'!$F$2:$F$1960,MATCH(616,Engine!$C$2:$C$1960,0)))</f>
        <v/>
      </c>
      <c r="G629" s="8">
        <f>IF(ISNA(MATCH(616,Engine!$C$2:$C$1960,0)),"",INDEX('Compliance Database'!$G$2:$G$1960,MATCH(616,Engine!$C$2:$C$1960,0)))</f>
        <v/>
      </c>
      <c r="H629" s="9">
        <f>IF(ISNA(MATCH(616,Engine!$C$2:$C$1960,0)),"",INDEX('Compliance Database'!$H$2:$H$1960,MATCH(616,Engine!$C$2:$C$1960,0)))</f>
        <v/>
      </c>
      <c r="I629" s="9">
        <f>IF(ISNA(MATCH(616,Engine!$C$2:$C$1960,0)),"",INDEX('Compliance Database'!$I$2:$I$1960,MATCH(616,Engine!$C$2:$C$1960,0)))</f>
        <v/>
      </c>
      <c r="J629" s="8">
        <f>IF(ISNA(MATCH(616,Engine!$C$2:$C$1960,0)),"",INDEX('Compliance Database'!$J$2:$J$1960,MATCH(616,Engine!$C$2:$C$1960,0)))</f>
        <v/>
      </c>
      <c r="K629" s="9">
        <f>IF(ISNA(MATCH(616,Engine!$C$2:$C$1960,0)),"",INDEX('Compliance Database'!$K$2:$K$1960,MATCH(616,Engine!$C$2:$C$1960,0)))</f>
        <v/>
      </c>
      <c r="L629" s="9">
        <f>IF(ISNA(MATCH(616,Engine!$C$2:$C$1960,0)),"",INDEX('Compliance Database'!$L$2:$L$1960,MATCH(616,Engine!$C$2:$C$1960,0)))</f>
        <v/>
      </c>
      <c r="M629" s="9">
        <f>IF(ISNA(MATCH(616,Engine!$C$2:$C$1960,0)),"",INDEX('Compliance Database'!$M$2:$M$1960,MATCH(616,Engine!$C$2:$C$1960,0)))</f>
        <v/>
      </c>
      <c r="N629" s="9">
        <f>IF(ISNA(MATCH(616,Engine!$C$2:$C$1960,0)),"",INDEX('Compliance Database'!$N$2:$N$1960,MATCH(616,Engine!$C$2:$C$1960,0)))</f>
        <v/>
      </c>
      <c r="O629" s="9">
        <f>IF(ISNA(MATCH(616,Engine!$C$2:$C$1960,0)),"",INDEX('Compliance Database'!$O$2:$O$1960,MATCH(616,Engine!$C$2:$C$1960,0)))</f>
        <v/>
      </c>
      <c r="P629" s="8">
        <f>IF(ISNA(MATCH(616,Engine!$C$2:$C$1960,0)),"",HYPERLINK("#Acts!A"&amp;INDEX('Compliance Database'!$P$2:$P$1960,MATCH(616,Engine!$C$2:$C$1960,0)),"Go to Act"))</f>
        <v/>
      </c>
    </row>
    <row r="630" ht="158" customHeight="1">
      <c r="A630" s="8">
        <f>IF(ISNA(MATCH(617,Engine!$C$2:$C$1960,0)),"",INDEX('Compliance Database'!$A$2:$A$1960,MATCH(617,Engine!$C$2:$C$1960,0)))</f>
        <v/>
      </c>
      <c r="B630" s="8">
        <f>IF(ISNA(MATCH(617,Engine!$C$2:$C$1960,0)),"",INDEX('Compliance Database'!$B$2:$B$1960,MATCH(617,Engine!$C$2:$C$1960,0)))</f>
        <v/>
      </c>
      <c r="C630" s="8">
        <f>IF(ISNA(MATCH(617,Engine!$C$2:$C$1960,0)),"",INDEX('Compliance Database'!$C$2:$C$1960,MATCH(617,Engine!$C$2:$C$1960,0)))</f>
        <v/>
      </c>
      <c r="D630" s="9">
        <f>IF(ISNA(MATCH(617,Engine!$C$2:$C$1960,0)),"",INDEX('Compliance Database'!$D$2:$D$1960,MATCH(617,Engine!$C$2:$C$1960,0)))</f>
        <v/>
      </c>
      <c r="E630" s="8">
        <f>IF(ISNA(MATCH(617,Engine!$C$2:$C$1960,0)),"",INDEX('Compliance Database'!$E$2:$E$1960,MATCH(617,Engine!$C$2:$C$1960,0)))</f>
        <v/>
      </c>
      <c r="F630" s="8">
        <f>IF(ISNA(MATCH(617,Engine!$C$2:$C$1960,0)),"",INDEX('Compliance Database'!$F$2:$F$1960,MATCH(617,Engine!$C$2:$C$1960,0)))</f>
        <v/>
      </c>
      <c r="G630" s="8">
        <f>IF(ISNA(MATCH(617,Engine!$C$2:$C$1960,0)),"",INDEX('Compliance Database'!$G$2:$G$1960,MATCH(617,Engine!$C$2:$C$1960,0)))</f>
        <v/>
      </c>
      <c r="H630" s="9">
        <f>IF(ISNA(MATCH(617,Engine!$C$2:$C$1960,0)),"",INDEX('Compliance Database'!$H$2:$H$1960,MATCH(617,Engine!$C$2:$C$1960,0)))</f>
        <v/>
      </c>
      <c r="I630" s="9">
        <f>IF(ISNA(MATCH(617,Engine!$C$2:$C$1960,0)),"",INDEX('Compliance Database'!$I$2:$I$1960,MATCH(617,Engine!$C$2:$C$1960,0)))</f>
        <v/>
      </c>
      <c r="J630" s="8">
        <f>IF(ISNA(MATCH(617,Engine!$C$2:$C$1960,0)),"",INDEX('Compliance Database'!$J$2:$J$1960,MATCH(617,Engine!$C$2:$C$1960,0)))</f>
        <v/>
      </c>
      <c r="K630" s="9">
        <f>IF(ISNA(MATCH(617,Engine!$C$2:$C$1960,0)),"",INDEX('Compliance Database'!$K$2:$K$1960,MATCH(617,Engine!$C$2:$C$1960,0)))</f>
        <v/>
      </c>
      <c r="L630" s="9">
        <f>IF(ISNA(MATCH(617,Engine!$C$2:$C$1960,0)),"",INDEX('Compliance Database'!$L$2:$L$1960,MATCH(617,Engine!$C$2:$C$1960,0)))</f>
        <v/>
      </c>
      <c r="M630" s="9">
        <f>IF(ISNA(MATCH(617,Engine!$C$2:$C$1960,0)),"",INDEX('Compliance Database'!$M$2:$M$1960,MATCH(617,Engine!$C$2:$C$1960,0)))</f>
        <v/>
      </c>
      <c r="N630" s="9">
        <f>IF(ISNA(MATCH(617,Engine!$C$2:$C$1960,0)),"",INDEX('Compliance Database'!$N$2:$N$1960,MATCH(617,Engine!$C$2:$C$1960,0)))</f>
        <v/>
      </c>
      <c r="O630" s="9">
        <f>IF(ISNA(MATCH(617,Engine!$C$2:$C$1960,0)),"",INDEX('Compliance Database'!$O$2:$O$1960,MATCH(617,Engine!$C$2:$C$1960,0)))</f>
        <v/>
      </c>
      <c r="P630" s="8">
        <f>IF(ISNA(MATCH(617,Engine!$C$2:$C$1960,0)),"",HYPERLINK("#Acts!A"&amp;INDEX('Compliance Database'!$P$2:$P$1960,MATCH(617,Engine!$C$2:$C$1960,0)),"Go to Act"))</f>
        <v/>
      </c>
    </row>
    <row r="631" ht="158" customHeight="1">
      <c r="A631" s="8">
        <f>IF(ISNA(MATCH(618,Engine!$C$2:$C$1960,0)),"",INDEX('Compliance Database'!$A$2:$A$1960,MATCH(618,Engine!$C$2:$C$1960,0)))</f>
        <v/>
      </c>
      <c r="B631" s="8">
        <f>IF(ISNA(MATCH(618,Engine!$C$2:$C$1960,0)),"",INDEX('Compliance Database'!$B$2:$B$1960,MATCH(618,Engine!$C$2:$C$1960,0)))</f>
        <v/>
      </c>
      <c r="C631" s="8">
        <f>IF(ISNA(MATCH(618,Engine!$C$2:$C$1960,0)),"",INDEX('Compliance Database'!$C$2:$C$1960,MATCH(618,Engine!$C$2:$C$1960,0)))</f>
        <v/>
      </c>
      <c r="D631" s="9">
        <f>IF(ISNA(MATCH(618,Engine!$C$2:$C$1960,0)),"",INDEX('Compliance Database'!$D$2:$D$1960,MATCH(618,Engine!$C$2:$C$1960,0)))</f>
        <v/>
      </c>
      <c r="E631" s="8">
        <f>IF(ISNA(MATCH(618,Engine!$C$2:$C$1960,0)),"",INDEX('Compliance Database'!$E$2:$E$1960,MATCH(618,Engine!$C$2:$C$1960,0)))</f>
        <v/>
      </c>
      <c r="F631" s="8">
        <f>IF(ISNA(MATCH(618,Engine!$C$2:$C$1960,0)),"",INDEX('Compliance Database'!$F$2:$F$1960,MATCH(618,Engine!$C$2:$C$1960,0)))</f>
        <v/>
      </c>
      <c r="G631" s="8">
        <f>IF(ISNA(MATCH(618,Engine!$C$2:$C$1960,0)),"",INDEX('Compliance Database'!$G$2:$G$1960,MATCH(618,Engine!$C$2:$C$1960,0)))</f>
        <v/>
      </c>
      <c r="H631" s="9">
        <f>IF(ISNA(MATCH(618,Engine!$C$2:$C$1960,0)),"",INDEX('Compliance Database'!$H$2:$H$1960,MATCH(618,Engine!$C$2:$C$1960,0)))</f>
        <v/>
      </c>
      <c r="I631" s="9">
        <f>IF(ISNA(MATCH(618,Engine!$C$2:$C$1960,0)),"",INDEX('Compliance Database'!$I$2:$I$1960,MATCH(618,Engine!$C$2:$C$1960,0)))</f>
        <v/>
      </c>
      <c r="J631" s="8">
        <f>IF(ISNA(MATCH(618,Engine!$C$2:$C$1960,0)),"",INDEX('Compliance Database'!$J$2:$J$1960,MATCH(618,Engine!$C$2:$C$1960,0)))</f>
        <v/>
      </c>
      <c r="K631" s="9">
        <f>IF(ISNA(MATCH(618,Engine!$C$2:$C$1960,0)),"",INDEX('Compliance Database'!$K$2:$K$1960,MATCH(618,Engine!$C$2:$C$1960,0)))</f>
        <v/>
      </c>
      <c r="L631" s="9">
        <f>IF(ISNA(MATCH(618,Engine!$C$2:$C$1960,0)),"",INDEX('Compliance Database'!$L$2:$L$1960,MATCH(618,Engine!$C$2:$C$1960,0)))</f>
        <v/>
      </c>
      <c r="M631" s="9">
        <f>IF(ISNA(MATCH(618,Engine!$C$2:$C$1960,0)),"",INDEX('Compliance Database'!$M$2:$M$1960,MATCH(618,Engine!$C$2:$C$1960,0)))</f>
        <v/>
      </c>
      <c r="N631" s="9">
        <f>IF(ISNA(MATCH(618,Engine!$C$2:$C$1960,0)),"",INDEX('Compliance Database'!$N$2:$N$1960,MATCH(618,Engine!$C$2:$C$1960,0)))</f>
        <v/>
      </c>
      <c r="O631" s="9">
        <f>IF(ISNA(MATCH(618,Engine!$C$2:$C$1960,0)),"",INDEX('Compliance Database'!$O$2:$O$1960,MATCH(618,Engine!$C$2:$C$1960,0)))</f>
        <v/>
      </c>
      <c r="P631" s="8">
        <f>IF(ISNA(MATCH(618,Engine!$C$2:$C$1960,0)),"",HYPERLINK("#Acts!A"&amp;INDEX('Compliance Database'!$P$2:$P$1960,MATCH(618,Engine!$C$2:$C$1960,0)),"Go to Act"))</f>
        <v/>
      </c>
    </row>
    <row r="632" ht="158" customHeight="1">
      <c r="A632" s="8">
        <f>IF(ISNA(MATCH(619,Engine!$C$2:$C$1960,0)),"",INDEX('Compliance Database'!$A$2:$A$1960,MATCH(619,Engine!$C$2:$C$1960,0)))</f>
        <v/>
      </c>
      <c r="B632" s="8">
        <f>IF(ISNA(MATCH(619,Engine!$C$2:$C$1960,0)),"",INDEX('Compliance Database'!$B$2:$B$1960,MATCH(619,Engine!$C$2:$C$1960,0)))</f>
        <v/>
      </c>
      <c r="C632" s="8">
        <f>IF(ISNA(MATCH(619,Engine!$C$2:$C$1960,0)),"",INDEX('Compliance Database'!$C$2:$C$1960,MATCH(619,Engine!$C$2:$C$1960,0)))</f>
        <v/>
      </c>
      <c r="D632" s="9">
        <f>IF(ISNA(MATCH(619,Engine!$C$2:$C$1960,0)),"",INDEX('Compliance Database'!$D$2:$D$1960,MATCH(619,Engine!$C$2:$C$1960,0)))</f>
        <v/>
      </c>
      <c r="E632" s="8">
        <f>IF(ISNA(MATCH(619,Engine!$C$2:$C$1960,0)),"",INDEX('Compliance Database'!$E$2:$E$1960,MATCH(619,Engine!$C$2:$C$1960,0)))</f>
        <v/>
      </c>
      <c r="F632" s="8">
        <f>IF(ISNA(MATCH(619,Engine!$C$2:$C$1960,0)),"",INDEX('Compliance Database'!$F$2:$F$1960,MATCH(619,Engine!$C$2:$C$1960,0)))</f>
        <v/>
      </c>
      <c r="G632" s="8">
        <f>IF(ISNA(MATCH(619,Engine!$C$2:$C$1960,0)),"",INDEX('Compliance Database'!$G$2:$G$1960,MATCH(619,Engine!$C$2:$C$1960,0)))</f>
        <v/>
      </c>
      <c r="H632" s="9">
        <f>IF(ISNA(MATCH(619,Engine!$C$2:$C$1960,0)),"",INDEX('Compliance Database'!$H$2:$H$1960,MATCH(619,Engine!$C$2:$C$1960,0)))</f>
        <v/>
      </c>
      <c r="I632" s="9">
        <f>IF(ISNA(MATCH(619,Engine!$C$2:$C$1960,0)),"",INDEX('Compliance Database'!$I$2:$I$1960,MATCH(619,Engine!$C$2:$C$1960,0)))</f>
        <v/>
      </c>
      <c r="J632" s="8">
        <f>IF(ISNA(MATCH(619,Engine!$C$2:$C$1960,0)),"",INDEX('Compliance Database'!$J$2:$J$1960,MATCH(619,Engine!$C$2:$C$1960,0)))</f>
        <v/>
      </c>
      <c r="K632" s="9">
        <f>IF(ISNA(MATCH(619,Engine!$C$2:$C$1960,0)),"",INDEX('Compliance Database'!$K$2:$K$1960,MATCH(619,Engine!$C$2:$C$1960,0)))</f>
        <v/>
      </c>
      <c r="L632" s="9">
        <f>IF(ISNA(MATCH(619,Engine!$C$2:$C$1960,0)),"",INDEX('Compliance Database'!$L$2:$L$1960,MATCH(619,Engine!$C$2:$C$1960,0)))</f>
        <v/>
      </c>
      <c r="M632" s="9">
        <f>IF(ISNA(MATCH(619,Engine!$C$2:$C$1960,0)),"",INDEX('Compliance Database'!$M$2:$M$1960,MATCH(619,Engine!$C$2:$C$1960,0)))</f>
        <v/>
      </c>
      <c r="N632" s="9">
        <f>IF(ISNA(MATCH(619,Engine!$C$2:$C$1960,0)),"",INDEX('Compliance Database'!$N$2:$N$1960,MATCH(619,Engine!$C$2:$C$1960,0)))</f>
        <v/>
      </c>
      <c r="O632" s="9">
        <f>IF(ISNA(MATCH(619,Engine!$C$2:$C$1960,0)),"",INDEX('Compliance Database'!$O$2:$O$1960,MATCH(619,Engine!$C$2:$C$1960,0)))</f>
        <v/>
      </c>
      <c r="P632" s="8">
        <f>IF(ISNA(MATCH(619,Engine!$C$2:$C$1960,0)),"",HYPERLINK("#Acts!A"&amp;INDEX('Compliance Database'!$P$2:$P$1960,MATCH(619,Engine!$C$2:$C$1960,0)),"Go to Act"))</f>
        <v/>
      </c>
    </row>
    <row r="633" ht="158" customHeight="1">
      <c r="A633" s="8">
        <f>IF(ISNA(MATCH(620,Engine!$C$2:$C$1960,0)),"",INDEX('Compliance Database'!$A$2:$A$1960,MATCH(620,Engine!$C$2:$C$1960,0)))</f>
        <v/>
      </c>
      <c r="B633" s="8">
        <f>IF(ISNA(MATCH(620,Engine!$C$2:$C$1960,0)),"",INDEX('Compliance Database'!$B$2:$B$1960,MATCH(620,Engine!$C$2:$C$1960,0)))</f>
        <v/>
      </c>
      <c r="C633" s="8">
        <f>IF(ISNA(MATCH(620,Engine!$C$2:$C$1960,0)),"",INDEX('Compliance Database'!$C$2:$C$1960,MATCH(620,Engine!$C$2:$C$1960,0)))</f>
        <v/>
      </c>
      <c r="D633" s="9">
        <f>IF(ISNA(MATCH(620,Engine!$C$2:$C$1960,0)),"",INDEX('Compliance Database'!$D$2:$D$1960,MATCH(620,Engine!$C$2:$C$1960,0)))</f>
        <v/>
      </c>
      <c r="E633" s="8">
        <f>IF(ISNA(MATCH(620,Engine!$C$2:$C$1960,0)),"",INDEX('Compliance Database'!$E$2:$E$1960,MATCH(620,Engine!$C$2:$C$1960,0)))</f>
        <v/>
      </c>
      <c r="F633" s="8">
        <f>IF(ISNA(MATCH(620,Engine!$C$2:$C$1960,0)),"",INDEX('Compliance Database'!$F$2:$F$1960,MATCH(620,Engine!$C$2:$C$1960,0)))</f>
        <v/>
      </c>
      <c r="G633" s="8">
        <f>IF(ISNA(MATCH(620,Engine!$C$2:$C$1960,0)),"",INDEX('Compliance Database'!$G$2:$G$1960,MATCH(620,Engine!$C$2:$C$1960,0)))</f>
        <v/>
      </c>
      <c r="H633" s="9">
        <f>IF(ISNA(MATCH(620,Engine!$C$2:$C$1960,0)),"",INDEX('Compliance Database'!$H$2:$H$1960,MATCH(620,Engine!$C$2:$C$1960,0)))</f>
        <v/>
      </c>
      <c r="I633" s="9">
        <f>IF(ISNA(MATCH(620,Engine!$C$2:$C$1960,0)),"",INDEX('Compliance Database'!$I$2:$I$1960,MATCH(620,Engine!$C$2:$C$1960,0)))</f>
        <v/>
      </c>
      <c r="J633" s="8">
        <f>IF(ISNA(MATCH(620,Engine!$C$2:$C$1960,0)),"",INDEX('Compliance Database'!$J$2:$J$1960,MATCH(620,Engine!$C$2:$C$1960,0)))</f>
        <v/>
      </c>
      <c r="K633" s="9">
        <f>IF(ISNA(MATCH(620,Engine!$C$2:$C$1960,0)),"",INDEX('Compliance Database'!$K$2:$K$1960,MATCH(620,Engine!$C$2:$C$1960,0)))</f>
        <v/>
      </c>
      <c r="L633" s="9">
        <f>IF(ISNA(MATCH(620,Engine!$C$2:$C$1960,0)),"",INDEX('Compliance Database'!$L$2:$L$1960,MATCH(620,Engine!$C$2:$C$1960,0)))</f>
        <v/>
      </c>
      <c r="M633" s="9">
        <f>IF(ISNA(MATCH(620,Engine!$C$2:$C$1960,0)),"",INDEX('Compliance Database'!$M$2:$M$1960,MATCH(620,Engine!$C$2:$C$1960,0)))</f>
        <v/>
      </c>
      <c r="N633" s="9">
        <f>IF(ISNA(MATCH(620,Engine!$C$2:$C$1960,0)),"",INDEX('Compliance Database'!$N$2:$N$1960,MATCH(620,Engine!$C$2:$C$1960,0)))</f>
        <v/>
      </c>
      <c r="O633" s="9">
        <f>IF(ISNA(MATCH(620,Engine!$C$2:$C$1960,0)),"",INDEX('Compliance Database'!$O$2:$O$1960,MATCH(620,Engine!$C$2:$C$1960,0)))</f>
        <v/>
      </c>
      <c r="P633" s="8">
        <f>IF(ISNA(MATCH(620,Engine!$C$2:$C$1960,0)),"",HYPERLINK("#Acts!A"&amp;INDEX('Compliance Database'!$P$2:$P$1960,MATCH(620,Engine!$C$2:$C$1960,0)),"Go to Act"))</f>
        <v/>
      </c>
    </row>
    <row r="634" ht="158" customHeight="1">
      <c r="A634" s="8">
        <f>IF(ISNA(MATCH(621,Engine!$C$2:$C$1960,0)),"",INDEX('Compliance Database'!$A$2:$A$1960,MATCH(621,Engine!$C$2:$C$1960,0)))</f>
        <v/>
      </c>
      <c r="B634" s="8">
        <f>IF(ISNA(MATCH(621,Engine!$C$2:$C$1960,0)),"",INDEX('Compliance Database'!$B$2:$B$1960,MATCH(621,Engine!$C$2:$C$1960,0)))</f>
        <v/>
      </c>
      <c r="C634" s="8">
        <f>IF(ISNA(MATCH(621,Engine!$C$2:$C$1960,0)),"",INDEX('Compliance Database'!$C$2:$C$1960,MATCH(621,Engine!$C$2:$C$1960,0)))</f>
        <v/>
      </c>
      <c r="D634" s="9">
        <f>IF(ISNA(MATCH(621,Engine!$C$2:$C$1960,0)),"",INDEX('Compliance Database'!$D$2:$D$1960,MATCH(621,Engine!$C$2:$C$1960,0)))</f>
        <v/>
      </c>
      <c r="E634" s="8">
        <f>IF(ISNA(MATCH(621,Engine!$C$2:$C$1960,0)),"",INDEX('Compliance Database'!$E$2:$E$1960,MATCH(621,Engine!$C$2:$C$1960,0)))</f>
        <v/>
      </c>
      <c r="F634" s="8">
        <f>IF(ISNA(MATCH(621,Engine!$C$2:$C$1960,0)),"",INDEX('Compliance Database'!$F$2:$F$1960,MATCH(621,Engine!$C$2:$C$1960,0)))</f>
        <v/>
      </c>
      <c r="G634" s="8">
        <f>IF(ISNA(MATCH(621,Engine!$C$2:$C$1960,0)),"",INDEX('Compliance Database'!$G$2:$G$1960,MATCH(621,Engine!$C$2:$C$1960,0)))</f>
        <v/>
      </c>
      <c r="H634" s="9">
        <f>IF(ISNA(MATCH(621,Engine!$C$2:$C$1960,0)),"",INDEX('Compliance Database'!$H$2:$H$1960,MATCH(621,Engine!$C$2:$C$1960,0)))</f>
        <v/>
      </c>
      <c r="I634" s="9">
        <f>IF(ISNA(MATCH(621,Engine!$C$2:$C$1960,0)),"",INDEX('Compliance Database'!$I$2:$I$1960,MATCH(621,Engine!$C$2:$C$1960,0)))</f>
        <v/>
      </c>
      <c r="J634" s="8">
        <f>IF(ISNA(MATCH(621,Engine!$C$2:$C$1960,0)),"",INDEX('Compliance Database'!$J$2:$J$1960,MATCH(621,Engine!$C$2:$C$1960,0)))</f>
        <v/>
      </c>
      <c r="K634" s="9">
        <f>IF(ISNA(MATCH(621,Engine!$C$2:$C$1960,0)),"",INDEX('Compliance Database'!$K$2:$K$1960,MATCH(621,Engine!$C$2:$C$1960,0)))</f>
        <v/>
      </c>
      <c r="L634" s="9">
        <f>IF(ISNA(MATCH(621,Engine!$C$2:$C$1960,0)),"",INDEX('Compliance Database'!$L$2:$L$1960,MATCH(621,Engine!$C$2:$C$1960,0)))</f>
        <v/>
      </c>
      <c r="M634" s="9">
        <f>IF(ISNA(MATCH(621,Engine!$C$2:$C$1960,0)),"",INDEX('Compliance Database'!$M$2:$M$1960,MATCH(621,Engine!$C$2:$C$1960,0)))</f>
        <v/>
      </c>
      <c r="N634" s="9">
        <f>IF(ISNA(MATCH(621,Engine!$C$2:$C$1960,0)),"",INDEX('Compliance Database'!$N$2:$N$1960,MATCH(621,Engine!$C$2:$C$1960,0)))</f>
        <v/>
      </c>
      <c r="O634" s="9">
        <f>IF(ISNA(MATCH(621,Engine!$C$2:$C$1960,0)),"",INDEX('Compliance Database'!$O$2:$O$1960,MATCH(621,Engine!$C$2:$C$1960,0)))</f>
        <v/>
      </c>
      <c r="P634" s="8">
        <f>IF(ISNA(MATCH(621,Engine!$C$2:$C$1960,0)),"",HYPERLINK("#Acts!A"&amp;INDEX('Compliance Database'!$P$2:$P$1960,MATCH(621,Engine!$C$2:$C$1960,0)),"Go to Act"))</f>
        <v/>
      </c>
    </row>
    <row r="635" ht="158" customHeight="1">
      <c r="A635" s="8">
        <f>IF(ISNA(MATCH(622,Engine!$C$2:$C$1960,0)),"",INDEX('Compliance Database'!$A$2:$A$1960,MATCH(622,Engine!$C$2:$C$1960,0)))</f>
        <v/>
      </c>
      <c r="B635" s="8">
        <f>IF(ISNA(MATCH(622,Engine!$C$2:$C$1960,0)),"",INDEX('Compliance Database'!$B$2:$B$1960,MATCH(622,Engine!$C$2:$C$1960,0)))</f>
        <v/>
      </c>
      <c r="C635" s="8">
        <f>IF(ISNA(MATCH(622,Engine!$C$2:$C$1960,0)),"",INDEX('Compliance Database'!$C$2:$C$1960,MATCH(622,Engine!$C$2:$C$1960,0)))</f>
        <v/>
      </c>
      <c r="D635" s="9">
        <f>IF(ISNA(MATCH(622,Engine!$C$2:$C$1960,0)),"",INDEX('Compliance Database'!$D$2:$D$1960,MATCH(622,Engine!$C$2:$C$1960,0)))</f>
        <v/>
      </c>
      <c r="E635" s="8">
        <f>IF(ISNA(MATCH(622,Engine!$C$2:$C$1960,0)),"",INDEX('Compliance Database'!$E$2:$E$1960,MATCH(622,Engine!$C$2:$C$1960,0)))</f>
        <v/>
      </c>
      <c r="F635" s="8">
        <f>IF(ISNA(MATCH(622,Engine!$C$2:$C$1960,0)),"",INDEX('Compliance Database'!$F$2:$F$1960,MATCH(622,Engine!$C$2:$C$1960,0)))</f>
        <v/>
      </c>
      <c r="G635" s="8">
        <f>IF(ISNA(MATCH(622,Engine!$C$2:$C$1960,0)),"",INDEX('Compliance Database'!$G$2:$G$1960,MATCH(622,Engine!$C$2:$C$1960,0)))</f>
        <v/>
      </c>
      <c r="H635" s="9">
        <f>IF(ISNA(MATCH(622,Engine!$C$2:$C$1960,0)),"",INDEX('Compliance Database'!$H$2:$H$1960,MATCH(622,Engine!$C$2:$C$1960,0)))</f>
        <v/>
      </c>
      <c r="I635" s="9">
        <f>IF(ISNA(MATCH(622,Engine!$C$2:$C$1960,0)),"",INDEX('Compliance Database'!$I$2:$I$1960,MATCH(622,Engine!$C$2:$C$1960,0)))</f>
        <v/>
      </c>
      <c r="J635" s="8">
        <f>IF(ISNA(MATCH(622,Engine!$C$2:$C$1960,0)),"",INDEX('Compliance Database'!$J$2:$J$1960,MATCH(622,Engine!$C$2:$C$1960,0)))</f>
        <v/>
      </c>
      <c r="K635" s="9">
        <f>IF(ISNA(MATCH(622,Engine!$C$2:$C$1960,0)),"",INDEX('Compliance Database'!$K$2:$K$1960,MATCH(622,Engine!$C$2:$C$1960,0)))</f>
        <v/>
      </c>
      <c r="L635" s="9">
        <f>IF(ISNA(MATCH(622,Engine!$C$2:$C$1960,0)),"",INDEX('Compliance Database'!$L$2:$L$1960,MATCH(622,Engine!$C$2:$C$1960,0)))</f>
        <v/>
      </c>
      <c r="M635" s="9">
        <f>IF(ISNA(MATCH(622,Engine!$C$2:$C$1960,0)),"",INDEX('Compliance Database'!$M$2:$M$1960,MATCH(622,Engine!$C$2:$C$1960,0)))</f>
        <v/>
      </c>
      <c r="N635" s="9">
        <f>IF(ISNA(MATCH(622,Engine!$C$2:$C$1960,0)),"",INDEX('Compliance Database'!$N$2:$N$1960,MATCH(622,Engine!$C$2:$C$1960,0)))</f>
        <v/>
      </c>
      <c r="O635" s="9">
        <f>IF(ISNA(MATCH(622,Engine!$C$2:$C$1960,0)),"",INDEX('Compliance Database'!$O$2:$O$1960,MATCH(622,Engine!$C$2:$C$1960,0)))</f>
        <v/>
      </c>
      <c r="P635" s="8">
        <f>IF(ISNA(MATCH(622,Engine!$C$2:$C$1960,0)),"",HYPERLINK("#Acts!A"&amp;INDEX('Compliance Database'!$P$2:$P$1960,MATCH(622,Engine!$C$2:$C$1960,0)),"Go to Act"))</f>
        <v/>
      </c>
    </row>
    <row r="636" ht="158" customHeight="1">
      <c r="A636" s="8">
        <f>IF(ISNA(MATCH(623,Engine!$C$2:$C$1960,0)),"",INDEX('Compliance Database'!$A$2:$A$1960,MATCH(623,Engine!$C$2:$C$1960,0)))</f>
        <v/>
      </c>
      <c r="B636" s="8">
        <f>IF(ISNA(MATCH(623,Engine!$C$2:$C$1960,0)),"",INDEX('Compliance Database'!$B$2:$B$1960,MATCH(623,Engine!$C$2:$C$1960,0)))</f>
        <v/>
      </c>
      <c r="C636" s="8">
        <f>IF(ISNA(MATCH(623,Engine!$C$2:$C$1960,0)),"",INDEX('Compliance Database'!$C$2:$C$1960,MATCH(623,Engine!$C$2:$C$1960,0)))</f>
        <v/>
      </c>
      <c r="D636" s="9">
        <f>IF(ISNA(MATCH(623,Engine!$C$2:$C$1960,0)),"",INDEX('Compliance Database'!$D$2:$D$1960,MATCH(623,Engine!$C$2:$C$1960,0)))</f>
        <v/>
      </c>
      <c r="E636" s="8">
        <f>IF(ISNA(MATCH(623,Engine!$C$2:$C$1960,0)),"",INDEX('Compliance Database'!$E$2:$E$1960,MATCH(623,Engine!$C$2:$C$1960,0)))</f>
        <v/>
      </c>
      <c r="F636" s="8">
        <f>IF(ISNA(MATCH(623,Engine!$C$2:$C$1960,0)),"",INDEX('Compliance Database'!$F$2:$F$1960,MATCH(623,Engine!$C$2:$C$1960,0)))</f>
        <v/>
      </c>
      <c r="G636" s="8">
        <f>IF(ISNA(MATCH(623,Engine!$C$2:$C$1960,0)),"",INDEX('Compliance Database'!$G$2:$G$1960,MATCH(623,Engine!$C$2:$C$1960,0)))</f>
        <v/>
      </c>
      <c r="H636" s="9">
        <f>IF(ISNA(MATCH(623,Engine!$C$2:$C$1960,0)),"",INDEX('Compliance Database'!$H$2:$H$1960,MATCH(623,Engine!$C$2:$C$1960,0)))</f>
        <v/>
      </c>
      <c r="I636" s="9">
        <f>IF(ISNA(MATCH(623,Engine!$C$2:$C$1960,0)),"",INDEX('Compliance Database'!$I$2:$I$1960,MATCH(623,Engine!$C$2:$C$1960,0)))</f>
        <v/>
      </c>
      <c r="J636" s="8">
        <f>IF(ISNA(MATCH(623,Engine!$C$2:$C$1960,0)),"",INDEX('Compliance Database'!$J$2:$J$1960,MATCH(623,Engine!$C$2:$C$1960,0)))</f>
        <v/>
      </c>
      <c r="K636" s="9">
        <f>IF(ISNA(MATCH(623,Engine!$C$2:$C$1960,0)),"",INDEX('Compliance Database'!$K$2:$K$1960,MATCH(623,Engine!$C$2:$C$1960,0)))</f>
        <v/>
      </c>
      <c r="L636" s="9">
        <f>IF(ISNA(MATCH(623,Engine!$C$2:$C$1960,0)),"",INDEX('Compliance Database'!$L$2:$L$1960,MATCH(623,Engine!$C$2:$C$1960,0)))</f>
        <v/>
      </c>
      <c r="M636" s="9">
        <f>IF(ISNA(MATCH(623,Engine!$C$2:$C$1960,0)),"",INDEX('Compliance Database'!$M$2:$M$1960,MATCH(623,Engine!$C$2:$C$1960,0)))</f>
        <v/>
      </c>
      <c r="N636" s="9">
        <f>IF(ISNA(MATCH(623,Engine!$C$2:$C$1960,0)),"",INDEX('Compliance Database'!$N$2:$N$1960,MATCH(623,Engine!$C$2:$C$1960,0)))</f>
        <v/>
      </c>
      <c r="O636" s="9">
        <f>IF(ISNA(MATCH(623,Engine!$C$2:$C$1960,0)),"",INDEX('Compliance Database'!$O$2:$O$1960,MATCH(623,Engine!$C$2:$C$1960,0)))</f>
        <v/>
      </c>
      <c r="P636" s="8">
        <f>IF(ISNA(MATCH(623,Engine!$C$2:$C$1960,0)),"",HYPERLINK("#Acts!A"&amp;INDEX('Compliance Database'!$P$2:$P$1960,MATCH(623,Engine!$C$2:$C$1960,0)),"Go to Act"))</f>
        <v/>
      </c>
    </row>
    <row r="637" ht="158" customHeight="1">
      <c r="A637" s="8">
        <f>IF(ISNA(MATCH(624,Engine!$C$2:$C$1960,0)),"",INDEX('Compliance Database'!$A$2:$A$1960,MATCH(624,Engine!$C$2:$C$1960,0)))</f>
        <v/>
      </c>
      <c r="B637" s="8">
        <f>IF(ISNA(MATCH(624,Engine!$C$2:$C$1960,0)),"",INDEX('Compliance Database'!$B$2:$B$1960,MATCH(624,Engine!$C$2:$C$1960,0)))</f>
        <v/>
      </c>
      <c r="C637" s="8">
        <f>IF(ISNA(MATCH(624,Engine!$C$2:$C$1960,0)),"",INDEX('Compliance Database'!$C$2:$C$1960,MATCH(624,Engine!$C$2:$C$1960,0)))</f>
        <v/>
      </c>
      <c r="D637" s="9">
        <f>IF(ISNA(MATCH(624,Engine!$C$2:$C$1960,0)),"",INDEX('Compliance Database'!$D$2:$D$1960,MATCH(624,Engine!$C$2:$C$1960,0)))</f>
        <v/>
      </c>
      <c r="E637" s="8">
        <f>IF(ISNA(MATCH(624,Engine!$C$2:$C$1960,0)),"",INDEX('Compliance Database'!$E$2:$E$1960,MATCH(624,Engine!$C$2:$C$1960,0)))</f>
        <v/>
      </c>
      <c r="F637" s="8">
        <f>IF(ISNA(MATCH(624,Engine!$C$2:$C$1960,0)),"",INDEX('Compliance Database'!$F$2:$F$1960,MATCH(624,Engine!$C$2:$C$1960,0)))</f>
        <v/>
      </c>
      <c r="G637" s="8">
        <f>IF(ISNA(MATCH(624,Engine!$C$2:$C$1960,0)),"",INDEX('Compliance Database'!$G$2:$G$1960,MATCH(624,Engine!$C$2:$C$1960,0)))</f>
        <v/>
      </c>
      <c r="H637" s="9">
        <f>IF(ISNA(MATCH(624,Engine!$C$2:$C$1960,0)),"",INDEX('Compliance Database'!$H$2:$H$1960,MATCH(624,Engine!$C$2:$C$1960,0)))</f>
        <v/>
      </c>
      <c r="I637" s="9">
        <f>IF(ISNA(MATCH(624,Engine!$C$2:$C$1960,0)),"",INDEX('Compliance Database'!$I$2:$I$1960,MATCH(624,Engine!$C$2:$C$1960,0)))</f>
        <v/>
      </c>
      <c r="J637" s="8">
        <f>IF(ISNA(MATCH(624,Engine!$C$2:$C$1960,0)),"",INDEX('Compliance Database'!$J$2:$J$1960,MATCH(624,Engine!$C$2:$C$1960,0)))</f>
        <v/>
      </c>
      <c r="K637" s="9">
        <f>IF(ISNA(MATCH(624,Engine!$C$2:$C$1960,0)),"",INDEX('Compliance Database'!$K$2:$K$1960,MATCH(624,Engine!$C$2:$C$1960,0)))</f>
        <v/>
      </c>
      <c r="L637" s="9">
        <f>IF(ISNA(MATCH(624,Engine!$C$2:$C$1960,0)),"",INDEX('Compliance Database'!$L$2:$L$1960,MATCH(624,Engine!$C$2:$C$1960,0)))</f>
        <v/>
      </c>
      <c r="M637" s="9">
        <f>IF(ISNA(MATCH(624,Engine!$C$2:$C$1960,0)),"",INDEX('Compliance Database'!$M$2:$M$1960,MATCH(624,Engine!$C$2:$C$1960,0)))</f>
        <v/>
      </c>
      <c r="N637" s="9">
        <f>IF(ISNA(MATCH(624,Engine!$C$2:$C$1960,0)),"",INDEX('Compliance Database'!$N$2:$N$1960,MATCH(624,Engine!$C$2:$C$1960,0)))</f>
        <v/>
      </c>
      <c r="O637" s="9">
        <f>IF(ISNA(MATCH(624,Engine!$C$2:$C$1960,0)),"",INDEX('Compliance Database'!$O$2:$O$1960,MATCH(624,Engine!$C$2:$C$1960,0)))</f>
        <v/>
      </c>
      <c r="P637" s="8">
        <f>IF(ISNA(MATCH(624,Engine!$C$2:$C$1960,0)),"",HYPERLINK("#Acts!A"&amp;INDEX('Compliance Database'!$P$2:$P$1960,MATCH(624,Engine!$C$2:$C$1960,0)),"Go to Act"))</f>
        <v/>
      </c>
    </row>
    <row r="638" ht="158" customHeight="1">
      <c r="A638" s="8">
        <f>IF(ISNA(MATCH(625,Engine!$C$2:$C$1960,0)),"",INDEX('Compliance Database'!$A$2:$A$1960,MATCH(625,Engine!$C$2:$C$1960,0)))</f>
        <v/>
      </c>
      <c r="B638" s="8">
        <f>IF(ISNA(MATCH(625,Engine!$C$2:$C$1960,0)),"",INDEX('Compliance Database'!$B$2:$B$1960,MATCH(625,Engine!$C$2:$C$1960,0)))</f>
        <v/>
      </c>
      <c r="C638" s="8">
        <f>IF(ISNA(MATCH(625,Engine!$C$2:$C$1960,0)),"",INDEX('Compliance Database'!$C$2:$C$1960,MATCH(625,Engine!$C$2:$C$1960,0)))</f>
        <v/>
      </c>
      <c r="D638" s="9">
        <f>IF(ISNA(MATCH(625,Engine!$C$2:$C$1960,0)),"",INDEX('Compliance Database'!$D$2:$D$1960,MATCH(625,Engine!$C$2:$C$1960,0)))</f>
        <v/>
      </c>
      <c r="E638" s="8">
        <f>IF(ISNA(MATCH(625,Engine!$C$2:$C$1960,0)),"",INDEX('Compliance Database'!$E$2:$E$1960,MATCH(625,Engine!$C$2:$C$1960,0)))</f>
        <v/>
      </c>
      <c r="F638" s="8">
        <f>IF(ISNA(MATCH(625,Engine!$C$2:$C$1960,0)),"",INDEX('Compliance Database'!$F$2:$F$1960,MATCH(625,Engine!$C$2:$C$1960,0)))</f>
        <v/>
      </c>
      <c r="G638" s="8">
        <f>IF(ISNA(MATCH(625,Engine!$C$2:$C$1960,0)),"",INDEX('Compliance Database'!$G$2:$G$1960,MATCH(625,Engine!$C$2:$C$1960,0)))</f>
        <v/>
      </c>
      <c r="H638" s="9">
        <f>IF(ISNA(MATCH(625,Engine!$C$2:$C$1960,0)),"",INDEX('Compliance Database'!$H$2:$H$1960,MATCH(625,Engine!$C$2:$C$1960,0)))</f>
        <v/>
      </c>
      <c r="I638" s="9">
        <f>IF(ISNA(MATCH(625,Engine!$C$2:$C$1960,0)),"",INDEX('Compliance Database'!$I$2:$I$1960,MATCH(625,Engine!$C$2:$C$1960,0)))</f>
        <v/>
      </c>
      <c r="J638" s="8">
        <f>IF(ISNA(MATCH(625,Engine!$C$2:$C$1960,0)),"",INDEX('Compliance Database'!$J$2:$J$1960,MATCH(625,Engine!$C$2:$C$1960,0)))</f>
        <v/>
      </c>
      <c r="K638" s="9">
        <f>IF(ISNA(MATCH(625,Engine!$C$2:$C$1960,0)),"",INDEX('Compliance Database'!$K$2:$K$1960,MATCH(625,Engine!$C$2:$C$1960,0)))</f>
        <v/>
      </c>
      <c r="L638" s="9">
        <f>IF(ISNA(MATCH(625,Engine!$C$2:$C$1960,0)),"",INDEX('Compliance Database'!$L$2:$L$1960,MATCH(625,Engine!$C$2:$C$1960,0)))</f>
        <v/>
      </c>
      <c r="M638" s="9">
        <f>IF(ISNA(MATCH(625,Engine!$C$2:$C$1960,0)),"",INDEX('Compliance Database'!$M$2:$M$1960,MATCH(625,Engine!$C$2:$C$1960,0)))</f>
        <v/>
      </c>
      <c r="N638" s="9">
        <f>IF(ISNA(MATCH(625,Engine!$C$2:$C$1960,0)),"",INDEX('Compliance Database'!$N$2:$N$1960,MATCH(625,Engine!$C$2:$C$1960,0)))</f>
        <v/>
      </c>
      <c r="O638" s="9">
        <f>IF(ISNA(MATCH(625,Engine!$C$2:$C$1960,0)),"",INDEX('Compliance Database'!$O$2:$O$1960,MATCH(625,Engine!$C$2:$C$1960,0)))</f>
        <v/>
      </c>
      <c r="P638" s="8">
        <f>IF(ISNA(MATCH(625,Engine!$C$2:$C$1960,0)),"",HYPERLINK("#Acts!A"&amp;INDEX('Compliance Database'!$P$2:$P$1960,MATCH(625,Engine!$C$2:$C$1960,0)),"Go to Act"))</f>
        <v/>
      </c>
    </row>
    <row r="639" ht="158" customHeight="1">
      <c r="A639" s="8">
        <f>IF(ISNA(MATCH(626,Engine!$C$2:$C$1960,0)),"",INDEX('Compliance Database'!$A$2:$A$1960,MATCH(626,Engine!$C$2:$C$1960,0)))</f>
        <v/>
      </c>
      <c r="B639" s="8">
        <f>IF(ISNA(MATCH(626,Engine!$C$2:$C$1960,0)),"",INDEX('Compliance Database'!$B$2:$B$1960,MATCH(626,Engine!$C$2:$C$1960,0)))</f>
        <v/>
      </c>
      <c r="C639" s="8">
        <f>IF(ISNA(MATCH(626,Engine!$C$2:$C$1960,0)),"",INDEX('Compliance Database'!$C$2:$C$1960,MATCH(626,Engine!$C$2:$C$1960,0)))</f>
        <v/>
      </c>
      <c r="D639" s="9">
        <f>IF(ISNA(MATCH(626,Engine!$C$2:$C$1960,0)),"",INDEX('Compliance Database'!$D$2:$D$1960,MATCH(626,Engine!$C$2:$C$1960,0)))</f>
        <v/>
      </c>
      <c r="E639" s="8">
        <f>IF(ISNA(MATCH(626,Engine!$C$2:$C$1960,0)),"",INDEX('Compliance Database'!$E$2:$E$1960,MATCH(626,Engine!$C$2:$C$1960,0)))</f>
        <v/>
      </c>
      <c r="F639" s="8">
        <f>IF(ISNA(MATCH(626,Engine!$C$2:$C$1960,0)),"",INDEX('Compliance Database'!$F$2:$F$1960,MATCH(626,Engine!$C$2:$C$1960,0)))</f>
        <v/>
      </c>
      <c r="G639" s="8">
        <f>IF(ISNA(MATCH(626,Engine!$C$2:$C$1960,0)),"",INDEX('Compliance Database'!$G$2:$G$1960,MATCH(626,Engine!$C$2:$C$1960,0)))</f>
        <v/>
      </c>
      <c r="H639" s="9">
        <f>IF(ISNA(MATCH(626,Engine!$C$2:$C$1960,0)),"",INDEX('Compliance Database'!$H$2:$H$1960,MATCH(626,Engine!$C$2:$C$1960,0)))</f>
        <v/>
      </c>
      <c r="I639" s="9">
        <f>IF(ISNA(MATCH(626,Engine!$C$2:$C$1960,0)),"",INDEX('Compliance Database'!$I$2:$I$1960,MATCH(626,Engine!$C$2:$C$1960,0)))</f>
        <v/>
      </c>
      <c r="J639" s="8">
        <f>IF(ISNA(MATCH(626,Engine!$C$2:$C$1960,0)),"",INDEX('Compliance Database'!$J$2:$J$1960,MATCH(626,Engine!$C$2:$C$1960,0)))</f>
        <v/>
      </c>
      <c r="K639" s="9">
        <f>IF(ISNA(MATCH(626,Engine!$C$2:$C$1960,0)),"",INDEX('Compliance Database'!$K$2:$K$1960,MATCH(626,Engine!$C$2:$C$1960,0)))</f>
        <v/>
      </c>
      <c r="L639" s="9">
        <f>IF(ISNA(MATCH(626,Engine!$C$2:$C$1960,0)),"",INDEX('Compliance Database'!$L$2:$L$1960,MATCH(626,Engine!$C$2:$C$1960,0)))</f>
        <v/>
      </c>
      <c r="M639" s="9">
        <f>IF(ISNA(MATCH(626,Engine!$C$2:$C$1960,0)),"",INDEX('Compliance Database'!$M$2:$M$1960,MATCH(626,Engine!$C$2:$C$1960,0)))</f>
        <v/>
      </c>
      <c r="N639" s="9">
        <f>IF(ISNA(MATCH(626,Engine!$C$2:$C$1960,0)),"",INDEX('Compliance Database'!$N$2:$N$1960,MATCH(626,Engine!$C$2:$C$1960,0)))</f>
        <v/>
      </c>
      <c r="O639" s="9">
        <f>IF(ISNA(MATCH(626,Engine!$C$2:$C$1960,0)),"",INDEX('Compliance Database'!$O$2:$O$1960,MATCH(626,Engine!$C$2:$C$1960,0)))</f>
        <v/>
      </c>
      <c r="P639" s="8">
        <f>IF(ISNA(MATCH(626,Engine!$C$2:$C$1960,0)),"",HYPERLINK("#Acts!A"&amp;INDEX('Compliance Database'!$P$2:$P$1960,MATCH(626,Engine!$C$2:$C$1960,0)),"Go to Act"))</f>
        <v/>
      </c>
    </row>
    <row r="640" ht="158" customHeight="1">
      <c r="A640" s="8">
        <f>IF(ISNA(MATCH(627,Engine!$C$2:$C$1960,0)),"",INDEX('Compliance Database'!$A$2:$A$1960,MATCH(627,Engine!$C$2:$C$1960,0)))</f>
        <v/>
      </c>
      <c r="B640" s="8">
        <f>IF(ISNA(MATCH(627,Engine!$C$2:$C$1960,0)),"",INDEX('Compliance Database'!$B$2:$B$1960,MATCH(627,Engine!$C$2:$C$1960,0)))</f>
        <v/>
      </c>
      <c r="C640" s="8">
        <f>IF(ISNA(MATCH(627,Engine!$C$2:$C$1960,0)),"",INDEX('Compliance Database'!$C$2:$C$1960,MATCH(627,Engine!$C$2:$C$1960,0)))</f>
        <v/>
      </c>
      <c r="D640" s="9">
        <f>IF(ISNA(MATCH(627,Engine!$C$2:$C$1960,0)),"",INDEX('Compliance Database'!$D$2:$D$1960,MATCH(627,Engine!$C$2:$C$1960,0)))</f>
        <v/>
      </c>
      <c r="E640" s="8">
        <f>IF(ISNA(MATCH(627,Engine!$C$2:$C$1960,0)),"",INDEX('Compliance Database'!$E$2:$E$1960,MATCH(627,Engine!$C$2:$C$1960,0)))</f>
        <v/>
      </c>
      <c r="F640" s="8">
        <f>IF(ISNA(MATCH(627,Engine!$C$2:$C$1960,0)),"",INDEX('Compliance Database'!$F$2:$F$1960,MATCH(627,Engine!$C$2:$C$1960,0)))</f>
        <v/>
      </c>
      <c r="G640" s="8">
        <f>IF(ISNA(MATCH(627,Engine!$C$2:$C$1960,0)),"",INDEX('Compliance Database'!$G$2:$G$1960,MATCH(627,Engine!$C$2:$C$1960,0)))</f>
        <v/>
      </c>
      <c r="H640" s="9">
        <f>IF(ISNA(MATCH(627,Engine!$C$2:$C$1960,0)),"",INDEX('Compliance Database'!$H$2:$H$1960,MATCH(627,Engine!$C$2:$C$1960,0)))</f>
        <v/>
      </c>
      <c r="I640" s="9">
        <f>IF(ISNA(MATCH(627,Engine!$C$2:$C$1960,0)),"",INDEX('Compliance Database'!$I$2:$I$1960,MATCH(627,Engine!$C$2:$C$1960,0)))</f>
        <v/>
      </c>
      <c r="J640" s="8">
        <f>IF(ISNA(MATCH(627,Engine!$C$2:$C$1960,0)),"",INDEX('Compliance Database'!$J$2:$J$1960,MATCH(627,Engine!$C$2:$C$1960,0)))</f>
        <v/>
      </c>
      <c r="K640" s="9">
        <f>IF(ISNA(MATCH(627,Engine!$C$2:$C$1960,0)),"",INDEX('Compliance Database'!$K$2:$K$1960,MATCH(627,Engine!$C$2:$C$1960,0)))</f>
        <v/>
      </c>
      <c r="L640" s="9">
        <f>IF(ISNA(MATCH(627,Engine!$C$2:$C$1960,0)),"",INDEX('Compliance Database'!$L$2:$L$1960,MATCH(627,Engine!$C$2:$C$1960,0)))</f>
        <v/>
      </c>
      <c r="M640" s="9">
        <f>IF(ISNA(MATCH(627,Engine!$C$2:$C$1960,0)),"",INDEX('Compliance Database'!$M$2:$M$1960,MATCH(627,Engine!$C$2:$C$1960,0)))</f>
        <v/>
      </c>
      <c r="N640" s="9">
        <f>IF(ISNA(MATCH(627,Engine!$C$2:$C$1960,0)),"",INDEX('Compliance Database'!$N$2:$N$1960,MATCH(627,Engine!$C$2:$C$1960,0)))</f>
        <v/>
      </c>
      <c r="O640" s="9">
        <f>IF(ISNA(MATCH(627,Engine!$C$2:$C$1960,0)),"",INDEX('Compliance Database'!$O$2:$O$1960,MATCH(627,Engine!$C$2:$C$1960,0)))</f>
        <v/>
      </c>
      <c r="P640" s="8">
        <f>IF(ISNA(MATCH(627,Engine!$C$2:$C$1960,0)),"",HYPERLINK("#Acts!A"&amp;INDEX('Compliance Database'!$P$2:$P$1960,MATCH(627,Engine!$C$2:$C$1960,0)),"Go to Act"))</f>
        <v/>
      </c>
    </row>
    <row r="641" ht="158" customHeight="1">
      <c r="A641" s="8">
        <f>IF(ISNA(MATCH(628,Engine!$C$2:$C$1960,0)),"",INDEX('Compliance Database'!$A$2:$A$1960,MATCH(628,Engine!$C$2:$C$1960,0)))</f>
        <v/>
      </c>
      <c r="B641" s="8">
        <f>IF(ISNA(MATCH(628,Engine!$C$2:$C$1960,0)),"",INDEX('Compliance Database'!$B$2:$B$1960,MATCH(628,Engine!$C$2:$C$1960,0)))</f>
        <v/>
      </c>
      <c r="C641" s="8">
        <f>IF(ISNA(MATCH(628,Engine!$C$2:$C$1960,0)),"",INDEX('Compliance Database'!$C$2:$C$1960,MATCH(628,Engine!$C$2:$C$1960,0)))</f>
        <v/>
      </c>
      <c r="D641" s="9">
        <f>IF(ISNA(MATCH(628,Engine!$C$2:$C$1960,0)),"",INDEX('Compliance Database'!$D$2:$D$1960,MATCH(628,Engine!$C$2:$C$1960,0)))</f>
        <v/>
      </c>
      <c r="E641" s="8">
        <f>IF(ISNA(MATCH(628,Engine!$C$2:$C$1960,0)),"",INDEX('Compliance Database'!$E$2:$E$1960,MATCH(628,Engine!$C$2:$C$1960,0)))</f>
        <v/>
      </c>
      <c r="F641" s="8">
        <f>IF(ISNA(MATCH(628,Engine!$C$2:$C$1960,0)),"",INDEX('Compliance Database'!$F$2:$F$1960,MATCH(628,Engine!$C$2:$C$1960,0)))</f>
        <v/>
      </c>
      <c r="G641" s="8">
        <f>IF(ISNA(MATCH(628,Engine!$C$2:$C$1960,0)),"",INDEX('Compliance Database'!$G$2:$G$1960,MATCH(628,Engine!$C$2:$C$1960,0)))</f>
        <v/>
      </c>
      <c r="H641" s="9">
        <f>IF(ISNA(MATCH(628,Engine!$C$2:$C$1960,0)),"",INDEX('Compliance Database'!$H$2:$H$1960,MATCH(628,Engine!$C$2:$C$1960,0)))</f>
        <v/>
      </c>
      <c r="I641" s="9">
        <f>IF(ISNA(MATCH(628,Engine!$C$2:$C$1960,0)),"",INDEX('Compliance Database'!$I$2:$I$1960,MATCH(628,Engine!$C$2:$C$1960,0)))</f>
        <v/>
      </c>
      <c r="J641" s="8">
        <f>IF(ISNA(MATCH(628,Engine!$C$2:$C$1960,0)),"",INDEX('Compliance Database'!$J$2:$J$1960,MATCH(628,Engine!$C$2:$C$1960,0)))</f>
        <v/>
      </c>
      <c r="K641" s="9">
        <f>IF(ISNA(MATCH(628,Engine!$C$2:$C$1960,0)),"",INDEX('Compliance Database'!$K$2:$K$1960,MATCH(628,Engine!$C$2:$C$1960,0)))</f>
        <v/>
      </c>
      <c r="L641" s="9">
        <f>IF(ISNA(MATCH(628,Engine!$C$2:$C$1960,0)),"",INDEX('Compliance Database'!$L$2:$L$1960,MATCH(628,Engine!$C$2:$C$1960,0)))</f>
        <v/>
      </c>
      <c r="M641" s="9">
        <f>IF(ISNA(MATCH(628,Engine!$C$2:$C$1960,0)),"",INDEX('Compliance Database'!$M$2:$M$1960,MATCH(628,Engine!$C$2:$C$1960,0)))</f>
        <v/>
      </c>
      <c r="N641" s="9">
        <f>IF(ISNA(MATCH(628,Engine!$C$2:$C$1960,0)),"",INDEX('Compliance Database'!$N$2:$N$1960,MATCH(628,Engine!$C$2:$C$1960,0)))</f>
        <v/>
      </c>
      <c r="O641" s="9">
        <f>IF(ISNA(MATCH(628,Engine!$C$2:$C$1960,0)),"",INDEX('Compliance Database'!$O$2:$O$1960,MATCH(628,Engine!$C$2:$C$1960,0)))</f>
        <v/>
      </c>
      <c r="P641" s="8">
        <f>IF(ISNA(MATCH(628,Engine!$C$2:$C$1960,0)),"",HYPERLINK("#Acts!A"&amp;INDEX('Compliance Database'!$P$2:$P$1960,MATCH(628,Engine!$C$2:$C$1960,0)),"Go to Act"))</f>
        <v/>
      </c>
    </row>
    <row r="642" ht="158" customHeight="1">
      <c r="A642" s="8">
        <f>IF(ISNA(MATCH(629,Engine!$C$2:$C$1960,0)),"",INDEX('Compliance Database'!$A$2:$A$1960,MATCH(629,Engine!$C$2:$C$1960,0)))</f>
        <v/>
      </c>
      <c r="B642" s="8">
        <f>IF(ISNA(MATCH(629,Engine!$C$2:$C$1960,0)),"",INDEX('Compliance Database'!$B$2:$B$1960,MATCH(629,Engine!$C$2:$C$1960,0)))</f>
        <v/>
      </c>
      <c r="C642" s="8">
        <f>IF(ISNA(MATCH(629,Engine!$C$2:$C$1960,0)),"",INDEX('Compliance Database'!$C$2:$C$1960,MATCH(629,Engine!$C$2:$C$1960,0)))</f>
        <v/>
      </c>
      <c r="D642" s="9">
        <f>IF(ISNA(MATCH(629,Engine!$C$2:$C$1960,0)),"",INDEX('Compliance Database'!$D$2:$D$1960,MATCH(629,Engine!$C$2:$C$1960,0)))</f>
        <v/>
      </c>
      <c r="E642" s="8">
        <f>IF(ISNA(MATCH(629,Engine!$C$2:$C$1960,0)),"",INDEX('Compliance Database'!$E$2:$E$1960,MATCH(629,Engine!$C$2:$C$1960,0)))</f>
        <v/>
      </c>
      <c r="F642" s="8">
        <f>IF(ISNA(MATCH(629,Engine!$C$2:$C$1960,0)),"",INDEX('Compliance Database'!$F$2:$F$1960,MATCH(629,Engine!$C$2:$C$1960,0)))</f>
        <v/>
      </c>
      <c r="G642" s="8">
        <f>IF(ISNA(MATCH(629,Engine!$C$2:$C$1960,0)),"",INDEX('Compliance Database'!$G$2:$G$1960,MATCH(629,Engine!$C$2:$C$1960,0)))</f>
        <v/>
      </c>
      <c r="H642" s="9">
        <f>IF(ISNA(MATCH(629,Engine!$C$2:$C$1960,0)),"",INDEX('Compliance Database'!$H$2:$H$1960,MATCH(629,Engine!$C$2:$C$1960,0)))</f>
        <v/>
      </c>
      <c r="I642" s="9">
        <f>IF(ISNA(MATCH(629,Engine!$C$2:$C$1960,0)),"",INDEX('Compliance Database'!$I$2:$I$1960,MATCH(629,Engine!$C$2:$C$1960,0)))</f>
        <v/>
      </c>
      <c r="J642" s="8">
        <f>IF(ISNA(MATCH(629,Engine!$C$2:$C$1960,0)),"",INDEX('Compliance Database'!$J$2:$J$1960,MATCH(629,Engine!$C$2:$C$1960,0)))</f>
        <v/>
      </c>
      <c r="K642" s="9">
        <f>IF(ISNA(MATCH(629,Engine!$C$2:$C$1960,0)),"",INDEX('Compliance Database'!$K$2:$K$1960,MATCH(629,Engine!$C$2:$C$1960,0)))</f>
        <v/>
      </c>
      <c r="L642" s="9">
        <f>IF(ISNA(MATCH(629,Engine!$C$2:$C$1960,0)),"",INDEX('Compliance Database'!$L$2:$L$1960,MATCH(629,Engine!$C$2:$C$1960,0)))</f>
        <v/>
      </c>
      <c r="M642" s="9">
        <f>IF(ISNA(MATCH(629,Engine!$C$2:$C$1960,0)),"",INDEX('Compliance Database'!$M$2:$M$1960,MATCH(629,Engine!$C$2:$C$1960,0)))</f>
        <v/>
      </c>
      <c r="N642" s="9">
        <f>IF(ISNA(MATCH(629,Engine!$C$2:$C$1960,0)),"",INDEX('Compliance Database'!$N$2:$N$1960,MATCH(629,Engine!$C$2:$C$1960,0)))</f>
        <v/>
      </c>
      <c r="O642" s="9">
        <f>IF(ISNA(MATCH(629,Engine!$C$2:$C$1960,0)),"",INDEX('Compliance Database'!$O$2:$O$1960,MATCH(629,Engine!$C$2:$C$1960,0)))</f>
        <v/>
      </c>
      <c r="P642" s="8">
        <f>IF(ISNA(MATCH(629,Engine!$C$2:$C$1960,0)),"",HYPERLINK("#Acts!A"&amp;INDEX('Compliance Database'!$P$2:$P$1960,MATCH(629,Engine!$C$2:$C$1960,0)),"Go to Act"))</f>
        <v/>
      </c>
    </row>
    <row r="643" ht="158" customHeight="1">
      <c r="A643" s="8">
        <f>IF(ISNA(MATCH(630,Engine!$C$2:$C$1960,0)),"",INDEX('Compliance Database'!$A$2:$A$1960,MATCH(630,Engine!$C$2:$C$1960,0)))</f>
        <v/>
      </c>
      <c r="B643" s="8">
        <f>IF(ISNA(MATCH(630,Engine!$C$2:$C$1960,0)),"",INDEX('Compliance Database'!$B$2:$B$1960,MATCH(630,Engine!$C$2:$C$1960,0)))</f>
        <v/>
      </c>
      <c r="C643" s="8">
        <f>IF(ISNA(MATCH(630,Engine!$C$2:$C$1960,0)),"",INDEX('Compliance Database'!$C$2:$C$1960,MATCH(630,Engine!$C$2:$C$1960,0)))</f>
        <v/>
      </c>
      <c r="D643" s="9">
        <f>IF(ISNA(MATCH(630,Engine!$C$2:$C$1960,0)),"",INDEX('Compliance Database'!$D$2:$D$1960,MATCH(630,Engine!$C$2:$C$1960,0)))</f>
        <v/>
      </c>
      <c r="E643" s="8">
        <f>IF(ISNA(MATCH(630,Engine!$C$2:$C$1960,0)),"",INDEX('Compliance Database'!$E$2:$E$1960,MATCH(630,Engine!$C$2:$C$1960,0)))</f>
        <v/>
      </c>
      <c r="F643" s="8">
        <f>IF(ISNA(MATCH(630,Engine!$C$2:$C$1960,0)),"",INDEX('Compliance Database'!$F$2:$F$1960,MATCH(630,Engine!$C$2:$C$1960,0)))</f>
        <v/>
      </c>
      <c r="G643" s="8">
        <f>IF(ISNA(MATCH(630,Engine!$C$2:$C$1960,0)),"",INDEX('Compliance Database'!$G$2:$G$1960,MATCH(630,Engine!$C$2:$C$1960,0)))</f>
        <v/>
      </c>
      <c r="H643" s="9">
        <f>IF(ISNA(MATCH(630,Engine!$C$2:$C$1960,0)),"",INDEX('Compliance Database'!$H$2:$H$1960,MATCH(630,Engine!$C$2:$C$1960,0)))</f>
        <v/>
      </c>
      <c r="I643" s="9">
        <f>IF(ISNA(MATCH(630,Engine!$C$2:$C$1960,0)),"",INDEX('Compliance Database'!$I$2:$I$1960,MATCH(630,Engine!$C$2:$C$1960,0)))</f>
        <v/>
      </c>
      <c r="J643" s="8">
        <f>IF(ISNA(MATCH(630,Engine!$C$2:$C$1960,0)),"",INDEX('Compliance Database'!$J$2:$J$1960,MATCH(630,Engine!$C$2:$C$1960,0)))</f>
        <v/>
      </c>
      <c r="K643" s="9">
        <f>IF(ISNA(MATCH(630,Engine!$C$2:$C$1960,0)),"",INDEX('Compliance Database'!$K$2:$K$1960,MATCH(630,Engine!$C$2:$C$1960,0)))</f>
        <v/>
      </c>
      <c r="L643" s="9">
        <f>IF(ISNA(MATCH(630,Engine!$C$2:$C$1960,0)),"",INDEX('Compliance Database'!$L$2:$L$1960,MATCH(630,Engine!$C$2:$C$1960,0)))</f>
        <v/>
      </c>
      <c r="M643" s="9">
        <f>IF(ISNA(MATCH(630,Engine!$C$2:$C$1960,0)),"",INDEX('Compliance Database'!$M$2:$M$1960,MATCH(630,Engine!$C$2:$C$1960,0)))</f>
        <v/>
      </c>
      <c r="N643" s="9">
        <f>IF(ISNA(MATCH(630,Engine!$C$2:$C$1960,0)),"",INDEX('Compliance Database'!$N$2:$N$1960,MATCH(630,Engine!$C$2:$C$1960,0)))</f>
        <v/>
      </c>
      <c r="O643" s="9">
        <f>IF(ISNA(MATCH(630,Engine!$C$2:$C$1960,0)),"",INDEX('Compliance Database'!$O$2:$O$1960,MATCH(630,Engine!$C$2:$C$1960,0)))</f>
        <v/>
      </c>
      <c r="P643" s="8">
        <f>IF(ISNA(MATCH(630,Engine!$C$2:$C$1960,0)),"",HYPERLINK("#Acts!A"&amp;INDEX('Compliance Database'!$P$2:$P$1960,MATCH(630,Engine!$C$2:$C$1960,0)),"Go to Act"))</f>
        <v/>
      </c>
    </row>
    <row r="644" ht="158" customHeight="1">
      <c r="A644" s="8">
        <f>IF(ISNA(MATCH(631,Engine!$C$2:$C$1960,0)),"",INDEX('Compliance Database'!$A$2:$A$1960,MATCH(631,Engine!$C$2:$C$1960,0)))</f>
        <v/>
      </c>
      <c r="B644" s="8">
        <f>IF(ISNA(MATCH(631,Engine!$C$2:$C$1960,0)),"",INDEX('Compliance Database'!$B$2:$B$1960,MATCH(631,Engine!$C$2:$C$1960,0)))</f>
        <v/>
      </c>
      <c r="C644" s="8">
        <f>IF(ISNA(MATCH(631,Engine!$C$2:$C$1960,0)),"",INDEX('Compliance Database'!$C$2:$C$1960,MATCH(631,Engine!$C$2:$C$1960,0)))</f>
        <v/>
      </c>
      <c r="D644" s="9">
        <f>IF(ISNA(MATCH(631,Engine!$C$2:$C$1960,0)),"",INDEX('Compliance Database'!$D$2:$D$1960,MATCH(631,Engine!$C$2:$C$1960,0)))</f>
        <v/>
      </c>
      <c r="E644" s="8">
        <f>IF(ISNA(MATCH(631,Engine!$C$2:$C$1960,0)),"",INDEX('Compliance Database'!$E$2:$E$1960,MATCH(631,Engine!$C$2:$C$1960,0)))</f>
        <v/>
      </c>
      <c r="F644" s="8">
        <f>IF(ISNA(MATCH(631,Engine!$C$2:$C$1960,0)),"",INDEX('Compliance Database'!$F$2:$F$1960,MATCH(631,Engine!$C$2:$C$1960,0)))</f>
        <v/>
      </c>
      <c r="G644" s="8">
        <f>IF(ISNA(MATCH(631,Engine!$C$2:$C$1960,0)),"",INDEX('Compliance Database'!$G$2:$G$1960,MATCH(631,Engine!$C$2:$C$1960,0)))</f>
        <v/>
      </c>
      <c r="H644" s="9">
        <f>IF(ISNA(MATCH(631,Engine!$C$2:$C$1960,0)),"",INDEX('Compliance Database'!$H$2:$H$1960,MATCH(631,Engine!$C$2:$C$1960,0)))</f>
        <v/>
      </c>
      <c r="I644" s="9">
        <f>IF(ISNA(MATCH(631,Engine!$C$2:$C$1960,0)),"",INDEX('Compliance Database'!$I$2:$I$1960,MATCH(631,Engine!$C$2:$C$1960,0)))</f>
        <v/>
      </c>
      <c r="J644" s="8">
        <f>IF(ISNA(MATCH(631,Engine!$C$2:$C$1960,0)),"",INDEX('Compliance Database'!$J$2:$J$1960,MATCH(631,Engine!$C$2:$C$1960,0)))</f>
        <v/>
      </c>
      <c r="K644" s="9">
        <f>IF(ISNA(MATCH(631,Engine!$C$2:$C$1960,0)),"",INDEX('Compliance Database'!$K$2:$K$1960,MATCH(631,Engine!$C$2:$C$1960,0)))</f>
        <v/>
      </c>
      <c r="L644" s="9">
        <f>IF(ISNA(MATCH(631,Engine!$C$2:$C$1960,0)),"",INDEX('Compliance Database'!$L$2:$L$1960,MATCH(631,Engine!$C$2:$C$1960,0)))</f>
        <v/>
      </c>
      <c r="M644" s="9">
        <f>IF(ISNA(MATCH(631,Engine!$C$2:$C$1960,0)),"",INDEX('Compliance Database'!$M$2:$M$1960,MATCH(631,Engine!$C$2:$C$1960,0)))</f>
        <v/>
      </c>
      <c r="N644" s="9">
        <f>IF(ISNA(MATCH(631,Engine!$C$2:$C$1960,0)),"",INDEX('Compliance Database'!$N$2:$N$1960,MATCH(631,Engine!$C$2:$C$1960,0)))</f>
        <v/>
      </c>
      <c r="O644" s="9">
        <f>IF(ISNA(MATCH(631,Engine!$C$2:$C$1960,0)),"",INDEX('Compliance Database'!$O$2:$O$1960,MATCH(631,Engine!$C$2:$C$1960,0)))</f>
        <v/>
      </c>
      <c r="P644" s="8">
        <f>IF(ISNA(MATCH(631,Engine!$C$2:$C$1960,0)),"",HYPERLINK("#Acts!A"&amp;INDEX('Compliance Database'!$P$2:$P$1960,MATCH(631,Engine!$C$2:$C$1960,0)),"Go to Act"))</f>
        <v/>
      </c>
    </row>
    <row r="645" ht="158" customHeight="1">
      <c r="A645" s="8">
        <f>IF(ISNA(MATCH(632,Engine!$C$2:$C$1960,0)),"",INDEX('Compliance Database'!$A$2:$A$1960,MATCH(632,Engine!$C$2:$C$1960,0)))</f>
        <v/>
      </c>
      <c r="B645" s="8">
        <f>IF(ISNA(MATCH(632,Engine!$C$2:$C$1960,0)),"",INDEX('Compliance Database'!$B$2:$B$1960,MATCH(632,Engine!$C$2:$C$1960,0)))</f>
        <v/>
      </c>
      <c r="C645" s="8">
        <f>IF(ISNA(MATCH(632,Engine!$C$2:$C$1960,0)),"",INDEX('Compliance Database'!$C$2:$C$1960,MATCH(632,Engine!$C$2:$C$1960,0)))</f>
        <v/>
      </c>
      <c r="D645" s="9">
        <f>IF(ISNA(MATCH(632,Engine!$C$2:$C$1960,0)),"",INDEX('Compliance Database'!$D$2:$D$1960,MATCH(632,Engine!$C$2:$C$1960,0)))</f>
        <v/>
      </c>
      <c r="E645" s="8">
        <f>IF(ISNA(MATCH(632,Engine!$C$2:$C$1960,0)),"",INDEX('Compliance Database'!$E$2:$E$1960,MATCH(632,Engine!$C$2:$C$1960,0)))</f>
        <v/>
      </c>
      <c r="F645" s="8">
        <f>IF(ISNA(MATCH(632,Engine!$C$2:$C$1960,0)),"",INDEX('Compliance Database'!$F$2:$F$1960,MATCH(632,Engine!$C$2:$C$1960,0)))</f>
        <v/>
      </c>
      <c r="G645" s="8">
        <f>IF(ISNA(MATCH(632,Engine!$C$2:$C$1960,0)),"",INDEX('Compliance Database'!$G$2:$G$1960,MATCH(632,Engine!$C$2:$C$1960,0)))</f>
        <v/>
      </c>
      <c r="H645" s="9">
        <f>IF(ISNA(MATCH(632,Engine!$C$2:$C$1960,0)),"",INDEX('Compliance Database'!$H$2:$H$1960,MATCH(632,Engine!$C$2:$C$1960,0)))</f>
        <v/>
      </c>
      <c r="I645" s="9">
        <f>IF(ISNA(MATCH(632,Engine!$C$2:$C$1960,0)),"",INDEX('Compliance Database'!$I$2:$I$1960,MATCH(632,Engine!$C$2:$C$1960,0)))</f>
        <v/>
      </c>
      <c r="J645" s="8">
        <f>IF(ISNA(MATCH(632,Engine!$C$2:$C$1960,0)),"",INDEX('Compliance Database'!$J$2:$J$1960,MATCH(632,Engine!$C$2:$C$1960,0)))</f>
        <v/>
      </c>
      <c r="K645" s="9">
        <f>IF(ISNA(MATCH(632,Engine!$C$2:$C$1960,0)),"",INDEX('Compliance Database'!$K$2:$K$1960,MATCH(632,Engine!$C$2:$C$1960,0)))</f>
        <v/>
      </c>
      <c r="L645" s="9">
        <f>IF(ISNA(MATCH(632,Engine!$C$2:$C$1960,0)),"",INDEX('Compliance Database'!$L$2:$L$1960,MATCH(632,Engine!$C$2:$C$1960,0)))</f>
        <v/>
      </c>
      <c r="M645" s="9">
        <f>IF(ISNA(MATCH(632,Engine!$C$2:$C$1960,0)),"",INDEX('Compliance Database'!$M$2:$M$1960,MATCH(632,Engine!$C$2:$C$1960,0)))</f>
        <v/>
      </c>
      <c r="N645" s="9">
        <f>IF(ISNA(MATCH(632,Engine!$C$2:$C$1960,0)),"",INDEX('Compliance Database'!$N$2:$N$1960,MATCH(632,Engine!$C$2:$C$1960,0)))</f>
        <v/>
      </c>
      <c r="O645" s="9">
        <f>IF(ISNA(MATCH(632,Engine!$C$2:$C$1960,0)),"",INDEX('Compliance Database'!$O$2:$O$1960,MATCH(632,Engine!$C$2:$C$1960,0)))</f>
        <v/>
      </c>
      <c r="P645" s="8">
        <f>IF(ISNA(MATCH(632,Engine!$C$2:$C$1960,0)),"",HYPERLINK("#Acts!A"&amp;INDEX('Compliance Database'!$P$2:$P$1960,MATCH(632,Engine!$C$2:$C$1960,0)),"Go to Act"))</f>
        <v/>
      </c>
    </row>
    <row r="646" ht="158" customHeight="1">
      <c r="A646" s="8">
        <f>IF(ISNA(MATCH(633,Engine!$C$2:$C$1960,0)),"",INDEX('Compliance Database'!$A$2:$A$1960,MATCH(633,Engine!$C$2:$C$1960,0)))</f>
        <v/>
      </c>
      <c r="B646" s="8">
        <f>IF(ISNA(MATCH(633,Engine!$C$2:$C$1960,0)),"",INDEX('Compliance Database'!$B$2:$B$1960,MATCH(633,Engine!$C$2:$C$1960,0)))</f>
        <v/>
      </c>
      <c r="C646" s="8">
        <f>IF(ISNA(MATCH(633,Engine!$C$2:$C$1960,0)),"",INDEX('Compliance Database'!$C$2:$C$1960,MATCH(633,Engine!$C$2:$C$1960,0)))</f>
        <v/>
      </c>
      <c r="D646" s="9">
        <f>IF(ISNA(MATCH(633,Engine!$C$2:$C$1960,0)),"",INDEX('Compliance Database'!$D$2:$D$1960,MATCH(633,Engine!$C$2:$C$1960,0)))</f>
        <v/>
      </c>
      <c r="E646" s="8">
        <f>IF(ISNA(MATCH(633,Engine!$C$2:$C$1960,0)),"",INDEX('Compliance Database'!$E$2:$E$1960,MATCH(633,Engine!$C$2:$C$1960,0)))</f>
        <v/>
      </c>
      <c r="F646" s="8">
        <f>IF(ISNA(MATCH(633,Engine!$C$2:$C$1960,0)),"",INDEX('Compliance Database'!$F$2:$F$1960,MATCH(633,Engine!$C$2:$C$1960,0)))</f>
        <v/>
      </c>
      <c r="G646" s="8">
        <f>IF(ISNA(MATCH(633,Engine!$C$2:$C$1960,0)),"",INDEX('Compliance Database'!$G$2:$G$1960,MATCH(633,Engine!$C$2:$C$1960,0)))</f>
        <v/>
      </c>
      <c r="H646" s="9">
        <f>IF(ISNA(MATCH(633,Engine!$C$2:$C$1960,0)),"",INDEX('Compliance Database'!$H$2:$H$1960,MATCH(633,Engine!$C$2:$C$1960,0)))</f>
        <v/>
      </c>
      <c r="I646" s="9">
        <f>IF(ISNA(MATCH(633,Engine!$C$2:$C$1960,0)),"",INDEX('Compliance Database'!$I$2:$I$1960,MATCH(633,Engine!$C$2:$C$1960,0)))</f>
        <v/>
      </c>
      <c r="J646" s="8">
        <f>IF(ISNA(MATCH(633,Engine!$C$2:$C$1960,0)),"",INDEX('Compliance Database'!$J$2:$J$1960,MATCH(633,Engine!$C$2:$C$1960,0)))</f>
        <v/>
      </c>
      <c r="K646" s="9">
        <f>IF(ISNA(MATCH(633,Engine!$C$2:$C$1960,0)),"",INDEX('Compliance Database'!$K$2:$K$1960,MATCH(633,Engine!$C$2:$C$1960,0)))</f>
        <v/>
      </c>
      <c r="L646" s="9">
        <f>IF(ISNA(MATCH(633,Engine!$C$2:$C$1960,0)),"",INDEX('Compliance Database'!$L$2:$L$1960,MATCH(633,Engine!$C$2:$C$1960,0)))</f>
        <v/>
      </c>
      <c r="M646" s="9">
        <f>IF(ISNA(MATCH(633,Engine!$C$2:$C$1960,0)),"",INDEX('Compliance Database'!$M$2:$M$1960,MATCH(633,Engine!$C$2:$C$1960,0)))</f>
        <v/>
      </c>
      <c r="N646" s="9">
        <f>IF(ISNA(MATCH(633,Engine!$C$2:$C$1960,0)),"",INDEX('Compliance Database'!$N$2:$N$1960,MATCH(633,Engine!$C$2:$C$1960,0)))</f>
        <v/>
      </c>
      <c r="O646" s="9">
        <f>IF(ISNA(MATCH(633,Engine!$C$2:$C$1960,0)),"",INDEX('Compliance Database'!$O$2:$O$1960,MATCH(633,Engine!$C$2:$C$1960,0)))</f>
        <v/>
      </c>
      <c r="P646" s="8">
        <f>IF(ISNA(MATCH(633,Engine!$C$2:$C$1960,0)),"",HYPERLINK("#Acts!A"&amp;INDEX('Compliance Database'!$P$2:$P$1960,MATCH(633,Engine!$C$2:$C$1960,0)),"Go to Act"))</f>
        <v/>
      </c>
    </row>
    <row r="647" ht="158" customHeight="1">
      <c r="A647" s="8">
        <f>IF(ISNA(MATCH(634,Engine!$C$2:$C$1960,0)),"",INDEX('Compliance Database'!$A$2:$A$1960,MATCH(634,Engine!$C$2:$C$1960,0)))</f>
        <v/>
      </c>
      <c r="B647" s="8">
        <f>IF(ISNA(MATCH(634,Engine!$C$2:$C$1960,0)),"",INDEX('Compliance Database'!$B$2:$B$1960,MATCH(634,Engine!$C$2:$C$1960,0)))</f>
        <v/>
      </c>
      <c r="C647" s="8">
        <f>IF(ISNA(MATCH(634,Engine!$C$2:$C$1960,0)),"",INDEX('Compliance Database'!$C$2:$C$1960,MATCH(634,Engine!$C$2:$C$1960,0)))</f>
        <v/>
      </c>
      <c r="D647" s="9">
        <f>IF(ISNA(MATCH(634,Engine!$C$2:$C$1960,0)),"",INDEX('Compliance Database'!$D$2:$D$1960,MATCH(634,Engine!$C$2:$C$1960,0)))</f>
        <v/>
      </c>
      <c r="E647" s="8">
        <f>IF(ISNA(MATCH(634,Engine!$C$2:$C$1960,0)),"",INDEX('Compliance Database'!$E$2:$E$1960,MATCH(634,Engine!$C$2:$C$1960,0)))</f>
        <v/>
      </c>
      <c r="F647" s="8">
        <f>IF(ISNA(MATCH(634,Engine!$C$2:$C$1960,0)),"",INDEX('Compliance Database'!$F$2:$F$1960,MATCH(634,Engine!$C$2:$C$1960,0)))</f>
        <v/>
      </c>
      <c r="G647" s="8">
        <f>IF(ISNA(MATCH(634,Engine!$C$2:$C$1960,0)),"",INDEX('Compliance Database'!$G$2:$G$1960,MATCH(634,Engine!$C$2:$C$1960,0)))</f>
        <v/>
      </c>
      <c r="H647" s="9">
        <f>IF(ISNA(MATCH(634,Engine!$C$2:$C$1960,0)),"",INDEX('Compliance Database'!$H$2:$H$1960,MATCH(634,Engine!$C$2:$C$1960,0)))</f>
        <v/>
      </c>
      <c r="I647" s="9">
        <f>IF(ISNA(MATCH(634,Engine!$C$2:$C$1960,0)),"",INDEX('Compliance Database'!$I$2:$I$1960,MATCH(634,Engine!$C$2:$C$1960,0)))</f>
        <v/>
      </c>
      <c r="J647" s="8">
        <f>IF(ISNA(MATCH(634,Engine!$C$2:$C$1960,0)),"",INDEX('Compliance Database'!$J$2:$J$1960,MATCH(634,Engine!$C$2:$C$1960,0)))</f>
        <v/>
      </c>
      <c r="K647" s="9">
        <f>IF(ISNA(MATCH(634,Engine!$C$2:$C$1960,0)),"",INDEX('Compliance Database'!$K$2:$K$1960,MATCH(634,Engine!$C$2:$C$1960,0)))</f>
        <v/>
      </c>
      <c r="L647" s="9">
        <f>IF(ISNA(MATCH(634,Engine!$C$2:$C$1960,0)),"",INDEX('Compliance Database'!$L$2:$L$1960,MATCH(634,Engine!$C$2:$C$1960,0)))</f>
        <v/>
      </c>
      <c r="M647" s="9">
        <f>IF(ISNA(MATCH(634,Engine!$C$2:$C$1960,0)),"",INDEX('Compliance Database'!$M$2:$M$1960,MATCH(634,Engine!$C$2:$C$1960,0)))</f>
        <v/>
      </c>
      <c r="N647" s="9">
        <f>IF(ISNA(MATCH(634,Engine!$C$2:$C$1960,0)),"",INDEX('Compliance Database'!$N$2:$N$1960,MATCH(634,Engine!$C$2:$C$1960,0)))</f>
        <v/>
      </c>
      <c r="O647" s="9">
        <f>IF(ISNA(MATCH(634,Engine!$C$2:$C$1960,0)),"",INDEX('Compliance Database'!$O$2:$O$1960,MATCH(634,Engine!$C$2:$C$1960,0)))</f>
        <v/>
      </c>
      <c r="P647" s="8">
        <f>IF(ISNA(MATCH(634,Engine!$C$2:$C$1960,0)),"",HYPERLINK("#Acts!A"&amp;INDEX('Compliance Database'!$P$2:$P$1960,MATCH(634,Engine!$C$2:$C$1960,0)),"Go to Act"))</f>
        <v/>
      </c>
    </row>
    <row r="648" ht="158" customHeight="1">
      <c r="A648" s="8">
        <f>IF(ISNA(MATCH(635,Engine!$C$2:$C$1960,0)),"",INDEX('Compliance Database'!$A$2:$A$1960,MATCH(635,Engine!$C$2:$C$1960,0)))</f>
        <v/>
      </c>
      <c r="B648" s="8">
        <f>IF(ISNA(MATCH(635,Engine!$C$2:$C$1960,0)),"",INDEX('Compliance Database'!$B$2:$B$1960,MATCH(635,Engine!$C$2:$C$1960,0)))</f>
        <v/>
      </c>
      <c r="C648" s="8">
        <f>IF(ISNA(MATCH(635,Engine!$C$2:$C$1960,0)),"",INDEX('Compliance Database'!$C$2:$C$1960,MATCH(635,Engine!$C$2:$C$1960,0)))</f>
        <v/>
      </c>
      <c r="D648" s="9">
        <f>IF(ISNA(MATCH(635,Engine!$C$2:$C$1960,0)),"",INDEX('Compliance Database'!$D$2:$D$1960,MATCH(635,Engine!$C$2:$C$1960,0)))</f>
        <v/>
      </c>
      <c r="E648" s="8">
        <f>IF(ISNA(MATCH(635,Engine!$C$2:$C$1960,0)),"",INDEX('Compliance Database'!$E$2:$E$1960,MATCH(635,Engine!$C$2:$C$1960,0)))</f>
        <v/>
      </c>
      <c r="F648" s="8">
        <f>IF(ISNA(MATCH(635,Engine!$C$2:$C$1960,0)),"",INDEX('Compliance Database'!$F$2:$F$1960,MATCH(635,Engine!$C$2:$C$1960,0)))</f>
        <v/>
      </c>
      <c r="G648" s="8">
        <f>IF(ISNA(MATCH(635,Engine!$C$2:$C$1960,0)),"",INDEX('Compliance Database'!$G$2:$G$1960,MATCH(635,Engine!$C$2:$C$1960,0)))</f>
        <v/>
      </c>
      <c r="H648" s="9">
        <f>IF(ISNA(MATCH(635,Engine!$C$2:$C$1960,0)),"",INDEX('Compliance Database'!$H$2:$H$1960,MATCH(635,Engine!$C$2:$C$1960,0)))</f>
        <v/>
      </c>
      <c r="I648" s="9">
        <f>IF(ISNA(MATCH(635,Engine!$C$2:$C$1960,0)),"",INDEX('Compliance Database'!$I$2:$I$1960,MATCH(635,Engine!$C$2:$C$1960,0)))</f>
        <v/>
      </c>
      <c r="J648" s="8">
        <f>IF(ISNA(MATCH(635,Engine!$C$2:$C$1960,0)),"",INDEX('Compliance Database'!$J$2:$J$1960,MATCH(635,Engine!$C$2:$C$1960,0)))</f>
        <v/>
      </c>
      <c r="K648" s="9">
        <f>IF(ISNA(MATCH(635,Engine!$C$2:$C$1960,0)),"",INDEX('Compliance Database'!$K$2:$K$1960,MATCH(635,Engine!$C$2:$C$1960,0)))</f>
        <v/>
      </c>
      <c r="L648" s="9">
        <f>IF(ISNA(MATCH(635,Engine!$C$2:$C$1960,0)),"",INDEX('Compliance Database'!$L$2:$L$1960,MATCH(635,Engine!$C$2:$C$1960,0)))</f>
        <v/>
      </c>
      <c r="M648" s="9">
        <f>IF(ISNA(MATCH(635,Engine!$C$2:$C$1960,0)),"",INDEX('Compliance Database'!$M$2:$M$1960,MATCH(635,Engine!$C$2:$C$1960,0)))</f>
        <v/>
      </c>
      <c r="N648" s="9">
        <f>IF(ISNA(MATCH(635,Engine!$C$2:$C$1960,0)),"",INDEX('Compliance Database'!$N$2:$N$1960,MATCH(635,Engine!$C$2:$C$1960,0)))</f>
        <v/>
      </c>
      <c r="O648" s="9">
        <f>IF(ISNA(MATCH(635,Engine!$C$2:$C$1960,0)),"",INDEX('Compliance Database'!$O$2:$O$1960,MATCH(635,Engine!$C$2:$C$1960,0)))</f>
        <v/>
      </c>
      <c r="P648" s="8">
        <f>IF(ISNA(MATCH(635,Engine!$C$2:$C$1960,0)),"",HYPERLINK("#Acts!A"&amp;INDEX('Compliance Database'!$P$2:$P$1960,MATCH(635,Engine!$C$2:$C$1960,0)),"Go to Act"))</f>
        <v/>
      </c>
    </row>
    <row r="649" ht="158" customHeight="1">
      <c r="A649" s="8">
        <f>IF(ISNA(MATCH(636,Engine!$C$2:$C$1960,0)),"",INDEX('Compliance Database'!$A$2:$A$1960,MATCH(636,Engine!$C$2:$C$1960,0)))</f>
        <v/>
      </c>
      <c r="B649" s="8">
        <f>IF(ISNA(MATCH(636,Engine!$C$2:$C$1960,0)),"",INDEX('Compliance Database'!$B$2:$B$1960,MATCH(636,Engine!$C$2:$C$1960,0)))</f>
        <v/>
      </c>
      <c r="C649" s="8">
        <f>IF(ISNA(MATCH(636,Engine!$C$2:$C$1960,0)),"",INDEX('Compliance Database'!$C$2:$C$1960,MATCH(636,Engine!$C$2:$C$1960,0)))</f>
        <v/>
      </c>
      <c r="D649" s="9">
        <f>IF(ISNA(MATCH(636,Engine!$C$2:$C$1960,0)),"",INDEX('Compliance Database'!$D$2:$D$1960,MATCH(636,Engine!$C$2:$C$1960,0)))</f>
        <v/>
      </c>
      <c r="E649" s="8">
        <f>IF(ISNA(MATCH(636,Engine!$C$2:$C$1960,0)),"",INDEX('Compliance Database'!$E$2:$E$1960,MATCH(636,Engine!$C$2:$C$1960,0)))</f>
        <v/>
      </c>
      <c r="F649" s="8">
        <f>IF(ISNA(MATCH(636,Engine!$C$2:$C$1960,0)),"",INDEX('Compliance Database'!$F$2:$F$1960,MATCH(636,Engine!$C$2:$C$1960,0)))</f>
        <v/>
      </c>
      <c r="G649" s="8">
        <f>IF(ISNA(MATCH(636,Engine!$C$2:$C$1960,0)),"",INDEX('Compliance Database'!$G$2:$G$1960,MATCH(636,Engine!$C$2:$C$1960,0)))</f>
        <v/>
      </c>
      <c r="H649" s="9">
        <f>IF(ISNA(MATCH(636,Engine!$C$2:$C$1960,0)),"",INDEX('Compliance Database'!$H$2:$H$1960,MATCH(636,Engine!$C$2:$C$1960,0)))</f>
        <v/>
      </c>
      <c r="I649" s="9">
        <f>IF(ISNA(MATCH(636,Engine!$C$2:$C$1960,0)),"",INDEX('Compliance Database'!$I$2:$I$1960,MATCH(636,Engine!$C$2:$C$1960,0)))</f>
        <v/>
      </c>
      <c r="J649" s="8">
        <f>IF(ISNA(MATCH(636,Engine!$C$2:$C$1960,0)),"",INDEX('Compliance Database'!$J$2:$J$1960,MATCH(636,Engine!$C$2:$C$1960,0)))</f>
        <v/>
      </c>
      <c r="K649" s="9">
        <f>IF(ISNA(MATCH(636,Engine!$C$2:$C$1960,0)),"",INDEX('Compliance Database'!$K$2:$K$1960,MATCH(636,Engine!$C$2:$C$1960,0)))</f>
        <v/>
      </c>
      <c r="L649" s="9">
        <f>IF(ISNA(MATCH(636,Engine!$C$2:$C$1960,0)),"",INDEX('Compliance Database'!$L$2:$L$1960,MATCH(636,Engine!$C$2:$C$1960,0)))</f>
        <v/>
      </c>
      <c r="M649" s="9">
        <f>IF(ISNA(MATCH(636,Engine!$C$2:$C$1960,0)),"",INDEX('Compliance Database'!$M$2:$M$1960,MATCH(636,Engine!$C$2:$C$1960,0)))</f>
        <v/>
      </c>
      <c r="N649" s="9">
        <f>IF(ISNA(MATCH(636,Engine!$C$2:$C$1960,0)),"",INDEX('Compliance Database'!$N$2:$N$1960,MATCH(636,Engine!$C$2:$C$1960,0)))</f>
        <v/>
      </c>
      <c r="O649" s="9">
        <f>IF(ISNA(MATCH(636,Engine!$C$2:$C$1960,0)),"",INDEX('Compliance Database'!$O$2:$O$1960,MATCH(636,Engine!$C$2:$C$1960,0)))</f>
        <v/>
      </c>
      <c r="P649" s="8">
        <f>IF(ISNA(MATCH(636,Engine!$C$2:$C$1960,0)),"",HYPERLINK("#Acts!A"&amp;INDEX('Compliance Database'!$P$2:$P$1960,MATCH(636,Engine!$C$2:$C$1960,0)),"Go to Act"))</f>
        <v/>
      </c>
    </row>
    <row r="650" ht="158" customHeight="1">
      <c r="A650" s="8">
        <f>IF(ISNA(MATCH(637,Engine!$C$2:$C$1960,0)),"",INDEX('Compliance Database'!$A$2:$A$1960,MATCH(637,Engine!$C$2:$C$1960,0)))</f>
        <v/>
      </c>
      <c r="B650" s="8">
        <f>IF(ISNA(MATCH(637,Engine!$C$2:$C$1960,0)),"",INDEX('Compliance Database'!$B$2:$B$1960,MATCH(637,Engine!$C$2:$C$1960,0)))</f>
        <v/>
      </c>
      <c r="C650" s="8">
        <f>IF(ISNA(MATCH(637,Engine!$C$2:$C$1960,0)),"",INDEX('Compliance Database'!$C$2:$C$1960,MATCH(637,Engine!$C$2:$C$1960,0)))</f>
        <v/>
      </c>
      <c r="D650" s="9">
        <f>IF(ISNA(MATCH(637,Engine!$C$2:$C$1960,0)),"",INDEX('Compliance Database'!$D$2:$D$1960,MATCH(637,Engine!$C$2:$C$1960,0)))</f>
        <v/>
      </c>
      <c r="E650" s="8">
        <f>IF(ISNA(MATCH(637,Engine!$C$2:$C$1960,0)),"",INDEX('Compliance Database'!$E$2:$E$1960,MATCH(637,Engine!$C$2:$C$1960,0)))</f>
        <v/>
      </c>
      <c r="F650" s="8">
        <f>IF(ISNA(MATCH(637,Engine!$C$2:$C$1960,0)),"",INDEX('Compliance Database'!$F$2:$F$1960,MATCH(637,Engine!$C$2:$C$1960,0)))</f>
        <v/>
      </c>
      <c r="G650" s="8">
        <f>IF(ISNA(MATCH(637,Engine!$C$2:$C$1960,0)),"",INDEX('Compliance Database'!$G$2:$G$1960,MATCH(637,Engine!$C$2:$C$1960,0)))</f>
        <v/>
      </c>
      <c r="H650" s="9">
        <f>IF(ISNA(MATCH(637,Engine!$C$2:$C$1960,0)),"",INDEX('Compliance Database'!$H$2:$H$1960,MATCH(637,Engine!$C$2:$C$1960,0)))</f>
        <v/>
      </c>
      <c r="I650" s="9">
        <f>IF(ISNA(MATCH(637,Engine!$C$2:$C$1960,0)),"",INDEX('Compliance Database'!$I$2:$I$1960,MATCH(637,Engine!$C$2:$C$1960,0)))</f>
        <v/>
      </c>
      <c r="J650" s="8">
        <f>IF(ISNA(MATCH(637,Engine!$C$2:$C$1960,0)),"",INDEX('Compliance Database'!$J$2:$J$1960,MATCH(637,Engine!$C$2:$C$1960,0)))</f>
        <v/>
      </c>
      <c r="K650" s="9">
        <f>IF(ISNA(MATCH(637,Engine!$C$2:$C$1960,0)),"",INDEX('Compliance Database'!$K$2:$K$1960,MATCH(637,Engine!$C$2:$C$1960,0)))</f>
        <v/>
      </c>
      <c r="L650" s="9">
        <f>IF(ISNA(MATCH(637,Engine!$C$2:$C$1960,0)),"",INDEX('Compliance Database'!$L$2:$L$1960,MATCH(637,Engine!$C$2:$C$1960,0)))</f>
        <v/>
      </c>
      <c r="M650" s="9">
        <f>IF(ISNA(MATCH(637,Engine!$C$2:$C$1960,0)),"",INDEX('Compliance Database'!$M$2:$M$1960,MATCH(637,Engine!$C$2:$C$1960,0)))</f>
        <v/>
      </c>
      <c r="N650" s="9">
        <f>IF(ISNA(MATCH(637,Engine!$C$2:$C$1960,0)),"",INDEX('Compliance Database'!$N$2:$N$1960,MATCH(637,Engine!$C$2:$C$1960,0)))</f>
        <v/>
      </c>
      <c r="O650" s="9">
        <f>IF(ISNA(MATCH(637,Engine!$C$2:$C$1960,0)),"",INDEX('Compliance Database'!$O$2:$O$1960,MATCH(637,Engine!$C$2:$C$1960,0)))</f>
        <v/>
      </c>
      <c r="P650" s="8">
        <f>IF(ISNA(MATCH(637,Engine!$C$2:$C$1960,0)),"",HYPERLINK("#Acts!A"&amp;INDEX('Compliance Database'!$P$2:$P$1960,MATCH(637,Engine!$C$2:$C$1960,0)),"Go to Act"))</f>
        <v/>
      </c>
    </row>
    <row r="651" ht="158" customHeight="1">
      <c r="A651" s="8">
        <f>IF(ISNA(MATCH(638,Engine!$C$2:$C$1960,0)),"",INDEX('Compliance Database'!$A$2:$A$1960,MATCH(638,Engine!$C$2:$C$1960,0)))</f>
        <v/>
      </c>
      <c r="B651" s="8">
        <f>IF(ISNA(MATCH(638,Engine!$C$2:$C$1960,0)),"",INDEX('Compliance Database'!$B$2:$B$1960,MATCH(638,Engine!$C$2:$C$1960,0)))</f>
        <v/>
      </c>
      <c r="C651" s="8">
        <f>IF(ISNA(MATCH(638,Engine!$C$2:$C$1960,0)),"",INDEX('Compliance Database'!$C$2:$C$1960,MATCH(638,Engine!$C$2:$C$1960,0)))</f>
        <v/>
      </c>
      <c r="D651" s="9">
        <f>IF(ISNA(MATCH(638,Engine!$C$2:$C$1960,0)),"",INDEX('Compliance Database'!$D$2:$D$1960,MATCH(638,Engine!$C$2:$C$1960,0)))</f>
        <v/>
      </c>
      <c r="E651" s="8">
        <f>IF(ISNA(MATCH(638,Engine!$C$2:$C$1960,0)),"",INDEX('Compliance Database'!$E$2:$E$1960,MATCH(638,Engine!$C$2:$C$1960,0)))</f>
        <v/>
      </c>
      <c r="F651" s="8">
        <f>IF(ISNA(MATCH(638,Engine!$C$2:$C$1960,0)),"",INDEX('Compliance Database'!$F$2:$F$1960,MATCH(638,Engine!$C$2:$C$1960,0)))</f>
        <v/>
      </c>
      <c r="G651" s="8">
        <f>IF(ISNA(MATCH(638,Engine!$C$2:$C$1960,0)),"",INDEX('Compliance Database'!$G$2:$G$1960,MATCH(638,Engine!$C$2:$C$1960,0)))</f>
        <v/>
      </c>
      <c r="H651" s="9">
        <f>IF(ISNA(MATCH(638,Engine!$C$2:$C$1960,0)),"",INDEX('Compliance Database'!$H$2:$H$1960,MATCH(638,Engine!$C$2:$C$1960,0)))</f>
        <v/>
      </c>
      <c r="I651" s="9">
        <f>IF(ISNA(MATCH(638,Engine!$C$2:$C$1960,0)),"",INDEX('Compliance Database'!$I$2:$I$1960,MATCH(638,Engine!$C$2:$C$1960,0)))</f>
        <v/>
      </c>
      <c r="J651" s="8">
        <f>IF(ISNA(MATCH(638,Engine!$C$2:$C$1960,0)),"",INDEX('Compliance Database'!$J$2:$J$1960,MATCH(638,Engine!$C$2:$C$1960,0)))</f>
        <v/>
      </c>
      <c r="K651" s="9">
        <f>IF(ISNA(MATCH(638,Engine!$C$2:$C$1960,0)),"",INDEX('Compliance Database'!$K$2:$K$1960,MATCH(638,Engine!$C$2:$C$1960,0)))</f>
        <v/>
      </c>
      <c r="L651" s="9">
        <f>IF(ISNA(MATCH(638,Engine!$C$2:$C$1960,0)),"",INDEX('Compliance Database'!$L$2:$L$1960,MATCH(638,Engine!$C$2:$C$1960,0)))</f>
        <v/>
      </c>
      <c r="M651" s="9">
        <f>IF(ISNA(MATCH(638,Engine!$C$2:$C$1960,0)),"",INDEX('Compliance Database'!$M$2:$M$1960,MATCH(638,Engine!$C$2:$C$1960,0)))</f>
        <v/>
      </c>
      <c r="N651" s="9">
        <f>IF(ISNA(MATCH(638,Engine!$C$2:$C$1960,0)),"",INDEX('Compliance Database'!$N$2:$N$1960,MATCH(638,Engine!$C$2:$C$1960,0)))</f>
        <v/>
      </c>
      <c r="O651" s="9">
        <f>IF(ISNA(MATCH(638,Engine!$C$2:$C$1960,0)),"",INDEX('Compliance Database'!$O$2:$O$1960,MATCH(638,Engine!$C$2:$C$1960,0)))</f>
        <v/>
      </c>
      <c r="P651" s="8">
        <f>IF(ISNA(MATCH(638,Engine!$C$2:$C$1960,0)),"",HYPERLINK("#Acts!A"&amp;INDEX('Compliance Database'!$P$2:$P$1960,MATCH(638,Engine!$C$2:$C$1960,0)),"Go to Act"))</f>
        <v/>
      </c>
    </row>
    <row r="652" ht="158" customHeight="1">
      <c r="A652" s="8">
        <f>IF(ISNA(MATCH(639,Engine!$C$2:$C$1960,0)),"",INDEX('Compliance Database'!$A$2:$A$1960,MATCH(639,Engine!$C$2:$C$1960,0)))</f>
        <v/>
      </c>
      <c r="B652" s="8">
        <f>IF(ISNA(MATCH(639,Engine!$C$2:$C$1960,0)),"",INDEX('Compliance Database'!$B$2:$B$1960,MATCH(639,Engine!$C$2:$C$1960,0)))</f>
        <v/>
      </c>
      <c r="C652" s="8">
        <f>IF(ISNA(MATCH(639,Engine!$C$2:$C$1960,0)),"",INDEX('Compliance Database'!$C$2:$C$1960,MATCH(639,Engine!$C$2:$C$1960,0)))</f>
        <v/>
      </c>
      <c r="D652" s="9">
        <f>IF(ISNA(MATCH(639,Engine!$C$2:$C$1960,0)),"",INDEX('Compliance Database'!$D$2:$D$1960,MATCH(639,Engine!$C$2:$C$1960,0)))</f>
        <v/>
      </c>
      <c r="E652" s="8">
        <f>IF(ISNA(MATCH(639,Engine!$C$2:$C$1960,0)),"",INDEX('Compliance Database'!$E$2:$E$1960,MATCH(639,Engine!$C$2:$C$1960,0)))</f>
        <v/>
      </c>
      <c r="F652" s="8">
        <f>IF(ISNA(MATCH(639,Engine!$C$2:$C$1960,0)),"",INDEX('Compliance Database'!$F$2:$F$1960,MATCH(639,Engine!$C$2:$C$1960,0)))</f>
        <v/>
      </c>
      <c r="G652" s="8">
        <f>IF(ISNA(MATCH(639,Engine!$C$2:$C$1960,0)),"",INDEX('Compliance Database'!$G$2:$G$1960,MATCH(639,Engine!$C$2:$C$1960,0)))</f>
        <v/>
      </c>
      <c r="H652" s="9">
        <f>IF(ISNA(MATCH(639,Engine!$C$2:$C$1960,0)),"",INDEX('Compliance Database'!$H$2:$H$1960,MATCH(639,Engine!$C$2:$C$1960,0)))</f>
        <v/>
      </c>
      <c r="I652" s="9">
        <f>IF(ISNA(MATCH(639,Engine!$C$2:$C$1960,0)),"",INDEX('Compliance Database'!$I$2:$I$1960,MATCH(639,Engine!$C$2:$C$1960,0)))</f>
        <v/>
      </c>
      <c r="J652" s="8">
        <f>IF(ISNA(MATCH(639,Engine!$C$2:$C$1960,0)),"",INDEX('Compliance Database'!$J$2:$J$1960,MATCH(639,Engine!$C$2:$C$1960,0)))</f>
        <v/>
      </c>
      <c r="K652" s="9">
        <f>IF(ISNA(MATCH(639,Engine!$C$2:$C$1960,0)),"",INDEX('Compliance Database'!$K$2:$K$1960,MATCH(639,Engine!$C$2:$C$1960,0)))</f>
        <v/>
      </c>
      <c r="L652" s="9">
        <f>IF(ISNA(MATCH(639,Engine!$C$2:$C$1960,0)),"",INDEX('Compliance Database'!$L$2:$L$1960,MATCH(639,Engine!$C$2:$C$1960,0)))</f>
        <v/>
      </c>
      <c r="M652" s="9">
        <f>IF(ISNA(MATCH(639,Engine!$C$2:$C$1960,0)),"",INDEX('Compliance Database'!$M$2:$M$1960,MATCH(639,Engine!$C$2:$C$1960,0)))</f>
        <v/>
      </c>
      <c r="N652" s="9">
        <f>IF(ISNA(MATCH(639,Engine!$C$2:$C$1960,0)),"",INDEX('Compliance Database'!$N$2:$N$1960,MATCH(639,Engine!$C$2:$C$1960,0)))</f>
        <v/>
      </c>
      <c r="O652" s="9">
        <f>IF(ISNA(MATCH(639,Engine!$C$2:$C$1960,0)),"",INDEX('Compliance Database'!$O$2:$O$1960,MATCH(639,Engine!$C$2:$C$1960,0)))</f>
        <v/>
      </c>
      <c r="P652" s="8">
        <f>IF(ISNA(MATCH(639,Engine!$C$2:$C$1960,0)),"",HYPERLINK("#Acts!A"&amp;INDEX('Compliance Database'!$P$2:$P$1960,MATCH(639,Engine!$C$2:$C$1960,0)),"Go to Act"))</f>
        <v/>
      </c>
    </row>
    <row r="653" ht="158" customHeight="1">
      <c r="A653" s="8">
        <f>IF(ISNA(MATCH(640,Engine!$C$2:$C$1960,0)),"",INDEX('Compliance Database'!$A$2:$A$1960,MATCH(640,Engine!$C$2:$C$1960,0)))</f>
        <v/>
      </c>
      <c r="B653" s="8">
        <f>IF(ISNA(MATCH(640,Engine!$C$2:$C$1960,0)),"",INDEX('Compliance Database'!$B$2:$B$1960,MATCH(640,Engine!$C$2:$C$1960,0)))</f>
        <v/>
      </c>
      <c r="C653" s="8">
        <f>IF(ISNA(MATCH(640,Engine!$C$2:$C$1960,0)),"",INDEX('Compliance Database'!$C$2:$C$1960,MATCH(640,Engine!$C$2:$C$1960,0)))</f>
        <v/>
      </c>
      <c r="D653" s="9">
        <f>IF(ISNA(MATCH(640,Engine!$C$2:$C$1960,0)),"",INDEX('Compliance Database'!$D$2:$D$1960,MATCH(640,Engine!$C$2:$C$1960,0)))</f>
        <v/>
      </c>
      <c r="E653" s="8">
        <f>IF(ISNA(MATCH(640,Engine!$C$2:$C$1960,0)),"",INDEX('Compliance Database'!$E$2:$E$1960,MATCH(640,Engine!$C$2:$C$1960,0)))</f>
        <v/>
      </c>
      <c r="F653" s="8">
        <f>IF(ISNA(MATCH(640,Engine!$C$2:$C$1960,0)),"",INDEX('Compliance Database'!$F$2:$F$1960,MATCH(640,Engine!$C$2:$C$1960,0)))</f>
        <v/>
      </c>
      <c r="G653" s="8">
        <f>IF(ISNA(MATCH(640,Engine!$C$2:$C$1960,0)),"",INDEX('Compliance Database'!$G$2:$G$1960,MATCH(640,Engine!$C$2:$C$1960,0)))</f>
        <v/>
      </c>
      <c r="H653" s="9">
        <f>IF(ISNA(MATCH(640,Engine!$C$2:$C$1960,0)),"",INDEX('Compliance Database'!$H$2:$H$1960,MATCH(640,Engine!$C$2:$C$1960,0)))</f>
        <v/>
      </c>
      <c r="I653" s="9">
        <f>IF(ISNA(MATCH(640,Engine!$C$2:$C$1960,0)),"",INDEX('Compliance Database'!$I$2:$I$1960,MATCH(640,Engine!$C$2:$C$1960,0)))</f>
        <v/>
      </c>
      <c r="J653" s="8">
        <f>IF(ISNA(MATCH(640,Engine!$C$2:$C$1960,0)),"",INDEX('Compliance Database'!$J$2:$J$1960,MATCH(640,Engine!$C$2:$C$1960,0)))</f>
        <v/>
      </c>
      <c r="K653" s="9">
        <f>IF(ISNA(MATCH(640,Engine!$C$2:$C$1960,0)),"",INDEX('Compliance Database'!$K$2:$K$1960,MATCH(640,Engine!$C$2:$C$1960,0)))</f>
        <v/>
      </c>
      <c r="L653" s="9">
        <f>IF(ISNA(MATCH(640,Engine!$C$2:$C$1960,0)),"",INDEX('Compliance Database'!$L$2:$L$1960,MATCH(640,Engine!$C$2:$C$1960,0)))</f>
        <v/>
      </c>
      <c r="M653" s="9">
        <f>IF(ISNA(MATCH(640,Engine!$C$2:$C$1960,0)),"",INDEX('Compliance Database'!$M$2:$M$1960,MATCH(640,Engine!$C$2:$C$1960,0)))</f>
        <v/>
      </c>
      <c r="N653" s="9">
        <f>IF(ISNA(MATCH(640,Engine!$C$2:$C$1960,0)),"",INDEX('Compliance Database'!$N$2:$N$1960,MATCH(640,Engine!$C$2:$C$1960,0)))</f>
        <v/>
      </c>
      <c r="O653" s="9">
        <f>IF(ISNA(MATCH(640,Engine!$C$2:$C$1960,0)),"",INDEX('Compliance Database'!$O$2:$O$1960,MATCH(640,Engine!$C$2:$C$1960,0)))</f>
        <v/>
      </c>
      <c r="P653" s="8">
        <f>IF(ISNA(MATCH(640,Engine!$C$2:$C$1960,0)),"",HYPERLINK("#Acts!A"&amp;INDEX('Compliance Database'!$P$2:$P$1960,MATCH(640,Engine!$C$2:$C$1960,0)),"Go to Act"))</f>
        <v/>
      </c>
    </row>
    <row r="654" ht="158" customHeight="1">
      <c r="A654" s="8">
        <f>IF(ISNA(MATCH(641,Engine!$C$2:$C$1960,0)),"",INDEX('Compliance Database'!$A$2:$A$1960,MATCH(641,Engine!$C$2:$C$1960,0)))</f>
        <v/>
      </c>
      <c r="B654" s="8">
        <f>IF(ISNA(MATCH(641,Engine!$C$2:$C$1960,0)),"",INDEX('Compliance Database'!$B$2:$B$1960,MATCH(641,Engine!$C$2:$C$1960,0)))</f>
        <v/>
      </c>
      <c r="C654" s="8">
        <f>IF(ISNA(MATCH(641,Engine!$C$2:$C$1960,0)),"",INDEX('Compliance Database'!$C$2:$C$1960,MATCH(641,Engine!$C$2:$C$1960,0)))</f>
        <v/>
      </c>
      <c r="D654" s="9">
        <f>IF(ISNA(MATCH(641,Engine!$C$2:$C$1960,0)),"",INDEX('Compliance Database'!$D$2:$D$1960,MATCH(641,Engine!$C$2:$C$1960,0)))</f>
        <v/>
      </c>
      <c r="E654" s="8">
        <f>IF(ISNA(MATCH(641,Engine!$C$2:$C$1960,0)),"",INDEX('Compliance Database'!$E$2:$E$1960,MATCH(641,Engine!$C$2:$C$1960,0)))</f>
        <v/>
      </c>
      <c r="F654" s="8">
        <f>IF(ISNA(MATCH(641,Engine!$C$2:$C$1960,0)),"",INDEX('Compliance Database'!$F$2:$F$1960,MATCH(641,Engine!$C$2:$C$1960,0)))</f>
        <v/>
      </c>
      <c r="G654" s="8">
        <f>IF(ISNA(MATCH(641,Engine!$C$2:$C$1960,0)),"",INDEX('Compliance Database'!$G$2:$G$1960,MATCH(641,Engine!$C$2:$C$1960,0)))</f>
        <v/>
      </c>
      <c r="H654" s="9">
        <f>IF(ISNA(MATCH(641,Engine!$C$2:$C$1960,0)),"",INDEX('Compliance Database'!$H$2:$H$1960,MATCH(641,Engine!$C$2:$C$1960,0)))</f>
        <v/>
      </c>
      <c r="I654" s="9">
        <f>IF(ISNA(MATCH(641,Engine!$C$2:$C$1960,0)),"",INDEX('Compliance Database'!$I$2:$I$1960,MATCH(641,Engine!$C$2:$C$1960,0)))</f>
        <v/>
      </c>
      <c r="J654" s="8">
        <f>IF(ISNA(MATCH(641,Engine!$C$2:$C$1960,0)),"",INDEX('Compliance Database'!$J$2:$J$1960,MATCH(641,Engine!$C$2:$C$1960,0)))</f>
        <v/>
      </c>
      <c r="K654" s="9">
        <f>IF(ISNA(MATCH(641,Engine!$C$2:$C$1960,0)),"",INDEX('Compliance Database'!$K$2:$K$1960,MATCH(641,Engine!$C$2:$C$1960,0)))</f>
        <v/>
      </c>
      <c r="L654" s="9">
        <f>IF(ISNA(MATCH(641,Engine!$C$2:$C$1960,0)),"",INDEX('Compliance Database'!$L$2:$L$1960,MATCH(641,Engine!$C$2:$C$1960,0)))</f>
        <v/>
      </c>
      <c r="M654" s="9">
        <f>IF(ISNA(MATCH(641,Engine!$C$2:$C$1960,0)),"",INDEX('Compliance Database'!$M$2:$M$1960,MATCH(641,Engine!$C$2:$C$1960,0)))</f>
        <v/>
      </c>
      <c r="N654" s="9">
        <f>IF(ISNA(MATCH(641,Engine!$C$2:$C$1960,0)),"",INDEX('Compliance Database'!$N$2:$N$1960,MATCH(641,Engine!$C$2:$C$1960,0)))</f>
        <v/>
      </c>
      <c r="O654" s="9">
        <f>IF(ISNA(MATCH(641,Engine!$C$2:$C$1960,0)),"",INDEX('Compliance Database'!$O$2:$O$1960,MATCH(641,Engine!$C$2:$C$1960,0)))</f>
        <v/>
      </c>
      <c r="P654" s="8">
        <f>IF(ISNA(MATCH(641,Engine!$C$2:$C$1960,0)),"",HYPERLINK("#Acts!A"&amp;INDEX('Compliance Database'!$P$2:$P$1960,MATCH(641,Engine!$C$2:$C$1960,0)),"Go to Act"))</f>
        <v/>
      </c>
    </row>
    <row r="655" ht="158" customHeight="1">
      <c r="A655" s="8">
        <f>IF(ISNA(MATCH(642,Engine!$C$2:$C$1960,0)),"",INDEX('Compliance Database'!$A$2:$A$1960,MATCH(642,Engine!$C$2:$C$1960,0)))</f>
        <v/>
      </c>
      <c r="B655" s="8">
        <f>IF(ISNA(MATCH(642,Engine!$C$2:$C$1960,0)),"",INDEX('Compliance Database'!$B$2:$B$1960,MATCH(642,Engine!$C$2:$C$1960,0)))</f>
        <v/>
      </c>
      <c r="C655" s="8">
        <f>IF(ISNA(MATCH(642,Engine!$C$2:$C$1960,0)),"",INDEX('Compliance Database'!$C$2:$C$1960,MATCH(642,Engine!$C$2:$C$1960,0)))</f>
        <v/>
      </c>
      <c r="D655" s="9">
        <f>IF(ISNA(MATCH(642,Engine!$C$2:$C$1960,0)),"",INDEX('Compliance Database'!$D$2:$D$1960,MATCH(642,Engine!$C$2:$C$1960,0)))</f>
        <v/>
      </c>
      <c r="E655" s="8">
        <f>IF(ISNA(MATCH(642,Engine!$C$2:$C$1960,0)),"",INDEX('Compliance Database'!$E$2:$E$1960,MATCH(642,Engine!$C$2:$C$1960,0)))</f>
        <v/>
      </c>
      <c r="F655" s="8">
        <f>IF(ISNA(MATCH(642,Engine!$C$2:$C$1960,0)),"",INDEX('Compliance Database'!$F$2:$F$1960,MATCH(642,Engine!$C$2:$C$1960,0)))</f>
        <v/>
      </c>
      <c r="G655" s="8">
        <f>IF(ISNA(MATCH(642,Engine!$C$2:$C$1960,0)),"",INDEX('Compliance Database'!$G$2:$G$1960,MATCH(642,Engine!$C$2:$C$1960,0)))</f>
        <v/>
      </c>
      <c r="H655" s="9">
        <f>IF(ISNA(MATCH(642,Engine!$C$2:$C$1960,0)),"",INDEX('Compliance Database'!$H$2:$H$1960,MATCH(642,Engine!$C$2:$C$1960,0)))</f>
        <v/>
      </c>
      <c r="I655" s="9">
        <f>IF(ISNA(MATCH(642,Engine!$C$2:$C$1960,0)),"",INDEX('Compliance Database'!$I$2:$I$1960,MATCH(642,Engine!$C$2:$C$1960,0)))</f>
        <v/>
      </c>
      <c r="J655" s="8">
        <f>IF(ISNA(MATCH(642,Engine!$C$2:$C$1960,0)),"",INDEX('Compliance Database'!$J$2:$J$1960,MATCH(642,Engine!$C$2:$C$1960,0)))</f>
        <v/>
      </c>
      <c r="K655" s="9">
        <f>IF(ISNA(MATCH(642,Engine!$C$2:$C$1960,0)),"",INDEX('Compliance Database'!$K$2:$K$1960,MATCH(642,Engine!$C$2:$C$1960,0)))</f>
        <v/>
      </c>
      <c r="L655" s="9">
        <f>IF(ISNA(MATCH(642,Engine!$C$2:$C$1960,0)),"",INDEX('Compliance Database'!$L$2:$L$1960,MATCH(642,Engine!$C$2:$C$1960,0)))</f>
        <v/>
      </c>
      <c r="M655" s="9">
        <f>IF(ISNA(MATCH(642,Engine!$C$2:$C$1960,0)),"",INDEX('Compliance Database'!$M$2:$M$1960,MATCH(642,Engine!$C$2:$C$1960,0)))</f>
        <v/>
      </c>
      <c r="N655" s="9">
        <f>IF(ISNA(MATCH(642,Engine!$C$2:$C$1960,0)),"",INDEX('Compliance Database'!$N$2:$N$1960,MATCH(642,Engine!$C$2:$C$1960,0)))</f>
        <v/>
      </c>
      <c r="O655" s="9">
        <f>IF(ISNA(MATCH(642,Engine!$C$2:$C$1960,0)),"",INDEX('Compliance Database'!$O$2:$O$1960,MATCH(642,Engine!$C$2:$C$1960,0)))</f>
        <v/>
      </c>
      <c r="P655" s="8">
        <f>IF(ISNA(MATCH(642,Engine!$C$2:$C$1960,0)),"",HYPERLINK("#Acts!A"&amp;INDEX('Compliance Database'!$P$2:$P$1960,MATCH(642,Engine!$C$2:$C$1960,0)),"Go to Act"))</f>
        <v/>
      </c>
    </row>
    <row r="656" ht="158" customHeight="1">
      <c r="A656" s="8">
        <f>IF(ISNA(MATCH(643,Engine!$C$2:$C$1960,0)),"",INDEX('Compliance Database'!$A$2:$A$1960,MATCH(643,Engine!$C$2:$C$1960,0)))</f>
        <v/>
      </c>
      <c r="B656" s="8">
        <f>IF(ISNA(MATCH(643,Engine!$C$2:$C$1960,0)),"",INDEX('Compliance Database'!$B$2:$B$1960,MATCH(643,Engine!$C$2:$C$1960,0)))</f>
        <v/>
      </c>
      <c r="C656" s="8">
        <f>IF(ISNA(MATCH(643,Engine!$C$2:$C$1960,0)),"",INDEX('Compliance Database'!$C$2:$C$1960,MATCH(643,Engine!$C$2:$C$1960,0)))</f>
        <v/>
      </c>
      <c r="D656" s="9">
        <f>IF(ISNA(MATCH(643,Engine!$C$2:$C$1960,0)),"",INDEX('Compliance Database'!$D$2:$D$1960,MATCH(643,Engine!$C$2:$C$1960,0)))</f>
        <v/>
      </c>
      <c r="E656" s="8">
        <f>IF(ISNA(MATCH(643,Engine!$C$2:$C$1960,0)),"",INDEX('Compliance Database'!$E$2:$E$1960,MATCH(643,Engine!$C$2:$C$1960,0)))</f>
        <v/>
      </c>
      <c r="F656" s="8">
        <f>IF(ISNA(MATCH(643,Engine!$C$2:$C$1960,0)),"",INDEX('Compliance Database'!$F$2:$F$1960,MATCH(643,Engine!$C$2:$C$1960,0)))</f>
        <v/>
      </c>
      <c r="G656" s="8">
        <f>IF(ISNA(MATCH(643,Engine!$C$2:$C$1960,0)),"",INDEX('Compliance Database'!$G$2:$G$1960,MATCH(643,Engine!$C$2:$C$1960,0)))</f>
        <v/>
      </c>
      <c r="H656" s="9">
        <f>IF(ISNA(MATCH(643,Engine!$C$2:$C$1960,0)),"",INDEX('Compliance Database'!$H$2:$H$1960,MATCH(643,Engine!$C$2:$C$1960,0)))</f>
        <v/>
      </c>
      <c r="I656" s="9">
        <f>IF(ISNA(MATCH(643,Engine!$C$2:$C$1960,0)),"",INDEX('Compliance Database'!$I$2:$I$1960,MATCH(643,Engine!$C$2:$C$1960,0)))</f>
        <v/>
      </c>
      <c r="J656" s="8">
        <f>IF(ISNA(MATCH(643,Engine!$C$2:$C$1960,0)),"",INDEX('Compliance Database'!$J$2:$J$1960,MATCH(643,Engine!$C$2:$C$1960,0)))</f>
        <v/>
      </c>
      <c r="K656" s="9">
        <f>IF(ISNA(MATCH(643,Engine!$C$2:$C$1960,0)),"",INDEX('Compliance Database'!$K$2:$K$1960,MATCH(643,Engine!$C$2:$C$1960,0)))</f>
        <v/>
      </c>
      <c r="L656" s="9">
        <f>IF(ISNA(MATCH(643,Engine!$C$2:$C$1960,0)),"",INDEX('Compliance Database'!$L$2:$L$1960,MATCH(643,Engine!$C$2:$C$1960,0)))</f>
        <v/>
      </c>
      <c r="M656" s="9">
        <f>IF(ISNA(MATCH(643,Engine!$C$2:$C$1960,0)),"",INDEX('Compliance Database'!$M$2:$M$1960,MATCH(643,Engine!$C$2:$C$1960,0)))</f>
        <v/>
      </c>
      <c r="N656" s="9">
        <f>IF(ISNA(MATCH(643,Engine!$C$2:$C$1960,0)),"",INDEX('Compliance Database'!$N$2:$N$1960,MATCH(643,Engine!$C$2:$C$1960,0)))</f>
        <v/>
      </c>
      <c r="O656" s="9">
        <f>IF(ISNA(MATCH(643,Engine!$C$2:$C$1960,0)),"",INDEX('Compliance Database'!$O$2:$O$1960,MATCH(643,Engine!$C$2:$C$1960,0)))</f>
        <v/>
      </c>
      <c r="P656" s="8">
        <f>IF(ISNA(MATCH(643,Engine!$C$2:$C$1960,0)),"",HYPERLINK("#Acts!A"&amp;INDEX('Compliance Database'!$P$2:$P$1960,MATCH(643,Engine!$C$2:$C$1960,0)),"Go to Act"))</f>
        <v/>
      </c>
    </row>
    <row r="657" ht="158" customHeight="1">
      <c r="A657" s="8">
        <f>IF(ISNA(MATCH(644,Engine!$C$2:$C$1960,0)),"",INDEX('Compliance Database'!$A$2:$A$1960,MATCH(644,Engine!$C$2:$C$1960,0)))</f>
        <v/>
      </c>
      <c r="B657" s="8">
        <f>IF(ISNA(MATCH(644,Engine!$C$2:$C$1960,0)),"",INDEX('Compliance Database'!$B$2:$B$1960,MATCH(644,Engine!$C$2:$C$1960,0)))</f>
        <v/>
      </c>
      <c r="C657" s="8">
        <f>IF(ISNA(MATCH(644,Engine!$C$2:$C$1960,0)),"",INDEX('Compliance Database'!$C$2:$C$1960,MATCH(644,Engine!$C$2:$C$1960,0)))</f>
        <v/>
      </c>
      <c r="D657" s="9">
        <f>IF(ISNA(MATCH(644,Engine!$C$2:$C$1960,0)),"",INDEX('Compliance Database'!$D$2:$D$1960,MATCH(644,Engine!$C$2:$C$1960,0)))</f>
        <v/>
      </c>
      <c r="E657" s="8">
        <f>IF(ISNA(MATCH(644,Engine!$C$2:$C$1960,0)),"",INDEX('Compliance Database'!$E$2:$E$1960,MATCH(644,Engine!$C$2:$C$1960,0)))</f>
        <v/>
      </c>
      <c r="F657" s="8">
        <f>IF(ISNA(MATCH(644,Engine!$C$2:$C$1960,0)),"",INDEX('Compliance Database'!$F$2:$F$1960,MATCH(644,Engine!$C$2:$C$1960,0)))</f>
        <v/>
      </c>
      <c r="G657" s="8">
        <f>IF(ISNA(MATCH(644,Engine!$C$2:$C$1960,0)),"",INDEX('Compliance Database'!$G$2:$G$1960,MATCH(644,Engine!$C$2:$C$1960,0)))</f>
        <v/>
      </c>
      <c r="H657" s="9">
        <f>IF(ISNA(MATCH(644,Engine!$C$2:$C$1960,0)),"",INDEX('Compliance Database'!$H$2:$H$1960,MATCH(644,Engine!$C$2:$C$1960,0)))</f>
        <v/>
      </c>
      <c r="I657" s="9">
        <f>IF(ISNA(MATCH(644,Engine!$C$2:$C$1960,0)),"",INDEX('Compliance Database'!$I$2:$I$1960,MATCH(644,Engine!$C$2:$C$1960,0)))</f>
        <v/>
      </c>
      <c r="J657" s="8">
        <f>IF(ISNA(MATCH(644,Engine!$C$2:$C$1960,0)),"",INDEX('Compliance Database'!$J$2:$J$1960,MATCH(644,Engine!$C$2:$C$1960,0)))</f>
        <v/>
      </c>
      <c r="K657" s="9">
        <f>IF(ISNA(MATCH(644,Engine!$C$2:$C$1960,0)),"",INDEX('Compliance Database'!$K$2:$K$1960,MATCH(644,Engine!$C$2:$C$1960,0)))</f>
        <v/>
      </c>
      <c r="L657" s="9">
        <f>IF(ISNA(MATCH(644,Engine!$C$2:$C$1960,0)),"",INDEX('Compliance Database'!$L$2:$L$1960,MATCH(644,Engine!$C$2:$C$1960,0)))</f>
        <v/>
      </c>
      <c r="M657" s="9">
        <f>IF(ISNA(MATCH(644,Engine!$C$2:$C$1960,0)),"",INDEX('Compliance Database'!$M$2:$M$1960,MATCH(644,Engine!$C$2:$C$1960,0)))</f>
        <v/>
      </c>
      <c r="N657" s="9">
        <f>IF(ISNA(MATCH(644,Engine!$C$2:$C$1960,0)),"",INDEX('Compliance Database'!$N$2:$N$1960,MATCH(644,Engine!$C$2:$C$1960,0)))</f>
        <v/>
      </c>
      <c r="O657" s="9">
        <f>IF(ISNA(MATCH(644,Engine!$C$2:$C$1960,0)),"",INDEX('Compliance Database'!$O$2:$O$1960,MATCH(644,Engine!$C$2:$C$1960,0)))</f>
        <v/>
      </c>
      <c r="P657" s="8">
        <f>IF(ISNA(MATCH(644,Engine!$C$2:$C$1960,0)),"",HYPERLINK("#Acts!A"&amp;INDEX('Compliance Database'!$P$2:$P$1960,MATCH(644,Engine!$C$2:$C$1960,0)),"Go to Act"))</f>
        <v/>
      </c>
    </row>
    <row r="658" ht="158" customHeight="1">
      <c r="A658" s="8">
        <f>IF(ISNA(MATCH(645,Engine!$C$2:$C$1960,0)),"",INDEX('Compliance Database'!$A$2:$A$1960,MATCH(645,Engine!$C$2:$C$1960,0)))</f>
        <v/>
      </c>
      <c r="B658" s="8">
        <f>IF(ISNA(MATCH(645,Engine!$C$2:$C$1960,0)),"",INDEX('Compliance Database'!$B$2:$B$1960,MATCH(645,Engine!$C$2:$C$1960,0)))</f>
        <v/>
      </c>
      <c r="C658" s="8">
        <f>IF(ISNA(MATCH(645,Engine!$C$2:$C$1960,0)),"",INDEX('Compliance Database'!$C$2:$C$1960,MATCH(645,Engine!$C$2:$C$1960,0)))</f>
        <v/>
      </c>
      <c r="D658" s="9">
        <f>IF(ISNA(MATCH(645,Engine!$C$2:$C$1960,0)),"",INDEX('Compliance Database'!$D$2:$D$1960,MATCH(645,Engine!$C$2:$C$1960,0)))</f>
        <v/>
      </c>
      <c r="E658" s="8">
        <f>IF(ISNA(MATCH(645,Engine!$C$2:$C$1960,0)),"",INDEX('Compliance Database'!$E$2:$E$1960,MATCH(645,Engine!$C$2:$C$1960,0)))</f>
        <v/>
      </c>
      <c r="F658" s="8">
        <f>IF(ISNA(MATCH(645,Engine!$C$2:$C$1960,0)),"",INDEX('Compliance Database'!$F$2:$F$1960,MATCH(645,Engine!$C$2:$C$1960,0)))</f>
        <v/>
      </c>
      <c r="G658" s="8">
        <f>IF(ISNA(MATCH(645,Engine!$C$2:$C$1960,0)),"",INDEX('Compliance Database'!$G$2:$G$1960,MATCH(645,Engine!$C$2:$C$1960,0)))</f>
        <v/>
      </c>
      <c r="H658" s="9">
        <f>IF(ISNA(MATCH(645,Engine!$C$2:$C$1960,0)),"",INDEX('Compliance Database'!$H$2:$H$1960,MATCH(645,Engine!$C$2:$C$1960,0)))</f>
        <v/>
      </c>
      <c r="I658" s="9">
        <f>IF(ISNA(MATCH(645,Engine!$C$2:$C$1960,0)),"",INDEX('Compliance Database'!$I$2:$I$1960,MATCH(645,Engine!$C$2:$C$1960,0)))</f>
        <v/>
      </c>
      <c r="J658" s="8">
        <f>IF(ISNA(MATCH(645,Engine!$C$2:$C$1960,0)),"",INDEX('Compliance Database'!$J$2:$J$1960,MATCH(645,Engine!$C$2:$C$1960,0)))</f>
        <v/>
      </c>
      <c r="K658" s="9">
        <f>IF(ISNA(MATCH(645,Engine!$C$2:$C$1960,0)),"",INDEX('Compliance Database'!$K$2:$K$1960,MATCH(645,Engine!$C$2:$C$1960,0)))</f>
        <v/>
      </c>
      <c r="L658" s="9">
        <f>IF(ISNA(MATCH(645,Engine!$C$2:$C$1960,0)),"",INDEX('Compliance Database'!$L$2:$L$1960,MATCH(645,Engine!$C$2:$C$1960,0)))</f>
        <v/>
      </c>
      <c r="M658" s="9">
        <f>IF(ISNA(MATCH(645,Engine!$C$2:$C$1960,0)),"",INDEX('Compliance Database'!$M$2:$M$1960,MATCH(645,Engine!$C$2:$C$1960,0)))</f>
        <v/>
      </c>
      <c r="N658" s="9">
        <f>IF(ISNA(MATCH(645,Engine!$C$2:$C$1960,0)),"",INDEX('Compliance Database'!$N$2:$N$1960,MATCH(645,Engine!$C$2:$C$1960,0)))</f>
        <v/>
      </c>
      <c r="O658" s="9">
        <f>IF(ISNA(MATCH(645,Engine!$C$2:$C$1960,0)),"",INDEX('Compliance Database'!$O$2:$O$1960,MATCH(645,Engine!$C$2:$C$1960,0)))</f>
        <v/>
      </c>
      <c r="P658" s="8">
        <f>IF(ISNA(MATCH(645,Engine!$C$2:$C$1960,0)),"",HYPERLINK("#Acts!A"&amp;INDEX('Compliance Database'!$P$2:$P$1960,MATCH(645,Engine!$C$2:$C$1960,0)),"Go to Act"))</f>
        <v/>
      </c>
    </row>
    <row r="659" ht="158" customHeight="1">
      <c r="A659" s="8">
        <f>IF(ISNA(MATCH(646,Engine!$C$2:$C$1960,0)),"",INDEX('Compliance Database'!$A$2:$A$1960,MATCH(646,Engine!$C$2:$C$1960,0)))</f>
        <v/>
      </c>
      <c r="B659" s="8">
        <f>IF(ISNA(MATCH(646,Engine!$C$2:$C$1960,0)),"",INDEX('Compliance Database'!$B$2:$B$1960,MATCH(646,Engine!$C$2:$C$1960,0)))</f>
        <v/>
      </c>
      <c r="C659" s="8">
        <f>IF(ISNA(MATCH(646,Engine!$C$2:$C$1960,0)),"",INDEX('Compliance Database'!$C$2:$C$1960,MATCH(646,Engine!$C$2:$C$1960,0)))</f>
        <v/>
      </c>
      <c r="D659" s="9">
        <f>IF(ISNA(MATCH(646,Engine!$C$2:$C$1960,0)),"",INDEX('Compliance Database'!$D$2:$D$1960,MATCH(646,Engine!$C$2:$C$1960,0)))</f>
        <v/>
      </c>
      <c r="E659" s="8">
        <f>IF(ISNA(MATCH(646,Engine!$C$2:$C$1960,0)),"",INDEX('Compliance Database'!$E$2:$E$1960,MATCH(646,Engine!$C$2:$C$1960,0)))</f>
        <v/>
      </c>
      <c r="F659" s="8">
        <f>IF(ISNA(MATCH(646,Engine!$C$2:$C$1960,0)),"",INDEX('Compliance Database'!$F$2:$F$1960,MATCH(646,Engine!$C$2:$C$1960,0)))</f>
        <v/>
      </c>
      <c r="G659" s="8">
        <f>IF(ISNA(MATCH(646,Engine!$C$2:$C$1960,0)),"",INDEX('Compliance Database'!$G$2:$G$1960,MATCH(646,Engine!$C$2:$C$1960,0)))</f>
        <v/>
      </c>
      <c r="H659" s="9">
        <f>IF(ISNA(MATCH(646,Engine!$C$2:$C$1960,0)),"",INDEX('Compliance Database'!$H$2:$H$1960,MATCH(646,Engine!$C$2:$C$1960,0)))</f>
        <v/>
      </c>
      <c r="I659" s="9">
        <f>IF(ISNA(MATCH(646,Engine!$C$2:$C$1960,0)),"",INDEX('Compliance Database'!$I$2:$I$1960,MATCH(646,Engine!$C$2:$C$1960,0)))</f>
        <v/>
      </c>
      <c r="J659" s="8">
        <f>IF(ISNA(MATCH(646,Engine!$C$2:$C$1960,0)),"",INDEX('Compliance Database'!$J$2:$J$1960,MATCH(646,Engine!$C$2:$C$1960,0)))</f>
        <v/>
      </c>
      <c r="K659" s="9">
        <f>IF(ISNA(MATCH(646,Engine!$C$2:$C$1960,0)),"",INDEX('Compliance Database'!$K$2:$K$1960,MATCH(646,Engine!$C$2:$C$1960,0)))</f>
        <v/>
      </c>
      <c r="L659" s="9">
        <f>IF(ISNA(MATCH(646,Engine!$C$2:$C$1960,0)),"",INDEX('Compliance Database'!$L$2:$L$1960,MATCH(646,Engine!$C$2:$C$1960,0)))</f>
        <v/>
      </c>
      <c r="M659" s="9">
        <f>IF(ISNA(MATCH(646,Engine!$C$2:$C$1960,0)),"",INDEX('Compliance Database'!$M$2:$M$1960,MATCH(646,Engine!$C$2:$C$1960,0)))</f>
        <v/>
      </c>
      <c r="N659" s="9">
        <f>IF(ISNA(MATCH(646,Engine!$C$2:$C$1960,0)),"",INDEX('Compliance Database'!$N$2:$N$1960,MATCH(646,Engine!$C$2:$C$1960,0)))</f>
        <v/>
      </c>
      <c r="O659" s="9">
        <f>IF(ISNA(MATCH(646,Engine!$C$2:$C$1960,0)),"",INDEX('Compliance Database'!$O$2:$O$1960,MATCH(646,Engine!$C$2:$C$1960,0)))</f>
        <v/>
      </c>
      <c r="P659" s="8">
        <f>IF(ISNA(MATCH(646,Engine!$C$2:$C$1960,0)),"",HYPERLINK("#Acts!A"&amp;INDEX('Compliance Database'!$P$2:$P$1960,MATCH(646,Engine!$C$2:$C$1960,0)),"Go to Act"))</f>
        <v/>
      </c>
    </row>
    <row r="660" ht="158" customHeight="1">
      <c r="A660" s="8">
        <f>IF(ISNA(MATCH(647,Engine!$C$2:$C$1960,0)),"",INDEX('Compliance Database'!$A$2:$A$1960,MATCH(647,Engine!$C$2:$C$1960,0)))</f>
        <v/>
      </c>
      <c r="B660" s="8">
        <f>IF(ISNA(MATCH(647,Engine!$C$2:$C$1960,0)),"",INDEX('Compliance Database'!$B$2:$B$1960,MATCH(647,Engine!$C$2:$C$1960,0)))</f>
        <v/>
      </c>
      <c r="C660" s="8">
        <f>IF(ISNA(MATCH(647,Engine!$C$2:$C$1960,0)),"",INDEX('Compliance Database'!$C$2:$C$1960,MATCH(647,Engine!$C$2:$C$1960,0)))</f>
        <v/>
      </c>
      <c r="D660" s="9">
        <f>IF(ISNA(MATCH(647,Engine!$C$2:$C$1960,0)),"",INDEX('Compliance Database'!$D$2:$D$1960,MATCH(647,Engine!$C$2:$C$1960,0)))</f>
        <v/>
      </c>
      <c r="E660" s="8">
        <f>IF(ISNA(MATCH(647,Engine!$C$2:$C$1960,0)),"",INDEX('Compliance Database'!$E$2:$E$1960,MATCH(647,Engine!$C$2:$C$1960,0)))</f>
        <v/>
      </c>
      <c r="F660" s="8">
        <f>IF(ISNA(MATCH(647,Engine!$C$2:$C$1960,0)),"",INDEX('Compliance Database'!$F$2:$F$1960,MATCH(647,Engine!$C$2:$C$1960,0)))</f>
        <v/>
      </c>
      <c r="G660" s="8">
        <f>IF(ISNA(MATCH(647,Engine!$C$2:$C$1960,0)),"",INDEX('Compliance Database'!$G$2:$G$1960,MATCH(647,Engine!$C$2:$C$1960,0)))</f>
        <v/>
      </c>
      <c r="H660" s="9">
        <f>IF(ISNA(MATCH(647,Engine!$C$2:$C$1960,0)),"",INDEX('Compliance Database'!$H$2:$H$1960,MATCH(647,Engine!$C$2:$C$1960,0)))</f>
        <v/>
      </c>
      <c r="I660" s="9">
        <f>IF(ISNA(MATCH(647,Engine!$C$2:$C$1960,0)),"",INDEX('Compliance Database'!$I$2:$I$1960,MATCH(647,Engine!$C$2:$C$1960,0)))</f>
        <v/>
      </c>
      <c r="J660" s="8">
        <f>IF(ISNA(MATCH(647,Engine!$C$2:$C$1960,0)),"",INDEX('Compliance Database'!$J$2:$J$1960,MATCH(647,Engine!$C$2:$C$1960,0)))</f>
        <v/>
      </c>
      <c r="K660" s="9">
        <f>IF(ISNA(MATCH(647,Engine!$C$2:$C$1960,0)),"",INDEX('Compliance Database'!$K$2:$K$1960,MATCH(647,Engine!$C$2:$C$1960,0)))</f>
        <v/>
      </c>
      <c r="L660" s="9">
        <f>IF(ISNA(MATCH(647,Engine!$C$2:$C$1960,0)),"",INDEX('Compliance Database'!$L$2:$L$1960,MATCH(647,Engine!$C$2:$C$1960,0)))</f>
        <v/>
      </c>
      <c r="M660" s="9">
        <f>IF(ISNA(MATCH(647,Engine!$C$2:$C$1960,0)),"",INDEX('Compliance Database'!$M$2:$M$1960,MATCH(647,Engine!$C$2:$C$1960,0)))</f>
        <v/>
      </c>
      <c r="N660" s="9">
        <f>IF(ISNA(MATCH(647,Engine!$C$2:$C$1960,0)),"",INDEX('Compliance Database'!$N$2:$N$1960,MATCH(647,Engine!$C$2:$C$1960,0)))</f>
        <v/>
      </c>
      <c r="O660" s="9">
        <f>IF(ISNA(MATCH(647,Engine!$C$2:$C$1960,0)),"",INDEX('Compliance Database'!$O$2:$O$1960,MATCH(647,Engine!$C$2:$C$1960,0)))</f>
        <v/>
      </c>
      <c r="P660" s="8">
        <f>IF(ISNA(MATCH(647,Engine!$C$2:$C$1960,0)),"",HYPERLINK("#Acts!A"&amp;INDEX('Compliance Database'!$P$2:$P$1960,MATCH(647,Engine!$C$2:$C$1960,0)),"Go to Act"))</f>
        <v/>
      </c>
    </row>
    <row r="661" ht="158" customHeight="1">
      <c r="A661" s="8">
        <f>IF(ISNA(MATCH(648,Engine!$C$2:$C$1960,0)),"",INDEX('Compliance Database'!$A$2:$A$1960,MATCH(648,Engine!$C$2:$C$1960,0)))</f>
        <v/>
      </c>
      <c r="B661" s="8">
        <f>IF(ISNA(MATCH(648,Engine!$C$2:$C$1960,0)),"",INDEX('Compliance Database'!$B$2:$B$1960,MATCH(648,Engine!$C$2:$C$1960,0)))</f>
        <v/>
      </c>
      <c r="C661" s="8">
        <f>IF(ISNA(MATCH(648,Engine!$C$2:$C$1960,0)),"",INDEX('Compliance Database'!$C$2:$C$1960,MATCH(648,Engine!$C$2:$C$1960,0)))</f>
        <v/>
      </c>
      <c r="D661" s="9">
        <f>IF(ISNA(MATCH(648,Engine!$C$2:$C$1960,0)),"",INDEX('Compliance Database'!$D$2:$D$1960,MATCH(648,Engine!$C$2:$C$1960,0)))</f>
        <v/>
      </c>
      <c r="E661" s="8">
        <f>IF(ISNA(MATCH(648,Engine!$C$2:$C$1960,0)),"",INDEX('Compliance Database'!$E$2:$E$1960,MATCH(648,Engine!$C$2:$C$1960,0)))</f>
        <v/>
      </c>
      <c r="F661" s="8">
        <f>IF(ISNA(MATCH(648,Engine!$C$2:$C$1960,0)),"",INDEX('Compliance Database'!$F$2:$F$1960,MATCH(648,Engine!$C$2:$C$1960,0)))</f>
        <v/>
      </c>
      <c r="G661" s="8">
        <f>IF(ISNA(MATCH(648,Engine!$C$2:$C$1960,0)),"",INDEX('Compliance Database'!$G$2:$G$1960,MATCH(648,Engine!$C$2:$C$1960,0)))</f>
        <v/>
      </c>
      <c r="H661" s="9">
        <f>IF(ISNA(MATCH(648,Engine!$C$2:$C$1960,0)),"",INDEX('Compliance Database'!$H$2:$H$1960,MATCH(648,Engine!$C$2:$C$1960,0)))</f>
        <v/>
      </c>
      <c r="I661" s="9">
        <f>IF(ISNA(MATCH(648,Engine!$C$2:$C$1960,0)),"",INDEX('Compliance Database'!$I$2:$I$1960,MATCH(648,Engine!$C$2:$C$1960,0)))</f>
        <v/>
      </c>
      <c r="J661" s="8">
        <f>IF(ISNA(MATCH(648,Engine!$C$2:$C$1960,0)),"",INDEX('Compliance Database'!$J$2:$J$1960,MATCH(648,Engine!$C$2:$C$1960,0)))</f>
        <v/>
      </c>
      <c r="K661" s="9">
        <f>IF(ISNA(MATCH(648,Engine!$C$2:$C$1960,0)),"",INDEX('Compliance Database'!$K$2:$K$1960,MATCH(648,Engine!$C$2:$C$1960,0)))</f>
        <v/>
      </c>
      <c r="L661" s="9">
        <f>IF(ISNA(MATCH(648,Engine!$C$2:$C$1960,0)),"",INDEX('Compliance Database'!$L$2:$L$1960,MATCH(648,Engine!$C$2:$C$1960,0)))</f>
        <v/>
      </c>
      <c r="M661" s="9">
        <f>IF(ISNA(MATCH(648,Engine!$C$2:$C$1960,0)),"",INDEX('Compliance Database'!$M$2:$M$1960,MATCH(648,Engine!$C$2:$C$1960,0)))</f>
        <v/>
      </c>
      <c r="N661" s="9">
        <f>IF(ISNA(MATCH(648,Engine!$C$2:$C$1960,0)),"",INDEX('Compliance Database'!$N$2:$N$1960,MATCH(648,Engine!$C$2:$C$1960,0)))</f>
        <v/>
      </c>
      <c r="O661" s="9">
        <f>IF(ISNA(MATCH(648,Engine!$C$2:$C$1960,0)),"",INDEX('Compliance Database'!$O$2:$O$1960,MATCH(648,Engine!$C$2:$C$1960,0)))</f>
        <v/>
      </c>
      <c r="P661" s="8">
        <f>IF(ISNA(MATCH(648,Engine!$C$2:$C$1960,0)),"",HYPERLINK("#Acts!A"&amp;INDEX('Compliance Database'!$P$2:$P$1960,MATCH(648,Engine!$C$2:$C$1960,0)),"Go to Act"))</f>
        <v/>
      </c>
    </row>
    <row r="662" ht="158" customHeight="1">
      <c r="A662" s="8">
        <f>IF(ISNA(MATCH(649,Engine!$C$2:$C$1960,0)),"",INDEX('Compliance Database'!$A$2:$A$1960,MATCH(649,Engine!$C$2:$C$1960,0)))</f>
        <v/>
      </c>
      <c r="B662" s="8">
        <f>IF(ISNA(MATCH(649,Engine!$C$2:$C$1960,0)),"",INDEX('Compliance Database'!$B$2:$B$1960,MATCH(649,Engine!$C$2:$C$1960,0)))</f>
        <v/>
      </c>
      <c r="C662" s="8">
        <f>IF(ISNA(MATCH(649,Engine!$C$2:$C$1960,0)),"",INDEX('Compliance Database'!$C$2:$C$1960,MATCH(649,Engine!$C$2:$C$1960,0)))</f>
        <v/>
      </c>
      <c r="D662" s="9">
        <f>IF(ISNA(MATCH(649,Engine!$C$2:$C$1960,0)),"",INDEX('Compliance Database'!$D$2:$D$1960,MATCH(649,Engine!$C$2:$C$1960,0)))</f>
        <v/>
      </c>
      <c r="E662" s="8">
        <f>IF(ISNA(MATCH(649,Engine!$C$2:$C$1960,0)),"",INDEX('Compliance Database'!$E$2:$E$1960,MATCH(649,Engine!$C$2:$C$1960,0)))</f>
        <v/>
      </c>
      <c r="F662" s="8">
        <f>IF(ISNA(MATCH(649,Engine!$C$2:$C$1960,0)),"",INDEX('Compliance Database'!$F$2:$F$1960,MATCH(649,Engine!$C$2:$C$1960,0)))</f>
        <v/>
      </c>
      <c r="G662" s="8">
        <f>IF(ISNA(MATCH(649,Engine!$C$2:$C$1960,0)),"",INDEX('Compliance Database'!$G$2:$G$1960,MATCH(649,Engine!$C$2:$C$1960,0)))</f>
        <v/>
      </c>
      <c r="H662" s="9">
        <f>IF(ISNA(MATCH(649,Engine!$C$2:$C$1960,0)),"",INDEX('Compliance Database'!$H$2:$H$1960,MATCH(649,Engine!$C$2:$C$1960,0)))</f>
        <v/>
      </c>
      <c r="I662" s="9">
        <f>IF(ISNA(MATCH(649,Engine!$C$2:$C$1960,0)),"",INDEX('Compliance Database'!$I$2:$I$1960,MATCH(649,Engine!$C$2:$C$1960,0)))</f>
        <v/>
      </c>
      <c r="J662" s="8">
        <f>IF(ISNA(MATCH(649,Engine!$C$2:$C$1960,0)),"",INDEX('Compliance Database'!$J$2:$J$1960,MATCH(649,Engine!$C$2:$C$1960,0)))</f>
        <v/>
      </c>
      <c r="K662" s="9">
        <f>IF(ISNA(MATCH(649,Engine!$C$2:$C$1960,0)),"",INDEX('Compliance Database'!$K$2:$K$1960,MATCH(649,Engine!$C$2:$C$1960,0)))</f>
        <v/>
      </c>
      <c r="L662" s="9">
        <f>IF(ISNA(MATCH(649,Engine!$C$2:$C$1960,0)),"",INDEX('Compliance Database'!$L$2:$L$1960,MATCH(649,Engine!$C$2:$C$1960,0)))</f>
        <v/>
      </c>
      <c r="M662" s="9">
        <f>IF(ISNA(MATCH(649,Engine!$C$2:$C$1960,0)),"",INDEX('Compliance Database'!$M$2:$M$1960,MATCH(649,Engine!$C$2:$C$1960,0)))</f>
        <v/>
      </c>
      <c r="N662" s="9">
        <f>IF(ISNA(MATCH(649,Engine!$C$2:$C$1960,0)),"",INDEX('Compliance Database'!$N$2:$N$1960,MATCH(649,Engine!$C$2:$C$1960,0)))</f>
        <v/>
      </c>
      <c r="O662" s="9">
        <f>IF(ISNA(MATCH(649,Engine!$C$2:$C$1960,0)),"",INDEX('Compliance Database'!$O$2:$O$1960,MATCH(649,Engine!$C$2:$C$1960,0)))</f>
        <v/>
      </c>
      <c r="P662" s="8">
        <f>IF(ISNA(MATCH(649,Engine!$C$2:$C$1960,0)),"",HYPERLINK("#Acts!A"&amp;INDEX('Compliance Database'!$P$2:$P$1960,MATCH(649,Engine!$C$2:$C$1960,0)),"Go to Act"))</f>
        <v/>
      </c>
    </row>
    <row r="663" ht="158" customHeight="1">
      <c r="A663" s="8">
        <f>IF(ISNA(MATCH(650,Engine!$C$2:$C$1960,0)),"",INDEX('Compliance Database'!$A$2:$A$1960,MATCH(650,Engine!$C$2:$C$1960,0)))</f>
        <v/>
      </c>
      <c r="B663" s="8">
        <f>IF(ISNA(MATCH(650,Engine!$C$2:$C$1960,0)),"",INDEX('Compliance Database'!$B$2:$B$1960,MATCH(650,Engine!$C$2:$C$1960,0)))</f>
        <v/>
      </c>
      <c r="C663" s="8">
        <f>IF(ISNA(MATCH(650,Engine!$C$2:$C$1960,0)),"",INDEX('Compliance Database'!$C$2:$C$1960,MATCH(650,Engine!$C$2:$C$1960,0)))</f>
        <v/>
      </c>
      <c r="D663" s="9">
        <f>IF(ISNA(MATCH(650,Engine!$C$2:$C$1960,0)),"",INDEX('Compliance Database'!$D$2:$D$1960,MATCH(650,Engine!$C$2:$C$1960,0)))</f>
        <v/>
      </c>
      <c r="E663" s="8">
        <f>IF(ISNA(MATCH(650,Engine!$C$2:$C$1960,0)),"",INDEX('Compliance Database'!$E$2:$E$1960,MATCH(650,Engine!$C$2:$C$1960,0)))</f>
        <v/>
      </c>
      <c r="F663" s="8">
        <f>IF(ISNA(MATCH(650,Engine!$C$2:$C$1960,0)),"",INDEX('Compliance Database'!$F$2:$F$1960,MATCH(650,Engine!$C$2:$C$1960,0)))</f>
        <v/>
      </c>
      <c r="G663" s="8">
        <f>IF(ISNA(MATCH(650,Engine!$C$2:$C$1960,0)),"",INDEX('Compliance Database'!$G$2:$G$1960,MATCH(650,Engine!$C$2:$C$1960,0)))</f>
        <v/>
      </c>
      <c r="H663" s="9">
        <f>IF(ISNA(MATCH(650,Engine!$C$2:$C$1960,0)),"",INDEX('Compliance Database'!$H$2:$H$1960,MATCH(650,Engine!$C$2:$C$1960,0)))</f>
        <v/>
      </c>
      <c r="I663" s="9">
        <f>IF(ISNA(MATCH(650,Engine!$C$2:$C$1960,0)),"",INDEX('Compliance Database'!$I$2:$I$1960,MATCH(650,Engine!$C$2:$C$1960,0)))</f>
        <v/>
      </c>
      <c r="J663" s="8">
        <f>IF(ISNA(MATCH(650,Engine!$C$2:$C$1960,0)),"",INDEX('Compliance Database'!$J$2:$J$1960,MATCH(650,Engine!$C$2:$C$1960,0)))</f>
        <v/>
      </c>
      <c r="K663" s="9">
        <f>IF(ISNA(MATCH(650,Engine!$C$2:$C$1960,0)),"",INDEX('Compliance Database'!$K$2:$K$1960,MATCH(650,Engine!$C$2:$C$1960,0)))</f>
        <v/>
      </c>
      <c r="L663" s="9">
        <f>IF(ISNA(MATCH(650,Engine!$C$2:$C$1960,0)),"",INDEX('Compliance Database'!$L$2:$L$1960,MATCH(650,Engine!$C$2:$C$1960,0)))</f>
        <v/>
      </c>
      <c r="M663" s="9">
        <f>IF(ISNA(MATCH(650,Engine!$C$2:$C$1960,0)),"",INDEX('Compliance Database'!$M$2:$M$1960,MATCH(650,Engine!$C$2:$C$1960,0)))</f>
        <v/>
      </c>
      <c r="N663" s="9">
        <f>IF(ISNA(MATCH(650,Engine!$C$2:$C$1960,0)),"",INDEX('Compliance Database'!$N$2:$N$1960,MATCH(650,Engine!$C$2:$C$1960,0)))</f>
        <v/>
      </c>
      <c r="O663" s="9">
        <f>IF(ISNA(MATCH(650,Engine!$C$2:$C$1960,0)),"",INDEX('Compliance Database'!$O$2:$O$1960,MATCH(650,Engine!$C$2:$C$1960,0)))</f>
        <v/>
      </c>
      <c r="P663" s="8">
        <f>IF(ISNA(MATCH(650,Engine!$C$2:$C$1960,0)),"",HYPERLINK("#Acts!A"&amp;INDEX('Compliance Database'!$P$2:$P$1960,MATCH(650,Engine!$C$2:$C$1960,0)),"Go to Act"))</f>
        <v/>
      </c>
    </row>
    <row r="664" ht="158" customHeight="1">
      <c r="A664" s="8">
        <f>IF(ISNA(MATCH(651,Engine!$C$2:$C$1960,0)),"",INDEX('Compliance Database'!$A$2:$A$1960,MATCH(651,Engine!$C$2:$C$1960,0)))</f>
        <v/>
      </c>
      <c r="B664" s="8">
        <f>IF(ISNA(MATCH(651,Engine!$C$2:$C$1960,0)),"",INDEX('Compliance Database'!$B$2:$B$1960,MATCH(651,Engine!$C$2:$C$1960,0)))</f>
        <v/>
      </c>
      <c r="C664" s="8">
        <f>IF(ISNA(MATCH(651,Engine!$C$2:$C$1960,0)),"",INDEX('Compliance Database'!$C$2:$C$1960,MATCH(651,Engine!$C$2:$C$1960,0)))</f>
        <v/>
      </c>
      <c r="D664" s="9">
        <f>IF(ISNA(MATCH(651,Engine!$C$2:$C$1960,0)),"",INDEX('Compliance Database'!$D$2:$D$1960,MATCH(651,Engine!$C$2:$C$1960,0)))</f>
        <v/>
      </c>
      <c r="E664" s="8">
        <f>IF(ISNA(MATCH(651,Engine!$C$2:$C$1960,0)),"",INDEX('Compliance Database'!$E$2:$E$1960,MATCH(651,Engine!$C$2:$C$1960,0)))</f>
        <v/>
      </c>
      <c r="F664" s="8">
        <f>IF(ISNA(MATCH(651,Engine!$C$2:$C$1960,0)),"",INDEX('Compliance Database'!$F$2:$F$1960,MATCH(651,Engine!$C$2:$C$1960,0)))</f>
        <v/>
      </c>
      <c r="G664" s="8">
        <f>IF(ISNA(MATCH(651,Engine!$C$2:$C$1960,0)),"",INDEX('Compliance Database'!$G$2:$G$1960,MATCH(651,Engine!$C$2:$C$1960,0)))</f>
        <v/>
      </c>
      <c r="H664" s="9">
        <f>IF(ISNA(MATCH(651,Engine!$C$2:$C$1960,0)),"",INDEX('Compliance Database'!$H$2:$H$1960,MATCH(651,Engine!$C$2:$C$1960,0)))</f>
        <v/>
      </c>
      <c r="I664" s="9">
        <f>IF(ISNA(MATCH(651,Engine!$C$2:$C$1960,0)),"",INDEX('Compliance Database'!$I$2:$I$1960,MATCH(651,Engine!$C$2:$C$1960,0)))</f>
        <v/>
      </c>
      <c r="J664" s="8">
        <f>IF(ISNA(MATCH(651,Engine!$C$2:$C$1960,0)),"",INDEX('Compliance Database'!$J$2:$J$1960,MATCH(651,Engine!$C$2:$C$1960,0)))</f>
        <v/>
      </c>
      <c r="K664" s="9">
        <f>IF(ISNA(MATCH(651,Engine!$C$2:$C$1960,0)),"",INDEX('Compliance Database'!$K$2:$K$1960,MATCH(651,Engine!$C$2:$C$1960,0)))</f>
        <v/>
      </c>
      <c r="L664" s="9">
        <f>IF(ISNA(MATCH(651,Engine!$C$2:$C$1960,0)),"",INDEX('Compliance Database'!$L$2:$L$1960,MATCH(651,Engine!$C$2:$C$1960,0)))</f>
        <v/>
      </c>
      <c r="M664" s="9">
        <f>IF(ISNA(MATCH(651,Engine!$C$2:$C$1960,0)),"",INDEX('Compliance Database'!$M$2:$M$1960,MATCH(651,Engine!$C$2:$C$1960,0)))</f>
        <v/>
      </c>
      <c r="N664" s="9">
        <f>IF(ISNA(MATCH(651,Engine!$C$2:$C$1960,0)),"",INDEX('Compliance Database'!$N$2:$N$1960,MATCH(651,Engine!$C$2:$C$1960,0)))</f>
        <v/>
      </c>
      <c r="O664" s="9">
        <f>IF(ISNA(MATCH(651,Engine!$C$2:$C$1960,0)),"",INDEX('Compliance Database'!$O$2:$O$1960,MATCH(651,Engine!$C$2:$C$1960,0)))</f>
        <v/>
      </c>
      <c r="P664" s="8">
        <f>IF(ISNA(MATCH(651,Engine!$C$2:$C$1960,0)),"",HYPERLINK("#Acts!A"&amp;INDEX('Compliance Database'!$P$2:$P$1960,MATCH(651,Engine!$C$2:$C$1960,0)),"Go to Act"))</f>
        <v/>
      </c>
    </row>
    <row r="665" ht="158" customHeight="1">
      <c r="A665" s="8">
        <f>IF(ISNA(MATCH(652,Engine!$C$2:$C$1960,0)),"",INDEX('Compliance Database'!$A$2:$A$1960,MATCH(652,Engine!$C$2:$C$1960,0)))</f>
        <v/>
      </c>
      <c r="B665" s="8">
        <f>IF(ISNA(MATCH(652,Engine!$C$2:$C$1960,0)),"",INDEX('Compliance Database'!$B$2:$B$1960,MATCH(652,Engine!$C$2:$C$1960,0)))</f>
        <v/>
      </c>
      <c r="C665" s="8">
        <f>IF(ISNA(MATCH(652,Engine!$C$2:$C$1960,0)),"",INDEX('Compliance Database'!$C$2:$C$1960,MATCH(652,Engine!$C$2:$C$1960,0)))</f>
        <v/>
      </c>
      <c r="D665" s="9">
        <f>IF(ISNA(MATCH(652,Engine!$C$2:$C$1960,0)),"",INDEX('Compliance Database'!$D$2:$D$1960,MATCH(652,Engine!$C$2:$C$1960,0)))</f>
        <v/>
      </c>
      <c r="E665" s="8">
        <f>IF(ISNA(MATCH(652,Engine!$C$2:$C$1960,0)),"",INDEX('Compliance Database'!$E$2:$E$1960,MATCH(652,Engine!$C$2:$C$1960,0)))</f>
        <v/>
      </c>
      <c r="F665" s="8">
        <f>IF(ISNA(MATCH(652,Engine!$C$2:$C$1960,0)),"",INDEX('Compliance Database'!$F$2:$F$1960,MATCH(652,Engine!$C$2:$C$1960,0)))</f>
        <v/>
      </c>
      <c r="G665" s="8">
        <f>IF(ISNA(MATCH(652,Engine!$C$2:$C$1960,0)),"",INDEX('Compliance Database'!$G$2:$G$1960,MATCH(652,Engine!$C$2:$C$1960,0)))</f>
        <v/>
      </c>
      <c r="H665" s="9">
        <f>IF(ISNA(MATCH(652,Engine!$C$2:$C$1960,0)),"",INDEX('Compliance Database'!$H$2:$H$1960,MATCH(652,Engine!$C$2:$C$1960,0)))</f>
        <v/>
      </c>
      <c r="I665" s="9">
        <f>IF(ISNA(MATCH(652,Engine!$C$2:$C$1960,0)),"",INDEX('Compliance Database'!$I$2:$I$1960,MATCH(652,Engine!$C$2:$C$1960,0)))</f>
        <v/>
      </c>
      <c r="J665" s="8">
        <f>IF(ISNA(MATCH(652,Engine!$C$2:$C$1960,0)),"",INDEX('Compliance Database'!$J$2:$J$1960,MATCH(652,Engine!$C$2:$C$1960,0)))</f>
        <v/>
      </c>
      <c r="K665" s="9">
        <f>IF(ISNA(MATCH(652,Engine!$C$2:$C$1960,0)),"",INDEX('Compliance Database'!$K$2:$K$1960,MATCH(652,Engine!$C$2:$C$1960,0)))</f>
        <v/>
      </c>
      <c r="L665" s="9">
        <f>IF(ISNA(MATCH(652,Engine!$C$2:$C$1960,0)),"",INDEX('Compliance Database'!$L$2:$L$1960,MATCH(652,Engine!$C$2:$C$1960,0)))</f>
        <v/>
      </c>
      <c r="M665" s="9">
        <f>IF(ISNA(MATCH(652,Engine!$C$2:$C$1960,0)),"",INDEX('Compliance Database'!$M$2:$M$1960,MATCH(652,Engine!$C$2:$C$1960,0)))</f>
        <v/>
      </c>
      <c r="N665" s="9">
        <f>IF(ISNA(MATCH(652,Engine!$C$2:$C$1960,0)),"",INDEX('Compliance Database'!$N$2:$N$1960,MATCH(652,Engine!$C$2:$C$1960,0)))</f>
        <v/>
      </c>
      <c r="O665" s="9">
        <f>IF(ISNA(MATCH(652,Engine!$C$2:$C$1960,0)),"",INDEX('Compliance Database'!$O$2:$O$1960,MATCH(652,Engine!$C$2:$C$1960,0)))</f>
        <v/>
      </c>
      <c r="P665" s="8">
        <f>IF(ISNA(MATCH(652,Engine!$C$2:$C$1960,0)),"",HYPERLINK("#Acts!A"&amp;INDEX('Compliance Database'!$P$2:$P$1960,MATCH(652,Engine!$C$2:$C$1960,0)),"Go to Act"))</f>
        <v/>
      </c>
    </row>
    <row r="666" ht="158" customHeight="1">
      <c r="A666" s="8">
        <f>IF(ISNA(MATCH(653,Engine!$C$2:$C$1960,0)),"",INDEX('Compliance Database'!$A$2:$A$1960,MATCH(653,Engine!$C$2:$C$1960,0)))</f>
        <v/>
      </c>
      <c r="B666" s="8">
        <f>IF(ISNA(MATCH(653,Engine!$C$2:$C$1960,0)),"",INDEX('Compliance Database'!$B$2:$B$1960,MATCH(653,Engine!$C$2:$C$1960,0)))</f>
        <v/>
      </c>
      <c r="C666" s="8">
        <f>IF(ISNA(MATCH(653,Engine!$C$2:$C$1960,0)),"",INDEX('Compliance Database'!$C$2:$C$1960,MATCH(653,Engine!$C$2:$C$1960,0)))</f>
        <v/>
      </c>
      <c r="D666" s="9">
        <f>IF(ISNA(MATCH(653,Engine!$C$2:$C$1960,0)),"",INDEX('Compliance Database'!$D$2:$D$1960,MATCH(653,Engine!$C$2:$C$1960,0)))</f>
        <v/>
      </c>
      <c r="E666" s="8">
        <f>IF(ISNA(MATCH(653,Engine!$C$2:$C$1960,0)),"",INDEX('Compliance Database'!$E$2:$E$1960,MATCH(653,Engine!$C$2:$C$1960,0)))</f>
        <v/>
      </c>
      <c r="F666" s="8">
        <f>IF(ISNA(MATCH(653,Engine!$C$2:$C$1960,0)),"",INDEX('Compliance Database'!$F$2:$F$1960,MATCH(653,Engine!$C$2:$C$1960,0)))</f>
        <v/>
      </c>
      <c r="G666" s="8">
        <f>IF(ISNA(MATCH(653,Engine!$C$2:$C$1960,0)),"",INDEX('Compliance Database'!$G$2:$G$1960,MATCH(653,Engine!$C$2:$C$1960,0)))</f>
        <v/>
      </c>
      <c r="H666" s="9">
        <f>IF(ISNA(MATCH(653,Engine!$C$2:$C$1960,0)),"",INDEX('Compliance Database'!$H$2:$H$1960,MATCH(653,Engine!$C$2:$C$1960,0)))</f>
        <v/>
      </c>
      <c r="I666" s="9">
        <f>IF(ISNA(MATCH(653,Engine!$C$2:$C$1960,0)),"",INDEX('Compliance Database'!$I$2:$I$1960,MATCH(653,Engine!$C$2:$C$1960,0)))</f>
        <v/>
      </c>
      <c r="J666" s="8">
        <f>IF(ISNA(MATCH(653,Engine!$C$2:$C$1960,0)),"",INDEX('Compliance Database'!$J$2:$J$1960,MATCH(653,Engine!$C$2:$C$1960,0)))</f>
        <v/>
      </c>
      <c r="K666" s="9">
        <f>IF(ISNA(MATCH(653,Engine!$C$2:$C$1960,0)),"",INDEX('Compliance Database'!$K$2:$K$1960,MATCH(653,Engine!$C$2:$C$1960,0)))</f>
        <v/>
      </c>
      <c r="L666" s="9">
        <f>IF(ISNA(MATCH(653,Engine!$C$2:$C$1960,0)),"",INDEX('Compliance Database'!$L$2:$L$1960,MATCH(653,Engine!$C$2:$C$1960,0)))</f>
        <v/>
      </c>
      <c r="M666" s="9">
        <f>IF(ISNA(MATCH(653,Engine!$C$2:$C$1960,0)),"",INDEX('Compliance Database'!$M$2:$M$1960,MATCH(653,Engine!$C$2:$C$1960,0)))</f>
        <v/>
      </c>
      <c r="N666" s="9">
        <f>IF(ISNA(MATCH(653,Engine!$C$2:$C$1960,0)),"",INDEX('Compliance Database'!$N$2:$N$1960,MATCH(653,Engine!$C$2:$C$1960,0)))</f>
        <v/>
      </c>
      <c r="O666" s="9">
        <f>IF(ISNA(MATCH(653,Engine!$C$2:$C$1960,0)),"",INDEX('Compliance Database'!$O$2:$O$1960,MATCH(653,Engine!$C$2:$C$1960,0)))</f>
        <v/>
      </c>
      <c r="P666" s="8">
        <f>IF(ISNA(MATCH(653,Engine!$C$2:$C$1960,0)),"",HYPERLINK("#Acts!A"&amp;INDEX('Compliance Database'!$P$2:$P$1960,MATCH(653,Engine!$C$2:$C$1960,0)),"Go to Act"))</f>
        <v/>
      </c>
    </row>
    <row r="667" ht="158" customHeight="1">
      <c r="A667" s="8">
        <f>IF(ISNA(MATCH(654,Engine!$C$2:$C$1960,0)),"",INDEX('Compliance Database'!$A$2:$A$1960,MATCH(654,Engine!$C$2:$C$1960,0)))</f>
        <v/>
      </c>
      <c r="B667" s="8">
        <f>IF(ISNA(MATCH(654,Engine!$C$2:$C$1960,0)),"",INDEX('Compliance Database'!$B$2:$B$1960,MATCH(654,Engine!$C$2:$C$1960,0)))</f>
        <v/>
      </c>
      <c r="C667" s="8">
        <f>IF(ISNA(MATCH(654,Engine!$C$2:$C$1960,0)),"",INDEX('Compliance Database'!$C$2:$C$1960,MATCH(654,Engine!$C$2:$C$1960,0)))</f>
        <v/>
      </c>
      <c r="D667" s="9">
        <f>IF(ISNA(MATCH(654,Engine!$C$2:$C$1960,0)),"",INDEX('Compliance Database'!$D$2:$D$1960,MATCH(654,Engine!$C$2:$C$1960,0)))</f>
        <v/>
      </c>
      <c r="E667" s="8">
        <f>IF(ISNA(MATCH(654,Engine!$C$2:$C$1960,0)),"",INDEX('Compliance Database'!$E$2:$E$1960,MATCH(654,Engine!$C$2:$C$1960,0)))</f>
        <v/>
      </c>
      <c r="F667" s="8">
        <f>IF(ISNA(MATCH(654,Engine!$C$2:$C$1960,0)),"",INDEX('Compliance Database'!$F$2:$F$1960,MATCH(654,Engine!$C$2:$C$1960,0)))</f>
        <v/>
      </c>
      <c r="G667" s="8">
        <f>IF(ISNA(MATCH(654,Engine!$C$2:$C$1960,0)),"",INDEX('Compliance Database'!$G$2:$G$1960,MATCH(654,Engine!$C$2:$C$1960,0)))</f>
        <v/>
      </c>
      <c r="H667" s="9">
        <f>IF(ISNA(MATCH(654,Engine!$C$2:$C$1960,0)),"",INDEX('Compliance Database'!$H$2:$H$1960,MATCH(654,Engine!$C$2:$C$1960,0)))</f>
        <v/>
      </c>
      <c r="I667" s="9">
        <f>IF(ISNA(MATCH(654,Engine!$C$2:$C$1960,0)),"",INDEX('Compliance Database'!$I$2:$I$1960,MATCH(654,Engine!$C$2:$C$1960,0)))</f>
        <v/>
      </c>
      <c r="J667" s="8">
        <f>IF(ISNA(MATCH(654,Engine!$C$2:$C$1960,0)),"",INDEX('Compliance Database'!$J$2:$J$1960,MATCH(654,Engine!$C$2:$C$1960,0)))</f>
        <v/>
      </c>
      <c r="K667" s="9">
        <f>IF(ISNA(MATCH(654,Engine!$C$2:$C$1960,0)),"",INDEX('Compliance Database'!$K$2:$K$1960,MATCH(654,Engine!$C$2:$C$1960,0)))</f>
        <v/>
      </c>
      <c r="L667" s="9">
        <f>IF(ISNA(MATCH(654,Engine!$C$2:$C$1960,0)),"",INDEX('Compliance Database'!$L$2:$L$1960,MATCH(654,Engine!$C$2:$C$1960,0)))</f>
        <v/>
      </c>
      <c r="M667" s="9">
        <f>IF(ISNA(MATCH(654,Engine!$C$2:$C$1960,0)),"",INDEX('Compliance Database'!$M$2:$M$1960,MATCH(654,Engine!$C$2:$C$1960,0)))</f>
        <v/>
      </c>
      <c r="N667" s="9">
        <f>IF(ISNA(MATCH(654,Engine!$C$2:$C$1960,0)),"",INDEX('Compliance Database'!$N$2:$N$1960,MATCH(654,Engine!$C$2:$C$1960,0)))</f>
        <v/>
      </c>
      <c r="O667" s="9">
        <f>IF(ISNA(MATCH(654,Engine!$C$2:$C$1960,0)),"",INDEX('Compliance Database'!$O$2:$O$1960,MATCH(654,Engine!$C$2:$C$1960,0)))</f>
        <v/>
      </c>
      <c r="P667" s="8">
        <f>IF(ISNA(MATCH(654,Engine!$C$2:$C$1960,0)),"",HYPERLINK("#Acts!A"&amp;INDEX('Compliance Database'!$P$2:$P$1960,MATCH(654,Engine!$C$2:$C$1960,0)),"Go to Act"))</f>
        <v/>
      </c>
    </row>
    <row r="668" ht="158" customHeight="1">
      <c r="A668" s="8">
        <f>IF(ISNA(MATCH(655,Engine!$C$2:$C$1960,0)),"",INDEX('Compliance Database'!$A$2:$A$1960,MATCH(655,Engine!$C$2:$C$1960,0)))</f>
        <v/>
      </c>
      <c r="B668" s="8">
        <f>IF(ISNA(MATCH(655,Engine!$C$2:$C$1960,0)),"",INDEX('Compliance Database'!$B$2:$B$1960,MATCH(655,Engine!$C$2:$C$1960,0)))</f>
        <v/>
      </c>
      <c r="C668" s="8">
        <f>IF(ISNA(MATCH(655,Engine!$C$2:$C$1960,0)),"",INDEX('Compliance Database'!$C$2:$C$1960,MATCH(655,Engine!$C$2:$C$1960,0)))</f>
        <v/>
      </c>
      <c r="D668" s="9">
        <f>IF(ISNA(MATCH(655,Engine!$C$2:$C$1960,0)),"",INDEX('Compliance Database'!$D$2:$D$1960,MATCH(655,Engine!$C$2:$C$1960,0)))</f>
        <v/>
      </c>
      <c r="E668" s="8">
        <f>IF(ISNA(MATCH(655,Engine!$C$2:$C$1960,0)),"",INDEX('Compliance Database'!$E$2:$E$1960,MATCH(655,Engine!$C$2:$C$1960,0)))</f>
        <v/>
      </c>
      <c r="F668" s="8">
        <f>IF(ISNA(MATCH(655,Engine!$C$2:$C$1960,0)),"",INDEX('Compliance Database'!$F$2:$F$1960,MATCH(655,Engine!$C$2:$C$1960,0)))</f>
        <v/>
      </c>
      <c r="G668" s="8">
        <f>IF(ISNA(MATCH(655,Engine!$C$2:$C$1960,0)),"",INDEX('Compliance Database'!$G$2:$G$1960,MATCH(655,Engine!$C$2:$C$1960,0)))</f>
        <v/>
      </c>
      <c r="H668" s="9">
        <f>IF(ISNA(MATCH(655,Engine!$C$2:$C$1960,0)),"",INDEX('Compliance Database'!$H$2:$H$1960,MATCH(655,Engine!$C$2:$C$1960,0)))</f>
        <v/>
      </c>
      <c r="I668" s="9">
        <f>IF(ISNA(MATCH(655,Engine!$C$2:$C$1960,0)),"",INDEX('Compliance Database'!$I$2:$I$1960,MATCH(655,Engine!$C$2:$C$1960,0)))</f>
        <v/>
      </c>
      <c r="J668" s="8">
        <f>IF(ISNA(MATCH(655,Engine!$C$2:$C$1960,0)),"",INDEX('Compliance Database'!$J$2:$J$1960,MATCH(655,Engine!$C$2:$C$1960,0)))</f>
        <v/>
      </c>
      <c r="K668" s="9">
        <f>IF(ISNA(MATCH(655,Engine!$C$2:$C$1960,0)),"",INDEX('Compliance Database'!$K$2:$K$1960,MATCH(655,Engine!$C$2:$C$1960,0)))</f>
        <v/>
      </c>
      <c r="L668" s="9">
        <f>IF(ISNA(MATCH(655,Engine!$C$2:$C$1960,0)),"",INDEX('Compliance Database'!$L$2:$L$1960,MATCH(655,Engine!$C$2:$C$1960,0)))</f>
        <v/>
      </c>
      <c r="M668" s="9">
        <f>IF(ISNA(MATCH(655,Engine!$C$2:$C$1960,0)),"",INDEX('Compliance Database'!$M$2:$M$1960,MATCH(655,Engine!$C$2:$C$1960,0)))</f>
        <v/>
      </c>
      <c r="N668" s="9">
        <f>IF(ISNA(MATCH(655,Engine!$C$2:$C$1960,0)),"",INDEX('Compliance Database'!$N$2:$N$1960,MATCH(655,Engine!$C$2:$C$1960,0)))</f>
        <v/>
      </c>
      <c r="O668" s="9">
        <f>IF(ISNA(MATCH(655,Engine!$C$2:$C$1960,0)),"",INDEX('Compliance Database'!$O$2:$O$1960,MATCH(655,Engine!$C$2:$C$1960,0)))</f>
        <v/>
      </c>
      <c r="P668" s="8">
        <f>IF(ISNA(MATCH(655,Engine!$C$2:$C$1960,0)),"",HYPERLINK("#Acts!A"&amp;INDEX('Compliance Database'!$P$2:$P$1960,MATCH(655,Engine!$C$2:$C$1960,0)),"Go to Act"))</f>
        <v/>
      </c>
    </row>
    <row r="669" ht="158" customHeight="1">
      <c r="A669" s="8">
        <f>IF(ISNA(MATCH(656,Engine!$C$2:$C$1960,0)),"",INDEX('Compliance Database'!$A$2:$A$1960,MATCH(656,Engine!$C$2:$C$1960,0)))</f>
        <v/>
      </c>
      <c r="B669" s="8">
        <f>IF(ISNA(MATCH(656,Engine!$C$2:$C$1960,0)),"",INDEX('Compliance Database'!$B$2:$B$1960,MATCH(656,Engine!$C$2:$C$1960,0)))</f>
        <v/>
      </c>
      <c r="C669" s="8">
        <f>IF(ISNA(MATCH(656,Engine!$C$2:$C$1960,0)),"",INDEX('Compliance Database'!$C$2:$C$1960,MATCH(656,Engine!$C$2:$C$1960,0)))</f>
        <v/>
      </c>
      <c r="D669" s="9">
        <f>IF(ISNA(MATCH(656,Engine!$C$2:$C$1960,0)),"",INDEX('Compliance Database'!$D$2:$D$1960,MATCH(656,Engine!$C$2:$C$1960,0)))</f>
        <v/>
      </c>
      <c r="E669" s="8">
        <f>IF(ISNA(MATCH(656,Engine!$C$2:$C$1960,0)),"",INDEX('Compliance Database'!$E$2:$E$1960,MATCH(656,Engine!$C$2:$C$1960,0)))</f>
        <v/>
      </c>
      <c r="F669" s="8">
        <f>IF(ISNA(MATCH(656,Engine!$C$2:$C$1960,0)),"",INDEX('Compliance Database'!$F$2:$F$1960,MATCH(656,Engine!$C$2:$C$1960,0)))</f>
        <v/>
      </c>
      <c r="G669" s="8">
        <f>IF(ISNA(MATCH(656,Engine!$C$2:$C$1960,0)),"",INDEX('Compliance Database'!$G$2:$G$1960,MATCH(656,Engine!$C$2:$C$1960,0)))</f>
        <v/>
      </c>
      <c r="H669" s="9">
        <f>IF(ISNA(MATCH(656,Engine!$C$2:$C$1960,0)),"",INDEX('Compliance Database'!$H$2:$H$1960,MATCH(656,Engine!$C$2:$C$1960,0)))</f>
        <v/>
      </c>
      <c r="I669" s="9">
        <f>IF(ISNA(MATCH(656,Engine!$C$2:$C$1960,0)),"",INDEX('Compliance Database'!$I$2:$I$1960,MATCH(656,Engine!$C$2:$C$1960,0)))</f>
        <v/>
      </c>
      <c r="J669" s="8">
        <f>IF(ISNA(MATCH(656,Engine!$C$2:$C$1960,0)),"",INDEX('Compliance Database'!$J$2:$J$1960,MATCH(656,Engine!$C$2:$C$1960,0)))</f>
        <v/>
      </c>
      <c r="K669" s="9">
        <f>IF(ISNA(MATCH(656,Engine!$C$2:$C$1960,0)),"",INDEX('Compliance Database'!$K$2:$K$1960,MATCH(656,Engine!$C$2:$C$1960,0)))</f>
        <v/>
      </c>
      <c r="L669" s="9">
        <f>IF(ISNA(MATCH(656,Engine!$C$2:$C$1960,0)),"",INDEX('Compliance Database'!$L$2:$L$1960,MATCH(656,Engine!$C$2:$C$1960,0)))</f>
        <v/>
      </c>
      <c r="M669" s="9">
        <f>IF(ISNA(MATCH(656,Engine!$C$2:$C$1960,0)),"",INDEX('Compliance Database'!$M$2:$M$1960,MATCH(656,Engine!$C$2:$C$1960,0)))</f>
        <v/>
      </c>
      <c r="N669" s="9">
        <f>IF(ISNA(MATCH(656,Engine!$C$2:$C$1960,0)),"",INDEX('Compliance Database'!$N$2:$N$1960,MATCH(656,Engine!$C$2:$C$1960,0)))</f>
        <v/>
      </c>
      <c r="O669" s="9">
        <f>IF(ISNA(MATCH(656,Engine!$C$2:$C$1960,0)),"",INDEX('Compliance Database'!$O$2:$O$1960,MATCH(656,Engine!$C$2:$C$1960,0)))</f>
        <v/>
      </c>
      <c r="P669" s="8">
        <f>IF(ISNA(MATCH(656,Engine!$C$2:$C$1960,0)),"",HYPERLINK("#Acts!A"&amp;INDEX('Compliance Database'!$P$2:$P$1960,MATCH(656,Engine!$C$2:$C$1960,0)),"Go to Act"))</f>
        <v/>
      </c>
    </row>
    <row r="670" ht="158" customHeight="1">
      <c r="A670" s="8">
        <f>IF(ISNA(MATCH(657,Engine!$C$2:$C$1960,0)),"",INDEX('Compliance Database'!$A$2:$A$1960,MATCH(657,Engine!$C$2:$C$1960,0)))</f>
        <v/>
      </c>
      <c r="B670" s="8">
        <f>IF(ISNA(MATCH(657,Engine!$C$2:$C$1960,0)),"",INDEX('Compliance Database'!$B$2:$B$1960,MATCH(657,Engine!$C$2:$C$1960,0)))</f>
        <v/>
      </c>
      <c r="C670" s="8">
        <f>IF(ISNA(MATCH(657,Engine!$C$2:$C$1960,0)),"",INDEX('Compliance Database'!$C$2:$C$1960,MATCH(657,Engine!$C$2:$C$1960,0)))</f>
        <v/>
      </c>
      <c r="D670" s="9">
        <f>IF(ISNA(MATCH(657,Engine!$C$2:$C$1960,0)),"",INDEX('Compliance Database'!$D$2:$D$1960,MATCH(657,Engine!$C$2:$C$1960,0)))</f>
        <v/>
      </c>
      <c r="E670" s="8">
        <f>IF(ISNA(MATCH(657,Engine!$C$2:$C$1960,0)),"",INDEX('Compliance Database'!$E$2:$E$1960,MATCH(657,Engine!$C$2:$C$1960,0)))</f>
        <v/>
      </c>
      <c r="F670" s="8">
        <f>IF(ISNA(MATCH(657,Engine!$C$2:$C$1960,0)),"",INDEX('Compliance Database'!$F$2:$F$1960,MATCH(657,Engine!$C$2:$C$1960,0)))</f>
        <v/>
      </c>
      <c r="G670" s="8">
        <f>IF(ISNA(MATCH(657,Engine!$C$2:$C$1960,0)),"",INDEX('Compliance Database'!$G$2:$G$1960,MATCH(657,Engine!$C$2:$C$1960,0)))</f>
        <v/>
      </c>
      <c r="H670" s="9">
        <f>IF(ISNA(MATCH(657,Engine!$C$2:$C$1960,0)),"",INDEX('Compliance Database'!$H$2:$H$1960,MATCH(657,Engine!$C$2:$C$1960,0)))</f>
        <v/>
      </c>
      <c r="I670" s="9">
        <f>IF(ISNA(MATCH(657,Engine!$C$2:$C$1960,0)),"",INDEX('Compliance Database'!$I$2:$I$1960,MATCH(657,Engine!$C$2:$C$1960,0)))</f>
        <v/>
      </c>
      <c r="J670" s="8">
        <f>IF(ISNA(MATCH(657,Engine!$C$2:$C$1960,0)),"",INDEX('Compliance Database'!$J$2:$J$1960,MATCH(657,Engine!$C$2:$C$1960,0)))</f>
        <v/>
      </c>
      <c r="K670" s="9">
        <f>IF(ISNA(MATCH(657,Engine!$C$2:$C$1960,0)),"",INDEX('Compliance Database'!$K$2:$K$1960,MATCH(657,Engine!$C$2:$C$1960,0)))</f>
        <v/>
      </c>
      <c r="L670" s="9">
        <f>IF(ISNA(MATCH(657,Engine!$C$2:$C$1960,0)),"",INDEX('Compliance Database'!$L$2:$L$1960,MATCH(657,Engine!$C$2:$C$1960,0)))</f>
        <v/>
      </c>
      <c r="M670" s="9">
        <f>IF(ISNA(MATCH(657,Engine!$C$2:$C$1960,0)),"",INDEX('Compliance Database'!$M$2:$M$1960,MATCH(657,Engine!$C$2:$C$1960,0)))</f>
        <v/>
      </c>
      <c r="N670" s="9">
        <f>IF(ISNA(MATCH(657,Engine!$C$2:$C$1960,0)),"",INDEX('Compliance Database'!$N$2:$N$1960,MATCH(657,Engine!$C$2:$C$1960,0)))</f>
        <v/>
      </c>
      <c r="O670" s="9">
        <f>IF(ISNA(MATCH(657,Engine!$C$2:$C$1960,0)),"",INDEX('Compliance Database'!$O$2:$O$1960,MATCH(657,Engine!$C$2:$C$1960,0)))</f>
        <v/>
      </c>
      <c r="P670" s="8">
        <f>IF(ISNA(MATCH(657,Engine!$C$2:$C$1960,0)),"",HYPERLINK("#Acts!A"&amp;INDEX('Compliance Database'!$P$2:$P$1960,MATCH(657,Engine!$C$2:$C$1960,0)),"Go to Act"))</f>
        <v/>
      </c>
    </row>
    <row r="671" ht="158" customHeight="1">
      <c r="A671" s="8">
        <f>IF(ISNA(MATCH(658,Engine!$C$2:$C$1960,0)),"",INDEX('Compliance Database'!$A$2:$A$1960,MATCH(658,Engine!$C$2:$C$1960,0)))</f>
        <v/>
      </c>
      <c r="B671" s="8">
        <f>IF(ISNA(MATCH(658,Engine!$C$2:$C$1960,0)),"",INDEX('Compliance Database'!$B$2:$B$1960,MATCH(658,Engine!$C$2:$C$1960,0)))</f>
        <v/>
      </c>
      <c r="C671" s="8">
        <f>IF(ISNA(MATCH(658,Engine!$C$2:$C$1960,0)),"",INDEX('Compliance Database'!$C$2:$C$1960,MATCH(658,Engine!$C$2:$C$1960,0)))</f>
        <v/>
      </c>
      <c r="D671" s="9">
        <f>IF(ISNA(MATCH(658,Engine!$C$2:$C$1960,0)),"",INDEX('Compliance Database'!$D$2:$D$1960,MATCH(658,Engine!$C$2:$C$1960,0)))</f>
        <v/>
      </c>
      <c r="E671" s="8">
        <f>IF(ISNA(MATCH(658,Engine!$C$2:$C$1960,0)),"",INDEX('Compliance Database'!$E$2:$E$1960,MATCH(658,Engine!$C$2:$C$1960,0)))</f>
        <v/>
      </c>
      <c r="F671" s="8">
        <f>IF(ISNA(MATCH(658,Engine!$C$2:$C$1960,0)),"",INDEX('Compliance Database'!$F$2:$F$1960,MATCH(658,Engine!$C$2:$C$1960,0)))</f>
        <v/>
      </c>
      <c r="G671" s="8">
        <f>IF(ISNA(MATCH(658,Engine!$C$2:$C$1960,0)),"",INDEX('Compliance Database'!$G$2:$G$1960,MATCH(658,Engine!$C$2:$C$1960,0)))</f>
        <v/>
      </c>
      <c r="H671" s="9">
        <f>IF(ISNA(MATCH(658,Engine!$C$2:$C$1960,0)),"",INDEX('Compliance Database'!$H$2:$H$1960,MATCH(658,Engine!$C$2:$C$1960,0)))</f>
        <v/>
      </c>
      <c r="I671" s="9">
        <f>IF(ISNA(MATCH(658,Engine!$C$2:$C$1960,0)),"",INDEX('Compliance Database'!$I$2:$I$1960,MATCH(658,Engine!$C$2:$C$1960,0)))</f>
        <v/>
      </c>
      <c r="J671" s="8">
        <f>IF(ISNA(MATCH(658,Engine!$C$2:$C$1960,0)),"",INDEX('Compliance Database'!$J$2:$J$1960,MATCH(658,Engine!$C$2:$C$1960,0)))</f>
        <v/>
      </c>
      <c r="K671" s="9">
        <f>IF(ISNA(MATCH(658,Engine!$C$2:$C$1960,0)),"",INDEX('Compliance Database'!$K$2:$K$1960,MATCH(658,Engine!$C$2:$C$1960,0)))</f>
        <v/>
      </c>
      <c r="L671" s="9">
        <f>IF(ISNA(MATCH(658,Engine!$C$2:$C$1960,0)),"",INDEX('Compliance Database'!$L$2:$L$1960,MATCH(658,Engine!$C$2:$C$1960,0)))</f>
        <v/>
      </c>
      <c r="M671" s="9">
        <f>IF(ISNA(MATCH(658,Engine!$C$2:$C$1960,0)),"",INDEX('Compliance Database'!$M$2:$M$1960,MATCH(658,Engine!$C$2:$C$1960,0)))</f>
        <v/>
      </c>
      <c r="N671" s="9">
        <f>IF(ISNA(MATCH(658,Engine!$C$2:$C$1960,0)),"",INDEX('Compliance Database'!$N$2:$N$1960,MATCH(658,Engine!$C$2:$C$1960,0)))</f>
        <v/>
      </c>
      <c r="O671" s="9">
        <f>IF(ISNA(MATCH(658,Engine!$C$2:$C$1960,0)),"",INDEX('Compliance Database'!$O$2:$O$1960,MATCH(658,Engine!$C$2:$C$1960,0)))</f>
        <v/>
      </c>
      <c r="P671" s="8">
        <f>IF(ISNA(MATCH(658,Engine!$C$2:$C$1960,0)),"",HYPERLINK("#Acts!A"&amp;INDEX('Compliance Database'!$P$2:$P$1960,MATCH(658,Engine!$C$2:$C$1960,0)),"Go to Act"))</f>
        <v/>
      </c>
    </row>
    <row r="672" ht="158" customHeight="1">
      <c r="A672" s="8">
        <f>IF(ISNA(MATCH(659,Engine!$C$2:$C$1960,0)),"",INDEX('Compliance Database'!$A$2:$A$1960,MATCH(659,Engine!$C$2:$C$1960,0)))</f>
        <v/>
      </c>
      <c r="B672" s="8">
        <f>IF(ISNA(MATCH(659,Engine!$C$2:$C$1960,0)),"",INDEX('Compliance Database'!$B$2:$B$1960,MATCH(659,Engine!$C$2:$C$1960,0)))</f>
        <v/>
      </c>
      <c r="C672" s="8">
        <f>IF(ISNA(MATCH(659,Engine!$C$2:$C$1960,0)),"",INDEX('Compliance Database'!$C$2:$C$1960,MATCH(659,Engine!$C$2:$C$1960,0)))</f>
        <v/>
      </c>
      <c r="D672" s="9">
        <f>IF(ISNA(MATCH(659,Engine!$C$2:$C$1960,0)),"",INDEX('Compliance Database'!$D$2:$D$1960,MATCH(659,Engine!$C$2:$C$1960,0)))</f>
        <v/>
      </c>
      <c r="E672" s="8">
        <f>IF(ISNA(MATCH(659,Engine!$C$2:$C$1960,0)),"",INDEX('Compliance Database'!$E$2:$E$1960,MATCH(659,Engine!$C$2:$C$1960,0)))</f>
        <v/>
      </c>
      <c r="F672" s="8">
        <f>IF(ISNA(MATCH(659,Engine!$C$2:$C$1960,0)),"",INDEX('Compliance Database'!$F$2:$F$1960,MATCH(659,Engine!$C$2:$C$1960,0)))</f>
        <v/>
      </c>
      <c r="G672" s="8">
        <f>IF(ISNA(MATCH(659,Engine!$C$2:$C$1960,0)),"",INDEX('Compliance Database'!$G$2:$G$1960,MATCH(659,Engine!$C$2:$C$1960,0)))</f>
        <v/>
      </c>
      <c r="H672" s="9">
        <f>IF(ISNA(MATCH(659,Engine!$C$2:$C$1960,0)),"",INDEX('Compliance Database'!$H$2:$H$1960,MATCH(659,Engine!$C$2:$C$1960,0)))</f>
        <v/>
      </c>
      <c r="I672" s="9">
        <f>IF(ISNA(MATCH(659,Engine!$C$2:$C$1960,0)),"",INDEX('Compliance Database'!$I$2:$I$1960,MATCH(659,Engine!$C$2:$C$1960,0)))</f>
        <v/>
      </c>
      <c r="J672" s="8">
        <f>IF(ISNA(MATCH(659,Engine!$C$2:$C$1960,0)),"",INDEX('Compliance Database'!$J$2:$J$1960,MATCH(659,Engine!$C$2:$C$1960,0)))</f>
        <v/>
      </c>
      <c r="K672" s="9">
        <f>IF(ISNA(MATCH(659,Engine!$C$2:$C$1960,0)),"",INDEX('Compliance Database'!$K$2:$K$1960,MATCH(659,Engine!$C$2:$C$1960,0)))</f>
        <v/>
      </c>
      <c r="L672" s="9">
        <f>IF(ISNA(MATCH(659,Engine!$C$2:$C$1960,0)),"",INDEX('Compliance Database'!$L$2:$L$1960,MATCH(659,Engine!$C$2:$C$1960,0)))</f>
        <v/>
      </c>
      <c r="M672" s="9">
        <f>IF(ISNA(MATCH(659,Engine!$C$2:$C$1960,0)),"",INDEX('Compliance Database'!$M$2:$M$1960,MATCH(659,Engine!$C$2:$C$1960,0)))</f>
        <v/>
      </c>
      <c r="N672" s="9">
        <f>IF(ISNA(MATCH(659,Engine!$C$2:$C$1960,0)),"",INDEX('Compliance Database'!$N$2:$N$1960,MATCH(659,Engine!$C$2:$C$1960,0)))</f>
        <v/>
      </c>
      <c r="O672" s="9">
        <f>IF(ISNA(MATCH(659,Engine!$C$2:$C$1960,0)),"",INDEX('Compliance Database'!$O$2:$O$1960,MATCH(659,Engine!$C$2:$C$1960,0)))</f>
        <v/>
      </c>
      <c r="P672" s="8">
        <f>IF(ISNA(MATCH(659,Engine!$C$2:$C$1960,0)),"",HYPERLINK("#Acts!A"&amp;INDEX('Compliance Database'!$P$2:$P$1960,MATCH(659,Engine!$C$2:$C$1960,0)),"Go to Act"))</f>
        <v/>
      </c>
    </row>
    <row r="673" ht="158" customHeight="1">
      <c r="A673" s="8">
        <f>IF(ISNA(MATCH(660,Engine!$C$2:$C$1960,0)),"",INDEX('Compliance Database'!$A$2:$A$1960,MATCH(660,Engine!$C$2:$C$1960,0)))</f>
        <v/>
      </c>
      <c r="B673" s="8">
        <f>IF(ISNA(MATCH(660,Engine!$C$2:$C$1960,0)),"",INDEX('Compliance Database'!$B$2:$B$1960,MATCH(660,Engine!$C$2:$C$1960,0)))</f>
        <v/>
      </c>
      <c r="C673" s="8">
        <f>IF(ISNA(MATCH(660,Engine!$C$2:$C$1960,0)),"",INDEX('Compliance Database'!$C$2:$C$1960,MATCH(660,Engine!$C$2:$C$1960,0)))</f>
        <v/>
      </c>
      <c r="D673" s="9">
        <f>IF(ISNA(MATCH(660,Engine!$C$2:$C$1960,0)),"",INDEX('Compliance Database'!$D$2:$D$1960,MATCH(660,Engine!$C$2:$C$1960,0)))</f>
        <v/>
      </c>
      <c r="E673" s="8">
        <f>IF(ISNA(MATCH(660,Engine!$C$2:$C$1960,0)),"",INDEX('Compliance Database'!$E$2:$E$1960,MATCH(660,Engine!$C$2:$C$1960,0)))</f>
        <v/>
      </c>
      <c r="F673" s="8">
        <f>IF(ISNA(MATCH(660,Engine!$C$2:$C$1960,0)),"",INDEX('Compliance Database'!$F$2:$F$1960,MATCH(660,Engine!$C$2:$C$1960,0)))</f>
        <v/>
      </c>
      <c r="G673" s="8">
        <f>IF(ISNA(MATCH(660,Engine!$C$2:$C$1960,0)),"",INDEX('Compliance Database'!$G$2:$G$1960,MATCH(660,Engine!$C$2:$C$1960,0)))</f>
        <v/>
      </c>
      <c r="H673" s="9">
        <f>IF(ISNA(MATCH(660,Engine!$C$2:$C$1960,0)),"",INDEX('Compliance Database'!$H$2:$H$1960,MATCH(660,Engine!$C$2:$C$1960,0)))</f>
        <v/>
      </c>
      <c r="I673" s="9">
        <f>IF(ISNA(MATCH(660,Engine!$C$2:$C$1960,0)),"",INDEX('Compliance Database'!$I$2:$I$1960,MATCH(660,Engine!$C$2:$C$1960,0)))</f>
        <v/>
      </c>
      <c r="J673" s="8">
        <f>IF(ISNA(MATCH(660,Engine!$C$2:$C$1960,0)),"",INDEX('Compliance Database'!$J$2:$J$1960,MATCH(660,Engine!$C$2:$C$1960,0)))</f>
        <v/>
      </c>
      <c r="K673" s="9">
        <f>IF(ISNA(MATCH(660,Engine!$C$2:$C$1960,0)),"",INDEX('Compliance Database'!$K$2:$K$1960,MATCH(660,Engine!$C$2:$C$1960,0)))</f>
        <v/>
      </c>
      <c r="L673" s="9">
        <f>IF(ISNA(MATCH(660,Engine!$C$2:$C$1960,0)),"",INDEX('Compliance Database'!$L$2:$L$1960,MATCH(660,Engine!$C$2:$C$1960,0)))</f>
        <v/>
      </c>
      <c r="M673" s="9">
        <f>IF(ISNA(MATCH(660,Engine!$C$2:$C$1960,0)),"",INDEX('Compliance Database'!$M$2:$M$1960,MATCH(660,Engine!$C$2:$C$1960,0)))</f>
        <v/>
      </c>
      <c r="N673" s="9">
        <f>IF(ISNA(MATCH(660,Engine!$C$2:$C$1960,0)),"",INDEX('Compliance Database'!$N$2:$N$1960,MATCH(660,Engine!$C$2:$C$1960,0)))</f>
        <v/>
      </c>
      <c r="O673" s="9">
        <f>IF(ISNA(MATCH(660,Engine!$C$2:$C$1960,0)),"",INDEX('Compliance Database'!$O$2:$O$1960,MATCH(660,Engine!$C$2:$C$1960,0)))</f>
        <v/>
      </c>
      <c r="P673" s="8">
        <f>IF(ISNA(MATCH(660,Engine!$C$2:$C$1960,0)),"",HYPERLINK("#Acts!A"&amp;INDEX('Compliance Database'!$P$2:$P$1960,MATCH(660,Engine!$C$2:$C$1960,0)),"Go to Act"))</f>
        <v/>
      </c>
    </row>
    <row r="674" ht="158" customHeight="1">
      <c r="A674" s="8">
        <f>IF(ISNA(MATCH(661,Engine!$C$2:$C$1960,0)),"",INDEX('Compliance Database'!$A$2:$A$1960,MATCH(661,Engine!$C$2:$C$1960,0)))</f>
        <v/>
      </c>
      <c r="B674" s="8">
        <f>IF(ISNA(MATCH(661,Engine!$C$2:$C$1960,0)),"",INDEX('Compliance Database'!$B$2:$B$1960,MATCH(661,Engine!$C$2:$C$1960,0)))</f>
        <v/>
      </c>
      <c r="C674" s="8">
        <f>IF(ISNA(MATCH(661,Engine!$C$2:$C$1960,0)),"",INDEX('Compliance Database'!$C$2:$C$1960,MATCH(661,Engine!$C$2:$C$1960,0)))</f>
        <v/>
      </c>
      <c r="D674" s="9">
        <f>IF(ISNA(MATCH(661,Engine!$C$2:$C$1960,0)),"",INDEX('Compliance Database'!$D$2:$D$1960,MATCH(661,Engine!$C$2:$C$1960,0)))</f>
        <v/>
      </c>
      <c r="E674" s="8">
        <f>IF(ISNA(MATCH(661,Engine!$C$2:$C$1960,0)),"",INDEX('Compliance Database'!$E$2:$E$1960,MATCH(661,Engine!$C$2:$C$1960,0)))</f>
        <v/>
      </c>
      <c r="F674" s="8">
        <f>IF(ISNA(MATCH(661,Engine!$C$2:$C$1960,0)),"",INDEX('Compliance Database'!$F$2:$F$1960,MATCH(661,Engine!$C$2:$C$1960,0)))</f>
        <v/>
      </c>
      <c r="G674" s="8">
        <f>IF(ISNA(MATCH(661,Engine!$C$2:$C$1960,0)),"",INDEX('Compliance Database'!$G$2:$G$1960,MATCH(661,Engine!$C$2:$C$1960,0)))</f>
        <v/>
      </c>
      <c r="H674" s="9">
        <f>IF(ISNA(MATCH(661,Engine!$C$2:$C$1960,0)),"",INDEX('Compliance Database'!$H$2:$H$1960,MATCH(661,Engine!$C$2:$C$1960,0)))</f>
        <v/>
      </c>
      <c r="I674" s="9">
        <f>IF(ISNA(MATCH(661,Engine!$C$2:$C$1960,0)),"",INDEX('Compliance Database'!$I$2:$I$1960,MATCH(661,Engine!$C$2:$C$1960,0)))</f>
        <v/>
      </c>
      <c r="J674" s="8">
        <f>IF(ISNA(MATCH(661,Engine!$C$2:$C$1960,0)),"",INDEX('Compliance Database'!$J$2:$J$1960,MATCH(661,Engine!$C$2:$C$1960,0)))</f>
        <v/>
      </c>
      <c r="K674" s="9">
        <f>IF(ISNA(MATCH(661,Engine!$C$2:$C$1960,0)),"",INDEX('Compliance Database'!$K$2:$K$1960,MATCH(661,Engine!$C$2:$C$1960,0)))</f>
        <v/>
      </c>
      <c r="L674" s="9">
        <f>IF(ISNA(MATCH(661,Engine!$C$2:$C$1960,0)),"",INDEX('Compliance Database'!$L$2:$L$1960,MATCH(661,Engine!$C$2:$C$1960,0)))</f>
        <v/>
      </c>
      <c r="M674" s="9">
        <f>IF(ISNA(MATCH(661,Engine!$C$2:$C$1960,0)),"",INDEX('Compliance Database'!$M$2:$M$1960,MATCH(661,Engine!$C$2:$C$1960,0)))</f>
        <v/>
      </c>
      <c r="N674" s="9">
        <f>IF(ISNA(MATCH(661,Engine!$C$2:$C$1960,0)),"",INDEX('Compliance Database'!$N$2:$N$1960,MATCH(661,Engine!$C$2:$C$1960,0)))</f>
        <v/>
      </c>
      <c r="O674" s="9">
        <f>IF(ISNA(MATCH(661,Engine!$C$2:$C$1960,0)),"",INDEX('Compliance Database'!$O$2:$O$1960,MATCH(661,Engine!$C$2:$C$1960,0)))</f>
        <v/>
      </c>
      <c r="P674" s="8">
        <f>IF(ISNA(MATCH(661,Engine!$C$2:$C$1960,0)),"",HYPERLINK("#Acts!A"&amp;INDEX('Compliance Database'!$P$2:$P$1960,MATCH(661,Engine!$C$2:$C$1960,0)),"Go to Act"))</f>
        <v/>
      </c>
    </row>
    <row r="675" ht="158" customHeight="1">
      <c r="A675" s="8">
        <f>IF(ISNA(MATCH(662,Engine!$C$2:$C$1960,0)),"",INDEX('Compliance Database'!$A$2:$A$1960,MATCH(662,Engine!$C$2:$C$1960,0)))</f>
        <v/>
      </c>
      <c r="B675" s="8">
        <f>IF(ISNA(MATCH(662,Engine!$C$2:$C$1960,0)),"",INDEX('Compliance Database'!$B$2:$B$1960,MATCH(662,Engine!$C$2:$C$1960,0)))</f>
        <v/>
      </c>
      <c r="C675" s="8">
        <f>IF(ISNA(MATCH(662,Engine!$C$2:$C$1960,0)),"",INDEX('Compliance Database'!$C$2:$C$1960,MATCH(662,Engine!$C$2:$C$1960,0)))</f>
        <v/>
      </c>
      <c r="D675" s="9">
        <f>IF(ISNA(MATCH(662,Engine!$C$2:$C$1960,0)),"",INDEX('Compliance Database'!$D$2:$D$1960,MATCH(662,Engine!$C$2:$C$1960,0)))</f>
        <v/>
      </c>
      <c r="E675" s="8">
        <f>IF(ISNA(MATCH(662,Engine!$C$2:$C$1960,0)),"",INDEX('Compliance Database'!$E$2:$E$1960,MATCH(662,Engine!$C$2:$C$1960,0)))</f>
        <v/>
      </c>
      <c r="F675" s="8">
        <f>IF(ISNA(MATCH(662,Engine!$C$2:$C$1960,0)),"",INDEX('Compliance Database'!$F$2:$F$1960,MATCH(662,Engine!$C$2:$C$1960,0)))</f>
        <v/>
      </c>
      <c r="G675" s="8">
        <f>IF(ISNA(MATCH(662,Engine!$C$2:$C$1960,0)),"",INDEX('Compliance Database'!$G$2:$G$1960,MATCH(662,Engine!$C$2:$C$1960,0)))</f>
        <v/>
      </c>
      <c r="H675" s="9">
        <f>IF(ISNA(MATCH(662,Engine!$C$2:$C$1960,0)),"",INDEX('Compliance Database'!$H$2:$H$1960,MATCH(662,Engine!$C$2:$C$1960,0)))</f>
        <v/>
      </c>
      <c r="I675" s="9">
        <f>IF(ISNA(MATCH(662,Engine!$C$2:$C$1960,0)),"",INDEX('Compliance Database'!$I$2:$I$1960,MATCH(662,Engine!$C$2:$C$1960,0)))</f>
        <v/>
      </c>
      <c r="J675" s="8">
        <f>IF(ISNA(MATCH(662,Engine!$C$2:$C$1960,0)),"",INDEX('Compliance Database'!$J$2:$J$1960,MATCH(662,Engine!$C$2:$C$1960,0)))</f>
        <v/>
      </c>
      <c r="K675" s="9">
        <f>IF(ISNA(MATCH(662,Engine!$C$2:$C$1960,0)),"",INDEX('Compliance Database'!$K$2:$K$1960,MATCH(662,Engine!$C$2:$C$1960,0)))</f>
        <v/>
      </c>
      <c r="L675" s="9">
        <f>IF(ISNA(MATCH(662,Engine!$C$2:$C$1960,0)),"",INDEX('Compliance Database'!$L$2:$L$1960,MATCH(662,Engine!$C$2:$C$1960,0)))</f>
        <v/>
      </c>
      <c r="M675" s="9">
        <f>IF(ISNA(MATCH(662,Engine!$C$2:$C$1960,0)),"",INDEX('Compliance Database'!$M$2:$M$1960,MATCH(662,Engine!$C$2:$C$1960,0)))</f>
        <v/>
      </c>
      <c r="N675" s="9">
        <f>IF(ISNA(MATCH(662,Engine!$C$2:$C$1960,0)),"",INDEX('Compliance Database'!$N$2:$N$1960,MATCH(662,Engine!$C$2:$C$1960,0)))</f>
        <v/>
      </c>
      <c r="O675" s="9">
        <f>IF(ISNA(MATCH(662,Engine!$C$2:$C$1960,0)),"",INDEX('Compliance Database'!$O$2:$O$1960,MATCH(662,Engine!$C$2:$C$1960,0)))</f>
        <v/>
      </c>
      <c r="P675" s="8">
        <f>IF(ISNA(MATCH(662,Engine!$C$2:$C$1960,0)),"",HYPERLINK("#Acts!A"&amp;INDEX('Compliance Database'!$P$2:$P$1960,MATCH(662,Engine!$C$2:$C$1960,0)),"Go to Act"))</f>
        <v/>
      </c>
    </row>
    <row r="676" ht="158" customHeight="1">
      <c r="A676" s="8">
        <f>IF(ISNA(MATCH(663,Engine!$C$2:$C$1960,0)),"",INDEX('Compliance Database'!$A$2:$A$1960,MATCH(663,Engine!$C$2:$C$1960,0)))</f>
        <v/>
      </c>
      <c r="B676" s="8">
        <f>IF(ISNA(MATCH(663,Engine!$C$2:$C$1960,0)),"",INDEX('Compliance Database'!$B$2:$B$1960,MATCH(663,Engine!$C$2:$C$1960,0)))</f>
        <v/>
      </c>
      <c r="C676" s="8">
        <f>IF(ISNA(MATCH(663,Engine!$C$2:$C$1960,0)),"",INDEX('Compliance Database'!$C$2:$C$1960,MATCH(663,Engine!$C$2:$C$1960,0)))</f>
        <v/>
      </c>
      <c r="D676" s="9">
        <f>IF(ISNA(MATCH(663,Engine!$C$2:$C$1960,0)),"",INDEX('Compliance Database'!$D$2:$D$1960,MATCH(663,Engine!$C$2:$C$1960,0)))</f>
        <v/>
      </c>
      <c r="E676" s="8">
        <f>IF(ISNA(MATCH(663,Engine!$C$2:$C$1960,0)),"",INDEX('Compliance Database'!$E$2:$E$1960,MATCH(663,Engine!$C$2:$C$1960,0)))</f>
        <v/>
      </c>
      <c r="F676" s="8">
        <f>IF(ISNA(MATCH(663,Engine!$C$2:$C$1960,0)),"",INDEX('Compliance Database'!$F$2:$F$1960,MATCH(663,Engine!$C$2:$C$1960,0)))</f>
        <v/>
      </c>
      <c r="G676" s="8">
        <f>IF(ISNA(MATCH(663,Engine!$C$2:$C$1960,0)),"",INDEX('Compliance Database'!$G$2:$G$1960,MATCH(663,Engine!$C$2:$C$1960,0)))</f>
        <v/>
      </c>
      <c r="H676" s="9">
        <f>IF(ISNA(MATCH(663,Engine!$C$2:$C$1960,0)),"",INDEX('Compliance Database'!$H$2:$H$1960,MATCH(663,Engine!$C$2:$C$1960,0)))</f>
        <v/>
      </c>
      <c r="I676" s="9">
        <f>IF(ISNA(MATCH(663,Engine!$C$2:$C$1960,0)),"",INDEX('Compliance Database'!$I$2:$I$1960,MATCH(663,Engine!$C$2:$C$1960,0)))</f>
        <v/>
      </c>
      <c r="J676" s="8">
        <f>IF(ISNA(MATCH(663,Engine!$C$2:$C$1960,0)),"",INDEX('Compliance Database'!$J$2:$J$1960,MATCH(663,Engine!$C$2:$C$1960,0)))</f>
        <v/>
      </c>
      <c r="K676" s="9">
        <f>IF(ISNA(MATCH(663,Engine!$C$2:$C$1960,0)),"",INDEX('Compliance Database'!$K$2:$K$1960,MATCH(663,Engine!$C$2:$C$1960,0)))</f>
        <v/>
      </c>
      <c r="L676" s="9">
        <f>IF(ISNA(MATCH(663,Engine!$C$2:$C$1960,0)),"",INDEX('Compliance Database'!$L$2:$L$1960,MATCH(663,Engine!$C$2:$C$1960,0)))</f>
        <v/>
      </c>
      <c r="M676" s="9">
        <f>IF(ISNA(MATCH(663,Engine!$C$2:$C$1960,0)),"",INDEX('Compliance Database'!$M$2:$M$1960,MATCH(663,Engine!$C$2:$C$1960,0)))</f>
        <v/>
      </c>
      <c r="N676" s="9">
        <f>IF(ISNA(MATCH(663,Engine!$C$2:$C$1960,0)),"",INDEX('Compliance Database'!$N$2:$N$1960,MATCH(663,Engine!$C$2:$C$1960,0)))</f>
        <v/>
      </c>
      <c r="O676" s="9">
        <f>IF(ISNA(MATCH(663,Engine!$C$2:$C$1960,0)),"",INDEX('Compliance Database'!$O$2:$O$1960,MATCH(663,Engine!$C$2:$C$1960,0)))</f>
        <v/>
      </c>
      <c r="P676" s="8">
        <f>IF(ISNA(MATCH(663,Engine!$C$2:$C$1960,0)),"",HYPERLINK("#Acts!A"&amp;INDEX('Compliance Database'!$P$2:$P$1960,MATCH(663,Engine!$C$2:$C$1960,0)),"Go to Act"))</f>
        <v/>
      </c>
    </row>
    <row r="677" ht="158" customHeight="1">
      <c r="A677" s="8">
        <f>IF(ISNA(MATCH(664,Engine!$C$2:$C$1960,0)),"",INDEX('Compliance Database'!$A$2:$A$1960,MATCH(664,Engine!$C$2:$C$1960,0)))</f>
        <v/>
      </c>
      <c r="B677" s="8">
        <f>IF(ISNA(MATCH(664,Engine!$C$2:$C$1960,0)),"",INDEX('Compliance Database'!$B$2:$B$1960,MATCH(664,Engine!$C$2:$C$1960,0)))</f>
        <v/>
      </c>
      <c r="C677" s="8">
        <f>IF(ISNA(MATCH(664,Engine!$C$2:$C$1960,0)),"",INDEX('Compliance Database'!$C$2:$C$1960,MATCH(664,Engine!$C$2:$C$1960,0)))</f>
        <v/>
      </c>
      <c r="D677" s="9">
        <f>IF(ISNA(MATCH(664,Engine!$C$2:$C$1960,0)),"",INDEX('Compliance Database'!$D$2:$D$1960,MATCH(664,Engine!$C$2:$C$1960,0)))</f>
        <v/>
      </c>
      <c r="E677" s="8">
        <f>IF(ISNA(MATCH(664,Engine!$C$2:$C$1960,0)),"",INDEX('Compliance Database'!$E$2:$E$1960,MATCH(664,Engine!$C$2:$C$1960,0)))</f>
        <v/>
      </c>
      <c r="F677" s="8">
        <f>IF(ISNA(MATCH(664,Engine!$C$2:$C$1960,0)),"",INDEX('Compliance Database'!$F$2:$F$1960,MATCH(664,Engine!$C$2:$C$1960,0)))</f>
        <v/>
      </c>
      <c r="G677" s="8">
        <f>IF(ISNA(MATCH(664,Engine!$C$2:$C$1960,0)),"",INDEX('Compliance Database'!$G$2:$G$1960,MATCH(664,Engine!$C$2:$C$1960,0)))</f>
        <v/>
      </c>
      <c r="H677" s="9">
        <f>IF(ISNA(MATCH(664,Engine!$C$2:$C$1960,0)),"",INDEX('Compliance Database'!$H$2:$H$1960,MATCH(664,Engine!$C$2:$C$1960,0)))</f>
        <v/>
      </c>
      <c r="I677" s="9">
        <f>IF(ISNA(MATCH(664,Engine!$C$2:$C$1960,0)),"",INDEX('Compliance Database'!$I$2:$I$1960,MATCH(664,Engine!$C$2:$C$1960,0)))</f>
        <v/>
      </c>
      <c r="J677" s="8">
        <f>IF(ISNA(MATCH(664,Engine!$C$2:$C$1960,0)),"",INDEX('Compliance Database'!$J$2:$J$1960,MATCH(664,Engine!$C$2:$C$1960,0)))</f>
        <v/>
      </c>
      <c r="K677" s="9">
        <f>IF(ISNA(MATCH(664,Engine!$C$2:$C$1960,0)),"",INDEX('Compliance Database'!$K$2:$K$1960,MATCH(664,Engine!$C$2:$C$1960,0)))</f>
        <v/>
      </c>
      <c r="L677" s="9">
        <f>IF(ISNA(MATCH(664,Engine!$C$2:$C$1960,0)),"",INDEX('Compliance Database'!$L$2:$L$1960,MATCH(664,Engine!$C$2:$C$1960,0)))</f>
        <v/>
      </c>
      <c r="M677" s="9">
        <f>IF(ISNA(MATCH(664,Engine!$C$2:$C$1960,0)),"",INDEX('Compliance Database'!$M$2:$M$1960,MATCH(664,Engine!$C$2:$C$1960,0)))</f>
        <v/>
      </c>
      <c r="N677" s="9">
        <f>IF(ISNA(MATCH(664,Engine!$C$2:$C$1960,0)),"",INDEX('Compliance Database'!$N$2:$N$1960,MATCH(664,Engine!$C$2:$C$1960,0)))</f>
        <v/>
      </c>
      <c r="O677" s="9">
        <f>IF(ISNA(MATCH(664,Engine!$C$2:$C$1960,0)),"",INDEX('Compliance Database'!$O$2:$O$1960,MATCH(664,Engine!$C$2:$C$1960,0)))</f>
        <v/>
      </c>
      <c r="P677" s="8">
        <f>IF(ISNA(MATCH(664,Engine!$C$2:$C$1960,0)),"",HYPERLINK("#Acts!A"&amp;INDEX('Compliance Database'!$P$2:$P$1960,MATCH(664,Engine!$C$2:$C$1960,0)),"Go to Act"))</f>
        <v/>
      </c>
    </row>
    <row r="678" ht="158" customHeight="1">
      <c r="A678" s="8">
        <f>IF(ISNA(MATCH(665,Engine!$C$2:$C$1960,0)),"",INDEX('Compliance Database'!$A$2:$A$1960,MATCH(665,Engine!$C$2:$C$1960,0)))</f>
        <v/>
      </c>
      <c r="B678" s="8">
        <f>IF(ISNA(MATCH(665,Engine!$C$2:$C$1960,0)),"",INDEX('Compliance Database'!$B$2:$B$1960,MATCH(665,Engine!$C$2:$C$1960,0)))</f>
        <v/>
      </c>
      <c r="C678" s="8">
        <f>IF(ISNA(MATCH(665,Engine!$C$2:$C$1960,0)),"",INDEX('Compliance Database'!$C$2:$C$1960,MATCH(665,Engine!$C$2:$C$1960,0)))</f>
        <v/>
      </c>
      <c r="D678" s="9">
        <f>IF(ISNA(MATCH(665,Engine!$C$2:$C$1960,0)),"",INDEX('Compliance Database'!$D$2:$D$1960,MATCH(665,Engine!$C$2:$C$1960,0)))</f>
        <v/>
      </c>
      <c r="E678" s="8">
        <f>IF(ISNA(MATCH(665,Engine!$C$2:$C$1960,0)),"",INDEX('Compliance Database'!$E$2:$E$1960,MATCH(665,Engine!$C$2:$C$1960,0)))</f>
        <v/>
      </c>
      <c r="F678" s="8">
        <f>IF(ISNA(MATCH(665,Engine!$C$2:$C$1960,0)),"",INDEX('Compliance Database'!$F$2:$F$1960,MATCH(665,Engine!$C$2:$C$1960,0)))</f>
        <v/>
      </c>
      <c r="G678" s="8">
        <f>IF(ISNA(MATCH(665,Engine!$C$2:$C$1960,0)),"",INDEX('Compliance Database'!$G$2:$G$1960,MATCH(665,Engine!$C$2:$C$1960,0)))</f>
        <v/>
      </c>
      <c r="H678" s="9">
        <f>IF(ISNA(MATCH(665,Engine!$C$2:$C$1960,0)),"",INDEX('Compliance Database'!$H$2:$H$1960,MATCH(665,Engine!$C$2:$C$1960,0)))</f>
        <v/>
      </c>
      <c r="I678" s="9">
        <f>IF(ISNA(MATCH(665,Engine!$C$2:$C$1960,0)),"",INDEX('Compliance Database'!$I$2:$I$1960,MATCH(665,Engine!$C$2:$C$1960,0)))</f>
        <v/>
      </c>
      <c r="J678" s="8">
        <f>IF(ISNA(MATCH(665,Engine!$C$2:$C$1960,0)),"",INDEX('Compliance Database'!$J$2:$J$1960,MATCH(665,Engine!$C$2:$C$1960,0)))</f>
        <v/>
      </c>
      <c r="K678" s="9">
        <f>IF(ISNA(MATCH(665,Engine!$C$2:$C$1960,0)),"",INDEX('Compliance Database'!$K$2:$K$1960,MATCH(665,Engine!$C$2:$C$1960,0)))</f>
        <v/>
      </c>
      <c r="L678" s="9">
        <f>IF(ISNA(MATCH(665,Engine!$C$2:$C$1960,0)),"",INDEX('Compliance Database'!$L$2:$L$1960,MATCH(665,Engine!$C$2:$C$1960,0)))</f>
        <v/>
      </c>
      <c r="M678" s="9">
        <f>IF(ISNA(MATCH(665,Engine!$C$2:$C$1960,0)),"",INDEX('Compliance Database'!$M$2:$M$1960,MATCH(665,Engine!$C$2:$C$1960,0)))</f>
        <v/>
      </c>
      <c r="N678" s="9">
        <f>IF(ISNA(MATCH(665,Engine!$C$2:$C$1960,0)),"",INDEX('Compliance Database'!$N$2:$N$1960,MATCH(665,Engine!$C$2:$C$1960,0)))</f>
        <v/>
      </c>
      <c r="O678" s="9">
        <f>IF(ISNA(MATCH(665,Engine!$C$2:$C$1960,0)),"",INDEX('Compliance Database'!$O$2:$O$1960,MATCH(665,Engine!$C$2:$C$1960,0)))</f>
        <v/>
      </c>
      <c r="P678" s="8">
        <f>IF(ISNA(MATCH(665,Engine!$C$2:$C$1960,0)),"",HYPERLINK("#Acts!A"&amp;INDEX('Compliance Database'!$P$2:$P$1960,MATCH(665,Engine!$C$2:$C$1960,0)),"Go to Act"))</f>
        <v/>
      </c>
    </row>
    <row r="679" ht="158" customHeight="1">
      <c r="A679" s="8">
        <f>IF(ISNA(MATCH(666,Engine!$C$2:$C$1960,0)),"",INDEX('Compliance Database'!$A$2:$A$1960,MATCH(666,Engine!$C$2:$C$1960,0)))</f>
        <v/>
      </c>
      <c r="B679" s="8">
        <f>IF(ISNA(MATCH(666,Engine!$C$2:$C$1960,0)),"",INDEX('Compliance Database'!$B$2:$B$1960,MATCH(666,Engine!$C$2:$C$1960,0)))</f>
        <v/>
      </c>
      <c r="C679" s="8">
        <f>IF(ISNA(MATCH(666,Engine!$C$2:$C$1960,0)),"",INDEX('Compliance Database'!$C$2:$C$1960,MATCH(666,Engine!$C$2:$C$1960,0)))</f>
        <v/>
      </c>
      <c r="D679" s="9">
        <f>IF(ISNA(MATCH(666,Engine!$C$2:$C$1960,0)),"",INDEX('Compliance Database'!$D$2:$D$1960,MATCH(666,Engine!$C$2:$C$1960,0)))</f>
        <v/>
      </c>
      <c r="E679" s="8">
        <f>IF(ISNA(MATCH(666,Engine!$C$2:$C$1960,0)),"",INDEX('Compliance Database'!$E$2:$E$1960,MATCH(666,Engine!$C$2:$C$1960,0)))</f>
        <v/>
      </c>
      <c r="F679" s="8">
        <f>IF(ISNA(MATCH(666,Engine!$C$2:$C$1960,0)),"",INDEX('Compliance Database'!$F$2:$F$1960,MATCH(666,Engine!$C$2:$C$1960,0)))</f>
        <v/>
      </c>
      <c r="G679" s="8">
        <f>IF(ISNA(MATCH(666,Engine!$C$2:$C$1960,0)),"",INDEX('Compliance Database'!$G$2:$G$1960,MATCH(666,Engine!$C$2:$C$1960,0)))</f>
        <v/>
      </c>
      <c r="H679" s="9">
        <f>IF(ISNA(MATCH(666,Engine!$C$2:$C$1960,0)),"",INDEX('Compliance Database'!$H$2:$H$1960,MATCH(666,Engine!$C$2:$C$1960,0)))</f>
        <v/>
      </c>
      <c r="I679" s="9">
        <f>IF(ISNA(MATCH(666,Engine!$C$2:$C$1960,0)),"",INDEX('Compliance Database'!$I$2:$I$1960,MATCH(666,Engine!$C$2:$C$1960,0)))</f>
        <v/>
      </c>
      <c r="J679" s="8">
        <f>IF(ISNA(MATCH(666,Engine!$C$2:$C$1960,0)),"",INDEX('Compliance Database'!$J$2:$J$1960,MATCH(666,Engine!$C$2:$C$1960,0)))</f>
        <v/>
      </c>
      <c r="K679" s="9">
        <f>IF(ISNA(MATCH(666,Engine!$C$2:$C$1960,0)),"",INDEX('Compliance Database'!$K$2:$K$1960,MATCH(666,Engine!$C$2:$C$1960,0)))</f>
        <v/>
      </c>
      <c r="L679" s="9">
        <f>IF(ISNA(MATCH(666,Engine!$C$2:$C$1960,0)),"",INDEX('Compliance Database'!$L$2:$L$1960,MATCH(666,Engine!$C$2:$C$1960,0)))</f>
        <v/>
      </c>
      <c r="M679" s="9">
        <f>IF(ISNA(MATCH(666,Engine!$C$2:$C$1960,0)),"",INDEX('Compliance Database'!$M$2:$M$1960,MATCH(666,Engine!$C$2:$C$1960,0)))</f>
        <v/>
      </c>
      <c r="N679" s="9">
        <f>IF(ISNA(MATCH(666,Engine!$C$2:$C$1960,0)),"",INDEX('Compliance Database'!$N$2:$N$1960,MATCH(666,Engine!$C$2:$C$1960,0)))</f>
        <v/>
      </c>
      <c r="O679" s="9">
        <f>IF(ISNA(MATCH(666,Engine!$C$2:$C$1960,0)),"",INDEX('Compliance Database'!$O$2:$O$1960,MATCH(666,Engine!$C$2:$C$1960,0)))</f>
        <v/>
      </c>
      <c r="P679" s="8">
        <f>IF(ISNA(MATCH(666,Engine!$C$2:$C$1960,0)),"",HYPERLINK("#Acts!A"&amp;INDEX('Compliance Database'!$P$2:$P$1960,MATCH(666,Engine!$C$2:$C$1960,0)),"Go to Act"))</f>
        <v/>
      </c>
    </row>
    <row r="680" ht="158" customHeight="1">
      <c r="A680" s="8">
        <f>IF(ISNA(MATCH(667,Engine!$C$2:$C$1960,0)),"",INDEX('Compliance Database'!$A$2:$A$1960,MATCH(667,Engine!$C$2:$C$1960,0)))</f>
        <v/>
      </c>
      <c r="B680" s="8">
        <f>IF(ISNA(MATCH(667,Engine!$C$2:$C$1960,0)),"",INDEX('Compliance Database'!$B$2:$B$1960,MATCH(667,Engine!$C$2:$C$1960,0)))</f>
        <v/>
      </c>
      <c r="C680" s="8">
        <f>IF(ISNA(MATCH(667,Engine!$C$2:$C$1960,0)),"",INDEX('Compliance Database'!$C$2:$C$1960,MATCH(667,Engine!$C$2:$C$1960,0)))</f>
        <v/>
      </c>
      <c r="D680" s="9">
        <f>IF(ISNA(MATCH(667,Engine!$C$2:$C$1960,0)),"",INDEX('Compliance Database'!$D$2:$D$1960,MATCH(667,Engine!$C$2:$C$1960,0)))</f>
        <v/>
      </c>
      <c r="E680" s="8">
        <f>IF(ISNA(MATCH(667,Engine!$C$2:$C$1960,0)),"",INDEX('Compliance Database'!$E$2:$E$1960,MATCH(667,Engine!$C$2:$C$1960,0)))</f>
        <v/>
      </c>
      <c r="F680" s="8">
        <f>IF(ISNA(MATCH(667,Engine!$C$2:$C$1960,0)),"",INDEX('Compliance Database'!$F$2:$F$1960,MATCH(667,Engine!$C$2:$C$1960,0)))</f>
        <v/>
      </c>
      <c r="G680" s="8">
        <f>IF(ISNA(MATCH(667,Engine!$C$2:$C$1960,0)),"",INDEX('Compliance Database'!$G$2:$G$1960,MATCH(667,Engine!$C$2:$C$1960,0)))</f>
        <v/>
      </c>
      <c r="H680" s="9">
        <f>IF(ISNA(MATCH(667,Engine!$C$2:$C$1960,0)),"",INDEX('Compliance Database'!$H$2:$H$1960,MATCH(667,Engine!$C$2:$C$1960,0)))</f>
        <v/>
      </c>
      <c r="I680" s="9">
        <f>IF(ISNA(MATCH(667,Engine!$C$2:$C$1960,0)),"",INDEX('Compliance Database'!$I$2:$I$1960,MATCH(667,Engine!$C$2:$C$1960,0)))</f>
        <v/>
      </c>
      <c r="J680" s="8">
        <f>IF(ISNA(MATCH(667,Engine!$C$2:$C$1960,0)),"",INDEX('Compliance Database'!$J$2:$J$1960,MATCH(667,Engine!$C$2:$C$1960,0)))</f>
        <v/>
      </c>
      <c r="K680" s="9">
        <f>IF(ISNA(MATCH(667,Engine!$C$2:$C$1960,0)),"",INDEX('Compliance Database'!$K$2:$K$1960,MATCH(667,Engine!$C$2:$C$1960,0)))</f>
        <v/>
      </c>
      <c r="L680" s="9">
        <f>IF(ISNA(MATCH(667,Engine!$C$2:$C$1960,0)),"",INDEX('Compliance Database'!$L$2:$L$1960,MATCH(667,Engine!$C$2:$C$1960,0)))</f>
        <v/>
      </c>
      <c r="M680" s="9">
        <f>IF(ISNA(MATCH(667,Engine!$C$2:$C$1960,0)),"",INDEX('Compliance Database'!$M$2:$M$1960,MATCH(667,Engine!$C$2:$C$1960,0)))</f>
        <v/>
      </c>
      <c r="N680" s="9">
        <f>IF(ISNA(MATCH(667,Engine!$C$2:$C$1960,0)),"",INDEX('Compliance Database'!$N$2:$N$1960,MATCH(667,Engine!$C$2:$C$1960,0)))</f>
        <v/>
      </c>
      <c r="O680" s="9">
        <f>IF(ISNA(MATCH(667,Engine!$C$2:$C$1960,0)),"",INDEX('Compliance Database'!$O$2:$O$1960,MATCH(667,Engine!$C$2:$C$1960,0)))</f>
        <v/>
      </c>
      <c r="P680" s="8">
        <f>IF(ISNA(MATCH(667,Engine!$C$2:$C$1960,0)),"",HYPERLINK("#Acts!A"&amp;INDEX('Compliance Database'!$P$2:$P$1960,MATCH(667,Engine!$C$2:$C$1960,0)),"Go to Act"))</f>
        <v/>
      </c>
    </row>
    <row r="681" ht="158" customHeight="1">
      <c r="A681" s="8">
        <f>IF(ISNA(MATCH(668,Engine!$C$2:$C$1960,0)),"",INDEX('Compliance Database'!$A$2:$A$1960,MATCH(668,Engine!$C$2:$C$1960,0)))</f>
        <v/>
      </c>
      <c r="B681" s="8">
        <f>IF(ISNA(MATCH(668,Engine!$C$2:$C$1960,0)),"",INDEX('Compliance Database'!$B$2:$B$1960,MATCH(668,Engine!$C$2:$C$1960,0)))</f>
        <v/>
      </c>
      <c r="C681" s="8">
        <f>IF(ISNA(MATCH(668,Engine!$C$2:$C$1960,0)),"",INDEX('Compliance Database'!$C$2:$C$1960,MATCH(668,Engine!$C$2:$C$1960,0)))</f>
        <v/>
      </c>
      <c r="D681" s="9">
        <f>IF(ISNA(MATCH(668,Engine!$C$2:$C$1960,0)),"",INDEX('Compliance Database'!$D$2:$D$1960,MATCH(668,Engine!$C$2:$C$1960,0)))</f>
        <v/>
      </c>
      <c r="E681" s="8">
        <f>IF(ISNA(MATCH(668,Engine!$C$2:$C$1960,0)),"",INDEX('Compliance Database'!$E$2:$E$1960,MATCH(668,Engine!$C$2:$C$1960,0)))</f>
        <v/>
      </c>
      <c r="F681" s="8">
        <f>IF(ISNA(MATCH(668,Engine!$C$2:$C$1960,0)),"",INDEX('Compliance Database'!$F$2:$F$1960,MATCH(668,Engine!$C$2:$C$1960,0)))</f>
        <v/>
      </c>
      <c r="G681" s="8">
        <f>IF(ISNA(MATCH(668,Engine!$C$2:$C$1960,0)),"",INDEX('Compliance Database'!$G$2:$G$1960,MATCH(668,Engine!$C$2:$C$1960,0)))</f>
        <v/>
      </c>
      <c r="H681" s="9">
        <f>IF(ISNA(MATCH(668,Engine!$C$2:$C$1960,0)),"",INDEX('Compliance Database'!$H$2:$H$1960,MATCH(668,Engine!$C$2:$C$1960,0)))</f>
        <v/>
      </c>
      <c r="I681" s="9">
        <f>IF(ISNA(MATCH(668,Engine!$C$2:$C$1960,0)),"",INDEX('Compliance Database'!$I$2:$I$1960,MATCH(668,Engine!$C$2:$C$1960,0)))</f>
        <v/>
      </c>
      <c r="J681" s="8">
        <f>IF(ISNA(MATCH(668,Engine!$C$2:$C$1960,0)),"",INDEX('Compliance Database'!$J$2:$J$1960,MATCH(668,Engine!$C$2:$C$1960,0)))</f>
        <v/>
      </c>
      <c r="K681" s="9">
        <f>IF(ISNA(MATCH(668,Engine!$C$2:$C$1960,0)),"",INDEX('Compliance Database'!$K$2:$K$1960,MATCH(668,Engine!$C$2:$C$1960,0)))</f>
        <v/>
      </c>
      <c r="L681" s="9">
        <f>IF(ISNA(MATCH(668,Engine!$C$2:$C$1960,0)),"",INDEX('Compliance Database'!$L$2:$L$1960,MATCH(668,Engine!$C$2:$C$1960,0)))</f>
        <v/>
      </c>
      <c r="M681" s="9">
        <f>IF(ISNA(MATCH(668,Engine!$C$2:$C$1960,0)),"",INDEX('Compliance Database'!$M$2:$M$1960,MATCH(668,Engine!$C$2:$C$1960,0)))</f>
        <v/>
      </c>
      <c r="N681" s="9">
        <f>IF(ISNA(MATCH(668,Engine!$C$2:$C$1960,0)),"",INDEX('Compliance Database'!$N$2:$N$1960,MATCH(668,Engine!$C$2:$C$1960,0)))</f>
        <v/>
      </c>
      <c r="O681" s="9">
        <f>IF(ISNA(MATCH(668,Engine!$C$2:$C$1960,0)),"",INDEX('Compliance Database'!$O$2:$O$1960,MATCH(668,Engine!$C$2:$C$1960,0)))</f>
        <v/>
      </c>
      <c r="P681" s="8">
        <f>IF(ISNA(MATCH(668,Engine!$C$2:$C$1960,0)),"",HYPERLINK("#Acts!A"&amp;INDEX('Compliance Database'!$P$2:$P$1960,MATCH(668,Engine!$C$2:$C$1960,0)),"Go to Act"))</f>
        <v/>
      </c>
    </row>
    <row r="682" ht="158" customHeight="1">
      <c r="A682" s="8">
        <f>IF(ISNA(MATCH(669,Engine!$C$2:$C$1960,0)),"",INDEX('Compliance Database'!$A$2:$A$1960,MATCH(669,Engine!$C$2:$C$1960,0)))</f>
        <v/>
      </c>
      <c r="B682" s="8">
        <f>IF(ISNA(MATCH(669,Engine!$C$2:$C$1960,0)),"",INDEX('Compliance Database'!$B$2:$B$1960,MATCH(669,Engine!$C$2:$C$1960,0)))</f>
        <v/>
      </c>
      <c r="C682" s="8">
        <f>IF(ISNA(MATCH(669,Engine!$C$2:$C$1960,0)),"",INDEX('Compliance Database'!$C$2:$C$1960,MATCH(669,Engine!$C$2:$C$1960,0)))</f>
        <v/>
      </c>
      <c r="D682" s="9">
        <f>IF(ISNA(MATCH(669,Engine!$C$2:$C$1960,0)),"",INDEX('Compliance Database'!$D$2:$D$1960,MATCH(669,Engine!$C$2:$C$1960,0)))</f>
        <v/>
      </c>
      <c r="E682" s="8">
        <f>IF(ISNA(MATCH(669,Engine!$C$2:$C$1960,0)),"",INDEX('Compliance Database'!$E$2:$E$1960,MATCH(669,Engine!$C$2:$C$1960,0)))</f>
        <v/>
      </c>
      <c r="F682" s="8">
        <f>IF(ISNA(MATCH(669,Engine!$C$2:$C$1960,0)),"",INDEX('Compliance Database'!$F$2:$F$1960,MATCH(669,Engine!$C$2:$C$1960,0)))</f>
        <v/>
      </c>
      <c r="G682" s="8">
        <f>IF(ISNA(MATCH(669,Engine!$C$2:$C$1960,0)),"",INDEX('Compliance Database'!$G$2:$G$1960,MATCH(669,Engine!$C$2:$C$1960,0)))</f>
        <v/>
      </c>
      <c r="H682" s="9">
        <f>IF(ISNA(MATCH(669,Engine!$C$2:$C$1960,0)),"",INDEX('Compliance Database'!$H$2:$H$1960,MATCH(669,Engine!$C$2:$C$1960,0)))</f>
        <v/>
      </c>
      <c r="I682" s="9">
        <f>IF(ISNA(MATCH(669,Engine!$C$2:$C$1960,0)),"",INDEX('Compliance Database'!$I$2:$I$1960,MATCH(669,Engine!$C$2:$C$1960,0)))</f>
        <v/>
      </c>
      <c r="J682" s="8">
        <f>IF(ISNA(MATCH(669,Engine!$C$2:$C$1960,0)),"",INDEX('Compliance Database'!$J$2:$J$1960,MATCH(669,Engine!$C$2:$C$1960,0)))</f>
        <v/>
      </c>
      <c r="K682" s="9">
        <f>IF(ISNA(MATCH(669,Engine!$C$2:$C$1960,0)),"",INDEX('Compliance Database'!$K$2:$K$1960,MATCH(669,Engine!$C$2:$C$1960,0)))</f>
        <v/>
      </c>
      <c r="L682" s="9">
        <f>IF(ISNA(MATCH(669,Engine!$C$2:$C$1960,0)),"",INDEX('Compliance Database'!$L$2:$L$1960,MATCH(669,Engine!$C$2:$C$1960,0)))</f>
        <v/>
      </c>
      <c r="M682" s="9">
        <f>IF(ISNA(MATCH(669,Engine!$C$2:$C$1960,0)),"",INDEX('Compliance Database'!$M$2:$M$1960,MATCH(669,Engine!$C$2:$C$1960,0)))</f>
        <v/>
      </c>
      <c r="N682" s="9">
        <f>IF(ISNA(MATCH(669,Engine!$C$2:$C$1960,0)),"",INDEX('Compliance Database'!$N$2:$N$1960,MATCH(669,Engine!$C$2:$C$1960,0)))</f>
        <v/>
      </c>
      <c r="O682" s="9">
        <f>IF(ISNA(MATCH(669,Engine!$C$2:$C$1960,0)),"",INDEX('Compliance Database'!$O$2:$O$1960,MATCH(669,Engine!$C$2:$C$1960,0)))</f>
        <v/>
      </c>
      <c r="P682" s="8">
        <f>IF(ISNA(MATCH(669,Engine!$C$2:$C$1960,0)),"",HYPERLINK("#Acts!A"&amp;INDEX('Compliance Database'!$P$2:$P$1960,MATCH(669,Engine!$C$2:$C$1960,0)),"Go to Act"))</f>
        <v/>
      </c>
    </row>
    <row r="683" ht="158" customHeight="1">
      <c r="A683" s="8">
        <f>IF(ISNA(MATCH(670,Engine!$C$2:$C$1960,0)),"",INDEX('Compliance Database'!$A$2:$A$1960,MATCH(670,Engine!$C$2:$C$1960,0)))</f>
        <v/>
      </c>
      <c r="B683" s="8">
        <f>IF(ISNA(MATCH(670,Engine!$C$2:$C$1960,0)),"",INDEX('Compliance Database'!$B$2:$B$1960,MATCH(670,Engine!$C$2:$C$1960,0)))</f>
        <v/>
      </c>
      <c r="C683" s="8">
        <f>IF(ISNA(MATCH(670,Engine!$C$2:$C$1960,0)),"",INDEX('Compliance Database'!$C$2:$C$1960,MATCH(670,Engine!$C$2:$C$1960,0)))</f>
        <v/>
      </c>
      <c r="D683" s="9">
        <f>IF(ISNA(MATCH(670,Engine!$C$2:$C$1960,0)),"",INDEX('Compliance Database'!$D$2:$D$1960,MATCH(670,Engine!$C$2:$C$1960,0)))</f>
        <v/>
      </c>
      <c r="E683" s="8">
        <f>IF(ISNA(MATCH(670,Engine!$C$2:$C$1960,0)),"",INDEX('Compliance Database'!$E$2:$E$1960,MATCH(670,Engine!$C$2:$C$1960,0)))</f>
        <v/>
      </c>
      <c r="F683" s="8">
        <f>IF(ISNA(MATCH(670,Engine!$C$2:$C$1960,0)),"",INDEX('Compliance Database'!$F$2:$F$1960,MATCH(670,Engine!$C$2:$C$1960,0)))</f>
        <v/>
      </c>
      <c r="G683" s="8">
        <f>IF(ISNA(MATCH(670,Engine!$C$2:$C$1960,0)),"",INDEX('Compliance Database'!$G$2:$G$1960,MATCH(670,Engine!$C$2:$C$1960,0)))</f>
        <v/>
      </c>
      <c r="H683" s="9">
        <f>IF(ISNA(MATCH(670,Engine!$C$2:$C$1960,0)),"",INDEX('Compliance Database'!$H$2:$H$1960,MATCH(670,Engine!$C$2:$C$1960,0)))</f>
        <v/>
      </c>
      <c r="I683" s="9">
        <f>IF(ISNA(MATCH(670,Engine!$C$2:$C$1960,0)),"",INDEX('Compliance Database'!$I$2:$I$1960,MATCH(670,Engine!$C$2:$C$1960,0)))</f>
        <v/>
      </c>
      <c r="J683" s="8">
        <f>IF(ISNA(MATCH(670,Engine!$C$2:$C$1960,0)),"",INDEX('Compliance Database'!$J$2:$J$1960,MATCH(670,Engine!$C$2:$C$1960,0)))</f>
        <v/>
      </c>
      <c r="K683" s="9">
        <f>IF(ISNA(MATCH(670,Engine!$C$2:$C$1960,0)),"",INDEX('Compliance Database'!$K$2:$K$1960,MATCH(670,Engine!$C$2:$C$1960,0)))</f>
        <v/>
      </c>
      <c r="L683" s="9">
        <f>IF(ISNA(MATCH(670,Engine!$C$2:$C$1960,0)),"",INDEX('Compliance Database'!$L$2:$L$1960,MATCH(670,Engine!$C$2:$C$1960,0)))</f>
        <v/>
      </c>
      <c r="M683" s="9">
        <f>IF(ISNA(MATCH(670,Engine!$C$2:$C$1960,0)),"",INDEX('Compliance Database'!$M$2:$M$1960,MATCH(670,Engine!$C$2:$C$1960,0)))</f>
        <v/>
      </c>
      <c r="N683" s="9">
        <f>IF(ISNA(MATCH(670,Engine!$C$2:$C$1960,0)),"",INDEX('Compliance Database'!$N$2:$N$1960,MATCH(670,Engine!$C$2:$C$1960,0)))</f>
        <v/>
      </c>
      <c r="O683" s="9">
        <f>IF(ISNA(MATCH(670,Engine!$C$2:$C$1960,0)),"",INDEX('Compliance Database'!$O$2:$O$1960,MATCH(670,Engine!$C$2:$C$1960,0)))</f>
        <v/>
      </c>
      <c r="P683" s="8">
        <f>IF(ISNA(MATCH(670,Engine!$C$2:$C$1960,0)),"",HYPERLINK("#Acts!A"&amp;INDEX('Compliance Database'!$P$2:$P$1960,MATCH(670,Engine!$C$2:$C$1960,0)),"Go to Act"))</f>
        <v/>
      </c>
    </row>
    <row r="684" ht="158" customHeight="1">
      <c r="A684" s="8">
        <f>IF(ISNA(MATCH(671,Engine!$C$2:$C$1960,0)),"",INDEX('Compliance Database'!$A$2:$A$1960,MATCH(671,Engine!$C$2:$C$1960,0)))</f>
        <v/>
      </c>
      <c r="B684" s="8">
        <f>IF(ISNA(MATCH(671,Engine!$C$2:$C$1960,0)),"",INDEX('Compliance Database'!$B$2:$B$1960,MATCH(671,Engine!$C$2:$C$1960,0)))</f>
        <v/>
      </c>
      <c r="C684" s="8">
        <f>IF(ISNA(MATCH(671,Engine!$C$2:$C$1960,0)),"",INDEX('Compliance Database'!$C$2:$C$1960,MATCH(671,Engine!$C$2:$C$1960,0)))</f>
        <v/>
      </c>
      <c r="D684" s="9">
        <f>IF(ISNA(MATCH(671,Engine!$C$2:$C$1960,0)),"",INDEX('Compliance Database'!$D$2:$D$1960,MATCH(671,Engine!$C$2:$C$1960,0)))</f>
        <v/>
      </c>
      <c r="E684" s="8">
        <f>IF(ISNA(MATCH(671,Engine!$C$2:$C$1960,0)),"",INDEX('Compliance Database'!$E$2:$E$1960,MATCH(671,Engine!$C$2:$C$1960,0)))</f>
        <v/>
      </c>
      <c r="F684" s="8">
        <f>IF(ISNA(MATCH(671,Engine!$C$2:$C$1960,0)),"",INDEX('Compliance Database'!$F$2:$F$1960,MATCH(671,Engine!$C$2:$C$1960,0)))</f>
        <v/>
      </c>
      <c r="G684" s="8">
        <f>IF(ISNA(MATCH(671,Engine!$C$2:$C$1960,0)),"",INDEX('Compliance Database'!$G$2:$G$1960,MATCH(671,Engine!$C$2:$C$1960,0)))</f>
        <v/>
      </c>
      <c r="H684" s="9">
        <f>IF(ISNA(MATCH(671,Engine!$C$2:$C$1960,0)),"",INDEX('Compliance Database'!$H$2:$H$1960,MATCH(671,Engine!$C$2:$C$1960,0)))</f>
        <v/>
      </c>
      <c r="I684" s="9">
        <f>IF(ISNA(MATCH(671,Engine!$C$2:$C$1960,0)),"",INDEX('Compliance Database'!$I$2:$I$1960,MATCH(671,Engine!$C$2:$C$1960,0)))</f>
        <v/>
      </c>
      <c r="J684" s="8">
        <f>IF(ISNA(MATCH(671,Engine!$C$2:$C$1960,0)),"",INDEX('Compliance Database'!$J$2:$J$1960,MATCH(671,Engine!$C$2:$C$1960,0)))</f>
        <v/>
      </c>
      <c r="K684" s="9">
        <f>IF(ISNA(MATCH(671,Engine!$C$2:$C$1960,0)),"",INDEX('Compliance Database'!$K$2:$K$1960,MATCH(671,Engine!$C$2:$C$1960,0)))</f>
        <v/>
      </c>
      <c r="L684" s="9">
        <f>IF(ISNA(MATCH(671,Engine!$C$2:$C$1960,0)),"",INDEX('Compliance Database'!$L$2:$L$1960,MATCH(671,Engine!$C$2:$C$1960,0)))</f>
        <v/>
      </c>
      <c r="M684" s="9">
        <f>IF(ISNA(MATCH(671,Engine!$C$2:$C$1960,0)),"",INDEX('Compliance Database'!$M$2:$M$1960,MATCH(671,Engine!$C$2:$C$1960,0)))</f>
        <v/>
      </c>
      <c r="N684" s="9">
        <f>IF(ISNA(MATCH(671,Engine!$C$2:$C$1960,0)),"",INDEX('Compliance Database'!$N$2:$N$1960,MATCH(671,Engine!$C$2:$C$1960,0)))</f>
        <v/>
      </c>
      <c r="O684" s="9">
        <f>IF(ISNA(MATCH(671,Engine!$C$2:$C$1960,0)),"",INDEX('Compliance Database'!$O$2:$O$1960,MATCH(671,Engine!$C$2:$C$1960,0)))</f>
        <v/>
      </c>
      <c r="P684" s="8">
        <f>IF(ISNA(MATCH(671,Engine!$C$2:$C$1960,0)),"",HYPERLINK("#Acts!A"&amp;INDEX('Compliance Database'!$P$2:$P$1960,MATCH(671,Engine!$C$2:$C$1960,0)),"Go to Act"))</f>
        <v/>
      </c>
    </row>
    <row r="685" ht="158" customHeight="1">
      <c r="A685" s="8">
        <f>IF(ISNA(MATCH(672,Engine!$C$2:$C$1960,0)),"",INDEX('Compliance Database'!$A$2:$A$1960,MATCH(672,Engine!$C$2:$C$1960,0)))</f>
        <v/>
      </c>
      <c r="B685" s="8">
        <f>IF(ISNA(MATCH(672,Engine!$C$2:$C$1960,0)),"",INDEX('Compliance Database'!$B$2:$B$1960,MATCH(672,Engine!$C$2:$C$1960,0)))</f>
        <v/>
      </c>
      <c r="C685" s="8">
        <f>IF(ISNA(MATCH(672,Engine!$C$2:$C$1960,0)),"",INDEX('Compliance Database'!$C$2:$C$1960,MATCH(672,Engine!$C$2:$C$1960,0)))</f>
        <v/>
      </c>
      <c r="D685" s="9">
        <f>IF(ISNA(MATCH(672,Engine!$C$2:$C$1960,0)),"",INDEX('Compliance Database'!$D$2:$D$1960,MATCH(672,Engine!$C$2:$C$1960,0)))</f>
        <v/>
      </c>
      <c r="E685" s="8">
        <f>IF(ISNA(MATCH(672,Engine!$C$2:$C$1960,0)),"",INDEX('Compliance Database'!$E$2:$E$1960,MATCH(672,Engine!$C$2:$C$1960,0)))</f>
        <v/>
      </c>
      <c r="F685" s="8">
        <f>IF(ISNA(MATCH(672,Engine!$C$2:$C$1960,0)),"",INDEX('Compliance Database'!$F$2:$F$1960,MATCH(672,Engine!$C$2:$C$1960,0)))</f>
        <v/>
      </c>
      <c r="G685" s="8">
        <f>IF(ISNA(MATCH(672,Engine!$C$2:$C$1960,0)),"",INDEX('Compliance Database'!$G$2:$G$1960,MATCH(672,Engine!$C$2:$C$1960,0)))</f>
        <v/>
      </c>
      <c r="H685" s="9">
        <f>IF(ISNA(MATCH(672,Engine!$C$2:$C$1960,0)),"",INDEX('Compliance Database'!$H$2:$H$1960,MATCH(672,Engine!$C$2:$C$1960,0)))</f>
        <v/>
      </c>
      <c r="I685" s="9">
        <f>IF(ISNA(MATCH(672,Engine!$C$2:$C$1960,0)),"",INDEX('Compliance Database'!$I$2:$I$1960,MATCH(672,Engine!$C$2:$C$1960,0)))</f>
        <v/>
      </c>
      <c r="J685" s="8">
        <f>IF(ISNA(MATCH(672,Engine!$C$2:$C$1960,0)),"",INDEX('Compliance Database'!$J$2:$J$1960,MATCH(672,Engine!$C$2:$C$1960,0)))</f>
        <v/>
      </c>
      <c r="K685" s="9">
        <f>IF(ISNA(MATCH(672,Engine!$C$2:$C$1960,0)),"",INDEX('Compliance Database'!$K$2:$K$1960,MATCH(672,Engine!$C$2:$C$1960,0)))</f>
        <v/>
      </c>
      <c r="L685" s="9">
        <f>IF(ISNA(MATCH(672,Engine!$C$2:$C$1960,0)),"",INDEX('Compliance Database'!$L$2:$L$1960,MATCH(672,Engine!$C$2:$C$1960,0)))</f>
        <v/>
      </c>
      <c r="M685" s="9">
        <f>IF(ISNA(MATCH(672,Engine!$C$2:$C$1960,0)),"",INDEX('Compliance Database'!$M$2:$M$1960,MATCH(672,Engine!$C$2:$C$1960,0)))</f>
        <v/>
      </c>
      <c r="N685" s="9">
        <f>IF(ISNA(MATCH(672,Engine!$C$2:$C$1960,0)),"",INDEX('Compliance Database'!$N$2:$N$1960,MATCH(672,Engine!$C$2:$C$1960,0)))</f>
        <v/>
      </c>
      <c r="O685" s="9">
        <f>IF(ISNA(MATCH(672,Engine!$C$2:$C$1960,0)),"",INDEX('Compliance Database'!$O$2:$O$1960,MATCH(672,Engine!$C$2:$C$1960,0)))</f>
        <v/>
      </c>
      <c r="P685" s="8">
        <f>IF(ISNA(MATCH(672,Engine!$C$2:$C$1960,0)),"",HYPERLINK("#Acts!A"&amp;INDEX('Compliance Database'!$P$2:$P$1960,MATCH(672,Engine!$C$2:$C$1960,0)),"Go to Act"))</f>
        <v/>
      </c>
    </row>
    <row r="686" ht="158" customHeight="1">
      <c r="A686" s="8">
        <f>IF(ISNA(MATCH(673,Engine!$C$2:$C$1960,0)),"",INDEX('Compliance Database'!$A$2:$A$1960,MATCH(673,Engine!$C$2:$C$1960,0)))</f>
        <v/>
      </c>
      <c r="B686" s="8">
        <f>IF(ISNA(MATCH(673,Engine!$C$2:$C$1960,0)),"",INDEX('Compliance Database'!$B$2:$B$1960,MATCH(673,Engine!$C$2:$C$1960,0)))</f>
        <v/>
      </c>
      <c r="C686" s="8">
        <f>IF(ISNA(MATCH(673,Engine!$C$2:$C$1960,0)),"",INDEX('Compliance Database'!$C$2:$C$1960,MATCH(673,Engine!$C$2:$C$1960,0)))</f>
        <v/>
      </c>
      <c r="D686" s="9">
        <f>IF(ISNA(MATCH(673,Engine!$C$2:$C$1960,0)),"",INDEX('Compliance Database'!$D$2:$D$1960,MATCH(673,Engine!$C$2:$C$1960,0)))</f>
        <v/>
      </c>
      <c r="E686" s="8">
        <f>IF(ISNA(MATCH(673,Engine!$C$2:$C$1960,0)),"",INDEX('Compliance Database'!$E$2:$E$1960,MATCH(673,Engine!$C$2:$C$1960,0)))</f>
        <v/>
      </c>
      <c r="F686" s="8">
        <f>IF(ISNA(MATCH(673,Engine!$C$2:$C$1960,0)),"",INDEX('Compliance Database'!$F$2:$F$1960,MATCH(673,Engine!$C$2:$C$1960,0)))</f>
        <v/>
      </c>
      <c r="G686" s="8">
        <f>IF(ISNA(MATCH(673,Engine!$C$2:$C$1960,0)),"",INDEX('Compliance Database'!$G$2:$G$1960,MATCH(673,Engine!$C$2:$C$1960,0)))</f>
        <v/>
      </c>
      <c r="H686" s="9">
        <f>IF(ISNA(MATCH(673,Engine!$C$2:$C$1960,0)),"",INDEX('Compliance Database'!$H$2:$H$1960,MATCH(673,Engine!$C$2:$C$1960,0)))</f>
        <v/>
      </c>
      <c r="I686" s="9">
        <f>IF(ISNA(MATCH(673,Engine!$C$2:$C$1960,0)),"",INDEX('Compliance Database'!$I$2:$I$1960,MATCH(673,Engine!$C$2:$C$1960,0)))</f>
        <v/>
      </c>
      <c r="J686" s="8">
        <f>IF(ISNA(MATCH(673,Engine!$C$2:$C$1960,0)),"",INDEX('Compliance Database'!$J$2:$J$1960,MATCH(673,Engine!$C$2:$C$1960,0)))</f>
        <v/>
      </c>
      <c r="K686" s="9">
        <f>IF(ISNA(MATCH(673,Engine!$C$2:$C$1960,0)),"",INDEX('Compliance Database'!$K$2:$K$1960,MATCH(673,Engine!$C$2:$C$1960,0)))</f>
        <v/>
      </c>
      <c r="L686" s="9">
        <f>IF(ISNA(MATCH(673,Engine!$C$2:$C$1960,0)),"",INDEX('Compliance Database'!$L$2:$L$1960,MATCH(673,Engine!$C$2:$C$1960,0)))</f>
        <v/>
      </c>
      <c r="M686" s="9">
        <f>IF(ISNA(MATCH(673,Engine!$C$2:$C$1960,0)),"",INDEX('Compliance Database'!$M$2:$M$1960,MATCH(673,Engine!$C$2:$C$1960,0)))</f>
        <v/>
      </c>
      <c r="N686" s="9">
        <f>IF(ISNA(MATCH(673,Engine!$C$2:$C$1960,0)),"",INDEX('Compliance Database'!$N$2:$N$1960,MATCH(673,Engine!$C$2:$C$1960,0)))</f>
        <v/>
      </c>
      <c r="O686" s="9">
        <f>IF(ISNA(MATCH(673,Engine!$C$2:$C$1960,0)),"",INDEX('Compliance Database'!$O$2:$O$1960,MATCH(673,Engine!$C$2:$C$1960,0)))</f>
        <v/>
      </c>
      <c r="P686" s="8">
        <f>IF(ISNA(MATCH(673,Engine!$C$2:$C$1960,0)),"",HYPERLINK("#Acts!A"&amp;INDEX('Compliance Database'!$P$2:$P$1960,MATCH(673,Engine!$C$2:$C$1960,0)),"Go to Act"))</f>
        <v/>
      </c>
    </row>
    <row r="687" ht="158" customHeight="1">
      <c r="A687" s="8">
        <f>IF(ISNA(MATCH(674,Engine!$C$2:$C$1960,0)),"",INDEX('Compliance Database'!$A$2:$A$1960,MATCH(674,Engine!$C$2:$C$1960,0)))</f>
        <v/>
      </c>
      <c r="B687" s="8">
        <f>IF(ISNA(MATCH(674,Engine!$C$2:$C$1960,0)),"",INDEX('Compliance Database'!$B$2:$B$1960,MATCH(674,Engine!$C$2:$C$1960,0)))</f>
        <v/>
      </c>
      <c r="C687" s="8">
        <f>IF(ISNA(MATCH(674,Engine!$C$2:$C$1960,0)),"",INDEX('Compliance Database'!$C$2:$C$1960,MATCH(674,Engine!$C$2:$C$1960,0)))</f>
        <v/>
      </c>
      <c r="D687" s="9">
        <f>IF(ISNA(MATCH(674,Engine!$C$2:$C$1960,0)),"",INDEX('Compliance Database'!$D$2:$D$1960,MATCH(674,Engine!$C$2:$C$1960,0)))</f>
        <v/>
      </c>
      <c r="E687" s="8">
        <f>IF(ISNA(MATCH(674,Engine!$C$2:$C$1960,0)),"",INDEX('Compliance Database'!$E$2:$E$1960,MATCH(674,Engine!$C$2:$C$1960,0)))</f>
        <v/>
      </c>
      <c r="F687" s="8">
        <f>IF(ISNA(MATCH(674,Engine!$C$2:$C$1960,0)),"",INDEX('Compliance Database'!$F$2:$F$1960,MATCH(674,Engine!$C$2:$C$1960,0)))</f>
        <v/>
      </c>
      <c r="G687" s="8">
        <f>IF(ISNA(MATCH(674,Engine!$C$2:$C$1960,0)),"",INDEX('Compliance Database'!$G$2:$G$1960,MATCH(674,Engine!$C$2:$C$1960,0)))</f>
        <v/>
      </c>
      <c r="H687" s="9">
        <f>IF(ISNA(MATCH(674,Engine!$C$2:$C$1960,0)),"",INDEX('Compliance Database'!$H$2:$H$1960,MATCH(674,Engine!$C$2:$C$1960,0)))</f>
        <v/>
      </c>
      <c r="I687" s="9">
        <f>IF(ISNA(MATCH(674,Engine!$C$2:$C$1960,0)),"",INDEX('Compliance Database'!$I$2:$I$1960,MATCH(674,Engine!$C$2:$C$1960,0)))</f>
        <v/>
      </c>
      <c r="J687" s="8">
        <f>IF(ISNA(MATCH(674,Engine!$C$2:$C$1960,0)),"",INDEX('Compliance Database'!$J$2:$J$1960,MATCH(674,Engine!$C$2:$C$1960,0)))</f>
        <v/>
      </c>
      <c r="K687" s="9">
        <f>IF(ISNA(MATCH(674,Engine!$C$2:$C$1960,0)),"",INDEX('Compliance Database'!$K$2:$K$1960,MATCH(674,Engine!$C$2:$C$1960,0)))</f>
        <v/>
      </c>
      <c r="L687" s="9">
        <f>IF(ISNA(MATCH(674,Engine!$C$2:$C$1960,0)),"",INDEX('Compliance Database'!$L$2:$L$1960,MATCH(674,Engine!$C$2:$C$1960,0)))</f>
        <v/>
      </c>
      <c r="M687" s="9">
        <f>IF(ISNA(MATCH(674,Engine!$C$2:$C$1960,0)),"",INDEX('Compliance Database'!$M$2:$M$1960,MATCH(674,Engine!$C$2:$C$1960,0)))</f>
        <v/>
      </c>
      <c r="N687" s="9">
        <f>IF(ISNA(MATCH(674,Engine!$C$2:$C$1960,0)),"",INDEX('Compliance Database'!$N$2:$N$1960,MATCH(674,Engine!$C$2:$C$1960,0)))</f>
        <v/>
      </c>
      <c r="O687" s="9">
        <f>IF(ISNA(MATCH(674,Engine!$C$2:$C$1960,0)),"",INDEX('Compliance Database'!$O$2:$O$1960,MATCH(674,Engine!$C$2:$C$1960,0)))</f>
        <v/>
      </c>
      <c r="P687" s="8">
        <f>IF(ISNA(MATCH(674,Engine!$C$2:$C$1960,0)),"",HYPERLINK("#Acts!A"&amp;INDEX('Compliance Database'!$P$2:$P$1960,MATCH(674,Engine!$C$2:$C$1960,0)),"Go to Act"))</f>
        <v/>
      </c>
    </row>
    <row r="688" ht="158" customHeight="1">
      <c r="A688" s="8">
        <f>IF(ISNA(MATCH(675,Engine!$C$2:$C$1960,0)),"",INDEX('Compliance Database'!$A$2:$A$1960,MATCH(675,Engine!$C$2:$C$1960,0)))</f>
        <v/>
      </c>
      <c r="B688" s="8">
        <f>IF(ISNA(MATCH(675,Engine!$C$2:$C$1960,0)),"",INDEX('Compliance Database'!$B$2:$B$1960,MATCH(675,Engine!$C$2:$C$1960,0)))</f>
        <v/>
      </c>
      <c r="C688" s="8">
        <f>IF(ISNA(MATCH(675,Engine!$C$2:$C$1960,0)),"",INDEX('Compliance Database'!$C$2:$C$1960,MATCH(675,Engine!$C$2:$C$1960,0)))</f>
        <v/>
      </c>
      <c r="D688" s="9">
        <f>IF(ISNA(MATCH(675,Engine!$C$2:$C$1960,0)),"",INDEX('Compliance Database'!$D$2:$D$1960,MATCH(675,Engine!$C$2:$C$1960,0)))</f>
        <v/>
      </c>
      <c r="E688" s="8">
        <f>IF(ISNA(MATCH(675,Engine!$C$2:$C$1960,0)),"",INDEX('Compliance Database'!$E$2:$E$1960,MATCH(675,Engine!$C$2:$C$1960,0)))</f>
        <v/>
      </c>
      <c r="F688" s="8">
        <f>IF(ISNA(MATCH(675,Engine!$C$2:$C$1960,0)),"",INDEX('Compliance Database'!$F$2:$F$1960,MATCH(675,Engine!$C$2:$C$1960,0)))</f>
        <v/>
      </c>
      <c r="G688" s="8">
        <f>IF(ISNA(MATCH(675,Engine!$C$2:$C$1960,0)),"",INDEX('Compliance Database'!$G$2:$G$1960,MATCH(675,Engine!$C$2:$C$1960,0)))</f>
        <v/>
      </c>
      <c r="H688" s="9">
        <f>IF(ISNA(MATCH(675,Engine!$C$2:$C$1960,0)),"",INDEX('Compliance Database'!$H$2:$H$1960,MATCH(675,Engine!$C$2:$C$1960,0)))</f>
        <v/>
      </c>
      <c r="I688" s="9">
        <f>IF(ISNA(MATCH(675,Engine!$C$2:$C$1960,0)),"",INDEX('Compliance Database'!$I$2:$I$1960,MATCH(675,Engine!$C$2:$C$1960,0)))</f>
        <v/>
      </c>
      <c r="J688" s="8">
        <f>IF(ISNA(MATCH(675,Engine!$C$2:$C$1960,0)),"",INDEX('Compliance Database'!$J$2:$J$1960,MATCH(675,Engine!$C$2:$C$1960,0)))</f>
        <v/>
      </c>
      <c r="K688" s="9">
        <f>IF(ISNA(MATCH(675,Engine!$C$2:$C$1960,0)),"",INDEX('Compliance Database'!$K$2:$K$1960,MATCH(675,Engine!$C$2:$C$1960,0)))</f>
        <v/>
      </c>
      <c r="L688" s="9">
        <f>IF(ISNA(MATCH(675,Engine!$C$2:$C$1960,0)),"",INDEX('Compliance Database'!$L$2:$L$1960,MATCH(675,Engine!$C$2:$C$1960,0)))</f>
        <v/>
      </c>
      <c r="M688" s="9">
        <f>IF(ISNA(MATCH(675,Engine!$C$2:$C$1960,0)),"",INDEX('Compliance Database'!$M$2:$M$1960,MATCH(675,Engine!$C$2:$C$1960,0)))</f>
        <v/>
      </c>
      <c r="N688" s="9">
        <f>IF(ISNA(MATCH(675,Engine!$C$2:$C$1960,0)),"",INDEX('Compliance Database'!$N$2:$N$1960,MATCH(675,Engine!$C$2:$C$1960,0)))</f>
        <v/>
      </c>
      <c r="O688" s="9">
        <f>IF(ISNA(MATCH(675,Engine!$C$2:$C$1960,0)),"",INDEX('Compliance Database'!$O$2:$O$1960,MATCH(675,Engine!$C$2:$C$1960,0)))</f>
        <v/>
      </c>
      <c r="P688" s="8">
        <f>IF(ISNA(MATCH(675,Engine!$C$2:$C$1960,0)),"",HYPERLINK("#Acts!A"&amp;INDEX('Compliance Database'!$P$2:$P$1960,MATCH(675,Engine!$C$2:$C$1960,0)),"Go to Act"))</f>
        <v/>
      </c>
    </row>
    <row r="689" ht="158" customHeight="1">
      <c r="A689" s="8">
        <f>IF(ISNA(MATCH(676,Engine!$C$2:$C$1960,0)),"",INDEX('Compliance Database'!$A$2:$A$1960,MATCH(676,Engine!$C$2:$C$1960,0)))</f>
        <v/>
      </c>
      <c r="B689" s="8">
        <f>IF(ISNA(MATCH(676,Engine!$C$2:$C$1960,0)),"",INDEX('Compliance Database'!$B$2:$B$1960,MATCH(676,Engine!$C$2:$C$1960,0)))</f>
        <v/>
      </c>
      <c r="C689" s="8">
        <f>IF(ISNA(MATCH(676,Engine!$C$2:$C$1960,0)),"",INDEX('Compliance Database'!$C$2:$C$1960,MATCH(676,Engine!$C$2:$C$1960,0)))</f>
        <v/>
      </c>
      <c r="D689" s="9">
        <f>IF(ISNA(MATCH(676,Engine!$C$2:$C$1960,0)),"",INDEX('Compliance Database'!$D$2:$D$1960,MATCH(676,Engine!$C$2:$C$1960,0)))</f>
        <v/>
      </c>
      <c r="E689" s="8">
        <f>IF(ISNA(MATCH(676,Engine!$C$2:$C$1960,0)),"",INDEX('Compliance Database'!$E$2:$E$1960,MATCH(676,Engine!$C$2:$C$1960,0)))</f>
        <v/>
      </c>
      <c r="F689" s="8">
        <f>IF(ISNA(MATCH(676,Engine!$C$2:$C$1960,0)),"",INDEX('Compliance Database'!$F$2:$F$1960,MATCH(676,Engine!$C$2:$C$1960,0)))</f>
        <v/>
      </c>
      <c r="G689" s="8">
        <f>IF(ISNA(MATCH(676,Engine!$C$2:$C$1960,0)),"",INDEX('Compliance Database'!$G$2:$G$1960,MATCH(676,Engine!$C$2:$C$1960,0)))</f>
        <v/>
      </c>
      <c r="H689" s="9">
        <f>IF(ISNA(MATCH(676,Engine!$C$2:$C$1960,0)),"",INDEX('Compliance Database'!$H$2:$H$1960,MATCH(676,Engine!$C$2:$C$1960,0)))</f>
        <v/>
      </c>
      <c r="I689" s="9">
        <f>IF(ISNA(MATCH(676,Engine!$C$2:$C$1960,0)),"",INDEX('Compliance Database'!$I$2:$I$1960,MATCH(676,Engine!$C$2:$C$1960,0)))</f>
        <v/>
      </c>
      <c r="J689" s="8">
        <f>IF(ISNA(MATCH(676,Engine!$C$2:$C$1960,0)),"",INDEX('Compliance Database'!$J$2:$J$1960,MATCH(676,Engine!$C$2:$C$1960,0)))</f>
        <v/>
      </c>
      <c r="K689" s="9">
        <f>IF(ISNA(MATCH(676,Engine!$C$2:$C$1960,0)),"",INDEX('Compliance Database'!$K$2:$K$1960,MATCH(676,Engine!$C$2:$C$1960,0)))</f>
        <v/>
      </c>
      <c r="L689" s="9">
        <f>IF(ISNA(MATCH(676,Engine!$C$2:$C$1960,0)),"",INDEX('Compliance Database'!$L$2:$L$1960,MATCH(676,Engine!$C$2:$C$1960,0)))</f>
        <v/>
      </c>
      <c r="M689" s="9">
        <f>IF(ISNA(MATCH(676,Engine!$C$2:$C$1960,0)),"",INDEX('Compliance Database'!$M$2:$M$1960,MATCH(676,Engine!$C$2:$C$1960,0)))</f>
        <v/>
      </c>
      <c r="N689" s="9">
        <f>IF(ISNA(MATCH(676,Engine!$C$2:$C$1960,0)),"",INDEX('Compliance Database'!$N$2:$N$1960,MATCH(676,Engine!$C$2:$C$1960,0)))</f>
        <v/>
      </c>
      <c r="O689" s="9">
        <f>IF(ISNA(MATCH(676,Engine!$C$2:$C$1960,0)),"",INDEX('Compliance Database'!$O$2:$O$1960,MATCH(676,Engine!$C$2:$C$1960,0)))</f>
        <v/>
      </c>
      <c r="P689" s="8">
        <f>IF(ISNA(MATCH(676,Engine!$C$2:$C$1960,0)),"",HYPERLINK("#Acts!A"&amp;INDEX('Compliance Database'!$P$2:$P$1960,MATCH(676,Engine!$C$2:$C$1960,0)),"Go to Act"))</f>
        <v/>
      </c>
    </row>
    <row r="690" ht="158" customHeight="1">
      <c r="A690" s="8">
        <f>IF(ISNA(MATCH(677,Engine!$C$2:$C$1960,0)),"",INDEX('Compliance Database'!$A$2:$A$1960,MATCH(677,Engine!$C$2:$C$1960,0)))</f>
        <v/>
      </c>
      <c r="B690" s="8">
        <f>IF(ISNA(MATCH(677,Engine!$C$2:$C$1960,0)),"",INDEX('Compliance Database'!$B$2:$B$1960,MATCH(677,Engine!$C$2:$C$1960,0)))</f>
        <v/>
      </c>
      <c r="C690" s="8">
        <f>IF(ISNA(MATCH(677,Engine!$C$2:$C$1960,0)),"",INDEX('Compliance Database'!$C$2:$C$1960,MATCH(677,Engine!$C$2:$C$1960,0)))</f>
        <v/>
      </c>
      <c r="D690" s="9">
        <f>IF(ISNA(MATCH(677,Engine!$C$2:$C$1960,0)),"",INDEX('Compliance Database'!$D$2:$D$1960,MATCH(677,Engine!$C$2:$C$1960,0)))</f>
        <v/>
      </c>
      <c r="E690" s="8">
        <f>IF(ISNA(MATCH(677,Engine!$C$2:$C$1960,0)),"",INDEX('Compliance Database'!$E$2:$E$1960,MATCH(677,Engine!$C$2:$C$1960,0)))</f>
        <v/>
      </c>
      <c r="F690" s="8">
        <f>IF(ISNA(MATCH(677,Engine!$C$2:$C$1960,0)),"",INDEX('Compliance Database'!$F$2:$F$1960,MATCH(677,Engine!$C$2:$C$1960,0)))</f>
        <v/>
      </c>
      <c r="G690" s="8">
        <f>IF(ISNA(MATCH(677,Engine!$C$2:$C$1960,0)),"",INDEX('Compliance Database'!$G$2:$G$1960,MATCH(677,Engine!$C$2:$C$1960,0)))</f>
        <v/>
      </c>
      <c r="H690" s="9">
        <f>IF(ISNA(MATCH(677,Engine!$C$2:$C$1960,0)),"",INDEX('Compliance Database'!$H$2:$H$1960,MATCH(677,Engine!$C$2:$C$1960,0)))</f>
        <v/>
      </c>
      <c r="I690" s="9">
        <f>IF(ISNA(MATCH(677,Engine!$C$2:$C$1960,0)),"",INDEX('Compliance Database'!$I$2:$I$1960,MATCH(677,Engine!$C$2:$C$1960,0)))</f>
        <v/>
      </c>
      <c r="J690" s="8">
        <f>IF(ISNA(MATCH(677,Engine!$C$2:$C$1960,0)),"",INDEX('Compliance Database'!$J$2:$J$1960,MATCH(677,Engine!$C$2:$C$1960,0)))</f>
        <v/>
      </c>
      <c r="K690" s="9">
        <f>IF(ISNA(MATCH(677,Engine!$C$2:$C$1960,0)),"",INDEX('Compliance Database'!$K$2:$K$1960,MATCH(677,Engine!$C$2:$C$1960,0)))</f>
        <v/>
      </c>
      <c r="L690" s="9">
        <f>IF(ISNA(MATCH(677,Engine!$C$2:$C$1960,0)),"",INDEX('Compliance Database'!$L$2:$L$1960,MATCH(677,Engine!$C$2:$C$1960,0)))</f>
        <v/>
      </c>
      <c r="M690" s="9">
        <f>IF(ISNA(MATCH(677,Engine!$C$2:$C$1960,0)),"",INDEX('Compliance Database'!$M$2:$M$1960,MATCH(677,Engine!$C$2:$C$1960,0)))</f>
        <v/>
      </c>
      <c r="N690" s="9">
        <f>IF(ISNA(MATCH(677,Engine!$C$2:$C$1960,0)),"",INDEX('Compliance Database'!$N$2:$N$1960,MATCH(677,Engine!$C$2:$C$1960,0)))</f>
        <v/>
      </c>
      <c r="O690" s="9">
        <f>IF(ISNA(MATCH(677,Engine!$C$2:$C$1960,0)),"",INDEX('Compliance Database'!$O$2:$O$1960,MATCH(677,Engine!$C$2:$C$1960,0)))</f>
        <v/>
      </c>
      <c r="P690" s="8">
        <f>IF(ISNA(MATCH(677,Engine!$C$2:$C$1960,0)),"",HYPERLINK("#Acts!A"&amp;INDEX('Compliance Database'!$P$2:$P$1960,MATCH(677,Engine!$C$2:$C$1960,0)),"Go to Act"))</f>
        <v/>
      </c>
    </row>
    <row r="691" ht="158" customHeight="1">
      <c r="A691" s="8">
        <f>IF(ISNA(MATCH(678,Engine!$C$2:$C$1960,0)),"",INDEX('Compliance Database'!$A$2:$A$1960,MATCH(678,Engine!$C$2:$C$1960,0)))</f>
        <v/>
      </c>
      <c r="B691" s="8">
        <f>IF(ISNA(MATCH(678,Engine!$C$2:$C$1960,0)),"",INDEX('Compliance Database'!$B$2:$B$1960,MATCH(678,Engine!$C$2:$C$1960,0)))</f>
        <v/>
      </c>
      <c r="C691" s="8">
        <f>IF(ISNA(MATCH(678,Engine!$C$2:$C$1960,0)),"",INDEX('Compliance Database'!$C$2:$C$1960,MATCH(678,Engine!$C$2:$C$1960,0)))</f>
        <v/>
      </c>
      <c r="D691" s="9">
        <f>IF(ISNA(MATCH(678,Engine!$C$2:$C$1960,0)),"",INDEX('Compliance Database'!$D$2:$D$1960,MATCH(678,Engine!$C$2:$C$1960,0)))</f>
        <v/>
      </c>
      <c r="E691" s="8">
        <f>IF(ISNA(MATCH(678,Engine!$C$2:$C$1960,0)),"",INDEX('Compliance Database'!$E$2:$E$1960,MATCH(678,Engine!$C$2:$C$1960,0)))</f>
        <v/>
      </c>
      <c r="F691" s="8">
        <f>IF(ISNA(MATCH(678,Engine!$C$2:$C$1960,0)),"",INDEX('Compliance Database'!$F$2:$F$1960,MATCH(678,Engine!$C$2:$C$1960,0)))</f>
        <v/>
      </c>
      <c r="G691" s="8">
        <f>IF(ISNA(MATCH(678,Engine!$C$2:$C$1960,0)),"",INDEX('Compliance Database'!$G$2:$G$1960,MATCH(678,Engine!$C$2:$C$1960,0)))</f>
        <v/>
      </c>
      <c r="H691" s="9">
        <f>IF(ISNA(MATCH(678,Engine!$C$2:$C$1960,0)),"",INDEX('Compliance Database'!$H$2:$H$1960,MATCH(678,Engine!$C$2:$C$1960,0)))</f>
        <v/>
      </c>
      <c r="I691" s="9">
        <f>IF(ISNA(MATCH(678,Engine!$C$2:$C$1960,0)),"",INDEX('Compliance Database'!$I$2:$I$1960,MATCH(678,Engine!$C$2:$C$1960,0)))</f>
        <v/>
      </c>
      <c r="J691" s="8">
        <f>IF(ISNA(MATCH(678,Engine!$C$2:$C$1960,0)),"",INDEX('Compliance Database'!$J$2:$J$1960,MATCH(678,Engine!$C$2:$C$1960,0)))</f>
        <v/>
      </c>
      <c r="K691" s="9">
        <f>IF(ISNA(MATCH(678,Engine!$C$2:$C$1960,0)),"",INDEX('Compliance Database'!$K$2:$K$1960,MATCH(678,Engine!$C$2:$C$1960,0)))</f>
        <v/>
      </c>
      <c r="L691" s="9">
        <f>IF(ISNA(MATCH(678,Engine!$C$2:$C$1960,0)),"",INDEX('Compliance Database'!$L$2:$L$1960,MATCH(678,Engine!$C$2:$C$1960,0)))</f>
        <v/>
      </c>
      <c r="M691" s="9">
        <f>IF(ISNA(MATCH(678,Engine!$C$2:$C$1960,0)),"",INDEX('Compliance Database'!$M$2:$M$1960,MATCH(678,Engine!$C$2:$C$1960,0)))</f>
        <v/>
      </c>
      <c r="N691" s="9">
        <f>IF(ISNA(MATCH(678,Engine!$C$2:$C$1960,0)),"",INDEX('Compliance Database'!$N$2:$N$1960,MATCH(678,Engine!$C$2:$C$1960,0)))</f>
        <v/>
      </c>
      <c r="O691" s="9">
        <f>IF(ISNA(MATCH(678,Engine!$C$2:$C$1960,0)),"",INDEX('Compliance Database'!$O$2:$O$1960,MATCH(678,Engine!$C$2:$C$1960,0)))</f>
        <v/>
      </c>
      <c r="P691" s="8">
        <f>IF(ISNA(MATCH(678,Engine!$C$2:$C$1960,0)),"",HYPERLINK("#Acts!A"&amp;INDEX('Compliance Database'!$P$2:$P$1960,MATCH(678,Engine!$C$2:$C$1960,0)),"Go to Act"))</f>
        <v/>
      </c>
    </row>
    <row r="692" ht="158" customHeight="1">
      <c r="A692" s="8">
        <f>IF(ISNA(MATCH(679,Engine!$C$2:$C$1960,0)),"",INDEX('Compliance Database'!$A$2:$A$1960,MATCH(679,Engine!$C$2:$C$1960,0)))</f>
        <v/>
      </c>
      <c r="B692" s="8">
        <f>IF(ISNA(MATCH(679,Engine!$C$2:$C$1960,0)),"",INDEX('Compliance Database'!$B$2:$B$1960,MATCH(679,Engine!$C$2:$C$1960,0)))</f>
        <v/>
      </c>
      <c r="C692" s="8">
        <f>IF(ISNA(MATCH(679,Engine!$C$2:$C$1960,0)),"",INDEX('Compliance Database'!$C$2:$C$1960,MATCH(679,Engine!$C$2:$C$1960,0)))</f>
        <v/>
      </c>
      <c r="D692" s="9">
        <f>IF(ISNA(MATCH(679,Engine!$C$2:$C$1960,0)),"",INDEX('Compliance Database'!$D$2:$D$1960,MATCH(679,Engine!$C$2:$C$1960,0)))</f>
        <v/>
      </c>
      <c r="E692" s="8">
        <f>IF(ISNA(MATCH(679,Engine!$C$2:$C$1960,0)),"",INDEX('Compliance Database'!$E$2:$E$1960,MATCH(679,Engine!$C$2:$C$1960,0)))</f>
        <v/>
      </c>
      <c r="F692" s="8">
        <f>IF(ISNA(MATCH(679,Engine!$C$2:$C$1960,0)),"",INDEX('Compliance Database'!$F$2:$F$1960,MATCH(679,Engine!$C$2:$C$1960,0)))</f>
        <v/>
      </c>
      <c r="G692" s="8">
        <f>IF(ISNA(MATCH(679,Engine!$C$2:$C$1960,0)),"",INDEX('Compliance Database'!$G$2:$G$1960,MATCH(679,Engine!$C$2:$C$1960,0)))</f>
        <v/>
      </c>
      <c r="H692" s="9">
        <f>IF(ISNA(MATCH(679,Engine!$C$2:$C$1960,0)),"",INDEX('Compliance Database'!$H$2:$H$1960,MATCH(679,Engine!$C$2:$C$1960,0)))</f>
        <v/>
      </c>
      <c r="I692" s="9">
        <f>IF(ISNA(MATCH(679,Engine!$C$2:$C$1960,0)),"",INDEX('Compliance Database'!$I$2:$I$1960,MATCH(679,Engine!$C$2:$C$1960,0)))</f>
        <v/>
      </c>
      <c r="J692" s="8">
        <f>IF(ISNA(MATCH(679,Engine!$C$2:$C$1960,0)),"",INDEX('Compliance Database'!$J$2:$J$1960,MATCH(679,Engine!$C$2:$C$1960,0)))</f>
        <v/>
      </c>
      <c r="K692" s="9">
        <f>IF(ISNA(MATCH(679,Engine!$C$2:$C$1960,0)),"",INDEX('Compliance Database'!$K$2:$K$1960,MATCH(679,Engine!$C$2:$C$1960,0)))</f>
        <v/>
      </c>
      <c r="L692" s="9">
        <f>IF(ISNA(MATCH(679,Engine!$C$2:$C$1960,0)),"",INDEX('Compliance Database'!$L$2:$L$1960,MATCH(679,Engine!$C$2:$C$1960,0)))</f>
        <v/>
      </c>
      <c r="M692" s="9">
        <f>IF(ISNA(MATCH(679,Engine!$C$2:$C$1960,0)),"",INDEX('Compliance Database'!$M$2:$M$1960,MATCH(679,Engine!$C$2:$C$1960,0)))</f>
        <v/>
      </c>
      <c r="N692" s="9">
        <f>IF(ISNA(MATCH(679,Engine!$C$2:$C$1960,0)),"",INDEX('Compliance Database'!$N$2:$N$1960,MATCH(679,Engine!$C$2:$C$1960,0)))</f>
        <v/>
      </c>
      <c r="O692" s="9">
        <f>IF(ISNA(MATCH(679,Engine!$C$2:$C$1960,0)),"",INDEX('Compliance Database'!$O$2:$O$1960,MATCH(679,Engine!$C$2:$C$1960,0)))</f>
        <v/>
      </c>
      <c r="P692" s="8">
        <f>IF(ISNA(MATCH(679,Engine!$C$2:$C$1960,0)),"",HYPERLINK("#Acts!A"&amp;INDEX('Compliance Database'!$P$2:$P$1960,MATCH(679,Engine!$C$2:$C$1960,0)),"Go to Act"))</f>
        <v/>
      </c>
    </row>
    <row r="693" ht="158" customHeight="1">
      <c r="A693" s="8">
        <f>IF(ISNA(MATCH(680,Engine!$C$2:$C$1960,0)),"",INDEX('Compliance Database'!$A$2:$A$1960,MATCH(680,Engine!$C$2:$C$1960,0)))</f>
        <v/>
      </c>
      <c r="B693" s="8">
        <f>IF(ISNA(MATCH(680,Engine!$C$2:$C$1960,0)),"",INDEX('Compliance Database'!$B$2:$B$1960,MATCH(680,Engine!$C$2:$C$1960,0)))</f>
        <v/>
      </c>
      <c r="C693" s="8">
        <f>IF(ISNA(MATCH(680,Engine!$C$2:$C$1960,0)),"",INDEX('Compliance Database'!$C$2:$C$1960,MATCH(680,Engine!$C$2:$C$1960,0)))</f>
        <v/>
      </c>
      <c r="D693" s="9">
        <f>IF(ISNA(MATCH(680,Engine!$C$2:$C$1960,0)),"",INDEX('Compliance Database'!$D$2:$D$1960,MATCH(680,Engine!$C$2:$C$1960,0)))</f>
        <v/>
      </c>
      <c r="E693" s="8">
        <f>IF(ISNA(MATCH(680,Engine!$C$2:$C$1960,0)),"",INDEX('Compliance Database'!$E$2:$E$1960,MATCH(680,Engine!$C$2:$C$1960,0)))</f>
        <v/>
      </c>
      <c r="F693" s="8">
        <f>IF(ISNA(MATCH(680,Engine!$C$2:$C$1960,0)),"",INDEX('Compliance Database'!$F$2:$F$1960,MATCH(680,Engine!$C$2:$C$1960,0)))</f>
        <v/>
      </c>
      <c r="G693" s="8">
        <f>IF(ISNA(MATCH(680,Engine!$C$2:$C$1960,0)),"",INDEX('Compliance Database'!$G$2:$G$1960,MATCH(680,Engine!$C$2:$C$1960,0)))</f>
        <v/>
      </c>
      <c r="H693" s="9">
        <f>IF(ISNA(MATCH(680,Engine!$C$2:$C$1960,0)),"",INDEX('Compliance Database'!$H$2:$H$1960,MATCH(680,Engine!$C$2:$C$1960,0)))</f>
        <v/>
      </c>
      <c r="I693" s="9">
        <f>IF(ISNA(MATCH(680,Engine!$C$2:$C$1960,0)),"",INDEX('Compliance Database'!$I$2:$I$1960,MATCH(680,Engine!$C$2:$C$1960,0)))</f>
        <v/>
      </c>
      <c r="J693" s="8">
        <f>IF(ISNA(MATCH(680,Engine!$C$2:$C$1960,0)),"",INDEX('Compliance Database'!$J$2:$J$1960,MATCH(680,Engine!$C$2:$C$1960,0)))</f>
        <v/>
      </c>
      <c r="K693" s="9">
        <f>IF(ISNA(MATCH(680,Engine!$C$2:$C$1960,0)),"",INDEX('Compliance Database'!$K$2:$K$1960,MATCH(680,Engine!$C$2:$C$1960,0)))</f>
        <v/>
      </c>
      <c r="L693" s="9">
        <f>IF(ISNA(MATCH(680,Engine!$C$2:$C$1960,0)),"",INDEX('Compliance Database'!$L$2:$L$1960,MATCH(680,Engine!$C$2:$C$1960,0)))</f>
        <v/>
      </c>
      <c r="M693" s="9">
        <f>IF(ISNA(MATCH(680,Engine!$C$2:$C$1960,0)),"",INDEX('Compliance Database'!$M$2:$M$1960,MATCH(680,Engine!$C$2:$C$1960,0)))</f>
        <v/>
      </c>
      <c r="N693" s="9">
        <f>IF(ISNA(MATCH(680,Engine!$C$2:$C$1960,0)),"",INDEX('Compliance Database'!$N$2:$N$1960,MATCH(680,Engine!$C$2:$C$1960,0)))</f>
        <v/>
      </c>
      <c r="O693" s="9">
        <f>IF(ISNA(MATCH(680,Engine!$C$2:$C$1960,0)),"",INDEX('Compliance Database'!$O$2:$O$1960,MATCH(680,Engine!$C$2:$C$1960,0)))</f>
        <v/>
      </c>
      <c r="P693" s="8">
        <f>IF(ISNA(MATCH(680,Engine!$C$2:$C$1960,0)),"",HYPERLINK("#Acts!A"&amp;INDEX('Compliance Database'!$P$2:$P$1960,MATCH(680,Engine!$C$2:$C$1960,0)),"Go to Act"))</f>
        <v/>
      </c>
    </row>
    <row r="694" ht="158" customHeight="1">
      <c r="A694" s="8">
        <f>IF(ISNA(MATCH(681,Engine!$C$2:$C$1960,0)),"",INDEX('Compliance Database'!$A$2:$A$1960,MATCH(681,Engine!$C$2:$C$1960,0)))</f>
        <v/>
      </c>
      <c r="B694" s="8">
        <f>IF(ISNA(MATCH(681,Engine!$C$2:$C$1960,0)),"",INDEX('Compliance Database'!$B$2:$B$1960,MATCH(681,Engine!$C$2:$C$1960,0)))</f>
        <v/>
      </c>
      <c r="C694" s="8">
        <f>IF(ISNA(MATCH(681,Engine!$C$2:$C$1960,0)),"",INDEX('Compliance Database'!$C$2:$C$1960,MATCH(681,Engine!$C$2:$C$1960,0)))</f>
        <v/>
      </c>
      <c r="D694" s="9">
        <f>IF(ISNA(MATCH(681,Engine!$C$2:$C$1960,0)),"",INDEX('Compliance Database'!$D$2:$D$1960,MATCH(681,Engine!$C$2:$C$1960,0)))</f>
        <v/>
      </c>
      <c r="E694" s="8">
        <f>IF(ISNA(MATCH(681,Engine!$C$2:$C$1960,0)),"",INDEX('Compliance Database'!$E$2:$E$1960,MATCH(681,Engine!$C$2:$C$1960,0)))</f>
        <v/>
      </c>
      <c r="F694" s="8">
        <f>IF(ISNA(MATCH(681,Engine!$C$2:$C$1960,0)),"",INDEX('Compliance Database'!$F$2:$F$1960,MATCH(681,Engine!$C$2:$C$1960,0)))</f>
        <v/>
      </c>
      <c r="G694" s="8">
        <f>IF(ISNA(MATCH(681,Engine!$C$2:$C$1960,0)),"",INDEX('Compliance Database'!$G$2:$G$1960,MATCH(681,Engine!$C$2:$C$1960,0)))</f>
        <v/>
      </c>
      <c r="H694" s="9">
        <f>IF(ISNA(MATCH(681,Engine!$C$2:$C$1960,0)),"",INDEX('Compliance Database'!$H$2:$H$1960,MATCH(681,Engine!$C$2:$C$1960,0)))</f>
        <v/>
      </c>
      <c r="I694" s="9">
        <f>IF(ISNA(MATCH(681,Engine!$C$2:$C$1960,0)),"",INDEX('Compliance Database'!$I$2:$I$1960,MATCH(681,Engine!$C$2:$C$1960,0)))</f>
        <v/>
      </c>
      <c r="J694" s="8">
        <f>IF(ISNA(MATCH(681,Engine!$C$2:$C$1960,0)),"",INDEX('Compliance Database'!$J$2:$J$1960,MATCH(681,Engine!$C$2:$C$1960,0)))</f>
        <v/>
      </c>
      <c r="K694" s="9">
        <f>IF(ISNA(MATCH(681,Engine!$C$2:$C$1960,0)),"",INDEX('Compliance Database'!$K$2:$K$1960,MATCH(681,Engine!$C$2:$C$1960,0)))</f>
        <v/>
      </c>
      <c r="L694" s="9">
        <f>IF(ISNA(MATCH(681,Engine!$C$2:$C$1960,0)),"",INDEX('Compliance Database'!$L$2:$L$1960,MATCH(681,Engine!$C$2:$C$1960,0)))</f>
        <v/>
      </c>
      <c r="M694" s="9">
        <f>IF(ISNA(MATCH(681,Engine!$C$2:$C$1960,0)),"",INDEX('Compliance Database'!$M$2:$M$1960,MATCH(681,Engine!$C$2:$C$1960,0)))</f>
        <v/>
      </c>
      <c r="N694" s="9">
        <f>IF(ISNA(MATCH(681,Engine!$C$2:$C$1960,0)),"",INDEX('Compliance Database'!$N$2:$N$1960,MATCH(681,Engine!$C$2:$C$1960,0)))</f>
        <v/>
      </c>
      <c r="O694" s="9">
        <f>IF(ISNA(MATCH(681,Engine!$C$2:$C$1960,0)),"",INDEX('Compliance Database'!$O$2:$O$1960,MATCH(681,Engine!$C$2:$C$1960,0)))</f>
        <v/>
      </c>
      <c r="P694" s="8">
        <f>IF(ISNA(MATCH(681,Engine!$C$2:$C$1960,0)),"",HYPERLINK("#Acts!A"&amp;INDEX('Compliance Database'!$P$2:$P$1960,MATCH(681,Engine!$C$2:$C$1960,0)),"Go to Act"))</f>
        <v/>
      </c>
    </row>
    <row r="695" ht="158" customHeight="1">
      <c r="A695" s="8">
        <f>IF(ISNA(MATCH(682,Engine!$C$2:$C$1960,0)),"",INDEX('Compliance Database'!$A$2:$A$1960,MATCH(682,Engine!$C$2:$C$1960,0)))</f>
        <v/>
      </c>
      <c r="B695" s="8">
        <f>IF(ISNA(MATCH(682,Engine!$C$2:$C$1960,0)),"",INDEX('Compliance Database'!$B$2:$B$1960,MATCH(682,Engine!$C$2:$C$1960,0)))</f>
        <v/>
      </c>
      <c r="C695" s="8">
        <f>IF(ISNA(MATCH(682,Engine!$C$2:$C$1960,0)),"",INDEX('Compliance Database'!$C$2:$C$1960,MATCH(682,Engine!$C$2:$C$1960,0)))</f>
        <v/>
      </c>
      <c r="D695" s="9">
        <f>IF(ISNA(MATCH(682,Engine!$C$2:$C$1960,0)),"",INDEX('Compliance Database'!$D$2:$D$1960,MATCH(682,Engine!$C$2:$C$1960,0)))</f>
        <v/>
      </c>
      <c r="E695" s="8">
        <f>IF(ISNA(MATCH(682,Engine!$C$2:$C$1960,0)),"",INDEX('Compliance Database'!$E$2:$E$1960,MATCH(682,Engine!$C$2:$C$1960,0)))</f>
        <v/>
      </c>
      <c r="F695" s="8">
        <f>IF(ISNA(MATCH(682,Engine!$C$2:$C$1960,0)),"",INDEX('Compliance Database'!$F$2:$F$1960,MATCH(682,Engine!$C$2:$C$1960,0)))</f>
        <v/>
      </c>
      <c r="G695" s="8">
        <f>IF(ISNA(MATCH(682,Engine!$C$2:$C$1960,0)),"",INDEX('Compliance Database'!$G$2:$G$1960,MATCH(682,Engine!$C$2:$C$1960,0)))</f>
        <v/>
      </c>
      <c r="H695" s="9">
        <f>IF(ISNA(MATCH(682,Engine!$C$2:$C$1960,0)),"",INDEX('Compliance Database'!$H$2:$H$1960,MATCH(682,Engine!$C$2:$C$1960,0)))</f>
        <v/>
      </c>
      <c r="I695" s="9">
        <f>IF(ISNA(MATCH(682,Engine!$C$2:$C$1960,0)),"",INDEX('Compliance Database'!$I$2:$I$1960,MATCH(682,Engine!$C$2:$C$1960,0)))</f>
        <v/>
      </c>
      <c r="J695" s="8">
        <f>IF(ISNA(MATCH(682,Engine!$C$2:$C$1960,0)),"",INDEX('Compliance Database'!$J$2:$J$1960,MATCH(682,Engine!$C$2:$C$1960,0)))</f>
        <v/>
      </c>
      <c r="K695" s="9">
        <f>IF(ISNA(MATCH(682,Engine!$C$2:$C$1960,0)),"",INDEX('Compliance Database'!$K$2:$K$1960,MATCH(682,Engine!$C$2:$C$1960,0)))</f>
        <v/>
      </c>
      <c r="L695" s="9">
        <f>IF(ISNA(MATCH(682,Engine!$C$2:$C$1960,0)),"",INDEX('Compliance Database'!$L$2:$L$1960,MATCH(682,Engine!$C$2:$C$1960,0)))</f>
        <v/>
      </c>
      <c r="M695" s="9">
        <f>IF(ISNA(MATCH(682,Engine!$C$2:$C$1960,0)),"",INDEX('Compliance Database'!$M$2:$M$1960,MATCH(682,Engine!$C$2:$C$1960,0)))</f>
        <v/>
      </c>
      <c r="N695" s="9">
        <f>IF(ISNA(MATCH(682,Engine!$C$2:$C$1960,0)),"",INDEX('Compliance Database'!$N$2:$N$1960,MATCH(682,Engine!$C$2:$C$1960,0)))</f>
        <v/>
      </c>
      <c r="O695" s="9">
        <f>IF(ISNA(MATCH(682,Engine!$C$2:$C$1960,0)),"",INDEX('Compliance Database'!$O$2:$O$1960,MATCH(682,Engine!$C$2:$C$1960,0)))</f>
        <v/>
      </c>
      <c r="P695" s="8">
        <f>IF(ISNA(MATCH(682,Engine!$C$2:$C$1960,0)),"",HYPERLINK("#Acts!A"&amp;INDEX('Compliance Database'!$P$2:$P$1960,MATCH(682,Engine!$C$2:$C$1960,0)),"Go to Act"))</f>
        <v/>
      </c>
    </row>
    <row r="696" ht="158" customHeight="1">
      <c r="A696" s="8">
        <f>IF(ISNA(MATCH(683,Engine!$C$2:$C$1960,0)),"",INDEX('Compliance Database'!$A$2:$A$1960,MATCH(683,Engine!$C$2:$C$1960,0)))</f>
        <v/>
      </c>
      <c r="B696" s="8">
        <f>IF(ISNA(MATCH(683,Engine!$C$2:$C$1960,0)),"",INDEX('Compliance Database'!$B$2:$B$1960,MATCH(683,Engine!$C$2:$C$1960,0)))</f>
        <v/>
      </c>
      <c r="C696" s="8">
        <f>IF(ISNA(MATCH(683,Engine!$C$2:$C$1960,0)),"",INDEX('Compliance Database'!$C$2:$C$1960,MATCH(683,Engine!$C$2:$C$1960,0)))</f>
        <v/>
      </c>
      <c r="D696" s="9">
        <f>IF(ISNA(MATCH(683,Engine!$C$2:$C$1960,0)),"",INDEX('Compliance Database'!$D$2:$D$1960,MATCH(683,Engine!$C$2:$C$1960,0)))</f>
        <v/>
      </c>
      <c r="E696" s="8">
        <f>IF(ISNA(MATCH(683,Engine!$C$2:$C$1960,0)),"",INDEX('Compliance Database'!$E$2:$E$1960,MATCH(683,Engine!$C$2:$C$1960,0)))</f>
        <v/>
      </c>
      <c r="F696" s="8">
        <f>IF(ISNA(MATCH(683,Engine!$C$2:$C$1960,0)),"",INDEX('Compliance Database'!$F$2:$F$1960,MATCH(683,Engine!$C$2:$C$1960,0)))</f>
        <v/>
      </c>
      <c r="G696" s="8">
        <f>IF(ISNA(MATCH(683,Engine!$C$2:$C$1960,0)),"",INDEX('Compliance Database'!$G$2:$G$1960,MATCH(683,Engine!$C$2:$C$1960,0)))</f>
        <v/>
      </c>
      <c r="H696" s="9">
        <f>IF(ISNA(MATCH(683,Engine!$C$2:$C$1960,0)),"",INDEX('Compliance Database'!$H$2:$H$1960,MATCH(683,Engine!$C$2:$C$1960,0)))</f>
        <v/>
      </c>
      <c r="I696" s="9">
        <f>IF(ISNA(MATCH(683,Engine!$C$2:$C$1960,0)),"",INDEX('Compliance Database'!$I$2:$I$1960,MATCH(683,Engine!$C$2:$C$1960,0)))</f>
        <v/>
      </c>
      <c r="J696" s="8">
        <f>IF(ISNA(MATCH(683,Engine!$C$2:$C$1960,0)),"",INDEX('Compliance Database'!$J$2:$J$1960,MATCH(683,Engine!$C$2:$C$1960,0)))</f>
        <v/>
      </c>
      <c r="K696" s="9">
        <f>IF(ISNA(MATCH(683,Engine!$C$2:$C$1960,0)),"",INDEX('Compliance Database'!$K$2:$K$1960,MATCH(683,Engine!$C$2:$C$1960,0)))</f>
        <v/>
      </c>
      <c r="L696" s="9">
        <f>IF(ISNA(MATCH(683,Engine!$C$2:$C$1960,0)),"",INDEX('Compliance Database'!$L$2:$L$1960,MATCH(683,Engine!$C$2:$C$1960,0)))</f>
        <v/>
      </c>
      <c r="M696" s="9">
        <f>IF(ISNA(MATCH(683,Engine!$C$2:$C$1960,0)),"",INDEX('Compliance Database'!$M$2:$M$1960,MATCH(683,Engine!$C$2:$C$1960,0)))</f>
        <v/>
      </c>
      <c r="N696" s="9">
        <f>IF(ISNA(MATCH(683,Engine!$C$2:$C$1960,0)),"",INDEX('Compliance Database'!$N$2:$N$1960,MATCH(683,Engine!$C$2:$C$1960,0)))</f>
        <v/>
      </c>
      <c r="O696" s="9">
        <f>IF(ISNA(MATCH(683,Engine!$C$2:$C$1960,0)),"",INDEX('Compliance Database'!$O$2:$O$1960,MATCH(683,Engine!$C$2:$C$1960,0)))</f>
        <v/>
      </c>
      <c r="P696" s="8">
        <f>IF(ISNA(MATCH(683,Engine!$C$2:$C$1960,0)),"",HYPERLINK("#Acts!A"&amp;INDEX('Compliance Database'!$P$2:$P$1960,MATCH(683,Engine!$C$2:$C$1960,0)),"Go to Act"))</f>
        <v/>
      </c>
    </row>
    <row r="697" ht="158" customHeight="1">
      <c r="A697" s="8">
        <f>IF(ISNA(MATCH(684,Engine!$C$2:$C$1960,0)),"",INDEX('Compliance Database'!$A$2:$A$1960,MATCH(684,Engine!$C$2:$C$1960,0)))</f>
        <v/>
      </c>
      <c r="B697" s="8">
        <f>IF(ISNA(MATCH(684,Engine!$C$2:$C$1960,0)),"",INDEX('Compliance Database'!$B$2:$B$1960,MATCH(684,Engine!$C$2:$C$1960,0)))</f>
        <v/>
      </c>
      <c r="C697" s="8">
        <f>IF(ISNA(MATCH(684,Engine!$C$2:$C$1960,0)),"",INDEX('Compliance Database'!$C$2:$C$1960,MATCH(684,Engine!$C$2:$C$1960,0)))</f>
        <v/>
      </c>
      <c r="D697" s="9">
        <f>IF(ISNA(MATCH(684,Engine!$C$2:$C$1960,0)),"",INDEX('Compliance Database'!$D$2:$D$1960,MATCH(684,Engine!$C$2:$C$1960,0)))</f>
        <v/>
      </c>
      <c r="E697" s="8">
        <f>IF(ISNA(MATCH(684,Engine!$C$2:$C$1960,0)),"",INDEX('Compliance Database'!$E$2:$E$1960,MATCH(684,Engine!$C$2:$C$1960,0)))</f>
        <v/>
      </c>
      <c r="F697" s="8">
        <f>IF(ISNA(MATCH(684,Engine!$C$2:$C$1960,0)),"",INDEX('Compliance Database'!$F$2:$F$1960,MATCH(684,Engine!$C$2:$C$1960,0)))</f>
        <v/>
      </c>
      <c r="G697" s="8">
        <f>IF(ISNA(MATCH(684,Engine!$C$2:$C$1960,0)),"",INDEX('Compliance Database'!$G$2:$G$1960,MATCH(684,Engine!$C$2:$C$1960,0)))</f>
        <v/>
      </c>
      <c r="H697" s="9">
        <f>IF(ISNA(MATCH(684,Engine!$C$2:$C$1960,0)),"",INDEX('Compliance Database'!$H$2:$H$1960,MATCH(684,Engine!$C$2:$C$1960,0)))</f>
        <v/>
      </c>
      <c r="I697" s="9">
        <f>IF(ISNA(MATCH(684,Engine!$C$2:$C$1960,0)),"",INDEX('Compliance Database'!$I$2:$I$1960,MATCH(684,Engine!$C$2:$C$1960,0)))</f>
        <v/>
      </c>
      <c r="J697" s="8">
        <f>IF(ISNA(MATCH(684,Engine!$C$2:$C$1960,0)),"",INDEX('Compliance Database'!$J$2:$J$1960,MATCH(684,Engine!$C$2:$C$1960,0)))</f>
        <v/>
      </c>
      <c r="K697" s="9">
        <f>IF(ISNA(MATCH(684,Engine!$C$2:$C$1960,0)),"",INDEX('Compliance Database'!$K$2:$K$1960,MATCH(684,Engine!$C$2:$C$1960,0)))</f>
        <v/>
      </c>
      <c r="L697" s="9">
        <f>IF(ISNA(MATCH(684,Engine!$C$2:$C$1960,0)),"",INDEX('Compliance Database'!$L$2:$L$1960,MATCH(684,Engine!$C$2:$C$1960,0)))</f>
        <v/>
      </c>
      <c r="M697" s="9">
        <f>IF(ISNA(MATCH(684,Engine!$C$2:$C$1960,0)),"",INDEX('Compliance Database'!$M$2:$M$1960,MATCH(684,Engine!$C$2:$C$1960,0)))</f>
        <v/>
      </c>
      <c r="N697" s="9">
        <f>IF(ISNA(MATCH(684,Engine!$C$2:$C$1960,0)),"",INDEX('Compliance Database'!$N$2:$N$1960,MATCH(684,Engine!$C$2:$C$1960,0)))</f>
        <v/>
      </c>
      <c r="O697" s="9">
        <f>IF(ISNA(MATCH(684,Engine!$C$2:$C$1960,0)),"",INDEX('Compliance Database'!$O$2:$O$1960,MATCH(684,Engine!$C$2:$C$1960,0)))</f>
        <v/>
      </c>
      <c r="P697" s="8">
        <f>IF(ISNA(MATCH(684,Engine!$C$2:$C$1960,0)),"",HYPERLINK("#Acts!A"&amp;INDEX('Compliance Database'!$P$2:$P$1960,MATCH(684,Engine!$C$2:$C$1960,0)),"Go to Act"))</f>
        <v/>
      </c>
    </row>
    <row r="698" ht="158" customHeight="1">
      <c r="A698" s="8">
        <f>IF(ISNA(MATCH(685,Engine!$C$2:$C$1960,0)),"",INDEX('Compliance Database'!$A$2:$A$1960,MATCH(685,Engine!$C$2:$C$1960,0)))</f>
        <v/>
      </c>
      <c r="B698" s="8">
        <f>IF(ISNA(MATCH(685,Engine!$C$2:$C$1960,0)),"",INDEX('Compliance Database'!$B$2:$B$1960,MATCH(685,Engine!$C$2:$C$1960,0)))</f>
        <v/>
      </c>
      <c r="C698" s="8">
        <f>IF(ISNA(MATCH(685,Engine!$C$2:$C$1960,0)),"",INDEX('Compliance Database'!$C$2:$C$1960,MATCH(685,Engine!$C$2:$C$1960,0)))</f>
        <v/>
      </c>
      <c r="D698" s="9">
        <f>IF(ISNA(MATCH(685,Engine!$C$2:$C$1960,0)),"",INDEX('Compliance Database'!$D$2:$D$1960,MATCH(685,Engine!$C$2:$C$1960,0)))</f>
        <v/>
      </c>
      <c r="E698" s="8">
        <f>IF(ISNA(MATCH(685,Engine!$C$2:$C$1960,0)),"",INDEX('Compliance Database'!$E$2:$E$1960,MATCH(685,Engine!$C$2:$C$1960,0)))</f>
        <v/>
      </c>
      <c r="F698" s="8">
        <f>IF(ISNA(MATCH(685,Engine!$C$2:$C$1960,0)),"",INDEX('Compliance Database'!$F$2:$F$1960,MATCH(685,Engine!$C$2:$C$1960,0)))</f>
        <v/>
      </c>
      <c r="G698" s="8">
        <f>IF(ISNA(MATCH(685,Engine!$C$2:$C$1960,0)),"",INDEX('Compliance Database'!$G$2:$G$1960,MATCH(685,Engine!$C$2:$C$1960,0)))</f>
        <v/>
      </c>
      <c r="H698" s="9">
        <f>IF(ISNA(MATCH(685,Engine!$C$2:$C$1960,0)),"",INDEX('Compliance Database'!$H$2:$H$1960,MATCH(685,Engine!$C$2:$C$1960,0)))</f>
        <v/>
      </c>
      <c r="I698" s="9">
        <f>IF(ISNA(MATCH(685,Engine!$C$2:$C$1960,0)),"",INDEX('Compliance Database'!$I$2:$I$1960,MATCH(685,Engine!$C$2:$C$1960,0)))</f>
        <v/>
      </c>
      <c r="J698" s="8">
        <f>IF(ISNA(MATCH(685,Engine!$C$2:$C$1960,0)),"",INDEX('Compliance Database'!$J$2:$J$1960,MATCH(685,Engine!$C$2:$C$1960,0)))</f>
        <v/>
      </c>
      <c r="K698" s="9">
        <f>IF(ISNA(MATCH(685,Engine!$C$2:$C$1960,0)),"",INDEX('Compliance Database'!$K$2:$K$1960,MATCH(685,Engine!$C$2:$C$1960,0)))</f>
        <v/>
      </c>
      <c r="L698" s="9">
        <f>IF(ISNA(MATCH(685,Engine!$C$2:$C$1960,0)),"",INDEX('Compliance Database'!$L$2:$L$1960,MATCH(685,Engine!$C$2:$C$1960,0)))</f>
        <v/>
      </c>
      <c r="M698" s="9">
        <f>IF(ISNA(MATCH(685,Engine!$C$2:$C$1960,0)),"",INDEX('Compliance Database'!$M$2:$M$1960,MATCH(685,Engine!$C$2:$C$1960,0)))</f>
        <v/>
      </c>
      <c r="N698" s="9">
        <f>IF(ISNA(MATCH(685,Engine!$C$2:$C$1960,0)),"",INDEX('Compliance Database'!$N$2:$N$1960,MATCH(685,Engine!$C$2:$C$1960,0)))</f>
        <v/>
      </c>
      <c r="O698" s="9">
        <f>IF(ISNA(MATCH(685,Engine!$C$2:$C$1960,0)),"",INDEX('Compliance Database'!$O$2:$O$1960,MATCH(685,Engine!$C$2:$C$1960,0)))</f>
        <v/>
      </c>
      <c r="P698" s="8">
        <f>IF(ISNA(MATCH(685,Engine!$C$2:$C$1960,0)),"",HYPERLINK("#Acts!A"&amp;INDEX('Compliance Database'!$P$2:$P$1960,MATCH(685,Engine!$C$2:$C$1960,0)),"Go to Act"))</f>
        <v/>
      </c>
    </row>
    <row r="699" ht="158" customHeight="1">
      <c r="A699" s="8">
        <f>IF(ISNA(MATCH(686,Engine!$C$2:$C$1960,0)),"",INDEX('Compliance Database'!$A$2:$A$1960,MATCH(686,Engine!$C$2:$C$1960,0)))</f>
        <v/>
      </c>
      <c r="B699" s="8">
        <f>IF(ISNA(MATCH(686,Engine!$C$2:$C$1960,0)),"",INDEX('Compliance Database'!$B$2:$B$1960,MATCH(686,Engine!$C$2:$C$1960,0)))</f>
        <v/>
      </c>
      <c r="C699" s="8">
        <f>IF(ISNA(MATCH(686,Engine!$C$2:$C$1960,0)),"",INDEX('Compliance Database'!$C$2:$C$1960,MATCH(686,Engine!$C$2:$C$1960,0)))</f>
        <v/>
      </c>
      <c r="D699" s="9">
        <f>IF(ISNA(MATCH(686,Engine!$C$2:$C$1960,0)),"",INDEX('Compliance Database'!$D$2:$D$1960,MATCH(686,Engine!$C$2:$C$1960,0)))</f>
        <v/>
      </c>
      <c r="E699" s="8">
        <f>IF(ISNA(MATCH(686,Engine!$C$2:$C$1960,0)),"",INDEX('Compliance Database'!$E$2:$E$1960,MATCH(686,Engine!$C$2:$C$1960,0)))</f>
        <v/>
      </c>
      <c r="F699" s="8">
        <f>IF(ISNA(MATCH(686,Engine!$C$2:$C$1960,0)),"",INDEX('Compliance Database'!$F$2:$F$1960,MATCH(686,Engine!$C$2:$C$1960,0)))</f>
        <v/>
      </c>
      <c r="G699" s="8">
        <f>IF(ISNA(MATCH(686,Engine!$C$2:$C$1960,0)),"",INDEX('Compliance Database'!$G$2:$G$1960,MATCH(686,Engine!$C$2:$C$1960,0)))</f>
        <v/>
      </c>
      <c r="H699" s="9">
        <f>IF(ISNA(MATCH(686,Engine!$C$2:$C$1960,0)),"",INDEX('Compliance Database'!$H$2:$H$1960,MATCH(686,Engine!$C$2:$C$1960,0)))</f>
        <v/>
      </c>
      <c r="I699" s="9">
        <f>IF(ISNA(MATCH(686,Engine!$C$2:$C$1960,0)),"",INDEX('Compliance Database'!$I$2:$I$1960,MATCH(686,Engine!$C$2:$C$1960,0)))</f>
        <v/>
      </c>
      <c r="J699" s="8">
        <f>IF(ISNA(MATCH(686,Engine!$C$2:$C$1960,0)),"",INDEX('Compliance Database'!$J$2:$J$1960,MATCH(686,Engine!$C$2:$C$1960,0)))</f>
        <v/>
      </c>
      <c r="K699" s="9">
        <f>IF(ISNA(MATCH(686,Engine!$C$2:$C$1960,0)),"",INDEX('Compliance Database'!$K$2:$K$1960,MATCH(686,Engine!$C$2:$C$1960,0)))</f>
        <v/>
      </c>
      <c r="L699" s="9">
        <f>IF(ISNA(MATCH(686,Engine!$C$2:$C$1960,0)),"",INDEX('Compliance Database'!$L$2:$L$1960,MATCH(686,Engine!$C$2:$C$1960,0)))</f>
        <v/>
      </c>
      <c r="M699" s="9">
        <f>IF(ISNA(MATCH(686,Engine!$C$2:$C$1960,0)),"",INDEX('Compliance Database'!$M$2:$M$1960,MATCH(686,Engine!$C$2:$C$1960,0)))</f>
        <v/>
      </c>
      <c r="N699" s="9">
        <f>IF(ISNA(MATCH(686,Engine!$C$2:$C$1960,0)),"",INDEX('Compliance Database'!$N$2:$N$1960,MATCH(686,Engine!$C$2:$C$1960,0)))</f>
        <v/>
      </c>
      <c r="O699" s="9">
        <f>IF(ISNA(MATCH(686,Engine!$C$2:$C$1960,0)),"",INDEX('Compliance Database'!$O$2:$O$1960,MATCH(686,Engine!$C$2:$C$1960,0)))</f>
        <v/>
      </c>
      <c r="P699" s="8">
        <f>IF(ISNA(MATCH(686,Engine!$C$2:$C$1960,0)),"",HYPERLINK("#Acts!A"&amp;INDEX('Compliance Database'!$P$2:$P$1960,MATCH(686,Engine!$C$2:$C$1960,0)),"Go to Act"))</f>
        <v/>
      </c>
    </row>
    <row r="700" ht="158" customHeight="1">
      <c r="A700" s="8">
        <f>IF(ISNA(MATCH(687,Engine!$C$2:$C$1960,0)),"",INDEX('Compliance Database'!$A$2:$A$1960,MATCH(687,Engine!$C$2:$C$1960,0)))</f>
        <v/>
      </c>
      <c r="B700" s="8">
        <f>IF(ISNA(MATCH(687,Engine!$C$2:$C$1960,0)),"",INDEX('Compliance Database'!$B$2:$B$1960,MATCH(687,Engine!$C$2:$C$1960,0)))</f>
        <v/>
      </c>
      <c r="C700" s="8">
        <f>IF(ISNA(MATCH(687,Engine!$C$2:$C$1960,0)),"",INDEX('Compliance Database'!$C$2:$C$1960,MATCH(687,Engine!$C$2:$C$1960,0)))</f>
        <v/>
      </c>
      <c r="D700" s="9">
        <f>IF(ISNA(MATCH(687,Engine!$C$2:$C$1960,0)),"",INDEX('Compliance Database'!$D$2:$D$1960,MATCH(687,Engine!$C$2:$C$1960,0)))</f>
        <v/>
      </c>
      <c r="E700" s="8">
        <f>IF(ISNA(MATCH(687,Engine!$C$2:$C$1960,0)),"",INDEX('Compliance Database'!$E$2:$E$1960,MATCH(687,Engine!$C$2:$C$1960,0)))</f>
        <v/>
      </c>
      <c r="F700" s="8">
        <f>IF(ISNA(MATCH(687,Engine!$C$2:$C$1960,0)),"",INDEX('Compliance Database'!$F$2:$F$1960,MATCH(687,Engine!$C$2:$C$1960,0)))</f>
        <v/>
      </c>
      <c r="G700" s="8">
        <f>IF(ISNA(MATCH(687,Engine!$C$2:$C$1960,0)),"",INDEX('Compliance Database'!$G$2:$G$1960,MATCH(687,Engine!$C$2:$C$1960,0)))</f>
        <v/>
      </c>
      <c r="H700" s="9">
        <f>IF(ISNA(MATCH(687,Engine!$C$2:$C$1960,0)),"",INDEX('Compliance Database'!$H$2:$H$1960,MATCH(687,Engine!$C$2:$C$1960,0)))</f>
        <v/>
      </c>
      <c r="I700" s="9">
        <f>IF(ISNA(MATCH(687,Engine!$C$2:$C$1960,0)),"",INDEX('Compliance Database'!$I$2:$I$1960,MATCH(687,Engine!$C$2:$C$1960,0)))</f>
        <v/>
      </c>
      <c r="J700" s="8">
        <f>IF(ISNA(MATCH(687,Engine!$C$2:$C$1960,0)),"",INDEX('Compliance Database'!$J$2:$J$1960,MATCH(687,Engine!$C$2:$C$1960,0)))</f>
        <v/>
      </c>
      <c r="K700" s="9">
        <f>IF(ISNA(MATCH(687,Engine!$C$2:$C$1960,0)),"",INDEX('Compliance Database'!$K$2:$K$1960,MATCH(687,Engine!$C$2:$C$1960,0)))</f>
        <v/>
      </c>
      <c r="L700" s="9">
        <f>IF(ISNA(MATCH(687,Engine!$C$2:$C$1960,0)),"",INDEX('Compliance Database'!$L$2:$L$1960,MATCH(687,Engine!$C$2:$C$1960,0)))</f>
        <v/>
      </c>
      <c r="M700" s="9">
        <f>IF(ISNA(MATCH(687,Engine!$C$2:$C$1960,0)),"",INDEX('Compliance Database'!$M$2:$M$1960,MATCH(687,Engine!$C$2:$C$1960,0)))</f>
        <v/>
      </c>
      <c r="N700" s="9">
        <f>IF(ISNA(MATCH(687,Engine!$C$2:$C$1960,0)),"",INDEX('Compliance Database'!$N$2:$N$1960,MATCH(687,Engine!$C$2:$C$1960,0)))</f>
        <v/>
      </c>
      <c r="O700" s="9">
        <f>IF(ISNA(MATCH(687,Engine!$C$2:$C$1960,0)),"",INDEX('Compliance Database'!$O$2:$O$1960,MATCH(687,Engine!$C$2:$C$1960,0)))</f>
        <v/>
      </c>
      <c r="P700" s="8">
        <f>IF(ISNA(MATCH(687,Engine!$C$2:$C$1960,0)),"",HYPERLINK("#Acts!A"&amp;INDEX('Compliance Database'!$P$2:$P$1960,MATCH(687,Engine!$C$2:$C$1960,0)),"Go to Act"))</f>
        <v/>
      </c>
    </row>
    <row r="701" ht="158" customHeight="1">
      <c r="A701" s="8">
        <f>IF(ISNA(MATCH(688,Engine!$C$2:$C$1960,0)),"",INDEX('Compliance Database'!$A$2:$A$1960,MATCH(688,Engine!$C$2:$C$1960,0)))</f>
        <v/>
      </c>
      <c r="B701" s="8">
        <f>IF(ISNA(MATCH(688,Engine!$C$2:$C$1960,0)),"",INDEX('Compliance Database'!$B$2:$B$1960,MATCH(688,Engine!$C$2:$C$1960,0)))</f>
        <v/>
      </c>
      <c r="C701" s="8">
        <f>IF(ISNA(MATCH(688,Engine!$C$2:$C$1960,0)),"",INDEX('Compliance Database'!$C$2:$C$1960,MATCH(688,Engine!$C$2:$C$1960,0)))</f>
        <v/>
      </c>
      <c r="D701" s="9">
        <f>IF(ISNA(MATCH(688,Engine!$C$2:$C$1960,0)),"",INDEX('Compliance Database'!$D$2:$D$1960,MATCH(688,Engine!$C$2:$C$1960,0)))</f>
        <v/>
      </c>
      <c r="E701" s="8">
        <f>IF(ISNA(MATCH(688,Engine!$C$2:$C$1960,0)),"",INDEX('Compliance Database'!$E$2:$E$1960,MATCH(688,Engine!$C$2:$C$1960,0)))</f>
        <v/>
      </c>
      <c r="F701" s="8">
        <f>IF(ISNA(MATCH(688,Engine!$C$2:$C$1960,0)),"",INDEX('Compliance Database'!$F$2:$F$1960,MATCH(688,Engine!$C$2:$C$1960,0)))</f>
        <v/>
      </c>
      <c r="G701" s="8">
        <f>IF(ISNA(MATCH(688,Engine!$C$2:$C$1960,0)),"",INDEX('Compliance Database'!$G$2:$G$1960,MATCH(688,Engine!$C$2:$C$1960,0)))</f>
        <v/>
      </c>
      <c r="H701" s="9">
        <f>IF(ISNA(MATCH(688,Engine!$C$2:$C$1960,0)),"",INDEX('Compliance Database'!$H$2:$H$1960,MATCH(688,Engine!$C$2:$C$1960,0)))</f>
        <v/>
      </c>
      <c r="I701" s="9">
        <f>IF(ISNA(MATCH(688,Engine!$C$2:$C$1960,0)),"",INDEX('Compliance Database'!$I$2:$I$1960,MATCH(688,Engine!$C$2:$C$1960,0)))</f>
        <v/>
      </c>
      <c r="J701" s="8">
        <f>IF(ISNA(MATCH(688,Engine!$C$2:$C$1960,0)),"",INDEX('Compliance Database'!$J$2:$J$1960,MATCH(688,Engine!$C$2:$C$1960,0)))</f>
        <v/>
      </c>
      <c r="K701" s="9">
        <f>IF(ISNA(MATCH(688,Engine!$C$2:$C$1960,0)),"",INDEX('Compliance Database'!$K$2:$K$1960,MATCH(688,Engine!$C$2:$C$1960,0)))</f>
        <v/>
      </c>
      <c r="L701" s="9">
        <f>IF(ISNA(MATCH(688,Engine!$C$2:$C$1960,0)),"",INDEX('Compliance Database'!$L$2:$L$1960,MATCH(688,Engine!$C$2:$C$1960,0)))</f>
        <v/>
      </c>
      <c r="M701" s="9">
        <f>IF(ISNA(MATCH(688,Engine!$C$2:$C$1960,0)),"",INDEX('Compliance Database'!$M$2:$M$1960,MATCH(688,Engine!$C$2:$C$1960,0)))</f>
        <v/>
      </c>
      <c r="N701" s="9">
        <f>IF(ISNA(MATCH(688,Engine!$C$2:$C$1960,0)),"",INDEX('Compliance Database'!$N$2:$N$1960,MATCH(688,Engine!$C$2:$C$1960,0)))</f>
        <v/>
      </c>
      <c r="O701" s="9">
        <f>IF(ISNA(MATCH(688,Engine!$C$2:$C$1960,0)),"",INDEX('Compliance Database'!$O$2:$O$1960,MATCH(688,Engine!$C$2:$C$1960,0)))</f>
        <v/>
      </c>
      <c r="P701" s="8">
        <f>IF(ISNA(MATCH(688,Engine!$C$2:$C$1960,0)),"",HYPERLINK("#Acts!A"&amp;INDEX('Compliance Database'!$P$2:$P$1960,MATCH(688,Engine!$C$2:$C$1960,0)),"Go to Act"))</f>
        <v/>
      </c>
    </row>
    <row r="702" ht="158" customHeight="1">
      <c r="A702" s="8">
        <f>IF(ISNA(MATCH(689,Engine!$C$2:$C$1960,0)),"",INDEX('Compliance Database'!$A$2:$A$1960,MATCH(689,Engine!$C$2:$C$1960,0)))</f>
        <v/>
      </c>
      <c r="B702" s="8">
        <f>IF(ISNA(MATCH(689,Engine!$C$2:$C$1960,0)),"",INDEX('Compliance Database'!$B$2:$B$1960,MATCH(689,Engine!$C$2:$C$1960,0)))</f>
        <v/>
      </c>
      <c r="C702" s="8">
        <f>IF(ISNA(MATCH(689,Engine!$C$2:$C$1960,0)),"",INDEX('Compliance Database'!$C$2:$C$1960,MATCH(689,Engine!$C$2:$C$1960,0)))</f>
        <v/>
      </c>
      <c r="D702" s="9">
        <f>IF(ISNA(MATCH(689,Engine!$C$2:$C$1960,0)),"",INDEX('Compliance Database'!$D$2:$D$1960,MATCH(689,Engine!$C$2:$C$1960,0)))</f>
        <v/>
      </c>
      <c r="E702" s="8">
        <f>IF(ISNA(MATCH(689,Engine!$C$2:$C$1960,0)),"",INDEX('Compliance Database'!$E$2:$E$1960,MATCH(689,Engine!$C$2:$C$1960,0)))</f>
        <v/>
      </c>
      <c r="F702" s="8">
        <f>IF(ISNA(MATCH(689,Engine!$C$2:$C$1960,0)),"",INDEX('Compliance Database'!$F$2:$F$1960,MATCH(689,Engine!$C$2:$C$1960,0)))</f>
        <v/>
      </c>
      <c r="G702" s="8">
        <f>IF(ISNA(MATCH(689,Engine!$C$2:$C$1960,0)),"",INDEX('Compliance Database'!$G$2:$G$1960,MATCH(689,Engine!$C$2:$C$1960,0)))</f>
        <v/>
      </c>
      <c r="H702" s="9">
        <f>IF(ISNA(MATCH(689,Engine!$C$2:$C$1960,0)),"",INDEX('Compliance Database'!$H$2:$H$1960,MATCH(689,Engine!$C$2:$C$1960,0)))</f>
        <v/>
      </c>
      <c r="I702" s="9">
        <f>IF(ISNA(MATCH(689,Engine!$C$2:$C$1960,0)),"",INDEX('Compliance Database'!$I$2:$I$1960,MATCH(689,Engine!$C$2:$C$1960,0)))</f>
        <v/>
      </c>
      <c r="J702" s="8">
        <f>IF(ISNA(MATCH(689,Engine!$C$2:$C$1960,0)),"",INDEX('Compliance Database'!$J$2:$J$1960,MATCH(689,Engine!$C$2:$C$1960,0)))</f>
        <v/>
      </c>
      <c r="K702" s="9">
        <f>IF(ISNA(MATCH(689,Engine!$C$2:$C$1960,0)),"",INDEX('Compliance Database'!$K$2:$K$1960,MATCH(689,Engine!$C$2:$C$1960,0)))</f>
        <v/>
      </c>
      <c r="L702" s="9">
        <f>IF(ISNA(MATCH(689,Engine!$C$2:$C$1960,0)),"",INDEX('Compliance Database'!$L$2:$L$1960,MATCH(689,Engine!$C$2:$C$1960,0)))</f>
        <v/>
      </c>
      <c r="M702" s="9">
        <f>IF(ISNA(MATCH(689,Engine!$C$2:$C$1960,0)),"",INDEX('Compliance Database'!$M$2:$M$1960,MATCH(689,Engine!$C$2:$C$1960,0)))</f>
        <v/>
      </c>
      <c r="N702" s="9">
        <f>IF(ISNA(MATCH(689,Engine!$C$2:$C$1960,0)),"",INDEX('Compliance Database'!$N$2:$N$1960,MATCH(689,Engine!$C$2:$C$1960,0)))</f>
        <v/>
      </c>
      <c r="O702" s="9">
        <f>IF(ISNA(MATCH(689,Engine!$C$2:$C$1960,0)),"",INDEX('Compliance Database'!$O$2:$O$1960,MATCH(689,Engine!$C$2:$C$1960,0)))</f>
        <v/>
      </c>
      <c r="P702" s="8">
        <f>IF(ISNA(MATCH(689,Engine!$C$2:$C$1960,0)),"",HYPERLINK("#Acts!A"&amp;INDEX('Compliance Database'!$P$2:$P$1960,MATCH(689,Engine!$C$2:$C$1960,0)),"Go to Act"))</f>
        <v/>
      </c>
    </row>
    <row r="703" ht="158" customHeight="1">
      <c r="A703" s="8">
        <f>IF(ISNA(MATCH(690,Engine!$C$2:$C$1960,0)),"",INDEX('Compliance Database'!$A$2:$A$1960,MATCH(690,Engine!$C$2:$C$1960,0)))</f>
        <v/>
      </c>
      <c r="B703" s="8">
        <f>IF(ISNA(MATCH(690,Engine!$C$2:$C$1960,0)),"",INDEX('Compliance Database'!$B$2:$B$1960,MATCH(690,Engine!$C$2:$C$1960,0)))</f>
        <v/>
      </c>
      <c r="C703" s="8">
        <f>IF(ISNA(MATCH(690,Engine!$C$2:$C$1960,0)),"",INDEX('Compliance Database'!$C$2:$C$1960,MATCH(690,Engine!$C$2:$C$1960,0)))</f>
        <v/>
      </c>
      <c r="D703" s="9">
        <f>IF(ISNA(MATCH(690,Engine!$C$2:$C$1960,0)),"",INDEX('Compliance Database'!$D$2:$D$1960,MATCH(690,Engine!$C$2:$C$1960,0)))</f>
        <v/>
      </c>
      <c r="E703" s="8">
        <f>IF(ISNA(MATCH(690,Engine!$C$2:$C$1960,0)),"",INDEX('Compliance Database'!$E$2:$E$1960,MATCH(690,Engine!$C$2:$C$1960,0)))</f>
        <v/>
      </c>
      <c r="F703" s="8">
        <f>IF(ISNA(MATCH(690,Engine!$C$2:$C$1960,0)),"",INDEX('Compliance Database'!$F$2:$F$1960,MATCH(690,Engine!$C$2:$C$1960,0)))</f>
        <v/>
      </c>
      <c r="G703" s="8">
        <f>IF(ISNA(MATCH(690,Engine!$C$2:$C$1960,0)),"",INDEX('Compliance Database'!$G$2:$G$1960,MATCH(690,Engine!$C$2:$C$1960,0)))</f>
        <v/>
      </c>
      <c r="H703" s="9">
        <f>IF(ISNA(MATCH(690,Engine!$C$2:$C$1960,0)),"",INDEX('Compliance Database'!$H$2:$H$1960,MATCH(690,Engine!$C$2:$C$1960,0)))</f>
        <v/>
      </c>
      <c r="I703" s="9">
        <f>IF(ISNA(MATCH(690,Engine!$C$2:$C$1960,0)),"",INDEX('Compliance Database'!$I$2:$I$1960,MATCH(690,Engine!$C$2:$C$1960,0)))</f>
        <v/>
      </c>
      <c r="J703" s="8">
        <f>IF(ISNA(MATCH(690,Engine!$C$2:$C$1960,0)),"",INDEX('Compliance Database'!$J$2:$J$1960,MATCH(690,Engine!$C$2:$C$1960,0)))</f>
        <v/>
      </c>
      <c r="K703" s="9">
        <f>IF(ISNA(MATCH(690,Engine!$C$2:$C$1960,0)),"",INDEX('Compliance Database'!$K$2:$K$1960,MATCH(690,Engine!$C$2:$C$1960,0)))</f>
        <v/>
      </c>
      <c r="L703" s="9">
        <f>IF(ISNA(MATCH(690,Engine!$C$2:$C$1960,0)),"",INDEX('Compliance Database'!$L$2:$L$1960,MATCH(690,Engine!$C$2:$C$1960,0)))</f>
        <v/>
      </c>
      <c r="M703" s="9">
        <f>IF(ISNA(MATCH(690,Engine!$C$2:$C$1960,0)),"",INDEX('Compliance Database'!$M$2:$M$1960,MATCH(690,Engine!$C$2:$C$1960,0)))</f>
        <v/>
      </c>
      <c r="N703" s="9">
        <f>IF(ISNA(MATCH(690,Engine!$C$2:$C$1960,0)),"",INDEX('Compliance Database'!$N$2:$N$1960,MATCH(690,Engine!$C$2:$C$1960,0)))</f>
        <v/>
      </c>
      <c r="O703" s="9">
        <f>IF(ISNA(MATCH(690,Engine!$C$2:$C$1960,0)),"",INDEX('Compliance Database'!$O$2:$O$1960,MATCH(690,Engine!$C$2:$C$1960,0)))</f>
        <v/>
      </c>
      <c r="P703" s="8">
        <f>IF(ISNA(MATCH(690,Engine!$C$2:$C$1960,0)),"",HYPERLINK("#Acts!A"&amp;INDEX('Compliance Database'!$P$2:$P$1960,MATCH(690,Engine!$C$2:$C$1960,0)),"Go to Act"))</f>
        <v/>
      </c>
    </row>
    <row r="704" ht="158" customHeight="1">
      <c r="A704" s="8">
        <f>IF(ISNA(MATCH(691,Engine!$C$2:$C$1960,0)),"",INDEX('Compliance Database'!$A$2:$A$1960,MATCH(691,Engine!$C$2:$C$1960,0)))</f>
        <v/>
      </c>
      <c r="B704" s="8">
        <f>IF(ISNA(MATCH(691,Engine!$C$2:$C$1960,0)),"",INDEX('Compliance Database'!$B$2:$B$1960,MATCH(691,Engine!$C$2:$C$1960,0)))</f>
        <v/>
      </c>
      <c r="C704" s="8">
        <f>IF(ISNA(MATCH(691,Engine!$C$2:$C$1960,0)),"",INDEX('Compliance Database'!$C$2:$C$1960,MATCH(691,Engine!$C$2:$C$1960,0)))</f>
        <v/>
      </c>
      <c r="D704" s="9">
        <f>IF(ISNA(MATCH(691,Engine!$C$2:$C$1960,0)),"",INDEX('Compliance Database'!$D$2:$D$1960,MATCH(691,Engine!$C$2:$C$1960,0)))</f>
        <v/>
      </c>
      <c r="E704" s="8">
        <f>IF(ISNA(MATCH(691,Engine!$C$2:$C$1960,0)),"",INDEX('Compliance Database'!$E$2:$E$1960,MATCH(691,Engine!$C$2:$C$1960,0)))</f>
        <v/>
      </c>
      <c r="F704" s="8">
        <f>IF(ISNA(MATCH(691,Engine!$C$2:$C$1960,0)),"",INDEX('Compliance Database'!$F$2:$F$1960,MATCH(691,Engine!$C$2:$C$1960,0)))</f>
        <v/>
      </c>
      <c r="G704" s="8">
        <f>IF(ISNA(MATCH(691,Engine!$C$2:$C$1960,0)),"",INDEX('Compliance Database'!$G$2:$G$1960,MATCH(691,Engine!$C$2:$C$1960,0)))</f>
        <v/>
      </c>
      <c r="H704" s="9">
        <f>IF(ISNA(MATCH(691,Engine!$C$2:$C$1960,0)),"",INDEX('Compliance Database'!$H$2:$H$1960,MATCH(691,Engine!$C$2:$C$1960,0)))</f>
        <v/>
      </c>
      <c r="I704" s="9">
        <f>IF(ISNA(MATCH(691,Engine!$C$2:$C$1960,0)),"",INDEX('Compliance Database'!$I$2:$I$1960,MATCH(691,Engine!$C$2:$C$1960,0)))</f>
        <v/>
      </c>
      <c r="J704" s="8">
        <f>IF(ISNA(MATCH(691,Engine!$C$2:$C$1960,0)),"",INDEX('Compliance Database'!$J$2:$J$1960,MATCH(691,Engine!$C$2:$C$1960,0)))</f>
        <v/>
      </c>
      <c r="K704" s="9">
        <f>IF(ISNA(MATCH(691,Engine!$C$2:$C$1960,0)),"",INDEX('Compliance Database'!$K$2:$K$1960,MATCH(691,Engine!$C$2:$C$1960,0)))</f>
        <v/>
      </c>
      <c r="L704" s="9">
        <f>IF(ISNA(MATCH(691,Engine!$C$2:$C$1960,0)),"",INDEX('Compliance Database'!$L$2:$L$1960,MATCH(691,Engine!$C$2:$C$1960,0)))</f>
        <v/>
      </c>
      <c r="M704" s="9">
        <f>IF(ISNA(MATCH(691,Engine!$C$2:$C$1960,0)),"",INDEX('Compliance Database'!$M$2:$M$1960,MATCH(691,Engine!$C$2:$C$1960,0)))</f>
        <v/>
      </c>
      <c r="N704" s="9">
        <f>IF(ISNA(MATCH(691,Engine!$C$2:$C$1960,0)),"",INDEX('Compliance Database'!$N$2:$N$1960,MATCH(691,Engine!$C$2:$C$1960,0)))</f>
        <v/>
      </c>
      <c r="O704" s="9">
        <f>IF(ISNA(MATCH(691,Engine!$C$2:$C$1960,0)),"",INDEX('Compliance Database'!$O$2:$O$1960,MATCH(691,Engine!$C$2:$C$1960,0)))</f>
        <v/>
      </c>
      <c r="P704" s="8">
        <f>IF(ISNA(MATCH(691,Engine!$C$2:$C$1960,0)),"",HYPERLINK("#Acts!A"&amp;INDEX('Compliance Database'!$P$2:$P$1960,MATCH(691,Engine!$C$2:$C$1960,0)),"Go to Act"))</f>
        <v/>
      </c>
    </row>
    <row r="705" ht="158" customHeight="1">
      <c r="A705" s="8">
        <f>IF(ISNA(MATCH(692,Engine!$C$2:$C$1960,0)),"",INDEX('Compliance Database'!$A$2:$A$1960,MATCH(692,Engine!$C$2:$C$1960,0)))</f>
        <v/>
      </c>
      <c r="B705" s="8">
        <f>IF(ISNA(MATCH(692,Engine!$C$2:$C$1960,0)),"",INDEX('Compliance Database'!$B$2:$B$1960,MATCH(692,Engine!$C$2:$C$1960,0)))</f>
        <v/>
      </c>
      <c r="C705" s="8">
        <f>IF(ISNA(MATCH(692,Engine!$C$2:$C$1960,0)),"",INDEX('Compliance Database'!$C$2:$C$1960,MATCH(692,Engine!$C$2:$C$1960,0)))</f>
        <v/>
      </c>
      <c r="D705" s="9">
        <f>IF(ISNA(MATCH(692,Engine!$C$2:$C$1960,0)),"",INDEX('Compliance Database'!$D$2:$D$1960,MATCH(692,Engine!$C$2:$C$1960,0)))</f>
        <v/>
      </c>
      <c r="E705" s="8">
        <f>IF(ISNA(MATCH(692,Engine!$C$2:$C$1960,0)),"",INDEX('Compliance Database'!$E$2:$E$1960,MATCH(692,Engine!$C$2:$C$1960,0)))</f>
        <v/>
      </c>
      <c r="F705" s="8">
        <f>IF(ISNA(MATCH(692,Engine!$C$2:$C$1960,0)),"",INDEX('Compliance Database'!$F$2:$F$1960,MATCH(692,Engine!$C$2:$C$1960,0)))</f>
        <v/>
      </c>
      <c r="G705" s="8">
        <f>IF(ISNA(MATCH(692,Engine!$C$2:$C$1960,0)),"",INDEX('Compliance Database'!$G$2:$G$1960,MATCH(692,Engine!$C$2:$C$1960,0)))</f>
        <v/>
      </c>
      <c r="H705" s="9">
        <f>IF(ISNA(MATCH(692,Engine!$C$2:$C$1960,0)),"",INDEX('Compliance Database'!$H$2:$H$1960,MATCH(692,Engine!$C$2:$C$1960,0)))</f>
        <v/>
      </c>
      <c r="I705" s="9">
        <f>IF(ISNA(MATCH(692,Engine!$C$2:$C$1960,0)),"",INDEX('Compliance Database'!$I$2:$I$1960,MATCH(692,Engine!$C$2:$C$1960,0)))</f>
        <v/>
      </c>
      <c r="J705" s="8">
        <f>IF(ISNA(MATCH(692,Engine!$C$2:$C$1960,0)),"",INDEX('Compliance Database'!$J$2:$J$1960,MATCH(692,Engine!$C$2:$C$1960,0)))</f>
        <v/>
      </c>
      <c r="K705" s="9">
        <f>IF(ISNA(MATCH(692,Engine!$C$2:$C$1960,0)),"",INDEX('Compliance Database'!$K$2:$K$1960,MATCH(692,Engine!$C$2:$C$1960,0)))</f>
        <v/>
      </c>
      <c r="L705" s="9">
        <f>IF(ISNA(MATCH(692,Engine!$C$2:$C$1960,0)),"",INDEX('Compliance Database'!$L$2:$L$1960,MATCH(692,Engine!$C$2:$C$1960,0)))</f>
        <v/>
      </c>
      <c r="M705" s="9">
        <f>IF(ISNA(MATCH(692,Engine!$C$2:$C$1960,0)),"",INDEX('Compliance Database'!$M$2:$M$1960,MATCH(692,Engine!$C$2:$C$1960,0)))</f>
        <v/>
      </c>
      <c r="N705" s="9">
        <f>IF(ISNA(MATCH(692,Engine!$C$2:$C$1960,0)),"",INDEX('Compliance Database'!$N$2:$N$1960,MATCH(692,Engine!$C$2:$C$1960,0)))</f>
        <v/>
      </c>
      <c r="O705" s="9">
        <f>IF(ISNA(MATCH(692,Engine!$C$2:$C$1960,0)),"",INDEX('Compliance Database'!$O$2:$O$1960,MATCH(692,Engine!$C$2:$C$1960,0)))</f>
        <v/>
      </c>
      <c r="P705" s="8">
        <f>IF(ISNA(MATCH(692,Engine!$C$2:$C$1960,0)),"",HYPERLINK("#Acts!A"&amp;INDEX('Compliance Database'!$P$2:$P$1960,MATCH(692,Engine!$C$2:$C$1960,0)),"Go to Act"))</f>
        <v/>
      </c>
    </row>
    <row r="706" ht="158" customHeight="1">
      <c r="A706" s="8">
        <f>IF(ISNA(MATCH(693,Engine!$C$2:$C$1960,0)),"",INDEX('Compliance Database'!$A$2:$A$1960,MATCH(693,Engine!$C$2:$C$1960,0)))</f>
        <v/>
      </c>
      <c r="B706" s="8">
        <f>IF(ISNA(MATCH(693,Engine!$C$2:$C$1960,0)),"",INDEX('Compliance Database'!$B$2:$B$1960,MATCH(693,Engine!$C$2:$C$1960,0)))</f>
        <v/>
      </c>
      <c r="C706" s="8">
        <f>IF(ISNA(MATCH(693,Engine!$C$2:$C$1960,0)),"",INDEX('Compliance Database'!$C$2:$C$1960,MATCH(693,Engine!$C$2:$C$1960,0)))</f>
        <v/>
      </c>
      <c r="D706" s="9">
        <f>IF(ISNA(MATCH(693,Engine!$C$2:$C$1960,0)),"",INDEX('Compliance Database'!$D$2:$D$1960,MATCH(693,Engine!$C$2:$C$1960,0)))</f>
        <v/>
      </c>
      <c r="E706" s="8">
        <f>IF(ISNA(MATCH(693,Engine!$C$2:$C$1960,0)),"",INDEX('Compliance Database'!$E$2:$E$1960,MATCH(693,Engine!$C$2:$C$1960,0)))</f>
        <v/>
      </c>
      <c r="F706" s="8">
        <f>IF(ISNA(MATCH(693,Engine!$C$2:$C$1960,0)),"",INDEX('Compliance Database'!$F$2:$F$1960,MATCH(693,Engine!$C$2:$C$1960,0)))</f>
        <v/>
      </c>
      <c r="G706" s="8">
        <f>IF(ISNA(MATCH(693,Engine!$C$2:$C$1960,0)),"",INDEX('Compliance Database'!$G$2:$G$1960,MATCH(693,Engine!$C$2:$C$1960,0)))</f>
        <v/>
      </c>
      <c r="H706" s="9">
        <f>IF(ISNA(MATCH(693,Engine!$C$2:$C$1960,0)),"",INDEX('Compliance Database'!$H$2:$H$1960,MATCH(693,Engine!$C$2:$C$1960,0)))</f>
        <v/>
      </c>
      <c r="I706" s="9">
        <f>IF(ISNA(MATCH(693,Engine!$C$2:$C$1960,0)),"",INDEX('Compliance Database'!$I$2:$I$1960,MATCH(693,Engine!$C$2:$C$1960,0)))</f>
        <v/>
      </c>
      <c r="J706" s="8">
        <f>IF(ISNA(MATCH(693,Engine!$C$2:$C$1960,0)),"",INDEX('Compliance Database'!$J$2:$J$1960,MATCH(693,Engine!$C$2:$C$1960,0)))</f>
        <v/>
      </c>
      <c r="K706" s="9">
        <f>IF(ISNA(MATCH(693,Engine!$C$2:$C$1960,0)),"",INDEX('Compliance Database'!$K$2:$K$1960,MATCH(693,Engine!$C$2:$C$1960,0)))</f>
        <v/>
      </c>
      <c r="L706" s="9">
        <f>IF(ISNA(MATCH(693,Engine!$C$2:$C$1960,0)),"",INDEX('Compliance Database'!$L$2:$L$1960,MATCH(693,Engine!$C$2:$C$1960,0)))</f>
        <v/>
      </c>
      <c r="M706" s="9">
        <f>IF(ISNA(MATCH(693,Engine!$C$2:$C$1960,0)),"",INDEX('Compliance Database'!$M$2:$M$1960,MATCH(693,Engine!$C$2:$C$1960,0)))</f>
        <v/>
      </c>
      <c r="N706" s="9">
        <f>IF(ISNA(MATCH(693,Engine!$C$2:$C$1960,0)),"",INDEX('Compliance Database'!$N$2:$N$1960,MATCH(693,Engine!$C$2:$C$1960,0)))</f>
        <v/>
      </c>
      <c r="O706" s="9">
        <f>IF(ISNA(MATCH(693,Engine!$C$2:$C$1960,0)),"",INDEX('Compliance Database'!$O$2:$O$1960,MATCH(693,Engine!$C$2:$C$1960,0)))</f>
        <v/>
      </c>
      <c r="P706" s="8">
        <f>IF(ISNA(MATCH(693,Engine!$C$2:$C$1960,0)),"",HYPERLINK("#Acts!A"&amp;INDEX('Compliance Database'!$P$2:$P$1960,MATCH(693,Engine!$C$2:$C$1960,0)),"Go to Act"))</f>
        <v/>
      </c>
    </row>
    <row r="707" ht="158" customHeight="1">
      <c r="A707" s="8">
        <f>IF(ISNA(MATCH(694,Engine!$C$2:$C$1960,0)),"",INDEX('Compliance Database'!$A$2:$A$1960,MATCH(694,Engine!$C$2:$C$1960,0)))</f>
        <v/>
      </c>
      <c r="B707" s="8">
        <f>IF(ISNA(MATCH(694,Engine!$C$2:$C$1960,0)),"",INDEX('Compliance Database'!$B$2:$B$1960,MATCH(694,Engine!$C$2:$C$1960,0)))</f>
        <v/>
      </c>
      <c r="C707" s="8">
        <f>IF(ISNA(MATCH(694,Engine!$C$2:$C$1960,0)),"",INDEX('Compliance Database'!$C$2:$C$1960,MATCH(694,Engine!$C$2:$C$1960,0)))</f>
        <v/>
      </c>
      <c r="D707" s="9">
        <f>IF(ISNA(MATCH(694,Engine!$C$2:$C$1960,0)),"",INDEX('Compliance Database'!$D$2:$D$1960,MATCH(694,Engine!$C$2:$C$1960,0)))</f>
        <v/>
      </c>
      <c r="E707" s="8">
        <f>IF(ISNA(MATCH(694,Engine!$C$2:$C$1960,0)),"",INDEX('Compliance Database'!$E$2:$E$1960,MATCH(694,Engine!$C$2:$C$1960,0)))</f>
        <v/>
      </c>
      <c r="F707" s="8">
        <f>IF(ISNA(MATCH(694,Engine!$C$2:$C$1960,0)),"",INDEX('Compliance Database'!$F$2:$F$1960,MATCH(694,Engine!$C$2:$C$1960,0)))</f>
        <v/>
      </c>
      <c r="G707" s="8">
        <f>IF(ISNA(MATCH(694,Engine!$C$2:$C$1960,0)),"",INDEX('Compliance Database'!$G$2:$G$1960,MATCH(694,Engine!$C$2:$C$1960,0)))</f>
        <v/>
      </c>
      <c r="H707" s="9">
        <f>IF(ISNA(MATCH(694,Engine!$C$2:$C$1960,0)),"",INDEX('Compliance Database'!$H$2:$H$1960,MATCH(694,Engine!$C$2:$C$1960,0)))</f>
        <v/>
      </c>
      <c r="I707" s="9">
        <f>IF(ISNA(MATCH(694,Engine!$C$2:$C$1960,0)),"",INDEX('Compliance Database'!$I$2:$I$1960,MATCH(694,Engine!$C$2:$C$1960,0)))</f>
        <v/>
      </c>
      <c r="J707" s="8">
        <f>IF(ISNA(MATCH(694,Engine!$C$2:$C$1960,0)),"",INDEX('Compliance Database'!$J$2:$J$1960,MATCH(694,Engine!$C$2:$C$1960,0)))</f>
        <v/>
      </c>
      <c r="K707" s="9">
        <f>IF(ISNA(MATCH(694,Engine!$C$2:$C$1960,0)),"",INDEX('Compliance Database'!$K$2:$K$1960,MATCH(694,Engine!$C$2:$C$1960,0)))</f>
        <v/>
      </c>
      <c r="L707" s="9">
        <f>IF(ISNA(MATCH(694,Engine!$C$2:$C$1960,0)),"",INDEX('Compliance Database'!$L$2:$L$1960,MATCH(694,Engine!$C$2:$C$1960,0)))</f>
        <v/>
      </c>
      <c r="M707" s="9">
        <f>IF(ISNA(MATCH(694,Engine!$C$2:$C$1960,0)),"",INDEX('Compliance Database'!$M$2:$M$1960,MATCH(694,Engine!$C$2:$C$1960,0)))</f>
        <v/>
      </c>
      <c r="N707" s="9">
        <f>IF(ISNA(MATCH(694,Engine!$C$2:$C$1960,0)),"",INDEX('Compliance Database'!$N$2:$N$1960,MATCH(694,Engine!$C$2:$C$1960,0)))</f>
        <v/>
      </c>
      <c r="O707" s="9">
        <f>IF(ISNA(MATCH(694,Engine!$C$2:$C$1960,0)),"",INDEX('Compliance Database'!$O$2:$O$1960,MATCH(694,Engine!$C$2:$C$1960,0)))</f>
        <v/>
      </c>
      <c r="P707" s="8">
        <f>IF(ISNA(MATCH(694,Engine!$C$2:$C$1960,0)),"",HYPERLINK("#Acts!A"&amp;INDEX('Compliance Database'!$P$2:$P$1960,MATCH(694,Engine!$C$2:$C$1960,0)),"Go to Act"))</f>
        <v/>
      </c>
    </row>
    <row r="708" ht="158" customHeight="1">
      <c r="A708" s="8">
        <f>IF(ISNA(MATCH(695,Engine!$C$2:$C$1960,0)),"",INDEX('Compliance Database'!$A$2:$A$1960,MATCH(695,Engine!$C$2:$C$1960,0)))</f>
        <v/>
      </c>
      <c r="B708" s="8">
        <f>IF(ISNA(MATCH(695,Engine!$C$2:$C$1960,0)),"",INDEX('Compliance Database'!$B$2:$B$1960,MATCH(695,Engine!$C$2:$C$1960,0)))</f>
        <v/>
      </c>
      <c r="C708" s="8">
        <f>IF(ISNA(MATCH(695,Engine!$C$2:$C$1960,0)),"",INDEX('Compliance Database'!$C$2:$C$1960,MATCH(695,Engine!$C$2:$C$1960,0)))</f>
        <v/>
      </c>
      <c r="D708" s="9">
        <f>IF(ISNA(MATCH(695,Engine!$C$2:$C$1960,0)),"",INDEX('Compliance Database'!$D$2:$D$1960,MATCH(695,Engine!$C$2:$C$1960,0)))</f>
        <v/>
      </c>
      <c r="E708" s="8">
        <f>IF(ISNA(MATCH(695,Engine!$C$2:$C$1960,0)),"",INDEX('Compliance Database'!$E$2:$E$1960,MATCH(695,Engine!$C$2:$C$1960,0)))</f>
        <v/>
      </c>
      <c r="F708" s="8">
        <f>IF(ISNA(MATCH(695,Engine!$C$2:$C$1960,0)),"",INDEX('Compliance Database'!$F$2:$F$1960,MATCH(695,Engine!$C$2:$C$1960,0)))</f>
        <v/>
      </c>
      <c r="G708" s="8">
        <f>IF(ISNA(MATCH(695,Engine!$C$2:$C$1960,0)),"",INDEX('Compliance Database'!$G$2:$G$1960,MATCH(695,Engine!$C$2:$C$1960,0)))</f>
        <v/>
      </c>
      <c r="H708" s="9">
        <f>IF(ISNA(MATCH(695,Engine!$C$2:$C$1960,0)),"",INDEX('Compliance Database'!$H$2:$H$1960,MATCH(695,Engine!$C$2:$C$1960,0)))</f>
        <v/>
      </c>
      <c r="I708" s="9">
        <f>IF(ISNA(MATCH(695,Engine!$C$2:$C$1960,0)),"",INDEX('Compliance Database'!$I$2:$I$1960,MATCH(695,Engine!$C$2:$C$1960,0)))</f>
        <v/>
      </c>
      <c r="J708" s="8">
        <f>IF(ISNA(MATCH(695,Engine!$C$2:$C$1960,0)),"",INDEX('Compliance Database'!$J$2:$J$1960,MATCH(695,Engine!$C$2:$C$1960,0)))</f>
        <v/>
      </c>
      <c r="K708" s="9">
        <f>IF(ISNA(MATCH(695,Engine!$C$2:$C$1960,0)),"",INDEX('Compliance Database'!$K$2:$K$1960,MATCH(695,Engine!$C$2:$C$1960,0)))</f>
        <v/>
      </c>
      <c r="L708" s="9">
        <f>IF(ISNA(MATCH(695,Engine!$C$2:$C$1960,0)),"",INDEX('Compliance Database'!$L$2:$L$1960,MATCH(695,Engine!$C$2:$C$1960,0)))</f>
        <v/>
      </c>
      <c r="M708" s="9">
        <f>IF(ISNA(MATCH(695,Engine!$C$2:$C$1960,0)),"",INDEX('Compliance Database'!$M$2:$M$1960,MATCH(695,Engine!$C$2:$C$1960,0)))</f>
        <v/>
      </c>
      <c r="N708" s="9">
        <f>IF(ISNA(MATCH(695,Engine!$C$2:$C$1960,0)),"",INDEX('Compliance Database'!$N$2:$N$1960,MATCH(695,Engine!$C$2:$C$1960,0)))</f>
        <v/>
      </c>
      <c r="O708" s="9">
        <f>IF(ISNA(MATCH(695,Engine!$C$2:$C$1960,0)),"",INDEX('Compliance Database'!$O$2:$O$1960,MATCH(695,Engine!$C$2:$C$1960,0)))</f>
        <v/>
      </c>
      <c r="P708" s="8">
        <f>IF(ISNA(MATCH(695,Engine!$C$2:$C$1960,0)),"",HYPERLINK("#Acts!A"&amp;INDEX('Compliance Database'!$P$2:$P$1960,MATCH(695,Engine!$C$2:$C$1960,0)),"Go to Act"))</f>
        <v/>
      </c>
    </row>
    <row r="709" ht="158" customHeight="1">
      <c r="A709" s="8">
        <f>IF(ISNA(MATCH(696,Engine!$C$2:$C$1960,0)),"",INDEX('Compliance Database'!$A$2:$A$1960,MATCH(696,Engine!$C$2:$C$1960,0)))</f>
        <v/>
      </c>
      <c r="B709" s="8">
        <f>IF(ISNA(MATCH(696,Engine!$C$2:$C$1960,0)),"",INDEX('Compliance Database'!$B$2:$B$1960,MATCH(696,Engine!$C$2:$C$1960,0)))</f>
        <v/>
      </c>
      <c r="C709" s="8">
        <f>IF(ISNA(MATCH(696,Engine!$C$2:$C$1960,0)),"",INDEX('Compliance Database'!$C$2:$C$1960,MATCH(696,Engine!$C$2:$C$1960,0)))</f>
        <v/>
      </c>
      <c r="D709" s="9">
        <f>IF(ISNA(MATCH(696,Engine!$C$2:$C$1960,0)),"",INDEX('Compliance Database'!$D$2:$D$1960,MATCH(696,Engine!$C$2:$C$1960,0)))</f>
        <v/>
      </c>
      <c r="E709" s="8">
        <f>IF(ISNA(MATCH(696,Engine!$C$2:$C$1960,0)),"",INDEX('Compliance Database'!$E$2:$E$1960,MATCH(696,Engine!$C$2:$C$1960,0)))</f>
        <v/>
      </c>
      <c r="F709" s="8">
        <f>IF(ISNA(MATCH(696,Engine!$C$2:$C$1960,0)),"",INDEX('Compliance Database'!$F$2:$F$1960,MATCH(696,Engine!$C$2:$C$1960,0)))</f>
        <v/>
      </c>
      <c r="G709" s="8">
        <f>IF(ISNA(MATCH(696,Engine!$C$2:$C$1960,0)),"",INDEX('Compliance Database'!$G$2:$G$1960,MATCH(696,Engine!$C$2:$C$1960,0)))</f>
        <v/>
      </c>
      <c r="H709" s="9">
        <f>IF(ISNA(MATCH(696,Engine!$C$2:$C$1960,0)),"",INDEX('Compliance Database'!$H$2:$H$1960,MATCH(696,Engine!$C$2:$C$1960,0)))</f>
        <v/>
      </c>
      <c r="I709" s="9">
        <f>IF(ISNA(MATCH(696,Engine!$C$2:$C$1960,0)),"",INDEX('Compliance Database'!$I$2:$I$1960,MATCH(696,Engine!$C$2:$C$1960,0)))</f>
        <v/>
      </c>
      <c r="J709" s="8">
        <f>IF(ISNA(MATCH(696,Engine!$C$2:$C$1960,0)),"",INDEX('Compliance Database'!$J$2:$J$1960,MATCH(696,Engine!$C$2:$C$1960,0)))</f>
        <v/>
      </c>
      <c r="K709" s="9">
        <f>IF(ISNA(MATCH(696,Engine!$C$2:$C$1960,0)),"",INDEX('Compliance Database'!$K$2:$K$1960,MATCH(696,Engine!$C$2:$C$1960,0)))</f>
        <v/>
      </c>
      <c r="L709" s="9">
        <f>IF(ISNA(MATCH(696,Engine!$C$2:$C$1960,0)),"",INDEX('Compliance Database'!$L$2:$L$1960,MATCH(696,Engine!$C$2:$C$1960,0)))</f>
        <v/>
      </c>
      <c r="M709" s="9">
        <f>IF(ISNA(MATCH(696,Engine!$C$2:$C$1960,0)),"",INDEX('Compliance Database'!$M$2:$M$1960,MATCH(696,Engine!$C$2:$C$1960,0)))</f>
        <v/>
      </c>
      <c r="N709" s="9">
        <f>IF(ISNA(MATCH(696,Engine!$C$2:$C$1960,0)),"",INDEX('Compliance Database'!$N$2:$N$1960,MATCH(696,Engine!$C$2:$C$1960,0)))</f>
        <v/>
      </c>
      <c r="O709" s="9">
        <f>IF(ISNA(MATCH(696,Engine!$C$2:$C$1960,0)),"",INDEX('Compliance Database'!$O$2:$O$1960,MATCH(696,Engine!$C$2:$C$1960,0)))</f>
        <v/>
      </c>
      <c r="P709" s="8">
        <f>IF(ISNA(MATCH(696,Engine!$C$2:$C$1960,0)),"",HYPERLINK("#Acts!A"&amp;INDEX('Compliance Database'!$P$2:$P$1960,MATCH(696,Engine!$C$2:$C$1960,0)),"Go to Act"))</f>
        <v/>
      </c>
    </row>
    <row r="710" ht="158" customHeight="1">
      <c r="A710" s="8">
        <f>IF(ISNA(MATCH(697,Engine!$C$2:$C$1960,0)),"",INDEX('Compliance Database'!$A$2:$A$1960,MATCH(697,Engine!$C$2:$C$1960,0)))</f>
        <v/>
      </c>
      <c r="B710" s="8">
        <f>IF(ISNA(MATCH(697,Engine!$C$2:$C$1960,0)),"",INDEX('Compliance Database'!$B$2:$B$1960,MATCH(697,Engine!$C$2:$C$1960,0)))</f>
        <v/>
      </c>
      <c r="C710" s="8">
        <f>IF(ISNA(MATCH(697,Engine!$C$2:$C$1960,0)),"",INDEX('Compliance Database'!$C$2:$C$1960,MATCH(697,Engine!$C$2:$C$1960,0)))</f>
        <v/>
      </c>
      <c r="D710" s="9">
        <f>IF(ISNA(MATCH(697,Engine!$C$2:$C$1960,0)),"",INDEX('Compliance Database'!$D$2:$D$1960,MATCH(697,Engine!$C$2:$C$1960,0)))</f>
        <v/>
      </c>
      <c r="E710" s="8">
        <f>IF(ISNA(MATCH(697,Engine!$C$2:$C$1960,0)),"",INDEX('Compliance Database'!$E$2:$E$1960,MATCH(697,Engine!$C$2:$C$1960,0)))</f>
        <v/>
      </c>
      <c r="F710" s="8">
        <f>IF(ISNA(MATCH(697,Engine!$C$2:$C$1960,0)),"",INDEX('Compliance Database'!$F$2:$F$1960,MATCH(697,Engine!$C$2:$C$1960,0)))</f>
        <v/>
      </c>
      <c r="G710" s="8">
        <f>IF(ISNA(MATCH(697,Engine!$C$2:$C$1960,0)),"",INDEX('Compliance Database'!$G$2:$G$1960,MATCH(697,Engine!$C$2:$C$1960,0)))</f>
        <v/>
      </c>
      <c r="H710" s="9">
        <f>IF(ISNA(MATCH(697,Engine!$C$2:$C$1960,0)),"",INDEX('Compliance Database'!$H$2:$H$1960,MATCH(697,Engine!$C$2:$C$1960,0)))</f>
        <v/>
      </c>
      <c r="I710" s="9">
        <f>IF(ISNA(MATCH(697,Engine!$C$2:$C$1960,0)),"",INDEX('Compliance Database'!$I$2:$I$1960,MATCH(697,Engine!$C$2:$C$1960,0)))</f>
        <v/>
      </c>
      <c r="J710" s="8">
        <f>IF(ISNA(MATCH(697,Engine!$C$2:$C$1960,0)),"",INDEX('Compliance Database'!$J$2:$J$1960,MATCH(697,Engine!$C$2:$C$1960,0)))</f>
        <v/>
      </c>
      <c r="K710" s="9">
        <f>IF(ISNA(MATCH(697,Engine!$C$2:$C$1960,0)),"",INDEX('Compliance Database'!$K$2:$K$1960,MATCH(697,Engine!$C$2:$C$1960,0)))</f>
        <v/>
      </c>
      <c r="L710" s="9">
        <f>IF(ISNA(MATCH(697,Engine!$C$2:$C$1960,0)),"",INDEX('Compliance Database'!$L$2:$L$1960,MATCH(697,Engine!$C$2:$C$1960,0)))</f>
        <v/>
      </c>
      <c r="M710" s="9">
        <f>IF(ISNA(MATCH(697,Engine!$C$2:$C$1960,0)),"",INDEX('Compliance Database'!$M$2:$M$1960,MATCH(697,Engine!$C$2:$C$1960,0)))</f>
        <v/>
      </c>
      <c r="N710" s="9">
        <f>IF(ISNA(MATCH(697,Engine!$C$2:$C$1960,0)),"",INDEX('Compliance Database'!$N$2:$N$1960,MATCH(697,Engine!$C$2:$C$1960,0)))</f>
        <v/>
      </c>
      <c r="O710" s="9">
        <f>IF(ISNA(MATCH(697,Engine!$C$2:$C$1960,0)),"",INDEX('Compliance Database'!$O$2:$O$1960,MATCH(697,Engine!$C$2:$C$1960,0)))</f>
        <v/>
      </c>
      <c r="P710" s="8">
        <f>IF(ISNA(MATCH(697,Engine!$C$2:$C$1960,0)),"",HYPERLINK("#Acts!A"&amp;INDEX('Compliance Database'!$P$2:$P$1960,MATCH(697,Engine!$C$2:$C$1960,0)),"Go to Act"))</f>
        <v/>
      </c>
    </row>
    <row r="711" ht="158" customHeight="1">
      <c r="A711" s="8">
        <f>IF(ISNA(MATCH(698,Engine!$C$2:$C$1960,0)),"",INDEX('Compliance Database'!$A$2:$A$1960,MATCH(698,Engine!$C$2:$C$1960,0)))</f>
        <v/>
      </c>
      <c r="B711" s="8">
        <f>IF(ISNA(MATCH(698,Engine!$C$2:$C$1960,0)),"",INDEX('Compliance Database'!$B$2:$B$1960,MATCH(698,Engine!$C$2:$C$1960,0)))</f>
        <v/>
      </c>
      <c r="C711" s="8">
        <f>IF(ISNA(MATCH(698,Engine!$C$2:$C$1960,0)),"",INDEX('Compliance Database'!$C$2:$C$1960,MATCH(698,Engine!$C$2:$C$1960,0)))</f>
        <v/>
      </c>
      <c r="D711" s="9">
        <f>IF(ISNA(MATCH(698,Engine!$C$2:$C$1960,0)),"",INDEX('Compliance Database'!$D$2:$D$1960,MATCH(698,Engine!$C$2:$C$1960,0)))</f>
        <v/>
      </c>
      <c r="E711" s="8">
        <f>IF(ISNA(MATCH(698,Engine!$C$2:$C$1960,0)),"",INDEX('Compliance Database'!$E$2:$E$1960,MATCH(698,Engine!$C$2:$C$1960,0)))</f>
        <v/>
      </c>
      <c r="F711" s="8">
        <f>IF(ISNA(MATCH(698,Engine!$C$2:$C$1960,0)),"",INDEX('Compliance Database'!$F$2:$F$1960,MATCH(698,Engine!$C$2:$C$1960,0)))</f>
        <v/>
      </c>
      <c r="G711" s="8">
        <f>IF(ISNA(MATCH(698,Engine!$C$2:$C$1960,0)),"",INDEX('Compliance Database'!$G$2:$G$1960,MATCH(698,Engine!$C$2:$C$1960,0)))</f>
        <v/>
      </c>
      <c r="H711" s="9">
        <f>IF(ISNA(MATCH(698,Engine!$C$2:$C$1960,0)),"",INDEX('Compliance Database'!$H$2:$H$1960,MATCH(698,Engine!$C$2:$C$1960,0)))</f>
        <v/>
      </c>
      <c r="I711" s="9">
        <f>IF(ISNA(MATCH(698,Engine!$C$2:$C$1960,0)),"",INDEX('Compliance Database'!$I$2:$I$1960,MATCH(698,Engine!$C$2:$C$1960,0)))</f>
        <v/>
      </c>
      <c r="J711" s="8">
        <f>IF(ISNA(MATCH(698,Engine!$C$2:$C$1960,0)),"",INDEX('Compliance Database'!$J$2:$J$1960,MATCH(698,Engine!$C$2:$C$1960,0)))</f>
        <v/>
      </c>
      <c r="K711" s="9">
        <f>IF(ISNA(MATCH(698,Engine!$C$2:$C$1960,0)),"",INDEX('Compliance Database'!$K$2:$K$1960,MATCH(698,Engine!$C$2:$C$1960,0)))</f>
        <v/>
      </c>
      <c r="L711" s="9">
        <f>IF(ISNA(MATCH(698,Engine!$C$2:$C$1960,0)),"",INDEX('Compliance Database'!$L$2:$L$1960,MATCH(698,Engine!$C$2:$C$1960,0)))</f>
        <v/>
      </c>
      <c r="M711" s="9">
        <f>IF(ISNA(MATCH(698,Engine!$C$2:$C$1960,0)),"",INDEX('Compliance Database'!$M$2:$M$1960,MATCH(698,Engine!$C$2:$C$1960,0)))</f>
        <v/>
      </c>
      <c r="N711" s="9">
        <f>IF(ISNA(MATCH(698,Engine!$C$2:$C$1960,0)),"",INDEX('Compliance Database'!$N$2:$N$1960,MATCH(698,Engine!$C$2:$C$1960,0)))</f>
        <v/>
      </c>
      <c r="O711" s="9">
        <f>IF(ISNA(MATCH(698,Engine!$C$2:$C$1960,0)),"",INDEX('Compliance Database'!$O$2:$O$1960,MATCH(698,Engine!$C$2:$C$1960,0)))</f>
        <v/>
      </c>
      <c r="P711" s="8">
        <f>IF(ISNA(MATCH(698,Engine!$C$2:$C$1960,0)),"",HYPERLINK("#Acts!A"&amp;INDEX('Compliance Database'!$P$2:$P$1960,MATCH(698,Engine!$C$2:$C$1960,0)),"Go to Act"))</f>
        <v/>
      </c>
    </row>
    <row r="712" ht="158" customHeight="1">
      <c r="A712" s="8">
        <f>IF(ISNA(MATCH(699,Engine!$C$2:$C$1960,0)),"",INDEX('Compliance Database'!$A$2:$A$1960,MATCH(699,Engine!$C$2:$C$1960,0)))</f>
        <v/>
      </c>
      <c r="B712" s="8">
        <f>IF(ISNA(MATCH(699,Engine!$C$2:$C$1960,0)),"",INDEX('Compliance Database'!$B$2:$B$1960,MATCH(699,Engine!$C$2:$C$1960,0)))</f>
        <v/>
      </c>
      <c r="C712" s="8">
        <f>IF(ISNA(MATCH(699,Engine!$C$2:$C$1960,0)),"",INDEX('Compliance Database'!$C$2:$C$1960,MATCH(699,Engine!$C$2:$C$1960,0)))</f>
        <v/>
      </c>
      <c r="D712" s="9">
        <f>IF(ISNA(MATCH(699,Engine!$C$2:$C$1960,0)),"",INDEX('Compliance Database'!$D$2:$D$1960,MATCH(699,Engine!$C$2:$C$1960,0)))</f>
        <v/>
      </c>
      <c r="E712" s="8">
        <f>IF(ISNA(MATCH(699,Engine!$C$2:$C$1960,0)),"",INDEX('Compliance Database'!$E$2:$E$1960,MATCH(699,Engine!$C$2:$C$1960,0)))</f>
        <v/>
      </c>
      <c r="F712" s="8">
        <f>IF(ISNA(MATCH(699,Engine!$C$2:$C$1960,0)),"",INDEX('Compliance Database'!$F$2:$F$1960,MATCH(699,Engine!$C$2:$C$1960,0)))</f>
        <v/>
      </c>
      <c r="G712" s="8">
        <f>IF(ISNA(MATCH(699,Engine!$C$2:$C$1960,0)),"",INDEX('Compliance Database'!$G$2:$G$1960,MATCH(699,Engine!$C$2:$C$1960,0)))</f>
        <v/>
      </c>
      <c r="H712" s="9">
        <f>IF(ISNA(MATCH(699,Engine!$C$2:$C$1960,0)),"",INDEX('Compliance Database'!$H$2:$H$1960,MATCH(699,Engine!$C$2:$C$1960,0)))</f>
        <v/>
      </c>
      <c r="I712" s="9">
        <f>IF(ISNA(MATCH(699,Engine!$C$2:$C$1960,0)),"",INDEX('Compliance Database'!$I$2:$I$1960,MATCH(699,Engine!$C$2:$C$1960,0)))</f>
        <v/>
      </c>
      <c r="J712" s="8">
        <f>IF(ISNA(MATCH(699,Engine!$C$2:$C$1960,0)),"",INDEX('Compliance Database'!$J$2:$J$1960,MATCH(699,Engine!$C$2:$C$1960,0)))</f>
        <v/>
      </c>
      <c r="K712" s="9">
        <f>IF(ISNA(MATCH(699,Engine!$C$2:$C$1960,0)),"",INDEX('Compliance Database'!$K$2:$K$1960,MATCH(699,Engine!$C$2:$C$1960,0)))</f>
        <v/>
      </c>
      <c r="L712" s="9">
        <f>IF(ISNA(MATCH(699,Engine!$C$2:$C$1960,0)),"",INDEX('Compliance Database'!$L$2:$L$1960,MATCH(699,Engine!$C$2:$C$1960,0)))</f>
        <v/>
      </c>
      <c r="M712" s="9">
        <f>IF(ISNA(MATCH(699,Engine!$C$2:$C$1960,0)),"",INDEX('Compliance Database'!$M$2:$M$1960,MATCH(699,Engine!$C$2:$C$1960,0)))</f>
        <v/>
      </c>
      <c r="N712" s="9">
        <f>IF(ISNA(MATCH(699,Engine!$C$2:$C$1960,0)),"",INDEX('Compliance Database'!$N$2:$N$1960,MATCH(699,Engine!$C$2:$C$1960,0)))</f>
        <v/>
      </c>
      <c r="O712" s="9">
        <f>IF(ISNA(MATCH(699,Engine!$C$2:$C$1960,0)),"",INDEX('Compliance Database'!$O$2:$O$1960,MATCH(699,Engine!$C$2:$C$1960,0)))</f>
        <v/>
      </c>
      <c r="P712" s="8">
        <f>IF(ISNA(MATCH(699,Engine!$C$2:$C$1960,0)),"",HYPERLINK("#Acts!A"&amp;INDEX('Compliance Database'!$P$2:$P$1960,MATCH(699,Engine!$C$2:$C$1960,0)),"Go to Act"))</f>
        <v/>
      </c>
    </row>
    <row r="713" ht="158" customHeight="1">
      <c r="A713" s="8">
        <f>IF(ISNA(MATCH(700,Engine!$C$2:$C$1960,0)),"",INDEX('Compliance Database'!$A$2:$A$1960,MATCH(700,Engine!$C$2:$C$1960,0)))</f>
        <v/>
      </c>
      <c r="B713" s="8">
        <f>IF(ISNA(MATCH(700,Engine!$C$2:$C$1960,0)),"",INDEX('Compliance Database'!$B$2:$B$1960,MATCH(700,Engine!$C$2:$C$1960,0)))</f>
        <v/>
      </c>
      <c r="C713" s="8">
        <f>IF(ISNA(MATCH(700,Engine!$C$2:$C$1960,0)),"",INDEX('Compliance Database'!$C$2:$C$1960,MATCH(700,Engine!$C$2:$C$1960,0)))</f>
        <v/>
      </c>
      <c r="D713" s="9">
        <f>IF(ISNA(MATCH(700,Engine!$C$2:$C$1960,0)),"",INDEX('Compliance Database'!$D$2:$D$1960,MATCH(700,Engine!$C$2:$C$1960,0)))</f>
        <v/>
      </c>
      <c r="E713" s="8">
        <f>IF(ISNA(MATCH(700,Engine!$C$2:$C$1960,0)),"",INDEX('Compliance Database'!$E$2:$E$1960,MATCH(700,Engine!$C$2:$C$1960,0)))</f>
        <v/>
      </c>
      <c r="F713" s="8">
        <f>IF(ISNA(MATCH(700,Engine!$C$2:$C$1960,0)),"",INDEX('Compliance Database'!$F$2:$F$1960,MATCH(700,Engine!$C$2:$C$1960,0)))</f>
        <v/>
      </c>
      <c r="G713" s="8">
        <f>IF(ISNA(MATCH(700,Engine!$C$2:$C$1960,0)),"",INDEX('Compliance Database'!$G$2:$G$1960,MATCH(700,Engine!$C$2:$C$1960,0)))</f>
        <v/>
      </c>
      <c r="H713" s="9">
        <f>IF(ISNA(MATCH(700,Engine!$C$2:$C$1960,0)),"",INDEX('Compliance Database'!$H$2:$H$1960,MATCH(700,Engine!$C$2:$C$1960,0)))</f>
        <v/>
      </c>
      <c r="I713" s="9">
        <f>IF(ISNA(MATCH(700,Engine!$C$2:$C$1960,0)),"",INDEX('Compliance Database'!$I$2:$I$1960,MATCH(700,Engine!$C$2:$C$1960,0)))</f>
        <v/>
      </c>
      <c r="J713" s="8">
        <f>IF(ISNA(MATCH(700,Engine!$C$2:$C$1960,0)),"",INDEX('Compliance Database'!$J$2:$J$1960,MATCH(700,Engine!$C$2:$C$1960,0)))</f>
        <v/>
      </c>
      <c r="K713" s="9">
        <f>IF(ISNA(MATCH(700,Engine!$C$2:$C$1960,0)),"",INDEX('Compliance Database'!$K$2:$K$1960,MATCH(700,Engine!$C$2:$C$1960,0)))</f>
        <v/>
      </c>
      <c r="L713" s="9">
        <f>IF(ISNA(MATCH(700,Engine!$C$2:$C$1960,0)),"",INDEX('Compliance Database'!$L$2:$L$1960,MATCH(700,Engine!$C$2:$C$1960,0)))</f>
        <v/>
      </c>
      <c r="M713" s="9">
        <f>IF(ISNA(MATCH(700,Engine!$C$2:$C$1960,0)),"",INDEX('Compliance Database'!$M$2:$M$1960,MATCH(700,Engine!$C$2:$C$1960,0)))</f>
        <v/>
      </c>
      <c r="N713" s="9">
        <f>IF(ISNA(MATCH(700,Engine!$C$2:$C$1960,0)),"",INDEX('Compliance Database'!$N$2:$N$1960,MATCH(700,Engine!$C$2:$C$1960,0)))</f>
        <v/>
      </c>
      <c r="O713" s="9">
        <f>IF(ISNA(MATCH(700,Engine!$C$2:$C$1960,0)),"",INDEX('Compliance Database'!$O$2:$O$1960,MATCH(700,Engine!$C$2:$C$1960,0)))</f>
        <v/>
      </c>
      <c r="P713" s="8">
        <f>IF(ISNA(MATCH(700,Engine!$C$2:$C$1960,0)),"",HYPERLINK("#Acts!A"&amp;INDEX('Compliance Database'!$P$2:$P$1960,MATCH(700,Engine!$C$2:$C$1960,0)),"Go to Act"))</f>
        <v/>
      </c>
    </row>
    <row r="714" ht="158" customHeight="1">
      <c r="A714" s="8">
        <f>IF(ISNA(MATCH(701,Engine!$C$2:$C$1960,0)),"",INDEX('Compliance Database'!$A$2:$A$1960,MATCH(701,Engine!$C$2:$C$1960,0)))</f>
        <v/>
      </c>
      <c r="B714" s="8">
        <f>IF(ISNA(MATCH(701,Engine!$C$2:$C$1960,0)),"",INDEX('Compliance Database'!$B$2:$B$1960,MATCH(701,Engine!$C$2:$C$1960,0)))</f>
        <v/>
      </c>
      <c r="C714" s="8">
        <f>IF(ISNA(MATCH(701,Engine!$C$2:$C$1960,0)),"",INDEX('Compliance Database'!$C$2:$C$1960,MATCH(701,Engine!$C$2:$C$1960,0)))</f>
        <v/>
      </c>
      <c r="D714" s="9">
        <f>IF(ISNA(MATCH(701,Engine!$C$2:$C$1960,0)),"",INDEX('Compliance Database'!$D$2:$D$1960,MATCH(701,Engine!$C$2:$C$1960,0)))</f>
        <v/>
      </c>
      <c r="E714" s="8">
        <f>IF(ISNA(MATCH(701,Engine!$C$2:$C$1960,0)),"",INDEX('Compliance Database'!$E$2:$E$1960,MATCH(701,Engine!$C$2:$C$1960,0)))</f>
        <v/>
      </c>
      <c r="F714" s="8">
        <f>IF(ISNA(MATCH(701,Engine!$C$2:$C$1960,0)),"",INDEX('Compliance Database'!$F$2:$F$1960,MATCH(701,Engine!$C$2:$C$1960,0)))</f>
        <v/>
      </c>
      <c r="G714" s="8">
        <f>IF(ISNA(MATCH(701,Engine!$C$2:$C$1960,0)),"",INDEX('Compliance Database'!$G$2:$G$1960,MATCH(701,Engine!$C$2:$C$1960,0)))</f>
        <v/>
      </c>
      <c r="H714" s="9">
        <f>IF(ISNA(MATCH(701,Engine!$C$2:$C$1960,0)),"",INDEX('Compliance Database'!$H$2:$H$1960,MATCH(701,Engine!$C$2:$C$1960,0)))</f>
        <v/>
      </c>
      <c r="I714" s="9">
        <f>IF(ISNA(MATCH(701,Engine!$C$2:$C$1960,0)),"",INDEX('Compliance Database'!$I$2:$I$1960,MATCH(701,Engine!$C$2:$C$1960,0)))</f>
        <v/>
      </c>
      <c r="J714" s="8">
        <f>IF(ISNA(MATCH(701,Engine!$C$2:$C$1960,0)),"",INDEX('Compliance Database'!$J$2:$J$1960,MATCH(701,Engine!$C$2:$C$1960,0)))</f>
        <v/>
      </c>
      <c r="K714" s="9">
        <f>IF(ISNA(MATCH(701,Engine!$C$2:$C$1960,0)),"",INDEX('Compliance Database'!$K$2:$K$1960,MATCH(701,Engine!$C$2:$C$1960,0)))</f>
        <v/>
      </c>
      <c r="L714" s="9">
        <f>IF(ISNA(MATCH(701,Engine!$C$2:$C$1960,0)),"",INDEX('Compliance Database'!$L$2:$L$1960,MATCH(701,Engine!$C$2:$C$1960,0)))</f>
        <v/>
      </c>
      <c r="M714" s="9">
        <f>IF(ISNA(MATCH(701,Engine!$C$2:$C$1960,0)),"",INDEX('Compliance Database'!$M$2:$M$1960,MATCH(701,Engine!$C$2:$C$1960,0)))</f>
        <v/>
      </c>
      <c r="N714" s="9">
        <f>IF(ISNA(MATCH(701,Engine!$C$2:$C$1960,0)),"",INDEX('Compliance Database'!$N$2:$N$1960,MATCH(701,Engine!$C$2:$C$1960,0)))</f>
        <v/>
      </c>
      <c r="O714" s="9">
        <f>IF(ISNA(MATCH(701,Engine!$C$2:$C$1960,0)),"",INDEX('Compliance Database'!$O$2:$O$1960,MATCH(701,Engine!$C$2:$C$1960,0)))</f>
        <v/>
      </c>
      <c r="P714" s="8">
        <f>IF(ISNA(MATCH(701,Engine!$C$2:$C$1960,0)),"",HYPERLINK("#Acts!A"&amp;INDEX('Compliance Database'!$P$2:$P$1960,MATCH(701,Engine!$C$2:$C$1960,0)),"Go to Act"))</f>
        <v/>
      </c>
    </row>
    <row r="715" ht="158" customHeight="1">
      <c r="A715" s="8">
        <f>IF(ISNA(MATCH(702,Engine!$C$2:$C$1960,0)),"",INDEX('Compliance Database'!$A$2:$A$1960,MATCH(702,Engine!$C$2:$C$1960,0)))</f>
        <v/>
      </c>
      <c r="B715" s="8">
        <f>IF(ISNA(MATCH(702,Engine!$C$2:$C$1960,0)),"",INDEX('Compliance Database'!$B$2:$B$1960,MATCH(702,Engine!$C$2:$C$1960,0)))</f>
        <v/>
      </c>
      <c r="C715" s="8">
        <f>IF(ISNA(MATCH(702,Engine!$C$2:$C$1960,0)),"",INDEX('Compliance Database'!$C$2:$C$1960,MATCH(702,Engine!$C$2:$C$1960,0)))</f>
        <v/>
      </c>
      <c r="D715" s="9">
        <f>IF(ISNA(MATCH(702,Engine!$C$2:$C$1960,0)),"",INDEX('Compliance Database'!$D$2:$D$1960,MATCH(702,Engine!$C$2:$C$1960,0)))</f>
        <v/>
      </c>
      <c r="E715" s="8">
        <f>IF(ISNA(MATCH(702,Engine!$C$2:$C$1960,0)),"",INDEX('Compliance Database'!$E$2:$E$1960,MATCH(702,Engine!$C$2:$C$1960,0)))</f>
        <v/>
      </c>
      <c r="F715" s="8">
        <f>IF(ISNA(MATCH(702,Engine!$C$2:$C$1960,0)),"",INDEX('Compliance Database'!$F$2:$F$1960,MATCH(702,Engine!$C$2:$C$1960,0)))</f>
        <v/>
      </c>
      <c r="G715" s="8">
        <f>IF(ISNA(MATCH(702,Engine!$C$2:$C$1960,0)),"",INDEX('Compliance Database'!$G$2:$G$1960,MATCH(702,Engine!$C$2:$C$1960,0)))</f>
        <v/>
      </c>
      <c r="H715" s="9">
        <f>IF(ISNA(MATCH(702,Engine!$C$2:$C$1960,0)),"",INDEX('Compliance Database'!$H$2:$H$1960,MATCH(702,Engine!$C$2:$C$1960,0)))</f>
        <v/>
      </c>
      <c r="I715" s="9">
        <f>IF(ISNA(MATCH(702,Engine!$C$2:$C$1960,0)),"",INDEX('Compliance Database'!$I$2:$I$1960,MATCH(702,Engine!$C$2:$C$1960,0)))</f>
        <v/>
      </c>
      <c r="J715" s="8">
        <f>IF(ISNA(MATCH(702,Engine!$C$2:$C$1960,0)),"",INDEX('Compliance Database'!$J$2:$J$1960,MATCH(702,Engine!$C$2:$C$1960,0)))</f>
        <v/>
      </c>
      <c r="K715" s="9">
        <f>IF(ISNA(MATCH(702,Engine!$C$2:$C$1960,0)),"",INDEX('Compliance Database'!$K$2:$K$1960,MATCH(702,Engine!$C$2:$C$1960,0)))</f>
        <v/>
      </c>
      <c r="L715" s="9">
        <f>IF(ISNA(MATCH(702,Engine!$C$2:$C$1960,0)),"",INDEX('Compliance Database'!$L$2:$L$1960,MATCH(702,Engine!$C$2:$C$1960,0)))</f>
        <v/>
      </c>
      <c r="M715" s="9">
        <f>IF(ISNA(MATCH(702,Engine!$C$2:$C$1960,0)),"",INDEX('Compliance Database'!$M$2:$M$1960,MATCH(702,Engine!$C$2:$C$1960,0)))</f>
        <v/>
      </c>
      <c r="N715" s="9">
        <f>IF(ISNA(MATCH(702,Engine!$C$2:$C$1960,0)),"",INDEX('Compliance Database'!$N$2:$N$1960,MATCH(702,Engine!$C$2:$C$1960,0)))</f>
        <v/>
      </c>
      <c r="O715" s="9">
        <f>IF(ISNA(MATCH(702,Engine!$C$2:$C$1960,0)),"",INDEX('Compliance Database'!$O$2:$O$1960,MATCH(702,Engine!$C$2:$C$1960,0)))</f>
        <v/>
      </c>
      <c r="P715" s="8">
        <f>IF(ISNA(MATCH(702,Engine!$C$2:$C$1960,0)),"",HYPERLINK("#Acts!A"&amp;INDEX('Compliance Database'!$P$2:$P$1960,MATCH(702,Engine!$C$2:$C$1960,0)),"Go to Act"))</f>
        <v/>
      </c>
    </row>
    <row r="716" ht="158" customHeight="1">
      <c r="A716" s="8">
        <f>IF(ISNA(MATCH(703,Engine!$C$2:$C$1960,0)),"",INDEX('Compliance Database'!$A$2:$A$1960,MATCH(703,Engine!$C$2:$C$1960,0)))</f>
        <v/>
      </c>
      <c r="B716" s="8">
        <f>IF(ISNA(MATCH(703,Engine!$C$2:$C$1960,0)),"",INDEX('Compliance Database'!$B$2:$B$1960,MATCH(703,Engine!$C$2:$C$1960,0)))</f>
        <v/>
      </c>
      <c r="C716" s="8">
        <f>IF(ISNA(MATCH(703,Engine!$C$2:$C$1960,0)),"",INDEX('Compliance Database'!$C$2:$C$1960,MATCH(703,Engine!$C$2:$C$1960,0)))</f>
        <v/>
      </c>
      <c r="D716" s="9">
        <f>IF(ISNA(MATCH(703,Engine!$C$2:$C$1960,0)),"",INDEX('Compliance Database'!$D$2:$D$1960,MATCH(703,Engine!$C$2:$C$1960,0)))</f>
        <v/>
      </c>
      <c r="E716" s="8">
        <f>IF(ISNA(MATCH(703,Engine!$C$2:$C$1960,0)),"",INDEX('Compliance Database'!$E$2:$E$1960,MATCH(703,Engine!$C$2:$C$1960,0)))</f>
        <v/>
      </c>
      <c r="F716" s="8">
        <f>IF(ISNA(MATCH(703,Engine!$C$2:$C$1960,0)),"",INDEX('Compliance Database'!$F$2:$F$1960,MATCH(703,Engine!$C$2:$C$1960,0)))</f>
        <v/>
      </c>
      <c r="G716" s="8">
        <f>IF(ISNA(MATCH(703,Engine!$C$2:$C$1960,0)),"",INDEX('Compliance Database'!$G$2:$G$1960,MATCH(703,Engine!$C$2:$C$1960,0)))</f>
        <v/>
      </c>
      <c r="H716" s="9">
        <f>IF(ISNA(MATCH(703,Engine!$C$2:$C$1960,0)),"",INDEX('Compliance Database'!$H$2:$H$1960,MATCH(703,Engine!$C$2:$C$1960,0)))</f>
        <v/>
      </c>
      <c r="I716" s="9">
        <f>IF(ISNA(MATCH(703,Engine!$C$2:$C$1960,0)),"",INDEX('Compliance Database'!$I$2:$I$1960,MATCH(703,Engine!$C$2:$C$1960,0)))</f>
        <v/>
      </c>
      <c r="J716" s="8">
        <f>IF(ISNA(MATCH(703,Engine!$C$2:$C$1960,0)),"",INDEX('Compliance Database'!$J$2:$J$1960,MATCH(703,Engine!$C$2:$C$1960,0)))</f>
        <v/>
      </c>
      <c r="K716" s="9">
        <f>IF(ISNA(MATCH(703,Engine!$C$2:$C$1960,0)),"",INDEX('Compliance Database'!$K$2:$K$1960,MATCH(703,Engine!$C$2:$C$1960,0)))</f>
        <v/>
      </c>
      <c r="L716" s="9">
        <f>IF(ISNA(MATCH(703,Engine!$C$2:$C$1960,0)),"",INDEX('Compliance Database'!$L$2:$L$1960,MATCH(703,Engine!$C$2:$C$1960,0)))</f>
        <v/>
      </c>
      <c r="M716" s="9">
        <f>IF(ISNA(MATCH(703,Engine!$C$2:$C$1960,0)),"",INDEX('Compliance Database'!$M$2:$M$1960,MATCH(703,Engine!$C$2:$C$1960,0)))</f>
        <v/>
      </c>
      <c r="N716" s="9">
        <f>IF(ISNA(MATCH(703,Engine!$C$2:$C$1960,0)),"",INDEX('Compliance Database'!$N$2:$N$1960,MATCH(703,Engine!$C$2:$C$1960,0)))</f>
        <v/>
      </c>
      <c r="O716" s="9">
        <f>IF(ISNA(MATCH(703,Engine!$C$2:$C$1960,0)),"",INDEX('Compliance Database'!$O$2:$O$1960,MATCH(703,Engine!$C$2:$C$1960,0)))</f>
        <v/>
      </c>
      <c r="P716" s="8">
        <f>IF(ISNA(MATCH(703,Engine!$C$2:$C$1960,0)),"",HYPERLINK("#Acts!A"&amp;INDEX('Compliance Database'!$P$2:$P$1960,MATCH(703,Engine!$C$2:$C$1960,0)),"Go to Act"))</f>
        <v/>
      </c>
    </row>
    <row r="717" ht="158" customHeight="1">
      <c r="A717" s="8">
        <f>IF(ISNA(MATCH(704,Engine!$C$2:$C$1960,0)),"",INDEX('Compliance Database'!$A$2:$A$1960,MATCH(704,Engine!$C$2:$C$1960,0)))</f>
        <v/>
      </c>
      <c r="B717" s="8">
        <f>IF(ISNA(MATCH(704,Engine!$C$2:$C$1960,0)),"",INDEX('Compliance Database'!$B$2:$B$1960,MATCH(704,Engine!$C$2:$C$1960,0)))</f>
        <v/>
      </c>
      <c r="C717" s="8">
        <f>IF(ISNA(MATCH(704,Engine!$C$2:$C$1960,0)),"",INDEX('Compliance Database'!$C$2:$C$1960,MATCH(704,Engine!$C$2:$C$1960,0)))</f>
        <v/>
      </c>
      <c r="D717" s="9">
        <f>IF(ISNA(MATCH(704,Engine!$C$2:$C$1960,0)),"",INDEX('Compliance Database'!$D$2:$D$1960,MATCH(704,Engine!$C$2:$C$1960,0)))</f>
        <v/>
      </c>
      <c r="E717" s="8">
        <f>IF(ISNA(MATCH(704,Engine!$C$2:$C$1960,0)),"",INDEX('Compliance Database'!$E$2:$E$1960,MATCH(704,Engine!$C$2:$C$1960,0)))</f>
        <v/>
      </c>
      <c r="F717" s="8">
        <f>IF(ISNA(MATCH(704,Engine!$C$2:$C$1960,0)),"",INDEX('Compliance Database'!$F$2:$F$1960,MATCH(704,Engine!$C$2:$C$1960,0)))</f>
        <v/>
      </c>
      <c r="G717" s="8">
        <f>IF(ISNA(MATCH(704,Engine!$C$2:$C$1960,0)),"",INDEX('Compliance Database'!$G$2:$G$1960,MATCH(704,Engine!$C$2:$C$1960,0)))</f>
        <v/>
      </c>
      <c r="H717" s="9">
        <f>IF(ISNA(MATCH(704,Engine!$C$2:$C$1960,0)),"",INDEX('Compliance Database'!$H$2:$H$1960,MATCH(704,Engine!$C$2:$C$1960,0)))</f>
        <v/>
      </c>
      <c r="I717" s="9">
        <f>IF(ISNA(MATCH(704,Engine!$C$2:$C$1960,0)),"",INDEX('Compliance Database'!$I$2:$I$1960,MATCH(704,Engine!$C$2:$C$1960,0)))</f>
        <v/>
      </c>
      <c r="J717" s="8">
        <f>IF(ISNA(MATCH(704,Engine!$C$2:$C$1960,0)),"",INDEX('Compliance Database'!$J$2:$J$1960,MATCH(704,Engine!$C$2:$C$1960,0)))</f>
        <v/>
      </c>
      <c r="K717" s="9">
        <f>IF(ISNA(MATCH(704,Engine!$C$2:$C$1960,0)),"",INDEX('Compliance Database'!$K$2:$K$1960,MATCH(704,Engine!$C$2:$C$1960,0)))</f>
        <v/>
      </c>
      <c r="L717" s="9">
        <f>IF(ISNA(MATCH(704,Engine!$C$2:$C$1960,0)),"",INDEX('Compliance Database'!$L$2:$L$1960,MATCH(704,Engine!$C$2:$C$1960,0)))</f>
        <v/>
      </c>
      <c r="M717" s="9">
        <f>IF(ISNA(MATCH(704,Engine!$C$2:$C$1960,0)),"",INDEX('Compliance Database'!$M$2:$M$1960,MATCH(704,Engine!$C$2:$C$1960,0)))</f>
        <v/>
      </c>
      <c r="N717" s="9">
        <f>IF(ISNA(MATCH(704,Engine!$C$2:$C$1960,0)),"",INDEX('Compliance Database'!$N$2:$N$1960,MATCH(704,Engine!$C$2:$C$1960,0)))</f>
        <v/>
      </c>
      <c r="O717" s="9">
        <f>IF(ISNA(MATCH(704,Engine!$C$2:$C$1960,0)),"",INDEX('Compliance Database'!$O$2:$O$1960,MATCH(704,Engine!$C$2:$C$1960,0)))</f>
        <v/>
      </c>
      <c r="P717" s="8">
        <f>IF(ISNA(MATCH(704,Engine!$C$2:$C$1960,0)),"",HYPERLINK("#Acts!A"&amp;INDEX('Compliance Database'!$P$2:$P$1960,MATCH(704,Engine!$C$2:$C$1960,0)),"Go to Act"))</f>
        <v/>
      </c>
    </row>
    <row r="718" ht="158" customHeight="1">
      <c r="A718" s="8">
        <f>IF(ISNA(MATCH(705,Engine!$C$2:$C$1960,0)),"",INDEX('Compliance Database'!$A$2:$A$1960,MATCH(705,Engine!$C$2:$C$1960,0)))</f>
        <v/>
      </c>
      <c r="B718" s="8">
        <f>IF(ISNA(MATCH(705,Engine!$C$2:$C$1960,0)),"",INDEX('Compliance Database'!$B$2:$B$1960,MATCH(705,Engine!$C$2:$C$1960,0)))</f>
        <v/>
      </c>
      <c r="C718" s="8">
        <f>IF(ISNA(MATCH(705,Engine!$C$2:$C$1960,0)),"",INDEX('Compliance Database'!$C$2:$C$1960,MATCH(705,Engine!$C$2:$C$1960,0)))</f>
        <v/>
      </c>
      <c r="D718" s="9">
        <f>IF(ISNA(MATCH(705,Engine!$C$2:$C$1960,0)),"",INDEX('Compliance Database'!$D$2:$D$1960,MATCH(705,Engine!$C$2:$C$1960,0)))</f>
        <v/>
      </c>
      <c r="E718" s="8">
        <f>IF(ISNA(MATCH(705,Engine!$C$2:$C$1960,0)),"",INDEX('Compliance Database'!$E$2:$E$1960,MATCH(705,Engine!$C$2:$C$1960,0)))</f>
        <v/>
      </c>
      <c r="F718" s="8">
        <f>IF(ISNA(MATCH(705,Engine!$C$2:$C$1960,0)),"",INDEX('Compliance Database'!$F$2:$F$1960,MATCH(705,Engine!$C$2:$C$1960,0)))</f>
        <v/>
      </c>
      <c r="G718" s="8">
        <f>IF(ISNA(MATCH(705,Engine!$C$2:$C$1960,0)),"",INDEX('Compliance Database'!$G$2:$G$1960,MATCH(705,Engine!$C$2:$C$1960,0)))</f>
        <v/>
      </c>
      <c r="H718" s="9">
        <f>IF(ISNA(MATCH(705,Engine!$C$2:$C$1960,0)),"",INDEX('Compliance Database'!$H$2:$H$1960,MATCH(705,Engine!$C$2:$C$1960,0)))</f>
        <v/>
      </c>
      <c r="I718" s="9">
        <f>IF(ISNA(MATCH(705,Engine!$C$2:$C$1960,0)),"",INDEX('Compliance Database'!$I$2:$I$1960,MATCH(705,Engine!$C$2:$C$1960,0)))</f>
        <v/>
      </c>
      <c r="J718" s="8">
        <f>IF(ISNA(MATCH(705,Engine!$C$2:$C$1960,0)),"",INDEX('Compliance Database'!$J$2:$J$1960,MATCH(705,Engine!$C$2:$C$1960,0)))</f>
        <v/>
      </c>
      <c r="K718" s="9">
        <f>IF(ISNA(MATCH(705,Engine!$C$2:$C$1960,0)),"",INDEX('Compliance Database'!$K$2:$K$1960,MATCH(705,Engine!$C$2:$C$1960,0)))</f>
        <v/>
      </c>
      <c r="L718" s="9">
        <f>IF(ISNA(MATCH(705,Engine!$C$2:$C$1960,0)),"",INDEX('Compliance Database'!$L$2:$L$1960,MATCH(705,Engine!$C$2:$C$1960,0)))</f>
        <v/>
      </c>
      <c r="M718" s="9">
        <f>IF(ISNA(MATCH(705,Engine!$C$2:$C$1960,0)),"",INDEX('Compliance Database'!$M$2:$M$1960,MATCH(705,Engine!$C$2:$C$1960,0)))</f>
        <v/>
      </c>
      <c r="N718" s="9">
        <f>IF(ISNA(MATCH(705,Engine!$C$2:$C$1960,0)),"",INDEX('Compliance Database'!$N$2:$N$1960,MATCH(705,Engine!$C$2:$C$1960,0)))</f>
        <v/>
      </c>
      <c r="O718" s="9">
        <f>IF(ISNA(MATCH(705,Engine!$C$2:$C$1960,0)),"",INDEX('Compliance Database'!$O$2:$O$1960,MATCH(705,Engine!$C$2:$C$1960,0)))</f>
        <v/>
      </c>
      <c r="P718" s="8">
        <f>IF(ISNA(MATCH(705,Engine!$C$2:$C$1960,0)),"",HYPERLINK("#Acts!A"&amp;INDEX('Compliance Database'!$P$2:$P$1960,MATCH(705,Engine!$C$2:$C$1960,0)),"Go to Act"))</f>
        <v/>
      </c>
    </row>
    <row r="719" ht="158" customHeight="1">
      <c r="A719" s="8">
        <f>IF(ISNA(MATCH(706,Engine!$C$2:$C$1960,0)),"",INDEX('Compliance Database'!$A$2:$A$1960,MATCH(706,Engine!$C$2:$C$1960,0)))</f>
        <v/>
      </c>
      <c r="B719" s="8">
        <f>IF(ISNA(MATCH(706,Engine!$C$2:$C$1960,0)),"",INDEX('Compliance Database'!$B$2:$B$1960,MATCH(706,Engine!$C$2:$C$1960,0)))</f>
        <v/>
      </c>
      <c r="C719" s="8">
        <f>IF(ISNA(MATCH(706,Engine!$C$2:$C$1960,0)),"",INDEX('Compliance Database'!$C$2:$C$1960,MATCH(706,Engine!$C$2:$C$1960,0)))</f>
        <v/>
      </c>
      <c r="D719" s="9">
        <f>IF(ISNA(MATCH(706,Engine!$C$2:$C$1960,0)),"",INDEX('Compliance Database'!$D$2:$D$1960,MATCH(706,Engine!$C$2:$C$1960,0)))</f>
        <v/>
      </c>
      <c r="E719" s="8">
        <f>IF(ISNA(MATCH(706,Engine!$C$2:$C$1960,0)),"",INDEX('Compliance Database'!$E$2:$E$1960,MATCH(706,Engine!$C$2:$C$1960,0)))</f>
        <v/>
      </c>
      <c r="F719" s="8">
        <f>IF(ISNA(MATCH(706,Engine!$C$2:$C$1960,0)),"",INDEX('Compliance Database'!$F$2:$F$1960,MATCH(706,Engine!$C$2:$C$1960,0)))</f>
        <v/>
      </c>
      <c r="G719" s="8">
        <f>IF(ISNA(MATCH(706,Engine!$C$2:$C$1960,0)),"",INDEX('Compliance Database'!$G$2:$G$1960,MATCH(706,Engine!$C$2:$C$1960,0)))</f>
        <v/>
      </c>
      <c r="H719" s="9">
        <f>IF(ISNA(MATCH(706,Engine!$C$2:$C$1960,0)),"",INDEX('Compliance Database'!$H$2:$H$1960,MATCH(706,Engine!$C$2:$C$1960,0)))</f>
        <v/>
      </c>
      <c r="I719" s="9">
        <f>IF(ISNA(MATCH(706,Engine!$C$2:$C$1960,0)),"",INDEX('Compliance Database'!$I$2:$I$1960,MATCH(706,Engine!$C$2:$C$1960,0)))</f>
        <v/>
      </c>
      <c r="J719" s="8">
        <f>IF(ISNA(MATCH(706,Engine!$C$2:$C$1960,0)),"",INDEX('Compliance Database'!$J$2:$J$1960,MATCH(706,Engine!$C$2:$C$1960,0)))</f>
        <v/>
      </c>
      <c r="K719" s="9">
        <f>IF(ISNA(MATCH(706,Engine!$C$2:$C$1960,0)),"",INDEX('Compliance Database'!$K$2:$K$1960,MATCH(706,Engine!$C$2:$C$1960,0)))</f>
        <v/>
      </c>
      <c r="L719" s="9">
        <f>IF(ISNA(MATCH(706,Engine!$C$2:$C$1960,0)),"",INDEX('Compliance Database'!$L$2:$L$1960,MATCH(706,Engine!$C$2:$C$1960,0)))</f>
        <v/>
      </c>
      <c r="M719" s="9">
        <f>IF(ISNA(MATCH(706,Engine!$C$2:$C$1960,0)),"",INDEX('Compliance Database'!$M$2:$M$1960,MATCH(706,Engine!$C$2:$C$1960,0)))</f>
        <v/>
      </c>
      <c r="N719" s="9">
        <f>IF(ISNA(MATCH(706,Engine!$C$2:$C$1960,0)),"",INDEX('Compliance Database'!$N$2:$N$1960,MATCH(706,Engine!$C$2:$C$1960,0)))</f>
        <v/>
      </c>
      <c r="O719" s="9">
        <f>IF(ISNA(MATCH(706,Engine!$C$2:$C$1960,0)),"",INDEX('Compliance Database'!$O$2:$O$1960,MATCH(706,Engine!$C$2:$C$1960,0)))</f>
        <v/>
      </c>
      <c r="P719" s="8">
        <f>IF(ISNA(MATCH(706,Engine!$C$2:$C$1960,0)),"",HYPERLINK("#Acts!A"&amp;INDEX('Compliance Database'!$P$2:$P$1960,MATCH(706,Engine!$C$2:$C$1960,0)),"Go to Act"))</f>
        <v/>
      </c>
    </row>
    <row r="720" ht="158" customHeight="1">
      <c r="A720" s="8">
        <f>IF(ISNA(MATCH(707,Engine!$C$2:$C$1960,0)),"",INDEX('Compliance Database'!$A$2:$A$1960,MATCH(707,Engine!$C$2:$C$1960,0)))</f>
        <v/>
      </c>
      <c r="B720" s="8">
        <f>IF(ISNA(MATCH(707,Engine!$C$2:$C$1960,0)),"",INDEX('Compliance Database'!$B$2:$B$1960,MATCH(707,Engine!$C$2:$C$1960,0)))</f>
        <v/>
      </c>
      <c r="C720" s="8">
        <f>IF(ISNA(MATCH(707,Engine!$C$2:$C$1960,0)),"",INDEX('Compliance Database'!$C$2:$C$1960,MATCH(707,Engine!$C$2:$C$1960,0)))</f>
        <v/>
      </c>
      <c r="D720" s="9">
        <f>IF(ISNA(MATCH(707,Engine!$C$2:$C$1960,0)),"",INDEX('Compliance Database'!$D$2:$D$1960,MATCH(707,Engine!$C$2:$C$1960,0)))</f>
        <v/>
      </c>
      <c r="E720" s="8">
        <f>IF(ISNA(MATCH(707,Engine!$C$2:$C$1960,0)),"",INDEX('Compliance Database'!$E$2:$E$1960,MATCH(707,Engine!$C$2:$C$1960,0)))</f>
        <v/>
      </c>
      <c r="F720" s="8">
        <f>IF(ISNA(MATCH(707,Engine!$C$2:$C$1960,0)),"",INDEX('Compliance Database'!$F$2:$F$1960,MATCH(707,Engine!$C$2:$C$1960,0)))</f>
        <v/>
      </c>
      <c r="G720" s="8">
        <f>IF(ISNA(MATCH(707,Engine!$C$2:$C$1960,0)),"",INDEX('Compliance Database'!$G$2:$G$1960,MATCH(707,Engine!$C$2:$C$1960,0)))</f>
        <v/>
      </c>
      <c r="H720" s="9">
        <f>IF(ISNA(MATCH(707,Engine!$C$2:$C$1960,0)),"",INDEX('Compliance Database'!$H$2:$H$1960,MATCH(707,Engine!$C$2:$C$1960,0)))</f>
        <v/>
      </c>
      <c r="I720" s="9">
        <f>IF(ISNA(MATCH(707,Engine!$C$2:$C$1960,0)),"",INDEX('Compliance Database'!$I$2:$I$1960,MATCH(707,Engine!$C$2:$C$1960,0)))</f>
        <v/>
      </c>
      <c r="J720" s="8">
        <f>IF(ISNA(MATCH(707,Engine!$C$2:$C$1960,0)),"",INDEX('Compliance Database'!$J$2:$J$1960,MATCH(707,Engine!$C$2:$C$1960,0)))</f>
        <v/>
      </c>
      <c r="K720" s="9">
        <f>IF(ISNA(MATCH(707,Engine!$C$2:$C$1960,0)),"",INDEX('Compliance Database'!$K$2:$K$1960,MATCH(707,Engine!$C$2:$C$1960,0)))</f>
        <v/>
      </c>
      <c r="L720" s="9">
        <f>IF(ISNA(MATCH(707,Engine!$C$2:$C$1960,0)),"",INDEX('Compliance Database'!$L$2:$L$1960,MATCH(707,Engine!$C$2:$C$1960,0)))</f>
        <v/>
      </c>
      <c r="M720" s="9">
        <f>IF(ISNA(MATCH(707,Engine!$C$2:$C$1960,0)),"",INDEX('Compliance Database'!$M$2:$M$1960,MATCH(707,Engine!$C$2:$C$1960,0)))</f>
        <v/>
      </c>
      <c r="N720" s="9">
        <f>IF(ISNA(MATCH(707,Engine!$C$2:$C$1960,0)),"",INDEX('Compliance Database'!$N$2:$N$1960,MATCH(707,Engine!$C$2:$C$1960,0)))</f>
        <v/>
      </c>
      <c r="O720" s="9">
        <f>IF(ISNA(MATCH(707,Engine!$C$2:$C$1960,0)),"",INDEX('Compliance Database'!$O$2:$O$1960,MATCH(707,Engine!$C$2:$C$1960,0)))</f>
        <v/>
      </c>
      <c r="P720" s="8">
        <f>IF(ISNA(MATCH(707,Engine!$C$2:$C$1960,0)),"",HYPERLINK("#Acts!A"&amp;INDEX('Compliance Database'!$P$2:$P$1960,MATCH(707,Engine!$C$2:$C$1960,0)),"Go to Act"))</f>
        <v/>
      </c>
    </row>
    <row r="721" ht="158" customHeight="1">
      <c r="A721" s="8">
        <f>IF(ISNA(MATCH(708,Engine!$C$2:$C$1960,0)),"",INDEX('Compliance Database'!$A$2:$A$1960,MATCH(708,Engine!$C$2:$C$1960,0)))</f>
        <v/>
      </c>
      <c r="B721" s="8">
        <f>IF(ISNA(MATCH(708,Engine!$C$2:$C$1960,0)),"",INDEX('Compliance Database'!$B$2:$B$1960,MATCH(708,Engine!$C$2:$C$1960,0)))</f>
        <v/>
      </c>
      <c r="C721" s="8">
        <f>IF(ISNA(MATCH(708,Engine!$C$2:$C$1960,0)),"",INDEX('Compliance Database'!$C$2:$C$1960,MATCH(708,Engine!$C$2:$C$1960,0)))</f>
        <v/>
      </c>
      <c r="D721" s="9">
        <f>IF(ISNA(MATCH(708,Engine!$C$2:$C$1960,0)),"",INDEX('Compliance Database'!$D$2:$D$1960,MATCH(708,Engine!$C$2:$C$1960,0)))</f>
        <v/>
      </c>
      <c r="E721" s="8">
        <f>IF(ISNA(MATCH(708,Engine!$C$2:$C$1960,0)),"",INDEX('Compliance Database'!$E$2:$E$1960,MATCH(708,Engine!$C$2:$C$1960,0)))</f>
        <v/>
      </c>
      <c r="F721" s="8">
        <f>IF(ISNA(MATCH(708,Engine!$C$2:$C$1960,0)),"",INDEX('Compliance Database'!$F$2:$F$1960,MATCH(708,Engine!$C$2:$C$1960,0)))</f>
        <v/>
      </c>
      <c r="G721" s="8">
        <f>IF(ISNA(MATCH(708,Engine!$C$2:$C$1960,0)),"",INDEX('Compliance Database'!$G$2:$G$1960,MATCH(708,Engine!$C$2:$C$1960,0)))</f>
        <v/>
      </c>
      <c r="H721" s="9">
        <f>IF(ISNA(MATCH(708,Engine!$C$2:$C$1960,0)),"",INDEX('Compliance Database'!$H$2:$H$1960,MATCH(708,Engine!$C$2:$C$1960,0)))</f>
        <v/>
      </c>
      <c r="I721" s="9">
        <f>IF(ISNA(MATCH(708,Engine!$C$2:$C$1960,0)),"",INDEX('Compliance Database'!$I$2:$I$1960,MATCH(708,Engine!$C$2:$C$1960,0)))</f>
        <v/>
      </c>
      <c r="J721" s="8">
        <f>IF(ISNA(MATCH(708,Engine!$C$2:$C$1960,0)),"",INDEX('Compliance Database'!$J$2:$J$1960,MATCH(708,Engine!$C$2:$C$1960,0)))</f>
        <v/>
      </c>
      <c r="K721" s="9">
        <f>IF(ISNA(MATCH(708,Engine!$C$2:$C$1960,0)),"",INDEX('Compliance Database'!$K$2:$K$1960,MATCH(708,Engine!$C$2:$C$1960,0)))</f>
        <v/>
      </c>
      <c r="L721" s="9">
        <f>IF(ISNA(MATCH(708,Engine!$C$2:$C$1960,0)),"",INDEX('Compliance Database'!$L$2:$L$1960,MATCH(708,Engine!$C$2:$C$1960,0)))</f>
        <v/>
      </c>
      <c r="M721" s="9">
        <f>IF(ISNA(MATCH(708,Engine!$C$2:$C$1960,0)),"",INDEX('Compliance Database'!$M$2:$M$1960,MATCH(708,Engine!$C$2:$C$1960,0)))</f>
        <v/>
      </c>
      <c r="N721" s="9">
        <f>IF(ISNA(MATCH(708,Engine!$C$2:$C$1960,0)),"",INDEX('Compliance Database'!$N$2:$N$1960,MATCH(708,Engine!$C$2:$C$1960,0)))</f>
        <v/>
      </c>
      <c r="O721" s="9">
        <f>IF(ISNA(MATCH(708,Engine!$C$2:$C$1960,0)),"",INDEX('Compliance Database'!$O$2:$O$1960,MATCH(708,Engine!$C$2:$C$1960,0)))</f>
        <v/>
      </c>
      <c r="P721" s="8">
        <f>IF(ISNA(MATCH(708,Engine!$C$2:$C$1960,0)),"",HYPERLINK("#Acts!A"&amp;INDEX('Compliance Database'!$P$2:$P$1960,MATCH(708,Engine!$C$2:$C$1960,0)),"Go to Act"))</f>
        <v/>
      </c>
    </row>
    <row r="722" ht="158" customHeight="1">
      <c r="A722" s="8">
        <f>IF(ISNA(MATCH(709,Engine!$C$2:$C$1960,0)),"",INDEX('Compliance Database'!$A$2:$A$1960,MATCH(709,Engine!$C$2:$C$1960,0)))</f>
        <v/>
      </c>
      <c r="B722" s="8">
        <f>IF(ISNA(MATCH(709,Engine!$C$2:$C$1960,0)),"",INDEX('Compliance Database'!$B$2:$B$1960,MATCH(709,Engine!$C$2:$C$1960,0)))</f>
        <v/>
      </c>
      <c r="C722" s="8">
        <f>IF(ISNA(MATCH(709,Engine!$C$2:$C$1960,0)),"",INDEX('Compliance Database'!$C$2:$C$1960,MATCH(709,Engine!$C$2:$C$1960,0)))</f>
        <v/>
      </c>
      <c r="D722" s="9">
        <f>IF(ISNA(MATCH(709,Engine!$C$2:$C$1960,0)),"",INDEX('Compliance Database'!$D$2:$D$1960,MATCH(709,Engine!$C$2:$C$1960,0)))</f>
        <v/>
      </c>
      <c r="E722" s="8">
        <f>IF(ISNA(MATCH(709,Engine!$C$2:$C$1960,0)),"",INDEX('Compliance Database'!$E$2:$E$1960,MATCH(709,Engine!$C$2:$C$1960,0)))</f>
        <v/>
      </c>
      <c r="F722" s="8">
        <f>IF(ISNA(MATCH(709,Engine!$C$2:$C$1960,0)),"",INDEX('Compliance Database'!$F$2:$F$1960,MATCH(709,Engine!$C$2:$C$1960,0)))</f>
        <v/>
      </c>
      <c r="G722" s="8">
        <f>IF(ISNA(MATCH(709,Engine!$C$2:$C$1960,0)),"",INDEX('Compliance Database'!$G$2:$G$1960,MATCH(709,Engine!$C$2:$C$1960,0)))</f>
        <v/>
      </c>
      <c r="H722" s="9">
        <f>IF(ISNA(MATCH(709,Engine!$C$2:$C$1960,0)),"",INDEX('Compliance Database'!$H$2:$H$1960,MATCH(709,Engine!$C$2:$C$1960,0)))</f>
        <v/>
      </c>
      <c r="I722" s="9">
        <f>IF(ISNA(MATCH(709,Engine!$C$2:$C$1960,0)),"",INDEX('Compliance Database'!$I$2:$I$1960,MATCH(709,Engine!$C$2:$C$1960,0)))</f>
        <v/>
      </c>
      <c r="J722" s="8">
        <f>IF(ISNA(MATCH(709,Engine!$C$2:$C$1960,0)),"",INDEX('Compliance Database'!$J$2:$J$1960,MATCH(709,Engine!$C$2:$C$1960,0)))</f>
        <v/>
      </c>
      <c r="K722" s="9">
        <f>IF(ISNA(MATCH(709,Engine!$C$2:$C$1960,0)),"",INDEX('Compliance Database'!$K$2:$K$1960,MATCH(709,Engine!$C$2:$C$1960,0)))</f>
        <v/>
      </c>
      <c r="L722" s="9">
        <f>IF(ISNA(MATCH(709,Engine!$C$2:$C$1960,0)),"",INDEX('Compliance Database'!$L$2:$L$1960,MATCH(709,Engine!$C$2:$C$1960,0)))</f>
        <v/>
      </c>
      <c r="M722" s="9">
        <f>IF(ISNA(MATCH(709,Engine!$C$2:$C$1960,0)),"",INDEX('Compliance Database'!$M$2:$M$1960,MATCH(709,Engine!$C$2:$C$1960,0)))</f>
        <v/>
      </c>
      <c r="N722" s="9">
        <f>IF(ISNA(MATCH(709,Engine!$C$2:$C$1960,0)),"",INDEX('Compliance Database'!$N$2:$N$1960,MATCH(709,Engine!$C$2:$C$1960,0)))</f>
        <v/>
      </c>
      <c r="O722" s="9">
        <f>IF(ISNA(MATCH(709,Engine!$C$2:$C$1960,0)),"",INDEX('Compliance Database'!$O$2:$O$1960,MATCH(709,Engine!$C$2:$C$1960,0)))</f>
        <v/>
      </c>
      <c r="P722" s="8">
        <f>IF(ISNA(MATCH(709,Engine!$C$2:$C$1960,0)),"",HYPERLINK("#Acts!A"&amp;INDEX('Compliance Database'!$P$2:$P$1960,MATCH(709,Engine!$C$2:$C$1960,0)),"Go to Act"))</f>
        <v/>
      </c>
    </row>
    <row r="723" ht="158" customHeight="1">
      <c r="A723" s="8">
        <f>IF(ISNA(MATCH(710,Engine!$C$2:$C$1960,0)),"",INDEX('Compliance Database'!$A$2:$A$1960,MATCH(710,Engine!$C$2:$C$1960,0)))</f>
        <v/>
      </c>
      <c r="B723" s="8">
        <f>IF(ISNA(MATCH(710,Engine!$C$2:$C$1960,0)),"",INDEX('Compliance Database'!$B$2:$B$1960,MATCH(710,Engine!$C$2:$C$1960,0)))</f>
        <v/>
      </c>
      <c r="C723" s="8">
        <f>IF(ISNA(MATCH(710,Engine!$C$2:$C$1960,0)),"",INDEX('Compliance Database'!$C$2:$C$1960,MATCH(710,Engine!$C$2:$C$1960,0)))</f>
        <v/>
      </c>
      <c r="D723" s="9">
        <f>IF(ISNA(MATCH(710,Engine!$C$2:$C$1960,0)),"",INDEX('Compliance Database'!$D$2:$D$1960,MATCH(710,Engine!$C$2:$C$1960,0)))</f>
        <v/>
      </c>
      <c r="E723" s="8">
        <f>IF(ISNA(MATCH(710,Engine!$C$2:$C$1960,0)),"",INDEX('Compliance Database'!$E$2:$E$1960,MATCH(710,Engine!$C$2:$C$1960,0)))</f>
        <v/>
      </c>
      <c r="F723" s="8">
        <f>IF(ISNA(MATCH(710,Engine!$C$2:$C$1960,0)),"",INDEX('Compliance Database'!$F$2:$F$1960,MATCH(710,Engine!$C$2:$C$1960,0)))</f>
        <v/>
      </c>
      <c r="G723" s="8">
        <f>IF(ISNA(MATCH(710,Engine!$C$2:$C$1960,0)),"",INDEX('Compliance Database'!$G$2:$G$1960,MATCH(710,Engine!$C$2:$C$1960,0)))</f>
        <v/>
      </c>
      <c r="H723" s="9">
        <f>IF(ISNA(MATCH(710,Engine!$C$2:$C$1960,0)),"",INDEX('Compliance Database'!$H$2:$H$1960,MATCH(710,Engine!$C$2:$C$1960,0)))</f>
        <v/>
      </c>
      <c r="I723" s="9">
        <f>IF(ISNA(MATCH(710,Engine!$C$2:$C$1960,0)),"",INDEX('Compliance Database'!$I$2:$I$1960,MATCH(710,Engine!$C$2:$C$1960,0)))</f>
        <v/>
      </c>
      <c r="J723" s="8">
        <f>IF(ISNA(MATCH(710,Engine!$C$2:$C$1960,0)),"",INDEX('Compliance Database'!$J$2:$J$1960,MATCH(710,Engine!$C$2:$C$1960,0)))</f>
        <v/>
      </c>
      <c r="K723" s="9">
        <f>IF(ISNA(MATCH(710,Engine!$C$2:$C$1960,0)),"",INDEX('Compliance Database'!$K$2:$K$1960,MATCH(710,Engine!$C$2:$C$1960,0)))</f>
        <v/>
      </c>
      <c r="L723" s="9">
        <f>IF(ISNA(MATCH(710,Engine!$C$2:$C$1960,0)),"",INDEX('Compliance Database'!$L$2:$L$1960,MATCH(710,Engine!$C$2:$C$1960,0)))</f>
        <v/>
      </c>
      <c r="M723" s="9">
        <f>IF(ISNA(MATCH(710,Engine!$C$2:$C$1960,0)),"",INDEX('Compliance Database'!$M$2:$M$1960,MATCH(710,Engine!$C$2:$C$1960,0)))</f>
        <v/>
      </c>
      <c r="N723" s="9">
        <f>IF(ISNA(MATCH(710,Engine!$C$2:$C$1960,0)),"",INDEX('Compliance Database'!$N$2:$N$1960,MATCH(710,Engine!$C$2:$C$1960,0)))</f>
        <v/>
      </c>
      <c r="O723" s="9">
        <f>IF(ISNA(MATCH(710,Engine!$C$2:$C$1960,0)),"",INDEX('Compliance Database'!$O$2:$O$1960,MATCH(710,Engine!$C$2:$C$1960,0)))</f>
        <v/>
      </c>
      <c r="P723" s="8">
        <f>IF(ISNA(MATCH(710,Engine!$C$2:$C$1960,0)),"",HYPERLINK("#Acts!A"&amp;INDEX('Compliance Database'!$P$2:$P$1960,MATCH(710,Engine!$C$2:$C$1960,0)),"Go to Act"))</f>
        <v/>
      </c>
    </row>
    <row r="724" ht="158" customHeight="1">
      <c r="A724" s="8">
        <f>IF(ISNA(MATCH(711,Engine!$C$2:$C$1960,0)),"",INDEX('Compliance Database'!$A$2:$A$1960,MATCH(711,Engine!$C$2:$C$1960,0)))</f>
        <v/>
      </c>
      <c r="B724" s="8">
        <f>IF(ISNA(MATCH(711,Engine!$C$2:$C$1960,0)),"",INDEX('Compliance Database'!$B$2:$B$1960,MATCH(711,Engine!$C$2:$C$1960,0)))</f>
        <v/>
      </c>
      <c r="C724" s="8">
        <f>IF(ISNA(MATCH(711,Engine!$C$2:$C$1960,0)),"",INDEX('Compliance Database'!$C$2:$C$1960,MATCH(711,Engine!$C$2:$C$1960,0)))</f>
        <v/>
      </c>
      <c r="D724" s="9">
        <f>IF(ISNA(MATCH(711,Engine!$C$2:$C$1960,0)),"",INDEX('Compliance Database'!$D$2:$D$1960,MATCH(711,Engine!$C$2:$C$1960,0)))</f>
        <v/>
      </c>
      <c r="E724" s="8">
        <f>IF(ISNA(MATCH(711,Engine!$C$2:$C$1960,0)),"",INDEX('Compliance Database'!$E$2:$E$1960,MATCH(711,Engine!$C$2:$C$1960,0)))</f>
        <v/>
      </c>
      <c r="F724" s="8">
        <f>IF(ISNA(MATCH(711,Engine!$C$2:$C$1960,0)),"",INDEX('Compliance Database'!$F$2:$F$1960,MATCH(711,Engine!$C$2:$C$1960,0)))</f>
        <v/>
      </c>
      <c r="G724" s="8">
        <f>IF(ISNA(MATCH(711,Engine!$C$2:$C$1960,0)),"",INDEX('Compliance Database'!$G$2:$G$1960,MATCH(711,Engine!$C$2:$C$1960,0)))</f>
        <v/>
      </c>
      <c r="H724" s="9">
        <f>IF(ISNA(MATCH(711,Engine!$C$2:$C$1960,0)),"",INDEX('Compliance Database'!$H$2:$H$1960,MATCH(711,Engine!$C$2:$C$1960,0)))</f>
        <v/>
      </c>
      <c r="I724" s="9">
        <f>IF(ISNA(MATCH(711,Engine!$C$2:$C$1960,0)),"",INDEX('Compliance Database'!$I$2:$I$1960,MATCH(711,Engine!$C$2:$C$1960,0)))</f>
        <v/>
      </c>
      <c r="J724" s="8">
        <f>IF(ISNA(MATCH(711,Engine!$C$2:$C$1960,0)),"",INDEX('Compliance Database'!$J$2:$J$1960,MATCH(711,Engine!$C$2:$C$1960,0)))</f>
        <v/>
      </c>
      <c r="K724" s="9">
        <f>IF(ISNA(MATCH(711,Engine!$C$2:$C$1960,0)),"",INDEX('Compliance Database'!$K$2:$K$1960,MATCH(711,Engine!$C$2:$C$1960,0)))</f>
        <v/>
      </c>
      <c r="L724" s="9">
        <f>IF(ISNA(MATCH(711,Engine!$C$2:$C$1960,0)),"",INDEX('Compliance Database'!$L$2:$L$1960,MATCH(711,Engine!$C$2:$C$1960,0)))</f>
        <v/>
      </c>
      <c r="M724" s="9">
        <f>IF(ISNA(MATCH(711,Engine!$C$2:$C$1960,0)),"",INDEX('Compliance Database'!$M$2:$M$1960,MATCH(711,Engine!$C$2:$C$1960,0)))</f>
        <v/>
      </c>
      <c r="N724" s="9">
        <f>IF(ISNA(MATCH(711,Engine!$C$2:$C$1960,0)),"",INDEX('Compliance Database'!$N$2:$N$1960,MATCH(711,Engine!$C$2:$C$1960,0)))</f>
        <v/>
      </c>
      <c r="O724" s="9">
        <f>IF(ISNA(MATCH(711,Engine!$C$2:$C$1960,0)),"",INDEX('Compliance Database'!$O$2:$O$1960,MATCH(711,Engine!$C$2:$C$1960,0)))</f>
        <v/>
      </c>
      <c r="P724" s="8">
        <f>IF(ISNA(MATCH(711,Engine!$C$2:$C$1960,0)),"",HYPERLINK("#Acts!A"&amp;INDEX('Compliance Database'!$P$2:$P$1960,MATCH(711,Engine!$C$2:$C$1960,0)),"Go to Act"))</f>
        <v/>
      </c>
    </row>
    <row r="725" ht="158" customHeight="1">
      <c r="A725" s="8">
        <f>IF(ISNA(MATCH(712,Engine!$C$2:$C$1960,0)),"",INDEX('Compliance Database'!$A$2:$A$1960,MATCH(712,Engine!$C$2:$C$1960,0)))</f>
        <v/>
      </c>
      <c r="B725" s="8">
        <f>IF(ISNA(MATCH(712,Engine!$C$2:$C$1960,0)),"",INDEX('Compliance Database'!$B$2:$B$1960,MATCH(712,Engine!$C$2:$C$1960,0)))</f>
        <v/>
      </c>
      <c r="C725" s="8">
        <f>IF(ISNA(MATCH(712,Engine!$C$2:$C$1960,0)),"",INDEX('Compliance Database'!$C$2:$C$1960,MATCH(712,Engine!$C$2:$C$1960,0)))</f>
        <v/>
      </c>
      <c r="D725" s="9">
        <f>IF(ISNA(MATCH(712,Engine!$C$2:$C$1960,0)),"",INDEX('Compliance Database'!$D$2:$D$1960,MATCH(712,Engine!$C$2:$C$1960,0)))</f>
        <v/>
      </c>
      <c r="E725" s="8">
        <f>IF(ISNA(MATCH(712,Engine!$C$2:$C$1960,0)),"",INDEX('Compliance Database'!$E$2:$E$1960,MATCH(712,Engine!$C$2:$C$1960,0)))</f>
        <v/>
      </c>
      <c r="F725" s="8">
        <f>IF(ISNA(MATCH(712,Engine!$C$2:$C$1960,0)),"",INDEX('Compliance Database'!$F$2:$F$1960,MATCH(712,Engine!$C$2:$C$1960,0)))</f>
        <v/>
      </c>
      <c r="G725" s="8">
        <f>IF(ISNA(MATCH(712,Engine!$C$2:$C$1960,0)),"",INDEX('Compliance Database'!$G$2:$G$1960,MATCH(712,Engine!$C$2:$C$1960,0)))</f>
        <v/>
      </c>
      <c r="H725" s="9">
        <f>IF(ISNA(MATCH(712,Engine!$C$2:$C$1960,0)),"",INDEX('Compliance Database'!$H$2:$H$1960,MATCH(712,Engine!$C$2:$C$1960,0)))</f>
        <v/>
      </c>
      <c r="I725" s="9">
        <f>IF(ISNA(MATCH(712,Engine!$C$2:$C$1960,0)),"",INDEX('Compliance Database'!$I$2:$I$1960,MATCH(712,Engine!$C$2:$C$1960,0)))</f>
        <v/>
      </c>
      <c r="J725" s="8">
        <f>IF(ISNA(MATCH(712,Engine!$C$2:$C$1960,0)),"",INDEX('Compliance Database'!$J$2:$J$1960,MATCH(712,Engine!$C$2:$C$1960,0)))</f>
        <v/>
      </c>
      <c r="K725" s="9">
        <f>IF(ISNA(MATCH(712,Engine!$C$2:$C$1960,0)),"",INDEX('Compliance Database'!$K$2:$K$1960,MATCH(712,Engine!$C$2:$C$1960,0)))</f>
        <v/>
      </c>
      <c r="L725" s="9">
        <f>IF(ISNA(MATCH(712,Engine!$C$2:$C$1960,0)),"",INDEX('Compliance Database'!$L$2:$L$1960,MATCH(712,Engine!$C$2:$C$1960,0)))</f>
        <v/>
      </c>
      <c r="M725" s="9">
        <f>IF(ISNA(MATCH(712,Engine!$C$2:$C$1960,0)),"",INDEX('Compliance Database'!$M$2:$M$1960,MATCH(712,Engine!$C$2:$C$1960,0)))</f>
        <v/>
      </c>
      <c r="N725" s="9">
        <f>IF(ISNA(MATCH(712,Engine!$C$2:$C$1960,0)),"",INDEX('Compliance Database'!$N$2:$N$1960,MATCH(712,Engine!$C$2:$C$1960,0)))</f>
        <v/>
      </c>
      <c r="O725" s="9">
        <f>IF(ISNA(MATCH(712,Engine!$C$2:$C$1960,0)),"",INDEX('Compliance Database'!$O$2:$O$1960,MATCH(712,Engine!$C$2:$C$1960,0)))</f>
        <v/>
      </c>
      <c r="P725" s="8">
        <f>IF(ISNA(MATCH(712,Engine!$C$2:$C$1960,0)),"",HYPERLINK("#Acts!A"&amp;INDEX('Compliance Database'!$P$2:$P$1960,MATCH(712,Engine!$C$2:$C$1960,0)),"Go to Act"))</f>
        <v/>
      </c>
    </row>
    <row r="726" ht="158" customHeight="1">
      <c r="A726" s="8">
        <f>IF(ISNA(MATCH(713,Engine!$C$2:$C$1960,0)),"",INDEX('Compliance Database'!$A$2:$A$1960,MATCH(713,Engine!$C$2:$C$1960,0)))</f>
        <v/>
      </c>
      <c r="B726" s="8">
        <f>IF(ISNA(MATCH(713,Engine!$C$2:$C$1960,0)),"",INDEX('Compliance Database'!$B$2:$B$1960,MATCH(713,Engine!$C$2:$C$1960,0)))</f>
        <v/>
      </c>
      <c r="C726" s="8">
        <f>IF(ISNA(MATCH(713,Engine!$C$2:$C$1960,0)),"",INDEX('Compliance Database'!$C$2:$C$1960,MATCH(713,Engine!$C$2:$C$1960,0)))</f>
        <v/>
      </c>
      <c r="D726" s="9">
        <f>IF(ISNA(MATCH(713,Engine!$C$2:$C$1960,0)),"",INDEX('Compliance Database'!$D$2:$D$1960,MATCH(713,Engine!$C$2:$C$1960,0)))</f>
        <v/>
      </c>
      <c r="E726" s="8">
        <f>IF(ISNA(MATCH(713,Engine!$C$2:$C$1960,0)),"",INDEX('Compliance Database'!$E$2:$E$1960,MATCH(713,Engine!$C$2:$C$1960,0)))</f>
        <v/>
      </c>
      <c r="F726" s="8">
        <f>IF(ISNA(MATCH(713,Engine!$C$2:$C$1960,0)),"",INDEX('Compliance Database'!$F$2:$F$1960,MATCH(713,Engine!$C$2:$C$1960,0)))</f>
        <v/>
      </c>
      <c r="G726" s="8">
        <f>IF(ISNA(MATCH(713,Engine!$C$2:$C$1960,0)),"",INDEX('Compliance Database'!$G$2:$G$1960,MATCH(713,Engine!$C$2:$C$1960,0)))</f>
        <v/>
      </c>
      <c r="H726" s="9">
        <f>IF(ISNA(MATCH(713,Engine!$C$2:$C$1960,0)),"",INDEX('Compliance Database'!$H$2:$H$1960,MATCH(713,Engine!$C$2:$C$1960,0)))</f>
        <v/>
      </c>
      <c r="I726" s="9">
        <f>IF(ISNA(MATCH(713,Engine!$C$2:$C$1960,0)),"",INDEX('Compliance Database'!$I$2:$I$1960,MATCH(713,Engine!$C$2:$C$1960,0)))</f>
        <v/>
      </c>
      <c r="J726" s="8">
        <f>IF(ISNA(MATCH(713,Engine!$C$2:$C$1960,0)),"",INDEX('Compliance Database'!$J$2:$J$1960,MATCH(713,Engine!$C$2:$C$1960,0)))</f>
        <v/>
      </c>
      <c r="K726" s="9">
        <f>IF(ISNA(MATCH(713,Engine!$C$2:$C$1960,0)),"",INDEX('Compliance Database'!$K$2:$K$1960,MATCH(713,Engine!$C$2:$C$1960,0)))</f>
        <v/>
      </c>
      <c r="L726" s="9">
        <f>IF(ISNA(MATCH(713,Engine!$C$2:$C$1960,0)),"",INDEX('Compliance Database'!$L$2:$L$1960,MATCH(713,Engine!$C$2:$C$1960,0)))</f>
        <v/>
      </c>
      <c r="M726" s="9">
        <f>IF(ISNA(MATCH(713,Engine!$C$2:$C$1960,0)),"",INDEX('Compliance Database'!$M$2:$M$1960,MATCH(713,Engine!$C$2:$C$1960,0)))</f>
        <v/>
      </c>
      <c r="N726" s="9">
        <f>IF(ISNA(MATCH(713,Engine!$C$2:$C$1960,0)),"",INDEX('Compliance Database'!$N$2:$N$1960,MATCH(713,Engine!$C$2:$C$1960,0)))</f>
        <v/>
      </c>
      <c r="O726" s="9">
        <f>IF(ISNA(MATCH(713,Engine!$C$2:$C$1960,0)),"",INDEX('Compliance Database'!$O$2:$O$1960,MATCH(713,Engine!$C$2:$C$1960,0)))</f>
        <v/>
      </c>
      <c r="P726" s="8">
        <f>IF(ISNA(MATCH(713,Engine!$C$2:$C$1960,0)),"",HYPERLINK("#Acts!A"&amp;INDEX('Compliance Database'!$P$2:$P$1960,MATCH(713,Engine!$C$2:$C$1960,0)),"Go to Act"))</f>
        <v/>
      </c>
    </row>
    <row r="727" ht="158" customHeight="1">
      <c r="A727" s="8">
        <f>IF(ISNA(MATCH(714,Engine!$C$2:$C$1960,0)),"",INDEX('Compliance Database'!$A$2:$A$1960,MATCH(714,Engine!$C$2:$C$1960,0)))</f>
        <v/>
      </c>
      <c r="B727" s="8">
        <f>IF(ISNA(MATCH(714,Engine!$C$2:$C$1960,0)),"",INDEX('Compliance Database'!$B$2:$B$1960,MATCH(714,Engine!$C$2:$C$1960,0)))</f>
        <v/>
      </c>
      <c r="C727" s="8">
        <f>IF(ISNA(MATCH(714,Engine!$C$2:$C$1960,0)),"",INDEX('Compliance Database'!$C$2:$C$1960,MATCH(714,Engine!$C$2:$C$1960,0)))</f>
        <v/>
      </c>
      <c r="D727" s="9">
        <f>IF(ISNA(MATCH(714,Engine!$C$2:$C$1960,0)),"",INDEX('Compliance Database'!$D$2:$D$1960,MATCH(714,Engine!$C$2:$C$1960,0)))</f>
        <v/>
      </c>
      <c r="E727" s="8">
        <f>IF(ISNA(MATCH(714,Engine!$C$2:$C$1960,0)),"",INDEX('Compliance Database'!$E$2:$E$1960,MATCH(714,Engine!$C$2:$C$1960,0)))</f>
        <v/>
      </c>
      <c r="F727" s="8">
        <f>IF(ISNA(MATCH(714,Engine!$C$2:$C$1960,0)),"",INDEX('Compliance Database'!$F$2:$F$1960,MATCH(714,Engine!$C$2:$C$1960,0)))</f>
        <v/>
      </c>
      <c r="G727" s="8">
        <f>IF(ISNA(MATCH(714,Engine!$C$2:$C$1960,0)),"",INDEX('Compliance Database'!$G$2:$G$1960,MATCH(714,Engine!$C$2:$C$1960,0)))</f>
        <v/>
      </c>
      <c r="H727" s="9">
        <f>IF(ISNA(MATCH(714,Engine!$C$2:$C$1960,0)),"",INDEX('Compliance Database'!$H$2:$H$1960,MATCH(714,Engine!$C$2:$C$1960,0)))</f>
        <v/>
      </c>
      <c r="I727" s="9">
        <f>IF(ISNA(MATCH(714,Engine!$C$2:$C$1960,0)),"",INDEX('Compliance Database'!$I$2:$I$1960,MATCH(714,Engine!$C$2:$C$1960,0)))</f>
        <v/>
      </c>
      <c r="J727" s="8">
        <f>IF(ISNA(MATCH(714,Engine!$C$2:$C$1960,0)),"",INDEX('Compliance Database'!$J$2:$J$1960,MATCH(714,Engine!$C$2:$C$1960,0)))</f>
        <v/>
      </c>
      <c r="K727" s="9">
        <f>IF(ISNA(MATCH(714,Engine!$C$2:$C$1960,0)),"",INDEX('Compliance Database'!$K$2:$K$1960,MATCH(714,Engine!$C$2:$C$1960,0)))</f>
        <v/>
      </c>
      <c r="L727" s="9">
        <f>IF(ISNA(MATCH(714,Engine!$C$2:$C$1960,0)),"",INDEX('Compliance Database'!$L$2:$L$1960,MATCH(714,Engine!$C$2:$C$1960,0)))</f>
        <v/>
      </c>
      <c r="M727" s="9">
        <f>IF(ISNA(MATCH(714,Engine!$C$2:$C$1960,0)),"",INDEX('Compliance Database'!$M$2:$M$1960,MATCH(714,Engine!$C$2:$C$1960,0)))</f>
        <v/>
      </c>
      <c r="N727" s="9">
        <f>IF(ISNA(MATCH(714,Engine!$C$2:$C$1960,0)),"",INDEX('Compliance Database'!$N$2:$N$1960,MATCH(714,Engine!$C$2:$C$1960,0)))</f>
        <v/>
      </c>
      <c r="O727" s="9">
        <f>IF(ISNA(MATCH(714,Engine!$C$2:$C$1960,0)),"",INDEX('Compliance Database'!$O$2:$O$1960,MATCH(714,Engine!$C$2:$C$1960,0)))</f>
        <v/>
      </c>
      <c r="P727" s="8">
        <f>IF(ISNA(MATCH(714,Engine!$C$2:$C$1960,0)),"",HYPERLINK("#Acts!A"&amp;INDEX('Compliance Database'!$P$2:$P$1960,MATCH(714,Engine!$C$2:$C$1960,0)),"Go to Act"))</f>
        <v/>
      </c>
    </row>
    <row r="728" ht="158" customHeight="1">
      <c r="A728" s="8">
        <f>IF(ISNA(MATCH(715,Engine!$C$2:$C$1960,0)),"",INDEX('Compliance Database'!$A$2:$A$1960,MATCH(715,Engine!$C$2:$C$1960,0)))</f>
        <v/>
      </c>
      <c r="B728" s="8">
        <f>IF(ISNA(MATCH(715,Engine!$C$2:$C$1960,0)),"",INDEX('Compliance Database'!$B$2:$B$1960,MATCH(715,Engine!$C$2:$C$1960,0)))</f>
        <v/>
      </c>
      <c r="C728" s="8">
        <f>IF(ISNA(MATCH(715,Engine!$C$2:$C$1960,0)),"",INDEX('Compliance Database'!$C$2:$C$1960,MATCH(715,Engine!$C$2:$C$1960,0)))</f>
        <v/>
      </c>
      <c r="D728" s="9">
        <f>IF(ISNA(MATCH(715,Engine!$C$2:$C$1960,0)),"",INDEX('Compliance Database'!$D$2:$D$1960,MATCH(715,Engine!$C$2:$C$1960,0)))</f>
        <v/>
      </c>
      <c r="E728" s="8">
        <f>IF(ISNA(MATCH(715,Engine!$C$2:$C$1960,0)),"",INDEX('Compliance Database'!$E$2:$E$1960,MATCH(715,Engine!$C$2:$C$1960,0)))</f>
        <v/>
      </c>
      <c r="F728" s="8">
        <f>IF(ISNA(MATCH(715,Engine!$C$2:$C$1960,0)),"",INDEX('Compliance Database'!$F$2:$F$1960,MATCH(715,Engine!$C$2:$C$1960,0)))</f>
        <v/>
      </c>
      <c r="G728" s="8">
        <f>IF(ISNA(MATCH(715,Engine!$C$2:$C$1960,0)),"",INDEX('Compliance Database'!$G$2:$G$1960,MATCH(715,Engine!$C$2:$C$1960,0)))</f>
        <v/>
      </c>
      <c r="H728" s="9">
        <f>IF(ISNA(MATCH(715,Engine!$C$2:$C$1960,0)),"",INDEX('Compliance Database'!$H$2:$H$1960,MATCH(715,Engine!$C$2:$C$1960,0)))</f>
        <v/>
      </c>
      <c r="I728" s="9">
        <f>IF(ISNA(MATCH(715,Engine!$C$2:$C$1960,0)),"",INDEX('Compliance Database'!$I$2:$I$1960,MATCH(715,Engine!$C$2:$C$1960,0)))</f>
        <v/>
      </c>
      <c r="J728" s="8">
        <f>IF(ISNA(MATCH(715,Engine!$C$2:$C$1960,0)),"",INDEX('Compliance Database'!$J$2:$J$1960,MATCH(715,Engine!$C$2:$C$1960,0)))</f>
        <v/>
      </c>
      <c r="K728" s="9">
        <f>IF(ISNA(MATCH(715,Engine!$C$2:$C$1960,0)),"",INDEX('Compliance Database'!$K$2:$K$1960,MATCH(715,Engine!$C$2:$C$1960,0)))</f>
        <v/>
      </c>
      <c r="L728" s="9">
        <f>IF(ISNA(MATCH(715,Engine!$C$2:$C$1960,0)),"",INDEX('Compliance Database'!$L$2:$L$1960,MATCH(715,Engine!$C$2:$C$1960,0)))</f>
        <v/>
      </c>
      <c r="M728" s="9">
        <f>IF(ISNA(MATCH(715,Engine!$C$2:$C$1960,0)),"",INDEX('Compliance Database'!$M$2:$M$1960,MATCH(715,Engine!$C$2:$C$1960,0)))</f>
        <v/>
      </c>
      <c r="N728" s="9">
        <f>IF(ISNA(MATCH(715,Engine!$C$2:$C$1960,0)),"",INDEX('Compliance Database'!$N$2:$N$1960,MATCH(715,Engine!$C$2:$C$1960,0)))</f>
        <v/>
      </c>
      <c r="O728" s="9">
        <f>IF(ISNA(MATCH(715,Engine!$C$2:$C$1960,0)),"",INDEX('Compliance Database'!$O$2:$O$1960,MATCH(715,Engine!$C$2:$C$1960,0)))</f>
        <v/>
      </c>
      <c r="P728" s="8">
        <f>IF(ISNA(MATCH(715,Engine!$C$2:$C$1960,0)),"",HYPERLINK("#Acts!A"&amp;INDEX('Compliance Database'!$P$2:$P$1960,MATCH(715,Engine!$C$2:$C$1960,0)),"Go to Act"))</f>
        <v/>
      </c>
    </row>
    <row r="729" ht="158" customHeight="1">
      <c r="A729" s="8">
        <f>IF(ISNA(MATCH(716,Engine!$C$2:$C$1960,0)),"",INDEX('Compliance Database'!$A$2:$A$1960,MATCH(716,Engine!$C$2:$C$1960,0)))</f>
        <v/>
      </c>
      <c r="B729" s="8">
        <f>IF(ISNA(MATCH(716,Engine!$C$2:$C$1960,0)),"",INDEX('Compliance Database'!$B$2:$B$1960,MATCH(716,Engine!$C$2:$C$1960,0)))</f>
        <v/>
      </c>
      <c r="C729" s="8">
        <f>IF(ISNA(MATCH(716,Engine!$C$2:$C$1960,0)),"",INDEX('Compliance Database'!$C$2:$C$1960,MATCH(716,Engine!$C$2:$C$1960,0)))</f>
        <v/>
      </c>
      <c r="D729" s="9">
        <f>IF(ISNA(MATCH(716,Engine!$C$2:$C$1960,0)),"",INDEX('Compliance Database'!$D$2:$D$1960,MATCH(716,Engine!$C$2:$C$1960,0)))</f>
        <v/>
      </c>
      <c r="E729" s="8">
        <f>IF(ISNA(MATCH(716,Engine!$C$2:$C$1960,0)),"",INDEX('Compliance Database'!$E$2:$E$1960,MATCH(716,Engine!$C$2:$C$1960,0)))</f>
        <v/>
      </c>
      <c r="F729" s="8">
        <f>IF(ISNA(MATCH(716,Engine!$C$2:$C$1960,0)),"",INDEX('Compliance Database'!$F$2:$F$1960,MATCH(716,Engine!$C$2:$C$1960,0)))</f>
        <v/>
      </c>
      <c r="G729" s="8">
        <f>IF(ISNA(MATCH(716,Engine!$C$2:$C$1960,0)),"",INDEX('Compliance Database'!$G$2:$G$1960,MATCH(716,Engine!$C$2:$C$1960,0)))</f>
        <v/>
      </c>
      <c r="H729" s="9">
        <f>IF(ISNA(MATCH(716,Engine!$C$2:$C$1960,0)),"",INDEX('Compliance Database'!$H$2:$H$1960,MATCH(716,Engine!$C$2:$C$1960,0)))</f>
        <v/>
      </c>
      <c r="I729" s="9">
        <f>IF(ISNA(MATCH(716,Engine!$C$2:$C$1960,0)),"",INDEX('Compliance Database'!$I$2:$I$1960,MATCH(716,Engine!$C$2:$C$1960,0)))</f>
        <v/>
      </c>
      <c r="J729" s="8">
        <f>IF(ISNA(MATCH(716,Engine!$C$2:$C$1960,0)),"",INDEX('Compliance Database'!$J$2:$J$1960,MATCH(716,Engine!$C$2:$C$1960,0)))</f>
        <v/>
      </c>
      <c r="K729" s="9">
        <f>IF(ISNA(MATCH(716,Engine!$C$2:$C$1960,0)),"",INDEX('Compliance Database'!$K$2:$K$1960,MATCH(716,Engine!$C$2:$C$1960,0)))</f>
        <v/>
      </c>
      <c r="L729" s="9">
        <f>IF(ISNA(MATCH(716,Engine!$C$2:$C$1960,0)),"",INDEX('Compliance Database'!$L$2:$L$1960,MATCH(716,Engine!$C$2:$C$1960,0)))</f>
        <v/>
      </c>
      <c r="M729" s="9">
        <f>IF(ISNA(MATCH(716,Engine!$C$2:$C$1960,0)),"",INDEX('Compliance Database'!$M$2:$M$1960,MATCH(716,Engine!$C$2:$C$1960,0)))</f>
        <v/>
      </c>
      <c r="N729" s="9">
        <f>IF(ISNA(MATCH(716,Engine!$C$2:$C$1960,0)),"",INDEX('Compliance Database'!$N$2:$N$1960,MATCH(716,Engine!$C$2:$C$1960,0)))</f>
        <v/>
      </c>
      <c r="O729" s="9">
        <f>IF(ISNA(MATCH(716,Engine!$C$2:$C$1960,0)),"",INDEX('Compliance Database'!$O$2:$O$1960,MATCH(716,Engine!$C$2:$C$1960,0)))</f>
        <v/>
      </c>
      <c r="P729" s="8">
        <f>IF(ISNA(MATCH(716,Engine!$C$2:$C$1960,0)),"",HYPERLINK("#Acts!A"&amp;INDEX('Compliance Database'!$P$2:$P$1960,MATCH(716,Engine!$C$2:$C$1960,0)),"Go to Act"))</f>
        <v/>
      </c>
    </row>
    <row r="730" ht="158" customHeight="1">
      <c r="A730" s="8">
        <f>IF(ISNA(MATCH(717,Engine!$C$2:$C$1960,0)),"",INDEX('Compliance Database'!$A$2:$A$1960,MATCH(717,Engine!$C$2:$C$1960,0)))</f>
        <v/>
      </c>
      <c r="B730" s="8">
        <f>IF(ISNA(MATCH(717,Engine!$C$2:$C$1960,0)),"",INDEX('Compliance Database'!$B$2:$B$1960,MATCH(717,Engine!$C$2:$C$1960,0)))</f>
        <v/>
      </c>
      <c r="C730" s="8">
        <f>IF(ISNA(MATCH(717,Engine!$C$2:$C$1960,0)),"",INDEX('Compliance Database'!$C$2:$C$1960,MATCH(717,Engine!$C$2:$C$1960,0)))</f>
        <v/>
      </c>
      <c r="D730" s="9">
        <f>IF(ISNA(MATCH(717,Engine!$C$2:$C$1960,0)),"",INDEX('Compliance Database'!$D$2:$D$1960,MATCH(717,Engine!$C$2:$C$1960,0)))</f>
        <v/>
      </c>
      <c r="E730" s="8">
        <f>IF(ISNA(MATCH(717,Engine!$C$2:$C$1960,0)),"",INDEX('Compliance Database'!$E$2:$E$1960,MATCH(717,Engine!$C$2:$C$1960,0)))</f>
        <v/>
      </c>
      <c r="F730" s="8">
        <f>IF(ISNA(MATCH(717,Engine!$C$2:$C$1960,0)),"",INDEX('Compliance Database'!$F$2:$F$1960,MATCH(717,Engine!$C$2:$C$1960,0)))</f>
        <v/>
      </c>
      <c r="G730" s="8">
        <f>IF(ISNA(MATCH(717,Engine!$C$2:$C$1960,0)),"",INDEX('Compliance Database'!$G$2:$G$1960,MATCH(717,Engine!$C$2:$C$1960,0)))</f>
        <v/>
      </c>
      <c r="H730" s="9">
        <f>IF(ISNA(MATCH(717,Engine!$C$2:$C$1960,0)),"",INDEX('Compliance Database'!$H$2:$H$1960,MATCH(717,Engine!$C$2:$C$1960,0)))</f>
        <v/>
      </c>
      <c r="I730" s="9">
        <f>IF(ISNA(MATCH(717,Engine!$C$2:$C$1960,0)),"",INDEX('Compliance Database'!$I$2:$I$1960,MATCH(717,Engine!$C$2:$C$1960,0)))</f>
        <v/>
      </c>
      <c r="J730" s="8">
        <f>IF(ISNA(MATCH(717,Engine!$C$2:$C$1960,0)),"",INDEX('Compliance Database'!$J$2:$J$1960,MATCH(717,Engine!$C$2:$C$1960,0)))</f>
        <v/>
      </c>
      <c r="K730" s="9">
        <f>IF(ISNA(MATCH(717,Engine!$C$2:$C$1960,0)),"",INDEX('Compliance Database'!$K$2:$K$1960,MATCH(717,Engine!$C$2:$C$1960,0)))</f>
        <v/>
      </c>
      <c r="L730" s="9">
        <f>IF(ISNA(MATCH(717,Engine!$C$2:$C$1960,0)),"",INDEX('Compliance Database'!$L$2:$L$1960,MATCH(717,Engine!$C$2:$C$1960,0)))</f>
        <v/>
      </c>
      <c r="M730" s="9">
        <f>IF(ISNA(MATCH(717,Engine!$C$2:$C$1960,0)),"",INDEX('Compliance Database'!$M$2:$M$1960,MATCH(717,Engine!$C$2:$C$1960,0)))</f>
        <v/>
      </c>
      <c r="N730" s="9">
        <f>IF(ISNA(MATCH(717,Engine!$C$2:$C$1960,0)),"",INDEX('Compliance Database'!$N$2:$N$1960,MATCH(717,Engine!$C$2:$C$1960,0)))</f>
        <v/>
      </c>
      <c r="O730" s="9">
        <f>IF(ISNA(MATCH(717,Engine!$C$2:$C$1960,0)),"",INDEX('Compliance Database'!$O$2:$O$1960,MATCH(717,Engine!$C$2:$C$1960,0)))</f>
        <v/>
      </c>
      <c r="P730" s="8">
        <f>IF(ISNA(MATCH(717,Engine!$C$2:$C$1960,0)),"",HYPERLINK("#Acts!A"&amp;INDEX('Compliance Database'!$P$2:$P$1960,MATCH(717,Engine!$C$2:$C$1960,0)),"Go to Act"))</f>
        <v/>
      </c>
    </row>
    <row r="731" ht="158" customHeight="1">
      <c r="A731" s="8">
        <f>IF(ISNA(MATCH(718,Engine!$C$2:$C$1960,0)),"",INDEX('Compliance Database'!$A$2:$A$1960,MATCH(718,Engine!$C$2:$C$1960,0)))</f>
        <v/>
      </c>
      <c r="B731" s="8">
        <f>IF(ISNA(MATCH(718,Engine!$C$2:$C$1960,0)),"",INDEX('Compliance Database'!$B$2:$B$1960,MATCH(718,Engine!$C$2:$C$1960,0)))</f>
        <v/>
      </c>
      <c r="C731" s="8">
        <f>IF(ISNA(MATCH(718,Engine!$C$2:$C$1960,0)),"",INDEX('Compliance Database'!$C$2:$C$1960,MATCH(718,Engine!$C$2:$C$1960,0)))</f>
        <v/>
      </c>
      <c r="D731" s="9">
        <f>IF(ISNA(MATCH(718,Engine!$C$2:$C$1960,0)),"",INDEX('Compliance Database'!$D$2:$D$1960,MATCH(718,Engine!$C$2:$C$1960,0)))</f>
        <v/>
      </c>
      <c r="E731" s="8">
        <f>IF(ISNA(MATCH(718,Engine!$C$2:$C$1960,0)),"",INDEX('Compliance Database'!$E$2:$E$1960,MATCH(718,Engine!$C$2:$C$1960,0)))</f>
        <v/>
      </c>
      <c r="F731" s="8">
        <f>IF(ISNA(MATCH(718,Engine!$C$2:$C$1960,0)),"",INDEX('Compliance Database'!$F$2:$F$1960,MATCH(718,Engine!$C$2:$C$1960,0)))</f>
        <v/>
      </c>
      <c r="G731" s="8">
        <f>IF(ISNA(MATCH(718,Engine!$C$2:$C$1960,0)),"",INDEX('Compliance Database'!$G$2:$G$1960,MATCH(718,Engine!$C$2:$C$1960,0)))</f>
        <v/>
      </c>
      <c r="H731" s="9">
        <f>IF(ISNA(MATCH(718,Engine!$C$2:$C$1960,0)),"",INDEX('Compliance Database'!$H$2:$H$1960,MATCH(718,Engine!$C$2:$C$1960,0)))</f>
        <v/>
      </c>
      <c r="I731" s="9">
        <f>IF(ISNA(MATCH(718,Engine!$C$2:$C$1960,0)),"",INDEX('Compliance Database'!$I$2:$I$1960,MATCH(718,Engine!$C$2:$C$1960,0)))</f>
        <v/>
      </c>
      <c r="J731" s="8">
        <f>IF(ISNA(MATCH(718,Engine!$C$2:$C$1960,0)),"",INDEX('Compliance Database'!$J$2:$J$1960,MATCH(718,Engine!$C$2:$C$1960,0)))</f>
        <v/>
      </c>
      <c r="K731" s="9">
        <f>IF(ISNA(MATCH(718,Engine!$C$2:$C$1960,0)),"",INDEX('Compliance Database'!$K$2:$K$1960,MATCH(718,Engine!$C$2:$C$1960,0)))</f>
        <v/>
      </c>
      <c r="L731" s="9">
        <f>IF(ISNA(MATCH(718,Engine!$C$2:$C$1960,0)),"",INDEX('Compliance Database'!$L$2:$L$1960,MATCH(718,Engine!$C$2:$C$1960,0)))</f>
        <v/>
      </c>
      <c r="M731" s="9">
        <f>IF(ISNA(MATCH(718,Engine!$C$2:$C$1960,0)),"",INDEX('Compliance Database'!$M$2:$M$1960,MATCH(718,Engine!$C$2:$C$1960,0)))</f>
        <v/>
      </c>
      <c r="N731" s="9">
        <f>IF(ISNA(MATCH(718,Engine!$C$2:$C$1960,0)),"",INDEX('Compliance Database'!$N$2:$N$1960,MATCH(718,Engine!$C$2:$C$1960,0)))</f>
        <v/>
      </c>
      <c r="O731" s="9">
        <f>IF(ISNA(MATCH(718,Engine!$C$2:$C$1960,0)),"",INDEX('Compliance Database'!$O$2:$O$1960,MATCH(718,Engine!$C$2:$C$1960,0)))</f>
        <v/>
      </c>
      <c r="P731" s="8">
        <f>IF(ISNA(MATCH(718,Engine!$C$2:$C$1960,0)),"",HYPERLINK("#Acts!A"&amp;INDEX('Compliance Database'!$P$2:$P$1960,MATCH(718,Engine!$C$2:$C$1960,0)),"Go to Act"))</f>
        <v/>
      </c>
    </row>
    <row r="732" ht="158" customHeight="1">
      <c r="A732" s="8">
        <f>IF(ISNA(MATCH(719,Engine!$C$2:$C$1960,0)),"",INDEX('Compliance Database'!$A$2:$A$1960,MATCH(719,Engine!$C$2:$C$1960,0)))</f>
        <v/>
      </c>
      <c r="B732" s="8">
        <f>IF(ISNA(MATCH(719,Engine!$C$2:$C$1960,0)),"",INDEX('Compliance Database'!$B$2:$B$1960,MATCH(719,Engine!$C$2:$C$1960,0)))</f>
        <v/>
      </c>
      <c r="C732" s="8">
        <f>IF(ISNA(MATCH(719,Engine!$C$2:$C$1960,0)),"",INDEX('Compliance Database'!$C$2:$C$1960,MATCH(719,Engine!$C$2:$C$1960,0)))</f>
        <v/>
      </c>
      <c r="D732" s="9">
        <f>IF(ISNA(MATCH(719,Engine!$C$2:$C$1960,0)),"",INDEX('Compliance Database'!$D$2:$D$1960,MATCH(719,Engine!$C$2:$C$1960,0)))</f>
        <v/>
      </c>
      <c r="E732" s="8">
        <f>IF(ISNA(MATCH(719,Engine!$C$2:$C$1960,0)),"",INDEX('Compliance Database'!$E$2:$E$1960,MATCH(719,Engine!$C$2:$C$1960,0)))</f>
        <v/>
      </c>
      <c r="F732" s="8">
        <f>IF(ISNA(MATCH(719,Engine!$C$2:$C$1960,0)),"",INDEX('Compliance Database'!$F$2:$F$1960,MATCH(719,Engine!$C$2:$C$1960,0)))</f>
        <v/>
      </c>
      <c r="G732" s="8">
        <f>IF(ISNA(MATCH(719,Engine!$C$2:$C$1960,0)),"",INDEX('Compliance Database'!$G$2:$G$1960,MATCH(719,Engine!$C$2:$C$1960,0)))</f>
        <v/>
      </c>
      <c r="H732" s="9">
        <f>IF(ISNA(MATCH(719,Engine!$C$2:$C$1960,0)),"",INDEX('Compliance Database'!$H$2:$H$1960,MATCH(719,Engine!$C$2:$C$1960,0)))</f>
        <v/>
      </c>
      <c r="I732" s="9">
        <f>IF(ISNA(MATCH(719,Engine!$C$2:$C$1960,0)),"",INDEX('Compliance Database'!$I$2:$I$1960,MATCH(719,Engine!$C$2:$C$1960,0)))</f>
        <v/>
      </c>
      <c r="J732" s="8">
        <f>IF(ISNA(MATCH(719,Engine!$C$2:$C$1960,0)),"",INDEX('Compliance Database'!$J$2:$J$1960,MATCH(719,Engine!$C$2:$C$1960,0)))</f>
        <v/>
      </c>
      <c r="K732" s="9">
        <f>IF(ISNA(MATCH(719,Engine!$C$2:$C$1960,0)),"",INDEX('Compliance Database'!$K$2:$K$1960,MATCH(719,Engine!$C$2:$C$1960,0)))</f>
        <v/>
      </c>
      <c r="L732" s="9">
        <f>IF(ISNA(MATCH(719,Engine!$C$2:$C$1960,0)),"",INDEX('Compliance Database'!$L$2:$L$1960,MATCH(719,Engine!$C$2:$C$1960,0)))</f>
        <v/>
      </c>
      <c r="M732" s="9">
        <f>IF(ISNA(MATCH(719,Engine!$C$2:$C$1960,0)),"",INDEX('Compliance Database'!$M$2:$M$1960,MATCH(719,Engine!$C$2:$C$1960,0)))</f>
        <v/>
      </c>
      <c r="N732" s="9">
        <f>IF(ISNA(MATCH(719,Engine!$C$2:$C$1960,0)),"",INDEX('Compliance Database'!$N$2:$N$1960,MATCH(719,Engine!$C$2:$C$1960,0)))</f>
        <v/>
      </c>
      <c r="O732" s="9">
        <f>IF(ISNA(MATCH(719,Engine!$C$2:$C$1960,0)),"",INDEX('Compliance Database'!$O$2:$O$1960,MATCH(719,Engine!$C$2:$C$1960,0)))</f>
        <v/>
      </c>
      <c r="P732" s="8">
        <f>IF(ISNA(MATCH(719,Engine!$C$2:$C$1960,0)),"",HYPERLINK("#Acts!A"&amp;INDEX('Compliance Database'!$P$2:$P$1960,MATCH(719,Engine!$C$2:$C$1960,0)),"Go to Act"))</f>
        <v/>
      </c>
    </row>
    <row r="733" ht="158" customHeight="1">
      <c r="A733" s="8">
        <f>IF(ISNA(MATCH(720,Engine!$C$2:$C$1960,0)),"",INDEX('Compliance Database'!$A$2:$A$1960,MATCH(720,Engine!$C$2:$C$1960,0)))</f>
        <v/>
      </c>
      <c r="B733" s="8">
        <f>IF(ISNA(MATCH(720,Engine!$C$2:$C$1960,0)),"",INDEX('Compliance Database'!$B$2:$B$1960,MATCH(720,Engine!$C$2:$C$1960,0)))</f>
        <v/>
      </c>
      <c r="C733" s="8">
        <f>IF(ISNA(MATCH(720,Engine!$C$2:$C$1960,0)),"",INDEX('Compliance Database'!$C$2:$C$1960,MATCH(720,Engine!$C$2:$C$1960,0)))</f>
        <v/>
      </c>
      <c r="D733" s="9">
        <f>IF(ISNA(MATCH(720,Engine!$C$2:$C$1960,0)),"",INDEX('Compliance Database'!$D$2:$D$1960,MATCH(720,Engine!$C$2:$C$1960,0)))</f>
        <v/>
      </c>
      <c r="E733" s="8">
        <f>IF(ISNA(MATCH(720,Engine!$C$2:$C$1960,0)),"",INDEX('Compliance Database'!$E$2:$E$1960,MATCH(720,Engine!$C$2:$C$1960,0)))</f>
        <v/>
      </c>
      <c r="F733" s="8">
        <f>IF(ISNA(MATCH(720,Engine!$C$2:$C$1960,0)),"",INDEX('Compliance Database'!$F$2:$F$1960,MATCH(720,Engine!$C$2:$C$1960,0)))</f>
        <v/>
      </c>
      <c r="G733" s="8">
        <f>IF(ISNA(MATCH(720,Engine!$C$2:$C$1960,0)),"",INDEX('Compliance Database'!$G$2:$G$1960,MATCH(720,Engine!$C$2:$C$1960,0)))</f>
        <v/>
      </c>
      <c r="H733" s="9">
        <f>IF(ISNA(MATCH(720,Engine!$C$2:$C$1960,0)),"",INDEX('Compliance Database'!$H$2:$H$1960,MATCH(720,Engine!$C$2:$C$1960,0)))</f>
        <v/>
      </c>
      <c r="I733" s="9">
        <f>IF(ISNA(MATCH(720,Engine!$C$2:$C$1960,0)),"",INDEX('Compliance Database'!$I$2:$I$1960,MATCH(720,Engine!$C$2:$C$1960,0)))</f>
        <v/>
      </c>
      <c r="J733" s="8">
        <f>IF(ISNA(MATCH(720,Engine!$C$2:$C$1960,0)),"",INDEX('Compliance Database'!$J$2:$J$1960,MATCH(720,Engine!$C$2:$C$1960,0)))</f>
        <v/>
      </c>
      <c r="K733" s="9">
        <f>IF(ISNA(MATCH(720,Engine!$C$2:$C$1960,0)),"",INDEX('Compliance Database'!$K$2:$K$1960,MATCH(720,Engine!$C$2:$C$1960,0)))</f>
        <v/>
      </c>
      <c r="L733" s="9">
        <f>IF(ISNA(MATCH(720,Engine!$C$2:$C$1960,0)),"",INDEX('Compliance Database'!$L$2:$L$1960,MATCH(720,Engine!$C$2:$C$1960,0)))</f>
        <v/>
      </c>
      <c r="M733" s="9">
        <f>IF(ISNA(MATCH(720,Engine!$C$2:$C$1960,0)),"",INDEX('Compliance Database'!$M$2:$M$1960,MATCH(720,Engine!$C$2:$C$1960,0)))</f>
        <v/>
      </c>
      <c r="N733" s="9">
        <f>IF(ISNA(MATCH(720,Engine!$C$2:$C$1960,0)),"",INDEX('Compliance Database'!$N$2:$N$1960,MATCH(720,Engine!$C$2:$C$1960,0)))</f>
        <v/>
      </c>
      <c r="O733" s="9">
        <f>IF(ISNA(MATCH(720,Engine!$C$2:$C$1960,0)),"",INDEX('Compliance Database'!$O$2:$O$1960,MATCH(720,Engine!$C$2:$C$1960,0)))</f>
        <v/>
      </c>
      <c r="P733" s="8">
        <f>IF(ISNA(MATCH(720,Engine!$C$2:$C$1960,0)),"",HYPERLINK("#Acts!A"&amp;INDEX('Compliance Database'!$P$2:$P$1960,MATCH(720,Engine!$C$2:$C$1960,0)),"Go to Act"))</f>
        <v/>
      </c>
    </row>
    <row r="734" ht="158" customHeight="1">
      <c r="A734" s="8">
        <f>IF(ISNA(MATCH(721,Engine!$C$2:$C$1960,0)),"",INDEX('Compliance Database'!$A$2:$A$1960,MATCH(721,Engine!$C$2:$C$1960,0)))</f>
        <v/>
      </c>
      <c r="B734" s="8">
        <f>IF(ISNA(MATCH(721,Engine!$C$2:$C$1960,0)),"",INDEX('Compliance Database'!$B$2:$B$1960,MATCH(721,Engine!$C$2:$C$1960,0)))</f>
        <v/>
      </c>
      <c r="C734" s="8">
        <f>IF(ISNA(MATCH(721,Engine!$C$2:$C$1960,0)),"",INDEX('Compliance Database'!$C$2:$C$1960,MATCH(721,Engine!$C$2:$C$1960,0)))</f>
        <v/>
      </c>
      <c r="D734" s="9">
        <f>IF(ISNA(MATCH(721,Engine!$C$2:$C$1960,0)),"",INDEX('Compliance Database'!$D$2:$D$1960,MATCH(721,Engine!$C$2:$C$1960,0)))</f>
        <v/>
      </c>
      <c r="E734" s="8">
        <f>IF(ISNA(MATCH(721,Engine!$C$2:$C$1960,0)),"",INDEX('Compliance Database'!$E$2:$E$1960,MATCH(721,Engine!$C$2:$C$1960,0)))</f>
        <v/>
      </c>
      <c r="F734" s="8">
        <f>IF(ISNA(MATCH(721,Engine!$C$2:$C$1960,0)),"",INDEX('Compliance Database'!$F$2:$F$1960,MATCH(721,Engine!$C$2:$C$1960,0)))</f>
        <v/>
      </c>
      <c r="G734" s="8">
        <f>IF(ISNA(MATCH(721,Engine!$C$2:$C$1960,0)),"",INDEX('Compliance Database'!$G$2:$G$1960,MATCH(721,Engine!$C$2:$C$1960,0)))</f>
        <v/>
      </c>
      <c r="H734" s="9">
        <f>IF(ISNA(MATCH(721,Engine!$C$2:$C$1960,0)),"",INDEX('Compliance Database'!$H$2:$H$1960,MATCH(721,Engine!$C$2:$C$1960,0)))</f>
        <v/>
      </c>
      <c r="I734" s="9">
        <f>IF(ISNA(MATCH(721,Engine!$C$2:$C$1960,0)),"",INDEX('Compliance Database'!$I$2:$I$1960,MATCH(721,Engine!$C$2:$C$1960,0)))</f>
        <v/>
      </c>
      <c r="J734" s="8">
        <f>IF(ISNA(MATCH(721,Engine!$C$2:$C$1960,0)),"",INDEX('Compliance Database'!$J$2:$J$1960,MATCH(721,Engine!$C$2:$C$1960,0)))</f>
        <v/>
      </c>
      <c r="K734" s="9">
        <f>IF(ISNA(MATCH(721,Engine!$C$2:$C$1960,0)),"",INDEX('Compliance Database'!$K$2:$K$1960,MATCH(721,Engine!$C$2:$C$1960,0)))</f>
        <v/>
      </c>
      <c r="L734" s="9">
        <f>IF(ISNA(MATCH(721,Engine!$C$2:$C$1960,0)),"",INDEX('Compliance Database'!$L$2:$L$1960,MATCH(721,Engine!$C$2:$C$1960,0)))</f>
        <v/>
      </c>
      <c r="M734" s="9">
        <f>IF(ISNA(MATCH(721,Engine!$C$2:$C$1960,0)),"",INDEX('Compliance Database'!$M$2:$M$1960,MATCH(721,Engine!$C$2:$C$1960,0)))</f>
        <v/>
      </c>
      <c r="N734" s="9">
        <f>IF(ISNA(MATCH(721,Engine!$C$2:$C$1960,0)),"",INDEX('Compliance Database'!$N$2:$N$1960,MATCH(721,Engine!$C$2:$C$1960,0)))</f>
        <v/>
      </c>
      <c r="O734" s="9">
        <f>IF(ISNA(MATCH(721,Engine!$C$2:$C$1960,0)),"",INDEX('Compliance Database'!$O$2:$O$1960,MATCH(721,Engine!$C$2:$C$1960,0)))</f>
        <v/>
      </c>
      <c r="P734" s="8">
        <f>IF(ISNA(MATCH(721,Engine!$C$2:$C$1960,0)),"",HYPERLINK("#Acts!A"&amp;INDEX('Compliance Database'!$P$2:$P$1960,MATCH(721,Engine!$C$2:$C$1960,0)),"Go to Act"))</f>
        <v/>
      </c>
    </row>
    <row r="735" ht="158" customHeight="1">
      <c r="A735" s="8">
        <f>IF(ISNA(MATCH(722,Engine!$C$2:$C$1960,0)),"",INDEX('Compliance Database'!$A$2:$A$1960,MATCH(722,Engine!$C$2:$C$1960,0)))</f>
        <v/>
      </c>
      <c r="B735" s="8">
        <f>IF(ISNA(MATCH(722,Engine!$C$2:$C$1960,0)),"",INDEX('Compliance Database'!$B$2:$B$1960,MATCH(722,Engine!$C$2:$C$1960,0)))</f>
        <v/>
      </c>
      <c r="C735" s="8">
        <f>IF(ISNA(MATCH(722,Engine!$C$2:$C$1960,0)),"",INDEX('Compliance Database'!$C$2:$C$1960,MATCH(722,Engine!$C$2:$C$1960,0)))</f>
        <v/>
      </c>
      <c r="D735" s="9">
        <f>IF(ISNA(MATCH(722,Engine!$C$2:$C$1960,0)),"",INDEX('Compliance Database'!$D$2:$D$1960,MATCH(722,Engine!$C$2:$C$1960,0)))</f>
        <v/>
      </c>
      <c r="E735" s="8">
        <f>IF(ISNA(MATCH(722,Engine!$C$2:$C$1960,0)),"",INDEX('Compliance Database'!$E$2:$E$1960,MATCH(722,Engine!$C$2:$C$1960,0)))</f>
        <v/>
      </c>
      <c r="F735" s="8">
        <f>IF(ISNA(MATCH(722,Engine!$C$2:$C$1960,0)),"",INDEX('Compliance Database'!$F$2:$F$1960,MATCH(722,Engine!$C$2:$C$1960,0)))</f>
        <v/>
      </c>
      <c r="G735" s="8">
        <f>IF(ISNA(MATCH(722,Engine!$C$2:$C$1960,0)),"",INDEX('Compliance Database'!$G$2:$G$1960,MATCH(722,Engine!$C$2:$C$1960,0)))</f>
        <v/>
      </c>
      <c r="H735" s="9">
        <f>IF(ISNA(MATCH(722,Engine!$C$2:$C$1960,0)),"",INDEX('Compliance Database'!$H$2:$H$1960,MATCH(722,Engine!$C$2:$C$1960,0)))</f>
        <v/>
      </c>
      <c r="I735" s="9">
        <f>IF(ISNA(MATCH(722,Engine!$C$2:$C$1960,0)),"",INDEX('Compliance Database'!$I$2:$I$1960,MATCH(722,Engine!$C$2:$C$1960,0)))</f>
        <v/>
      </c>
      <c r="J735" s="8">
        <f>IF(ISNA(MATCH(722,Engine!$C$2:$C$1960,0)),"",INDEX('Compliance Database'!$J$2:$J$1960,MATCH(722,Engine!$C$2:$C$1960,0)))</f>
        <v/>
      </c>
      <c r="K735" s="9">
        <f>IF(ISNA(MATCH(722,Engine!$C$2:$C$1960,0)),"",INDEX('Compliance Database'!$K$2:$K$1960,MATCH(722,Engine!$C$2:$C$1960,0)))</f>
        <v/>
      </c>
      <c r="L735" s="9">
        <f>IF(ISNA(MATCH(722,Engine!$C$2:$C$1960,0)),"",INDEX('Compliance Database'!$L$2:$L$1960,MATCH(722,Engine!$C$2:$C$1960,0)))</f>
        <v/>
      </c>
      <c r="M735" s="9">
        <f>IF(ISNA(MATCH(722,Engine!$C$2:$C$1960,0)),"",INDEX('Compliance Database'!$M$2:$M$1960,MATCH(722,Engine!$C$2:$C$1960,0)))</f>
        <v/>
      </c>
      <c r="N735" s="9">
        <f>IF(ISNA(MATCH(722,Engine!$C$2:$C$1960,0)),"",INDEX('Compliance Database'!$N$2:$N$1960,MATCH(722,Engine!$C$2:$C$1960,0)))</f>
        <v/>
      </c>
      <c r="O735" s="9">
        <f>IF(ISNA(MATCH(722,Engine!$C$2:$C$1960,0)),"",INDEX('Compliance Database'!$O$2:$O$1960,MATCH(722,Engine!$C$2:$C$1960,0)))</f>
        <v/>
      </c>
      <c r="P735" s="8">
        <f>IF(ISNA(MATCH(722,Engine!$C$2:$C$1960,0)),"",HYPERLINK("#Acts!A"&amp;INDEX('Compliance Database'!$P$2:$P$1960,MATCH(722,Engine!$C$2:$C$1960,0)),"Go to Act"))</f>
        <v/>
      </c>
    </row>
    <row r="736" ht="158" customHeight="1">
      <c r="A736" s="8">
        <f>IF(ISNA(MATCH(723,Engine!$C$2:$C$1960,0)),"",INDEX('Compliance Database'!$A$2:$A$1960,MATCH(723,Engine!$C$2:$C$1960,0)))</f>
        <v/>
      </c>
      <c r="B736" s="8">
        <f>IF(ISNA(MATCH(723,Engine!$C$2:$C$1960,0)),"",INDEX('Compliance Database'!$B$2:$B$1960,MATCH(723,Engine!$C$2:$C$1960,0)))</f>
        <v/>
      </c>
      <c r="C736" s="8">
        <f>IF(ISNA(MATCH(723,Engine!$C$2:$C$1960,0)),"",INDEX('Compliance Database'!$C$2:$C$1960,MATCH(723,Engine!$C$2:$C$1960,0)))</f>
        <v/>
      </c>
      <c r="D736" s="9">
        <f>IF(ISNA(MATCH(723,Engine!$C$2:$C$1960,0)),"",INDEX('Compliance Database'!$D$2:$D$1960,MATCH(723,Engine!$C$2:$C$1960,0)))</f>
        <v/>
      </c>
      <c r="E736" s="8">
        <f>IF(ISNA(MATCH(723,Engine!$C$2:$C$1960,0)),"",INDEX('Compliance Database'!$E$2:$E$1960,MATCH(723,Engine!$C$2:$C$1960,0)))</f>
        <v/>
      </c>
      <c r="F736" s="8">
        <f>IF(ISNA(MATCH(723,Engine!$C$2:$C$1960,0)),"",INDEX('Compliance Database'!$F$2:$F$1960,MATCH(723,Engine!$C$2:$C$1960,0)))</f>
        <v/>
      </c>
      <c r="G736" s="8">
        <f>IF(ISNA(MATCH(723,Engine!$C$2:$C$1960,0)),"",INDEX('Compliance Database'!$G$2:$G$1960,MATCH(723,Engine!$C$2:$C$1960,0)))</f>
        <v/>
      </c>
      <c r="H736" s="9">
        <f>IF(ISNA(MATCH(723,Engine!$C$2:$C$1960,0)),"",INDEX('Compliance Database'!$H$2:$H$1960,MATCH(723,Engine!$C$2:$C$1960,0)))</f>
        <v/>
      </c>
      <c r="I736" s="9">
        <f>IF(ISNA(MATCH(723,Engine!$C$2:$C$1960,0)),"",INDEX('Compliance Database'!$I$2:$I$1960,MATCH(723,Engine!$C$2:$C$1960,0)))</f>
        <v/>
      </c>
      <c r="J736" s="8">
        <f>IF(ISNA(MATCH(723,Engine!$C$2:$C$1960,0)),"",INDEX('Compliance Database'!$J$2:$J$1960,MATCH(723,Engine!$C$2:$C$1960,0)))</f>
        <v/>
      </c>
      <c r="K736" s="9">
        <f>IF(ISNA(MATCH(723,Engine!$C$2:$C$1960,0)),"",INDEX('Compliance Database'!$K$2:$K$1960,MATCH(723,Engine!$C$2:$C$1960,0)))</f>
        <v/>
      </c>
      <c r="L736" s="9">
        <f>IF(ISNA(MATCH(723,Engine!$C$2:$C$1960,0)),"",INDEX('Compliance Database'!$L$2:$L$1960,MATCH(723,Engine!$C$2:$C$1960,0)))</f>
        <v/>
      </c>
      <c r="M736" s="9">
        <f>IF(ISNA(MATCH(723,Engine!$C$2:$C$1960,0)),"",INDEX('Compliance Database'!$M$2:$M$1960,MATCH(723,Engine!$C$2:$C$1960,0)))</f>
        <v/>
      </c>
      <c r="N736" s="9">
        <f>IF(ISNA(MATCH(723,Engine!$C$2:$C$1960,0)),"",INDEX('Compliance Database'!$N$2:$N$1960,MATCH(723,Engine!$C$2:$C$1960,0)))</f>
        <v/>
      </c>
      <c r="O736" s="9">
        <f>IF(ISNA(MATCH(723,Engine!$C$2:$C$1960,0)),"",INDEX('Compliance Database'!$O$2:$O$1960,MATCH(723,Engine!$C$2:$C$1960,0)))</f>
        <v/>
      </c>
      <c r="P736" s="8">
        <f>IF(ISNA(MATCH(723,Engine!$C$2:$C$1960,0)),"",HYPERLINK("#Acts!A"&amp;INDEX('Compliance Database'!$P$2:$P$1960,MATCH(723,Engine!$C$2:$C$1960,0)),"Go to Act"))</f>
        <v/>
      </c>
    </row>
    <row r="737" ht="158" customHeight="1">
      <c r="A737" s="8">
        <f>IF(ISNA(MATCH(724,Engine!$C$2:$C$1960,0)),"",INDEX('Compliance Database'!$A$2:$A$1960,MATCH(724,Engine!$C$2:$C$1960,0)))</f>
        <v/>
      </c>
      <c r="B737" s="8">
        <f>IF(ISNA(MATCH(724,Engine!$C$2:$C$1960,0)),"",INDEX('Compliance Database'!$B$2:$B$1960,MATCH(724,Engine!$C$2:$C$1960,0)))</f>
        <v/>
      </c>
      <c r="C737" s="8">
        <f>IF(ISNA(MATCH(724,Engine!$C$2:$C$1960,0)),"",INDEX('Compliance Database'!$C$2:$C$1960,MATCH(724,Engine!$C$2:$C$1960,0)))</f>
        <v/>
      </c>
      <c r="D737" s="9">
        <f>IF(ISNA(MATCH(724,Engine!$C$2:$C$1960,0)),"",INDEX('Compliance Database'!$D$2:$D$1960,MATCH(724,Engine!$C$2:$C$1960,0)))</f>
        <v/>
      </c>
      <c r="E737" s="8">
        <f>IF(ISNA(MATCH(724,Engine!$C$2:$C$1960,0)),"",INDEX('Compliance Database'!$E$2:$E$1960,MATCH(724,Engine!$C$2:$C$1960,0)))</f>
        <v/>
      </c>
      <c r="F737" s="8">
        <f>IF(ISNA(MATCH(724,Engine!$C$2:$C$1960,0)),"",INDEX('Compliance Database'!$F$2:$F$1960,MATCH(724,Engine!$C$2:$C$1960,0)))</f>
        <v/>
      </c>
      <c r="G737" s="8">
        <f>IF(ISNA(MATCH(724,Engine!$C$2:$C$1960,0)),"",INDEX('Compliance Database'!$G$2:$G$1960,MATCH(724,Engine!$C$2:$C$1960,0)))</f>
        <v/>
      </c>
      <c r="H737" s="9">
        <f>IF(ISNA(MATCH(724,Engine!$C$2:$C$1960,0)),"",INDEX('Compliance Database'!$H$2:$H$1960,MATCH(724,Engine!$C$2:$C$1960,0)))</f>
        <v/>
      </c>
      <c r="I737" s="9">
        <f>IF(ISNA(MATCH(724,Engine!$C$2:$C$1960,0)),"",INDEX('Compliance Database'!$I$2:$I$1960,MATCH(724,Engine!$C$2:$C$1960,0)))</f>
        <v/>
      </c>
      <c r="J737" s="8">
        <f>IF(ISNA(MATCH(724,Engine!$C$2:$C$1960,0)),"",INDEX('Compliance Database'!$J$2:$J$1960,MATCH(724,Engine!$C$2:$C$1960,0)))</f>
        <v/>
      </c>
      <c r="K737" s="9">
        <f>IF(ISNA(MATCH(724,Engine!$C$2:$C$1960,0)),"",INDEX('Compliance Database'!$K$2:$K$1960,MATCH(724,Engine!$C$2:$C$1960,0)))</f>
        <v/>
      </c>
      <c r="L737" s="9">
        <f>IF(ISNA(MATCH(724,Engine!$C$2:$C$1960,0)),"",INDEX('Compliance Database'!$L$2:$L$1960,MATCH(724,Engine!$C$2:$C$1960,0)))</f>
        <v/>
      </c>
      <c r="M737" s="9">
        <f>IF(ISNA(MATCH(724,Engine!$C$2:$C$1960,0)),"",INDEX('Compliance Database'!$M$2:$M$1960,MATCH(724,Engine!$C$2:$C$1960,0)))</f>
        <v/>
      </c>
      <c r="N737" s="9">
        <f>IF(ISNA(MATCH(724,Engine!$C$2:$C$1960,0)),"",INDEX('Compliance Database'!$N$2:$N$1960,MATCH(724,Engine!$C$2:$C$1960,0)))</f>
        <v/>
      </c>
      <c r="O737" s="9">
        <f>IF(ISNA(MATCH(724,Engine!$C$2:$C$1960,0)),"",INDEX('Compliance Database'!$O$2:$O$1960,MATCH(724,Engine!$C$2:$C$1960,0)))</f>
        <v/>
      </c>
      <c r="P737" s="8">
        <f>IF(ISNA(MATCH(724,Engine!$C$2:$C$1960,0)),"",HYPERLINK("#Acts!A"&amp;INDEX('Compliance Database'!$P$2:$P$1960,MATCH(724,Engine!$C$2:$C$1960,0)),"Go to Act"))</f>
        <v/>
      </c>
    </row>
    <row r="738" ht="158" customHeight="1">
      <c r="A738" s="8">
        <f>IF(ISNA(MATCH(725,Engine!$C$2:$C$1960,0)),"",INDEX('Compliance Database'!$A$2:$A$1960,MATCH(725,Engine!$C$2:$C$1960,0)))</f>
        <v/>
      </c>
      <c r="B738" s="8">
        <f>IF(ISNA(MATCH(725,Engine!$C$2:$C$1960,0)),"",INDEX('Compliance Database'!$B$2:$B$1960,MATCH(725,Engine!$C$2:$C$1960,0)))</f>
        <v/>
      </c>
      <c r="C738" s="8">
        <f>IF(ISNA(MATCH(725,Engine!$C$2:$C$1960,0)),"",INDEX('Compliance Database'!$C$2:$C$1960,MATCH(725,Engine!$C$2:$C$1960,0)))</f>
        <v/>
      </c>
      <c r="D738" s="9">
        <f>IF(ISNA(MATCH(725,Engine!$C$2:$C$1960,0)),"",INDEX('Compliance Database'!$D$2:$D$1960,MATCH(725,Engine!$C$2:$C$1960,0)))</f>
        <v/>
      </c>
      <c r="E738" s="8">
        <f>IF(ISNA(MATCH(725,Engine!$C$2:$C$1960,0)),"",INDEX('Compliance Database'!$E$2:$E$1960,MATCH(725,Engine!$C$2:$C$1960,0)))</f>
        <v/>
      </c>
      <c r="F738" s="8">
        <f>IF(ISNA(MATCH(725,Engine!$C$2:$C$1960,0)),"",INDEX('Compliance Database'!$F$2:$F$1960,MATCH(725,Engine!$C$2:$C$1960,0)))</f>
        <v/>
      </c>
      <c r="G738" s="8">
        <f>IF(ISNA(MATCH(725,Engine!$C$2:$C$1960,0)),"",INDEX('Compliance Database'!$G$2:$G$1960,MATCH(725,Engine!$C$2:$C$1960,0)))</f>
        <v/>
      </c>
      <c r="H738" s="9">
        <f>IF(ISNA(MATCH(725,Engine!$C$2:$C$1960,0)),"",INDEX('Compliance Database'!$H$2:$H$1960,MATCH(725,Engine!$C$2:$C$1960,0)))</f>
        <v/>
      </c>
      <c r="I738" s="9">
        <f>IF(ISNA(MATCH(725,Engine!$C$2:$C$1960,0)),"",INDEX('Compliance Database'!$I$2:$I$1960,MATCH(725,Engine!$C$2:$C$1960,0)))</f>
        <v/>
      </c>
      <c r="J738" s="8">
        <f>IF(ISNA(MATCH(725,Engine!$C$2:$C$1960,0)),"",INDEX('Compliance Database'!$J$2:$J$1960,MATCH(725,Engine!$C$2:$C$1960,0)))</f>
        <v/>
      </c>
      <c r="K738" s="9">
        <f>IF(ISNA(MATCH(725,Engine!$C$2:$C$1960,0)),"",INDEX('Compliance Database'!$K$2:$K$1960,MATCH(725,Engine!$C$2:$C$1960,0)))</f>
        <v/>
      </c>
      <c r="L738" s="9">
        <f>IF(ISNA(MATCH(725,Engine!$C$2:$C$1960,0)),"",INDEX('Compliance Database'!$L$2:$L$1960,MATCH(725,Engine!$C$2:$C$1960,0)))</f>
        <v/>
      </c>
      <c r="M738" s="9">
        <f>IF(ISNA(MATCH(725,Engine!$C$2:$C$1960,0)),"",INDEX('Compliance Database'!$M$2:$M$1960,MATCH(725,Engine!$C$2:$C$1960,0)))</f>
        <v/>
      </c>
      <c r="N738" s="9">
        <f>IF(ISNA(MATCH(725,Engine!$C$2:$C$1960,0)),"",INDEX('Compliance Database'!$N$2:$N$1960,MATCH(725,Engine!$C$2:$C$1960,0)))</f>
        <v/>
      </c>
      <c r="O738" s="9">
        <f>IF(ISNA(MATCH(725,Engine!$C$2:$C$1960,0)),"",INDEX('Compliance Database'!$O$2:$O$1960,MATCH(725,Engine!$C$2:$C$1960,0)))</f>
        <v/>
      </c>
      <c r="P738" s="8">
        <f>IF(ISNA(MATCH(725,Engine!$C$2:$C$1960,0)),"",HYPERLINK("#Acts!A"&amp;INDEX('Compliance Database'!$P$2:$P$1960,MATCH(725,Engine!$C$2:$C$1960,0)),"Go to Act"))</f>
        <v/>
      </c>
    </row>
    <row r="739" ht="158" customHeight="1">
      <c r="A739" s="8">
        <f>IF(ISNA(MATCH(726,Engine!$C$2:$C$1960,0)),"",INDEX('Compliance Database'!$A$2:$A$1960,MATCH(726,Engine!$C$2:$C$1960,0)))</f>
        <v/>
      </c>
      <c r="B739" s="8">
        <f>IF(ISNA(MATCH(726,Engine!$C$2:$C$1960,0)),"",INDEX('Compliance Database'!$B$2:$B$1960,MATCH(726,Engine!$C$2:$C$1960,0)))</f>
        <v/>
      </c>
      <c r="C739" s="8">
        <f>IF(ISNA(MATCH(726,Engine!$C$2:$C$1960,0)),"",INDEX('Compliance Database'!$C$2:$C$1960,MATCH(726,Engine!$C$2:$C$1960,0)))</f>
        <v/>
      </c>
      <c r="D739" s="9">
        <f>IF(ISNA(MATCH(726,Engine!$C$2:$C$1960,0)),"",INDEX('Compliance Database'!$D$2:$D$1960,MATCH(726,Engine!$C$2:$C$1960,0)))</f>
        <v/>
      </c>
      <c r="E739" s="8">
        <f>IF(ISNA(MATCH(726,Engine!$C$2:$C$1960,0)),"",INDEX('Compliance Database'!$E$2:$E$1960,MATCH(726,Engine!$C$2:$C$1960,0)))</f>
        <v/>
      </c>
      <c r="F739" s="8">
        <f>IF(ISNA(MATCH(726,Engine!$C$2:$C$1960,0)),"",INDEX('Compliance Database'!$F$2:$F$1960,MATCH(726,Engine!$C$2:$C$1960,0)))</f>
        <v/>
      </c>
      <c r="G739" s="8">
        <f>IF(ISNA(MATCH(726,Engine!$C$2:$C$1960,0)),"",INDEX('Compliance Database'!$G$2:$G$1960,MATCH(726,Engine!$C$2:$C$1960,0)))</f>
        <v/>
      </c>
      <c r="H739" s="9">
        <f>IF(ISNA(MATCH(726,Engine!$C$2:$C$1960,0)),"",INDEX('Compliance Database'!$H$2:$H$1960,MATCH(726,Engine!$C$2:$C$1960,0)))</f>
        <v/>
      </c>
      <c r="I739" s="9">
        <f>IF(ISNA(MATCH(726,Engine!$C$2:$C$1960,0)),"",INDEX('Compliance Database'!$I$2:$I$1960,MATCH(726,Engine!$C$2:$C$1960,0)))</f>
        <v/>
      </c>
      <c r="J739" s="8">
        <f>IF(ISNA(MATCH(726,Engine!$C$2:$C$1960,0)),"",INDEX('Compliance Database'!$J$2:$J$1960,MATCH(726,Engine!$C$2:$C$1960,0)))</f>
        <v/>
      </c>
      <c r="K739" s="9">
        <f>IF(ISNA(MATCH(726,Engine!$C$2:$C$1960,0)),"",INDEX('Compliance Database'!$K$2:$K$1960,MATCH(726,Engine!$C$2:$C$1960,0)))</f>
        <v/>
      </c>
      <c r="L739" s="9">
        <f>IF(ISNA(MATCH(726,Engine!$C$2:$C$1960,0)),"",INDEX('Compliance Database'!$L$2:$L$1960,MATCH(726,Engine!$C$2:$C$1960,0)))</f>
        <v/>
      </c>
      <c r="M739" s="9">
        <f>IF(ISNA(MATCH(726,Engine!$C$2:$C$1960,0)),"",INDEX('Compliance Database'!$M$2:$M$1960,MATCH(726,Engine!$C$2:$C$1960,0)))</f>
        <v/>
      </c>
      <c r="N739" s="9">
        <f>IF(ISNA(MATCH(726,Engine!$C$2:$C$1960,0)),"",INDEX('Compliance Database'!$N$2:$N$1960,MATCH(726,Engine!$C$2:$C$1960,0)))</f>
        <v/>
      </c>
      <c r="O739" s="9">
        <f>IF(ISNA(MATCH(726,Engine!$C$2:$C$1960,0)),"",INDEX('Compliance Database'!$O$2:$O$1960,MATCH(726,Engine!$C$2:$C$1960,0)))</f>
        <v/>
      </c>
      <c r="P739" s="8">
        <f>IF(ISNA(MATCH(726,Engine!$C$2:$C$1960,0)),"",HYPERLINK("#Acts!A"&amp;INDEX('Compliance Database'!$P$2:$P$1960,MATCH(726,Engine!$C$2:$C$1960,0)),"Go to Act"))</f>
        <v/>
      </c>
    </row>
    <row r="740" ht="158" customHeight="1">
      <c r="A740" s="8">
        <f>IF(ISNA(MATCH(727,Engine!$C$2:$C$1960,0)),"",INDEX('Compliance Database'!$A$2:$A$1960,MATCH(727,Engine!$C$2:$C$1960,0)))</f>
        <v/>
      </c>
      <c r="B740" s="8">
        <f>IF(ISNA(MATCH(727,Engine!$C$2:$C$1960,0)),"",INDEX('Compliance Database'!$B$2:$B$1960,MATCH(727,Engine!$C$2:$C$1960,0)))</f>
        <v/>
      </c>
      <c r="C740" s="8">
        <f>IF(ISNA(MATCH(727,Engine!$C$2:$C$1960,0)),"",INDEX('Compliance Database'!$C$2:$C$1960,MATCH(727,Engine!$C$2:$C$1960,0)))</f>
        <v/>
      </c>
      <c r="D740" s="9">
        <f>IF(ISNA(MATCH(727,Engine!$C$2:$C$1960,0)),"",INDEX('Compliance Database'!$D$2:$D$1960,MATCH(727,Engine!$C$2:$C$1960,0)))</f>
        <v/>
      </c>
      <c r="E740" s="8">
        <f>IF(ISNA(MATCH(727,Engine!$C$2:$C$1960,0)),"",INDEX('Compliance Database'!$E$2:$E$1960,MATCH(727,Engine!$C$2:$C$1960,0)))</f>
        <v/>
      </c>
      <c r="F740" s="8">
        <f>IF(ISNA(MATCH(727,Engine!$C$2:$C$1960,0)),"",INDEX('Compliance Database'!$F$2:$F$1960,MATCH(727,Engine!$C$2:$C$1960,0)))</f>
        <v/>
      </c>
      <c r="G740" s="8">
        <f>IF(ISNA(MATCH(727,Engine!$C$2:$C$1960,0)),"",INDEX('Compliance Database'!$G$2:$G$1960,MATCH(727,Engine!$C$2:$C$1960,0)))</f>
        <v/>
      </c>
      <c r="H740" s="9">
        <f>IF(ISNA(MATCH(727,Engine!$C$2:$C$1960,0)),"",INDEX('Compliance Database'!$H$2:$H$1960,MATCH(727,Engine!$C$2:$C$1960,0)))</f>
        <v/>
      </c>
      <c r="I740" s="9">
        <f>IF(ISNA(MATCH(727,Engine!$C$2:$C$1960,0)),"",INDEX('Compliance Database'!$I$2:$I$1960,MATCH(727,Engine!$C$2:$C$1960,0)))</f>
        <v/>
      </c>
      <c r="J740" s="8">
        <f>IF(ISNA(MATCH(727,Engine!$C$2:$C$1960,0)),"",INDEX('Compliance Database'!$J$2:$J$1960,MATCH(727,Engine!$C$2:$C$1960,0)))</f>
        <v/>
      </c>
      <c r="K740" s="9">
        <f>IF(ISNA(MATCH(727,Engine!$C$2:$C$1960,0)),"",INDEX('Compliance Database'!$K$2:$K$1960,MATCH(727,Engine!$C$2:$C$1960,0)))</f>
        <v/>
      </c>
      <c r="L740" s="9">
        <f>IF(ISNA(MATCH(727,Engine!$C$2:$C$1960,0)),"",INDEX('Compliance Database'!$L$2:$L$1960,MATCH(727,Engine!$C$2:$C$1960,0)))</f>
        <v/>
      </c>
      <c r="M740" s="9">
        <f>IF(ISNA(MATCH(727,Engine!$C$2:$C$1960,0)),"",INDEX('Compliance Database'!$M$2:$M$1960,MATCH(727,Engine!$C$2:$C$1960,0)))</f>
        <v/>
      </c>
      <c r="N740" s="9">
        <f>IF(ISNA(MATCH(727,Engine!$C$2:$C$1960,0)),"",INDEX('Compliance Database'!$N$2:$N$1960,MATCH(727,Engine!$C$2:$C$1960,0)))</f>
        <v/>
      </c>
      <c r="O740" s="9">
        <f>IF(ISNA(MATCH(727,Engine!$C$2:$C$1960,0)),"",INDEX('Compliance Database'!$O$2:$O$1960,MATCH(727,Engine!$C$2:$C$1960,0)))</f>
        <v/>
      </c>
      <c r="P740" s="8">
        <f>IF(ISNA(MATCH(727,Engine!$C$2:$C$1960,0)),"",HYPERLINK("#Acts!A"&amp;INDEX('Compliance Database'!$P$2:$P$1960,MATCH(727,Engine!$C$2:$C$1960,0)),"Go to Act"))</f>
        <v/>
      </c>
    </row>
    <row r="741" ht="158" customHeight="1">
      <c r="A741" s="8">
        <f>IF(ISNA(MATCH(728,Engine!$C$2:$C$1960,0)),"",INDEX('Compliance Database'!$A$2:$A$1960,MATCH(728,Engine!$C$2:$C$1960,0)))</f>
        <v/>
      </c>
      <c r="B741" s="8">
        <f>IF(ISNA(MATCH(728,Engine!$C$2:$C$1960,0)),"",INDEX('Compliance Database'!$B$2:$B$1960,MATCH(728,Engine!$C$2:$C$1960,0)))</f>
        <v/>
      </c>
      <c r="C741" s="8">
        <f>IF(ISNA(MATCH(728,Engine!$C$2:$C$1960,0)),"",INDEX('Compliance Database'!$C$2:$C$1960,MATCH(728,Engine!$C$2:$C$1960,0)))</f>
        <v/>
      </c>
      <c r="D741" s="9">
        <f>IF(ISNA(MATCH(728,Engine!$C$2:$C$1960,0)),"",INDEX('Compliance Database'!$D$2:$D$1960,MATCH(728,Engine!$C$2:$C$1960,0)))</f>
        <v/>
      </c>
      <c r="E741" s="8">
        <f>IF(ISNA(MATCH(728,Engine!$C$2:$C$1960,0)),"",INDEX('Compliance Database'!$E$2:$E$1960,MATCH(728,Engine!$C$2:$C$1960,0)))</f>
        <v/>
      </c>
      <c r="F741" s="8">
        <f>IF(ISNA(MATCH(728,Engine!$C$2:$C$1960,0)),"",INDEX('Compliance Database'!$F$2:$F$1960,MATCH(728,Engine!$C$2:$C$1960,0)))</f>
        <v/>
      </c>
      <c r="G741" s="8">
        <f>IF(ISNA(MATCH(728,Engine!$C$2:$C$1960,0)),"",INDEX('Compliance Database'!$G$2:$G$1960,MATCH(728,Engine!$C$2:$C$1960,0)))</f>
        <v/>
      </c>
      <c r="H741" s="9">
        <f>IF(ISNA(MATCH(728,Engine!$C$2:$C$1960,0)),"",INDEX('Compliance Database'!$H$2:$H$1960,MATCH(728,Engine!$C$2:$C$1960,0)))</f>
        <v/>
      </c>
      <c r="I741" s="9">
        <f>IF(ISNA(MATCH(728,Engine!$C$2:$C$1960,0)),"",INDEX('Compliance Database'!$I$2:$I$1960,MATCH(728,Engine!$C$2:$C$1960,0)))</f>
        <v/>
      </c>
      <c r="J741" s="8">
        <f>IF(ISNA(MATCH(728,Engine!$C$2:$C$1960,0)),"",INDEX('Compliance Database'!$J$2:$J$1960,MATCH(728,Engine!$C$2:$C$1960,0)))</f>
        <v/>
      </c>
      <c r="K741" s="9">
        <f>IF(ISNA(MATCH(728,Engine!$C$2:$C$1960,0)),"",INDEX('Compliance Database'!$K$2:$K$1960,MATCH(728,Engine!$C$2:$C$1960,0)))</f>
        <v/>
      </c>
      <c r="L741" s="9">
        <f>IF(ISNA(MATCH(728,Engine!$C$2:$C$1960,0)),"",INDEX('Compliance Database'!$L$2:$L$1960,MATCH(728,Engine!$C$2:$C$1960,0)))</f>
        <v/>
      </c>
      <c r="M741" s="9">
        <f>IF(ISNA(MATCH(728,Engine!$C$2:$C$1960,0)),"",INDEX('Compliance Database'!$M$2:$M$1960,MATCH(728,Engine!$C$2:$C$1960,0)))</f>
        <v/>
      </c>
      <c r="N741" s="9">
        <f>IF(ISNA(MATCH(728,Engine!$C$2:$C$1960,0)),"",INDEX('Compliance Database'!$N$2:$N$1960,MATCH(728,Engine!$C$2:$C$1960,0)))</f>
        <v/>
      </c>
      <c r="O741" s="9">
        <f>IF(ISNA(MATCH(728,Engine!$C$2:$C$1960,0)),"",INDEX('Compliance Database'!$O$2:$O$1960,MATCH(728,Engine!$C$2:$C$1960,0)))</f>
        <v/>
      </c>
      <c r="P741" s="8">
        <f>IF(ISNA(MATCH(728,Engine!$C$2:$C$1960,0)),"",HYPERLINK("#Acts!A"&amp;INDEX('Compliance Database'!$P$2:$P$1960,MATCH(728,Engine!$C$2:$C$1960,0)),"Go to Act"))</f>
        <v/>
      </c>
    </row>
    <row r="742" ht="158" customHeight="1">
      <c r="A742" s="8">
        <f>IF(ISNA(MATCH(729,Engine!$C$2:$C$1960,0)),"",INDEX('Compliance Database'!$A$2:$A$1960,MATCH(729,Engine!$C$2:$C$1960,0)))</f>
        <v/>
      </c>
      <c r="B742" s="8">
        <f>IF(ISNA(MATCH(729,Engine!$C$2:$C$1960,0)),"",INDEX('Compliance Database'!$B$2:$B$1960,MATCH(729,Engine!$C$2:$C$1960,0)))</f>
        <v/>
      </c>
      <c r="C742" s="8">
        <f>IF(ISNA(MATCH(729,Engine!$C$2:$C$1960,0)),"",INDEX('Compliance Database'!$C$2:$C$1960,MATCH(729,Engine!$C$2:$C$1960,0)))</f>
        <v/>
      </c>
      <c r="D742" s="9">
        <f>IF(ISNA(MATCH(729,Engine!$C$2:$C$1960,0)),"",INDEX('Compliance Database'!$D$2:$D$1960,MATCH(729,Engine!$C$2:$C$1960,0)))</f>
        <v/>
      </c>
      <c r="E742" s="8">
        <f>IF(ISNA(MATCH(729,Engine!$C$2:$C$1960,0)),"",INDEX('Compliance Database'!$E$2:$E$1960,MATCH(729,Engine!$C$2:$C$1960,0)))</f>
        <v/>
      </c>
      <c r="F742" s="8">
        <f>IF(ISNA(MATCH(729,Engine!$C$2:$C$1960,0)),"",INDEX('Compliance Database'!$F$2:$F$1960,MATCH(729,Engine!$C$2:$C$1960,0)))</f>
        <v/>
      </c>
      <c r="G742" s="8">
        <f>IF(ISNA(MATCH(729,Engine!$C$2:$C$1960,0)),"",INDEX('Compliance Database'!$G$2:$G$1960,MATCH(729,Engine!$C$2:$C$1960,0)))</f>
        <v/>
      </c>
      <c r="H742" s="9">
        <f>IF(ISNA(MATCH(729,Engine!$C$2:$C$1960,0)),"",INDEX('Compliance Database'!$H$2:$H$1960,MATCH(729,Engine!$C$2:$C$1960,0)))</f>
        <v/>
      </c>
      <c r="I742" s="9">
        <f>IF(ISNA(MATCH(729,Engine!$C$2:$C$1960,0)),"",INDEX('Compliance Database'!$I$2:$I$1960,MATCH(729,Engine!$C$2:$C$1960,0)))</f>
        <v/>
      </c>
      <c r="J742" s="8">
        <f>IF(ISNA(MATCH(729,Engine!$C$2:$C$1960,0)),"",INDEX('Compliance Database'!$J$2:$J$1960,MATCH(729,Engine!$C$2:$C$1960,0)))</f>
        <v/>
      </c>
      <c r="K742" s="9">
        <f>IF(ISNA(MATCH(729,Engine!$C$2:$C$1960,0)),"",INDEX('Compliance Database'!$K$2:$K$1960,MATCH(729,Engine!$C$2:$C$1960,0)))</f>
        <v/>
      </c>
      <c r="L742" s="9">
        <f>IF(ISNA(MATCH(729,Engine!$C$2:$C$1960,0)),"",INDEX('Compliance Database'!$L$2:$L$1960,MATCH(729,Engine!$C$2:$C$1960,0)))</f>
        <v/>
      </c>
      <c r="M742" s="9">
        <f>IF(ISNA(MATCH(729,Engine!$C$2:$C$1960,0)),"",INDEX('Compliance Database'!$M$2:$M$1960,MATCH(729,Engine!$C$2:$C$1960,0)))</f>
        <v/>
      </c>
      <c r="N742" s="9">
        <f>IF(ISNA(MATCH(729,Engine!$C$2:$C$1960,0)),"",INDEX('Compliance Database'!$N$2:$N$1960,MATCH(729,Engine!$C$2:$C$1960,0)))</f>
        <v/>
      </c>
      <c r="O742" s="9">
        <f>IF(ISNA(MATCH(729,Engine!$C$2:$C$1960,0)),"",INDEX('Compliance Database'!$O$2:$O$1960,MATCH(729,Engine!$C$2:$C$1960,0)))</f>
        <v/>
      </c>
      <c r="P742" s="8">
        <f>IF(ISNA(MATCH(729,Engine!$C$2:$C$1960,0)),"",HYPERLINK("#Acts!A"&amp;INDEX('Compliance Database'!$P$2:$P$1960,MATCH(729,Engine!$C$2:$C$1960,0)),"Go to Act"))</f>
        <v/>
      </c>
    </row>
    <row r="743" ht="158" customHeight="1">
      <c r="A743" s="8">
        <f>IF(ISNA(MATCH(730,Engine!$C$2:$C$1960,0)),"",INDEX('Compliance Database'!$A$2:$A$1960,MATCH(730,Engine!$C$2:$C$1960,0)))</f>
        <v/>
      </c>
      <c r="B743" s="8">
        <f>IF(ISNA(MATCH(730,Engine!$C$2:$C$1960,0)),"",INDEX('Compliance Database'!$B$2:$B$1960,MATCH(730,Engine!$C$2:$C$1960,0)))</f>
        <v/>
      </c>
      <c r="C743" s="8">
        <f>IF(ISNA(MATCH(730,Engine!$C$2:$C$1960,0)),"",INDEX('Compliance Database'!$C$2:$C$1960,MATCH(730,Engine!$C$2:$C$1960,0)))</f>
        <v/>
      </c>
      <c r="D743" s="9">
        <f>IF(ISNA(MATCH(730,Engine!$C$2:$C$1960,0)),"",INDEX('Compliance Database'!$D$2:$D$1960,MATCH(730,Engine!$C$2:$C$1960,0)))</f>
        <v/>
      </c>
      <c r="E743" s="8">
        <f>IF(ISNA(MATCH(730,Engine!$C$2:$C$1960,0)),"",INDEX('Compliance Database'!$E$2:$E$1960,MATCH(730,Engine!$C$2:$C$1960,0)))</f>
        <v/>
      </c>
      <c r="F743" s="8">
        <f>IF(ISNA(MATCH(730,Engine!$C$2:$C$1960,0)),"",INDEX('Compliance Database'!$F$2:$F$1960,MATCH(730,Engine!$C$2:$C$1960,0)))</f>
        <v/>
      </c>
      <c r="G743" s="8">
        <f>IF(ISNA(MATCH(730,Engine!$C$2:$C$1960,0)),"",INDEX('Compliance Database'!$G$2:$G$1960,MATCH(730,Engine!$C$2:$C$1960,0)))</f>
        <v/>
      </c>
      <c r="H743" s="9">
        <f>IF(ISNA(MATCH(730,Engine!$C$2:$C$1960,0)),"",INDEX('Compliance Database'!$H$2:$H$1960,MATCH(730,Engine!$C$2:$C$1960,0)))</f>
        <v/>
      </c>
      <c r="I743" s="9">
        <f>IF(ISNA(MATCH(730,Engine!$C$2:$C$1960,0)),"",INDEX('Compliance Database'!$I$2:$I$1960,MATCH(730,Engine!$C$2:$C$1960,0)))</f>
        <v/>
      </c>
      <c r="J743" s="8">
        <f>IF(ISNA(MATCH(730,Engine!$C$2:$C$1960,0)),"",INDEX('Compliance Database'!$J$2:$J$1960,MATCH(730,Engine!$C$2:$C$1960,0)))</f>
        <v/>
      </c>
      <c r="K743" s="9">
        <f>IF(ISNA(MATCH(730,Engine!$C$2:$C$1960,0)),"",INDEX('Compliance Database'!$K$2:$K$1960,MATCH(730,Engine!$C$2:$C$1960,0)))</f>
        <v/>
      </c>
      <c r="L743" s="9">
        <f>IF(ISNA(MATCH(730,Engine!$C$2:$C$1960,0)),"",INDEX('Compliance Database'!$L$2:$L$1960,MATCH(730,Engine!$C$2:$C$1960,0)))</f>
        <v/>
      </c>
      <c r="M743" s="9">
        <f>IF(ISNA(MATCH(730,Engine!$C$2:$C$1960,0)),"",INDEX('Compliance Database'!$M$2:$M$1960,MATCH(730,Engine!$C$2:$C$1960,0)))</f>
        <v/>
      </c>
      <c r="N743" s="9">
        <f>IF(ISNA(MATCH(730,Engine!$C$2:$C$1960,0)),"",INDEX('Compliance Database'!$N$2:$N$1960,MATCH(730,Engine!$C$2:$C$1960,0)))</f>
        <v/>
      </c>
      <c r="O743" s="9">
        <f>IF(ISNA(MATCH(730,Engine!$C$2:$C$1960,0)),"",INDEX('Compliance Database'!$O$2:$O$1960,MATCH(730,Engine!$C$2:$C$1960,0)))</f>
        <v/>
      </c>
      <c r="P743" s="8">
        <f>IF(ISNA(MATCH(730,Engine!$C$2:$C$1960,0)),"",HYPERLINK("#Acts!A"&amp;INDEX('Compliance Database'!$P$2:$P$1960,MATCH(730,Engine!$C$2:$C$1960,0)),"Go to Act"))</f>
        <v/>
      </c>
    </row>
    <row r="744" ht="158" customHeight="1">
      <c r="A744" s="8">
        <f>IF(ISNA(MATCH(731,Engine!$C$2:$C$1960,0)),"",INDEX('Compliance Database'!$A$2:$A$1960,MATCH(731,Engine!$C$2:$C$1960,0)))</f>
        <v/>
      </c>
      <c r="B744" s="8">
        <f>IF(ISNA(MATCH(731,Engine!$C$2:$C$1960,0)),"",INDEX('Compliance Database'!$B$2:$B$1960,MATCH(731,Engine!$C$2:$C$1960,0)))</f>
        <v/>
      </c>
      <c r="C744" s="8">
        <f>IF(ISNA(MATCH(731,Engine!$C$2:$C$1960,0)),"",INDEX('Compliance Database'!$C$2:$C$1960,MATCH(731,Engine!$C$2:$C$1960,0)))</f>
        <v/>
      </c>
      <c r="D744" s="9">
        <f>IF(ISNA(MATCH(731,Engine!$C$2:$C$1960,0)),"",INDEX('Compliance Database'!$D$2:$D$1960,MATCH(731,Engine!$C$2:$C$1960,0)))</f>
        <v/>
      </c>
      <c r="E744" s="8">
        <f>IF(ISNA(MATCH(731,Engine!$C$2:$C$1960,0)),"",INDEX('Compliance Database'!$E$2:$E$1960,MATCH(731,Engine!$C$2:$C$1960,0)))</f>
        <v/>
      </c>
      <c r="F744" s="8">
        <f>IF(ISNA(MATCH(731,Engine!$C$2:$C$1960,0)),"",INDEX('Compliance Database'!$F$2:$F$1960,MATCH(731,Engine!$C$2:$C$1960,0)))</f>
        <v/>
      </c>
      <c r="G744" s="8">
        <f>IF(ISNA(MATCH(731,Engine!$C$2:$C$1960,0)),"",INDEX('Compliance Database'!$G$2:$G$1960,MATCH(731,Engine!$C$2:$C$1960,0)))</f>
        <v/>
      </c>
      <c r="H744" s="9">
        <f>IF(ISNA(MATCH(731,Engine!$C$2:$C$1960,0)),"",INDEX('Compliance Database'!$H$2:$H$1960,MATCH(731,Engine!$C$2:$C$1960,0)))</f>
        <v/>
      </c>
      <c r="I744" s="9">
        <f>IF(ISNA(MATCH(731,Engine!$C$2:$C$1960,0)),"",INDEX('Compliance Database'!$I$2:$I$1960,MATCH(731,Engine!$C$2:$C$1960,0)))</f>
        <v/>
      </c>
      <c r="J744" s="8">
        <f>IF(ISNA(MATCH(731,Engine!$C$2:$C$1960,0)),"",INDEX('Compliance Database'!$J$2:$J$1960,MATCH(731,Engine!$C$2:$C$1960,0)))</f>
        <v/>
      </c>
      <c r="K744" s="9">
        <f>IF(ISNA(MATCH(731,Engine!$C$2:$C$1960,0)),"",INDEX('Compliance Database'!$K$2:$K$1960,MATCH(731,Engine!$C$2:$C$1960,0)))</f>
        <v/>
      </c>
      <c r="L744" s="9">
        <f>IF(ISNA(MATCH(731,Engine!$C$2:$C$1960,0)),"",INDEX('Compliance Database'!$L$2:$L$1960,MATCH(731,Engine!$C$2:$C$1960,0)))</f>
        <v/>
      </c>
      <c r="M744" s="9">
        <f>IF(ISNA(MATCH(731,Engine!$C$2:$C$1960,0)),"",INDEX('Compliance Database'!$M$2:$M$1960,MATCH(731,Engine!$C$2:$C$1960,0)))</f>
        <v/>
      </c>
      <c r="N744" s="9">
        <f>IF(ISNA(MATCH(731,Engine!$C$2:$C$1960,0)),"",INDEX('Compliance Database'!$N$2:$N$1960,MATCH(731,Engine!$C$2:$C$1960,0)))</f>
        <v/>
      </c>
      <c r="O744" s="9">
        <f>IF(ISNA(MATCH(731,Engine!$C$2:$C$1960,0)),"",INDEX('Compliance Database'!$O$2:$O$1960,MATCH(731,Engine!$C$2:$C$1960,0)))</f>
        <v/>
      </c>
      <c r="P744" s="8">
        <f>IF(ISNA(MATCH(731,Engine!$C$2:$C$1960,0)),"",HYPERLINK("#Acts!A"&amp;INDEX('Compliance Database'!$P$2:$P$1960,MATCH(731,Engine!$C$2:$C$1960,0)),"Go to Act"))</f>
        <v/>
      </c>
    </row>
    <row r="745" ht="158" customHeight="1">
      <c r="A745" s="8">
        <f>IF(ISNA(MATCH(732,Engine!$C$2:$C$1960,0)),"",INDEX('Compliance Database'!$A$2:$A$1960,MATCH(732,Engine!$C$2:$C$1960,0)))</f>
        <v/>
      </c>
      <c r="B745" s="8">
        <f>IF(ISNA(MATCH(732,Engine!$C$2:$C$1960,0)),"",INDEX('Compliance Database'!$B$2:$B$1960,MATCH(732,Engine!$C$2:$C$1960,0)))</f>
        <v/>
      </c>
      <c r="C745" s="8">
        <f>IF(ISNA(MATCH(732,Engine!$C$2:$C$1960,0)),"",INDEX('Compliance Database'!$C$2:$C$1960,MATCH(732,Engine!$C$2:$C$1960,0)))</f>
        <v/>
      </c>
      <c r="D745" s="9">
        <f>IF(ISNA(MATCH(732,Engine!$C$2:$C$1960,0)),"",INDEX('Compliance Database'!$D$2:$D$1960,MATCH(732,Engine!$C$2:$C$1960,0)))</f>
        <v/>
      </c>
      <c r="E745" s="8">
        <f>IF(ISNA(MATCH(732,Engine!$C$2:$C$1960,0)),"",INDEX('Compliance Database'!$E$2:$E$1960,MATCH(732,Engine!$C$2:$C$1960,0)))</f>
        <v/>
      </c>
      <c r="F745" s="8">
        <f>IF(ISNA(MATCH(732,Engine!$C$2:$C$1960,0)),"",INDEX('Compliance Database'!$F$2:$F$1960,MATCH(732,Engine!$C$2:$C$1960,0)))</f>
        <v/>
      </c>
      <c r="G745" s="8">
        <f>IF(ISNA(MATCH(732,Engine!$C$2:$C$1960,0)),"",INDEX('Compliance Database'!$G$2:$G$1960,MATCH(732,Engine!$C$2:$C$1960,0)))</f>
        <v/>
      </c>
      <c r="H745" s="9">
        <f>IF(ISNA(MATCH(732,Engine!$C$2:$C$1960,0)),"",INDEX('Compliance Database'!$H$2:$H$1960,MATCH(732,Engine!$C$2:$C$1960,0)))</f>
        <v/>
      </c>
      <c r="I745" s="9">
        <f>IF(ISNA(MATCH(732,Engine!$C$2:$C$1960,0)),"",INDEX('Compliance Database'!$I$2:$I$1960,MATCH(732,Engine!$C$2:$C$1960,0)))</f>
        <v/>
      </c>
      <c r="J745" s="8">
        <f>IF(ISNA(MATCH(732,Engine!$C$2:$C$1960,0)),"",INDEX('Compliance Database'!$J$2:$J$1960,MATCH(732,Engine!$C$2:$C$1960,0)))</f>
        <v/>
      </c>
      <c r="K745" s="9">
        <f>IF(ISNA(MATCH(732,Engine!$C$2:$C$1960,0)),"",INDEX('Compliance Database'!$K$2:$K$1960,MATCH(732,Engine!$C$2:$C$1960,0)))</f>
        <v/>
      </c>
      <c r="L745" s="9">
        <f>IF(ISNA(MATCH(732,Engine!$C$2:$C$1960,0)),"",INDEX('Compliance Database'!$L$2:$L$1960,MATCH(732,Engine!$C$2:$C$1960,0)))</f>
        <v/>
      </c>
      <c r="M745" s="9">
        <f>IF(ISNA(MATCH(732,Engine!$C$2:$C$1960,0)),"",INDEX('Compliance Database'!$M$2:$M$1960,MATCH(732,Engine!$C$2:$C$1960,0)))</f>
        <v/>
      </c>
      <c r="N745" s="9">
        <f>IF(ISNA(MATCH(732,Engine!$C$2:$C$1960,0)),"",INDEX('Compliance Database'!$N$2:$N$1960,MATCH(732,Engine!$C$2:$C$1960,0)))</f>
        <v/>
      </c>
      <c r="O745" s="9">
        <f>IF(ISNA(MATCH(732,Engine!$C$2:$C$1960,0)),"",INDEX('Compliance Database'!$O$2:$O$1960,MATCH(732,Engine!$C$2:$C$1960,0)))</f>
        <v/>
      </c>
      <c r="P745" s="8">
        <f>IF(ISNA(MATCH(732,Engine!$C$2:$C$1960,0)),"",HYPERLINK("#Acts!A"&amp;INDEX('Compliance Database'!$P$2:$P$1960,MATCH(732,Engine!$C$2:$C$1960,0)),"Go to Act"))</f>
        <v/>
      </c>
    </row>
    <row r="746" ht="158" customHeight="1">
      <c r="A746" s="8">
        <f>IF(ISNA(MATCH(733,Engine!$C$2:$C$1960,0)),"",INDEX('Compliance Database'!$A$2:$A$1960,MATCH(733,Engine!$C$2:$C$1960,0)))</f>
        <v/>
      </c>
      <c r="B746" s="8">
        <f>IF(ISNA(MATCH(733,Engine!$C$2:$C$1960,0)),"",INDEX('Compliance Database'!$B$2:$B$1960,MATCH(733,Engine!$C$2:$C$1960,0)))</f>
        <v/>
      </c>
      <c r="C746" s="8">
        <f>IF(ISNA(MATCH(733,Engine!$C$2:$C$1960,0)),"",INDEX('Compliance Database'!$C$2:$C$1960,MATCH(733,Engine!$C$2:$C$1960,0)))</f>
        <v/>
      </c>
      <c r="D746" s="9">
        <f>IF(ISNA(MATCH(733,Engine!$C$2:$C$1960,0)),"",INDEX('Compliance Database'!$D$2:$D$1960,MATCH(733,Engine!$C$2:$C$1960,0)))</f>
        <v/>
      </c>
      <c r="E746" s="8">
        <f>IF(ISNA(MATCH(733,Engine!$C$2:$C$1960,0)),"",INDEX('Compliance Database'!$E$2:$E$1960,MATCH(733,Engine!$C$2:$C$1960,0)))</f>
        <v/>
      </c>
      <c r="F746" s="8">
        <f>IF(ISNA(MATCH(733,Engine!$C$2:$C$1960,0)),"",INDEX('Compliance Database'!$F$2:$F$1960,MATCH(733,Engine!$C$2:$C$1960,0)))</f>
        <v/>
      </c>
      <c r="G746" s="8">
        <f>IF(ISNA(MATCH(733,Engine!$C$2:$C$1960,0)),"",INDEX('Compliance Database'!$G$2:$G$1960,MATCH(733,Engine!$C$2:$C$1960,0)))</f>
        <v/>
      </c>
      <c r="H746" s="9">
        <f>IF(ISNA(MATCH(733,Engine!$C$2:$C$1960,0)),"",INDEX('Compliance Database'!$H$2:$H$1960,MATCH(733,Engine!$C$2:$C$1960,0)))</f>
        <v/>
      </c>
      <c r="I746" s="9">
        <f>IF(ISNA(MATCH(733,Engine!$C$2:$C$1960,0)),"",INDEX('Compliance Database'!$I$2:$I$1960,MATCH(733,Engine!$C$2:$C$1960,0)))</f>
        <v/>
      </c>
      <c r="J746" s="8">
        <f>IF(ISNA(MATCH(733,Engine!$C$2:$C$1960,0)),"",INDEX('Compliance Database'!$J$2:$J$1960,MATCH(733,Engine!$C$2:$C$1960,0)))</f>
        <v/>
      </c>
      <c r="K746" s="9">
        <f>IF(ISNA(MATCH(733,Engine!$C$2:$C$1960,0)),"",INDEX('Compliance Database'!$K$2:$K$1960,MATCH(733,Engine!$C$2:$C$1960,0)))</f>
        <v/>
      </c>
      <c r="L746" s="9">
        <f>IF(ISNA(MATCH(733,Engine!$C$2:$C$1960,0)),"",INDEX('Compliance Database'!$L$2:$L$1960,MATCH(733,Engine!$C$2:$C$1960,0)))</f>
        <v/>
      </c>
      <c r="M746" s="9">
        <f>IF(ISNA(MATCH(733,Engine!$C$2:$C$1960,0)),"",INDEX('Compliance Database'!$M$2:$M$1960,MATCH(733,Engine!$C$2:$C$1960,0)))</f>
        <v/>
      </c>
      <c r="N746" s="9">
        <f>IF(ISNA(MATCH(733,Engine!$C$2:$C$1960,0)),"",INDEX('Compliance Database'!$N$2:$N$1960,MATCH(733,Engine!$C$2:$C$1960,0)))</f>
        <v/>
      </c>
      <c r="O746" s="9">
        <f>IF(ISNA(MATCH(733,Engine!$C$2:$C$1960,0)),"",INDEX('Compliance Database'!$O$2:$O$1960,MATCH(733,Engine!$C$2:$C$1960,0)))</f>
        <v/>
      </c>
      <c r="P746" s="8">
        <f>IF(ISNA(MATCH(733,Engine!$C$2:$C$1960,0)),"",HYPERLINK("#Acts!A"&amp;INDEX('Compliance Database'!$P$2:$P$1960,MATCH(733,Engine!$C$2:$C$1960,0)),"Go to Act"))</f>
        <v/>
      </c>
    </row>
    <row r="747" ht="158" customHeight="1">
      <c r="A747" s="8">
        <f>IF(ISNA(MATCH(734,Engine!$C$2:$C$1960,0)),"",INDEX('Compliance Database'!$A$2:$A$1960,MATCH(734,Engine!$C$2:$C$1960,0)))</f>
        <v/>
      </c>
      <c r="B747" s="8">
        <f>IF(ISNA(MATCH(734,Engine!$C$2:$C$1960,0)),"",INDEX('Compliance Database'!$B$2:$B$1960,MATCH(734,Engine!$C$2:$C$1960,0)))</f>
        <v/>
      </c>
      <c r="C747" s="8">
        <f>IF(ISNA(MATCH(734,Engine!$C$2:$C$1960,0)),"",INDEX('Compliance Database'!$C$2:$C$1960,MATCH(734,Engine!$C$2:$C$1960,0)))</f>
        <v/>
      </c>
      <c r="D747" s="9">
        <f>IF(ISNA(MATCH(734,Engine!$C$2:$C$1960,0)),"",INDEX('Compliance Database'!$D$2:$D$1960,MATCH(734,Engine!$C$2:$C$1960,0)))</f>
        <v/>
      </c>
      <c r="E747" s="8">
        <f>IF(ISNA(MATCH(734,Engine!$C$2:$C$1960,0)),"",INDEX('Compliance Database'!$E$2:$E$1960,MATCH(734,Engine!$C$2:$C$1960,0)))</f>
        <v/>
      </c>
      <c r="F747" s="8">
        <f>IF(ISNA(MATCH(734,Engine!$C$2:$C$1960,0)),"",INDEX('Compliance Database'!$F$2:$F$1960,MATCH(734,Engine!$C$2:$C$1960,0)))</f>
        <v/>
      </c>
      <c r="G747" s="8">
        <f>IF(ISNA(MATCH(734,Engine!$C$2:$C$1960,0)),"",INDEX('Compliance Database'!$G$2:$G$1960,MATCH(734,Engine!$C$2:$C$1960,0)))</f>
        <v/>
      </c>
      <c r="H747" s="9">
        <f>IF(ISNA(MATCH(734,Engine!$C$2:$C$1960,0)),"",INDEX('Compliance Database'!$H$2:$H$1960,MATCH(734,Engine!$C$2:$C$1960,0)))</f>
        <v/>
      </c>
      <c r="I747" s="9">
        <f>IF(ISNA(MATCH(734,Engine!$C$2:$C$1960,0)),"",INDEX('Compliance Database'!$I$2:$I$1960,MATCH(734,Engine!$C$2:$C$1960,0)))</f>
        <v/>
      </c>
      <c r="J747" s="8">
        <f>IF(ISNA(MATCH(734,Engine!$C$2:$C$1960,0)),"",INDEX('Compliance Database'!$J$2:$J$1960,MATCH(734,Engine!$C$2:$C$1960,0)))</f>
        <v/>
      </c>
      <c r="K747" s="9">
        <f>IF(ISNA(MATCH(734,Engine!$C$2:$C$1960,0)),"",INDEX('Compliance Database'!$K$2:$K$1960,MATCH(734,Engine!$C$2:$C$1960,0)))</f>
        <v/>
      </c>
      <c r="L747" s="9">
        <f>IF(ISNA(MATCH(734,Engine!$C$2:$C$1960,0)),"",INDEX('Compliance Database'!$L$2:$L$1960,MATCH(734,Engine!$C$2:$C$1960,0)))</f>
        <v/>
      </c>
      <c r="M747" s="9">
        <f>IF(ISNA(MATCH(734,Engine!$C$2:$C$1960,0)),"",INDEX('Compliance Database'!$M$2:$M$1960,MATCH(734,Engine!$C$2:$C$1960,0)))</f>
        <v/>
      </c>
      <c r="N747" s="9">
        <f>IF(ISNA(MATCH(734,Engine!$C$2:$C$1960,0)),"",INDEX('Compliance Database'!$N$2:$N$1960,MATCH(734,Engine!$C$2:$C$1960,0)))</f>
        <v/>
      </c>
      <c r="O747" s="9">
        <f>IF(ISNA(MATCH(734,Engine!$C$2:$C$1960,0)),"",INDEX('Compliance Database'!$O$2:$O$1960,MATCH(734,Engine!$C$2:$C$1960,0)))</f>
        <v/>
      </c>
      <c r="P747" s="8">
        <f>IF(ISNA(MATCH(734,Engine!$C$2:$C$1960,0)),"",HYPERLINK("#Acts!A"&amp;INDEX('Compliance Database'!$P$2:$P$1960,MATCH(734,Engine!$C$2:$C$1960,0)),"Go to Act"))</f>
        <v/>
      </c>
    </row>
    <row r="748" ht="158" customHeight="1">
      <c r="A748" s="8">
        <f>IF(ISNA(MATCH(735,Engine!$C$2:$C$1960,0)),"",INDEX('Compliance Database'!$A$2:$A$1960,MATCH(735,Engine!$C$2:$C$1960,0)))</f>
        <v/>
      </c>
      <c r="B748" s="8">
        <f>IF(ISNA(MATCH(735,Engine!$C$2:$C$1960,0)),"",INDEX('Compliance Database'!$B$2:$B$1960,MATCH(735,Engine!$C$2:$C$1960,0)))</f>
        <v/>
      </c>
      <c r="C748" s="8">
        <f>IF(ISNA(MATCH(735,Engine!$C$2:$C$1960,0)),"",INDEX('Compliance Database'!$C$2:$C$1960,MATCH(735,Engine!$C$2:$C$1960,0)))</f>
        <v/>
      </c>
      <c r="D748" s="9">
        <f>IF(ISNA(MATCH(735,Engine!$C$2:$C$1960,0)),"",INDEX('Compliance Database'!$D$2:$D$1960,MATCH(735,Engine!$C$2:$C$1960,0)))</f>
        <v/>
      </c>
      <c r="E748" s="8">
        <f>IF(ISNA(MATCH(735,Engine!$C$2:$C$1960,0)),"",INDEX('Compliance Database'!$E$2:$E$1960,MATCH(735,Engine!$C$2:$C$1960,0)))</f>
        <v/>
      </c>
      <c r="F748" s="8">
        <f>IF(ISNA(MATCH(735,Engine!$C$2:$C$1960,0)),"",INDEX('Compliance Database'!$F$2:$F$1960,MATCH(735,Engine!$C$2:$C$1960,0)))</f>
        <v/>
      </c>
      <c r="G748" s="8">
        <f>IF(ISNA(MATCH(735,Engine!$C$2:$C$1960,0)),"",INDEX('Compliance Database'!$G$2:$G$1960,MATCH(735,Engine!$C$2:$C$1960,0)))</f>
        <v/>
      </c>
      <c r="H748" s="9">
        <f>IF(ISNA(MATCH(735,Engine!$C$2:$C$1960,0)),"",INDEX('Compliance Database'!$H$2:$H$1960,MATCH(735,Engine!$C$2:$C$1960,0)))</f>
        <v/>
      </c>
      <c r="I748" s="9">
        <f>IF(ISNA(MATCH(735,Engine!$C$2:$C$1960,0)),"",INDEX('Compliance Database'!$I$2:$I$1960,MATCH(735,Engine!$C$2:$C$1960,0)))</f>
        <v/>
      </c>
      <c r="J748" s="8">
        <f>IF(ISNA(MATCH(735,Engine!$C$2:$C$1960,0)),"",INDEX('Compliance Database'!$J$2:$J$1960,MATCH(735,Engine!$C$2:$C$1960,0)))</f>
        <v/>
      </c>
      <c r="K748" s="9">
        <f>IF(ISNA(MATCH(735,Engine!$C$2:$C$1960,0)),"",INDEX('Compliance Database'!$K$2:$K$1960,MATCH(735,Engine!$C$2:$C$1960,0)))</f>
        <v/>
      </c>
      <c r="L748" s="9">
        <f>IF(ISNA(MATCH(735,Engine!$C$2:$C$1960,0)),"",INDEX('Compliance Database'!$L$2:$L$1960,MATCH(735,Engine!$C$2:$C$1960,0)))</f>
        <v/>
      </c>
      <c r="M748" s="9">
        <f>IF(ISNA(MATCH(735,Engine!$C$2:$C$1960,0)),"",INDEX('Compliance Database'!$M$2:$M$1960,MATCH(735,Engine!$C$2:$C$1960,0)))</f>
        <v/>
      </c>
      <c r="N748" s="9">
        <f>IF(ISNA(MATCH(735,Engine!$C$2:$C$1960,0)),"",INDEX('Compliance Database'!$N$2:$N$1960,MATCH(735,Engine!$C$2:$C$1960,0)))</f>
        <v/>
      </c>
      <c r="O748" s="9">
        <f>IF(ISNA(MATCH(735,Engine!$C$2:$C$1960,0)),"",INDEX('Compliance Database'!$O$2:$O$1960,MATCH(735,Engine!$C$2:$C$1960,0)))</f>
        <v/>
      </c>
      <c r="P748" s="8">
        <f>IF(ISNA(MATCH(735,Engine!$C$2:$C$1960,0)),"",HYPERLINK("#Acts!A"&amp;INDEX('Compliance Database'!$P$2:$P$1960,MATCH(735,Engine!$C$2:$C$1960,0)),"Go to Act"))</f>
        <v/>
      </c>
    </row>
    <row r="749" ht="158" customHeight="1">
      <c r="A749" s="8">
        <f>IF(ISNA(MATCH(736,Engine!$C$2:$C$1960,0)),"",INDEX('Compliance Database'!$A$2:$A$1960,MATCH(736,Engine!$C$2:$C$1960,0)))</f>
        <v/>
      </c>
      <c r="B749" s="8">
        <f>IF(ISNA(MATCH(736,Engine!$C$2:$C$1960,0)),"",INDEX('Compliance Database'!$B$2:$B$1960,MATCH(736,Engine!$C$2:$C$1960,0)))</f>
        <v/>
      </c>
      <c r="C749" s="8">
        <f>IF(ISNA(MATCH(736,Engine!$C$2:$C$1960,0)),"",INDEX('Compliance Database'!$C$2:$C$1960,MATCH(736,Engine!$C$2:$C$1960,0)))</f>
        <v/>
      </c>
      <c r="D749" s="9">
        <f>IF(ISNA(MATCH(736,Engine!$C$2:$C$1960,0)),"",INDEX('Compliance Database'!$D$2:$D$1960,MATCH(736,Engine!$C$2:$C$1960,0)))</f>
        <v/>
      </c>
      <c r="E749" s="8">
        <f>IF(ISNA(MATCH(736,Engine!$C$2:$C$1960,0)),"",INDEX('Compliance Database'!$E$2:$E$1960,MATCH(736,Engine!$C$2:$C$1960,0)))</f>
        <v/>
      </c>
      <c r="F749" s="8">
        <f>IF(ISNA(MATCH(736,Engine!$C$2:$C$1960,0)),"",INDEX('Compliance Database'!$F$2:$F$1960,MATCH(736,Engine!$C$2:$C$1960,0)))</f>
        <v/>
      </c>
      <c r="G749" s="8">
        <f>IF(ISNA(MATCH(736,Engine!$C$2:$C$1960,0)),"",INDEX('Compliance Database'!$G$2:$G$1960,MATCH(736,Engine!$C$2:$C$1960,0)))</f>
        <v/>
      </c>
      <c r="H749" s="9">
        <f>IF(ISNA(MATCH(736,Engine!$C$2:$C$1960,0)),"",INDEX('Compliance Database'!$H$2:$H$1960,MATCH(736,Engine!$C$2:$C$1960,0)))</f>
        <v/>
      </c>
      <c r="I749" s="9">
        <f>IF(ISNA(MATCH(736,Engine!$C$2:$C$1960,0)),"",INDEX('Compliance Database'!$I$2:$I$1960,MATCH(736,Engine!$C$2:$C$1960,0)))</f>
        <v/>
      </c>
      <c r="J749" s="8">
        <f>IF(ISNA(MATCH(736,Engine!$C$2:$C$1960,0)),"",INDEX('Compliance Database'!$J$2:$J$1960,MATCH(736,Engine!$C$2:$C$1960,0)))</f>
        <v/>
      </c>
      <c r="K749" s="9">
        <f>IF(ISNA(MATCH(736,Engine!$C$2:$C$1960,0)),"",INDEX('Compliance Database'!$K$2:$K$1960,MATCH(736,Engine!$C$2:$C$1960,0)))</f>
        <v/>
      </c>
      <c r="L749" s="9">
        <f>IF(ISNA(MATCH(736,Engine!$C$2:$C$1960,0)),"",INDEX('Compliance Database'!$L$2:$L$1960,MATCH(736,Engine!$C$2:$C$1960,0)))</f>
        <v/>
      </c>
      <c r="M749" s="9">
        <f>IF(ISNA(MATCH(736,Engine!$C$2:$C$1960,0)),"",INDEX('Compliance Database'!$M$2:$M$1960,MATCH(736,Engine!$C$2:$C$1960,0)))</f>
        <v/>
      </c>
      <c r="N749" s="9">
        <f>IF(ISNA(MATCH(736,Engine!$C$2:$C$1960,0)),"",INDEX('Compliance Database'!$N$2:$N$1960,MATCH(736,Engine!$C$2:$C$1960,0)))</f>
        <v/>
      </c>
      <c r="O749" s="9">
        <f>IF(ISNA(MATCH(736,Engine!$C$2:$C$1960,0)),"",INDEX('Compliance Database'!$O$2:$O$1960,MATCH(736,Engine!$C$2:$C$1960,0)))</f>
        <v/>
      </c>
      <c r="P749" s="8">
        <f>IF(ISNA(MATCH(736,Engine!$C$2:$C$1960,0)),"",HYPERLINK("#Acts!A"&amp;INDEX('Compliance Database'!$P$2:$P$1960,MATCH(736,Engine!$C$2:$C$1960,0)),"Go to Act"))</f>
        <v/>
      </c>
    </row>
    <row r="750" ht="158" customHeight="1">
      <c r="A750" s="8">
        <f>IF(ISNA(MATCH(737,Engine!$C$2:$C$1960,0)),"",INDEX('Compliance Database'!$A$2:$A$1960,MATCH(737,Engine!$C$2:$C$1960,0)))</f>
        <v/>
      </c>
      <c r="B750" s="8">
        <f>IF(ISNA(MATCH(737,Engine!$C$2:$C$1960,0)),"",INDEX('Compliance Database'!$B$2:$B$1960,MATCH(737,Engine!$C$2:$C$1960,0)))</f>
        <v/>
      </c>
      <c r="C750" s="8">
        <f>IF(ISNA(MATCH(737,Engine!$C$2:$C$1960,0)),"",INDEX('Compliance Database'!$C$2:$C$1960,MATCH(737,Engine!$C$2:$C$1960,0)))</f>
        <v/>
      </c>
      <c r="D750" s="9">
        <f>IF(ISNA(MATCH(737,Engine!$C$2:$C$1960,0)),"",INDEX('Compliance Database'!$D$2:$D$1960,MATCH(737,Engine!$C$2:$C$1960,0)))</f>
        <v/>
      </c>
      <c r="E750" s="8">
        <f>IF(ISNA(MATCH(737,Engine!$C$2:$C$1960,0)),"",INDEX('Compliance Database'!$E$2:$E$1960,MATCH(737,Engine!$C$2:$C$1960,0)))</f>
        <v/>
      </c>
      <c r="F750" s="8">
        <f>IF(ISNA(MATCH(737,Engine!$C$2:$C$1960,0)),"",INDEX('Compliance Database'!$F$2:$F$1960,MATCH(737,Engine!$C$2:$C$1960,0)))</f>
        <v/>
      </c>
      <c r="G750" s="8">
        <f>IF(ISNA(MATCH(737,Engine!$C$2:$C$1960,0)),"",INDEX('Compliance Database'!$G$2:$G$1960,MATCH(737,Engine!$C$2:$C$1960,0)))</f>
        <v/>
      </c>
      <c r="H750" s="9">
        <f>IF(ISNA(MATCH(737,Engine!$C$2:$C$1960,0)),"",INDEX('Compliance Database'!$H$2:$H$1960,MATCH(737,Engine!$C$2:$C$1960,0)))</f>
        <v/>
      </c>
      <c r="I750" s="9">
        <f>IF(ISNA(MATCH(737,Engine!$C$2:$C$1960,0)),"",INDEX('Compliance Database'!$I$2:$I$1960,MATCH(737,Engine!$C$2:$C$1960,0)))</f>
        <v/>
      </c>
      <c r="J750" s="8">
        <f>IF(ISNA(MATCH(737,Engine!$C$2:$C$1960,0)),"",INDEX('Compliance Database'!$J$2:$J$1960,MATCH(737,Engine!$C$2:$C$1960,0)))</f>
        <v/>
      </c>
      <c r="K750" s="9">
        <f>IF(ISNA(MATCH(737,Engine!$C$2:$C$1960,0)),"",INDEX('Compliance Database'!$K$2:$K$1960,MATCH(737,Engine!$C$2:$C$1960,0)))</f>
        <v/>
      </c>
      <c r="L750" s="9">
        <f>IF(ISNA(MATCH(737,Engine!$C$2:$C$1960,0)),"",INDEX('Compliance Database'!$L$2:$L$1960,MATCH(737,Engine!$C$2:$C$1960,0)))</f>
        <v/>
      </c>
      <c r="M750" s="9">
        <f>IF(ISNA(MATCH(737,Engine!$C$2:$C$1960,0)),"",INDEX('Compliance Database'!$M$2:$M$1960,MATCH(737,Engine!$C$2:$C$1960,0)))</f>
        <v/>
      </c>
      <c r="N750" s="9">
        <f>IF(ISNA(MATCH(737,Engine!$C$2:$C$1960,0)),"",INDEX('Compliance Database'!$N$2:$N$1960,MATCH(737,Engine!$C$2:$C$1960,0)))</f>
        <v/>
      </c>
      <c r="O750" s="9">
        <f>IF(ISNA(MATCH(737,Engine!$C$2:$C$1960,0)),"",INDEX('Compliance Database'!$O$2:$O$1960,MATCH(737,Engine!$C$2:$C$1960,0)))</f>
        <v/>
      </c>
      <c r="P750" s="8">
        <f>IF(ISNA(MATCH(737,Engine!$C$2:$C$1960,0)),"",HYPERLINK("#Acts!A"&amp;INDEX('Compliance Database'!$P$2:$P$1960,MATCH(737,Engine!$C$2:$C$1960,0)),"Go to Act"))</f>
        <v/>
      </c>
    </row>
    <row r="751" ht="158" customHeight="1">
      <c r="A751" s="8">
        <f>IF(ISNA(MATCH(738,Engine!$C$2:$C$1960,0)),"",INDEX('Compliance Database'!$A$2:$A$1960,MATCH(738,Engine!$C$2:$C$1960,0)))</f>
        <v/>
      </c>
      <c r="B751" s="8">
        <f>IF(ISNA(MATCH(738,Engine!$C$2:$C$1960,0)),"",INDEX('Compliance Database'!$B$2:$B$1960,MATCH(738,Engine!$C$2:$C$1960,0)))</f>
        <v/>
      </c>
      <c r="C751" s="8">
        <f>IF(ISNA(MATCH(738,Engine!$C$2:$C$1960,0)),"",INDEX('Compliance Database'!$C$2:$C$1960,MATCH(738,Engine!$C$2:$C$1960,0)))</f>
        <v/>
      </c>
      <c r="D751" s="9">
        <f>IF(ISNA(MATCH(738,Engine!$C$2:$C$1960,0)),"",INDEX('Compliance Database'!$D$2:$D$1960,MATCH(738,Engine!$C$2:$C$1960,0)))</f>
        <v/>
      </c>
      <c r="E751" s="8">
        <f>IF(ISNA(MATCH(738,Engine!$C$2:$C$1960,0)),"",INDEX('Compliance Database'!$E$2:$E$1960,MATCH(738,Engine!$C$2:$C$1960,0)))</f>
        <v/>
      </c>
      <c r="F751" s="8">
        <f>IF(ISNA(MATCH(738,Engine!$C$2:$C$1960,0)),"",INDEX('Compliance Database'!$F$2:$F$1960,MATCH(738,Engine!$C$2:$C$1960,0)))</f>
        <v/>
      </c>
      <c r="G751" s="8">
        <f>IF(ISNA(MATCH(738,Engine!$C$2:$C$1960,0)),"",INDEX('Compliance Database'!$G$2:$G$1960,MATCH(738,Engine!$C$2:$C$1960,0)))</f>
        <v/>
      </c>
      <c r="H751" s="9">
        <f>IF(ISNA(MATCH(738,Engine!$C$2:$C$1960,0)),"",INDEX('Compliance Database'!$H$2:$H$1960,MATCH(738,Engine!$C$2:$C$1960,0)))</f>
        <v/>
      </c>
      <c r="I751" s="9">
        <f>IF(ISNA(MATCH(738,Engine!$C$2:$C$1960,0)),"",INDEX('Compliance Database'!$I$2:$I$1960,MATCH(738,Engine!$C$2:$C$1960,0)))</f>
        <v/>
      </c>
      <c r="J751" s="8">
        <f>IF(ISNA(MATCH(738,Engine!$C$2:$C$1960,0)),"",INDEX('Compliance Database'!$J$2:$J$1960,MATCH(738,Engine!$C$2:$C$1960,0)))</f>
        <v/>
      </c>
      <c r="K751" s="9">
        <f>IF(ISNA(MATCH(738,Engine!$C$2:$C$1960,0)),"",INDEX('Compliance Database'!$K$2:$K$1960,MATCH(738,Engine!$C$2:$C$1960,0)))</f>
        <v/>
      </c>
      <c r="L751" s="9">
        <f>IF(ISNA(MATCH(738,Engine!$C$2:$C$1960,0)),"",INDEX('Compliance Database'!$L$2:$L$1960,MATCH(738,Engine!$C$2:$C$1960,0)))</f>
        <v/>
      </c>
      <c r="M751" s="9">
        <f>IF(ISNA(MATCH(738,Engine!$C$2:$C$1960,0)),"",INDEX('Compliance Database'!$M$2:$M$1960,MATCH(738,Engine!$C$2:$C$1960,0)))</f>
        <v/>
      </c>
      <c r="N751" s="9">
        <f>IF(ISNA(MATCH(738,Engine!$C$2:$C$1960,0)),"",INDEX('Compliance Database'!$N$2:$N$1960,MATCH(738,Engine!$C$2:$C$1960,0)))</f>
        <v/>
      </c>
      <c r="O751" s="9">
        <f>IF(ISNA(MATCH(738,Engine!$C$2:$C$1960,0)),"",INDEX('Compliance Database'!$O$2:$O$1960,MATCH(738,Engine!$C$2:$C$1960,0)))</f>
        <v/>
      </c>
      <c r="P751" s="8">
        <f>IF(ISNA(MATCH(738,Engine!$C$2:$C$1960,0)),"",HYPERLINK("#Acts!A"&amp;INDEX('Compliance Database'!$P$2:$P$1960,MATCH(738,Engine!$C$2:$C$1960,0)),"Go to Act"))</f>
        <v/>
      </c>
    </row>
    <row r="752" ht="158" customHeight="1">
      <c r="A752" s="8">
        <f>IF(ISNA(MATCH(739,Engine!$C$2:$C$1960,0)),"",INDEX('Compliance Database'!$A$2:$A$1960,MATCH(739,Engine!$C$2:$C$1960,0)))</f>
        <v/>
      </c>
      <c r="B752" s="8">
        <f>IF(ISNA(MATCH(739,Engine!$C$2:$C$1960,0)),"",INDEX('Compliance Database'!$B$2:$B$1960,MATCH(739,Engine!$C$2:$C$1960,0)))</f>
        <v/>
      </c>
      <c r="C752" s="8">
        <f>IF(ISNA(MATCH(739,Engine!$C$2:$C$1960,0)),"",INDEX('Compliance Database'!$C$2:$C$1960,MATCH(739,Engine!$C$2:$C$1960,0)))</f>
        <v/>
      </c>
      <c r="D752" s="9">
        <f>IF(ISNA(MATCH(739,Engine!$C$2:$C$1960,0)),"",INDEX('Compliance Database'!$D$2:$D$1960,MATCH(739,Engine!$C$2:$C$1960,0)))</f>
        <v/>
      </c>
      <c r="E752" s="8">
        <f>IF(ISNA(MATCH(739,Engine!$C$2:$C$1960,0)),"",INDEX('Compliance Database'!$E$2:$E$1960,MATCH(739,Engine!$C$2:$C$1960,0)))</f>
        <v/>
      </c>
      <c r="F752" s="8">
        <f>IF(ISNA(MATCH(739,Engine!$C$2:$C$1960,0)),"",INDEX('Compliance Database'!$F$2:$F$1960,MATCH(739,Engine!$C$2:$C$1960,0)))</f>
        <v/>
      </c>
      <c r="G752" s="8">
        <f>IF(ISNA(MATCH(739,Engine!$C$2:$C$1960,0)),"",INDEX('Compliance Database'!$G$2:$G$1960,MATCH(739,Engine!$C$2:$C$1960,0)))</f>
        <v/>
      </c>
      <c r="H752" s="9">
        <f>IF(ISNA(MATCH(739,Engine!$C$2:$C$1960,0)),"",INDEX('Compliance Database'!$H$2:$H$1960,MATCH(739,Engine!$C$2:$C$1960,0)))</f>
        <v/>
      </c>
      <c r="I752" s="9">
        <f>IF(ISNA(MATCH(739,Engine!$C$2:$C$1960,0)),"",INDEX('Compliance Database'!$I$2:$I$1960,MATCH(739,Engine!$C$2:$C$1960,0)))</f>
        <v/>
      </c>
      <c r="J752" s="8">
        <f>IF(ISNA(MATCH(739,Engine!$C$2:$C$1960,0)),"",INDEX('Compliance Database'!$J$2:$J$1960,MATCH(739,Engine!$C$2:$C$1960,0)))</f>
        <v/>
      </c>
      <c r="K752" s="9">
        <f>IF(ISNA(MATCH(739,Engine!$C$2:$C$1960,0)),"",INDEX('Compliance Database'!$K$2:$K$1960,MATCH(739,Engine!$C$2:$C$1960,0)))</f>
        <v/>
      </c>
      <c r="L752" s="9">
        <f>IF(ISNA(MATCH(739,Engine!$C$2:$C$1960,0)),"",INDEX('Compliance Database'!$L$2:$L$1960,MATCH(739,Engine!$C$2:$C$1960,0)))</f>
        <v/>
      </c>
      <c r="M752" s="9">
        <f>IF(ISNA(MATCH(739,Engine!$C$2:$C$1960,0)),"",INDEX('Compliance Database'!$M$2:$M$1960,MATCH(739,Engine!$C$2:$C$1960,0)))</f>
        <v/>
      </c>
      <c r="N752" s="9">
        <f>IF(ISNA(MATCH(739,Engine!$C$2:$C$1960,0)),"",INDEX('Compliance Database'!$N$2:$N$1960,MATCH(739,Engine!$C$2:$C$1960,0)))</f>
        <v/>
      </c>
      <c r="O752" s="9">
        <f>IF(ISNA(MATCH(739,Engine!$C$2:$C$1960,0)),"",INDEX('Compliance Database'!$O$2:$O$1960,MATCH(739,Engine!$C$2:$C$1960,0)))</f>
        <v/>
      </c>
      <c r="P752" s="8">
        <f>IF(ISNA(MATCH(739,Engine!$C$2:$C$1960,0)),"",HYPERLINK("#Acts!A"&amp;INDEX('Compliance Database'!$P$2:$P$1960,MATCH(739,Engine!$C$2:$C$1960,0)),"Go to Act"))</f>
        <v/>
      </c>
    </row>
    <row r="753" ht="158" customHeight="1">
      <c r="A753" s="8">
        <f>IF(ISNA(MATCH(740,Engine!$C$2:$C$1960,0)),"",INDEX('Compliance Database'!$A$2:$A$1960,MATCH(740,Engine!$C$2:$C$1960,0)))</f>
        <v/>
      </c>
      <c r="B753" s="8">
        <f>IF(ISNA(MATCH(740,Engine!$C$2:$C$1960,0)),"",INDEX('Compliance Database'!$B$2:$B$1960,MATCH(740,Engine!$C$2:$C$1960,0)))</f>
        <v/>
      </c>
      <c r="C753" s="8">
        <f>IF(ISNA(MATCH(740,Engine!$C$2:$C$1960,0)),"",INDEX('Compliance Database'!$C$2:$C$1960,MATCH(740,Engine!$C$2:$C$1960,0)))</f>
        <v/>
      </c>
      <c r="D753" s="9">
        <f>IF(ISNA(MATCH(740,Engine!$C$2:$C$1960,0)),"",INDEX('Compliance Database'!$D$2:$D$1960,MATCH(740,Engine!$C$2:$C$1960,0)))</f>
        <v/>
      </c>
      <c r="E753" s="8">
        <f>IF(ISNA(MATCH(740,Engine!$C$2:$C$1960,0)),"",INDEX('Compliance Database'!$E$2:$E$1960,MATCH(740,Engine!$C$2:$C$1960,0)))</f>
        <v/>
      </c>
      <c r="F753" s="8">
        <f>IF(ISNA(MATCH(740,Engine!$C$2:$C$1960,0)),"",INDEX('Compliance Database'!$F$2:$F$1960,MATCH(740,Engine!$C$2:$C$1960,0)))</f>
        <v/>
      </c>
      <c r="G753" s="8">
        <f>IF(ISNA(MATCH(740,Engine!$C$2:$C$1960,0)),"",INDEX('Compliance Database'!$G$2:$G$1960,MATCH(740,Engine!$C$2:$C$1960,0)))</f>
        <v/>
      </c>
      <c r="H753" s="9">
        <f>IF(ISNA(MATCH(740,Engine!$C$2:$C$1960,0)),"",INDEX('Compliance Database'!$H$2:$H$1960,MATCH(740,Engine!$C$2:$C$1960,0)))</f>
        <v/>
      </c>
      <c r="I753" s="9">
        <f>IF(ISNA(MATCH(740,Engine!$C$2:$C$1960,0)),"",INDEX('Compliance Database'!$I$2:$I$1960,MATCH(740,Engine!$C$2:$C$1960,0)))</f>
        <v/>
      </c>
      <c r="J753" s="8">
        <f>IF(ISNA(MATCH(740,Engine!$C$2:$C$1960,0)),"",INDEX('Compliance Database'!$J$2:$J$1960,MATCH(740,Engine!$C$2:$C$1960,0)))</f>
        <v/>
      </c>
      <c r="K753" s="9">
        <f>IF(ISNA(MATCH(740,Engine!$C$2:$C$1960,0)),"",INDEX('Compliance Database'!$K$2:$K$1960,MATCH(740,Engine!$C$2:$C$1960,0)))</f>
        <v/>
      </c>
      <c r="L753" s="9">
        <f>IF(ISNA(MATCH(740,Engine!$C$2:$C$1960,0)),"",INDEX('Compliance Database'!$L$2:$L$1960,MATCH(740,Engine!$C$2:$C$1960,0)))</f>
        <v/>
      </c>
      <c r="M753" s="9">
        <f>IF(ISNA(MATCH(740,Engine!$C$2:$C$1960,0)),"",INDEX('Compliance Database'!$M$2:$M$1960,MATCH(740,Engine!$C$2:$C$1960,0)))</f>
        <v/>
      </c>
      <c r="N753" s="9">
        <f>IF(ISNA(MATCH(740,Engine!$C$2:$C$1960,0)),"",INDEX('Compliance Database'!$N$2:$N$1960,MATCH(740,Engine!$C$2:$C$1960,0)))</f>
        <v/>
      </c>
      <c r="O753" s="9">
        <f>IF(ISNA(MATCH(740,Engine!$C$2:$C$1960,0)),"",INDEX('Compliance Database'!$O$2:$O$1960,MATCH(740,Engine!$C$2:$C$1960,0)))</f>
        <v/>
      </c>
      <c r="P753" s="8">
        <f>IF(ISNA(MATCH(740,Engine!$C$2:$C$1960,0)),"",HYPERLINK("#Acts!A"&amp;INDEX('Compliance Database'!$P$2:$P$1960,MATCH(740,Engine!$C$2:$C$1960,0)),"Go to Act"))</f>
        <v/>
      </c>
    </row>
    <row r="754" ht="158" customHeight="1">
      <c r="A754" s="8">
        <f>IF(ISNA(MATCH(741,Engine!$C$2:$C$1960,0)),"",INDEX('Compliance Database'!$A$2:$A$1960,MATCH(741,Engine!$C$2:$C$1960,0)))</f>
        <v/>
      </c>
      <c r="B754" s="8">
        <f>IF(ISNA(MATCH(741,Engine!$C$2:$C$1960,0)),"",INDEX('Compliance Database'!$B$2:$B$1960,MATCH(741,Engine!$C$2:$C$1960,0)))</f>
        <v/>
      </c>
      <c r="C754" s="8">
        <f>IF(ISNA(MATCH(741,Engine!$C$2:$C$1960,0)),"",INDEX('Compliance Database'!$C$2:$C$1960,MATCH(741,Engine!$C$2:$C$1960,0)))</f>
        <v/>
      </c>
      <c r="D754" s="9">
        <f>IF(ISNA(MATCH(741,Engine!$C$2:$C$1960,0)),"",INDEX('Compliance Database'!$D$2:$D$1960,MATCH(741,Engine!$C$2:$C$1960,0)))</f>
        <v/>
      </c>
      <c r="E754" s="8">
        <f>IF(ISNA(MATCH(741,Engine!$C$2:$C$1960,0)),"",INDEX('Compliance Database'!$E$2:$E$1960,MATCH(741,Engine!$C$2:$C$1960,0)))</f>
        <v/>
      </c>
      <c r="F754" s="8">
        <f>IF(ISNA(MATCH(741,Engine!$C$2:$C$1960,0)),"",INDEX('Compliance Database'!$F$2:$F$1960,MATCH(741,Engine!$C$2:$C$1960,0)))</f>
        <v/>
      </c>
      <c r="G754" s="8">
        <f>IF(ISNA(MATCH(741,Engine!$C$2:$C$1960,0)),"",INDEX('Compliance Database'!$G$2:$G$1960,MATCH(741,Engine!$C$2:$C$1960,0)))</f>
        <v/>
      </c>
      <c r="H754" s="9">
        <f>IF(ISNA(MATCH(741,Engine!$C$2:$C$1960,0)),"",INDEX('Compliance Database'!$H$2:$H$1960,MATCH(741,Engine!$C$2:$C$1960,0)))</f>
        <v/>
      </c>
      <c r="I754" s="9">
        <f>IF(ISNA(MATCH(741,Engine!$C$2:$C$1960,0)),"",INDEX('Compliance Database'!$I$2:$I$1960,MATCH(741,Engine!$C$2:$C$1960,0)))</f>
        <v/>
      </c>
      <c r="J754" s="8">
        <f>IF(ISNA(MATCH(741,Engine!$C$2:$C$1960,0)),"",INDEX('Compliance Database'!$J$2:$J$1960,MATCH(741,Engine!$C$2:$C$1960,0)))</f>
        <v/>
      </c>
      <c r="K754" s="9">
        <f>IF(ISNA(MATCH(741,Engine!$C$2:$C$1960,0)),"",INDEX('Compliance Database'!$K$2:$K$1960,MATCH(741,Engine!$C$2:$C$1960,0)))</f>
        <v/>
      </c>
      <c r="L754" s="9">
        <f>IF(ISNA(MATCH(741,Engine!$C$2:$C$1960,0)),"",INDEX('Compliance Database'!$L$2:$L$1960,MATCH(741,Engine!$C$2:$C$1960,0)))</f>
        <v/>
      </c>
      <c r="M754" s="9">
        <f>IF(ISNA(MATCH(741,Engine!$C$2:$C$1960,0)),"",INDEX('Compliance Database'!$M$2:$M$1960,MATCH(741,Engine!$C$2:$C$1960,0)))</f>
        <v/>
      </c>
      <c r="N754" s="9">
        <f>IF(ISNA(MATCH(741,Engine!$C$2:$C$1960,0)),"",INDEX('Compliance Database'!$N$2:$N$1960,MATCH(741,Engine!$C$2:$C$1960,0)))</f>
        <v/>
      </c>
      <c r="O754" s="9">
        <f>IF(ISNA(MATCH(741,Engine!$C$2:$C$1960,0)),"",INDEX('Compliance Database'!$O$2:$O$1960,MATCH(741,Engine!$C$2:$C$1960,0)))</f>
        <v/>
      </c>
      <c r="P754" s="8">
        <f>IF(ISNA(MATCH(741,Engine!$C$2:$C$1960,0)),"",HYPERLINK("#Acts!A"&amp;INDEX('Compliance Database'!$P$2:$P$1960,MATCH(741,Engine!$C$2:$C$1960,0)),"Go to Act"))</f>
        <v/>
      </c>
    </row>
    <row r="755" ht="158" customHeight="1">
      <c r="A755" s="8">
        <f>IF(ISNA(MATCH(742,Engine!$C$2:$C$1960,0)),"",INDEX('Compliance Database'!$A$2:$A$1960,MATCH(742,Engine!$C$2:$C$1960,0)))</f>
        <v/>
      </c>
      <c r="B755" s="8">
        <f>IF(ISNA(MATCH(742,Engine!$C$2:$C$1960,0)),"",INDEX('Compliance Database'!$B$2:$B$1960,MATCH(742,Engine!$C$2:$C$1960,0)))</f>
        <v/>
      </c>
      <c r="C755" s="8">
        <f>IF(ISNA(MATCH(742,Engine!$C$2:$C$1960,0)),"",INDEX('Compliance Database'!$C$2:$C$1960,MATCH(742,Engine!$C$2:$C$1960,0)))</f>
        <v/>
      </c>
      <c r="D755" s="9">
        <f>IF(ISNA(MATCH(742,Engine!$C$2:$C$1960,0)),"",INDEX('Compliance Database'!$D$2:$D$1960,MATCH(742,Engine!$C$2:$C$1960,0)))</f>
        <v/>
      </c>
      <c r="E755" s="8">
        <f>IF(ISNA(MATCH(742,Engine!$C$2:$C$1960,0)),"",INDEX('Compliance Database'!$E$2:$E$1960,MATCH(742,Engine!$C$2:$C$1960,0)))</f>
        <v/>
      </c>
      <c r="F755" s="8">
        <f>IF(ISNA(MATCH(742,Engine!$C$2:$C$1960,0)),"",INDEX('Compliance Database'!$F$2:$F$1960,MATCH(742,Engine!$C$2:$C$1960,0)))</f>
        <v/>
      </c>
      <c r="G755" s="8">
        <f>IF(ISNA(MATCH(742,Engine!$C$2:$C$1960,0)),"",INDEX('Compliance Database'!$G$2:$G$1960,MATCH(742,Engine!$C$2:$C$1960,0)))</f>
        <v/>
      </c>
      <c r="H755" s="9">
        <f>IF(ISNA(MATCH(742,Engine!$C$2:$C$1960,0)),"",INDEX('Compliance Database'!$H$2:$H$1960,MATCH(742,Engine!$C$2:$C$1960,0)))</f>
        <v/>
      </c>
      <c r="I755" s="9">
        <f>IF(ISNA(MATCH(742,Engine!$C$2:$C$1960,0)),"",INDEX('Compliance Database'!$I$2:$I$1960,MATCH(742,Engine!$C$2:$C$1960,0)))</f>
        <v/>
      </c>
      <c r="J755" s="8">
        <f>IF(ISNA(MATCH(742,Engine!$C$2:$C$1960,0)),"",INDEX('Compliance Database'!$J$2:$J$1960,MATCH(742,Engine!$C$2:$C$1960,0)))</f>
        <v/>
      </c>
      <c r="K755" s="9">
        <f>IF(ISNA(MATCH(742,Engine!$C$2:$C$1960,0)),"",INDEX('Compliance Database'!$K$2:$K$1960,MATCH(742,Engine!$C$2:$C$1960,0)))</f>
        <v/>
      </c>
      <c r="L755" s="9">
        <f>IF(ISNA(MATCH(742,Engine!$C$2:$C$1960,0)),"",INDEX('Compliance Database'!$L$2:$L$1960,MATCH(742,Engine!$C$2:$C$1960,0)))</f>
        <v/>
      </c>
      <c r="M755" s="9">
        <f>IF(ISNA(MATCH(742,Engine!$C$2:$C$1960,0)),"",INDEX('Compliance Database'!$M$2:$M$1960,MATCH(742,Engine!$C$2:$C$1960,0)))</f>
        <v/>
      </c>
      <c r="N755" s="9">
        <f>IF(ISNA(MATCH(742,Engine!$C$2:$C$1960,0)),"",INDEX('Compliance Database'!$N$2:$N$1960,MATCH(742,Engine!$C$2:$C$1960,0)))</f>
        <v/>
      </c>
      <c r="O755" s="9">
        <f>IF(ISNA(MATCH(742,Engine!$C$2:$C$1960,0)),"",INDEX('Compliance Database'!$O$2:$O$1960,MATCH(742,Engine!$C$2:$C$1960,0)))</f>
        <v/>
      </c>
      <c r="P755" s="8">
        <f>IF(ISNA(MATCH(742,Engine!$C$2:$C$1960,0)),"",HYPERLINK("#Acts!A"&amp;INDEX('Compliance Database'!$P$2:$P$1960,MATCH(742,Engine!$C$2:$C$1960,0)),"Go to Act"))</f>
        <v/>
      </c>
    </row>
    <row r="756" ht="158" customHeight="1">
      <c r="A756" s="8">
        <f>IF(ISNA(MATCH(743,Engine!$C$2:$C$1960,0)),"",INDEX('Compliance Database'!$A$2:$A$1960,MATCH(743,Engine!$C$2:$C$1960,0)))</f>
        <v/>
      </c>
      <c r="B756" s="8">
        <f>IF(ISNA(MATCH(743,Engine!$C$2:$C$1960,0)),"",INDEX('Compliance Database'!$B$2:$B$1960,MATCH(743,Engine!$C$2:$C$1960,0)))</f>
        <v/>
      </c>
      <c r="C756" s="8">
        <f>IF(ISNA(MATCH(743,Engine!$C$2:$C$1960,0)),"",INDEX('Compliance Database'!$C$2:$C$1960,MATCH(743,Engine!$C$2:$C$1960,0)))</f>
        <v/>
      </c>
      <c r="D756" s="9">
        <f>IF(ISNA(MATCH(743,Engine!$C$2:$C$1960,0)),"",INDEX('Compliance Database'!$D$2:$D$1960,MATCH(743,Engine!$C$2:$C$1960,0)))</f>
        <v/>
      </c>
      <c r="E756" s="8">
        <f>IF(ISNA(MATCH(743,Engine!$C$2:$C$1960,0)),"",INDEX('Compliance Database'!$E$2:$E$1960,MATCH(743,Engine!$C$2:$C$1960,0)))</f>
        <v/>
      </c>
      <c r="F756" s="8">
        <f>IF(ISNA(MATCH(743,Engine!$C$2:$C$1960,0)),"",INDEX('Compliance Database'!$F$2:$F$1960,MATCH(743,Engine!$C$2:$C$1960,0)))</f>
        <v/>
      </c>
      <c r="G756" s="8">
        <f>IF(ISNA(MATCH(743,Engine!$C$2:$C$1960,0)),"",INDEX('Compliance Database'!$G$2:$G$1960,MATCH(743,Engine!$C$2:$C$1960,0)))</f>
        <v/>
      </c>
      <c r="H756" s="9">
        <f>IF(ISNA(MATCH(743,Engine!$C$2:$C$1960,0)),"",INDEX('Compliance Database'!$H$2:$H$1960,MATCH(743,Engine!$C$2:$C$1960,0)))</f>
        <v/>
      </c>
      <c r="I756" s="9">
        <f>IF(ISNA(MATCH(743,Engine!$C$2:$C$1960,0)),"",INDEX('Compliance Database'!$I$2:$I$1960,MATCH(743,Engine!$C$2:$C$1960,0)))</f>
        <v/>
      </c>
      <c r="J756" s="8">
        <f>IF(ISNA(MATCH(743,Engine!$C$2:$C$1960,0)),"",INDEX('Compliance Database'!$J$2:$J$1960,MATCH(743,Engine!$C$2:$C$1960,0)))</f>
        <v/>
      </c>
      <c r="K756" s="9">
        <f>IF(ISNA(MATCH(743,Engine!$C$2:$C$1960,0)),"",INDEX('Compliance Database'!$K$2:$K$1960,MATCH(743,Engine!$C$2:$C$1960,0)))</f>
        <v/>
      </c>
      <c r="L756" s="9">
        <f>IF(ISNA(MATCH(743,Engine!$C$2:$C$1960,0)),"",INDEX('Compliance Database'!$L$2:$L$1960,MATCH(743,Engine!$C$2:$C$1960,0)))</f>
        <v/>
      </c>
      <c r="M756" s="9">
        <f>IF(ISNA(MATCH(743,Engine!$C$2:$C$1960,0)),"",INDEX('Compliance Database'!$M$2:$M$1960,MATCH(743,Engine!$C$2:$C$1960,0)))</f>
        <v/>
      </c>
      <c r="N756" s="9">
        <f>IF(ISNA(MATCH(743,Engine!$C$2:$C$1960,0)),"",INDEX('Compliance Database'!$N$2:$N$1960,MATCH(743,Engine!$C$2:$C$1960,0)))</f>
        <v/>
      </c>
      <c r="O756" s="9">
        <f>IF(ISNA(MATCH(743,Engine!$C$2:$C$1960,0)),"",INDEX('Compliance Database'!$O$2:$O$1960,MATCH(743,Engine!$C$2:$C$1960,0)))</f>
        <v/>
      </c>
      <c r="P756" s="8">
        <f>IF(ISNA(MATCH(743,Engine!$C$2:$C$1960,0)),"",HYPERLINK("#Acts!A"&amp;INDEX('Compliance Database'!$P$2:$P$1960,MATCH(743,Engine!$C$2:$C$1960,0)),"Go to Act"))</f>
        <v/>
      </c>
    </row>
    <row r="757" ht="158" customHeight="1">
      <c r="A757" s="8">
        <f>IF(ISNA(MATCH(744,Engine!$C$2:$C$1960,0)),"",INDEX('Compliance Database'!$A$2:$A$1960,MATCH(744,Engine!$C$2:$C$1960,0)))</f>
        <v/>
      </c>
      <c r="B757" s="8">
        <f>IF(ISNA(MATCH(744,Engine!$C$2:$C$1960,0)),"",INDEX('Compliance Database'!$B$2:$B$1960,MATCH(744,Engine!$C$2:$C$1960,0)))</f>
        <v/>
      </c>
      <c r="C757" s="8">
        <f>IF(ISNA(MATCH(744,Engine!$C$2:$C$1960,0)),"",INDEX('Compliance Database'!$C$2:$C$1960,MATCH(744,Engine!$C$2:$C$1960,0)))</f>
        <v/>
      </c>
      <c r="D757" s="9">
        <f>IF(ISNA(MATCH(744,Engine!$C$2:$C$1960,0)),"",INDEX('Compliance Database'!$D$2:$D$1960,MATCH(744,Engine!$C$2:$C$1960,0)))</f>
        <v/>
      </c>
      <c r="E757" s="8">
        <f>IF(ISNA(MATCH(744,Engine!$C$2:$C$1960,0)),"",INDEX('Compliance Database'!$E$2:$E$1960,MATCH(744,Engine!$C$2:$C$1960,0)))</f>
        <v/>
      </c>
      <c r="F757" s="8">
        <f>IF(ISNA(MATCH(744,Engine!$C$2:$C$1960,0)),"",INDEX('Compliance Database'!$F$2:$F$1960,MATCH(744,Engine!$C$2:$C$1960,0)))</f>
        <v/>
      </c>
      <c r="G757" s="8">
        <f>IF(ISNA(MATCH(744,Engine!$C$2:$C$1960,0)),"",INDEX('Compliance Database'!$G$2:$G$1960,MATCH(744,Engine!$C$2:$C$1960,0)))</f>
        <v/>
      </c>
      <c r="H757" s="9">
        <f>IF(ISNA(MATCH(744,Engine!$C$2:$C$1960,0)),"",INDEX('Compliance Database'!$H$2:$H$1960,MATCH(744,Engine!$C$2:$C$1960,0)))</f>
        <v/>
      </c>
      <c r="I757" s="9">
        <f>IF(ISNA(MATCH(744,Engine!$C$2:$C$1960,0)),"",INDEX('Compliance Database'!$I$2:$I$1960,MATCH(744,Engine!$C$2:$C$1960,0)))</f>
        <v/>
      </c>
      <c r="J757" s="8">
        <f>IF(ISNA(MATCH(744,Engine!$C$2:$C$1960,0)),"",INDEX('Compliance Database'!$J$2:$J$1960,MATCH(744,Engine!$C$2:$C$1960,0)))</f>
        <v/>
      </c>
      <c r="K757" s="9">
        <f>IF(ISNA(MATCH(744,Engine!$C$2:$C$1960,0)),"",INDEX('Compliance Database'!$K$2:$K$1960,MATCH(744,Engine!$C$2:$C$1960,0)))</f>
        <v/>
      </c>
      <c r="L757" s="9">
        <f>IF(ISNA(MATCH(744,Engine!$C$2:$C$1960,0)),"",INDEX('Compliance Database'!$L$2:$L$1960,MATCH(744,Engine!$C$2:$C$1960,0)))</f>
        <v/>
      </c>
      <c r="M757" s="9">
        <f>IF(ISNA(MATCH(744,Engine!$C$2:$C$1960,0)),"",INDEX('Compliance Database'!$M$2:$M$1960,MATCH(744,Engine!$C$2:$C$1960,0)))</f>
        <v/>
      </c>
      <c r="N757" s="9">
        <f>IF(ISNA(MATCH(744,Engine!$C$2:$C$1960,0)),"",INDEX('Compliance Database'!$N$2:$N$1960,MATCH(744,Engine!$C$2:$C$1960,0)))</f>
        <v/>
      </c>
      <c r="O757" s="9">
        <f>IF(ISNA(MATCH(744,Engine!$C$2:$C$1960,0)),"",INDEX('Compliance Database'!$O$2:$O$1960,MATCH(744,Engine!$C$2:$C$1960,0)))</f>
        <v/>
      </c>
      <c r="P757" s="8">
        <f>IF(ISNA(MATCH(744,Engine!$C$2:$C$1960,0)),"",HYPERLINK("#Acts!A"&amp;INDEX('Compliance Database'!$P$2:$P$1960,MATCH(744,Engine!$C$2:$C$1960,0)),"Go to Act"))</f>
        <v/>
      </c>
    </row>
    <row r="758" ht="158" customHeight="1">
      <c r="A758" s="8">
        <f>IF(ISNA(MATCH(745,Engine!$C$2:$C$1960,0)),"",INDEX('Compliance Database'!$A$2:$A$1960,MATCH(745,Engine!$C$2:$C$1960,0)))</f>
        <v/>
      </c>
      <c r="B758" s="8">
        <f>IF(ISNA(MATCH(745,Engine!$C$2:$C$1960,0)),"",INDEX('Compliance Database'!$B$2:$B$1960,MATCH(745,Engine!$C$2:$C$1960,0)))</f>
        <v/>
      </c>
      <c r="C758" s="8">
        <f>IF(ISNA(MATCH(745,Engine!$C$2:$C$1960,0)),"",INDEX('Compliance Database'!$C$2:$C$1960,MATCH(745,Engine!$C$2:$C$1960,0)))</f>
        <v/>
      </c>
      <c r="D758" s="9">
        <f>IF(ISNA(MATCH(745,Engine!$C$2:$C$1960,0)),"",INDEX('Compliance Database'!$D$2:$D$1960,MATCH(745,Engine!$C$2:$C$1960,0)))</f>
        <v/>
      </c>
      <c r="E758" s="8">
        <f>IF(ISNA(MATCH(745,Engine!$C$2:$C$1960,0)),"",INDEX('Compliance Database'!$E$2:$E$1960,MATCH(745,Engine!$C$2:$C$1960,0)))</f>
        <v/>
      </c>
      <c r="F758" s="8">
        <f>IF(ISNA(MATCH(745,Engine!$C$2:$C$1960,0)),"",INDEX('Compliance Database'!$F$2:$F$1960,MATCH(745,Engine!$C$2:$C$1960,0)))</f>
        <v/>
      </c>
      <c r="G758" s="8">
        <f>IF(ISNA(MATCH(745,Engine!$C$2:$C$1960,0)),"",INDEX('Compliance Database'!$G$2:$G$1960,MATCH(745,Engine!$C$2:$C$1960,0)))</f>
        <v/>
      </c>
      <c r="H758" s="9">
        <f>IF(ISNA(MATCH(745,Engine!$C$2:$C$1960,0)),"",INDEX('Compliance Database'!$H$2:$H$1960,MATCH(745,Engine!$C$2:$C$1960,0)))</f>
        <v/>
      </c>
      <c r="I758" s="9">
        <f>IF(ISNA(MATCH(745,Engine!$C$2:$C$1960,0)),"",INDEX('Compliance Database'!$I$2:$I$1960,MATCH(745,Engine!$C$2:$C$1960,0)))</f>
        <v/>
      </c>
      <c r="J758" s="8">
        <f>IF(ISNA(MATCH(745,Engine!$C$2:$C$1960,0)),"",INDEX('Compliance Database'!$J$2:$J$1960,MATCH(745,Engine!$C$2:$C$1960,0)))</f>
        <v/>
      </c>
      <c r="K758" s="9">
        <f>IF(ISNA(MATCH(745,Engine!$C$2:$C$1960,0)),"",INDEX('Compliance Database'!$K$2:$K$1960,MATCH(745,Engine!$C$2:$C$1960,0)))</f>
        <v/>
      </c>
      <c r="L758" s="9">
        <f>IF(ISNA(MATCH(745,Engine!$C$2:$C$1960,0)),"",INDEX('Compliance Database'!$L$2:$L$1960,MATCH(745,Engine!$C$2:$C$1960,0)))</f>
        <v/>
      </c>
      <c r="M758" s="9">
        <f>IF(ISNA(MATCH(745,Engine!$C$2:$C$1960,0)),"",INDEX('Compliance Database'!$M$2:$M$1960,MATCH(745,Engine!$C$2:$C$1960,0)))</f>
        <v/>
      </c>
      <c r="N758" s="9">
        <f>IF(ISNA(MATCH(745,Engine!$C$2:$C$1960,0)),"",INDEX('Compliance Database'!$N$2:$N$1960,MATCH(745,Engine!$C$2:$C$1960,0)))</f>
        <v/>
      </c>
      <c r="O758" s="9">
        <f>IF(ISNA(MATCH(745,Engine!$C$2:$C$1960,0)),"",INDEX('Compliance Database'!$O$2:$O$1960,MATCH(745,Engine!$C$2:$C$1960,0)))</f>
        <v/>
      </c>
      <c r="P758" s="8">
        <f>IF(ISNA(MATCH(745,Engine!$C$2:$C$1960,0)),"",HYPERLINK("#Acts!A"&amp;INDEX('Compliance Database'!$P$2:$P$1960,MATCH(745,Engine!$C$2:$C$1960,0)),"Go to Act"))</f>
        <v/>
      </c>
    </row>
    <row r="759" ht="158" customHeight="1">
      <c r="A759" s="8">
        <f>IF(ISNA(MATCH(746,Engine!$C$2:$C$1960,0)),"",INDEX('Compliance Database'!$A$2:$A$1960,MATCH(746,Engine!$C$2:$C$1960,0)))</f>
        <v/>
      </c>
      <c r="B759" s="8">
        <f>IF(ISNA(MATCH(746,Engine!$C$2:$C$1960,0)),"",INDEX('Compliance Database'!$B$2:$B$1960,MATCH(746,Engine!$C$2:$C$1960,0)))</f>
        <v/>
      </c>
      <c r="C759" s="8">
        <f>IF(ISNA(MATCH(746,Engine!$C$2:$C$1960,0)),"",INDEX('Compliance Database'!$C$2:$C$1960,MATCH(746,Engine!$C$2:$C$1960,0)))</f>
        <v/>
      </c>
      <c r="D759" s="9">
        <f>IF(ISNA(MATCH(746,Engine!$C$2:$C$1960,0)),"",INDEX('Compliance Database'!$D$2:$D$1960,MATCH(746,Engine!$C$2:$C$1960,0)))</f>
        <v/>
      </c>
      <c r="E759" s="8">
        <f>IF(ISNA(MATCH(746,Engine!$C$2:$C$1960,0)),"",INDEX('Compliance Database'!$E$2:$E$1960,MATCH(746,Engine!$C$2:$C$1960,0)))</f>
        <v/>
      </c>
      <c r="F759" s="8">
        <f>IF(ISNA(MATCH(746,Engine!$C$2:$C$1960,0)),"",INDEX('Compliance Database'!$F$2:$F$1960,MATCH(746,Engine!$C$2:$C$1960,0)))</f>
        <v/>
      </c>
      <c r="G759" s="8">
        <f>IF(ISNA(MATCH(746,Engine!$C$2:$C$1960,0)),"",INDEX('Compliance Database'!$G$2:$G$1960,MATCH(746,Engine!$C$2:$C$1960,0)))</f>
        <v/>
      </c>
      <c r="H759" s="9">
        <f>IF(ISNA(MATCH(746,Engine!$C$2:$C$1960,0)),"",INDEX('Compliance Database'!$H$2:$H$1960,MATCH(746,Engine!$C$2:$C$1960,0)))</f>
        <v/>
      </c>
      <c r="I759" s="9">
        <f>IF(ISNA(MATCH(746,Engine!$C$2:$C$1960,0)),"",INDEX('Compliance Database'!$I$2:$I$1960,MATCH(746,Engine!$C$2:$C$1960,0)))</f>
        <v/>
      </c>
      <c r="J759" s="8">
        <f>IF(ISNA(MATCH(746,Engine!$C$2:$C$1960,0)),"",INDEX('Compliance Database'!$J$2:$J$1960,MATCH(746,Engine!$C$2:$C$1960,0)))</f>
        <v/>
      </c>
      <c r="K759" s="9">
        <f>IF(ISNA(MATCH(746,Engine!$C$2:$C$1960,0)),"",INDEX('Compliance Database'!$K$2:$K$1960,MATCH(746,Engine!$C$2:$C$1960,0)))</f>
        <v/>
      </c>
      <c r="L759" s="9">
        <f>IF(ISNA(MATCH(746,Engine!$C$2:$C$1960,0)),"",INDEX('Compliance Database'!$L$2:$L$1960,MATCH(746,Engine!$C$2:$C$1960,0)))</f>
        <v/>
      </c>
      <c r="M759" s="9">
        <f>IF(ISNA(MATCH(746,Engine!$C$2:$C$1960,0)),"",INDEX('Compliance Database'!$M$2:$M$1960,MATCH(746,Engine!$C$2:$C$1960,0)))</f>
        <v/>
      </c>
      <c r="N759" s="9">
        <f>IF(ISNA(MATCH(746,Engine!$C$2:$C$1960,0)),"",INDEX('Compliance Database'!$N$2:$N$1960,MATCH(746,Engine!$C$2:$C$1960,0)))</f>
        <v/>
      </c>
      <c r="O759" s="9">
        <f>IF(ISNA(MATCH(746,Engine!$C$2:$C$1960,0)),"",INDEX('Compliance Database'!$O$2:$O$1960,MATCH(746,Engine!$C$2:$C$1960,0)))</f>
        <v/>
      </c>
      <c r="P759" s="8">
        <f>IF(ISNA(MATCH(746,Engine!$C$2:$C$1960,0)),"",HYPERLINK("#Acts!A"&amp;INDEX('Compliance Database'!$P$2:$P$1960,MATCH(746,Engine!$C$2:$C$1960,0)),"Go to Act"))</f>
        <v/>
      </c>
    </row>
    <row r="760" ht="158" customHeight="1">
      <c r="A760" s="8">
        <f>IF(ISNA(MATCH(747,Engine!$C$2:$C$1960,0)),"",INDEX('Compliance Database'!$A$2:$A$1960,MATCH(747,Engine!$C$2:$C$1960,0)))</f>
        <v/>
      </c>
      <c r="B760" s="8">
        <f>IF(ISNA(MATCH(747,Engine!$C$2:$C$1960,0)),"",INDEX('Compliance Database'!$B$2:$B$1960,MATCH(747,Engine!$C$2:$C$1960,0)))</f>
        <v/>
      </c>
      <c r="C760" s="8">
        <f>IF(ISNA(MATCH(747,Engine!$C$2:$C$1960,0)),"",INDEX('Compliance Database'!$C$2:$C$1960,MATCH(747,Engine!$C$2:$C$1960,0)))</f>
        <v/>
      </c>
      <c r="D760" s="9">
        <f>IF(ISNA(MATCH(747,Engine!$C$2:$C$1960,0)),"",INDEX('Compliance Database'!$D$2:$D$1960,MATCH(747,Engine!$C$2:$C$1960,0)))</f>
        <v/>
      </c>
      <c r="E760" s="8">
        <f>IF(ISNA(MATCH(747,Engine!$C$2:$C$1960,0)),"",INDEX('Compliance Database'!$E$2:$E$1960,MATCH(747,Engine!$C$2:$C$1960,0)))</f>
        <v/>
      </c>
      <c r="F760" s="8">
        <f>IF(ISNA(MATCH(747,Engine!$C$2:$C$1960,0)),"",INDEX('Compliance Database'!$F$2:$F$1960,MATCH(747,Engine!$C$2:$C$1960,0)))</f>
        <v/>
      </c>
      <c r="G760" s="8">
        <f>IF(ISNA(MATCH(747,Engine!$C$2:$C$1960,0)),"",INDEX('Compliance Database'!$G$2:$G$1960,MATCH(747,Engine!$C$2:$C$1960,0)))</f>
        <v/>
      </c>
      <c r="H760" s="9">
        <f>IF(ISNA(MATCH(747,Engine!$C$2:$C$1960,0)),"",INDEX('Compliance Database'!$H$2:$H$1960,MATCH(747,Engine!$C$2:$C$1960,0)))</f>
        <v/>
      </c>
      <c r="I760" s="9">
        <f>IF(ISNA(MATCH(747,Engine!$C$2:$C$1960,0)),"",INDEX('Compliance Database'!$I$2:$I$1960,MATCH(747,Engine!$C$2:$C$1960,0)))</f>
        <v/>
      </c>
      <c r="J760" s="8">
        <f>IF(ISNA(MATCH(747,Engine!$C$2:$C$1960,0)),"",INDEX('Compliance Database'!$J$2:$J$1960,MATCH(747,Engine!$C$2:$C$1960,0)))</f>
        <v/>
      </c>
      <c r="K760" s="9">
        <f>IF(ISNA(MATCH(747,Engine!$C$2:$C$1960,0)),"",INDEX('Compliance Database'!$K$2:$K$1960,MATCH(747,Engine!$C$2:$C$1960,0)))</f>
        <v/>
      </c>
      <c r="L760" s="9">
        <f>IF(ISNA(MATCH(747,Engine!$C$2:$C$1960,0)),"",INDEX('Compliance Database'!$L$2:$L$1960,MATCH(747,Engine!$C$2:$C$1960,0)))</f>
        <v/>
      </c>
      <c r="M760" s="9">
        <f>IF(ISNA(MATCH(747,Engine!$C$2:$C$1960,0)),"",INDEX('Compliance Database'!$M$2:$M$1960,MATCH(747,Engine!$C$2:$C$1960,0)))</f>
        <v/>
      </c>
      <c r="N760" s="9">
        <f>IF(ISNA(MATCH(747,Engine!$C$2:$C$1960,0)),"",INDEX('Compliance Database'!$N$2:$N$1960,MATCH(747,Engine!$C$2:$C$1960,0)))</f>
        <v/>
      </c>
      <c r="O760" s="9">
        <f>IF(ISNA(MATCH(747,Engine!$C$2:$C$1960,0)),"",INDEX('Compliance Database'!$O$2:$O$1960,MATCH(747,Engine!$C$2:$C$1960,0)))</f>
        <v/>
      </c>
      <c r="P760" s="8">
        <f>IF(ISNA(MATCH(747,Engine!$C$2:$C$1960,0)),"",HYPERLINK("#Acts!A"&amp;INDEX('Compliance Database'!$P$2:$P$1960,MATCH(747,Engine!$C$2:$C$1960,0)),"Go to Act"))</f>
        <v/>
      </c>
    </row>
    <row r="761" ht="158" customHeight="1">
      <c r="A761" s="8">
        <f>IF(ISNA(MATCH(748,Engine!$C$2:$C$1960,0)),"",INDEX('Compliance Database'!$A$2:$A$1960,MATCH(748,Engine!$C$2:$C$1960,0)))</f>
        <v/>
      </c>
      <c r="B761" s="8">
        <f>IF(ISNA(MATCH(748,Engine!$C$2:$C$1960,0)),"",INDEX('Compliance Database'!$B$2:$B$1960,MATCH(748,Engine!$C$2:$C$1960,0)))</f>
        <v/>
      </c>
      <c r="C761" s="8">
        <f>IF(ISNA(MATCH(748,Engine!$C$2:$C$1960,0)),"",INDEX('Compliance Database'!$C$2:$C$1960,MATCH(748,Engine!$C$2:$C$1960,0)))</f>
        <v/>
      </c>
      <c r="D761" s="9">
        <f>IF(ISNA(MATCH(748,Engine!$C$2:$C$1960,0)),"",INDEX('Compliance Database'!$D$2:$D$1960,MATCH(748,Engine!$C$2:$C$1960,0)))</f>
        <v/>
      </c>
      <c r="E761" s="8">
        <f>IF(ISNA(MATCH(748,Engine!$C$2:$C$1960,0)),"",INDEX('Compliance Database'!$E$2:$E$1960,MATCH(748,Engine!$C$2:$C$1960,0)))</f>
        <v/>
      </c>
      <c r="F761" s="8">
        <f>IF(ISNA(MATCH(748,Engine!$C$2:$C$1960,0)),"",INDEX('Compliance Database'!$F$2:$F$1960,MATCH(748,Engine!$C$2:$C$1960,0)))</f>
        <v/>
      </c>
      <c r="G761" s="8">
        <f>IF(ISNA(MATCH(748,Engine!$C$2:$C$1960,0)),"",INDEX('Compliance Database'!$G$2:$G$1960,MATCH(748,Engine!$C$2:$C$1960,0)))</f>
        <v/>
      </c>
      <c r="H761" s="9">
        <f>IF(ISNA(MATCH(748,Engine!$C$2:$C$1960,0)),"",INDEX('Compliance Database'!$H$2:$H$1960,MATCH(748,Engine!$C$2:$C$1960,0)))</f>
        <v/>
      </c>
      <c r="I761" s="9">
        <f>IF(ISNA(MATCH(748,Engine!$C$2:$C$1960,0)),"",INDEX('Compliance Database'!$I$2:$I$1960,MATCH(748,Engine!$C$2:$C$1960,0)))</f>
        <v/>
      </c>
      <c r="J761" s="8">
        <f>IF(ISNA(MATCH(748,Engine!$C$2:$C$1960,0)),"",INDEX('Compliance Database'!$J$2:$J$1960,MATCH(748,Engine!$C$2:$C$1960,0)))</f>
        <v/>
      </c>
      <c r="K761" s="9">
        <f>IF(ISNA(MATCH(748,Engine!$C$2:$C$1960,0)),"",INDEX('Compliance Database'!$K$2:$K$1960,MATCH(748,Engine!$C$2:$C$1960,0)))</f>
        <v/>
      </c>
      <c r="L761" s="9">
        <f>IF(ISNA(MATCH(748,Engine!$C$2:$C$1960,0)),"",INDEX('Compliance Database'!$L$2:$L$1960,MATCH(748,Engine!$C$2:$C$1960,0)))</f>
        <v/>
      </c>
      <c r="M761" s="9">
        <f>IF(ISNA(MATCH(748,Engine!$C$2:$C$1960,0)),"",INDEX('Compliance Database'!$M$2:$M$1960,MATCH(748,Engine!$C$2:$C$1960,0)))</f>
        <v/>
      </c>
      <c r="N761" s="9">
        <f>IF(ISNA(MATCH(748,Engine!$C$2:$C$1960,0)),"",INDEX('Compliance Database'!$N$2:$N$1960,MATCH(748,Engine!$C$2:$C$1960,0)))</f>
        <v/>
      </c>
      <c r="O761" s="9">
        <f>IF(ISNA(MATCH(748,Engine!$C$2:$C$1960,0)),"",INDEX('Compliance Database'!$O$2:$O$1960,MATCH(748,Engine!$C$2:$C$1960,0)))</f>
        <v/>
      </c>
      <c r="P761" s="8">
        <f>IF(ISNA(MATCH(748,Engine!$C$2:$C$1960,0)),"",HYPERLINK("#Acts!A"&amp;INDEX('Compliance Database'!$P$2:$P$1960,MATCH(748,Engine!$C$2:$C$1960,0)),"Go to Act"))</f>
        <v/>
      </c>
    </row>
    <row r="762" ht="158" customHeight="1">
      <c r="A762" s="8">
        <f>IF(ISNA(MATCH(749,Engine!$C$2:$C$1960,0)),"",INDEX('Compliance Database'!$A$2:$A$1960,MATCH(749,Engine!$C$2:$C$1960,0)))</f>
        <v/>
      </c>
      <c r="B762" s="8">
        <f>IF(ISNA(MATCH(749,Engine!$C$2:$C$1960,0)),"",INDEX('Compliance Database'!$B$2:$B$1960,MATCH(749,Engine!$C$2:$C$1960,0)))</f>
        <v/>
      </c>
      <c r="C762" s="8">
        <f>IF(ISNA(MATCH(749,Engine!$C$2:$C$1960,0)),"",INDEX('Compliance Database'!$C$2:$C$1960,MATCH(749,Engine!$C$2:$C$1960,0)))</f>
        <v/>
      </c>
      <c r="D762" s="9">
        <f>IF(ISNA(MATCH(749,Engine!$C$2:$C$1960,0)),"",INDEX('Compliance Database'!$D$2:$D$1960,MATCH(749,Engine!$C$2:$C$1960,0)))</f>
        <v/>
      </c>
      <c r="E762" s="8">
        <f>IF(ISNA(MATCH(749,Engine!$C$2:$C$1960,0)),"",INDEX('Compliance Database'!$E$2:$E$1960,MATCH(749,Engine!$C$2:$C$1960,0)))</f>
        <v/>
      </c>
      <c r="F762" s="8">
        <f>IF(ISNA(MATCH(749,Engine!$C$2:$C$1960,0)),"",INDEX('Compliance Database'!$F$2:$F$1960,MATCH(749,Engine!$C$2:$C$1960,0)))</f>
        <v/>
      </c>
      <c r="G762" s="8">
        <f>IF(ISNA(MATCH(749,Engine!$C$2:$C$1960,0)),"",INDEX('Compliance Database'!$G$2:$G$1960,MATCH(749,Engine!$C$2:$C$1960,0)))</f>
        <v/>
      </c>
      <c r="H762" s="9">
        <f>IF(ISNA(MATCH(749,Engine!$C$2:$C$1960,0)),"",INDEX('Compliance Database'!$H$2:$H$1960,MATCH(749,Engine!$C$2:$C$1960,0)))</f>
        <v/>
      </c>
      <c r="I762" s="9">
        <f>IF(ISNA(MATCH(749,Engine!$C$2:$C$1960,0)),"",INDEX('Compliance Database'!$I$2:$I$1960,MATCH(749,Engine!$C$2:$C$1960,0)))</f>
        <v/>
      </c>
      <c r="J762" s="8">
        <f>IF(ISNA(MATCH(749,Engine!$C$2:$C$1960,0)),"",INDEX('Compliance Database'!$J$2:$J$1960,MATCH(749,Engine!$C$2:$C$1960,0)))</f>
        <v/>
      </c>
      <c r="K762" s="9">
        <f>IF(ISNA(MATCH(749,Engine!$C$2:$C$1960,0)),"",INDEX('Compliance Database'!$K$2:$K$1960,MATCH(749,Engine!$C$2:$C$1960,0)))</f>
        <v/>
      </c>
      <c r="L762" s="9">
        <f>IF(ISNA(MATCH(749,Engine!$C$2:$C$1960,0)),"",INDEX('Compliance Database'!$L$2:$L$1960,MATCH(749,Engine!$C$2:$C$1960,0)))</f>
        <v/>
      </c>
      <c r="M762" s="9">
        <f>IF(ISNA(MATCH(749,Engine!$C$2:$C$1960,0)),"",INDEX('Compliance Database'!$M$2:$M$1960,MATCH(749,Engine!$C$2:$C$1960,0)))</f>
        <v/>
      </c>
      <c r="N762" s="9">
        <f>IF(ISNA(MATCH(749,Engine!$C$2:$C$1960,0)),"",INDEX('Compliance Database'!$N$2:$N$1960,MATCH(749,Engine!$C$2:$C$1960,0)))</f>
        <v/>
      </c>
      <c r="O762" s="9">
        <f>IF(ISNA(MATCH(749,Engine!$C$2:$C$1960,0)),"",INDEX('Compliance Database'!$O$2:$O$1960,MATCH(749,Engine!$C$2:$C$1960,0)))</f>
        <v/>
      </c>
      <c r="P762" s="8">
        <f>IF(ISNA(MATCH(749,Engine!$C$2:$C$1960,0)),"",HYPERLINK("#Acts!A"&amp;INDEX('Compliance Database'!$P$2:$P$1960,MATCH(749,Engine!$C$2:$C$1960,0)),"Go to Act"))</f>
        <v/>
      </c>
    </row>
    <row r="763" ht="158" customHeight="1">
      <c r="A763" s="8">
        <f>IF(ISNA(MATCH(750,Engine!$C$2:$C$1960,0)),"",INDEX('Compliance Database'!$A$2:$A$1960,MATCH(750,Engine!$C$2:$C$1960,0)))</f>
        <v/>
      </c>
      <c r="B763" s="8">
        <f>IF(ISNA(MATCH(750,Engine!$C$2:$C$1960,0)),"",INDEX('Compliance Database'!$B$2:$B$1960,MATCH(750,Engine!$C$2:$C$1960,0)))</f>
        <v/>
      </c>
      <c r="C763" s="8">
        <f>IF(ISNA(MATCH(750,Engine!$C$2:$C$1960,0)),"",INDEX('Compliance Database'!$C$2:$C$1960,MATCH(750,Engine!$C$2:$C$1960,0)))</f>
        <v/>
      </c>
      <c r="D763" s="9">
        <f>IF(ISNA(MATCH(750,Engine!$C$2:$C$1960,0)),"",INDEX('Compliance Database'!$D$2:$D$1960,MATCH(750,Engine!$C$2:$C$1960,0)))</f>
        <v/>
      </c>
      <c r="E763" s="8">
        <f>IF(ISNA(MATCH(750,Engine!$C$2:$C$1960,0)),"",INDEX('Compliance Database'!$E$2:$E$1960,MATCH(750,Engine!$C$2:$C$1960,0)))</f>
        <v/>
      </c>
      <c r="F763" s="8">
        <f>IF(ISNA(MATCH(750,Engine!$C$2:$C$1960,0)),"",INDEX('Compliance Database'!$F$2:$F$1960,MATCH(750,Engine!$C$2:$C$1960,0)))</f>
        <v/>
      </c>
      <c r="G763" s="8">
        <f>IF(ISNA(MATCH(750,Engine!$C$2:$C$1960,0)),"",INDEX('Compliance Database'!$G$2:$G$1960,MATCH(750,Engine!$C$2:$C$1960,0)))</f>
        <v/>
      </c>
      <c r="H763" s="9">
        <f>IF(ISNA(MATCH(750,Engine!$C$2:$C$1960,0)),"",INDEX('Compliance Database'!$H$2:$H$1960,MATCH(750,Engine!$C$2:$C$1960,0)))</f>
        <v/>
      </c>
      <c r="I763" s="9">
        <f>IF(ISNA(MATCH(750,Engine!$C$2:$C$1960,0)),"",INDEX('Compliance Database'!$I$2:$I$1960,MATCH(750,Engine!$C$2:$C$1960,0)))</f>
        <v/>
      </c>
      <c r="J763" s="8">
        <f>IF(ISNA(MATCH(750,Engine!$C$2:$C$1960,0)),"",INDEX('Compliance Database'!$J$2:$J$1960,MATCH(750,Engine!$C$2:$C$1960,0)))</f>
        <v/>
      </c>
      <c r="K763" s="9">
        <f>IF(ISNA(MATCH(750,Engine!$C$2:$C$1960,0)),"",INDEX('Compliance Database'!$K$2:$K$1960,MATCH(750,Engine!$C$2:$C$1960,0)))</f>
        <v/>
      </c>
      <c r="L763" s="9">
        <f>IF(ISNA(MATCH(750,Engine!$C$2:$C$1960,0)),"",INDEX('Compliance Database'!$L$2:$L$1960,MATCH(750,Engine!$C$2:$C$1960,0)))</f>
        <v/>
      </c>
      <c r="M763" s="9">
        <f>IF(ISNA(MATCH(750,Engine!$C$2:$C$1960,0)),"",INDEX('Compliance Database'!$M$2:$M$1960,MATCH(750,Engine!$C$2:$C$1960,0)))</f>
        <v/>
      </c>
      <c r="N763" s="9">
        <f>IF(ISNA(MATCH(750,Engine!$C$2:$C$1960,0)),"",INDEX('Compliance Database'!$N$2:$N$1960,MATCH(750,Engine!$C$2:$C$1960,0)))</f>
        <v/>
      </c>
      <c r="O763" s="9">
        <f>IF(ISNA(MATCH(750,Engine!$C$2:$C$1960,0)),"",INDEX('Compliance Database'!$O$2:$O$1960,MATCH(750,Engine!$C$2:$C$1960,0)))</f>
        <v/>
      </c>
      <c r="P763" s="8">
        <f>IF(ISNA(MATCH(750,Engine!$C$2:$C$1960,0)),"",HYPERLINK("#Acts!A"&amp;INDEX('Compliance Database'!$P$2:$P$1960,MATCH(750,Engine!$C$2:$C$1960,0)),"Go to Act"))</f>
        <v/>
      </c>
    </row>
    <row r="764" ht="158" customHeight="1">
      <c r="A764" s="8">
        <f>IF(ISNA(MATCH(751,Engine!$C$2:$C$1960,0)),"",INDEX('Compliance Database'!$A$2:$A$1960,MATCH(751,Engine!$C$2:$C$1960,0)))</f>
        <v/>
      </c>
      <c r="B764" s="8">
        <f>IF(ISNA(MATCH(751,Engine!$C$2:$C$1960,0)),"",INDEX('Compliance Database'!$B$2:$B$1960,MATCH(751,Engine!$C$2:$C$1960,0)))</f>
        <v/>
      </c>
      <c r="C764" s="8">
        <f>IF(ISNA(MATCH(751,Engine!$C$2:$C$1960,0)),"",INDEX('Compliance Database'!$C$2:$C$1960,MATCH(751,Engine!$C$2:$C$1960,0)))</f>
        <v/>
      </c>
      <c r="D764" s="9">
        <f>IF(ISNA(MATCH(751,Engine!$C$2:$C$1960,0)),"",INDEX('Compliance Database'!$D$2:$D$1960,MATCH(751,Engine!$C$2:$C$1960,0)))</f>
        <v/>
      </c>
      <c r="E764" s="8">
        <f>IF(ISNA(MATCH(751,Engine!$C$2:$C$1960,0)),"",INDEX('Compliance Database'!$E$2:$E$1960,MATCH(751,Engine!$C$2:$C$1960,0)))</f>
        <v/>
      </c>
      <c r="F764" s="8">
        <f>IF(ISNA(MATCH(751,Engine!$C$2:$C$1960,0)),"",INDEX('Compliance Database'!$F$2:$F$1960,MATCH(751,Engine!$C$2:$C$1960,0)))</f>
        <v/>
      </c>
      <c r="G764" s="8">
        <f>IF(ISNA(MATCH(751,Engine!$C$2:$C$1960,0)),"",INDEX('Compliance Database'!$G$2:$G$1960,MATCH(751,Engine!$C$2:$C$1960,0)))</f>
        <v/>
      </c>
      <c r="H764" s="9">
        <f>IF(ISNA(MATCH(751,Engine!$C$2:$C$1960,0)),"",INDEX('Compliance Database'!$H$2:$H$1960,MATCH(751,Engine!$C$2:$C$1960,0)))</f>
        <v/>
      </c>
      <c r="I764" s="9">
        <f>IF(ISNA(MATCH(751,Engine!$C$2:$C$1960,0)),"",INDEX('Compliance Database'!$I$2:$I$1960,MATCH(751,Engine!$C$2:$C$1960,0)))</f>
        <v/>
      </c>
      <c r="J764" s="8">
        <f>IF(ISNA(MATCH(751,Engine!$C$2:$C$1960,0)),"",INDEX('Compliance Database'!$J$2:$J$1960,MATCH(751,Engine!$C$2:$C$1960,0)))</f>
        <v/>
      </c>
      <c r="K764" s="9">
        <f>IF(ISNA(MATCH(751,Engine!$C$2:$C$1960,0)),"",INDEX('Compliance Database'!$K$2:$K$1960,MATCH(751,Engine!$C$2:$C$1960,0)))</f>
        <v/>
      </c>
      <c r="L764" s="9">
        <f>IF(ISNA(MATCH(751,Engine!$C$2:$C$1960,0)),"",INDEX('Compliance Database'!$L$2:$L$1960,MATCH(751,Engine!$C$2:$C$1960,0)))</f>
        <v/>
      </c>
      <c r="M764" s="9">
        <f>IF(ISNA(MATCH(751,Engine!$C$2:$C$1960,0)),"",INDEX('Compliance Database'!$M$2:$M$1960,MATCH(751,Engine!$C$2:$C$1960,0)))</f>
        <v/>
      </c>
      <c r="N764" s="9">
        <f>IF(ISNA(MATCH(751,Engine!$C$2:$C$1960,0)),"",INDEX('Compliance Database'!$N$2:$N$1960,MATCH(751,Engine!$C$2:$C$1960,0)))</f>
        <v/>
      </c>
      <c r="O764" s="9">
        <f>IF(ISNA(MATCH(751,Engine!$C$2:$C$1960,0)),"",INDEX('Compliance Database'!$O$2:$O$1960,MATCH(751,Engine!$C$2:$C$1960,0)))</f>
        <v/>
      </c>
      <c r="P764" s="8">
        <f>IF(ISNA(MATCH(751,Engine!$C$2:$C$1960,0)),"",HYPERLINK("#Acts!A"&amp;INDEX('Compliance Database'!$P$2:$P$1960,MATCH(751,Engine!$C$2:$C$1960,0)),"Go to Act"))</f>
        <v/>
      </c>
    </row>
    <row r="765" ht="158" customHeight="1">
      <c r="A765" s="8">
        <f>IF(ISNA(MATCH(752,Engine!$C$2:$C$1960,0)),"",INDEX('Compliance Database'!$A$2:$A$1960,MATCH(752,Engine!$C$2:$C$1960,0)))</f>
        <v/>
      </c>
      <c r="B765" s="8">
        <f>IF(ISNA(MATCH(752,Engine!$C$2:$C$1960,0)),"",INDEX('Compliance Database'!$B$2:$B$1960,MATCH(752,Engine!$C$2:$C$1960,0)))</f>
        <v/>
      </c>
      <c r="C765" s="8">
        <f>IF(ISNA(MATCH(752,Engine!$C$2:$C$1960,0)),"",INDEX('Compliance Database'!$C$2:$C$1960,MATCH(752,Engine!$C$2:$C$1960,0)))</f>
        <v/>
      </c>
      <c r="D765" s="9">
        <f>IF(ISNA(MATCH(752,Engine!$C$2:$C$1960,0)),"",INDEX('Compliance Database'!$D$2:$D$1960,MATCH(752,Engine!$C$2:$C$1960,0)))</f>
        <v/>
      </c>
      <c r="E765" s="8">
        <f>IF(ISNA(MATCH(752,Engine!$C$2:$C$1960,0)),"",INDEX('Compliance Database'!$E$2:$E$1960,MATCH(752,Engine!$C$2:$C$1960,0)))</f>
        <v/>
      </c>
      <c r="F765" s="8">
        <f>IF(ISNA(MATCH(752,Engine!$C$2:$C$1960,0)),"",INDEX('Compliance Database'!$F$2:$F$1960,MATCH(752,Engine!$C$2:$C$1960,0)))</f>
        <v/>
      </c>
      <c r="G765" s="8">
        <f>IF(ISNA(MATCH(752,Engine!$C$2:$C$1960,0)),"",INDEX('Compliance Database'!$G$2:$G$1960,MATCH(752,Engine!$C$2:$C$1960,0)))</f>
        <v/>
      </c>
      <c r="H765" s="9">
        <f>IF(ISNA(MATCH(752,Engine!$C$2:$C$1960,0)),"",INDEX('Compliance Database'!$H$2:$H$1960,MATCH(752,Engine!$C$2:$C$1960,0)))</f>
        <v/>
      </c>
      <c r="I765" s="9">
        <f>IF(ISNA(MATCH(752,Engine!$C$2:$C$1960,0)),"",INDEX('Compliance Database'!$I$2:$I$1960,MATCH(752,Engine!$C$2:$C$1960,0)))</f>
        <v/>
      </c>
      <c r="J765" s="8">
        <f>IF(ISNA(MATCH(752,Engine!$C$2:$C$1960,0)),"",INDEX('Compliance Database'!$J$2:$J$1960,MATCH(752,Engine!$C$2:$C$1960,0)))</f>
        <v/>
      </c>
      <c r="K765" s="9">
        <f>IF(ISNA(MATCH(752,Engine!$C$2:$C$1960,0)),"",INDEX('Compliance Database'!$K$2:$K$1960,MATCH(752,Engine!$C$2:$C$1960,0)))</f>
        <v/>
      </c>
      <c r="L765" s="9">
        <f>IF(ISNA(MATCH(752,Engine!$C$2:$C$1960,0)),"",INDEX('Compliance Database'!$L$2:$L$1960,MATCH(752,Engine!$C$2:$C$1960,0)))</f>
        <v/>
      </c>
      <c r="M765" s="9">
        <f>IF(ISNA(MATCH(752,Engine!$C$2:$C$1960,0)),"",INDEX('Compliance Database'!$M$2:$M$1960,MATCH(752,Engine!$C$2:$C$1960,0)))</f>
        <v/>
      </c>
      <c r="N765" s="9">
        <f>IF(ISNA(MATCH(752,Engine!$C$2:$C$1960,0)),"",INDEX('Compliance Database'!$N$2:$N$1960,MATCH(752,Engine!$C$2:$C$1960,0)))</f>
        <v/>
      </c>
      <c r="O765" s="9">
        <f>IF(ISNA(MATCH(752,Engine!$C$2:$C$1960,0)),"",INDEX('Compliance Database'!$O$2:$O$1960,MATCH(752,Engine!$C$2:$C$1960,0)))</f>
        <v/>
      </c>
      <c r="P765" s="8">
        <f>IF(ISNA(MATCH(752,Engine!$C$2:$C$1960,0)),"",HYPERLINK("#Acts!A"&amp;INDEX('Compliance Database'!$P$2:$P$1960,MATCH(752,Engine!$C$2:$C$1960,0)),"Go to Act"))</f>
        <v/>
      </c>
    </row>
    <row r="766" ht="158" customHeight="1">
      <c r="A766" s="8">
        <f>IF(ISNA(MATCH(753,Engine!$C$2:$C$1960,0)),"",INDEX('Compliance Database'!$A$2:$A$1960,MATCH(753,Engine!$C$2:$C$1960,0)))</f>
        <v/>
      </c>
      <c r="B766" s="8">
        <f>IF(ISNA(MATCH(753,Engine!$C$2:$C$1960,0)),"",INDEX('Compliance Database'!$B$2:$B$1960,MATCH(753,Engine!$C$2:$C$1960,0)))</f>
        <v/>
      </c>
      <c r="C766" s="8">
        <f>IF(ISNA(MATCH(753,Engine!$C$2:$C$1960,0)),"",INDEX('Compliance Database'!$C$2:$C$1960,MATCH(753,Engine!$C$2:$C$1960,0)))</f>
        <v/>
      </c>
      <c r="D766" s="9">
        <f>IF(ISNA(MATCH(753,Engine!$C$2:$C$1960,0)),"",INDEX('Compliance Database'!$D$2:$D$1960,MATCH(753,Engine!$C$2:$C$1960,0)))</f>
        <v/>
      </c>
      <c r="E766" s="8">
        <f>IF(ISNA(MATCH(753,Engine!$C$2:$C$1960,0)),"",INDEX('Compliance Database'!$E$2:$E$1960,MATCH(753,Engine!$C$2:$C$1960,0)))</f>
        <v/>
      </c>
      <c r="F766" s="8">
        <f>IF(ISNA(MATCH(753,Engine!$C$2:$C$1960,0)),"",INDEX('Compliance Database'!$F$2:$F$1960,MATCH(753,Engine!$C$2:$C$1960,0)))</f>
        <v/>
      </c>
      <c r="G766" s="8">
        <f>IF(ISNA(MATCH(753,Engine!$C$2:$C$1960,0)),"",INDEX('Compliance Database'!$G$2:$G$1960,MATCH(753,Engine!$C$2:$C$1960,0)))</f>
        <v/>
      </c>
      <c r="H766" s="9">
        <f>IF(ISNA(MATCH(753,Engine!$C$2:$C$1960,0)),"",INDEX('Compliance Database'!$H$2:$H$1960,MATCH(753,Engine!$C$2:$C$1960,0)))</f>
        <v/>
      </c>
      <c r="I766" s="9">
        <f>IF(ISNA(MATCH(753,Engine!$C$2:$C$1960,0)),"",INDEX('Compliance Database'!$I$2:$I$1960,MATCH(753,Engine!$C$2:$C$1960,0)))</f>
        <v/>
      </c>
      <c r="J766" s="8">
        <f>IF(ISNA(MATCH(753,Engine!$C$2:$C$1960,0)),"",INDEX('Compliance Database'!$J$2:$J$1960,MATCH(753,Engine!$C$2:$C$1960,0)))</f>
        <v/>
      </c>
      <c r="K766" s="9">
        <f>IF(ISNA(MATCH(753,Engine!$C$2:$C$1960,0)),"",INDEX('Compliance Database'!$K$2:$K$1960,MATCH(753,Engine!$C$2:$C$1960,0)))</f>
        <v/>
      </c>
      <c r="L766" s="9">
        <f>IF(ISNA(MATCH(753,Engine!$C$2:$C$1960,0)),"",INDEX('Compliance Database'!$L$2:$L$1960,MATCH(753,Engine!$C$2:$C$1960,0)))</f>
        <v/>
      </c>
      <c r="M766" s="9">
        <f>IF(ISNA(MATCH(753,Engine!$C$2:$C$1960,0)),"",INDEX('Compliance Database'!$M$2:$M$1960,MATCH(753,Engine!$C$2:$C$1960,0)))</f>
        <v/>
      </c>
      <c r="N766" s="9">
        <f>IF(ISNA(MATCH(753,Engine!$C$2:$C$1960,0)),"",INDEX('Compliance Database'!$N$2:$N$1960,MATCH(753,Engine!$C$2:$C$1960,0)))</f>
        <v/>
      </c>
      <c r="O766" s="9">
        <f>IF(ISNA(MATCH(753,Engine!$C$2:$C$1960,0)),"",INDEX('Compliance Database'!$O$2:$O$1960,MATCH(753,Engine!$C$2:$C$1960,0)))</f>
        <v/>
      </c>
      <c r="P766" s="8">
        <f>IF(ISNA(MATCH(753,Engine!$C$2:$C$1960,0)),"",HYPERLINK("#Acts!A"&amp;INDEX('Compliance Database'!$P$2:$P$1960,MATCH(753,Engine!$C$2:$C$1960,0)),"Go to Act"))</f>
        <v/>
      </c>
    </row>
    <row r="767" ht="158" customHeight="1">
      <c r="A767" s="8">
        <f>IF(ISNA(MATCH(754,Engine!$C$2:$C$1960,0)),"",INDEX('Compliance Database'!$A$2:$A$1960,MATCH(754,Engine!$C$2:$C$1960,0)))</f>
        <v/>
      </c>
      <c r="B767" s="8">
        <f>IF(ISNA(MATCH(754,Engine!$C$2:$C$1960,0)),"",INDEX('Compliance Database'!$B$2:$B$1960,MATCH(754,Engine!$C$2:$C$1960,0)))</f>
        <v/>
      </c>
      <c r="C767" s="8">
        <f>IF(ISNA(MATCH(754,Engine!$C$2:$C$1960,0)),"",INDEX('Compliance Database'!$C$2:$C$1960,MATCH(754,Engine!$C$2:$C$1960,0)))</f>
        <v/>
      </c>
      <c r="D767" s="9">
        <f>IF(ISNA(MATCH(754,Engine!$C$2:$C$1960,0)),"",INDEX('Compliance Database'!$D$2:$D$1960,MATCH(754,Engine!$C$2:$C$1960,0)))</f>
        <v/>
      </c>
      <c r="E767" s="8">
        <f>IF(ISNA(MATCH(754,Engine!$C$2:$C$1960,0)),"",INDEX('Compliance Database'!$E$2:$E$1960,MATCH(754,Engine!$C$2:$C$1960,0)))</f>
        <v/>
      </c>
      <c r="F767" s="8">
        <f>IF(ISNA(MATCH(754,Engine!$C$2:$C$1960,0)),"",INDEX('Compliance Database'!$F$2:$F$1960,MATCH(754,Engine!$C$2:$C$1960,0)))</f>
        <v/>
      </c>
      <c r="G767" s="8">
        <f>IF(ISNA(MATCH(754,Engine!$C$2:$C$1960,0)),"",INDEX('Compliance Database'!$G$2:$G$1960,MATCH(754,Engine!$C$2:$C$1960,0)))</f>
        <v/>
      </c>
      <c r="H767" s="9">
        <f>IF(ISNA(MATCH(754,Engine!$C$2:$C$1960,0)),"",INDEX('Compliance Database'!$H$2:$H$1960,MATCH(754,Engine!$C$2:$C$1960,0)))</f>
        <v/>
      </c>
      <c r="I767" s="9">
        <f>IF(ISNA(MATCH(754,Engine!$C$2:$C$1960,0)),"",INDEX('Compliance Database'!$I$2:$I$1960,MATCH(754,Engine!$C$2:$C$1960,0)))</f>
        <v/>
      </c>
      <c r="J767" s="8">
        <f>IF(ISNA(MATCH(754,Engine!$C$2:$C$1960,0)),"",INDEX('Compliance Database'!$J$2:$J$1960,MATCH(754,Engine!$C$2:$C$1960,0)))</f>
        <v/>
      </c>
      <c r="K767" s="9">
        <f>IF(ISNA(MATCH(754,Engine!$C$2:$C$1960,0)),"",INDEX('Compliance Database'!$K$2:$K$1960,MATCH(754,Engine!$C$2:$C$1960,0)))</f>
        <v/>
      </c>
      <c r="L767" s="9">
        <f>IF(ISNA(MATCH(754,Engine!$C$2:$C$1960,0)),"",INDEX('Compliance Database'!$L$2:$L$1960,MATCH(754,Engine!$C$2:$C$1960,0)))</f>
        <v/>
      </c>
      <c r="M767" s="9">
        <f>IF(ISNA(MATCH(754,Engine!$C$2:$C$1960,0)),"",INDEX('Compliance Database'!$M$2:$M$1960,MATCH(754,Engine!$C$2:$C$1960,0)))</f>
        <v/>
      </c>
      <c r="N767" s="9">
        <f>IF(ISNA(MATCH(754,Engine!$C$2:$C$1960,0)),"",INDEX('Compliance Database'!$N$2:$N$1960,MATCH(754,Engine!$C$2:$C$1960,0)))</f>
        <v/>
      </c>
      <c r="O767" s="9">
        <f>IF(ISNA(MATCH(754,Engine!$C$2:$C$1960,0)),"",INDEX('Compliance Database'!$O$2:$O$1960,MATCH(754,Engine!$C$2:$C$1960,0)))</f>
        <v/>
      </c>
      <c r="P767" s="8">
        <f>IF(ISNA(MATCH(754,Engine!$C$2:$C$1960,0)),"",HYPERLINK("#Acts!A"&amp;INDEX('Compliance Database'!$P$2:$P$1960,MATCH(754,Engine!$C$2:$C$1960,0)),"Go to Act"))</f>
        <v/>
      </c>
    </row>
    <row r="768" ht="158" customHeight="1">
      <c r="A768" s="8">
        <f>IF(ISNA(MATCH(755,Engine!$C$2:$C$1960,0)),"",INDEX('Compliance Database'!$A$2:$A$1960,MATCH(755,Engine!$C$2:$C$1960,0)))</f>
        <v/>
      </c>
      <c r="B768" s="8">
        <f>IF(ISNA(MATCH(755,Engine!$C$2:$C$1960,0)),"",INDEX('Compliance Database'!$B$2:$B$1960,MATCH(755,Engine!$C$2:$C$1960,0)))</f>
        <v/>
      </c>
      <c r="C768" s="8">
        <f>IF(ISNA(MATCH(755,Engine!$C$2:$C$1960,0)),"",INDEX('Compliance Database'!$C$2:$C$1960,MATCH(755,Engine!$C$2:$C$1960,0)))</f>
        <v/>
      </c>
      <c r="D768" s="9">
        <f>IF(ISNA(MATCH(755,Engine!$C$2:$C$1960,0)),"",INDEX('Compliance Database'!$D$2:$D$1960,MATCH(755,Engine!$C$2:$C$1960,0)))</f>
        <v/>
      </c>
      <c r="E768" s="8">
        <f>IF(ISNA(MATCH(755,Engine!$C$2:$C$1960,0)),"",INDEX('Compliance Database'!$E$2:$E$1960,MATCH(755,Engine!$C$2:$C$1960,0)))</f>
        <v/>
      </c>
      <c r="F768" s="8">
        <f>IF(ISNA(MATCH(755,Engine!$C$2:$C$1960,0)),"",INDEX('Compliance Database'!$F$2:$F$1960,MATCH(755,Engine!$C$2:$C$1960,0)))</f>
        <v/>
      </c>
      <c r="G768" s="8">
        <f>IF(ISNA(MATCH(755,Engine!$C$2:$C$1960,0)),"",INDEX('Compliance Database'!$G$2:$G$1960,MATCH(755,Engine!$C$2:$C$1960,0)))</f>
        <v/>
      </c>
      <c r="H768" s="9">
        <f>IF(ISNA(MATCH(755,Engine!$C$2:$C$1960,0)),"",INDEX('Compliance Database'!$H$2:$H$1960,MATCH(755,Engine!$C$2:$C$1960,0)))</f>
        <v/>
      </c>
      <c r="I768" s="9">
        <f>IF(ISNA(MATCH(755,Engine!$C$2:$C$1960,0)),"",INDEX('Compliance Database'!$I$2:$I$1960,MATCH(755,Engine!$C$2:$C$1960,0)))</f>
        <v/>
      </c>
      <c r="J768" s="8">
        <f>IF(ISNA(MATCH(755,Engine!$C$2:$C$1960,0)),"",INDEX('Compliance Database'!$J$2:$J$1960,MATCH(755,Engine!$C$2:$C$1960,0)))</f>
        <v/>
      </c>
      <c r="K768" s="9">
        <f>IF(ISNA(MATCH(755,Engine!$C$2:$C$1960,0)),"",INDEX('Compliance Database'!$K$2:$K$1960,MATCH(755,Engine!$C$2:$C$1960,0)))</f>
        <v/>
      </c>
      <c r="L768" s="9">
        <f>IF(ISNA(MATCH(755,Engine!$C$2:$C$1960,0)),"",INDEX('Compliance Database'!$L$2:$L$1960,MATCH(755,Engine!$C$2:$C$1960,0)))</f>
        <v/>
      </c>
      <c r="M768" s="9">
        <f>IF(ISNA(MATCH(755,Engine!$C$2:$C$1960,0)),"",INDEX('Compliance Database'!$M$2:$M$1960,MATCH(755,Engine!$C$2:$C$1960,0)))</f>
        <v/>
      </c>
      <c r="N768" s="9">
        <f>IF(ISNA(MATCH(755,Engine!$C$2:$C$1960,0)),"",INDEX('Compliance Database'!$N$2:$N$1960,MATCH(755,Engine!$C$2:$C$1960,0)))</f>
        <v/>
      </c>
      <c r="O768" s="9">
        <f>IF(ISNA(MATCH(755,Engine!$C$2:$C$1960,0)),"",INDEX('Compliance Database'!$O$2:$O$1960,MATCH(755,Engine!$C$2:$C$1960,0)))</f>
        <v/>
      </c>
      <c r="P768" s="8">
        <f>IF(ISNA(MATCH(755,Engine!$C$2:$C$1960,0)),"",HYPERLINK("#Acts!A"&amp;INDEX('Compliance Database'!$P$2:$P$1960,MATCH(755,Engine!$C$2:$C$1960,0)),"Go to Act"))</f>
        <v/>
      </c>
    </row>
    <row r="769" ht="158" customHeight="1">
      <c r="A769" s="8">
        <f>IF(ISNA(MATCH(756,Engine!$C$2:$C$1960,0)),"",INDEX('Compliance Database'!$A$2:$A$1960,MATCH(756,Engine!$C$2:$C$1960,0)))</f>
        <v/>
      </c>
      <c r="B769" s="8">
        <f>IF(ISNA(MATCH(756,Engine!$C$2:$C$1960,0)),"",INDEX('Compliance Database'!$B$2:$B$1960,MATCH(756,Engine!$C$2:$C$1960,0)))</f>
        <v/>
      </c>
      <c r="C769" s="8">
        <f>IF(ISNA(MATCH(756,Engine!$C$2:$C$1960,0)),"",INDEX('Compliance Database'!$C$2:$C$1960,MATCH(756,Engine!$C$2:$C$1960,0)))</f>
        <v/>
      </c>
      <c r="D769" s="9">
        <f>IF(ISNA(MATCH(756,Engine!$C$2:$C$1960,0)),"",INDEX('Compliance Database'!$D$2:$D$1960,MATCH(756,Engine!$C$2:$C$1960,0)))</f>
        <v/>
      </c>
      <c r="E769" s="8">
        <f>IF(ISNA(MATCH(756,Engine!$C$2:$C$1960,0)),"",INDEX('Compliance Database'!$E$2:$E$1960,MATCH(756,Engine!$C$2:$C$1960,0)))</f>
        <v/>
      </c>
      <c r="F769" s="8">
        <f>IF(ISNA(MATCH(756,Engine!$C$2:$C$1960,0)),"",INDEX('Compliance Database'!$F$2:$F$1960,MATCH(756,Engine!$C$2:$C$1960,0)))</f>
        <v/>
      </c>
      <c r="G769" s="8">
        <f>IF(ISNA(MATCH(756,Engine!$C$2:$C$1960,0)),"",INDEX('Compliance Database'!$G$2:$G$1960,MATCH(756,Engine!$C$2:$C$1960,0)))</f>
        <v/>
      </c>
      <c r="H769" s="9">
        <f>IF(ISNA(MATCH(756,Engine!$C$2:$C$1960,0)),"",INDEX('Compliance Database'!$H$2:$H$1960,MATCH(756,Engine!$C$2:$C$1960,0)))</f>
        <v/>
      </c>
      <c r="I769" s="9">
        <f>IF(ISNA(MATCH(756,Engine!$C$2:$C$1960,0)),"",INDEX('Compliance Database'!$I$2:$I$1960,MATCH(756,Engine!$C$2:$C$1960,0)))</f>
        <v/>
      </c>
      <c r="J769" s="8">
        <f>IF(ISNA(MATCH(756,Engine!$C$2:$C$1960,0)),"",INDEX('Compliance Database'!$J$2:$J$1960,MATCH(756,Engine!$C$2:$C$1960,0)))</f>
        <v/>
      </c>
      <c r="K769" s="9">
        <f>IF(ISNA(MATCH(756,Engine!$C$2:$C$1960,0)),"",INDEX('Compliance Database'!$K$2:$K$1960,MATCH(756,Engine!$C$2:$C$1960,0)))</f>
        <v/>
      </c>
      <c r="L769" s="9">
        <f>IF(ISNA(MATCH(756,Engine!$C$2:$C$1960,0)),"",INDEX('Compliance Database'!$L$2:$L$1960,MATCH(756,Engine!$C$2:$C$1960,0)))</f>
        <v/>
      </c>
      <c r="M769" s="9">
        <f>IF(ISNA(MATCH(756,Engine!$C$2:$C$1960,0)),"",INDEX('Compliance Database'!$M$2:$M$1960,MATCH(756,Engine!$C$2:$C$1960,0)))</f>
        <v/>
      </c>
      <c r="N769" s="9">
        <f>IF(ISNA(MATCH(756,Engine!$C$2:$C$1960,0)),"",INDEX('Compliance Database'!$N$2:$N$1960,MATCH(756,Engine!$C$2:$C$1960,0)))</f>
        <v/>
      </c>
      <c r="O769" s="9">
        <f>IF(ISNA(MATCH(756,Engine!$C$2:$C$1960,0)),"",INDEX('Compliance Database'!$O$2:$O$1960,MATCH(756,Engine!$C$2:$C$1960,0)))</f>
        <v/>
      </c>
      <c r="P769" s="8">
        <f>IF(ISNA(MATCH(756,Engine!$C$2:$C$1960,0)),"",HYPERLINK("#Acts!A"&amp;INDEX('Compliance Database'!$P$2:$P$1960,MATCH(756,Engine!$C$2:$C$1960,0)),"Go to Act"))</f>
        <v/>
      </c>
    </row>
    <row r="770" ht="158" customHeight="1">
      <c r="A770" s="8">
        <f>IF(ISNA(MATCH(757,Engine!$C$2:$C$1960,0)),"",INDEX('Compliance Database'!$A$2:$A$1960,MATCH(757,Engine!$C$2:$C$1960,0)))</f>
        <v/>
      </c>
      <c r="B770" s="8">
        <f>IF(ISNA(MATCH(757,Engine!$C$2:$C$1960,0)),"",INDEX('Compliance Database'!$B$2:$B$1960,MATCH(757,Engine!$C$2:$C$1960,0)))</f>
        <v/>
      </c>
      <c r="C770" s="8">
        <f>IF(ISNA(MATCH(757,Engine!$C$2:$C$1960,0)),"",INDEX('Compliance Database'!$C$2:$C$1960,MATCH(757,Engine!$C$2:$C$1960,0)))</f>
        <v/>
      </c>
      <c r="D770" s="9">
        <f>IF(ISNA(MATCH(757,Engine!$C$2:$C$1960,0)),"",INDEX('Compliance Database'!$D$2:$D$1960,MATCH(757,Engine!$C$2:$C$1960,0)))</f>
        <v/>
      </c>
      <c r="E770" s="8">
        <f>IF(ISNA(MATCH(757,Engine!$C$2:$C$1960,0)),"",INDEX('Compliance Database'!$E$2:$E$1960,MATCH(757,Engine!$C$2:$C$1960,0)))</f>
        <v/>
      </c>
      <c r="F770" s="8">
        <f>IF(ISNA(MATCH(757,Engine!$C$2:$C$1960,0)),"",INDEX('Compliance Database'!$F$2:$F$1960,MATCH(757,Engine!$C$2:$C$1960,0)))</f>
        <v/>
      </c>
      <c r="G770" s="8">
        <f>IF(ISNA(MATCH(757,Engine!$C$2:$C$1960,0)),"",INDEX('Compliance Database'!$G$2:$G$1960,MATCH(757,Engine!$C$2:$C$1960,0)))</f>
        <v/>
      </c>
      <c r="H770" s="9">
        <f>IF(ISNA(MATCH(757,Engine!$C$2:$C$1960,0)),"",INDEX('Compliance Database'!$H$2:$H$1960,MATCH(757,Engine!$C$2:$C$1960,0)))</f>
        <v/>
      </c>
      <c r="I770" s="9">
        <f>IF(ISNA(MATCH(757,Engine!$C$2:$C$1960,0)),"",INDEX('Compliance Database'!$I$2:$I$1960,MATCH(757,Engine!$C$2:$C$1960,0)))</f>
        <v/>
      </c>
      <c r="J770" s="8">
        <f>IF(ISNA(MATCH(757,Engine!$C$2:$C$1960,0)),"",INDEX('Compliance Database'!$J$2:$J$1960,MATCH(757,Engine!$C$2:$C$1960,0)))</f>
        <v/>
      </c>
      <c r="K770" s="9">
        <f>IF(ISNA(MATCH(757,Engine!$C$2:$C$1960,0)),"",INDEX('Compliance Database'!$K$2:$K$1960,MATCH(757,Engine!$C$2:$C$1960,0)))</f>
        <v/>
      </c>
      <c r="L770" s="9">
        <f>IF(ISNA(MATCH(757,Engine!$C$2:$C$1960,0)),"",INDEX('Compliance Database'!$L$2:$L$1960,MATCH(757,Engine!$C$2:$C$1960,0)))</f>
        <v/>
      </c>
      <c r="M770" s="9">
        <f>IF(ISNA(MATCH(757,Engine!$C$2:$C$1960,0)),"",INDEX('Compliance Database'!$M$2:$M$1960,MATCH(757,Engine!$C$2:$C$1960,0)))</f>
        <v/>
      </c>
      <c r="N770" s="9">
        <f>IF(ISNA(MATCH(757,Engine!$C$2:$C$1960,0)),"",INDEX('Compliance Database'!$N$2:$N$1960,MATCH(757,Engine!$C$2:$C$1960,0)))</f>
        <v/>
      </c>
      <c r="O770" s="9">
        <f>IF(ISNA(MATCH(757,Engine!$C$2:$C$1960,0)),"",INDEX('Compliance Database'!$O$2:$O$1960,MATCH(757,Engine!$C$2:$C$1960,0)))</f>
        <v/>
      </c>
      <c r="P770" s="8">
        <f>IF(ISNA(MATCH(757,Engine!$C$2:$C$1960,0)),"",HYPERLINK("#Acts!A"&amp;INDEX('Compliance Database'!$P$2:$P$1960,MATCH(757,Engine!$C$2:$C$1960,0)),"Go to Act"))</f>
        <v/>
      </c>
    </row>
    <row r="771" ht="158" customHeight="1">
      <c r="A771" s="8">
        <f>IF(ISNA(MATCH(758,Engine!$C$2:$C$1960,0)),"",INDEX('Compliance Database'!$A$2:$A$1960,MATCH(758,Engine!$C$2:$C$1960,0)))</f>
        <v/>
      </c>
      <c r="B771" s="8">
        <f>IF(ISNA(MATCH(758,Engine!$C$2:$C$1960,0)),"",INDEX('Compliance Database'!$B$2:$B$1960,MATCH(758,Engine!$C$2:$C$1960,0)))</f>
        <v/>
      </c>
      <c r="C771" s="8">
        <f>IF(ISNA(MATCH(758,Engine!$C$2:$C$1960,0)),"",INDEX('Compliance Database'!$C$2:$C$1960,MATCH(758,Engine!$C$2:$C$1960,0)))</f>
        <v/>
      </c>
      <c r="D771" s="9">
        <f>IF(ISNA(MATCH(758,Engine!$C$2:$C$1960,0)),"",INDEX('Compliance Database'!$D$2:$D$1960,MATCH(758,Engine!$C$2:$C$1960,0)))</f>
        <v/>
      </c>
      <c r="E771" s="8">
        <f>IF(ISNA(MATCH(758,Engine!$C$2:$C$1960,0)),"",INDEX('Compliance Database'!$E$2:$E$1960,MATCH(758,Engine!$C$2:$C$1960,0)))</f>
        <v/>
      </c>
      <c r="F771" s="8">
        <f>IF(ISNA(MATCH(758,Engine!$C$2:$C$1960,0)),"",INDEX('Compliance Database'!$F$2:$F$1960,MATCH(758,Engine!$C$2:$C$1960,0)))</f>
        <v/>
      </c>
      <c r="G771" s="8">
        <f>IF(ISNA(MATCH(758,Engine!$C$2:$C$1960,0)),"",INDEX('Compliance Database'!$G$2:$G$1960,MATCH(758,Engine!$C$2:$C$1960,0)))</f>
        <v/>
      </c>
      <c r="H771" s="9">
        <f>IF(ISNA(MATCH(758,Engine!$C$2:$C$1960,0)),"",INDEX('Compliance Database'!$H$2:$H$1960,MATCH(758,Engine!$C$2:$C$1960,0)))</f>
        <v/>
      </c>
      <c r="I771" s="9">
        <f>IF(ISNA(MATCH(758,Engine!$C$2:$C$1960,0)),"",INDEX('Compliance Database'!$I$2:$I$1960,MATCH(758,Engine!$C$2:$C$1960,0)))</f>
        <v/>
      </c>
      <c r="J771" s="8">
        <f>IF(ISNA(MATCH(758,Engine!$C$2:$C$1960,0)),"",INDEX('Compliance Database'!$J$2:$J$1960,MATCH(758,Engine!$C$2:$C$1960,0)))</f>
        <v/>
      </c>
      <c r="K771" s="9">
        <f>IF(ISNA(MATCH(758,Engine!$C$2:$C$1960,0)),"",INDEX('Compliance Database'!$K$2:$K$1960,MATCH(758,Engine!$C$2:$C$1960,0)))</f>
        <v/>
      </c>
      <c r="L771" s="9">
        <f>IF(ISNA(MATCH(758,Engine!$C$2:$C$1960,0)),"",INDEX('Compliance Database'!$L$2:$L$1960,MATCH(758,Engine!$C$2:$C$1960,0)))</f>
        <v/>
      </c>
      <c r="M771" s="9">
        <f>IF(ISNA(MATCH(758,Engine!$C$2:$C$1960,0)),"",INDEX('Compliance Database'!$M$2:$M$1960,MATCH(758,Engine!$C$2:$C$1960,0)))</f>
        <v/>
      </c>
      <c r="N771" s="9">
        <f>IF(ISNA(MATCH(758,Engine!$C$2:$C$1960,0)),"",INDEX('Compliance Database'!$N$2:$N$1960,MATCH(758,Engine!$C$2:$C$1960,0)))</f>
        <v/>
      </c>
      <c r="O771" s="9">
        <f>IF(ISNA(MATCH(758,Engine!$C$2:$C$1960,0)),"",INDEX('Compliance Database'!$O$2:$O$1960,MATCH(758,Engine!$C$2:$C$1960,0)))</f>
        <v/>
      </c>
      <c r="P771" s="8">
        <f>IF(ISNA(MATCH(758,Engine!$C$2:$C$1960,0)),"",HYPERLINK("#Acts!A"&amp;INDEX('Compliance Database'!$P$2:$P$1960,MATCH(758,Engine!$C$2:$C$1960,0)),"Go to Act"))</f>
        <v/>
      </c>
    </row>
    <row r="772" ht="158" customHeight="1">
      <c r="A772" s="8">
        <f>IF(ISNA(MATCH(759,Engine!$C$2:$C$1960,0)),"",INDEX('Compliance Database'!$A$2:$A$1960,MATCH(759,Engine!$C$2:$C$1960,0)))</f>
        <v/>
      </c>
      <c r="B772" s="8">
        <f>IF(ISNA(MATCH(759,Engine!$C$2:$C$1960,0)),"",INDEX('Compliance Database'!$B$2:$B$1960,MATCH(759,Engine!$C$2:$C$1960,0)))</f>
        <v/>
      </c>
      <c r="C772" s="8">
        <f>IF(ISNA(MATCH(759,Engine!$C$2:$C$1960,0)),"",INDEX('Compliance Database'!$C$2:$C$1960,MATCH(759,Engine!$C$2:$C$1960,0)))</f>
        <v/>
      </c>
      <c r="D772" s="9">
        <f>IF(ISNA(MATCH(759,Engine!$C$2:$C$1960,0)),"",INDEX('Compliance Database'!$D$2:$D$1960,MATCH(759,Engine!$C$2:$C$1960,0)))</f>
        <v/>
      </c>
      <c r="E772" s="8">
        <f>IF(ISNA(MATCH(759,Engine!$C$2:$C$1960,0)),"",INDEX('Compliance Database'!$E$2:$E$1960,MATCH(759,Engine!$C$2:$C$1960,0)))</f>
        <v/>
      </c>
      <c r="F772" s="8">
        <f>IF(ISNA(MATCH(759,Engine!$C$2:$C$1960,0)),"",INDEX('Compliance Database'!$F$2:$F$1960,MATCH(759,Engine!$C$2:$C$1960,0)))</f>
        <v/>
      </c>
      <c r="G772" s="8">
        <f>IF(ISNA(MATCH(759,Engine!$C$2:$C$1960,0)),"",INDEX('Compliance Database'!$G$2:$G$1960,MATCH(759,Engine!$C$2:$C$1960,0)))</f>
        <v/>
      </c>
      <c r="H772" s="9">
        <f>IF(ISNA(MATCH(759,Engine!$C$2:$C$1960,0)),"",INDEX('Compliance Database'!$H$2:$H$1960,MATCH(759,Engine!$C$2:$C$1960,0)))</f>
        <v/>
      </c>
      <c r="I772" s="9">
        <f>IF(ISNA(MATCH(759,Engine!$C$2:$C$1960,0)),"",INDEX('Compliance Database'!$I$2:$I$1960,MATCH(759,Engine!$C$2:$C$1960,0)))</f>
        <v/>
      </c>
      <c r="J772" s="8">
        <f>IF(ISNA(MATCH(759,Engine!$C$2:$C$1960,0)),"",INDEX('Compliance Database'!$J$2:$J$1960,MATCH(759,Engine!$C$2:$C$1960,0)))</f>
        <v/>
      </c>
      <c r="K772" s="9">
        <f>IF(ISNA(MATCH(759,Engine!$C$2:$C$1960,0)),"",INDEX('Compliance Database'!$K$2:$K$1960,MATCH(759,Engine!$C$2:$C$1960,0)))</f>
        <v/>
      </c>
      <c r="L772" s="9">
        <f>IF(ISNA(MATCH(759,Engine!$C$2:$C$1960,0)),"",INDEX('Compliance Database'!$L$2:$L$1960,MATCH(759,Engine!$C$2:$C$1960,0)))</f>
        <v/>
      </c>
      <c r="M772" s="9">
        <f>IF(ISNA(MATCH(759,Engine!$C$2:$C$1960,0)),"",INDEX('Compliance Database'!$M$2:$M$1960,MATCH(759,Engine!$C$2:$C$1960,0)))</f>
        <v/>
      </c>
      <c r="N772" s="9">
        <f>IF(ISNA(MATCH(759,Engine!$C$2:$C$1960,0)),"",INDEX('Compliance Database'!$N$2:$N$1960,MATCH(759,Engine!$C$2:$C$1960,0)))</f>
        <v/>
      </c>
      <c r="O772" s="9">
        <f>IF(ISNA(MATCH(759,Engine!$C$2:$C$1960,0)),"",INDEX('Compliance Database'!$O$2:$O$1960,MATCH(759,Engine!$C$2:$C$1960,0)))</f>
        <v/>
      </c>
      <c r="P772" s="8">
        <f>IF(ISNA(MATCH(759,Engine!$C$2:$C$1960,0)),"",HYPERLINK("#Acts!A"&amp;INDEX('Compliance Database'!$P$2:$P$1960,MATCH(759,Engine!$C$2:$C$1960,0)),"Go to Act"))</f>
        <v/>
      </c>
    </row>
    <row r="773" ht="158" customHeight="1">
      <c r="A773" s="8">
        <f>IF(ISNA(MATCH(760,Engine!$C$2:$C$1960,0)),"",INDEX('Compliance Database'!$A$2:$A$1960,MATCH(760,Engine!$C$2:$C$1960,0)))</f>
        <v/>
      </c>
      <c r="B773" s="8">
        <f>IF(ISNA(MATCH(760,Engine!$C$2:$C$1960,0)),"",INDEX('Compliance Database'!$B$2:$B$1960,MATCH(760,Engine!$C$2:$C$1960,0)))</f>
        <v/>
      </c>
      <c r="C773" s="8">
        <f>IF(ISNA(MATCH(760,Engine!$C$2:$C$1960,0)),"",INDEX('Compliance Database'!$C$2:$C$1960,MATCH(760,Engine!$C$2:$C$1960,0)))</f>
        <v/>
      </c>
      <c r="D773" s="9">
        <f>IF(ISNA(MATCH(760,Engine!$C$2:$C$1960,0)),"",INDEX('Compliance Database'!$D$2:$D$1960,MATCH(760,Engine!$C$2:$C$1960,0)))</f>
        <v/>
      </c>
      <c r="E773" s="8">
        <f>IF(ISNA(MATCH(760,Engine!$C$2:$C$1960,0)),"",INDEX('Compliance Database'!$E$2:$E$1960,MATCH(760,Engine!$C$2:$C$1960,0)))</f>
        <v/>
      </c>
      <c r="F773" s="8">
        <f>IF(ISNA(MATCH(760,Engine!$C$2:$C$1960,0)),"",INDEX('Compliance Database'!$F$2:$F$1960,MATCH(760,Engine!$C$2:$C$1960,0)))</f>
        <v/>
      </c>
      <c r="G773" s="8">
        <f>IF(ISNA(MATCH(760,Engine!$C$2:$C$1960,0)),"",INDEX('Compliance Database'!$G$2:$G$1960,MATCH(760,Engine!$C$2:$C$1960,0)))</f>
        <v/>
      </c>
      <c r="H773" s="9">
        <f>IF(ISNA(MATCH(760,Engine!$C$2:$C$1960,0)),"",INDEX('Compliance Database'!$H$2:$H$1960,MATCH(760,Engine!$C$2:$C$1960,0)))</f>
        <v/>
      </c>
      <c r="I773" s="9">
        <f>IF(ISNA(MATCH(760,Engine!$C$2:$C$1960,0)),"",INDEX('Compliance Database'!$I$2:$I$1960,MATCH(760,Engine!$C$2:$C$1960,0)))</f>
        <v/>
      </c>
      <c r="J773" s="8">
        <f>IF(ISNA(MATCH(760,Engine!$C$2:$C$1960,0)),"",INDEX('Compliance Database'!$J$2:$J$1960,MATCH(760,Engine!$C$2:$C$1960,0)))</f>
        <v/>
      </c>
      <c r="K773" s="9">
        <f>IF(ISNA(MATCH(760,Engine!$C$2:$C$1960,0)),"",INDEX('Compliance Database'!$K$2:$K$1960,MATCH(760,Engine!$C$2:$C$1960,0)))</f>
        <v/>
      </c>
      <c r="L773" s="9">
        <f>IF(ISNA(MATCH(760,Engine!$C$2:$C$1960,0)),"",INDEX('Compliance Database'!$L$2:$L$1960,MATCH(760,Engine!$C$2:$C$1960,0)))</f>
        <v/>
      </c>
      <c r="M773" s="9">
        <f>IF(ISNA(MATCH(760,Engine!$C$2:$C$1960,0)),"",INDEX('Compliance Database'!$M$2:$M$1960,MATCH(760,Engine!$C$2:$C$1960,0)))</f>
        <v/>
      </c>
      <c r="N773" s="9">
        <f>IF(ISNA(MATCH(760,Engine!$C$2:$C$1960,0)),"",INDEX('Compliance Database'!$N$2:$N$1960,MATCH(760,Engine!$C$2:$C$1960,0)))</f>
        <v/>
      </c>
      <c r="O773" s="9">
        <f>IF(ISNA(MATCH(760,Engine!$C$2:$C$1960,0)),"",INDEX('Compliance Database'!$O$2:$O$1960,MATCH(760,Engine!$C$2:$C$1960,0)))</f>
        <v/>
      </c>
      <c r="P773" s="8">
        <f>IF(ISNA(MATCH(760,Engine!$C$2:$C$1960,0)),"",HYPERLINK("#Acts!A"&amp;INDEX('Compliance Database'!$P$2:$P$1960,MATCH(760,Engine!$C$2:$C$1960,0)),"Go to Act"))</f>
        <v/>
      </c>
    </row>
    <row r="774" ht="158" customHeight="1">
      <c r="A774" s="8">
        <f>IF(ISNA(MATCH(761,Engine!$C$2:$C$1960,0)),"",INDEX('Compliance Database'!$A$2:$A$1960,MATCH(761,Engine!$C$2:$C$1960,0)))</f>
        <v/>
      </c>
      <c r="B774" s="8">
        <f>IF(ISNA(MATCH(761,Engine!$C$2:$C$1960,0)),"",INDEX('Compliance Database'!$B$2:$B$1960,MATCH(761,Engine!$C$2:$C$1960,0)))</f>
        <v/>
      </c>
      <c r="C774" s="8">
        <f>IF(ISNA(MATCH(761,Engine!$C$2:$C$1960,0)),"",INDEX('Compliance Database'!$C$2:$C$1960,MATCH(761,Engine!$C$2:$C$1960,0)))</f>
        <v/>
      </c>
      <c r="D774" s="9">
        <f>IF(ISNA(MATCH(761,Engine!$C$2:$C$1960,0)),"",INDEX('Compliance Database'!$D$2:$D$1960,MATCH(761,Engine!$C$2:$C$1960,0)))</f>
        <v/>
      </c>
      <c r="E774" s="8">
        <f>IF(ISNA(MATCH(761,Engine!$C$2:$C$1960,0)),"",INDEX('Compliance Database'!$E$2:$E$1960,MATCH(761,Engine!$C$2:$C$1960,0)))</f>
        <v/>
      </c>
      <c r="F774" s="8">
        <f>IF(ISNA(MATCH(761,Engine!$C$2:$C$1960,0)),"",INDEX('Compliance Database'!$F$2:$F$1960,MATCH(761,Engine!$C$2:$C$1960,0)))</f>
        <v/>
      </c>
      <c r="G774" s="8">
        <f>IF(ISNA(MATCH(761,Engine!$C$2:$C$1960,0)),"",INDEX('Compliance Database'!$G$2:$G$1960,MATCH(761,Engine!$C$2:$C$1960,0)))</f>
        <v/>
      </c>
      <c r="H774" s="9">
        <f>IF(ISNA(MATCH(761,Engine!$C$2:$C$1960,0)),"",INDEX('Compliance Database'!$H$2:$H$1960,MATCH(761,Engine!$C$2:$C$1960,0)))</f>
        <v/>
      </c>
      <c r="I774" s="9">
        <f>IF(ISNA(MATCH(761,Engine!$C$2:$C$1960,0)),"",INDEX('Compliance Database'!$I$2:$I$1960,MATCH(761,Engine!$C$2:$C$1960,0)))</f>
        <v/>
      </c>
      <c r="J774" s="8">
        <f>IF(ISNA(MATCH(761,Engine!$C$2:$C$1960,0)),"",INDEX('Compliance Database'!$J$2:$J$1960,MATCH(761,Engine!$C$2:$C$1960,0)))</f>
        <v/>
      </c>
      <c r="K774" s="9">
        <f>IF(ISNA(MATCH(761,Engine!$C$2:$C$1960,0)),"",INDEX('Compliance Database'!$K$2:$K$1960,MATCH(761,Engine!$C$2:$C$1960,0)))</f>
        <v/>
      </c>
      <c r="L774" s="9">
        <f>IF(ISNA(MATCH(761,Engine!$C$2:$C$1960,0)),"",INDEX('Compliance Database'!$L$2:$L$1960,MATCH(761,Engine!$C$2:$C$1960,0)))</f>
        <v/>
      </c>
      <c r="M774" s="9">
        <f>IF(ISNA(MATCH(761,Engine!$C$2:$C$1960,0)),"",INDEX('Compliance Database'!$M$2:$M$1960,MATCH(761,Engine!$C$2:$C$1960,0)))</f>
        <v/>
      </c>
      <c r="N774" s="9">
        <f>IF(ISNA(MATCH(761,Engine!$C$2:$C$1960,0)),"",INDEX('Compliance Database'!$N$2:$N$1960,MATCH(761,Engine!$C$2:$C$1960,0)))</f>
        <v/>
      </c>
      <c r="O774" s="9">
        <f>IF(ISNA(MATCH(761,Engine!$C$2:$C$1960,0)),"",INDEX('Compliance Database'!$O$2:$O$1960,MATCH(761,Engine!$C$2:$C$1960,0)))</f>
        <v/>
      </c>
      <c r="P774" s="8">
        <f>IF(ISNA(MATCH(761,Engine!$C$2:$C$1960,0)),"",HYPERLINK("#Acts!A"&amp;INDEX('Compliance Database'!$P$2:$P$1960,MATCH(761,Engine!$C$2:$C$1960,0)),"Go to Act"))</f>
        <v/>
      </c>
    </row>
    <row r="775" ht="158" customHeight="1">
      <c r="A775" s="8">
        <f>IF(ISNA(MATCH(762,Engine!$C$2:$C$1960,0)),"",INDEX('Compliance Database'!$A$2:$A$1960,MATCH(762,Engine!$C$2:$C$1960,0)))</f>
        <v/>
      </c>
      <c r="B775" s="8">
        <f>IF(ISNA(MATCH(762,Engine!$C$2:$C$1960,0)),"",INDEX('Compliance Database'!$B$2:$B$1960,MATCH(762,Engine!$C$2:$C$1960,0)))</f>
        <v/>
      </c>
      <c r="C775" s="8">
        <f>IF(ISNA(MATCH(762,Engine!$C$2:$C$1960,0)),"",INDEX('Compliance Database'!$C$2:$C$1960,MATCH(762,Engine!$C$2:$C$1960,0)))</f>
        <v/>
      </c>
      <c r="D775" s="9">
        <f>IF(ISNA(MATCH(762,Engine!$C$2:$C$1960,0)),"",INDEX('Compliance Database'!$D$2:$D$1960,MATCH(762,Engine!$C$2:$C$1960,0)))</f>
        <v/>
      </c>
      <c r="E775" s="8">
        <f>IF(ISNA(MATCH(762,Engine!$C$2:$C$1960,0)),"",INDEX('Compliance Database'!$E$2:$E$1960,MATCH(762,Engine!$C$2:$C$1960,0)))</f>
        <v/>
      </c>
      <c r="F775" s="8">
        <f>IF(ISNA(MATCH(762,Engine!$C$2:$C$1960,0)),"",INDEX('Compliance Database'!$F$2:$F$1960,MATCH(762,Engine!$C$2:$C$1960,0)))</f>
        <v/>
      </c>
      <c r="G775" s="8">
        <f>IF(ISNA(MATCH(762,Engine!$C$2:$C$1960,0)),"",INDEX('Compliance Database'!$G$2:$G$1960,MATCH(762,Engine!$C$2:$C$1960,0)))</f>
        <v/>
      </c>
      <c r="H775" s="9">
        <f>IF(ISNA(MATCH(762,Engine!$C$2:$C$1960,0)),"",INDEX('Compliance Database'!$H$2:$H$1960,MATCH(762,Engine!$C$2:$C$1960,0)))</f>
        <v/>
      </c>
      <c r="I775" s="9">
        <f>IF(ISNA(MATCH(762,Engine!$C$2:$C$1960,0)),"",INDEX('Compliance Database'!$I$2:$I$1960,MATCH(762,Engine!$C$2:$C$1960,0)))</f>
        <v/>
      </c>
      <c r="J775" s="8">
        <f>IF(ISNA(MATCH(762,Engine!$C$2:$C$1960,0)),"",INDEX('Compliance Database'!$J$2:$J$1960,MATCH(762,Engine!$C$2:$C$1960,0)))</f>
        <v/>
      </c>
      <c r="K775" s="9">
        <f>IF(ISNA(MATCH(762,Engine!$C$2:$C$1960,0)),"",INDEX('Compliance Database'!$K$2:$K$1960,MATCH(762,Engine!$C$2:$C$1960,0)))</f>
        <v/>
      </c>
      <c r="L775" s="9">
        <f>IF(ISNA(MATCH(762,Engine!$C$2:$C$1960,0)),"",INDEX('Compliance Database'!$L$2:$L$1960,MATCH(762,Engine!$C$2:$C$1960,0)))</f>
        <v/>
      </c>
      <c r="M775" s="9">
        <f>IF(ISNA(MATCH(762,Engine!$C$2:$C$1960,0)),"",INDEX('Compliance Database'!$M$2:$M$1960,MATCH(762,Engine!$C$2:$C$1960,0)))</f>
        <v/>
      </c>
      <c r="N775" s="9">
        <f>IF(ISNA(MATCH(762,Engine!$C$2:$C$1960,0)),"",INDEX('Compliance Database'!$N$2:$N$1960,MATCH(762,Engine!$C$2:$C$1960,0)))</f>
        <v/>
      </c>
      <c r="O775" s="9">
        <f>IF(ISNA(MATCH(762,Engine!$C$2:$C$1960,0)),"",INDEX('Compliance Database'!$O$2:$O$1960,MATCH(762,Engine!$C$2:$C$1960,0)))</f>
        <v/>
      </c>
      <c r="P775" s="8">
        <f>IF(ISNA(MATCH(762,Engine!$C$2:$C$1960,0)),"",HYPERLINK("#Acts!A"&amp;INDEX('Compliance Database'!$P$2:$P$1960,MATCH(762,Engine!$C$2:$C$1960,0)),"Go to Act"))</f>
        <v/>
      </c>
    </row>
    <row r="776" ht="158" customHeight="1">
      <c r="A776" s="8">
        <f>IF(ISNA(MATCH(763,Engine!$C$2:$C$1960,0)),"",INDEX('Compliance Database'!$A$2:$A$1960,MATCH(763,Engine!$C$2:$C$1960,0)))</f>
        <v/>
      </c>
      <c r="B776" s="8">
        <f>IF(ISNA(MATCH(763,Engine!$C$2:$C$1960,0)),"",INDEX('Compliance Database'!$B$2:$B$1960,MATCH(763,Engine!$C$2:$C$1960,0)))</f>
        <v/>
      </c>
      <c r="C776" s="8">
        <f>IF(ISNA(MATCH(763,Engine!$C$2:$C$1960,0)),"",INDEX('Compliance Database'!$C$2:$C$1960,MATCH(763,Engine!$C$2:$C$1960,0)))</f>
        <v/>
      </c>
      <c r="D776" s="9">
        <f>IF(ISNA(MATCH(763,Engine!$C$2:$C$1960,0)),"",INDEX('Compliance Database'!$D$2:$D$1960,MATCH(763,Engine!$C$2:$C$1960,0)))</f>
        <v/>
      </c>
      <c r="E776" s="8">
        <f>IF(ISNA(MATCH(763,Engine!$C$2:$C$1960,0)),"",INDEX('Compliance Database'!$E$2:$E$1960,MATCH(763,Engine!$C$2:$C$1960,0)))</f>
        <v/>
      </c>
      <c r="F776" s="8">
        <f>IF(ISNA(MATCH(763,Engine!$C$2:$C$1960,0)),"",INDEX('Compliance Database'!$F$2:$F$1960,MATCH(763,Engine!$C$2:$C$1960,0)))</f>
        <v/>
      </c>
      <c r="G776" s="8">
        <f>IF(ISNA(MATCH(763,Engine!$C$2:$C$1960,0)),"",INDEX('Compliance Database'!$G$2:$G$1960,MATCH(763,Engine!$C$2:$C$1960,0)))</f>
        <v/>
      </c>
      <c r="H776" s="9">
        <f>IF(ISNA(MATCH(763,Engine!$C$2:$C$1960,0)),"",INDEX('Compliance Database'!$H$2:$H$1960,MATCH(763,Engine!$C$2:$C$1960,0)))</f>
        <v/>
      </c>
      <c r="I776" s="9">
        <f>IF(ISNA(MATCH(763,Engine!$C$2:$C$1960,0)),"",INDEX('Compliance Database'!$I$2:$I$1960,MATCH(763,Engine!$C$2:$C$1960,0)))</f>
        <v/>
      </c>
      <c r="J776" s="8">
        <f>IF(ISNA(MATCH(763,Engine!$C$2:$C$1960,0)),"",INDEX('Compliance Database'!$J$2:$J$1960,MATCH(763,Engine!$C$2:$C$1960,0)))</f>
        <v/>
      </c>
      <c r="K776" s="9">
        <f>IF(ISNA(MATCH(763,Engine!$C$2:$C$1960,0)),"",INDEX('Compliance Database'!$K$2:$K$1960,MATCH(763,Engine!$C$2:$C$1960,0)))</f>
        <v/>
      </c>
      <c r="L776" s="9">
        <f>IF(ISNA(MATCH(763,Engine!$C$2:$C$1960,0)),"",INDEX('Compliance Database'!$L$2:$L$1960,MATCH(763,Engine!$C$2:$C$1960,0)))</f>
        <v/>
      </c>
      <c r="M776" s="9">
        <f>IF(ISNA(MATCH(763,Engine!$C$2:$C$1960,0)),"",INDEX('Compliance Database'!$M$2:$M$1960,MATCH(763,Engine!$C$2:$C$1960,0)))</f>
        <v/>
      </c>
      <c r="N776" s="9">
        <f>IF(ISNA(MATCH(763,Engine!$C$2:$C$1960,0)),"",INDEX('Compliance Database'!$N$2:$N$1960,MATCH(763,Engine!$C$2:$C$1960,0)))</f>
        <v/>
      </c>
      <c r="O776" s="9">
        <f>IF(ISNA(MATCH(763,Engine!$C$2:$C$1960,0)),"",INDEX('Compliance Database'!$O$2:$O$1960,MATCH(763,Engine!$C$2:$C$1960,0)))</f>
        <v/>
      </c>
      <c r="P776" s="8">
        <f>IF(ISNA(MATCH(763,Engine!$C$2:$C$1960,0)),"",HYPERLINK("#Acts!A"&amp;INDEX('Compliance Database'!$P$2:$P$1960,MATCH(763,Engine!$C$2:$C$1960,0)),"Go to Act"))</f>
        <v/>
      </c>
    </row>
    <row r="777" ht="158" customHeight="1">
      <c r="A777" s="8">
        <f>IF(ISNA(MATCH(764,Engine!$C$2:$C$1960,0)),"",INDEX('Compliance Database'!$A$2:$A$1960,MATCH(764,Engine!$C$2:$C$1960,0)))</f>
        <v/>
      </c>
      <c r="B777" s="8">
        <f>IF(ISNA(MATCH(764,Engine!$C$2:$C$1960,0)),"",INDEX('Compliance Database'!$B$2:$B$1960,MATCH(764,Engine!$C$2:$C$1960,0)))</f>
        <v/>
      </c>
      <c r="C777" s="8">
        <f>IF(ISNA(MATCH(764,Engine!$C$2:$C$1960,0)),"",INDEX('Compliance Database'!$C$2:$C$1960,MATCH(764,Engine!$C$2:$C$1960,0)))</f>
        <v/>
      </c>
      <c r="D777" s="9">
        <f>IF(ISNA(MATCH(764,Engine!$C$2:$C$1960,0)),"",INDEX('Compliance Database'!$D$2:$D$1960,MATCH(764,Engine!$C$2:$C$1960,0)))</f>
        <v/>
      </c>
      <c r="E777" s="8">
        <f>IF(ISNA(MATCH(764,Engine!$C$2:$C$1960,0)),"",INDEX('Compliance Database'!$E$2:$E$1960,MATCH(764,Engine!$C$2:$C$1960,0)))</f>
        <v/>
      </c>
      <c r="F777" s="8">
        <f>IF(ISNA(MATCH(764,Engine!$C$2:$C$1960,0)),"",INDEX('Compliance Database'!$F$2:$F$1960,MATCH(764,Engine!$C$2:$C$1960,0)))</f>
        <v/>
      </c>
      <c r="G777" s="8">
        <f>IF(ISNA(MATCH(764,Engine!$C$2:$C$1960,0)),"",INDEX('Compliance Database'!$G$2:$G$1960,MATCH(764,Engine!$C$2:$C$1960,0)))</f>
        <v/>
      </c>
      <c r="H777" s="9">
        <f>IF(ISNA(MATCH(764,Engine!$C$2:$C$1960,0)),"",INDEX('Compliance Database'!$H$2:$H$1960,MATCH(764,Engine!$C$2:$C$1960,0)))</f>
        <v/>
      </c>
      <c r="I777" s="9">
        <f>IF(ISNA(MATCH(764,Engine!$C$2:$C$1960,0)),"",INDEX('Compliance Database'!$I$2:$I$1960,MATCH(764,Engine!$C$2:$C$1960,0)))</f>
        <v/>
      </c>
      <c r="J777" s="8">
        <f>IF(ISNA(MATCH(764,Engine!$C$2:$C$1960,0)),"",INDEX('Compliance Database'!$J$2:$J$1960,MATCH(764,Engine!$C$2:$C$1960,0)))</f>
        <v/>
      </c>
      <c r="K777" s="9">
        <f>IF(ISNA(MATCH(764,Engine!$C$2:$C$1960,0)),"",INDEX('Compliance Database'!$K$2:$K$1960,MATCH(764,Engine!$C$2:$C$1960,0)))</f>
        <v/>
      </c>
      <c r="L777" s="9">
        <f>IF(ISNA(MATCH(764,Engine!$C$2:$C$1960,0)),"",INDEX('Compliance Database'!$L$2:$L$1960,MATCH(764,Engine!$C$2:$C$1960,0)))</f>
        <v/>
      </c>
      <c r="M777" s="9">
        <f>IF(ISNA(MATCH(764,Engine!$C$2:$C$1960,0)),"",INDEX('Compliance Database'!$M$2:$M$1960,MATCH(764,Engine!$C$2:$C$1960,0)))</f>
        <v/>
      </c>
      <c r="N777" s="9">
        <f>IF(ISNA(MATCH(764,Engine!$C$2:$C$1960,0)),"",INDEX('Compliance Database'!$N$2:$N$1960,MATCH(764,Engine!$C$2:$C$1960,0)))</f>
        <v/>
      </c>
      <c r="O777" s="9">
        <f>IF(ISNA(MATCH(764,Engine!$C$2:$C$1960,0)),"",INDEX('Compliance Database'!$O$2:$O$1960,MATCH(764,Engine!$C$2:$C$1960,0)))</f>
        <v/>
      </c>
      <c r="P777" s="8">
        <f>IF(ISNA(MATCH(764,Engine!$C$2:$C$1960,0)),"",HYPERLINK("#Acts!A"&amp;INDEX('Compliance Database'!$P$2:$P$1960,MATCH(764,Engine!$C$2:$C$1960,0)),"Go to Act"))</f>
        <v/>
      </c>
    </row>
    <row r="778" ht="158" customHeight="1">
      <c r="A778" s="8">
        <f>IF(ISNA(MATCH(765,Engine!$C$2:$C$1960,0)),"",INDEX('Compliance Database'!$A$2:$A$1960,MATCH(765,Engine!$C$2:$C$1960,0)))</f>
        <v/>
      </c>
      <c r="B778" s="8">
        <f>IF(ISNA(MATCH(765,Engine!$C$2:$C$1960,0)),"",INDEX('Compliance Database'!$B$2:$B$1960,MATCH(765,Engine!$C$2:$C$1960,0)))</f>
        <v/>
      </c>
      <c r="C778" s="8">
        <f>IF(ISNA(MATCH(765,Engine!$C$2:$C$1960,0)),"",INDEX('Compliance Database'!$C$2:$C$1960,MATCH(765,Engine!$C$2:$C$1960,0)))</f>
        <v/>
      </c>
      <c r="D778" s="9">
        <f>IF(ISNA(MATCH(765,Engine!$C$2:$C$1960,0)),"",INDEX('Compliance Database'!$D$2:$D$1960,MATCH(765,Engine!$C$2:$C$1960,0)))</f>
        <v/>
      </c>
      <c r="E778" s="8">
        <f>IF(ISNA(MATCH(765,Engine!$C$2:$C$1960,0)),"",INDEX('Compliance Database'!$E$2:$E$1960,MATCH(765,Engine!$C$2:$C$1960,0)))</f>
        <v/>
      </c>
      <c r="F778" s="8">
        <f>IF(ISNA(MATCH(765,Engine!$C$2:$C$1960,0)),"",INDEX('Compliance Database'!$F$2:$F$1960,MATCH(765,Engine!$C$2:$C$1960,0)))</f>
        <v/>
      </c>
      <c r="G778" s="8">
        <f>IF(ISNA(MATCH(765,Engine!$C$2:$C$1960,0)),"",INDEX('Compliance Database'!$G$2:$G$1960,MATCH(765,Engine!$C$2:$C$1960,0)))</f>
        <v/>
      </c>
      <c r="H778" s="9">
        <f>IF(ISNA(MATCH(765,Engine!$C$2:$C$1960,0)),"",INDEX('Compliance Database'!$H$2:$H$1960,MATCH(765,Engine!$C$2:$C$1960,0)))</f>
        <v/>
      </c>
      <c r="I778" s="9">
        <f>IF(ISNA(MATCH(765,Engine!$C$2:$C$1960,0)),"",INDEX('Compliance Database'!$I$2:$I$1960,MATCH(765,Engine!$C$2:$C$1960,0)))</f>
        <v/>
      </c>
      <c r="J778" s="8">
        <f>IF(ISNA(MATCH(765,Engine!$C$2:$C$1960,0)),"",INDEX('Compliance Database'!$J$2:$J$1960,MATCH(765,Engine!$C$2:$C$1960,0)))</f>
        <v/>
      </c>
      <c r="K778" s="9">
        <f>IF(ISNA(MATCH(765,Engine!$C$2:$C$1960,0)),"",INDEX('Compliance Database'!$K$2:$K$1960,MATCH(765,Engine!$C$2:$C$1960,0)))</f>
        <v/>
      </c>
      <c r="L778" s="9">
        <f>IF(ISNA(MATCH(765,Engine!$C$2:$C$1960,0)),"",INDEX('Compliance Database'!$L$2:$L$1960,MATCH(765,Engine!$C$2:$C$1960,0)))</f>
        <v/>
      </c>
      <c r="M778" s="9">
        <f>IF(ISNA(MATCH(765,Engine!$C$2:$C$1960,0)),"",INDEX('Compliance Database'!$M$2:$M$1960,MATCH(765,Engine!$C$2:$C$1960,0)))</f>
        <v/>
      </c>
      <c r="N778" s="9">
        <f>IF(ISNA(MATCH(765,Engine!$C$2:$C$1960,0)),"",INDEX('Compliance Database'!$N$2:$N$1960,MATCH(765,Engine!$C$2:$C$1960,0)))</f>
        <v/>
      </c>
      <c r="O778" s="9">
        <f>IF(ISNA(MATCH(765,Engine!$C$2:$C$1960,0)),"",INDEX('Compliance Database'!$O$2:$O$1960,MATCH(765,Engine!$C$2:$C$1960,0)))</f>
        <v/>
      </c>
      <c r="P778" s="8">
        <f>IF(ISNA(MATCH(765,Engine!$C$2:$C$1960,0)),"",HYPERLINK("#Acts!A"&amp;INDEX('Compliance Database'!$P$2:$P$1960,MATCH(765,Engine!$C$2:$C$1960,0)),"Go to Act"))</f>
        <v/>
      </c>
    </row>
    <row r="779" ht="158" customHeight="1">
      <c r="A779" s="8">
        <f>IF(ISNA(MATCH(766,Engine!$C$2:$C$1960,0)),"",INDEX('Compliance Database'!$A$2:$A$1960,MATCH(766,Engine!$C$2:$C$1960,0)))</f>
        <v/>
      </c>
      <c r="B779" s="8">
        <f>IF(ISNA(MATCH(766,Engine!$C$2:$C$1960,0)),"",INDEX('Compliance Database'!$B$2:$B$1960,MATCH(766,Engine!$C$2:$C$1960,0)))</f>
        <v/>
      </c>
      <c r="C779" s="8">
        <f>IF(ISNA(MATCH(766,Engine!$C$2:$C$1960,0)),"",INDEX('Compliance Database'!$C$2:$C$1960,MATCH(766,Engine!$C$2:$C$1960,0)))</f>
        <v/>
      </c>
      <c r="D779" s="9">
        <f>IF(ISNA(MATCH(766,Engine!$C$2:$C$1960,0)),"",INDEX('Compliance Database'!$D$2:$D$1960,MATCH(766,Engine!$C$2:$C$1960,0)))</f>
        <v/>
      </c>
      <c r="E779" s="8">
        <f>IF(ISNA(MATCH(766,Engine!$C$2:$C$1960,0)),"",INDEX('Compliance Database'!$E$2:$E$1960,MATCH(766,Engine!$C$2:$C$1960,0)))</f>
        <v/>
      </c>
      <c r="F779" s="8">
        <f>IF(ISNA(MATCH(766,Engine!$C$2:$C$1960,0)),"",INDEX('Compliance Database'!$F$2:$F$1960,MATCH(766,Engine!$C$2:$C$1960,0)))</f>
        <v/>
      </c>
      <c r="G779" s="8">
        <f>IF(ISNA(MATCH(766,Engine!$C$2:$C$1960,0)),"",INDEX('Compliance Database'!$G$2:$G$1960,MATCH(766,Engine!$C$2:$C$1960,0)))</f>
        <v/>
      </c>
      <c r="H779" s="9">
        <f>IF(ISNA(MATCH(766,Engine!$C$2:$C$1960,0)),"",INDEX('Compliance Database'!$H$2:$H$1960,MATCH(766,Engine!$C$2:$C$1960,0)))</f>
        <v/>
      </c>
      <c r="I779" s="9">
        <f>IF(ISNA(MATCH(766,Engine!$C$2:$C$1960,0)),"",INDEX('Compliance Database'!$I$2:$I$1960,MATCH(766,Engine!$C$2:$C$1960,0)))</f>
        <v/>
      </c>
      <c r="J779" s="8">
        <f>IF(ISNA(MATCH(766,Engine!$C$2:$C$1960,0)),"",INDEX('Compliance Database'!$J$2:$J$1960,MATCH(766,Engine!$C$2:$C$1960,0)))</f>
        <v/>
      </c>
      <c r="K779" s="9">
        <f>IF(ISNA(MATCH(766,Engine!$C$2:$C$1960,0)),"",INDEX('Compliance Database'!$K$2:$K$1960,MATCH(766,Engine!$C$2:$C$1960,0)))</f>
        <v/>
      </c>
      <c r="L779" s="9">
        <f>IF(ISNA(MATCH(766,Engine!$C$2:$C$1960,0)),"",INDEX('Compliance Database'!$L$2:$L$1960,MATCH(766,Engine!$C$2:$C$1960,0)))</f>
        <v/>
      </c>
      <c r="M779" s="9">
        <f>IF(ISNA(MATCH(766,Engine!$C$2:$C$1960,0)),"",INDEX('Compliance Database'!$M$2:$M$1960,MATCH(766,Engine!$C$2:$C$1960,0)))</f>
        <v/>
      </c>
      <c r="N779" s="9">
        <f>IF(ISNA(MATCH(766,Engine!$C$2:$C$1960,0)),"",INDEX('Compliance Database'!$N$2:$N$1960,MATCH(766,Engine!$C$2:$C$1960,0)))</f>
        <v/>
      </c>
      <c r="O779" s="9">
        <f>IF(ISNA(MATCH(766,Engine!$C$2:$C$1960,0)),"",INDEX('Compliance Database'!$O$2:$O$1960,MATCH(766,Engine!$C$2:$C$1960,0)))</f>
        <v/>
      </c>
      <c r="P779" s="8">
        <f>IF(ISNA(MATCH(766,Engine!$C$2:$C$1960,0)),"",HYPERLINK("#Acts!A"&amp;INDEX('Compliance Database'!$P$2:$P$1960,MATCH(766,Engine!$C$2:$C$1960,0)),"Go to Act"))</f>
        <v/>
      </c>
    </row>
    <row r="780" ht="158" customHeight="1">
      <c r="A780" s="8">
        <f>IF(ISNA(MATCH(767,Engine!$C$2:$C$1960,0)),"",INDEX('Compliance Database'!$A$2:$A$1960,MATCH(767,Engine!$C$2:$C$1960,0)))</f>
        <v/>
      </c>
      <c r="B780" s="8">
        <f>IF(ISNA(MATCH(767,Engine!$C$2:$C$1960,0)),"",INDEX('Compliance Database'!$B$2:$B$1960,MATCH(767,Engine!$C$2:$C$1960,0)))</f>
        <v/>
      </c>
      <c r="C780" s="8">
        <f>IF(ISNA(MATCH(767,Engine!$C$2:$C$1960,0)),"",INDEX('Compliance Database'!$C$2:$C$1960,MATCH(767,Engine!$C$2:$C$1960,0)))</f>
        <v/>
      </c>
      <c r="D780" s="9">
        <f>IF(ISNA(MATCH(767,Engine!$C$2:$C$1960,0)),"",INDEX('Compliance Database'!$D$2:$D$1960,MATCH(767,Engine!$C$2:$C$1960,0)))</f>
        <v/>
      </c>
      <c r="E780" s="8">
        <f>IF(ISNA(MATCH(767,Engine!$C$2:$C$1960,0)),"",INDEX('Compliance Database'!$E$2:$E$1960,MATCH(767,Engine!$C$2:$C$1960,0)))</f>
        <v/>
      </c>
      <c r="F780" s="8">
        <f>IF(ISNA(MATCH(767,Engine!$C$2:$C$1960,0)),"",INDEX('Compliance Database'!$F$2:$F$1960,MATCH(767,Engine!$C$2:$C$1960,0)))</f>
        <v/>
      </c>
      <c r="G780" s="8">
        <f>IF(ISNA(MATCH(767,Engine!$C$2:$C$1960,0)),"",INDEX('Compliance Database'!$G$2:$G$1960,MATCH(767,Engine!$C$2:$C$1960,0)))</f>
        <v/>
      </c>
      <c r="H780" s="9">
        <f>IF(ISNA(MATCH(767,Engine!$C$2:$C$1960,0)),"",INDEX('Compliance Database'!$H$2:$H$1960,MATCH(767,Engine!$C$2:$C$1960,0)))</f>
        <v/>
      </c>
      <c r="I780" s="9">
        <f>IF(ISNA(MATCH(767,Engine!$C$2:$C$1960,0)),"",INDEX('Compliance Database'!$I$2:$I$1960,MATCH(767,Engine!$C$2:$C$1960,0)))</f>
        <v/>
      </c>
      <c r="J780" s="8">
        <f>IF(ISNA(MATCH(767,Engine!$C$2:$C$1960,0)),"",INDEX('Compliance Database'!$J$2:$J$1960,MATCH(767,Engine!$C$2:$C$1960,0)))</f>
        <v/>
      </c>
      <c r="K780" s="9">
        <f>IF(ISNA(MATCH(767,Engine!$C$2:$C$1960,0)),"",INDEX('Compliance Database'!$K$2:$K$1960,MATCH(767,Engine!$C$2:$C$1960,0)))</f>
        <v/>
      </c>
      <c r="L780" s="9">
        <f>IF(ISNA(MATCH(767,Engine!$C$2:$C$1960,0)),"",INDEX('Compliance Database'!$L$2:$L$1960,MATCH(767,Engine!$C$2:$C$1960,0)))</f>
        <v/>
      </c>
      <c r="M780" s="9">
        <f>IF(ISNA(MATCH(767,Engine!$C$2:$C$1960,0)),"",INDEX('Compliance Database'!$M$2:$M$1960,MATCH(767,Engine!$C$2:$C$1960,0)))</f>
        <v/>
      </c>
      <c r="N780" s="9">
        <f>IF(ISNA(MATCH(767,Engine!$C$2:$C$1960,0)),"",INDEX('Compliance Database'!$N$2:$N$1960,MATCH(767,Engine!$C$2:$C$1960,0)))</f>
        <v/>
      </c>
      <c r="O780" s="9">
        <f>IF(ISNA(MATCH(767,Engine!$C$2:$C$1960,0)),"",INDEX('Compliance Database'!$O$2:$O$1960,MATCH(767,Engine!$C$2:$C$1960,0)))</f>
        <v/>
      </c>
      <c r="P780" s="8">
        <f>IF(ISNA(MATCH(767,Engine!$C$2:$C$1960,0)),"",HYPERLINK("#Acts!A"&amp;INDEX('Compliance Database'!$P$2:$P$1960,MATCH(767,Engine!$C$2:$C$1960,0)),"Go to Act"))</f>
        <v/>
      </c>
    </row>
    <row r="781" ht="158" customHeight="1">
      <c r="A781" s="8">
        <f>IF(ISNA(MATCH(768,Engine!$C$2:$C$1960,0)),"",INDEX('Compliance Database'!$A$2:$A$1960,MATCH(768,Engine!$C$2:$C$1960,0)))</f>
        <v/>
      </c>
      <c r="B781" s="8">
        <f>IF(ISNA(MATCH(768,Engine!$C$2:$C$1960,0)),"",INDEX('Compliance Database'!$B$2:$B$1960,MATCH(768,Engine!$C$2:$C$1960,0)))</f>
        <v/>
      </c>
      <c r="C781" s="8">
        <f>IF(ISNA(MATCH(768,Engine!$C$2:$C$1960,0)),"",INDEX('Compliance Database'!$C$2:$C$1960,MATCH(768,Engine!$C$2:$C$1960,0)))</f>
        <v/>
      </c>
      <c r="D781" s="9">
        <f>IF(ISNA(MATCH(768,Engine!$C$2:$C$1960,0)),"",INDEX('Compliance Database'!$D$2:$D$1960,MATCH(768,Engine!$C$2:$C$1960,0)))</f>
        <v/>
      </c>
      <c r="E781" s="8">
        <f>IF(ISNA(MATCH(768,Engine!$C$2:$C$1960,0)),"",INDEX('Compliance Database'!$E$2:$E$1960,MATCH(768,Engine!$C$2:$C$1960,0)))</f>
        <v/>
      </c>
      <c r="F781" s="8">
        <f>IF(ISNA(MATCH(768,Engine!$C$2:$C$1960,0)),"",INDEX('Compliance Database'!$F$2:$F$1960,MATCH(768,Engine!$C$2:$C$1960,0)))</f>
        <v/>
      </c>
      <c r="G781" s="8">
        <f>IF(ISNA(MATCH(768,Engine!$C$2:$C$1960,0)),"",INDEX('Compliance Database'!$G$2:$G$1960,MATCH(768,Engine!$C$2:$C$1960,0)))</f>
        <v/>
      </c>
      <c r="H781" s="9">
        <f>IF(ISNA(MATCH(768,Engine!$C$2:$C$1960,0)),"",INDEX('Compliance Database'!$H$2:$H$1960,MATCH(768,Engine!$C$2:$C$1960,0)))</f>
        <v/>
      </c>
      <c r="I781" s="9">
        <f>IF(ISNA(MATCH(768,Engine!$C$2:$C$1960,0)),"",INDEX('Compliance Database'!$I$2:$I$1960,MATCH(768,Engine!$C$2:$C$1960,0)))</f>
        <v/>
      </c>
      <c r="J781" s="8">
        <f>IF(ISNA(MATCH(768,Engine!$C$2:$C$1960,0)),"",INDEX('Compliance Database'!$J$2:$J$1960,MATCH(768,Engine!$C$2:$C$1960,0)))</f>
        <v/>
      </c>
      <c r="K781" s="9">
        <f>IF(ISNA(MATCH(768,Engine!$C$2:$C$1960,0)),"",INDEX('Compliance Database'!$K$2:$K$1960,MATCH(768,Engine!$C$2:$C$1960,0)))</f>
        <v/>
      </c>
      <c r="L781" s="9">
        <f>IF(ISNA(MATCH(768,Engine!$C$2:$C$1960,0)),"",INDEX('Compliance Database'!$L$2:$L$1960,MATCH(768,Engine!$C$2:$C$1960,0)))</f>
        <v/>
      </c>
      <c r="M781" s="9">
        <f>IF(ISNA(MATCH(768,Engine!$C$2:$C$1960,0)),"",INDEX('Compliance Database'!$M$2:$M$1960,MATCH(768,Engine!$C$2:$C$1960,0)))</f>
        <v/>
      </c>
      <c r="N781" s="9">
        <f>IF(ISNA(MATCH(768,Engine!$C$2:$C$1960,0)),"",INDEX('Compliance Database'!$N$2:$N$1960,MATCH(768,Engine!$C$2:$C$1960,0)))</f>
        <v/>
      </c>
      <c r="O781" s="9">
        <f>IF(ISNA(MATCH(768,Engine!$C$2:$C$1960,0)),"",INDEX('Compliance Database'!$O$2:$O$1960,MATCH(768,Engine!$C$2:$C$1960,0)))</f>
        <v/>
      </c>
      <c r="P781" s="8">
        <f>IF(ISNA(MATCH(768,Engine!$C$2:$C$1960,0)),"",HYPERLINK("#Acts!A"&amp;INDEX('Compliance Database'!$P$2:$P$1960,MATCH(768,Engine!$C$2:$C$1960,0)),"Go to Act"))</f>
        <v/>
      </c>
    </row>
    <row r="782" ht="158" customHeight="1">
      <c r="A782" s="8">
        <f>IF(ISNA(MATCH(769,Engine!$C$2:$C$1960,0)),"",INDEX('Compliance Database'!$A$2:$A$1960,MATCH(769,Engine!$C$2:$C$1960,0)))</f>
        <v/>
      </c>
      <c r="B782" s="8">
        <f>IF(ISNA(MATCH(769,Engine!$C$2:$C$1960,0)),"",INDEX('Compliance Database'!$B$2:$B$1960,MATCH(769,Engine!$C$2:$C$1960,0)))</f>
        <v/>
      </c>
      <c r="C782" s="8">
        <f>IF(ISNA(MATCH(769,Engine!$C$2:$C$1960,0)),"",INDEX('Compliance Database'!$C$2:$C$1960,MATCH(769,Engine!$C$2:$C$1960,0)))</f>
        <v/>
      </c>
      <c r="D782" s="9">
        <f>IF(ISNA(MATCH(769,Engine!$C$2:$C$1960,0)),"",INDEX('Compliance Database'!$D$2:$D$1960,MATCH(769,Engine!$C$2:$C$1960,0)))</f>
        <v/>
      </c>
      <c r="E782" s="8">
        <f>IF(ISNA(MATCH(769,Engine!$C$2:$C$1960,0)),"",INDEX('Compliance Database'!$E$2:$E$1960,MATCH(769,Engine!$C$2:$C$1960,0)))</f>
        <v/>
      </c>
      <c r="F782" s="8">
        <f>IF(ISNA(MATCH(769,Engine!$C$2:$C$1960,0)),"",INDEX('Compliance Database'!$F$2:$F$1960,MATCH(769,Engine!$C$2:$C$1960,0)))</f>
        <v/>
      </c>
      <c r="G782" s="8">
        <f>IF(ISNA(MATCH(769,Engine!$C$2:$C$1960,0)),"",INDEX('Compliance Database'!$G$2:$G$1960,MATCH(769,Engine!$C$2:$C$1960,0)))</f>
        <v/>
      </c>
      <c r="H782" s="9">
        <f>IF(ISNA(MATCH(769,Engine!$C$2:$C$1960,0)),"",INDEX('Compliance Database'!$H$2:$H$1960,MATCH(769,Engine!$C$2:$C$1960,0)))</f>
        <v/>
      </c>
      <c r="I782" s="9">
        <f>IF(ISNA(MATCH(769,Engine!$C$2:$C$1960,0)),"",INDEX('Compliance Database'!$I$2:$I$1960,MATCH(769,Engine!$C$2:$C$1960,0)))</f>
        <v/>
      </c>
      <c r="J782" s="8">
        <f>IF(ISNA(MATCH(769,Engine!$C$2:$C$1960,0)),"",INDEX('Compliance Database'!$J$2:$J$1960,MATCH(769,Engine!$C$2:$C$1960,0)))</f>
        <v/>
      </c>
      <c r="K782" s="9">
        <f>IF(ISNA(MATCH(769,Engine!$C$2:$C$1960,0)),"",INDEX('Compliance Database'!$K$2:$K$1960,MATCH(769,Engine!$C$2:$C$1960,0)))</f>
        <v/>
      </c>
      <c r="L782" s="9">
        <f>IF(ISNA(MATCH(769,Engine!$C$2:$C$1960,0)),"",INDEX('Compliance Database'!$L$2:$L$1960,MATCH(769,Engine!$C$2:$C$1960,0)))</f>
        <v/>
      </c>
      <c r="M782" s="9">
        <f>IF(ISNA(MATCH(769,Engine!$C$2:$C$1960,0)),"",INDEX('Compliance Database'!$M$2:$M$1960,MATCH(769,Engine!$C$2:$C$1960,0)))</f>
        <v/>
      </c>
      <c r="N782" s="9">
        <f>IF(ISNA(MATCH(769,Engine!$C$2:$C$1960,0)),"",INDEX('Compliance Database'!$N$2:$N$1960,MATCH(769,Engine!$C$2:$C$1960,0)))</f>
        <v/>
      </c>
      <c r="O782" s="9">
        <f>IF(ISNA(MATCH(769,Engine!$C$2:$C$1960,0)),"",INDEX('Compliance Database'!$O$2:$O$1960,MATCH(769,Engine!$C$2:$C$1960,0)))</f>
        <v/>
      </c>
      <c r="P782" s="8">
        <f>IF(ISNA(MATCH(769,Engine!$C$2:$C$1960,0)),"",HYPERLINK("#Acts!A"&amp;INDEX('Compliance Database'!$P$2:$P$1960,MATCH(769,Engine!$C$2:$C$1960,0)),"Go to Act"))</f>
        <v/>
      </c>
    </row>
    <row r="783" ht="158" customHeight="1">
      <c r="A783" s="8">
        <f>IF(ISNA(MATCH(770,Engine!$C$2:$C$1960,0)),"",INDEX('Compliance Database'!$A$2:$A$1960,MATCH(770,Engine!$C$2:$C$1960,0)))</f>
        <v/>
      </c>
      <c r="B783" s="8">
        <f>IF(ISNA(MATCH(770,Engine!$C$2:$C$1960,0)),"",INDEX('Compliance Database'!$B$2:$B$1960,MATCH(770,Engine!$C$2:$C$1960,0)))</f>
        <v/>
      </c>
      <c r="C783" s="8">
        <f>IF(ISNA(MATCH(770,Engine!$C$2:$C$1960,0)),"",INDEX('Compliance Database'!$C$2:$C$1960,MATCH(770,Engine!$C$2:$C$1960,0)))</f>
        <v/>
      </c>
      <c r="D783" s="9">
        <f>IF(ISNA(MATCH(770,Engine!$C$2:$C$1960,0)),"",INDEX('Compliance Database'!$D$2:$D$1960,MATCH(770,Engine!$C$2:$C$1960,0)))</f>
        <v/>
      </c>
      <c r="E783" s="8">
        <f>IF(ISNA(MATCH(770,Engine!$C$2:$C$1960,0)),"",INDEX('Compliance Database'!$E$2:$E$1960,MATCH(770,Engine!$C$2:$C$1960,0)))</f>
        <v/>
      </c>
      <c r="F783" s="8">
        <f>IF(ISNA(MATCH(770,Engine!$C$2:$C$1960,0)),"",INDEX('Compliance Database'!$F$2:$F$1960,MATCH(770,Engine!$C$2:$C$1960,0)))</f>
        <v/>
      </c>
      <c r="G783" s="8">
        <f>IF(ISNA(MATCH(770,Engine!$C$2:$C$1960,0)),"",INDEX('Compliance Database'!$G$2:$G$1960,MATCH(770,Engine!$C$2:$C$1960,0)))</f>
        <v/>
      </c>
      <c r="H783" s="9">
        <f>IF(ISNA(MATCH(770,Engine!$C$2:$C$1960,0)),"",INDEX('Compliance Database'!$H$2:$H$1960,MATCH(770,Engine!$C$2:$C$1960,0)))</f>
        <v/>
      </c>
      <c r="I783" s="9">
        <f>IF(ISNA(MATCH(770,Engine!$C$2:$C$1960,0)),"",INDEX('Compliance Database'!$I$2:$I$1960,MATCH(770,Engine!$C$2:$C$1960,0)))</f>
        <v/>
      </c>
      <c r="J783" s="8">
        <f>IF(ISNA(MATCH(770,Engine!$C$2:$C$1960,0)),"",INDEX('Compliance Database'!$J$2:$J$1960,MATCH(770,Engine!$C$2:$C$1960,0)))</f>
        <v/>
      </c>
      <c r="K783" s="9">
        <f>IF(ISNA(MATCH(770,Engine!$C$2:$C$1960,0)),"",INDEX('Compliance Database'!$K$2:$K$1960,MATCH(770,Engine!$C$2:$C$1960,0)))</f>
        <v/>
      </c>
      <c r="L783" s="9">
        <f>IF(ISNA(MATCH(770,Engine!$C$2:$C$1960,0)),"",INDEX('Compliance Database'!$L$2:$L$1960,MATCH(770,Engine!$C$2:$C$1960,0)))</f>
        <v/>
      </c>
      <c r="M783" s="9">
        <f>IF(ISNA(MATCH(770,Engine!$C$2:$C$1960,0)),"",INDEX('Compliance Database'!$M$2:$M$1960,MATCH(770,Engine!$C$2:$C$1960,0)))</f>
        <v/>
      </c>
      <c r="N783" s="9">
        <f>IF(ISNA(MATCH(770,Engine!$C$2:$C$1960,0)),"",INDEX('Compliance Database'!$N$2:$N$1960,MATCH(770,Engine!$C$2:$C$1960,0)))</f>
        <v/>
      </c>
      <c r="O783" s="9">
        <f>IF(ISNA(MATCH(770,Engine!$C$2:$C$1960,0)),"",INDEX('Compliance Database'!$O$2:$O$1960,MATCH(770,Engine!$C$2:$C$1960,0)))</f>
        <v/>
      </c>
      <c r="P783" s="8">
        <f>IF(ISNA(MATCH(770,Engine!$C$2:$C$1960,0)),"",HYPERLINK("#Acts!A"&amp;INDEX('Compliance Database'!$P$2:$P$1960,MATCH(770,Engine!$C$2:$C$1960,0)),"Go to Act"))</f>
        <v/>
      </c>
    </row>
    <row r="784" ht="158" customHeight="1">
      <c r="A784" s="8">
        <f>IF(ISNA(MATCH(771,Engine!$C$2:$C$1960,0)),"",INDEX('Compliance Database'!$A$2:$A$1960,MATCH(771,Engine!$C$2:$C$1960,0)))</f>
        <v/>
      </c>
      <c r="B784" s="8">
        <f>IF(ISNA(MATCH(771,Engine!$C$2:$C$1960,0)),"",INDEX('Compliance Database'!$B$2:$B$1960,MATCH(771,Engine!$C$2:$C$1960,0)))</f>
        <v/>
      </c>
      <c r="C784" s="8">
        <f>IF(ISNA(MATCH(771,Engine!$C$2:$C$1960,0)),"",INDEX('Compliance Database'!$C$2:$C$1960,MATCH(771,Engine!$C$2:$C$1960,0)))</f>
        <v/>
      </c>
      <c r="D784" s="9">
        <f>IF(ISNA(MATCH(771,Engine!$C$2:$C$1960,0)),"",INDEX('Compliance Database'!$D$2:$D$1960,MATCH(771,Engine!$C$2:$C$1960,0)))</f>
        <v/>
      </c>
      <c r="E784" s="8">
        <f>IF(ISNA(MATCH(771,Engine!$C$2:$C$1960,0)),"",INDEX('Compliance Database'!$E$2:$E$1960,MATCH(771,Engine!$C$2:$C$1960,0)))</f>
        <v/>
      </c>
      <c r="F784" s="8">
        <f>IF(ISNA(MATCH(771,Engine!$C$2:$C$1960,0)),"",INDEX('Compliance Database'!$F$2:$F$1960,MATCH(771,Engine!$C$2:$C$1960,0)))</f>
        <v/>
      </c>
      <c r="G784" s="8">
        <f>IF(ISNA(MATCH(771,Engine!$C$2:$C$1960,0)),"",INDEX('Compliance Database'!$G$2:$G$1960,MATCH(771,Engine!$C$2:$C$1960,0)))</f>
        <v/>
      </c>
      <c r="H784" s="9">
        <f>IF(ISNA(MATCH(771,Engine!$C$2:$C$1960,0)),"",INDEX('Compliance Database'!$H$2:$H$1960,MATCH(771,Engine!$C$2:$C$1960,0)))</f>
        <v/>
      </c>
      <c r="I784" s="9">
        <f>IF(ISNA(MATCH(771,Engine!$C$2:$C$1960,0)),"",INDEX('Compliance Database'!$I$2:$I$1960,MATCH(771,Engine!$C$2:$C$1960,0)))</f>
        <v/>
      </c>
      <c r="J784" s="8">
        <f>IF(ISNA(MATCH(771,Engine!$C$2:$C$1960,0)),"",INDEX('Compliance Database'!$J$2:$J$1960,MATCH(771,Engine!$C$2:$C$1960,0)))</f>
        <v/>
      </c>
      <c r="K784" s="9">
        <f>IF(ISNA(MATCH(771,Engine!$C$2:$C$1960,0)),"",INDEX('Compliance Database'!$K$2:$K$1960,MATCH(771,Engine!$C$2:$C$1960,0)))</f>
        <v/>
      </c>
      <c r="L784" s="9">
        <f>IF(ISNA(MATCH(771,Engine!$C$2:$C$1960,0)),"",INDEX('Compliance Database'!$L$2:$L$1960,MATCH(771,Engine!$C$2:$C$1960,0)))</f>
        <v/>
      </c>
      <c r="M784" s="9">
        <f>IF(ISNA(MATCH(771,Engine!$C$2:$C$1960,0)),"",INDEX('Compliance Database'!$M$2:$M$1960,MATCH(771,Engine!$C$2:$C$1960,0)))</f>
        <v/>
      </c>
      <c r="N784" s="9">
        <f>IF(ISNA(MATCH(771,Engine!$C$2:$C$1960,0)),"",INDEX('Compliance Database'!$N$2:$N$1960,MATCH(771,Engine!$C$2:$C$1960,0)))</f>
        <v/>
      </c>
      <c r="O784" s="9">
        <f>IF(ISNA(MATCH(771,Engine!$C$2:$C$1960,0)),"",INDEX('Compliance Database'!$O$2:$O$1960,MATCH(771,Engine!$C$2:$C$1960,0)))</f>
        <v/>
      </c>
      <c r="P784" s="8">
        <f>IF(ISNA(MATCH(771,Engine!$C$2:$C$1960,0)),"",HYPERLINK("#Acts!A"&amp;INDEX('Compliance Database'!$P$2:$P$1960,MATCH(771,Engine!$C$2:$C$1960,0)),"Go to Act"))</f>
        <v/>
      </c>
    </row>
    <row r="785" ht="158" customHeight="1">
      <c r="A785" s="8">
        <f>IF(ISNA(MATCH(772,Engine!$C$2:$C$1960,0)),"",INDEX('Compliance Database'!$A$2:$A$1960,MATCH(772,Engine!$C$2:$C$1960,0)))</f>
        <v/>
      </c>
      <c r="B785" s="8">
        <f>IF(ISNA(MATCH(772,Engine!$C$2:$C$1960,0)),"",INDEX('Compliance Database'!$B$2:$B$1960,MATCH(772,Engine!$C$2:$C$1960,0)))</f>
        <v/>
      </c>
      <c r="C785" s="8">
        <f>IF(ISNA(MATCH(772,Engine!$C$2:$C$1960,0)),"",INDEX('Compliance Database'!$C$2:$C$1960,MATCH(772,Engine!$C$2:$C$1960,0)))</f>
        <v/>
      </c>
      <c r="D785" s="9">
        <f>IF(ISNA(MATCH(772,Engine!$C$2:$C$1960,0)),"",INDEX('Compliance Database'!$D$2:$D$1960,MATCH(772,Engine!$C$2:$C$1960,0)))</f>
        <v/>
      </c>
      <c r="E785" s="8">
        <f>IF(ISNA(MATCH(772,Engine!$C$2:$C$1960,0)),"",INDEX('Compliance Database'!$E$2:$E$1960,MATCH(772,Engine!$C$2:$C$1960,0)))</f>
        <v/>
      </c>
      <c r="F785" s="8">
        <f>IF(ISNA(MATCH(772,Engine!$C$2:$C$1960,0)),"",INDEX('Compliance Database'!$F$2:$F$1960,MATCH(772,Engine!$C$2:$C$1960,0)))</f>
        <v/>
      </c>
      <c r="G785" s="8">
        <f>IF(ISNA(MATCH(772,Engine!$C$2:$C$1960,0)),"",INDEX('Compliance Database'!$G$2:$G$1960,MATCH(772,Engine!$C$2:$C$1960,0)))</f>
        <v/>
      </c>
      <c r="H785" s="9">
        <f>IF(ISNA(MATCH(772,Engine!$C$2:$C$1960,0)),"",INDEX('Compliance Database'!$H$2:$H$1960,MATCH(772,Engine!$C$2:$C$1960,0)))</f>
        <v/>
      </c>
      <c r="I785" s="9">
        <f>IF(ISNA(MATCH(772,Engine!$C$2:$C$1960,0)),"",INDEX('Compliance Database'!$I$2:$I$1960,MATCH(772,Engine!$C$2:$C$1960,0)))</f>
        <v/>
      </c>
      <c r="J785" s="8">
        <f>IF(ISNA(MATCH(772,Engine!$C$2:$C$1960,0)),"",INDEX('Compliance Database'!$J$2:$J$1960,MATCH(772,Engine!$C$2:$C$1960,0)))</f>
        <v/>
      </c>
      <c r="K785" s="9">
        <f>IF(ISNA(MATCH(772,Engine!$C$2:$C$1960,0)),"",INDEX('Compliance Database'!$K$2:$K$1960,MATCH(772,Engine!$C$2:$C$1960,0)))</f>
        <v/>
      </c>
      <c r="L785" s="9">
        <f>IF(ISNA(MATCH(772,Engine!$C$2:$C$1960,0)),"",INDEX('Compliance Database'!$L$2:$L$1960,MATCH(772,Engine!$C$2:$C$1960,0)))</f>
        <v/>
      </c>
      <c r="M785" s="9">
        <f>IF(ISNA(MATCH(772,Engine!$C$2:$C$1960,0)),"",INDEX('Compliance Database'!$M$2:$M$1960,MATCH(772,Engine!$C$2:$C$1960,0)))</f>
        <v/>
      </c>
      <c r="N785" s="9">
        <f>IF(ISNA(MATCH(772,Engine!$C$2:$C$1960,0)),"",INDEX('Compliance Database'!$N$2:$N$1960,MATCH(772,Engine!$C$2:$C$1960,0)))</f>
        <v/>
      </c>
      <c r="O785" s="9">
        <f>IF(ISNA(MATCH(772,Engine!$C$2:$C$1960,0)),"",INDEX('Compliance Database'!$O$2:$O$1960,MATCH(772,Engine!$C$2:$C$1960,0)))</f>
        <v/>
      </c>
      <c r="P785" s="8">
        <f>IF(ISNA(MATCH(772,Engine!$C$2:$C$1960,0)),"",HYPERLINK("#Acts!A"&amp;INDEX('Compliance Database'!$P$2:$P$1960,MATCH(772,Engine!$C$2:$C$1960,0)),"Go to Act"))</f>
        <v/>
      </c>
    </row>
    <row r="786" ht="158" customHeight="1">
      <c r="A786" s="8">
        <f>IF(ISNA(MATCH(773,Engine!$C$2:$C$1960,0)),"",INDEX('Compliance Database'!$A$2:$A$1960,MATCH(773,Engine!$C$2:$C$1960,0)))</f>
        <v/>
      </c>
      <c r="B786" s="8">
        <f>IF(ISNA(MATCH(773,Engine!$C$2:$C$1960,0)),"",INDEX('Compliance Database'!$B$2:$B$1960,MATCH(773,Engine!$C$2:$C$1960,0)))</f>
        <v/>
      </c>
      <c r="C786" s="8">
        <f>IF(ISNA(MATCH(773,Engine!$C$2:$C$1960,0)),"",INDEX('Compliance Database'!$C$2:$C$1960,MATCH(773,Engine!$C$2:$C$1960,0)))</f>
        <v/>
      </c>
      <c r="D786" s="9">
        <f>IF(ISNA(MATCH(773,Engine!$C$2:$C$1960,0)),"",INDEX('Compliance Database'!$D$2:$D$1960,MATCH(773,Engine!$C$2:$C$1960,0)))</f>
        <v/>
      </c>
      <c r="E786" s="8">
        <f>IF(ISNA(MATCH(773,Engine!$C$2:$C$1960,0)),"",INDEX('Compliance Database'!$E$2:$E$1960,MATCH(773,Engine!$C$2:$C$1960,0)))</f>
        <v/>
      </c>
      <c r="F786" s="8">
        <f>IF(ISNA(MATCH(773,Engine!$C$2:$C$1960,0)),"",INDEX('Compliance Database'!$F$2:$F$1960,MATCH(773,Engine!$C$2:$C$1960,0)))</f>
        <v/>
      </c>
      <c r="G786" s="8">
        <f>IF(ISNA(MATCH(773,Engine!$C$2:$C$1960,0)),"",INDEX('Compliance Database'!$G$2:$G$1960,MATCH(773,Engine!$C$2:$C$1960,0)))</f>
        <v/>
      </c>
      <c r="H786" s="9">
        <f>IF(ISNA(MATCH(773,Engine!$C$2:$C$1960,0)),"",INDEX('Compliance Database'!$H$2:$H$1960,MATCH(773,Engine!$C$2:$C$1960,0)))</f>
        <v/>
      </c>
      <c r="I786" s="9">
        <f>IF(ISNA(MATCH(773,Engine!$C$2:$C$1960,0)),"",INDEX('Compliance Database'!$I$2:$I$1960,MATCH(773,Engine!$C$2:$C$1960,0)))</f>
        <v/>
      </c>
      <c r="J786" s="8">
        <f>IF(ISNA(MATCH(773,Engine!$C$2:$C$1960,0)),"",INDEX('Compliance Database'!$J$2:$J$1960,MATCH(773,Engine!$C$2:$C$1960,0)))</f>
        <v/>
      </c>
      <c r="K786" s="9">
        <f>IF(ISNA(MATCH(773,Engine!$C$2:$C$1960,0)),"",INDEX('Compliance Database'!$K$2:$K$1960,MATCH(773,Engine!$C$2:$C$1960,0)))</f>
        <v/>
      </c>
      <c r="L786" s="9">
        <f>IF(ISNA(MATCH(773,Engine!$C$2:$C$1960,0)),"",INDEX('Compliance Database'!$L$2:$L$1960,MATCH(773,Engine!$C$2:$C$1960,0)))</f>
        <v/>
      </c>
      <c r="M786" s="9">
        <f>IF(ISNA(MATCH(773,Engine!$C$2:$C$1960,0)),"",INDEX('Compliance Database'!$M$2:$M$1960,MATCH(773,Engine!$C$2:$C$1960,0)))</f>
        <v/>
      </c>
      <c r="N786" s="9">
        <f>IF(ISNA(MATCH(773,Engine!$C$2:$C$1960,0)),"",INDEX('Compliance Database'!$N$2:$N$1960,MATCH(773,Engine!$C$2:$C$1960,0)))</f>
        <v/>
      </c>
      <c r="O786" s="9">
        <f>IF(ISNA(MATCH(773,Engine!$C$2:$C$1960,0)),"",INDEX('Compliance Database'!$O$2:$O$1960,MATCH(773,Engine!$C$2:$C$1960,0)))</f>
        <v/>
      </c>
      <c r="P786" s="8">
        <f>IF(ISNA(MATCH(773,Engine!$C$2:$C$1960,0)),"",HYPERLINK("#Acts!A"&amp;INDEX('Compliance Database'!$P$2:$P$1960,MATCH(773,Engine!$C$2:$C$1960,0)),"Go to Act"))</f>
        <v/>
      </c>
    </row>
    <row r="787" ht="158" customHeight="1">
      <c r="A787" s="8">
        <f>IF(ISNA(MATCH(774,Engine!$C$2:$C$1960,0)),"",INDEX('Compliance Database'!$A$2:$A$1960,MATCH(774,Engine!$C$2:$C$1960,0)))</f>
        <v/>
      </c>
      <c r="B787" s="8">
        <f>IF(ISNA(MATCH(774,Engine!$C$2:$C$1960,0)),"",INDEX('Compliance Database'!$B$2:$B$1960,MATCH(774,Engine!$C$2:$C$1960,0)))</f>
        <v/>
      </c>
      <c r="C787" s="8">
        <f>IF(ISNA(MATCH(774,Engine!$C$2:$C$1960,0)),"",INDEX('Compliance Database'!$C$2:$C$1960,MATCH(774,Engine!$C$2:$C$1960,0)))</f>
        <v/>
      </c>
      <c r="D787" s="9">
        <f>IF(ISNA(MATCH(774,Engine!$C$2:$C$1960,0)),"",INDEX('Compliance Database'!$D$2:$D$1960,MATCH(774,Engine!$C$2:$C$1960,0)))</f>
        <v/>
      </c>
      <c r="E787" s="8">
        <f>IF(ISNA(MATCH(774,Engine!$C$2:$C$1960,0)),"",INDEX('Compliance Database'!$E$2:$E$1960,MATCH(774,Engine!$C$2:$C$1960,0)))</f>
        <v/>
      </c>
      <c r="F787" s="8">
        <f>IF(ISNA(MATCH(774,Engine!$C$2:$C$1960,0)),"",INDEX('Compliance Database'!$F$2:$F$1960,MATCH(774,Engine!$C$2:$C$1960,0)))</f>
        <v/>
      </c>
      <c r="G787" s="8">
        <f>IF(ISNA(MATCH(774,Engine!$C$2:$C$1960,0)),"",INDEX('Compliance Database'!$G$2:$G$1960,MATCH(774,Engine!$C$2:$C$1960,0)))</f>
        <v/>
      </c>
      <c r="H787" s="9">
        <f>IF(ISNA(MATCH(774,Engine!$C$2:$C$1960,0)),"",INDEX('Compliance Database'!$H$2:$H$1960,MATCH(774,Engine!$C$2:$C$1960,0)))</f>
        <v/>
      </c>
      <c r="I787" s="9">
        <f>IF(ISNA(MATCH(774,Engine!$C$2:$C$1960,0)),"",INDEX('Compliance Database'!$I$2:$I$1960,MATCH(774,Engine!$C$2:$C$1960,0)))</f>
        <v/>
      </c>
      <c r="J787" s="8">
        <f>IF(ISNA(MATCH(774,Engine!$C$2:$C$1960,0)),"",INDEX('Compliance Database'!$J$2:$J$1960,MATCH(774,Engine!$C$2:$C$1960,0)))</f>
        <v/>
      </c>
      <c r="K787" s="9">
        <f>IF(ISNA(MATCH(774,Engine!$C$2:$C$1960,0)),"",INDEX('Compliance Database'!$K$2:$K$1960,MATCH(774,Engine!$C$2:$C$1960,0)))</f>
        <v/>
      </c>
      <c r="L787" s="9">
        <f>IF(ISNA(MATCH(774,Engine!$C$2:$C$1960,0)),"",INDEX('Compliance Database'!$L$2:$L$1960,MATCH(774,Engine!$C$2:$C$1960,0)))</f>
        <v/>
      </c>
      <c r="M787" s="9">
        <f>IF(ISNA(MATCH(774,Engine!$C$2:$C$1960,0)),"",INDEX('Compliance Database'!$M$2:$M$1960,MATCH(774,Engine!$C$2:$C$1960,0)))</f>
        <v/>
      </c>
      <c r="N787" s="9">
        <f>IF(ISNA(MATCH(774,Engine!$C$2:$C$1960,0)),"",INDEX('Compliance Database'!$N$2:$N$1960,MATCH(774,Engine!$C$2:$C$1960,0)))</f>
        <v/>
      </c>
      <c r="O787" s="9">
        <f>IF(ISNA(MATCH(774,Engine!$C$2:$C$1960,0)),"",INDEX('Compliance Database'!$O$2:$O$1960,MATCH(774,Engine!$C$2:$C$1960,0)))</f>
        <v/>
      </c>
      <c r="P787" s="8">
        <f>IF(ISNA(MATCH(774,Engine!$C$2:$C$1960,0)),"",HYPERLINK("#Acts!A"&amp;INDEX('Compliance Database'!$P$2:$P$1960,MATCH(774,Engine!$C$2:$C$1960,0)),"Go to Act"))</f>
        <v/>
      </c>
    </row>
    <row r="788" ht="158" customHeight="1">
      <c r="A788" s="8">
        <f>IF(ISNA(MATCH(775,Engine!$C$2:$C$1960,0)),"",INDEX('Compliance Database'!$A$2:$A$1960,MATCH(775,Engine!$C$2:$C$1960,0)))</f>
        <v/>
      </c>
      <c r="B788" s="8">
        <f>IF(ISNA(MATCH(775,Engine!$C$2:$C$1960,0)),"",INDEX('Compliance Database'!$B$2:$B$1960,MATCH(775,Engine!$C$2:$C$1960,0)))</f>
        <v/>
      </c>
      <c r="C788" s="8">
        <f>IF(ISNA(MATCH(775,Engine!$C$2:$C$1960,0)),"",INDEX('Compliance Database'!$C$2:$C$1960,MATCH(775,Engine!$C$2:$C$1960,0)))</f>
        <v/>
      </c>
      <c r="D788" s="9">
        <f>IF(ISNA(MATCH(775,Engine!$C$2:$C$1960,0)),"",INDEX('Compliance Database'!$D$2:$D$1960,MATCH(775,Engine!$C$2:$C$1960,0)))</f>
        <v/>
      </c>
      <c r="E788" s="8">
        <f>IF(ISNA(MATCH(775,Engine!$C$2:$C$1960,0)),"",INDEX('Compliance Database'!$E$2:$E$1960,MATCH(775,Engine!$C$2:$C$1960,0)))</f>
        <v/>
      </c>
      <c r="F788" s="8">
        <f>IF(ISNA(MATCH(775,Engine!$C$2:$C$1960,0)),"",INDEX('Compliance Database'!$F$2:$F$1960,MATCH(775,Engine!$C$2:$C$1960,0)))</f>
        <v/>
      </c>
      <c r="G788" s="8">
        <f>IF(ISNA(MATCH(775,Engine!$C$2:$C$1960,0)),"",INDEX('Compliance Database'!$G$2:$G$1960,MATCH(775,Engine!$C$2:$C$1960,0)))</f>
        <v/>
      </c>
      <c r="H788" s="9">
        <f>IF(ISNA(MATCH(775,Engine!$C$2:$C$1960,0)),"",INDEX('Compliance Database'!$H$2:$H$1960,MATCH(775,Engine!$C$2:$C$1960,0)))</f>
        <v/>
      </c>
      <c r="I788" s="9">
        <f>IF(ISNA(MATCH(775,Engine!$C$2:$C$1960,0)),"",INDEX('Compliance Database'!$I$2:$I$1960,MATCH(775,Engine!$C$2:$C$1960,0)))</f>
        <v/>
      </c>
      <c r="J788" s="8">
        <f>IF(ISNA(MATCH(775,Engine!$C$2:$C$1960,0)),"",INDEX('Compliance Database'!$J$2:$J$1960,MATCH(775,Engine!$C$2:$C$1960,0)))</f>
        <v/>
      </c>
      <c r="K788" s="9">
        <f>IF(ISNA(MATCH(775,Engine!$C$2:$C$1960,0)),"",INDEX('Compliance Database'!$K$2:$K$1960,MATCH(775,Engine!$C$2:$C$1960,0)))</f>
        <v/>
      </c>
      <c r="L788" s="9">
        <f>IF(ISNA(MATCH(775,Engine!$C$2:$C$1960,0)),"",INDEX('Compliance Database'!$L$2:$L$1960,MATCH(775,Engine!$C$2:$C$1960,0)))</f>
        <v/>
      </c>
      <c r="M788" s="9">
        <f>IF(ISNA(MATCH(775,Engine!$C$2:$C$1960,0)),"",INDEX('Compliance Database'!$M$2:$M$1960,MATCH(775,Engine!$C$2:$C$1960,0)))</f>
        <v/>
      </c>
      <c r="N788" s="9">
        <f>IF(ISNA(MATCH(775,Engine!$C$2:$C$1960,0)),"",INDEX('Compliance Database'!$N$2:$N$1960,MATCH(775,Engine!$C$2:$C$1960,0)))</f>
        <v/>
      </c>
      <c r="O788" s="9">
        <f>IF(ISNA(MATCH(775,Engine!$C$2:$C$1960,0)),"",INDEX('Compliance Database'!$O$2:$O$1960,MATCH(775,Engine!$C$2:$C$1960,0)))</f>
        <v/>
      </c>
      <c r="P788" s="8">
        <f>IF(ISNA(MATCH(775,Engine!$C$2:$C$1960,0)),"",HYPERLINK("#Acts!A"&amp;INDEX('Compliance Database'!$P$2:$P$1960,MATCH(775,Engine!$C$2:$C$1960,0)),"Go to Act"))</f>
        <v/>
      </c>
    </row>
    <row r="789" ht="158" customHeight="1">
      <c r="A789" s="8">
        <f>IF(ISNA(MATCH(776,Engine!$C$2:$C$1960,0)),"",INDEX('Compliance Database'!$A$2:$A$1960,MATCH(776,Engine!$C$2:$C$1960,0)))</f>
        <v/>
      </c>
      <c r="B789" s="8">
        <f>IF(ISNA(MATCH(776,Engine!$C$2:$C$1960,0)),"",INDEX('Compliance Database'!$B$2:$B$1960,MATCH(776,Engine!$C$2:$C$1960,0)))</f>
        <v/>
      </c>
      <c r="C789" s="8">
        <f>IF(ISNA(MATCH(776,Engine!$C$2:$C$1960,0)),"",INDEX('Compliance Database'!$C$2:$C$1960,MATCH(776,Engine!$C$2:$C$1960,0)))</f>
        <v/>
      </c>
      <c r="D789" s="9">
        <f>IF(ISNA(MATCH(776,Engine!$C$2:$C$1960,0)),"",INDEX('Compliance Database'!$D$2:$D$1960,MATCH(776,Engine!$C$2:$C$1960,0)))</f>
        <v/>
      </c>
      <c r="E789" s="8">
        <f>IF(ISNA(MATCH(776,Engine!$C$2:$C$1960,0)),"",INDEX('Compliance Database'!$E$2:$E$1960,MATCH(776,Engine!$C$2:$C$1960,0)))</f>
        <v/>
      </c>
      <c r="F789" s="8">
        <f>IF(ISNA(MATCH(776,Engine!$C$2:$C$1960,0)),"",INDEX('Compliance Database'!$F$2:$F$1960,MATCH(776,Engine!$C$2:$C$1960,0)))</f>
        <v/>
      </c>
      <c r="G789" s="8">
        <f>IF(ISNA(MATCH(776,Engine!$C$2:$C$1960,0)),"",INDEX('Compliance Database'!$G$2:$G$1960,MATCH(776,Engine!$C$2:$C$1960,0)))</f>
        <v/>
      </c>
      <c r="H789" s="9">
        <f>IF(ISNA(MATCH(776,Engine!$C$2:$C$1960,0)),"",INDEX('Compliance Database'!$H$2:$H$1960,MATCH(776,Engine!$C$2:$C$1960,0)))</f>
        <v/>
      </c>
      <c r="I789" s="9">
        <f>IF(ISNA(MATCH(776,Engine!$C$2:$C$1960,0)),"",INDEX('Compliance Database'!$I$2:$I$1960,MATCH(776,Engine!$C$2:$C$1960,0)))</f>
        <v/>
      </c>
      <c r="J789" s="8">
        <f>IF(ISNA(MATCH(776,Engine!$C$2:$C$1960,0)),"",INDEX('Compliance Database'!$J$2:$J$1960,MATCH(776,Engine!$C$2:$C$1960,0)))</f>
        <v/>
      </c>
      <c r="K789" s="9">
        <f>IF(ISNA(MATCH(776,Engine!$C$2:$C$1960,0)),"",INDEX('Compliance Database'!$K$2:$K$1960,MATCH(776,Engine!$C$2:$C$1960,0)))</f>
        <v/>
      </c>
      <c r="L789" s="9">
        <f>IF(ISNA(MATCH(776,Engine!$C$2:$C$1960,0)),"",INDEX('Compliance Database'!$L$2:$L$1960,MATCH(776,Engine!$C$2:$C$1960,0)))</f>
        <v/>
      </c>
      <c r="M789" s="9">
        <f>IF(ISNA(MATCH(776,Engine!$C$2:$C$1960,0)),"",INDEX('Compliance Database'!$M$2:$M$1960,MATCH(776,Engine!$C$2:$C$1960,0)))</f>
        <v/>
      </c>
      <c r="N789" s="9">
        <f>IF(ISNA(MATCH(776,Engine!$C$2:$C$1960,0)),"",INDEX('Compliance Database'!$N$2:$N$1960,MATCH(776,Engine!$C$2:$C$1960,0)))</f>
        <v/>
      </c>
      <c r="O789" s="9">
        <f>IF(ISNA(MATCH(776,Engine!$C$2:$C$1960,0)),"",INDEX('Compliance Database'!$O$2:$O$1960,MATCH(776,Engine!$C$2:$C$1960,0)))</f>
        <v/>
      </c>
      <c r="P789" s="8">
        <f>IF(ISNA(MATCH(776,Engine!$C$2:$C$1960,0)),"",HYPERLINK("#Acts!A"&amp;INDEX('Compliance Database'!$P$2:$P$1960,MATCH(776,Engine!$C$2:$C$1960,0)),"Go to Act"))</f>
        <v/>
      </c>
    </row>
    <row r="790" ht="158" customHeight="1">
      <c r="A790" s="8">
        <f>IF(ISNA(MATCH(777,Engine!$C$2:$C$1960,0)),"",INDEX('Compliance Database'!$A$2:$A$1960,MATCH(777,Engine!$C$2:$C$1960,0)))</f>
        <v/>
      </c>
      <c r="B790" s="8">
        <f>IF(ISNA(MATCH(777,Engine!$C$2:$C$1960,0)),"",INDEX('Compliance Database'!$B$2:$B$1960,MATCH(777,Engine!$C$2:$C$1960,0)))</f>
        <v/>
      </c>
      <c r="C790" s="8">
        <f>IF(ISNA(MATCH(777,Engine!$C$2:$C$1960,0)),"",INDEX('Compliance Database'!$C$2:$C$1960,MATCH(777,Engine!$C$2:$C$1960,0)))</f>
        <v/>
      </c>
      <c r="D790" s="9">
        <f>IF(ISNA(MATCH(777,Engine!$C$2:$C$1960,0)),"",INDEX('Compliance Database'!$D$2:$D$1960,MATCH(777,Engine!$C$2:$C$1960,0)))</f>
        <v/>
      </c>
      <c r="E790" s="8">
        <f>IF(ISNA(MATCH(777,Engine!$C$2:$C$1960,0)),"",INDEX('Compliance Database'!$E$2:$E$1960,MATCH(777,Engine!$C$2:$C$1960,0)))</f>
        <v/>
      </c>
      <c r="F790" s="8">
        <f>IF(ISNA(MATCH(777,Engine!$C$2:$C$1960,0)),"",INDEX('Compliance Database'!$F$2:$F$1960,MATCH(777,Engine!$C$2:$C$1960,0)))</f>
        <v/>
      </c>
      <c r="G790" s="8">
        <f>IF(ISNA(MATCH(777,Engine!$C$2:$C$1960,0)),"",INDEX('Compliance Database'!$G$2:$G$1960,MATCH(777,Engine!$C$2:$C$1960,0)))</f>
        <v/>
      </c>
      <c r="H790" s="9">
        <f>IF(ISNA(MATCH(777,Engine!$C$2:$C$1960,0)),"",INDEX('Compliance Database'!$H$2:$H$1960,MATCH(777,Engine!$C$2:$C$1960,0)))</f>
        <v/>
      </c>
      <c r="I790" s="9">
        <f>IF(ISNA(MATCH(777,Engine!$C$2:$C$1960,0)),"",INDEX('Compliance Database'!$I$2:$I$1960,MATCH(777,Engine!$C$2:$C$1960,0)))</f>
        <v/>
      </c>
      <c r="J790" s="8">
        <f>IF(ISNA(MATCH(777,Engine!$C$2:$C$1960,0)),"",INDEX('Compliance Database'!$J$2:$J$1960,MATCH(777,Engine!$C$2:$C$1960,0)))</f>
        <v/>
      </c>
      <c r="K790" s="9">
        <f>IF(ISNA(MATCH(777,Engine!$C$2:$C$1960,0)),"",INDEX('Compliance Database'!$K$2:$K$1960,MATCH(777,Engine!$C$2:$C$1960,0)))</f>
        <v/>
      </c>
      <c r="L790" s="9">
        <f>IF(ISNA(MATCH(777,Engine!$C$2:$C$1960,0)),"",INDEX('Compliance Database'!$L$2:$L$1960,MATCH(777,Engine!$C$2:$C$1960,0)))</f>
        <v/>
      </c>
      <c r="M790" s="9">
        <f>IF(ISNA(MATCH(777,Engine!$C$2:$C$1960,0)),"",INDEX('Compliance Database'!$M$2:$M$1960,MATCH(777,Engine!$C$2:$C$1960,0)))</f>
        <v/>
      </c>
      <c r="N790" s="9">
        <f>IF(ISNA(MATCH(777,Engine!$C$2:$C$1960,0)),"",INDEX('Compliance Database'!$N$2:$N$1960,MATCH(777,Engine!$C$2:$C$1960,0)))</f>
        <v/>
      </c>
      <c r="O790" s="9">
        <f>IF(ISNA(MATCH(777,Engine!$C$2:$C$1960,0)),"",INDEX('Compliance Database'!$O$2:$O$1960,MATCH(777,Engine!$C$2:$C$1960,0)))</f>
        <v/>
      </c>
      <c r="P790" s="8">
        <f>IF(ISNA(MATCH(777,Engine!$C$2:$C$1960,0)),"",HYPERLINK("#Acts!A"&amp;INDEX('Compliance Database'!$P$2:$P$1960,MATCH(777,Engine!$C$2:$C$1960,0)),"Go to Act"))</f>
        <v/>
      </c>
    </row>
    <row r="791" ht="158" customHeight="1">
      <c r="A791" s="8">
        <f>IF(ISNA(MATCH(778,Engine!$C$2:$C$1960,0)),"",INDEX('Compliance Database'!$A$2:$A$1960,MATCH(778,Engine!$C$2:$C$1960,0)))</f>
        <v/>
      </c>
      <c r="B791" s="8">
        <f>IF(ISNA(MATCH(778,Engine!$C$2:$C$1960,0)),"",INDEX('Compliance Database'!$B$2:$B$1960,MATCH(778,Engine!$C$2:$C$1960,0)))</f>
        <v/>
      </c>
      <c r="C791" s="8">
        <f>IF(ISNA(MATCH(778,Engine!$C$2:$C$1960,0)),"",INDEX('Compliance Database'!$C$2:$C$1960,MATCH(778,Engine!$C$2:$C$1960,0)))</f>
        <v/>
      </c>
      <c r="D791" s="9">
        <f>IF(ISNA(MATCH(778,Engine!$C$2:$C$1960,0)),"",INDEX('Compliance Database'!$D$2:$D$1960,MATCH(778,Engine!$C$2:$C$1960,0)))</f>
        <v/>
      </c>
      <c r="E791" s="8">
        <f>IF(ISNA(MATCH(778,Engine!$C$2:$C$1960,0)),"",INDEX('Compliance Database'!$E$2:$E$1960,MATCH(778,Engine!$C$2:$C$1960,0)))</f>
        <v/>
      </c>
      <c r="F791" s="8">
        <f>IF(ISNA(MATCH(778,Engine!$C$2:$C$1960,0)),"",INDEX('Compliance Database'!$F$2:$F$1960,MATCH(778,Engine!$C$2:$C$1960,0)))</f>
        <v/>
      </c>
      <c r="G791" s="8">
        <f>IF(ISNA(MATCH(778,Engine!$C$2:$C$1960,0)),"",INDEX('Compliance Database'!$G$2:$G$1960,MATCH(778,Engine!$C$2:$C$1960,0)))</f>
        <v/>
      </c>
      <c r="H791" s="9">
        <f>IF(ISNA(MATCH(778,Engine!$C$2:$C$1960,0)),"",INDEX('Compliance Database'!$H$2:$H$1960,MATCH(778,Engine!$C$2:$C$1960,0)))</f>
        <v/>
      </c>
      <c r="I791" s="9">
        <f>IF(ISNA(MATCH(778,Engine!$C$2:$C$1960,0)),"",INDEX('Compliance Database'!$I$2:$I$1960,MATCH(778,Engine!$C$2:$C$1960,0)))</f>
        <v/>
      </c>
      <c r="J791" s="8">
        <f>IF(ISNA(MATCH(778,Engine!$C$2:$C$1960,0)),"",INDEX('Compliance Database'!$J$2:$J$1960,MATCH(778,Engine!$C$2:$C$1960,0)))</f>
        <v/>
      </c>
      <c r="K791" s="9">
        <f>IF(ISNA(MATCH(778,Engine!$C$2:$C$1960,0)),"",INDEX('Compliance Database'!$K$2:$K$1960,MATCH(778,Engine!$C$2:$C$1960,0)))</f>
        <v/>
      </c>
      <c r="L791" s="9">
        <f>IF(ISNA(MATCH(778,Engine!$C$2:$C$1960,0)),"",INDEX('Compliance Database'!$L$2:$L$1960,MATCH(778,Engine!$C$2:$C$1960,0)))</f>
        <v/>
      </c>
      <c r="M791" s="9">
        <f>IF(ISNA(MATCH(778,Engine!$C$2:$C$1960,0)),"",INDEX('Compliance Database'!$M$2:$M$1960,MATCH(778,Engine!$C$2:$C$1960,0)))</f>
        <v/>
      </c>
      <c r="N791" s="9">
        <f>IF(ISNA(MATCH(778,Engine!$C$2:$C$1960,0)),"",INDEX('Compliance Database'!$N$2:$N$1960,MATCH(778,Engine!$C$2:$C$1960,0)))</f>
        <v/>
      </c>
      <c r="O791" s="9">
        <f>IF(ISNA(MATCH(778,Engine!$C$2:$C$1960,0)),"",INDEX('Compliance Database'!$O$2:$O$1960,MATCH(778,Engine!$C$2:$C$1960,0)))</f>
        <v/>
      </c>
      <c r="P791" s="8">
        <f>IF(ISNA(MATCH(778,Engine!$C$2:$C$1960,0)),"",HYPERLINK("#Acts!A"&amp;INDEX('Compliance Database'!$P$2:$P$1960,MATCH(778,Engine!$C$2:$C$1960,0)),"Go to Act"))</f>
        <v/>
      </c>
    </row>
    <row r="792" ht="158" customHeight="1">
      <c r="A792" s="8">
        <f>IF(ISNA(MATCH(779,Engine!$C$2:$C$1960,0)),"",INDEX('Compliance Database'!$A$2:$A$1960,MATCH(779,Engine!$C$2:$C$1960,0)))</f>
        <v/>
      </c>
      <c r="B792" s="8">
        <f>IF(ISNA(MATCH(779,Engine!$C$2:$C$1960,0)),"",INDEX('Compliance Database'!$B$2:$B$1960,MATCH(779,Engine!$C$2:$C$1960,0)))</f>
        <v/>
      </c>
      <c r="C792" s="8">
        <f>IF(ISNA(MATCH(779,Engine!$C$2:$C$1960,0)),"",INDEX('Compliance Database'!$C$2:$C$1960,MATCH(779,Engine!$C$2:$C$1960,0)))</f>
        <v/>
      </c>
      <c r="D792" s="9">
        <f>IF(ISNA(MATCH(779,Engine!$C$2:$C$1960,0)),"",INDEX('Compliance Database'!$D$2:$D$1960,MATCH(779,Engine!$C$2:$C$1960,0)))</f>
        <v/>
      </c>
      <c r="E792" s="8">
        <f>IF(ISNA(MATCH(779,Engine!$C$2:$C$1960,0)),"",INDEX('Compliance Database'!$E$2:$E$1960,MATCH(779,Engine!$C$2:$C$1960,0)))</f>
        <v/>
      </c>
      <c r="F792" s="8">
        <f>IF(ISNA(MATCH(779,Engine!$C$2:$C$1960,0)),"",INDEX('Compliance Database'!$F$2:$F$1960,MATCH(779,Engine!$C$2:$C$1960,0)))</f>
        <v/>
      </c>
      <c r="G792" s="8">
        <f>IF(ISNA(MATCH(779,Engine!$C$2:$C$1960,0)),"",INDEX('Compliance Database'!$G$2:$G$1960,MATCH(779,Engine!$C$2:$C$1960,0)))</f>
        <v/>
      </c>
      <c r="H792" s="9">
        <f>IF(ISNA(MATCH(779,Engine!$C$2:$C$1960,0)),"",INDEX('Compliance Database'!$H$2:$H$1960,MATCH(779,Engine!$C$2:$C$1960,0)))</f>
        <v/>
      </c>
      <c r="I792" s="9">
        <f>IF(ISNA(MATCH(779,Engine!$C$2:$C$1960,0)),"",INDEX('Compliance Database'!$I$2:$I$1960,MATCH(779,Engine!$C$2:$C$1960,0)))</f>
        <v/>
      </c>
      <c r="J792" s="8">
        <f>IF(ISNA(MATCH(779,Engine!$C$2:$C$1960,0)),"",INDEX('Compliance Database'!$J$2:$J$1960,MATCH(779,Engine!$C$2:$C$1960,0)))</f>
        <v/>
      </c>
      <c r="K792" s="9">
        <f>IF(ISNA(MATCH(779,Engine!$C$2:$C$1960,0)),"",INDEX('Compliance Database'!$K$2:$K$1960,MATCH(779,Engine!$C$2:$C$1960,0)))</f>
        <v/>
      </c>
      <c r="L792" s="9">
        <f>IF(ISNA(MATCH(779,Engine!$C$2:$C$1960,0)),"",INDEX('Compliance Database'!$L$2:$L$1960,MATCH(779,Engine!$C$2:$C$1960,0)))</f>
        <v/>
      </c>
      <c r="M792" s="9">
        <f>IF(ISNA(MATCH(779,Engine!$C$2:$C$1960,0)),"",INDEX('Compliance Database'!$M$2:$M$1960,MATCH(779,Engine!$C$2:$C$1960,0)))</f>
        <v/>
      </c>
      <c r="N792" s="9">
        <f>IF(ISNA(MATCH(779,Engine!$C$2:$C$1960,0)),"",INDEX('Compliance Database'!$N$2:$N$1960,MATCH(779,Engine!$C$2:$C$1960,0)))</f>
        <v/>
      </c>
      <c r="O792" s="9">
        <f>IF(ISNA(MATCH(779,Engine!$C$2:$C$1960,0)),"",INDEX('Compliance Database'!$O$2:$O$1960,MATCH(779,Engine!$C$2:$C$1960,0)))</f>
        <v/>
      </c>
      <c r="P792" s="8">
        <f>IF(ISNA(MATCH(779,Engine!$C$2:$C$1960,0)),"",HYPERLINK("#Acts!A"&amp;INDEX('Compliance Database'!$P$2:$P$1960,MATCH(779,Engine!$C$2:$C$1960,0)),"Go to Act"))</f>
        <v/>
      </c>
    </row>
    <row r="793" ht="158" customHeight="1">
      <c r="A793" s="8">
        <f>IF(ISNA(MATCH(780,Engine!$C$2:$C$1960,0)),"",INDEX('Compliance Database'!$A$2:$A$1960,MATCH(780,Engine!$C$2:$C$1960,0)))</f>
        <v/>
      </c>
      <c r="B793" s="8">
        <f>IF(ISNA(MATCH(780,Engine!$C$2:$C$1960,0)),"",INDEX('Compliance Database'!$B$2:$B$1960,MATCH(780,Engine!$C$2:$C$1960,0)))</f>
        <v/>
      </c>
      <c r="C793" s="8">
        <f>IF(ISNA(MATCH(780,Engine!$C$2:$C$1960,0)),"",INDEX('Compliance Database'!$C$2:$C$1960,MATCH(780,Engine!$C$2:$C$1960,0)))</f>
        <v/>
      </c>
      <c r="D793" s="9">
        <f>IF(ISNA(MATCH(780,Engine!$C$2:$C$1960,0)),"",INDEX('Compliance Database'!$D$2:$D$1960,MATCH(780,Engine!$C$2:$C$1960,0)))</f>
        <v/>
      </c>
      <c r="E793" s="8">
        <f>IF(ISNA(MATCH(780,Engine!$C$2:$C$1960,0)),"",INDEX('Compliance Database'!$E$2:$E$1960,MATCH(780,Engine!$C$2:$C$1960,0)))</f>
        <v/>
      </c>
      <c r="F793" s="8">
        <f>IF(ISNA(MATCH(780,Engine!$C$2:$C$1960,0)),"",INDEX('Compliance Database'!$F$2:$F$1960,MATCH(780,Engine!$C$2:$C$1960,0)))</f>
        <v/>
      </c>
      <c r="G793" s="8">
        <f>IF(ISNA(MATCH(780,Engine!$C$2:$C$1960,0)),"",INDEX('Compliance Database'!$G$2:$G$1960,MATCH(780,Engine!$C$2:$C$1960,0)))</f>
        <v/>
      </c>
      <c r="H793" s="9">
        <f>IF(ISNA(MATCH(780,Engine!$C$2:$C$1960,0)),"",INDEX('Compliance Database'!$H$2:$H$1960,MATCH(780,Engine!$C$2:$C$1960,0)))</f>
        <v/>
      </c>
      <c r="I793" s="9">
        <f>IF(ISNA(MATCH(780,Engine!$C$2:$C$1960,0)),"",INDEX('Compliance Database'!$I$2:$I$1960,MATCH(780,Engine!$C$2:$C$1960,0)))</f>
        <v/>
      </c>
      <c r="J793" s="8">
        <f>IF(ISNA(MATCH(780,Engine!$C$2:$C$1960,0)),"",INDEX('Compliance Database'!$J$2:$J$1960,MATCH(780,Engine!$C$2:$C$1960,0)))</f>
        <v/>
      </c>
      <c r="K793" s="9">
        <f>IF(ISNA(MATCH(780,Engine!$C$2:$C$1960,0)),"",INDEX('Compliance Database'!$K$2:$K$1960,MATCH(780,Engine!$C$2:$C$1960,0)))</f>
        <v/>
      </c>
      <c r="L793" s="9">
        <f>IF(ISNA(MATCH(780,Engine!$C$2:$C$1960,0)),"",INDEX('Compliance Database'!$L$2:$L$1960,MATCH(780,Engine!$C$2:$C$1960,0)))</f>
        <v/>
      </c>
      <c r="M793" s="9">
        <f>IF(ISNA(MATCH(780,Engine!$C$2:$C$1960,0)),"",INDEX('Compliance Database'!$M$2:$M$1960,MATCH(780,Engine!$C$2:$C$1960,0)))</f>
        <v/>
      </c>
      <c r="N793" s="9">
        <f>IF(ISNA(MATCH(780,Engine!$C$2:$C$1960,0)),"",INDEX('Compliance Database'!$N$2:$N$1960,MATCH(780,Engine!$C$2:$C$1960,0)))</f>
        <v/>
      </c>
      <c r="O793" s="9">
        <f>IF(ISNA(MATCH(780,Engine!$C$2:$C$1960,0)),"",INDEX('Compliance Database'!$O$2:$O$1960,MATCH(780,Engine!$C$2:$C$1960,0)))</f>
        <v/>
      </c>
      <c r="P793" s="8">
        <f>IF(ISNA(MATCH(780,Engine!$C$2:$C$1960,0)),"",HYPERLINK("#Acts!A"&amp;INDEX('Compliance Database'!$P$2:$P$1960,MATCH(780,Engine!$C$2:$C$1960,0)),"Go to Act"))</f>
        <v/>
      </c>
    </row>
    <row r="794" ht="158" customHeight="1">
      <c r="A794" s="8">
        <f>IF(ISNA(MATCH(781,Engine!$C$2:$C$1960,0)),"",INDEX('Compliance Database'!$A$2:$A$1960,MATCH(781,Engine!$C$2:$C$1960,0)))</f>
        <v/>
      </c>
      <c r="B794" s="8">
        <f>IF(ISNA(MATCH(781,Engine!$C$2:$C$1960,0)),"",INDEX('Compliance Database'!$B$2:$B$1960,MATCH(781,Engine!$C$2:$C$1960,0)))</f>
        <v/>
      </c>
      <c r="C794" s="8">
        <f>IF(ISNA(MATCH(781,Engine!$C$2:$C$1960,0)),"",INDEX('Compliance Database'!$C$2:$C$1960,MATCH(781,Engine!$C$2:$C$1960,0)))</f>
        <v/>
      </c>
      <c r="D794" s="9">
        <f>IF(ISNA(MATCH(781,Engine!$C$2:$C$1960,0)),"",INDEX('Compliance Database'!$D$2:$D$1960,MATCH(781,Engine!$C$2:$C$1960,0)))</f>
        <v/>
      </c>
      <c r="E794" s="8">
        <f>IF(ISNA(MATCH(781,Engine!$C$2:$C$1960,0)),"",INDEX('Compliance Database'!$E$2:$E$1960,MATCH(781,Engine!$C$2:$C$1960,0)))</f>
        <v/>
      </c>
      <c r="F794" s="8">
        <f>IF(ISNA(MATCH(781,Engine!$C$2:$C$1960,0)),"",INDEX('Compliance Database'!$F$2:$F$1960,MATCH(781,Engine!$C$2:$C$1960,0)))</f>
        <v/>
      </c>
      <c r="G794" s="8">
        <f>IF(ISNA(MATCH(781,Engine!$C$2:$C$1960,0)),"",INDEX('Compliance Database'!$G$2:$G$1960,MATCH(781,Engine!$C$2:$C$1960,0)))</f>
        <v/>
      </c>
      <c r="H794" s="9">
        <f>IF(ISNA(MATCH(781,Engine!$C$2:$C$1960,0)),"",INDEX('Compliance Database'!$H$2:$H$1960,MATCH(781,Engine!$C$2:$C$1960,0)))</f>
        <v/>
      </c>
      <c r="I794" s="9">
        <f>IF(ISNA(MATCH(781,Engine!$C$2:$C$1960,0)),"",INDEX('Compliance Database'!$I$2:$I$1960,MATCH(781,Engine!$C$2:$C$1960,0)))</f>
        <v/>
      </c>
      <c r="J794" s="8">
        <f>IF(ISNA(MATCH(781,Engine!$C$2:$C$1960,0)),"",INDEX('Compliance Database'!$J$2:$J$1960,MATCH(781,Engine!$C$2:$C$1960,0)))</f>
        <v/>
      </c>
      <c r="K794" s="9">
        <f>IF(ISNA(MATCH(781,Engine!$C$2:$C$1960,0)),"",INDEX('Compliance Database'!$K$2:$K$1960,MATCH(781,Engine!$C$2:$C$1960,0)))</f>
        <v/>
      </c>
      <c r="L794" s="9">
        <f>IF(ISNA(MATCH(781,Engine!$C$2:$C$1960,0)),"",INDEX('Compliance Database'!$L$2:$L$1960,MATCH(781,Engine!$C$2:$C$1960,0)))</f>
        <v/>
      </c>
      <c r="M794" s="9">
        <f>IF(ISNA(MATCH(781,Engine!$C$2:$C$1960,0)),"",INDEX('Compliance Database'!$M$2:$M$1960,MATCH(781,Engine!$C$2:$C$1960,0)))</f>
        <v/>
      </c>
      <c r="N794" s="9">
        <f>IF(ISNA(MATCH(781,Engine!$C$2:$C$1960,0)),"",INDEX('Compliance Database'!$N$2:$N$1960,MATCH(781,Engine!$C$2:$C$1960,0)))</f>
        <v/>
      </c>
      <c r="O794" s="9">
        <f>IF(ISNA(MATCH(781,Engine!$C$2:$C$1960,0)),"",INDEX('Compliance Database'!$O$2:$O$1960,MATCH(781,Engine!$C$2:$C$1960,0)))</f>
        <v/>
      </c>
      <c r="P794" s="8">
        <f>IF(ISNA(MATCH(781,Engine!$C$2:$C$1960,0)),"",HYPERLINK("#Acts!A"&amp;INDEX('Compliance Database'!$P$2:$P$1960,MATCH(781,Engine!$C$2:$C$1960,0)),"Go to Act"))</f>
        <v/>
      </c>
    </row>
    <row r="795" ht="158" customHeight="1">
      <c r="A795" s="8">
        <f>IF(ISNA(MATCH(782,Engine!$C$2:$C$1960,0)),"",INDEX('Compliance Database'!$A$2:$A$1960,MATCH(782,Engine!$C$2:$C$1960,0)))</f>
        <v/>
      </c>
      <c r="B795" s="8">
        <f>IF(ISNA(MATCH(782,Engine!$C$2:$C$1960,0)),"",INDEX('Compliance Database'!$B$2:$B$1960,MATCH(782,Engine!$C$2:$C$1960,0)))</f>
        <v/>
      </c>
      <c r="C795" s="8">
        <f>IF(ISNA(MATCH(782,Engine!$C$2:$C$1960,0)),"",INDEX('Compliance Database'!$C$2:$C$1960,MATCH(782,Engine!$C$2:$C$1960,0)))</f>
        <v/>
      </c>
      <c r="D795" s="9">
        <f>IF(ISNA(MATCH(782,Engine!$C$2:$C$1960,0)),"",INDEX('Compliance Database'!$D$2:$D$1960,MATCH(782,Engine!$C$2:$C$1960,0)))</f>
        <v/>
      </c>
      <c r="E795" s="8">
        <f>IF(ISNA(MATCH(782,Engine!$C$2:$C$1960,0)),"",INDEX('Compliance Database'!$E$2:$E$1960,MATCH(782,Engine!$C$2:$C$1960,0)))</f>
        <v/>
      </c>
      <c r="F795" s="8">
        <f>IF(ISNA(MATCH(782,Engine!$C$2:$C$1960,0)),"",INDEX('Compliance Database'!$F$2:$F$1960,MATCH(782,Engine!$C$2:$C$1960,0)))</f>
        <v/>
      </c>
      <c r="G795" s="8">
        <f>IF(ISNA(MATCH(782,Engine!$C$2:$C$1960,0)),"",INDEX('Compliance Database'!$G$2:$G$1960,MATCH(782,Engine!$C$2:$C$1960,0)))</f>
        <v/>
      </c>
      <c r="H795" s="9">
        <f>IF(ISNA(MATCH(782,Engine!$C$2:$C$1960,0)),"",INDEX('Compliance Database'!$H$2:$H$1960,MATCH(782,Engine!$C$2:$C$1960,0)))</f>
        <v/>
      </c>
      <c r="I795" s="9">
        <f>IF(ISNA(MATCH(782,Engine!$C$2:$C$1960,0)),"",INDEX('Compliance Database'!$I$2:$I$1960,MATCH(782,Engine!$C$2:$C$1960,0)))</f>
        <v/>
      </c>
      <c r="J795" s="8">
        <f>IF(ISNA(MATCH(782,Engine!$C$2:$C$1960,0)),"",INDEX('Compliance Database'!$J$2:$J$1960,MATCH(782,Engine!$C$2:$C$1960,0)))</f>
        <v/>
      </c>
      <c r="K795" s="9">
        <f>IF(ISNA(MATCH(782,Engine!$C$2:$C$1960,0)),"",INDEX('Compliance Database'!$K$2:$K$1960,MATCH(782,Engine!$C$2:$C$1960,0)))</f>
        <v/>
      </c>
      <c r="L795" s="9">
        <f>IF(ISNA(MATCH(782,Engine!$C$2:$C$1960,0)),"",INDEX('Compliance Database'!$L$2:$L$1960,MATCH(782,Engine!$C$2:$C$1960,0)))</f>
        <v/>
      </c>
      <c r="M795" s="9">
        <f>IF(ISNA(MATCH(782,Engine!$C$2:$C$1960,0)),"",INDEX('Compliance Database'!$M$2:$M$1960,MATCH(782,Engine!$C$2:$C$1960,0)))</f>
        <v/>
      </c>
      <c r="N795" s="9">
        <f>IF(ISNA(MATCH(782,Engine!$C$2:$C$1960,0)),"",INDEX('Compliance Database'!$N$2:$N$1960,MATCH(782,Engine!$C$2:$C$1960,0)))</f>
        <v/>
      </c>
      <c r="O795" s="9">
        <f>IF(ISNA(MATCH(782,Engine!$C$2:$C$1960,0)),"",INDEX('Compliance Database'!$O$2:$O$1960,MATCH(782,Engine!$C$2:$C$1960,0)))</f>
        <v/>
      </c>
      <c r="P795" s="8">
        <f>IF(ISNA(MATCH(782,Engine!$C$2:$C$1960,0)),"",HYPERLINK("#Acts!A"&amp;INDEX('Compliance Database'!$P$2:$P$1960,MATCH(782,Engine!$C$2:$C$1960,0)),"Go to Act"))</f>
        <v/>
      </c>
    </row>
    <row r="796" ht="158" customHeight="1">
      <c r="A796" s="8">
        <f>IF(ISNA(MATCH(783,Engine!$C$2:$C$1960,0)),"",INDEX('Compliance Database'!$A$2:$A$1960,MATCH(783,Engine!$C$2:$C$1960,0)))</f>
        <v/>
      </c>
      <c r="B796" s="8">
        <f>IF(ISNA(MATCH(783,Engine!$C$2:$C$1960,0)),"",INDEX('Compliance Database'!$B$2:$B$1960,MATCH(783,Engine!$C$2:$C$1960,0)))</f>
        <v/>
      </c>
      <c r="C796" s="8">
        <f>IF(ISNA(MATCH(783,Engine!$C$2:$C$1960,0)),"",INDEX('Compliance Database'!$C$2:$C$1960,MATCH(783,Engine!$C$2:$C$1960,0)))</f>
        <v/>
      </c>
      <c r="D796" s="9">
        <f>IF(ISNA(MATCH(783,Engine!$C$2:$C$1960,0)),"",INDEX('Compliance Database'!$D$2:$D$1960,MATCH(783,Engine!$C$2:$C$1960,0)))</f>
        <v/>
      </c>
      <c r="E796" s="8">
        <f>IF(ISNA(MATCH(783,Engine!$C$2:$C$1960,0)),"",INDEX('Compliance Database'!$E$2:$E$1960,MATCH(783,Engine!$C$2:$C$1960,0)))</f>
        <v/>
      </c>
      <c r="F796" s="8">
        <f>IF(ISNA(MATCH(783,Engine!$C$2:$C$1960,0)),"",INDEX('Compliance Database'!$F$2:$F$1960,MATCH(783,Engine!$C$2:$C$1960,0)))</f>
        <v/>
      </c>
      <c r="G796" s="8">
        <f>IF(ISNA(MATCH(783,Engine!$C$2:$C$1960,0)),"",INDEX('Compliance Database'!$G$2:$G$1960,MATCH(783,Engine!$C$2:$C$1960,0)))</f>
        <v/>
      </c>
      <c r="H796" s="9">
        <f>IF(ISNA(MATCH(783,Engine!$C$2:$C$1960,0)),"",INDEX('Compliance Database'!$H$2:$H$1960,MATCH(783,Engine!$C$2:$C$1960,0)))</f>
        <v/>
      </c>
      <c r="I796" s="9">
        <f>IF(ISNA(MATCH(783,Engine!$C$2:$C$1960,0)),"",INDEX('Compliance Database'!$I$2:$I$1960,MATCH(783,Engine!$C$2:$C$1960,0)))</f>
        <v/>
      </c>
      <c r="J796" s="8">
        <f>IF(ISNA(MATCH(783,Engine!$C$2:$C$1960,0)),"",INDEX('Compliance Database'!$J$2:$J$1960,MATCH(783,Engine!$C$2:$C$1960,0)))</f>
        <v/>
      </c>
      <c r="K796" s="9">
        <f>IF(ISNA(MATCH(783,Engine!$C$2:$C$1960,0)),"",INDEX('Compliance Database'!$K$2:$K$1960,MATCH(783,Engine!$C$2:$C$1960,0)))</f>
        <v/>
      </c>
      <c r="L796" s="9">
        <f>IF(ISNA(MATCH(783,Engine!$C$2:$C$1960,0)),"",INDEX('Compliance Database'!$L$2:$L$1960,MATCH(783,Engine!$C$2:$C$1960,0)))</f>
        <v/>
      </c>
      <c r="M796" s="9">
        <f>IF(ISNA(MATCH(783,Engine!$C$2:$C$1960,0)),"",INDEX('Compliance Database'!$M$2:$M$1960,MATCH(783,Engine!$C$2:$C$1960,0)))</f>
        <v/>
      </c>
      <c r="N796" s="9">
        <f>IF(ISNA(MATCH(783,Engine!$C$2:$C$1960,0)),"",INDEX('Compliance Database'!$N$2:$N$1960,MATCH(783,Engine!$C$2:$C$1960,0)))</f>
        <v/>
      </c>
      <c r="O796" s="9">
        <f>IF(ISNA(MATCH(783,Engine!$C$2:$C$1960,0)),"",INDEX('Compliance Database'!$O$2:$O$1960,MATCH(783,Engine!$C$2:$C$1960,0)))</f>
        <v/>
      </c>
      <c r="P796" s="8">
        <f>IF(ISNA(MATCH(783,Engine!$C$2:$C$1960,0)),"",HYPERLINK("#Acts!A"&amp;INDEX('Compliance Database'!$P$2:$P$1960,MATCH(783,Engine!$C$2:$C$1960,0)),"Go to Act"))</f>
        <v/>
      </c>
    </row>
    <row r="797" ht="158" customHeight="1">
      <c r="A797" s="8">
        <f>IF(ISNA(MATCH(784,Engine!$C$2:$C$1960,0)),"",INDEX('Compliance Database'!$A$2:$A$1960,MATCH(784,Engine!$C$2:$C$1960,0)))</f>
        <v/>
      </c>
      <c r="B797" s="8">
        <f>IF(ISNA(MATCH(784,Engine!$C$2:$C$1960,0)),"",INDEX('Compliance Database'!$B$2:$B$1960,MATCH(784,Engine!$C$2:$C$1960,0)))</f>
        <v/>
      </c>
      <c r="C797" s="8">
        <f>IF(ISNA(MATCH(784,Engine!$C$2:$C$1960,0)),"",INDEX('Compliance Database'!$C$2:$C$1960,MATCH(784,Engine!$C$2:$C$1960,0)))</f>
        <v/>
      </c>
      <c r="D797" s="9">
        <f>IF(ISNA(MATCH(784,Engine!$C$2:$C$1960,0)),"",INDEX('Compliance Database'!$D$2:$D$1960,MATCH(784,Engine!$C$2:$C$1960,0)))</f>
        <v/>
      </c>
      <c r="E797" s="8">
        <f>IF(ISNA(MATCH(784,Engine!$C$2:$C$1960,0)),"",INDEX('Compliance Database'!$E$2:$E$1960,MATCH(784,Engine!$C$2:$C$1960,0)))</f>
        <v/>
      </c>
      <c r="F797" s="8">
        <f>IF(ISNA(MATCH(784,Engine!$C$2:$C$1960,0)),"",INDEX('Compliance Database'!$F$2:$F$1960,MATCH(784,Engine!$C$2:$C$1960,0)))</f>
        <v/>
      </c>
      <c r="G797" s="8">
        <f>IF(ISNA(MATCH(784,Engine!$C$2:$C$1960,0)),"",INDEX('Compliance Database'!$G$2:$G$1960,MATCH(784,Engine!$C$2:$C$1960,0)))</f>
        <v/>
      </c>
      <c r="H797" s="9">
        <f>IF(ISNA(MATCH(784,Engine!$C$2:$C$1960,0)),"",INDEX('Compliance Database'!$H$2:$H$1960,MATCH(784,Engine!$C$2:$C$1960,0)))</f>
        <v/>
      </c>
      <c r="I797" s="9">
        <f>IF(ISNA(MATCH(784,Engine!$C$2:$C$1960,0)),"",INDEX('Compliance Database'!$I$2:$I$1960,MATCH(784,Engine!$C$2:$C$1960,0)))</f>
        <v/>
      </c>
      <c r="J797" s="8">
        <f>IF(ISNA(MATCH(784,Engine!$C$2:$C$1960,0)),"",INDEX('Compliance Database'!$J$2:$J$1960,MATCH(784,Engine!$C$2:$C$1960,0)))</f>
        <v/>
      </c>
      <c r="K797" s="9">
        <f>IF(ISNA(MATCH(784,Engine!$C$2:$C$1960,0)),"",INDEX('Compliance Database'!$K$2:$K$1960,MATCH(784,Engine!$C$2:$C$1960,0)))</f>
        <v/>
      </c>
      <c r="L797" s="9">
        <f>IF(ISNA(MATCH(784,Engine!$C$2:$C$1960,0)),"",INDEX('Compliance Database'!$L$2:$L$1960,MATCH(784,Engine!$C$2:$C$1960,0)))</f>
        <v/>
      </c>
      <c r="M797" s="9">
        <f>IF(ISNA(MATCH(784,Engine!$C$2:$C$1960,0)),"",INDEX('Compliance Database'!$M$2:$M$1960,MATCH(784,Engine!$C$2:$C$1960,0)))</f>
        <v/>
      </c>
      <c r="N797" s="9">
        <f>IF(ISNA(MATCH(784,Engine!$C$2:$C$1960,0)),"",INDEX('Compliance Database'!$N$2:$N$1960,MATCH(784,Engine!$C$2:$C$1960,0)))</f>
        <v/>
      </c>
      <c r="O797" s="9">
        <f>IF(ISNA(MATCH(784,Engine!$C$2:$C$1960,0)),"",INDEX('Compliance Database'!$O$2:$O$1960,MATCH(784,Engine!$C$2:$C$1960,0)))</f>
        <v/>
      </c>
      <c r="P797" s="8">
        <f>IF(ISNA(MATCH(784,Engine!$C$2:$C$1960,0)),"",HYPERLINK("#Acts!A"&amp;INDEX('Compliance Database'!$P$2:$P$1960,MATCH(784,Engine!$C$2:$C$1960,0)),"Go to Act"))</f>
        <v/>
      </c>
    </row>
    <row r="798" ht="158" customHeight="1">
      <c r="A798" s="8">
        <f>IF(ISNA(MATCH(785,Engine!$C$2:$C$1960,0)),"",INDEX('Compliance Database'!$A$2:$A$1960,MATCH(785,Engine!$C$2:$C$1960,0)))</f>
        <v/>
      </c>
      <c r="B798" s="8">
        <f>IF(ISNA(MATCH(785,Engine!$C$2:$C$1960,0)),"",INDEX('Compliance Database'!$B$2:$B$1960,MATCH(785,Engine!$C$2:$C$1960,0)))</f>
        <v/>
      </c>
      <c r="C798" s="8">
        <f>IF(ISNA(MATCH(785,Engine!$C$2:$C$1960,0)),"",INDEX('Compliance Database'!$C$2:$C$1960,MATCH(785,Engine!$C$2:$C$1960,0)))</f>
        <v/>
      </c>
      <c r="D798" s="9">
        <f>IF(ISNA(MATCH(785,Engine!$C$2:$C$1960,0)),"",INDEX('Compliance Database'!$D$2:$D$1960,MATCH(785,Engine!$C$2:$C$1960,0)))</f>
        <v/>
      </c>
      <c r="E798" s="8">
        <f>IF(ISNA(MATCH(785,Engine!$C$2:$C$1960,0)),"",INDEX('Compliance Database'!$E$2:$E$1960,MATCH(785,Engine!$C$2:$C$1960,0)))</f>
        <v/>
      </c>
      <c r="F798" s="8">
        <f>IF(ISNA(MATCH(785,Engine!$C$2:$C$1960,0)),"",INDEX('Compliance Database'!$F$2:$F$1960,MATCH(785,Engine!$C$2:$C$1960,0)))</f>
        <v/>
      </c>
      <c r="G798" s="8">
        <f>IF(ISNA(MATCH(785,Engine!$C$2:$C$1960,0)),"",INDEX('Compliance Database'!$G$2:$G$1960,MATCH(785,Engine!$C$2:$C$1960,0)))</f>
        <v/>
      </c>
      <c r="H798" s="9">
        <f>IF(ISNA(MATCH(785,Engine!$C$2:$C$1960,0)),"",INDEX('Compliance Database'!$H$2:$H$1960,MATCH(785,Engine!$C$2:$C$1960,0)))</f>
        <v/>
      </c>
      <c r="I798" s="9">
        <f>IF(ISNA(MATCH(785,Engine!$C$2:$C$1960,0)),"",INDEX('Compliance Database'!$I$2:$I$1960,MATCH(785,Engine!$C$2:$C$1960,0)))</f>
        <v/>
      </c>
      <c r="J798" s="8">
        <f>IF(ISNA(MATCH(785,Engine!$C$2:$C$1960,0)),"",INDEX('Compliance Database'!$J$2:$J$1960,MATCH(785,Engine!$C$2:$C$1960,0)))</f>
        <v/>
      </c>
      <c r="K798" s="9">
        <f>IF(ISNA(MATCH(785,Engine!$C$2:$C$1960,0)),"",INDEX('Compliance Database'!$K$2:$K$1960,MATCH(785,Engine!$C$2:$C$1960,0)))</f>
        <v/>
      </c>
      <c r="L798" s="9">
        <f>IF(ISNA(MATCH(785,Engine!$C$2:$C$1960,0)),"",INDEX('Compliance Database'!$L$2:$L$1960,MATCH(785,Engine!$C$2:$C$1960,0)))</f>
        <v/>
      </c>
      <c r="M798" s="9">
        <f>IF(ISNA(MATCH(785,Engine!$C$2:$C$1960,0)),"",INDEX('Compliance Database'!$M$2:$M$1960,MATCH(785,Engine!$C$2:$C$1960,0)))</f>
        <v/>
      </c>
      <c r="N798" s="9">
        <f>IF(ISNA(MATCH(785,Engine!$C$2:$C$1960,0)),"",INDEX('Compliance Database'!$N$2:$N$1960,MATCH(785,Engine!$C$2:$C$1960,0)))</f>
        <v/>
      </c>
      <c r="O798" s="9">
        <f>IF(ISNA(MATCH(785,Engine!$C$2:$C$1960,0)),"",INDEX('Compliance Database'!$O$2:$O$1960,MATCH(785,Engine!$C$2:$C$1960,0)))</f>
        <v/>
      </c>
      <c r="P798" s="8">
        <f>IF(ISNA(MATCH(785,Engine!$C$2:$C$1960,0)),"",HYPERLINK("#Acts!A"&amp;INDEX('Compliance Database'!$P$2:$P$1960,MATCH(785,Engine!$C$2:$C$1960,0)),"Go to Act"))</f>
        <v/>
      </c>
    </row>
    <row r="799" ht="158" customHeight="1">
      <c r="A799" s="8">
        <f>IF(ISNA(MATCH(786,Engine!$C$2:$C$1960,0)),"",INDEX('Compliance Database'!$A$2:$A$1960,MATCH(786,Engine!$C$2:$C$1960,0)))</f>
        <v/>
      </c>
      <c r="B799" s="8">
        <f>IF(ISNA(MATCH(786,Engine!$C$2:$C$1960,0)),"",INDEX('Compliance Database'!$B$2:$B$1960,MATCH(786,Engine!$C$2:$C$1960,0)))</f>
        <v/>
      </c>
      <c r="C799" s="8">
        <f>IF(ISNA(MATCH(786,Engine!$C$2:$C$1960,0)),"",INDEX('Compliance Database'!$C$2:$C$1960,MATCH(786,Engine!$C$2:$C$1960,0)))</f>
        <v/>
      </c>
      <c r="D799" s="9">
        <f>IF(ISNA(MATCH(786,Engine!$C$2:$C$1960,0)),"",INDEX('Compliance Database'!$D$2:$D$1960,MATCH(786,Engine!$C$2:$C$1960,0)))</f>
        <v/>
      </c>
      <c r="E799" s="8">
        <f>IF(ISNA(MATCH(786,Engine!$C$2:$C$1960,0)),"",INDEX('Compliance Database'!$E$2:$E$1960,MATCH(786,Engine!$C$2:$C$1960,0)))</f>
        <v/>
      </c>
      <c r="F799" s="8">
        <f>IF(ISNA(MATCH(786,Engine!$C$2:$C$1960,0)),"",INDEX('Compliance Database'!$F$2:$F$1960,MATCH(786,Engine!$C$2:$C$1960,0)))</f>
        <v/>
      </c>
      <c r="G799" s="8">
        <f>IF(ISNA(MATCH(786,Engine!$C$2:$C$1960,0)),"",INDEX('Compliance Database'!$G$2:$G$1960,MATCH(786,Engine!$C$2:$C$1960,0)))</f>
        <v/>
      </c>
      <c r="H799" s="9">
        <f>IF(ISNA(MATCH(786,Engine!$C$2:$C$1960,0)),"",INDEX('Compliance Database'!$H$2:$H$1960,MATCH(786,Engine!$C$2:$C$1960,0)))</f>
        <v/>
      </c>
      <c r="I799" s="9">
        <f>IF(ISNA(MATCH(786,Engine!$C$2:$C$1960,0)),"",INDEX('Compliance Database'!$I$2:$I$1960,MATCH(786,Engine!$C$2:$C$1960,0)))</f>
        <v/>
      </c>
      <c r="J799" s="8">
        <f>IF(ISNA(MATCH(786,Engine!$C$2:$C$1960,0)),"",INDEX('Compliance Database'!$J$2:$J$1960,MATCH(786,Engine!$C$2:$C$1960,0)))</f>
        <v/>
      </c>
      <c r="K799" s="9">
        <f>IF(ISNA(MATCH(786,Engine!$C$2:$C$1960,0)),"",INDEX('Compliance Database'!$K$2:$K$1960,MATCH(786,Engine!$C$2:$C$1960,0)))</f>
        <v/>
      </c>
      <c r="L799" s="9">
        <f>IF(ISNA(MATCH(786,Engine!$C$2:$C$1960,0)),"",INDEX('Compliance Database'!$L$2:$L$1960,MATCH(786,Engine!$C$2:$C$1960,0)))</f>
        <v/>
      </c>
      <c r="M799" s="9">
        <f>IF(ISNA(MATCH(786,Engine!$C$2:$C$1960,0)),"",INDEX('Compliance Database'!$M$2:$M$1960,MATCH(786,Engine!$C$2:$C$1960,0)))</f>
        <v/>
      </c>
      <c r="N799" s="9">
        <f>IF(ISNA(MATCH(786,Engine!$C$2:$C$1960,0)),"",INDEX('Compliance Database'!$N$2:$N$1960,MATCH(786,Engine!$C$2:$C$1960,0)))</f>
        <v/>
      </c>
      <c r="O799" s="9">
        <f>IF(ISNA(MATCH(786,Engine!$C$2:$C$1960,0)),"",INDEX('Compliance Database'!$O$2:$O$1960,MATCH(786,Engine!$C$2:$C$1960,0)))</f>
        <v/>
      </c>
      <c r="P799" s="8">
        <f>IF(ISNA(MATCH(786,Engine!$C$2:$C$1960,0)),"",HYPERLINK("#Acts!A"&amp;INDEX('Compliance Database'!$P$2:$P$1960,MATCH(786,Engine!$C$2:$C$1960,0)),"Go to Act"))</f>
        <v/>
      </c>
    </row>
    <row r="800" ht="158" customHeight="1">
      <c r="A800" s="8">
        <f>IF(ISNA(MATCH(787,Engine!$C$2:$C$1960,0)),"",INDEX('Compliance Database'!$A$2:$A$1960,MATCH(787,Engine!$C$2:$C$1960,0)))</f>
        <v/>
      </c>
      <c r="B800" s="8">
        <f>IF(ISNA(MATCH(787,Engine!$C$2:$C$1960,0)),"",INDEX('Compliance Database'!$B$2:$B$1960,MATCH(787,Engine!$C$2:$C$1960,0)))</f>
        <v/>
      </c>
      <c r="C800" s="8">
        <f>IF(ISNA(MATCH(787,Engine!$C$2:$C$1960,0)),"",INDEX('Compliance Database'!$C$2:$C$1960,MATCH(787,Engine!$C$2:$C$1960,0)))</f>
        <v/>
      </c>
      <c r="D800" s="9">
        <f>IF(ISNA(MATCH(787,Engine!$C$2:$C$1960,0)),"",INDEX('Compliance Database'!$D$2:$D$1960,MATCH(787,Engine!$C$2:$C$1960,0)))</f>
        <v/>
      </c>
      <c r="E800" s="8">
        <f>IF(ISNA(MATCH(787,Engine!$C$2:$C$1960,0)),"",INDEX('Compliance Database'!$E$2:$E$1960,MATCH(787,Engine!$C$2:$C$1960,0)))</f>
        <v/>
      </c>
      <c r="F800" s="8">
        <f>IF(ISNA(MATCH(787,Engine!$C$2:$C$1960,0)),"",INDEX('Compliance Database'!$F$2:$F$1960,MATCH(787,Engine!$C$2:$C$1960,0)))</f>
        <v/>
      </c>
      <c r="G800" s="8">
        <f>IF(ISNA(MATCH(787,Engine!$C$2:$C$1960,0)),"",INDEX('Compliance Database'!$G$2:$G$1960,MATCH(787,Engine!$C$2:$C$1960,0)))</f>
        <v/>
      </c>
      <c r="H800" s="9">
        <f>IF(ISNA(MATCH(787,Engine!$C$2:$C$1960,0)),"",INDEX('Compliance Database'!$H$2:$H$1960,MATCH(787,Engine!$C$2:$C$1960,0)))</f>
        <v/>
      </c>
      <c r="I800" s="9">
        <f>IF(ISNA(MATCH(787,Engine!$C$2:$C$1960,0)),"",INDEX('Compliance Database'!$I$2:$I$1960,MATCH(787,Engine!$C$2:$C$1960,0)))</f>
        <v/>
      </c>
      <c r="J800" s="8">
        <f>IF(ISNA(MATCH(787,Engine!$C$2:$C$1960,0)),"",INDEX('Compliance Database'!$J$2:$J$1960,MATCH(787,Engine!$C$2:$C$1960,0)))</f>
        <v/>
      </c>
      <c r="K800" s="9">
        <f>IF(ISNA(MATCH(787,Engine!$C$2:$C$1960,0)),"",INDEX('Compliance Database'!$K$2:$K$1960,MATCH(787,Engine!$C$2:$C$1960,0)))</f>
        <v/>
      </c>
      <c r="L800" s="9">
        <f>IF(ISNA(MATCH(787,Engine!$C$2:$C$1960,0)),"",INDEX('Compliance Database'!$L$2:$L$1960,MATCH(787,Engine!$C$2:$C$1960,0)))</f>
        <v/>
      </c>
      <c r="M800" s="9">
        <f>IF(ISNA(MATCH(787,Engine!$C$2:$C$1960,0)),"",INDEX('Compliance Database'!$M$2:$M$1960,MATCH(787,Engine!$C$2:$C$1960,0)))</f>
        <v/>
      </c>
      <c r="N800" s="9">
        <f>IF(ISNA(MATCH(787,Engine!$C$2:$C$1960,0)),"",INDEX('Compliance Database'!$N$2:$N$1960,MATCH(787,Engine!$C$2:$C$1960,0)))</f>
        <v/>
      </c>
      <c r="O800" s="9">
        <f>IF(ISNA(MATCH(787,Engine!$C$2:$C$1960,0)),"",INDEX('Compliance Database'!$O$2:$O$1960,MATCH(787,Engine!$C$2:$C$1960,0)))</f>
        <v/>
      </c>
      <c r="P800" s="8">
        <f>IF(ISNA(MATCH(787,Engine!$C$2:$C$1960,0)),"",HYPERLINK("#Acts!A"&amp;INDEX('Compliance Database'!$P$2:$P$1960,MATCH(787,Engine!$C$2:$C$1960,0)),"Go to Act"))</f>
        <v/>
      </c>
    </row>
    <row r="801" ht="158" customHeight="1">
      <c r="A801" s="8">
        <f>IF(ISNA(MATCH(788,Engine!$C$2:$C$1960,0)),"",INDEX('Compliance Database'!$A$2:$A$1960,MATCH(788,Engine!$C$2:$C$1960,0)))</f>
        <v/>
      </c>
      <c r="B801" s="8">
        <f>IF(ISNA(MATCH(788,Engine!$C$2:$C$1960,0)),"",INDEX('Compliance Database'!$B$2:$B$1960,MATCH(788,Engine!$C$2:$C$1960,0)))</f>
        <v/>
      </c>
      <c r="C801" s="8">
        <f>IF(ISNA(MATCH(788,Engine!$C$2:$C$1960,0)),"",INDEX('Compliance Database'!$C$2:$C$1960,MATCH(788,Engine!$C$2:$C$1960,0)))</f>
        <v/>
      </c>
      <c r="D801" s="9">
        <f>IF(ISNA(MATCH(788,Engine!$C$2:$C$1960,0)),"",INDEX('Compliance Database'!$D$2:$D$1960,MATCH(788,Engine!$C$2:$C$1960,0)))</f>
        <v/>
      </c>
      <c r="E801" s="8">
        <f>IF(ISNA(MATCH(788,Engine!$C$2:$C$1960,0)),"",INDEX('Compliance Database'!$E$2:$E$1960,MATCH(788,Engine!$C$2:$C$1960,0)))</f>
        <v/>
      </c>
      <c r="F801" s="8">
        <f>IF(ISNA(MATCH(788,Engine!$C$2:$C$1960,0)),"",INDEX('Compliance Database'!$F$2:$F$1960,MATCH(788,Engine!$C$2:$C$1960,0)))</f>
        <v/>
      </c>
      <c r="G801" s="8">
        <f>IF(ISNA(MATCH(788,Engine!$C$2:$C$1960,0)),"",INDEX('Compliance Database'!$G$2:$G$1960,MATCH(788,Engine!$C$2:$C$1960,0)))</f>
        <v/>
      </c>
      <c r="H801" s="9">
        <f>IF(ISNA(MATCH(788,Engine!$C$2:$C$1960,0)),"",INDEX('Compliance Database'!$H$2:$H$1960,MATCH(788,Engine!$C$2:$C$1960,0)))</f>
        <v/>
      </c>
      <c r="I801" s="9">
        <f>IF(ISNA(MATCH(788,Engine!$C$2:$C$1960,0)),"",INDEX('Compliance Database'!$I$2:$I$1960,MATCH(788,Engine!$C$2:$C$1960,0)))</f>
        <v/>
      </c>
      <c r="J801" s="8">
        <f>IF(ISNA(MATCH(788,Engine!$C$2:$C$1960,0)),"",INDEX('Compliance Database'!$J$2:$J$1960,MATCH(788,Engine!$C$2:$C$1960,0)))</f>
        <v/>
      </c>
      <c r="K801" s="9">
        <f>IF(ISNA(MATCH(788,Engine!$C$2:$C$1960,0)),"",INDEX('Compliance Database'!$K$2:$K$1960,MATCH(788,Engine!$C$2:$C$1960,0)))</f>
        <v/>
      </c>
      <c r="L801" s="9">
        <f>IF(ISNA(MATCH(788,Engine!$C$2:$C$1960,0)),"",INDEX('Compliance Database'!$L$2:$L$1960,MATCH(788,Engine!$C$2:$C$1960,0)))</f>
        <v/>
      </c>
      <c r="M801" s="9">
        <f>IF(ISNA(MATCH(788,Engine!$C$2:$C$1960,0)),"",INDEX('Compliance Database'!$M$2:$M$1960,MATCH(788,Engine!$C$2:$C$1960,0)))</f>
        <v/>
      </c>
      <c r="N801" s="9">
        <f>IF(ISNA(MATCH(788,Engine!$C$2:$C$1960,0)),"",INDEX('Compliance Database'!$N$2:$N$1960,MATCH(788,Engine!$C$2:$C$1960,0)))</f>
        <v/>
      </c>
      <c r="O801" s="9">
        <f>IF(ISNA(MATCH(788,Engine!$C$2:$C$1960,0)),"",INDEX('Compliance Database'!$O$2:$O$1960,MATCH(788,Engine!$C$2:$C$1960,0)))</f>
        <v/>
      </c>
      <c r="P801" s="8">
        <f>IF(ISNA(MATCH(788,Engine!$C$2:$C$1960,0)),"",HYPERLINK("#Acts!A"&amp;INDEX('Compliance Database'!$P$2:$P$1960,MATCH(788,Engine!$C$2:$C$1960,0)),"Go to Act"))</f>
        <v/>
      </c>
    </row>
    <row r="802" ht="158" customHeight="1">
      <c r="A802" s="8">
        <f>IF(ISNA(MATCH(789,Engine!$C$2:$C$1960,0)),"",INDEX('Compliance Database'!$A$2:$A$1960,MATCH(789,Engine!$C$2:$C$1960,0)))</f>
        <v/>
      </c>
      <c r="B802" s="8">
        <f>IF(ISNA(MATCH(789,Engine!$C$2:$C$1960,0)),"",INDEX('Compliance Database'!$B$2:$B$1960,MATCH(789,Engine!$C$2:$C$1960,0)))</f>
        <v/>
      </c>
      <c r="C802" s="8">
        <f>IF(ISNA(MATCH(789,Engine!$C$2:$C$1960,0)),"",INDEX('Compliance Database'!$C$2:$C$1960,MATCH(789,Engine!$C$2:$C$1960,0)))</f>
        <v/>
      </c>
      <c r="D802" s="9">
        <f>IF(ISNA(MATCH(789,Engine!$C$2:$C$1960,0)),"",INDEX('Compliance Database'!$D$2:$D$1960,MATCH(789,Engine!$C$2:$C$1960,0)))</f>
        <v/>
      </c>
      <c r="E802" s="8">
        <f>IF(ISNA(MATCH(789,Engine!$C$2:$C$1960,0)),"",INDEX('Compliance Database'!$E$2:$E$1960,MATCH(789,Engine!$C$2:$C$1960,0)))</f>
        <v/>
      </c>
      <c r="F802" s="8">
        <f>IF(ISNA(MATCH(789,Engine!$C$2:$C$1960,0)),"",INDEX('Compliance Database'!$F$2:$F$1960,MATCH(789,Engine!$C$2:$C$1960,0)))</f>
        <v/>
      </c>
      <c r="G802" s="8">
        <f>IF(ISNA(MATCH(789,Engine!$C$2:$C$1960,0)),"",INDEX('Compliance Database'!$G$2:$G$1960,MATCH(789,Engine!$C$2:$C$1960,0)))</f>
        <v/>
      </c>
      <c r="H802" s="9">
        <f>IF(ISNA(MATCH(789,Engine!$C$2:$C$1960,0)),"",INDEX('Compliance Database'!$H$2:$H$1960,MATCH(789,Engine!$C$2:$C$1960,0)))</f>
        <v/>
      </c>
      <c r="I802" s="9">
        <f>IF(ISNA(MATCH(789,Engine!$C$2:$C$1960,0)),"",INDEX('Compliance Database'!$I$2:$I$1960,MATCH(789,Engine!$C$2:$C$1960,0)))</f>
        <v/>
      </c>
      <c r="J802" s="8">
        <f>IF(ISNA(MATCH(789,Engine!$C$2:$C$1960,0)),"",INDEX('Compliance Database'!$J$2:$J$1960,MATCH(789,Engine!$C$2:$C$1960,0)))</f>
        <v/>
      </c>
      <c r="K802" s="9">
        <f>IF(ISNA(MATCH(789,Engine!$C$2:$C$1960,0)),"",INDEX('Compliance Database'!$K$2:$K$1960,MATCH(789,Engine!$C$2:$C$1960,0)))</f>
        <v/>
      </c>
      <c r="L802" s="9">
        <f>IF(ISNA(MATCH(789,Engine!$C$2:$C$1960,0)),"",INDEX('Compliance Database'!$L$2:$L$1960,MATCH(789,Engine!$C$2:$C$1960,0)))</f>
        <v/>
      </c>
      <c r="M802" s="9">
        <f>IF(ISNA(MATCH(789,Engine!$C$2:$C$1960,0)),"",INDEX('Compliance Database'!$M$2:$M$1960,MATCH(789,Engine!$C$2:$C$1960,0)))</f>
        <v/>
      </c>
      <c r="N802" s="9">
        <f>IF(ISNA(MATCH(789,Engine!$C$2:$C$1960,0)),"",INDEX('Compliance Database'!$N$2:$N$1960,MATCH(789,Engine!$C$2:$C$1960,0)))</f>
        <v/>
      </c>
      <c r="O802" s="9">
        <f>IF(ISNA(MATCH(789,Engine!$C$2:$C$1960,0)),"",INDEX('Compliance Database'!$O$2:$O$1960,MATCH(789,Engine!$C$2:$C$1960,0)))</f>
        <v/>
      </c>
      <c r="P802" s="8">
        <f>IF(ISNA(MATCH(789,Engine!$C$2:$C$1960,0)),"",HYPERLINK("#Acts!A"&amp;INDEX('Compliance Database'!$P$2:$P$1960,MATCH(789,Engine!$C$2:$C$1960,0)),"Go to Act"))</f>
        <v/>
      </c>
    </row>
    <row r="803" ht="158" customHeight="1">
      <c r="A803" s="8">
        <f>IF(ISNA(MATCH(790,Engine!$C$2:$C$1960,0)),"",INDEX('Compliance Database'!$A$2:$A$1960,MATCH(790,Engine!$C$2:$C$1960,0)))</f>
        <v/>
      </c>
      <c r="B803" s="8">
        <f>IF(ISNA(MATCH(790,Engine!$C$2:$C$1960,0)),"",INDEX('Compliance Database'!$B$2:$B$1960,MATCH(790,Engine!$C$2:$C$1960,0)))</f>
        <v/>
      </c>
      <c r="C803" s="8">
        <f>IF(ISNA(MATCH(790,Engine!$C$2:$C$1960,0)),"",INDEX('Compliance Database'!$C$2:$C$1960,MATCH(790,Engine!$C$2:$C$1960,0)))</f>
        <v/>
      </c>
      <c r="D803" s="9">
        <f>IF(ISNA(MATCH(790,Engine!$C$2:$C$1960,0)),"",INDEX('Compliance Database'!$D$2:$D$1960,MATCH(790,Engine!$C$2:$C$1960,0)))</f>
        <v/>
      </c>
      <c r="E803" s="8">
        <f>IF(ISNA(MATCH(790,Engine!$C$2:$C$1960,0)),"",INDEX('Compliance Database'!$E$2:$E$1960,MATCH(790,Engine!$C$2:$C$1960,0)))</f>
        <v/>
      </c>
      <c r="F803" s="8">
        <f>IF(ISNA(MATCH(790,Engine!$C$2:$C$1960,0)),"",INDEX('Compliance Database'!$F$2:$F$1960,MATCH(790,Engine!$C$2:$C$1960,0)))</f>
        <v/>
      </c>
      <c r="G803" s="8">
        <f>IF(ISNA(MATCH(790,Engine!$C$2:$C$1960,0)),"",INDEX('Compliance Database'!$G$2:$G$1960,MATCH(790,Engine!$C$2:$C$1960,0)))</f>
        <v/>
      </c>
      <c r="H803" s="9">
        <f>IF(ISNA(MATCH(790,Engine!$C$2:$C$1960,0)),"",INDEX('Compliance Database'!$H$2:$H$1960,MATCH(790,Engine!$C$2:$C$1960,0)))</f>
        <v/>
      </c>
      <c r="I803" s="9">
        <f>IF(ISNA(MATCH(790,Engine!$C$2:$C$1960,0)),"",INDEX('Compliance Database'!$I$2:$I$1960,MATCH(790,Engine!$C$2:$C$1960,0)))</f>
        <v/>
      </c>
      <c r="J803" s="8">
        <f>IF(ISNA(MATCH(790,Engine!$C$2:$C$1960,0)),"",INDEX('Compliance Database'!$J$2:$J$1960,MATCH(790,Engine!$C$2:$C$1960,0)))</f>
        <v/>
      </c>
      <c r="K803" s="9">
        <f>IF(ISNA(MATCH(790,Engine!$C$2:$C$1960,0)),"",INDEX('Compliance Database'!$K$2:$K$1960,MATCH(790,Engine!$C$2:$C$1960,0)))</f>
        <v/>
      </c>
      <c r="L803" s="9">
        <f>IF(ISNA(MATCH(790,Engine!$C$2:$C$1960,0)),"",INDEX('Compliance Database'!$L$2:$L$1960,MATCH(790,Engine!$C$2:$C$1960,0)))</f>
        <v/>
      </c>
      <c r="M803" s="9">
        <f>IF(ISNA(MATCH(790,Engine!$C$2:$C$1960,0)),"",INDEX('Compliance Database'!$M$2:$M$1960,MATCH(790,Engine!$C$2:$C$1960,0)))</f>
        <v/>
      </c>
      <c r="N803" s="9">
        <f>IF(ISNA(MATCH(790,Engine!$C$2:$C$1960,0)),"",INDEX('Compliance Database'!$N$2:$N$1960,MATCH(790,Engine!$C$2:$C$1960,0)))</f>
        <v/>
      </c>
      <c r="O803" s="9">
        <f>IF(ISNA(MATCH(790,Engine!$C$2:$C$1960,0)),"",INDEX('Compliance Database'!$O$2:$O$1960,MATCH(790,Engine!$C$2:$C$1960,0)))</f>
        <v/>
      </c>
      <c r="P803" s="8">
        <f>IF(ISNA(MATCH(790,Engine!$C$2:$C$1960,0)),"",HYPERLINK("#Acts!A"&amp;INDEX('Compliance Database'!$P$2:$P$1960,MATCH(790,Engine!$C$2:$C$1960,0)),"Go to Act"))</f>
        <v/>
      </c>
    </row>
    <row r="804" ht="158" customHeight="1">
      <c r="A804" s="8">
        <f>IF(ISNA(MATCH(791,Engine!$C$2:$C$1960,0)),"",INDEX('Compliance Database'!$A$2:$A$1960,MATCH(791,Engine!$C$2:$C$1960,0)))</f>
        <v/>
      </c>
      <c r="B804" s="8">
        <f>IF(ISNA(MATCH(791,Engine!$C$2:$C$1960,0)),"",INDEX('Compliance Database'!$B$2:$B$1960,MATCH(791,Engine!$C$2:$C$1960,0)))</f>
        <v/>
      </c>
      <c r="C804" s="8">
        <f>IF(ISNA(MATCH(791,Engine!$C$2:$C$1960,0)),"",INDEX('Compliance Database'!$C$2:$C$1960,MATCH(791,Engine!$C$2:$C$1960,0)))</f>
        <v/>
      </c>
      <c r="D804" s="9">
        <f>IF(ISNA(MATCH(791,Engine!$C$2:$C$1960,0)),"",INDEX('Compliance Database'!$D$2:$D$1960,MATCH(791,Engine!$C$2:$C$1960,0)))</f>
        <v/>
      </c>
      <c r="E804" s="8">
        <f>IF(ISNA(MATCH(791,Engine!$C$2:$C$1960,0)),"",INDEX('Compliance Database'!$E$2:$E$1960,MATCH(791,Engine!$C$2:$C$1960,0)))</f>
        <v/>
      </c>
      <c r="F804" s="8">
        <f>IF(ISNA(MATCH(791,Engine!$C$2:$C$1960,0)),"",INDEX('Compliance Database'!$F$2:$F$1960,MATCH(791,Engine!$C$2:$C$1960,0)))</f>
        <v/>
      </c>
      <c r="G804" s="8">
        <f>IF(ISNA(MATCH(791,Engine!$C$2:$C$1960,0)),"",INDEX('Compliance Database'!$G$2:$G$1960,MATCH(791,Engine!$C$2:$C$1960,0)))</f>
        <v/>
      </c>
      <c r="H804" s="9">
        <f>IF(ISNA(MATCH(791,Engine!$C$2:$C$1960,0)),"",INDEX('Compliance Database'!$H$2:$H$1960,MATCH(791,Engine!$C$2:$C$1960,0)))</f>
        <v/>
      </c>
      <c r="I804" s="9">
        <f>IF(ISNA(MATCH(791,Engine!$C$2:$C$1960,0)),"",INDEX('Compliance Database'!$I$2:$I$1960,MATCH(791,Engine!$C$2:$C$1960,0)))</f>
        <v/>
      </c>
      <c r="J804" s="8">
        <f>IF(ISNA(MATCH(791,Engine!$C$2:$C$1960,0)),"",INDEX('Compliance Database'!$J$2:$J$1960,MATCH(791,Engine!$C$2:$C$1960,0)))</f>
        <v/>
      </c>
      <c r="K804" s="9">
        <f>IF(ISNA(MATCH(791,Engine!$C$2:$C$1960,0)),"",INDEX('Compliance Database'!$K$2:$K$1960,MATCH(791,Engine!$C$2:$C$1960,0)))</f>
        <v/>
      </c>
      <c r="L804" s="9">
        <f>IF(ISNA(MATCH(791,Engine!$C$2:$C$1960,0)),"",INDEX('Compliance Database'!$L$2:$L$1960,MATCH(791,Engine!$C$2:$C$1960,0)))</f>
        <v/>
      </c>
      <c r="M804" s="9">
        <f>IF(ISNA(MATCH(791,Engine!$C$2:$C$1960,0)),"",INDEX('Compliance Database'!$M$2:$M$1960,MATCH(791,Engine!$C$2:$C$1960,0)))</f>
        <v/>
      </c>
      <c r="N804" s="9">
        <f>IF(ISNA(MATCH(791,Engine!$C$2:$C$1960,0)),"",INDEX('Compliance Database'!$N$2:$N$1960,MATCH(791,Engine!$C$2:$C$1960,0)))</f>
        <v/>
      </c>
      <c r="O804" s="9">
        <f>IF(ISNA(MATCH(791,Engine!$C$2:$C$1960,0)),"",INDEX('Compliance Database'!$O$2:$O$1960,MATCH(791,Engine!$C$2:$C$1960,0)))</f>
        <v/>
      </c>
      <c r="P804" s="8">
        <f>IF(ISNA(MATCH(791,Engine!$C$2:$C$1960,0)),"",HYPERLINK("#Acts!A"&amp;INDEX('Compliance Database'!$P$2:$P$1960,MATCH(791,Engine!$C$2:$C$1960,0)),"Go to Act"))</f>
        <v/>
      </c>
    </row>
    <row r="805" ht="158" customHeight="1">
      <c r="A805" s="8">
        <f>IF(ISNA(MATCH(792,Engine!$C$2:$C$1960,0)),"",INDEX('Compliance Database'!$A$2:$A$1960,MATCH(792,Engine!$C$2:$C$1960,0)))</f>
        <v/>
      </c>
      <c r="B805" s="8">
        <f>IF(ISNA(MATCH(792,Engine!$C$2:$C$1960,0)),"",INDEX('Compliance Database'!$B$2:$B$1960,MATCH(792,Engine!$C$2:$C$1960,0)))</f>
        <v/>
      </c>
      <c r="C805" s="8">
        <f>IF(ISNA(MATCH(792,Engine!$C$2:$C$1960,0)),"",INDEX('Compliance Database'!$C$2:$C$1960,MATCH(792,Engine!$C$2:$C$1960,0)))</f>
        <v/>
      </c>
      <c r="D805" s="9">
        <f>IF(ISNA(MATCH(792,Engine!$C$2:$C$1960,0)),"",INDEX('Compliance Database'!$D$2:$D$1960,MATCH(792,Engine!$C$2:$C$1960,0)))</f>
        <v/>
      </c>
      <c r="E805" s="8">
        <f>IF(ISNA(MATCH(792,Engine!$C$2:$C$1960,0)),"",INDEX('Compliance Database'!$E$2:$E$1960,MATCH(792,Engine!$C$2:$C$1960,0)))</f>
        <v/>
      </c>
      <c r="F805" s="8">
        <f>IF(ISNA(MATCH(792,Engine!$C$2:$C$1960,0)),"",INDEX('Compliance Database'!$F$2:$F$1960,MATCH(792,Engine!$C$2:$C$1960,0)))</f>
        <v/>
      </c>
      <c r="G805" s="8">
        <f>IF(ISNA(MATCH(792,Engine!$C$2:$C$1960,0)),"",INDEX('Compliance Database'!$G$2:$G$1960,MATCH(792,Engine!$C$2:$C$1960,0)))</f>
        <v/>
      </c>
      <c r="H805" s="9">
        <f>IF(ISNA(MATCH(792,Engine!$C$2:$C$1960,0)),"",INDEX('Compliance Database'!$H$2:$H$1960,MATCH(792,Engine!$C$2:$C$1960,0)))</f>
        <v/>
      </c>
      <c r="I805" s="9">
        <f>IF(ISNA(MATCH(792,Engine!$C$2:$C$1960,0)),"",INDEX('Compliance Database'!$I$2:$I$1960,MATCH(792,Engine!$C$2:$C$1960,0)))</f>
        <v/>
      </c>
      <c r="J805" s="8">
        <f>IF(ISNA(MATCH(792,Engine!$C$2:$C$1960,0)),"",INDEX('Compliance Database'!$J$2:$J$1960,MATCH(792,Engine!$C$2:$C$1960,0)))</f>
        <v/>
      </c>
      <c r="K805" s="9">
        <f>IF(ISNA(MATCH(792,Engine!$C$2:$C$1960,0)),"",INDEX('Compliance Database'!$K$2:$K$1960,MATCH(792,Engine!$C$2:$C$1960,0)))</f>
        <v/>
      </c>
      <c r="L805" s="9">
        <f>IF(ISNA(MATCH(792,Engine!$C$2:$C$1960,0)),"",INDEX('Compliance Database'!$L$2:$L$1960,MATCH(792,Engine!$C$2:$C$1960,0)))</f>
        <v/>
      </c>
      <c r="M805" s="9">
        <f>IF(ISNA(MATCH(792,Engine!$C$2:$C$1960,0)),"",INDEX('Compliance Database'!$M$2:$M$1960,MATCH(792,Engine!$C$2:$C$1960,0)))</f>
        <v/>
      </c>
      <c r="N805" s="9">
        <f>IF(ISNA(MATCH(792,Engine!$C$2:$C$1960,0)),"",INDEX('Compliance Database'!$N$2:$N$1960,MATCH(792,Engine!$C$2:$C$1960,0)))</f>
        <v/>
      </c>
      <c r="O805" s="9">
        <f>IF(ISNA(MATCH(792,Engine!$C$2:$C$1960,0)),"",INDEX('Compliance Database'!$O$2:$O$1960,MATCH(792,Engine!$C$2:$C$1960,0)))</f>
        <v/>
      </c>
      <c r="P805" s="8">
        <f>IF(ISNA(MATCH(792,Engine!$C$2:$C$1960,0)),"",HYPERLINK("#Acts!A"&amp;INDEX('Compliance Database'!$P$2:$P$1960,MATCH(792,Engine!$C$2:$C$1960,0)),"Go to Act"))</f>
        <v/>
      </c>
    </row>
    <row r="806" ht="158" customHeight="1">
      <c r="A806" s="8">
        <f>IF(ISNA(MATCH(793,Engine!$C$2:$C$1960,0)),"",INDEX('Compliance Database'!$A$2:$A$1960,MATCH(793,Engine!$C$2:$C$1960,0)))</f>
        <v/>
      </c>
      <c r="B806" s="8">
        <f>IF(ISNA(MATCH(793,Engine!$C$2:$C$1960,0)),"",INDEX('Compliance Database'!$B$2:$B$1960,MATCH(793,Engine!$C$2:$C$1960,0)))</f>
        <v/>
      </c>
      <c r="C806" s="8">
        <f>IF(ISNA(MATCH(793,Engine!$C$2:$C$1960,0)),"",INDEX('Compliance Database'!$C$2:$C$1960,MATCH(793,Engine!$C$2:$C$1960,0)))</f>
        <v/>
      </c>
      <c r="D806" s="9">
        <f>IF(ISNA(MATCH(793,Engine!$C$2:$C$1960,0)),"",INDEX('Compliance Database'!$D$2:$D$1960,MATCH(793,Engine!$C$2:$C$1960,0)))</f>
        <v/>
      </c>
      <c r="E806" s="8">
        <f>IF(ISNA(MATCH(793,Engine!$C$2:$C$1960,0)),"",INDEX('Compliance Database'!$E$2:$E$1960,MATCH(793,Engine!$C$2:$C$1960,0)))</f>
        <v/>
      </c>
      <c r="F806" s="8">
        <f>IF(ISNA(MATCH(793,Engine!$C$2:$C$1960,0)),"",INDEX('Compliance Database'!$F$2:$F$1960,MATCH(793,Engine!$C$2:$C$1960,0)))</f>
        <v/>
      </c>
      <c r="G806" s="8">
        <f>IF(ISNA(MATCH(793,Engine!$C$2:$C$1960,0)),"",INDEX('Compliance Database'!$G$2:$G$1960,MATCH(793,Engine!$C$2:$C$1960,0)))</f>
        <v/>
      </c>
      <c r="H806" s="9">
        <f>IF(ISNA(MATCH(793,Engine!$C$2:$C$1960,0)),"",INDEX('Compliance Database'!$H$2:$H$1960,MATCH(793,Engine!$C$2:$C$1960,0)))</f>
        <v/>
      </c>
      <c r="I806" s="9">
        <f>IF(ISNA(MATCH(793,Engine!$C$2:$C$1960,0)),"",INDEX('Compliance Database'!$I$2:$I$1960,MATCH(793,Engine!$C$2:$C$1960,0)))</f>
        <v/>
      </c>
      <c r="J806" s="8">
        <f>IF(ISNA(MATCH(793,Engine!$C$2:$C$1960,0)),"",INDEX('Compliance Database'!$J$2:$J$1960,MATCH(793,Engine!$C$2:$C$1960,0)))</f>
        <v/>
      </c>
      <c r="K806" s="9">
        <f>IF(ISNA(MATCH(793,Engine!$C$2:$C$1960,0)),"",INDEX('Compliance Database'!$K$2:$K$1960,MATCH(793,Engine!$C$2:$C$1960,0)))</f>
        <v/>
      </c>
      <c r="L806" s="9">
        <f>IF(ISNA(MATCH(793,Engine!$C$2:$C$1960,0)),"",INDEX('Compliance Database'!$L$2:$L$1960,MATCH(793,Engine!$C$2:$C$1960,0)))</f>
        <v/>
      </c>
      <c r="M806" s="9">
        <f>IF(ISNA(MATCH(793,Engine!$C$2:$C$1960,0)),"",INDEX('Compliance Database'!$M$2:$M$1960,MATCH(793,Engine!$C$2:$C$1960,0)))</f>
        <v/>
      </c>
      <c r="N806" s="9">
        <f>IF(ISNA(MATCH(793,Engine!$C$2:$C$1960,0)),"",INDEX('Compliance Database'!$N$2:$N$1960,MATCH(793,Engine!$C$2:$C$1960,0)))</f>
        <v/>
      </c>
      <c r="O806" s="9">
        <f>IF(ISNA(MATCH(793,Engine!$C$2:$C$1960,0)),"",INDEX('Compliance Database'!$O$2:$O$1960,MATCH(793,Engine!$C$2:$C$1960,0)))</f>
        <v/>
      </c>
      <c r="P806" s="8">
        <f>IF(ISNA(MATCH(793,Engine!$C$2:$C$1960,0)),"",HYPERLINK("#Acts!A"&amp;INDEX('Compliance Database'!$P$2:$P$1960,MATCH(793,Engine!$C$2:$C$1960,0)),"Go to Act"))</f>
        <v/>
      </c>
    </row>
    <row r="807" ht="158" customHeight="1">
      <c r="A807" s="8">
        <f>IF(ISNA(MATCH(794,Engine!$C$2:$C$1960,0)),"",INDEX('Compliance Database'!$A$2:$A$1960,MATCH(794,Engine!$C$2:$C$1960,0)))</f>
        <v/>
      </c>
      <c r="B807" s="8">
        <f>IF(ISNA(MATCH(794,Engine!$C$2:$C$1960,0)),"",INDEX('Compliance Database'!$B$2:$B$1960,MATCH(794,Engine!$C$2:$C$1960,0)))</f>
        <v/>
      </c>
      <c r="C807" s="8">
        <f>IF(ISNA(MATCH(794,Engine!$C$2:$C$1960,0)),"",INDEX('Compliance Database'!$C$2:$C$1960,MATCH(794,Engine!$C$2:$C$1960,0)))</f>
        <v/>
      </c>
      <c r="D807" s="9">
        <f>IF(ISNA(MATCH(794,Engine!$C$2:$C$1960,0)),"",INDEX('Compliance Database'!$D$2:$D$1960,MATCH(794,Engine!$C$2:$C$1960,0)))</f>
        <v/>
      </c>
      <c r="E807" s="8">
        <f>IF(ISNA(MATCH(794,Engine!$C$2:$C$1960,0)),"",INDEX('Compliance Database'!$E$2:$E$1960,MATCH(794,Engine!$C$2:$C$1960,0)))</f>
        <v/>
      </c>
      <c r="F807" s="8">
        <f>IF(ISNA(MATCH(794,Engine!$C$2:$C$1960,0)),"",INDEX('Compliance Database'!$F$2:$F$1960,MATCH(794,Engine!$C$2:$C$1960,0)))</f>
        <v/>
      </c>
      <c r="G807" s="8">
        <f>IF(ISNA(MATCH(794,Engine!$C$2:$C$1960,0)),"",INDEX('Compliance Database'!$G$2:$G$1960,MATCH(794,Engine!$C$2:$C$1960,0)))</f>
        <v/>
      </c>
      <c r="H807" s="9">
        <f>IF(ISNA(MATCH(794,Engine!$C$2:$C$1960,0)),"",INDEX('Compliance Database'!$H$2:$H$1960,MATCH(794,Engine!$C$2:$C$1960,0)))</f>
        <v/>
      </c>
      <c r="I807" s="9">
        <f>IF(ISNA(MATCH(794,Engine!$C$2:$C$1960,0)),"",INDEX('Compliance Database'!$I$2:$I$1960,MATCH(794,Engine!$C$2:$C$1960,0)))</f>
        <v/>
      </c>
      <c r="J807" s="8">
        <f>IF(ISNA(MATCH(794,Engine!$C$2:$C$1960,0)),"",INDEX('Compliance Database'!$J$2:$J$1960,MATCH(794,Engine!$C$2:$C$1960,0)))</f>
        <v/>
      </c>
      <c r="K807" s="9">
        <f>IF(ISNA(MATCH(794,Engine!$C$2:$C$1960,0)),"",INDEX('Compliance Database'!$K$2:$K$1960,MATCH(794,Engine!$C$2:$C$1960,0)))</f>
        <v/>
      </c>
      <c r="L807" s="9">
        <f>IF(ISNA(MATCH(794,Engine!$C$2:$C$1960,0)),"",INDEX('Compliance Database'!$L$2:$L$1960,MATCH(794,Engine!$C$2:$C$1960,0)))</f>
        <v/>
      </c>
      <c r="M807" s="9">
        <f>IF(ISNA(MATCH(794,Engine!$C$2:$C$1960,0)),"",INDEX('Compliance Database'!$M$2:$M$1960,MATCH(794,Engine!$C$2:$C$1960,0)))</f>
        <v/>
      </c>
      <c r="N807" s="9">
        <f>IF(ISNA(MATCH(794,Engine!$C$2:$C$1960,0)),"",INDEX('Compliance Database'!$N$2:$N$1960,MATCH(794,Engine!$C$2:$C$1960,0)))</f>
        <v/>
      </c>
      <c r="O807" s="9">
        <f>IF(ISNA(MATCH(794,Engine!$C$2:$C$1960,0)),"",INDEX('Compliance Database'!$O$2:$O$1960,MATCH(794,Engine!$C$2:$C$1960,0)))</f>
        <v/>
      </c>
      <c r="P807" s="8">
        <f>IF(ISNA(MATCH(794,Engine!$C$2:$C$1960,0)),"",HYPERLINK("#Acts!A"&amp;INDEX('Compliance Database'!$P$2:$P$1960,MATCH(794,Engine!$C$2:$C$1960,0)),"Go to Act"))</f>
        <v/>
      </c>
    </row>
    <row r="808" ht="158" customHeight="1">
      <c r="A808" s="8">
        <f>IF(ISNA(MATCH(795,Engine!$C$2:$C$1960,0)),"",INDEX('Compliance Database'!$A$2:$A$1960,MATCH(795,Engine!$C$2:$C$1960,0)))</f>
        <v/>
      </c>
      <c r="B808" s="8">
        <f>IF(ISNA(MATCH(795,Engine!$C$2:$C$1960,0)),"",INDEX('Compliance Database'!$B$2:$B$1960,MATCH(795,Engine!$C$2:$C$1960,0)))</f>
        <v/>
      </c>
      <c r="C808" s="8">
        <f>IF(ISNA(MATCH(795,Engine!$C$2:$C$1960,0)),"",INDEX('Compliance Database'!$C$2:$C$1960,MATCH(795,Engine!$C$2:$C$1960,0)))</f>
        <v/>
      </c>
      <c r="D808" s="9">
        <f>IF(ISNA(MATCH(795,Engine!$C$2:$C$1960,0)),"",INDEX('Compliance Database'!$D$2:$D$1960,MATCH(795,Engine!$C$2:$C$1960,0)))</f>
        <v/>
      </c>
      <c r="E808" s="8">
        <f>IF(ISNA(MATCH(795,Engine!$C$2:$C$1960,0)),"",INDEX('Compliance Database'!$E$2:$E$1960,MATCH(795,Engine!$C$2:$C$1960,0)))</f>
        <v/>
      </c>
      <c r="F808" s="8">
        <f>IF(ISNA(MATCH(795,Engine!$C$2:$C$1960,0)),"",INDEX('Compliance Database'!$F$2:$F$1960,MATCH(795,Engine!$C$2:$C$1960,0)))</f>
        <v/>
      </c>
      <c r="G808" s="8">
        <f>IF(ISNA(MATCH(795,Engine!$C$2:$C$1960,0)),"",INDEX('Compliance Database'!$G$2:$G$1960,MATCH(795,Engine!$C$2:$C$1960,0)))</f>
        <v/>
      </c>
      <c r="H808" s="9">
        <f>IF(ISNA(MATCH(795,Engine!$C$2:$C$1960,0)),"",INDEX('Compliance Database'!$H$2:$H$1960,MATCH(795,Engine!$C$2:$C$1960,0)))</f>
        <v/>
      </c>
      <c r="I808" s="9">
        <f>IF(ISNA(MATCH(795,Engine!$C$2:$C$1960,0)),"",INDEX('Compliance Database'!$I$2:$I$1960,MATCH(795,Engine!$C$2:$C$1960,0)))</f>
        <v/>
      </c>
      <c r="J808" s="8">
        <f>IF(ISNA(MATCH(795,Engine!$C$2:$C$1960,0)),"",INDEX('Compliance Database'!$J$2:$J$1960,MATCH(795,Engine!$C$2:$C$1960,0)))</f>
        <v/>
      </c>
      <c r="K808" s="9">
        <f>IF(ISNA(MATCH(795,Engine!$C$2:$C$1960,0)),"",INDEX('Compliance Database'!$K$2:$K$1960,MATCH(795,Engine!$C$2:$C$1960,0)))</f>
        <v/>
      </c>
      <c r="L808" s="9">
        <f>IF(ISNA(MATCH(795,Engine!$C$2:$C$1960,0)),"",INDEX('Compliance Database'!$L$2:$L$1960,MATCH(795,Engine!$C$2:$C$1960,0)))</f>
        <v/>
      </c>
      <c r="M808" s="9">
        <f>IF(ISNA(MATCH(795,Engine!$C$2:$C$1960,0)),"",INDEX('Compliance Database'!$M$2:$M$1960,MATCH(795,Engine!$C$2:$C$1960,0)))</f>
        <v/>
      </c>
      <c r="N808" s="9">
        <f>IF(ISNA(MATCH(795,Engine!$C$2:$C$1960,0)),"",INDEX('Compliance Database'!$N$2:$N$1960,MATCH(795,Engine!$C$2:$C$1960,0)))</f>
        <v/>
      </c>
      <c r="O808" s="9">
        <f>IF(ISNA(MATCH(795,Engine!$C$2:$C$1960,0)),"",INDEX('Compliance Database'!$O$2:$O$1960,MATCH(795,Engine!$C$2:$C$1960,0)))</f>
        <v/>
      </c>
      <c r="P808" s="8">
        <f>IF(ISNA(MATCH(795,Engine!$C$2:$C$1960,0)),"",HYPERLINK("#Acts!A"&amp;INDEX('Compliance Database'!$P$2:$P$1960,MATCH(795,Engine!$C$2:$C$1960,0)),"Go to Act"))</f>
        <v/>
      </c>
    </row>
    <row r="809" ht="158" customHeight="1">
      <c r="A809" s="8">
        <f>IF(ISNA(MATCH(796,Engine!$C$2:$C$1960,0)),"",INDEX('Compliance Database'!$A$2:$A$1960,MATCH(796,Engine!$C$2:$C$1960,0)))</f>
        <v/>
      </c>
      <c r="B809" s="8">
        <f>IF(ISNA(MATCH(796,Engine!$C$2:$C$1960,0)),"",INDEX('Compliance Database'!$B$2:$B$1960,MATCH(796,Engine!$C$2:$C$1960,0)))</f>
        <v/>
      </c>
      <c r="C809" s="8">
        <f>IF(ISNA(MATCH(796,Engine!$C$2:$C$1960,0)),"",INDEX('Compliance Database'!$C$2:$C$1960,MATCH(796,Engine!$C$2:$C$1960,0)))</f>
        <v/>
      </c>
      <c r="D809" s="9">
        <f>IF(ISNA(MATCH(796,Engine!$C$2:$C$1960,0)),"",INDEX('Compliance Database'!$D$2:$D$1960,MATCH(796,Engine!$C$2:$C$1960,0)))</f>
        <v/>
      </c>
      <c r="E809" s="8">
        <f>IF(ISNA(MATCH(796,Engine!$C$2:$C$1960,0)),"",INDEX('Compliance Database'!$E$2:$E$1960,MATCH(796,Engine!$C$2:$C$1960,0)))</f>
        <v/>
      </c>
      <c r="F809" s="8">
        <f>IF(ISNA(MATCH(796,Engine!$C$2:$C$1960,0)),"",INDEX('Compliance Database'!$F$2:$F$1960,MATCH(796,Engine!$C$2:$C$1960,0)))</f>
        <v/>
      </c>
      <c r="G809" s="8">
        <f>IF(ISNA(MATCH(796,Engine!$C$2:$C$1960,0)),"",INDEX('Compliance Database'!$G$2:$G$1960,MATCH(796,Engine!$C$2:$C$1960,0)))</f>
        <v/>
      </c>
      <c r="H809" s="9">
        <f>IF(ISNA(MATCH(796,Engine!$C$2:$C$1960,0)),"",INDEX('Compliance Database'!$H$2:$H$1960,MATCH(796,Engine!$C$2:$C$1960,0)))</f>
        <v/>
      </c>
      <c r="I809" s="9">
        <f>IF(ISNA(MATCH(796,Engine!$C$2:$C$1960,0)),"",INDEX('Compliance Database'!$I$2:$I$1960,MATCH(796,Engine!$C$2:$C$1960,0)))</f>
        <v/>
      </c>
      <c r="J809" s="8">
        <f>IF(ISNA(MATCH(796,Engine!$C$2:$C$1960,0)),"",INDEX('Compliance Database'!$J$2:$J$1960,MATCH(796,Engine!$C$2:$C$1960,0)))</f>
        <v/>
      </c>
      <c r="K809" s="9">
        <f>IF(ISNA(MATCH(796,Engine!$C$2:$C$1960,0)),"",INDEX('Compliance Database'!$K$2:$K$1960,MATCH(796,Engine!$C$2:$C$1960,0)))</f>
        <v/>
      </c>
      <c r="L809" s="9">
        <f>IF(ISNA(MATCH(796,Engine!$C$2:$C$1960,0)),"",INDEX('Compliance Database'!$L$2:$L$1960,MATCH(796,Engine!$C$2:$C$1960,0)))</f>
        <v/>
      </c>
      <c r="M809" s="9">
        <f>IF(ISNA(MATCH(796,Engine!$C$2:$C$1960,0)),"",INDEX('Compliance Database'!$M$2:$M$1960,MATCH(796,Engine!$C$2:$C$1960,0)))</f>
        <v/>
      </c>
      <c r="N809" s="9">
        <f>IF(ISNA(MATCH(796,Engine!$C$2:$C$1960,0)),"",INDEX('Compliance Database'!$N$2:$N$1960,MATCH(796,Engine!$C$2:$C$1960,0)))</f>
        <v/>
      </c>
      <c r="O809" s="9">
        <f>IF(ISNA(MATCH(796,Engine!$C$2:$C$1960,0)),"",INDEX('Compliance Database'!$O$2:$O$1960,MATCH(796,Engine!$C$2:$C$1960,0)))</f>
        <v/>
      </c>
      <c r="P809" s="8">
        <f>IF(ISNA(MATCH(796,Engine!$C$2:$C$1960,0)),"",HYPERLINK("#Acts!A"&amp;INDEX('Compliance Database'!$P$2:$P$1960,MATCH(796,Engine!$C$2:$C$1960,0)),"Go to Act"))</f>
        <v/>
      </c>
    </row>
    <row r="810" ht="158" customHeight="1">
      <c r="A810" s="8">
        <f>IF(ISNA(MATCH(797,Engine!$C$2:$C$1960,0)),"",INDEX('Compliance Database'!$A$2:$A$1960,MATCH(797,Engine!$C$2:$C$1960,0)))</f>
        <v/>
      </c>
      <c r="B810" s="8">
        <f>IF(ISNA(MATCH(797,Engine!$C$2:$C$1960,0)),"",INDEX('Compliance Database'!$B$2:$B$1960,MATCH(797,Engine!$C$2:$C$1960,0)))</f>
        <v/>
      </c>
      <c r="C810" s="8">
        <f>IF(ISNA(MATCH(797,Engine!$C$2:$C$1960,0)),"",INDEX('Compliance Database'!$C$2:$C$1960,MATCH(797,Engine!$C$2:$C$1960,0)))</f>
        <v/>
      </c>
      <c r="D810" s="9">
        <f>IF(ISNA(MATCH(797,Engine!$C$2:$C$1960,0)),"",INDEX('Compliance Database'!$D$2:$D$1960,MATCH(797,Engine!$C$2:$C$1960,0)))</f>
        <v/>
      </c>
      <c r="E810" s="8">
        <f>IF(ISNA(MATCH(797,Engine!$C$2:$C$1960,0)),"",INDEX('Compliance Database'!$E$2:$E$1960,MATCH(797,Engine!$C$2:$C$1960,0)))</f>
        <v/>
      </c>
      <c r="F810" s="8">
        <f>IF(ISNA(MATCH(797,Engine!$C$2:$C$1960,0)),"",INDEX('Compliance Database'!$F$2:$F$1960,MATCH(797,Engine!$C$2:$C$1960,0)))</f>
        <v/>
      </c>
      <c r="G810" s="8">
        <f>IF(ISNA(MATCH(797,Engine!$C$2:$C$1960,0)),"",INDEX('Compliance Database'!$G$2:$G$1960,MATCH(797,Engine!$C$2:$C$1960,0)))</f>
        <v/>
      </c>
      <c r="H810" s="9">
        <f>IF(ISNA(MATCH(797,Engine!$C$2:$C$1960,0)),"",INDEX('Compliance Database'!$H$2:$H$1960,MATCH(797,Engine!$C$2:$C$1960,0)))</f>
        <v/>
      </c>
      <c r="I810" s="9">
        <f>IF(ISNA(MATCH(797,Engine!$C$2:$C$1960,0)),"",INDEX('Compliance Database'!$I$2:$I$1960,MATCH(797,Engine!$C$2:$C$1960,0)))</f>
        <v/>
      </c>
      <c r="J810" s="8">
        <f>IF(ISNA(MATCH(797,Engine!$C$2:$C$1960,0)),"",INDEX('Compliance Database'!$J$2:$J$1960,MATCH(797,Engine!$C$2:$C$1960,0)))</f>
        <v/>
      </c>
      <c r="K810" s="9">
        <f>IF(ISNA(MATCH(797,Engine!$C$2:$C$1960,0)),"",INDEX('Compliance Database'!$K$2:$K$1960,MATCH(797,Engine!$C$2:$C$1960,0)))</f>
        <v/>
      </c>
      <c r="L810" s="9">
        <f>IF(ISNA(MATCH(797,Engine!$C$2:$C$1960,0)),"",INDEX('Compliance Database'!$L$2:$L$1960,MATCH(797,Engine!$C$2:$C$1960,0)))</f>
        <v/>
      </c>
      <c r="M810" s="9">
        <f>IF(ISNA(MATCH(797,Engine!$C$2:$C$1960,0)),"",INDEX('Compliance Database'!$M$2:$M$1960,MATCH(797,Engine!$C$2:$C$1960,0)))</f>
        <v/>
      </c>
      <c r="N810" s="9">
        <f>IF(ISNA(MATCH(797,Engine!$C$2:$C$1960,0)),"",INDEX('Compliance Database'!$N$2:$N$1960,MATCH(797,Engine!$C$2:$C$1960,0)))</f>
        <v/>
      </c>
      <c r="O810" s="9">
        <f>IF(ISNA(MATCH(797,Engine!$C$2:$C$1960,0)),"",INDEX('Compliance Database'!$O$2:$O$1960,MATCH(797,Engine!$C$2:$C$1960,0)))</f>
        <v/>
      </c>
      <c r="P810" s="8">
        <f>IF(ISNA(MATCH(797,Engine!$C$2:$C$1960,0)),"",HYPERLINK("#Acts!A"&amp;INDEX('Compliance Database'!$P$2:$P$1960,MATCH(797,Engine!$C$2:$C$1960,0)),"Go to Act"))</f>
        <v/>
      </c>
    </row>
    <row r="811" ht="158" customHeight="1">
      <c r="A811" s="8">
        <f>IF(ISNA(MATCH(798,Engine!$C$2:$C$1960,0)),"",INDEX('Compliance Database'!$A$2:$A$1960,MATCH(798,Engine!$C$2:$C$1960,0)))</f>
        <v/>
      </c>
      <c r="B811" s="8">
        <f>IF(ISNA(MATCH(798,Engine!$C$2:$C$1960,0)),"",INDEX('Compliance Database'!$B$2:$B$1960,MATCH(798,Engine!$C$2:$C$1960,0)))</f>
        <v/>
      </c>
      <c r="C811" s="8">
        <f>IF(ISNA(MATCH(798,Engine!$C$2:$C$1960,0)),"",INDEX('Compliance Database'!$C$2:$C$1960,MATCH(798,Engine!$C$2:$C$1960,0)))</f>
        <v/>
      </c>
      <c r="D811" s="9">
        <f>IF(ISNA(MATCH(798,Engine!$C$2:$C$1960,0)),"",INDEX('Compliance Database'!$D$2:$D$1960,MATCH(798,Engine!$C$2:$C$1960,0)))</f>
        <v/>
      </c>
      <c r="E811" s="8">
        <f>IF(ISNA(MATCH(798,Engine!$C$2:$C$1960,0)),"",INDEX('Compliance Database'!$E$2:$E$1960,MATCH(798,Engine!$C$2:$C$1960,0)))</f>
        <v/>
      </c>
      <c r="F811" s="8">
        <f>IF(ISNA(MATCH(798,Engine!$C$2:$C$1960,0)),"",INDEX('Compliance Database'!$F$2:$F$1960,MATCH(798,Engine!$C$2:$C$1960,0)))</f>
        <v/>
      </c>
      <c r="G811" s="8">
        <f>IF(ISNA(MATCH(798,Engine!$C$2:$C$1960,0)),"",INDEX('Compliance Database'!$G$2:$G$1960,MATCH(798,Engine!$C$2:$C$1960,0)))</f>
        <v/>
      </c>
      <c r="H811" s="9">
        <f>IF(ISNA(MATCH(798,Engine!$C$2:$C$1960,0)),"",INDEX('Compliance Database'!$H$2:$H$1960,MATCH(798,Engine!$C$2:$C$1960,0)))</f>
        <v/>
      </c>
      <c r="I811" s="9">
        <f>IF(ISNA(MATCH(798,Engine!$C$2:$C$1960,0)),"",INDEX('Compliance Database'!$I$2:$I$1960,MATCH(798,Engine!$C$2:$C$1960,0)))</f>
        <v/>
      </c>
      <c r="J811" s="8">
        <f>IF(ISNA(MATCH(798,Engine!$C$2:$C$1960,0)),"",INDEX('Compliance Database'!$J$2:$J$1960,MATCH(798,Engine!$C$2:$C$1960,0)))</f>
        <v/>
      </c>
      <c r="K811" s="9">
        <f>IF(ISNA(MATCH(798,Engine!$C$2:$C$1960,0)),"",INDEX('Compliance Database'!$K$2:$K$1960,MATCH(798,Engine!$C$2:$C$1960,0)))</f>
        <v/>
      </c>
      <c r="L811" s="9">
        <f>IF(ISNA(MATCH(798,Engine!$C$2:$C$1960,0)),"",INDEX('Compliance Database'!$L$2:$L$1960,MATCH(798,Engine!$C$2:$C$1960,0)))</f>
        <v/>
      </c>
      <c r="M811" s="9">
        <f>IF(ISNA(MATCH(798,Engine!$C$2:$C$1960,0)),"",INDEX('Compliance Database'!$M$2:$M$1960,MATCH(798,Engine!$C$2:$C$1960,0)))</f>
        <v/>
      </c>
      <c r="N811" s="9">
        <f>IF(ISNA(MATCH(798,Engine!$C$2:$C$1960,0)),"",INDEX('Compliance Database'!$N$2:$N$1960,MATCH(798,Engine!$C$2:$C$1960,0)))</f>
        <v/>
      </c>
      <c r="O811" s="9">
        <f>IF(ISNA(MATCH(798,Engine!$C$2:$C$1960,0)),"",INDEX('Compliance Database'!$O$2:$O$1960,MATCH(798,Engine!$C$2:$C$1960,0)))</f>
        <v/>
      </c>
      <c r="P811" s="8">
        <f>IF(ISNA(MATCH(798,Engine!$C$2:$C$1960,0)),"",HYPERLINK("#Acts!A"&amp;INDEX('Compliance Database'!$P$2:$P$1960,MATCH(798,Engine!$C$2:$C$1960,0)),"Go to Act"))</f>
        <v/>
      </c>
    </row>
    <row r="812" ht="158" customHeight="1">
      <c r="A812" s="8">
        <f>IF(ISNA(MATCH(799,Engine!$C$2:$C$1960,0)),"",INDEX('Compliance Database'!$A$2:$A$1960,MATCH(799,Engine!$C$2:$C$1960,0)))</f>
        <v/>
      </c>
      <c r="B812" s="8">
        <f>IF(ISNA(MATCH(799,Engine!$C$2:$C$1960,0)),"",INDEX('Compliance Database'!$B$2:$B$1960,MATCH(799,Engine!$C$2:$C$1960,0)))</f>
        <v/>
      </c>
      <c r="C812" s="8">
        <f>IF(ISNA(MATCH(799,Engine!$C$2:$C$1960,0)),"",INDEX('Compliance Database'!$C$2:$C$1960,MATCH(799,Engine!$C$2:$C$1960,0)))</f>
        <v/>
      </c>
      <c r="D812" s="9">
        <f>IF(ISNA(MATCH(799,Engine!$C$2:$C$1960,0)),"",INDEX('Compliance Database'!$D$2:$D$1960,MATCH(799,Engine!$C$2:$C$1960,0)))</f>
        <v/>
      </c>
      <c r="E812" s="8">
        <f>IF(ISNA(MATCH(799,Engine!$C$2:$C$1960,0)),"",INDEX('Compliance Database'!$E$2:$E$1960,MATCH(799,Engine!$C$2:$C$1960,0)))</f>
        <v/>
      </c>
      <c r="F812" s="8">
        <f>IF(ISNA(MATCH(799,Engine!$C$2:$C$1960,0)),"",INDEX('Compliance Database'!$F$2:$F$1960,MATCH(799,Engine!$C$2:$C$1960,0)))</f>
        <v/>
      </c>
      <c r="G812" s="8">
        <f>IF(ISNA(MATCH(799,Engine!$C$2:$C$1960,0)),"",INDEX('Compliance Database'!$G$2:$G$1960,MATCH(799,Engine!$C$2:$C$1960,0)))</f>
        <v/>
      </c>
      <c r="H812" s="9">
        <f>IF(ISNA(MATCH(799,Engine!$C$2:$C$1960,0)),"",INDEX('Compliance Database'!$H$2:$H$1960,MATCH(799,Engine!$C$2:$C$1960,0)))</f>
        <v/>
      </c>
      <c r="I812" s="9">
        <f>IF(ISNA(MATCH(799,Engine!$C$2:$C$1960,0)),"",INDEX('Compliance Database'!$I$2:$I$1960,MATCH(799,Engine!$C$2:$C$1960,0)))</f>
        <v/>
      </c>
      <c r="J812" s="8">
        <f>IF(ISNA(MATCH(799,Engine!$C$2:$C$1960,0)),"",INDEX('Compliance Database'!$J$2:$J$1960,MATCH(799,Engine!$C$2:$C$1960,0)))</f>
        <v/>
      </c>
      <c r="K812" s="9">
        <f>IF(ISNA(MATCH(799,Engine!$C$2:$C$1960,0)),"",INDEX('Compliance Database'!$K$2:$K$1960,MATCH(799,Engine!$C$2:$C$1960,0)))</f>
        <v/>
      </c>
      <c r="L812" s="9">
        <f>IF(ISNA(MATCH(799,Engine!$C$2:$C$1960,0)),"",INDEX('Compliance Database'!$L$2:$L$1960,MATCH(799,Engine!$C$2:$C$1960,0)))</f>
        <v/>
      </c>
      <c r="M812" s="9">
        <f>IF(ISNA(MATCH(799,Engine!$C$2:$C$1960,0)),"",INDEX('Compliance Database'!$M$2:$M$1960,MATCH(799,Engine!$C$2:$C$1960,0)))</f>
        <v/>
      </c>
      <c r="N812" s="9">
        <f>IF(ISNA(MATCH(799,Engine!$C$2:$C$1960,0)),"",INDEX('Compliance Database'!$N$2:$N$1960,MATCH(799,Engine!$C$2:$C$1960,0)))</f>
        <v/>
      </c>
      <c r="O812" s="9">
        <f>IF(ISNA(MATCH(799,Engine!$C$2:$C$1960,0)),"",INDEX('Compliance Database'!$O$2:$O$1960,MATCH(799,Engine!$C$2:$C$1960,0)))</f>
        <v/>
      </c>
      <c r="P812" s="8">
        <f>IF(ISNA(MATCH(799,Engine!$C$2:$C$1960,0)),"",HYPERLINK("#Acts!A"&amp;INDEX('Compliance Database'!$P$2:$P$1960,MATCH(799,Engine!$C$2:$C$1960,0)),"Go to Act"))</f>
        <v/>
      </c>
    </row>
    <row r="813" ht="158" customHeight="1">
      <c r="A813" s="8">
        <f>IF(ISNA(MATCH(800,Engine!$C$2:$C$1960,0)),"",INDEX('Compliance Database'!$A$2:$A$1960,MATCH(800,Engine!$C$2:$C$1960,0)))</f>
        <v/>
      </c>
      <c r="B813" s="8">
        <f>IF(ISNA(MATCH(800,Engine!$C$2:$C$1960,0)),"",INDEX('Compliance Database'!$B$2:$B$1960,MATCH(800,Engine!$C$2:$C$1960,0)))</f>
        <v/>
      </c>
      <c r="C813" s="8">
        <f>IF(ISNA(MATCH(800,Engine!$C$2:$C$1960,0)),"",INDEX('Compliance Database'!$C$2:$C$1960,MATCH(800,Engine!$C$2:$C$1960,0)))</f>
        <v/>
      </c>
      <c r="D813" s="9">
        <f>IF(ISNA(MATCH(800,Engine!$C$2:$C$1960,0)),"",INDEX('Compliance Database'!$D$2:$D$1960,MATCH(800,Engine!$C$2:$C$1960,0)))</f>
        <v/>
      </c>
      <c r="E813" s="8">
        <f>IF(ISNA(MATCH(800,Engine!$C$2:$C$1960,0)),"",INDEX('Compliance Database'!$E$2:$E$1960,MATCH(800,Engine!$C$2:$C$1960,0)))</f>
        <v/>
      </c>
      <c r="F813" s="8">
        <f>IF(ISNA(MATCH(800,Engine!$C$2:$C$1960,0)),"",INDEX('Compliance Database'!$F$2:$F$1960,MATCH(800,Engine!$C$2:$C$1960,0)))</f>
        <v/>
      </c>
      <c r="G813" s="8">
        <f>IF(ISNA(MATCH(800,Engine!$C$2:$C$1960,0)),"",INDEX('Compliance Database'!$G$2:$G$1960,MATCH(800,Engine!$C$2:$C$1960,0)))</f>
        <v/>
      </c>
      <c r="H813" s="9">
        <f>IF(ISNA(MATCH(800,Engine!$C$2:$C$1960,0)),"",INDEX('Compliance Database'!$H$2:$H$1960,MATCH(800,Engine!$C$2:$C$1960,0)))</f>
        <v/>
      </c>
      <c r="I813" s="9">
        <f>IF(ISNA(MATCH(800,Engine!$C$2:$C$1960,0)),"",INDEX('Compliance Database'!$I$2:$I$1960,MATCH(800,Engine!$C$2:$C$1960,0)))</f>
        <v/>
      </c>
      <c r="J813" s="8">
        <f>IF(ISNA(MATCH(800,Engine!$C$2:$C$1960,0)),"",INDEX('Compliance Database'!$J$2:$J$1960,MATCH(800,Engine!$C$2:$C$1960,0)))</f>
        <v/>
      </c>
      <c r="K813" s="9">
        <f>IF(ISNA(MATCH(800,Engine!$C$2:$C$1960,0)),"",INDEX('Compliance Database'!$K$2:$K$1960,MATCH(800,Engine!$C$2:$C$1960,0)))</f>
        <v/>
      </c>
      <c r="L813" s="9">
        <f>IF(ISNA(MATCH(800,Engine!$C$2:$C$1960,0)),"",INDEX('Compliance Database'!$L$2:$L$1960,MATCH(800,Engine!$C$2:$C$1960,0)))</f>
        <v/>
      </c>
      <c r="M813" s="9">
        <f>IF(ISNA(MATCH(800,Engine!$C$2:$C$1960,0)),"",INDEX('Compliance Database'!$M$2:$M$1960,MATCH(800,Engine!$C$2:$C$1960,0)))</f>
        <v/>
      </c>
      <c r="N813" s="9">
        <f>IF(ISNA(MATCH(800,Engine!$C$2:$C$1960,0)),"",INDEX('Compliance Database'!$N$2:$N$1960,MATCH(800,Engine!$C$2:$C$1960,0)))</f>
        <v/>
      </c>
      <c r="O813" s="9">
        <f>IF(ISNA(MATCH(800,Engine!$C$2:$C$1960,0)),"",INDEX('Compliance Database'!$O$2:$O$1960,MATCH(800,Engine!$C$2:$C$1960,0)))</f>
        <v/>
      </c>
      <c r="P813" s="8">
        <f>IF(ISNA(MATCH(800,Engine!$C$2:$C$1960,0)),"",HYPERLINK("#Acts!A"&amp;INDEX('Compliance Database'!$P$2:$P$1960,MATCH(800,Engine!$C$2:$C$1960,0)),"Go to Act"))</f>
        <v/>
      </c>
    </row>
    <row r="814" ht="158" customHeight="1">
      <c r="A814" s="8">
        <f>IF(ISNA(MATCH(801,Engine!$C$2:$C$1960,0)),"",INDEX('Compliance Database'!$A$2:$A$1960,MATCH(801,Engine!$C$2:$C$1960,0)))</f>
        <v/>
      </c>
      <c r="B814" s="8">
        <f>IF(ISNA(MATCH(801,Engine!$C$2:$C$1960,0)),"",INDEX('Compliance Database'!$B$2:$B$1960,MATCH(801,Engine!$C$2:$C$1960,0)))</f>
        <v/>
      </c>
      <c r="C814" s="8">
        <f>IF(ISNA(MATCH(801,Engine!$C$2:$C$1960,0)),"",INDEX('Compliance Database'!$C$2:$C$1960,MATCH(801,Engine!$C$2:$C$1960,0)))</f>
        <v/>
      </c>
      <c r="D814" s="9">
        <f>IF(ISNA(MATCH(801,Engine!$C$2:$C$1960,0)),"",INDEX('Compliance Database'!$D$2:$D$1960,MATCH(801,Engine!$C$2:$C$1960,0)))</f>
        <v/>
      </c>
      <c r="E814" s="8">
        <f>IF(ISNA(MATCH(801,Engine!$C$2:$C$1960,0)),"",INDEX('Compliance Database'!$E$2:$E$1960,MATCH(801,Engine!$C$2:$C$1960,0)))</f>
        <v/>
      </c>
      <c r="F814" s="8">
        <f>IF(ISNA(MATCH(801,Engine!$C$2:$C$1960,0)),"",INDEX('Compliance Database'!$F$2:$F$1960,MATCH(801,Engine!$C$2:$C$1960,0)))</f>
        <v/>
      </c>
      <c r="G814" s="8">
        <f>IF(ISNA(MATCH(801,Engine!$C$2:$C$1960,0)),"",INDEX('Compliance Database'!$G$2:$G$1960,MATCH(801,Engine!$C$2:$C$1960,0)))</f>
        <v/>
      </c>
      <c r="H814" s="9">
        <f>IF(ISNA(MATCH(801,Engine!$C$2:$C$1960,0)),"",INDEX('Compliance Database'!$H$2:$H$1960,MATCH(801,Engine!$C$2:$C$1960,0)))</f>
        <v/>
      </c>
      <c r="I814" s="9">
        <f>IF(ISNA(MATCH(801,Engine!$C$2:$C$1960,0)),"",INDEX('Compliance Database'!$I$2:$I$1960,MATCH(801,Engine!$C$2:$C$1960,0)))</f>
        <v/>
      </c>
      <c r="J814" s="8">
        <f>IF(ISNA(MATCH(801,Engine!$C$2:$C$1960,0)),"",INDEX('Compliance Database'!$J$2:$J$1960,MATCH(801,Engine!$C$2:$C$1960,0)))</f>
        <v/>
      </c>
      <c r="K814" s="9">
        <f>IF(ISNA(MATCH(801,Engine!$C$2:$C$1960,0)),"",INDEX('Compliance Database'!$K$2:$K$1960,MATCH(801,Engine!$C$2:$C$1960,0)))</f>
        <v/>
      </c>
      <c r="L814" s="9">
        <f>IF(ISNA(MATCH(801,Engine!$C$2:$C$1960,0)),"",INDEX('Compliance Database'!$L$2:$L$1960,MATCH(801,Engine!$C$2:$C$1960,0)))</f>
        <v/>
      </c>
      <c r="M814" s="9">
        <f>IF(ISNA(MATCH(801,Engine!$C$2:$C$1960,0)),"",INDEX('Compliance Database'!$M$2:$M$1960,MATCH(801,Engine!$C$2:$C$1960,0)))</f>
        <v/>
      </c>
      <c r="N814" s="9">
        <f>IF(ISNA(MATCH(801,Engine!$C$2:$C$1960,0)),"",INDEX('Compliance Database'!$N$2:$N$1960,MATCH(801,Engine!$C$2:$C$1960,0)))</f>
        <v/>
      </c>
      <c r="O814" s="9">
        <f>IF(ISNA(MATCH(801,Engine!$C$2:$C$1960,0)),"",INDEX('Compliance Database'!$O$2:$O$1960,MATCH(801,Engine!$C$2:$C$1960,0)))</f>
        <v/>
      </c>
      <c r="P814" s="8">
        <f>IF(ISNA(MATCH(801,Engine!$C$2:$C$1960,0)),"",HYPERLINK("#Acts!A"&amp;INDEX('Compliance Database'!$P$2:$P$1960,MATCH(801,Engine!$C$2:$C$1960,0)),"Go to Act"))</f>
        <v/>
      </c>
    </row>
    <row r="815" ht="158" customHeight="1">
      <c r="A815" s="8">
        <f>IF(ISNA(MATCH(802,Engine!$C$2:$C$1960,0)),"",INDEX('Compliance Database'!$A$2:$A$1960,MATCH(802,Engine!$C$2:$C$1960,0)))</f>
        <v/>
      </c>
      <c r="B815" s="8">
        <f>IF(ISNA(MATCH(802,Engine!$C$2:$C$1960,0)),"",INDEX('Compliance Database'!$B$2:$B$1960,MATCH(802,Engine!$C$2:$C$1960,0)))</f>
        <v/>
      </c>
      <c r="C815" s="8">
        <f>IF(ISNA(MATCH(802,Engine!$C$2:$C$1960,0)),"",INDEX('Compliance Database'!$C$2:$C$1960,MATCH(802,Engine!$C$2:$C$1960,0)))</f>
        <v/>
      </c>
      <c r="D815" s="9">
        <f>IF(ISNA(MATCH(802,Engine!$C$2:$C$1960,0)),"",INDEX('Compliance Database'!$D$2:$D$1960,MATCH(802,Engine!$C$2:$C$1960,0)))</f>
        <v/>
      </c>
      <c r="E815" s="8">
        <f>IF(ISNA(MATCH(802,Engine!$C$2:$C$1960,0)),"",INDEX('Compliance Database'!$E$2:$E$1960,MATCH(802,Engine!$C$2:$C$1960,0)))</f>
        <v/>
      </c>
      <c r="F815" s="8">
        <f>IF(ISNA(MATCH(802,Engine!$C$2:$C$1960,0)),"",INDEX('Compliance Database'!$F$2:$F$1960,MATCH(802,Engine!$C$2:$C$1960,0)))</f>
        <v/>
      </c>
      <c r="G815" s="8">
        <f>IF(ISNA(MATCH(802,Engine!$C$2:$C$1960,0)),"",INDEX('Compliance Database'!$G$2:$G$1960,MATCH(802,Engine!$C$2:$C$1960,0)))</f>
        <v/>
      </c>
      <c r="H815" s="9">
        <f>IF(ISNA(MATCH(802,Engine!$C$2:$C$1960,0)),"",INDEX('Compliance Database'!$H$2:$H$1960,MATCH(802,Engine!$C$2:$C$1960,0)))</f>
        <v/>
      </c>
      <c r="I815" s="9">
        <f>IF(ISNA(MATCH(802,Engine!$C$2:$C$1960,0)),"",INDEX('Compliance Database'!$I$2:$I$1960,MATCH(802,Engine!$C$2:$C$1960,0)))</f>
        <v/>
      </c>
      <c r="J815" s="8">
        <f>IF(ISNA(MATCH(802,Engine!$C$2:$C$1960,0)),"",INDEX('Compliance Database'!$J$2:$J$1960,MATCH(802,Engine!$C$2:$C$1960,0)))</f>
        <v/>
      </c>
      <c r="K815" s="9">
        <f>IF(ISNA(MATCH(802,Engine!$C$2:$C$1960,0)),"",INDEX('Compliance Database'!$K$2:$K$1960,MATCH(802,Engine!$C$2:$C$1960,0)))</f>
        <v/>
      </c>
      <c r="L815" s="9">
        <f>IF(ISNA(MATCH(802,Engine!$C$2:$C$1960,0)),"",INDEX('Compliance Database'!$L$2:$L$1960,MATCH(802,Engine!$C$2:$C$1960,0)))</f>
        <v/>
      </c>
      <c r="M815" s="9">
        <f>IF(ISNA(MATCH(802,Engine!$C$2:$C$1960,0)),"",INDEX('Compliance Database'!$M$2:$M$1960,MATCH(802,Engine!$C$2:$C$1960,0)))</f>
        <v/>
      </c>
      <c r="N815" s="9">
        <f>IF(ISNA(MATCH(802,Engine!$C$2:$C$1960,0)),"",INDEX('Compliance Database'!$N$2:$N$1960,MATCH(802,Engine!$C$2:$C$1960,0)))</f>
        <v/>
      </c>
      <c r="O815" s="9">
        <f>IF(ISNA(MATCH(802,Engine!$C$2:$C$1960,0)),"",INDEX('Compliance Database'!$O$2:$O$1960,MATCH(802,Engine!$C$2:$C$1960,0)))</f>
        <v/>
      </c>
      <c r="P815" s="8">
        <f>IF(ISNA(MATCH(802,Engine!$C$2:$C$1960,0)),"",HYPERLINK("#Acts!A"&amp;INDEX('Compliance Database'!$P$2:$P$1960,MATCH(802,Engine!$C$2:$C$1960,0)),"Go to Act"))</f>
        <v/>
      </c>
    </row>
    <row r="816" ht="158" customHeight="1">
      <c r="A816" s="8">
        <f>IF(ISNA(MATCH(803,Engine!$C$2:$C$1960,0)),"",INDEX('Compliance Database'!$A$2:$A$1960,MATCH(803,Engine!$C$2:$C$1960,0)))</f>
        <v/>
      </c>
      <c r="B816" s="8">
        <f>IF(ISNA(MATCH(803,Engine!$C$2:$C$1960,0)),"",INDEX('Compliance Database'!$B$2:$B$1960,MATCH(803,Engine!$C$2:$C$1960,0)))</f>
        <v/>
      </c>
      <c r="C816" s="8">
        <f>IF(ISNA(MATCH(803,Engine!$C$2:$C$1960,0)),"",INDEX('Compliance Database'!$C$2:$C$1960,MATCH(803,Engine!$C$2:$C$1960,0)))</f>
        <v/>
      </c>
      <c r="D816" s="9">
        <f>IF(ISNA(MATCH(803,Engine!$C$2:$C$1960,0)),"",INDEX('Compliance Database'!$D$2:$D$1960,MATCH(803,Engine!$C$2:$C$1960,0)))</f>
        <v/>
      </c>
      <c r="E816" s="8">
        <f>IF(ISNA(MATCH(803,Engine!$C$2:$C$1960,0)),"",INDEX('Compliance Database'!$E$2:$E$1960,MATCH(803,Engine!$C$2:$C$1960,0)))</f>
        <v/>
      </c>
      <c r="F816" s="8">
        <f>IF(ISNA(MATCH(803,Engine!$C$2:$C$1960,0)),"",INDEX('Compliance Database'!$F$2:$F$1960,MATCH(803,Engine!$C$2:$C$1960,0)))</f>
        <v/>
      </c>
      <c r="G816" s="8">
        <f>IF(ISNA(MATCH(803,Engine!$C$2:$C$1960,0)),"",INDEX('Compliance Database'!$G$2:$G$1960,MATCH(803,Engine!$C$2:$C$1960,0)))</f>
        <v/>
      </c>
      <c r="H816" s="9">
        <f>IF(ISNA(MATCH(803,Engine!$C$2:$C$1960,0)),"",INDEX('Compliance Database'!$H$2:$H$1960,MATCH(803,Engine!$C$2:$C$1960,0)))</f>
        <v/>
      </c>
      <c r="I816" s="9">
        <f>IF(ISNA(MATCH(803,Engine!$C$2:$C$1960,0)),"",INDEX('Compliance Database'!$I$2:$I$1960,MATCH(803,Engine!$C$2:$C$1960,0)))</f>
        <v/>
      </c>
      <c r="J816" s="8">
        <f>IF(ISNA(MATCH(803,Engine!$C$2:$C$1960,0)),"",INDEX('Compliance Database'!$J$2:$J$1960,MATCH(803,Engine!$C$2:$C$1960,0)))</f>
        <v/>
      </c>
      <c r="K816" s="9">
        <f>IF(ISNA(MATCH(803,Engine!$C$2:$C$1960,0)),"",INDEX('Compliance Database'!$K$2:$K$1960,MATCH(803,Engine!$C$2:$C$1960,0)))</f>
        <v/>
      </c>
      <c r="L816" s="9">
        <f>IF(ISNA(MATCH(803,Engine!$C$2:$C$1960,0)),"",INDEX('Compliance Database'!$L$2:$L$1960,MATCH(803,Engine!$C$2:$C$1960,0)))</f>
        <v/>
      </c>
      <c r="M816" s="9">
        <f>IF(ISNA(MATCH(803,Engine!$C$2:$C$1960,0)),"",INDEX('Compliance Database'!$M$2:$M$1960,MATCH(803,Engine!$C$2:$C$1960,0)))</f>
        <v/>
      </c>
      <c r="N816" s="9">
        <f>IF(ISNA(MATCH(803,Engine!$C$2:$C$1960,0)),"",INDEX('Compliance Database'!$N$2:$N$1960,MATCH(803,Engine!$C$2:$C$1960,0)))</f>
        <v/>
      </c>
      <c r="O816" s="9">
        <f>IF(ISNA(MATCH(803,Engine!$C$2:$C$1960,0)),"",INDEX('Compliance Database'!$O$2:$O$1960,MATCH(803,Engine!$C$2:$C$1960,0)))</f>
        <v/>
      </c>
      <c r="P816" s="8">
        <f>IF(ISNA(MATCH(803,Engine!$C$2:$C$1960,0)),"",HYPERLINK("#Acts!A"&amp;INDEX('Compliance Database'!$P$2:$P$1960,MATCH(803,Engine!$C$2:$C$1960,0)),"Go to Act"))</f>
        <v/>
      </c>
    </row>
    <row r="817" ht="158" customHeight="1">
      <c r="A817" s="8">
        <f>IF(ISNA(MATCH(804,Engine!$C$2:$C$1960,0)),"",INDEX('Compliance Database'!$A$2:$A$1960,MATCH(804,Engine!$C$2:$C$1960,0)))</f>
        <v/>
      </c>
      <c r="B817" s="8">
        <f>IF(ISNA(MATCH(804,Engine!$C$2:$C$1960,0)),"",INDEX('Compliance Database'!$B$2:$B$1960,MATCH(804,Engine!$C$2:$C$1960,0)))</f>
        <v/>
      </c>
      <c r="C817" s="8">
        <f>IF(ISNA(MATCH(804,Engine!$C$2:$C$1960,0)),"",INDEX('Compliance Database'!$C$2:$C$1960,MATCH(804,Engine!$C$2:$C$1960,0)))</f>
        <v/>
      </c>
      <c r="D817" s="9">
        <f>IF(ISNA(MATCH(804,Engine!$C$2:$C$1960,0)),"",INDEX('Compliance Database'!$D$2:$D$1960,MATCH(804,Engine!$C$2:$C$1960,0)))</f>
        <v/>
      </c>
      <c r="E817" s="8">
        <f>IF(ISNA(MATCH(804,Engine!$C$2:$C$1960,0)),"",INDEX('Compliance Database'!$E$2:$E$1960,MATCH(804,Engine!$C$2:$C$1960,0)))</f>
        <v/>
      </c>
      <c r="F817" s="8">
        <f>IF(ISNA(MATCH(804,Engine!$C$2:$C$1960,0)),"",INDEX('Compliance Database'!$F$2:$F$1960,MATCH(804,Engine!$C$2:$C$1960,0)))</f>
        <v/>
      </c>
      <c r="G817" s="8">
        <f>IF(ISNA(MATCH(804,Engine!$C$2:$C$1960,0)),"",INDEX('Compliance Database'!$G$2:$G$1960,MATCH(804,Engine!$C$2:$C$1960,0)))</f>
        <v/>
      </c>
      <c r="H817" s="9">
        <f>IF(ISNA(MATCH(804,Engine!$C$2:$C$1960,0)),"",INDEX('Compliance Database'!$H$2:$H$1960,MATCH(804,Engine!$C$2:$C$1960,0)))</f>
        <v/>
      </c>
      <c r="I817" s="9">
        <f>IF(ISNA(MATCH(804,Engine!$C$2:$C$1960,0)),"",INDEX('Compliance Database'!$I$2:$I$1960,MATCH(804,Engine!$C$2:$C$1960,0)))</f>
        <v/>
      </c>
      <c r="J817" s="8">
        <f>IF(ISNA(MATCH(804,Engine!$C$2:$C$1960,0)),"",INDEX('Compliance Database'!$J$2:$J$1960,MATCH(804,Engine!$C$2:$C$1960,0)))</f>
        <v/>
      </c>
      <c r="K817" s="9">
        <f>IF(ISNA(MATCH(804,Engine!$C$2:$C$1960,0)),"",INDEX('Compliance Database'!$K$2:$K$1960,MATCH(804,Engine!$C$2:$C$1960,0)))</f>
        <v/>
      </c>
      <c r="L817" s="9">
        <f>IF(ISNA(MATCH(804,Engine!$C$2:$C$1960,0)),"",INDEX('Compliance Database'!$L$2:$L$1960,MATCH(804,Engine!$C$2:$C$1960,0)))</f>
        <v/>
      </c>
      <c r="M817" s="9">
        <f>IF(ISNA(MATCH(804,Engine!$C$2:$C$1960,0)),"",INDEX('Compliance Database'!$M$2:$M$1960,MATCH(804,Engine!$C$2:$C$1960,0)))</f>
        <v/>
      </c>
      <c r="N817" s="9">
        <f>IF(ISNA(MATCH(804,Engine!$C$2:$C$1960,0)),"",INDEX('Compliance Database'!$N$2:$N$1960,MATCH(804,Engine!$C$2:$C$1960,0)))</f>
        <v/>
      </c>
      <c r="O817" s="9">
        <f>IF(ISNA(MATCH(804,Engine!$C$2:$C$1960,0)),"",INDEX('Compliance Database'!$O$2:$O$1960,MATCH(804,Engine!$C$2:$C$1960,0)))</f>
        <v/>
      </c>
      <c r="P817" s="8">
        <f>IF(ISNA(MATCH(804,Engine!$C$2:$C$1960,0)),"",HYPERLINK("#Acts!A"&amp;INDEX('Compliance Database'!$P$2:$P$1960,MATCH(804,Engine!$C$2:$C$1960,0)),"Go to Act"))</f>
        <v/>
      </c>
    </row>
    <row r="818" ht="158" customHeight="1">
      <c r="A818" s="8">
        <f>IF(ISNA(MATCH(805,Engine!$C$2:$C$1960,0)),"",INDEX('Compliance Database'!$A$2:$A$1960,MATCH(805,Engine!$C$2:$C$1960,0)))</f>
        <v/>
      </c>
      <c r="B818" s="8">
        <f>IF(ISNA(MATCH(805,Engine!$C$2:$C$1960,0)),"",INDEX('Compliance Database'!$B$2:$B$1960,MATCH(805,Engine!$C$2:$C$1960,0)))</f>
        <v/>
      </c>
      <c r="C818" s="8">
        <f>IF(ISNA(MATCH(805,Engine!$C$2:$C$1960,0)),"",INDEX('Compliance Database'!$C$2:$C$1960,MATCH(805,Engine!$C$2:$C$1960,0)))</f>
        <v/>
      </c>
      <c r="D818" s="9">
        <f>IF(ISNA(MATCH(805,Engine!$C$2:$C$1960,0)),"",INDEX('Compliance Database'!$D$2:$D$1960,MATCH(805,Engine!$C$2:$C$1960,0)))</f>
        <v/>
      </c>
      <c r="E818" s="8">
        <f>IF(ISNA(MATCH(805,Engine!$C$2:$C$1960,0)),"",INDEX('Compliance Database'!$E$2:$E$1960,MATCH(805,Engine!$C$2:$C$1960,0)))</f>
        <v/>
      </c>
      <c r="F818" s="8">
        <f>IF(ISNA(MATCH(805,Engine!$C$2:$C$1960,0)),"",INDEX('Compliance Database'!$F$2:$F$1960,MATCH(805,Engine!$C$2:$C$1960,0)))</f>
        <v/>
      </c>
      <c r="G818" s="8">
        <f>IF(ISNA(MATCH(805,Engine!$C$2:$C$1960,0)),"",INDEX('Compliance Database'!$G$2:$G$1960,MATCH(805,Engine!$C$2:$C$1960,0)))</f>
        <v/>
      </c>
      <c r="H818" s="9">
        <f>IF(ISNA(MATCH(805,Engine!$C$2:$C$1960,0)),"",INDEX('Compliance Database'!$H$2:$H$1960,MATCH(805,Engine!$C$2:$C$1960,0)))</f>
        <v/>
      </c>
      <c r="I818" s="9">
        <f>IF(ISNA(MATCH(805,Engine!$C$2:$C$1960,0)),"",INDEX('Compliance Database'!$I$2:$I$1960,MATCH(805,Engine!$C$2:$C$1960,0)))</f>
        <v/>
      </c>
      <c r="J818" s="8">
        <f>IF(ISNA(MATCH(805,Engine!$C$2:$C$1960,0)),"",INDEX('Compliance Database'!$J$2:$J$1960,MATCH(805,Engine!$C$2:$C$1960,0)))</f>
        <v/>
      </c>
      <c r="K818" s="9">
        <f>IF(ISNA(MATCH(805,Engine!$C$2:$C$1960,0)),"",INDEX('Compliance Database'!$K$2:$K$1960,MATCH(805,Engine!$C$2:$C$1960,0)))</f>
        <v/>
      </c>
      <c r="L818" s="9">
        <f>IF(ISNA(MATCH(805,Engine!$C$2:$C$1960,0)),"",INDEX('Compliance Database'!$L$2:$L$1960,MATCH(805,Engine!$C$2:$C$1960,0)))</f>
        <v/>
      </c>
      <c r="M818" s="9">
        <f>IF(ISNA(MATCH(805,Engine!$C$2:$C$1960,0)),"",INDEX('Compliance Database'!$M$2:$M$1960,MATCH(805,Engine!$C$2:$C$1960,0)))</f>
        <v/>
      </c>
      <c r="N818" s="9">
        <f>IF(ISNA(MATCH(805,Engine!$C$2:$C$1960,0)),"",INDEX('Compliance Database'!$N$2:$N$1960,MATCH(805,Engine!$C$2:$C$1960,0)))</f>
        <v/>
      </c>
      <c r="O818" s="9">
        <f>IF(ISNA(MATCH(805,Engine!$C$2:$C$1960,0)),"",INDEX('Compliance Database'!$O$2:$O$1960,MATCH(805,Engine!$C$2:$C$1960,0)))</f>
        <v/>
      </c>
      <c r="P818" s="8">
        <f>IF(ISNA(MATCH(805,Engine!$C$2:$C$1960,0)),"",HYPERLINK("#Acts!A"&amp;INDEX('Compliance Database'!$P$2:$P$1960,MATCH(805,Engine!$C$2:$C$1960,0)),"Go to Act"))</f>
        <v/>
      </c>
    </row>
    <row r="819" ht="158" customHeight="1">
      <c r="A819" s="8">
        <f>IF(ISNA(MATCH(806,Engine!$C$2:$C$1960,0)),"",INDEX('Compliance Database'!$A$2:$A$1960,MATCH(806,Engine!$C$2:$C$1960,0)))</f>
        <v/>
      </c>
      <c r="B819" s="8">
        <f>IF(ISNA(MATCH(806,Engine!$C$2:$C$1960,0)),"",INDEX('Compliance Database'!$B$2:$B$1960,MATCH(806,Engine!$C$2:$C$1960,0)))</f>
        <v/>
      </c>
      <c r="C819" s="8">
        <f>IF(ISNA(MATCH(806,Engine!$C$2:$C$1960,0)),"",INDEX('Compliance Database'!$C$2:$C$1960,MATCH(806,Engine!$C$2:$C$1960,0)))</f>
        <v/>
      </c>
      <c r="D819" s="9">
        <f>IF(ISNA(MATCH(806,Engine!$C$2:$C$1960,0)),"",INDEX('Compliance Database'!$D$2:$D$1960,MATCH(806,Engine!$C$2:$C$1960,0)))</f>
        <v/>
      </c>
      <c r="E819" s="8">
        <f>IF(ISNA(MATCH(806,Engine!$C$2:$C$1960,0)),"",INDEX('Compliance Database'!$E$2:$E$1960,MATCH(806,Engine!$C$2:$C$1960,0)))</f>
        <v/>
      </c>
      <c r="F819" s="8">
        <f>IF(ISNA(MATCH(806,Engine!$C$2:$C$1960,0)),"",INDEX('Compliance Database'!$F$2:$F$1960,MATCH(806,Engine!$C$2:$C$1960,0)))</f>
        <v/>
      </c>
      <c r="G819" s="8">
        <f>IF(ISNA(MATCH(806,Engine!$C$2:$C$1960,0)),"",INDEX('Compliance Database'!$G$2:$G$1960,MATCH(806,Engine!$C$2:$C$1960,0)))</f>
        <v/>
      </c>
      <c r="H819" s="9">
        <f>IF(ISNA(MATCH(806,Engine!$C$2:$C$1960,0)),"",INDEX('Compliance Database'!$H$2:$H$1960,MATCH(806,Engine!$C$2:$C$1960,0)))</f>
        <v/>
      </c>
      <c r="I819" s="9">
        <f>IF(ISNA(MATCH(806,Engine!$C$2:$C$1960,0)),"",INDEX('Compliance Database'!$I$2:$I$1960,MATCH(806,Engine!$C$2:$C$1960,0)))</f>
        <v/>
      </c>
      <c r="J819" s="8">
        <f>IF(ISNA(MATCH(806,Engine!$C$2:$C$1960,0)),"",INDEX('Compliance Database'!$J$2:$J$1960,MATCH(806,Engine!$C$2:$C$1960,0)))</f>
        <v/>
      </c>
      <c r="K819" s="9">
        <f>IF(ISNA(MATCH(806,Engine!$C$2:$C$1960,0)),"",INDEX('Compliance Database'!$K$2:$K$1960,MATCH(806,Engine!$C$2:$C$1960,0)))</f>
        <v/>
      </c>
      <c r="L819" s="9">
        <f>IF(ISNA(MATCH(806,Engine!$C$2:$C$1960,0)),"",INDEX('Compliance Database'!$L$2:$L$1960,MATCH(806,Engine!$C$2:$C$1960,0)))</f>
        <v/>
      </c>
      <c r="M819" s="9">
        <f>IF(ISNA(MATCH(806,Engine!$C$2:$C$1960,0)),"",INDEX('Compliance Database'!$M$2:$M$1960,MATCH(806,Engine!$C$2:$C$1960,0)))</f>
        <v/>
      </c>
      <c r="N819" s="9">
        <f>IF(ISNA(MATCH(806,Engine!$C$2:$C$1960,0)),"",INDEX('Compliance Database'!$N$2:$N$1960,MATCH(806,Engine!$C$2:$C$1960,0)))</f>
        <v/>
      </c>
      <c r="O819" s="9">
        <f>IF(ISNA(MATCH(806,Engine!$C$2:$C$1960,0)),"",INDEX('Compliance Database'!$O$2:$O$1960,MATCH(806,Engine!$C$2:$C$1960,0)))</f>
        <v/>
      </c>
      <c r="P819" s="8">
        <f>IF(ISNA(MATCH(806,Engine!$C$2:$C$1960,0)),"",HYPERLINK("#Acts!A"&amp;INDEX('Compliance Database'!$P$2:$P$1960,MATCH(806,Engine!$C$2:$C$1960,0)),"Go to Act"))</f>
        <v/>
      </c>
    </row>
    <row r="820" ht="158" customHeight="1">
      <c r="A820" s="8">
        <f>IF(ISNA(MATCH(807,Engine!$C$2:$C$1960,0)),"",INDEX('Compliance Database'!$A$2:$A$1960,MATCH(807,Engine!$C$2:$C$1960,0)))</f>
        <v/>
      </c>
      <c r="B820" s="8">
        <f>IF(ISNA(MATCH(807,Engine!$C$2:$C$1960,0)),"",INDEX('Compliance Database'!$B$2:$B$1960,MATCH(807,Engine!$C$2:$C$1960,0)))</f>
        <v/>
      </c>
      <c r="C820" s="8">
        <f>IF(ISNA(MATCH(807,Engine!$C$2:$C$1960,0)),"",INDEX('Compliance Database'!$C$2:$C$1960,MATCH(807,Engine!$C$2:$C$1960,0)))</f>
        <v/>
      </c>
      <c r="D820" s="9">
        <f>IF(ISNA(MATCH(807,Engine!$C$2:$C$1960,0)),"",INDEX('Compliance Database'!$D$2:$D$1960,MATCH(807,Engine!$C$2:$C$1960,0)))</f>
        <v/>
      </c>
      <c r="E820" s="8">
        <f>IF(ISNA(MATCH(807,Engine!$C$2:$C$1960,0)),"",INDEX('Compliance Database'!$E$2:$E$1960,MATCH(807,Engine!$C$2:$C$1960,0)))</f>
        <v/>
      </c>
      <c r="F820" s="8">
        <f>IF(ISNA(MATCH(807,Engine!$C$2:$C$1960,0)),"",INDEX('Compliance Database'!$F$2:$F$1960,MATCH(807,Engine!$C$2:$C$1960,0)))</f>
        <v/>
      </c>
      <c r="G820" s="8">
        <f>IF(ISNA(MATCH(807,Engine!$C$2:$C$1960,0)),"",INDEX('Compliance Database'!$G$2:$G$1960,MATCH(807,Engine!$C$2:$C$1960,0)))</f>
        <v/>
      </c>
      <c r="H820" s="9">
        <f>IF(ISNA(MATCH(807,Engine!$C$2:$C$1960,0)),"",INDEX('Compliance Database'!$H$2:$H$1960,MATCH(807,Engine!$C$2:$C$1960,0)))</f>
        <v/>
      </c>
      <c r="I820" s="9">
        <f>IF(ISNA(MATCH(807,Engine!$C$2:$C$1960,0)),"",INDEX('Compliance Database'!$I$2:$I$1960,MATCH(807,Engine!$C$2:$C$1960,0)))</f>
        <v/>
      </c>
      <c r="J820" s="8">
        <f>IF(ISNA(MATCH(807,Engine!$C$2:$C$1960,0)),"",INDEX('Compliance Database'!$J$2:$J$1960,MATCH(807,Engine!$C$2:$C$1960,0)))</f>
        <v/>
      </c>
      <c r="K820" s="9">
        <f>IF(ISNA(MATCH(807,Engine!$C$2:$C$1960,0)),"",INDEX('Compliance Database'!$K$2:$K$1960,MATCH(807,Engine!$C$2:$C$1960,0)))</f>
        <v/>
      </c>
      <c r="L820" s="9">
        <f>IF(ISNA(MATCH(807,Engine!$C$2:$C$1960,0)),"",INDEX('Compliance Database'!$L$2:$L$1960,MATCH(807,Engine!$C$2:$C$1960,0)))</f>
        <v/>
      </c>
      <c r="M820" s="9">
        <f>IF(ISNA(MATCH(807,Engine!$C$2:$C$1960,0)),"",INDEX('Compliance Database'!$M$2:$M$1960,MATCH(807,Engine!$C$2:$C$1960,0)))</f>
        <v/>
      </c>
      <c r="N820" s="9">
        <f>IF(ISNA(MATCH(807,Engine!$C$2:$C$1960,0)),"",INDEX('Compliance Database'!$N$2:$N$1960,MATCH(807,Engine!$C$2:$C$1960,0)))</f>
        <v/>
      </c>
      <c r="O820" s="9">
        <f>IF(ISNA(MATCH(807,Engine!$C$2:$C$1960,0)),"",INDEX('Compliance Database'!$O$2:$O$1960,MATCH(807,Engine!$C$2:$C$1960,0)))</f>
        <v/>
      </c>
      <c r="P820" s="8">
        <f>IF(ISNA(MATCH(807,Engine!$C$2:$C$1960,0)),"",HYPERLINK("#Acts!A"&amp;INDEX('Compliance Database'!$P$2:$P$1960,MATCH(807,Engine!$C$2:$C$1960,0)),"Go to Act"))</f>
        <v/>
      </c>
    </row>
    <row r="821" ht="158" customHeight="1">
      <c r="A821" s="8">
        <f>IF(ISNA(MATCH(808,Engine!$C$2:$C$1960,0)),"",INDEX('Compliance Database'!$A$2:$A$1960,MATCH(808,Engine!$C$2:$C$1960,0)))</f>
        <v/>
      </c>
      <c r="B821" s="8">
        <f>IF(ISNA(MATCH(808,Engine!$C$2:$C$1960,0)),"",INDEX('Compliance Database'!$B$2:$B$1960,MATCH(808,Engine!$C$2:$C$1960,0)))</f>
        <v/>
      </c>
      <c r="C821" s="8">
        <f>IF(ISNA(MATCH(808,Engine!$C$2:$C$1960,0)),"",INDEX('Compliance Database'!$C$2:$C$1960,MATCH(808,Engine!$C$2:$C$1960,0)))</f>
        <v/>
      </c>
      <c r="D821" s="9">
        <f>IF(ISNA(MATCH(808,Engine!$C$2:$C$1960,0)),"",INDEX('Compliance Database'!$D$2:$D$1960,MATCH(808,Engine!$C$2:$C$1960,0)))</f>
        <v/>
      </c>
      <c r="E821" s="8">
        <f>IF(ISNA(MATCH(808,Engine!$C$2:$C$1960,0)),"",INDEX('Compliance Database'!$E$2:$E$1960,MATCH(808,Engine!$C$2:$C$1960,0)))</f>
        <v/>
      </c>
      <c r="F821" s="8">
        <f>IF(ISNA(MATCH(808,Engine!$C$2:$C$1960,0)),"",INDEX('Compliance Database'!$F$2:$F$1960,MATCH(808,Engine!$C$2:$C$1960,0)))</f>
        <v/>
      </c>
      <c r="G821" s="8">
        <f>IF(ISNA(MATCH(808,Engine!$C$2:$C$1960,0)),"",INDEX('Compliance Database'!$G$2:$G$1960,MATCH(808,Engine!$C$2:$C$1960,0)))</f>
        <v/>
      </c>
      <c r="H821" s="9">
        <f>IF(ISNA(MATCH(808,Engine!$C$2:$C$1960,0)),"",INDEX('Compliance Database'!$H$2:$H$1960,MATCH(808,Engine!$C$2:$C$1960,0)))</f>
        <v/>
      </c>
      <c r="I821" s="9">
        <f>IF(ISNA(MATCH(808,Engine!$C$2:$C$1960,0)),"",INDEX('Compliance Database'!$I$2:$I$1960,MATCH(808,Engine!$C$2:$C$1960,0)))</f>
        <v/>
      </c>
      <c r="J821" s="8">
        <f>IF(ISNA(MATCH(808,Engine!$C$2:$C$1960,0)),"",INDEX('Compliance Database'!$J$2:$J$1960,MATCH(808,Engine!$C$2:$C$1960,0)))</f>
        <v/>
      </c>
      <c r="K821" s="9">
        <f>IF(ISNA(MATCH(808,Engine!$C$2:$C$1960,0)),"",INDEX('Compliance Database'!$K$2:$K$1960,MATCH(808,Engine!$C$2:$C$1960,0)))</f>
        <v/>
      </c>
      <c r="L821" s="9">
        <f>IF(ISNA(MATCH(808,Engine!$C$2:$C$1960,0)),"",INDEX('Compliance Database'!$L$2:$L$1960,MATCH(808,Engine!$C$2:$C$1960,0)))</f>
        <v/>
      </c>
      <c r="M821" s="9">
        <f>IF(ISNA(MATCH(808,Engine!$C$2:$C$1960,0)),"",INDEX('Compliance Database'!$M$2:$M$1960,MATCH(808,Engine!$C$2:$C$1960,0)))</f>
        <v/>
      </c>
      <c r="N821" s="9">
        <f>IF(ISNA(MATCH(808,Engine!$C$2:$C$1960,0)),"",INDEX('Compliance Database'!$N$2:$N$1960,MATCH(808,Engine!$C$2:$C$1960,0)))</f>
        <v/>
      </c>
      <c r="O821" s="9">
        <f>IF(ISNA(MATCH(808,Engine!$C$2:$C$1960,0)),"",INDEX('Compliance Database'!$O$2:$O$1960,MATCH(808,Engine!$C$2:$C$1960,0)))</f>
        <v/>
      </c>
      <c r="P821" s="8">
        <f>IF(ISNA(MATCH(808,Engine!$C$2:$C$1960,0)),"",HYPERLINK("#Acts!A"&amp;INDEX('Compliance Database'!$P$2:$P$1960,MATCH(808,Engine!$C$2:$C$1960,0)),"Go to Act"))</f>
        <v/>
      </c>
    </row>
    <row r="822" ht="158" customHeight="1">
      <c r="A822" s="8">
        <f>IF(ISNA(MATCH(809,Engine!$C$2:$C$1960,0)),"",INDEX('Compliance Database'!$A$2:$A$1960,MATCH(809,Engine!$C$2:$C$1960,0)))</f>
        <v/>
      </c>
      <c r="B822" s="8">
        <f>IF(ISNA(MATCH(809,Engine!$C$2:$C$1960,0)),"",INDEX('Compliance Database'!$B$2:$B$1960,MATCH(809,Engine!$C$2:$C$1960,0)))</f>
        <v/>
      </c>
      <c r="C822" s="8">
        <f>IF(ISNA(MATCH(809,Engine!$C$2:$C$1960,0)),"",INDEX('Compliance Database'!$C$2:$C$1960,MATCH(809,Engine!$C$2:$C$1960,0)))</f>
        <v/>
      </c>
      <c r="D822" s="9">
        <f>IF(ISNA(MATCH(809,Engine!$C$2:$C$1960,0)),"",INDEX('Compliance Database'!$D$2:$D$1960,MATCH(809,Engine!$C$2:$C$1960,0)))</f>
        <v/>
      </c>
      <c r="E822" s="8">
        <f>IF(ISNA(MATCH(809,Engine!$C$2:$C$1960,0)),"",INDEX('Compliance Database'!$E$2:$E$1960,MATCH(809,Engine!$C$2:$C$1960,0)))</f>
        <v/>
      </c>
      <c r="F822" s="8">
        <f>IF(ISNA(MATCH(809,Engine!$C$2:$C$1960,0)),"",INDEX('Compliance Database'!$F$2:$F$1960,MATCH(809,Engine!$C$2:$C$1960,0)))</f>
        <v/>
      </c>
      <c r="G822" s="8">
        <f>IF(ISNA(MATCH(809,Engine!$C$2:$C$1960,0)),"",INDEX('Compliance Database'!$G$2:$G$1960,MATCH(809,Engine!$C$2:$C$1960,0)))</f>
        <v/>
      </c>
      <c r="H822" s="9">
        <f>IF(ISNA(MATCH(809,Engine!$C$2:$C$1960,0)),"",INDEX('Compliance Database'!$H$2:$H$1960,MATCH(809,Engine!$C$2:$C$1960,0)))</f>
        <v/>
      </c>
      <c r="I822" s="9">
        <f>IF(ISNA(MATCH(809,Engine!$C$2:$C$1960,0)),"",INDEX('Compliance Database'!$I$2:$I$1960,MATCH(809,Engine!$C$2:$C$1960,0)))</f>
        <v/>
      </c>
      <c r="J822" s="8">
        <f>IF(ISNA(MATCH(809,Engine!$C$2:$C$1960,0)),"",INDEX('Compliance Database'!$J$2:$J$1960,MATCH(809,Engine!$C$2:$C$1960,0)))</f>
        <v/>
      </c>
      <c r="K822" s="9">
        <f>IF(ISNA(MATCH(809,Engine!$C$2:$C$1960,0)),"",INDEX('Compliance Database'!$K$2:$K$1960,MATCH(809,Engine!$C$2:$C$1960,0)))</f>
        <v/>
      </c>
      <c r="L822" s="9">
        <f>IF(ISNA(MATCH(809,Engine!$C$2:$C$1960,0)),"",INDEX('Compliance Database'!$L$2:$L$1960,MATCH(809,Engine!$C$2:$C$1960,0)))</f>
        <v/>
      </c>
      <c r="M822" s="9">
        <f>IF(ISNA(MATCH(809,Engine!$C$2:$C$1960,0)),"",INDEX('Compliance Database'!$M$2:$M$1960,MATCH(809,Engine!$C$2:$C$1960,0)))</f>
        <v/>
      </c>
      <c r="N822" s="9">
        <f>IF(ISNA(MATCH(809,Engine!$C$2:$C$1960,0)),"",INDEX('Compliance Database'!$N$2:$N$1960,MATCH(809,Engine!$C$2:$C$1960,0)))</f>
        <v/>
      </c>
      <c r="O822" s="9">
        <f>IF(ISNA(MATCH(809,Engine!$C$2:$C$1960,0)),"",INDEX('Compliance Database'!$O$2:$O$1960,MATCH(809,Engine!$C$2:$C$1960,0)))</f>
        <v/>
      </c>
      <c r="P822" s="8">
        <f>IF(ISNA(MATCH(809,Engine!$C$2:$C$1960,0)),"",HYPERLINK("#Acts!A"&amp;INDEX('Compliance Database'!$P$2:$P$1960,MATCH(809,Engine!$C$2:$C$1960,0)),"Go to Act"))</f>
        <v/>
      </c>
    </row>
    <row r="823" ht="158" customHeight="1">
      <c r="A823" s="8">
        <f>IF(ISNA(MATCH(810,Engine!$C$2:$C$1960,0)),"",INDEX('Compliance Database'!$A$2:$A$1960,MATCH(810,Engine!$C$2:$C$1960,0)))</f>
        <v/>
      </c>
      <c r="B823" s="8">
        <f>IF(ISNA(MATCH(810,Engine!$C$2:$C$1960,0)),"",INDEX('Compliance Database'!$B$2:$B$1960,MATCH(810,Engine!$C$2:$C$1960,0)))</f>
        <v/>
      </c>
      <c r="C823" s="8">
        <f>IF(ISNA(MATCH(810,Engine!$C$2:$C$1960,0)),"",INDEX('Compliance Database'!$C$2:$C$1960,MATCH(810,Engine!$C$2:$C$1960,0)))</f>
        <v/>
      </c>
      <c r="D823" s="9">
        <f>IF(ISNA(MATCH(810,Engine!$C$2:$C$1960,0)),"",INDEX('Compliance Database'!$D$2:$D$1960,MATCH(810,Engine!$C$2:$C$1960,0)))</f>
        <v/>
      </c>
      <c r="E823" s="8">
        <f>IF(ISNA(MATCH(810,Engine!$C$2:$C$1960,0)),"",INDEX('Compliance Database'!$E$2:$E$1960,MATCH(810,Engine!$C$2:$C$1960,0)))</f>
        <v/>
      </c>
      <c r="F823" s="8">
        <f>IF(ISNA(MATCH(810,Engine!$C$2:$C$1960,0)),"",INDEX('Compliance Database'!$F$2:$F$1960,MATCH(810,Engine!$C$2:$C$1960,0)))</f>
        <v/>
      </c>
      <c r="G823" s="8">
        <f>IF(ISNA(MATCH(810,Engine!$C$2:$C$1960,0)),"",INDEX('Compliance Database'!$G$2:$G$1960,MATCH(810,Engine!$C$2:$C$1960,0)))</f>
        <v/>
      </c>
      <c r="H823" s="9">
        <f>IF(ISNA(MATCH(810,Engine!$C$2:$C$1960,0)),"",INDEX('Compliance Database'!$H$2:$H$1960,MATCH(810,Engine!$C$2:$C$1960,0)))</f>
        <v/>
      </c>
      <c r="I823" s="9">
        <f>IF(ISNA(MATCH(810,Engine!$C$2:$C$1960,0)),"",INDEX('Compliance Database'!$I$2:$I$1960,MATCH(810,Engine!$C$2:$C$1960,0)))</f>
        <v/>
      </c>
      <c r="J823" s="8">
        <f>IF(ISNA(MATCH(810,Engine!$C$2:$C$1960,0)),"",INDEX('Compliance Database'!$J$2:$J$1960,MATCH(810,Engine!$C$2:$C$1960,0)))</f>
        <v/>
      </c>
      <c r="K823" s="9">
        <f>IF(ISNA(MATCH(810,Engine!$C$2:$C$1960,0)),"",INDEX('Compliance Database'!$K$2:$K$1960,MATCH(810,Engine!$C$2:$C$1960,0)))</f>
        <v/>
      </c>
      <c r="L823" s="9">
        <f>IF(ISNA(MATCH(810,Engine!$C$2:$C$1960,0)),"",INDEX('Compliance Database'!$L$2:$L$1960,MATCH(810,Engine!$C$2:$C$1960,0)))</f>
        <v/>
      </c>
      <c r="M823" s="9">
        <f>IF(ISNA(MATCH(810,Engine!$C$2:$C$1960,0)),"",INDEX('Compliance Database'!$M$2:$M$1960,MATCH(810,Engine!$C$2:$C$1960,0)))</f>
        <v/>
      </c>
      <c r="N823" s="9">
        <f>IF(ISNA(MATCH(810,Engine!$C$2:$C$1960,0)),"",INDEX('Compliance Database'!$N$2:$N$1960,MATCH(810,Engine!$C$2:$C$1960,0)))</f>
        <v/>
      </c>
      <c r="O823" s="9">
        <f>IF(ISNA(MATCH(810,Engine!$C$2:$C$1960,0)),"",INDEX('Compliance Database'!$O$2:$O$1960,MATCH(810,Engine!$C$2:$C$1960,0)))</f>
        <v/>
      </c>
      <c r="P823" s="8">
        <f>IF(ISNA(MATCH(810,Engine!$C$2:$C$1960,0)),"",HYPERLINK("#Acts!A"&amp;INDEX('Compliance Database'!$P$2:$P$1960,MATCH(810,Engine!$C$2:$C$1960,0)),"Go to Act"))</f>
        <v/>
      </c>
    </row>
    <row r="824" ht="158" customHeight="1">
      <c r="A824" s="8">
        <f>IF(ISNA(MATCH(811,Engine!$C$2:$C$1960,0)),"",INDEX('Compliance Database'!$A$2:$A$1960,MATCH(811,Engine!$C$2:$C$1960,0)))</f>
        <v/>
      </c>
      <c r="B824" s="8">
        <f>IF(ISNA(MATCH(811,Engine!$C$2:$C$1960,0)),"",INDEX('Compliance Database'!$B$2:$B$1960,MATCH(811,Engine!$C$2:$C$1960,0)))</f>
        <v/>
      </c>
      <c r="C824" s="8">
        <f>IF(ISNA(MATCH(811,Engine!$C$2:$C$1960,0)),"",INDEX('Compliance Database'!$C$2:$C$1960,MATCH(811,Engine!$C$2:$C$1960,0)))</f>
        <v/>
      </c>
      <c r="D824" s="9">
        <f>IF(ISNA(MATCH(811,Engine!$C$2:$C$1960,0)),"",INDEX('Compliance Database'!$D$2:$D$1960,MATCH(811,Engine!$C$2:$C$1960,0)))</f>
        <v/>
      </c>
      <c r="E824" s="8">
        <f>IF(ISNA(MATCH(811,Engine!$C$2:$C$1960,0)),"",INDEX('Compliance Database'!$E$2:$E$1960,MATCH(811,Engine!$C$2:$C$1960,0)))</f>
        <v/>
      </c>
      <c r="F824" s="8">
        <f>IF(ISNA(MATCH(811,Engine!$C$2:$C$1960,0)),"",INDEX('Compliance Database'!$F$2:$F$1960,MATCH(811,Engine!$C$2:$C$1960,0)))</f>
        <v/>
      </c>
      <c r="G824" s="8">
        <f>IF(ISNA(MATCH(811,Engine!$C$2:$C$1960,0)),"",INDEX('Compliance Database'!$G$2:$G$1960,MATCH(811,Engine!$C$2:$C$1960,0)))</f>
        <v/>
      </c>
      <c r="H824" s="9">
        <f>IF(ISNA(MATCH(811,Engine!$C$2:$C$1960,0)),"",INDEX('Compliance Database'!$H$2:$H$1960,MATCH(811,Engine!$C$2:$C$1960,0)))</f>
        <v/>
      </c>
      <c r="I824" s="9">
        <f>IF(ISNA(MATCH(811,Engine!$C$2:$C$1960,0)),"",INDEX('Compliance Database'!$I$2:$I$1960,MATCH(811,Engine!$C$2:$C$1960,0)))</f>
        <v/>
      </c>
      <c r="J824" s="8">
        <f>IF(ISNA(MATCH(811,Engine!$C$2:$C$1960,0)),"",INDEX('Compliance Database'!$J$2:$J$1960,MATCH(811,Engine!$C$2:$C$1960,0)))</f>
        <v/>
      </c>
      <c r="K824" s="9">
        <f>IF(ISNA(MATCH(811,Engine!$C$2:$C$1960,0)),"",INDEX('Compliance Database'!$K$2:$K$1960,MATCH(811,Engine!$C$2:$C$1960,0)))</f>
        <v/>
      </c>
      <c r="L824" s="9">
        <f>IF(ISNA(MATCH(811,Engine!$C$2:$C$1960,0)),"",INDEX('Compliance Database'!$L$2:$L$1960,MATCH(811,Engine!$C$2:$C$1960,0)))</f>
        <v/>
      </c>
      <c r="M824" s="9">
        <f>IF(ISNA(MATCH(811,Engine!$C$2:$C$1960,0)),"",INDEX('Compliance Database'!$M$2:$M$1960,MATCH(811,Engine!$C$2:$C$1960,0)))</f>
        <v/>
      </c>
      <c r="N824" s="9">
        <f>IF(ISNA(MATCH(811,Engine!$C$2:$C$1960,0)),"",INDEX('Compliance Database'!$N$2:$N$1960,MATCH(811,Engine!$C$2:$C$1960,0)))</f>
        <v/>
      </c>
      <c r="O824" s="9">
        <f>IF(ISNA(MATCH(811,Engine!$C$2:$C$1960,0)),"",INDEX('Compliance Database'!$O$2:$O$1960,MATCH(811,Engine!$C$2:$C$1960,0)))</f>
        <v/>
      </c>
      <c r="P824" s="8">
        <f>IF(ISNA(MATCH(811,Engine!$C$2:$C$1960,0)),"",HYPERLINK("#Acts!A"&amp;INDEX('Compliance Database'!$P$2:$P$1960,MATCH(811,Engine!$C$2:$C$1960,0)),"Go to Act"))</f>
        <v/>
      </c>
    </row>
    <row r="825" ht="158" customHeight="1">
      <c r="A825" s="8">
        <f>IF(ISNA(MATCH(812,Engine!$C$2:$C$1960,0)),"",INDEX('Compliance Database'!$A$2:$A$1960,MATCH(812,Engine!$C$2:$C$1960,0)))</f>
        <v/>
      </c>
      <c r="B825" s="8">
        <f>IF(ISNA(MATCH(812,Engine!$C$2:$C$1960,0)),"",INDEX('Compliance Database'!$B$2:$B$1960,MATCH(812,Engine!$C$2:$C$1960,0)))</f>
        <v/>
      </c>
      <c r="C825" s="8">
        <f>IF(ISNA(MATCH(812,Engine!$C$2:$C$1960,0)),"",INDEX('Compliance Database'!$C$2:$C$1960,MATCH(812,Engine!$C$2:$C$1960,0)))</f>
        <v/>
      </c>
      <c r="D825" s="9">
        <f>IF(ISNA(MATCH(812,Engine!$C$2:$C$1960,0)),"",INDEX('Compliance Database'!$D$2:$D$1960,MATCH(812,Engine!$C$2:$C$1960,0)))</f>
        <v/>
      </c>
      <c r="E825" s="8">
        <f>IF(ISNA(MATCH(812,Engine!$C$2:$C$1960,0)),"",INDEX('Compliance Database'!$E$2:$E$1960,MATCH(812,Engine!$C$2:$C$1960,0)))</f>
        <v/>
      </c>
      <c r="F825" s="8">
        <f>IF(ISNA(MATCH(812,Engine!$C$2:$C$1960,0)),"",INDEX('Compliance Database'!$F$2:$F$1960,MATCH(812,Engine!$C$2:$C$1960,0)))</f>
        <v/>
      </c>
      <c r="G825" s="8">
        <f>IF(ISNA(MATCH(812,Engine!$C$2:$C$1960,0)),"",INDEX('Compliance Database'!$G$2:$G$1960,MATCH(812,Engine!$C$2:$C$1960,0)))</f>
        <v/>
      </c>
      <c r="H825" s="9">
        <f>IF(ISNA(MATCH(812,Engine!$C$2:$C$1960,0)),"",INDEX('Compliance Database'!$H$2:$H$1960,MATCH(812,Engine!$C$2:$C$1960,0)))</f>
        <v/>
      </c>
      <c r="I825" s="9">
        <f>IF(ISNA(MATCH(812,Engine!$C$2:$C$1960,0)),"",INDEX('Compliance Database'!$I$2:$I$1960,MATCH(812,Engine!$C$2:$C$1960,0)))</f>
        <v/>
      </c>
      <c r="J825" s="8">
        <f>IF(ISNA(MATCH(812,Engine!$C$2:$C$1960,0)),"",INDEX('Compliance Database'!$J$2:$J$1960,MATCH(812,Engine!$C$2:$C$1960,0)))</f>
        <v/>
      </c>
      <c r="K825" s="9">
        <f>IF(ISNA(MATCH(812,Engine!$C$2:$C$1960,0)),"",INDEX('Compliance Database'!$K$2:$K$1960,MATCH(812,Engine!$C$2:$C$1960,0)))</f>
        <v/>
      </c>
      <c r="L825" s="9">
        <f>IF(ISNA(MATCH(812,Engine!$C$2:$C$1960,0)),"",INDEX('Compliance Database'!$L$2:$L$1960,MATCH(812,Engine!$C$2:$C$1960,0)))</f>
        <v/>
      </c>
      <c r="M825" s="9">
        <f>IF(ISNA(MATCH(812,Engine!$C$2:$C$1960,0)),"",INDEX('Compliance Database'!$M$2:$M$1960,MATCH(812,Engine!$C$2:$C$1960,0)))</f>
        <v/>
      </c>
      <c r="N825" s="9">
        <f>IF(ISNA(MATCH(812,Engine!$C$2:$C$1960,0)),"",INDEX('Compliance Database'!$N$2:$N$1960,MATCH(812,Engine!$C$2:$C$1960,0)))</f>
        <v/>
      </c>
      <c r="O825" s="9">
        <f>IF(ISNA(MATCH(812,Engine!$C$2:$C$1960,0)),"",INDEX('Compliance Database'!$O$2:$O$1960,MATCH(812,Engine!$C$2:$C$1960,0)))</f>
        <v/>
      </c>
      <c r="P825" s="8">
        <f>IF(ISNA(MATCH(812,Engine!$C$2:$C$1960,0)),"",HYPERLINK("#Acts!A"&amp;INDEX('Compliance Database'!$P$2:$P$1960,MATCH(812,Engine!$C$2:$C$1960,0)),"Go to Act"))</f>
        <v/>
      </c>
    </row>
    <row r="826" ht="158" customHeight="1">
      <c r="A826" s="8">
        <f>IF(ISNA(MATCH(813,Engine!$C$2:$C$1960,0)),"",INDEX('Compliance Database'!$A$2:$A$1960,MATCH(813,Engine!$C$2:$C$1960,0)))</f>
        <v/>
      </c>
      <c r="B826" s="8">
        <f>IF(ISNA(MATCH(813,Engine!$C$2:$C$1960,0)),"",INDEX('Compliance Database'!$B$2:$B$1960,MATCH(813,Engine!$C$2:$C$1960,0)))</f>
        <v/>
      </c>
      <c r="C826" s="8">
        <f>IF(ISNA(MATCH(813,Engine!$C$2:$C$1960,0)),"",INDEX('Compliance Database'!$C$2:$C$1960,MATCH(813,Engine!$C$2:$C$1960,0)))</f>
        <v/>
      </c>
      <c r="D826" s="9">
        <f>IF(ISNA(MATCH(813,Engine!$C$2:$C$1960,0)),"",INDEX('Compliance Database'!$D$2:$D$1960,MATCH(813,Engine!$C$2:$C$1960,0)))</f>
        <v/>
      </c>
      <c r="E826" s="8">
        <f>IF(ISNA(MATCH(813,Engine!$C$2:$C$1960,0)),"",INDEX('Compliance Database'!$E$2:$E$1960,MATCH(813,Engine!$C$2:$C$1960,0)))</f>
        <v/>
      </c>
      <c r="F826" s="8">
        <f>IF(ISNA(MATCH(813,Engine!$C$2:$C$1960,0)),"",INDEX('Compliance Database'!$F$2:$F$1960,MATCH(813,Engine!$C$2:$C$1960,0)))</f>
        <v/>
      </c>
      <c r="G826" s="8">
        <f>IF(ISNA(MATCH(813,Engine!$C$2:$C$1960,0)),"",INDEX('Compliance Database'!$G$2:$G$1960,MATCH(813,Engine!$C$2:$C$1960,0)))</f>
        <v/>
      </c>
      <c r="H826" s="9">
        <f>IF(ISNA(MATCH(813,Engine!$C$2:$C$1960,0)),"",INDEX('Compliance Database'!$H$2:$H$1960,MATCH(813,Engine!$C$2:$C$1960,0)))</f>
        <v/>
      </c>
      <c r="I826" s="9">
        <f>IF(ISNA(MATCH(813,Engine!$C$2:$C$1960,0)),"",INDEX('Compliance Database'!$I$2:$I$1960,MATCH(813,Engine!$C$2:$C$1960,0)))</f>
        <v/>
      </c>
      <c r="J826" s="8">
        <f>IF(ISNA(MATCH(813,Engine!$C$2:$C$1960,0)),"",INDEX('Compliance Database'!$J$2:$J$1960,MATCH(813,Engine!$C$2:$C$1960,0)))</f>
        <v/>
      </c>
      <c r="K826" s="9">
        <f>IF(ISNA(MATCH(813,Engine!$C$2:$C$1960,0)),"",INDEX('Compliance Database'!$K$2:$K$1960,MATCH(813,Engine!$C$2:$C$1960,0)))</f>
        <v/>
      </c>
      <c r="L826" s="9">
        <f>IF(ISNA(MATCH(813,Engine!$C$2:$C$1960,0)),"",INDEX('Compliance Database'!$L$2:$L$1960,MATCH(813,Engine!$C$2:$C$1960,0)))</f>
        <v/>
      </c>
      <c r="M826" s="9">
        <f>IF(ISNA(MATCH(813,Engine!$C$2:$C$1960,0)),"",INDEX('Compliance Database'!$M$2:$M$1960,MATCH(813,Engine!$C$2:$C$1960,0)))</f>
        <v/>
      </c>
      <c r="N826" s="9">
        <f>IF(ISNA(MATCH(813,Engine!$C$2:$C$1960,0)),"",INDEX('Compliance Database'!$N$2:$N$1960,MATCH(813,Engine!$C$2:$C$1960,0)))</f>
        <v/>
      </c>
      <c r="O826" s="9">
        <f>IF(ISNA(MATCH(813,Engine!$C$2:$C$1960,0)),"",INDEX('Compliance Database'!$O$2:$O$1960,MATCH(813,Engine!$C$2:$C$1960,0)))</f>
        <v/>
      </c>
      <c r="P826" s="8">
        <f>IF(ISNA(MATCH(813,Engine!$C$2:$C$1960,0)),"",HYPERLINK("#Acts!A"&amp;INDEX('Compliance Database'!$P$2:$P$1960,MATCH(813,Engine!$C$2:$C$1960,0)),"Go to Act"))</f>
        <v/>
      </c>
    </row>
    <row r="827" ht="158" customHeight="1">
      <c r="A827" s="8">
        <f>IF(ISNA(MATCH(814,Engine!$C$2:$C$1960,0)),"",INDEX('Compliance Database'!$A$2:$A$1960,MATCH(814,Engine!$C$2:$C$1960,0)))</f>
        <v/>
      </c>
      <c r="B827" s="8">
        <f>IF(ISNA(MATCH(814,Engine!$C$2:$C$1960,0)),"",INDEX('Compliance Database'!$B$2:$B$1960,MATCH(814,Engine!$C$2:$C$1960,0)))</f>
        <v/>
      </c>
      <c r="C827" s="8">
        <f>IF(ISNA(MATCH(814,Engine!$C$2:$C$1960,0)),"",INDEX('Compliance Database'!$C$2:$C$1960,MATCH(814,Engine!$C$2:$C$1960,0)))</f>
        <v/>
      </c>
      <c r="D827" s="9">
        <f>IF(ISNA(MATCH(814,Engine!$C$2:$C$1960,0)),"",INDEX('Compliance Database'!$D$2:$D$1960,MATCH(814,Engine!$C$2:$C$1960,0)))</f>
        <v/>
      </c>
      <c r="E827" s="8">
        <f>IF(ISNA(MATCH(814,Engine!$C$2:$C$1960,0)),"",INDEX('Compliance Database'!$E$2:$E$1960,MATCH(814,Engine!$C$2:$C$1960,0)))</f>
        <v/>
      </c>
      <c r="F827" s="8">
        <f>IF(ISNA(MATCH(814,Engine!$C$2:$C$1960,0)),"",INDEX('Compliance Database'!$F$2:$F$1960,MATCH(814,Engine!$C$2:$C$1960,0)))</f>
        <v/>
      </c>
      <c r="G827" s="8">
        <f>IF(ISNA(MATCH(814,Engine!$C$2:$C$1960,0)),"",INDEX('Compliance Database'!$G$2:$G$1960,MATCH(814,Engine!$C$2:$C$1960,0)))</f>
        <v/>
      </c>
      <c r="H827" s="9">
        <f>IF(ISNA(MATCH(814,Engine!$C$2:$C$1960,0)),"",INDEX('Compliance Database'!$H$2:$H$1960,MATCH(814,Engine!$C$2:$C$1960,0)))</f>
        <v/>
      </c>
      <c r="I827" s="9">
        <f>IF(ISNA(MATCH(814,Engine!$C$2:$C$1960,0)),"",INDEX('Compliance Database'!$I$2:$I$1960,MATCH(814,Engine!$C$2:$C$1960,0)))</f>
        <v/>
      </c>
      <c r="J827" s="8">
        <f>IF(ISNA(MATCH(814,Engine!$C$2:$C$1960,0)),"",INDEX('Compliance Database'!$J$2:$J$1960,MATCH(814,Engine!$C$2:$C$1960,0)))</f>
        <v/>
      </c>
      <c r="K827" s="9">
        <f>IF(ISNA(MATCH(814,Engine!$C$2:$C$1960,0)),"",INDEX('Compliance Database'!$K$2:$K$1960,MATCH(814,Engine!$C$2:$C$1960,0)))</f>
        <v/>
      </c>
      <c r="L827" s="9">
        <f>IF(ISNA(MATCH(814,Engine!$C$2:$C$1960,0)),"",INDEX('Compliance Database'!$L$2:$L$1960,MATCH(814,Engine!$C$2:$C$1960,0)))</f>
        <v/>
      </c>
      <c r="M827" s="9">
        <f>IF(ISNA(MATCH(814,Engine!$C$2:$C$1960,0)),"",INDEX('Compliance Database'!$M$2:$M$1960,MATCH(814,Engine!$C$2:$C$1960,0)))</f>
        <v/>
      </c>
      <c r="N827" s="9">
        <f>IF(ISNA(MATCH(814,Engine!$C$2:$C$1960,0)),"",INDEX('Compliance Database'!$N$2:$N$1960,MATCH(814,Engine!$C$2:$C$1960,0)))</f>
        <v/>
      </c>
      <c r="O827" s="9">
        <f>IF(ISNA(MATCH(814,Engine!$C$2:$C$1960,0)),"",INDEX('Compliance Database'!$O$2:$O$1960,MATCH(814,Engine!$C$2:$C$1960,0)))</f>
        <v/>
      </c>
      <c r="P827" s="8">
        <f>IF(ISNA(MATCH(814,Engine!$C$2:$C$1960,0)),"",HYPERLINK("#Acts!A"&amp;INDEX('Compliance Database'!$P$2:$P$1960,MATCH(814,Engine!$C$2:$C$1960,0)),"Go to Act"))</f>
        <v/>
      </c>
    </row>
    <row r="828" ht="158" customHeight="1">
      <c r="A828" s="8">
        <f>IF(ISNA(MATCH(815,Engine!$C$2:$C$1960,0)),"",INDEX('Compliance Database'!$A$2:$A$1960,MATCH(815,Engine!$C$2:$C$1960,0)))</f>
        <v/>
      </c>
      <c r="B828" s="8">
        <f>IF(ISNA(MATCH(815,Engine!$C$2:$C$1960,0)),"",INDEX('Compliance Database'!$B$2:$B$1960,MATCH(815,Engine!$C$2:$C$1960,0)))</f>
        <v/>
      </c>
      <c r="C828" s="8">
        <f>IF(ISNA(MATCH(815,Engine!$C$2:$C$1960,0)),"",INDEX('Compliance Database'!$C$2:$C$1960,MATCH(815,Engine!$C$2:$C$1960,0)))</f>
        <v/>
      </c>
      <c r="D828" s="9">
        <f>IF(ISNA(MATCH(815,Engine!$C$2:$C$1960,0)),"",INDEX('Compliance Database'!$D$2:$D$1960,MATCH(815,Engine!$C$2:$C$1960,0)))</f>
        <v/>
      </c>
      <c r="E828" s="8">
        <f>IF(ISNA(MATCH(815,Engine!$C$2:$C$1960,0)),"",INDEX('Compliance Database'!$E$2:$E$1960,MATCH(815,Engine!$C$2:$C$1960,0)))</f>
        <v/>
      </c>
      <c r="F828" s="8">
        <f>IF(ISNA(MATCH(815,Engine!$C$2:$C$1960,0)),"",INDEX('Compliance Database'!$F$2:$F$1960,MATCH(815,Engine!$C$2:$C$1960,0)))</f>
        <v/>
      </c>
      <c r="G828" s="8">
        <f>IF(ISNA(MATCH(815,Engine!$C$2:$C$1960,0)),"",INDEX('Compliance Database'!$G$2:$G$1960,MATCH(815,Engine!$C$2:$C$1960,0)))</f>
        <v/>
      </c>
      <c r="H828" s="9">
        <f>IF(ISNA(MATCH(815,Engine!$C$2:$C$1960,0)),"",INDEX('Compliance Database'!$H$2:$H$1960,MATCH(815,Engine!$C$2:$C$1960,0)))</f>
        <v/>
      </c>
      <c r="I828" s="9">
        <f>IF(ISNA(MATCH(815,Engine!$C$2:$C$1960,0)),"",INDEX('Compliance Database'!$I$2:$I$1960,MATCH(815,Engine!$C$2:$C$1960,0)))</f>
        <v/>
      </c>
      <c r="J828" s="8">
        <f>IF(ISNA(MATCH(815,Engine!$C$2:$C$1960,0)),"",INDEX('Compliance Database'!$J$2:$J$1960,MATCH(815,Engine!$C$2:$C$1960,0)))</f>
        <v/>
      </c>
      <c r="K828" s="9">
        <f>IF(ISNA(MATCH(815,Engine!$C$2:$C$1960,0)),"",INDEX('Compliance Database'!$K$2:$K$1960,MATCH(815,Engine!$C$2:$C$1960,0)))</f>
        <v/>
      </c>
      <c r="L828" s="9">
        <f>IF(ISNA(MATCH(815,Engine!$C$2:$C$1960,0)),"",INDEX('Compliance Database'!$L$2:$L$1960,MATCH(815,Engine!$C$2:$C$1960,0)))</f>
        <v/>
      </c>
      <c r="M828" s="9">
        <f>IF(ISNA(MATCH(815,Engine!$C$2:$C$1960,0)),"",INDEX('Compliance Database'!$M$2:$M$1960,MATCH(815,Engine!$C$2:$C$1960,0)))</f>
        <v/>
      </c>
      <c r="N828" s="9">
        <f>IF(ISNA(MATCH(815,Engine!$C$2:$C$1960,0)),"",INDEX('Compliance Database'!$N$2:$N$1960,MATCH(815,Engine!$C$2:$C$1960,0)))</f>
        <v/>
      </c>
      <c r="O828" s="9">
        <f>IF(ISNA(MATCH(815,Engine!$C$2:$C$1960,0)),"",INDEX('Compliance Database'!$O$2:$O$1960,MATCH(815,Engine!$C$2:$C$1960,0)))</f>
        <v/>
      </c>
      <c r="P828" s="8">
        <f>IF(ISNA(MATCH(815,Engine!$C$2:$C$1960,0)),"",HYPERLINK("#Acts!A"&amp;INDEX('Compliance Database'!$P$2:$P$1960,MATCH(815,Engine!$C$2:$C$1960,0)),"Go to Act"))</f>
        <v/>
      </c>
    </row>
    <row r="829" ht="158" customHeight="1">
      <c r="A829" s="8">
        <f>IF(ISNA(MATCH(816,Engine!$C$2:$C$1960,0)),"",INDEX('Compliance Database'!$A$2:$A$1960,MATCH(816,Engine!$C$2:$C$1960,0)))</f>
        <v/>
      </c>
      <c r="B829" s="8">
        <f>IF(ISNA(MATCH(816,Engine!$C$2:$C$1960,0)),"",INDEX('Compliance Database'!$B$2:$B$1960,MATCH(816,Engine!$C$2:$C$1960,0)))</f>
        <v/>
      </c>
      <c r="C829" s="8">
        <f>IF(ISNA(MATCH(816,Engine!$C$2:$C$1960,0)),"",INDEX('Compliance Database'!$C$2:$C$1960,MATCH(816,Engine!$C$2:$C$1960,0)))</f>
        <v/>
      </c>
      <c r="D829" s="9">
        <f>IF(ISNA(MATCH(816,Engine!$C$2:$C$1960,0)),"",INDEX('Compliance Database'!$D$2:$D$1960,MATCH(816,Engine!$C$2:$C$1960,0)))</f>
        <v/>
      </c>
      <c r="E829" s="8">
        <f>IF(ISNA(MATCH(816,Engine!$C$2:$C$1960,0)),"",INDEX('Compliance Database'!$E$2:$E$1960,MATCH(816,Engine!$C$2:$C$1960,0)))</f>
        <v/>
      </c>
      <c r="F829" s="8">
        <f>IF(ISNA(MATCH(816,Engine!$C$2:$C$1960,0)),"",INDEX('Compliance Database'!$F$2:$F$1960,MATCH(816,Engine!$C$2:$C$1960,0)))</f>
        <v/>
      </c>
      <c r="G829" s="8">
        <f>IF(ISNA(MATCH(816,Engine!$C$2:$C$1960,0)),"",INDEX('Compliance Database'!$G$2:$G$1960,MATCH(816,Engine!$C$2:$C$1960,0)))</f>
        <v/>
      </c>
      <c r="H829" s="9">
        <f>IF(ISNA(MATCH(816,Engine!$C$2:$C$1960,0)),"",INDEX('Compliance Database'!$H$2:$H$1960,MATCH(816,Engine!$C$2:$C$1960,0)))</f>
        <v/>
      </c>
      <c r="I829" s="9">
        <f>IF(ISNA(MATCH(816,Engine!$C$2:$C$1960,0)),"",INDEX('Compliance Database'!$I$2:$I$1960,MATCH(816,Engine!$C$2:$C$1960,0)))</f>
        <v/>
      </c>
      <c r="J829" s="8">
        <f>IF(ISNA(MATCH(816,Engine!$C$2:$C$1960,0)),"",INDEX('Compliance Database'!$J$2:$J$1960,MATCH(816,Engine!$C$2:$C$1960,0)))</f>
        <v/>
      </c>
      <c r="K829" s="9">
        <f>IF(ISNA(MATCH(816,Engine!$C$2:$C$1960,0)),"",INDEX('Compliance Database'!$K$2:$K$1960,MATCH(816,Engine!$C$2:$C$1960,0)))</f>
        <v/>
      </c>
      <c r="L829" s="9">
        <f>IF(ISNA(MATCH(816,Engine!$C$2:$C$1960,0)),"",INDEX('Compliance Database'!$L$2:$L$1960,MATCH(816,Engine!$C$2:$C$1960,0)))</f>
        <v/>
      </c>
      <c r="M829" s="9">
        <f>IF(ISNA(MATCH(816,Engine!$C$2:$C$1960,0)),"",INDEX('Compliance Database'!$M$2:$M$1960,MATCH(816,Engine!$C$2:$C$1960,0)))</f>
        <v/>
      </c>
      <c r="N829" s="9">
        <f>IF(ISNA(MATCH(816,Engine!$C$2:$C$1960,0)),"",INDEX('Compliance Database'!$N$2:$N$1960,MATCH(816,Engine!$C$2:$C$1960,0)))</f>
        <v/>
      </c>
      <c r="O829" s="9">
        <f>IF(ISNA(MATCH(816,Engine!$C$2:$C$1960,0)),"",INDEX('Compliance Database'!$O$2:$O$1960,MATCH(816,Engine!$C$2:$C$1960,0)))</f>
        <v/>
      </c>
      <c r="P829" s="8">
        <f>IF(ISNA(MATCH(816,Engine!$C$2:$C$1960,0)),"",HYPERLINK("#Acts!A"&amp;INDEX('Compliance Database'!$P$2:$P$1960,MATCH(816,Engine!$C$2:$C$1960,0)),"Go to Act"))</f>
        <v/>
      </c>
    </row>
    <row r="830" ht="158" customHeight="1">
      <c r="A830" s="8">
        <f>IF(ISNA(MATCH(817,Engine!$C$2:$C$1960,0)),"",INDEX('Compliance Database'!$A$2:$A$1960,MATCH(817,Engine!$C$2:$C$1960,0)))</f>
        <v/>
      </c>
      <c r="B830" s="8">
        <f>IF(ISNA(MATCH(817,Engine!$C$2:$C$1960,0)),"",INDEX('Compliance Database'!$B$2:$B$1960,MATCH(817,Engine!$C$2:$C$1960,0)))</f>
        <v/>
      </c>
      <c r="C830" s="8">
        <f>IF(ISNA(MATCH(817,Engine!$C$2:$C$1960,0)),"",INDEX('Compliance Database'!$C$2:$C$1960,MATCH(817,Engine!$C$2:$C$1960,0)))</f>
        <v/>
      </c>
      <c r="D830" s="9">
        <f>IF(ISNA(MATCH(817,Engine!$C$2:$C$1960,0)),"",INDEX('Compliance Database'!$D$2:$D$1960,MATCH(817,Engine!$C$2:$C$1960,0)))</f>
        <v/>
      </c>
      <c r="E830" s="8">
        <f>IF(ISNA(MATCH(817,Engine!$C$2:$C$1960,0)),"",INDEX('Compliance Database'!$E$2:$E$1960,MATCH(817,Engine!$C$2:$C$1960,0)))</f>
        <v/>
      </c>
      <c r="F830" s="8">
        <f>IF(ISNA(MATCH(817,Engine!$C$2:$C$1960,0)),"",INDEX('Compliance Database'!$F$2:$F$1960,MATCH(817,Engine!$C$2:$C$1960,0)))</f>
        <v/>
      </c>
      <c r="G830" s="8">
        <f>IF(ISNA(MATCH(817,Engine!$C$2:$C$1960,0)),"",INDEX('Compliance Database'!$G$2:$G$1960,MATCH(817,Engine!$C$2:$C$1960,0)))</f>
        <v/>
      </c>
      <c r="H830" s="9">
        <f>IF(ISNA(MATCH(817,Engine!$C$2:$C$1960,0)),"",INDEX('Compliance Database'!$H$2:$H$1960,MATCH(817,Engine!$C$2:$C$1960,0)))</f>
        <v/>
      </c>
      <c r="I830" s="9">
        <f>IF(ISNA(MATCH(817,Engine!$C$2:$C$1960,0)),"",INDEX('Compliance Database'!$I$2:$I$1960,MATCH(817,Engine!$C$2:$C$1960,0)))</f>
        <v/>
      </c>
      <c r="J830" s="8">
        <f>IF(ISNA(MATCH(817,Engine!$C$2:$C$1960,0)),"",INDEX('Compliance Database'!$J$2:$J$1960,MATCH(817,Engine!$C$2:$C$1960,0)))</f>
        <v/>
      </c>
      <c r="K830" s="9">
        <f>IF(ISNA(MATCH(817,Engine!$C$2:$C$1960,0)),"",INDEX('Compliance Database'!$K$2:$K$1960,MATCH(817,Engine!$C$2:$C$1960,0)))</f>
        <v/>
      </c>
      <c r="L830" s="9">
        <f>IF(ISNA(MATCH(817,Engine!$C$2:$C$1960,0)),"",INDEX('Compliance Database'!$L$2:$L$1960,MATCH(817,Engine!$C$2:$C$1960,0)))</f>
        <v/>
      </c>
      <c r="M830" s="9">
        <f>IF(ISNA(MATCH(817,Engine!$C$2:$C$1960,0)),"",INDEX('Compliance Database'!$M$2:$M$1960,MATCH(817,Engine!$C$2:$C$1960,0)))</f>
        <v/>
      </c>
      <c r="N830" s="9">
        <f>IF(ISNA(MATCH(817,Engine!$C$2:$C$1960,0)),"",INDEX('Compliance Database'!$N$2:$N$1960,MATCH(817,Engine!$C$2:$C$1960,0)))</f>
        <v/>
      </c>
      <c r="O830" s="9">
        <f>IF(ISNA(MATCH(817,Engine!$C$2:$C$1960,0)),"",INDEX('Compliance Database'!$O$2:$O$1960,MATCH(817,Engine!$C$2:$C$1960,0)))</f>
        <v/>
      </c>
      <c r="P830" s="8">
        <f>IF(ISNA(MATCH(817,Engine!$C$2:$C$1960,0)),"",HYPERLINK("#Acts!A"&amp;INDEX('Compliance Database'!$P$2:$P$1960,MATCH(817,Engine!$C$2:$C$1960,0)),"Go to Act"))</f>
        <v/>
      </c>
    </row>
    <row r="831" ht="158" customHeight="1">
      <c r="A831" s="8">
        <f>IF(ISNA(MATCH(818,Engine!$C$2:$C$1960,0)),"",INDEX('Compliance Database'!$A$2:$A$1960,MATCH(818,Engine!$C$2:$C$1960,0)))</f>
        <v/>
      </c>
      <c r="B831" s="8">
        <f>IF(ISNA(MATCH(818,Engine!$C$2:$C$1960,0)),"",INDEX('Compliance Database'!$B$2:$B$1960,MATCH(818,Engine!$C$2:$C$1960,0)))</f>
        <v/>
      </c>
      <c r="C831" s="8">
        <f>IF(ISNA(MATCH(818,Engine!$C$2:$C$1960,0)),"",INDEX('Compliance Database'!$C$2:$C$1960,MATCH(818,Engine!$C$2:$C$1960,0)))</f>
        <v/>
      </c>
      <c r="D831" s="9">
        <f>IF(ISNA(MATCH(818,Engine!$C$2:$C$1960,0)),"",INDEX('Compliance Database'!$D$2:$D$1960,MATCH(818,Engine!$C$2:$C$1960,0)))</f>
        <v/>
      </c>
      <c r="E831" s="8">
        <f>IF(ISNA(MATCH(818,Engine!$C$2:$C$1960,0)),"",INDEX('Compliance Database'!$E$2:$E$1960,MATCH(818,Engine!$C$2:$C$1960,0)))</f>
        <v/>
      </c>
      <c r="F831" s="8">
        <f>IF(ISNA(MATCH(818,Engine!$C$2:$C$1960,0)),"",INDEX('Compliance Database'!$F$2:$F$1960,MATCH(818,Engine!$C$2:$C$1960,0)))</f>
        <v/>
      </c>
      <c r="G831" s="8">
        <f>IF(ISNA(MATCH(818,Engine!$C$2:$C$1960,0)),"",INDEX('Compliance Database'!$G$2:$G$1960,MATCH(818,Engine!$C$2:$C$1960,0)))</f>
        <v/>
      </c>
      <c r="H831" s="9">
        <f>IF(ISNA(MATCH(818,Engine!$C$2:$C$1960,0)),"",INDEX('Compliance Database'!$H$2:$H$1960,MATCH(818,Engine!$C$2:$C$1960,0)))</f>
        <v/>
      </c>
      <c r="I831" s="9">
        <f>IF(ISNA(MATCH(818,Engine!$C$2:$C$1960,0)),"",INDEX('Compliance Database'!$I$2:$I$1960,MATCH(818,Engine!$C$2:$C$1960,0)))</f>
        <v/>
      </c>
      <c r="J831" s="8">
        <f>IF(ISNA(MATCH(818,Engine!$C$2:$C$1960,0)),"",INDEX('Compliance Database'!$J$2:$J$1960,MATCH(818,Engine!$C$2:$C$1960,0)))</f>
        <v/>
      </c>
      <c r="K831" s="9">
        <f>IF(ISNA(MATCH(818,Engine!$C$2:$C$1960,0)),"",INDEX('Compliance Database'!$K$2:$K$1960,MATCH(818,Engine!$C$2:$C$1960,0)))</f>
        <v/>
      </c>
      <c r="L831" s="9">
        <f>IF(ISNA(MATCH(818,Engine!$C$2:$C$1960,0)),"",INDEX('Compliance Database'!$L$2:$L$1960,MATCH(818,Engine!$C$2:$C$1960,0)))</f>
        <v/>
      </c>
      <c r="M831" s="9">
        <f>IF(ISNA(MATCH(818,Engine!$C$2:$C$1960,0)),"",INDEX('Compliance Database'!$M$2:$M$1960,MATCH(818,Engine!$C$2:$C$1960,0)))</f>
        <v/>
      </c>
      <c r="N831" s="9">
        <f>IF(ISNA(MATCH(818,Engine!$C$2:$C$1960,0)),"",INDEX('Compliance Database'!$N$2:$N$1960,MATCH(818,Engine!$C$2:$C$1960,0)))</f>
        <v/>
      </c>
      <c r="O831" s="9">
        <f>IF(ISNA(MATCH(818,Engine!$C$2:$C$1960,0)),"",INDEX('Compliance Database'!$O$2:$O$1960,MATCH(818,Engine!$C$2:$C$1960,0)))</f>
        <v/>
      </c>
      <c r="P831" s="8">
        <f>IF(ISNA(MATCH(818,Engine!$C$2:$C$1960,0)),"",HYPERLINK("#Acts!A"&amp;INDEX('Compliance Database'!$P$2:$P$1960,MATCH(818,Engine!$C$2:$C$1960,0)),"Go to Act"))</f>
        <v/>
      </c>
    </row>
    <row r="832" ht="158" customHeight="1">
      <c r="A832" s="8">
        <f>IF(ISNA(MATCH(819,Engine!$C$2:$C$1960,0)),"",INDEX('Compliance Database'!$A$2:$A$1960,MATCH(819,Engine!$C$2:$C$1960,0)))</f>
        <v/>
      </c>
      <c r="B832" s="8">
        <f>IF(ISNA(MATCH(819,Engine!$C$2:$C$1960,0)),"",INDEX('Compliance Database'!$B$2:$B$1960,MATCH(819,Engine!$C$2:$C$1960,0)))</f>
        <v/>
      </c>
      <c r="C832" s="8">
        <f>IF(ISNA(MATCH(819,Engine!$C$2:$C$1960,0)),"",INDEX('Compliance Database'!$C$2:$C$1960,MATCH(819,Engine!$C$2:$C$1960,0)))</f>
        <v/>
      </c>
      <c r="D832" s="9">
        <f>IF(ISNA(MATCH(819,Engine!$C$2:$C$1960,0)),"",INDEX('Compliance Database'!$D$2:$D$1960,MATCH(819,Engine!$C$2:$C$1960,0)))</f>
        <v/>
      </c>
      <c r="E832" s="8">
        <f>IF(ISNA(MATCH(819,Engine!$C$2:$C$1960,0)),"",INDEX('Compliance Database'!$E$2:$E$1960,MATCH(819,Engine!$C$2:$C$1960,0)))</f>
        <v/>
      </c>
      <c r="F832" s="8">
        <f>IF(ISNA(MATCH(819,Engine!$C$2:$C$1960,0)),"",INDEX('Compliance Database'!$F$2:$F$1960,MATCH(819,Engine!$C$2:$C$1960,0)))</f>
        <v/>
      </c>
      <c r="G832" s="8">
        <f>IF(ISNA(MATCH(819,Engine!$C$2:$C$1960,0)),"",INDEX('Compliance Database'!$G$2:$G$1960,MATCH(819,Engine!$C$2:$C$1960,0)))</f>
        <v/>
      </c>
      <c r="H832" s="9">
        <f>IF(ISNA(MATCH(819,Engine!$C$2:$C$1960,0)),"",INDEX('Compliance Database'!$H$2:$H$1960,MATCH(819,Engine!$C$2:$C$1960,0)))</f>
        <v/>
      </c>
      <c r="I832" s="9">
        <f>IF(ISNA(MATCH(819,Engine!$C$2:$C$1960,0)),"",INDEX('Compliance Database'!$I$2:$I$1960,MATCH(819,Engine!$C$2:$C$1960,0)))</f>
        <v/>
      </c>
      <c r="J832" s="8">
        <f>IF(ISNA(MATCH(819,Engine!$C$2:$C$1960,0)),"",INDEX('Compliance Database'!$J$2:$J$1960,MATCH(819,Engine!$C$2:$C$1960,0)))</f>
        <v/>
      </c>
      <c r="K832" s="9">
        <f>IF(ISNA(MATCH(819,Engine!$C$2:$C$1960,0)),"",INDEX('Compliance Database'!$K$2:$K$1960,MATCH(819,Engine!$C$2:$C$1960,0)))</f>
        <v/>
      </c>
      <c r="L832" s="9">
        <f>IF(ISNA(MATCH(819,Engine!$C$2:$C$1960,0)),"",INDEX('Compliance Database'!$L$2:$L$1960,MATCH(819,Engine!$C$2:$C$1960,0)))</f>
        <v/>
      </c>
      <c r="M832" s="9">
        <f>IF(ISNA(MATCH(819,Engine!$C$2:$C$1960,0)),"",INDEX('Compliance Database'!$M$2:$M$1960,MATCH(819,Engine!$C$2:$C$1960,0)))</f>
        <v/>
      </c>
      <c r="N832" s="9">
        <f>IF(ISNA(MATCH(819,Engine!$C$2:$C$1960,0)),"",INDEX('Compliance Database'!$N$2:$N$1960,MATCH(819,Engine!$C$2:$C$1960,0)))</f>
        <v/>
      </c>
      <c r="O832" s="9">
        <f>IF(ISNA(MATCH(819,Engine!$C$2:$C$1960,0)),"",INDEX('Compliance Database'!$O$2:$O$1960,MATCH(819,Engine!$C$2:$C$1960,0)))</f>
        <v/>
      </c>
      <c r="P832" s="8">
        <f>IF(ISNA(MATCH(819,Engine!$C$2:$C$1960,0)),"",HYPERLINK("#Acts!A"&amp;INDEX('Compliance Database'!$P$2:$P$1960,MATCH(819,Engine!$C$2:$C$1960,0)),"Go to Act"))</f>
        <v/>
      </c>
    </row>
    <row r="833" ht="158" customHeight="1">
      <c r="A833" s="8">
        <f>IF(ISNA(MATCH(820,Engine!$C$2:$C$1960,0)),"",INDEX('Compliance Database'!$A$2:$A$1960,MATCH(820,Engine!$C$2:$C$1960,0)))</f>
        <v/>
      </c>
      <c r="B833" s="8">
        <f>IF(ISNA(MATCH(820,Engine!$C$2:$C$1960,0)),"",INDEX('Compliance Database'!$B$2:$B$1960,MATCH(820,Engine!$C$2:$C$1960,0)))</f>
        <v/>
      </c>
      <c r="C833" s="8">
        <f>IF(ISNA(MATCH(820,Engine!$C$2:$C$1960,0)),"",INDEX('Compliance Database'!$C$2:$C$1960,MATCH(820,Engine!$C$2:$C$1960,0)))</f>
        <v/>
      </c>
      <c r="D833" s="9">
        <f>IF(ISNA(MATCH(820,Engine!$C$2:$C$1960,0)),"",INDEX('Compliance Database'!$D$2:$D$1960,MATCH(820,Engine!$C$2:$C$1960,0)))</f>
        <v/>
      </c>
      <c r="E833" s="8">
        <f>IF(ISNA(MATCH(820,Engine!$C$2:$C$1960,0)),"",INDEX('Compliance Database'!$E$2:$E$1960,MATCH(820,Engine!$C$2:$C$1960,0)))</f>
        <v/>
      </c>
      <c r="F833" s="8">
        <f>IF(ISNA(MATCH(820,Engine!$C$2:$C$1960,0)),"",INDEX('Compliance Database'!$F$2:$F$1960,MATCH(820,Engine!$C$2:$C$1960,0)))</f>
        <v/>
      </c>
      <c r="G833" s="8">
        <f>IF(ISNA(MATCH(820,Engine!$C$2:$C$1960,0)),"",INDEX('Compliance Database'!$G$2:$G$1960,MATCH(820,Engine!$C$2:$C$1960,0)))</f>
        <v/>
      </c>
      <c r="H833" s="9">
        <f>IF(ISNA(MATCH(820,Engine!$C$2:$C$1960,0)),"",INDEX('Compliance Database'!$H$2:$H$1960,MATCH(820,Engine!$C$2:$C$1960,0)))</f>
        <v/>
      </c>
      <c r="I833" s="9">
        <f>IF(ISNA(MATCH(820,Engine!$C$2:$C$1960,0)),"",INDEX('Compliance Database'!$I$2:$I$1960,MATCH(820,Engine!$C$2:$C$1960,0)))</f>
        <v/>
      </c>
      <c r="J833" s="8">
        <f>IF(ISNA(MATCH(820,Engine!$C$2:$C$1960,0)),"",INDEX('Compliance Database'!$J$2:$J$1960,MATCH(820,Engine!$C$2:$C$1960,0)))</f>
        <v/>
      </c>
      <c r="K833" s="9">
        <f>IF(ISNA(MATCH(820,Engine!$C$2:$C$1960,0)),"",INDEX('Compliance Database'!$K$2:$K$1960,MATCH(820,Engine!$C$2:$C$1960,0)))</f>
        <v/>
      </c>
      <c r="L833" s="9">
        <f>IF(ISNA(MATCH(820,Engine!$C$2:$C$1960,0)),"",INDEX('Compliance Database'!$L$2:$L$1960,MATCH(820,Engine!$C$2:$C$1960,0)))</f>
        <v/>
      </c>
      <c r="M833" s="9">
        <f>IF(ISNA(MATCH(820,Engine!$C$2:$C$1960,0)),"",INDEX('Compliance Database'!$M$2:$M$1960,MATCH(820,Engine!$C$2:$C$1960,0)))</f>
        <v/>
      </c>
      <c r="N833" s="9">
        <f>IF(ISNA(MATCH(820,Engine!$C$2:$C$1960,0)),"",INDEX('Compliance Database'!$N$2:$N$1960,MATCH(820,Engine!$C$2:$C$1960,0)))</f>
        <v/>
      </c>
      <c r="O833" s="9">
        <f>IF(ISNA(MATCH(820,Engine!$C$2:$C$1960,0)),"",INDEX('Compliance Database'!$O$2:$O$1960,MATCH(820,Engine!$C$2:$C$1960,0)))</f>
        <v/>
      </c>
      <c r="P833" s="8">
        <f>IF(ISNA(MATCH(820,Engine!$C$2:$C$1960,0)),"",HYPERLINK("#Acts!A"&amp;INDEX('Compliance Database'!$P$2:$P$1960,MATCH(820,Engine!$C$2:$C$1960,0)),"Go to Act"))</f>
        <v/>
      </c>
    </row>
    <row r="834" ht="158" customHeight="1">
      <c r="A834" s="8">
        <f>IF(ISNA(MATCH(821,Engine!$C$2:$C$1960,0)),"",INDEX('Compliance Database'!$A$2:$A$1960,MATCH(821,Engine!$C$2:$C$1960,0)))</f>
        <v/>
      </c>
      <c r="B834" s="8">
        <f>IF(ISNA(MATCH(821,Engine!$C$2:$C$1960,0)),"",INDEX('Compliance Database'!$B$2:$B$1960,MATCH(821,Engine!$C$2:$C$1960,0)))</f>
        <v/>
      </c>
      <c r="C834" s="8">
        <f>IF(ISNA(MATCH(821,Engine!$C$2:$C$1960,0)),"",INDEX('Compliance Database'!$C$2:$C$1960,MATCH(821,Engine!$C$2:$C$1960,0)))</f>
        <v/>
      </c>
      <c r="D834" s="9">
        <f>IF(ISNA(MATCH(821,Engine!$C$2:$C$1960,0)),"",INDEX('Compliance Database'!$D$2:$D$1960,MATCH(821,Engine!$C$2:$C$1960,0)))</f>
        <v/>
      </c>
      <c r="E834" s="8">
        <f>IF(ISNA(MATCH(821,Engine!$C$2:$C$1960,0)),"",INDEX('Compliance Database'!$E$2:$E$1960,MATCH(821,Engine!$C$2:$C$1960,0)))</f>
        <v/>
      </c>
      <c r="F834" s="8">
        <f>IF(ISNA(MATCH(821,Engine!$C$2:$C$1960,0)),"",INDEX('Compliance Database'!$F$2:$F$1960,MATCH(821,Engine!$C$2:$C$1960,0)))</f>
        <v/>
      </c>
      <c r="G834" s="8">
        <f>IF(ISNA(MATCH(821,Engine!$C$2:$C$1960,0)),"",INDEX('Compliance Database'!$G$2:$G$1960,MATCH(821,Engine!$C$2:$C$1960,0)))</f>
        <v/>
      </c>
      <c r="H834" s="9">
        <f>IF(ISNA(MATCH(821,Engine!$C$2:$C$1960,0)),"",INDEX('Compliance Database'!$H$2:$H$1960,MATCH(821,Engine!$C$2:$C$1960,0)))</f>
        <v/>
      </c>
      <c r="I834" s="9">
        <f>IF(ISNA(MATCH(821,Engine!$C$2:$C$1960,0)),"",INDEX('Compliance Database'!$I$2:$I$1960,MATCH(821,Engine!$C$2:$C$1960,0)))</f>
        <v/>
      </c>
      <c r="J834" s="8">
        <f>IF(ISNA(MATCH(821,Engine!$C$2:$C$1960,0)),"",INDEX('Compliance Database'!$J$2:$J$1960,MATCH(821,Engine!$C$2:$C$1960,0)))</f>
        <v/>
      </c>
      <c r="K834" s="9">
        <f>IF(ISNA(MATCH(821,Engine!$C$2:$C$1960,0)),"",INDEX('Compliance Database'!$K$2:$K$1960,MATCH(821,Engine!$C$2:$C$1960,0)))</f>
        <v/>
      </c>
      <c r="L834" s="9">
        <f>IF(ISNA(MATCH(821,Engine!$C$2:$C$1960,0)),"",INDEX('Compliance Database'!$L$2:$L$1960,MATCH(821,Engine!$C$2:$C$1960,0)))</f>
        <v/>
      </c>
      <c r="M834" s="9">
        <f>IF(ISNA(MATCH(821,Engine!$C$2:$C$1960,0)),"",INDEX('Compliance Database'!$M$2:$M$1960,MATCH(821,Engine!$C$2:$C$1960,0)))</f>
        <v/>
      </c>
      <c r="N834" s="9">
        <f>IF(ISNA(MATCH(821,Engine!$C$2:$C$1960,0)),"",INDEX('Compliance Database'!$N$2:$N$1960,MATCH(821,Engine!$C$2:$C$1960,0)))</f>
        <v/>
      </c>
      <c r="O834" s="9">
        <f>IF(ISNA(MATCH(821,Engine!$C$2:$C$1960,0)),"",INDEX('Compliance Database'!$O$2:$O$1960,MATCH(821,Engine!$C$2:$C$1960,0)))</f>
        <v/>
      </c>
      <c r="P834" s="8">
        <f>IF(ISNA(MATCH(821,Engine!$C$2:$C$1960,0)),"",HYPERLINK("#Acts!A"&amp;INDEX('Compliance Database'!$P$2:$P$1960,MATCH(821,Engine!$C$2:$C$1960,0)),"Go to Act"))</f>
        <v/>
      </c>
    </row>
    <row r="835" ht="158" customHeight="1">
      <c r="A835" s="8">
        <f>IF(ISNA(MATCH(822,Engine!$C$2:$C$1960,0)),"",INDEX('Compliance Database'!$A$2:$A$1960,MATCH(822,Engine!$C$2:$C$1960,0)))</f>
        <v/>
      </c>
      <c r="B835" s="8">
        <f>IF(ISNA(MATCH(822,Engine!$C$2:$C$1960,0)),"",INDEX('Compliance Database'!$B$2:$B$1960,MATCH(822,Engine!$C$2:$C$1960,0)))</f>
        <v/>
      </c>
      <c r="C835" s="8">
        <f>IF(ISNA(MATCH(822,Engine!$C$2:$C$1960,0)),"",INDEX('Compliance Database'!$C$2:$C$1960,MATCH(822,Engine!$C$2:$C$1960,0)))</f>
        <v/>
      </c>
      <c r="D835" s="9">
        <f>IF(ISNA(MATCH(822,Engine!$C$2:$C$1960,0)),"",INDEX('Compliance Database'!$D$2:$D$1960,MATCH(822,Engine!$C$2:$C$1960,0)))</f>
        <v/>
      </c>
      <c r="E835" s="8">
        <f>IF(ISNA(MATCH(822,Engine!$C$2:$C$1960,0)),"",INDEX('Compliance Database'!$E$2:$E$1960,MATCH(822,Engine!$C$2:$C$1960,0)))</f>
        <v/>
      </c>
      <c r="F835" s="8">
        <f>IF(ISNA(MATCH(822,Engine!$C$2:$C$1960,0)),"",INDEX('Compliance Database'!$F$2:$F$1960,MATCH(822,Engine!$C$2:$C$1960,0)))</f>
        <v/>
      </c>
      <c r="G835" s="8">
        <f>IF(ISNA(MATCH(822,Engine!$C$2:$C$1960,0)),"",INDEX('Compliance Database'!$G$2:$G$1960,MATCH(822,Engine!$C$2:$C$1960,0)))</f>
        <v/>
      </c>
      <c r="H835" s="9">
        <f>IF(ISNA(MATCH(822,Engine!$C$2:$C$1960,0)),"",INDEX('Compliance Database'!$H$2:$H$1960,MATCH(822,Engine!$C$2:$C$1960,0)))</f>
        <v/>
      </c>
      <c r="I835" s="9">
        <f>IF(ISNA(MATCH(822,Engine!$C$2:$C$1960,0)),"",INDEX('Compliance Database'!$I$2:$I$1960,MATCH(822,Engine!$C$2:$C$1960,0)))</f>
        <v/>
      </c>
      <c r="J835" s="8">
        <f>IF(ISNA(MATCH(822,Engine!$C$2:$C$1960,0)),"",INDEX('Compliance Database'!$J$2:$J$1960,MATCH(822,Engine!$C$2:$C$1960,0)))</f>
        <v/>
      </c>
      <c r="K835" s="9">
        <f>IF(ISNA(MATCH(822,Engine!$C$2:$C$1960,0)),"",INDEX('Compliance Database'!$K$2:$K$1960,MATCH(822,Engine!$C$2:$C$1960,0)))</f>
        <v/>
      </c>
      <c r="L835" s="9">
        <f>IF(ISNA(MATCH(822,Engine!$C$2:$C$1960,0)),"",INDEX('Compliance Database'!$L$2:$L$1960,MATCH(822,Engine!$C$2:$C$1960,0)))</f>
        <v/>
      </c>
      <c r="M835" s="9">
        <f>IF(ISNA(MATCH(822,Engine!$C$2:$C$1960,0)),"",INDEX('Compliance Database'!$M$2:$M$1960,MATCH(822,Engine!$C$2:$C$1960,0)))</f>
        <v/>
      </c>
      <c r="N835" s="9">
        <f>IF(ISNA(MATCH(822,Engine!$C$2:$C$1960,0)),"",INDEX('Compliance Database'!$N$2:$N$1960,MATCH(822,Engine!$C$2:$C$1960,0)))</f>
        <v/>
      </c>
      <c r="O835" s="9">
        <f>IF(ISNA(MATCH(822,Engine!$C$2:$C$1960,0)),"",INDEX('Compliance Database'!$O$2:$O$1960,MATCH(822,Engine!$C$2:$C$1960,0)))</f>
        <v/>
      </c>
      <c r="P835" s="8">
        <f>IF(ISNA(MATCH(822,Engine!$C$2:$C$1960,0)),"",HYPERLINK("#Acts!A"&amp;INDEX('Compliance Database'!$P$2:$P$1960,MATCH(822,Engine!$C$2:$C$1960,0)),"Go to Act"))</f>
        <v/>
      </c>
    </row>
    <row r="836" ht="158" customHeight="1">
      <c r="A836" s="8">
        <f>IF(ISNA(MATCH(823,Engine!$C$2:$C$1960,0)),"",INDEX('Compliance Database'!$A$2:$A$1960,MATCH(823,Engine!$C$2:$C$1960,0)))</f>
        <v/>
      </c>
      <c r="B836" s="8">
        <f>IF(ISNA(MATCH(823,Engine!$C$2:$C$1960,0)),"",INDEX('Compliance Database'!$B$2:$B$1960,MATCH(823,Engine!$C$2:$C$1960,0)))</f>
        <v/>
      </c>
      <c r="C836" s="8">
        <f>IF(ISNA(MATCH(823,Engine!$C$2:$C$1960,0)),"",INDEX('Compliance Database'!$C$2:$C$1960,MATCH(823,Engine!$C$2:$C$1960,0)))</f>
        <v/>
      </c>
      <c r="D836" s="9">
        <f>IF(ISNA(MATCH(823,Engine!$C$2:$C$1960,0)),"",INDEX('Compliance Database'!$D$2:$D$1960,MATCH(823,Engine!$C$2:$C$1960,0)))</f>
        <v/>
      </c>
      <c r="E836" s="8">
        <f>IF(ISNA(MATCH(823,Engine!$C$2:$C$1960,0)),"",INDEX('Compliance Database'!$E$2:$E$1960,MATCH(823,Engine!$C$2:$C$1960,0)))</f>
        <v/>
      </c>
      <c r="F836" s="8">
        <f>IF(ISNA(MATCH(823,Engine!$C$2:$C$1960,0)),"",INDEX('Compliance Database'!$F$2:$F$1960,MATCH(823,Engine!$C$2:$C$1960,0)))</f>
        <v/>
      </c>
      <c r="G836" s="8">
        <f>IF(ISNA(MATCH(823,Engine!$C$2:$C$1960,0)),"",INDEX('Compliance Database'!$G$2:$G$1960,MATCH(823,Engine!$C$2:$C$1960,0)))</f>
        <v/>
      </c>
      <c r="H836" s="9">
        <f>IF(ISNA(MATCH(823,Engine!$C$2:$C$1960,0)),"",INDEX('Compliance Database'!$H$2:$H$1960,MATCH(823,Engine!$C$2:$C$1960,0)))</f>
        <v/>
      </c>
      <c r="I836" s="9">
        <f>IF(ISNA(MATCH(823,Engine!$C$2:$C$1960,0)),"",INDEX('Compliance Database'!$I$2:$I$1960,MATCH(823,Engine!$C$2:$C$1960,0)))</f>
        <v/>
      </c>
      <c r="J836" s="8">
        <f>IF(ISNA(MATCH(823,Engine!$C$2:$C$1960,0)),"",INDEX('Compliance Database'!$J$2:$J$1960,MATCH(823,Engine!$C$2:$C$1960,0)))</f>
        <v/>
      </c>
      <c r="K836" s="9">
        <f>IF(ISNA(MATCH(823,Engine!$C$2:$C$1960,0)),"",INDEX('Compliance Database'!$K$2:$K$1960,MATCH(823,Engine!$C$2:$C$1960,0)))</f>
        <v/>
      </c>
      <c r="L836" s="9">
        <f>IF(ISNA(MATCH(823,Engine!$C$2:$C$1960,0)),"",INDEX('Compliance Database'!$L$2:$L$1960,MATCH(823,Engine!$C$2:$C$1960,0)))</f>
        <v/>
      </c>
      <c r="M836" s="9">
        <f>IF(ISNA(MATCH(823,Engine!$C$2:$C$1960,0)),"",INDEX('Compliance Database'!$M$2:$M$1960,MATCH(823,Engine!$C$2:$C$1960,0)))</f>
        <v/>
      </c>
      <c r="N836" s="9">
        <f>IF(ISNA(MATCH(823,Engine!$C$2:$C$1960,0)),"",INDEX('Compliance Database'!$N$2:$N$1960,MATCH(823,Engine!$C$2:$C$1960,0)))</f>
        <v/>
      </c>
      <c r="O836" s="9">
        <f>IF(ISNA(MATCH(823,Engine!$C$2:$C$1960,0)),"",INDEX('Compliance Database'!$O$2:$O$1960,MATCH(823,Engine!$C$2:$C$1960,0)))</f>
        <v/>
      </c>
      <c r="P836" s="8">
        <f>IF(ISNA(MATCH(823,Engine!$C$2:$C$1960,0)),"",HYPERLINK("#Acts!A"&amp;INDEX('Compliance Database'!$P$2:$P$1960,MATCH(823,Engine!$C$2:$C$1960,0)),"Go to Act"))</f>
        <v/>
      </c>
    </row>
    <row r="837" ht="158" customHeight="1">
      <c r="A837" s="8">
        <f>IF(ISNA(MATCH(824,Engine!$C$2:$C$1960,0)),"",INDEX('Compliance Database'!$A$2:$A$1960,MATCH(824,Engine!$C$2:$C$1960,0)))</f>
        <v/>
      </c>
      <c r="B837" s="8">
        <f>IF(ISNA(MATCH(824,Engine!$C$2:$C$1960,0)),"",INDEX('Compliance Database'!$B$2:$B$1960,MATCH(824,Engine!$C$2:$C$1960,0)))</f>
        <v/>
      </c>
      <c r="C837" s="8">
        <f>IF(ISNA(MATCH(824,Engine!$C$2:$C$1960,0)),"",INDEX('Compliance Database'!$C$2:$C$1960,MATCH(824,Engine!$C$2:$C$1960,0)))</f>
        <v/>
      </c>
      <c r="D837" s="9">
        <f>IF(ISNA(MATCH(824,Engine!$C$2:$C$1960,0)),"",INDEX('Compliance Database'!$D$2:$D$1960,MATCH(824,Engine!$C$2:$C$1960,0)))</f>
        <v/>
      </c>
      <c r="E837" s="8">
        <f>IF(ISNA(MATCH(824,Engine!$C$2:$C$1960,0)),"",INDEX('Compliance Database'!$E$2:$E$1960,MATCH(824,Engine!$C$2:$C$1960,0)))</f>
        <v/>
      </c>
      <c r="F837" s="8">
        <f>IF(ISNA(MATCH(824,Engine!$C$2:$C$1960,0)),"",INDEX('Compliance Database'!$F$2:$F$1960,MATCH(824,Engine!$C$2:$C$1960,0)))</f>
        <v/>
      </c>
      <c r="G837" s="8">
        <f>IF(ISNA(MATCH(824,Engine!$C$2:$C$1960,0)),"",INDEX('Compliance Database'!$G$2:$G$1960,MATCH(824,Engine!$C$2:$C$1960,0)))</f>
        <v/>
      </c>
      <c r="H837" s="9">
        <f>IF(ISNA(MATCH(824,Engine!$C$2:$C$1960,0)),"",INDEX('Compliance Database'!$H$2:$H$1960,MATCH(824,Engine!$C$2:$C$1960,0)))</f>
        <v/>
      </c>
      <c r="I837" s="9">
        <f>IF(ISNA(MATCH(824,Engine!$C$2:$C$1960,0)),"",INDEX('Compliance Database'!$I$2:$I$1960,MATCH(824,Engine!$C$2:$C$1960,0)))</f>
        <v/>
      </c>
      <c r="J837" s="8">
        <f>IF(ISNA(MATCH(824,Engine!$C$2:$C$1960,0)),"",INDEX('Compliance Database'!$J$2:$J$1960,MATCH(824,Engine!$C$2:$C$1960,0)))</f>
        <v/>
      </c>
      <c r="K837" s="9">
        <f>IF(ISNA(MATCH(824,Engine!$C$2:$C$1960,0)),"",INDEX('Compliance Database'!$K$2:$K$1960,MATCH(824,Engine!$C$2:$C$1960,0)))</f>
        <v/>
      </c>
      <c r="L837" s="9">
        <f>IF(ISNA(MATCH(824,Engine!$C$2:$C$1960,0)),"",INDEX('Compliance Database'!$L$2:$L$1960,MATCH(824,Engine!$C$2:$C$1960,0)))</f>
        <v/>
      </c>
      <c r="M837" s="9">
        <f>IF(ISNA(MATCH(824,Engine!$C$2:$C$1960,0)),"",INDEX('Compliance Database'!$M$2:$M$1960,MATCH(824,Engine!$C$2:$C$1960,0)))</f>
        <v/>
      </c>
      <c r="N837" s="9">
        <f>IF(ISNA(MATCH(824,Engine!$C$2:$C$1960,0)),"",INDEX('Compliance Database'!$N$2:$N$1960,MATCH(824,Engine!$C$2:$C$1960,0)))</f>
        <v/>
      </c>
      <c r="O837" s="9">
        <f>IF(ISNA(MATCH(824,Engine!$C$2:$C$1960,0)),"",INDEX('Compliance Database'!$O$2:$O$1960,MATCH(824,Engine!$C$2:$C$1960,0)))</f>
        <v/>
      </c>
      <c r="P837" s="8">
        <f>IF(ISNA(MATCH(824,Engine!$C$2:$C$1960,0)),"",HYPERLINK("#Acts!A"&amp;INDEX('Compliance Database'!$P$2:$P$1960,MATCH(824,Engine!$C$2:$C$1960,0)),"Go to Act"))</f>
        <v/>
      </c>
    </row>
    <row r="838" ht="158" customHeight="1">
      <c r="A838" s="8">
        <f>IF(ISNA(MATCH(825,Engine!$C$2:$C$1960,0)),"",INDEX('Compliance Database'!$A$2:$A$1960,MATCH(825,Engine!$C$2:$C$1960,0)))</f>
        <v/>
      </c>
      <c r="B838" s="8">
        <f>IF(ISNA(MATCH(825,Engine!$C$2:$C$1960,0)),"",INDEX('Compliance Database'!$B$2:$B$1960,MATCH(825,Engine!$C$2:$C$1960,0)))</f>
        <v/>
      </c>
      <c r="C838" s="8">
        <f>IF(ISNA(MATCH(825,Engine!$C$2:$C$1960,0)),"",INDEX('Compliance Database'!$C$2:$C$1960,MATCH(825,Engine!$C$2:$C$1960,0)))</f>
        <v/>
      </c>
      <c r="D838" s="9">
        <f>IF(ISNA(MATCH(825,Engine!$C$2:$C$1960,0)),"",INDEX('Compliance Database'!$D$2:$D$1960,MATCH(825,Engine!$C$2:$C$1960,0)))</f>
        <v/>
      </c>
      <c r="E838" s="8">
        <f>IF(ISNA(MATCH(825,Engine!$C$2:$C$1960,0)),"",INDEX('Compliance Database'!$E$2:$E$1960,MATCH(825,Engine!$C$2:$C$1960,0)))</f>
        <v/>
      </c>
      <c r="F838" s="8">
        <f>IF(ISNA(MATCH(825,Engine!$C$2:$C$1960,0)),"",INDEX('Compliance Database'!$F$2:$F$1960,MATCH(825,Engine!$C$2:$C$1960,0)))</f>
        <v/>
      </c>
      <c r="G838" s="8">
        <f>IF(ISNA(MATCH(825,Engine!$C$2:$C$1960,0)),"",INDEX('Compliance Database'!$G$2:$G$1960,MATCH(825,Engine!$C$2:$C$1960,0)))</f>
        <v/>
      </c>
      <c r="H838" s="9">
        <f>IF(ISNA(MATCH(825,Engine!$C$2:$C$1960,0)),"",INDEX('Compliance Database'!$H$2:$H$1960,MATCH(825,Engine!$C$2:$C$1960,0)))</f>
        <v/>
      </c>
      <c r="I838" s="9">
        <f>IF(ISNA(MATCH(825,Engine!$C$2:$C$1960,0)),"",INDEX('Compliance Database'!$I$2:$I$1960,MATCH(825,Engine!$C$2:$C$1960,0)))</f>
        <v/>
      </c>
      <c r="J838" s="8">
        <f>IF(ISNA(MATCH(825,Engine!$C$2:$C$1960,0)),"",INDEX('Compliance Database'!$J$2:$J$1960,MATCH(825,Engine!$C$2:$C$1960,0)))</f>
        <v/>
      </c>
      <c r="K838" s="9">
        <f>IF(ISNA(MATCH(825,Engine!$C$2:$C$1960,0)),"",INDEX('Compliance Database'!$K$2:$K$1960,MATCH(825,Engine!$C$2:$C$1960,0)))</f>
        <v/>
      </c>
      <c r="L838" s="9">
        <f>IF(ISNA(MATCH(825,Engine!$C$2:$C$1960,0)),"",INDEX('Compliance Database'!$L$2:$L$1960,MATCH(825,Engine!$C$2:$C$1960,0)))</f>
        <v/>
      </c>
      <c r="M838" s="9">
        <f>IF(ISNA(MATCH(825,Engine!$C$2:$C$1960,0)),"",INDEX('Compliance Database'!$M$2:$M$1960,MATCH(825,Engine!$C$2:$C$1960,0)))</f>
        <v/>
      </c>
      <c r="N838" s="9">
        <f>IF(ISNA(MATCH(825,Engine!$C$2:$C$1960,0)),"",INDEX('Compliance Database'!$N$2:$N$1960,MATCH(825,Engine!$C$2:$C$1960,0)))</f>
        <v/>
      </c>
      <c r="O838" s="9">
        <f>IF(ISNA(MATCH(825,Engine!$C$2:$C$1960,0)),"",INDEX('Compliance Database'!$O$2:$O$1960,MATCH(825,Engine!$C$2:$C$1960,0)))</f>
        <v/>
      </c>
      <c r="P838" s="8">
        <f>IF(ISNA(MATCH(825,Engine!$C$2:$C$1960,0)),"",HYPERLINK("#Acts!A"&amp;INDEX('Compliance Database'!$P$2:$P$1960,MATCH(825,Engine!$C$2:$C$1960,0)),"Go to Act"))</f>
        <v/>
      </c>
    </row>
    <row r="839" ht="158" customHeight="1">
      <c r="A839" s="8">
        <f>IF(ISNA(MATCH(826,Engine!$C$2:$C$1960,0)),"",INDEX('Compliance Database'!$A$2:$A$1960,MATCH(826,Engine!$C$2:$C$1960,0)))</f>
        <v/>
      </c>
      <c r="B839" s="8">
        <f>IF(ISNA(MATCH(826,Engine!$C$2:$C$1960,0)),"",INDEX('Compliance Database'!$B$2:$B$1960,MATCH(826,Engine!$C$2:$C$1960,0)))</f>
        <v/>
      </c>
      <c r="C839" s="8">
        <f>IF(ISNA(MATCH(826,Engine!$C$2:$C$1960,0)),"",INDEX('Compliance Database'!$C$2:$C$1960,MATCH(826,Engine!$C$2:$C$1960,0)))</f>
        <v/>
      </c>
      <c r="D839" s="9">
        <f>IF(ISNA(MATCH(826,Engine!$C$2:$C$1960,0)),"",INDEX('Compliance Database'!$D$2:$D$1960,MATCH(826,Engine!$C$2:$C$1960,0)))</f>
        <v/>
      </c>
      <c r="E839" s="8">
        <f>IF(ISNA(MATCH(826,Engine!$C$2:$C$1960,0)),"",INDEX('Compliance Database'!$E$2:$E$1960,MATCH(826,Engine!$C$2:$C$1960,0)))</f>
        <v/>
      </c>
      <c r="F839" s="8">
        <f>IF(ISNA(MATCH(826,Engine!$C$2:$C$1960,0)),"",INDEX('Compliance Database'!$F$2:$F$1960,MATCH(826,Engine!$C$2:$C$1960,0)))</f>
        <v/>
      </c>
      <c r="G839" s="8">
        <f>IF(ISNA(MATCH(826,Engine!$C$2:$C$1960,0)),"",INDEX('Compliance Database'!$G$2:$G$1960,MATCH(826,Engine!$C$2:$C$1960,0)))</f>
        <v/>
      </c>
      <c r="H839" s="9">
        <f>IF(ISNA(MATCH(826,Engine!$C$2:$C$1960,0)),"",INDEX('Compliance Database'!$H$2:$H$1960,MATCH(826,Engine!$C$2:$C$1960,0)))</f>
        <v/>
      </c>
      <c r="I839" s="9">
        <f>IF(ISNA(MATCH(826,Engine!$C$2:$C$1960,0)),"",INDEX('Compliance Database'!$I$2:$I$1960,MATCH(826,Engine!$C$2:$C$1960,0)))</f>
        <v/>
      </c>
      <c r="J839" s="8">
        <f>IF(ISNA(MATCH(826,Engine!$C$2:$C$1960,0)),"",INDEX('Compliance Database'!$J$2:$J$1960,MATCH(826,Engine!$C$2:$C$1960,0)))</f>
        <v/>
      </c>
      <c r="K839" s="9">
        <f>IF(ISNA(MATCH(826,Engine!$C$2:$C$1960,0)),"",INDEX('Compliance Database'!$K$2:$K$1960,MATCH(826,Engine!$C$2:$C$1960,0)))</f>
        <v/>
      </c>
      <c r="L839" s="9">
        <f>IF(ISNA(MATCH(826,Engine!$C$2:$C$1960,0)),"",INDEX('Compliance Database'!$L$2:$L$1960,MATCH(826,Engine!$C$2:$C$1960,0)))</f>
        <v/>
      </c>
      <c r="M839" s="9">
        <f>IF(ISNA(MATCH(826,Engine!$C$2:$C$1960,0)),"",INDEX('Compliance Database'!$M$2:$M$1960,MATCH(826,Engine!$C$2:$C$1960,0)))</f>
        <v/>
      </c>
      <c r="N839" s="9">
        <f>IF(ISNA(MATCH(826,Engine!$C$2:$C$1960,0)),"",INDEX('Compliance Database'!$N$2:$N$1960,MATCH(826,Engine!$C$2:$C$1960,0)))</f>
        <v/>
      </c>
      <c r="O839" s="9">
        <f>IF(ISNA(MATCH(826,Engine!$C$2:$C$1960,0)),"",INDEX('Compliance Database'!$O$2:$O$1960,MATCH(826,Engine!$C$2:$C$1960,0)))</f>
        <v/>
      </c>
      <c r="P839" s="8">
        <f>IF(ISNA(MATCH(826,Engine!$C$2:$C$1960,0)),"",HYPERLINK("#Acts!A"&amp;INDEX('Compliance Database'!$P$2:$P$1960,MATCH(826,Engine!$C$2:$C$1960,0)),"Go to Act"))</f>
        <v/>
      </c>
    </row>
    <row r="840" ht="158" customHeight="1">
      <c r="A840" s="8">
        <f>IF(ISNA(MATCH(827,Engine!$C$2:$C$1960,0)),"",INDEX('Compliance Database'!$A$2:$A$1960,MATCH(827,Engine!$C$2:$C$1960,0)))</f>
        <v/>
      </c>
      <c r="B840" s="8">
        <f>IF(ISNA(MATCH(827,Engine!$C$2:$C$1960,0)),"",INDEX('Compliance Database'!$B$2:$B$1960,MATCH(827,Engine!$C$2:$C$1960,0)))</f>
        <v/>
      </c>
      <c r="C840" s="8">
        <f>IF(ISNA(MATCH(827,Engine!$C$2:$C$1960,0)),"",INDEX('Compliance Database'!$C$2:$C$1960,MATCH(827,Engine!$C$2:$C$1960,0)))</f>
        <v/>
      </c>
      <c r="D840" s="9">
        <f>IF(ISNA(MATCH(827,Engine!$C$2:$C$1960,0)),"",INDEX('Compliance Database'!$D$2:$D$1960,MATCH(827,Engine!$C$2:$C$1960,0)))</f>
        <v/>
      </c>
      <c r="E840" s="8">
        <f>IF(ISNA(MATCH(827,Engine!$C$2:$C$1960,0)),"",INDEX('Compliance Database'!$E$2:$E$1960,MATCH(827,Engine!$C$2:$C$1960,0)))</f>
        <v/>
      </c>
      <c r="F840" s="8">
        <f>IF(ISNA(MATCH(827,Engine!$C$2:$C$1960,0)),"",INDEX('Compliance Database'!$F$2:$F$1960,MATCH(827,Engine!$C$2:$C$1960,0)))</f>
        <v/>
      </c>
      <c r="G840" s="8">
        <f>IF(ISNA(MATCH(827,Engine!$C$2:$C$1960,0)),"",INDEX('Compliance Database'!$G$2:$G$1960,MATCH(827,Engine!$C$2:$C$1960,0)))</f>
        <v/>
      </c>
      <c r="H840" s="9">
        <f>IF(ISNA(MATCH(827,Engine!$C$2:$C$1960,0)),"",INDEX('Compliance Database'!$H$2:$H$1960,MATCH(827,Engine!$C$2:$C$1960,0)))</f>
        <v/>
      </c>
      <c r="I840" s="9">
        <f>IF(ISNA(MATCH(827,Engine!$C$2:$C$1960,0)),"",INDEX('Compliance Database'!$I$2:$I$1960,MATCH(827,Engine!$C$2:$C$1960,0)))</f>
        <v/>
      </c>
      <c r="J840" s="8">
        <f>IF(ISNA(MATCH(827,Engine!$C$2:$C$1960,0)),"",INDEX('Compliance Database'!$J$2:$J$1960,MATCH(827,Engine!$C$2:$C$1960,0)))</f>
        <v/>
      </c>
      <c r="K840" s="9">
        <f>IF(ISNA(MATCH(827,Engine!$C$2:$C$1960,0)),"",INDEX('Compliance Database'!$K$2:$K$1960,MATCH(827,Engine!$C$2:$C$1960,0)))</f>
        <v/>
      </c>
      <c r="L840" s="9">
        <f>IF(ISNA(MATCH(827,Engine!$C$2:$C$1960,0)),"",INDEX('Compliance Database'!$L$2:$L$1960,MATCH(827,Engine!$C$2:$C$1960,0)))</f>
        <v/>
      </c>
      <c r="M840" s="9">
        <f>IF(ISNA(MATCH(827,Engine!$C$2:$C$1960,0)),"",INDEX('Compliance Database'!$M$2:$M$1960,MATCH(827,Engine!$C$2:$C$1960,0)))</f>
        <v/>
      </c>
      <c r="N840" s="9">
        <f>IF(ISNA(MATCH(827,Engine!$C$2:$C$1960,0)),"",INDEX('Compliance Database'!$N$2:$N$1960,MATCH(827,Engine!$C$2:$C$1960,0)))</f>
        <v/>
      </c>
      <c r="O840" s="9">
        <f>IF(ISNA(MATCH(827,Engine!$C$2:$C$1960,0)),"",INDEX('Compliance Database'!$O$2:$O$1960,MATCH(827,Engine!$C$2:$C$1960,0)))</f>
        <v/>
      </c>
      <c r="P840" s="8">
        <f>IF(ISNA(MATCH(827,Engine!$C$2:$C$1960,0)),"",HYPERLINK("#Acts!A"&amp;INDEX('Compliance Database'!$P$2:$P$1960,MATCH(827,Engine!$C$2:$C$1960,0)),"Go to Act"))</f>
        <v/>
      </c>
    </row>
    <row r="841" ht="158" customHeight="1">
      <c r="A841" s="8">
        <f>IF(ISNA(MATCH(828,Engine!$C$2:$C$1960,0)),"",INDEX('Compliance Database'!$A$2:$A$1960,MATCH(828,Engine!$C$2:$C$1960,0)))</f>
        <v/>
      </c>
      <c r="B841" s="8">
        <f>IF(ISNA(MATCH(828,Engine!$C$2:$C$1960,0)),"",INDEX('Compliance Database'!$B$2:$B$1960,MATCH(828,Engine!$C$2:$C$1960,0)))</f>
        <v/>
      </c>
      <c r="C841" s="8">
        <f>IF(ISNA(MATCH(828,Engine!$C$2:$C$1960,0)),"",INDEX('Compliance Database'!$C$2:$C$1960,MATCH(828,Engine!$C$2:$C$1960,0)))</f>
        <v/>
      </c>
      <c r="D841" s="9">
        <f>IF(ISNA(MATCH(828,Engine!$C$2:$C$1960,0)),"",INDEX('Compliance Database'!$D$2:$D$1960,MATCH(828,Engine!$C$2:$C$1960,0)))</f>
        <v/>
      </c>
      <c r="E841" s="8">
        <f>IF(ISNA(MATCH(828,Engine!$C$2:$C$1960,0)),"",INDEX('Compliance Database'!$E$2:$E$1960,MATCH(828,Engine!$C$2:$C$1960,0)))</f>
        <v/>
      </c>
      <c r="F841" s="8">
        <f>IF(ISNA(MATCH(828,Engine!$C$2:$C$1960,0)),"",INDEX('Compliance Database'!$F$2:$F$1960,MATCH(828,Engine!$C$2:$C$1960,0)))</f>
        <v/>
      </c>
      <c r="G841" s="8">
        <f>IF(ISNA(MATCH(828,Engine!$C$2:$C$1960,0)),"",INDEX('Compliance Database'!$G$2:$G$1960,MATCH(828,Engine!$C$2:$C$1960,0)))</f>
        <v/>
      </c>
      <c r="H841" s="9">
        <f>IF(ISNA(MATCH(828,Engine!$C$2:$C$1960,0)),"",INDEX('Compliance Database'!$H$2:$H$1960,MATCH(828,Engine!$C$2:$C$1960,0)))</f>
        <v/>
      </c>
      <c r="I841" s="9">
        <f>IF(ISNA(MATCH(828,Engine!$C$2:$C$1960,0)),"",INDEX('Compliance Database'!$I$2:$I$1960,MATCH(828,Engine!$C$2:$C$1960,0)))</f>
        <v/>
      </c>
      <c r="J841" s="8">
        <f>IF(ISNA(MATCH(828,Engine!$C$2:$C$1960,0)),"",INDEX('Compliance Database'!$J$2:$J$1960,MATCH(828,Engine!$C$2:$C$1960,0)))</f>
        <v/>
      </c>
      <c r="K841" s="9">
        <f>IF(ISNA(MATCH(828,Engine!$C$2:$C$1960,0)),"",INDEX('Compliance Database'!$K$2:$K$1960,MATCH(828,Engine!$C$2:$C$1960,0)))</f>
        <v/>
      </c>
      <c r="L841" s="9">
        <f>IF(ISNA(MATCH(828,Engine!$C$2:$C$1960,0)),"",INDEX('Compliance Database'!$L$2:$L$1960,MATCH(828,Engine!$C$2:$C$1960,0)))</f>
        <v/>
      </c>
      <c r="M841" s="9">
        <f>IF(ISNA(MATCH(828,Engine!$C$2:$C$1960,0)),"",INDEX('Compliance Database'!$M$2:$M$1960,MATCH(828,Engine!$C$2:$C$1960,0)))</f>
        <v/>
      </c>
      <c r="N841" s="9">
        <f>IF(ISNA(MATCH(828,Engine!$C$2:$C$1960,0)),"",INDEX('Compliance Database'!$N$2:$N$1960,MATCH(828,Engine!$C$2:$C$1960,0)))</f>
        <v/>
      </c>
      <c r="O841" s="9">
        <f>IF(ISNA(MATCH(828,Engine!$C$2:$C$1960,0)),"",INDEX('Compliance Database'!$O$2:$O$1960,MATCH(828,Engine!$C$2:$C$1960,0)))</f>
        <v/>
      </c>
      <c r="P841" s="8">
        <f>IF(ISNA(MATCH(828,Engine!$C$2:$C$1960,0)),"",HYPERLINK("#Acts!A"&amp;INDEX('Compliance Database'!$P$2:$P$1960,MATCH(828,Engine!$C$2:$C$1960,0)),"Go to Act"))</f>
        <v/>
      </c>
    </row>
    <row r="842" ht="158" customHeight="1">
      <c r="A842" s="8">
        <f>IF(ISNA(MATCH(829,Engine!$C$2:$C$1960,0)),"",INDEX('Compliance Database'!$A$2:$A$1960,MATCH(829,Engine!$C$2:$C$1960,0)))</f>
        <v/>
      </c>
      <c r="B842" s="8">
        <f>IF(ISNA(MATCH(829,Engine!$C$2:$C$1960,0)),"",INDEX('Compliance Database'!$B$2:$B$1960,MATCH(829,Engine!$C$2:$C$1960,0)))</f>
        <v/>
      </c>
      <c r="C842" s="8">
        <f>IF(ISNA(MATCH(829,Engine!$C$2:$C$1960,0)),"",INDEX('Compliance Database'!$C$2:$C$1960,MATCH(829,Engine!$C$2:$C$1960,0)))</f>
        <v/>
      </c>
      <c r="D842" s="9">
        <f>IF(ISNA(MATCH(829,Engine!$C$2:$C$1960,0)),"",INDEX('Compliance Database'!$D$2:$D$1960,MATCH(829,Engine!$C$2:$C$1960,0)))</f>
        <v/>
      </c>
      <c r="E842" s="8">
        <f>IF(ISNA(MATCH(829,Engine!$C$2:$C$1960,0)),"",INDEX('Compliance Database'!$E$2:$E$1960,MATCH(829,Engine!$C$2:$C$1960,0)))</f>
        <v/>
      </c>
      <c r="F842" s="8">
        <f>IF(ISNA(MATCH(829,Engine!$C$2:$C$1960,0)),"",INDEX('Compliance Database'!$F$2:$F$1960,MATCH(829,Engine!$C$2:$C$1960,0)))</f>
        <v/>
      </c>
      <c r="G842" s="8">
        <f>IF(ISNA(MATCH(829,Engine!$C$2:$C$1960,0)),"",INDEX('Compliance Database'!$G$2:$G$1960,MATCH(829,Engine!$C$2:$C$1960,0)))</f>
        <v/>
      </c>
      <c r="H842" s="9">
        <f>IF(ISNA(MATCH(829,Engine!$C$2:$C$1960,0)),"",INDEX('Compliance Database'!$H$2:$H$1960,MATCH(829,Engine!$C$2:$C$1960,0)))</f>
        <v/>
      </c>
      <c r="I842" s="9">
        <f>IF(ISNA(MATCH(829,Engine!$C$2:$C$1960,0)),"",INDEX('Compliance Database'!$I$2:$I$1960,MATCH(829,Engine!$C$2:$C$1960,0)))</f>
        <v/>
      </c>
      <c r="J842" s="8">
        <f>IF(ISNA(MATCH(829,Engine!$C$2:$C$1960,0)),"",INDEX('Compliance Database'!$J$2:$J$1960,MATCH(829,Engine!$C$2:$C$1960,0)))</f>
        <v/>
      </c>
      <c r="K842" s="9">
        <f>IF(ISNA(MATCH(829,Engine!$C$2:$C$1960,0)),"",INDEX('Compliance Database'!$K$2:$K$1960,MATCH(829,Engine!$C$2:$C$1960,0)))</f>
        <v/>
      </c>
      <c r="L842" s="9">
        <f>IF(ISNA(MATCH(829,Engine!$C$2:$C$1960,0)),"",INDEX('Compliance Database'!$L$2:$L$1960,MATCH(829,Engine!$C$2:$C$1960,0)))</f>
        <v/>
      </c>
      <c r="M842" s="9">
        <f>IF(ISNA(MATCH(829,Engine!$C$2:$C$1960,0)),"",INDEX('Compliance Database'!$M$2:$M$1960,MATCH(829,Engine!$C$2:$C$1960,0)))</f>
        <v/>
      </c>
      <c r="N842" s="9">
        <f>IF(ISNA(MATCH(829,Engine!$C$2:$C$1960,0)),"",INDEX('Compliance Database'!$N$2:$N$1960,MATCH(829,Engine!$C$2:$C$1960,0)))</f>
        <v/>
      </c>
      <c r="O842" s="9">
        <f>IF(ISNA(MATCH(829,Engine!$C$2:$C$1960,0)),"",INDEX('Compliance Database'!$O$2:$O$1960,MATCH(829,Engine!$C$2:$C$1960,0)))</f>
        <v/>
      </c>
      <c r="P842" s="8">
        <f>IF(ISNA(MATCH(829,Engine!$C$2:$C$1960,0)),"",HYPERLINK("#Acts!A"&amp;INDEX('Compliance Database'!$P$2:$P$1960,MATCH(829,Engine!$C$2:$C$1960,0)),"Go to Act"))</f>
        <v/>
      </c>
    </row>
    <row r="843" ht="158" customHeight="1">
      <c r="A843" s="8">
        <f>IF(ISNA(MATCH(830,Engine!$C$2:$C$1960,0)),"",INDEX('Compliance Database'!$A$2:$A$1960,MATCH(830,Engine!$C$2:$C$1960,0)))</f>
        <v/>
      </c>
      <c r="B843" s="8">
        <f>IF(ISNA(MATCH(830,Engine!$C$2:$C$1960,0)),"",INDEX('Compliance Database'!$B$2:$B$1960,MATCH(830,Engine!$C$2:$C$1960,0)))</f>
        <v/>
      </c>
      <c r="C843" s="8">
        <f>IF(ISNA(MATCH(830,Engine!$C$2:$C$1960,0)),"",INDEX('Compliance Database'!$C$2:$C$1960,MATCH(830,Engine!$C$2:$C$1960,0)))</f>
        <v/>
      </c>
      <c r="D843" s="9">
        <f>IF(ISNA(MATCH(830,Engine!$C$2:$C$1960,0)),"",INDEX('Compliance Database'!$D$2:$D$1960,MATCH(830,Engine!$C$2:$C$1960,0)))</f>
        <v/>
      </c>
      <c r="E843" s="8">
        <f>IF(ISNA(MATCH(830,Engine!$C$2:$C$1960,0)),"",INDEX('Compliance Database'!$E$2:$E$1960,MATCH(830,Engine!$C$2:$C$1960,0)))</f>
        <v/>
      </c>
      <c r="F843" s="8">
        <f>IF(ISNA(MATCH(830,Engine!$C$2:$C$1960,0)),"",INDEX('Compliance Database'!$F$2:$F$1960,MATCH(830,Engine!$C$2:$C$1960,0)))</f>
        <v/>
      </c>
      <c r="G843" s="8">
        <f>IF(ISNA(MATCH(830,Engine!$C$2:$C$1960,0)),"",INDEX('Compliance Database'!$G$2:$G$1960,MATCH(830,Engine!$C$2:$C$1960,0)))</f>
        <v/>
      </c>
      <c r="H843" s="9">
        <f>IF(ISNA(MATCH(830,Engine!$C$2:$C$1960,0)),"",INDEX('Compliance Database'!$H$2:$H$1960,MATCH(830,Engine!$C$2:$C$1960,0)))</f>
        <v/>
      </c>
      <c r="I843" s="9">
        <f>IF(ISNA(MATCH(830,Engine!$C$2:$C$1960,0)),"",INDEX('Compliance Database'!$I$2:$I$1960,MATCH(830,Engine!$C$2:$C$1960,0)))</f>
        <v/>
      </c>
      <c r="J843" s="8">
        <f>IF(ISNA(MATCH(830,Engine!$C$2:$C$1960,0)),"",INDEX('Compliance Database'!$J$2:$J$1960,MATCH(830,Engine!$C$2:$C$1960,0)))</f>
        <v/>
      </c>
      <c r="K843" s="9">
        <f>IF(ISNA(MATCH(830,Engine!$C$2:$C$1960,0)),"",INDEX('Compliance Database'!$K$2:$K$1960,MATCH(830,Engine!$C$2:$C$1960,0)))</f>
        <v/>
      </c>
      <c r="L843" s="9">
        <f>IF(ISNA(MATCH(830,Engine!$C$2:$C$1960,0)),"",INDEX('Compliance Database'!$L$2:$L$1960,MATCH(830,Engine!$C$2:$C$1960,0)))</f>
        <v/>
      </c>
      <c r="M843" s="9">
        <f>IF(ISNA(MATCH(830,Engine!$C$2:$C$1960,0)),"",INDEX('Compliance Database'!$M$2:$M$1960,MATCH(830,Engine!$C$2:$C$1960,0)))</f>
        <v/>
      </c>
      <c r="N843" s="9">
        <f>IF(ISNA(MATCH(830,Engine!$C$2:$C$1960,0)),"",INDEX('Compliance Database'!$N$2:$N$1960,MATCH(830,Engine!$C$2:$C$1960,0)))</f>
        <v/>
      </c>
      <c r="O843" s="9">
        <f>IF(ISNA(MATCH(830,Engine!$C$2:$C$1960,0)),"",INDEX('Compliance Database'!$O$2:$O$1960,MATCH(830,Engine!$C$2:$C$1960,0)))</f>
        <v/>
      </c>
      <c r="P843" s="8">
        <f>IF(ISNA(MATCH(830,Engine!$C$2:$C$1960,0)),"",HYPERLINK("#Acts!A"&amp;INDEX('Compliance Database'!$P$2:$P$1960,MATCH(830,Engine!$C$2:$C$1960,0)),"Go to Act"))</f>
        <v/>
      </c>
    </row>
    <row r="844" ht="158" customHeight="1">
      <c r="A844" s="8">
        <f>IF(ISNA(MATCH(831,Engine!$C$2:$C$1960,0)),"",INDEX('Compliance Database'!$A$2:$A$1960,MATCH(831,Engine!$C$2:$C$1960,0)))</f>
        <v/>
      </c>
      <c r="B844" s="8">
        <f>IF(ISNA(MATCH(831,Engine!$C$2:$C$1960,0)),"",INDEX('Compliance Database'!$B$2:$B$1960,MATCH(831,Engine!$C$2:$C$1960,0)))</f>
        <v/>
      </c>
      <c r="C844" s="8">
        <f>IF(ISNA(MATCH(831,Engine!$C$2:$C$1960,0)),"",INDEX('Compliance Database'!$C$2:$C$1960,MATCH(831,Engine!$C$2:$C$1960,0)))</f>
        <v/>
      </c>
      <c r="D844" s="9">
        <f>IF(ISNA(MATCH(831,Engine!$C$2:$C$1960,0)),"",INDEX('Compliance Database'!$D$2:$D$1960,MATCH(831,Engine!$C$2:$C$1960,0)))</f>
        <v/>
      </c>
      <c r="E844" s="8">
        <f>IF(ISNA(MATCH(831,Engine!$C$2:$C$1960,0)),"",INDEX('Compliance Database'!$E$2:$E$1960,MATCH(831,Engine!$C$2:$C$1960,0)))</f>
        <v/>
      </c>
      <c r="F844" s="8">
        <f>IF(ISNA(MATCH(831,Engine!$C$2:$C$1960,0)),"",INDEX('Compliance Database'!$F$2:$F$1960,MATCH(831,Engine!$C$2:$C$1960,0)))</f>
        <v/>
      </c>
      <c r="G844" s="8">
        <f>IF(ISNA(MATCH(831,Engine!$C$2:$C$1960,0)),"",INDEX('Compliance Database'!$G$2:$G$1960,MATCH(831,Engine!$C$2:$C$1960,0)))</f>
        <v/>
      </c>
      <c r="H844" s="9">
        <f>IF(ISNA(MATCH(831,Engine!$C$2:$C$1960,0)),"",INDEX('Compliance Database'!$H$2:$H$1960,MATCH(831,Engine!$C$2:$C$1960,0)))</f>
        <v/>
      </c>
      <c r="I844" s="9">
        <f>IF(ISNA(MATCH(831,Engine!$C$2:$C$1960,0)),"",INDEX('Compliance Database'!$I$2:$I$1960,MATCH(831,Engine!$C$2:$C$1960,0)))</f>
        <v/>
      </c>
      <c r="J844" s="8">
        <f>IF(ISNA(MATCH(831,Engine!$C$2:$C$1960,0)),"",INDEX('Compliance Database'!$J$2:$J$1960,MATCH(831,Engine!$C$2:$C$1960,0)))</f>
        <v/>
      </c>
      <c r="K844" s="9">
        <f>IF(ISNA(MATCH(831,Engine!$C$2:$C$1960,0)),"",INDEX('Compliance Database'!$K$2:$K$1960,MATCH(831,Engine!$C$2:$C$1960,0)))</f>
        <v/>
      </c>
      <c r="L844" s="9">
        <f>IF(ISNA(MATCH(831,Engine!$C$2:$C$1960,0)),"",INDEX('Compliance Database'!$L$2:$L$1960,MATCH(831,Engine!$C$2:$C$1960,0)))</f>
        <v/>
      </c>
      <c r="M844" s="9">
        <f>IF(ISNA(MATCH(831,Engine!$C$2:$C$1960,0)),"",INDEX('Compliance Database'!$M$2:$M$1960,MATCH(831,Engine!$C$2:$C$1960,0)))</f>
        <v/>
      </c>
      <c r="N844" s="9">
        <f>IF(ISNA(MATCH(831,Engine!$C$2:$C$1960,0)),"",INDEX('Compliance Database'!$N$2:$N$1960,MATCH(831,Engine!$C$2:$C$1960,0)))</f>
        <v/>
      </c>
      <c r="O844" s="9">
        <f>IF(ISNA(MATCH(831,Engine!$C$2:$C$1960,0)),"",INDEX('Compliance Database'!$O$2:$O$1960,MATCH(831,Engine!$C$2:$C$1960,0)))</f>
        <v/>
      </c>
      <c r="P844" s="8">
        <f>IF(ISNA(MATCH(831,Engine!$C$2:$C$1960,0)),"",HYPERLINK("#Acts!A"&amp;INDEX('Compliance Database'!$P$2:$P$1960,MATCH(831,Engine!$C$2:$C$1960,0)),"Go to Act"))</f>
        <v/>
      </c>
    </row>
    <row r="845" ht="158" customHeight="1">
      <c r="A845" s="8">
        <f>IF(ISNA(MATCH(832,Engine!$C$2:$C$1960,0)),"",INDEX('Compliance Database'!$A$2:$A$1960,MATCH(832,Engine!$C$2:$C$1960,0)))</f>
        <v/>
      </c>
      <c r="B845" s="8">
        <f>IF(ISNA(MATCH(832,Engine!$C$2:$C$1960,0)),"",INDEX('Compliance Database'!$B$2:$B$1960,MATCH(832,Engine!$C$2:$C$1960,0)))</f>
        <v/>
      </c>
      <c r="C845" s="8">
        <f>IF(ISNA(MATCH(832,Engine!$C$2:$C$1960,0)),"",INDEX('Compliance Database'!$C$2:$C$1960,MATCH(832,Engine!$C$2:$C$1960,0)))</f>
        <v/>
      </c>
      <c r="D845" s="9">
        <f>IF(ISNA(MATCH(832,Engine!$C$2:$C$1960,0)),"",INDEX('Compliance Database'!$D$2:$D$1960,MATCH(832,Engine!$C$2:$C$1960,0)))</f>
        <v/>
      </c>
      <c r="E845" s="8">
        <f>IF(ISNA(MATCH(832,Engine!$C$2:$C$1960,0)),"",INDEX('Compliance Database'!$E$2:$E$1960,MATCH(832,Engine!$C$2:$C$1960,0)))</f>
        <v/>
      </c>
      <c r="F845" s="8">
        <f>IF(ISNA(MATCH(832,Engine!$C$2:$C$1960,0)),"",INDEX('Compliance Database'!$F$2:$F$1960,MATCH(832,Engine!$C$2:$C$1960,0)))</f>
        <v/>
      </c>
      <c r="G845" s="8">
        <f>IF(ISNA(MATCH(832,Engine!$C$2:$C$1960,0)),"",INDEX('Compliance Database'!$G$2:$G$1960,MATCH(832,Engine!$C$2:$C$1960,0)))</f>
        <v/>
      </c>
      <c r="H845" s="9">
        <f>IF(ISNA(MATCH(832,Engine!$C$2:$C$1960,0)),"",INDEX('Compliance Database'!$H$2:$H$1960,MATCH(832,Engine!$C$2:$C$1960,0)))</f>
        <v/>
      </c>
      <c r="I845" s="9">
        <f>IF(ISNA(MATCH(832,Engine!$C$2:$C$1960,0)),"",INDEX('Compliance Database'!$I$2:$I$1960,MATCH(832,Engine!$C$2:$C$1960,0)))</f>
        <v/>
      </c>
      <c r="J845" s="8">
        <f>IF(ISNA(MATCH(832,Engine!$C$2:$C$1960,0)),"",INDEX('Compliance Database'!$J$2:$J$1960,MATCH(832,Engine!$C$2:$C$1960,0)))</f>
        <v/>
      </c>
      <c r="K845" s="9">
        <f>IF(ISNA(MATCH(832,Engine!$C$2:$C$1960,0)),"",INDEX('Compliance Database'!$K$2:$K$1960,MATCH(832,Engine!$C$2:$C$1960,0)))</f>
        <v/>
      </c>
      <c r="L845" s="9">
        <f>IF(ISNA(MATCH(832,Engine!$C$2:$C$1960,0)),"",INDEX('Compliance Database'!$L$2:$L$1960,MATCH(832,Engine!$C$2:$C$1960,0)))</f>
        <v/>
      </c>
      <c r="M845" s="9">
        <f>IF(ISNA(MATCH(832,Engine!$C$2:$C$1960,0)),"",INDEX('Compliance Database'!$M$2:$M$1960,MATCH(832,Engine!$C$2:$C$1960,0)))</f>
        <v/>
      </c>
      <c r="N845" s="9">
        <f>IF(ISNA(MATCH(832,Engine!$C$2:$C$1960,0)),"",INDEX('Compliance Database'!$N$2:$N$1960,MATCH(832,Engine!$C$2:$C$1960,0)))</f>
        <v/>
      </c>
      <c r="O845" s="9">
        <f>IF(ISNA(MATCH(832,Engine!$C$2:$C$1960,0)),"",INDEX('Compliance Database'!$O$2:$O$1960,MATCH(832,Engine!$C$2:$C$1960,0)))</f>
        <v/>
      </c>
      <c r="P845" s="8">
        <f>IF(ISNA(MATCH(832,Engine!$C$2:$C$1960,0)),"",HYPERLINK("#Acts!A"&amp;INDEX('Compliance Database'!$P$2:$P$1960,MATCH(832,Engine!$C$2:$C$1960,0)),"Go to Act"))</f>
        <v/>
      </c>
    </row>
    <row r="846" ht="158" customHeight="1">
      <c r="A846" s="8">
        <f>IF(ISNA(MATCH(833,Engine!$C$2:$C$1960,0)),"",INDEX('Compliance Database'!$A$2:$A$1960,MATCH(833,Engine!$C$2:$C$1960,0)))</f>
        <v/>
      </c>
      <c r="B846" s="8">
        <f>IF(ISNA(MATCH(833,Engine!$C$2:$C$1960,0)),"",INDEX('Compliance Database'!$B$2:$B$1960,MATCH(833,Engine!$C$2:$C$1960,0)))</f>
        <v/>
      </c>
      <c r="C846" s="8">
        <f>IF(ISNA(MATCH(833,Engine!$C$2:$C$1960,0)),"",INDEX('Compliance Database'!$C$2:$C$1960,MATCH(833,Engine!$C$2:$C$1960,0)))</f>
        <v/>
      </c>
      <c r="D846" s="9">
        <f>IF(ISNA(MATCH(833,Engine!$C$2:$C$1960,0)),"",INDEX('Compliance Database'!$D$2:$D$1960,MATCH(833,Engine!$C$2:$C$1960,0)))</f>
        <v/>
      </c>
      <c r="E846" s="8">
        <f>IF(ISNA(MATCH(833,Engine!$C$2:$C$1960,0)),"",INDEX('Compliance Database'!$E$2:$E$1960,MATCH(833,Engine!$C$2:$C$1960,0)))</f>
        <v/>
      </c>
      <c r="F846" s="8">
        <f>IF(ISNA(MATCH(833,Engine!$C$2:$C$1960,0)),"",INDEX('Compliance Database'!$F$2:$F$1960,MATCH(833,Engine!$C$2:$C$1960,0)))</f>
        <v/>
      </c>
      <c r="G846" s="8">
        <f>IF(ISNA(MATCH(833,Engine!$C$2:$C$1960,0)),"",INDEX('Compliance Database'!$G$2:$G$1960,MATCH(833,Engine!$C$2:$C$1960,0)))</f>
        <v/>
      </c>
      <c r="H846" s="9">
        <f>IF(ISNA(MATCH(833,Engine!$C$2:$C$1960,0)),"",INDEX('Compliance Database'!$H$2:$H$1960,MATCH(833,Engine!$C$2:$C$1960,0)))</f>
        <v/>
      </c>
      <c r="I846" s="9">
        <f>IF(ISNA(MATCH(833,Engine!$C$2:$C$1960,0)),"",INDEX('Compliance Database'!$I$2:$I$1960,MATCH(833,Engine!$C$2:$C$1960,0)))</f>
        <v/>
      </c>
      <c r="J846" s="8">
        <f>IF(ISNA(MATCH(833,Engine!$C$2:$C$1960,0)),"",INDEX('Compliance Database'!$J$2:$J$1960,MATCH(833,Engine!$C$2:$C$1960,0)))</f>
        <v/>
      </c>
      <c r="K846" s="9">
        <f>IF(ISNA(MATCH(833,Engine!$C$2:$C$1960,0)),"",INDEX('Compliance Database'!$K$2:$K$1960,MATCH(833,Engine!$C$2:$C$1960,0)))</f>
        <v/>
      </c>
      <c r="L846" s="9">
        <f>IF(ISNA(MATCH(833,Engine!$C$2:$C$1960,0)),"",INDEX('Compliance Database'!$L$2:$L$1960,MATCH(833,Engine!$C$2:$C$1960,0)))</f>
        <v/>
      </c>
      <c r="M846" s="9">
        <f>IF(ISNA(MATCH(833,Engine!$C$2:$C$1960,0)),"",INDEX('Compliance Database'!$M$2:$M$1960,MATCH(833,Engine!$C$2:$C$1960,0)))</f>
        <v/>
      </c>
      <c r="N846" s="9">
        <f>IF(ISNA(MATCH(833,Engine!$C$2:$C$1960,0)),"",INDEX('Compliance Database'!$N$2:$N$1960,MATCH(833,Engine!$C$2:$C$1960,0)))</f>
        <v/>
      </c>
      <c r="O846" s="9">
        <f>IF(ISNA(MATCH(833,Engine!$C$2:$C$1960,0)),"",INDEX('Compliance Database'!$O$2:$O$1960,MATCH(833,Engine!$C$2:$C$1960,0)))</f>
        <v/>
      </c>
      <c r="P846" s="8">
        <f>IF(ISNA(MATCH(833,Engine!$C$2:$C$1960,0)),"",HYPERLINK("#Acts!A"&amp;INDEX('Compliance Database'!$P$2:$P$1960,MATCH(833,Engine!$C$2:$C$1960,0)),"Go to Act"))</f>
        <v/>
      </c>
    </row>
    <row r="847" ht="158" customHeight="1">
      <c r="A847" s="8">
        <f>IF(ISNA(MATCH(834,Engine!$C$2:$C$1960,0)),"",INDEX('Compliance Database'!$A$2:$A$1960,MATCH(834,Engine!$C$2:$C$1960,0)))</f>
        <v/>
      </c>
      <c r="B847" s="8">
        <f>IF(ISNA(MATCH(834,Engine!$C$2:$C$1960,0)),"",INDEX('Compliance Database'!$B$2:$B$1960,MATCH(834,Engine!$C$2:$C$1960,0)))</f>
        <v/>
      </c>
      <c r="C847" s="8">
        <f>IF(ISNA(MATCH(834,Engine!$C$2:$C$1960,0)),"",INDEX('Compliance Database'!$C$2:$C$1960,MATCH(834,Engine!$C$2:$C$1960,0)))</f>
        <v/>
      </c>
      <c r="D847" s="9">
        <f>IF(ISNA(MATCH(834,Engine!$C$2:$C$1960,0)),"",INDEX('Compliance Database'!$D$2:$D$1960,MATCH(834,Engine!$C$2:$C$1960,0)))</f>
        <v/>
      </c>
      <c r="E847" s="8">
        <f>IF(ISNA(MATCH(834,Engine!$C$2:$C$1960,0)),"",INDEX('Compliance Database'!$E$2:$E$1960,MATCH(834,Engine!$C$2:$C$1960,0)))</f>
        <v/>
      </c>
      <c r="F847" s="8">
        <f>IF(ISNA(MATCH(834,Engine!$C$2:$C$1960,0)),"",INDEX('Compliance Database'!$F$2:$F$1960,MATCH(834,Engine!$C$2:$C$1960,0)))</f>
        <v/>
      </c>
      <c r="G847" s="8">
        <f>IF(ISNA(MATCH(834,Engine!$C$2:$C$1960,0)),"",INDEX('Compliance Database'!$G$2:$G$1960,MATCH(834,Engine!$C$2:$C$1960,0)))</f>
        <v/>
      </c>
      <c r="H847" s="9">
        <f>IF(ISNA(MATCH(834,Engine!$C$2:$C$1960,0)),"",INDEX('Compliance Database'!$H$2:$H$1960,MATCH(834,Engine!$C$2:$C$1960,0)))</f>
        <v/>
      </c>
      <c r="I847" s="9">
        <f>IF(ISNA(MATCH(834,Engine!$C$2:$C$1960,0)),"",INDEX('Compliance Database'!$I$2:$I$1960,MATCH(834,Engine!$C$2:$C$1960,0)))</f>
        <v/>
      </c>
      <c r="J847" s="8">
        <f>IF(ISNA(MATCH(834,Engine!$C$2:$C$1960,0)),"",INDEX('Compliance Database'!$J$2:$J$1960,MATCH(834,Engine!$C$2:$C$1960,0)))</f>
        <v/>
      </c>
      <c r="K847" s="9">
        <f>IF(ISNA(MATCH(834,Engine!$C$2:$C$1960,0)),"",INDEX('Compliance Database'!$K$2:$K$1960,MATCH(834,Engine!$C$2:$C$1960,0)))</f>
        <v/>
      </c>
      <c r="L847" s="9">
        <f>IF(ISNA(MATCH(834,Engine!$C$2:$C$1960,0)),"",INDEX('Compliance Database'!$L$2:$L$1960,MATCH(834,Engine!$C$2:$C$1960,0)))</f>
        <v/>
      </c>
      <c r="M847" s="9">
        <f>IF(ISNA(MATCH(834,Engine!$C$2:$C$1960,0)),"",INDEX('Compliance Database'!$M$2:$M$1960,MATCH(834,Engine!$C$2:$C$1960,0)))</f>
        <v/>
      </c>
      <c r="N847" s="9">
        <f>IF(ISNA(MATCH(834,Engine!$C$2:$C$1960,0)),"",INDEX('Compliance Database'!$N$2:$N$1960,MATCH(834,Engine!$C$2:$C$1960,0)))</f>
        <v/>
      </c>
      <c r="O847" s="9">
        <f>IF(ISNA(MATCH(834,Engine!$C$2:$C$1960,0)),"",INDEX('Compliance Database'!$O$2:$O$1960,MATCH(834,Engine!$C$2:$C$1960,0)))</f>
        <v/>
      </c>
      <c r="P847" s="8">
        <f>IF(ISNA(MATCH(834,Engine!$C$2:$C$1960,0)),"",HYPERLINK("#Acts!A"&amp;INDEX('Compliance Database'!$P$2:$P$1960,MATCH(834,Engine!$C$2:$C$1960,0)),"Go to Act"))</f>
        <v/>
      </c>
    </row>
    <row r="848" ht="158" customHeight="1">
      <c r="A848" s="8">
        <f>IF(ISNA(MATCH(835,Engine!$C$2:$C$1960,0)),"",INDEX('Compliance Database'!$A$2:$A$1960,MATCH(835,Engine!$C$2:$C$1960,0)))</f>
        <v/>
      </c>
      <c r="B848" s="8">
        <f>IF(ISNA(MATCH(835,Engine!$C$2:$C$1960,0)),"",INDEX('Compliance Database'!$B$2:$B$1960,MATCH(835,Engine!$C$2:$C$1960,0)))</f>
        <v/>
      </c>
      <c r="C848" s="8">
        <f>IF(ISNA(MATCH(835,Engine!$C$2:$C$1960,0)),"",INDEX('Compliance Database'!$C$2:$C$1960,MATCH(835,Engine!$C$2:$C$1960,0)))</f>
        <v/>
      </c>
      <c r="D848" s="9">
        <f>IF(ISNA(MATCH(835,Engine!$C$2:$C$1960,0)),"",INDEX('Compliance Database'!$D$2:$D$1960,MATCH(835,Engine!$C$2:$C$1960,0)))</f>
        <v/>
      </c>
      <c r="E848" s="8">
        <f>IF(ISNA(MATCH(835,Engine!$C$2:$C$1960,0)),"",INDEX('Compliance Database'!$E$2:$E$1960,MATCH(835,Engine!$C$2:$C$1960,0)))</f>
        <v/>
      </c>
      <c r="F848" s="8">
        <f>IF(ISNA(MATCH(835,Engine!$C$2:$C$1960,0)),"",INDEX('Compliance Database'!$F$2:$F$1960,MATCH(835,Engine!$C$2:$C$1960,0)))</f>
        <v/>
      </c>
      <c r="G848" s="8">
        <f>IF(ISNA(MATCH(835,Engine!$C$2:$C$1960,0)),"",INDEX('Compliance Database'!$G$2:$G$1960,MATCH(835,Engine!$C$2:$C$1960,0)))</f>
        <v/>
      </c>
      <c r="H848" s="9">
        <f>IF(ISNA(MATCH(835,Engine!$C$2:$C$1960,0)),"",INDEX('Compliance Database'!$H$2:$H$1960,MATCH(835,Engine!$C$2:$C$1960,0)))</f>
        <v/>
      </c>
      <c r="I848" s="9">
        <f>IF(ISNA(MATCH(835,Engine!$C$2:$C$1960,0)),"",INDEX('Compliance Database'!$I$2:$I$1960,MATCH(835,Engine!$C$2:$C$1960,0)))</f>
        <v/>
      </c>
      <c r="J848" s="8">
        <f>IF(ISNA(MATCH(835,Engine!$C$2:$C$1960,0)),"",INDEX('Compliance Database'!$J$2:$J$1960,MATCH(835,Engine!$C$2:$C$1960,0)))</f>
        <v/>
      </c>
      <c r="K848" s="9">
        <f>IF(ISNA(MATCH(835,Engine!$C$2:$C$1960,0)),"",INDEX('Compliance Database'!$K$2:$K$1960,MATCH(835,Engine!$C$2:$C$1960,0)))</f>
        <v/>
      </c>
      <c r="L848" s="9">
        <f>IF(ISNA(MATCH(835,Engine!$C$2:$C$1960,0)),"",INDEX('Compliance Database'!$L$2:$L$1960,MATCH(835,Engine!$C$2:$C$1960,0)))</f>
        <v/>
      </c>
      <c r="M848" s="9">
        <f>IF(ISNA(MATCH(835,Engine!$C$2:$C$1960,0)),"",INDEX('Compliance Database'!$M$2:$M$1960,MATCH(835,Engine!$C$2:$C$1960,0)))</f>
        <v/>
      </c>
      <c r="N848" s="9">
        <f>IF(ISNA(MATCH(835,Engine!$C$2:$C$1960,0)),"",INDEX('Compliance Database'!$N$2:$N$1960,MATCH(835,Engine!$C$2:$C$1960,0)))</f>
        <v/>
      </c>
      <c r="O848" s="9">
        <f>IF(ISNA(MATCH(835,Engine!$C$2:$C$1960,0)),"",INDEX('Compliance Database'!$O$2:$O$1960,MATCH(835,Engine!$C$2:$C$1960,0)))</f>
        <v/>
      </c>
      <c r="P848" s="8">
        <f>IF(ISNA(MATCH(835,Engine!$C$2:$C$1960,0)),"",HYPERLINK("#Acts!A"&amp;INDEX('Compliance Database'!$P$2:$P$1960,MATCH(835,Engine!$C$2:$C$1960,0)),"Go to Act"))</f>
        <v/>
      </c>
    </row>
    <row r="849" ht="158" customHeight="1">
      <c r="A849" s="8">
        <f>IF(ISNA(MATCH(836,Engine!$C$2:$C$1960,0)),"",INDEX('Compliance Database'!$A$2:$A$1960,MATCH(836,Engine!$C$2:$C$1960,0)))</f>
        <v/>
      </c>
      <c r="B849" s="8">
        <f>IF(ISNA(MATCH(836,Engine!$C$2:$C$1960,0)),"",INDEX('Compliance Database'!$B$2:$B$1960,MATCH(836,Engine!$C$2:$C$1960,0)))</f>
        <v/>
      </c>
      <c r="C849" s="8">
        <f>IF(ISNA(MATCH(836,Engine!$C$2:$C$1960,0)),"",INDEX('Compliance Database'!$C$2:$C$1960,MATCH(836,Engine!$C$2:$C$1960,0)))</f>
        <v/>
      </c>
      <c r="D849" s="9">
        <f>IF(ISNA(MATCH(836,Engine!$C$2:$C$1960,0)),"",INDEX('Compliance Database'!$D$2:$D$1960,MATCH(836,Engine!$C$2:$C$1960,0)))</f>
        <v/>
      </c>
      <c r="E849" s="8">
        <f>IF(ISNA(MATCH(836,Engine!$C$2:$C$1960,0)),"",INDEX('Compliance Database'!$E$2:$E$1960,MATCH(836,Engine!$C$2:$C$1960,0)))</f>
        <v/>
      </c>
      <c r="F849" s="8">
        <f>IF(ISNA(MATCH(836,Engine!$C$2:$C$1960,0)),"",INDEX('Compliance Database'!$F$2:$F$1960,MATCH(836,Engine!$C$2:$C$1960,0)))</f>
        <v/>
      </c>
      <c r="G849" s="8">
        <f>IF(ISNA(MATCH(836,Engine!$C$2:$C$1960,0)),"",INDEX('Compliance Database'!$G$2:$G$1960,MATCH(836,Engine!$C$2:$C$1960,0)))</f>
        <v/>
      </c>
      <c r="H849" s="9">
        <f>IF(ISNA(MATCH(836,Engine!$C$2:$C$1960,0)),"",INDEX('Compliance Database'!$H$2:$H$1960,MATCH(836,Engine!$C$2:$C$1960,0)))</f>
        <v/>
      </c>
      <c r="I849" s="9">
        <f>IF(ISNA(MATCH(836,Engine!$C$2:$C$1960,0)),"",INDEX('Compliance Database'!$I$2:$I$1960,MATCH(836,Engine!$C$2:$C$1960,0)))</f>
        <v/>
      </c>
      <c r="J849" s="8">
        <f>IF(ISNA(MATCH(836,Engine!$C$2:$C$1960,0)),"",INDEX('Compliance Database'!$J$2:$J$1960,MATCH(836,Engine!$C$2:$C$1960,0)))</f>
        <v/>
      </c>
      <c r="K849" s="9">
        <f>IF(ISNA(MATCH(836,Engine!$C$2:$C$1960,0)),"",INDEX('Compliance Database'!$K$2:$K$1960,MATCH(836,Engine!$C$2:$C$1960,0)))</f>
        <v/>
      </c>
      <c r="L849" s="9">
        <f>IF(ISNA(MATCH(836,Engine!$C$2:$C$1960,0)),"",INDEX('Compliance Database'!$L$2:$L$1960,MATCH(836,Engine!$C$2:$C$1960,0)))</f>
        <v/>
      </c>
      <c r="M849" s="9">
        <f>IF(ISNA(MATCH(836,Engine!$C$2:$C$1960,0)),"",INDEX('Compliance Database'!$M$2:$M$1960,MATCH(836,Engine!$C$2:$C$1960,0)))</f>
        <v/>
      </c>
      <c r="N849" s="9">
        <f>IF(ISNA(MATCH(836,Engine!$C$2:$C$1960,0)),"",INDEX('Compliance Database'!$N$2:$N$1960,MATCH(836,Engine!$C$2:$C$1960,0)))</f>
        <v/>
      </c>
      <c r="O849" s="9">
        <f>IF(ISNA(MATCH(836,Engine!$C$2:$C$1960,0)),"",INDEX('Compliance Database'!$O$2:$O$1960,MATCH(836,Engine!$C$2:$C$1960,0)))</f>
        <v/>
      </c>
      <c r="P849" s="8">
        <f>IF(ISNA(MATCH(836,Engine!$C$2:$C$1960,0)),"",HYPERLINK("#Acts!A"&amp;INDEX('Compliance Database'!$P$2:$P$1960,MATCH(836,Engine!$C$2:$C$1960,0)),"Go to Act"))</f>
        <v/>
      </c>
    </row>
    <row r="850" ht="158" customHeight="1">
      <c r="A850" s="8">
        <f>IF(ISNA(MATCH(837,Engine!$C$2:$C$1960,0)),"",INDEX('Compliance Database'!$A$2:$A$1960,MATCH(837,Engine!$C$2:$C$1960,0)))</f>
        <v/>
      </c>
      <c r="B850" s="8">
        <f>IF(ISNA(MATCH(837,Engine!$C$2:$C$1960,0)),"",INDEX('Compliance Database'!$B$2:$B$1960,MATCH(837,Engine!$C$2:$C$1960,0)))</f>
        <v/>
      </c>
      <c r="C850" s="8">
        <f>IF(ISNA(MATCH(837,Engine!$C$2:$C$1960,0)),"",INDEX('Compliance Database'!$C$2:$C$1960,MATCH(837,Engine!$C$2:$C$1960,0)))</f>
        <v/>
      </c>
      <c r="D850" s="9">
        <f>IF(ISNA(MATCH(837,Engine!$C$2:$C$1960,0)),"",INDEX('Compliance Database'!$D$2:$D$1960,MATCH(837,Engine!$C$2:$C$1960,0)))</f>
        <v/>
      </c>
      <c r="E850" s="8">
        <f>IF(ISNA(MATCH(837,Engine!$C$2:$C$1960,0)),"",INDEX('Compliance Database'!$E$2:$E$1960,MATCH(837,Engine!$C$2:$C$1960,0)))</f>
        <v/>
      </c>
      <c r="F850" s="8">
        <f>IF(ISNA(MATCH(837,Engine!$C$2:$C$1960,0)),"",INDEX('Compliance Database'!$F$2:$F$1960,MATCH(837,Engine!$C$2:$C$1960,0)))</f>
        <v/>
      </c>
      <c r="G850" s="8">
        <f>IF(ISNA(MATCH(837,Engine!$C$2:$C$1960,0)),"",INDEX('Compliance Database'!$G$2:$G$1960,MATCH(837,Engine!$C$2:$C$1960,0)))</f>
        <v/>
      </c>
      <c r="H850" s="9">
        <f>IF(ISNA(MATCH(837,Engine!$C$2:$C$1960,0)),"",INDEX('Compliance Database'!$H$2:$H$1960,MATCH(837,Engine!$C$2:$C$1960,0)))</f>
        <v/>
      </c>
      <c r="I850" s="9">
        <f>IF(ISNA(MATCH(837,Engine!$C$2:$C$1960,0)),"",INDEX('Compliance Database'!$I$2:$I$1960,MATCH(837,Engine!$C$2:$C$1960,0)))</f>
        <v/>
      </c>
      <c r="J850" s="8">
        <f>IF(ISNA(MATCH(837,Engine!$C$2:$C$1960,0)),"",INDEX('Compliance Database'!$J$2:$J$1960,MATCH(837,Engine!$C$2:$C$1960,0)))</f>
        <v/>
      </c>
      <c r="K850" s="9">
        <f>IF(ISNA(MATCH(837,Engine!$C$2:$C$1960,0)),"",INDEX('Compliance Database'!$K$2:$K$1960,MATCH(837,Engine!$C$2:$C$1960,0)))</f>
        <v/>
      </c>
      <c r="L850" s="9">
        <f>IF(ISNA(MATCH(837,Engine!$C$2:$C$1960,0)),"",INDEX('Compliance Database'!$L$2:$L$1960,MATCH(837,Engine!$C$2:$C$1960,0)))</f>
        <v/>
      </c>
      <c r="M850" s="9">
        <f>IF(ISNA(MATCH(837,Engine!$C$2:$C$1960,0)),"",INDEX('Compliance Database'!$M$2:$M$1960,MATCH(837,Engine!$C$2:$C$1960,0)))</f>
        <v/>
      </c>
      <c r="N850" s="9">
        <f>IF(ISNA(MATCH(837,Engine!$C$2:$C$1960,0)),"",INDEX('Compliance Database'!$N$2:$N$1960,MATCH(837,Engine!$C$2:$C$1960,0)))</f>
        <v/>
      </c>
      <c r="O850" s="9">
        <f>IF(ISNA(MATCH(837,Engine!$C$2:$C$1960,0)),"",INDEX('Compliance Database'!$O$2:$O$1960,MATCH(837,Engine!$C$2:$C$1960,0)))</f>
        <v/>
      </c>
      <c r="P850" s="8">
        <f>IF(ISNA(MATCH(837,Engine!$C$2:$C$1960,0)),"",HYPERLINK("#Acts!A"&amp;INDEX('Compliance Database'!$P$2:$P$1960,MATCH(837,Engine!$C$2:$C$1960,0)),"Go to Act"))</f>
        <v/>
      </c>
    </row>
    <row r="851" ht="158" customHeight="1">
      <c r="A851" s="8">
        <f>IF(ISNA(MATCH(838,Engine!$C$2:$C$1960,0)),"",INDEX('Compliance Database'!$A$2:$A$1960,MATCH(838,Engine!$C$2:$C$1960,0)))</f>
        <v/>
      </c>
      <c r="B851" s="8">
        <f>IF(ISNA(MATCH(838,Engine!$C$2:$C$1960,0)),"",INDEX('Compliance Database'!$B$2:$B$1960,MATCH(838,Engine!$C$2:$C$1960,0)))</f>
        <v/>
      </c>
      <c r="C851" s="8">
        <f>IF(ISNA(MATCH(838,Engine!$C$2:$C$1960,0)),"",INDEX('Compliance Database'!$C$2:$C$1960,MATCH(838,Engine!$C$2:$C$1960,0)))</f>
        <v/>
      </c>
      <c r="D851" s="9">
        <f>IF(ISNA(MATCH(838,Engine!$C$2:$C$1960,0)),"",INDEX('Compliance Database'!$D$2:$D$1960,MATCH(838,Engine!$C$2:$C$1960,0)))</f>
        <v/>
      </c>
      <c r="E851" s="8">
        <f>IF(ISNA(MATCH(838,Engine!$C$2:$C$1960,0)),"",INDEX('Compliance Database'!$E$2:$E$1960,MATCH(838,Engine!$C$2:$C$1960,0)))</f>
        <v/>
      </c>
      <c r="F851" s="8">
        <f>IF(ISNA(MATCH(838,Engine!$C$2:$C$1960,0)),"",INDEX('Compliance Database'!$F$2:$F$1960,MATCH(838,Engine!$C$2:$C$1960,0)))</f>
        <v/>
      </c>
      <c r="G851" s="8">
        <f>IF(ISNA(MATCH(838,Engine!$C$2:$C$1960,0)),"",INDEX('Compliance Database'!$G$2:$G$1960,MATCH(838,Engine!$C$2:$C$1960,0)))</f>
        <v/>
      </c>
      <c r="H851" s="9">
        <f>IF(ISNA(MATCH(838,Engine!$C$2:$C$1960,0)),"",INDEX('Compliance Database'!$H$2:$H$1960,MATCH(838,Engine!$C$2:$C$1960,0)))</f>
        <v/>
      </c>
      <c r="I851" s="9">
        <f>IF(ISNA(MATCH(838,Engine!$C$2:$C$1960,0)),"",INDEX('Compliance Database'!$I$2:$I$1960,MATCH(838,Engine!$C$2:$C$1960,0)))</f>
        <v/>
      </c>
      <c r="J851" s="8">
        <f>IF(ISNA(MATCH(838,Engine!$C$2:$C$1960,0)),"",INDEX('Compliance Database'!$J$2:$J$1960,MATCH(838,Engine!$C$2:$C$1960,0)))</f>
        <v/>
      </c>
      <c r="K851" s="9">
        <f>IF(ISNA(MATCH(838,Engine!$C$2:$C$1960,0)),"",INDEX('Compliance Database'!$K$2:$K$1960,MATCH(838,Engine!$C$2:$C$1960,0)))</f>
        <v/>
      </c>
      <c r="L851" s="9">
        <f>IF(ISNA(MATCH(838,Engine!$C$2:$C$1960,0)),"",INDEX('Compliance Database'!$L$2:$L$1960,MATCH(838,Engine!$C$2:$C$1960,0)))</f>
        <v/>
      </c>
      <c r="M851" s="9">
        <f>IF(ISNA(MATCH(838,Engine!$C$2:$C$1960,0)),"",INDEX('Compliance Database'!$M$2:$M$1960,MATCH(838,Engine!$C$2:$C$1960,0)))</f>
        <v/>
      </c>
      <c r="N851" s="9">
        <f>IF(ISNA(MATCH(838,Engine!$C$2:$C$1960,0)),"",INDEX('Compliance Database'!$N$2:$N$1960,MATCH(838,Engine!$C$2:$C$1960,0)))</f>
        <v/>
      </c>
      <c r="O851" s="9">
        <f>IF(ISNA(MATCH(838,Engine!$C$2:$C$1960,0)),"",INDEX('Compliance Database'!$O$2:$O$1960,MATCH(838,Engine!$C$2:$C$1960,0)))</f>
        <v/>
      </c>
      <c r="P851" s="8">
        <f>IF(ISNA(MATCH(838,Engine!$C$2:$C$1960,0)),"",HYPERLINK("#Acts!A"&amp;INDEX('Compliance Database'!$P$2:$P$1960,MATCH(838,Engine!$C$2:$C$1960,0)),"Go to Act"))</f>
        <v/>
      </c>
    </row>
    <row r="852" ht="158" customHeight="1">
      <c r="A852" s="8">
        <f>IF(ISNA(MATCH(839,Engine!$C$2:$C$1960,0)),"",INDEX('Compliance Database'!$A$2:$A$1960,MATCH(839,Engine!$C$2:$C$1960,0)))</f>
        <v/>
      </c>
      <c r="B852" s="8">
        <f>IF(ISNA(MATCH(839,Engine!$C$2:$C$1960,0)),"",INDEX('Compliance Database'!$B$2:$B$1960,MATCH(839,Engine!$C$2:$C$1960,0)))</f>
        <v/>
      </c>
      <c r="C852" s="8">
        <f>IF(ISNA(MATCH(839,Engine!$C$2:$C$1960,0)),"",INDEX('Compliance Database'!$C$2:$C$1960,MATCH(839,Engine!$C$2:$C$1960,0)))</f>
        <v/>
      </c>
      <c r="D852" s="9">
        <f>IF(ISNA(MATCH(839,Engine!$C$2:$C$1960,0)),"",INDEX('Compliance Database'!$D$2:$D$1960,MATCH(839,Engine!$C$2:$C$1960,0)))</f>
        <v/>
      </c>
      <c r="E852" s="8">
        <f>IF(ISNA(MATCH(839,Engine!$C$2:$C$1960,0)),"",INDEX('Compliance Database'!$E$2:$E$1960,MATCH(839,Engine!$C$2:$C$1960,0)))</f>
        <v/>
      </c>
      <c r="F852" s="8">
        <f>IF(ISNA(MATCH(839,Engine!$C$2:$C$1960,0)),"",INDEX('Compliance Database'!$F$2:$F$1960,MATCH(839,Engine!$C$2:$C$1960,0)))</f>
        <v/>
      </c>
      <c r="G852" s="8">
        <f>IF(ISNA(MATCH(839,Engine!$C$2:$C$1960,0)),"",INDEX('Compliance Database'!$G$2:$G$1960,MATCH(839,Engine!$C$2:$C$1960,0)))</f>
        <v/>
      </c>
      <c r="H852" s="9">
        <f>IF(ISNA(MATCH(839,Engine!$C$2:$C$1960,0)),"",INDEX('Compliance Database'!$H$2:$H$1960,MATCH(839,Engine!$C$2:$C$1960,0)))</f>
        <v/>
      </c>
      <c r="I852" s="9">
        <f>IF(ISNA(MATCH(839,Engine!$C$2:$C$1960,0)),"",INDEX('Compliance Database'!$I$2:$I$1960,MATCH(839,Engine!$C$2:$C$1960,0)))</f>
        <v/>
      </c>
      <c r="J852" s="8">
        <f>IF(ISNA(MATCH(839,Engine!$C$2:$C$1960,0)),"",INDEX('Compliance Database'!$J$2:$J$1960,MATCH(839,Engine!$C$2:$C$1960,0)))</f>
        <v/>
      </c>
      <c r="K852" s="9">
        <f>IF(ISNA(MATCH(839,Engine!$C$2:$C$1960,0)),"",INDEX('Compliance Database'!$K$2:$K$1960,MATCH(839,Engine!$C$2:$C$1960,0)))</f>
        <v/>
      </c>
      <c r="L852" s="9">
        <f>IF(ISNA(MATCH(839,Engine!$C$2:$C$1960,0)),"",INDEX('Compliance Database'!$L$2:$L$1960,MATCH(839,Engine!$C$2:$C$1960,0)))</f>
        <v/>
      </c>
      <c r="M852" s="9">
        <f>IF(ISNA(MATCH(839,Engine!$C$2:$C$1960,0)),"",INDEX('Compliance Database'!$M$2:$M$1960,MATCH(839,Engine!$C$2:$C$1960,0)))</f>
        <v/>
      </c>
      <c r="N852" s="9">
        <f>IF(ISNA(MATCH(839,Engine!$C$2:$C$1960,0)),"",INDEX('Compliance Database'!$N$2:$N$1960,MATCH(839,Engine!$C$2:$C$1960,0)))</f>
        <v/>
      </c>
      <c r="O852" s="9">
        <f>IF(ISNA(MATCH(839,Engine!$C$2:$C$1960,0)),"",INDEX('Compliance Database'!$O$2:$O$1960,MATCH(839,Engine!$C$2:$C$1960,0)))</f>
        <v/>
      </c>
      <c r="P852" s="8">
        <f>IF(ISNA(MATCH(839,Engine!$C$2:$C$1960,0)),"",HYPERLINK("#Acts!A"&amp;INDEX('Compliance Database'!$P$2:$P$1960,MATCH(839,Engine!$C$2:$C$1960,0)),"Go to Act"))</f>
        <v/>
      </c>
    </row>
    <row r="853" ht="158" customHeight="1">
      <c r="A853" s="8">
        <f>IF(ISNA(MATCH(840,Engine!$C$2:$C$1960,0)),"",INDEX('Compliance Database'!$A$2:$A$1960,MATCH(840,Engine!$C$2:$C$1960,0)))</f>
        <v/>
      </c>
      <c r="B853" s="8">
        <f>IF(ISNA(MATCH(840,Engine!$C$2:$C$1960,0)),"",INDEX('Compliance Database'!$B$2:$B$1960,MATCH(840,Engine!$C$2:$C$1960,0)))</f>
        <v/>
      </c>
      <c r="C853" s="8">
        <f>IF(ISNA(MATCH(840,Engine!$C$2:$C$1960,0)),"",INDEX('Compliance Database'!$C$2:$C$1960,MATCH(840,Engine!$C$2:$C$1960,0)))</f>
        <v/>
      </c>
      <c r="D853" s="9">
        <f>IF(ISNA(MATCH(840,Engine!$C$2:$C$1960,0)),"",INDEX('Compliance Database'!$D$2:$D$1960,MATCH(840,Engine!$C$2:$C$1960,0)))</f>
        <v/>
      </c>
      <c r="E853" s="8">
        <f>IF(ISNA(MATCH(840,Engine!$C$2:$C$1960,0)),"",INDEX('Compliance Database'!$E$2:$E$1960,MATCH(840,Engine!$C$2:$C$1960,0)))</f>
        <v/>
      </c>
      <c r="F853" s="8">
        <f>IF(ISNA(MATCH(840,Engine!$C$2:$C$1960,0)),"",INDEX('Compliance Database'!$F$2:$F$1960,MATCH(840,Engine!$C$2:$C$1960,0)))</f>
        <v/>
      </c>
      <c r="G853" s="8">
        <f>IF(ISNA(MATCH(840,Engine!$C$2:$C$1960,0)),"",INDEX('Compliance Database'!$G$2:$G$1960,MATCH(840,Engine!$C$2:$C$1960,0)))</f>
        <v/>
      </c>
      <c r="H853" s="9">
        <f>IF(ISNA(MATCH(840,Engine!$C$2:$C$1960,0)),"",INDEX('Compliance Database'!$H$2:$H$1960,MATCH(840,Engine!$C$2:$C$1960,0)))</f>
        <v/>
      </c>
      <c r="I853" s="9">
        <f>IF(ISNA(MATCH(840,Engine!$C$2:$C$1960,0)),"",INDEX('Compliance Database'!$I$2:$I$1960,MATCH(840,Engine!$C$2:$C$1960,0)))</f>
        <v/>
      </c>
      <c r="J853" s="8">
        <f>IF(ISNA(MATCH(840,Engine!$C$2:$C$1960,0)),"",INDEX('Compliance Database'!$J$2:$J$1960,MATCH(840,Engine!$C$2:$C$1960,0)))</f>
        <v/>
      </c>
      <c r="K853" s="9">
        <f>IF(ISNA(MATCH(840,Engine!$C$2:$C$1960,0)),"",INDEX('Compliance Database'!$K$2:$K$1960,MATCH(840,Engine!$C$2:$C$1960,0)))</f>
        <v/>
      </c>
      <c r="L853" s="9">
        <f>IF(ISNA(MATCH(840,Engine!$C$2:$C$1960,0)),"",INDEX('Compliance Database'!$L$2:$L$1960,MATCH(840,Engine!$C$2:$C$1960,0)))</f>
        <v/>
      </c>
      <c r="M853" s="9">
        <f>IF(ISNA(MATCH(840,Engine!$C$2:$C$1960,0)),"",INDEX('Compliance Database'!$M$2:$M$1960,MATCH(840,Engine!$C$2:$C$1960,0)))</f>
        <v/>
      </c>
      <c r="N853" s="9">
        <f>IF(ISNA(MATCH(840,Engine!$C$2:$C$1960,0)),"",INDEX('Compliance Database'!$N$2:$N$1960,MATCH(840,Engine!$C$2:$C$1960,0)))</f>
        <v/>
      </c>
      <c r="O853" s="9">
        <f>IF(ISNA(MATCH(840,Engine!$C$2:$C$1960,0)),"",INDEX('Compliance Database'!$O$2:$O$1960,MATCH(840,Engine!$C$2:$C$1960,0)))</f>
        <v/>
      </c>
      <c r="P853" s="8">
        <f>IF(ISNA(MATCH(840,Engine!$C$2:$C$1960,0)),"",HYPERLINK("#Acts!A"&amp;INDEX('Compliance Database'!$P$2:$P$1960,MATCH(840,Engine!$C$2:$C$1960,0)),"Go to Act"))</f>
        <v/>
      </c>
    </row>
    <row r="854" ht="158" customHeight="1">
      <c r="A854" s="8">
        <f>IF(ISNA(MATCH(841,Engine!$C$2:$C$1960,0)),"",INDEX('Compliance Database'!$A$2:$A$1960,MATCH(841,Engine!$C$2:$C$1960,0)))</f>
        <v/>
      </c>
      <c r="B854" s="8">
        <f>IF(ISNA(MATCH(841,Engine!$C$2:$C$1960,0)),"",INDEX('Compliance Database'!$B$2:$B$1960,MATCH(841,Engine!$C$2:$C$1960,0)))</f>
        <v/>
      </c>
      <c r="C854" s="8">
        <f>IF(ISNA(MATCH(841,Engine!$C$2:$C$1960,0)),"",INDEX('Compliance Database'!$C$2:$C$1960,MATCH(841,Engine!$C$2:$C$1960,0)))</f>
        <v/>
      </c>
      <c r="D854" s="9">
        <f>IF(ISNA(MATCH(841,Engine!$C$2:$C$1960,0)),"",INDEX('Compliance Database'!$D$2:$D$1960,MATCH(841,Engine!$C$2:$C$1960,0)))</f>
        <v/>
      </c>
      <c r="E854" s="8">
        <f>IF(ISNA(MATCH(841,Engine!$C$2:$C$1960,0)),"",INDEX('Compliance Database'!$E$2:$E$1960,MATCH(841,Engine!$C$2:$C$1960,0)))</f>
        <v/>
      </c>
      <c r="F854" s="8">
        <f>IF(ISNA(MATCH(841,Engine!$C$2:$C$1960,0)),"",INDEX('Compliance Database'!$F$2:$F$1960,MATCH(841,Engine!$C$2:$C$1960,0)))</f>
        <v/>
      </c>
      <c r="G854" s="8">
        <f>IF(ISNA(MATCH(841,Engine!$C$2:$C$1960,0)),"",INDEX('Compliance Database'!$G$2:$G$1960,MATCH(841,Engine!$C$2:$C$1960,0)))</f>
        <v/>
      </c>
      <c r="H854" s="9">
        <f>IF(ISNA(MATCH(841,Engine!$C$2:$C$1960,0)),"",INDEX('Compliance Database'!$H$2:$H$1960,MATCH(841,Engine!$C$2:$C$1960,0)))</f>
        <v/>
      </c>
      <c r="I854" s="9">
        <f>IF(ISNA(MATCH(841,Engine!$C$2:$C$1960,0)),"",INDEX('Compliance Database'!$I$2:$I$1960,MATCH(841,Engine!$C$2:$C$1960,0)))</f>
        <v/>
      </c>
      <c r="J854" s="8">
        <f>IF(ISNA(MATCH(841,Engine!$C$2:$C$1960,0)),"",INDEX('Compliance Database'!$J$2:$J$1960,MATCH(841,Engine!$C$2:$C$1960,0)))</f>
        <v/>
      </c>
      <c r="K854" s="9">
        <f>IF(ISNA(MATCH(841,Engine!$C$2:$C$1960,0)),"",INDEX('Compliance Database'!$K$2:$K$1960,MATCH(841,Engine!$C$2:$C$1960,0)))</f>
        <v/>
      </c>
      <c r="L854" s="9">
        <f>IF(ISNA(MATCH(841,Engine!$C$2:$C$1960,0)),"",INDEX('Compliance Database'!$L$2:$L$1960,MATCH(841,Engine!$C$2:$C$1960,0)))</f>
        <v/>
      </c>
      <c r="M854" s="9">
        <f>IF(ISNA(MATCH(841,Engine!$C$2:$C$1960,0)),"",INDEX('Compliance Database'!$M$2:$M$1960,MATCH(841,Engine!$C$2:$C$1960,0)))</f>
        <v/>
      </c>
      <c r="N854" s="9">
        <f>IF(ISNA(MATCH(841,Engine!$C$2:$C$1960,0)),"",INDEX('Compliance Database'!$N$2:$N$1960,MATCH(841,Engine!$C$2:$C$1960,0)))</f>
        <v/>
      </c>
      <c r="O854" s="9">
        <f>IF(ISNA(MATCH(841,Engine!$C$2:$C$1960,0)),"",INDEX('Compliance Database'!$O$2:$O$1960,MATCH(841,Engine!$C$2:$C$1960,0)))</f>
        <v/>
      </c>
      <c r="P854" s="8">
        <f>IF(ISNA(MATCH(841,Engine!$C$2:$C$1960,0)),"",HYPERLINK("#Acts!A"&amp;INDEX('Compliance Database'!$P$2:$P$1960,MATCH(841,Engine!$C$2:$C$1960,0)),"Go to Act"))</f>
        <v/>
      </c>
    </row>
    <row r="855" ht="158" customHeight="1">
      <c r="A855" s="8">
        <f>IF(ISNA(MATCH(842,Engine!$C$2:$C$1960,0)),"",INDEX('Compliance Database'!$A$2:$A$1960,MATCH(842,Engine!$C$2:$C$1960,0)))</f>
        <v/>
      </c>
      <c r="B855" s="8">
        <f>IF(ISNA(MATCH(842,Engine!$C$2:$C$1960,0)),"",INDEX('Compliance Database'!$B$2:$B$1960,MATCH(842,Engine!$C$2:$C$1960,0)))</f>
        <v/>
      </c>
      <c r="C855" s="8">
        <f>IF(ISNA(MATCH(842,Engine!$C$2:$C$1960,0)),"",INDEX('Compliance Database'!$C$2:$C$1960,MATCH(842,Engine!$C$2:$C$1960,0)))</f>
        <v/>
      </c>
      <c r="D855" s="9">
        <f>IF(ISNA(MATCH(842,Engine!$C$2:$C$1960,0)),"",INDEX('Compliance Database'!$D$2:$D$1960,MATCH(842,Engine!$C$2:$C$1960,0)))</f>
        <v/>
      </c>
      <c r="E855" s="8">
        <f>IF(ISNA(MATCH(842,Engine!$C$2:$C$1960,0)),"",INDEX('Compliance Database'!$E$2:$E$1960,MATCH(842,Engine!$C$2:$C$1960,0)))</f>
        <v/>
      </c>
      <c r="F855" s="8">
        <f>IF(ISNA(MATCH(842,Engine!$C$2:$C$1960,0)),"",INDEX('Compliance Database'!$F$2:$F$1960,MATCH(842,Engine!$C$2:$C$1960,0)))</f>
        <v/>
      </c>
      <c r="G855" s="8">
        <f>IF(ISNA(MATCH(842,Engine!$C$2:$C$1960,0)),"",INDEX('Compliance Database'!$G$2:$G$1960,MATCH(842,Engine!$C$2:$C$1960,0)))</f>
        <v/>
      </c>
      <c r="H855" s="9">
        <f>IF(ISNA(MATCH(842,Engine!$C$2:$C$1960,0)),"",INDEX('Compliance Database'!$H$2:$H$1960,MATCH(842,Engine!$C$2:$C$1960,0)))</f>
        <v/>
      </c>
      <c r="I855" s="9">
        <f>IF(ISNA(MATCH(842,Engine!$C$2:$C$1960,0)),"",INDEX('Compliance Database'!$I$2:$I$1960,MATCH(842,Engine!$C$2:$C$1960,0)))</f>
        <v/>
      </c>
      <c r="J855" s="8">
        <f>IF(ISNA(MATCH(842,Engine!$C$2:$C$1960,0)),"",INDEX('Compliance Database'!$J$2:$J$1960,MATCH(842,Engine!$C$2:$C$1960,0)))</f>
        <v/>
      </c>
      <c r="K855" s="9">
        <f>IF(ISNA(MATCH(842,Engine!$C$2:$C$1960,0)),"",INDEX('Compliance Database'!$K$2:$K$1960,MATCH(842,Engine!$C$2:$C$1960,0)))</f>
        <v/>
      </c>
      <c r="L855" s="9">
        <f>IF(ISNA(MATCH(842,Engine!$C$2:$C$1960,0)),"",INDEX('Compliance Database'!$L$2:$L$1960,MATCH(842,Engine!$C$2:$C$1960,0)))</f>
        <v/>
      </c>
      <c r="M855" s="9">
        <f>IF(ISNA(MATCH(842,Engine!$C$2:$C$1960,0)),"",INDEX('Compliance Database'!$M$2:$M$1960,MATCH(842,Engine!$C$2:$C$1960,0)))</f>
        <v/>
      </c>
      <c r="N855" s="9">
        <f>IF(ISNA(MATCH(842,Engine!$C$2:$C$1960,0)),"",INDEX('Compliance Database'!$N$2:$N$1960,MATCH(842,Engine!$C$2:$C$1960,0)))</f>
        <v/>
      </c>
      <c r="O855" s="9">
        <f>IF(ISNA(MATCH(842,Engine!$C$2:$C$1960,0)),"",INDEX('Compliance Database'!$O$2:$O$1960,MATCH(842,Engine!$C$2:$C$1960,0)))</f>
        <v/>
      </c>
      <c r="P855" s="8">
        <f>IF(ISNA(MATCH(842,Engine!$C$2:$C$1960,0)),"",HYPERLINK("#Acts!A"&amp;INDEX('Compliance Database'!$P$2:$P$1960,MATCH(842,Engine!$C$2:$C$1960,0)),"Go to Act"))</f>
        <v/>
      </c>
    </row>
    <row r="856" ht="158" customHeight="1">
      <c r="A856" s="8">
        <f>IF(ISNA(MATCH(843,Engine!$C$2:$C$1960,0)),"",INDEX('Compliance Database'!$A$2:$A$1960,MATCH(843,Engine!$C$2:$C$1960,0)))</f>
        <v/>
      </c>
      <c r="B856" s="8">
        <f>IF(ISNA(MATCH(843,Engine!$C$2:$C$1960,0)),"",INDEX('Compliance Database'!$B$2:$B$1960,MATCH(843,Engine!$C$2:$C$1960,0)))</f>
        <v/>
      </c>
      <c r="C856" s="8">
        <f>IF(ISNA(MATCH(843,Engine!$C$2:$C$1960,0)),"",INDEX('Compliance Database'!$C$2:$C$1960,MATCH(843,Engine!$C$2:$C$1960,0)))</f>
        <v/>
      </c>
      <c r="D856" s="9">
        <f>IF(ISNA(MATCH(843,Engine!$C$2:$C$1960,0)),"",INDEX('Compliance Database'!$D$2:$D$1960,MATCH(843,Engine!$C$2:$C$1960,0)))</f>
        <v/>
      </c>
      <c r="E856" s="8">
        <f>IF(ISNA(MATCH(843,Engine!$C$2:$C$1960,0)),"",INDEX('Compliance Database'!$E$2:$E$1960,MATCH(843,Engine!$C$2:$C$1960,0)))</f>
        <v/>
      </c>
      <c r="F856" s="8">
        <f>IF(ISNA(MATCH(843,Engine!$C$2:$C$1960,0)),"",INDEX('Compliance Database'!$F$2:$F$1960,MATCH(843,Engine!$C$2:$C$1960,0)))</f>
        <v/>
      </c>
      <c r="G856" s="8">
        <f>IF(ISNA(MATCH(843,Engine!$C$2:$C$1960,0)),"",INDEX('Compliance Database'!$G$2:$G$1960,MATCH(843,Engine!$C$2:$C$1960,0)))</f>
        <v/>
      </c>
      <c r="H856" s="9">
        <f>IF(ISNA(MATCH(843,Engine!$C$2:$C$1960,0)),"",INDEX('Compliance Database'!$H$2:$H$1960,MATCH(843,Engine!$C$2:$C$1960,0)))</f>
        <v/>
      </c>
      <c r="I856" s="9">
        <f>IF(ISNA(MATCH(843,Engine!$C$2:$C$1960,0)),"",INDEX('Compliance Database'!$I$2:$I$1960,MATCH(843,Engine!$C$2:$C$1960,0)))</f>
        <v/>
      </c>
      <c r="J856" s="8">
        <f>IF(ISNA(MATCH(843,Engine!$C$2:$C$1960,0)),"",INDEX('Compliance Database'!$J$2:$J$1960,MATCH(843,Engine!$C$2:$C$1960,0)))</f>
        <v/>
      </c>
      <c r="K856" s="9">
        <f>IF(ISNA(MATCH(843,Engine!$C$2:$C$1960,0)),"",INDEX('Compliance Database'!$K$2:$K$1960,MATCH(843,Engine!$C$2:$C$1960,0)))</f>
        <v/>
      </c>
      <c r="L856" s="9">
        <f>IF(ISNA(MATCH(843,Engine!$C$2:$C$1960,0)),"",INDEX('Compliance Database'!$L$2:$L$1960,MATCH(843,Engine!$C$2:$C$1960,0)))</f>
        <v/>
      </c>
      <c r="M856" s="9">
        <f>IF(ISNA(MATCH(843,Engine!$C$2:$C$1960,0)),"",INDEX('Compliance Database'!$M$2:$M$1960,MATCH(843,Engine!$C$2:$C$1960,0)))</f>
        <v/>
      </c>
      <c r="N856" s="9">
        <f>IF(ISNA(MATCH(843,Engine!$C$2:$C$1960,0)),"",INDEX('Compliance Database'!$N$2:$N$1960,MATCH(843,Engine!$C$2:$C$1960,0)))</f>
        <v/>
      </c>
      <c r="O856" s="9">
        <f>IF(ISNA(MATCH(843,Engine!$C$2:$C$1960,0)),"",INDEX('Compliance Database'!$O$2:$O$1960,MATCH(843,Engine!$C$2:$C$1960,0)))</f>
        <v/>
      </c>
      <c r="P856" s="8">
        <f>IF(ISNA(MATCH(843,Engine!$C$2:$C$1960,0)),"",HYPERLINK("#Acts!A"&amp;INDEX('Compliance Database'!$P$2:$P$1960,MATCH(843,Engine!$C$2:$C$1960,0)),"Go to Act"))</f>
        <v/>
      </c>
    </row>
    <row r="857" ht="158" customHeight="1">
      <c r="A857" s="8">
        <f>IF(ISNA(MATCH(844,Engine!$C$2:$C$1960,0)),"",INDEX('Compliance Database'!$A$2:$A$1960,MATCH(844,Engine!$C$2:$C$1960,0)))</f>
        <v/>
      </c>
      <c r="B857" s="8">
        <f>IF(ISNA(MATCH(844,Engine!$C$2:$C$1960,0)),"",INDEX('Compliance Database'!$B$2:$B$1960,MATCH(844,Engine!$C$2:$C$1960,0)))</f>
        <v/>
      </c>
      <c r="C857" s="8">
        <f>IF(ISNA(MATCH(844,Engine!$C$2:$C$1960,0)),"",INDEX('Compliance Database'!$C$2:$C$1960,MATCH(844,Engine!$C$2:$C$1960,0)))</f>
        <v/>
      </c>
      <c r="D857" s="9">
        <f>IF(ISNA(MATCH(844,Engine!$C$2:$C$1960,0)),"",INDEX('Compliance Database'!$D$2:$D$1960,MATCH(844,Engine!$C$2:$C$1960,0)))</f>
        <v/>
      </c>
      <c r="E857" s="8">
        <f>IF(ISNA(MATCH(844,Engine!$C$2:$C$1960,0)),"",INDEX('Compliance Database'!$E$2:$E$1960,MATCH(844,Engine!$C$2:$C$1960,0)))</f>
        <v/>
      </c>
      <c r="F857" s="8">
        <f>IF(ISNA(MATCH(844,Engine!$C$2:$C$1960,0)),"",INDEX('Compliance Database'!$F$2:$F$1960,MATCH(844,Engine!$C$2:$C$1960,0)))</f>
        <v/>
      </c>
      <c r="G857" s="8">
        <f>IF(ISNA(MATCH(844,Engine!$C$2:$C$1960,0)),"",INDEX('Compliance Database'!$G$2:$G$1960,MATCH(844,Engine!$C$2:$C$1960,0)))</f>
        <v/>
      </c>
      <c r="H857" s="9">
        <f>IF(ISNA(MATCH(844,Engine!$C$2:$C$1960,0)),"",INDEX('Compliance Database'!$H$2:$H$1960,MATCH(844,Engine!$C$2:$C$1960,0)))</f>
        <v/>
      </c>
      <c r="I857" s="9">
        <f>IF(ISNA(MATCH(844,Engine!$C$2:$C$1960,0)),"",INDEX('Compliance Database'!$I$2:$I$1960,MATCH(844,Engine!$C$2:$C$1960,0)))</f>
        <v/>
      </c>
      <c r="J857" s="8">
        <f>IF(ISNA(MATCH(844,Engine!$C$2:$C$1960,0)),"",INDEX('Compliance Database'!$J$2:$J$1960,MATCH(844,Engine!$C$2:$C$1960,0)))</f>
        <v/>
      </c>
      <c r="K857" s="9">
        <f>IF(ISNA(MATCH(844,Engine!$C$2:$C$1960,0)),"",INDEX('Compliance Database'!$K$2:$K$1960,MATCH(844,Engine!$C$2:$C$1960,0)))</f>
        <v/>
      </c>
      <c r="L857" s="9">
        <f>IF(ISNA(MATCH(844,Engine!$C$2:$C$1960,0)),"",INDEX('Compliance Database'!$L$2:$L$1960,MATCH(844,Engine!$C$2:$C$1960,0)))</f>
        <v/>
      </c>
      <c r="M857" s="9">
        <f>IF(ISNA(MATCH(844,Engine!$C$2:$C$1960,0)),"",INDEX('Compliance Database'!$M$2:$M$1960,MATCH(844,Engine!$C$2:$C$1960,0)))</f>
        <v/>
      </c>
      <c r="N857" s="9">
        <f>IF(ISNA(MATCH(844,Engine!$C$2:$C$1960,0)),"",INDEX('Compliance Database'!$N$2:$N$1960,MATCH(844,Engine!$C$2:$C$1960,0)))</f>
        <v/>
      </c>
      <c r="O857" s="9">
        <f>IF(ISNA(MATCH(844,Engine!$C$2:$C$1960,0)),"",INDEX('Compliance Database'!$O$2:$O$1960,MATCH(844,Engine!$C$2:$C$1960,0)))</f>
        <v/>
      </c>
      <c r="P857" s="8">
        <f>IF(ISNA(MATCH(844,Engine!$C$2:$C$1960,0)),"",HYPERLINK("#Acts!A"&amp;INDEX('Compliance Database'!$P$2:$P$1960,MATCH(844,Engine!$C$2:$C$1960,0)),"Go to Act"))</f>
        <v/>
      </c>
    </row>
    <row r="858" ht="158" customHeight="1">
      <c r="A858" s="8">
        <f>IF(ISNA(MATCH(845,Engine!$C$2:$C$1960,0)),"",INDEX('Compliance Database'!$A$2:$A$1960,MATCH(845,Engine!$C$2:$C$1960,0)))</f>
        <v/>
      </c>
      <c r="B858" s="8">
        <f>IF(ISNA(MATCH(845,Engine!$C$2:$C$1960,0)),"",INDEX('Compliance Database'!$B$2:$B$1960,MATCH(845,Engine!$C$2:$C$1960,0)))</f>
        <v/>
      </c>
      <c r="C858" s="8">
        <f>IF(ISNA(MATCH(845,Engine!$C$2:$C$1960,0)),"",INDEX('Compliance Database'!$C$2:$C$1960,MATCH(845,Engine!$C$2:$C$1960,0)))</f>
        <v/>
      </c>
      <c r="D858" s="9">
        <f>IF(ISNA(MATCH(845,Engine!$C$2:$C$1960,0)),"",INDEX('Compliance Database'!$D$2:$D$1960,MATCH(845,Engine!$C$2:$C$1960,0)))</f>
        <v/>
      </c>
      <c r="E858" s="8">
        <f>IF(ISNA(MATCH(845,Engine!$C$2:$C$1960,0)),"",INDEX('Compliance Database'!$E$2:$E$1960,MATCH(845,Engine!$C$2:$C$1960,0)))</f>
        <v/>
      </c>
      <c r="F858" s="8">
        <f>IF(ISNA(MATCH(845,Engine!$C$2:$C$1960,0)),"",INDEX('Compliance Database'!$F$2:$F$1960,MATCH(845,Engine!$C$2:$C$1960,0)))</f>
        <v/>
      </c>
      <c r="G858" s="8">
        <f>IF(ISNA(MATCH(845,Engine!$C$2:$C$1960,0)),"",INDEX('Compliance Database'!$G$2:$G$1960,MATCH(845,Engine!$C$2:$C$1960,0)))</f>
        <v/>
      </c>
      <c r="H858" s="9">
        <f>IF(ISNA(MATCH(845,Engine!$C$2:$C$1960,0)),"",INDEX('Compliance Database'!$H$2:$H$1960,MATCH(845,Engine!$C$2:$C$1960,0)))</f>
        <v/>
      </c>
      <c r="I858" s="9">
        <f>IF(ISNA(MATCH(845,Engine!$C$2:$C$1960,0)),"",INDEX('Compliance Database'!$I$2:$I$1960,MATCH(845,Engine!$C$2:$C$1960,0)))</f>
        <v/>
      </c>
      <c r="J858" s="8">
        <f>IF(ISNA(MATCH(845,Engine!$C$2:$C$1960,0)),"",INDEX('Compliance Database'!$J$2:$J$1960,MATCH(845,Engine!$C$2:$C$1960,0)))</f>
        <v/>
      </c>
      <c r="K858" s="9">
        <f>IF(ISNA(MATCH(845,Engine!$C$2:$C$1960,0)),"",INDEX('Compliance Database'!$K$2:$K$1960,MATCH(845,Engine!$C$2:$C$1960,0)))</f>
        <v/>
      </c>
      <c r="L858" s="9">
        <f>IF(ISNA(MATCH(845,Engine!$C$2:$C$1960,0)),"",INDEX('Compliance Database'!$L$2:$L$1960,MATCH(845,Engine!$C$2:$C$1960,0)))</f>
        <v/>
      </c>
      <c r="M858" s="9">
        <f>IF(ISNA(MATCH(845,Engine!$C$2:$C$1960,0)),"",INDEX('Compliance Database'!$M$2:$M$1960,MATCH(845,Engine!$C$2:$C$1960,0)))</f>
        <v/>
      </c>
      <c r="N858" s="9">
        <f>IF(ISNA(MATCH(845,Engine!$C$2:$C$1960,0)),"",INDEX('Compliance Database'!$N$2:$N$1960,MATCH(845,Engine!$C$2:$C$1960,0)))</f>
        <v/>
      </c>
      <c r="O858" s="9">
        <f>IF(ISNA(MATCH(845,Engine!$C$2:$C$1960,0)),"",INDEX('Compliance Database'!$O$2:$O$1960,MATCH(845,Engine!$C$2:$C$1960,0)))</f>
        <v/>
      </c>
      <c r="P858" s="8">
        <f>IF(ISNA(MATCH(845,Engine!$C$2:$C$1960,0)),"",HYPERLINK("#Acts!A"&amp;INDEX('Compliance Database'!$P$2:$P$1960,MATCH(845,Engine!$C$2:$C$1960,0)),"Go to Act"))</f>
        <v/>
      </c>
    </row>
    <row r="859" ht="158" customHeight="1">
      <c r="A859" s="8">
        <f>IF(ISNA(MATCH(846,Engine!$C$2:$C$1960,0)),"",INDEX('Compliance Database'!$A$2:$A$1960,MATCH(846,Engine!$C$2:$C$1960,0)))</f>
        <v/>
      </c>
      <c r="B859" s="8">
        <f>IF(ISNA(MATCH(846,Engine!$C$2:$C$1960,0)),"",INDEX('Compliance Database'!$B$2:$B$1960,MATCH(846,Engine!$C$2:$C$1960,0)))</f>
        <v/>
      </c>
      <c r="C859" s="8">
        <f>IF(ISNA(MATCH(846,Engine!$C$2:$C$1960,0)),"",INDEX('Compliance Database'!$C$2:$C$1960,MATCH(846,Engine!$C$2:$C$1960,0)))</f>
        <v/>
      </c>
      <c r="D859" s="9">
        <f>IF(ISNA(MATCH(846,Engine!$C$2:$C$1960,0)),"",INDEX('Compliance Database'!$D$2:$D$1960,MATCH(846,Engine!$C$2:$C$1960,0)))</f>
        <v/>
      </c>
      <c r="E859" s="8">
        <f>IF(ISNA(MATCH(846,Engine!$C$2:$C$1960,0)),"",INDEX('Compliance Database'!$E$2:$E$1960,MATCH(846,Engine!$C$2:$C$1960,0)))</f>
        <v/>
      </c>
      <c r="F859" s="8">
        <f>IF(ISNA(MATCH(846,Engine!$C$2:$C$1960,0)),"",INDEX('Compliance Database'!$F$2:$F$1960,MATCH(846,Engine!$C$2:$C$1960,0)))</f>
        <v/>
      </c>
      <c r="G859" s="8">
        <f>IF(ISNA(MATCH(846,Engine!$C$2:$C$1960,0)),"",INDEX('Compliance Database'!$G$2:$G$1960,MATCH(846,Engine!$C$2:$C$1960,0)))</f>
        <v/>
      </c>
      <c r="H859" s="9">
        <f>IF(ISNA(MATCH(846,Engine!$C$2:$C$1960,0)),"",INDEX('Compliance Database'!$H$2:$H$1960,MATCH(846,Engine!$C$2:$C$1960,0)))</f>
        <v/>
      </c>
      <c r="I859" s="9">
        <f>IF(ISNA(MATCH(846,Engine!$C$2:$C$1960,0)),"",INDEX('Compliance Database'!$I$2:$I$1960,MATCH(846,Engine!$C$2:$C$1960,0)))</f>
        <v/>
      </c>
      <c r="J859" s="8">
        <f>IF(ISNA(MATCH(846,Engine!$C$2:$C$1960,0)),"",INDEX('Compliance Database'!$J$2:$J$1960,MATCH(846,Engine!$C$2:$C$1960,0)))</f>
        <v/>
      </c>
      <c r="K859" s="9">
        <f>IF(ISNA(MATCH(846,Engine!$C$2:$C$1960,0)),"",INDEX('Compliance Database'!$K$2:$K$1960,MATCH(846,Engine!$C$2:$C$1960,0)))</f>
        <v/>
      </c>
      <c r="L859" s="9">
        <f>IF(ISNA(MATCH(846,Engine!$C$2:$C$1960,0)),"",INDEX('Compliance Database'!$L$2:$L$1960,MATCH(846,Engine!$C$2:$C$1960,0)))</f>
        <v/>
      </c>
      <c r="M859" s="9">
        <f>IF(ISNA(MATCH(846,Engine!$C$2:$C$1960,0)),"",INDEX('Compliance Database'!$M$2:$M$1960,MATCH(846,Engine!$C$2:$C$1960,0)))</f>
        <v/>
      </c>
      <c r="N859" s="9">
        <f>IF(ISNA(MATCH(846,Engine!$C$2:$C$1960,0)),"",INDEX('Compliance Database'!$N$2:$N$1960,MATCH(846,Engine!$C$2:$C$1960,0)))</f>
        <v/>
      </c>
      <c r="O859" s="9">
        <f>IF(ISNA(MATCH(846,Engine!$C$2:$C$1960,0)),"",INDEX('Compliance Database'!$O$2:$O$1960,MATCH(846,Engine!$C$2:$C$1960,0)))</f>
        <v/>
      </c>
      <c r="P859" s="8">
        <f>IF(ISNA(MATCH(846,Engine!$C$2:$C$1960,0)),"",HYPERLINK("#Acts!A"&amp;INDEX('Compliance Database'!$P$2:$P$1960,MATCH(846,Engine!$C$2:$C$1960,0)),"Go to Act"))</f>
        <v/>
      </c>
    </row>
    <row r="860" ht="158" customHeight="1">
      <c r="A860" s="8">
        <f>IF(ISNA(MATCH(847,Engine!$C$2:$C$1960,0)),"",INDEX('Compliance Database'!$A$2:$A$1960,MATCH(847,Engine!$C$2:$C$1960,0)))</f>
        <v/>
      </c>
      <c r="B860" s="8">
        <f>IF(ISNA(MATCH(847,Engine!$C$2:$C$1960,0)),"",INDEX('Compliance Database'!$B$2:$B$1960,MATCH(847,Engine!$C$2:$C$1960,0)))</f>
        <v/>
      </c>
      <c r="C860" s="8">
        <f>IF(ISNA(MATCH(847,Engine!$C$2:$C$1960,0)),"",INDEX('Compliance Database'!$C$2:$C$1960,MATCH(847,Engine!$C$2:$C$1960,0)))</f>
        <v/>
      </c>
      <c r="D860" s="9">
        <f>IF(ISNA(MATCH(847,Engine!$C$2:$C$1960,0)),"",INDEX('Compliance Database'!$D$2:$D$1960,MATCH(847,Engine!$C$2:$C$1960,0)))</f>
        <v/>
      </c>
      <c r="E860" s="8">
        <f>IF(ISNA(MATCH(847,Engine!$C$2:$C$1960,0)),"",INDEX('Compliance Database'!$E$2:$E$1960,MATCH(847,Engine!$C$2:$C$1960,0)))</f>
        <v/>
      </c>
      <c r="F860" s="8">
        <f>IF(ISNA(MATCH(847,Engine!$C$2:$C$1960,0)),"",INDEX('Compliance Database'!$F$2:$F$1960,MATCH(847,Engine!$C$2:$C$1960,0)))</f>
        <v/>
      </c>
      <c r="G860" s="8">
        <f>IF(ISNA(MATCH(847,Engine!$C$2:$C$1960,0)),"",INDEX('Compliance Database'!$G$2:$G$1960,MATCH(847,Engine!$C$2:$C$1960,0)))</f>
        <v/>
      </c>
      <c r="H860" s="9">
        <f>IF(ISNA(MATCH(847,Engine!$C$2:$C$1960,0)),"",INDEX('Compliance Database'!$H$2:$H$1960,MATCH(847,Engine!$C$2:$C$1960,0)))</f>
        <v/>
      </c>
      <c r="I860" s="9">
        <f>IF(ISNA(MATCH(847,Engine!$C$2:$C$1960,0)),"",INDEX('Compliance Database'!$I$2:$I$1960,MATCH(847,Engine!$C$2:$C$1960,0)))</f>
        <v/>
      </c>
      <c r="J860" s="8">
        <f>IF(ISNA(MATCH(847,Engine!$C$2:$C$1960,0)),"",INDEX('Compliance Database'!$J$2:$J$1960,MATCH(847,Engine!$C$2:$C$1960,0)))</f>
        <v/>
      </c>
      <c r="K860" s="9">
        <f>IF(ISNA(MATCH(847,Engine!$C$2:$C$1960,0)),"",INDEX('Compliance Database'!$K$2:$K$1960,MATCH(847,Engine!$C$2:$C$1960,0)))</f>
        <v/>
      </c>
      <c r="L860" s="9">
        <f>IF(ISNA(MATCH(847,Engine!$C$2:$C$1960,0)),"",INDEX('Compliance Database'!$L$2:$L$1960,MATCH(847,Engine!$C$2:$C$1960,0)))</f>
        <v/>
      </c>
      <c r="M860" s="9">
        <f>IF(ISNA(MATCH(847,Engine!$C$2:$C$1960,0)),"",INDEX('Compliance Database'!$M$2:$M$1960,MATCH(847,Engine!$C$2:$C$1960,0)))</f>
        <v/>
      </c>
      <c r="N860" s="9">
        <f>IF(ISNA(MATCH(847,Engine!$C$2:$C$1960,0)),"",INDEX('Compliance Database'!$N$2:$N$1960,MATCH(847,Engine!$C$2:$C$1960,0)))</f>
        <v/>
      </c>
      <c r="O860" s="9">
        <f>IF(ISNA(MATCH(847,Engine!$C$2:$C$1960,0)),"",INDEX('Compliance Database'!$O$2:$O$1960,MATCH(847,Engine!$C$2:$C$1960,0)))</f>
        <v/>
      </c>
      <c r="P860" s="8">
        <f>IF(ISNA(MATCH(847,Engine!$C$2:$C$1960,0)),"",HYPERLINK("#Acts!A"&amp;INDEX('Compliance Database'!$P$2:$P$1960,MATCH(847,Engine!$C$2:$C$1960,0)),"Go to Act"))</f>
        <v/>
      </c>
    </row>
    <row r="861" ht="158" customHeight="1">
      <c r="A861" s="8">
        <f>IF(ISNA(MATCH(848,Engine!$C$2:$C$1960,0)),"",INDEX('Compliance Database'!$A$2:$A$1960,MATCH(848,Engine!$C$2:$C$1960,0)))</f>
        <v/>
      </c>
      <c r="B861" s="8">
        <f>IF(ISNA(MATCH(848,Engine!$C$2:$C$1960,0)),"",INDEX('Compliance Database'!$B$2:$B$1960,MATCH(848,Engine!$C$2:$C$1960,0)))</f>
        <v/>
      </c>
      <c r="C861" s="8">
        <f>IF(ISNA(MATCH(848,Engine!$C$2:$C$1960,0)),"",INDEX('Compliance Database'!$C$2:$C$1960,MATCH(848,Engine!$C$2:$C$1960,0)))</f>
        <v/>
      </c>
      <c r="D861" s="9">
        <f>IF(ISNA(MATCH(848,Engine!$C$2:$C$1960,0)),"",INDEX('Compliance Database'!$D$2:$D$1960,MATCH(848,Engine!$C$2:$C$1960,0)))</f>
        <v/>
      </c>
      <c r="E861" s="8">
        <f>IF(ISNA(MATCH(848,Engine!$C$2:$C$1960,0)),"",INDEX('Compliance Database'!$E$2:$E$1960,MATCH(848,Engine!$C$2:$C$1960,0)))</f>
        <v/>
      </c>
      <c r="F861" s="8">
        <f>IF(ISNA(MATCH(848,Engine!$C$2:$C$1960,0)),"",INDEX('Compliance Database'!$F$2:$F$1960,MATCH(848,Engine!$C$2:$C$1960,0)))</f>
        <v/>
      </c>
      <c r="G861" s="8">
        <f>IF(ISNA(MATCH(848,Engine!$C$2:$C$1960,0)),"",INDEX('Compliance Database'!$G$2:$G$1960,MATCH(848,Engine!$C$2:$C$1960,0)))</f>
        <v/>
      </c>
      <c r="H861" s="9">
        <f>IF(ISNA(MATCH(848,Engine!$C$2:$C$1960,0)),"",INDEX('Compliance Database'!$H$2:$H$1960,MATCH(848,Engine!$C$2:$C$1960,0)))</f>
        <v/>
      </c>
      <c r="I861" s="9">
        <f>IF(ISNA(MATCH(848,Engine!$C$2:$C$1960,0)),"",INDEX('Compliance Database'!$I$2:$I$1960,MATCH(848,Engine!$C$2:$C$1960,0)))</f>
        <v/>
      </c>
      <c r="J861" s="8">
        <f>IF(ISNA(MATCH(848,Engine!$C$2:$C$1960,0)),"",INDEX('Compliance Database'!$J$2:$J$1960,MATCH(848,Engine!$C$2:$C$1960,0)))</f>
        <v/>
      </c>
      <c r="K861" s="9">
        <f>IF(ISNA(MATCH(848,Engine!$C$2:$C$1960,0)),"",INDEX('Compliance Database'!$K$2:$K$1960,MATCH(848,Engine!$C$2:$C$1960,0)))</f>
        <v/>
      </c>
      <c r="L861" s="9">
        <f>IF(ISNA(MATCH(848,Engine!$C$2:$C$1960,0)),"",INDEX('Compliance Database'!$L$2:$L$1960,MATCH(848,Engine!$C$2:$C$1960,0)))</f>
        <v/>
      </c>
      <c r="M861" s="9">
        <f>IF(ISNA(MATCH(848,Engine!$C$2:$C$1960,0)),"",INDEX('Compliance Database'!$M$2:$M$1960,MATCH(848,Engine!$C$2:$C$1960,0)))</f>
        <v/>
      </c>
      <c r="N861" s="9">
        <f>IF(ISNA(MATCH(848,Engine!$C$2:$C$1960,0)),"",INDEX('Compliance Database'!$N$2:$N$1960,MATCH(848,Engine!$C$2:$C$1960,0)))</f>
        <v/>
      </c>
      <c r="O861" s="9">
        <f>IF(ISNA(MATCH(848,Engine!$C$2:$C$1960,0)),"",INDEX('Compliance Database'!$O$2:$O$1960,MATCH(848,Engine!$C$2:$C$1960,0)))</f>
        <v/>
      </c>
      <c r="P861" s="8">
        <f>IF(ISNA(MATCH(848,Engine!$C$2:$C$1960,0)),"",HYPERLINK("#Acts!A"&amp;INDEX('Compliance Database'!$P$2:$P$1960,MATCH(848,Engine!$C$2:$C$1960,0)),"Go to Act"))</f>
        <v/>
      </c>
    </row>
    <row r="862" ht="158" customHeight="1">
      <c r="A862" s="8">
        <f>IF(ISNA(MATCH(849,Engine!$C$2:$C$1960,0)),"",INDEX('Compliance Database'!$A$2:$A$1960,MATCH(849,Engine!$C$2:$C$1960,0)))</f>
        <v/>
      </c>
      <c r="B862" s="8">
        <f>IF(ISNA(MATCH(849,Engine!$C$2:$C$1960,0)),"",INDEX('Compliance Database'!$B$2:$B$1960,MATCH(849,Engine!$C$2:$C$1960,0)))</f>
        <v/>
      </c>
      <c r="C862" s="8">
        <f>IF(ISNA(MATCH(849,Engine!$C$2:$C$1960,0)),"",INDEX('Compliance Database'!$C$2:$C$1960,MATCH(849,Engine!$C$2:$C$1960,0)))</f>
        <v/>
      </c>
      <c r="D862" s="9">
        <f>IF(ISNA(MATCH(849,Engine!$C$2:$C$1960,0)),"",INDEX('Compliance Database'!$D$2:$D$1960,MATCH(849,Engine!$C$2:$C$1960,0)))</f>
        <v/>
      </c>
      <c r="E862" s="8">
        <f>IF(ISNA(MATCH(849,Engine!$C$2:$C$1960,0)),"",INDEX('Compliance Database'!$E$2:$E$1960,MATCH(849,Engine!$C$2:$C$1960,0)))</f>
        <v/>
      </c>
      <c r="F862" s="8">
        <f>IF(ISNA(MATCH(849,Engine!$C$2:$C$1960,0)),"",INDEX('Compliance Database'!$F$2:$F$1960,MATCH(849,Engine!$C$2:$C$1960,0)))</f>
        <v/>
      </c>
      <c r="G862" s="8">
        <f>IF(ISNA(MATCH(849,Engine!$C$2:$C$1960,0)),"",INDEX('Compliance Database'!$G$2:$G$1960,MATCH(849,Engine!$C$2:$C$1960,0)))</f>
        <v/>
      </c>
      <c r="H862" s="9">
        <f>IF(ISNA(MATCH(849,Engine!$C$2:$C$1960,0)),"",INDEX('Compliance Database'!$H$2:$H$1960,MATCH(849,Engine!$C$2:$C$1960,0)))</f>
        <v/>
      </c>
      <c r="I862" s="9">
        <f>IF(ISNA(MATCH(849,Engine!$C$2:$C$1960,0)),"",INDEX('Compliance Database'!$I$2:$I$1960,MATCH(849,Engine!$C$2:$C$1960,0)))</f>
        <v/>
      </c>
      <c r="J862" s="8">
        <f>IF(ISNA(MATCH(849,Engine!$C$2:$C$1960,0)),"",INDEX('Compliance Database'!$J$2:$J$1960,MATCH(849,Engine!$C$2:$C$1960,0)))</f>
        <v/>
      </c>
      <c r="K862" s="9">
        <f>IF(ISNA(MATCH(849,Engine!$C$2:$C$1960,0)),"",INDEX('Compliance Database'!$K$2:$K$1960,MATCH(849,Engine!$C$2:$C$1960,0)))</f>
        <v/>
      </c>
      <c r="L862" s="9">
        <f>IF(ISNA(MATCH(849,Engine!$C$2:$C$1960,0)),"",INDEX('Compliance Database'!$L$2:$L$1960,MATCH(849,Engine!$C$2:$C$1960,0)))</f>
        <v/>
      </c>
      <c r="M862" s="9">
        <f>IF(ISNA(MATCH(849,Engine!$C$2:$C$1960,0)),"",INDEX('Compliance Database'!$M$2:$M$1960,MATCH(849,Engine!$C$2:$C$1960,0)))</f>
        <v/>
      </c>
      <c r="N862" s="9">
        <f>IF(ISNA(MATCH(849,Engine!$C$2:$C$1960,0)),"",INDEX('Compliance Database'!$N$2:$N$1960,MATCH(849,Engine!$C$2:$C$1960,0)))</f>
        <v/>
      </c>
      <c r="O862" s="9">
        <f>IF(ISNA(MATCH(849,Engine!$C$2:$C$1960,0)),"",INDEX('Compliance Database'!$O$2:$O$1960,MATCH(849,Engine!$C$2:$C$1960,0)))</f>
        <v/>
      </c>
      <c r="P862" s="8">
        <f>IF(ISNA(MATCH(849,Engine!$C$2:$C$1960,0)),"",HYPERLINK("#Acts!A"&amp;INDEX('Compliance Database'!$P$2:$P$1960,MATCH(849,Engine!$C$2:$C$1960,0)),"Go to Act"))</f>
        <v/>
      </c>
    </row>
    <row r="863" ht="158" customHeight="1">
      <c r="A863" s="8">
        <f>IF(ISNA(MATCH(850,Engine!$C$2:$C$1960,0)),"",INDEX('Compliance Database'!$A$2:$A$1960,MATCH(850,Engine!$C$2:$C$1960,0)))</f>
        <v/>
      </c>
      <c r="B863" s="8">
        <f>IF(ISNA(MATCH(850,Engine!$C$2:$C$1960,0)),"",INDEX('Compliance Database'!$B$2:$B$1960,MATCH(850,Engine!$C$2:$C$1960,0)))</f>
        <v/>
      </c>
      <c r="C863" s="8">
        <f>IF(ISNA(MATCH(850,Engine!$C$2:$C$1960,0)),"",INDEX('Compliance Database'!$C$2:$C$1960,MATCH(850,Engine!$C$2:$C$1960,0)))</f>
        <v/>
      </c>
      <c r="D863" s="9">
        <f>IF(ISNA(MATCH(850,Engine!$C$2:$C$1960,0)),"",INDEX('Compliance Database'!$D$2:$D$1960,MATCH(850,Engine!$C$2:$C$1960,0)))</f>
        <v/>
      </c>
      <c r="E863" s="8">
        <f>IF(ISNA(MATCH(850,Engine!$C$2:$C$1960,0)),"",INDEX('Compliance Database'!$E$2:$E$1960,MATCH(850,Engine!$C$2:$C$1960,0)))</f>
        <v/>
      </c>
      <c r="F863" s="8">
        <f>IF(ISNA(MATCH(850,Engine!$C$2:$C$1960,0)),"",INDEX('Compliance Database'!$F$2:$F$1960,MATCH(850,Engine!$C$2:$C$1960,0)))</f>
        <v/>
      </c>
      <c r="G863" s="8">
        <f>IF(ISNA(MATCH(850,Engine!$C$2:$C$1960,0)),"",INDEX('Compliance Database'!$G$2:$G$1960,MATCH(850,Engine!$C$2:$C$1960,0)))</f>
        <v/>
      </c>
      <c r="H863" s="9">
        <f>IF(ISNA(MATCH(850,Engine!$C$2:$C$1960,0)),"",INDEX('Compliance Database'!$H$2:$H$1960,MATCH(850,Engine!$C$2:$C$1960,0)))</f>
        <v/>
      </c>
      <c r="I863" s="9">
        <f>IF(ISNA(MATCH(850,Engine!$C$2:$C$1960,0)),"",INDEX('Compliance Database'!$I$2:$I$1960,MATCH(850,Engine!$C$2:$C$1960,0)))</f>
        <v/>
      </c>
      <c r="J863" s="8">
        <f>IF(ISNA(MATCH(850,Engine!$C$2:$C$1960,0)),"",INDEX('Compliance Database'!$J$2:$J$1960,MATCH(850,Engine!$C$2:$C$1960,0)))</f>
        <v/>
      </c>
      <c r="K863" s="9">
        <f>IF(ISNA(MATCH(850,Engine!$C$2:$C$1960,0)),"",INDEX('Compliance Database'!$K$2:$K$1960,MATCH(850,Engine!$C$2:$C$1960,0)))</f>
        <v/>
      </c>
      <c r="L863" s="9">
        <f>IF(ISNA(MATCH(850,Engine!$C$2:$C$1960,0)),"",INDEX('Compliance Database'!$L$2:$L$1960,MATCH(850,Engine!$C$2:$C$1960,0)))</f>
        <v/>
      </c>
      <c r="M863" s="9">
        <f>IF(ISNA(MATCH(850,Engine!$C$2:$C$1960,0)),"",INDEX('Compliance Database'!$M$2:$M$1960,MATCH(850,Engine!$C$2:$C$1960,0)))</f>
        <v/>
      </c>
      <c r="N863" s="9">
        <f>IF(ISNA(MATCH(850,Engine!$C$2:$C$1960,0)),"",INDEX('Compliance Database'!$N$2:$N$1960,MATCH(850,Engine!$C$2:$C$1960,0)))</f>
        <v/>
      </c>
      <c r="O863" s="9">
        <f>IF(ISNA(MATCH(850,Engine!$C$2:$C$1960,0)),"",INDEX('Compliance Database'!$O$2:$O$1960,MATCH(850,Engine!$C$2:$C$1960,0)))</f>
        <v/>
      </c>
      <c r="P863" s="8">
        <f>IF(ISNA(MATCH(850,Engine!$C$2:$C$1960,0)),"",HYPERLINK("#Acts!A"&amp;INDEX('Compliance Database'!$P$2:$P$1960,MATCH(850,Engine!$C$2:$C$1960,0)),"Go to Act"))</f>
        <v/>
      </c>
    </row>
    <row r="864" ht="158" customHeight="1">
      <c r="A864" s="8">
        <f>IF(ISNA(MATCH(851,Engine!$C$2:$C$1960,0)),"",INDEX('Compliance Database'!$A$2:$A$1960,MATCH(851,Engine!$C$2:$C$1960,0)))</f>
        <v/>
      </c>
      <c r="B864" s="8">
        <f>IF(ISNA(MATCH(851,Engine!$C$2:$C$1960,0)),"",INDEX('Compliance Database'!$B$2:$B$1960,MATCH(851,Engine!$C$2:$C$1960,0)))</f>
        <v/>
      </c>
      <c r="C864" s="8">
        <f>IF(ISNA(MATCH(851,Engine!$C$2:$C$1960,0)),"",INDEX('Compliance Database'!$C$2:$C$1960,MATCH(851,Engine!$C$2:$C$1960,0)))</f>
        <v/>
      </c>
      <c r="D864" s="9">
        <f>IF(ISNA(MATCH(851,Engine!$C$2:$C$1960,0)),"",INDEX('Compliance Database'!$D$2:$D$1960,MATCH(851,Engine!$C$2:$C$1960,0)))</f>
        <v/>
      </c>
      <c r="E864" s="8">
        <f>IF(ISNA(MATCH(851,Engine!$C$2:$C$1960,0)),"",INDEX('Compliance Database'!$E$2:$E$1960,MATCH(851,Engine!$C$2:$C$1960,0)))</f>
        <v/>
      </c>
      <c r="F864" s="8">
        <f>IF(ISNA(MATCH(851,Engine!$C$2:$C$1960,0)),"",INDEX('Compliance Database'!$F$2:$F$1960,MATCH(851,Engine!$C$2:$C$1960,0)))</f>
        <v/>
      </c>
      <c r="G864" s="8">
        <f>IF(ISNA(MATCH(851,Engine!$C$2:$C$1960,0)),"",INDEX('Compliance Database'!$G$2:$G$1960,MATCH(851,Engine!$C$2:$C$1960,0)))</f>
        <v/>
      </c>
      <c r="H864" s="9">
        <f>IF(ISNA(MATCH(851,Engine!$C$2:$C$1960,0)),"",INDEX('Compliance Database'!$H$2:$H$1960,MATCH(851,Engine!$C$2:$C$1960,0)))</f>
        <v/>
      </c>
      <c r="I864" s="9">
        <f>IF(ISNA(MATCH(851,Engine!$C$2:$C$1960,0)),"",INDEX('Compliance Database'!$I$2:$I$1960,MATCH(851,Engine!$C$2:$C$1960,0)))</f>
        <v/>
      </c>
      <c r="J864" s="8">
        <f>IF(ISNA(MATCH(851,Engine!$C$2:$C$1960,0)),"",INDEX('Compliance Database'!$J$2:$J$1960,MATCH(851,Engine!$C$2:$C$1960,0)))</f>
        <v/>
      </c>
      <c r="K864" s="9">
        <f>IF(ISNA(MATCH(851,Engine!$C$2:$C$1960,0)),"",INDEX('Compliance Database'!$K$2:$K$1960,MATCH(851,Engine!$C$2:$C$1960,0)))</f>
        <v/>
      </c>
      <c r="L864" s="9">
        <f>IF(ISNA(MATCH(851,Engine!$C$2:$C$1960,0)),"",INDEX('Compliance Database'!$L$2:$L$1960,MATCH(851,Engine!$C$2:$C$1960,0)))</f>
        <v/>
      </c>
      <c r="M864" s="9">
        <f>IF(ISNA(MATCH(851,Engine!$C$2:$C$1960,0)),"",INDEX('Compliance Database'!$M$2:$M$1960,MATCH(851,Engine!$C$2:$C$1960,0)))</f>
        <v/>
      </c>
      <c r="N864" s="9">
        <f>IF(ISNA(MATCH(851,Engine!$C$2:$C$1960,0)),"",INDEX('Compliance Database'!$N$2:$N$1960,MATCH(851,Engine!$C$2:$C$1960,0)))</f>
        <v/>
      </c>
      <c r="O864" s="9">
        <f>IF(ISNA(MATCH(851,Engine!$C$2:$C$1960,0)),"",INDEX('Compliance Database'!$O$2:$O$1960,MATCH(851,Engine!$C$2:$C$1960,0)))</f>
        <v/>
      </c>
      <c r="P864" s="8">
        <f>IF(ISNA(MATCH(851,Engine!$C$2:$C$1960,0)),"",HYPERLINK("#Acts!A"&amp;INDEX('Compliance Database'!$P$2:$P$1960,MATCH(851,Engine!$C$2:$C$1960,0)),"Go to Act"))</f>
        <v/>
      </c>
    </row>
    <row r="865" ht="158" customHeight="1">
      <c r="A865" s="8">
        <f>IF(ISNA(MATCH(852,Engine!$C$2:$C$1960,0)),"",INDEX('Compliance Database'!$A$2:$A$1960,MATCH(852,Engine!$C$2:$C$1960,0)))</f>
        <v/>
      </c>
      <c r="B865" s="8">
        <f>IF(ISNA(MATCH(852,Engine!$C$2:$C$1960,0)),"",INDEX('Compliance Database'!$B$2:$B$1960,MATCH(852,Engine!$C$2:$C$1960,0)))</f>
        <v/>
      </c>
      <c r="C865" s="8">
        <f>IF(ISNA(MATCH(852,Engine!$C$2:$C$1960,0)),"",INDEX('Compliance Database'!$C$2:$C$1960,MATCH(852,Engine!$C$2:$C$1960,0)))</f>
        <v/>
      </c>
      <c r="D865" s="9">
        <f>IF(ISNA(MATCH(852,Engine!$C$2:$C$1960,0)),"",INDEX('Compliance Database'!$D$2:$D$1960,MATCH(852,Engine!$C$2:$C$1960,0)))</f>
        <v/>
      </c>
      <c r="E865" s="8">
        <f>IF(ISNA(MATCH(852,Engine!$C$2:$C$1960,0)),"",INDEX('Compliance Database'!$E$2:$E$1960,MATCH(852,Engine!$C$2:$C$1960,0)))</f>
        <v/>
      </c>
      <c r="F865" s="8">
        <f>IF(ISNA(MATCH(852,Engine!$C$2:$C$1960,0)),"",INDEX('Compliance Database'!$F$2:$F$1960,MATCH(852,Engine!$C$2:$C$1960,0)))</f>
        <v/>
      </c>
      <c r="G865" s="8">
        <f>IF(ISNA(MATCH(852,Engine!$C$2:$C$1960,0)),"",INDEX('Compliance Database'!$G$2:$G$1960,MATCH(852,Engine!$C$2:$C$1960,0)))</f>
        <v/>
      </c>
      <c r="H865" s="9">
        <f>IF(ISNA(MATCH(852,Engine!$C$2:$C$1960,0)),"",INDEX('Compliance Database'!$H$2:$H$1960,MATCH(852,Engine!$C$2:$C$1960,0)))</f>
        <v/>
      </c>
      <c r="I865" s="9">
        <f>IF(ISNA(MATCH(852,Engine!$C$2:$C$1960,0)),"",INDEX('Compliance Database'!$I$2:$I$1960,MATCH(852,Engine!$C$2:$C$1960,0)))</f>
        <v/>
      </c>
      <c r="J865" s="8">
        <f>IF(ISNA(MATCH(852,Engine!$C$2:$C$1960,0)),"",INDEX('Compliance Database'!$J$2:$J$1960,MATCH(852,Engine!$C$2:$C$1960,0)))</f>
        <v/>
      </c>
      <c r="K865" s="9">
        <f>IF(ISNA(MATCH(852,Engine!$C$2:$C$1960,0)),"",INDEX('Compliance Database'!$K$2:$K$1960,MATCH(852,Engine!$C$2:$C$1960,0)))</f>
        <v/>
      </c>
      <c r="L865" s="9">
        <f>IF(ISNA(MATCH(852,Engine!$C$2:$C$1960,0)),"",INDEX('Compliance Database'!$L$2:$L$1960,MATCH(852,Engine!$C$2:$C$1960,0)))</f>
        <v/>
      </c>
      <c r="M865" s="9">
        <f>IF(ISNA(MATCH(852,Engine!$C$2:$C$1960,0)),"",INDEX('Compliance Database'!$M$2:$M$1960,MATCH(852,Engine!$C$2:$C$1960,0)))</f>
        <v/>
      </c>
      <c r="N865" s="9">
        <f>IF(ISNA(MATCH(852,Engine!$C$2:$C$1960,0)),"",INDEX('Compliance Database'!$N$2:$N$1960,MATCH(852,Engine!$C$2:$C$1960,0)))</f>
        <v/>
      </c>
      <c r="O865" s="9">
        <f>IF(ISNA(MATCH(852,Engine!$C$2:$C$1960,0)),"",INDEX('Compliance Database'!$O$2:$O$1960,MATCH(852,Engine!$C$2:$C$1960,0)))</f>
        <v/>
      </c>
      <c r="P865" s="8">
        <f>IF(ISNA(MATCH(852,Engine!$C$2:$C$1960,0)),"",HYPERLINK("#Acts!A"&amp;INDEX('Compliance Database'!$P$2:$P$1960,MATCH(852,Engine!$C$2:$C$1960,0)),"Go to Act"))</f>
        <v/>
      </c>
    </row>
    <row r="866" ht="158" customHeight="1">
      <c r="A866" s="8">
        <f>IF(ISNA(MATCH(853,Engine!$C$2:$C$1960,0)),"",INDEX('Compliance Database'!$A$2:$A$1960,MATCH(853,Engine!$C$2:$C$1960,0)))</f>
        <v/>
      </c>
      <c r="B866" s="8">
        <f>IF(ISNA(MATCH(853,Engine!$C$2:$C$1960,0)),"",INDEX('Compliance Database'!$B$2:$B$1960,MATCH(853,Engine!$C$2:$C$1960,0)))</f>
        <v/>
      </c>
      <c r="C866" s="8">
        <f>IF(ISNA(MATCH(853,Engine!$C$2:$C$1960,0)),"",INDEX('Compliance Database'!$C$2:$C$1960,MATCH(853,Engine!$C$2:$C$1960,0)))</f>
        <v/>
      </c>
      <c r="D866" s="9">
        <f>IF(ISNA(MATCH(853,Engine!$C$2:$C$1960,0)),"",INDEX('Compliance Database'!$D$2:$D$1960,MATCH(853,Engine!$C$2:$C$1960,0)))</f>
        <v/>
      </c>
      <c r="E866" s="8">
        <f>IF(ISNA(MATCH(853,Engine!$C$2:$C$1960,0)),"",INDEX('Compliance Database'!$E$2:$E$1960,MATCH(853,Engine!$C$2:$C$1960,0)))</f>
        <v/>
      </c>
      <c r="F866" s="8">
        <f>IF(ISNA(MATCH(853,Engine!$C$2:$C$1960,0)),"",INDEX('Compliance Database'!$F$2:$F$1960,MATCH(853,Engine!$C$2:$C$1960,0)))</f>
        <v/>
      </c>
      <c r="G866" s="8">
        <f>IF(ISNA(MATCH(853,Engine!$C$2:$C$1960,0)),"",INDEX('Compliance Database'!$G$2:$G$1960,MATCH(853,Engine!$C$2:$C$1960,0)))</f>
        <v/>
      </c>
      <c r="H866" s="9">
        <f>IF(ISNA(MATCH(853,Engine!$C$2:$C$1960,0)),"",INDEX('Compliance Database'!$H$2:$H$1960,MATCH(853,Engine!$C$2:$C$1960,0)))</f>
        <v/>
      </c>
      <c r="I866" s="9">
        <f>IF(ISNA(MATCH(853,Engine!$C$2:$C$1960,0)),"",INDEX('Compliance Database'!$I$2:$I$1960,MATCH(853,Engine!$C$2:$C$1960,0)))</f>
        <v/>
      </c>
      <c r="J866" s="8">
        <f>IF(ISNA(MATCH(853,Engine!$C$2:$C$1960,0)),"",INDEX('Compliance Database'!$J$2:$J$1960,MATCH(853,Engine!$C$2:$C$1960,0)))</f>
        <v/>
      </c>
      <c r="K866" s="9">
        <f>IF(ISNA(MATCH(853,Engine!$C$2:$C$1960,0)),"",INDEX('Compliance Database'!$K$2:$K$1960,MATCH(853,Engine!$C$2:$C$1960,0)))</f>
        <v/>
      </c>
      <c r="L866" s="9">
        <f>IF(ISNA(MATCH(853,Engine!$C$2:$C$1960,0)),"",INDEX('Compliance Database'!$L$2:$L$1960,MATCH(853,Engine!$C$2:$C$1960,0)))</f>
        <v/>
      </c>
      <c r="M866" s="9">
        <f>IF(ISNA(MATCH(853,Engine!$C$2:$C$1960,0)),"",INDEX('Compliance Database'!$M$2:$M$1960,MATCH(853,Engine!$C$2:$C$1960,0)))</f>
        <v/>
      </c>
      <c r="N866" s="9">
        <f>IF(ISNA(MATCH(853,Engine!$C$2:$C$1960,0)),"",INDEX('Compliance Database'!$N$2:$N$1960,MATCH(853,Engine!$C$2:$C$1960,0)))</f>
        <v/>
      </c>
      <c r="O866" s="9">
        <f>IF(ISNA(MATCH(853,Engine!$C$2:$C$1960,0)),"",INDEX('Compliance Database'!$O$2:$O$1960,MATCH(853,Engine!$C$2:$C$1960,0)))</f>
        <v/>
      </c>
      <c r="P866" s="8">
        <f>IF(ISNA(MATCH(853,Engine!$C$2:$C$1960,0)),"",HYPERLINK("#Acts!A"&amp;INDEX('Compliance Database'!$P$2:$P$1960,MATCH(853,Engine!$C$2:$C$1960,0)),"Go to Act"))</f>
        <v/>
      </c>
    </row>
    <row r="867" ht="158" customHeight="1">
      <c r="A867" s="8">
        <f>IF(ISNA(MATCH(854,Engine!$C$2:$C$1960,0)),"",INDEX('Compliance Database'!$A$2:$A$1960,MATCH(854,Engine!$C$2:$C$1960,0)))</f>
        <v/>
      </c>
      <c r="B867" s="8">
        <f>IF(ISNA(MATCH(854,Engine!$C$2:$C$1960,0)),"",INDEX('Compliance Database'!$B$2:$B$1960,MATCH(854,Engine!$C$2:$C$1960,0)))</f>
        <v/>
      </c>
      <c r="C867" s="8">
        <f>IF(ISNA(MATCH(854,Engine!$C$2:$C$1960,0)),"",INDEX('Compliance Database'!$C$2:$C$1960,MATCH(854,Engine!$C$2:$C$1960,0)))</f>
        <v/>
      </c>
      <c r="D867" s="9">
        <f>IF(ISNA(MATCH(854,Engine!$C$2:$C$1960,0)),"",INDEX('Compliance Database'!$D$2:$D$1960,MATCH(854,Engine!$C$2:$C$1960,0)))</f>
        <v/>
      </c>
      <c r="E867" s="8">
        <f>IF(ISNA(MATCH(854,Engine!$C$2:$C$1960,0)),"",INDEX('Compliance Database'!$E$2:$E$1960,MATCH(854,Engine!$C$2:$C$1960,0)))</f>
        <v/>
      </c>
      <c r="F867" s="8">
        <f>IF(ISNA(MATCH(854,Engine!$C$2:$C$1960,0)),"",INDEX('Compliance Database'!$F$2:$F$1960,MATCH(854,Engine!$C$2:$C$1960,0)))</f>
        <v/>
      </c>
      <c r="G867" s="8">
        <f>IF(ISNA(MATCH(854,Engine!$C$2:$C$1960,0)),"",INDEX('Compliance Database'!$G$2:$G$1960,MATCH(854,Engine!$C$2:$C$1960,0)))</f>
        <v/>
      </c>
      <c r="H867" s="9">
        <f>IF(ISNA(MATCH(854,Engine!$C$2:$C$1960,0)),"",INDEX('Compliance Database'!$H$2:$H$1960,MATCH(854,Engine!$C$2:$C$1960,0)))</f>
        <v/>
      </c>
      <c r="I867" s="9">
        <f>IF(ISNA(MATCH(854,Engine!$C$2:$C$1960,0)),"",INDEX('Compliance Database'!$I$2:$I$1960,MATCH(854,Engine!$C$2:$C$1960,0)))</f>
        <v/>
      </c>
      <c r="J867" s="8">
        <f>IF(ISNA(MATCH(854,Engine!$C$2:$C$1960,0)),"",INDEX('Compliance Database'!$J$2:$J$1960,MATCH(854,Engine!$C$2:$C$1960,0)))</f>
        <v/>
      </c>
      <c r="K867" s="9">
        <f>IF(ISNA(MATCH(854,Engine!$C$2:$C$1960,0)),"",INDEX('Compliance Database'!$K$2:$K$1960,MATCH(854,Engine!$C$2:$C$1960,0)))</f>
        <v/>
      </c>
      <c r="L867" s="9">
        <f>IF(ISNA(MATCH(854,Engine!$C$2:$C$1960,0)),"",INDEX('Compliance Database'!$L$2:$L$1960,MATCH(854,Engine!$C$2:$C$1960,0)))</f>
        <v/>
      </c>
      <c r="M867" s="9">
        <f>IF(ISNA(MATCH(854,Engine!$C$2:$C$1960,0)),"",INDEX('Compliance Database'!$M$2:$M$1960,MATCH(854,Engine!$C$2:$C$1960,0)))</f>
        <v/>
      </c>
      <c r="N867" s="9">
        <f>IF(ISNA(MATCH(854,Engine!$C$2:$C$1960,0)),"",INDEX('Compliance Database'!$N$2:$N$1960,MATCH(854,Engine!$C$2:$C$1960,0)))</f>
        <v/>
      </c>
      <c r="O867" s="9">
        <f>IF(ISNA(MATCH(854,Engine!$C$2:$C$1960,0)),"",INDEX('Compliance Database'!$O$2:$O$1960,MATCH(854,Engine!$C$2:$C$1960,0)))</f>
        <v/>
      </c>
      <c r="P867" s="8">
        <f>IF(ISNA(MATCH(854,Engine!$C$2:$C$1960,0)),"",HYPERLINK("#Acts!A"&amp;INDEX('Compliance Database'!$P$2:$P$1960,MATCH(854,Engine!$C$2:$C$1960,0)),"Go to Act"))</f>
        <v/>
      </c>
    </row>
    <row r="868" ht="158" customHeight="1">
      <c r="A868" s="8">
        <f>IF(ISNA(MATCH(855,Engine!$C$2:$C$1960,0)),"",INDEX('Compliance Database'!$A$2:$A$1960,MATCH(855,Engine!$C$2:$C$1960,0)))</f>
        <v/>
      </c>
      <c r="B868" s="8">
        <f>IF(ISNA(MATCH(855,Engine!$C$2:$C$1960,0)),"",INDEX('Compliance Database'!$B$2:$B$1960,MATCH(855,Engine!$C$2:$C$1960,0)))</f>
        <v/>
      </c>
      <c r="C868" s="8">
        <f>IF(ISNA(MATCH(855,Engine!$C$2:$C$1960,0)),"",INDEX('Compliance Database'!$C$2:$C$1960,MATCH(855,Engine!$C$2:$C$1960,0)))</f>
        <v/>
      </c>
      <c r="D868" s="9">
        <f>IF(ISNA(MATCH(855,Engine!$C$2:$C$1960,0)),"",INDEX('Compliance Database'!$D$2:$D$1960,MATCH(855,Engine!$C$2:$C$1960,0)))</f>
        <v/>
      </c>
      <c r="E868" s="8">
        <f>IF(ISNA(MATCH(855,Engine!$C$2:$C$1960,0)),"",INDEX('Compliance Database'!$E$2:$E$1960,MATCH(855,Engine!$C$2:$C$1960,0)))</f>
        <v/>
      </c>
      <c r="F868" s="8">
        <f>IF(ISNA(MATCH(855,Engine!$C$2:$C$1960,0)),"",INDEX('Compliance Database'!$F$2:$F$1960,MATCH(855,Engine!$C$2:$C$1960,0)))</f>
        <v/>
      </c>
      <c r="G868" s="8">
        <f>IF(ISNA(MATCH(855,Engine!$C$2:$C$1960,0)),"",INDEX('Compliance Database'!$G$2:$G$1960,MATCH(855,Engine!$C$2:$C$1960,0)))</f>
        <v/>
      </c>
      <c r="H868" s="9">
        <f>IF(ISNA(MATCH(855,Engine!$C$2:$C$1960,0)),"",INDEX('Compliance Database'!$H$2:$H$1960,MATCH(855,Engine!$C$2:$C$1960,0)))</f>
        <v/>
      </c>
      <c r="I868" s="9">
        <f>IF(ISNA(MATCH(855,Engine!$C$2:$C$1960,0)),"",INDEX('Compliance Database'!$I$2:$I$1960,MATCH(855,Engine!$C$2:$C$1960,0)))</f>
        <v/>
      </c>
      <c r="J868" s="8">
        <f>IF(ISNA(MATCH(855,Engine!$C$2:$C$1960,0)),"",INDEX('Compliance Database'!$J$2:$J$1960,MATCH(855,Engine!$C$2:$C$1960,0)))</f>
        <v/>
      </c>
      <c r="K868" s="9">
        <f>IF(ISNA(MATCH(855,Engine!$C$2:$C$1960,0)),"",INDEX('Compliance Database'!$K$2:$K$1960,MATCH(855,Engine!$C$2:$C$1960,0)))</f>
        <v/>
      </c>
      <c r="L868" s="9">
        <f>IF(ISNA(MATCH(855,Engine!$C$2:$C$1960,0)),"",INDEX('Compliance Database'!$L$2:$L$1960,MATCH(855,Engine!$C$2:$C$1960,0)))</f>
        <v/>
      </c>
      <c r="M868" s="9">
        <f>IF(ISNA(MATCH(855,Engine!$C$2:$C$1960,0)),"",INDEX('Compliance Database'!$M$2:$M$1960,MATCH(855,Engine!$C$2:$C$1960,0)))</f>
        <v/>
      </c>
      <c r="N868" s="9">
        <f>IF(ISNA(MATCH(855,Engine!$C$2:$C$1960,0)),"",INDEX('Compliance Database'!$N$2:$N$1960,MATCH(855,Engine!$C$2:$C$1960,0)))</f>
        <v/>
      </c>
      <c r="O868" s="9">
        <f>IF(ISNA(MATCH(855,Engine!$C$2:$C$1960,0)),"",INDEX('Compliance Database'!$O$2:$O$1960,MATCH(855,Engine!$C$2:$C$1960,0)))</f>
        <v/>
      </c>
      <c r="P868" s="8">
        <f>IF(ISNA(MATCH(855,Engine!$C$2:$C$1960,0)),"",HYPERLINK("#Acts!A"&amp;INDEX('Compliance Database'!$P$2:$P$1960,MATCH(855,Engine!$C$2:$C$1960,0)),"Go to Act"))</f>
        <v/>
      </c>
    </row>
    <row r="869" ht="158" customHeight="1">
      <c r="A869" s="8">
        <f>IF(ISNA(MATCH(856,Engine!$C$2:$C$1960,0)),"",INDEX('Compliance Database'!$A$2:$A$1960,MATCH(856,Engine!$C$2:$C$1960,0)))</f>
        <v/>
      </c>
      <c r="B869" s="8">
        <f>IF(ISNA(MATCH(856,Engine!$C$2:$C$1960,0)),"",INDEX('Compliance Database'!$B$2:$B$1960,MATCH(856,Engine!$C$2:$C$1960,0)))</f>
        <v/>
      </c>
      <c r="C869" s="8">
        <f>IF(ISNA(MATCH(856,Engine!$C$2:$C$1960,0)),"",INDEX('Compliance Database'!$C$2:$C$1960,MATCH(856,Engine!$C$2:$C$1960,0)))</f>
        <v/>
      </c>
      <c r="D869" s="9">
        <f>IF(ISNA(MATCH(856,Engine!$C$2:$C$1960,0)),"",INDEX('Compliance Database'!$D$2:$D$1960,MATCH(856,Engine!$C$2:$C$1960,0)))</f>
        <v/>
      </c>
      <c r="E869" s="8">
        <f>IF(ISNA(MATCH(856,Engine!$C$2:$C$1960,0)),"",INDEX('Compliance Database'!$E$2:$E$1960,MATCH(856,Engine!$C$2:$C$1960,0)))</f>
        <v/>
      </c>
      <c r="F869" s="8">
        <f>IF(ISNA(MATCH(856,Engine!$C$2:$C$1960,0)),"",INDEX('Compliance Database'!$F$2:$F$1960,MATCH(856,Engine!$C$2:$C$1960,0)))</f>
        <v/>
      </c>
      <c r="G869" s="8">
        <f>IF(ISNA(MATCH(856,Engine!$C$2:$C$1960,0)),"",INDEX('Compliance Database'!$G$2:$G$1960,MATCH(856,Engine!$C$2:$C$1960,0)))</f>
        <v/>
      </c>
      <c r="H869" s="9">
        <f>IF(ISNA(MATCH(856,Engine!$C$2:$C$1960,0)),"",INDEX('Compliance Database'!$H$2:$H$1960,MATCH(856,Engine!$C$2:$C$1960,0)))</f>
        <v/>
      </c>
      <c r="I869" s="9">
        <f>IF(ISNA(MATCH(856,Engine!$C$2:$C$1960,0)),"",INDEX('Compliance Database'!$I$2:$I$1960,MATCH(856,Engine!$C$2:$C$1960,0)))</f>
        <v/>
      </c>
      <c r="J869" s="8">
        <f>IF(ISNA(MATCH(856,Engine!$C$2:$C$1960,0)),"",INDEX('Compliance Database'!$J$2:$J$1960,MATCH(856,Engine!$C$2:$C$1960,0)))</f>
        <v/>
      </c>
      <c r="K869" s="9">
        <f>IF(ISNA(MATCH(856,Engine!$C$2:$C$1960,0)),"",INDEX('Compliance Database'!$K$2:$K$1960,MATCH(856,Engine!$C$2:$C$1960,0)))</f>
        <v/>
      </c>
      <c r="L869" s="9">
        <f>IF(ISNA(MATCH(856,Engine!$C$2:$C$1960,0)),"",INDEX('Compliance Database'!$L$2:$L$1960,MATCH(856,Engine!$C$2:$C$1960,0)))</f>
        <v/>
      </c>
      <c r="M869" s="9">
        <f>IF(ISNA(MATCH(856,Engine!$C$2:$C$1960,0)),"",INDEX('Compliance Database'!$M$2:$M$1960,MATCH(856,Engine!$C$2:$C$1960,0)))</f>
        <v/>
      </c>
      <c r="N869" s="9">
        <f>IF(ISNA(MATCH(856,Engine!$C$2:$C$1960,0)),"",INDEX('Compliance Database'!$N$2:$N$1960,MATCH(856,Engine!$C$2:$C$1960,0)))</f>
        <v/>
      </c>
      <c r="O869" s="9">
        <f>IF(ISNA(MATCH(856,Engine!$C$2:$C$1960,0)),"",INDEX('Compliance Database'!$O$2:$O$1960,MATCH(856,Engine!$C$2:$C$1960,0)))</f>
        <v/>
      </c>
      <c r="P869" s="8">
        <f>IF(ISNA(MATCH(856,Engine!$C$2:$C$1960,0)),"",HYPERLINK("#Acts!A"&amp;INDEX('Compliance Database'!$P$2:$P$1960,MATCH(856,Engine!$C$2:$C$1960,0)),"Go to Act"))</f>
        <v/>
      </c>
    </row>
    <row r="870" ht="158" customHeight="1">
      <c r="A870" s="8">
        <f>IF(ISNA(MATCH(857,Engine!$C$2:$C$1960,0)),"",INDEX('Compliance Database'!$A$2:$A$1960,MATCH(857,Engine!$C$2:$C$1960,0)))</f>
        <v/>
      </c>
      <c r="B870" s="8">
        <f>IF(ISNA(MATCH(857,Engine!$C$2:$C$1960,0)),"",INDEX('Compliance Database'!$B$2:$B$1960,MATCH(857,Engine!$C$2:$C$1960,0)))</f>
        <v/>
      </c>
      <c r="C870" s="8">
        <f>IF(ISNA(MATCH(857,Engine!$C$2:$C$1960,0)),"",INDEX('Compliance Database'!$C$2:$C$1960,MATCH(857,Engine!$C$2:$C$1960,0)))</f>
        <v/>
      </c>
      <c r="D870" s="9">
        <f>IF(ISNA(MATCH(857,Engine!$C$2:$C$1960,0)),"",INDEX('Compliance Database'!$D$2:$D$1960,MATCH(857,Engine!$C$2:$C$1960,0)))</f>
        <v/>
      </c>
      <c r="E870" s="8">
        <f>IF(ISNA(MATCH(857,Engine!$C$2:$C$1960,0)),"",INDEX('Compliance Database'!$E$2:$E$1960,MATCH(857,Engine!$C$2:$C$1960,0)))</f>
        <v/>
      </c>
      <c r="F870" s="8">
        <f>IF(ISNA(MATCH(857,Engine!$C$2:$C$1960,0)),"",INDEX('Compliance Database'!$F$2:$F$1960,MATCH(857,Engine!$C$2:$C$1960,0)))</f>
        <v/>
      </c>
      <c r="G870" s="8">
        <f>IF(ISNA(MATCH(857,Engine!$C$2:$C$1960,0)),"",INDEX('Compliance Database'!$G$2:$G$1960,MATCH(857,Engine!$C$2:$C$1960,0)))</f>
        <v/>
      </c>
      <c r="H870" s="9">
        <f>IF(ISNA(MATCH(857,Engine!$C$2:$C$1960,0)),"",INDEX('Compliance Database'!$H$2:$H$1960,MATCH(857,Engine!$C$2:$C$1960,0)))</f>
        <v/>
      </c>
      <c r="I870" s="9">
        <f>IF(ISNA(MATCH(857,Engine!$C$2:$C$1960,0)),"",INDEX('Compliance Database'!$I$2:$I$1960,MATCH(857,Engine!$C$2:$C$1960,0)))</f>
        <v/>
      </c>
      <c r="J870" s="8">
        <f>IF(ISNA(MATCH(857,Engine!$C$2:$C$1960,0)),"",INDEX('Compliance Database'!$J$2:$J$1960,MATCH(857,Engine!$C$2:$C$1960,0)))</f>
        <v/>
      </c>
      <c r="K870" s="9">
        <f>IF(ISNA(MATCH(857,Engine!$C$2:$C$1960,0)),"",INDEX('Compliance Database'!$K$2:$K$1960,MATCH(857,Engine!$C$2:$C$1960,0)))</f>
        <v/>
      </c>
      <c r="L870" s="9">
        <f>IF(ISNA(MATCH(857,Engine!$C$2:$C$1960,0)),"",INDEX('Compliance Database'!$L$2:$L$1960,MATCH(857,Engine!$C$2:$C$1960,0)))</f>
        <v/>
      </c>
      <c r="M870" s="9">
        <f>IF(ISNA(MATCH(857,Engine!$C$2:$C$1960,0)),"",INDEX('Compliance Database'!$M$2:$M$1960,MATCH(857,Engine!$C$2:$C$1960,0)))</f>
        <v/>
      </c>
      <c r="N870" s="9">
        <f>IF(ISNA(MATCH(857,Engine!$C$2:$C$1960,0)),"",INDEX('Compliance Database'!$N$2:$N$1960,MATCH(857,Engine!$C$2:$C$1960,0)))</f>
        <v/>
      </c>
      <c r="O870" s="9">
        <f>IF(ISNA(MATCH(857,Engine!$C$2:$C$1960,0)),"",INDEX('Compliance Database'!$O$2:$O$1960,MATCH(857,Engine!$C$2:$C$1960,0)))</f>
        <v/>
      </c>
      <c r="P870" s="8">
        <f>IF(ISNA(MATCH(857,Engine!$C$2:$C$1960,0)),"",HYPERLINK("#Acts!A"&amp;INDEX('Compliance Database'!$P$2:$P$1960,MATCH(857,Engine!$C$2:$C$1960,0)),"Go to Act"))</f>
        <v/>
      </c>
    </row>
    <row r="871" ht="158" customHeight="1">
      <c r="A871" s="8">
        <f>IF(ISNA(MATCH(858,Engine!$C$2:$C$1960,0)),"",INDEX('Compliance Database'!$A$2:$A$1960,MATCH(858,Engine!$C$2:$C$1960,0)))</f>
        <v/>
      </c>
      <c r="B871" s="8">
        <f>IF(ISNA(MATCH(858,Engine!$C$2:$C$1960,0)),"",INDEX('Compliance Database'!$B$2:$B$1960,MATCH(858,Engine!$C$2:$C$1960,0)))</f>
        <v/>
      </c>
      <c r="C871" s="8">
        <f>IF(ISNA(MATCH(858,Engine!$C$2:$C$1960,0)),"",INDEX('Compliance Database'!$C$2:$C$1960,MATCH(858,Engine!$C$2:$C$1960,0)))</f>
        <v/>
      </c>
      <c r="D871" s="9">
        <f>IF(ISNA(MATCH(858,Engine!$C$2:$C$1960,0)),"",INDEX('Compliance Database'!$D$2:$D$1960,MATCH(858,Engine!$C$2:$C$1960,0)))</f>
        <v/>
      </c>
      <c r="E871" s="8">
        <f>IF(ISNA(MATCH(858,Engine!$C$2:$C$1960,0)),"",INDEX('Compliance Database'!$E$2:$E$1960,MATCH(858,Engine!$C$2:$C$1960,0)))</f>
        <v/>
      </c>
      <c r="F871" s="8">
        <f>IF(ISNA(MATCH(858,Engine!$C$2:$C$1960,0)),"",INDEX('Compliance Database'!$F$2:$F$1960,MATCH(858,Engine!$C$2:$C$1960,0)))</f>
        <v/>
      </c>
      <c r="G871" s="8">
        <f>IF(ISNA(MATCH(858,Engine!$C$2:$C$1960,0)),"",INDEX('Compliance Database'!$G$2:$G$1960,MATCH(858,Engine!$C$2:$C$1960,0)))</f>
        <v/>
      </c>
      <c r="H871" s="9">
        <f>IF(ISNA(MATCH(858,Engine!$C$2:$C$1960,0)),"",INDEX('Compliance Database'!$H$2:$H$1960,MATCH(858,Engine!$C$2:$C$1960,0)))</f>
        <v/>
      </c>
      <c r="I871" s="9">
        <f>IF(ISNA(MATCH(858,Engine!$C$2:$C$1960,0)),"",INDEX('Compliance Database'!$I$2:$I$1960,MATCH(858,Engine!$C$2:$C$1960,0)))</f>
        <v/>
      </c>
      <c r="J871" s="8">
        <f>IF(ISNA(MATCH(858,Engine!$C$2:$C$1960,0)),"",INDEX('Compliance Database'!$J$2:$J$1960,MATCH(858,Engine!$C$2:$C$1960,0)))</f>
        <v/>
      </c>
      <c r="K871" s="9">
        <f>IF(ISNA(MATCH(858,Engine!$C$2:$C$1960,0)),"",INDEX('Compliance Database'!$K$2:$K$1960,MATCH(858,Engine!$C$2:$C$1960,0)))</f>
        <v/>
      </c>
      <c r="L871" s="9">
        <f>IF(ISNA(MATCH(858,Engine!$C$2:$C$1960,0)),"",INDEX('Compliance Database'!$L$2:$L$1960,MATCH(858,Engine!$C$2:$C$1960,0)))</f>
        <v/>
      </c>
      <c r="M871" s="9">
        <f>IF(ISNA(MATCH(858,Engine!$C$2:$C$1960,0)),"",INDEX('Compliance Database'!$M$2:$M$1960,MATCH(858,Engine!$C$2:$C$1960,0)))</f>
        <v/>
      </c>
      <c r="N871" s="9">
        <f>IF(ISNA(MATCH(858,Engine!$C$2:$C$1960,0)),"",INDEX('Compliance Database'!$N$2:$N$1960,MATCH(858,Engine!$C$2:$C$1960,0)))</f>
        <v/>
      </c>
      <c r="O871" s="9">
        <f>IF(ISNA(MATCH(858,Engine!$C$2:$C$1960,0)),"",INDEX('Compliance Database'!$O$2:$O$1960,MATCH(858,Engine!$C$2:$C$1960,0)))</f>
        <v/>
      </c>
      <c r="P871" s="8">
        <f>IF(ISNA(MATCH(858,Engine!$C$2:$C$1960,0)),"",HYPERLINK("#Acts!A"&amp;INDEX('Compliance Database'!$P$2:$P$1960,MATCH(858,Engine!$C$2:$C$1960,0)),"Go to Act"))</f>
        <v/>
      </c>
    </row>
    <row r="872" ht="158" customHeight="1">
      <c r="A872" s="8">
        <f>IF(ISNA(MATCH(859,Engine!$C$2:$C$1960,0)),"",INDEX('Compliance Database'!$A$2:$A$1960,MATCH(859,Engine!$C$2:$C$1960,0)))</f>
        <v/>
      </c>
      <c r="B872" s="8">
        <f>IF(ISNA(MATCH(859,Engine!$C$2:$C$1960,0)),"",INDEX('Compliance Database'!$B$2:$B$1960,MATCH(859,Engine!$C$2:$C$1960,0)))</f>
        <v/>
      </c>
      <c r="C872" s="8">
        <f>IF(ISNA(MATCH(859,Engine!$C$2:$C$1960,0)),"",INDEX('Compliance Database'!$C$2:$C$1960,MATCH(859,Engine!$C$2:$C$1960,0)))</f>
        <v/>
      </c>
      <c r="D872" s="9">
        <f>IF(ISNA(MATCH(859,Engine!$C$2:$C$1960,0)),"",INDEX('Compliance Database'!$D$2:$D$1960,MATCH(859,Engine!$C$2:$C$1960,0)))</f>
        <v/>
      </c>
      <c r="E872" s="8">
        <f>IF(ISNA(MATCH(859,Engine!$C$2:$C$1960,0)),"",INDEX('Compliance Database'!$E$2:$E$1960,MATCH(859,Engine!$C$2:$C$1960,0)))</f>
        <v/>
      </c>
      <c r="F872" s="8">
        <f>IF(ISNA(MATCH(859,Engine!$C$2:$C$1960,0)),"",INDEX('Compliance Database'!$F$2:$F$1960,MATCH(859,Engine!$C$2:$C$1960,0)))</f>
        <v/>
      </c>
      <c r="G872" s="8">
        <f>IF(ISNA(MATCH(859,Engine!$C$2:$C$1960,0)),"",INDEX('Compliance Database'!$G$2:$G$1960,MATCH(859,Engine!$C$2:$C$1960,0)))</f>
        <v/>
      </c>
      <c r="H872" s="9">
        <f>IF(ISNA(MATCH(859,Engine!$C$2:$C$1960,0)),"",INDEX('Compliance Database'!$H$2:$H$1960,MATCH(859,Engine!$C$2:$C$1960,0)))</f>
        <v/>
      </c>
      <c r="I872" s="9">
        <f>IF(ISNA(MATCH(859,Engine!$C$2:$C$1960,0)),"",INDEX('Compliance Database'!$I$2:$I$1960,MATCH(859,Engine!$C$2:$C$1960,0)))</f>
        <v/>
      </c>
      <c r="J872" s="8">
        <f>IF(ISNA(MATCH(859,Engine!$C$2:$C$1960,0)),"",INDEX('Compliance Database'!$J$2:$J$1960,MATCH(859,Engine!$C$2:$C$1960,0)))</f>
        <v/>
      </c>
      <c r="K872" s="9">
        <f>IF(ISNA(MATCH(859,Engine!$C$2:$C$1960,0)),"",INDEX('Compliance Database'!$K$2:$K$1960,MATCH(859,Engine!$C$2:$C$1960,0)))</f>
        <v/>
      </c>
      <c r="L872" s="9">
        <f>IF(ISNA(MATCH(859,Engine!$C$2:$C$1960,0)),"",INDEX('Compliance Database'!$L$2:$L$1960,MATCH(859,Engine!$C$2:$C$1960,0)))</f>
        <v/>
      </c>
      <c r="M872" s="9">
        <f>IF(ISNA(MATCH(859,Engine!$C$2:$C$1960,0)),"",INDEX('Compliance Database'!$M$2:$M$1960,MATCH(859,Engine!$C$2:$C$1960,0)))</f>
        <v/>
      </c>
      <c r="N872" s="9">
        <f>IF(ISNA(MATCH(859,Engine!$C$2:$C$1960,0)),"",INDEX('Compliance Database'!$N$2:$N$1960,MATCH(859,Engine!$C$2:$C$1960,0)))</f>
        <v/>
      </c>
      <c r="O872" s="9">
        <f>IF(ISNA(MATCH(859,Engine!$C$2:$C$1960,0)),"",INDEX('Compliance Database'!$O$2:$O$1960,MATCH(859,Engine!$C$2:$C$1960,0)))</f>
        <v/>
      </c>
      <c r="P872" s="8">
        <f>IF(ISNA(MATCH(859,Engine!$C$2:$C$1960,0)),"",HYPERLINK("#Acts!A"&amp;INDEX('Compliance Database'!$P$2:$P$1960,MATCH(859,Engine!$C$2:$C$1960,0)),"Go to Act"))</f>
        <v/>
      </c>
    </row>
    <row r="873" ht="158" customHeight="1">
      <c r="A873" s="8">
        <f>IF(ISNA(MATCH(860,Engine!$C$2:$C$1960,0)),"",INDEX('Compliance Database'!$A$2:$A$1960,MATCH(860,Engine!$C$2:$C$1960,0)))</f>
        <v/>
      </c>
      <c r="B873" s="8">
        <f>IF(ISNA(MATCH(860,Engine!$C$2:$C$1960,0)),"",INDEX('Compliance Database'!$B$2:$B$1960,MATCH(860,Engine!$C$2:$C$1960,0)))</f>
        <v/>
      </c>
      <c r="C873" s="8">
        <f>IF(ISNA(MATCH(860,Engine!$C$2:$C$1960,0)),"",INDEX('Compliance Database'!$C$2:$C$1960,MATCH(860,Engine!$C$2:$C$1960,0)))</f>
        <v/>
      </c>
      <c r="D873" s="9">
        <f>IF(ISNA(MATCH(860,Engine!$C$2:$C$1960,0)),"",INDEX('Compliance Database'!$D$2:$D$1960,MATCH(860,Engine!$C$2:$C$1960,0)))</f>
        <v/>
      </c>
      <c r="E873" s="8">
        <f>IF(ISNA(MATCH(860,Engine!$C$2:$C$1960,0)),"",INDEX('Compliance Database'!$E$2:$E$1960,MATCH(860,Engine!$C$2:$C$1960,0)))</f>
        <v/>
      </c>
      <c r="F873" s="8">
        <f>IF(ISNA(MATCH(860,Engine!$C$2:$C$1960,0)),"",INDEX('Compliance Database'!$F$2:$F$1960,MATCH(860,Engine!$C$2:$C$1960,0)))</f>
        <v/>
      </c>
      <c r="G873" s="8">
        <f>IF(ISNA(MATCH(860,Engine!$C$2:$C$1960,0)),"",INDEX('Compliance Database'!$G$2:$G$1960,MATCH(860,Engine!$C$2:$C$1960,0)))</f>
        <v/>
      </c>
      <c r="H873" s="9">
        <f>IF(ISNA(MATCH(860,Engine!$C$2:$C$1960,0)),"",INDEX('Compliance Database'!$H$2:$H$1960,MATCH(860,Engine!$C$2:$C$1960,0)))</f>
        <v/>
      </c>
      <c r="I873" s="9">
        <f>IF(ISNA(MATCH(860,Engine!$C$2:$C$1960,0)),"",INDEX('Compliance Database'!$I$2:$I$1960,MATCH(860,Engine!$C$2:$C$1960,0)))</f>
        <v/>
      </c>
      <c r="J873" s="8">
        <f>IF(ISNA(MATCH(860,Engine!$C$2:$C$1960,0)),"",INDEX('Compliance Database'!$J$2:$J$1960,MATCH(860,Engine!$C$2:$C$1960,0)))</f>
        <v/>
      </c>
      <c r="K873" s="9">
        <f>IF(ISNA(MATCH(860,Engine!$C$2:$C$1960,0)),"",INDEX('Compliance Database'!$K$2:$K$1960,MATCH(860,Engine!$C$2:$C$1960,0)))</f>
        <v/>
      </c>
      <c r="L873" s="9">
        <f>IF(ISNA(MATCH(860,Engine!$C$2:$C$1960,0)),"",INDEX('Compliance Database'!$L$2:$L$1960,MATCH(860,Engine!$C$2:$C$1960,0)))</f>
        <v/>
      </c>
      <c r="M873" s="9">
        <f>IF(ISNA(MATCH(860,Engine!$C$2:$C$1960,0)),"",INDEX('Compliance Database'!$M$2:$M$1960,MATCH(860,Engine!$C$2:$C$1960,0)))</f>
        <v/>
      </c>
      <c r="N873" s="9">
        <f>IF(ISNA(MATCH(860,Engine!$C$2:$C$1960,0)),"",INDEX('Compliance Database'!$N$2:$N$1960,MATCH(860,Engine!$C$2:$C$1960,0)))</f>
        <v/>
      </c>
      <c r="O873" s="9">
        <f>IF(ISNA(MATCH(860,Engine!$C$2:$C$1960,0)),"",INDEX('Compliance Database'!$O$2:$O$1960,MATCH(860,Engine!$C$2:$C$1960,0)))</f>
        <v/>
      </c>
      <c r="P873" s="8">
        <f>IF(ISNA(MATCH(860,Engine!$C$2:$C$1960,0)),"",HYPERLINK("#Acts!A"&amp;INDEX('Compliance Database'!$P$2:$P$1960,MATCH(860,Engine!$C$2:$C$1960,0)),"Go to Act"))</f>
        <v/>
      </c>
    </row>
    <row r="874" ht="158" customHeight="1">
      <c r="A874" s="8">
        <f>IF(ISNA(MATCH(861,Engine!$C$2:$C$1960,0)),"",INDEX('Compliance Database'!$A$2:$A$1960,MATCH(861,Engine!$C$2:$C$1960,0)))</f>
        <v/>
      </c>
      <c r="B874" s="8">
        <f>IF(ISNA(MATCH(861,Engine!$C$2:$C$1960,0)),"",INDEX('Compliance Database'!$B$2:$B$1960,MATCH(861,Engine!$C$2:$C$1960,0)))</f>
        <v/>
      </c>
      <c r="C874" s="8">
        <f>IF(ISNA(MATCH(861,Engine!$C$2:$C$1960,0)),"",INDEX('Compliance Database'!$C$2:$C$1960,MATCH(861,Engine!$C$2:$C$1960,0)))</f>
        <v/>
      </c>
      <c r="D874" s="9">
        <f>IF(ISNA(MATCH(861,Engine!$C$2:$C$1960,0)),"",INDEX('Compliance Database'!$D$2:$D$1960,MATCH(861,Engine!$C$2:$C$1960,0)))</f>
        <v/>
      </c>
      <c r="E874" s="8">
        <f>IF(ISNA(MATCH(861,Engine!$C$2:$C$1960,0)),"",INDEX('Compliance Database'!$E$2:$E$1960,MATCH(861,Engine!$C$2:$C$1960,0)))</f>
        <v/>
      </c>
      <c r="F874" s="8">
        <f>IF(ISNA(MATCH(861,Engine!$C$2:$C$1960,0)),"",INDEX('Compliance Database'!$F$2:$F$1960,MATCH(861,Engine!$C$2:$C$1960,0)))</f>
        <v/>
      </c>
      <c r="G874" s="8">
        <f>IF(ISNA(MATCH(861,Engine!$C$2:$C$1960,0)),"",INDEX('Compliance Database'!$G$2:$G$1960,MATCH(861,Engine!$C$2:$C$1960,0)))</f>
        <v/>
      </c>
      <c r="H874" s="9">
        <f>IF(ISNA(MATCH(861,Engine!$C$2:$C$1960,0)),"",INDEX('Compliance Database'!$H$2:$H$1960,MATCH(861,Engine!$C$2:$C$1960,0)))</f>
        <v/>
      </c>
      <c r="I874" s="9">
        <f>IF(ISNA(MATCH(861,Engine!$C$2:$C$1960,0)),"",INDEX('Compliance Database'!$I$2:$I$1960,MATCH(861,Engine!$C$2:$C$1960,0)))</f>
        <v/>
      </c>
      <c r="J874" s="8">
        <f>IF(ISNA(MATCH(861,Engine!$C$2:$C$1960,0)),"",INDEX('Compliance Database'!$J$2:$J$1960,MATCH(861,Engine!$C$2:$C$1960,0)))</f>
        <v/>
      </c>
      <c r="K874" s="9">
        <f>IF(ISNA(MATCH(861,Engine!$C$2:$C$1960,0)),"",INDEX('Compliance Database'!$K$2:$K$1960,MATCH(861,Engine!$C$2:$C$1960,0)))</f>
        <v/>
      </c>
      <c r="L874" s="9">
        <f>IF(ISNA(MATCH(861,Engine!$C$2:$C$1960,0)),"",INDEX('Compliance Database'!$L$2:$L$1960,MATCH(861,Engine!$C$2:$C$1960,0)))</f>
        <v/>
      </c>
      <c r="M874" s="9">
        <f>IF(ISNA(MATCH(861,Engine!$C$2:$C$1960,0)),"",INDEX('Compliance Database'!$M$2:$M$1960,MATCH(861,Engine!$C$2:$C$1960,0)))</f>
        <v/>
      </c>
      <c r="N874" s="9">
        <f>IF(ISNA(MATCH(861,Engine!$C$2:$C$1960,0)),"",INDEX('Compliance Database'!$N$2:$N$1960,MATCH(861,Engine!$C$2:$C$1960,0)))</f>
        <v/>
      </c>
      <c r="O874" s="9">
        <f>IF(ISNA(MATCH(861,Engine!$C$2:$C$1960,0)),"",INDEX('Compliance Database'!$O$2:$O$1960,MATCH(861,Engine!$C$2:$C$1960,0)))</f>
        <v/>
      </c>
      <c r="P874" s="8">
        <f>IF(ISNA(MATCH(861,Engine!$C$2:$C$1960,0)),"",HYPERLINK("#Acts!A"&amp;INDEX('Compliance Database'!$P$2:$P$1960,MATCH(861,Engine!$C$2:$C$1960,0)),"Go to Act"))</f>
        <v/>
      </c>
    </row>
    <row r="875" ht="158" customHeight="1">
      <c r="A875" s="8">
        <f>IF(ISNA(MATCH(862,Engine!$C$2:$C$1960,0)),"",INDEX('Compliance Database'!$A$2:$A$1960,MATCH(862,Engine!$C$2:$C$1960,0)))</f>
        <v/>
      </c>
      <c r="B875" s="8">
        <f>IF(ISNA(MATCH(862,Engine!$C$2:$C$1960,0)),"",INDEX('Compliance Database'!$B$2:$B$1960,MATCH(862,Engine!$C$2:$C$1960,0)))</f>
        <v/>
      </c>
      <c r="C875" s="8">
        <f>IF(ISNA(MATCH(862,Engine!$C$2:$C$1960,0)),"",INDEX('Compliance Database'!$C$2:$C$1960,MATCH(862,Engine!$C$2:$C$1960,0)))</f>
        <v/>
      </c>
      <c r="D875" s="9">
        <f>IF(ISNA(MATCH(862,Engine!$C$2:$C$1960,0)),"",INDEX('Compliance Database'!$D$2:$D$1960,MATCH(862,Engine!$C$2:$C$1960,0)))</f>
        <v/>
      </c>
      <c r="E875" s="8">
        <f>IF(ISNA(MATCH(862,Engine!$C$2:$C$1960,0)),"",INDEX('Compliance Database'!$E$2:$E$1960,MATCH(862,Engine!$C$2:$C$1960,0)))</f>
        <v/>
      </c>
      <c r="F875" s="8">
        <f>IF(ISNA(MATCH(862,Engine!$C$2:$C$1960,0)),"",INDEX('Compliance Database'!$F$2:$F$1960,MATCH(862,Engine!$C$2:$C$1960,0)))</f>
        <v/>
      </c>
      <c r="G875" s="8">
        <f>IF(ISNA(MATCH(862,Engine!$C$2:$C$1960,0)),"",INDEX('Compliance Database'!$G$2:$G$1960,MATCH(862,Engine!$C$2:$C$1960,0)))</f>
        <v/>
      </c>
      <c r="H875" s="9">
        <f>IF(ISNA(MATCH(862,Engine!$C$2:$C$1960,0)),"",INDEX('Compliance Database'!$H$2:$H$1960,MATCH(862,Engine!$C$2:$C$1960,0)))</f>
        <v/>
      </c>
      <c r="I875" s="9">
        <f>IF(ISNA(MATCH(862,Engine!$C$2:$C$1960,0)),"",INDEX('Compliance Database'!$I$2:$I$1960,MATCH(862,Engine!$C$2:$C$1960,0)))</f>
        <v/>
      </c>
      <c r="J875" s="8">
        <f>IF(ISNA(MATCH(862,Engine!$C$2:$C$1960,0)),"",INDEX('Compliance Database'!$J$2:$J$1960,MATCH(862,Engine!$C$2:$C$1960,0)))</f>
        <v/>
      </c>
      <c r="K875" s="9">
        <f>IF(ISNA(MATCH(862,Engine!$C$2:$C$1960,0)),"",INDEX('Compliance Database'!$K$2:$K$1960,MATCH(862,Engine!$C$2:$C$1960,0)))</f>
        <v/>
      </c>
      <c r="L875" s="9">
        <f>IF(ISNA(MATCH(862,Engine!$C$2:$C$1960,0)),"",INDEX('Compliance Database'!$L$2:$L$1960,MATCH(862,Engine!$C$2:$C$1960,0)))</f>
        <v/>
      </c>
      <c r="M875" s="9">
        <f>IF(ISNA(MATCH(862,Engine!$C$2:$C$1960,0)),"",INDEX('Compliance Database'!$M$2:$M$1960,MATCH(862,Engine!$C$2:$C$1960,0)))</f>
        <v/>
      </c>
      <c r="N875" s="9">
        <f>IF(ISNA(MATCH(862,Engine!$C$2:$C$1960,0)),"",INDEX('Compliance Database'!$N$2:$N$1960,MATCH(862,Engine!$C$2:$C$1960,0)))</f>
        <v/>
      </c>
      <c r="O875" s="9">
        <f>IF(ISNA(MATCH(862,Engine!$C$2:$C$1960,0)),"",INDEX('Compliance Database'!$O$2:$O$1960,MATCH(862,Engine!$C$2:$C$1960,0)))</f>
        <v/>
      </c>
      <c r="P875" s="8">
        <f>IF(ISNA(MATCH(862,Engine!$C$2:$C$1960,0)),"",HYPERLINK("#Acts!A"&amp;INDEX('Compliance Database'!$P$2:$P$1960,MATCH(862,Engine!$C$2:$C$1960,0)),"Go to Act"))</f>
        <v/>
      </c>
    </row>
    <row r="876" ht="158" customHeight="1">
      <c r="A876" s="8">
        <f>IF(ISNA(MATCH(863,Engine!$C$2:$C$1960,0)),"",INDEX('Compliance Database'!$A$2:$A$1960,MATCH(863,Engine!$C$2:$C$1960,0)))</f>
        <v/>
      </c>
      <c r="B876" s="8">
        <f>IF(ISNA(MATCH(863,Engine!$C$2:$C$1960,0)),"",INDEX('Compliance Database'!$B$2:$B$1960,MATCH(863,Engine!$C$2:$C$1960,0)))</f>
        <v/>
      </c>
      <c r="C876" s="8">
        <f>IF(ISNA(MATCH(863,Engine!$C$2:$C$1960,0)),"",INDEX('Compliance Database'!$C$2:$C$1960,MATCH(863,Engine!$C$2:$C$1960,0)))</f>
        <v/>
      </c>
      <c r="D876" s="9">
        <f>IF(ISNA(MATCH(863,Engine!$C$2:$C$1960,0)),"",INDEX('Compliance Database'!$D$2:$D$1960,MATCH(863,Engine!$C$2:$C$1960,0)))</f>
        <v/>
      </c>
      <c r="E876" s="8">
        <f>IF(ISNA(MATCH(863,Engine!$C$2:$C$1960,0)),"",INDEX('Compliance Database'!$E$2:$E$1960,MATCH(863,Engine!$C$2:$C$1960,0)))</f>
        <v/>
      </c>
      <c r="F876" s="8">
        <f>IF(ISNA(MATCH(863,Engine!$C$2:$C$1960,0)),"",INDEX('Compliance Database'!$F$2:$F$1960,MATCH(863,Engine!$C$2:$C$1960,0)))</f>
        <v/>
      </c>
      <c r="G876" s="8">
        <f>IF(ISNA(MATCH(863,Engine!$C$2:$C$1960,0)),"",INDEX('Compliance Database'!$G$2:$G$1960,MATCH(863,Engine!$C$2:$C$1960,0)))</f>
        <v/>
      </c>
      <c r="H876" s="9">
        <f>IF(ISNA(MATCH(863,Engine!$C$2:$C$1960,0)),"",INDEX('Compliance Database'!$H$2:$H$1960,MATCH(863,Engine!$C$2:$C$1960,0)))</f>
        <v/>
      </c>
      <c r="I876" s="9">
        <f>IF(ISNA(MATCH(863,Engine!$C$2:$C$1960,0)),"",INDEX('Compliance Database'!$I$2:$I$1960,MATCH(863,Engine!$C$2:$C$1960,0)))</f>
        <v/>
      </c>
      <c r="J876" s="8">
        <f>IF(ISNA(MATCH(863,Engine!$C$2:$C$1960,0)),"",INDEX('Compliance Database'!$J$2:$J$1960,MATCH(863,Engine!$C$2:$C$1960,0)))</f>
        <v/>
      </c>
      <c r="K876" s="9">
        <f>IF(ISNA(MATCH(863,Engine!$C$2:$C$1960,0)),"",INDEX('Compliance Database'!$K$2:$K$1960,MATCH(863,Engine!$C$2:$C$1960,0)))</f>
        <v/>
      </c>
      <c r="L876" s="9">
        <f>IF(ISNA(MATCH(863,Engine!$C$2:$C$1960,0)),"",INDEX('Compliance Database'!$L$2:$L$1960,MATCH(863,Engine!$C$2:$C$1960,0)))</f>
        <v/>
      </c>
      <c r="M876" s="9">
        <f>IF(ISNA(MATCH(863,Engine!$C$2:$C$1960,0)),"",INDEX('Compliance Database'!$M$2:$M$1960,MATCH(863,Engine!$C$2:$C$1960,0)))</f>
        <v/>
      </c>
      <c r="N876" s="9">
        <f>IF(ISNA(MATCH(863,Engine!$C$2:$C$1960,0)),"",INDEX('Compliance Database'!$N$2:$N$1960,MATCH(863,Engine!$C$2:$C$1960,0)))</f>
        <v/>
      </c>
      <c r="O876" s="9">
        <f>IF(ISNA(MATCH(863,Engine!$C$2:$C$1960,0)),"",INDEX('Compliance Database'!$O$2:$O$1960,MATCH(863,Engine!$C$2:$C$1960,0)))</f>
        <v/>
      </c>
      <c r="P876" s="8">
        <f>IF(ISNA(MATCH(863,Engine!$C$2:$C$1960,0)),"",HYPERLINK("#Acts!A"&amp;INDEX('Compliance Database'!$P$2:$P$1960,MATCH(863,Engine!$C$2:$C$1960,0)),"Go to Act"))</f>
        <v/>
      </c>
    </row>
    <row r="877" ht="158" customHeight="1">
      <c r="A877" s="8">
        <f>IF(ISNA(MATCH(864,Engine!$C$2:$C$1960,0)),"",INDEX('Compliance Database'!$A$2:$A$1960,MATCH(864,Engine!$C$2:$C$1960,0)))</f>
        <v/>
      </c>
      <c r="B877" s="8">
        <f>IF(ISNA(MATCH(864,Engine!$C$2:$C$1960,0)),"",INDEX('Compliance Database'!$B$2:$B$1960,MATCH(864,Engine!$C$2:$C$1960,0)))</f>
        <v/>
      </c>
      <c r="C877" s="8">
        <f>IF(ISNA(MATCH(864,Engine!$C$2:$C$1960,0)),"",INDEX('Compliance Database'!$C$2:$C$1960,MATCH(864,Engine!$C$2:$C$1960,0)))</f>
        <v/>
      </c>
      <c r="D877" s="9">
        <f>IF(ISNA(MATCH(864,Engine!$C$2:$C$1960,0)),"",INDEX('Compliance Database'!$D$2:$D$1960,MATCH(864,Engine!$C$2:$C$1960,0)))</f>
        <v/>
      </c>
      <c r="E877" s="8">
        <f>IF(ISNA(MATCH(864,Engine!$C$2:$C$1960,0)),"",INDEX('Compliance Database'!$E$2:$E$1960,MATCH(864,Engine!$C$2:$C$1960,0)))</f>
        <v/>
      </c>
      <c r="F877" s="8">
        <f>IF(ISNA(MATCH(864,Engine!$C$2:$C$1960,0)),"",INDEX('Compliance Database'!$F$2:$F$1960,MATCH(864,Engine!$C$2:$C$1960,0)))</f>
        <v/>
      </c>
      <c r="G877" s="8">
        <f>IF(ISNA(MATCH(864,Engine!$C$2:$C$1960,0)),"",INDEX('Compliance Database'!$G$2:$G$1960,MATCH(864,Engine!$C$2:$C$1960,0)))</f>
        <v/>
      </c>
      <c r="H877" s="9">
        <f>IF(ISNA(MATCH(864,Engine!$C$2:$C$1960,0)),"",INDEX('Compliance Database'!$H$2:$H$1960,MATCH(864,Engine!$C$2:$C$1960,0)))</f>
        <v/>
      </c>
      <c r="I877" s="9">
        <f>IF(ISNA(MATCH(864,Engine!$C$2:$C$1960,0)),"",INDEX('Compliance Database'!$I$2:$I$1960,MATCH(864,Engine!$C$2:$C$1960,0)))</f>
        <v/>
      </c>
      <c r="J877" s="8">
        <f>IF(ISNA(MATCH(864,Engine!$C$2:$C$1960,0)),"",INDEX('Compliance Database'!$J$2:$J$1960,MATCH(864,Engine!$C$2:$C$1960,0)))</f>
        <v/>
      </c>
      <c r="K877" s="9">
        <f>IF(ISNA(MATCH(864,Engine!$C$2:$C$1960,0)),"",INDEX('Compliance Database'!$K$2:$K$1960,MATCH(864,Engine!$C$2:$C$1960,0)))</f>
        <v/>
      </c>
      <c r="L877" s="9">
        <f>IF(ISNA(MATCH(864,Engine!$C$2:$C$1960,0)),"",INDEX('Compliance Database'!$L$2:$L$1960,MATCH(864,Engine!$C$2:$C$1960,0)))</f>
        <v/>
      </c>
      <c r="M877" s="9">
        <f>IF(ISNA(MATCH(864,Engine!$C$2:$C$1960,0)),"",INDEX('Compliance Database'!$M$2:$M$1960,MATCH(864,Engine!$C$2:$C$1960,0)))</f>
        <v/>
      </c>
      <c r="N877" s="9">
        <f>IF(ISNA(MATCH(864,Engine!$C$2:$C$1960,0)),"",INDEX('Compliance Database'!$N$2:$N$1960,MATCH(864,Engine!$C$2:$C$1960,0)))</f>
        <v/>
      </c>
      <c r="O877" s="9">
        <f>IF(ISNA(MATCH(864,Engine!$C$2:$C$1960,0)),"",INDEX('Compliance Database'!$O$2:$O$1960,MATCH(864,Engine!$C$2:$C$1960,0)))</f>
        <v/>
      </c>
      <c r="P877" s="8">
        <f>IF(ISNA(MATCH(864,Engine!$C$2:$C$1960,0)),"",HYPERLINK("#Acts!A"&amp;INDEX('Compliance Database'!$P$2:$P$1960,MATCH(864,Engine!$C$2:$C$1960,0)),"Go to Act"))</f>
        <v/>
      </c>
    </row>
    <row r="878" ht="158" customHeight="1">
      <c r="A878" s="8">
        <f>IF(ISNA(MATCH(865,Engine!$C$2:$C$1960,0)),"",INDEX('Compliance Database'!$A$2:$A$1960,MATCH(865,Engine!$C$2:$C$1960,0)))</f>
        <v/>
      </c>
      <c r="B878" s="8">
        <f>IF(ISNA(MATCH(865,Engine!$C$2:$C$1960,0)),"",INDEX('Compliance Database'!$B$2:$B$1960,MATCH(865,Engine!$C$2:$C$1960,0)))</f>
        <v/>
      </c>
      <c r="C878" s="8">
        <f>IF(ISNA(MATCH(865,Engine!$C$2:$C$1960,0)),"",INDEX('Compliance Database'!$C$2:$C$1960,MATCH(865,Engine!$C$2:$C$1960,0)))</f>
        <v/>
      </c>
      <c r="D878" s="9">
        <f>IF(ISNA(MATCH(865,Engine!$C$2:$C$1960,0)),"",INDEX('Compliance Database'!$D$2:$D$1960,MATCH(865,Engine!$C$2:$C$1960,0)))</f>
        <v/>
      </c>
      <c r="E878" s="8">
        <f>IF(ISNA(MATCH(865,Engine!$C$2:$C$1960,0)),"",INDEX('Compliance Database'!$E$2:$E$1960,MATCH(865,Engine!$C$2:$C$1960,0)))</f>
        <v/>
      </c>
      <c r="F878" s="8">
        <f>IF(ISNA(MATCH(865,Engine!$C$2:$C$1960,0)),"",INDEX('Compliance Database'!$F$2:$F$1960,MATCH(865,Engine!$C$2:$C$1960,0)))</f>
        <v/>
      </c>
      <c r="G878" s="8">
        <f>IF(ISNA(MATCH(865,Engine!$C$2:$C$1960,0)),"",INDEX('Compliance Database'!$G$2:$G$1960,MATCH(865,Engine!$C$2:$C$1960,0)))</f>
        <v/>
      </c>
      <c r="H878" s="9">
        <f>IF(ISNA(MATCH(865,Engine!$C$2:$C$1960,0)),"",INDEX('Compliance Database'!$H$2:$H$1960,MATCH(865,Engine!$C$2:$C$1960,0)))</f>
        <v/>
      </c>
      <c r="I878" s="9">
        <f>IF(ISNA(MATCH(865,Engine!$C$2:$C$1960,0)),"",INDEX('Compliance Database'!$I$2:$I$1960,MATCH(865,Engine!$C$2:$C$1960,0)))</f>
        <v/>
      </c>
      <c r="J878" s="8">
        <f>IF(ISNA(MATCH(865,Engine!$C$2:$C$1960,0)),"",INDEX('Compliance Database'!$J$2:$J$1960,MATCH(865,Engine!$C$2:$C$1960,0)))</f>
        <v/>
      </c>
      <c r="K878" s="9">
        <f>IF(ISNA(MATCH(865,Engine!$C$2:$C$1960,0)),"",INDEX('Compliance Database'!$K$2:$K$1960,MATCH(865,Engine!$C$2:$C$1960,0)))</f>
        <v/>
      </c>
      <c r="L878" s="9">
        <f>IF(ISNA(MATCH(865,Engine!$C$2:$C$1960,0)),"",INDEX('Compliance Database'!$L$2:$L$1960,MATCH(865,Engine!$C$2:$C$1960,0)))</f>
        <v/>
      </c>
      <c r="M878" s="9">
        <f>IF(ISNA(MATCH(865,Engine!$C$2:$C$1960,0)),"",INDEX('Compliance Database'!$M$2:$M$1960,MATCH(865,Engine!$C$2:$C$1960,0)))</f>
        <v/>
      </c>
      <c r="N878" s="9">
        <f>IF(ISNA(MATCH(865,Engine!$C$2:$C$1960,0)),"",INDEX('Compliance Database'!$N$2:$N$1960,MATCH(865,Engine!$C$2:$C$1960,0)))</f>
        <v/>
      </c>
      <c r="O878" s="9">
        <f>IF(ISNA(MATCH(865,Engine!$C$2:$C$1960,0)),"",INDEX('Compliance Database'!$O$2:$O$1960,MATCH(865,Engine!$C$2:$C$1960,0)))</f>
        <v/>
      </c>
      <c r="P878" s="8">
        <f>IF(ISNA(MATCH(865,Engine!$C$2:$C$1960,0)),"",HYPERLINK("#Acts!A"&amp;INDEX('Compliance Database'!$P$2:$P$1960,MATCH(865,Engine!$C$2:$C$1960,0)),"Go to Act"))</f>
        <v/>
      </c>
    </row>
    <row r="879" ht="158" customHeight="1">
      <c r="A879" s="8">
        <f>IF(ISNA(MATCH(866,Engine!$C$2:$C$1960,0)),"",INDEX('Compliance Database'!$A$2:$A$1960,MATCH(866,Engine!$C$2:$C$1960,0)))</f>
        <v/>
      </c>
      <c r="B879" s="8">
        <f>IF(ISNA(MATCH(866,Engine!$C$2:$C$1960,0)),"",INDEX('Compliance Database'!$B$2:$B$1960,MATCH(866,Engine!$C$2:$C$1960,0)))</f>
        <v/>
      </c>
      <c r="C879" s="8">
        <f>IF(ISNA(MATCH(866,Engine!$C$2:$C$1960,0)),"",INDEX('Compliance Database'!$C$2:$C$1960,MATCH(866,Engine!$C$2:$C$1960,0)))</f>
        <v/>
      </c>
      <c r="D879" s="9">
        <f>IF(ISNA(MATCH(866,Engine!$C$2:$C$1960,0)),"",INDEX('Compliance Database'!$D$2:$D$1960,MATCH(866,Engine!$C$2:$C$1960,0)))</f>
        <v/>
      </c>
      <c r="E879" s="8">
        <f>IF(ISNA(MATCH(866,Engine!$C$2:$C$1960,0)),"",INDEX('Compliance Database'!$E$2:$E$1960,MATCH(866,Engine!$C$2:$C$1960,0)))</f>
        <v/>
      </c>
      <c r="F879" s="8">
        <f>IF(ISNA(MATCH(866,Engine!$C$2:$C$1960,0)),"",INDEX('Compliance Database'!$F$2:$F$1960,MATCH(866,Engine!$C$2:$C$1960,0)))</f>
        <v/>
      </c>
      <c r="G879" s="8">
        <f>IF(ISNA(MATCH(866,Engine!$C$2:$C$1960,0)),"",INDEX('Compliance Database'!$G$2:$G$1960,MATCH(866,Engine!$C$2:$C$1960,0)))</f>
        <v/>
      </c>
      <c r="H879" s="9">
        <f>IF(ISNA(MATCH(866,Engine!$C$2:$C$1960,0)),"",INDEX('Compliance Database'!$H$2:$H$1960,MATCH(866,Engine!$C$2:$C$1960,0)))</f>
        <v/>
      </c>
      <c r="I879" s="9">
        <f>IF(ISNA(MATCH(866,Engine!$C$2:$C$1960,0)),"",INDEX('Compliance Database'!$I$2:$I$1960,MATCH(866,Engine!$C$2:$C$1960,0)))</f>
        <v/>
      </c>
      <c r="J879" s="8">
        <f>IF(ISNA(MATCH(866,Engine!$C$2:$C$1960,0)),"",INDEX('Compliance Database'!$J$2:$J$1960,MATCH(866,Engine!$C$2:$C$1960,0)))</f>
        <v/>
      </c>
      <c r="K879" s="9">
        <f>IF(ISNA(MATCH(866,Engine!$C$2:$C$1960,0)),"",INDEX('Compliance Database'!$K$2:$K$1960,MATCH(866,Engine!$C$2:$C$1960,0)))</f>
        <v/>
      </c>
      <c r="L879" s="9">
        <f>IF(ISNA(MATCH(866,Engine!$C$2:$C$1960,0)),"",INDEX('Compliance Database'!$L$2:$L$1960,MATCH(866,Engine!$C$2:$C$1960,0)))</f>
        <v/>
      </c>
      <c r="M879" s="9">
        <f>IF(ISNA(MATCH(866,Engine!$C$2:$C$1960,0)),"",INDEX('Compliance Database'!$M$2:$M$1960,MATCH(866,Engine!$C$2:$C$1960,0)))</f>
        <v/>
      </c>
      <c r="N879" s="9">
        <f>IF(ISNA(MATCH(866,Engine!$C$2:$C$1960,0)),"",INDEX('Compliance Database'!$N$2:$N$1960,MATCH(866,Engine!$C$2:$C$1960,0)))</f>
        <v/>
      </c>
      <c r="O879" s="9">
        <f>IF(ISNA(MATCH(866,Engine!$C$2:$C$1960,0)),"",INDEX('Compliance Database'!$O$2:$O$1960,MATCH(866,Engine!$C$2:$C$1960,0)))</f>
        <v/>
      </c>
      <c r="P879" s="8">
        <f>IF(ISNA(MATCH(866,Engine!$C$2:$C$1960,0)),"",HYPERLINK("#Acts!A"&amp;INDEX('Compliance Database'!$P$2:$P$1960,MATCH(866,Engine!$C$2:$C$1960,0)),"Go to Act"))</f>
        <v/>
      </c>
    </row>
    <row r="880" ht="158" customHeight="1">
      <c r="A880" s="8">
        <f>IF(ISNA(MATCH(867,Engine!$C$2:$C$1960,0)),"",INDEX('Compliance Database'!$A$2:$A$1960,MATCH(867,Engine!$C$2:$C$1960,0)))</f>
        <v/>
      </c>
      <c r="B880" s="8">
        <f>IF(ISNA(MATCH(867,Engine!$C$2:$C$1960,0)),"",INDEX('Compliance Database'!$B$2:$B$1960,MATCH(867,Engine!$C$2:$C$1960,0)))</f>
        <v/>
      </c>
      <c r="C880" s="8">
        <f>IF(ISNA(MATCH(867,Engine!$C$2:$C$1960,0)),"",INDEX('Compliance Database'!$C$2:$C$1960,MATCH(867,Engine!$C$2:$C$1960,0)))</f>
        <v/>
      </c>
      <c r="D880" s="9">
        <f>IF(ISNA(MATCH(867,Engine!$C$2:$C$1960,0)),"",INDEX('Compliance Database'!$D$2:$D$1960,MATCH(867,Engine!$C$2:$C$1960,0)))</f>
        <v/>
      </c>
      <c r="E880" s="8">
        <f>IF(ISNA(MATCH(867,Engine!$C$2:$C$1960,0)),"",INDEX('Compliance Database'!$E$2:$E$1960,MATCH(867,Engine!$C$2:$C$1960,0)))</f>
        <v/>
      </c>
      <c r="F880" s="8">
        <f>IF(ISNA(MATCH(867,Engine!$C$2:$C$1960,0)),"",INDEX('Compliance Database'!$F$2:$F$1960,MATCH(867,Engine!$C$2:$C$1960,0)))</f>
        <v/>
      </c>
      <c r="G880" s="8">
        <f>IF(ISNA(MATCH(867,Engine!$C$2:$C$1960,0)),"",INDEX('Compliance Database'!$G$2:$G$1960,MATCH(867,Engine!$C$2:$C$1960,0)))</f>
        <v/>
      </c>
      <c r="H880" s="9">
        <f>IF(ISNA(MATCH(867,Engine!$C$2:$C$1960,0)),"",INDEX('Compliance Database'!$H$2:$H$1960,MATCH(867,Engine!$C$2:$C$1960,0)))</f>
        <v/>
      </c>
      <c r="I880" s="9">
        <f>IF(ISNA(MATCH(867,Engine!$C$2:$C$1960,0)),"",INDEX('Compliance Database'!$I$2:$I$1960,MATCH(867,Engine!$C$2:$C$1960,0)))</f>
        <v/>
      </c>
      <c r="J880" s="8">
        <f>IF(ISNA(MATCH(867,Engine!$C$2:$C$1960,0)),"",INDEX('Compliance Database'!$J$2:$J$1960,MATCH(867,Engine!$C$2:$C$1960,0)))</f>
        <v/>
      </c>
      <c r="K880" s="9">
        <f>IF(ISNA(MATCH(867,Engine!$C$2:$C$1960,0)),"",INDEX('Compliance Database'!$K$2:$K$1960,MATCH(867,Engine!$C$2:$C$1960,0)))</f>
        <v/>
      </c>
      <c r="L880" s="9">
        <f>IF(ISNA(MATCH(867,Engine!$C$2:$C$1960,0)),"",INDEX('Compliance Database'!$L$2:$L$1960,MATCH(867,Engine!$C$2:$C$1960,0)))</f>
        <v/>
      </c>
      <c r="M880" s="9">
        <f>IF(ISNA(MATCH(867,Engine!$C$2:$C$1960,0)),"",INDEX('Compliance Database'!$M$2:$M$1960,MATCH(867,Engine!$C$2:$C$1960,0)))</f>
        <v/>
      </c>
      <c r="N880" s="9">
        <f>IF(ISNA(MATCH(867,Engine!$C$2:$C$1960,0)),"",INDEX('Compliance Database'!$N$2:$N$1960,MATCH(867,Engine!$C$2:$C$1960,0)))</f>
        <v/>
      </c>
      <c r="O880" s="9">
        <f>IF(ISNA(MATCH(867,Engine!$C$2:$C$1960,0)),"",INDEX('Compliance Database'!$O$2:$O$1960,MATCH(867,Engine!$C$2:$C$1960,0)))</f>
        <v/>
      </c>
      <c r="P880" s="8">
        <f>IF(ISNA(MATCH(867,Engine!$C$2:$C$1960,0)),"",HYPERLINK("#Acts!A"&amp;INDEX('Compliance Database'!$P$2:$P$1960,MATCH(867,Engine!$C$2:$C$1960,0)),"Go to Act"))</f>
        <v/>
      </c>
    </row>
    <row r="881" ht="158" customHeight="1">
      <c r="A881" s="8">
        <f>IF(ISNA(MATCH(868,Engine!$C$2:$C$1960,0)),"",INDEX('Compliance Database'!$A$2:$A$1960,MATCH(868,Engine!$C$2:$C$1960,0)))</f>
        <v/>
      </c>
      <c r="B881" s="8">
        <f>IF(ISNA(MATCH(868,Engine!$C$2:$C$1960,0)),"",INDEX('Compliance Database'!$B$2:$B$1960,MATCH(868,Engine!$C$2:$C$1960,0)))</f>
        <v/>
      </c>
      <c r="C881" s="8">
        <f>IF(ISNA(MATCH(868,Engine!$C$2:$C$1960,0)),"",INDEX('Compliance Database'!$C$2:$C$1960,MATCH(868,Engine!$C$2:$C$1960,0)))</f>
        <v/>
      </c>
      <c r="D881" s="9">
        <f>IF(ISNA(MATCH(868,Engine!$C$2:$C$1960,0)),"",INDEX('Compliance Database'!$D$2:$D$1960,MATCH(868,Engine!$C$2:$C$1960,0)))</f>
        <v/>
      </c>
      <c r="E881" s="8">
        <f>IF(ISNA(MATCH(868,Engine!$C$2:$C$1960,0)),"",INDEX('Compliance Database'!$E$2:$E$1960,MATCH(868,Engine!$C$2:$C$1960,0)))</f>
        <v/>
      </c>
      <c r="F881" s="8">
        <f>IF(ISNA(MATCH(868,Engine!$C$2:$C$1960,0)),"",INDEX('Compliance Database'!$F$2:$F$1960,MATCH(868,Engine!$C$2:$C$1960,0)))</f>
        <v/>
      </c>
      <c r="G881" s="8">
        <f>IF(ISNA(MATCH(868,Engine!$C$2:$C$1960,0)),"",INDEX('Compliance Database'!$G$2:$G$1960,MATCH(868,Engine!$C$2:$C$1960,0)))</f>
        <v/>
      </c>
      <c r="H881" s="9">
        <f>IF(ISNA(MATCH(868,Engine!$C$2:$C$1960,0)),"",INDEX('Compliance Database'!$H$2:$H$1960,MATCH(868,Engine!$C$2:$C$1960,0)))</f>
        <v/>
      </c>
      <c r="I881" s="9">
        <f>IF(ISNA(MATCH(868,Engine!$C$2:$C$1960,0)),"",INDEX('Compliance Database'!$I$2:$I$1960,MATCH(868,Engine!$C$2:$C$1960,0)))</f>
        <v/>
      </c>
      <c r="J881" s="8">
        <f>IF(ISNA(MATCH(868,Engine!$C$2:$C$1960,0)),"",INDEX('Compliance Database'!$J$2:$J$1960,MATCH(868,Engine!$C$2:$C$1960,0)))</f>
        <v/>
      </c>
      <c r="K881" s="9">
        <f>IF(ISNA(MATCH(868,Engine!$C$2:$C$1960,0)),"",INDEX('Compliance Database'!$K$2:$K$1960,MATCH(868,Engine!$C$2:$C$1960,0)))</f>
        <v/>
      </c>
      <c r="L881" s="9">
        <f>IF(ISNA(MATCH(868,Engine!$C$2:$C$1960,0)),"",INDEX('Compliance Database'!$L$2:$L$1960,MATCH(868,Engine!$C$2:$C$1960,0)))</f>
        <v/>
      </c>
      <c r="M881" s="9">
        <f>IF(ISNA(MATCH(868,Engine!$C$2:$C$1960,0)),"",INDEX('Compliance Database'!$M$2:$M$1960,MATCH(868,Engine!$C$2:$C$1960,0)))</f>
        <v/>
      </c>
      <c r="N881" s="9">
        <f>IF(ISNA(MATCH(868,Engine!$C$2:$C$1960,0)),"",INDEX('Compliance Database'!$N$2:$N$1960,MATCH(868,Engine!$C$2:$C$1960,0)))</f>
        <v/>
      </c>
      <c r="O881" s="9">
        <f>IF(ISNA(MATCH(868,Engine!$C$2:$C$1960,0)),"",INDEX('Compliance Database'!$O$2:$O$1960,MATCH(868,Engine!$C$2:$C$1960,0)))</f>
        <v/>
      </c>
      <c r="P881" s="8">
        <f>IF(ISNA(MATCH(868,Engine!$C$2:$C$1960,0)),"",HYPERLINK("#Acts!A"&amp;INDEX('Compliance Database'!$P$2:$P$1960,MATCH(868,Engine!$C$2:$C$1960,0)),"Go to Act"))</f>
        <v/>
      </c>
    </row>
    <row r="882" ht="158" customHeight="1">
      <c r="A882" s="8">
        <f>IF(ISNA(MATCH(869,Engine!$C$2:$C$1960,0)),"",INDEX('Compliance Database'!$A$2:$A$1960,MATCH(869,Engine!$C$2:$C$1960,0)))</f>
        <v/>
      </c>
      <c r="B882" s="8">
        <f>IF(ISNA(MATCH(869,Engine!$C$2:$C$1960,0)),"",INDEX('Compliance Database'!$B$2:$B$1960,MATCH(869,Engine!$C$2:$C$1960,0)))</f>
        <v/>
      </c>
      <c r="C882" s="8">
        <f>IF(ISNA(MATCH(869,Engine!$C$2:$C$1960,0)),"",INDEX('Compliance Database'!$C$2:$C$1960,MATCH(869,Engine!$C$2:$C$1960,0)))</f>
        <v/>
      </c>
      <c r="D882" s="9">
        <f>IF(ISNA(MATCH(869,Engine!$C$2:$C$1960,0)),"",INDEX('Compliance Database'!$D$2:$D$1960,MATCH(869,Engine!$C$2:$C$1960,0)))</f>
        <v/>
      </c>
      <c r="E882" s="8">
        <f>IF(ISNA(MATCH(869,Engine!$C$2:$C$1960,0)),"",INDEX('Compliance Database'!$E$2:$E$1960,MATCH(869,Engine!$C$2:$C$1960,0)))</f>
        <v/>
      </c>
      <c r="F882" s="8">
        <f>IF(ISNA(MATCH(869,Engine!$C$2:$C$1960,0)),"",INDEX('Compliance Database'!$F$2:$F$1960,MATCH(869,Engine!$C$2:$C$1960,0)))</f>
        <v/>
      </c>
      <c r="G882" s="8">
        <f>IF(ISNA(MATCH(869,Engine!$C$2:$C$1960,0)),"",INDEX('Compliance Database'!$G$2:$G$1960,MATCH(869,Engine!$C$2:$C$1960,0)))</f>
        <v/>
      </c>
      <c r="H882" s="9">
        <f>IF(ISNA(MATCH(869,Engine!$C$2:$C$1960,0)),"",INDEX('Compliance Database'!$H$2:$H$1960,MATCH(869,Engine!$C$2:$C$1960,0)))</f>
        <v/>
      </c>
      <c r="I882" s="9">
        <f>IF(ISNA(MATCH(869,Engine!$C$2:$C$1960,0)),"",INDEX('Compliance Database'!$I$2:$I$1960,MATCH(869,Engine!$C$2:$C$1960,0)))</f>
        <v/>
      </c>
      <c r="J882" s="8">
        <f>IF(ISNA(MATCH(869,Engine!$C$2:$C$1960,0)),"",INDEX('Compliance Database'!$J$2:$J$1960,MATCH(869,Engine!$C$2:$C$1960,0)))</f>
        <v/>
      </c>
      <c r="K882" s="9">
        <f>IF(ISNA(MATCH(869,Engine!$C$2:$C$1960,0)),"",INDEX('Compliance Database'!$K$2:$K$1960,MATCH(869,Engine!$C$2:$C$1960,0)))</f>
        <v/>
      </c>
      <c r="L882" s="9">
        <f>IF(ISNA(MATCH(869,Engine!$C$2:$C$1960,0)),"",INDEX('Compliance Database'!$L$2:$L$1960,MATCH(869,Engine!$C$2:$C$1960,0)))</f>
        <v/>
      </c>
      <c r="M882" s="9">
        <f>IF(ISNA(MATCH(869,Engine!$C$2:$C$1960,0)),"",INDEX('Compliance Database'!$M$2:$M$1960,MATCH(869,Engine!$C$2:$C$1960,0)))</f>
        <v/>
      </c>
      <c r="N882" s="9">
        <f>IF(ISNA(MATCH(869,Engine!$C$2:$C$1960,0)),"",INDEX('Compliance Database'!$N$2:$N$1960,MATCH(869,Engine!$C$2:$C$1960,0)))</f>
        <v/>
      </c>
      <c r="O882" s="9">
        <f>IF(ISNA(MATCH(869,Engine!$C$2:$C$1960,0)),"",INDEX('Compliance Database'!$O$2:$O$1960,MATCH(869,Engine!$C$2:$C$1960,0)))</f>
        <v/>
      </c>
      <c r="P882" s="8">
        <f>IF(ISNA(MATCH(869,Engine!$C$2:$C$1960,0)),"",HYPERLINK("#Acts!A"&amp;INDEX('Compliance Database'!$P$2:$P$1960,MATCH(869,Engine!$C$2:$C$1960,0)),"Go to Act"))</f>
        <v/>
      </c>
    </row>
    <row r="883" ht="158" customHeight="1">
      <c r="A883" s="8">
        <f>IF(ISNA(MATCH(870,Engine!$C$2:$C$1960,0)),"",INDEX('Compliance Database'!$A$2:$A$1960,MATCH(870,Engine!$C$2:$C$1960,0)))</f>
        <v/>
      </c>
      <c r="B883" s="8">
        <f>IF(ISNA(MATCH(870,Engine!$C$2:$C$1960,0)),"",INDEX('Compliance Database'!$B$2:$B$1960,MATCH(870,Engine!$C$2:$C$1960,0)))</f>
        <v/>
      </c>
      <c r="C883" s="8">
        <f>IF(ISNA(MATCH(870,Engine!$C$2:$C$1960,0)),"",INDEX('Compliance Database'!$C$2:$C$1960,MATCH(870,Engine!$C$2:$C$1960,0)))</f>
        <v/>
      </c>
      <c r="D883" s="9">
        <f>IF(ISNA(MATCH(870,Engine!$C$2:$C$1960,0)),"",INDEX('Compliance Database'!$D$2:$D$1960,MATCH(870,Engine!$C$2:$C$1960,0)))</f>
        <v/>
      </c>
      <c r="E883" s="8">
        <f>IF(ISNA(MATCH(870,Engine!$C$2:$C$1960,0)),"",INDEX('Compliance Database'!$E$2:$E$1960,MATCH(870,Engine!$C$2:$C$1960,0)))</f>
        <v/>
      </c>
      <c r="F883" s="8">
        <f>IF(ISNA(MATCH(870,Engine!$C$2:$C$1960,0)),"",INDEX('Compliance Database'!$F$2:$F$1960,MATCH(870,Engine!$C$2:$C$1960,0)))</f>
        <v/>
      </c>
      <c r="G883" s="8">
        <f>IF(ISNA(MATCH(870,Engine!$C$2:$C$1960,0)),"",INDEX('Compliance Database'!$G$2:$G$1960,MATCH(870,Engine!$C$2:$C$1960,0)))</f>
        <v/>
      </c>
      <c r="H883" s="9">
        <f>IF(ISNA(MATCH(870,Engine!$C$2:$C$1960,0)),"",INDEX('Compliance Database'!$H$2:$H$1960,MATCH(870,Engine!$C$2:$C$1960,0)))</f>
        <v/>
      </c>
      <c r="I883" s="9">
        <f>IF(ISNA(MATCH(870,Engine!$C$2:$C$1960,0)),"",INDEX('Compliance Database'!$I$2:$I$1960,MATCH(870,Engine!$C$2:$C$1960,0)))</f>
        <v/>
      </c>
      <c r="J883" s="8">
        <f>IF(ISNA(MATCH(870,Engine!$C$2:$C$1960,0)),"",INDEX('Compliance Database'!$J$2:$J$1960,MATCH(870,Engine!$C$2:$C$1960,0)))</f>
        <v/>
      </c>
      <c r="K883" s="9">
        <f>IF(ISNA(MATCH(870,Engine!$C$2:$C$1960,0)),"",INDEX('Compliance Database'!$K$2:$K$1960,MATCH(870,Engine!$C$2:$C$1960,0)))</f>
        <v/>
      </c>
      <c r="L883" s="9">
        <f>IF(ISNA(MATCH(870,Engine!$C$2:$C$1960,0)),"",INDEX('Compliance Database'!$L$2:$L$1960,MATCH(870,Engine!$C$2:$C$1960,0)))</f>
        <v/>
      </c>
      <c r="M883" s="9">
        <f>IF(ISNA(MATCH(870,Engine!$C$2:$C$1960,0)),"",INDEX('Compliance Database'!$M$2:$M$1960,MATCH(870,Engine!$C$2:$C$1960,0)))</f>
        <v/>
      </c>
      <c r="N883" s="9">
        <f>IF(ISNA(MATCH(870,Engine!$C$2:$C$1960,0)),"",INDEX('Compliance Database'!$N$2:$N$1960,MATCH(870,Engine!$C$2:$C$1960,0)))</f>
        <v/>
      </c>
      <c r="O883" s="9">
        <f>IF(ISNA(MATCH(870,Engine!$C$2:$C$1960,0)),"",INDEX('Compliance Database'!$O$2:$O$1960,MATCH(870,Engine!$C$2:$C$1960,0)))</f>
        <v/>
      </c>
      <c r="P883" s="8">
        <f>IF(ISNA(MATCH(870,Engine!$C$2:$C$1960,0)),"",HYPERLINK("#Acts!A"&amp;INDEX('Compliance Database'!$P$2:$P$1960,MATCH(870,Engine!$C$2:$C$1960,0)),"Go to Act"))</f>
        <v/>
      </c>
    </row>
    <row r="884" ht="158" customHeight="1">
      <c r="A884" s="8">
        <f>IF(ISNA(MATCH(871,Engine!$C$2:$C$1960,0)),"",INDEX('Compliance Database'!$A$2:$A$1960,MATCH(871,Engine!$C$2:$C$1960,0)))</f>
        <v/>
      </c>
      <c r="B884" s="8">
        <f>IF(ISNA(MATCH(871,Engine!$C$2:$C$1960,0)),"",INDEX('Compliance Database'!$B$2:$B$1960,MATCH(871,Engine!$C$2:$C$1960,0)))</f>
        <v/>
      </c>
      <c r="C884" s="8">
        <f>IF(ISNA(MATCH(871,Engine!$C$2:$C$1960,0)),"",INDEX('Compliance Database'!$C$2:$C$1960,MATCH(871,Engine!$C$2:$C$1960,0)))</f>
        <v/>
      </c>
      <c r="D884" s="9">
        <f>IF(ISNA(MATCH(871,Engine!$C$2:$C$1960,0)),"",INDEX('Compliance Database'!$D$2:$D$1960,MATCH(871,Engine!$C$2:$C$1960,0)))</f>
        <v/>
      </c>
      <c r="E884" s="8">
        <f>IF(ISNA(MATCH(871,Engine!$C$2:$C$1960,0)),"",INDEX('Compliance Database'!$E$2:$E$1960,MATCH(871,Engine!$C$2:$C$1960,0)))</f>
        <v/>
      </c>
      <c r="F884" s="8">
        <f>IF(ISNA(MATCH(871,Engine!$C$2:$C$1960,0)),"",INDEX('Compliance Database'!$F$2:$F$1960,MATCH(871,Engine!$C$2:$C$1960,0)))</f>
        <v/>
      </c>
      <c r="G884" s="8">
        <f>IF(ISNA(MATCH(871,Engine!$C$2:$C$1960,0)),"",INDEX('Compliance Database'!$G$2:$G$1960,MATCH(871,Engine!$C$2:$C$1960,0)))</f>
        <v/>
      </c>
      <c r="H884" s="9">
        <f>IF(ISNA(MATCH(871,Engine!$C$2:$C$1960,0)),"",INDEX('Compliance Database'!$H$2:$H$1960,MATCH(871,Engine!$C$2:$C$1960,0)))</f>
        <v/>
      </c>
      <c r="I884" s="9">
        <f>IF(ISNA(MATCH(871,Engine!$C$2:$C$1960,0)),"",INDEX('Compliance Database'!$I$2:$I$1960,MATCH(871,Engine!$C$2:$C$1960,0)))</f>
        <v/>
      </c>
      <c r="J884" s="8">
        <f>IF(ISNA(MATCH(871,Engine!$C$2:$C$1960,0)),"",INDEX('Compliance Database'!$J$2:$J$1960,MATCH(871,Engine!$C$2:$C$1960,0)))</f>
        <v/>
      </c>
      <c r="K884" s="9">
        <f>IF(ISNA(MATCH(871,Engine!$C$2:$C$1960,0)),"",INDEX('Compliance Database'!$K$2:$K$1960,MATCH(871,Engine!$C$2:$C$1960,0)))</f>
        <v/>
      </c>
      <c r="L884" s="9">
        <f>IF(ISNA(MATCH(871,Engine!$C$2:$C$1960,0)),"",INDEX('Compliance Database'!$L$2:$L$1960,MATCH(871,Engine!$C$2:$C$1960,0)))</f>
        <v/>
      </c>
      <c r="M884" s="9">
        <f>IF(ISNA(MATCH(871,Engine!$C$2:$C$1960,0)),"",INDEX('Compliance Database'!$M$2:$M$1960,MATCH(871,Engine!$C$2:$C$1960,0)))</f>
        <v/>
      </c>
      <c r="N884" s="9">
        <f>IF(ISNA(MATCH(871,Engine!$C$2:$C$1960,0)),"",INDEX('Compliance Database'!$N$2:$N$1960,MATCH(871,Engine!$C$2:$C$1960,0)))</f>
        <v/>
      </c>
      <c r="O884" s="9">
        <f>IF(ISNA(MATCH(871,Engine!$C$2:$C$1960,0)),"",INDEX('Compliance Database'!$O$2:$O$1960,MATCH(871,Engine!$C$2:$C$1960,0)))</f>
        <v/>
      </c>
      <c r="P884" s="8">
        <f>IF(ISNA(MATCH(871,Engine!$C$2:$C$1960,0)),"",HYPERLINK("#Acts!A"&amp;INDEX('Compliance Database'!$P$2:$P$1960,MATCH(871,Engine!$C$2:$C$1960,0)),"Go to Act"))</f>
        <v/>
      </c>
    </row>
    <row r="885" ht="158" customHeight="1">
      <c r="A885" s="8">
        <f>IF(ISNA(MATCH(872,Engine!$C$2:$C$1960,0)),"",INDEX('Compliance Database'!$A$2:$A$1960,MATCH(872,Engine!$C$2:$C$1960,0)))</f>
        <v/>
      </c>
      <c r="B885" s="8">
        <f>IF(ISNA(MATCH(872,Engine!$C$2:$C$1960,0)),"",INDEX('Compliance Database'!$B$2:$B$1960,MATCH(872,Engine!$C$2:$C$1960,0)))</f>
        <v/>
      </c>
      <c r="C885" s="8">
        <f>IF(ISNA(MATCH(872,Engine!$C$2:$C$1960,0)),"",INDEX('Compliance Database'!$C$2:$C$1960,MATCH(872,Engine!$C$2:$C$1960,0)))</f>
        <v/>
      </c>
      <c r="D885" s="9">
        <f>IF(ISNA(MATCH(872,Engine!$C$2:$C$1960,0)),"",INDEX('Compliance Database'!$D$2:$D$1960,MATCH(872,Engine!$C$2:$C$1960,0)))</f>
        <v/>
      </c>
      <c r="E885" s="8">
        <f>IF(ISNA(MATCH(872,Engine!$C$2:$C$1960,0)),"",INDEX('Compliance Database'!$E$2:$E$1960,MATCH(872,Engine!$C$2:$C$1960,0)))</f>
        <v/>
      </c>
      <c r="F885" s="8">
        <f>IF(ISNA(MATCH(872,Engine!$C$2:$C$1960,0)),"",INDEX('Compliance Database'!$F$2:$F$1960,MATCH(872,Engine!$C$2:$C$1960,0)))</f>
        <v/>
      </c>
      <c r="G885" s="8">
        <f>IF(ISNA(MATCH(872,Engine!$C$2:$C$1960,0)),"",INDEX('Compliance Database'!$G$2:$G$1960,MATCH(872,Engine!$C$2:$C$1960,0)))</f>
        <v/>
      </c>
      <c r="H885" s="9">
        <f>IF(ISNA(MATCH(872,Engine!$C$2:$C$1960,0)),"",INDEX('Compliance Database'!$H$2:$H$1960,MATCH(872,Engine!$C$2:$C$1960,0)))</f>
        <v/>
      </c>
      <c r="I885" s="9">
        <f>IF(ISNA(MATCH(872,Engine!$C$2:$C$1960,0)),"",INDEX('Compliance Database'!$I$2:$I$1960,MATCH(872,Engine!$C$2:$C$1960,0)))</f>
        <v/>
      </c>
      <c r="J885" s="8">
        <f>IF(ISNA(MATCH(872,Engine!$C$2:$C$1960,0)),"",INDEX('Compliance Database'!$J$2:$J$1960,MATCH(872,Engine!$C$2:$C$1960,0)))</f>
        <v/>
      </c>
      <c r="K885" s="9">
        <f>IF(ISNA(MATCH(872,Engine!$C$2:$C$1960,0)),"",INDEX('Compliance Database'!$K$2:$K$1960,MATCH(872,Engine!$C$2:$C$1960,0)))</f>
        <v/>
      </c>
      <c r="L885" s="9">
        <f>IF(ISNA(MATCH(872,Engine!$C$2:$C$1960,0)),"",INDEX('Compliance Database'!$L$2:$L$1960,MATCH(872,Engine!$C$2:$C$1960,0)))</f>
        <v/>
      </c>
      <c r="M885" s="9">
        <f>IF(ISNA(MATCH(872,Engine!$C$2:$C$1960,0)),"",INDEX('Compliance Database'!$M$2:$M$1960,MATCH(872,Engine!$C$2:$C$1960,0)))</f>
        <v/>
      </c>
      <c r="N885" s="9">
        <f>IF(ISNA(MATCH(872,Engine!$C$2:$C$1960,0)),"",INDEX('Compliance Database'!$N$2:$N$1960,MATCH(872,Engine!$C$2:$C$1960,0)))</f>
        <v/>
      </c>
      <c r="O885" s="9">
        <f>IF(ISNA(MATCH(872,Engine!$C$2:$C$1960,0)),"",INDEX('Compliance Database'!$O$2:$O$1960,MATCH(872,Engine!$C$2:$C$1960,0)))</f>
        <v/>
      </c>
      <c r="P885" s="8">
        <f>IF(ISNA(MATCH(872,Engine!$C$2:$C$1960,0)),"",HYPERLINK("#Acts!A"&amp;INDEX('Compliance Database'!$P$2:$P$1960,MATCH(872,Engine!$C$2:$C$1960,0)),"Go to Act"))</f>
        <v/>
      </c>
    </row>
    <row r="886" ht="158" customHeight="1">
      <c r="A886" s="8">
        <f>IF(ISNA(MATCH(873,Engine!$C$2:$C$1960,0)),"",INDEX('Compliance Database'!$A$2:$A$1960,MATCH(873,Engine!$C$2:$C$1960,0)))</f>
        <v/>
      </c>
      <c r="B886" s="8">
        <f>IF(ISNA(MATCH(873,Engine!$C$2:$C$1960,0)),"",INDEX('Compliance Database'!$B$2:$B$1960,MATCH(873,Engine!$C$2:$C$1960,0)))</f>
        <v/>
      </c>
      <c r="C886" s="8">
        <f>IF(ISNA(MATCH(873,Engine!$C$2:$C$1960,0)),"",INDEX('Compliance Database'!$C$2:$C$1960,MATCH(873,Engine!$C$2:$C$1960,0)))</f>
        <v/>
      </c>
      <c r="D886" s="9">
        <f>IF(ISNA(MATCH(873,Engine!$C$2:$C$1960,0)),"",INDEX('Compliance Database'!$D$2:$D$1960,MATCH(873,Engine!$C$2:$C$1960,0)))</f>
        <v/>
      </c>
      <c r="E886" s="8">
        <f>IF(ISNA(MATCH(873,Engine!$C$2:$C$1960,0)),"",INDEX('Compliance Database'!$E$2:$E$1960,MATCH(873,Engine!$C$2:$C$1960,0)))</f>
        <v/>
      </c>
      <c r="F886" s="8">
        <f>IF(ISNA(MATCH(873,Engine!$C$2:$C$1960,0)),"",INDEX('Compliance Database'!$F$2:$F$1960,MATCH(873,Engine!$C$2:$C$1960,0)))</f>
        <v/>
      </c>
      <c r="G886" s="8">
        <f>IF(ISNA(MATCH(873,Engine!$C$2:$C$1960,0)),"",INDEX('Compliance Database'!$G$2:$G$1960,MATCH(873,Engine!$C$2:$C$1960,0)))</f>
        <v/>
      </c>
      <c r="H886" s="9">
        <f>IF(ISNA(MATCH(873,Engine!$C$2:$C$1960,0)),"",INDEX('Compliance Database'!$H$2:$H$1960,MATCH(873,Engine!$C$2:$C$1960,0)))</f>
        <v/>
      </c>
      <c r="I886" s="9">
        <f>IF(ISNA(MATCH(873,Engine!$C$2:$C$1960,0)),"",INDEX('Compliance Database'!$I$2:$I$1960,MATCH(873,Engine!$C$2:$C$1960,0)))</f>
        <v/>
      </c>
      <c r="J886" s="8">
        <f>IF(ISNA(MATCH(873,Engine!$C$2:$C$1960,0)),"",INDEX('Compliance Database'!$J$2:$J$1960,MATCH(873,Engine!$C$2:$C$1960,0)))</f>
        <v/>
      </c>
      <c r="K886" s="9">
        <f>IF(ISNA(MATCH(873,Engine!$C$2:$C$1960,0)),"",INDEX('Compliance Database'!$K$2:$K$1960,MATCH(873,Engine!$C$2:$C$1960,0)))</f>
        <v/>
      </c>
      <c r="L886" s="9">
        <f>IF(ISNA(MATCH(873,Engine!$C$2:$C$1960,0)),"",INDEX('Compliance Database'!$L$2:$L$1960,MATCH(873,Engine!$C$2:$C$1960,0)))</f>
        <v/>
      </c>
      <c r="M886" s="9">
        <f>IF(ISNA(MATCH(873,Engine!$C$2:$C$1960,0)),"",INDEX('Compliance Database'!$M$2:$M$1960,MATCH(873,Engine!$C$2:$C$1960,0)))</f>
        <v/>
      </c>
      <c r="N886" s="9">
        <f>IF(ISNA(MATCH(873,Engine!$C$2:$C$1960,0)),"",INDEX('Compliance Database'!$N$2:$N$1960,MATCH(873,Engine!$C$2:$C$1960,0)))</f>
        <v/>
      </c>
      <c r="O886" s="9">
        <f>IF(ISNA(MATCH(873,Engine!$C$2:$C$1960,0)),"",INDEX('Compliance Database'!$O$2:$O$1960,MATCH(873,Engine!$C$2:$C$1960,0)))</f>
        <v/>
      </c>
      <c r="P886" s="8">
        <f>IF(ISNA(MATCH(873,Engine!$C$2:$C$1960,0)),"",HYPERLINK("#Acts!A"&amp;INDEX('Compliance Database'!$P$2:$P$1960,MATCH(873,Engine!$C$2:$C$1960,0)),"Go to Act"))</f>
        <v/>
      </c>
    </row>
    <row r="887" ht="158" customHeight="1">
      <c r="A887" s="8">
        <f>IF(ISNA(MATCH(874,Engine!$C$2:$C$1960,0)),"",INDEX('Compliance Database'!$A$2:$A$1960,MATCH(874,Engine!$C$2:$C$1960,0)))</f>
        <v/>
      </c>
      <c r="B887" s="8">
        <f>IF(ISNA(MATCH(874,Engine!$C$2:$C$1960,0)),"",INDEX('Compliance Database'!$B$2:$B$1960,MATCH(874,Engine!$C$2:$C$1960,0)))</f>
        <v/>
      </c>
      <c r="C887" s="8">
        <f>IF(ISNA(MATCH(874,Engine!$C$2:$C$1960,0)),"",INDEX('Compliance Database'!$C$2:$C$1960,MATCH(874,Engine!$C$2:$C$1960,0)))</f>
        <v/>
      </c>
      <c r="D887" s="9">
        <f>IF(ISNA(MATCH(874,Engine!$C$2:$C$1960,0)),"",INDEX('Compliance Database'!$D$2:$D$1960,MATCH(874,Engine!$C$2:$C$1960,0)))</f>
        <v/>
      </c>
      <c r="E887" s="8">
        <f>IF(ISNA(MATCH(874,Engine!$C$2:$C$1960,0)),"",INDEX('Compliance Database'!$E$2:$E$1960,MATCH(874,Engine!$C$2:$C$1960,0)))</f>
        <v/>
      </c>
      <c r="F887" s="8">
        <f>IF(ISNA(MATCH(874,Engine!$C$2:$C$1960,0)),"",INDEX('Compliance Database'!$F$2:$F$1960,MATCH(874,Engine!$C$2:$C$1960,0)))</f>
        <v/>
      </c>
      <c r="G887" s="8">
        <f>IF(ISNA(MATCH(874,Engine!$C$2:$C$1960,0)),"",INDEX('Compliance Database'!$G$2:$G$1960,MATCH(874,Engine!$C$2:$C$1960,0)))</f>
        <v/>
      </c>
      <c r="H887" s="9">
        <f>IF(ISNA(MATCH(874,Engine!$C$2:$C$1960,0)),"",INDEX('Compliance Database'!$H$2:$H$1960,MATCH(874,Engine!$C$2:$C$1960,0)))</f>
        <v/>
      </c>
      <c r="I887" s="9">
        <f>IF(ISNA(MATCH(874,Engine!$C$2:$C$1960,0)),"",INDEX('Compliance Database'!$I$2:$I$1960,MATCH(874,Engine!$C$2:$C$1960,0)))</f>
        <v/>
      </c>
      <c r="J887" s="8">
        <f>IF(ISNA(MATCH(874,Engine!$C$2:$C$1960,0)),"",INDEX('Compliance Database'!$J$2:$J$1960,MATCH(874,Engine!$C$2:$C$1960,0)))</f>
        <v/>
      </c>
      <c r="K887" s="9">
        <f>IF(ISNA(MATCH(874,Engine!$C$2:$C$1960,0)),"",INDEX('Compliance Database'!$K$2:$K$1960,MATCH(874,Engine!$C$2:$C$1960,0)))</f>
        <v/>
      </c>
      <c r="L887" s="9">
        <f>IF(ISNA(MATCH(874,Engine!$C$2:$C$1960,0)),"",INDEX('Compliance Database'!$L$2:$L$1960,MATCH(874,Engine!$C$2:$C$1960,0)))</f>
        <v/>
      </c>
      <c r="M887" s="9">
        <f>IF(ISNA(MATCH(874,Engine!$C$2:$C$1960,0)),"",INDEX('Compliance Database'!$M$2:$M$1960,MATCH(874,Engine!$C$2:$C$1960,0)))</f>
        <v/>
      </c>
      <c r="N887" s="9">
        <f>IF(ISNA(MATCH(874,Engine!$C$2:$C$1960,0)),"",INDEX('Compliance Database'!$N$2:$N$1960,MATCH(874,Engine!$C$2:$C$1960,0)))</f>
        <v/>
      </c>
      <c r="O887" s="9">
        <f>IF(ISNA(MATCH(874,Engine!$C$2:$C$1960,0)),"",INDEX('Compliance Database'!$O$2:$O$1960,MATCH(874,Engine!$C$2:$C$1960,0)))</f>
        <v/>
      </c>
      <c r="P887" s="8">
        <f>IF(ISNA(MATCH(874,Engine!$C$2:$C$1960,0)),"",HYPERLINK("#Acts!A"&amp;INDEX('Compliance Database'!$P$2:$P$1960,MATCH(874,Engine!$C$2:$C$1960,0)),"Go to Act"))</f>
        <v/>
      </c>
    </row>
    <row r="888" ht="158" customHeight="1">
      <c r="A888" s="8">
        <f>IF(ISNA(MATCH(875,Engine!$C$2:$C$1960,0)),"",INDEX('Compliance Database'!$A$2:$A$1960,MATCH(875,Engine!$C$2:$C$1960,0)))</f>
        <v/>
      </c>
      <c r="B888" s="8">
        <f>IF(ISNA(MATCH(875,Engine!$C$2:$C$1960,0)),"",INDEX('Compliance Database'!$B$2:$B$1960,MATCH(875,Engine!$C$2:$C$1960,0)))</f>
        <v/>
      </c>
      <c r="C888" s="8">
        <f>IF(ISNA(MATCH(875,Engine!$C$2:$C$1960,0)),"",INDEX('Compliance Database'!$C$2:$C$1960,MATCH(875,Engine!$C$2:$C$1960,0)))</f>
        <v/>
      </c>
      <c r="D888" s="9">
        <f>IF(ISNA(MATCH(875,Engine!$C$2:$C$1960,0)),"",INDEX('Compliance Database'!$D$2:$D$1960,MATCH(875,Engine!$C$2:$C$1960,0)))</f>
        <v/>
      </c>
      <c r="E888" s="8">
        <f>IF(ISNA(MATCH(875,Engine!$C$2:$C$1960,0)),"",INDEX('Compliance Database'!$E$2:$E$1960,MATCH(875,Engine!$C$2:$C$1960,0)))</f>
        <v/>
      </c>
      <c r="F888" s="8">
        <f>IF(ISNA(MATCH(875,Engine!$C$2:$C$1960,0)),"",INDEX('Compliance Database'!$F$2:$F$1960,MATCH(875,Engine!$C$2:$C$1960,0)))</f>
        <v/>
      </c>
      <c r="G888" s="8">
        <f>IF(ISNA(MATCH(875,Engine!$C$2:$C$1960,0)),"",INDEX('Compliance Database'!$G$2:$G$1960,MATCH(875,Engine!$C$2:$C$1960,0)))</f>
        <v/>
      </c>
      <c r="H888" s="9">
        <f>IF(ISNA(MATCH(875,Engine!$C$2:$C$1960,0)),"",INDEX('Compliance Database'!$H$2:$H$1960,MATCH(875,Engine!$C$2:$C$1960,0)))</f>
        <v/>
      </c>
      <c r="I888" s="9">
        <f>IF(ISNA(MATCH(875,Engine!$C$2:$C$1960,0)),"",INDEX('Compliance Database'!$I$2:$I$1960,MATCH(875,Engine!$C$2:$C$1960,0)))</f>
        <v/>
      </c>
      <c r="J888" s="8">
        <f>IF(ISNA(MATCH(875,Engine!$C$2:$C$1960,0)),"",INDEX('Compliance Database'!$J$2:$J$1960,MATCH(875,Engine!$C$2:$C$1960,0)))</f>
        <v/>
      </c>
      <c r="K888" s="9">
        <f>IF(ISNA(MATCH(875,Engine!$C$2:$C$1960,0)),"",INDEX('Compliance Database'!$K$2:$K$1960,MATCH(875,Engine!$C$2:$C$1960,0)))</f>
        <v/>
      </c>
      <c r="L888" s="9">
        <f>IF(ISNA(MATCH(875,Engine!$C$2:$C$1960,0)),"",INDEX('Compliance Database'!$L$2:$L$1960,MATCH(875,Engine!$C$2:$C$1960,0)))</f>
        <v/>
      </c>
      <c r="M888" s="9">
        <f>IF(ISNA(MATCH(875,Engine!$C$2:$C$1960,0)),"",INDEX('Compliance Database'!$M$2:$M$1960,MATCH(875,Engine!$C$2:$C$1960,0)))</f>
        <v/>
      </c>
      <c r="N888" s="9">
        <f>IF(ISNA(MATCH(875,Engine!$C$2:$C$1960,0)),"",INDEX('Compliance Database'!$N$2:$N$1960,MATCH(875,Engine!$C$2:$C$1960,0)))</f>
        <v/>
      </c>
      <c r="O888" s="9">
        <f>IF(ISNA(MATCH(875,Engine!$C$2:$C$1960,0)),"",INDEX('Compliance Database'!$O$2:$O$1960,MATCH(875,Engine!$C$2:$C$1960,0)))</f>
        <v/>
      </c>
      <c r="P888" s="8">
        <f>IF(ISNA(MATCH(875,Engine!$C$2:$C$1960,0)),"",HYPERLINK("#Acts!A"&amp;INDEX('Compliance Database'!$P$2:$P$1960,MATCH(875,Engine!$C$2:$C$1960,0)),"Go to Act"))</f>
        <v/>
      </c>
    </row>
    <row r="889" ht="158" customHeight="1">
      <c r="A889" s="8">
        <f>IF(ISNA(MATCH(876,Engine!$C$2:$C$1960,0)),"",INDEX('Compliance Database'!$A$2:$A$1960,MATCH(876,Engine!$C$2:$C$1960,0)))</f>
        <v/>
      </c>
      <c r="B889" s="8">
        <f>IF(ISNA(MATCH(876,Engine!$C$2:$C$1960,0)),"",INDEX('Compliance Database'!$B$2:$B$1960,MATCH(876,Engine!$C$2:$C$1960,0)))</f>
        <v/>
      </c>
      <c r="C889" s="8">
        <f>IF(ISNA(MATCH(876,Engine!$C$2:$C$1960,0)),"",INDEX('Compliance Database'!$C$2:$C$1960,MATCH(876,Engine!$C$2:$C$1960,0)))</f>
        <v/>
      </c>
      <c r="D889" s="9">
        <f>IF(ISNA(MATCH(876,Engine!$C$2:$C$1960,0)),"",INDEX('Compliance Database'!$D$2:$D$1960,MATCH(876,Engine!$C$2:$C$1960,0)))</f>
        <v/>
      </c>
      <c r="E889" s="8">
        <f>IF(ISNA(MATCH(876,Engine!$C$2:$C$1960,0)),"",INDEX('Compliance Database'!$E$2:$E$1960,MATCH(876,Engine!$C$2:$C$1960,0)))</f>
        <v/>
      </c>
      <c r="F889" s="8">
        <f>IF(ISNA(MATCH(876,Engine!$C$2:$C$1960,0)),"",INDEX('Compliance Database'!$F$2:$F$1960,MATCH(876,Engine!$C$2:$C$1960,0)))</f>
        <v/>
      </c>
      <c r="G889" s="8">
        <f>IF(ISNA(MATCH(876,Engine!$C$2:$C$1960,0)),"",INDEX('Compliance Database'!$G$2:$G$1960,MATCH(876,Engine!$C$2:$C$1960,0)))</f>
        <v/>
      </c>
      <c r="H889" s="9">
        <f>IF(ISNA(MATCH(876,Engine!$C$2:$C$1960,0)),"",INDEX('Compliance Database'!$H$2:$H$1960,MATCH(876,Engine!$C$2:$C$1960,0)))</f>
        <v/>
      </c>
      <c r="I889" s="9">
        <f>IF(ISNA(MATCH(876,Engine!$C$2:$C$1960,0)),"",INDEX('Compliance Database'!$I$2:$I$1960,MATCH(876,Engine!$C$2:$C$1960,0)))</f>
        <v/>
      </c>
      <c r="J889" s="8">
        <f>IF(ISNA(MATCH(876,Engine!$C$2:$C$1960,0)),"",INDEX('Compliance Database'!$J$2:$J$1960,MATCH(876,Engine!$C$2:$C$1960,0)))</f>
        <v/>
      </c>
      <c r="K889" s="9">
        <f>IF(ISNA(MATCH(876,Engine!$C$2:$C$1960,0)),"",INDEX('Compliance Database'!$K$2:$K$1960,MATCH(876,Engine!$C$2:$C$1960,0)))</f>
        <v/>
      </c>
      <c r="L889" s="9">
        <f>IF(ISNA(MATCH(876,Engine!$C$2:$C$1960,0)),"",INDEX('Compliance Database'!$L$2:$L$1960,MATCH(876,Engine!$C$2:$C$1960,0)))</f>
        <v/>
      </c>
      <c r="M889" s="9">
        <f>IF(ISNA(MATCH(876,Engine!$C$2:$C$1960,0)),"",INDEX('Compliance Database'!$M$2:$M$1960,MATCH(876,Engine!$C$2:$C$1960,0)))</f>
        <v/>
      </c>
      <c r="N889" s="9">
        <f>IF(ISNA(MATCH(876,Engine!$C$2:$C$1960,0)),"",INDEX('Compliance Database'!$N$2:$N$1960,MATCH(876,Engine!$C$2:$C$1960,0)))</f>
        <v/>
      </c>
      <c r="O889" s="9">
        <f>IF(ISNA(MATCH(876,Engine!$C$2:$C$1960,0)),"",INDEX('Compliance Database'!$O$2:$O$1960,MATCH(876,Engine!$C$2:$C$1960,0)))</f>
        <v/>
      </c>
      <c r="P889" s="8">
        <f>IF(ISNA(MATCH(876,Engine!$C$2:$C$1960,0)),"",HYPERLINK("#Acts!A"&amp;INDEX('Compliance Database'!$P$2:$P$1960,MATCH(876,Engine!$C$2:$C$1960,0)),"Go to Act"))</f>
        <v/>
      </c>
    </row>
    <row r="890" ht="158" customHeight="1">
      <c r="A890" s="8">
        <f>IF(ISNA(MATCH(877,Engine!$C$2:$C$1960,0)),"",INDEX('Compliance Database'!$A$2:$A$1960,MATCH(877,Engine!$C$2:$C$1960,0)))</f>
        <v/>
      </c>
      <c r="B890" s="8">
        <f>IF(ISNA(MATCH(877,Engine!$C$2:$C$1960,0)),"",INDEX('Compliance Database'!$B$2:$B$1960,MATCH(877,Engine!$C$2:$C$1960,0)))</f>
        <v/>
      </c>
      <c r="C890" s="8">
        <f>IF(ISNA(MATCH(877,Engine!$C$2:$C$1960,0)),"",INDEX('Compliance Database'!$C$2:$C$1960,MATCH(877,Engine!$C$2:$C$1960,0)))</f>
        <v/>
      </c>
      <c r="D890" s="9">
        <f>IF(ISNA(MATCH(877,Engine!$C$2:$C$1960,0)),"",INDEX('Compliance Database'!$D$2:$D$1960,MATCH(877,Engine!$C$2:$C$1960,0)))</f>
        <v/>
      </c>
      <c r="E890" s="8">
        <f>IF(ISNA(MATCH(877,Engine!$C$2:$C$1960,0)),"",INDEX('Compliance Database'!$E$2:$E$1960,MATCH(877,Engine!$C$2:$C$1960,0)))</f>
        <v/>
      </c>
      <c r="F890" s="8">
        <f>IF(ISNA(MATCH(877,Engine!$C$2:$C$1960,0)),"",INDEX('Compliance Database'!$F$2:$F$1960,MATCH(877,Engine!$C$2:$C$1960,0)))</f>
        <v/>
      </c>
      <c r="G890" s="8">
        <f>IF(ISNA(MATCH(877,Engine!$C$2:$C$1960,0)),"",INDEX('Compliance Database'!$G$2:$G$1960,MATCH(877,Engine!$C$2:$C$1960,0)))</f>
        <v/>
      </c>
      <c r="H890" s="9">
        <f>IF(ISNA(MATCH(877,Engine!$C$2:$C$1960,0)),"",INDEX('Compliance Database'!$H$2:$H$1960,MATCH(877,Engine!$C$2:$C$1960,0)))</f>
        <v/>
      </c>
      <c r="I890" s="9">
        <f>IF(ISNA(MATCH(877,Engine!$C$2:$C$1960,0)),"",INDEX('Compliance Database'!$I$2:$I$1960,MATCH(877,Engine!$C$2:$C$1960,0)))</f>
        <v/>
      </c>
      <c r="J890" s="8">
        <f>IF(ISNA(MATCH(877,Engine!$C$2:$C$1960,0)),"",INDEX('Compliance Database'!$J$2:$J$1960,MATCH(877,Engine!$C$2:$C$1960,0)))</f>
        <v/>
      </c>
      <c r="K890" s="9">
        <f>IF(ISNA(MATCH(877,Engine!$C$2:$C$1960,0)),"",INDEX('Compliance Database'!$K$2:$K$1960,MATCH(877,Engine!$C$2:$C$1960,0)))</f>
        <v/>
      </c>
      <c r="L890" s="9">
        <f>IF(ISNA(MATCH(877,Engine!$C$2:$C$1960,0)),"",INDEX('Compliance Database'!$L$2:$L$1960,MATCH(877,Engine!$C$2:$C$1960,0)))</f>
        <v/>
      </c>
      <c r="M890" s="9">
        <f>IF(ISNA(MATCH(877,Engine!$C$2:$C$1960,0)),"",INDEX('Compliance Database'!$M$2:$M$1960,MATCH(877,Engine!$C$2:$C$1960,0)))</f>
        <v/>
      </c>
      <c r="N890" s="9">
        <f>IF(ISNA(MATCH(877,Engine!$C$2:$C$1960,0)),"",INDEX('Compliance Database'!$N$2:$N$1960,MATCH(877,Engine!$C$2:$C$1960,0)))</f>
        <v/>
      </c>
      <c r="O890" s="9">
        <f>IF(ISNA(MATCH(877,Engine!$C$2:$C$1960,0)),"",INDEX('Compliance Database'!$O$2:$O$1960,MATCH(877,Engine!$C$2:$C$1960,0)))</f>
        <v/>
      </c>
      <c r="P890" s="8">
        <f>IF(ISNA(MATCH(877,Engine!$C$2:$C$1960,0)),"",HYPERLINK("#Acts!A"&amp;INDEX('Compliance Database'!$P$2:$P$1960,MATCH(877,Engine!$C$2:$C$1960,0)),"Go to Act"))</f>
        <v/>
      </c>
    </row>
    <row r="891" ht="158" customHeight="1">
      <c r="A891" s="8">
        <f>IF(ISNA(MATCH(878,Engine!$C$2:$C$1960,0)),"",INDEX('Compliance Database'!$A$2:$A$1960,MATCH(878,Engine!$C$2:$C$1960,0)))</f>
        <v/>
      </c>
      <c r="B891" s="8">
        <f>IF(ISNA(MATCH(878,Engine!$C$2:$C$1960,0)),"",INDEX('Compliance Database'!$B$2:$B$1960,MATCH(878,Engine!$C$2:$C$1960,0)))</f>
        <v/>
      </c>
      <c r="C891" s="8">
        <f>IF(ISNA(MATCH(878,Engine!$C$2:$C$1960,0)),"",INDEX('Compliance Database'!$C$2:$C$1960,MATCH(878,Engine!$C$2:$C$1960,0)))</f>
        <v/>
      </c>
      <c r="D891" s="9">
        <f>IF(ISNA(MATCH(878,Engine!$C$2:$C$1960,0)),"",INDEX('Compliance Database'!$D$2:$D$1960,MATCH(878,Engine!$C$2:$C$1960,0)))</f>
        <v/>
      </c>
      <c r="E891" s="8">
        <f>IF(ISNA(MATCH(878,Engine!$C$2:$C$1960,0)),"",INDEX('Compliance Database'!$E$2:$E$1960,MATCH(878,Engine!$C$2:$C$1960,0)))</f>
        <v/>
      </c>
      <c r="F891" s="8">
        <f>IF(ISNA(MATCH(878,Engine!$C$2:$C$1960,0)),"",INDEX('Compliance Database'!$F$2:$F$1960,MATCH(878,Engine!$C$2:$C$1960,0)))</f>
        <v/>
      </c>
      <c r="G891" s="8">
        <f>IF(ISNA(MATCH(878,Engine!$C$2:$C$1960,0)),"",INDEX('Compliance Database'!$G$2:$G$1960,MATCH(878,Engine!$C$2:$C$1960,0)))</f>
        <v/>
      </c>
      <c r="H891" s="9">
        <f>IF(ISNA(MATCH(878,Engine!$C$2:$C$1960,0)),"",INDEX('Compliance Database'!$H$2:$H$1960,MATCH(878,Engine!$C$2:$C$1960,0)))</f>
        <v/>
      </c>
      <c r="I891" s="9">
        <f>IF(ISNA(MATCH(878,Engine!$C$2:$C$1960,0)),"",INDEX('Compliance Database'!$I$2:$I$1960,MATCH(878,Engine!$C$2:$C$1960,0)))</f>
        <v/>
      </c>
      <c r="J891" s="8">
        <f>IF(ISNA(MATCH(878,Engine!$C$2:$C$1960,0)),"",INDEX('Compliance Database'!$J$2:$J$1960,MATCH(878,Engine!$C$2:$C$1960,0)))</f>
        <v/>
      </c>
      <c r="K891" s="9">
        <f>IF(ISNA(MATCH(878,Engine!$C$2:$C$1960,0)),"",INDEX('Compliance Database'!$K$2:$K$1960,MATCH(878,Engine!$C$2:$C$1960,0)))</f>
        <v/>
      </c>
      <c r="L891" s="9">
        <f>IF(ISNA(MATCH(878,Engine!$C$2:$C$1960,0)),"",INDEX('Compliance Database'!$L$2:$L$1960,MATCH(878,Engine!$C$2:$C$1960,0)))</f>
        <v/>
      </c>
      <c r="M891" s="9">
        <f>IF(ISNA(MATCH(878,Engine!$C$2:$C$1960,0)),"",INDEX('Compliance Database'!$M$2:$M$1960,MATCH(878,Engine!$C$2:$C$1960,0)))</f>
        <v/>
      </c>
      <c r="N891" s="9">
        <f>IF(ISNA(MATCH(878,Engine!$C$2:$C$1960,0)),"",INDEX('Compliance Database'!$N$2:$N$1960,MATCH(878,Engine!$C$2:$C$1960,0)))</f>
        <v/>
      </c>
      <c r="O891" s="9">
        <f>IF(ISNA(MATCH(878,Engine!$C$2:$C$1960,0)),"",INDEX('Compliance Database'!$O$2:$O$1960,MATCH(878,Engine!$C$2:$C$1960,0)))</f>
        <v/>
      </c>
      <c r="P891" s="8">
        <f>IF(ISNA(MATCH(878,Engine!$C$2:$C$1960,0)),"",HYPERLINK("#Acts!A"&amp;INDEX('Compliance Database'!$P$2:$P$1960,MATCH(878,Engine!$C$2:$C$1960,0)),"Go to Act"))</f>
        <v/>
      </c>
    </row>
    <row r="892" ht="158" customHeight="1">
      <c r="A892" s="8">
        <f>IF(ISNA(MATCH(879,Engine!$C$2:$C$1960,0)),"",INDEX('Compliance Database'!$A$2:$A$1960,MATCH(879,Engine!$C$2:$C$1960,0)))</f>
        <v/>
      </c>
      <c r="B892" s="8">
        <f>IF(ISNA(MATCH(879,Engine!$C$2:$C$1960,0)),"",INDEX('Compliance Database'!$B$2:$B$1960,MATCH(879,Engine!$C$2:$C$1960,0)))</f>
        <v/>
      </c>
      <c r="C892" s="8">
        <f>IF(ISNA(MATCH(879,Engine!$C$2:$C$1960,0)),"",INDEX('Compliance Database'!$C$2:$C$1960,MATCH(879,Engine!$C$2:$C$1960,0)))</f>
        <v/>
      </c>
      <c r="D892" s="9">
        <f>IF(ISNA(MATCH(879,Engine!$C$2:$C$1960,0)),"",INDEX('Compliance Database'!$D$2:$D$1960,MATCH(879,Engine!$C$2:$C$1960,0)))</f>
        <v/>
      </c>
      <c r="E892" s="8">
        <f>IF(ISNA(MATCH(879,Engine!$C$2:$C$1960,0)),"",INDEX('Compliance Database'!$E$2:$E$1960,MATCH(879,Engine!$C$2:$C$1960,0)))</f>
        <v/>
      </c>
      <c r="F892" s="8">
        <f>IF(ISNA(MATCH(879,Engine!$C$2:$C$1960,0)),"",INDEX('Compliance Database'!$F$2:$F$1960,MATCH(879,Engine!$C$2:$C$1960,0)))</f>
        <v/>
      </c>
      <c r="G892" s="8">
        <f>IF(ISNA(MATCH(879,Engine!$C$2:$C$1960,0)),"",INDEX('Compliance Database'!$G$2:$G$1960,MATCH(879,Engine!$C$2:$C$1960,0)))</f>
        <v/>
      </c>
      <c r="H892" s="9">
        <f>IF(ISNA(MATCH(879,Engine!$C$2:$C$1960,0)),"",INDEX('Compliance Database'!$H$2:$H$1960,MATCH(879,Engine!$C$2:$C$1960,0)))</f>
        <v/>
      </c>
      <c r="I892" s="9">
        <f>IF(ISNA(MATCH(879,Engine!$C$2:$C$1960,0)),"",INDEX('Compliance Database'!$I$2:$I$1960,MATCH(879,Engine!$C$2:$C$1960,0)))</f>
        <v/>
      </c>
      <c r="J892" s="8">
        <f>IF(ISNA(MATCH(879,Engine!$C$2:$C$1960,0)),"",INDEX('Compliance Database'!$J$2:$J$1960,MATCH(879,Engine!$C$2:$C$1960,0)))</f>
        <v/>
      </c>
      <c r="K892" s="9">
        <f>IF(ISNA(MATCH(879,Engine!$C$2:$C$1960,0)),"",INDEX('Compliance Database'!$K$2:$K$1960,MATCH(879,Engine!$C$2:$C$1960,0)))</f>
        <v/>
      </c>
      <c r="L892" s="9">
        <f>IF(ISNA(MATCH(879,Engine!$C$2:$C$1960,0)),"",INDEX('Compliance Database'!$L$2:$L$1960,MATCH(879,Engine!$C$2:$C$1960,0)))</f>
        <v/>
      </c>
      <c r="M892" s="9">
        <f>IF(ISNA(MATCH(879,Engine!$C$2:$C$1960,0)),"",INDEX('Compliance Database'!$M$2:$M$1960,MATCH(879,Engine!$C$2:$C$1960,0)))</f>
        <v/>
      </c>
      <c r="N892" s="9">
        <f>IF(ISNA(MATCH(879,Engine!$C$2:$C$1960,0)),"",INDEX('Compliance Database'!$N$2:$N$1960,MATCH(879,Engine!$C$2:$C$1960,0)))</f>
        <v/>
      </c>
      <c r="O892" s="9">
        <f>IF(ISNA(MATCH(879,Engine!$C$2:$C$1960,0)),"",INDEX('Compliance Database'!$O$2:$O$1960,MATCH(879,Engine!$C$2:$C$1960,0)))</f>
        <v/>
      </c>
      <c r="P892" s="8">
        <f>IF(ISNA(MATCH(879,Engine!$C$2:$C$1960,0)),"",HYPERLINK("#Acts!A"&amp;INDEX('Compliance Database'!$P$2:$P$1960,MATCH(879,Engine!$C$2:$C$1960,0)),"Go to Act"))</f>
        <v/>
      </c>
    </row>
    <row r="893" ht="158" customHeight="1">
      <c r="A893" s="8">
        <f>IF(ISNA(MATCH(880,Engine!$C$2:$C$1960,0)),"",INDEX('Compliance Database'!$A$2:$A$1960,MATCH(880,Engine!$C$2:$C$1960,0)))</f>
        <v/>
      </c>
      <c r="B893" s="8">
        <f>IF(ISNA(MATCH(880,Engine!$C$2:$C$1960,0)),"",INDEX('Compliance Database'!$B$2:$B$1960,MATCH(880,Engine!$C$2:$C$1960,0)))</f>
        <v/>
      </c>
      <c r="C893" s="8">
        <f>IF(ISNA(MATCH(880,Engine!$C$2:$C$1960,0)),"",INDEX('Compliance Database'!$C$2:$C$1960,MATCH(880,Engine!$C$2:$C$1960,0)))</f>
        <v/>
      </c>
      <c r="D893" s="9">
        <f>IF(ISNA(MATCH(880,Engine!$C$2:$C$1960,0)),"",INDEX('Compliance Database'!$D$2:$D$1960,MATCH(880,Engine!$C$2:$C$1960,0)))</f>
        <v/>
      </c>
      <c r="E893" s="8">
        <f>IF(ISNA(MATCH(880,Engine!$C$2:$C$1960,0)),"",INDEX('Compliance Database'!$E$2:$E$1960,MATCH(880,Engine!$C$2:$C$1960,0)))</f>
        <v/>
      </c>
      <c r="F893" s="8">
        <f>IF(ISNA(MATCH(880,Engine!$C$2:$C$1960,0)),"",INDEX('Compliance Database'!$F$2:$F$1960,MATCH(880,Engine!$C$2:$C$1960,0)))</f>
        <v/>
      </c>
      <c r="G893" s="8">
        <f>IF(ISNA(MATCH(880,Engine!$C$2:$C$1960,0)),"",INDEX('Compliance Database'!$G$2:$G$1960,MATCH(880,Engine!$C$2:$C$1960,0)))</f>
        <v/>
      </c>
      <c r="H893" s="9">
        <f>IF(ISNA(MATCH(880,Engine!$C$2:$C$1960,0)),"",INDEX('Compliance Database'!$H$2:$H$1960,MATCH(880,Engine!$C$2:$C$1960,0)))</f>
        <v/>
      </c>
      <c r="I893" s="9">
        <f>IF(ISNA(MATCH(880,Engine!$C$2:$C$1960,0)),"",INDEX('Compliance Database'!$I$2:$I$1960,MATCH(880,Engine!$C$2:$C$1960,0)))</f>
        <v/>
      </c>
      <c r="J893" s="8">
        <f>IF(ISNA(MATCH(880,Engine!$C$2:$C$1960,0)),"",INDEX('Compliance Database'!$J$2:$J$1960,MATCH(880,Engine!$C$2:$C$1960,0)))</f>
        <v/>
      </c>
      <c r="K893" s="9">
        <f>IF(ISNA(MATCH(880,Engine!$C$2:$C$1960,0)),"",INDEX('Compliance Database'!$K$2:$K$1960,MATCH(880,Engine!$C$2:$C$1960,0)))</f>
        <v/>
      </c>
      <c r="L893" s="9">
        <f>IF(ISNA(MATCH(880,Engine!$C$2:$C$1960,0)),"",INDEX('Compliance Database'!$L$2:$L$1960,MATCH(880,Engine!$C$2:$C$1960,0)))</f>
        <v/>
      </c>
      <c r="M893" s="9">
        <f>IF(ISNA(MATCH(880,Engine!$C$2:$C$1960,0)),"",INDEX('Compliance Database'!$M$2:$M$1960,MATCH(880,Engine!$C$2:$C$1960,0)))</f>
        <v/>
      </c>
      <c r="N893" s="9">
        <f>IF(ISNA(MATCH(880,Engine!$C$2:$C$1960,0)),"",INDEX('Compliance Database'!$N$2:$N$1960,MATCH(880,Engine!$C$2:$C$1960,0)))</f>
        <v/>
      </c>
      <c r="O893" s="9">
        <f>IF(ISNA(MATCH(880,Engine!$C$2:$C$1960,0)),"",INDEX('Compliance Database'!$O$2:$O$1960,MATCH(880,Engine!$C$2:$C$1960,0)))</f>
        <v/>
      </c>
      <c r="P893" s="8">
        <f>IF(ISNA(MATCH(880,Engine!$C$2:$C$1960,0)),"",HYPERLINK("#Acts!A"&amp;INDEX('Compliance Database'!$P$2:$P$1960,MATCH(880,Engine!$C$2:$C$1960,0)),"Go to Act"))</f>
        <v/>
      </c>
    </row>
    <row r="894" ht="158" customHeight="1">
      <c r="A894" s="8">
        <f>IF(ISNA(MATCH(881,Engine!$C$2:$C$1960,0)),"",INDEX('Compliance Database'!$A$2:$A$1960,MATCH(881,Engine!$C$2:$C$1960,0)))</f>
        <v/>
      </c>
      <c r="B894" s="8">
        <f>IF(ISNA(MATCH(881,Engine!$C$2:$C$1960,0)),"",INDEX('Compliance Database'!$B$2:$B$1960,MATCH(881,Engine!$C$2:$C$1960,0)))</f>
        <v/>
      </c>
      <c r="C894" s="8">
        <f>IF(ISNA(MATCH(881,Engine!$C$2:$C$1960,0)),"",INDEX('Compliance Database'!$C$2:$C$1960,MATCH(881,Engine!$C$2:$C$1960,0)))</f>
        <v/>
      </c>
      <c r="D894" s="9">
        <f>IF(ISNA(MATCH(881,Engine!$C$2:$C$1960,0)),"",INDEX('Compliance Database'!$D$2:$D$1960,MATCH(881,Engine!$C$2:$C$1960,0)))</f>
        <v/>
      </c>
      <c r="E894" s="8">
        <f>IF(ISNA(MATCH(881,Engine!$C$2:$C$1960,0)),"",INDEX('Compliance Database'!$E$2:$E$1960,MATCH(881,Engine!$C$2:$C$1960,0)))</f>
        <v/>
      </c>
      <c r="F894" s="8">
        <f>IF(ISNA(MATCH(881,Engine!$C$2:$C$1960,0)),"",INDEX('Compliance Database'!$F$2:$F$1960,MATCH(881,Engine!$C$2:$C$1960,0)))</f>
        <v/>
      </c>
      <c r="G894" s="8">
        <f>IF(ISNA(MATCH(881,Engine!$C$2:$C$1960,0)),"",INDEX('Compliance Database'!$G$2:$G$1960,MATCH(881,Engine!$C$2:$C$1960,0)))</f>
        <v/>
      </c>
      <c r="H894" s="9">
        <f>IF(ISNA(MATCH(881,Engine!$C$2:$C$1960,0)),"",INDEX('Compliance Database'!$H$2:$H$1960,MATCH(881,Engine!$C$2:$C$1960,0)))</f>
        <v/>
      </c>
      <c r="I894" s="9">
        <f>IF(ISNA(MATCH(881,Engine!$C$2:$C$1960,0)),"",INDEX('Compliance Database'!$I$2:$I$1960,MATCH(881,Engine!$C$2:$C$1960,0)))</f>
        <v/>
      </c>
      <c r="J894" s="8">
        <f>IF(ISNA(MATCH(881,Engine!$C$2:$C$1960,0)),"",INDEX('Compliance Database'!$J$2:$J$1960,MATCH(881,Engine!$C$2:$C$1960,0)))</f>
        <v/>
      </c>
      <c r="K894" s="9">
        <f>IF(ISNA(MATCH(881,Engine!$C$2:$C$1960,0)),"",INDEX('Compliance Database'!$K$2:$K$1960,MATCH(881,Engine!$C$2:$C$1960,0)))</f>
        <v/>
      </c>
      <c r="L894" s="9">
        <f>IF(ISNA(MATCH(881,Engine!$C$2:$C$1960,0)),"",INDEX('Compliance Database'!$L$2:$L$1960,MATCH(881,Engine!$C$2:$C$1960,0)))</f>
        <v/>
      </c>
      <c r="M894" s="9">
        <f>IF(ISNA(MATCH(881,Engine!$C$2:$C$1960,0)),"",INDEX('Compliance Database'!$M$2:$M$1960,MATCH(881,Engine!$C$2:$C$1960,0)))</f>
        <v/>
      </c>
      <c r="N894" s="9">
        <f>IF(ISNA(MATCH(881,Engine!$C$2:$C$1960,0)),"",INDEX('Compliance Database'!$N$2:$N$1960,MATCH(881,Engine!$C$2:$C$1960,0)))</f>
        <v/>
      </c>
      <c r="O894" s="9">
        <f>IF(ISNA(MATCH(881,Engine!$C$2:$C$1960,0)),"",INDEX('Compliance Database'!$O$2:$O$1960,MATCH(881,Engine!$C$2:$C$1960,0)))</f>
        <v/>
      </c>
      <c r="P894" s="8">
        <f>IF(ISNA(MATCH(881,Engine!$C$2:$C$1960,0)),"",HYPERLINK("#Acts!A"&amp;INDEX('Compliance Database'!$P$2:$P$1960,MATCH(881,Engine!$C$2:$C$1960,0)),"Go to Act"))</f>
        <v/>
      </c>
    </row>
    <row r="895" ht="158" customHeight="1">
      <c r="A895" s="8">
        <f>IF(ISNA(MATCH(882,Engine!$C$2:$C$1960,0)),"",INDEX('Compliance Database'!$A$2:$A$1960,MATCH(882,Engine!$C$2:$C$1960,0)))</f>
        <v/>
      </c>
      <c r="B895" s="8">
        <f>IF(ISNA(MATCH(882,Engine!$C$2:$C$1960,0)),"",INDEX('Compliance Database'!$B$2:$B$1960,MATCH(882,Engine!$C$2:$C$1960,0)))</f>
        <v/>
      </c>
      <c r="C895" s="8">
        <f>IF(ISNA(MATCH(882,Engine!$C$2:$C$1960,0)),"",INDEX('Compliance Database'!$C$2:$C$1960,MATCH(882,Engine!$C$2:$C$1960,0)))</f>
        <v/>
      </c>
      <c r="D895" s="9">
        <f>IF(ISNA(MATCH(882,Engine!$C$2:$C$1960,0)),"",INDEX('Compliance Database'!$D$2:$D$1960,MATCH(882,Engine!$C$2:$C$1960,0)))</f>
        <v/>
      </c>
      <c r="E895" s="8">
        <f>IF(ISNA(MATCH(882,Engine!$C$2:$C$1960,0)),"",INDEX('Compliance Database'!$E$2:$E$1960,MATCH(882,Engine!$C$2:$C$1960,0)))</f>
        <v/>
      </c>
      <c r="F895" s="8">
        <f>IF(ISNA(MATCH(882,Engine!$C$2:$C$1960,0)),"",INDEX('Compliance Database'!$F$2:$F$1960,MATCH(882,Engine!$C$2:$C$1960,0)))</f>
        <v/>
      </c>
      <c r="G895" s="8">
        <f>IF(ISNA(MATCH(882,Engine!$C$2:$C$1960,0)),"",INDEX('Compliance Database'!$G$2:$G$1960,MATCH(882,Engine!$C$2:$C$1960,0)))</f>
        <v/>
      </c>
      <c r="H895" s="9">
        <f>IF(ISNA(MATCH(882,Engine!$C$2:$C$1960,0)),"",INDEX('Compliance Database'!$H$2:$H$1960,MATCH(882,Engine!$C$2:$C$1960,0)))</f>
        <v/>
      </c>
      <c r="I895" s="9">
        <f>IF(ISNA(MATCH(882,Engine!$C$2:$C$1960,0)),"",INDEX('Compliance Database'!$I$2:$I$1960,MATCH(882,Engine!$C$2:$C$1960,0)))</f>
        <v/>
      </c>
      <c r="J895" s="8">
        <f>IF(ISNA(MATCH(882,Engine!$C$2:$C$1960,0)),"",INDEX('Compliance Database'!$J$2:$J$1960,MATCH(882,Engine!$C$2:$C$1960,0)))</f>
        <v/>
      </c>
      <c r="K895" s="9">
        <f>IF(ISNA(MATCH(882,Engine!$C$2:$C$1960,0)),"",INDEX('Compliance Database'!$K$2:$K$1960,MATCH(882,Engine!$C$2:$C$1960,0)))</f>
        <v/>
      </c>
      <c r="L895" s="9">
        <f>IF(ISNA(MATCH(882,Engine!$C$2:$C$1960,0)),"",INDEX('Compliance Database'!$L$2:$L$1960,MATCH(882,Engine!$C$2:$C$1960,0)))</f>
        <v/>
      </c>
      <c r="M895" s="9">
        <f>IF(ISNA(MATCH(882,Engine!$C$2:$C$1960,0)),"",INDEX('Compliance Database'!$M$2:$M$1960,MATCH(882,Engine!$C$2:$C$1960,0)))</f>
        <v/>
      </c>
      <c r="N895" s="9">
        <f>IF(ISNA(MATCH(882,Engine!$C$2:$C$1960,0)),"",INDEX('Compliance Database'!$N$2:$N$1960,MATCH(882,Engine!$C$2:$C$1960,0)))</f>
        <v/>
      </c>
      <c r="O895" s="9">
        <f>IF(ISNA(MATCH(882,Engine!$C$2:$C$1960,0)),"",INDEX('Compliance Database'!$O$2:$O$1960,MATCH(882,Engine!$C$2:$C$1960,0)))</f>
        <v/>
      </c>
      <c r="P895" s="8">
        <f>IF(ISNA(MATCH(882,Engine!$C$2:$C$1960,0)),"",HYPERLINK("#Acts!A"&amp;INDEX('Compliance Database'!$P$2:$P$1960,MATCH(882,Engine!$C$2:$C$1960,0)),"Go to Act"))</f>
        <v/>
      </c>
    </row>
    <row r="896" ht="158" customHeight="1">
      <c r="A896" s="8">
        <f>IF(ISNA(MATCH(883,Engine!$C$2:$C$1960,0)),"",INDEX('Compliance Database'!$A$2:$A$1960,MATCH(883,Engine!$C$2:$C$1960,0)))</f>
        <v/>
      </c>
      <c r="B896" s="8">
        <f>IF(ISNA(MATCH(883,Engine!$C$2:$C$1960,0)),"",INDEX('Compliance Database'!$B$2:$B$1960,MATCH(883,Engine!$C$2:$C$1960,0)))</f>
        <v/>
      </c>
      <c r="C896" s="8">
        <f>IF(ISNA(MATCH(883,Engine!$C$2:$C$1960,0)),"",INDEX('Compliance Database'!$C$2:$C$1960,MATCH(883,Engine!$C$2:$C$1960,0)))</f>
        <v/>
      </c>
      <c r="D896" s="9">
        <f>IF(ISNA(MATCH(883,Engine!$C$2:$C$1960,0)),"",INDEX('Compliance Database'!$D$2:$D$1960,MATCH(883,Engine!$C$2:$C$1960,0)))</f>
        <v/>
      </c>
      <c r="E896" s="8">
        <f>IF(ISNA(MATCH(883,Engine!$C$2:$C$1960,0)),"",INDEX('Compliance Database'!$E$2:$E$1960,MATCH(883,Engine!$C$2:$C$1960,0)))</f>
        <v/>
      </c>
      <c r="F896" s="8">
        <f>IF(ISNA(MATCH(883,Engine!$C$2:$C$1960,0)),"",INDEX('Compliance Database'!$F$2:$F$1960,MATCH(883,Engine!$C$2:$C$1960,0)))</f>
        <v/>
      </c>
      <c r="G896" s="8">
        <f>IF(ISNA(MATCH(883,Engine!$C$2:$C$1960,0)),"",INDEX('Compliance Database'!$G$2:$G$1960,MATCH(883,Engine!$C$2:$C$1960,0)))</f>
        <v/>
      </c>
      <c r="H896" s="9">
        <f>IF(ISNA(MATCH(883,Engine!$C$2:$C$1960,0)),"",INDEX('Compliance Database'!$H$2:$H$1960,MATCH(883,Engine!$C$2:$C$1960,0)))</f>
        <v/>
      </c>
      <c r="I896" s="9">
        <f>IF(ISNA(MATCH(883,Engine!$C$2:$C$1960,0)),"",INDEX('Compliance Database'!$I$2:$I$1960,MATCH(883,Engine!$C$2:$C$1960,0)))</f>
        <v/>
      </c>
      <c r="J896" s="8">
        <f>IF(ISNA(MATCH(883,Engine!$C$2:$C$1960,0)),"",INDEX('Compliance Database'!$J$2:$J$1960,MATCH(883,Engine!$C$2:$C$1960,0)))</f>
        <v/>
      </c>
      <c r="K896" s="9">
        <f>IF(ISNA(MATCH(883,Engine!$C$2:$C$1960,0)),"",INDEX('Compliance Database'!$K$2:$K$1960,MATCH(883,Engine!$C$2:$C$1960,0)))</f>
        <v/>
      </c>
      <c r="L896" s="9">
        <f>IF(ISNA(MATCH(883,Engine!$C$2:$C$1960,0)),"",INDEX('Compliance Database'!$L$2:$L$1960,MATCH(883,Engine!$C$2:$C$1960,0)))</f>
        <v/>
      </c>
      <c r="M896" s="9">
        <f>IF(ISNA(MATCH(883,Engine!$C$2:$C$1960,0)),"",INDEX('Compliance Database'!$M$2:$M$1960,MATCH(883,Engine!$C$2:$C$1960,0)))</f>
        <v/>
      </c>
      <c r="N896" s="9">
        <f>IF(ISNA(MATCH(883,Engine!$C$2:$C$1960,0)),"",INDEX('Compliance Database'!$N$2:$N$1960,MATCH(883,Engine!$C$2:$C$1960,0)))</f>
        <v/>
      </c>
      <c r="O896" s="9">
        <f>IF(ISNA(MATCH(883,Engine!$C$2:$C$1960,0)),"",INDEX('Compliance Database'!$O$2:$O$1960,MATCH(883,Engine!$C$2:$C$1960,0)))</f>
        <v/>
      </c>
      <c r="P896" s="8">
        <f>IF(ISNA(MATCH(883,Engine!$C$2:$C$1960,0)),"",HYPERLINK("#Acts!A"&amp;INDEX('Compliance Database'!$P$2:$P$1960,MATCH(883,Engine!$C$2:$C$1960,0)),"Go to Act"))</f>
        <v/>
      </c>
    </row>
    <row r="897" ht="158" customHeight="1">
      <c r="A897" s="8">
        <f>IF(ISNA(MATCH(884,Engine!$C$2:$C$1960,0)),"",INDEX('Compliance Database'!$A$2:$A$1960,MATCH(884,Engine!$C$2:$C$1960,0)))</f>
        <v/>
      </c>
      <c r="B897" s="8">
        <f>IF(ISNA(MATCH(884,Engine!$C$2:$C$1960,0)),"",INDEX('Compliance Database'!$B$2:$B$1960,MATCH(884,Engine!$C$2:$C$1960,0)))</f>
        <v/>
      </c>
      <c r="C897" s="8">
        <f>IF(ISNA(MATCH(884,Engine!$C$2:$C$1960,0)),"",INDEX('Compliance Database'!$C$2:$C$1960,MATCH(884,Engine!$C$2:$C$1960,0)))</f>
        <v/>
      </c>
      <c r="D897" s="9">
        <f>IF(ISNA(MATCH(884,Engine!$C$2:$C$1960,0)),"",INDEX('Compliance Database'!$D$2:$D$1960,MATCH(884,Engine!$C$2:$C$1960,0)))</f>
        <v/>
      </c>
      <c r="E897" s="8">
        <f>IF(ISNA(MATCH(884,Engine!$C$2:$C$1960,0)),"",INDEX('Compliance Database'!$E$2:$E$1960,MATCH(884,Engine!$C$2:$C$1960,0)))</f>
        <v/>
      </c>
      <c r="F897" s="8">
        <f>IF(ISNA(MATCH(884,Engine!$C$2:$C$1960,0)),"",INDEX('Compliance Database'!$F$2:$F$1960,MATCH(884,Engine!$C$2:$C$1960,0)))</f>
        <v/>
      </c>
      <c r="G897" s="8">
        <f>IF(ISNA(MATCH(884,Engine!$C$2:$C$1960,0)),"",INDEX('Compliance Database'!$G$2:$G$1960,MATCH(884,Engine!$C$2:$C$1960,0)))</f>
        <v/>
      </c>
      <c r="H897" s="9">
        <f>IF(ISNA(MATCH(884,Engine!$C$2:$C$1960,0)),"",INDEX('Compliance Database'!$H$2:$H$1960,MATCH(884,Engine!$C$2:$C$1960,0)))</f>
        <v/>
      </c>
      <c r="I897" s="9">
        <f>IF(ISNA(MATCH(884,Engine!$C$2:$C$1960,0)),"",INDEX('Compliance Database'!$I$2:$I$1960,MATCH(884,Engine!$C$2:$C$1960,0)))</f>
        <v/>
      </c>
      <c r="J897" s="8">
        <f>IF(ISNA(MATCH(884,Engine!$C$2:$C$1960,0)),"",INDEX('Compliance Database'!$J$2:$J$1960,MATCH(884,Engine!$C$2:$C$1960,0)))</f>
        <v/>
      </c>
      <c r="K897" s="9">
        <f>IF(ISNA(MATCH(884,Engine!$C$2:$C$1960,0)),"",INDEX('Compliance Database'!$K$2:$K$1960,MATCH(884,Engine!$C$2:$C$1960,0)))</f>
        <v/>
      </c>
      <c r="L897" s="9">
        <f>IF(ISNA(MATCH(884,Engine!$C$2:$C$1960,0)),"",INDEX('Compliance Database'!$L$2:$L$1960,MATCH(884,Engine!$C$2:$C$1960,0)))</f>
        <v/>
      </c>
      <c r="M897" s="9">
        <f>IF(ISNA(MATCH(884,Engine!$C$2:$C$1960,0)),"",INDEX('Compliance Database'!$M$2:$M$1960,MATCH(884,Engine!$C$2:$C$1960,0)))</f>
        <v/>
      </c>
      <c r="N897" s="9">
        <f>IF(ISNA(MATCH(884,Engine!$C$2:$C$1960,0)),"",INDEX('Compliance Database'!$N$2:$N$1960,MATCH(884,Engine!$C$2:$C$1960,0)))</f>
        <v/>
      </c>
      <c r="O897" s="9">
        <f>IF(ISNA(MATCH(884,Engine!$C$2:$C$1960,0)),"",INDEX('Compliance Database'!$O$2:$O$1960,MATCH(884,Engine!$C$2:$C$1960,0)))</f>
        <v/>
      </c>
      <c r="P897" s="8">
        <f>IF(ISNA(MATCH(884,Engine!$C$2:$C$1960,0)),"",HYPERLINK("#Acts!A"&amp;INDEX('Compliance Database'!$P$2:$P$1960,MATCH(884,Engine!$C$2:$C$1960,0)),"Go to Act"))</f>
        <v/>
      </c>
    </row>
    <row r="898" ht="158" customHeight="1">
      <c r="A898" s="8">
        <f>IF(ISNA(MATCH(885,Engine!$C$2:$C$1960,0)),"",INDEX('Compliance Database'!$A$2:$A$1960,MATCH(885,Engine!$C$2:$C$1960,0)))</f>
        <v/>
      </c>
      <c r="B898" s="8">
        <f>IF(ISNA(MATCH(885,Engine!$C$2:$C$1960,0)),"",INDEX('Compliance Database'!$B$2:$B$1960,MATCH(885,Engine!$C$2:$C$1960,0)))</f>
        <v/>
      </c>
      <c r="C898" s="8">
        <f>IF(ISNA(MATCH(885,Engine!$C$2:$C$1960,0)),"",INDEX('Compliance Database'!$C$2:$C$1960,MATCH(885,Engine!$C$2:$C$1960,0)))</f>
        <v/>
      </c>
      <c r="D898" s="9">
        <f>IF(ISNA(MATCH(885,Engine!$C$2:$C$1960,0)),"",INDEX('Compliance Database'!$D$2:$D$1960,MATCH(885,Engine!$C$2:$C$1960,0)))</f>
        <v/>
      </c>
      <c r="E898" s="8">
        <f>IF(ISNA(MATCH(885,Engine!$C$2:$C$1960,0)),"",INDEX('Compliance Database'!$E$2:$E$1960,MATCH(885,Engine!$C$2:$C$1960,0)))</f>
        <v/>
      </c>
      <c r="F898" s="8">
        <f>IF(ISNA(MATCH(885,Engine!$C$2:$C$1960,0)),"",INDEX('Compliance Database'!$F$2:$F$1960,MATCH(885,Engine!$C$2:$C$1960,0)))</f>
        <v/>
      </c>
      <c r="G898" s="8">
        <f>IF(ISNA(MATCH(885,Engine!$C$2:$C$1960,0)),"",INDEX('Compliance Database'!$G$2:$G$1960,MATCH(885,Engine!$C$2:$C$1960,0)))</f>
        <v/>
      </c>
      <c r="H898" s="9">
        <f>IF(ISNA(MATCH(885,Engine!$C$2:$C$1960,0)),"",INDEX('Compliance Database'!$H$2:$H$1960,MATCH(885,Engine!$C$2:$C$1960,0)))</f>
        <v/>
      </c>
      <c r="I898" s="9">
        <f>IF(ISNA(MATCH(885,Engine!$C$2:$C$1960,0)),"",INDEX('Compliance Database'!$I$2:$I$1960,MATCH(885,Engine!$C$2:$C$1960,0)))</f>
        <v/>
      </c>
      <c r="J898" s="8">
        <f>IF(ISNA(MATCH(885,Engine!$C$2:$C$1960,0)),"",INDEX('Compliance Database'!$J$2:$J$1960,MATCH(885,Engine!$C$2:$C$1960,0)))</f>
        <v/>
      </c>
      <c r="K898" s="9">
        <f>IF(ISNA(MATCH(885,Engine!$C$2:$C$1960,0)),"",INDEX('Compliance Database'!$K$2:$K$1960,MATCH(885,Engine!$C$2:$C$1960,0)))</f>
        <v/>
      </c>
      <c r="L898" s="9">
        <f>IF(ISNA(MATCH(885,Engine!$C$2:$C$1960,0)),"",INDEX('Compliance Database'!$L$2:$L$1960,MATCH(885,Engine!$C$2:$C$1960,0)))</f>
        <v/>
      </c>
      <c r="M898" s="9">
        <f>IF(ISNA(MATCH(885,Engine!$C$2:$C$1960,0)),"",INDEX('Compliance Database'!$M$2:$M$1960,MATCH(885,Engine!$C$2:$C$1960,0)))</f>
        <v/>
      </c>
      <c r="N898" s="9">
        <f>IF(ISNA(MATCH(885,Engine!$C$2:$C$1960,0)),"",INDEX('Compliance Database'!$N$2:$N$1960,MATCH(885,Engine!$C$2:$C$1960,0)))</f>
        <v/>
      </c>
      <c r="O898" s="9">
        <f>IF(ISNA(MATCH(885,Engine!$C$2:$C$1960,0)),"",INDEX('Compliance Database'!$O$2:$O$1960,MATCH(885,Engine!$C$2:$C$1960,0)))</f>
        <v/>
      </c>
      <c r="P898" s="8">
        <f>IF(ISNA(MATCH(885,Engine!$C$2:$C$1960,0)),"",HYPERLINK("#Acts!A"&amp;INDEX('Compliance Database'!$P$2:$P$1960,MATCH(885,Engine!$C$2:$C$1960,0)),"Go to Act"))</f>
        <v/>
      </c>
    </row>
    <row r="899" ht="158" customHeight="1">
      <c r="A899" s="8">
        <f>IF(ISNA(MATCH(886,Engine!$C$2:$C$1960,0)),"",INDEX('Compliance Database'!$A$2:$A$1960,MATCH(886,Engine!$C$2:$C$1960,0)))</f>
        <v/>
      </c>
      <c r="B899" s="8">
        <f>IF(ISNA(MATCH(886,Engine!$C$2:$C$1960,0)),"",INDEX('Compliance Database'!$B$2:$B$1960,MATCH(886,Engine!$C$2:$C$1960,0)))</f>
        <v/>
      </c>
      <c r="C899" s="8">
        <f>IF(ISNA(MATCH(886,Engine!$C$2:$C$1960,0)),"",INDEX('Compliance Database'!$C$2:$C$1960,MATCH(886,Engine!$C$2:$C$1960,0)))</f>
        <v/>
      </c>
      <c r="D899" s="9">
        <f>IF(ISNA(MATCH(886,Engine!$C$2:$C$1960,0)),"",INDEX('Compliance Database'!$D$2:$D$1960,MATCH(886,Engine!$C$2:$C$1960,0)))</f>
        <v/>
      </c>
      <c r="E899" s="8">
        <f>IF(ISNA(MATCH(886,Engine!$C$2:$C$1960,0)),"",INDEX('Compliance Database'!$E$2:$E$1960,MATCH(886,Engine!$C$2:$C$1960,0)))</f>
        <v/>
      </c>
      <c r="F899" s="8">
        <f>IF(ISNA(MATCH(886,Engine!$C$2:$C$1960,0)),"",INDEX('Compliance Database'!$F$2:$F$1960,MATCH(886,Engine!$C$2:$C$1960,0)))</f>
        <v/>
      </c>
      <c r="G899" s="8">
        <f>IF(ISNA(MATCH(886,Engine!$C$2:$C$1960,0)),"",INDEX('Compliance Database'!$G$2:$G$1960,MATCH(886,Engine!$C$2:$C$1960,0)))</f>
        <v/>
      </c>
      <c r="H899" s="9">
        <f>IF(ISNA(MATCH(886,Engine!$C$2:$C$1960,0)),"",INDEX('Compliance Database'!$H$2:$H$1960,MATCH(886,Engine!$C$2:$C$1960,0)))</f>
        <v/>
      </c>
      <c r="I899" s="9">
        <f>IF(ISNA(MATCH(886,Engine!$C$2:$C$1960,0)),"",INDEX('Compliance Database'!$I$2:$I$1960,MATCH(886,Engine!$C$2:$C$1960,0)))</f>
        <v/>
      </c>
      <c r="J899" s="8">
        <f>IF(ISNA(MATCH(886,Engine!$C$2:$C$1960,0)),"",INDEX('Compliance Database'!$J$2:$J$1960,MATCH(886,Engine!$C$2:$C$1960,0)))</f>
        <v/>
      </c>
      <c r="K899" s="9">
        <f>IF(ISNA(MATCH(886,Engine!$C$2:$C$1960,0)),"",INDEX('Compliance Database'!$K$2:$K$1960,MATCH(886,Engine!$C$2:$C$1960,0)))</f>
        <v/>
      </c>
      <c r="L899" s="9">
        <f>IF(ISNA(MATCH(886,Engine!$C$2:$C$1960,0)),"",INDEX('Compliance Database'!$L$2:$L$1960,MATCH(886,Engine!$C$2:$C$1960,0)))</f>
        <v/>
      </c>
      <c r="M899" s="9">
        <f>IF(ISNA(MATCH(886,Engine!$C$2:$C$1960,0)),"",INDEX('Compliance Database'!$M$2:$M$1960,MATCH(886,Engine!$C$2:$C$1960,0)))</f>
        <v/>
      </c>
      <c r="N899" s="9">
        <f>IF(ISNA(MATCH(886,Engine!$C$2:$C$1960,0)),"",INDEX('Compliance Database'!$N$2:$N$1960,MATCH(886,Engine!$C$2:$C$1960,0)))</f>
        <v/>
      </c>
      <c r="O899" s="9">
        <f>IF(ISNA(MATCH(886,Engine!$C$2:$C$1960,0)),"",INDEX('Compliance Database'!$O$2:$O$1960,MATCH(886,Engine!$C$2:$C$1960,0)))</f>
        <v/>
      </c>
      <c r="P899" s="8">
        <f>IF(ISNA(MATCH(886,Engine!$C$2:$C$1960,0)),"",HYPERLINK("#Acts!A"&amp;INDEX('Compliance Database'!$P$2:$P$1960,MATCH(886,Engine!$C$2:$C$1960,0)),"Go to Act"))</f>
        <v/>
      </c>
    </row>
    <row r="900" ht="158" customHeight="1">
      <c r="A900" s="8">
        <f>IF(ISNA(MATCH(887,Engine!$C$2:$C$1960,0)),"",INDEX('Compliance Database'!$A$2:$A$1960,MATCH(887,Engine!$C$2:$C$1960,0)))</f>
        <v/>
      </c>
      <c r="B900" s="8">
        <f>IF(ISNA(MATCH(887,Engine!$C$2:$C$1960,0)),"",INDEX('Compliance Database'!$B$2:$B$1960,MATCH(887,Engine!$C$2:$C$1960,0)))</f>
        <v/>
      </c>
      <c r="C900" s="8">
        <f>IF(ISNA(MATCH(887,Engine!$C$2:$C$1960,0)),"",INDEX('Compliance Database'!$C$2:$C$1960,MATCH(887,Engine!$C$2:$C$1960,0)))</f>
        <v/>
      </c>
      <c r="D900" s="9">
        <f>IF(ISNA(MATCH(887,Engine!$C$2:$C$1960,0)),"",INDEX('Compliance Database'!$D$2:$D$1960,MATCH(887,Engine!$C$2:$C$1960,0)))</f>
        <v/>
      </c>
      <c r="E900" s="8">
        <f>IF(ISNA(MATCH(887,Engine!$C$2:$C$1960,0)),"",INDEX('Compliance Database'!$E$2:$E$1960,MATCH(887,Engine!$C$2:$C$1960,0)))</f>
        <v/>
      </c>
      <c r="F900" s="8">
        <f>IF(ISNA(MATCH(887,Engine!$C$2:$C$1960,0)),"",INDEX('Compliance Database'!$F$2:$F$1960,MATCH(887,Engine!$C$2:$C$1960,0)))</f>
        <v/>
      </c>
      <c r="G900" s="8">
        <f>IF(ISNA(MATCH(887,Engine!$C$2:$C$1960,0)),"",INDEX('Compliance Database'!$G$2:$G$1960,MATCH(887,Engine!$C$2:$C$1960,0)))</f>
        <v/>
      </c>
      <c r="H900" s="9">
        <f>IF(ISNA(MATCH(887,Engine!$C$2:$C$1960,0)),"",INDEX('Compliance Database'!$H$2:$H$1960,MATCH(887,Engine!$C$2:$C$1960,0)))</f>
        <v/>
      </c>
      <c r="I900" s="9">
        <f>IF(ISNA(MATCH(887,Engine!$C$2:$C$1960,0)),"",INDEX('Compliance Database'!$I$2:$I$1960,MATCH(887,Engine!$C$2:$C$1960,0)))</f>
        <v/>
      </c>
      <c r="J900" s="8">
        <f>IF(ISNA(MATCH(887,Engine!$C$2:$C$1960,0)),"",INDEX('Compliance Database'!$J$2:$J$1960,MATCH(887,Engine!$C$2:$C$1960,0)))</f>
        <v/>
      </c>
      <c r="K900" s="9">
        <f>IF(ISNA(MATCH(887,Engine!$C$2:$C$1960,0)),"",INDEX('Compliance Database'!$K$2:$K$1960,MATCH(887,Engine!$C$2:$C$1960,0)))</f>
        <v/>
      </c>
      <c r="L900" s="9">
        <f>IF(ISNA(MATCH(887,Engine!$C$2:$C$1960,0)),"",INDEX('Compliance Database'!$L$2:$L$1960,MATCH(887,Engine!$C$2:$C$1960,0)))</f>
        <v/>
      </c>
      <c r="M900" s="9">
        <f>IF(ISNA(MATCH(887,Engine!$C$2:$C$1960,0)),"",INDEX('Compliance Database'!$M$2:$M$1960,MATCH(887,Engine!$C$2:$C$1960,0)))</f>
        <v/>
      </c>
      <c r="N900" s="9">
        <f>IF(ISNA(MATCH(887,Engine!$C$2:$C$1960,0)),"",INDEX('Compliance Database'!$N$2:$N$1960,MATCH(887,Engine!$C$2:$C$1960,0)))</f>
        <v/>
      </c>
      <c r="O900" s="9">
        <f>IF(ISNA(MATCH(887,Engine!$C$2:$C$1960,0)),"",INDEX('Compliance Database'!$O$2:$O$1960,MATCH(887,Engine!$C$2:$C$1960,0)))</f>
        <v/>
      </c>
      <c r="P900" s="8">
        <f>IF(ISNA(MATCH(887,Engine!$C$2:$C$1960,0)),"",HYPERLINK("#Acts!A"&amp;INDEX('Compliance Database'!$P$2:$P$1960,MATCH(887,Engine!$C$2:$C$1960,0)),"Go to Act"))</f>
        <v/>
      </c>
    </row>
    <row r="901" ht="158" customHeight="1">
      <c r="A901" s="8">
        <f>IF(ISNA(MATCH(888,Engine!$C$2:$C$1960,0)),"",INDEX('Compliance Database'!$A$2:$A$1960,MATCH(888,Engine!$C$2:$C$1960,0)))</f>
        <v/>
      </c>
      <c r="B901" s="8">
        <f>IF(ISNA(MATCH(888,Engine!$C$2:$C$1960,0)),"",INDEX('Compliance Database'!$B$2:$B$1960,MATCH(888,Engine!$C$2:$C$1960,0)))</f>
        <v/>
      </c>
      <c r="C901" s="8">
        <f>IF(ISNA(MATCH(888,Engine!$C$2:$C$1960,0)),"",INDEX('Compliance Database'!$C$2:$C$1960,MATCH(888,Engine!$C$2:$C$1960,0)))</f>
        <v/>
      </c>
      <c r="D901" s="9">
        <f>IF(ISNA(MATCH(888,Engine!$C$2:$C$1960,0)),"",INDEX('Compliance Database'!$D$2:$D$1960,MATCH(888,Engine!$C$2:$C$1960,0)))</f>
        <v/>
      </c>
      <c r="E901" s="8">
        <f>IF(ISNA(MATCH(888,Engine!$C$2:$C$1960,0)),"",INDEX('Compliance Database'!$E$2:$E$1960,MATCH(888,Engine!$C$2:$C$1960,0)))</f>
        <v/>
      </c>
      <c r="F901" s="8">
        <f>IF(ISNA(MATCH(888,Engine!$C$2:$C$1960,0)),"",INDEX('Compliance Database'!$F$2:$F$1960,MATCH(888,Engine!$C$2:$C$1960,0)))</f>
        <v/>
      </c>
      <c r="G901" s="8">
        <f>IF(ISNA(MATCH(888,Engine!$C$2:$C$1960,0)),"",INDEX('Compliance Database'!$G$2:$G$1960,MATCH(888,Engine!$C$2:$C$1960,0)))</f>
        <v/>
      </c>
      <c r="H901" s="9">
        <f>IF(ISNA(MATCH(888,Engine!$C$2:$C$1960,0)),"",INDEX('Compliance Database'!$H$2:$H$1960,MATCH(888,Engine!$C$2:$C$1960,0)))</f>
        <v/>
      </c>
      <c r="I901" s="9">
        <f>IF(ISNA(MATCH(888,Engine!$C$2:$C$1960,0)),"",INDEX('Compliance Database'!$I$2:$I$1960,MATCH(888,Engine!$C$2:$C$1960,0)))</f>
        <v/>
      </c>
      <c r="J901" s="8">
        <f>IF(ISNA(MATCH(888,Engine!$C$2:$C$1960,0)),"",INDEX('Compliance Database'!$J$2:$J$1960,MATCH(888,Engine!$C$2:$C$1960,0)))</f>
        <v/>
      </c>
      <c r="K901" s="9">
        <f>IF(ISNA(MATCH(888,Engine!$C$2:$C$1960,0)),"",INDEX('Compliance Database'!$K$2:$K$1960,MATCH(888,Engine!$C$2:$C$1960,0)))</f>
        <v/>
      </c>
      <c r="L901" s="9">
        <f>IF(ISNA(MATCH(888,Engine!$C$2:$C$1960,0)),"",INDEX('Compliance Database'!$L$2:$L$1960,MATCH(888,Engine!$C$2:$C$1960,0)))</f>
        <v/>
      </c>
      <c r="M901" s="9">
        <f>IF(ISNA(MATCH(888,Engine!$C$2:$C$1960,0)),"",INDEX('Compliance Database'!$M$2:$M$1960,MATCH(888,Engine!$C$2:$C$1960,0)))</f>
        <v/>
      </c>
      <c r="N901" s="9">
        <f>IF(ISNA(MATCH(888,Engine!$C$2:$C$1960,0)),"",INDEX('Compliance Database'!$N$2:$N$1960,MATCH(888,Engine!$C$2:$C$1960,0)))</f>
        <v/>
      </c>
      <c r="O901" s="9">
        <f>IF(ISNA(MATCH(888,Engine!$C$2:$C$1960,0)),"",INDEX('Compliance Database'!$O$2:$O$1960,MATCH(888,Engine!$C$2:$C$1960,0)))</f>
        <v/>
      </c>
      <c r="P901" s="8">
        <f>IF(ISNA(MATCH(888,Engine!$C$2:$C$1960,0)),"",HYPERLINK("#Acts!A"&amp;INDEX('Compliance Database'!$P$2:$P$1960,MATCH(888,Engine!$C$2:$C$1960,0)),"Go to Act"))</f>
        <v/>
      </c>
    </row>
    <row r="902" ht="158" customHeight="1">
      <c r="A902" s="8">
        <f>IF(ISNA(MATCH(889,Engine!$C$2:$C$1960,0)),"",INDEX('Compliance Database'!$A$2:$A$1960,MATCH(889,Engine!$C$2:$C$1960,0)))</f>
        <v/>
      </c>
      <c r="B902" s="8">
        <f>IF(ISNA(MATCH(889,Engine!$C$2:$C$1960,0)),"",INDEX('Compliance Database'!$B$2:$B$1960,MATCH(889,Engine!$C$2:$C$1960,0)))</f>
        <v/>
      </c>
      <c r="C902" s="8">
        <f>IF(ISNA(MATCH(889,Engine!$C$2:$C$1960,0)),"",INDEX('Compliance Database'!$C$2:$C$1960,MATCH(889,Engine!$C$2:$C$1960,0)))</f>
        <v/>
      </c>
      <c r="D902" s="9">
        <f>IF(ISNA(MATCH(889,Engine!$C$2:$C$1960,0)),"",INDEX('Compliance Database'!$D$2:$D$1960,MATCH(889,Engine!$C$2:$C$1960,0)))</f>
        <v/>
      </c>
      <c r="E902" s="8">
        <f>IF(ISNA(MATCH(889,Engine!$C$2:$C$1960,0)),"",INDEX('Compliance Database'!$E$2:$E$1960,MATCH(889,Engine!$C$2:$C$1960,0)))</f>
        <v/>
      </c>
      <c r="F902" s="8">
        <f>IF(ISNA(MATCH(889,Engine!$C$2:$C$1960,0)),"",INDEX('Compliance Database'!$F$2:$F$1960,MATCH(889,Engine!$C$2:$C$1960,0)))</f>
        <v/>
      </c>
      <c r="G902" s="8">
        <f>IF(ISNA(MATCH(889,Engine!$C$2:$C$1960,0)),"",INDEX('Compliance Database'!$G$2:$G$1960,MATCH(889,Engine!$C$2:$C$1960,0)))</f>
        <v/>
      </c>
      <c r="H902" s="9">
        <f>IF(ISNA(MATCH(889,Engine!$C$2:$C$1960,0)),"",INDEX('Compliance Database'!$H$2:$H$1960,MATCH(889,Engine!$C$2:$C$1960,0)))</f>
        <v/>
      </c>
      <c r="I902" s="9">
        <f>IF(ISNA(MATCH(889,Engine!$C$2:$C$1960,0)),"",INDEX('Compliance Database'!$I$2:$I$1960,MATCH(889,Engine!$C$2:$C$1960,0)))</f>
        <v/>
      </c>
      <c r="J902" s="8">
        <f>IF(ISNA(MATCH(889,Engine!$C$2:$C$1960,0)),"",INDEX('Compliance Database'!$J$2:$J$1960,MATCH(889,Engine!$C$2:$C$1960,0)))</f>
        <v/>
      </c>
      <c r="K902" s="9">
        <f>IF(ISNA(MATCH(889,Engine!$C$2:$C$1960,0)),"",INDEX('Compliance Database'!$K$2:$K$1960,MATCH(889,Engine!$C$2:$C$1960,0)))</f>
        <v/>
      </c>
      <c r="L902" s="9">
        <f>IF(ISNA(MATCH(889,Engine!$C$2:$C$1960,0)),"",INDEX('Compliance Database'!$L$2:$L$1960,MATCH(889,Engine!$C$2:$C$1960,0)))</f>
        <v/>
      </c>
      <c r="M902" s="9">
        <f>IF(ISNA(MATCH(889,Engine!$C$2:$C$1960,0)),"",INDEX('Compliance Database'!$M$2:$M$1960,MATCH(889,Engine!$C$2:$C$1960,0)))</f>
        <v/>
      </c>
      <c r="N902" s="9">
        <f>IF(ISNA(MATCH(889,Engine!$C$2:$C$1960,0)),"",INDEX('Compliance Database'!$N$2:$N$1960,MATCH(889,Engine!$C$2:$C$1960,0)))</f>
        <v/>
      </c>
      <c r="O902" s="9">
        <f>IF(ISNA(MATCH(889,Engine!$C$2:$C$1960,0)),"",INDEX('Compliance Database'!$O$2:$O$1960,MATCH(889,Engine!$C$2:$C$1960,0)))</f>
        <v/>
      </c>
      <c r="P902" s="8">
        <f>IF(ISNA(MATCH(889,Engine!$C$2:$C$1960,0)),"",HYPERLINK("#Acts!A"&amp;INDEX('Compliance Database'!$P$2:$P$1960,MATCH(889,Engine!$C$2:$C$1960,0)),"Go to Act"))</f>
        <v/>
      </c>
    </row>
    <row r="903" ht="158" customHeight="1">
      <c r="A903" s="8">
        <f>IF(ISNA(MATCH(890,Engine!$C$2:$C$1960,0)),"",INDEX('Compliance Database'!$A$2:$A$1960,MATCH(890,Engine!$C$2:$C$1960,0)))</f>
        <v/>
      </c>
      <c r="B903" s="8">
        <f>IF(ISNA(MATCH(890,Engine!$C$2:$C$1960,0)),"",INDEX('Compliance Database'!$B$2:$B$1960,MATCH(890,Engine!$C$2:$C$1960,0)))</f>
        <v/>
      </c>
      <c r="C903" s="8">
        <f>IF(ISNA(MATCH(890,Engine!$C$2:$C$1960,0)),"",INDEX('Compliance Database'!$C$2:$C$1960,MATCH(890,Engine!$C$2:$C$1960,0)))</f>
        <v/>
      </c>
      <c r="D903" s="9">
        <f>IF(ISNA(MATCH(890,Engine!$C$2:$C$1960,0)),"",INDEX('Compliance Database'!$D$2:$D$1960,MATCH(890,Engine!$C$2:$C$1960,0)))</f>
        <v/>
      </c>
      <c r="E903" s="8">
        <f>IF(ISNA(MATCH(890,Engine!$C$2:$C$1960,0)),"",INDEX('Compliance Database'!$E$2:$E$1960,MATCH(890,Engine!$C$2:$C$1960,0)))</f>
        <v/>
      </c>
      <c r="F903" s="8">
        <f>IF(ISNA(MATCH(890,Engine!$C$2:$C$1960,0)),"",INDEX('Compliance Database'!$F$2:$F$1960,MATCH(890,Engine!$C$2:$C$1960,0)))</f>
        <v/>
      </c>
      <c r="G903" s="8">
        <f>IF(ISNA(MATCH(890,Engine!$C$2:$C$1960,0)),"",INDEX('Compliance Database'!$G$2:$G$1960,MATCH(890,Engine!$C$2:$C$1960,0)))</f>
        <v/>
      </c>
      <c r="H903" s="9">
        <f>IF(ISNA(MATCH(890,Engine!$C$2:$C$1960,0)),"",INDEX('Compliance Database'!$H$2:$H$1960,MATCH(890,Engine!$C$2:$C$1960,0)))</f>
        <v/>
      </c>
      <c r="I903" s="9">
        <f>IF(ISNA(MATCH(890,Engine!$C$2:$C$1960,0)),"",INDEX('Compliance Database'!$I$2:$I$1960,MATCH(890,Engine!$C$2:$C$1960,0)))</f>
        <v/>
      </c>
      <c r="J903" s="8">
        <f>IF(ISNA(MATCH(890,Engine!$C$2:$C$1960,0)),"",INDEX('Compliance Database'!$J$2:$J$1960,MATCH(890,Engine!$C$2:$C$1960,0)))</f>
        <v/>
      </c>
      <c r="K903" s="9">
        <f>IF(ISNA(MATCH(890,Engine!$C$2:$C$1960,0)),"",INDEX('Compliance Database'!$K$2:$K$1960,MATCH(890,Engine!$C$2:$C$1960,0)))</f>
        <v/>
      </c>
      <c r="L903" s="9">
        <f>IF(ISNA(MATCH(890,Engine!$C$2:$C$1960,0)),"",INDEX('Compliance Database'!$L$2:$L$1960,MATCH(890,Engine!$C$2:$C$1960,0)))</f>
        <v/>
      </c>
      <c r="M903" s="9">
        <f>IF(ISNA(MATCH(890,Engine!$C$2:$C$1960,0)),"",INDEX('Compliance Database'!$M$2:$M$1960,MATCH(890,Engine!$C$2:$C$1960,0)))</f>
        <v/>
      </c>
      <c r="N903" s="9">
        <f>IF(ISNA(MATCH(890,Engine!$C$2:$C$1960,0)),"",INDEX('Compliance Database'!$N$2:$N$1960,MATCH(890,Engine!$C$2:$C$1960,0)))</f>
        <v/>
      </c>
      <c r="O903" s="9">
        <f>IF(ISNA(MATCH(890,Engine!$C$2:$C$1960,0)),"",INDEX('Compliance Database'!$O$2:$O$1960,MATCH(890,Engine!$C$2:$C$1960,0)))</f>
        <v/>
      </c>
      <c r="P903" s="8">
        <f>IF(ISNA(MATCH(890,Engine!$C$2:$C$1960,0)),"",HYPERLINK("#Acts!A"&amp;INDEX('Compliance Database'!$P$2:$P$1960,MATCH(890,Engine!$C$2:$C$1960,0)),"Go to Act"))</f>
        <v/>
      </c>
    </row>
    <row r="904" ht="158" customHeight="1">
      <c r="A904" s="8">
        <f>IF(ISNA(MATCH(891,Engine!$C$2:$C$1960,0)),"",INDEX('Compliance Database'!$A$2:$A$1960,MATCH(891,Engine!$C$2:$C$1960,0)))</f>
        <v/>
      </c>
      <c r="B904" s="8">
        <f>IF(ISNA(MATCH(891,Engine!$C$2:$C$1960,0)),"",INDEX('Compliance Database'!$B$2:$B$1960,MATCH(891,Engine!$C$2:$C$1960,0)))</f>
        <v/>
      </c>
      <c r="C904" s="8">
        <f>IF(ISNA(MATCH(891,Engine!$C$2:$C$1960,0)),"",INDEX('Compliance Database'!$C$2:$C$1960,MATCH(891,Engine!$C$2:$C$1960,0)))</f>
        <v/>
      </c>
      <c r="D904" s="9">
        <f>IF(ISNA(MATCH(891,Engine!$C$2:$C$1960,0)),"",INDEX('Compliance Database'!$D$2:$D$1960,MATCH(891,Engine!$C$2:$C$1960,0)))</f>
        <v/>
      </c>
      <c r="E904" s="8">
        <f>IF(ISNA(MATCH(891,Engine!$C$2:$C$1960,0)),"",INDEX('Compliance Database'!$E$2:$E$1960,MATCH(891,Engine!$C$2:$C$1960,0)))</f>
        <v/>
      </c>
      <c r="F904" s="8">
        <f>IF(ISNA(MATCH(891,Engine!$C$2:$C$1960,0)),"",INDEX('Compliance Database'!$F$2:$F$1960,MATCH(891,Engine!$C$2:$C$1960,0)))</f>
        <v/>
      </c>
      <c r="G904" s="8">
        <f>IF(ISNA(MATCH(891,Engine!$C$2:$C$1960,0)),"",INDEX('Compliance Database'!$G$2:$G$1960,MATCH(891,Engine!$C$2:$C$1960,0)))</f>
        <v/>
      </c>
      <c r="H904" s="9">
        <f>IF(ISNA(MATCH(891,Engine!$C$2:$C$1960,0)),"",INDEX('Compliance Database'!$H$2:$H$1960,MATCH(891,Engine!$C$2:$C$1960,0)))</f>
        <v/>
      </c>
      <c r="I904" s="9">
        <f>IF(ISNA(MATCH(891,Engine!$C$2:$C$1960,0)),"",INDEX('Compliance Database'!$I$2:$I$1960,MATCH(891,Engine!$C$2:$C$1960,0)))</f>
        <v/>
      </c>
      <c r="J904" s="8">
        <f>IF(ISNA(MATCH(891,Engine!$C$2:$C$1960,0)),"",INDEX('Compliance Database'!$J$2:$J$1960,MATCH(891,Engine!$C$2:$C$1960,0)))</f>
        <v/>
      </c>
      <c r="K904" s="9">
        <f>IF(ISNA(MATCH(891,Engine!$C$2:$C$1960,0)),"",INDEX('Compliance Database'!$K$2:$K$1960,MATCH(891,Engine!$C$2:$C$1960,0)))</f>
        <v/>
      </c>
      <c r="L904" s="9">
        <f>IF(ISNA(MATCH(891,Engine!$C$2:$C$1960,0)),"",INDEX('Compliance Database'!$L$2:$L$1960,MATCH(891,Engine!$C$2:$C$1960,0)))</f>
        <v/>
      </c>
      <c r="M904" s="9">
        <f>IF(ISNA(MATCH(891,Engine!$C$2:$C$1960,0)),"",INDEX('Compliance Database'!$M$2:$M$1960,MATCH(891,Engine!$C$2:$C$1960,0)))</f>
        <v/>
      </c>
      <c r="N904" s="9">
        <f>IF(ISNA(MATCH(891,Engine!$C$2:$C$1960,0)),"",INDEX('Compliance Database'!$N$2:$N$1960,MATCH(891,Engine!$C$2:$C$1960,0)))</f>
        <v/>
      </c>
      <c r="O904" s="9">
        <f>IF(ISNA(MATCH(891,Engine!$C$2:$C$1960,0)),"",INDEX('Compliance Database'!$O$2:$O$1960,MATCH(891,Engine!$C$2:$C$1960,0)))</f>
        <v/>
      </c>
      <c r="P904" s="8">
        <f>IF(ISNA(MATCH(891,Engine!$C$2:$C$1960,0)),"",HYPERLINK("#Acts!A"&amp;INDEX('Compliance Database'!$P$2:$P$1960,MATCH(891,Engine!$C$2:$C$1960,0)),"Go to Act"))</f>
        <v/>
      </c>
    </row>
    <row r="905" ht="158" customHeight="1">
      <c r="A905" s="8">
        <f>IF(ISNA(MATCH(892,Engine!$C$2:$C$1960,0)),"",INDEX('Compliance Database'!$A$2:$A$1960,MATCH(892,Engine!$C$2:$C$1960,0)))</f>
        <v/>
      </c>
      <c r="B905" s="8">
        <f>IF(ISNA(MATCH(892,Engine!$C$2:$C$1960,0)),"",INDEX('Compliance Database'!$B$2:$B$1960,MATCH(892,Engine!$C$2:$C$1960,0)))</f>
        <v/>
      </c>
      <c r="C905" s="8">
        <f>IF(ISNA(MATCH(892,Engine!$C$2:$C$1960,0)),"",INDEX('Compliance Database'!$C$2:$C$1960,MATCH(892,Engine!$C$2:$C$1960,0)))</f>
        <v/>
      </c>
      <c r="D905" s="9">
        <f>IF(ISNA(MATCH(892,Engine!$C$2:$C$1960,0)),"",INDEX('Compliance Database'!$D$2:$D$1960,MATCH(892,Engine!$C$2:$C$1960,0)))</f>
        <v/>
      </c>
      <c r="E905" s="8">
        <f>IF(ISNA(MATCH(892,Engine!$C$2:$C$1960,0)),"",INDEX('Compliance Database'!$E$2:$E$1960,MATCH(892,Engine!$C$2:$C$1960,0)))</f>
        <v/>
      </c>
      <c r="F905" s="8">
        <f>IF(ISNA(MATCH(892,Engine!$C$2:$C$1960,0)),"",INDEX('Compliance Database'!$F$2:$F$1960,MATCH(892,Engine!$C$2:$C$1960,0)))</f>
        <v/>
      </c>
      <c r="G905" s="8">
        <f>IF(ISNA(MATCH(892,Engine!$C$2:$C$1960,0)),"",INDEX('Compliance Database'!$G$2:$G$1960,MATCH(892,Engine!$C$2:$C$1960,0)))</f>
        <v/>
      </c>
      <c r="H905" s="9">
        <f>IF(ISNA(MATCH(892,Engine!$C$2:$C$1960,0)),"",INDEX('Compliance Database'!$H$2:$H$1960,MATCH(892,Engine!$C$2:$C$1960,0)))</f>
        <v/>
      </c>
      <c r="I905" s="9">
        <f>IF(ISNA(MATCH(892,Engine!$C$2:$C$1960,0)),"",INDEX('Compliance Database'!$I$2:$I$1960,MATCH(892,Engine!$C$2:$C$1960,0)))</f>
        <v/>
      </c>
      <c r="J905" s="8">
        <f>IF(ISNA(MATCH(892,Engine!$C$2:$C$1960,0)),"",INDEX('Compliance Database'!$J$2:$J$1960,MATCH(892,Engine!$C$2:$C$1960,0)))</f>
        <v/>
      </c>
      <c r="K905" s="9">
        <f>IF(ISNA(MATCH(892,Engine!$C$2:$C$1960,0)),"",INDEX('Compliance Database'!$K$2:$K$1960,MATCH(892,Engine!$C$2:$C$1960,0)))</f>
        <v/>
      </c>
      <c r="L905" s="9">
        <f>IF(ISNA(MATCH(892,Engine!$C$2:$C$1960,0)),"",INDEX('Compliance Database'!$L$2:$L$1960,MATCH(892,Engine!$C$2:$C$1960,0)))</f>
        <v/>
      </c>
      <c r="M905" s="9">
        <f>IF(ISNA(MATCH(892,Engine!$C$2:$C$1960,0)),"",INDEX('Compliance Database'!$M$2:$M$1960,MATCH(892,Engine!$C$2:$C$1960,0)))</f>
        <v/>
      </c>
      <c r="N905" s="9">
        <f>IF(ISNA(MATCH(892,Engine!$C$2:$C$1960,0)),"",INDEX('Compliance Database'!$N$2:$N$1960,MATCH(892,Engine!$C$2:$C$1960,0)))</f>
        <v/>
      </c>
      <c r="O905" s="9">
        <f>IF(ISNA(MATCH(892,Engine!$C$2:$C$1960,0)),"",INDEX('Compliance Database'!$O$2:$O$1960,MATCH(892,Engine!$C$2:$C$1960,0)))</f>
        <v/>
      </c>
      <c r="P905" s="8">
        <f>IF(ISNA(MATCH(892,Engine!$C$2:$C$1960,0)),"",HYPERLINK("#Acts!A"&amp;INDEX('Compliance Database'!$P$2:$P$1960,MATCH(892,Engine!$C$2:$C$1960,0)),"Go to Act"))</f>
        <v/>
      </c>
    </row>
    <row r="906" ht="158" customHeight="1">
      <c r="A906" s="8">
        <f>IF(ISNA(MATCH(893,Engine!$C$2:$C$1960,0)),"",INDEX('Compliance Database'!$A$2:$A$1960,MATCH(893,Engine!$C$2:$C$1960,0)))</f>
        <v/>
      </c>
      <c r="B906" s="8">
        <f>IF(ISNA(MATCH(893,Engine!$C$2:$C$1960,0)),"",INDEX('Compliance Database'!$B$2:$B$1960,MATCH(893,Engine!$C$2:$C$1960,0)))</f>
        <v/>
      </c>
      <c r="C906" s="8">
        <f>IF(ISNA(MATCH(893,Engine!$C$2:$C$1960,0)),"",INDEX('Compliance Database'!$C$2:$C$1960,MATCH(893,Engine!$C$2:$C$1960,0)))</f>
        <v/>
      </c>
      <c r="D906" s="9">
        <f>IF(ISNA(MATCH(893,Engine!$C$2:$C$1960,0)),"",INDEX('Compliance Database'!$D$2:$D$1960,MATCH(893,Engine!$C$2:$C$1960,0)))</f>
        <v/>
      </c>
      <c r="E906" s="8">
        <f>IF(ISNA(MATCH(893,Engine!$C$2:$C$1960,0)),"",INDEX('Compliance Database'!$E$2:$E$1960,MATCH(893,Engine!$C$2:$C$1960,0)))</f>
        <v/>
      </c>
      <c r="F906" s="8">
        <f>IF(ISNA(MATCH(893,Engine!$C$2:$C$1960,0)),"",INDEX('Compliance Database'!$F$2:$F$1960,MATCH(893,Engine!$C$2:$C$1960,0)))</f>
        <v/>
      </c>
      <c r="G906" s="8">
        <f>IF(ISNA(MATCH(893,Engine!$C$2:$C$1960,0)),"",INDEX('Compliance Database'!$G$2:$G$1960,MATCH(893,Engine!$C$2:$C$1960,0)))</f>
        <v/>
      </c>
      <c r="H906" s="9">
        <f>IF(ISNA(MATCH(893,Engine!$C$2:$C$1960,0)),"",INDEX('Compliance Database'!$H$2:$H$1960,MATCH(893,Engine!$C$2:$C$1960,0)))</f>
        <v/>
      </c>
      <c r="I906" s="9">
        <f>IF(ISNA(MATCH(893,Engine!$C$2:$C$1960,0)),"",INDEX('Compliance Database'!$I$2:$I$1960,MATCH(893,Engine!$C$2:$C$1960,0)))</f>
        <v/>
      </c>
      <c r="J906" s="8">
        <f>IF(ISNA(MATCH(893,Engine!$C$2:$C$1960,0)),"",INDEX('Compliance Database'!$J$2:$J$1960,MATCH(893,Engine!$C$2:$C$1960,0)))</f>
        <v/>
      </c>
      <c r="K906" s="9">
        <f>IF(ISNA(MATCH(893,Engine!$C$2:$C$1960,0)),"",INDEX('Compliance Database'!$K$2:$K$1960,MATCH(893,Engine!$C$2:$C$1960,0)))</f>
        <v/>
      </c>
      <c r="L906" s="9">
        <f>IF(ISNA(MATCH(893,Engine!$C$2:$C$1960,0)),"",INDEX('Compliance Database'!$L$2:$L$1960,MATCH(893,Engine!$C$2:$C$1960,0)))</f>
        <v/>
      </c>
      <c r="M906" s="9">
        <f>IF(ISNA(MATCH(893,Engine!$C$2:$C$1960,0)),"",INDEX('Compliance Database'!$M$2:$M$1960,MATCH(893,Engine!$C$2:$C$1960,0)))</f>
        <v/>
      </c>
      <c r="N906" s="9">
        <f>IF(ISNA(MATCH(893,Engine!$C$2:$C$1960,0)),"",INDEX('Compliance Database'!$N$2:$N$1960,MATCH(893,Engine!$C$2:$C$1960,0)))</f>
        <v/>
      </c>
      <c r="O906" s="9">
        <f>IF(ISNA(MATCH(893,Engine!$C$2:$C$1960,0)),"",INDEX('Compliance Database'!$O$2:$O$1960,MATCH(893,Engine!$C$2:$C$1960,0)))</f>
        <v/>
      </c>
      <c r="P906" s="8">
        <f>IF(ISNA(MATCH(893,Engine!$C$2:$C$1960,0)),"",HYPERLINK("#Acts!A"&amp;INDEX('Compliance Database'!$P$2:$P$1960,MATCH(893,Engine!$C$2:$C$1960,0)),"Go to Act"))</f>
        <v/>
      </c>
    </row>
    <row r="907" ht="158" customHeight="1">
      <c r="A907" s="8">
        <f>IF(ISNA(MATCH(894,Engine!$C$2:$C$1960,0)),"",INDEX('Compliance Database'!$A$2:$A$1960,MATCH(894,Engine!$C$2:$C$1960,0)))</f>
        <v/>
      </c>
      <c r="B907" s="8">
        <f>IF(ISNA(MATCH(894,Engine!$C$2:$C$1960,0)),"",INDEX('Compliance Database'!$B$2:$B$1960,MATCH(894,Engine!$C$2:$C$1960,0)))</f>
        <v/>
      </c>
      <c r="C907" s="8">
        <f>IF(ISNA(MATCH(894,Engine!$C$2:$C$1960,0)),"",INDEX('Compliance Database'!$C$2:$C$1960,MATCH(894,Engine!$C$2:$C$1960,0)))</f>
        <v/>
      </c>
      <c r="D907" s="9">
        <f>IF(ISNA(MATCH(894,Engine!$C$2:$C$1960,0)),"",INDEX('Compliance Database'!$D$2:$D$1960,MATCH(894,Engine!$C$2:$C$1960,0)))</f>
        <v/>
      </c>
      <c r="E907" s="8">
        <f>IF(ISNA(MATCH(894,Engine!$C$2:$C$1960,0)),"",INDEX('Compliance Database'!$E$2:$E$1960,MATCH(894,Engine!$C$2:$C$1960,0)))</f>
        <v/>
      </c>
      <c r="F907" s="8">
        <f>IF(ISNA(MATCH(894,Engine!$C$2:$C$1960,0)),"",INDEX('Compliance Database'!$F$2:$F$1960,MATCH(894,Engine!$C$2:$C$1960,0)))</f>
        <v/>
      </c>
      <c r="G907" s="8">
        <f>IF(ISNA(MATCH(894,Engine!$C$2:$C$1960,0)),"",INDEX('Compliance Database'!$G$2:$G$1960,MATCH(894,Engine!$C$2:$C$1960,0)))</f>
        <v/>
      </c>
      <c r="H907" s="9">
        <f>IF(ISNA(MATCH(894,Engine!$C$2:$C$1960,0)),"",INDEX('Compliance Database'!$H$2:$H$1960,MATCH(894,Engine!$C$2:$C$1960,0)))</f>
        <v/>
      </c>
      <c r="I907" s="9">
        <f>IF(ISNA(MATCH(894,Engine!$C$2:$C$1960,0)),"",INDEX('Compliance Database'!$I$2:$I$1960,MATCH(894,Engine!$C$2:$C$1960,0)))</f>
        <v/>
      </c>
      <c r="J907" s="8">
        <f>IF(ISNA(MATCH(894,Engine!$C$2:$C$1960,0)),"",INDEX('Compliance Database'!$J$2:$J$1960,MATCH(894,Engine!$C$2:$C$1960,0)))</f>
        <v/>
      </c>
      <c r="K907" s="9">
        <f>IF(ISNA(MATCH(894,Engine!$C$2:$C$1960,0)),"",INDEX('Compliance Database'!$K$2:$K$1960,MATCH(894,Engine!$C$2:$C$1960,0)))</f>
        <v/>
      </c>
      <c r="L907" s="9">
        <f>IF(ISNA(MATCH(894,Engine!$C$2:$C$1960,0)),"",INDEX('Compliance Database'!$L$2:$L$1960,MATCH(894,Engine!$C$2:$C$1960,0)))</f>
        <v/>
      </c>
      <c r="M907" s="9">
        <f>IF(ISNA(MATCH(894,Engine!$C$2:$C$1960,0)),"",INDEX('Compliance Database'!$M$2:$M$1960,MATCH(894,Engine!$C$2:$C$1960,0)))</f>
        <v/>
      </c>
      <c r="N907" s="9">
        <f>IF(ISNA(MATCH(894,Engine!$C$2:$C$1960,0)),"",INDEX('Compliance Database'!$N$2:$N$1960,MATCH(894,Engine!$C$2:$C$1960,0)))</f>
        <v/>
      </c>
      <c r="O907" s="9">
        <f>IF(ISNA(MATCH(894,Engine!$C$2:$C$1960,0)),"",INDEX('Compliance Database'!$O$2:$O$1960,MATCH(894,Engine!$C$2:$C$1960,0)))</f>
        <v/>
      </c>
      <c r="P907" s="8">
        <f>IF(ISNA(MATCH(894,Engine!$C$2:$C$1960,0)),"",HYPERLINK("#Acts!A"&amp;INDEX('Compliance Database'!$P$2:$P$1960,MATCH(894,Engine!$C$2:$C$1960,0)),"Go to Act"))</f>
        <v/>
      </c>
    </row>
    <row r="908" ht="158" customHeight="1">
      <c r="A908" s="8">
        <f>IF(ISNA(MATCH(895,Engine!$C$2:$C$1960,0)),"",INDEX('Compliance Database'!$A$2:$A$1960,MATCH(895,Engine!$C$2:$C$1960,0)))</f>
        <v/>
      </c>
      <c r="B908" s="8">
        <f>IF(ISNA(MATCH(895,Engine!$C$2:$C$1960,0)),"",INDEX('Compliance Database'!$B$2:$B$1960,MATCH(895,Engine!$C$2:$C$1960,0)))</f>
        <v/>
      </c>
      <c r="C908" s="8">
        <f>IF(ISNA(MATCH(895,Engine!$C$2:$C$1960,0)),"",INDEX('Compliance Database'!$C$2:$C$1960,MATCH(895,Engine!$C$2:$C$1960,0)))</f>
        <v/>
      </c>
      <c r="D908" s="9">
        <f>IF(ISNA(MATCH(895,Engine!$C$2:$C$1960,0)),"",INDEX('Compliance Database'!$D$2:$D$1960,MATCH(895,Engine!$C$2:$C$1960,0)))</f>
        <v/>
      </c>
      <c r="E908" s="8">
        <f>IF(ISNA(MATCH(895,Engine!$C$2:$C$1960,0)),"",INDEX('Compliance Database'!$E$2:$E$1960,MATCH(895,Engine!$C$2:$C$1960,0)))</f>
        <v/>
      </c>
      <c r="F908" s="8">
        <f>IF(ISNA(MATCH(895,Engine!$C$2:$C$1960,0)),"",INDEX('Compliance Database'!$F$2:$F$1960,MATCH(895,Engine!$C$2:$C$1960,0)))</f>
        <v/>
      </c>
      <c r="G908" s="8">
        <f>IF(ISNA(MATCH(895,Engine!$C$2:$C$1960,0)),"",INDEX('Compliance Database'!$G$2:$G$1960,MATCH(895,Engine!$C$2:$C$1960,0)))</f>
        <v/>
      </c>
      <c r="H908" s="9">
        <f>IF(ISNA(MATCH(895,Engine!$C$2:$C$1960,0)),"",INDEX('Compliance Database'!$H$2:$H$1960,MATCH(895,Engine!$C$2:$C$1960,0)))</f>
        <v/>
      </c>
      <c r="I908" s="9">
        <f>IF(ISNA(MATCH(895,Engine!$C$2:$C$1960,0)),"",INDEX('Compliance Database'!$I$2:$I$1960,MATCH(895,Engine!$C$2:$C$1960,0)))</f>
        <v/>
      </c>
      <c r="J908" s="8">
        <f>IF(ISNA(MATCH(895,Engine!$C$2:$C$1960,0)),"",INDEX('Compliance Database'!$J$2:$J$1960,MATCH(895,Engine!$C$2:$C$1960,0)))</f>
        <v/>
      </c>
      <c r="K908" s="9">
        <f>IF(ISNA(MATCH(895,Engine!$C$2:$C$1960,0)),"",INDEX('Compliance Database'!$K$2:$K$1960,MATCH(895,Engine!$C$2:$C$1960,0)))</f>
        <v/>
      </c>
      <c r="L908" s="9">
        <f>IF(ISNA(MATCH(895,Engine!$C$2:$C$1960,0)),"",INDEX('Compliance Database'!$L$2:$L$1960,MATCH(895,Engine!$C$2:$C$1960,0)))</f>
        <v/>
      </c>
      <c r="M908" s="9">
        <f>IF(ISNA(MATCH(895,Engine!$C$2:$C$1960,0)),"",INDEX('Compliance Database'!$M$2:$M$1960,MATCH(895,Engine!$C$2:$C$1960,0)))</f>
        <v/>
      </c>
      <c r="N908" s="9">
        <f>IF(ISNA(MATCH(895,Engine!$C$2:$C$1960,0)),"",INDEX('Compliance Database'!$N$2:$N$1960,MATCH(895,Engine!$C$2:$C$1960,0)))</f>
        <v/>
      </c>
      <c r="O908" s="9">
        <f>IF(ISNA(MATCH(895,Engine!$C$2:$C$1960,0)),"",INDEX('Compliance Database'!$O$2:$O$1960,MATCH(895,Engine!$C$2:$C$1960,0)))</f>
        <v/>
      </c>
      <c r="P908" s="8">
        <f>IF(ISNA(MATCH(895,Engine!$C$2:$C$1960,0)),"",HYPERLINK("#Acts!A"&amp;INDEX('Compliance Database'!$P$2:$P$1960,MATCH(895,Engine!$C$2:$C$1960,0)),"Go to Act"))</f>
        <v/>
      </c>
    </row>
    <row r="909" ht="158" customHeight="1">
      <c r="A909" s="8">
        <f>IF(ISNA(MATCH(896,Engine!$C$2:$C$1960,0)),"",INDEX('Compliance Database'!$A$2:$A$1960,MATCH(896,Engine!$C$2:$C$1960,0)))</f>
        <v/>
      </c>
      <c r="B909" s="8">
        <f>IF(ISNA(MATCH(896,Engine!$C$2:$C$1960,0)),"",INDEX('Compliance Database'!$B$2:$B$1960,MATCH(896,Engine!$C$2:$C$1960,0)))</f>
        <v/>
      </c>
      <c r="C909" s="8">
        <f>IF(ISNA(MATCH(896,Engine!$C$2:$C$1960,0)),"",INDEX('Compliance Database'!$C$2:$C$1960,MATCH(896,Engine!$C$2:$C$1960,0)))</f>
        <v/>
      </c>
      <c r="D909" s="9">
        <f>IF(ISNA(MATCH(896,Engine!$C$2:$C$1960,0)),"",INDEX('Compliance Database'!$D$2:$D$1960,MATCH(896,Engine!$C$2:$C$1960,0)))</f>
        <v/>
      </c>
      <c r="E909" s="8">
        <f>IF(ISNA(MATCH(896,Engine!$C$2:$C$1960,0)),"",INDEX('Compliance Database'!$E$2:$E$1960,MATCH(896,Engine!$C$2:$C$1960,0)))</f>
        <v/>
      </c>
      <c r="F909" s="8">
        <f>IF(ISNA(MATCH(896,Engine!$C$2:$C$1960,0)),"",INDEX('Compliance Database'!$F$2:$F$1960,MATCH(896,Engine!$C$2:$C$1960,0)))</f>
        <v/>
      </c>
      <c r="G909" s="8">
        <f>IF(ISNA(MATCH(896,Engine!$C$2:$C$1960,0)),"",INDEX('Compliance Database'!$G$2:$G$1960,MATCH(896,Engine!$C$2:$C$1960,0)))</f>
        <v/>
      </c>
      <c r="H909" s="9">
        <f>IF(ISNA(MATCH(896,Engine!$C$2:$C$1960,0)),"",INDEX('Compliance Database'!$H$2:$H$1960,MATCH(896,Engine!$C$2:$C$1960,0)))</f>
        <v/>
      </c>
      <c r="I909" s="9">
        <f>IF(ISNA(MATCH(896,Engine!$C$2:$C$1960,0)),"",INDEX('Compliance Database'!$I$2:$I$1960,MATCH(896,Engine!$C$2:$C$1960,0)))</f>
        <v/>
      </c>
      <c r="J909" s="8">
        <f>IF(ISNA(MATCH(896,Engine!$C$2:$C$1960,0)),"",INDEX('Compliance Database'!$J$2:$J$1960,MATCH(896,Engine!$C$2:$C$1960,0)))</f>
        <v/>
      </c>
      <c r="K909" s="9">
        <f>IF(ISNA(MATCH(896,Engine!$C$2:$C$1960,0)),"",INDEX('Compliance Database'!$K$2:$K$1960,MATCH(896,Engine!$C$2:$C$1960,0)))</f>
        <v/>
      </c>
      <c r="L909" s="9">
        <f>IF(ISNA(MATCH(896,Engine!$C$2:$C$1960,0)),"",INDEX('Compliance Database'!$L$2:$L$1960,MATCH(896,Engine!$C$2:$C$1960,0)))</f>
        <v/>
      </c>
      <c r="M909" s="9">
        <f>IF(ISNA(MATCH(896,Engine!$C$2:$C$1960,0)),"",INDEX('Compliance Database'!$M$2:$M$1960,MATCH(896,Engine!$C$2:$C$1960,0)))</f>
        <v/>
      </c>
      <c r="N909" s="9">
        <f>IF(ISNA(MATCH(896,Engine!$C$2:$C$1960,0)),"",INDEX('Compliance Database'!$N$2:$N$1960,MATCH(896,Engine!$C$2:$C$1960,0)))</f>
        <v/>
      </c>
      <c r="O909" s="9">
        <f>IF(ISNA(MATCH(896,Engine!$C$2:$C$1960,0)),"",INDEX('Compliance Database'!$O$2:$O$1960,MATCH(896,Engine!$C$2:$C$1960,0)))</f>
        <v/>
      </c>
      <c r="P909" s="8">
        <f>IF(ISNA(MATCH(896,Engine!$C$2:$C$1960,0)),"",HYPERLINK("#Acts!A"&amp;INDEX('Compliance Database'!$P$2:$P$1960,MATCH(896,Engine!$C$2:$C$1960,0)),"Go to Act"))</f>
        <v/>
      </c>
    </row>
    <row r="910" ht="158" customHeight="1">
      <c r="A910" s="8">
        <f>IF(ISNA(MATCH(897,Engine!$C$2:$C$1960,0)),"",INDEX('Compliance Database'!$A$2:$A$1960,MATCH(897,Engine!$C$2:$C$1960,0)))</f>
        <v/>
      </c>
      <c r="B910" s="8">
        <f>IF(ISNA(MATCH(897,Engine!$C$2:$C$1960,0)),"",INDEX('Compliance Database'!$B$2:$B$1960,MATCH(897,Engine!$C$2:$C$1960,0)))</f>
        <v/>
      </c>
      <c r="C910" s="8">
        <f>IF(ISNA(MATCH(897,Engine!$C$2:$C$1960,0)),"",INDEX('Compliance Database'!$C$2:$C$1960,MATCH(897,Engine!$C$2:$C$1960,0)))</f>
        <v/>
      </c>
      <c r="D910" s="9">
        <f>IF(ISNA(MATCH(897,Engine!$C$2:$C$1960,0)),"",INDEX('Compliance Database'!$D$2:$D$1960,MATCH(897,Engine!$C$2:$C$1960,0)))</f>
        <v/>
      </c>
      <c r="E910" s="8">
        <f>IF(ISNA(MATCH(897,Engine!$C$2:$C$1960,0)),"",INDEX('Compliance Database'!$E$2:$E$1960,MATCH(897,Engine!$C$2:$C$1960,0)))</f>
        <v/>
      </c>
      <c r="F910" s="8">
        <f>IF(ISNA(MATCH(897,Engine!$C$2:$C$1960,0)),"",INDEX('Compliance Database'!$F$2:$F$1960,MATCH(897,Engine!$C$2:$C$1960,0)))</f>
        <v/>
      </c>
      <c r="G910" s="8">
        <f>IF(ISNA(MATCH(897,Engine!$C$2:$C$1960,0)),"",INDEX('Compliance Database'!$G$2:$G$1960,MATCH(897,Engine!$C$2:$C$1960,0)))</f>
        <v/>
      </c>
      <c r="H910" s="9">
        <f>IF(ISNA(MATCH(897,Engine!$C$2:$C$1960,0)),"",INDEX('Compliance Database'!$H$2:$H$1960,MATCH(897,Engine!$C$2:$C$1960,0)))</f>
        <v/>
      </c>
      <c r="I910" s="9">
        <f>IF(ISNA(MATCH(897,Engine!$C$2:$C$1960,0)),"",INDEX('Compliance Database'!$I$2:$I$1960,MATCH(897,Engine!$C$2:$C$1960,0)))</f>
        <v/>
      </c>
      <c r="J910" s="8">
        <f>IF(ISNA(MATCH(897,Engine!$C$2:$C$1960,0)),"",INDEX('Compliance Database'!$J$2:$J$1960,MATCH(897,Engine!$C$2:$C$1960,0)))</f>
        <v/>
      </c>
      <c r="K910" s="9">
        <f>IF(ISNA(MATCH(897,Engine!$C$2:$C$1960,0)),"",INDEX('Compliance Database'!$K$2:$K$1960,MATCH(897,Engine!$C$2:$C$1960,0)))</f>
        <v/>
      </c>
      <c r="L910" s="9">
        <f>IF(ISNA(MATCH(897,Engine!$C$2:$C$1960,0)),"",INDEX('Compliance Database'!$L$2:$L$1960,MATCH(897,Engine!$C$2:$C$1960,0)))</f>
        <v/>
      </c>
      <c r="M910" s="9">
        <f>IF(ISNA(MATCH(897,Engine!$C$2:$C$1960,0)),"",INDEX('Compliance Database'!$M$2:$M$1960,MATCH(897,Engine!$C$2:$C$1960,0)))</f>
        <v/>
      </c>
      <c r="N910" s="9">
        <f>IF(ISNA(MATCH(897,Engine!$C$2:$C$1960,0)),"",INDEX('Compliance Database'!$N$2:$N$1960,MATCH(897,Engine!$C$2:$C$1960,0)))</f>
        <v/>
      </c>
      <c r="O910" s="9">
        <f>IF(ISNA(MATCH(897,Engine!$C$2:$C$1960,0)),"",INDEX('Compliance Database'!$O$2:$O$1960,MATCH(897,Engine!$C$2:$C$1960,0)))</f>
        <v/>
      </c>
      <c r="P910" s="8">
        <f>IF(ISNA(MATCH(897,Engine!$C$2:$C$1960,0)),"",HYPERLINK("#Acts!A"&amp;INDEX('Compliance Database'!$P$2:$P$1960,MATCH(897,Engine!$C$2:$C$1960,0)),"Go to Act"))</f>
        <v/>
      </c>
    </row>
    <row r="911" ht="158" customHeight="1">
      <c r="A911" s="8">
        <f>IF(ISNA(MATCH(898,Engine!$C$2:$C$1960,0)),"",INDEX('Compliance Database'!$A$2:$A$1960,MATCH(898,Engine!$C$2:$C$1960,0)))</f>
        <v/>
      </c>
      <c r="B911" s="8">
        <f>IF(ISNA(MATCH(898,Engine!$C$2:$C$1960,0)),"",INDEX('Compliance Database'!$B$2:$B$1960,MATCH(898,Engine!$C$2:$C$1960,0)))</f>
        <v/>
      </c>
      <c r="C911" s="8">
        <f>IF(ISNA(MATCH(898,Engine!$C$2:$C$1960,0)),"",INDEX('Compliance Database'!$C$2:$C$1960,MATCH(898,Engine!$C$2:$C$1960,0)))</f>
        <v/>
      </c>
      <c r="D911" s="9">
        <f>IF(ISNA(MATCH(898,Engine!$C$2:$C$1960,0)),"",INDEX('Compliance Database'!$D$2:$D$1960,MATCH(898,Engine!$C$2:$C$1960,0)))</f>
        <v/>
      </c>
      <c r="E911" s="8">
        <f>IF(ISNA(MATCH(898,Engine!$C$2:$C$1960,0)),"",INDEX('Compliance Database'!$E$2:$E$1960,MATCH(898,Engine!$C$2:$C$1960,0)))</f>
        <v/>
      </c>
      <c r="F911" s="8">
        <f>IF(ISNA(MATCH(898,Engine!$C$2:$C$1960,0)),"",INDEX('Compliance Database'!$F$2:$F$1960,MATCH(898,Engine!$C$2:$C$1960,0)))</f>
        <v/>
      </c>
      <c r="G911" s="8">
        <f>IF(ISNA(MATCH(898,Engine!$C$2:$C$1960,0)),"",INDEX('Compliance Database'!$G$2:$G$1960,MATCH(898,Engine!$C$2:$C$1960,0)))</f>
        <v/>
      </c>
      <c r="H911" s="9">
        <f>IF(ISNA(MATCH(898,Engine!$C$2:$C$1960,0)),"",INDEX('Compliance Database'!$H$2:$H$1960,MATCH(898,Engine!$C$2:$C$1960,0)))</f>
        <v/>
      </c>
      <c r="I911" s="9">
        <f>IF(ISNA(MATCH(898,Engine!$C$2:$C$1960,0)),"",INDEX('Compliance Database'!$I$2:$I$1960,MATCH(898,Engine!$C$2:$C$1960,0)))</f>
        <v/>
      </c>
      <c r="J911" s="8">
        <f>IF(ISNA(MATCH(898,Engine!$C$2:$C$1960,0)),"",INDEX('Compliance Database'!$J$2:$J$1960,MATCH(898,Engine!$C$2:$C$1960,0)))</f>
        <v/>
      </c>
      <c r="K911" s="9">
        <f>IF(ISNA(MATCH(898,Engine!$C$2:$C$1960,0)),"",INDEX('Compliance Database'!$K$2:$K$1960,MATCH(898,Engine!$C$2:$C$1960,0)))</f>
        <v/>
      </c>
      <c r="L911" s="9">
        <f>IF(ISNA(MATCH(898,Engine!$C$2:$C$1960,0)),"",INDEX('Compliance Database'!$L$2:$L$1960,MATCH(898,Engine!$C$2:$C$1960,0)))</f>
        <v/>
      </c>
      <c r="M911" s="9">
        <f>IF(ISNA(MATCH(898,Engine!$C$2:$C$1960,0)),"",INDEX('Compliance Database'!$M$2:$M$1960,MATCH(898,Engine!$C$2:$C$1960,0)))</f>
        <v/>
      </c>
      <c r="N911" s="9">
        <f>IF(ISNA(MATCH(898,Engine!$C$2:$C$1960,0)),"",INDEX('Compliance Database'!$N$2:$N$1960,MATCH(898,Engine!$C$2:$C$1960,0)))</f>
        <v/>
      </c>
      <c r="O911" s="9">
        <f>IF(ISNA(MATCH(898,Engine!$C$2:$C$1960,0)),"",INDEX('Compliance Database'!$O$2:$O$1960,MATCH(898,Engine!$C$2:$C$1960,0)))</f>
        <v/>
      </c>
      <c r="P911" s="8">
        <f>IF(ISNA(MATCH(898,Engine!$C$2:$C$1960,0)),"",HYPERLINK("#Acts!A"&amp;INDEX('Compliance Database'!$P$2:$P$1960,MATCH(898,Engine!$C$2:$C$1960,0)),"Go to Act"))</f>
        <v/>
      </c>
    </row>
    <row r="912" ht="158" customHeight="1">
      <c r="A912" s="8">
        <f>IF(ISNA(MATCH(899,Engine!$C$2:$C$1960,0)),"",INDEX('Compliance Database'!$A$2:$A$1960,MATCH(899,Engine!$C$2:$C$1960,0)))</f>
        <v/>
      </c>
      <c r="B912" s="8">
        <f>IF(ISNA(MATCH(899,Engine!$C$2:$C$1960,0)),"",INDEX('Compliance Database'!$B$2:$B$1960,MATCH(899,Engine!$C$2:$C$1960,0)))</f>
        <v/>
      </c>
      <c r="C912" s="8">
        <f>IF(ISNA(MATCH(899,Engine!$C$2:$C$1960,0)),"",INDEX('Compliance Database'!$C$2:$C$1960,MATCH(899,Engine!$C$2:$C$1960,0)))</f>
        <v/>
      </c>
      <c r="D912" s="9">
        <f>IF(ISNA(MATCH(899,Engine!$C$2:$C$1960,0)),"",INDEX('Compliance Database'!$D$2:$D$1960,MATCH(899,Engine!$C$2:$C$1960,0)))</f>
        <v/>
      </c>
      <c r="E912" s="8">
        <f>IF(ISNA(MATCH(899,Engine!$C$2:$C$1960,0)),"",INDEX('Compliance Database'!$E$2:$E$1960,MATCH(899,Engine!$C$2:$C$1960,0)))</f>
        <v/>
      </c>
      <c r="F912" s="8">
        <f>IF(ISNA(MATCH(899,Engine!$C$2:$C$1960,0)),"",INDEX('Compliance Database'!$F$2:$F$1960,MATCH(899,Engine!$C$2:$C$1960,0)))</f>
        <v/>
      </c>
      <c r="G912" s="8">
        <f>IF(ISNA(MATCH(899,Engine!$C$2:$C$1960,0)),"",INDEX('Compliance Database'!$G$2:$G$1960,MATCH(899,Engine!$C$2:$C$1960,0)))</f>
        <v/>
      </c>
      <c r="H912" s="9">
        <f>IF(ISNA(MATCH(899,Engine!$C$2:$C$1960,0)),"",INDEX('Compliance Database'!$H$2:$H$1960,MATCH(899,Engine!$C$2:$C$1960,0)))</f>
        <v/>
      </c>
      <c r="I912" s="9">
        <f>IF(ISNA(MATCH(899,Engine!$C$2:$C$1960,0)),"",INDEX('Compliance Database'!$I$2:$I$1960,MATCH(899,Engine!$C$2:$C$1960,0)))</f>
        <v/>
      </c>
      <c r="J912" s="8">
        <f>IF(ISNA(MATCH(899,Engine!$C$2:$C$1960,0)),"",INDEX('Compliance Database'!$J$2:$J$1960,MATCH(899,Engine!$C$2:$C$1960,0)))</f>
        <v/>
      </c>
      <c r="K912" s="9">
        <f>IF(ISNA(MATCH(899,Engine!$C$2:$C$1960,0)),"",INDEX('Compliance Database'!$K$2:$K$1960,MATCH(899,Engine!$C$2:$C$1960,0)))</f>
        <v/>
      </c>
      <c r="L912" s="9">
        <f>IF(ISNA(MATCH(899,Engine!$C$2:$C$1960,0)),"",INDEX('Compliance Database'!$L$2:$L$1960,MATCH(899,Engine!$C$2:$C$1960,0)))</f>
        <v/>
      </c>
      <c r="M912" s="9">
        <f>IF(ISNA(MATCH(899,Engine!$C$2:$C$1960,0)),"",INDEX('Compliance Database'!$M$2:$M$1960,MATCH(899,Engine!$C$2:$C$1960,0)))</f>
        <v/>
      </c>
      <c r="N912" s="9">
        <f>IF(ISNA(MATCH(899,Engine!$C$2:$C$1960,0)),"",INDEX('Compliance Database'!$N$2:$N$1960,MATCH(899,Engine!$C$2:$C$1960,0)))</f>
        <v/>
      </c>
      <c r="O912" s="9">
        <f>IF(ISNA(MATCH(899,Engine!$C$2:$C$1960,0)),"",INDEX('Compliance Database'!$O$2:$O$1960,MATCH(899,Engine!$C$2:$C$1960,0)))</f>
        <v/>
      </c>
      <c r="P912" s="8">
        <f>IF(ISNA(MATCH(899,Engine!$C$2:$C$1960,0)),"",HYPERLINK("#Acts!A"&amp;INDEX('Compliance Database'!$P$2:$P$1960,MATCH(899,Engine!$C$2:$C$1960,0)),"Go to Act"))</f>
        <v/>
      </c>
    </row>
    <row r="913" ht="158" customHeight="1">
      <c r="A913" s="8">
        <f>IF(ISNA(MATCH(900,Engine!$C$2:$C$1960,0)),"",INDEX('Compliance Database'!$A$2:$A$1960,MATCH(900,Engine!$C$2:$C$1960,0)))</f>
        <v/>
      </c>
      <c r="B913" s="8">
        <f>IF(ISNA(MATCH(900,Engine!$C$2:$C$1960,0)),"",INDEX('Compliance Database'!$B$2:$B$1960,MATCH(900,Engine!$C$2:$C$1960,0)))</f>
        <v/>
      </c>
      <c r="C913" s="8">
        <f>IF(ISNA(MATCH(900,Engine!$C$2:$C$1960,0)),"",INDEX('Compliance Database'!$C$2:$C$1960,MATCH(900,Engine!$C$2:$C$1960,0)))</f>
        <v/>
      </c>
      <c r="D913" s="9">
        <f>IF(ISNA(MATCH(900,Engine!$C$2:$C$1960,0)),"",INDEX('Compliance Database'!$D$2:$D$1960,MATCH(900,Engine!$C$2:$C$1960,0)))</f>
        <v/>
      </c>
      <c r="E913" s="8">
        <f>IF(ISNA(MATCH(900,Engine!$C$2:$C$1960,0)),"",INDEX('Compliance Database'!$E$2:$E$1960,MATCH(900,Engine!$C$2:$C$1960,0)))</f>
        <v/>
      </c>
      <c r="F913" s="8">
        <f>IF(ISNA(MATCH(900,Engine!$C$2:$C$1960,0)),"",INDEX('Compliance Database'!$F$2:$F$1960,MATCH(900,Engine!$C$2:$C$1960,0)))</f>
        <v/>
      </c>
      <c r="G913" s="8">
        <f>IF(ISNA(MATCH(900,Engine!$C$2:$C$1960,0)),"",INDEX('Compliance Database'!$G$2:$G$1960,MATCH(900,Engine!$C$2:$C$1960,0)))</f>
        <v/>
      </c>
      <c r="H913" s="9">
        <f>IF(ISNA(MATCH(900,Engine!$C$2:$C$1960,0)),"",INDEX('Compliance Database'!$H$2:$H$1960,MATCH(900,Engine!$C$2:$C$1960,0)))</f>
        <v/>
      </c>
      <c r="I913" s="9">
        <f>IF(ISNA(MATCH(900,Engine!$C$2:$C$1960,0)),"",INDEX('Compliance Database'!$I$2:$I$1960,MATCH(900,Engine!$C$2:$C$1960,0)))</f>
        <v/>
      </c>
      <c r="J913" s="8">
        <f>IF(ISNA(MATCH(900,Engine!$C$2:$C$1960,0)),"",INDEX('Compliance Database'!$J$2:$J$1960,MATCH(900,Engine!$C$2:$C$1960,0)))</f>
        <v/>
      </c>
      <c r="K913" s="9">
        <f>IF(ISNA(MATCH(900,Engine!$C$2:$C$1960,0)),"",INDEX('Compliance Database'!$K$2:$K$1960,MATCH(900,Engine!$C$2:$C$1960,0)))</f>
        <v/>
      </c>
      <c r="L913" s="9">
        <f>IF(ISNA(MATCH(900,Engine!$C$2:$C$1960,0)),"",INDEX('Compliance Database'!$L$2:$L$1960,MATCH(900,Engine!$C$2:$C$1960,0)))</f>
        <v/>
      </c>
      <c r="M913" s="9">
        <f>IF(ISNA(MATCH(900,Engine!$C$2:$C$1960,0)),"",INDEX('Compliance Database'!$M$2:$M$1960,MATCH(900,Engine!$C$2:$C$1960,0)))</f>
        <v/>
      </c>
      <c r="N913" s="9">
        <f>IF(ISNA(MATCH(900,Engine!$C$2:$C$1960,0)),"",INDEX('Compliance Database'!$N$2:$N$1960,MATCH(900,Engine!$C$2:$C$1960,0)))</f>
        <v/>
      </c>
      <c r="O913" s="9">
        <f>IF(ISNA(MATCH(900,Engine!$C$2:$C$1960,0)),"",INDEX('Compliance Database'!$O$2:$O$1960,MATCH(900,Engine!$C$2:$C$1960,0)))</f>
        <v/>
      </c>
      <c r="P913" s="8">
        <f>IF(ISNA(MATCH(900,Engine!$C$2:$C$1960,0)),"",HYPERLINK("#Acts!A"&amp;INDEX('Compliance Database'!$P$2:$P$1960,MATCH(900,Engine!$C$2:$C$1960,0)),"Go to Act"))</f>
        <v/>
      </c>
    </row>
    <row r="914" ht="158" customHeight="1">
      <c r="A914" s="8">
        <f>IF(ISNA(MATCH(901,Engine!$C$2:$C$1960,0)),"",INDEX('Compliance Database'!$A$2:$A$1960,MATCH(901,Engine!$C$2:$C$1960,0)))</f>
        <v/>
      </c>
      <c r="B914" s="8">
        <f>IF(ISNA(MATCH(901,Engine!$C$2:$C$1960,0)),"",INDEX('Compliance Database'!$B$2:$B$1960,MATCH(901,Engine!$C$2:$C$1960,0)))</f>
        <v/>
      </c>
      <c r="C914" s="8">
        <f>IF(ISNA(MATCH(901,Engine!$C$2:$C$1960,0)),"",INDEX('Compliance Database'!$C$2:$C$1960,MATCH(901,Engine!$C$2:$C$1960,0)))</f>
        <v/>
      </c>
      <c r="D914" s="9">
        <f>IF(ISNA(MATCH(901,Engine!$C$2:$C$1960,0)),"",INDEX('Compliance Database'!$D$2:$D$1960,MATCH(901,Engine!$C$2:$C$1960,0)))</f>
        <v/>
      </c>
      <c r="E914" s="8">
        <f>IF(ISNA(MATCH(901,Engine!$C$2:$C$1960,0)),"",INDEX('Compliance Database'!$E$2:$E$1960,MATCH(901,Engine!$C$2:$C$1960,0)))</f>
        <v/>
      </c>
      <c r="F914" s="8">
        <f>IF(ISNA(MATCH(901,Engine!$C$2:$C$1960,0)),"",INDEX('Compliance Database'!$F$2:$F$1960,MATCH(901,Engine!$C$2:$C$1960,0)))</f>
        <v/>
      </c>
      <c r="G914" s="8">
        <f>IF(ISNA(MATCH(901,Engine!$C$2:$C$1960,0)),"",INDEX('Compliance Database'!$G$2:$G$1960,MATCH(901,Engine!$C$2:$C$1960,0)))</f>
        <v/>
      </c>
      <c r="H914" s="9">
        <f>IF(ISNA(MATCH(901,Engine!$C$2:$C$1960,0)),"",INDEX('Compliance Database'!$H$2:$H$1960,MATCH(901,Engine!$C$2:$C$1960,0)))</f>
        <v/>
      </c>
      <c r="I914" s="9">
        <f>IF(ISNA(MATCH(901,Engine!$C$2:$C$1960,0)),"",INDEX('Compliance Database'!$I$2:$I$1960,MATCH(901,Engine!$C$2:$C$1960,0)))</f>
        <v/>
      </c>
      <c r="J914" s="8">
        <f>IF(ISNA(MATCH(901,Engine!$C$2:$C$1960,0)),"",INDEX('Compliance Database'!$J$2:$J$1960,MATCH(901,Engine!$C$2:$C$1960,0)))</f>
        <v/>
      </c>
      <c r="K914" s="9">
        <f>IF(ISNA(MATCH(901,Engine!$C$2:$C$1960,0)),"",INDEX('Compliance Database'!$K$2:$K$1960,MATCH(901,Engine!$C$2:$C$1960,0)))</f>
        <v/>
      </c>
      <c r="L914" s="9">
        <f>IF(ISNA(MATCH(901,Engine!$C$2:$C$1960,0)),"",INDEX('Compliance Database'!$L$2:$L$1960,MATCH(901,Engine!$C$2:$C$1960,0)))</f>
        <v/>
      </c>
      <c r="M914" s="9">
        <f>IF(ISNA(MATCH(901,Engine!$C$2:$C$1960,0)),"",INDEX('Compliance Database'!$M$2:$M$1960,MATCH(901,Engine!$C$2:$C$1960,0)))</f>
        <v/>
      </c>
      <c r="N914" s="9">
        <f>IF(ISNA(MATCH(901,Engine!$C$2:$C$1960,0)),"",INDEX('Compliance Database'!$N$2:$N$1960,MATCH(901,Engine!$C$2:$C$1960,0)))</f>
        <v/>
      </c>
      <c r="O914" s="9">
        <f>IF(ISNA(MATCH(901,Engine!$C$2:$C$1960,0)),"",INDEX('Compliance Database'!$O$2:$O$1960,MATCH(901,Engine!$C$2:$C$1960,0)))</f>
        <v/>
      </c>
      <c r="P914" s="8">
        <f>IF(ISNA(MATCH(901,Engine!$C$2:$C$1960,0)),"",HYPERLINK("#Acts!A"&amp;INDEX('Compliance Database'!$P$2:$P$1960,MATCH(901,Engine!$C$2:$C$1960,0)),"Go to Act"))</f>
        <v/>
      </c>
    </row>
    <row r="915" ht="158" customHeight="1">
      <c r="A915" s="8">
        <f>IF(ISNA(MATCH(902,Engine!$C$2:$C$1960,0)),"",INDEX('Compliance Database'!$A$2:$A$1960,MATCH(902,Engine!$C$2:$C$1960,0)))</f>
        <v/>
      </c>
      <c r="B915" s="8">
        <f>IF(ISNA(MATCH(902,Engine!$C$2:$C$1960,0)),"",INDEX('Compliance Database'!$B$2:$B$1960,MATCH(902,Engine!$C$2:$C$1960,0)))</f>
        <v/>
      </c>
      <c r="C915" s="8">
        <f>IF(ISNA(MATCH(902,Engine!$C$2:$C$1960,0)),"",INDEX('Compliance Database'!$C$2:$C$1960,MATCH(902,Engine!$C$2:$C$1960,0)))</f>
        <v/>
      </c>
      <c r="D915" s="9">
        <f>IF(ISNA(MATCH(902,Engine!$C$2:$C$1960,0)),"",INDEX('Compliance Database'!$D$2:$D$1960,MATCH(902,Engine!$C$2:$C$1960,0)))</f>
        <v/>
      </c>
      <c r="E915" s="8">
        <f>IF(ISNA(MATCH(902,Engine!$C$2:$C$1960,0)),"",INDEX('Compliance Database'!$E$2:$E$1960,MATCH(902,Engine!$C$2:$C$1960,0)))</f>
        <v/>
      </c>
      <c r="F915" s="8">
        <f>IF(ISNA(MATCH(902,Engine!$C$2:$C$1960,0)),"",INDEX('Compliance Database'!$F$2:$F$1960,MATCH(902,Engine!$C$2:$C$1960,0)))</f>
        <v/>
      </c>
      <c r="G915" s="8">
        <f>IF(ISNA(MATCH(902,Engine!$C$2:$C$1960,0)),"",INDEX('Compliance Database'!$G$2:$G$1960,MATCH(902,Engine!$C$2:$C$1960,0)))</f>
        <v/>
      </c>
      <c r="H915" s="9">
        <f>IF(ISNA(MATCH(902,Engine!$C$2:$C$1960,0)),"",INDEX('Compliance Database'!$H$2:$H$1960,MATCH(902,Engine!$C$2:$C$1960,0)))</f>
        <v/>
      </c>
      <c r="I915" s="9">
        <f>IF(ISNA(MATCH(902,Engine!$C$2:$C$1960,0)),"",INDEX('Compliance Database'!$I$2:$I$1960,MATCH(902,Engine!$C$2:$C$1960,0)))</f>
        <v/>
      </c>
      <c r="J915" s="8">
        <f>IF(ISNA(MATCH(902,Engine!$C$2:$C$1960,0)),"",INDEX('Compliance Database'!$J$2:$J$1960,MATCH(902,Engine!$C$2:$C$1960,0)))</f>
        <v/>
      </c>
      <c r="K915" s="9">
        <f>IF(ISNA(MATCH(902,Engine!$C$2:$C$1960,0)),"",INDEX('Compliance Database'!$K$2:$K$1960,MATCH(902,Engine!$C$2:$C$1960,0)))</f>
        <v/>
      </c>
      <c r="L915" s="9">
        <f>IF(ISNA(MATCH(902,Engine!$C$2:$C$1960,0)),"",INDEX('Compliance Database'!$L$2:$L$1960,MATCH(902,Engine!$C$2:$C$1960,0)))</f>
        <v/>
      </c>
      <c r="M915" s="9">
        <f>IF(ISNA(MATCH(902,Engine!$C$2:$C$1960,0)),"",INDEX('Compliance Database'!$M$2:$M$1960,MATCH(902,Engine!$C$2:$C$1960,0)))</f>
        <v/>
      </c>
      <c r="N915" s="9">
        <f>IF(ISNA(MATCH(902,Engine!$C$2:$C$1960,0)),"",INDEX('Compliance Database'!$N$2:$N$1960,MATCH(902,Engine!$C$2:$C$1960,0)))</f>
        <v/>
      </c>
      <c r="O915" s="9">
        <f>IF(ISNA(MATCH(902,Engine!$C$2:$C$1960,0)),"",INDEX('Compliance Database'!$O$2:$O$1960,MATCH(902,Engine!$C$2:$C$1960,0)))</f>
        <v/>
      </c>
      <c r="P915" s="8">
        <f>IF(ISNA(MATCH(902,Engine!$C$2:$C$1960,0)),"",HYPERLINK("#Acts!A"&amp;INDEX('Compliance Database'!$P$2:$P$1960,MATCH(902,Engine!$C$2:$C$1960,0)),"Go to Act"))</f>
        <v/>
      </c>
    </row>
    <row r="916" ht="158" customHeight="1">
      <c r="A916" s="8">
        <f>IF(ISNA(MATCH(903,Engine!$C$2:$C$1960,0)),"",INDEX('Compliance Database'!$A$2:$A$1960,MATCH(903,Engine!$C$2:$C$1960,0)))</f>
        <v/>
      </c>
      <c r="B916" s="8">
        <f>IF(ISNA(MATCH(903,Engine!$C$2:$C$1960,0)),"",INDEX('Compliance Database'!$B$2:$B$1960,MATCH(903,Engine!$C$2:$C$1960,0)))</f>
        <v/>
      </c>
      <c r="C916" s="8">
        <f>IF(ISNA(MATCH(903,Engine!$C$2:$C$1960,0)),"",INDEX('Compliance Database'!$C$2:$C$1960,MATCH(903,Engine!$C$2:$C$1960,0)))</f>
        <v/>
      </c>
      <c r="D916" s="9">
        <f>IF(ISNA(MATCH(903,Engine!$C$2:$C$1960,0)),"",INDEX('Compliance Database'!$D$2:$D$1960,MATCH(903,Engine!$C$2:$C$1960,0)))</f>
        <v/>
      </c>
      <c r="E916" s="8">
        <f>IF(ISNA(MATCH(903,Engine!$C$2:$C$1960,0)),"",INDEX('Compliance Database'!$E$2:$E$1960,MATCH(903,Engine!$C$2:$C$1960,0)))</f>
        <v/>
      </c>
      <c r="F916" s="8">
        <f>IF(ISNA(MATCH(903,Engine!$C$2:$C$1960,0)),"",INDEX('Compliance Database'!$F$2:$F$1960,MATCH(903,Engine!$C$2:$C$1960,0)))</f>
        <v/>
      </c>
      <c r="G916" s="8">
        <f>IF(ISNA(MATCH(903,Engine!$C$2:$C$1960,0)),"",INDEX('Compliance Database'!$G$2:$G$1960,MATCH(903,Engine!$C$2:$C$1960,0)))</f>
        <v/>
      </c>
      <c r="H916" s="9">
        <f>IF(ISNA(MATCH(903,Engine!$C$2:$C$1960,0)),"",INDEX('Compliance Database'!$H$2:$H$1960,MATCH(903,Engine!$C$2:$C$1960,0)))</f>
        <v/>
      </c>
      <c r="I916" s="9">
        <f>IF(ISNA(MATCH(903,Engine!$C$2:$C$1960,0)),"",INDEX('Compliance Database'!$I$2:$I$1960,MATCH(903,Engine!$C$2:$C$1960,0)))</f>
        <v/>
      </c>
      <c r="J916" s="8">
        <f>IF(ISNA(MATCH(903,Engine!$C$2:$C$1960,0)),"",INDEX('Compliance Database'!$J$2:$J$1960,MATCH(903,Engine!$C$2:$C$1960,0)))</f>
        <v/>
      </c>
      <c r="K916" s="9">
        <f>IF(ISNA(MATCH(903,Engine!$C$2:$C$1960,0)),"",INDEX('Compliance Database'!$K$2:$K$1960,MATCH(903,Engine!$C$2:$C$1960,0)))</f>
        <v/>
      </c>
      <c r="L916" s="9">
        <f>IF(ISNA(MATCH(903,Engine!$C$2:$C$1960,0)),"",INDEX('Compliance Database'!$L$2:$L$1960,MATCH(903,Engine!$C$2:$C$1960,0)))</f>
        <v/>
      </c>
      <c r="M916" s="9">
        <f>IF(ISNA(MATCH(903,Engine!$C$2:$C$1960,0)),"",INDEX('Compliance Database'!$M$2:$M$1960,MATCH(903,Engine!$C$2:$C$1960,0)))</f>
        <v/>
      </c>
      <c r="N916" s="9">
        <f>IF(ISNA(MATCH(903,Engine!$C$2:$C$1960,0)),"",INDEX('Compliance Database'!$N$2:$N$1960,MATCH(903,Engine!$C$2:$C$1960,0)))</f>
        <v/>
      </c>
      <c r="O916" s="9">
        <f>IF(ISNA(MATCH(903,Engine!$C$2:$C$1960,0)),"",INDEX('Compliance Database'!$O$2:$O$1960,MATCH(903,Engine!$C$2:$C$1960,0)))</f>
        <v/>
      </c>
      <c r="P916" s="8">
        <f>IF(ISNA(MATCH(903,Engine!$C$2:$C$1960,0)),"",HYPERLINK("#Acts!A"&amp;INDEX('Compliance Database'!$P$2:$P$1960,MATCH(903,Engine!$C$2:$C$1960,0)),"Go to Act"))</f>
        <v/>
      </c>
    </row>
    <row r="917" ht="158" customHeight="1">
      <c r="A917" s="8">
        <f>IF(ISNA(MATCH(904,Engine!$C$2:$C$1960,0)),"",INDEX('Compliance Database'!$A$2:$A$1960,MATCH(904,Engine!$C$2:$C$1960,0)))</f>
        <v/>
      </c>
      <c r="B917" s="8">
        <f>IF(ISNA(MATCH(904,Engine!$C$2:$C$1960,0)),"",INDEX('Compliance Database'!$B$2:$B$1960,MATCH(904,Engine!$C$2:$C$1960,0)))</f>
        <v/>
      </c>
      <c r="C917" s="8">
        <f>IF(ISNA(MATCH(904,Engine!$C$2:$C$1960,0)),"",INDEX('Compliance Database'!$C$2:$C$1960,MATCH(904,Engine!$C$2:$C$1960,0)))</f>
        <v/>
      </c>
      <c r="D917" s="9">
        <f>IF(ISNA(MATCH(904,Engine!$C$2:$C$1960,0)),"",INDEX('Compliance Database'!$D$2:$D$1960,MATCH(904,Engine!$C$2:$C$1960,0)))</f>
        <v/>
      </c>
      <c r="E917" s="8">
        <f>IF(ISNA(MATCH(904,Engine!$C$2:$C$1960,0)),"",INDEX('Compliance Database'!$E$2:$E$1960,MATCH(904,Engine!$C$2:$C$1960,0)))</f>
        <v/>
      </c>
      <c r="F917" s="8">
        <f>IF(ISNA(MATCH(904,Engine!$C$2:$C$1960,0)),"",INDEX('Compliance Database'!$F$2:$F$1960,MATCH(904,Engine!$C$2:$C$1960,0)))</f>
        <v/>
      </c>
      <c r="G917" s="8">
        <f>IF(ISNA(MATCH(904,Engine!$C$2:$C$1960,0)),"",INDEX('Compliance Database'!$G$2:$G$1960,MATCH(904,Engine!$C$2:$C$1960,0)))</f>
        <v/>
      </c>
      <c r="H917" s="9">
        <f>IF(ISNA(MATCH(904,Engine!$C$2:$C$1960,0)),"",INDEX('Compliance Database'!$H$2:$H$1960,MATCH(904,Engine!$C$2:$C$1960,0)))</f>
        <v/>
      </c>
      <c r="I917" s="9">
        <f>IF(ISNA(MATCH(904,Engine!$C$2:$C$1960,0)),"",INDEX('Compliance Database'!$I$2:$I$1960,MATCH(904,Engine!$C$2:$C$1960,0)))</f>
        <v/>
      </c>
      <c r="J917" s="8">
        <f>IF(ISNA(MATCH(904,Engine!$C$2:$C$1960,0)),"",INDEX('Compliance Database'!$J$2:$J$1960,MATCH(904,Engine!$C$2:$C$1960,0)))</f>
        <v/>
      </c>
      <c r="K917" s="9">
        <f>IF(ISNA(MATCH(904,Engine!$C$2:$C$1960,0)),"",INDEX('Compliance Database'!$K$2:$K$1960,MATCH(904,Engine!$C$2:$C$1960,0)))</f>
        <v/>
      </c>
      <c r="L917" s="9">
        <f>IF(ISNA(MATCH(904,Engine!$C$2:$C$1960,0)),"",INDEX('Compliance Database'!$L$2:$L$1960,MATCH(904,Engine!$C$2:$C$1960,0)))</f>
        <v/>
      </c>
      <c r="M917" s="9">
        <f>IF(ISNA(MATCH(904,Engine!$C$2:$C$1960,0)),"",INDEX('Compliance Database'!$M$2:$M$1960,MATCH(904,Engine!$C$2:$C$1960,0)))</f>
        <v/>
      </c>
      <c r="N917" s="9">
        <f>IF(ISNA(MATCH(904,Engine!$C$2:$C$1960,0)),"",INDEX('Compliance Database'!$N$2:$N$1960,MATCH(904,Engine!$C$2:$C$1960,0)))</f>
        <v/>
      </c>
      <c r="O917" s="9">
        <f>IF(ISNA(MATCH(904,Engine!$C$2:$C$1960,0)),"",INDEX('Compliance Database'!$O$2:$O$1960,MATCH(904,Engine!$C$2:$C$1960,0)))</f>
        <v/>
      </c>
      <c r="P917" s="8">
        <f>IF(ISNA(MATCH(904,Engine!$C$2:$C$1960,0)),"",HYPERLINK("#Acts!A"&amp;INDEX('Compliance Database'!$P$2:$P$1960,MATCH(904,Engine!$C$2:$C$1960,0)),"Go to Act"))</f>
        <v/>
      </c>
    </row>
    <row r="918" ht="158" customHeight="1">
      <c r="A918" s="8">
        <f>IF(ISNA(MATCH(905,Engine!$C$2:$C$1960,0)),"",INDEX('Compliance Database'!$A$2:$A$1960,MATCH(905,Engine!$C$2:$C$1960,0)))</f>
        <v/>
      </c>
      <c r="B918" s="8">
        <f>IF(ISNA(MATCH(905,Engine!$C$2:$C$1960,0)),"",INDEX('Compliance Database'!$B$2:$B$1960,MATCH(905,Engine!$C$2:$C$1960,0)))</f>
        <v/>
      </c>
      <c r="C918" s="8">
        <f>IF(ISNA(MATCH(905,Engine!$C$2:$C$1960,0)),"",INDEX('Compliance Database'!$C$2:$C$1960,MATCH(905,Engine!$C$2:$C$1960,0)))</f>
        <v/>
      </c>
      <c r="D918" s="9">
        <f>IF(ISNA(MATCH(905,Engine!$C$2:$C$1960,0)),"",INDEX('Compliance Database'!$D$2:$D$1960,MATCH(905,Engine!$C$2:$C$1960,0)))</f>
        <v/>
      </c>
      <c r="E918" s="8">
        <f>IF(ISNA(MATCH(905,Engine!$C$2:$C$1960,0)),"",INDEX('Compliance Database'!$E$2:$E$1960,MATCH(905,Engine!$C$2:$C$1960,0)))</f>
        <v/>
      </c>
      <c r="F918" s="8">
        <f>IF(ISNA(MATCH(905,Engine!$C$2:$C$1960,0)),"",INDEX('Compliance Database'!$F$2:$F$1960,MATCH(905,Engine!$C$2:$C$1960,0)))</f>
        <v/>
      </c>
      <c r="G918" s="8">
        <f>IF(ISNA(MATCH(905,Engine!$C$2:$C$1960,0)),"",INDEX('Compliance Database'!$G$2:$G$1960,MATCH(905,Engine!$C$2:$C$1960,0)))</f>
        <v/>
      </c>
      <c r="H918" s="9">
        <f>IF(ISNA(MATCH(905,Engine!$C$2:$C$1960,0)),"",INDEX('Compliance Database'!$H$2:$H$1960,MATCH(905,Engine!$C$2:$C$1960,0)))</f>
        <v/>
      </c>
      <c r="I918" s="9">
        <f>IF(ISNA(MATCH(905,Engine!$C$2:$C$1960,0)),"",INDEX('Compliance Database'!$I$2:$I$1960,MATCH(905,Engine!$C$2:$C$1960,0)))</f>
        <v/>
      </c>
      <c r="J918" s="8">
        <f>IF(ISNA(MATCH(905,Engine!$C$2:$C$1960,0)),"",INDEX('Compliance Database'!$J$2:$J$1960,MATCH(905,Engine!$C$2:$C$1960,0)))</f>
        <v/>
      </c>
      <c r="K918" s="9">
        <f>IF(ISNA(MATCH(905,Engine!$C$2:$C$1960,0)),"",INDEX('Compliance Database'!$K$2:$K$1960,MATCH(905,Engine!$C$2:$C$1960,0)))</f>
        <v/>
      </c>
      <c r="L918" s="9">
        <f>IF(ISNA(MATCH(905,Engine!$C$2:$C$1960,0)),"",INDEX('Compliance Database'!$L$2:$L$1960,MATCH(905,Engine!$C$2:$C$1960,0)))</f>
        <v/>
      </c>
      <c r="M918" s="9">
        <f>IF(ISNA(MATCH(905,Engine!$C$2:$C$1960,0)),"",INDEX('Compliance Database'!$M$2:$M$1960,MATCH(905,Engine!$C$2:$C$1960,0)))</f>
        <v/>
      </c>
      <c r="N918" s="9">
        <f>IF(ISNA(MATCH(905,Engine!$C$2:$C$1960,0)),"",INDEX('Compliance Database'!$N$2:$N$1960,MATCH(905,Engine!$C$2:$C$1960,0)))</f>
        <v/>
      </c>
      <c r="O918" s="9">
        <f>IF(ISNA(MATCH(905,Engine!$C$2:$C$1960,0)),"",INDEX('Compliance Database'!$O$2:$O$1960,MATCH(905,Engine!$C$2:$C$1960,0)))</f>
        <v/>
      </c>
      <c r="P918" s="8">
        <f>IF(ISNA(MATCH(905,Engine!$C$2:$C$1960,0)),"",HYPERLINK("#Acts!A"&amp;INDEX('Compliance Database'!$P$2:$P$1960,MATCH(905,Engine!$C$2:$C$1960,0)),"Go to Act"))</f>
        <v/>
      </c>
    </row>
    <row r="919" ht="158" customHeight="1">
      <c r="A919" s="8">
        <f>IF(ISNA(MATCH(906,Engine!$C$2:$C$1960,0)),"",INDEX('Compliance Database'!$A$2:$A$1960,MATCH(906,Engine!$C$2:$C$1960,0)))</f>
        <v/>
      </c>
      <c r="B919" s="8">
        <f>IF(ISNA(MATCH(906,Engine!$C$2:$C$1960,0)),"",INDEX('Compliance Database'!$B$2:$B$1960,MATCH(906,Engine!$C$2:$C$1960,0)))</f>
        <v/>
      </c>
      <c r="C919" s="8">
        <f>IF(ISNA(MATCH(906,Engine!$C$2:$C$1960,0)),"",INDEX('Compliance Database'!$C$2:$C$1960,MATCH(906,Engine!$C$2:$C$1960,0)))</f>
        <v/>
      </c>
      <c r="D919" s="9">
        <f>IF(ISNA(MATCH(906,Engine!$C$2:$C$1960,0)),"",INDEX('Compliance Database'!$D$2:$D$1960,MATCH(906,Engine!$C$2:$C$1960,0)))</f>
        <v/>
      </c>
      <c r="E919" s="8">
        <f>IF(ISNA(MATCH(906,Engine!$C$2:$C$1960,0)),"",INDEX('Compliance Database'!$E$2:$E$1960,MATCH(906,Engine!$C$2:$C$1960,0)))</f>
        <v/>
      </c>
      <c r="F919" s="8">
        <f>IF(ISNA(MATCH(906,Engine!$C$2:$C$1960,0)),"",INDEX('Compliance Database'!$F$2:$F$1960,MATCH(906,Engine!$C$2:$C$1960,0)))</f>
        <v/>
      </c>
      <c r="G919" s="8">
        <f>IF(ISNA(MATCH(906,Engine!$C$2:$C$1960,0)),"",INDEX('Compliance Database'!$G$2:$G$1960,MATCH(906,Engine!$C$2:$C$1960,0)))</f>
        <v/>
      </c>
      <c r="H919" s="9">
        <f>IF(ISNA(MATCH(906,Engine!$C$2:$C$1960,0)),"",INDEX('Compliance Database'!$H$2:$H$1960,MATCH(906,Engine!$C$2:$C$1960,0)))</f>
        <v/>
      </c>
      <c r="I919" s="9">
        <f>IF(ISNA(MATCH(906,Engine!$C$2:$C$1960,0)),"",INDEX('Compliance Database'!$I$2:$I$1960,MATCH(906,Engine!$C$2:$C$1960,0)))</f>
        <v/>
      </c>
      <c r="J919" s="8">
        <f>IF(ISNA(MATCH(906,Engine!$C$2:$C$1960,0)),"",INDEX('Compliance Database'!$J$2:$J$1960,MATCH(906,Engine!$C$2:$C$1960,0)))</f>
        <v/>
      </c>
      <c r="K919" s="9">
        <f>IF(ISNA(MATCH(906,Engine!$C$2:$C$1960,0)),"",INDEX('Compliance Database'!$K$2:$K$1960,MATCH(906,Engine!$C$2:$C$1960,0)))</f>
        <v/>
      </c>
      <c r="L919" s="9">
        <f>IF(ISNA(MATCH(906,Engine!$C$2:$C$1960,0)),"",INDEX('Compliance Database'!$L$2:$L$1960,MATCH(906,Engine!$C$2:$C$1960,0)))</f>
        <v/>
      </c>
      <c r="M919" s="9">
        <f>IF(ISNA(MATCH(906,Engine!$C$2:$C$1960,0)),"",INDEX('Compliance Database'!$M$2:$M$1960,MATCH(906,Engine!$C$2:$C$1960,0)))</f>
        <v/>
      </c>
      <c r="N919" s="9">
        <f>IF(ISNA(MATCH(906,Engine!$C$2:$C$1960,0)),"",INDEX('Compliance Database'!$N$2:$N$1960,MATCH(906,Engine!$C$2:$C$1960,0)))</f>
        <v/>
      </c>
      <c r="O919" s="9">
        <f>IF(ISNA(MATCH(906,Engine!$C$2:$C$1960,0)),"",INDEX('Compliance Database'!$O$2:$O$1960,MATCH(906,Engine!$C$2:$C$1960,0)))</f>
        <v/>
      </c>
      <c r="P919" s="8">
        <f>IF(ISNA(MATCH(906,Engine!$C$2:$C$1960,0)),"",HYPERLINK("#Acts!A"&amp;INDEX('Compliance Database'!$P$2:$P$1960,MATCH(906,Engine!$C$2:$C$1960,0)),"Go to Act"))</f>
        <v/>
      </c>
    </row>
    <row r="920" ht="158" customHeight="1">
      <c r="A920" s="8">
        <f>IF(ISNA(MATCH(907,Engine!$C$2:$C$1960,0)),"",INDEX('Compliance Database'!$A$2:$A$1960,MATCH(907,Engine!$C$2:$C$1960,0)))</f>
        <v/>
      </c>
      <c r="B920" s="8">
        <f>IF(ISNA(MATCH(907,Engine!$C$2:$C$1960,0)),"",INDEX('Compliance Database'!$B$2:$B$1960,MATCH(907,Engine!$C$2:$C$1960,0)))</f>
        <v/>
      </c>
      <c r="C920" s="8">
        <f>IF(ISNA(MATCH(907,Engine!$C$2:$C$1960,0)),"",INDEX('Compliance Database'!$C$2:$C$1960,MATCH(907,Engine!$C$2:$C$1960,0)))</f>
        <v/>
      </c>
      <c r="D920" s="9">
        <f>IF(ISNA(MATCH(907,Engine!$C$2:$C$1960,0)),"",INDEX('Compliance Database'!$D$2:$D$1960,MATCH(907,Engine!$C$2:$C$1960,0)))</f>
        <v/>
      </c>
      <c r="E920" s="8">
        <f>IF(ISNA(MATCH(907,Engine!$C$2:$C$1960,0)),"",INDEX('Compliance Database'!$E$2:$E$1960,MATCH(907,Engine!$C$2:$C$1960,0)))</f>
        <v/>
      </c>
      <c r="F920" s="8">
        <f>IF(ISNA(MATCH(907,Engine!$C$2:$C$1960,0)),"",INDEX('Compliance Database'!$F$2:$F$1960,MATCH(907,Engine!$C$2:$C$1960,0)))</f>
        <v/>
      </c>
      <c r="G920" s="8">
        <f>IF(ISNA(MATCH(907,Engine!$C$2:$C$1960,0)),"",INDEX('Compliance Database'!$G$2:$G$1960,MATCH(907,Engine!$C$2:$C$1960,0)))</f>
        <v/>
      </c>
      <c r="H920" s="9">
        <f>IF(ISNA(MATCH(907,Engine!$C$2:$C$1960,0)),"",INDEX('Compliance Database'!$H$2:$H$1960,MATCH(907,Engine!$C$2:$C$1960,0)))</f>
        <v/>
      </c>
      <c r="I920" s="9">
        <f>IF(ISNA(MATCH(907,Engine!$C$2:$C$1960,0)),"",INDEX('Compliance Database'!$I$2:$I$1960,MATCH(907,Engine!$C$2:$C$1960,0)))</f>
        <v/>
      </c>
      <c r="J920" s="8">
        <f>IF(ISNA(MATCH(907,Engine!$C$2:$C$1960,0)),"",INDEX('Compliance Database'!$J$2:$J$1960,MATCH(907,Engine!$C$2:$C$1960,0)))</f>
        <v/>
      </c>
      <c r="K920" s="9">
        <f>IF(ISNA(MATCH(907,Engine!$C$2:$C$1960,0)),"",INDEX('Compliance Database'!$K$2:$K$1960,MATCH(907,Engine!$C$2:$C$1960,0)))</f>
        <v/>
      </c>
      <c r="L920" s="9">
        <f>IF(ISNA(MATCH(907,Engine!$C$2:$C$1960,0)),"",INDEX('Compliance Database'!$L$2:$L$1960,MATCH(907,Engine!$C$2:$C$1960,0)))</f>
        <v/>
      </c>
      <c r="M920" s="9">
        <f>IF(ISNA(MATCH(907,Engine!$C$2:$C$1960,0)),"",INDEX('Compliance Database'!$M$2:$M$1960,MATCH(907,Engine!$C$2:$C$1960,0)))</f>
        <v/>
      </c>
      <c r="N920" s="9">
        <f>IF(ISNA(MATCH(907,Engine!$C$2:$C$1960,0)),"",INDEX('Compliance Database'!$N$2:$N$1960,MATCH(907,Engine!$C$2:$C$1960,0)))</f>
        <v/>
      </c>
      <c r="O920" s="9">
        <f>IF(ISNA(MATCH(907,Engine!$C$2:$C$1960,0)),"",INDEX('Compliance Database'!$O$2:$O$1960,MATCH(907,Engine!$C$2:$C$1960,0)))</f>
        <v/>
      </c>
      <c r="P920" s="8">
        <f>IF(ISNA(MATCH(907,Engine!$C$2:$C$1960,0)),"",HYPERLINK("#Acts!A"&amp;INDEX('Compliance Database'!$P$2:$P$1960,MATCH(907,Engine!$C$2:$C$1960,0)),"Go to Act"))</f>
        <v/>
      </c>
    </row>
    <row r="921" ht="158" customHeight="1">
      <c r="A921" s="8">
        <f>IF(ISNA(MATCH(908,Engine!$C$2:$C$1960,0)),"",INDEX('Compliance Database'!$A$2:$A$1960,MATCH(908,Engine!$C$2:$C$1960,0)))</f>
        <v/>
      </c>
      <c r="B921" s="8">
        <f>IF(ISNA(MATCH(908,Engine!$C$2:$C$1960,0)),"",INDEX('Compliance Database'!$B$2:$B$1960,MATCH(908,Engine!$C$2:$C$1960,0)))</f>
        <v/>
      </c>
      <c r="C921" s="8">
        <f>IF(ISNA(MATCH(908,Engine!$C$2:$C$1960,0)),"",INDEX('Compliance Database'!$C$2:$C$1960,MATCH(908,Engine!$C$2:$C$1960,0)))</f>
        <v/>
      </c>
      <c r="D921" s="9">
        <f>IF(ISNA(MATCH(908,Engine!$C$2:$C$1960,0)),"",INDEX('Compliance Database'!$D$2:$D$1960,MATCH(908,Engine!$C$2:$C$1960,0)))</f>
        <v/>
      </c>
      <c r="E921" s="8">
        <f>IF(ISNA(MATCH(908,Engine!$C$2:$C$1960,0)),"",INDEX('Compliance Database'!$E$2:$E$1960,MATCH(908,Engine!$C$2:$C$1960,0)))</f>
        <v/>
      </c>
      <c r="F921" s="8">
        <f>IF(ISNA(MATCH(908,Engine!$C$2:$C$1960,0)),"",INDEX('Compliance Database'!$F$2:$F$1960,MATCH(908,Engine!$C$2:$C$1960,0)))</f>
        <v/>
      </c>
      <c r="G921" s="8">
        <f>IF(ISNA(MATCH(908,Engine!$C$2:$C$1960,0)),"",INDEX('Compliance Database'!$G$2:$G$1960,MATCH(908,Engine!$C$2:$C$1960,0)))</f>
        <v/>
      </c>
      <c r="H921" s="9">
        <f>IF(ISNA(MATCH(908,Engine!$C$2:$C$1960,0)),"",INDEX('Compliance Database'!$H$2:$H$1960,MATCH(908,Engine!$C$2:$C$1960,0)))</f>
        <v/>
      </c>
      <c r="I921" s="9">
        <f>IF(ISNA(MATCH(908,Engine!$C$2:$C$1960,0)),"",INDEX('Compliance Database'!$I$2:$I$1960,MATCH(908,Engine!$C$2:$C$1960,0)))</f>
        <v/>
      </c>
      <c r="J921" s="8">
        <f>IF(ISNA(MATCH(908,Engine!$C$2:$C$1960,0)),"",INDEX('Compliance Database'!$J$2:$J$1960,MATCH(908,Engine!$C$2:$C$1960,0)))</f>
        <v/>
      </c>
      <c r="K921" s="9">
        <f>IF(ISNA(MATCH(908,Engine!$C$2:$C$1960,0)),"",INDEX('Compliance Database'!$K$2:$K$1960,MATCH(908,Engine!$C$2:$C$1960,0)))</f>
        <v/>
      </c>
      <c r="L921" s="9">
        <f>IF(ISNA(MATCH(908,Engine!$C$2:$C$1960,0)),"",INDEX('Compliance Database'!$L$2:$L$1960,MATCH(908,Engine!$C$2:$C$1960,0)))</f>
        <v/>
      </c>
      <c r="M921" s="9">
        <f>IF(ISNA(MATCH(908,Engine!$C$2:$C$1960,0)),"",INDEX('Compliance Database'!$M$2:$M$1960,MATCH(908,Engine!$C$2:$C$1960,0)))</f>
        <v/>
      </c>
      <c r="N921" s="9">
        <f>IF(ISNA(MATCH(908,Engine!$C$2:$C$1960,0)),"",INDEX('Compliance Database'!$N$2:$N$1960,MATCH(908,Engine!$C$2:$C$1960,0)))</f>
        <v/>
      </c>
      <c r="O921" s="9">
        <f>IF(ISNA(MATCH(908,Engine!$C$2:$C$1960,0)),"",INDEX('Compliance Database'!$O$2:$O$1960,MATCH(908,Engine!$C$2:$C$1960,0)))</f>
        <v/>
      </c>
      <c r="P921" s="8">
        <f>IF(ISNA(MATCH(908,Engine!$C$2:$C$1960,0)),"",HYPERLINK("#Acts!A"&amp;INDEX('Compliance Database'!$P$2:$P$1960,MATCH(908,Engine!$C$2:$C$1960,0)),"Go to Act"))</f>
        <v/>
      </c>
    </row>
    <row r="922" ht="158" customHeight="1">
      <c r="A922" s="8">
        <f>IF(ISNA(MATCH(909,Engine!$C$2:$C$1960,0)),"",INDEX('Compliance Database'!$A$2:$A$1960,MATCH(909,Engine!$C$2:$C$1960,0)))</f>
        <v/>
      </c>
      <c r="B922" s="8">
        <f>IF(ISNA(MATCH(909,Engine!$C$2:$C$1960,0)),"",INDEX('Compliance Database'!$B$2:$B$1960,MATCH(909,Engine!$C$2:$C$1960,0)))</f>
        <v/>
      </c>
      <c r="C922" s="8">
        <f>IF(ISNA(MATCH(909,Engine!$C$2:$C$1960,0)),"",INDEX('Compliance Database'!$C$2:$C$1960,MATCH(909,Engine!$C$2:$C$1960,0)))</f>
        <v/>
      </c>
      <c r="D922" s="9">
        <f>IF(ISNA(MATCH(909,Engine!$C$2:$C$1960,0)),"",INDEX('Compliance Database'!$D$2:$D$1960,MATCH(909,Engine!$C$2:$C$1960,0)))</f>
        <v/>
      </c>
      <c r="E922" s="8">
        <f>IF(ISNA(MATCH(909,Engine!$C$2:$C$1960,0)),"",INDEX('Compliance Database'!$E$2:$E$1960,MATCH(909,Engine!$C$2:$C$1960,0)))</f>
        <v/>
      </c>
      <c r="F922" s="8">
        <f>IF(ISNA(MATCH(909,Engine!$C$2:$C$1960,0)),"",INDEX('Compliance Database'!$F$2:$F$1960,MATCH(909,Engine!$C$2:$C$1960,0)))</f>
        <v/>
      </c>
      <c r="G922" s="8">
        <f>IF(ISNA(MATCH(909,Engine!$C$2:$C$1960,0)),"",INDEX('Compliance Database'!$G$2:$G$1960,MATCH(909,Engine!$C$2:$C$1960,0)))</f>
        <v/>
      </c>
      <c r="H922" s="9">
        <f>IF(ISNA(MATCH(909,Engine!$C$2:$C$1960,0)),"",INDEX('Compliance Database'!$H$2:$H$1960,MATCH(909,Engine!$C$2:$C$1960,0)))</f>
        <v/>
      </c>
      <c r="I922" s="9">
        <f>IF(ISNA(MATCH(909,Engine!$C$2:$C$1960,0)),"",INDEX('Compliance Database'!$I$2:$I$1960,MATCH(909,Engine!$C$2:$C$1960,0)))</f>
        <v/>
      </c>
      <c r="J922" s="8">
        <f>IF(ISNA(MATCH(909,Engine!$C$2:$C$1960,0)),"",INDEX('Compliance Database'!$J$2:$J$1960,MATCH(909,Engine!$C$2:$C$1960,0)))</f>
        <v/>
      </c>
      <c r="K922" s="9">
        <f>IF(ISNA(MATCH(909,Engine!$C$2:$C$1960,0)),"",INDEX('Compliance Database'!$K$2:$K$1960,MATCH(909,Engine!$C$2:$C$1960,0)))</f>
        <v/>
      </c>
      <c r="L922" s="9">
        <f>IF(ISNA(MATCH(909,Engine!$C$2:$C$1960,0)),"",INDEX('Compliance Database'!$L$2:$L$1960,MATCH(909,Engine!$C$2:$C$1960,0)))</f>
        <v/>
      </c>
      <c r="M922" s="9">
        <f>IF(ISNA(MATCH(909,Engine!$C$2:$C$1960,0)),"",INDEX('Compliance Database'!$M$2:$M$1960,MATCH(909,Engine!$C$2:$C$1960,0)))</f>
        <v/>
      </c>
      <c r="N922" s="9">
        <f>IF(ISNA(MATCH(909,Engine!$C$2:$C$1960,0)),"",INDEX('Compliance Database'!$N$2:$N$1960,MATCH(909,Engine!$C$2:$C$1960,0)))</f>
        <v/>
      </c>
      <c r="O922" s="9">
        <f>IF(ISNA(MATCH(909,Engine!$C$2:$C$1960,0)),"",INDEX('Compliance Database'!$O$2:$O$1960,MATCH(909,Engine!$C$2:$C$1960,0)))</f>
        <v/>
      </c>
      <c r="P922" s="8">
        <f>IF(ISNA(MATCH(909,Engine!$C$2:$C$1960,0)),"",HYPERLINK("#Acts!A"&amp;INDEX('Compliance Database'!$P$2:$P$1960,MATCH(909,Engine!$C$2:$C$1960,0)),"Go to Act"))</f>
        <v/>
      </c>
    </row>
    <row r="923" ht="158" customHeight="1">
      <c r="A923" s="8">
        <f>IF(ISNA(MATCH(910,Engine!$C$2:$C$1960,0)),"",INDEX('Compliance Database'!$A$2:$A$1960,MATCH(910,Engine!$C$2:$C$1960,0)))</f>
        <v/>
      </c>
      <c r="B923" s="8">
        <f>IF(ISNA(MATCH(910,Engine!$C$2:$C$1960,0)),"",INDEX('Compliance Database'!$B$2:$B$1960,MATCH(910,Engine!$C$2:$C$1960,0)))</f>
        <v/>
      </c>
      <c r="C923" s="8">
        <f>IF(ISNA(MATCH(910,Engine!$C$2:$C$1960,0)),"",INDEX('Compliance Database'!$C$2:$C$1960,MATCH(910,Engine!$C$2:$C$1960,0)))</f>
        <v/>
      </c>
      <c r="D923" s="9">
        <f>IF(ISNA(MATCH(910,Engine!$C$2:$C$1960,0)),"",INDEX('Compliance Database'!$D$2:$D$1960,MATCH(910,Engine!$C$2:$C$1960,0)))</f>
        <v/>
      </c>
      <c r="E923" s="8">
        <f>IF(ISNA(MATCH(910,Engine!$C$2:$C$1960,0)),"",INDEX('Compliance Database'!$E$2:$E$1960,MATCH(910,Engine!$C$2:$C$1960,0)))</f>
        <v/>
      </c>
      <c r="F923" s="8">
        <f>IF(ISNA(MATCH(910,Engine!$C$2:$C$1960,0)),"",INDEX('Compliance Database'!$F$2:$F$1960,MATCH(910,Engine!$C$2:$C$1960,0)))</f>
        <v/>
      </c>
      <c r="G923" s="8">
        <f>IF(ISNA(MATCH(910,Engine!$C$2:$C$1960,0)),"",INDEX('Compliance Database'!$G$2:$G$1960,MATCH(910,Engine!$C$2:$C$1960,0)))</f>
        <v/>
      </c>
      <c r="H923" s="9">
        <f>IF(ISNA(MATCH(910,Engine!$C$2:$C$1960,0)),"",INDEX('Compliance Database'!$H$2:$H$1960,MATCH(910,Engine!$C$2:$C$1960,0)))</f>
        <v/>
      </c>
      <c r="I923" s="9">
        <f>IF(ISNA(MATCH(910,Engine!$C$2:$C$1960,0)),"",INDEX('Compliance Database'!$I$2:$I$1960,MATCH(910,Engine!$C$2:$C$1960,0)))</f>
        <v/>
      </c>
      <c r="J923" s="8">
        <f>IF(ISNA(MATCH(910,Engine!$C$2:$C$1960,0)),"",INDEX('Compliance Database'!$J$2:$J$1960,MATCH(910,Engine!$C$2:$C$1960,0)))</f>
        <v/>
      </c>
      <c r="K923" s="9">
        <f>IF(ISNA(MATCH(910,Engine!$C$2:$C$1960,0)),"",INDEX('Compliance Database'!$K$2:$K$1960,MATCH(910,Engine!$C$2:$C$1960,0)))</f>
        <v/>
      </c>
      <c r="L923" s="9">
        <f>IF(ISNA(MATCH(910,Engine!$C$2:$C$1960,0)),"",INDEX('Compliance Database'!$L$2:$L$1960,MATCH(910,Engine!$C$2:$C$1960,0)))</f>
        <v/>
      </c>
      <c r="M923" s="9">
        <f>IF(ISNA(MATCH(910,Engine!$C$2:$C$1960,0)),"",INDEX('Compliance Database'!$M$2:$M$1960,MATCH(910,Engine!$C$2:$C$1960,0)))</f>
        <v/>
      </c>
      <c r="N923" s="9">
        <f>IF(ISNA(MATCH(910,Engine!$C$2:$C$1960,0)),"",INDEX('Compliance Database'!$N$2:$N$1960,MATCH(910,Engine!$C$2:$C$1960,0)))</f>
        <v/>
      </c>
      <c r="O923" s="9">
        <f>IF(ISNA(MATCH(910,Engine!$C$2:$C$1960,0)),"",INDEX('Compliance Database'!$O$2:$O$1960,MATCH(910,Engine!$C$2:$C$1960,0)))</f>
        <v/>
      </c>
      <c r="P923" s="8">
        <f>IF(ISNA(MATCH(910,Engine!$C$2:$C$1960,0)),"",HYPERLINK("#Acts!A"&amp;INDEX('Compliance Database'!$P$2:$P$1960,MATCH(910,Engine!$C$2:$C$1960,0)),"Go to Act"))</f>
        <v/>
      </c>
    </row>
    <row r="924" ht="158" customHeight="1">
      <c r="A924" s="8">
        <f>IF(ISNA(MATCH(911,Engine!$C$2:$C$1960,0)),"",INDEX('Compliance Database'!$A$2:$A$1960,MATCH(911,Engine!$C$2:$C$1960,0)))</f>
        <v/>
      </c>
      <c r="B924" s="8">
        <f>IF(ISNA(MATCH(911,Engine!$C$2:$C$1960,0)),"",INDEX('Compliance Database'!$B$2:$B$1960,MATCH(911,Engine!$C$2:$C$1960,0)))</f>
        <v/>
      </c>
      <c r="C924" s="8">
        <f>IF(ISNA(MATCH(911,Engine!$C$2:$C$1960,0)),"",INDEX('Compliance Database'!$C$2:$C$1960,MATCH(911,Engine!$C$2:$C$1960,0)))</f>
        <v/>
      </c>
      <c r="D924" s="9">
        <f>IF(ISNA(MATCH(911,Engine!$C$2:$C$1960,0)),"",INDEX('Compliance Database'!$D$2:$D$1960,MATCH(911,Engine!$C$2:$C$1960,0)))</f>
        <v/>
      </c>
      <c r="E924" s="8">
        <f>IF(ISNA(MATCH(911,Engine!$C$2:$C$1960,0)),"",INDEX('Compliance Database'!$E$2:$E$1960,MATCH(911,Engine!$C$2:$C$1960,0)))</f>
        <v/>
      </c>
      <c r="F924" s="8">
        <f>IF(ISNA(MATCH(911,Engine!$C$2:$C$1960,0)),"",INDEX('Compliance Database'!$F$2:$F$1960,MATCH(911,Engine!$C$2:$C$1960,0)))</f>
        <v/>
      </c>
      <c r="G924" s="8">
        <f>IF(ISNA(MATCH(911,Engine!$C$2:$C$1960,0)),"",INDEX('Compliance Database'!$G$2:$G$1960,MATCH(911,Engine!$C$2:$C$1960,0)))</f>
        <v/>
      </c>
      <c r="H924" s="9">
        <f>IF(ISNA(MATCH(911,Engine!$C$2:$C$1960,0)),"",INDEX('Compliance Database'!$H$2:$H$1960,MATCH(911,Engine!$C$2:$C$1960,0)))</f>
        <v/>
      </c>
      <c r="I924" s="9">
        <f>IF(ISNA(MATCH(911,Engine!$C$2:$C$1960,0)),"",INDEX('Compliance Database'!$I$2:$I$1960,MATCH(911,Engine!$C$2:$C$1960,0)))</f>
        <v/>
      </c>
      <c r="J924" s="8">
        <f>IF(ISNA(MATCH(911,Engine!$C$2:$C$1960,0)),"",INDEX('Compliance Database'!$J$2:$J$1960,MATCH(911,Engine!$C$2:$C$1960,0)))</f>
        <v/>
      </c>
      <c r="K924" s="9">
        <f>IF(ISNA(MATCH(911,Engine!$C$2:$C$1960,0)),"",INDEX('Compliance Database'!$K$2:$K$1960,MATCH(911,Engine!$C$2:$C$1960,0)))</f>
        <v/>
      </c>
      <c r="L924" s="9">
        <f>IF(ISNA(MATCH(911,Engine!$C$2:$C$1960,0)),"",INDEX('Compliance Database'!$L$2:$L$1960,MATCH(911,Engine!$C$2:$C$1960,0)))</f>
        <v/>
      </c>
      <c r="M924" s="9">
        <f>IF(ISNA(MATCH(911,Engine!$C$2:$C$1960,0)),"",INDEX('Compliance Database'!$M$2:$M$1960,MATCH(911,Engine!$C$2:$C$1960,0)))</f>
        <v/>
      </c>
      <c r="N924" s="9">
        <f>IF(ISNA(MATCH(911,Engine!$C$2:$C$1960,0)),"",INDEX('Compliance Database'!$N$2:$N$1960,MATCH(911,Engine!$C$2:$C$1960,0)))</f>
        <v/>
      </c>
      <c r="O924" s="9">
        <f>IF(ISNA(MATCH(911,Engine!$C$2:$C$1960,0)),"",INDEX('Compliance Database'!$O$2:$O$1960,MATCH(911,Engine!$C$2:$C$1960,0)))</f>
        <v/>
      </c>
      <c r="P924" s="8">
        <f>IF(ISNA(MATCH(911,Engine!$C$2:$C$1960,0)),"",HYPERLINK("#Acts!A"&amp;INDEX('Compliance Database'!$P$2:$P$1960,MATCH(911,Engine!$C$2:$C$1960,0)),"Go to Act"))</f>
        <v/>
      </c>
    </row>
    <row r="925" ht="158" customHeight="1">
      <c r="A925" s="8">
        <f>IF(ISNA(MATCH(912,Engine!$C$2:$C$1960,0)),"",INDEX('Compliance Database'!$A$2:$A$1960,MATCH(912,Engine!$C$2:$C$1960,0)))</f>
        <v/>
      </c>
      <c r="B925" s="8">
        <f>IF(ISNA(MATCH(912,Engine!$C$2:$C$1960,0)),"",INDEX('Compliance Database'!$B$2:$B$1960,MATCH(912,Engine!$C$2:$C$1960,0)))</f>
        <v/>
      </c>
      <c r="C925" s="8">
        <f>IF(ISNA(MATCH(912,Engine!$C$2:$C$1960,0)),"",INDEX('Compliance Database'!$C$2:$C$1960,MATCH(912,Engine!$C$2:$C$1960,0)))</f>
        <v/>
      </c>
      <c r="D925" s="9">
        <f>IF(ISNA(MATCH(912,Engine!$C$2:$C$1960,0)),"",INDEX('Compliance Database'!$D$2:$D$1960,MATCH(912,Engine!$C$2:$C$1960,0)))</f>
        <v/>
      </c>
      <c r="E925" s="8">
        <f>IF(ISNA(MATCH(912,Engine!$C$2:$C$1960,0)),"",INDEX('Compliance Database'!$E$2:$E$1960,MATCH(912,Engine!$C$2:$C$1960,0)))</f>
        <v/>
      </c>
      <c r="F925" s="8">
        <f>IF(ISNA(MATCH(912,Engine!$C$2:$C$1960,0)),"",INDEX('Compliance Database'!$F$2:$F$1960,MATCH(912,Engine!$C$2:$C$1960,0)))</f>
        <v/>
      </c>
      <c r="G925" s="8">
        <f>IF(ISNA(MATCH(912,Engine!$C$2:$C$1960,0)),"",INDEX('Compliance Database'!$G$2:$G$1960,MATCH(912,Engine!$C$2:$C$1960,0)))</f>
        <v/>
      </c>
      <c r="H925" s="9">
        <f>IF(ISNA(MATCH(912,Engine!$C$2:$C$1960,0)),"",INDEX('Compliance Database'!$H$2:$H$1960,MATCH(912,Engine!$C$2:$C$1960,0)))</f>
        <v/>
      </c>
      <c r="I925" s="9">
        <f>IF(ISNA(MATCH(912,Engine!$C$2:$C$1960,0)),"",INDEX('Compliance Database'!$I$2:$I$1960,MATCH(912,Engine!$C$2:$C$1960,0)))</f>
        <v/>
      </c>
      <c r="J925" s="8">
        <f>IF(ISNA(MATCH(912,Engine!$C$2:$C$1960,0)),"",INDEX('Compliance Database'!$J$2:$J$1960,MATCH(912,Engine!$C$2:$C$1960,0)))</f>
        <v/>
      </c>
      <c r="K925" s="9">
        <f>IF(ISNA(MATCH(912,Engine!$C$2:$C$1960,0)),"",INDEX('Compliance Database'!$K$2:$K$1960,MATCH(912,Engine!$C$2:$C$1960,0)))</f>
        <v/>
      </c>
      <c r="L925" s="9">
        <f>IF(ISNA(MATCH(912,Engine!$C$2:$C$1960,0)),"",INDEX('Compliance Database'!$L$2:$L$1960,MATCH(912,Engine!$C$2:$C$1960,0)))</f>
        <v/>
      </c>
      <c r="M925" s="9">
        <f>IF(ISNA(MATCH(912,Engine!$C$2:$C$1960,0)),"",INDEX('Compliance Database'!$M$2:$M$1960,MATCH(912,Engine!$C$2:$C$1960,0)))</f>
        <v/>
      </c>
      <c r="N925" s="9">
        <f>IF(ISNA(MATCH(912,Engine!$C$2:$C$1960,0)),"",INDEX('Compliance Database'!$N$2:$N$1960,MATCH(912,Engine!$C$2:$C$1960,0)))</f>
        <v/>
      </c>
      <c r="O925" s="9">
        <f>IF(ISNA(MATCH(912,Engine!$C$2:$C$1960,0)),"",INDEX('Compliance Database'!$O$2:$O$1960,MATCH(912,Engine!$C$2:$C$1960,0)))</f>
        <v/>
      </c>
      <c r="P925" s="8">
        <f>IF(ISNA(MATCH(912,Engine!$C$2:$C$1960,0)),"",HYPERLINK("#Acts!A"&amp;INDEX('Compliance Database'!$P$2:$P$1960,MATCH(912,Engine!$C$2:$C$1960,0)),"Go to Act"))</f>
        <v/>
      </c>
    </row>
    <row r="926" ht="158" customHeight="1">
      <c r="A926" s="8">
        <f>IF(ISNA(MATCH(913,Engine!$C$2:$C$1960,0)),"",INDEX('Compliance Database'!$A$2:$A$1960,MATCH(913,Engine!$C$2:$C$1960,0)))</f>
        <v/>
      </c>
      <c r="B926" s="8">
        <f>IF(ISNA(MATCH(913,Engine!$C$2:$C$1960,0)),"",INDEX('Compliance Database'!$B$2:$B$1960,MATCH(913,Engine!$C$2:$C$1960,0)))</f>
        <v/>
      </c>
      <c r="C926" s="8">
        <f>IF(ISNA(MATCH(913,Engine!$C$2:$C$1960,0)),"",INDEX('Compliance Database'!$C$2:$C$1960,MATCH(913,Engine!$C$2:$C$1960,0)))</f>
        <v/>
      </c>
      <c r="D926" s="9">
        <f>IF(ISNA(MATCH(913,Engine!$C$2:$C$1960,0)),"",INDEX('Compliance Database'!$D$2:$D$1960,MATCH(913,Engine!$C$2:$C$1960,0)))</f>
        <v/>
      </c>
      <c r="E926" s="8">
        <f>IF(ISNA(MATCH(913,Engine!$C$2:$C$1960,0)),"",INDEX('Compliance Database'!$E$2:$E$1960,MATCH(913,Engine!$C$2:$C$1960,0)))</f>
        <v/>
      </c>
      <c r="F926" s="8">
        <f>IF(ISNA(MATCH(913,Engine!$C$2:$C$1960,0)),"",INDEX('Compliance Database'!$F$2:$F$1960,MATCH(913,Engine!$C$2:$C$1960,0)))</f>
        <v/>
      </c>
      <c r="G926" s="8">
        <f>IF(ISNA(MATCH(913,Engine!$C$2:$C$1960,0)),"",INDEX('Compliance Database'!$G$2:$G$1960,MATCH(913,Engine!$C$2:$C$1960,0)))</f>
        <v/>
      </c>
      <c r="H926" s="9">
        <f>IF(ISNA(MATCH(913,Engine!$C$2:$C$1960,0)),"",INDEX('Compliance Database'!$H$2:$H$1960,MATCH(913,Engine!$C$2:$C$1960,0)))</f>
        <v/>
      </c>
      <c r="I926" s="9">
        <f>IF(ISNA(MATCH(913,Engine!$C$2:$C$1960,0)),"",INDEX('Compliance Database'!$I$2:$I$1960,MATCH(913,Engine!$C$2:$C$1960,0)))</f>
        <v/>
      </c>
      <c r="J926" s="8">
        <f>IF(ISNA(MATCH(913,Engine!$C$2:$C$1960,0)),"",INDEX('Compliance Database'!$J$2:$J$1960,MATCH(913,Engine!$C$2:$C$1960,0)))</f>
        <v/>
      </c>
      <c r="K926" s="9">
        <f>IF(ISNA(MATCH(913,Engine!$C$2:$C$1960,0)),"",INDEX('Compliance Database'!$K$2:$K$1960,MATCH(913,Engine!$C$2:$C$1960,0)))</f>
        <v/>
      </c>
      <c r="L926" s="9">
        <f>IF(ISNA(MATCH(913,Engine!$C$2:$C$1960,0)),"",INDEX('Compliance Database'!$L$2:$L$1960,MATCH(913,Engine!$C$2:$C$1960,0)))</f>
        <v/>
      </c>
      <c r="M926" s="9">
        <f>IF(ISNA(MATCH(913,Engine!$C$2:$C$1960,0)),"",INDEX('Compliance Database'!$M$2:$M$1960,MATCH(913,Engine!$C$2:$C$1960,0)))</f>
        <v/>
      </c>
      <c r="N926" s="9">
        <f>IF(ISNA(MATCH(913,Engine!$C$2:$C$1960,0)),"",INDEX('Compliance Database'!$N$2:$N$1960,MATCH(913,Engine!$C$2:$C$1960,0)))</f>
        <v/>
      </c>
      <c r="O926" s="9">
        <f>IF(ISNA(MATCH(913,Engine!$C$2:$C$1960,0)),"",INDEX('Compliance Database'!$O$2:$O$1960,MATCH(913,Engine!$C$2:$C$1960,0)))</f>
        <v/>
      </c>
      <c r="P926" s="8">
        <f>IF(ISNA(MATCH(913,Engine!$C$2:$C$1960,0)),"",HYPERLINK("#Acts!A"&amp;INDEX('Compliance Database'!$P$2:$P$1960,MATCH(913,Engine!$C$2:$C$1960,0)),"Go to Act"))</f>
        <v/>
      </c>
    </row>
    <row r="927" ht="158" customHeight="1">
      <c r="A927" s="8">
        <f>IF(ISNA(MATCH(914,Engine!$C$2:$C$1960,0)),"",INDEX('Compliance Database'!$A$2:$A$1960,MATCH(914,Engine!$C$2:$C$1960,0)))</f>
        <v/>
      </c>
      <c r="B927" s="8">
        <f>IF(ISNA(MATCH(914,Engine!$C$2:$C$1960,0)),"",INDEX('Compliance Database'!$B$2:$B$1960,MATCH(914,Engine!$C$2:$C$1960,0)))</f>
        <v/>
      </c>
      <c r="C927" s="8">
        <f>IF(ISNA(MATCH(914,Engine!$C$2:$C$1960,0)),"",INDEX('Compliance Database'!$C$2:$C$1960,MATCH(914,Engine!$C$2:$C$1960,0)))</f>
        <v/>
      </c>
      <c r="D927" s="9">
        <f>IF(ISNA(MATCH(914,Engine!$C$2:$C$1960,0)),"",INDEX('Compliance Database'!$D$2:$D$1960,MATCH(914,Engine!$C$2:$C$1960,0)))</f>
        <v/>
      </c>
      <c r="E927" s="8">
        <f>IF(ISNA(MATCH(914,Engine!$C$2:$C$1960,0)),"",INDEX('Compliance Database'!$E$2:$E$1960,MATCH(914,Engine!$C$2:$C$1960,0)))</f>
        <v/>
      </c>
      <c r="F927" s="8">
        <f>IF(ISNA(MATCH(914,Engine!$C$2:$C$1960,0)),"",INDEX('Compliance Database'!$F$2:$F$1960,MATCH(914,Engine!$C$2:$C$1960,0)))</f>
        <v/>
      </c>
      <c r="G927" s="8">
        <f>IF(ISNA(MATCH(914,Engine!$C$2:$C$1960,0)),"",INDEX('Compliance Database'!$G$2:$G$1960,MATCH(914,Engine!$C$2:$C$1960,0)))</f>
        <v/>
      </c>
      <c r="H927" s="9">
        <f>IF(ISNA(MATCH(914,Engine!$C$2:$C$1960,0)),"",INDEX('Compliance Database'!$H$2:$H$1960,MATCH(914,Engine!$C$2:$C$1960,0)))</f>
        <v/>
      </c>
      <c r="I927" s="9">
        <f>IF(ISNA(MATCH(914,Engine!$C$2:$C$1960,0)),"",INDEX('Compliance Database'!$I$2:$I$1960,MATCH(914,Engine!$C$2:$C$1960,0)))</f>
        <v/>
      </c>
      <c r="J927" s="8">
        <f>IF(ISNA(MATCH(914,Engine!$C$2:$C$1960,0)),"",INDEX('Compliance Database'!$J$2:$J$1960,MATCH(914,Engine!$C$2:$C$1960,0)))</f>
        <v/>
      </c>
      <c r="K927" s="9">
        <f>IF(ISNA(MATCH(914,Engine!$C$2:$C$1960,0)),"",INDEX('Compliance Database'!$K$2:$K$1960,MATCH(914,Engine!$C$2:$C$1960,0)))</f>
        <v/>
      </c>
      <c r="L927" s="9">
        <f>IF(ISNA(MATCH(914,Engine!$C$2:$C$1960,0)),"",INDEX('Compliance Database'!$L$2:$L$1960,MATCH(914,Engine!$C$2:$C$1960,0)))</f>
        <v/>
      </c>
      <c r="M927" s="9">
        <f>IF(ISNA(MATCH(914,Engine!$C$2:$C$1960,0)),"",INDEX('Compliance Database'!$M$2:$M$1960,MATCH(914,Engine!$C$2:$C$1960,0)))</f>
        <v/>
      </c>
      <c r="N927" s="9">
        <f>IF(ISNA(MATCH(914,Engine!$C$2:$C$1960,0)),"",INDEX('Compliance Database'!$N$2:$N$1960,MATCH(914,Engine!$C$2:$C$1960,0)))</f>
        <v/>
      </c>
      <c r="O927" s="9">
        <f>IF(ISNA(MATCH(914,Engine!$C$2:$C$1960,0)),"",INDEX('Compliance Database'!$O$2:$O$1960,MATCH(914,Engine!$C$2:$C$1960,0)))</f>
        <v/>
      </c>
      <c r="P927" s="8">
        <f>IF(ISNA(MATCH(914,Engine!$C$2:$C$1960,0)),"",HYPERLINK("#Acts!A"&amp;INDEX('Compliance Database'!$P$2:$P$1960,MATCH(914,Engine!$C$2:$C$1960,0)),"Go to Act"))</f>
        <v/>
      </c>
    </row>
    <row r="928" ht="158" customHeight="1">
      <c r="A928" s="8">
        <f>IF(ISNA(MATCH(915,Engine!$C$2:$C$1960,0)),"",INDEX('Compliance Database'!$A$2:$A$1960,MATCH(915,Engine!$C$2:$C$1960,0)))</f>
        <v/>
      </c>
      <c r="B928" s="8">
        <f>IF(ISNA(MATCH(915,Engine!$C$2:$C$1960,0)),"",INDEX('Compliance Database'!$B$2:$B$1960,MATCH(915,Engine!$C$2:$C$1960,0)))</f>
        <v/>
      </c>
      <c r="C928" s="8">
        <f>IF(ISNA(MATCH(915,Engine!$C$2:$C$1960,0)),"",INDEX('Compliance Database'!$C$2:$C$1960,MATCH(915,Engine!$C$2:$C$1960,0)))</f>
        <v/>
      </c>
      <c r="D928" s="9">
        <f>IF(ISNA(MATCH(915,Engine!$C$2:$C$1960,0)),"",INDEX('Compliance Database'!$D$2:$D$1960,MATCH(915,Engine!$C$2:$C$1960,0)))</f>
        <v/>
      </c>
      <c r="E928" s="8">
        <f>IF(ISNA(MATCH(915,Engine!$C$2:$C$1960,0)),"",INDEX('Compliance Database'!$E$2:$E$1960,MATCH(915,Engine!$C$2:$C$1960,0)))</f>
        <v/>
      </c>
      <c r="F928" s="8">
        <f>IF(ISNA(MATCH(915,Engine!$C$2:$C$1960,0)),"",INDEX('Compliance Database'!$F$2:$F$1960,MATCH(915,Engine!$C$2:$C$1960,0)))</f>
        <v/>
      </c>
      <c r="G928" s="8">
        <f>IF(ISNA(MATCH(915,Engine!$C$2:$C$1960,0)),"",INDEX('Compliance Database'!$G$2:$G$1960,MATCH(915,Engine!$C$2:$C$1960,0)))</f>
        <v/>
      </c>
      <c r="H928" s="9">
        <f>IF(ISNA(MATCH(915,Engine!$C$2:$C$1960,0)),"",INDEX('Compliance Database'!$H$2:$H$1960,MATCH(915,Engine!$C$2:$C$1960,0)))</f>
        <v/>
      </c>
      <c r="I928" s="9">
        <f>IF(ISNA(MATCH(915,Engine!$C$2:$C$1960,0)),"",INDEX('Compliance Database'!$I$2:$I$1960,MATCH(915,Engine!$C$2:$C$1960,0)))</f>
        <v/>
      </c>
      <c r="J928" s="8">
        <f>IF(ISNA(MATCH(915,Engine!$C$2:$C$1960,0)),"",INDEX('Compliance Database'!$J$2:$J$1960,MATCH(915,Engine!$C$2:$C$1960,0)))</f>
        <v/>
      </c>
      <c r="K928" s="9">
        <f>IF(ISNA(MATCH(915,Engine!$C$2:$C$1960,0)),"",INDEX('Compliance Database'!$K$2:$K$1960,MATCH(915,Engine!$C$2:$C$1960,0)))</f>
        <v/>
      </c>
      <c r="L928" s="9">
        <f>IF(ISNA(MATCH(915,Engine!$C$2:$C$1960,0)),"",INDEX('Compliance Database'!$L$2:$L$1960,MATCH(915,Engine!$C$2:$C$1960,0)))</f>
        <v/>
      </c>
      <c r="M928" s="9">
        <f>IF(ISNA(MATCH(915,Engine!$C$2:$C$1960,0)),"",INDEX('Compliance Database'!$M$2:$M$1960,MATCH(915,Engine!$C$2:$C$1960,0)))</f>
        <v/>
      </c>
      <c r="N928" s="9">
        <f>IF(ISNA(MATCH(915,Engine!$C$2:$C$1960,0)),"",INDEX('Compliance Database'!$N$2:$N$1960,MATCH(915,Engine!$C$2:$C$1960,0)))</f>
        <v/>
      </c>
      <c r="O928" s="9">
        <f>IF(ISNA(MATCH(915,Engine!$C$2:$C$1960,0)),"",INDEX('Compliance Database'!$O$2:$O$1960,MATCH(915,Engine!$C$2:$C$1960,0)))</f>
        <v/>
      </c>
      <c r="P928" s="8">
        <f>IF(ISNA(MATCH(915,Engine!$C$2:$C$1960,0)),"",HYPERLINK("#Acts!A"&amp;INDEX('Compliance Database'!$P$2:$P$1960,MATCH(915,Engine!$C$2:$C$1960,0)),"Go to Act"))</f>
        <v/>
      </c>
    </row>
    <row r="929" ht="158" customHeight="1">
      <c r="A929" s="8">
        <f>IF(ISNA(MATCH(916,Engine!$C$2:$C$1960,0)),"",INDEX('Compliance Database'!$A$2:$A$1960,MATCH(916,Engine!$C$2:$C$1960,0)))</f>
        <v/>
      </c>
      <c r="B929" s="8">
        <f>IF(ISNA(MATCH(916,Engine!$C$2:$C$1960,0)),"",INDEX('Compliance Database'!$B$2:$B$1960,MATCH(916,Engine!$C$2:$C$1960,0)))</f>
        <v/>
      </c>
      <c r="C929" s="8">
        <f>IF(ISNA(MATCH(916,Engine!$C$2:$C$1960,0)),"",INDEX('Compliance Database'!$C$2:$C$1960,MATCH(916,Engine!$C$2:$C$1960,0)))</f>
        <v/>
      </c>
      <c r="D929" s="9">
        <f>IF(ISNA(MATCH(916,Engine!$C$2:$C$1960,0)),"",INDEX('Compliance Database'!$D$2:$D$1960,MATCH(916,Engine!$C$2:$C$1960,0)))</f>
        <v/>
      </c>
      <c r="E929" s="8">
        <f>IF(ISNA(MATCH(916,Engine!$C$2:$C$1960,0)),"",INDEX('Compliance Database'!$E$2:$E$1960,MATCH(916,Engine!$C$2:$C$1960,0)))</f>
        <v/>
      </c>
      <c r="F929" s="8">
        <f>IF(ISNA(MATCH(916,Engine!$C$2:$C$1960,0)),"",INDEX('Compliance Database'!$F$2:$F$1960,MATCH(916,Engine!$C$2:$C$1960,0)))</f>
        <v/>
      </c>
      <c r="G929" s="8">
        <f>IF(ISNA(MATCH(916,Engine!$C$2:$C$1960,0)),"",INDEX('Compliance Database'!$G$2:$G$1960,MATCH(916,Engine!$C$2:$C$1960,0)))</f>
        <v/>
      </c>
      <c r="H929" s="9">
        <f>IF(ISNA(MATCH(916,Engine!$C$2:$C$1960,0)),"",INDEX('Compliance Database'!$H$2:$H$1960,MATCH(916,Engine!$C$2:$C$1960,0)))</f>
        <v/>
      </c>
      <c r="I929" s="9">
        <f>IF(ISNA(MATCH(916,Engine!$C$2:$C$1960,0)),"",INDEX('Compliance Database'!$I$2:$I$1960,MATCH(916,Engine!$C$2:$C$1960,0)))</f>
        <v/>
      </c>
      <c r="J929" s="8">
        <f>IF(ISNA(MATCH(916,Engine!$C$2:$C$1960,0)),"",INDEX('Compliance Database'!$J$2:$J$1960,MATCH(916,Engine!$C$2:$C$1960,0)))</f>
        <v/>
      </c>
      <c r="K929" s="9">
        <f>IF(ISNA(MATCH(916,Engine!$C$2:$C$1960,0)),"",INDEX('Compliance Database'!$K$2:$K$1960,MATCH(916,Engine!$C$2:$C$1960,0)))</f>
        <v/>
      </c>
      <c r="L929" s="9">
        <f>IF(ISNA(MATCH(916,Engine!$C$2:$C$1960,0)),"",INDEX('Compliance Database'!$L$2:$L$1960,MATCH(916,Engine!$C$2:$C$1960,0)))</f>
        <v/>
      </c>
      <c r="M929" s="9">
        <f>IF(ISNA(MATCH(916,Engine!$C$2:$C$1960,0)),"",INDEX('Compliance Database'!$M$2:$M$1960,MATCH(916,Engine!$C$2:$C$1960,0)))</f>
        <v/>
      </c>
      <c r="N929" s="9">
        <f>IF(ISNA(MATCH(916,Engine!$C$2:$C$1960,0)),"",INDEX('Compliance Database'!$N$2:$N$1960,MATCH(916,Engine!$C$2:$C$1960,0)))</f>
        <v/>
      </c>
      <c r="O929" s="9">
        <f>IF(ISNA(MATCH(916,Engine!$C$2:$C$1960,0)),"",INDEX('Compliance Database'!$O$2:$O$1960,MATCH(916,Engine!$C$2:$C$1960,0)))</f>
        <v/>
      </c>
      <c r="P929" s="8">
        <f>IF(ISNA(MATCH(916,Engine!$C$2:$C$1960,0)),"",HYPERLINK("#Acts!A"&amp;INDEX('Compliance Database'!$P$2:$P$1960,MATCH(916,Engine!$C$2:$C$1960,0)),"Go to Act"))</f>
        <v/>
      </c>
    </row>
    <row r="930" ht="158" customHeight="1">
      <c r="A930" s="8">
        <f>IF(ISNA(MATCH(917,Engine!$C$2:$C$1960,0)),"",INDEX('Compliance Database'!$A$2:$A$1960,MATCH(917,Engine!$C$2:$C$1960,0)))</f>
        <v/>
      </c>
      <c r="B930" s="8">
        <f>IF(ISNA(MATCH(917,Engine!$C$2:$C$1960,0)),"",INDEX('Compliance Database'!$B$2:$B$1960,MATCH(917,Engine!$C$2:$C$1960,0)))</f>
        <v/>
      </c>
      <c r="C930" s="8">
        <f>IF(ISNA(MATCH(917,Engine!$C$2:$C$1960,0)),"",INDEX('Compliance Database'!$C$2:$C$1960,MATCH(917,Engine!$C$2:$C$1960,0)))</f>
        <v/>
      </c>
      <c r="D930" s="9">
        <f>IF(ISNA(MATCH(917,Engine!$C$2:$C$1960,0)),"",INDEX('Compliance Database'!$D$2:$D$1960,MATCH(917,Engine!$C$2:$C$1960,0)))</f>
        <v/>
      </c>
      <c r="E930" s="8">
        <f>IF(ISNA(MATCH(917,Engine!$C$2:$C$1960,0)),"",INDEX('Compliance Database'!$E$2:$E$1960,MATCH(917,Engine!$C$2:$C$1960,0)))</f>
        <v/>
      </c>
      <c r="F930" s="8">
        <f>IF(ISNA(MATCH(917,Engine!$C$2:$C$1960,0)),"",INDEX('Compliance Database'!$F$2:$F$1960,MATCH(917,Engine!$C$2:$C$1960,0)))</f>
        <v/>
      </c>
      <c r="G930" s="8">
        <f>IF(ISNA(MATCH(917,Engine!$C$2:$C$1960,0)),"",INDEX('Compliance Database'!$G$2:$G$1960,MATCH(917,Engine!$C$2:$C$1960,0)))</f>
        <v/>
      </c>
      <c r="H930" s="9">
        <f>IF(ISNA(MATCH(917,Engine!$C$2:$C$1960,0)),"",INDEX('Compliance Database'!$H$2:$H$1960,MATCH(917,Engine!$C$2:$C$1960,0)))</f>
        <v/>
      </c>
      <c r="I930" s="9">
        <f>IF(ISNA(MATCH(917,Engine!$C$2:$C$1960,0)),"",INDEX('Compliance Database'!$I$2:$I$1960,MATCH(917,Engine!$C$2:$C$1960,0)))</f>
        <v/>
      </c>
      <c r="J930" s="8">
        <f>IF(ISNA(MATCH(917,Engine!$C$2:$C$1960,0)),"",INDEX('Compliance Database'!$J$2:$J$1960,MATCH(917,Engine!$C$2:$C$1960,0)))</f>
        <v/>
      </c>
      <c r="K930" s="9">
        <f>IF(ISNA(MATCH(917,Engine!$C$2:$C$1960,0)),"",INDEX('Compliance Database'!$K$2:$K$1960,MATCH(917,Engine!$C$2:$C$1960,0)))</f>
        <v/>
      </c>
      <c r="L930" s="9">
        <f>IF(ISNA(MATCH(917,Engine!$C$2:$C$1960,0)),"",INDEX('Compliance Database'!$L$2:$L$1960,MATCH(917,Engine!$C$2:$C$1960,0)))</f>
        <v/>
      </c>
      <c r="M930" s="9">
        <f>IF(ISNA(MATCH(917,Engine!$C$2:$C$1960,0)),"",INDEX('Compliance Database'!$M$2:$M$1960,MATCH(917,Engine!$C$2:$C$1960,0)))</f>
        <v/>
      </c>
      <c r="N930" s="9">
        <f>IF(ISNA(MATCH(917,Engine!$C$2:$C$1960,0)),"",INDEX('Compliance Database'!$N$2:$N$1960,MATCH(917,Engine!$C$2:$C$1960,0)))</f>
        <v/>
      </c>
      <c r="O930" s="9">
        <f>IF(ISNA(MATCH(917,Engine!$C$2:$C$1960,0)),"",INDEX('Compliance Database'!$O$2:$O$1960,MATCH(917,Engine!$C$2:$C$1960,0)))</f>
        <v/>
      </c>
      <c r="P930" s="8">
        <f>IF(ISNA(MATCH(917,Engine!$C$2:$C$1960,0)),"",HYPERLINK("#Acts!A"&amp;INDEX('Compliance Database'!$P$2:$P$1960,MATCH(917,Engine!$C$2:$C$1960,0)),"Go to Act"))</f>
        <v/>
      </c>
    </row>
    <row r="931" ht="158" customHeight="1">
      <c r="A931" s="8">
        <f>IF(ISNA(MATCH(918,Engine!$C$2:$C$1960,0)),"",INDEX('Compliance Database'!$A$2:$A$1960,MATCH(918,Engine!$C$2:$C$1960,0)))</f>
        <v/>
      </c>
      <c r="B931" s="8">
        <f>IF(ISNA(MATCH(918,Engine!$C$2:$C$1960,0)),"",INDEX('Compliance Database'!$B$2:$B$1960,MATCH(918,Engine!$C$2:$C$1960,0)))</f>
        <v/>
      </c>
      <c r="C931" s="8">
        <f>IF(ISNA(MATCH(918,Engine!$C$2:$C$1960,0)),"",INDEX('Compliance Database'!$C$2:$C$1960,MATCH(918,Engine!$C$2:$C$1960,0)))</f>
        <v/>
      </c>
      <c r="D931" s="9">
        <f>IF(ISNA(MATCH(918,Engine!$C$2:$C$1960,0)),"",INDEX('Compliance Database'!$D$2:$D$1960,MATCH(918,Engine!$C$2:$C$1960,0)))</f>
        <v/>
      </c>
      <c r="E931" s="8">
        <f>IF(ISNA(MATCH(918,Engine!$C$2:$C$1960,0)),"",INDEX('Compliance Database'!$E$2:$E$1960,MATCH(918,Engine!$C$2:$C$1960,0)))</f>
        <v/>
      </c>
      <c r="F931" s="8">
        <f>IF(ISNA(MATCH(918,Engine!$C$2:$C$1960,0)),"",INDEX('Compliance Database'!$F$2:$F$1960,MATCH(918,Engine!$C$2:$C$1960,0)))</f>
        <v/>
      </c>
      <c r="G931" s="8">
        <f>IF(ISNA(MATCH(918,Engine!$C$2:$C$1960,0)),"",INDEX('Compliance Database'!$G$2:$G$1960,MATCH(918,Engine!$C$2:$C$1960,0)))</f>
        <v/>
      </c>
      <c r="H931" s="9">
        <f>IF(ISNA(MATCH(918,Engine!$C$2:$C$1960,0)),"",INDEX('Compliance Database'!$H$2:$H$1960,MATCH(918,Engine!$C$2:$C$1960,0)))</f>
        <v/>
      </c>
      <c r="I931" s="9">
        <f>IF(ISNA(MATCH(918,Engine!$C$2:$C$1960,0)),"",INDEX('Compliance Database'!$I$2:$I$1960,MATCH(918,Engine!$C$2:$C$1960,0)))</f>
        <v/>
      </c>
      <c r="J931" s="8">
        <f>IF(ISNA(MATCH(918,Engine!$C$2:$C$1960,0)),"",INDEX('Compliance Database'!$J$2:$J$1960,MATCH(918,Engine!$C$2:$C$1960,0)))</f>
        <v/>
      </c>
      <c r="K931" s="9">
        <f>IF(ISNA(MATCH(918,Engine!$C$2:$C$1960,0)),"",INDEX('Compliance Database'!$K$2:$K$1960,MATCH(918,Engine!$C$2:$C$1960,0)))</f>
        <v/>
      </c>
      <c r="L931" s="9">
        <f>IF(ISNA(MATCH(918,Engine!$C$2:$C$1960,0)),"",INDEX('Compliance Database'!$L$2:$L$1960,MATCH(918,Engine!$C$2:$C$1960,0)))</f>
        <v/>
      </c>
      <c r="M931" s="9">
        <f>IF(ISNA(MATCH(918,Engine!$C$2:$C$1960,0)),"",INDEX('Compliance Database'!$M$2:$M$1960,MATCH(918,Engine!$C$2:$C$1960,0)))</f>
        <v/>
      </c>
      <c r="N931" s="9">
        <f>IF(ISNA(MATCH(918,Engine!$C$2:$C$1960,0)),"",INDEX('Compliance Database'!$N$2:$N$1960,MATCH(918,Engine!$C$2:$C$1960,0)))</f>
        <v/>
      </c>
      <c r="O931" s="9">
        <f>IF(ISNA(MATCH(918,Engine!$C$2:$C$1960,0)),"",INDEX('Compliance Database'!$O$2:$O$1960,MATCH(918,Engine!$C$2:$C$1960,0)))</f>
        <v/>
      </c>
      <c r="P931" s="8">
        <f>IF(ISNA(MATCH(918,Engine!$C$2:$C$1960,0)),"",HYPERLINK("#Acts!A"&amp;INDEX('Compliance Database'!$P$2:$P$1960,MATCH(918,Engine!$C$2:$C$1960,0)),"Go to Act"))</f>
        <v/>
      </c>
    </row>
    <row r="932" ht="158" customHeight="1">
      <c r="A932" s="8">
        <f>IF(ISNA(MATCH(919,Engine!$C$2:$C$1960,0)),"",INDEX('Compliance Database'!$A$2:$A$1960,MATCH(919,Engine!$C$2:$C$1960,0)))</f>
        <v/>
      </c>
      <c r="B932" s="8">
        <f>IF(ISNA(MATCH(919,Engine!$C$2:$C$1960,0)),"",INDEX('Compliance Database'!$B$2:$B$1960,MATCH(919,Engine!$C$2:$C$1960,0)))</f>
        <v/>
      </c>
      <c r="C932" s="8">
        <f>IF(ISNA(MATCH(919,Engine!$C$2:$C$1960,0)),"",INDEX('Compliance Database'!$C$2:$C$1960,MATCH(919,Engine!$C$2:$C$1960,0)))</f>
        <v/>
      </c>
      <c r="D932" s="9">
        <f>IF(ISNA(MATCH(919,Engine!$C$2:$C$1960,0)),"",INDEX('Compliance Database'!$D$2:$D$1960,MATCH(919,Engine!$C$2:$C$1960,0)))</f>
        <v/>
      </c>
      <c r="E932" s="8">
        <f>IF(ISNA(MATCH(919,Engine!$C$2:$C$1960,0)),"",INDEX('Compliance Database'!$E$2:$E$1960,MATCH(919,Engine!$C$2:$C$1960,0)))</f>
        <v/>
      </c>
      <c r="F932" s="8">
        <f>IF(ISNA(MATCH(919,Engine!$C$2:$C$1960,0)),"",INDEX('Compliance Database'!$F$2:$F$1960,MATCH(919,Engine!$C$2:$C$1960,0)))</f>
        <v/>
      </c>
      <c r="G932" s="8">
        <f>IF(ISNA(MATCH(919,Engine!$C$2:$C$1960,0)),"",INDEX('Compliance Database'!$G$2:$G$1960,MATCH(919,Engine!$C$2:$C$1960,0)))</f>
        <v/>
      </c>
      <c r="H932" s="9">
        <f>IF(ISNA(MATCH(919,Engine!$C$2:$C$1960,0)),"",INDEX('Compliance Database'!$H$2:$H$1960,MATCH(919,Engine!$C$2:$C$1960,0)))</f>
        <v/>
      </c>
      <c r="I932" s="9">
        <f>IF(ISNA(MATCH(919,Engine!$C$2:$C$1960,0)),"",INDEX('Compliance Database'!$I$2:$I$1960,MATCH(919,Engine!$C$2:$C$1960,0)))</f>
        <v/>
      </c>
      <c r="J932" s="8">
        <f>IF(ISNA(MATCH(919,Engine!$C$2:$C$1960,0)),"",INDEX('Compliance Database'!$J$2:$J$1960,MATCH(919,Engine!$C$2:$C$1960,0)))</f>
        <v/>
      </c>
      <c r="K932" s="9">
        <f>IF(ISNA(MATCH(919,Engine!$C$2:$C$1960,0)),"",INDEX('Compliance Database'!$K$2:$K$1960,MATCH(919,Engine!$C$2:$C$1960,0)))</f>
        <v/>
      </c>
      <c r="L932" s="9">
        <f>IF(ISNA(MATCH(919,Engine!$C$2:$C$1960,0)),"",INDEX('Compliance Database'!$L$2:$L$1960,MATCH(919,Engine!$C$2:$C$1960,0)))</f>
        <v/>
      </c>
      <c r="M932" s="9">
        <f>IF(ISNA(MATCH(919,Engine!$C$2:$C$1960,0)),"",INDEX('Compliance Database'!$M$2:$M$1960,MATCH(919,Engine!$C$2:$C$1960,0)))</f>
        <v/>
      </c>
      <c r="N932" s="9">
        <f>IF(ISNA(MATCH(919,Engine!$C$2:$C$1960,0)),"",INDEX('Compliance Database'!$N$2:$N$1960,MATCH(919,Engine!$C$2:$C$1960,0)))</f>
        <v/>
      </c>
      <c r="O932" s="9">
        <f>IF(ISNA(MATCH(919,Engine!$C$2:$C$1960,0)),"",INDEX('Compliance Database'!$O$2:$O$1960,MATCH(919,Engine!$C$2:$C$1960,0)))</f>
        <v/>
      </c>
      <c r="P932" s="8">
        <f>IF(ISNA(MATCH(919,Engine!$C$2:$C$1960,0)),"",HYPERLINK("#Acts!A"&amp;INDEX('Compliance Database'!$P$2:$P$1960,MATCH(919,Engine!$C$2:$C$1960,0)),"Go to Act"))</f>
        <v/>
      </c>
    </row>
    <row r="933" ht="158" customHeight="1">
      <c r="A933" s="8">
        <f>IF(ISNA(MATCH(920,Engine!$C$2:$C$1960,0)),"",INDEX('Compliance Database'!$A$2:$A$1960,MATCH(920,Engine!$C$2:$C$1960,0)))</f>
        <v/>
      </c>
      <c r="B933" s="8">
        <f>IF(ISNA(MATCH(920,Engine!$C$2:$C$1960,0)),"",INDEX('Compliance Database'!$B$2:$B$1960,MATCH(920,Engine!$C$2:$C$1960,0)))</f>
        <v/>
      </c>
      <c r="C933" s="8">
        <f>IF(ISNA(MATCH(920,Engine!$C$2:$C$1960,0)),"",INDEX('Compliance Database'!$C$2:$C$1960,MATCH(920,Engine!$C$2:$C$1960,0)))</f>
        <v/>
      </c>
      <c r="D933" s="9">
        <f>IF(ISNA(MATCH(920,Engine!$C$2:$C$1960,0)),"",INDEX('Compliance Database'!$D$2:$D$1960,MATCH(920,Engine!$C$2:$C$1960,0)))</f>
        <v/>
      </c>
      <c r="E933" s="8">
        <f>IF(ISNA(MATCH(920,Engine!$C$2:$C$1960,0)),"",INDEX('Compliance Database'!$E$2:$E$1960,MATCH(920,Engine!$C$2:$C$1960,0)))</f>
        <v/>
      </c>
      <c r="F933" s="8">
        <f>IF(ISNA(MATCH(920,Engine!$C$2:$C$1960,0)),"",INDEX('Compliance Database'!$F$2:$F$1960,MATCH(920,Engine!$C$2:$C$1960,0)))</f>
        <v/>
      </c>
      <c r="G933" s="8">
        <f>IF(ISNA(MATCH(920,Engine!$C$2:$C$1960,0)),"",INDEX('Compliance Database'!$G$2:$G$1960,MATCH(920,Engine!$C$2:$C$1960,0)))</f>
        <v/>
      </c>
      <c r="H933" s="9">
        <f>IF(ISNA(MATCH(920,Engine!$C$2:$C$1960,0)),"",INDEX('Compliance Database'!$H$2:$H$1960,MATCH(920,Engine!$C$2:$C$1960,0)))</f>
        <v/>
      </c>
      <c r="I933" s="9">
        <f>IF(ISNA(MATCH(920,Engine!$C$2:$C$1960,0)),"",INDEX('Compliance Database'!$I$2:$I$1960,MATCH(920,Engine!$C$2:$C$1960,0)))</f>
        <v/>
      </c>
      <c r="J933" s="8">
        <f>IF(ISNA(MATCH(920,Engine!$C$2:$C$1960,0)),"",INDEX('Compliance Database'!$J$2:$J$1960,MATCH(920,Engine!$C$2:$C$1960,0)))</f>
        <v/>
      </c>
      <c r="K933" s="9">
        <f>IF(ISNA(MATCH(920,Engine!$C$2:$C$1960,0)),"",INDEX('Compliance Database'!$K$2:$K$1960,MATCH(920,Engine!$C$2:$C$1960,0)))</f>
        <v/>
      </c>
      <c r="L933" s="9">
        <f>IF(ISNA(MATCH(920,Engine!$C$2:$C$1960,0)),"",INDEX('Compliance Database'!$L$2:$L$1960,MATCH(920,Engine!$C$2:$C$1960,0)))</f>
        <v/>
      </c>
      <c r="M933" s="9">
        <f>IF(ISNA(MATCH(920,Engine!$C$2:$C$1960,0)),"",INDEX('Compliance Database'!$M$2:$M$1960,MATCH(920,Engine!$C$2:$C$1960,0)))</f>
        <v/>
      </c>
      <c r="N933" s="9">
        <f>IF(ISNA(MATCH(920,Engine!$C$2:$C$1960,0)),"",INDEX('Compliance Database'!$N$2:$N$1960,MATCH(920,Engine!$C$2:$C$1960,0)))</f>
        <v/>
      </c>
      <c r="O933" s="9">
        <f>IF(ISNA(MATCH(920,Engine!$C$2:$C$1960,0)),"",INDEX('Compliance Database'!$O$2:$O$1960,MATCH(920,Engine!$C$2:$C$1960,0)))</f>
        <v/>
      </c>
      <c r="P933" s="8">
        <f>IF(ISNA(MATCH(920,Engine!$C$2:$C$1960,0)),"",HYPERLINK("#Acts!A"&amp;INDEX('Compliance Database'!$P$2:$P$1960,MATCH(920,Engine!$C$2:$C$1960,0)),"Go to Act"))</f>
        <v/>
      </c>
    </row>
    <row r="934" ht="158" customHeight="1">
      <c r="A934" s="8">
        <f>IF(ISNA(MATCH(921,Engine!$C$2:$C$1960,0)),"",INDEX('Compliance Database'!$A$2:$A$1960,MATCH(921,Engine!$C$2:$C$1960,0)))</f>
        <v/>
      </c>
      <c r="B934" s="8">
        <f>IF(ISNA(MATCH(921,Engine!$C$2:$C$1960,0)),"",INDEX('Compliance Database'!$B$2:$B$1960,MATCH(921,Engine!$C$2:$C$1960,0)))</f>
        <v/>
      </c>
      <c r="C934" s="8">
        <f>IF(ISNA(MATCH(921,Engine!$C$2:$C$1960,0)),"",INDEX('Compliance Database'!$C$2:$C$1960,MATCH(921,Engine!$C$2:$C$1960,0)))</f>
        <v/>
      </c>
      <c r="D934" s="9">
        <f>IF(ISNA(MATCH(921,Engine!$C$2:$C$1960,0)),"",INDEX('Compliance Database'!$D$2:$D$1960,MATCH(921,Engine!$C$2:$C$1960,0)))</f>
        <v/>
      </c>
      <c r="E934" s="8">
        <f>IF(ISNA(MATCH(921,Engine!$C$2:$C$1960,0)),"",INDEX('Compliance Database'!$E$2:$E$1960,MATCH(921,Engine!$C$2:$C$1960,0)))</f>
        <v/>
      </c>
      <c r="F934" s="8">
        <f>IF(ISNA(MATCH(921,Engine!$C$2:$C$1960,0)),"",INDEX('Compliance Database'!$F$2:$F$1960,MATCH(921,Engine!$C$2:$C$1960,0)))</f>
        <v/>
      </c>
      <c r="G934" s="8">
        <f>IF(ISNA(MATCH(921,Engine!$C$2:$C$1960,0)),"",INDEX('Compliance Database'!$G$2:$G$1960,MATCH(921,Engine!$C$2:$C$1960,0)))</f>
        <v/>
      </c>
      <c r="H934" s="9">
        <f>IF(ISNA(MATCH(921,Engine!$C$2:$C$1960,0)),"",INDEX('Compliance Database'!$H$2:$H$1960,MATCH(921,Engine!$C$2:$C$1960,0)))</f>
        <v/>
      </c>
      <c r="I934" s="9">
        <f>IF(ISNA(MATCH(921,Engine!$C$2:$C$1960,0)),"",INDEX('Compliance Database'!$I$2:$I$1960,MATCH(921,Engine!$C$2:$C$1960,0)))</f>
        <v/>
      </c>
      <c r="J934" s="8">
        <f>IF(ISNA(MATCH(921,Engine!$C$2:$C$1960,0)),"",INDEX('Compliance Database'!$J$2:$J$1960,MATCH(921,Engine!$C$2:$C$1960,0)))</f>
        <v/>
      </c>
      <c r="K934" s="9">
        <f>IF(ISNA(MATCH(921,Engine!$C$2:$C$1960,0)),"",INDEX('Compliance Database'!$K$2:$K$1960,MATCH(921,Engine!$C$2:$C$1960,0)))</f>
        <v/>
      </c>
      <c r="L934" s="9">
        <f>IF(ISNA(MATCH(921,Engine!$C$2:$C$1960,0)),"",INDEX('Compliance Database'!$L$2:$L$1960,MATCH(921,Engine!$C$2:$C$1960,0)))</f>
        <v/>
      </c>
      <c r="M934" s="9">
        <f>IF(ISNA(MATCH(921,Engine!$C$2:$C$1960,0)),"",INDEX('Compliance Database'!$M$2:$M$1960,MATCH(921,Engine!$C$2:$C$1960,0)))</f>
        <v/>
      </c>
      <c r="N934" s="9">
        <f>IF(ISNA(MATCH(921,Engine!$C$2:$C$1960,0)),"",INDEX('Compliance Database'!$N$2:$N$1960,MATCH(921,Engine!$C$2:$C$1960,0)))</f>
        <v/>
      </c>
      <c r="O934" s="9">
        <f>IF(ISNA(MATCH(921,Engine!$C$2:$C$1960,0)),"",INDEX('Compliance Database'!$O$2:$O$1960,MATCH(921,Engine!$C$2:$C$1960,0)))</f>
        <v/>
      </c>
      <c r="P934" s="8">
        <f>IF(ISNA(MATCH(921,Engine!$C$2:$C$1960,0)),"",HYPERLINK("#Acts!A"&amp;INDEX('Compliance Database'!$P$2:$P$1960,MATCH(921,Engine!$C$2:$C$1960,0)),"Go to Act"))</f>
        <v/>
      </c>
    </row>
    <row r="935" ht="158" customHeight="1">
      <c r="A935" s="8">
        <f>IF(ISNA(MATCH(922,Engine!$C$2:$C$1960,0)),"",INDEX('Compliance Database'!$A$2:$A$1960,MATCH(922,Engine!$C$2:$C$1960,0)))</f>
        <v/>
      </c>
      <c r="B935" s="8">
        <f>IF(ISNA(MATCH(922,Engine!$C$2:$C$1960,0)),"",INDEX('Compliance Database'!$B$2:$B$1960,MATCH(922,Engine!$C$2:$C$1960,0)))</f>
        <v/>
      </c>
      <c r="C935" s="8">
        <f>IF(ISNA(MATCH(922,Engine!$C$2:$C$1960,0)),"",INDEX('Compliance Database'!$C$2:$C$1960,MATCH(922,Engine!$C$2:$C$1960,0)))</f>
        <v/>
      </c>
      <c r="D935" s="9">
        <f>IF(ISNA(MATCH(922,Engine!$C$2:$C$1960,0)),"",INDEX('Compliance Database'!$D$2:$D$1960,MATCH(922,Engine!$C$2:$C$1960,0)))</f>
        <v/>
      </c>
      <c r="E935" s="8">
        <f>IF(ISNA(MATCH(922,Engine!$C$2:$C$1960,0)),"",INDEX('Compliance Database'!$E$2:$E$1960,MATCH(922,Engine!$C$2:$C$1960,0)))</f>
        <v/>
      </c>
      <c r="F935" s="8">
        <f>IF(ISNA(MATCH(922,Engine!$C$2:$C$1960,0)),"",INDEX('Compliance Database'!$F$2:$F$1960,MATCH(922,Engine!$C$2:$C$1960,0)))</f>
        <v/>
      </c>
      <c r="G935" s="8">
        <f>IF(ISNA(MATCH(922,Engine!$C$2:$C$1960,0)),"",INDEX('Compliance Database'!$G$2:$G$1960,MATCH(922,Engine!$C$2:$C$1960,0)))</f>
        <v/>
      </c>
      <c r="H935" s="9">
        <f>IF(ISNA(MATCH(922,Engine!$C$2:$C$1960,0)),"",INDEX('Compliance Database'!$H$2:$H$1960,MATCH(922,Engine!$C$2:$C$1960,0)))</f>
        <v/>
      </c>
      <c r="I935" s="9">
        <f>IF(ISNA(MATCH(922,Engine!$C$2:$C$1960,0)),"",INDEX('Compliance Database'!$I$2:$I$1960,MATCH(922,Engine!$C$2:$C$1960,0)))</f>
        <v/>
      </c>
      <c r="J935" s="8">
        <f>IF(ISNA(MATCH(922,Engine!$C$2:$C$1960,0)),"",INDEX('Compliance Database'!$J$2:$J$1960,MATCH(922,Engine!$C$2:$C$1960,0)))</f>
        <v/>
      </c>
      <c r="K935" s="9">
        <f>IF(ISNA(MATCH(922,Engine!$C$2:$C$1960,0)),"",INDEX('Compliance Database'!$K$2:$K$1960,MATCH(922,Engine!$C$2:$C$1960,0)))</f>
        <v/>
      </c>
      <c r="L935" s="9">
        <f>IF(ISNA(MATCH(922,Engine!$C$2:$C$1960,0)),"",INDEX('Compliance Database'!$L$2:$L$1960,MATCH(922,Engine!$C$2:$C$1960,0)))</f>
        <v/>
      </c>
      <c r="M935" s="9">
        <f>IF(ISNA(MATCH(922,Engine!$C$2:$C$1960,0)),"",INDEX('Compliance Database'!$M$2:$M$1960,MATCH(922,Engine!$C$2:$C$1960,0)))</f>
        <v/>
      </c>
      <c r="N935" s="9">
        <f>IF(ISNA(MATCH(922,Engine!$C$2:$C$1960,0)),"",INDEX('Compliance Database'!$N$2:$N$1960,MATCH(922,Engine!$C$2:$C$1960,0)))</f>
        <v/>
      </c>
      <c r="O935" s="9">
        <f>IF(ISNA(MATCH(922,Engine!$C$2:$C$1960,0)),"",INDEX('Compliance Database'!$O$2:$O$1960,MATCH(922,Engine!$C$2:$C$1960,0)))</f>
        <v/>
      </c>
      <c r="P935" s="8">
        <f>IF(ISNA(MATCH(922,Engine!$C$2:$C$1960,0)),"",HYPERLINK("#Acts!A"&amp;INDEX('Compliance Database'!$P$2:$P$1960,MATCH(922,Engine!$C$2:$C$1960,0)),"Go to Act"))</f>
        <v/>
      </c>
    </row>
    <row r="936" ht="158" customHeight="1">
      <c r="A936" s="8">
        <f>IF(ISNA(MATCH(923,Engine!$C$2:$C$1960,0)),"",INDEX('Compliance Database'!$A$2:$A$1960,MATCH(923,Engine!$C$2:$C$1960,0)))</f>
        <v/>
      </c>
      <c r="B936" s="8">
        <f>IF(ISNA(MATCH(923,Engine!$C$2:$C$1960,0)),"",INDEX('Compliance Database'!$B$2:$B$1960,MATCH(923,Engine!$C$2:$C$1960,0)))</f>
        <v/>
      </c>
      <c r="C936" s="8">
        <f>IF(ISNA(MATCH(923,Engine!$C$2:$C$1960,0)),"",INDEX('Compliance Database'!$C$2:$C$1960,MATCH(923,Engine!$C$2:$C$1960,0)))</f>
        <v/>
      </c>
      <c r="D936" s="9">
        <f>IF(ISNA(MATCH(923,Engine!$C$2:$C$1960,0)),"",INDEX('Compliance Database'!$D$2:$D$1960,MATCH(923,Engine!$C$2:$C$1960,0)))</f>
        <v/>
      </c>
      <c r="E936" s="8">
        <f>IF(ISNA(MATCH(923,Engine!$C$2:$C$1960,0)),"",INDEX('Compliance Database'!$E$2:$E$1960,MATCH(923,Engine!$C$2:$C$1960,0)))</f>
        <v/>
      </c>
      <c r="F936" s="8">
        <f>IF(ISNA(MATCH(923,Engine!$C$2:$C$1960,0)),"",INDEX('Compliance Database'!$F$2:$F$1960,MATCH(923,Engine!$C$2:$C$1960,0)))</f>
        <v/>
      </c>
      <c r="G936" s="8">
        <f>IF(ISNA(MATCH(923,Engine!$C$2:$C$1960,0)),"",INDEX('Compliance Database'!$G$2:$G$1960,MATCH(923,Engine!$C$2:$C$1960,0)))</f>
        <v/>
      </c>
      <c r="H936" s="9">
        <f>IF(ISNA(MATCH(923,Engine!$C$2:$C$1960,0)),"",INDEX('Compliance Database'!$H$2:$H$1960,MATCH(923,Engine!$C$2:$C$1960,0)))</f>
        <v/>
      </c>
      <c r="I936" s="9">
        <f>IF(ISNA(MATCH(923,Engine!$C$2:$C$1960,0)),"",INDEX('Compliance Database'!$I$2:$I$1960,MATCH(923,Engine!$C$2:$C$1960,0)))</f>
        <v/>
      </c>
      <c r="J936" s="8">
        <f>IF(ISNA(MATCH(923,Engine!$C$2:$C$1960,0)),"",INDEX('Compliance Database'!$J$2:$J$1960,MATCH(923,Engine!$C$2:$C$1960,0)))</f>
        <v/>
      </c>
      <c r="K936" s="9">
        <f>IF(ISNA(MATCH(923,Engine!$C$2:$C$1960,0)),"",INDEX('Compliance Database'!$K$2:$K$1960,MATCH(923,Engine!$C$2:$C$1960,0)))</f>
        <v/>
      </c>
      <c r="L936" s="9">
        <f>IF(ISNA(MATCH(923,Engine!$C$2:$C$1960,0)),"",INDEX('Compliance Database'!$L$2:$L$1960,MATCH(923,Engine!$C$2:$C$1960,0)))</f>
        <v/>
      </c>
      <c r="M936" s="9">
        <f>IF(ISNA(MATCH(923,Engine!$C$2:$C$1960,0)),"",INDEX('Compliance Database'!$M$2:$M$1960,MATCH(923,Engine!$C$2:$C$1960,0)))</f>
        <v/>
      </c>
      <c r="N936" s="9">
        <f>IF(ISNA(MATCH(923,Engine!$C$2:$C$1960,0)),"",INDEX('Compliance Database'!$N$2:$N$1960,MATCH(923,Engine!$C$2:$C$1960,0)))</f>
        <v/>
      </c>
      <c r="O936" s="9">
        <f>IF(ISNA(MATCH(923,Engine!$C$2:$C$1960,0)),"",INDEX('Compliance Database'!$O$2:$O$1960,MATCH(923,Engine!$C$2:$C$1960,0)))</f>
        <v/>
      </c>
      <c r="P936" s="8">
        <f>IF(ISNA(MATCH(923,Engine!$C$2:$C$1960,0)),"",HYPERLINK("#Acts!A"&amp;INDEX('Compliance Database'!$P$2:$P$1960,MATCH(923,Engine!$C$2:$C$1960,0)),"Go to Act"))</f>
        <v/>
      </c>
    </row>
    <row r="937" ht="158" customHeight="1">
      <c r="A937" s="8">
        <f>IF(ISNA(MATCH(924,Engine!$C$2:$C$1960,0)),"",INDEX('Compliance Database'!$A$2:$A$1960,MATCH(924,Engine!$C$2:$C$1960,0)))</f>
        <v/>
      </c>
      <c r="B937" s="8">
        <f>IF(ISNA(MATCH(924,Engine!$C$2:$C$1960,0)),"",INDEX('Compliance Database'!$B$2:$B$1960,MATCH(924,Engine!$C$2:$C$1960,0)))</f>
        <v/>
      </c>
      <c r="C937" s="8">
        <f>IF(ISNA(MATCH(924,Engine!$C$2:$C$1960,0)),"",INDEX('Compliance Database'!$C$2:$C$1960,MATCH(924,Engine!$C$2:$C$1960,0)))</f>
        <v/>
      </c>
      <c r="D937" s="9">
        <f>IF(ISNA(MATCH(924,Engine!$C$2:$C$1960,0)),"",INDEX('Compliance Database'!$D$2:$D$1960,MATCH(924,Engine!$C$2:$C$1960,0)))</f>
        <v/>
      </c>
      <c r="E937" s="8">
        <f>IF(ISNA(MATCH(924,Engine!$C$2:$C$1960,0)),"",INDEX('Compliance Database'!$E$2:$E$1960,MATCH(924,Engine!$C$2:$C$1960,0)))</f>
        <v/>
      </c>
      <c r="F937" s="8">
        <f>IF(ISNA(MATCH(924,Engine!$C$2:$C$1960,0)),"",INDEX('Compliance Database'!$F$2:$F$1960,MATCH(924,Engine!$C$2:$C$1960,0)))</f>
        <v/>
      </c>
      <c r="G937" s="8">
        <f>IF(ISNA(MATCH(924,Engine!$C$2:$C$1960,0)),"",INDEX('Compliance Database'!$G$2:$G$1960,MATCH(924,Engine!$C$2:$C$1960,0)))</f>
        <v/>
      </c>
      <c r="H937" s="9">
        <f>IF(ISNA(MATCH(924,Engine!$C$2:$C$1960,0)),"",INDEX('Compliance Database'!$H$2:$H$1960,MATCH(924,Engine!$C$2:$C$1960,0)))</f>
        <v/>
      </c>
      <c r="I937" s="9">
        <f>IF(ISNA(MATCH(924,Engine!$C$2:$C$1960,0)),"",INDEX('Compliance Database'!$I$2:$I$1960,MATCH(924,Engine!$C$2:$C$1960,0)))</f>
        <v/>
      </c>
      <c r="J937" s="8">
        <f>IF(ISNA(MATCH(924,Engine!$C$2:$C$1960,0)),"",INDEX('Compliance Database'!$J$2:$J$1960,MATCH(924,Engine!$C$2:$C$1960,0)))</f>
        <v/>
      </c>
      <c r="K937" s="9">
        <f>IF(ISNA(MATCH(924,Engine!$C$2:$C$1960,0)),"",INDEX('Compliance Database'!$K$2:$K$1960,MATCH(924,Engine!$C$2:$C$1960,0)))</f>
        <v/>
      </c>
      <c r="L937" s="9">
        <f>IF(ISNA(MATCH(924,Engine!$C$2:$C$1960,0)),"",INDEX('Compliance Database'!$L$2:$L$1960,MATCH(924,Engine!$C$2:$C$1960,0)))</f>
        <v/>
      </c>
      <c r="M937" s="9">
        <f>IF(ISNA(MATCH(924,Engine!$C$2:$C$1960,0)),"",INDEX('Compliance Database'!$M$2:$M$1960,MATCH(924,Engine!$C$2:$C$1960,0)))</f>
        <v/>
      </c>
      <c r="N937" s="9">
        <f>IF(ISNA(MATCH(924,Engine!$C$2:$C$1960,0)),"",INDEX('Compliance Database'!$N$2:$N$1960,MATCH(924,Engine!$C$2:$C$1960,0)))</f>
        <v/>
      </c>
      <c r="O937" s="9">
        <f>IF(ISNA(MATCH(924,Engine!$C$2:$C$1960,0)),"",INDEX('Compliance Database'!$O$2:$O$1960,MATCH(924,Engine!$C$2:$C$1960,0)))</f>
        <v/>
      </c>
      <c r="P937" s="8">
        <f>IF(ISNA(MATCH(924,Engine!$C$2:$C$1960,0)),"",HYPERLINK("#Acts!A"&amp;INDEX('Compliance Database'!$P$2:$P$1960,MATCH(924,Engine!$C$2:$C$1960,0)),"Go to Act"))</f>
        <v/>
      </c>
    </row>
    <row r="938" ht="158" customHeight="1">
      <c r="A938" s="8">
        <f>IF(ISNA(MATCH(925,Engine!$C$2:$C$1960,0)),"",INDEX('Compliance Database'!$A$2:$A$1960,MATCH(925,Engine!$C$2:$C$1960,0)))</f>
        <v/>
      </c>
      <c r="B938" s="8">
        <f>IF(ISNA(MATCH(925,Engine!$C$2:$C$1960,0)),"",INDEX('Compliance Database'!$B$2:$B$1960,MATCH(925,Engine!$C$2:$C$1960,0)))</f>
        <v/>
      </c>
      <c r="C938" s="8">
        <f>IF(ISNA(MATCH(925,Engine!$C$2:$C$1960,0)),"",INDEX('Compliance Database'!$C$2:$C$1960,MATCH(925,Engine!$C$2:$C$1960,0)))</f>
        <v/>
      </c>
      <c r="D938" s="9">
        <f>IF(ISNA(MATCH(925,Engine!$C$2:$C$1960,0)),"",INDEX('Compliance Database'!$D$2:$D$1960,MATCH(925,Engine!$C$2:$C$1960,0)))</f>
        <v/>
      </c>
      <c r="E938" s="8">
        <f>IF(ISNA(MATCH(925,Engine!$C$2:$C$1960,0)),"",INDEX('Compliance Database'!$E$2:$E$1960,MATCH(925,Engine!$C$2:$C$1960,0)))</f>
        <v/>
      </c>
      <c r="F938" s="8">
        <f>IF(ISNA(MATCH(925,Engine!$C$2:$C$1960,0)),"",INDEX('Compliance Database'!$F$2:$F$1960,MATCH(925,Engine!$C$2:$C$1960,0)))</f>
        <v/>
      </c>
      <c r="G938" s="8">
        <f>IF(ISNA(MATCH(925,Engine!$C$2:$C$1960,0)),"",INDEX('Compliance Database'!$G$2:$G$1960,MATCH(925,Engine!$C$2:$C$1960,0)))</f>
        <v/>
      </c>
      <c r="H938" s="9">
        <f>IF(ISNA(MATCH(925,Engine!$C$2:$C$1960,0)),"",INDEX('Compliance Database'!$H$2:$H$1960,MATCH(925,Engine!$C$2:$C$1960,0)))</f>
        <v/>
      </c>
      <c r="I938" s="9">
        <f>IF(ISNA(MATCH(925,Engine!$C$2:$C$1960,0)),"",INDEX('Compliance Database'!$I$2:$I$1960,MATCH(925,Engine!$C$2:$C$1960,0)))</f>
        <v/>
      </c>
      <c r="J938" s="8">
        <f>IF(ISNA(MATCH(925,Engine!$C$2:$C$1960,0)),"",INDEX('Compliance Database'!$J$2:$J$1960,MATCH(925,Engine!$C$2:$C$1960,0)))</f>
        <v/>
      </c>
      <c r="K938" s="9">
        <f>IF(ISNA(MATCH(925,Engine!$C$2:$C$1960,0)),"",INDEX('Compliance Database'!$K$2:$K$1960,MATCH(925,Engine!$C$2:$C$1960,0)))</f>
        <v/>
      </c>
      <c r="L938" s="9">
        <f>IF(ISNA(MATCH(925,Engine!$C$2:$C$1960,0)),"",INDEX('Compliance Database'!$L$2:$L$1960,MATCH(925,Engine!$C$2:$C$1960,0)))</f>
        <v/>
      </c>
      <c r="M938" s="9">
        <f>IF(ISNA(MATCH(925,Engine!$C$2:$C$1960,0)),"",INDEX('Compliance Database'!$M$2:$M$1960,MATCH(925,Engine!$C$2:$C$1960,0)))</f>
        <v/>
      </c>
      <c r="N938" s="9">
        <f>IF(ISNA(MATCH(925,Engine!$C$2:$C$1960,0)),"",INDEX('Compliance Database'!$N$2:$N$1960,MATCH(925,Engine!$C$2:$C$1960,0)))</f>
        <v/>
      </c>
      <c r="O938" s="9">
        <f>IF(ISNA(MATCH(925,Engine!$C$2:$C$1960,0)),"",INDEX('Compliance Database'!$O$2:$O$1960,MATCH(925,Engine!$C$2:$C$1960,0)))</f>
        <v/>
      </c>
      <c r="P938" s="8">
        <f>IF(ISNA(MATCH(925,Engine!$C$2:$C$1960,0)),"",HYPERLINK("#Acts!A"&amp;INDEX('Compliance Database'!$P$2:$P$1960,MATCH(925,Engine!$C$2:$C$1960,0)),"Go to Act"))</f>
        <v/>
      </c>
    </row>
    <row r="939" ht="158" customHeight="1">
      <c r="A939" s="8">
        <f>IF(ISNA(MATCH(926,Engine!$C$2:$C$1960,0)),"",INDEX('Compliance Database'!$A$2:$A$1960,MATCH(926,Engine!$C$2:$C$1960,0)))</f>
        <v/>
      </c>
      <c r="B939" s="8">
        <f>IF(ISNA(MATCH(926,Engine!$C$2:$C$1960,0)),"",INDEX('Compliance Database'!$B$2:$B$1960,MATCH(926,Engine!$C$2:$C$1960,0)))</f>
        <v/>
      </c>
      <c r="C939" s="8">
        <f>IF(ISNA(MATCH(926,Engine!$C$2:$C$1960,0)),"",INDEX('Compliance Database'!$C$2:$C$1960,MATCH(926,Engine!$C$2:$C$1960,0)))</f>
        <v/>
      </c>
      <c r="D939" s="9">
        <f>IF(ISNA(MATCH(926,Engine!$C$2:$C$1960,0)),"",INDEX('Compliance Database'!$D$2:$D$1960,MATCH(926,Engine!$C$2:$C$1960,0)))</f>
        <v/>
      </c>
      <c r="E939" s="8">
        <f>IF(ISNA(MATCH(926,Engine!$C$2:$C$1960,0)),"",INDEX('Compliance Database'!$E$2:$E$1960,MATCH(926,Engine!$C$2:$C$1960,0)))</f>
        <v/>
      </c>
      <c r="F939" s="8">
        <f>IF(ISNA(MATCH(926,Engine!$C$2:$C$1960,0)),"",INDEX('Compliance Database'!$F$2:$F$1960,MATCH(926,Engine!$C$2:$C$1960,0)))</f>
        <v/>
      </c>
      <c r="G939" s="8">
        <f>IF(ISNA(MATCH(926,Engine!$C$2:$C$1960,0)),"",INDEX('Compliance Database'!$G$2:$G$1960,MATCH(926,Engine!$C$2:$C$1960,0)))</f>
        <v/>
      </c>
      <c r="H939" s="9">
        <f>IF(ISNA(MATCH(926,Engine!$C$2:$C$1960,0)),"",INDEX('Compliance Database'!$H$2:$H$1960,MATCH(926,Engine!$C$2:$C$1960,0)))</f>
        <v/>
      </c>
      <c r="I939" s="9">
        <f>IF(ISNA(MATCH(926,Engine!$C$2:$C$1960,0)),"",INDEX('Compliance Database'!$I$2:$I$1960,MATCH(926,Engine!$C$2:$C$1960,0)))</f>
        <v/>
      </c>
      <c r="J939" s="8">
        <f>IF(ISNA(MATCH(926,Engine!$C$2:$C$1960,0)),"",INDEX('Compliance Database'!$J$2:$J$1960,MATCH(926,Engine!$C$2:$C$1960,0)))</f>
        <v/>
      </c>
      <c r="K939" s="9">
        <f>IF(ISNA(MATCH(926,Engine!$C$2:$C$1960,0)),"",INDEX('Compliance Database'!$K$2:$K$1960,MATCH(926,Engine!$C$2:$C$1960,0)))</f>
        <v/>
      </c>
      <c r="L939" s="9">
        <f>IF(ISNA(MATCH(926,Engine!$C$2:$C$1960,0)),"",INDEX('Compliance Database'!$L$2:$L$1960,MATCH(926,Engine!$C$2:$C$1960,0)))</f>
        <v/>
      </c>
      <c r="M939" s="9">
        <f>IF(ISNA(MATCH(926,Engine!$C$2:$C$1960,0)),"",INDEX('Compliance Database'!$M$2:$M$1960,MATCH(926,Engine!$C$2:$C$1960,0)))</f>
        <v/>
      </c>
      <c r="N939" s="9">
        <f>IF(ISNA(MATCH(926,Engine!$C$2:$C$1960,0)),"",INDEX('Compliance Database'!$N$2:$N$1960,MATCH(926,Engine!$C$2:$C$1960,0)))</f>
        <v/>
      </c>
      <c r="O939" s="9">
        <f>IF(ISNA(MATCH(926,Engine!$C$2:$C$1960,0)),"",INDEX('Compliance Database'!$O$2:$O$1960,MATCH(926,Engine!$C$2:$C$1960,0)))</f>
        <v/>
      </c>
      <c r="P939" s="8">
        <f>IF(ISNA(MATCH(926,Engine!$C$2:$C$1960,0)),"",HYPERLINK("#Acts!A"&amp;INDEX('Compliance Database'!$P$2:$P$1960,MATCH(926,Engine!$C$2:$C$1960,0)),"Go to Act"))</f>
        <v/>
      </c>
    </row>
    <row r="940" ht="158" customHeight="1">
      <c r="A940" s="8">
        <f>IF(ISNA(MATCH(927,Engine!$C$2:$C$1960,0)),"",INDEX('Compliance Database'!$A$2:$A$1960,MATCH(927,Engine!$C$2:$C$1960,0)))</f>
        <v/>
      </c>
      <c r="B940" s="8">
        <f>IF(ISNA(MATCH(927,Engine!$C$2:$C$1960,0)),"",INDEX('Compliance Database'!$B$2:$B$1960,MATCH(927,Engine!$C$2:$C$1960,0)))</f>
        <v/>
      </c>
      <c r="C940" s="8">
        <f>IF(ISNA(MATCH(927,Engine!$C$2:$C$1960,0)),"",INDEX('Compliance Database'!$C$2:$C$1960,MATCH(927,Engine!$C$2:$C$1960,0)))</f>
        <v/>
      </c>
      <c r="D940" s="9">
        <f>IF(ISNA(MATCH(927,Engine!$C$2:$C$1960,0)),"",INDEX('Compliance Database'!$D$2:$D$1960,MATCH(927,Engine!$C$2:$C$1960,0)))</f>
        <v/>
      </c>
      <c r="E940" s="8">
        <f>IF(ISNA(MATCH(927,Engine!$C$2:$C$1960,0)),"",INDEX('Compliance Database'!$E$2:$E$1960,MATCH(927,Engine!$C$2:$C$1960,0)))</f>
        <v/>
      </c>
      <c r="F940" s="8">
        <f>IF(ISNA(MATCH(927,Engine!$C$2:$C$1960,0)),"",INDEX('Compliance Database'!$F$2:$F$1960,MATCH(927,Engine!$C$2:$C$1960,0)))</f>
        <v/>
      </c>
      <c r="G940" s="8">
        <f>IF(ISNA(MATCH(927,Engine!$C$2:$C$1960,0)),"",INDEX('Compliance Database'!$G$2:$G$1960,MATCH(927,Engine!$C$2:$C$1960,0)))</f>
        <v/>
      </c>
      <c r="H940" s="9">
        <f>IF(ISNA(MATCH(927,Engine!$C$2:$C$1960,0)),"",INDEX('Compliance Database'!$H$2:$H$1960,MATCH(927,Engine!$C$2:$C$1960,0)))</f>
        <v/>
      </c>
      <c r="I940" s="9">
        <f>IF(ISNA(MATCH(927,Engine!$C$2:$C$1960,0)),"",INDEX('Compliance Database'!$I$2:$I$1960,MATCH(927,Engine!$C$2:$C$1960,0)))</f>
        <v/>
      </c>
      <c r="J940" s="8">
        <f>IF(ISNA(MATCH(927,Engine!$C$2:$C$1960,0)),"",INDEX('Compliance Database'!$J$2:$J$1960,MATCH(927,Engine!$C$2:$C$1960,0)))</f>
        <v/>
      </c>
      <c r="K940" s="9">
        <f>IF(ISNA(MATCH(927,Engine!$C$2:$C$1960,0)),"",INDEX('Compliance Database'!$K$2:$K$1960,MATCH(927,Engine!$C$2:$C$1960,0)))</f>
        <v/>
      </c>
      <c r="L940" s="9">
        <f>IF(ISNA(MATCH(927,Engine!$C$2:$C$1960,0)),"",INDEX('Compliance Database'!$L$2:$L$1960,MATCH(927,Engine!$C$2:$C$1960,0)))</f>
        <v/>
      </c>
      <c r="M940" s="9">
        <f>IF(ISNA(MATCH(927,Engine!$C$2:$C$1960,0)),"",INDEX('Compliance Database'!$M$2:$M$1960,MATCH(927,Engine!$C$2:$C$1960,0)))</f>
        <v/>
      </c>
      <c r="N940" s="9">
        <f>IF(ISNA(MATCH(927,Engine!$C$2:$C$1960,0)),"",INDEX('Compliance Database'!$N$2:$N$1960,MATCH(927,Engine!$C$2:$C$1960,0)))</f>
        <v/>
      </c>
      <c r="O940" s="9">
        <f>IF(ISNA(MATCH(927,Engine!$C$2:$C$1960,0)),"",INDEX('Compliance Database'!$O$2:$O$1960,MATCH(927,Engine!$C$2:$C$1960,0)))</f>
        <v/>
      </c>
      <c r="P940" s="8">
        <f>IF(ISNA(MATCH(927,Engine!$C$2:$C$1960,0)),"",HYPERLINK("#Acts!A"&amp;INDEX('Compliance Database'!$P$2:$P$1960,MATCH(927,Engine!$C$2:$C$1960,0)),"Go to Act"))</f>
        <v/>
      </c>
    </row>
    <row r="941" ht="158" customHeight="1">
      <c r="A941" s="8">
        <f>IF(ISNA(MATCH(928,Engine!$C$2:$C$1960,0)),"",INDEX('Compliance Database'!$A$2:$A$1960,MATCH(928,Engine!$C$2:$C$1960,0)))</f>
        <v/>
      </c>
      <c r="B941" s="8">
        <f>IF(ISNA(MATCH(928,Engine!$C$2:$C$1960,0)),"",INDEX('Compliance Database'!$B$2:$B$1960,MATCH(928,Engine!$C$2:$C$1960,0)))</f>
        <v/>
      </c>
      <c r="C941" s="8">
        <f>IF(ISNA(MATCH(928,Engine!$C$2:$C$1960,0)),"",INDEX('Compliance Database'!$C$2:$C$1960,MATCH(928,Engine!$C$2:$C$1960,0)))</f>
        <v/>
      </c>
      <c r="D941" s="9">
        <f>IF(ISNA(MATCH(928,Engine!$C$2:$C$1960,0)),"",INDEX('Compliance Database'!$D$2:$D$1960,MATCH(928,Engine!$C$2:$C$1960,0)))</f>
        <v/>
      </c>
      <c r="E941" s="8">
        <f>IF(ISNA(MATCH(928,Engine!$C$2:$C$1960,0)),"",INDEX('Compliance Database'!$E$2:$E$1960,MATCH(928,Engine!$C$2:$C$1960,0)))</f>
        <v/>
      </c>
      <c r="F941" s="8">
        <f>IF(ISNA(MATCH(928,Engine!$C$2:$C$1960,0)),"",INDEX('Compliance Database'!$F$2:$F$1960,MATCH(928,Engine!$C$2:$C$1960,0)))</f>
        <v/>
      </c>
      <c r="G941" s="8">
        <f>IF(ISNA(MATCH(928,Engine!$C$2:$C$1960,0)),"",INDEX('Compliance Database'!$G$2:$G$1960,MATCH(928,Engine!$C$2:$C$1960,0)))</f>
        <v/>
      </c>
      <c r="H941" s="9">
        <f>IF(ISNA(MATCH(928,Engine!$C$2:$C$1960,0)),"",INDEX('Compliance Database'!$H$2:$H$1960,MATCH(928,Engine!$C$2:$C$1960,0)))</f>
        <v/>
      </c>
      <c r="I941" s="9">
        <f>IF(ISNA(MATCH(928,Engine!$C$2:$C$1960,0)),"",INDEX('Compliance Database'!$I$2:$I$1960,MATCH(928,Engine!$C$2:$C$1960,0)))</f>
        <v/>
      </c>
      <c r="J941" s="8">
        <f>IF(ISNA(MATCH(928,Engine!$C$2:$C$1960,0)),"",INDEX('Compliance Database'!$J$2:$J$1960,MATCH(928,Engine!$C$2:$C$1960,0)))</f>
        <v/>
      </c>
      <c r="K941" s="9">
        <f>IF(ISNA(MATCH(928,Engine!$C$2:$C$1960,0)),"",INDEX('Compliance Database'!$K$2:$K$1960,MATCH(928,Engine!$C$2:$C$1960,0)))</f>
        <v/>
      </c>
      <c r="L941" s="9">
        <f>IF(ISNA(MATCH(928,Engine!$C$2:$C$1960,0)),"",INDEX('Compliance Database'!$L$2:$L$1960,MATCH(928,Engine!$C$2:$C$1960,0)))</f>
        <v/>
      </c>
      <c r="M941" s="9">
        <f>IF(ISNA(MATCH(928,Engine!$C$2:$C$1960,0)),"",INDEX('Compliance Database'!$M$2:$M$1960,MATCH(928,Engine!$C$2:$C$1960,0)))</f>
        <v/>
      </c>
      <c r="N941" s="9">
        <f>IF(ISNA(MATCH(928,Engine!$C$2:$C$1960,0)),"",INDEX('Compliance Database'!$N$2:$N$1960,MATCH(928,Engine!$C$2:$C$1960,0)))</f>
        <v/>
      </c>
      <c r="O941" s="9">
        <f>IF(ISNA(MATCH(928,Engine!$C$2:$C$1960,0)),"",INDEX('Compliance Database'!$O$2:$O$1960,MATCH(928,Engine!$C$2:$C$1960,0)))</f>
        <v/>
      </c>
      <c r="P941" s="8">
        <f>IF(ISNA(MATCH(928,Engine!$C$2:$C$1960,0)),"",HYPERLINK("#Acts!A"&amp;INDEX('Compliance Database'!$P$2:$P$1960,MATCH(928,Engine!$C$2:$C$1960,0)),"Go to Act"))</f>
        <v/>
      </c>
    </row>
    <row r="942" ht="158" customHeight="1">
      <c r="A942" s="8">
        <f>IF(ISNA(MATCH(929,Engine!$C$2:$C$1960,0)),"",INDEX('Compliance Database'!$A$2:$A$1960,MATCH(929,Engine!$C$2:$C$1960,0)))</f>
        <v/>
      </c>
      <c r="B942" s="8">
        <f>IF(ISNA(MATCH(929,Engine!$C$2:$C$1960,0)),"",INDEX('Compliance Database'!$B$2:$B$1960,MATCH(929,Engine!$C$2:$C$1960,0)))</f>
        <v/>
      </c>
      <c r="C942" s="8">
        <f>IF(ISNA(MATCH(929,Engine!$C$2:$C$1960,0)),"",INDEX('Compliance Database'!$C$2:$C$1960,MATCH(929,Engine!$C$2:$C$1960,0)))</f>
        <v/>
      </c>
      <c r="D942" s="9">
        <f>IF(ISNA(MATCH(929,Engine!$C$2:$C$1960,0)),"",INDEX('Compliance Database'!$D$2:$D$1960,MATCH(929,Engine!$C$2:$C$1960,0)))</f>
        <v/>
      </c>
      <c r="E942" s="8">
        <f>IF(ISNA(MATCH(929,Engine!$C$2:$C$1960,0)),"",INDEX('Compliance Database'!$E$2:$E$1960,MATCH(929,Engine!$C$2:$C$1960,0)))</f>
        <v/>
      </c>
      <c r="F942" s="8">
        <f>IF(ISNA(MATCH(929,Engine!$C$2:$C$1960,0)),"",INDEX('Compliance Database'!$F$2:$F$1960,MATCH(929,Engine!$C$2:$C$1960,0)))</f>
        <v/>
      </c>
      <c r="G942" s="8">
        <f>IF(ISNA(MATCH(929,Engine!$C$2:$C$1960,0)),"",INDEX('Compliance Database'!$G$2:$G$1960,MATCH(929,Engine!$C$2:$C$1960,0)))</f>
        <v/>
      </c>
      <c r="H942" s="9">
        <f>IF(ISNA(MATCH(929,Engine!$C$2:$C$1960,0)),"",INDEX('Compliance Database'!$H$2:$H$1960,MATCH(929,Engine!$C$2:$C$1960,0)))</f>
        <v/>
      </c>
      <c r="I942" s="9">
        <f>IF(ISNA(MATCH(929,Engine!$C$2:$C$1960,0)),"",INDEX('Compliance Database'!$I$2:$I$1960,MATCH(929,Engine!$C$2:$C$1960,0)))</f>
        <v/>
      </c>
      <c r="J942" s="8">
        <f>IF(ISNA(MATCH(929,Engine!$C$2:$C$1960,0)),"",INDEX('Compliance Database'!$J$2:$J$1960,MATCH(929,Engine!$C$2:$C$1960,0)))</f>
        <v/>
      </c>
      <c r="K942" s="9">
        <f>IF(ISNA(MATCH(929,Engine!$C$2:$C$1960,0)),"",INDEX('Compliance Database'!$K$2:$K$1960,MATCH(929,Engine!$C$2:$C$1960,0)))</f>
        <v/>
      </c>
      <c r="L942" s="9">
        <f>IF(ISNA(MATCH(929,Engine!$C$2:$C$1960,0)),"",INDEX('Compliance Database'!$L$2:$L$1960,MATCH(929,Engine!$C$2:$C$1960,0)))</f>
        <v/>
      </c>
      <c r="M942" s="9">
        <f>IF(ISNA(MATCH(929,Engine!$C$2:$C$1960,0)),"",INDEX('Compliance Database'!$M$2:$M$1960,MATCH(929,Engine!$C$2:$C$1960,0)))</f>
        <v/>
      </c>
      <c r="N942" s="9">
        <f>IF(ISNA(MATCH(929,Engine!$C$2:$C$1960,0)),"",INDEX('Compliance Database'!$N$2:$N$1960,MATCH(929,Engine!$C$2:$C$1960,0)))</f>
        <v/>
      </c>
      <c r="O942" s="9">
        <f>IF(ISNA(MATCH(929,Engine!$C$2:$C$1960,0)),"",INDEX('Compliance Database'!$O$2:$O$1960,MATCH(929,Engine!$C$2:$C$1960,0)))</f>
        <v/>
      </c>
      <c r="P942" s="8">
        <f>IF(ISNA(MATCH(929,Engine!$C$2:$C$1960,0)),"",HYPERLINK("#Acts!A"&amp;INDEX('Compliance Database'!$P$2:$P$1960,MATCH(929,Engine!$C$2:$C$1960,0)),"Go to Act"))</f>
        <v/>
      </c>
    </row>
    <row r="943" ht="158" customHeight="1">
      <c r="A943" s="8">
        <f>IF(ISNA(MATCH(930,Engine!$C$2:$C$1960,0)),"",INDEX('Compliance Database'!$A$2:$A$1960,MATCH(930,Engine!$C$2:$C$1960,0)))</f>
        <v/>
      </c>
      <c r="B943" s="8">
        <f>IF(ISNA(MATCH(930,Engine!$C$2:$C$1960,0)),"",INDEX('Compliance Database'!$B$2:$B$1960,MATCH(930,Engine!$C$2:$C$1960,0)))</f>
        <v/>
      </c>
      <c r="C943" s="8">
        <f>IF(ISNA(MATCH(930,Engine!$C$2:$C$1960,0)),"",INDEX('Compliance Database'!$C$2:$C$1960,MATCH(930,Engine!$C$2:$C$1960,0)))</f>
        <v/>
      </c>
      <c r="D943" s="9">
        <f>IF(ISNA(MATCH(930,Engine!$C$2:$C$1960,0)),"",INDEX('Compliance Database'!$D$2:$D$1960,MATCH(930,Engine!$C$2:$C$1960,0)))</f>
        <v/>
      </c>
      <c r="E943" s="8">
        <f>IF(ISNA(MATCH(930,Engine!$C$2:$C$1960,0)),"",INDEX('Compliance Database'!$E$2:$E$1960,MATCH(930,Engine!$C$2:$C$1960,0)))</f>
        <v/>
      </c>
      <c r="F943" s="8">
        <f>IF(ISNA(MATCH(930,Engine!$C$2:$C$1960,0)),"",INDEX('Compliance Database'!$F$2:$F$1960,MATCH(930,Engine!$C$2:$C$1960,0)))</f>
        <v/>
      </c>
      <c r="G943" s="8">
        <f>IF(ISNA(MATCH(930,Engine!$C$2:$C$1960,0)),"",INDEX('Compliance Database'!$G$2:$G$1960,MATCH(930,Engine!$C$2:$C$1960,0)))</f>
        <v/>
      </c>
      <c r="H943" s="9">
        <f>IF(ISNA(MATCH(930,Engine!$C$2:$C$1960,0)),"",INDEX('Compliance Database'!$H$2:$H$1960,MATCH(930,Engine!$C$2:$C$1960,0)))</f>
        <v/>
      </c>
      <c r="I943" s="9">
        <f>IF(ISNA(MATCH(930,Engine!$C$2:$C$1960,0)),"",INDEX('Compliance Database'!$I$2:$I$1960,MATCH(930,Engine!$C$2:$C$1960,0)))</f>
        <v/>
      </c>
      <c r="J943" s="8">
        <f>IF(ISNA(MATCH(930,Engine!$C$2:$C$1960,0)),"",INDEX('Compliance Database'!$J$2:$J$1960,MATCH(930,Engine!$C$2:$C$1960,0)))</f>
        <v/>
      </c>
      <c r="K943" s="9">
        <f>IF(ISNA(MATCH(930,Engine!$C$2:$C$1960,0)),"",INDEX('Compliance Database'!$K$2:$K$1960,MATCH(930,Engine!$C$2:$C$1960,0)))</f>
        <v/>
      </c>
      <c r="L943" s="9">
        <f>IF(ISNA(MATCH(930,Engine!$C$2:$C$1960,0)),"",INDEX('Compliance Database'!$L$2:$L$1960,MATCH(930,Engine!$C$2:$C$1960,0)))</f>
        <v/>
      </c>
      <c r="M943" s="9">
        <f>IF(ISNA(MATCH(930,Engine!$C$2:$C$1960,0)),"",INDEX('Compliance Database'!$M$2:$M$1960,MATCH(930,Engine!$C$2:$C$1960,0)))</f>
        <v/>
      </c>
      <c r="N943" s="9">
        <f>IF(ISNA(MATCH(930,Engine!$C$2:$C$1960,0)),"",INDEX('Compliance Database'!$N$2:$N$1960,MATCH(930,Engine!$C$2:$C$1960,0)))</f>
        <v/>
      </c>
      <c r="O943" s="9">
        <f>IF(ISNA(MATCH(930,Engine!$C$2:$C$1960,0)),"",INDEX('Compliance Database'!$O$2:$O$1960,MATCH(930,Engine!$C$2:$C$1960,0)))</f>
        <v/>
      </c>
      <c r="P943" s="8">
        <f>IF(ISNA(MATCH(930,Engine!$C$2:$C$1960,0)),"",HYPERLINK("#Acts!A"&amp;INDEX('Compliance Database'!$P$2:$P$1960,MATCH(930,Engine!$C$2:$C$1960,0)),"Go to Act"))</f>
        <v/>
      </c>
    </row>
    <row r="944" ht="158" customHeight="1">
      <c r="A944" s="8">
        <f>IF(ISNA(MATCH(931,Engine!$C$2:$C$1960,0)),"",INDEX('Compliance Database'!$A$2:$A$1960,MATCH(931,Engine!$C$2:$C$1960,0)))</f>
        <v/>
      </c>
      <c r="B944" s="8">
        <f>IF(ISNA(MATCH(931,Engine!$C$2:$C$1960,0)),"",INDEX('Compliance Database'!$B$2:$B$1960,MATCH(931,Engine!$C$2:$C$1960,0)))</f>
        <v/>
      </c>
      <c r="C944" s="8">
        <f>IF(ISNA(MATCH(931,Engine!$C$2:$C$1960,0)),"",INDEX('Compliance Database'!$C$2:$C$1960,MATCH(931,Engine!$C$2:$C$1960,0)))</f>
        <v/>
      </c>
      <c r="D944" s="9">
        <f>IF(ISNA(MATCH(931,Engine!$C$2:$C$1960,0)),"",INDEX('Compliance Database'!$D$2:$D$1960,MATCH(931,Engine!$C$2:$C$1960,0)))</f>
        <v/>
      </c>
      <c r="E944" s="8">
        <f>IF(ISNA(MATCH(931,Engine!$C$2:$C$1960,0)),"",INDEX('Compliance Database'!$E$2:$E$1960,MATCH(931,Engine!$C$2:$C$1960,0)))</f>
        <v/>
      </c>
      <c r="F944" s="8">
        <f>IF(ISNA(MATCH(931,Engine!$C$2:$C$1960,0)),"",INDEX('Compliance Database'!$F$2:$F$1960,MATCH(931,Engine!$C$2:$C$1960,0)))</f>
        <v/>
      </c>
      <c r="G944" s="8">
        <f>IF(ISNA(MATCH(931,Engine!$C$2:$C$1960,0)),"",INDEX('Compliance Database'!$G$2:$G$1960,MATCH(931,Engine!$C$2:$C$1960,0)))</f>
        <v/>
      </c>
      <c r="H944" s="9">
        <f>IF(ISNA(MATCH(931,Engine!$C$2:$C$1960,0)),"",INDEX('Compliance Database'!$H$2:$H$1960,MATCH(931,Engine!$C$2:$C$1960,0)))</f>
        <v/>
      </c>
      <c r="I944" s="9">
        <f>IF(ISNA(MATCH(931,Engine!$C$2:$C$1960,0)),"",INDEX('Compliance Database'!$I$2:$I$1960,MATCH(931,Engine!$C$2:$C$1960,0)))</f>
        <v/>
      </c>
      <c r="J944" s="8">
        <f>IF(ISNA(MATCH(931,Engine!$C$2:$C$1960,0)),"",INDEX('Compliance Database'!$J$2:$J$1960,MATCH(931,Engine!$C$2:$C$1960,0)))</f>
        <v/>
      </c>
      <c r="K944" s="9">
        <f>IF(ISNA(MATCH(931,Engine!$C$2:$C$1960,0)),"",INDEX('Compliance Database'!$K$2:$K$1960,MATCH(931,Engine!$C$2:$C$1960,0)))</f>
        <v/>
      </c>
      <c r="L944" s="9">
        <f>IF(ISNA(MATCH(931,Engine!$C$2:$C$1960,0)),"",INDEX('Compliance Database'!$L$2:$L$1960,MATCH(931,Engine!$C$2:$C$1960,0)))</f>
        <v/>
      </c>
      <c r="M944" s="9">
        <f>IF(ISNA(MATCH(931,Engine!$C$2:$C$1960,0)),"",INDEX('Compliance Database'!$M$2:$M$1960,MATCH(931,Engine!$C$2:$C$1960,0)))</f>
        <v/>
      </c>
      <c r="N944" s="9">
        <f>IF(ISNA(MATCH(931,Engine!$C$2:$C$1960,0)),"",INDEX('Compliance Database'!$N$2:$N$1960,MATCH(931,Engine!$C$2:$C$1960,0)))</f>
        <v/>
      </c>
      <c r="O944" s="9">
        <f>IF(ISNA(MATCH(931,Engine!$C$2:$C$1960,0)),"",INDEX('Compliance Database'!$O$2:$O$1960,MATCH(931,Engine!$C$2:$C$1960,0)))</f>
        <v/>
      </c>
      <c r="P944" s="8">
        <f>IF(ISNA(MATCH(931,Engine!$C$2:$C$1960,0)),"",HYPERLINK("#Acts!A"&amp;INDEX('Compliance Database'!$P$2:$P$1960,MATCH(931,Engine!$C$2:$C$1960,0)),"Go to Act"))</f>
        <v/>
      </c>
    </row>
    <row r="945" ht="158" customHeight="1">
      <c r="A945" s="8">
        <f>IF(ISNA(MATCH(932,Engine!$C$2:$C$1960,0)),"",INDEX('Compliance Database'!$A$2:$A$1960,MATCH(932,Engine!$C$2:$C$1960,0)))</f>
        <v/>
      </c>
      <c r="B945" s="8">
        <f>IF(ISNA(MATCH(932,Engine!$C$2:$C$1960,0)),"",INDEX('Compliance Database'!$B$2:$B$1960,MATCH(932,Engine!$C$2:$C$1960,0)))</f>
        <v/>
      </c>
      <c r="C945" s="8">
        <f>IF(ISNA(MATCH(932,Engine!$C$2:$C$1960,0)),"",INDEX('Compliance Database'!$C$2:$C$1960,MATCH(932,Engine!$C$2:$C$1960,0)))</f>
        <v/>
      </c>
      <c r="D945" s="9">
        <f>IF(ISNA(MATCH(932,Engine!$C$2:$C$1960,0)),"",INDEX('Compliance Database'!$D$2:$D$1960,MATCH(932,Engine!$C$2:$C$1960,0)))</f>
        <v/>
      </c>
      <c r="E945" s="8">
        <f>IF(ISNA(MATCH(932,Engine!$C$2:$C$1960,0)),"",INDEX('Compliance Database'!$E$2:$E$1960,MATCH(932,Engine!$C$2:$C$1960,0)))</f>
        <v/>
      </c>
      <c r="F945" s="8">
        <f>IF(ISNA(MATCH(932,Engine!$C$2:$C$1960,0)),"",INDEX('Compliance Database'!$F$2:$F$1960,MATCH(932,Engine!$C$2:$C$1960,0)))</f>
        <v/>
      </c>
      <c r="G945" s="8">
        <f>IF(ISNA(MATCH(932,Engine!$C$2:$C$1960,0)),"",INDEX('Compliance Database'!$G$2:$G$1960,MATCH(932,Engine!$C$2:$C$1960,0)))</f>
        <v/>
      </c>
      <c r="H945" s="9">
        <f>IF(ISNA(MATCH(932,Engine!$C$2:$C$1960,0)),"",INDEX('Compliance Database'!$H$2:$H$1960,MATCH(932,Engine!$C$2:$C$1960,0)))</f>
        <v/>
      </c>
      <c r="I945" s="9">
        <f>IF(ISNA(MATCH(932,Engine!$C$2:$C$1960,0)),"",INDEX('Compliance Database'!$I$2:$I$1960,MATCH(932,Engine!$C$2:$C$1960,0)))</f>
        <v/>
      </c>
      <c r="J945" s="8">
        <f>IF(ISNA(MATCH(932,Engine!$C$2:$C$1960,0)),"",INDEX('Compliance Database'!$J$2:$J$1960,MATCH(932,Engine!$C$2:$C$1960,0)))</f>
        <v/>
      </c>
      <c r="K945" s="9">
        <f>IF(ISNA(MATCH(932,Engine!$C$2:$C$1960,0)),"",INDEX('Compliance Database'!$K$2:$K$1960,MATCH(932,Engine!$C$2:$C$1960,0)))</f>
        <v/>
      </c>
      <c r="L945" s="9">
        <f>IF(ISNA(MATCH(932,Engine!$C$2:$C$1960,0)),"",INDEX('Compliance Database'!$L$2:$L$1960,MATCH(932,Engine!$C$2:$C$1960,0)))</f>
        <v/>
      </c>
      <c r="M945" s="9">
        <f>IF(ISNA(MATCH(932,Engine!$C$2:$C$1960,0)),"",INDEX('Compliance Database'!$M$2:$M$1960,MATCH(932,Engine!$C$2:$C$1960,0)))</f>
        <v/>
      </c>
      <c r="N945" s="9">
        <f>IF(ISNA(MATCH(932,Engine!$C$2:$C$1960,0)),"",INDEX('Compliance Database'!$N$2:$N$1960,MATCH(932,Engine!$C$2:$C$1960,0)))</f>
        <v/>
      </c>
      <c r="O945" s="9">
        <f>IF(ISNA(MATCH(932,Engine!$C$2:$C$1960,0)),"",INDEX('Compliance Database'!$O$2:$O$1960,MATCH(932,Engine!$C$2:$C$1960,0)))</f>
        <v/>
      </c>
      <c r="P945" s="8">
        <f>IF(ISNA(MATCH(932,Engine!$C$2:$C$1960,0)),"",HYPERLINK("#Acts!A"&amp;INDEX('Compliance Database'!$P$2:$P$1960,MATCH(932,Engine!$C$2:$C$1960,0)),"Go to Act"))</f>
        <v/>
      </c>
    </row>
    <row r="946" ht="158" customHeight="1">
      <c r="A946" s="8">
        <f>IF(ISNA(MATCH(933,Engine!$C$2:$C$1960,0)),"",INDEX('Compliance Database'!$A$2:$A$1960,MATCH(933,Engine!$C$2:$C$1960,0)))</f>
        <v/>
      </c>
      <c r="B946" s="8">
        <f>IF(ISNA(MATCH(933,Engine!$C$2:$C$1960,0)),"",INDEX('Compliance Database'!$B$2:$B$1960,MATCH(933,Engine!$C$2:$C$1960,0)))</f>
        <v/>
      </c>
      <c r="C946" s="8">
        <f>IF(ISNA(MATCH(933,Engine!$C$2:$C$1960,0)),"",INDEX('Compliance Database'!$C$2:$C$1960,MATCH(933,Engine!$C$2:$C$1960,0)))</f>
        <v/>
      </c>
      <c r="D946" s="9">
        <f>IF(ISNA(MATCH(933,Engine!$C$2:$C$1960,0)),"",INDEX('Compliance Database'!$D$2:$D$1960,MATCH(933,Engine!$C$2:$C$1960,0)))</f>
        <v/>
      </c>
      <c r="E946" s="8">
        <f>IF(ISNA(MATCH(933,Engine!$C$2:$C$1960,0)),"",INDEX('Compliance Database'!$E$2:$E$1960,MATCH(933,Engine!$C$2:$C$1960,0)))</f>
        <v/>
      </c>
      <c r="F946" s="8">
        <f>IF(ISNA(MATCH(933,Engine!$C$2:$C$1960,0)),"",INDEX('Compliance Database'!$F$2:$F$1960,MATCH(933,Engine!$C$2:$C$1960,0)))</f>
        <v/>
      </c>
      <c r="G946" s="8">
        <f>IF(ISNA(MATCH(933,Engine!$C$2:$C$1960,0)),"",INDEX('Compliance Database'!$G$2:$G$1960,MATCH(933,Engine!$C$2:$C$1960,0)))</f>
        <v/>
      </c>
      <c r="H946" s="9">
        <f>IF(ISNA(MATCH(933,Engine!$C$2:$C$1960,0)),"",INDEX('Compliance Database'!$H$2:$H$1960,MATCH(933,Engine!$C$2:$C$1960,0)))</f>
        <v/>
      </c>
      <c r="I946" s="9">
        <f>IF(ISNA(MATCH(933,Engine!$C$2:$C$1960,0)),"",INDEX('Compliance Database'!$I$2:$I$1960,MATCH(933,Engine!$C$2:$C$1960,0)))</f>
        <v/>
      </c>
      <c r="J946" s="8">
        <f>IF(ISNA(MATCH(933,Engine!$C$2:$C$1960,0)),"",INDEX('Compliance Database'!$J$2:$J$1960,MATCH(933,Engine!$C$2:$C$1960,0)))</f>
        <v/>
      </c>
      <c r="K946" s="9">
        <f>IF(ISNA(MATCH(933,Engine!$C$2:$C$1960,0)),"",INDEX('Compliance Database'!$K$2:$K$1960,MATCH(933,Engine!$C$2:$C$1960,0)))</f>
        <v/>
      </c>
      <c r="L946" s="9">
        <f>IF(ISNA(MATCH(933,Engine!$C$2:$C$1960,0)),"",INDEX('Compliance Database'!$L$2:$L$1960,MATCH(933,Engine!$C$2:$C$1960,0)))</f>
        <v/>
      </c>
      <c r="M946" s="9">
        <f>IF(ISNA(MATCH(933,Engine!$C$2:$C$1960,0)),"",INDEX('Compliance Database'!$M$2:$M$1960,MATCH(933,Engine!$C$2:$C$1960,0)))</f>
        <v/>
      </c>
      <c r="N946" s="9">
        <f>IF(ISNA(MATCH(933,Engine!$C$2:$C$1960,0)),"",INDEX('Compliance Database'!$N$2:$N$1960,MATCH(933,Engine!$C$2:$C$1960,0)))</f>
        <v/>
      </c>
      <c r="O946" s="9">
        <f>IF(ISNA(MATCH(933,Engine!$C$2:$C$1960,0)),"",INDEX('Compliance Database'!$O$2:$O$1960,MATCH(933,Engine!$C$2:$C$1960,0)))</f>
        <v/>
      </c>
      <c r="P946" s="8">
        <f>IF(ISNA(MATCH(933,Engine!$C$2:$C$1960,0)),"",HYPERLINK("#Acts!A"&amp;INDEX('Compliance Database'!$P$2:$P$1960,MATCH(933,Engine!$C$2:$C$1960,0)),"Go to Act"))</f>
        <v/>
      </c>
    </row>
    <row r="947" ht="158" customHeight="1">
      <c r="A947" s="8">
        <f>IF(ISNA(MATCH(934,Engine!$C$2:$C$1960,0)),"",INDEX('Compliance Database'!$A$2:$A$1960,MATCH(934,Engine!$C$2:$C$1960,0)))</f>
        <v/>
      </c>
      <c r="B947" s="8">
        <f>IF(ISNA(MATCH(934,Engine!$C$2:$C$1960,0)),"",INDEX('Compliance Database'!$B$2:$B$1960,MATCH(934,Engine!$C$2:$C$1960,0)))</f>
        <v/>
      </c>
      <c r="C947" s="8">
        <f>IF(ISNA(MATCH(934,Engine!$C$2:$C$1960,0)),"",INDEX('Compliance Database'!$C$2:$C$1960,MATCH(934,Engine!$C$2:$C$1960,0)))</f>
        <v/>
      </c>
      <c r="D947" s="9">
        <f>IF(ISNA(MATCH(934,Engine!$C$2:$C$1960,0)),"",INDEX('Compliance Database'!$D$2:$D$1960,MATCH(934,Engine!$C$2:$C$1960,0)))</f>
        <v/>
      </c>
      <c r="E947" s="8">
        <f>IF(ISNA(MATCH(934,Engine!$C$2:$C$1960,0)),"",INDEX('Compliance Database'!$E$2:$E$1960,MATCH(934,Engine!$C$2:$C$1960,0)))</f>
        <v/>
      </c>
      <c r="F947" s="8">
        <f>IF(ISNA(MATCH(934,Engine!$C$2:$C$1960,0)),"",INDEX('Compliance Database'!$F$2:$F$1960,MATCH(934,Engine!$C$2:$C$1960,0)))</f>
        <v/>
      </c>
      <c r="G947" s="8">
        <f>IF(ISNA(MATCH(934,Engine!$C$2:$C$1960,0)),"",INDEX('Compliance Database'!$G$2:$G$1960,MATCH(934,Engine!$C$2:$C$1960,0)))</f>
        <v/>
      </c>
      <c r="H947" s="9">
        <f>IF(ISNA(MATCH(934,Engine!$C$2:$C$1960,0)),"",INDEX('Compliance Database'!$H$2:$H$1960,MATCH(934,Engine!$C$2:$C$1960,0)))</f>
        <v/>
      </c>
      <c r="I947" s="9">
        <f>IF(ISNA(MATCH(934,Engine!$C$2:$C$1960,0)),"",INDEX('Compliance Database'!$I$2:$I$1960,MATCH(934,Engine!$C$2:$C$1960,0)))</f>
        <v/>
      </c>
      <c r="J947" s="8">
        <f>IF(ISNA(MATCH(934,Engine!$C$2:$C$1960,0)),"",INDEX('Compliance Database'!$J$2:$J$1960,MATCH(934,Engine!$C$2:$C$1960,0)))</f>
        <v/>
      </c>
      <c r="K947" s="9">
        <f>IF(ISNA(MATCH(934,Engine!$C$2:$C$1960,0)),"",INDEX('Compliance Database'!$K$2:$K$1960,MATCH(934,Engine!$C$2:$C$1960,0)))</f>
        <v/>
      </c>
      <c r="L947" s="9">
        <f>IF(ISNA(MATCH(934,Engine!$C$2:$C$1960,0)),"",INDEX('Compliance Database'!$L$2:$L$1960,MATCH(934,Engine!$C$2:$C$1960,0)))</f>
        <v/>
      </c>
      <c r="M947" s="9">
        <f>IF(ISNA(MATCH(934,Engine!$C$2:$C$1960,0)),"",INDEX('Compliance Database'!$M$2:$M$1960,MATCH(934,Engine!$C$2:$C$1960,0)))</f>
        <v/>
      </c>
      <c r="N947" s="9">
        <f>IF(ISNA(MATCH(934,Engine!$C$2:$C$1960,0)),"",INDEX('Compliance Database'!$N$2:$N$1960,MATCH(934,Engine!$C$2:$C$1960,0)))</f>
        <v/>
      </c>
      <c r="O947" s="9">
        <f>IF(ISNA(MATCH(934,Engine!$C$2:$C$1960,0)),"",INDEX('Compliance Database'!$O$2:$O$1960,MATCH(934,Engine!$C$2:$C$1960,0)))</f>
        <v/>
      </c>
      <c r="P947" s="8">
        <f>IF(ISNA(MATCH(934,Engine!$C$2:$C$1960,0)),"",HYPERLINK("#Acts!A"&amp;INDEX('Compliance Database'!$P$2:$P$1960,MATCH(934,Engine!$C$2:$C$1960,0)),"Go to Act"))</f>
        <v/>
      </c>
    </row>
    <row r="948" ht="158" customHeight="1">
      <c r="A948" s="8">
        <f>IF(ISNA(MATCH(935,Engine!$C$2:$C$1960,0)),"",INDEX('Compliance Database'!$A$2:$A$1960,MATCH(935,Engine!$C$2:$C$1960,0)))</f>
        <v/>
      </c>
      <c r="B948" s="8">
        <f>IF(ISNA(MATCH(935,Engine!$C$2:$C$1960,0)),"",INDEX('Compliance Database'!$B$2:$B$1960,MATCH(935,Engine!$C$2:$C$1960,0)))</f>
        <v/>
      </c>
      <c r="C948" s="8">
        <f>IF(ISNA(MATCH(935,Engine!$C$2:$C$1960,0)),"",INDEX('Compliance Database'!$C$2:$C$1960,MATCH(935,Engine!$C$2:$C$1960,0)))</f>
        <v/>
      </c>
      <c r="D948" s="9">
        <f>IF(ISNA(MATCH(935,Engine!$C$2:$C$1960,0)),"",INDEX('Compliance Database'!$D$2:$D$1960,MATCH(935,Engine!$C$2:$C$1960,0)))</f>
        <v/>
      </c>
      <c r="E948" s="8">
        <f>IF(ISNA(MATCH(935,Engine!$C$2:$C$1960,0)),"",INDEX('Compliance Database'!$E$2:$E$1960,MATCH(935,Engine!$C$2:$C$1960,0)))</f>
        <v/>
      </c>
      <c r="F948" s="8">
        <f>IF(ISNA(MATCH(935,Engine!$C$2:$C$1960,0)),"",INDEX('Compliance Database'!$F$2:$F$1960,MATCH(935,Engine!$C$2:$C$1960,0)))</f>
        <v/>
      </c>
      <c r="G948" s="8">
        <f>IF(ISNA(MATCH(935,Engine!$C$2:$C$1960,0)),"",INDEX('Compliance Database'!$G$2:$G$1960,MATCH(935,Engine!$C$2:$C$1960,0)))</f>
        <v/>
      </c>
      <c r="H948" s="9">
        <f>IF(ISNA(MATCH(935,Engine!$C$2:$C$1960,0)),"",INDEX('Compliance Database'!$H$2:$H$1960,MATCH(935,Engine!$C$2:$C$1960,0)))</f>
        <v/>
      </c>
      <c r="I948" s="9">
        <f>IF(ISNA(MATCH(935,Engine!$C$2:$C$1960,0)),"",INDEX('Compliance Database'!$I$2:$I$1960,MATCH(935,Engine!$C$2:$C$1960,0)))</f>
        <v/>
      </c>
      <c r="J948" s="8">
        <f>IF(ISNA(MATCH(935,Engine!$C$2:$C$1960,0)),"",INDEX('Compliance Database'!$J$2:$J$1960,MATCH(935,Engine!$C$2:$C$1960,0)))</f>
        <v/>
      </c>
      <c r="K948" s="9">
        <f>IF(ISNA(MATCH(935,Engine!$C$2:$C$1960,0)),"",INDEX('Compliance Database'!$K$2:$K$1960,MATCH(935,Engine!$C$2:$C$1960,0)))</f>
        <v/>
      </c>
      <c r="L948" s="9">
        <f>IF(ISNA(MATCH(935,Engine!$C$2:$C$1960,0)),"",INDEX('Compliance Database'!$L$2:$L$1960,MATCH(935,Engine!$C$2:$C$1960,0)))</f>
        <v/>
      </c>
      <c r="M948" s="9">
        <f>IF(ISNA(MATCH(935,Engine!$C$2:$C$1960,0)),"",INDEX('Compliance Database'!$M$2:$M$1960,MATCH(935,Engine!$C$2:$C$1960,0)))</f>
        <v/>
      </c>
      <c r="N948" s="9">
        <f>IF(ISNA(MATCH(935,Engine!$C$2:$C$1960,0)),"",INDEX('Compliance Database'!$N$2:$N$1960,MATCH(935,Engine!$C$2:$C$1960,0)))</f>
        <v/>
      </c>
      <c r="O948" s="9">
        <f>IF(ISNA(MATCH(935,Engine!$C$2:$C$1960,0)),"",INDEX('Compliance Database'!$O$2:$O$1960,MATCH(935,Engine!$C$2:$C$1960,0)))</f>
        <v/>
      </c>
      <c r="P948" s="8">
        <f>IF(ISNA(MATCH(935,Engine!$C$2:$C$1960,0)),"",HYPERLINK("#Acts!A"&amp;INDEX('Compliance Database'!$P$2:$P$1960,MATCH(935,Engine!$C$2:$C$1960,0)),"Go to Act"))</f>
        <v/>
      </c>
    </row>
    <row r="949" ht="158" customHeight="1">
      <c r="A949" s="8">
        <f>IF(ISNA(MATCH(936,Engine!$C$2:$C$1960,0)),"",INDEX('Compliance Database'!$A$2:$A$1960,MATCH(936,Engine!$C$2:$C$1960,0)))</f>
        <v/>
      </c>
      <c r="B949" s="8">
        <f>IF(ISNA(MATCH(936,Engine!$C$2:$C$1960,0)),"",INDEX('Compliance Database'!$B$2:$B$1960,MATCH(936,Engine!$C$2:$C$1960,0)))</f>
        <v/>
      </c>
      <c r="C949" s="8">
        <f>IF(ISNA(MATCH(936,Engine!$C$2:$C$1960,0)),"",INDEX('Compliance Database'!$C$2:$C$1960,MATCH(936,Engine!$C$2:$C$1960,0)))</f>
        <v/>
      </c>
      <c r="D949" s="9">
        <f>IF(ISNA(MATCH(936,Engine!$C$2:$C$1960,0)),"",INDEX('Compliance Database'!$D$2:$D$1960,MATCH(936,Engine!$C$2:$C$1960,0)))</f>
        <v/>
      </c>
      <c r="E949" s="8">
        <f>IF(ISNA(MATCH(936,Engine!$C$2:$C$1960,0)),"",INDEX('Compliance Database'!$E$2:$E$1960,MATCH(936,Engine!$C$2:$C$1960,0)))</f>
        <v/>
      </c>
      <c r="F949" s="8">
        <f>IF(ISNA(MATCH(936,Engine!$C$2:$C$1960,0)),"",INDEX('Compliance Database'!$F$2:$F$1960,MATCH(936,Engine!$C$2:$C$1960,0)))</f>
        <v/>
      </c>
      <c r="G949" s="8">
        <f>IF(ISNA(MATCH(936,Engine!$C$2:$C$1960,0)),"",INDEX('Compliance Database'!$G$2:$G$1960,MATCH(936,Engine!$C$2:$C$1960,0)))</f>
        <v/>
      </c>
      <c r="H949" s="9">
        <f>IF(ISNA(MATCH(936,Engine!$C$2:$C$1960,0)),"",INDEX('Compliance Database'!$H$2:$H$1960,MATCH(936,Engine!$C$2:$C$1960,0)))</f>
        <v/>
      </c>
      <c r="I949" s="9">
        <f>IF(ISNA(MATCH(936,Engine!$C$2:$C$1960,0)),"",INDEX('Compliance Database'!$I$2:$I$1960,MATCH(936,Engine!$C$2:$C$1960,0)))</f>
        <v/>
      </c>
      <c r="J949" s="8">
        <f>IF(ISNA(MATCH(936,Engine!$C$2:$C$1960,0)),"",INDEX('Compliance Database'!$J$2:$J$1960,MATCH(936,Engine!$C$2:$C$1960,0)))</f>
        <v/>
      </c>
      <c r="K949" s="9">
        <f>IF(ISNA(MATCH(936,Engine!$C$2:$C$1960,0)),"",INDEX('Compliance Database'!$K$2:$K$1960,MATCH(936,Engine!$C$2:$C$1960,0)))</f>
        <v/>
      </c>
      <c r="L949" s="9">
        <f>IF(ISNA(MATCH(936,Engine!$C$2:$C$1960,0)),"",INDEX('Compliance Database'!$L$2:$L$1960,MATCH(936,Engine!$C$2:$C$1960,0)))</f>
        <v/>
      </c>
      <c r="M949" s="9">
        <f>IF(ISNA(MATCH(936,Engine!$C$2:$C$1960,0)),"",INDEX('Compliance Database'!$M$2:$M$1960,MATCH(936,Engine!$C$2:$C$1960,0)))</f>
        <v/>
      </c>
      <c r="N949" s="9">
        <f>IF(ISNA(MATCH(936,Engine!$C$2:$C$1960,0)),"",INDEX('Compliance Database'!$N$2:$N$1960,MATCH(936,Engine!$C$2:$C$1960,0)))</f>
        <v/>
      </c>
      <c r="O949" s="9">
        <f>IF(ISNA(MATCH(936,Engine!$C$2:$C$1960,0)),"",INDEX('Compliance Database'!$O$2:$O$1960,MATCH(936,Engine!$C$2:$C$1960,0)))</f>
        <v/>
      </c>
      <c r="P949" s="8">
        <f>IF(ISNA(MATCH(936,Engine!$C$2:$C$1960,0)),"",HYPERLINK("#Acts!A"&amp;INDEX('Compliance Database'!$P$2:$P$1960,MATCH(936,Engine!$C$2:$C$1960,0)),"Go to Act"))</f>
        <v/>
      </c>
    </row>
    <row r="950" ht="158" customHeight="1">
      <c r="A950" s="8">
        <f>IF(ISNA(MATCH(937,Engine!$C$2:$C$1960,0)),"",INDEX('Compliance Database'!$A$2:$A$1960,MATCH(937,Engine!$C$2:$C$1960,0)))</f>
        <v/>
      </c>
      <c r="B950" s="8">
        <f>IF(ISNA(MATCH(937,Engine!$C$2:$C$1960,0)),"",INDEX('Compliance Database'!$B$2:$B$1960,MATCH(937,Engine!$C$2:$C$1960,0)))</f>
        <v/>
      </c>
      <c r="C950" s="8">
        <f>IF(ISNA(MATCH(937,Engine!$C$2:$C$1960,0)),"",INDEX('Compliance Database'!$C$2:$C$1960,MATCH(937,Engine!$C$2:$C$1960,0)))</f>
        <v/>
      </c>
      <c r="D950" s="9">
        <f>IF(ISNA(MATCH(937,Engine!$C$2:$C$1960,0)),"",INDEX('Compliance Database'!$D$2:$D$1960,MATCH(937,Engine!$C$2:$C$1960,0)))</f>
        <v/>
      </c>
      <c r="E950" s="8">
        <f>IF(ISNA(MATCH(937,Engine!$C$2:$C$1960,0)),"",INDEX('Compliance Database'!$E$2:$E$1960,MATCH(937,Engine!$C$2:$C$1960,0)))</f>
        <v/>
      </c>
      <c r="F950" s="8">
        <f>IF(ISNA(MATCH(937,Engine!$C$2:$C$1960,0)),"",INDEX('Compliance Database'!$F$2:$F$1960,MATCH(937,Engine!$C$2:$C$1960,0)))</f>
        <v/>
      </c>
      <c r="G950" s="8">
        <f>IF(ISNA(MATCH(937,Engine!$C$2:$C$1960,0)),"",INDEX('Compliance Database'!$G$2:$G$1960,MATCH(937,Engine!$C$2:$C$1960,0)))</f>
        <v/>
      </c>
      <c r="H950" s="9">
        <f>IF(ISNA(MATCH(937,Engine!$C$2:$C$1960,0)),"",INDEX('Compliance Database'!$H$2:$H$1960,MATCH(937,Engine!$C$2:$C$1960,0)))</f>
        <v/>
      </c>
      <c r="I950" s="9">
        <f>IF(ISNA(MATCH(937,Engine!$C$2:$C$1960,0)),"",INDEX('Compliance Database'!$I$2:$I$1960,MATCH(937,Engine!$C$2:$C$1960,0)))</f>
        <v/>
      </c>
      <c r="J950" s="8">
        <f>IF(ISNA(MATCH(937,Engine!$C$2:$C$1960,0)),"",INDEX('Compliance Database'!$J$2:$J$1960,MATCH(937,Engine!$C$2:$C$1960,0)))</f>
        <v/>
      </c>
      <c r="K950" s="9">
        <f>IF(ISNA(MATCH(937,Engine!$C$2:$C$1960,0)),"",INDEX('Compliance Database'!$K$2:$K$1960,MATCH(937,Engine!$C$2:$C$1960,0)))</f>
        <v/>
      </c>
      <c r="L950" s="9">
        <f>IF(ISNA(MATCH(937,Engine!$C$2:$C$1960,0)),"",INDEX('Compliance Database'!$L$2:$L$1960,MATCH(937,Engine!$C$2:$C$1960,0)))</f>
        <v/>
      </c>
      <c r="M950" s="9">
        <f>IF(ISNA(MATCH(937,Engine!$C$2:$C$1960,0)),"",INDEX('Compliance Database'!$M$2:$M$1960,MATCH(937,Engine!$C$2:$C$1960,0)))</f>
        <v/>
      </c>
      <c r="N950" s="9">
        <f>IF(ISNA(MATCH(937,Engine!$C$2:$C$1960,0)),"",INDEX('Compliance Database'!$N$2:$N$1960,MATCH(937,Engine!$C$2:$C$1960,0)))</f>
        <v/>
      </c>
      <c r="O950" s="9">
        <f>IF(ISNA(MATCH(937,Engine!$C$2:$C$1960,0)),"",INDEX('Compliance Database'!$O$2:$O$1960,MATCH(937,Engine!$C$2:$C$1960,0)))</f>
        <v/>
      </c>
      <c r="P950" s="8">
        <f>IF(ISNA(MATCH(937,Engine!$C$2:$C$1960,0)),"",HYPERLINK("#Acts!A"&amp;INDEX('Compliance Database'!$P$2:$P$1960,MATCH(937,Engine!$C$2:$C$1960,0)),"Go to Act"))</f>
        <v/>
      </c>
    </row>
    <row r="951" ht="158" customHeight="1">
      <c r="A951" s="8">
        <f>IF(ISNA(MATCH(938,Engine!$C$2:$C$1960,0)),"",INDEX('Compliance Database'!$A$2:$A$1960,MATCH(938,Engine!$C$2:$C$1960,0)))</f>
        <v/>
      </c>
      <c r="B951" s="8">
        <f>IF(ISNA(MATCH(938,Engine!$C$2:$C$1960,0)),"",INDEX('Compliance Database'!$B$2:$B$1960,MATCH(938,Engine!$C$2:$C$1960,0)))</f>
        <v/>
      </c>
      <c r="C951" s="8">
        <f>IF(ISNA(MATCH(938,Engine!$C$2:$C$1960,0)),"",INDEX('Compliance Database'!$C$2:$C$1960,MATCH(938,Engine!$C$2:$C$1960,0)))</f>
        <v/>
      </c>
      <c r="D951" s="9">
        <f>IF(ISNA(MATCH(938,Engine!$C$2:$C$1960,0)),"",INDEX('Compliance Database'!$D$2:$D$1960,MATCH(938,Engine!$C$2:$C$1960,0)))</f>
        <v/>
      </c>
      <c r="E951" s="8">
        <f>IF(ISNA(MATCH(938,Engine!$C$2:$C$1960,0)),"",INDEX('Compliance Database'!$E$2:$E$1960,MATCH(938,Engine!$C$2:$C$1960,0)))</f>
        <v/>
      </c>
      <c r="F951" s="8">
        <f>IF(ISNA(MATCH(938,Engine!$C$2:$C$1960,0)),"",INDEX('Compliance Database'!$F$2:$F$1960,MATCH(938,Engine!$C$2:$C$1960,0)))</f>
        <v/>
      </c>
      <c r="G951" s="8">
        <f>IF(ISNA(MATCH(938,Engine!$C$2:$C$1960,0)),"",INDEX('Compliance Database'!$G$2:$G$1960,MATCH(938,Engine!$C$2:$C$1960,0)))</f>
        <v/>
      </c>
      <c r="H951" s="9">
        <f>IF(ISNA(MATCH(938,Engine!$C$2:$C$1960,0)),"",INDEX('Compliance Database'!$H$2:$H$1960,MATCH(938,Engine!$C$2:$C$1960,0)))</f>
        <v/>
      </c>
      <c r="I951" s="9">
        <f>IF(ISNA(MATCH(938,Engine!$C$2:$C$1960,0)),"",INDEX('Compliance Database'!$I$2:$I$1960,MATCH(938,Engine!$C$2:$C$1960,0)))</f>
        <v/>
      </c>
      <c r="J951" s="8">
        <f>IF(ISNA(MATCH(938,Engine!$C$2:$C$1960,0)),"",INDEX('Compliance Database'!$J$2:$J$1960,MATCH(938,Engine!$C$2:$C$1960,0)))</f>
        <v/>
      </c>
      <c r="K951" s="9">
        <f>IF(ISNA(MATCH(938,Engine!$C$2:$C$1960,0)),"",INDEX('Compliance Database'!$K$2:$K$1960,MATCH(938,Engine!$C$2:$C$1960,0)))</f>
        <v/>
      </c>
      <c r="L951" s="9">
        <f>IF(ISNA(MATCH(938,Engine!$C$2:$C$1960,0)),"",INDEX('Compliance Database'!$L$2:$L$1960,MATCH(938,Engine!$C$2:$C$1960,0)))</f>
        <v/>
      </c>
      <c r="M951" s="9">
        <f>IF(ISNA(MATCH(938,Engine!$C$2:$C$1960,0)),"",INDEX('Compliance Database'!$M$2:$M$1960,MATCH(938,Engine!$C$2:$C$1960,0)))</f>
        <v/>
      </c>
      <c r="N951" s="9">
        <f>IF(ISNA(MATCH(938,Engine!$C$2:$C$1960,0)),"",INDEX('Compliance Database'!$N$2:$N$1960,MATCH(938,Engine!$C$2:$C$1960,0)))</f>
        <v/>
      </c>
      <c r="O951" s="9">
        <f>IF(ISNA(MATCH(938,Engine!$C$2:$C$1960,0)),"",INDEX('Compliance Database'!$O$2:$O$1960,MATCH(938,Engine!$C$2:$C$1960,0)))</f>
        <v/>
      </c>
      <c r="P951" s="8">
        <f>IF(ISNA(MATCH(938,Engine!$C$2:$C$1960,0)),"",HYPERLINK("#Acts!A"&amp;INDEX('Compliance Database'!$P$2:$P$1960,MATCH(938,Engine!$C$2:$C$1960,0)),"Go to Act"))</f>
        <v/>
      </c>
    </row>
    <row r="952" ht="158" customHeight="1">
      <c r="A952" s="8">
        <f>IF(ISNA(MATCH(939,Engine!$C$2:$C$1960,0)),"",INDEX('Compliance Database'!$A$2:$A$1960,MATCH(939,Engine!$C$2:$C$1960,0)))</f>
        <v/>
      </c>
      <c r="B952" s="8">
        <f>IF(ISNA(MATCH(939,Engine!$C$2:$C$1960,0)),"",INDEX('Compliance Database'!$B$2:$B$1960,MATCH(939,Engine!$C$2:$C$1960,0)))</f>
        <v/>
      </c>
      <c r="C952" s="8">
        <f>IF(ISNA(MATCH(939,Engine!$C$2:$C$1960,0)),"",INDEX('Compliance Database'!$C$2:$C$1960,MATCH(939,Engine!$C$2:$C$1960,0)))</f>
        <v/>
      </c>
      <c r="D952" s="9">
        <f>IF(ISNA(MATCH(939,Engine!$C$2:$C$1960,0)),"",INDEX('Compliance Database'!$D$2:$D$1960,MATCH(939,Engine!$C$2:$C$1960,0)))</f>
        <v/>
      </c>
      <c r="E952" s="8">
        <f>IF(ISNA(MATCH(939,Engine!$C$2:$C$1960,0)),"",INDEX('Compliance Database'!$E$2:$E$1960,MATCH(939,Engine!$C$2:$C$1960,0)))</f>
        <v/>
      </c>
      <c r="F952" s="8">
        <f>IF(ISNA(MATCH(939,Engine!$C$2:$C$1960,0)),"",INDEX('Compliance Database'!$F$2:$F$1960,MATCH(939,Engine!$C$2:$C$1960,0)))</f>
        <v/>
      </c>
      <c r="G952" s="8">
        <f>IF(ISNA(MATCH(939,Engine!$C$2:$C$1960,0)),"",INDEX('Compliance Database'!$G$2:$G$1960,MATCH(939,Engine!$C$2:$C$1960,0)))</f>
        <v/>
      </c>
      <c r="H952" s="9">
        <f>IF(ISNA(MATCH(939,Engine!$C$2:$C$1960,0)),"",INDEX('Compliance Database'!$H$2:$H$1960,MATCH(939,Engine!$C$2:$C$1960,0)))</f>
        <v/>
      </c>
      <c r="I952" s="9">
        <f>IF(ISNA(MATCH(939,Engine!$C$2:$C$1960,0)),"",INDEX('Compliance Database'!$I$2:$I$1960,MATCH(939,Engine!$C$2:$C$1960,0)))</f>
        <v/>
      </c>
      <c r="J952" s="8">
        <f>IF(ISNA(MATCH(939,Engine!$C$2:$C$1960,0)),"",INDEX('Compliance Database'!$J$2:$J$1960,MATCH(939,Engine!$C$2:$C$1960,0)))</f>
        <v/>
      </c>
      <c r="K952" s="9">
        <f>IF(ISNA(MATCH(939,Engine!$C$2:$C$1960,0)),"",INDEX('Compliance Database'!$K$2:$K$1960,MATCH(939,Engine!$C$2:$C$1960,0)))</f>
        <v/>
      </c>
      <c r="L952" s="9">
        <f>IF(ISNA(MATCH(939,Engine!$C$2:$C$1960,0)),"",INDEX('Compliance Database'!$L$2:$L$1960,MATCH(939,Engine!$C$2:$C$1960,0)))</f>
        <v/>
      </c>
      <c r="M952" s="9">
        <f>IF(ISNA(MATCH(939,Engine!$C$2:$C$1960,0)),"",INDEX('Compliance Database'!$M$2:$M$1960,MATCH(939,Engine!$C$2:$C$1960,0)))</f>
        <v/>
      </c>
      <c r="N952" s="9">
        <f>IF(ISNA(MATCH(939,Engine!$C$2:$C$1960,0)),"",INDEX('Compliance Database'!$N$2:$N$1960,MATCH(939,Engine!$C$2:$C$1960,0)))</f>
        <v/>
      </c>
      <c r="O952" s="9">
        <f>IF(ISNA(MATCH(939,Engine!$C$2:$C$1960,0)),"",INDEX('Compliance Database'!$O$2:$O$1960,MATCH(939,Engine!$C$2:$C$1960,0)))</f>
        <v/>
      </c>
      <c r="P952" s="8">
        <f>IF(ISNA(MATCH(939,Engine!$C$2:$C$1960,0)),"",HYPERLINK("#Acts!A"&amp;INDEX('Compliance Database'!$P$2:$P$1960,MATCH(939,Engine!$C$2:$C$1960,0)),"Go to Act"))</f>
        <v/>
      </c>
    </row>
    <row r="953" ht="158" customHeight="1">
      <c r="A953" s="8">
        <f>IF(ISNA(MATCH(940,Engine!$C$2:$C$1960,0)),"",INDEX('Compliance Database'!$A$2:$A$1960,MATCH(940,Engine!$C$2:$C$1960,0)))</f>
        <v/>
      </c>
      <c r="B953" s="8">
        <f>IF(ISNA(MATCH(940,Engine!$C$2:$C$1960,0)),"",INDEX('Compliance Database'!$B$2:$B$1960,MATCH(940,Engine!$C$2:$C$1960,0)))</f>
        <v/>
      </c>
      <c r="C953" s="8">
        <f>IF(ISNA(MATCH(940,Engine!$C$2:$C$1960,0)),"",INDEX('Compliance Database'!$C$2:$C$1960,MATCH(940,Engine!$C$2:$C$1960,0)))</f>
        <v/>
      </c>
      <c r="D953" s="9">
        <f>IF(ISNA(MATCH(940,Engine!$C$2:$C$1960,0)),"",INDEX('Compliance Database'!$D$2:$D$1960,MATCH(940,Engine!$C$2:$C$1960,0)))</f>
        <v/>
      </c>
      <c r="E953" s="8">
        <f>IF(ISNA(MATCH(940,Engine!$C$2:$C$1960,0)),"",INDEX('Compliance Database'!$E$2:$E$1960,MATCH(940,Engine!$C$2:$C$1960,0)))</f>
        <v/>
      </c>
      <c r="F953" s="8">
        <f>IF(ISNA(MATCH(940,Engine!$C$2:$C$1960,0)),"",INDEX('Compliance Database'!$F$2:$F$1960,MATCH(940,Engine!$C$2:$C$1960,0)))</f>
        <v/>
      </c>
      <c r="G953" s="8">
        <f>IF(ISNA(MATCH(940,Engine!$C$2:$C$1960,0)),"",INDEX('Compliance Database'!$G$2:$G$1960,MATCH(940,Engine!$C$2:$C$1960,0)))</f>
        <v/>
      </c>
      <c r="H953" s="9">
        <f>IF(ISNA(MATCH(940,Engine!$C$2:$C$1960,0)),"",INDEX('Compliance Database'!$H$2:$H$1960,MATCH(940,Engine!$C$2:$C$1960,0)))</f>
        <v/>
      </c>
      <c r="I953" s="9">
        <f>IF(ISNA(MATCH(940,Engine!$C$2:$C$1960,0)),"",INDEX('Compliance Database'!$I$2:$I$1960,MATCH(940,Engine!$C$2:$C$1960,0)))</f>
        <v/>
      </c>
      <c r="J953" s="8">
        <f>IF(ISNA(MATCH(940,Engine!$C$2:$C$1960,0)),"",INDEX('Compliance Database'!$J$2:$J$1960,MATCH(940,Engine!$C$2:$C$1960,0)))</f>
        <v/>
      </c>
      <c r="K953" s="9">
        <f>IF(ISNA(MATCH(940,Engine!$C$2:$C$1960,0)),"",INDEX('Compliance Database'!$K$2:$K$1960,MATCH(940,Engine!$C$2:$C$1960,0)))</f>
        <v/>
      </c>
      <c r="L953" s="9">
        <f>IF(ISNA(MATCH(940,Engine!$C$2:$C$1960,0)),"",INDEX('Compliance Database'!$L$2:$L$1960,MATCH(940,Engine!$C$2:$C$1960,0)))</f>
        <v/>
      </c>
      <c r="M953" s="9">
        <f>IF(ISNA(MATCH(940,Engine!$C$2:$C$1960,0)),"",INDEX('Compliance Database'!$M$2:$M$1960,MATCH(940,Engine!$C$2:$C$1960,0)))</f>
        <v/>
      </c>
      <c r="N953" s="9">
        <f>IF(ISNA(MATCH(940,Engine!$C$2:$C$1960,0)),"",INDEX('Compliance Database'!$N$2:$N$1960,MATCH(940,Engine!$C$2:$C$1960,0)))</f>
        <v/>
      </c>
      <c r="O953" s="9">
        <f>IF(ISNA(MATCH(940,Engine!$C$2:$C$1960,0)),"",INDEX('Compliance Database'!$O$2:$O$1960,MATCH(940,Engine!$C$2:$C$1960,0)))</f>
        <v/>
      </c>
      <c r="P953" s="8">
        <f>IF(ISNA(MATCH(940,Engine!$C$2:$C$1960,0)),"",HYPERLINK("#Acts!A"&amp;INDEX('Compliance Database'!$P$2:$P$1960,MATCH(940,Engine!$C$2:$C$1960,0)),"Go to Act"))</f>
        <v/>
      </c>
    </row>
    <row r="954" ht="158" customHeight="1">
      <c r="A954" s="8">
        <f>IF(ISNA(MATCH(941,Engine!$C$2:$C$1960,0)),"",INDEX('Compliance Database'!$A$2:$A$1960,MATCH(941,Engine!$C$2:$C$1960,0)))</f>
        <v/>
      </c>
      <c r="B954" s="8">
        <f>IF(ISNA(MATCH(941,Engine!$C$2:$C$1960,0)),"",INDEX('Compliance Database'!$B$2:$B$1960,MATCH(941,Engine!$C$2:$C$1960,0)))</f>
        <v/>
      </c>
      <c r="C954" s="8">
        <f>IF(ISNA(MATCH(941,Engine!$C$2:$C$1960,0)),"",INDEX('Compliance Database'!$C$2:$C$1960,MATCH(941,Engine!$C$2:$C$1960,0)))</f>
        <v/>
      </c>
      <c r="D954" s="9">
        <f>IF(ISNA(MATCH(941,Engine!$C$2:$C$1960,0)),"",INDEX('Compliance Database'!$D$2:$D$1960,MATCH(941,Engine!$C$2:$C$1960,0)))</f>
        <v/>
      </c>
      <c r="E954" s="8">
        <f>IF(ISNA(MATCH(941,Engine!$C$2:$C$1960,0)),"",INDEX('Compliance Database'!$E$2:$E$1960,MATCH(941,Engine!$C$2:$C$1960,0)))</f>
        <v/>
      </c>
      <c r="F954" s="8">
        <f>IF(ISNA(MATCH(941,Engine!$C$2:$C$1960,0)),"",INDEX('Compliance Database'!$F$2:$F$1960,MATCH(941,Engine!$C$2:$C$1960,0)))</f>
        <v/>
      </c>
      <c r="G954" s="8">
        <f>IF(ISNA(MATCH(941,Engine!$C$2:$C$1960,0)),"",INDEX('Compliance Database'!$G$2:$G$1960,MATCH(941,Engine!$C$2:$C$1960,0)))</f>
        <v/>
      </c>
      <c r="H954" s="9">
        <f>IF(ISNA(MATCH(941,Engine!$C$2:$C$1960,0)),"",INDEX('Compliance Database'!$H$2:$H$1960,MATCH(941,Engine!$C$2:$C$1960,0)))</f>
        <v/>
      </c>
      <c r="I954" s="9">
        <f>IF(ISNA(MATCH(941,Engine!$C$2:$C$1960,0)),"",INDEX('Compliance Database'!$I$2:$I$1960,MATCH(941,Engine!$C$2:$C$1960,0)))</f>
        <v/>
      </c>
      <c r="J954" s="8">
        <f>IF(ISNA(MATCH(941,Engine!$C$2:$C$1960,0)),"",INDEX('Compliance Database'!$J$2:$J$1960,MATCH(941,Engine!$C$2:$C$1960,0)))</f>
        <v/>
      </c>
      <c r="K954" s="9">
        <f>IF(ISNA(MATCH(941,Engine!$C$2:$C$1960,0)),"",INDEX('Compliance Database'!$K$2:$K$1960,MATCH(941,Engine!$C$2:$C$1960,0)))</f>
        <v/>
      </c>
      <c r="L954" s="9">
        <f>IF(ISNA(MATCH(941,Engine!$C$2:$C$1960,0)),"",INDEX('Compliance Database'!$L$2:$L$1960,MATCH(941,Engine!$C$2:$C$1960,0)))</f>
        <v/>
      </c>
      <c r="M954" s="9">
        <f>IF(ISNA(MATCH(941,Engine!$C$2:$C$1960,0)),"",INDEX('Compliance Database'!$M$2:$M$1960,MATCH(941,Engine!$C$2:$C$1960,0)))</f>
        <v/>
      </c>
      <c r="N954" s="9">
        <f>IF(ISNA(MATCH(941,Engine!$C$2:$C$1960,0)),"",INDEX('Compliance Database'!$N$2:$N$1960,MATCH(941,Engine!$C$2:$C$1960,0)))</f>
        <v/>
      </c>
      <c r="O954" s="9">
        <f>IF(ISNA(MATCH(941,Engine!$C$2:$C$1960,0)),"",INDEX('Compliance Database'!$O$2:$O$1960,MATCH(941,Engine!$C$2:$C$1960,0)))</f>
        <v/>
      </c>
      <c r="P954" s="8">
        <f>IF(ISNA(MATCH(941,Engine!$C$2:$C$1960,0)),"",HYPERLINK("#Acts!A"&amp;INDEX('Compliance Database'!$P$2:$P$1960,MATCH(941,Engine!$C$2:$C$1960,0)),"Go to Act"))</f>
        <v/>
      </c>
    </row>
    <row r="955" ht="158" customHeight="1">
      <c r="A955" s="8">
        <f>IF(ISNA(MATCH(942,Engine!$C$2:$C$1960,0)),"",INDEX('Compliance Database'!$A$2:$A$1960,MATCH(942,Engine!$C$2:$C$1960,0)))</f>
        <v/>
      </c>
      <c r="B955" s="8">
        <f>IF(ISNA(MATCH(942,Engine!$C$2:$C$1960,0)),"",INDEX('Compliance Database'!$B$2:$B$1960,MATCH(942,Engine!$C$2:$C$1960,0)))</f>
        <v/>
      </c>
      <c r="C955" s="8">
        <f>IF(ISNA(MATCH(942,Engine!$C$2:$C$1960,0)),"",INDEX('Compliance Database'!$C$2:$C$1960,MATCH(942,Engine!$C$2:$C$1960,0)))</f>
        <v/>
      </c>
      <c r="D955" s="9">
        <f>IF(ISNA(MATCH(942,Engine!$C$2:$C$1960,0)),"",INDEX('Compliance Database'!$D$2:$D$1960,MATCH(942,Engine!$C$2:$C$1960,0)))</f>
        <v/>
      </c>
      <c r="E955" s="8">
        <f>IF(ISNA(MATCH(942,Engine!$C$2:$C$1960,0)),"",INDEX('Compliance Database'!$E$2:$E$1960,MATCH(942,Engine!$C$2:$C$1960,0)))</f>
        <v/>
      </c>
      <c r="F955" s="8">
        <f>IF(ISNA(MATCH(942,Engine!$C$2:$C$1960,0)),"",INDEX('Compliance Database'!$F$2:$F$1960,MATCH(942,Engine!$C$2:$C$1960,0)))</f>
        <v/>
      </c>
      <c r="G955" s="8">
        <f>IF(ISNA(MATCH(942,Engine!$C$2:$C$1960,0)),"",INDEX('Compliance Database'!$G$2:$G$1960,MATCH(942,Engine!$C$2:$C$1960,0)))</f>
        <v/>
      </c>
      <c r="H955" s="9">
        <f>IF(ISNA(MATCH(942,Engine!$C$2:$C$1960,0)),"",INDEX('Compliance Database'!$H$2:$H$1960,MATCH(942,Engine!$C$2:$C$1960,0)))</f>
        <v/>
      </c>
      <c r="I955" s="9">
        <f>IF(ISNA(MATCH(942,Engine!$C$2:$C$1960,0)),"",INDEX('Compliance Database'!$I$2:$I$1960,MATCH(942,Engine!$C$2:$C$1960,0)))</f>
        <v/>
      </c>
      <c r="J955" s="8">
        <f>IF(ISNA(MATCH(942,Engine!$C$2:$C$1960,0)),"",INDEX('Compliance Database'!$J$2:$J$1960,MATCH(942,Engine!$C$2:$C$1960,0)))</f>
        <v/>
      </c>
      <c r="K955" s="9">
        <f>IF(ISNA(MATCH(942,Engine!$C$2:$C$1960,0)),"",INDEX('Compliance Database'!$K$2:$K$1960,MATCH(942,Engine!$C$2:$C$1960,0)))</f>
        <v/>
      </c>
      <c r="L955" s="9">
        <f>IF(ISNA(MATCH(942,Engine!$C$2:$C$1960,0)),"",INDEX('Compliance Database'!$L$2:$L$1960,MATCH(942,Engine!$C$2:$C$1960,0)))</f>
        <v/>
      </c>
      <c r="M955" s="9">
        <f>IF(ISNA(MATCH(942,Engine!$C$2:$C$1960,0)),"",INDEX('Compliance Database'!$M$2:$M$1960,MATCH(942,Engine!$C$2:$C$1960,0)))</f>
        <v/>
      </c>
      <c r="N955" s="9">
        <f>IF(ISNA(MATCH(942,Engine!$C$2:$C$1960,0)),"",INDEX('Compliance Database'!$N$2:$N$1960,MATCH(942,Engine!$C$2:$C$1960,0)))</f>
        <v/>
      </c>
      <c r="O955" s="9">
        <f>IF(ISNA(MATCH(942,Engine!$C$2:$C$1960,0)),"",INDEX('Compliance Database'!$O$2:$O$1960,MATCH(942,Engine!$C$2:$C$1960,0)))</f>
        <v/>
      </c>
      <c r="P955" s="8">
        <f>IF(ISNA(MATCH(942,Engine!$C$2:$C$1960,0)),"",HYPERLINK("#Acts!A"&amp;INDEX('Compliance Database'!$P$2:$P$1960,MATCH(942,Engine!$C$2:$C$1960,0)),"Go to Act"))</f>
        <v/>
      </c>
    </row>
    <row r="956" ht="158" customHeight="1">
      <c r="A956" s="8">
        <f>IF(ISNA(MATCH(943,Engine!$C$2:$C$1960,0)),"",INDEX('Compliance Database'!$A$2:$A$1960,MATCH(943,Engine!$C$2:$C$1960,0)))</f>
        <v/>
      </c>
      <c r="B956" s="8">
        <f>IF(ISNA(MATCH(943,Engine!$C$2:$C$1960,0)),"",INDEX('Compliance Database'!$B$2:$B$1960,MATCH(943,Engine!$C$2:$C$1960,0)))</f>
        <v/>
      </c>
      <c r="C956" s="8">
        <f>IF(ISNA(MATCH(943,Engine!$C$2:$C$1960,0)),"",INDEX('Compliance Database'!$C$2:$C$1960,MATCH(943,Engine!$C$2:$C$1960,0)))</f>
        <v/>
      </c>
      <c r="D956" s="9">
        <f>IF(ISNA(MATCH(943,Engine!$C$2:$C$1960,0)),"",INDEX('Compliance Database'!$D$2:$D$1960,MATCH(943,Engine!$C$2:$C$1960,0)))</f>
        <v/>
      </c>
      <c r="E956" s="8">
        <f>IF(ISNA(MATCH(943,Engine!$C$2:$C$1960,0)),"",INDEX('Compliance Database'!$E$2:$E$1960,MATCH(943,Engine!$C$2:$C$1960,0)))</f>
        <v/>
      </c>
      <c r="F956" s="8">
        <f>IF(ISNA(MATCH(943,Engine!$C$2:$C$1960,0)),"",INDEX('Compliance Database'!$F$2:$F$1960,MATCH(943,Engine!$C$2:$C$1960,0)))</f>
        <v/>
      </c>
      <c r="G956" s="8">
        <f>IF(ISNA(MATCH(943,Engine!$C$2:$C$1960,0)),"",INDEX('Compliance Database'!$G$2:$G$1960,MATCH(943,Engine!$C$2:$C$1960,0)))</f>
        <v/>
      </c>
      <c r="H956" s="9">
        <f>IF(ISNA(MATCH(943,Engine!$C$2:$C$1960,0)),"",INDEX('Compliance Database'!$H$2:$H$1960,MATCH(943,Engine!$C$2:$C$1960,0)))</f>
        <v/>
      </c>
      <c r="I956" s="9">
        <f>IF(ISNA(MATCH(943,Engine!$C$2:$C$1960,0)),"",INDEX('Compliance Database'!$I$2:$I$1960,MATCH(943,Engine!$C$2:$C$1960,0)))</f>
        <v/>
      </c>
      <c r="J956" s="8">
        <f>IF(ISNA(MATCH(943,Engine!$C$2:$C$1960,0)),"",INDEX('Compliance Database'!$J$2:$J$1960,MATCH(943,Engine!$C$2:$C$1960,0)))</f>
        <v/>
      </c>
      <c r="K956" s="9">
        <f>IF(ISNA(MATCH(943,Engine!$C$2:$C$1960,0)),"",INDEX('Compliance Database'!$K$2:$K$1960,MATCH(943,Engine!$C$2:$C$1960,0)))</f>
        <v/>
      </c>
      <c r="L956" s="9">
        <f>IF(ISNA(MATCH(943,Engine!$C$2:$C$1960,0)),"",INDEX('Compliance Database'!$L$2:$L$1960,MATCH(943,Engine!$C$2:$C$1960,0)))</f>
        <v/>
      </c>
      <c r="M956" s="9">
        <f>IF(ISNA(MATCH(943,Engine!$C$2:$C$1960,0)),"",INDEX('Compliance Database'!$M$2:$M$1960,MATCH(943,Engine!$C$2:$C$1960,0)))</f>
        <v/>
      </c>
      <c r="N956" s="9">
        <f>IF(ISNA(MATCH(943,Engine!$C$2:$C$1960,0)),"",INDEX('Compliance Database'!$N$2:$N$1960,MATCH(943,Engine!$C$2:$C$1960,0)))</f>
        <v/>
      </c>
      <c r="O956" s="9">
        <f>IF(ISNA(MATCH(943,Engine!$C$2:$C$1960,0)),"",INDEX('Compliance Database'!$O$2:$O$1960,MATCH(943,Engine!$C$2:$C$1960,0)))</f>
        <v/>
      </c>
      <c r="P956" s="8">
        <f>IF(ISNA(MATCH(943,Engine!$C$2:$C$1960,0)),"",HYPERLINK("#Acts!A"&amp;INDEX('Compliance Database'!$P$2:$P$1960,MATCH(943,Engine!$C$2:$C$1960,0)),"Go to Act"))</f>
        <v/>
      </c>
    </row>
    <row r="957" ht="158" customHeight="1">
      <c r="A957" s="8">
        <f>IF(ISNA(MATCH(944,Engine!$C$2:$C$1960,0)),"",INDEX('Compliance Database'!$A$2:$A$1960,MATCH(944,Engine!$C$2:$C$1960,0)))</f>
        <v/>
      </c>
      <c r="B957" s="8">
        <f>IF(ISNA(MATCH(944,Engine!$C$2:$C$1960,0)),"",INDEX('Compliance Database'!$B$2:$B$1960,MATCH(944,Engine!$C$2:$C$1960,0)))</f>
        <v/>
      </c>
      <c r="C957" s="8">
        <f>IF(ISNA(MATCH(944,Engine!$C$2:$C$1960,0)),"",INDEX('Compliance Database'!$C$2:$C$1960,MATCH(944,Engine!$C$2:$C$1960,0)))</f>
        <v/>
      </c>
      <c r="D957" s="9">
        <f>IF(ISNA(MATCH(944,Engine!$C$2:$C$1960,0)),"",INDEX('Compliance Database'!$D$2:$D$1960,MATCH(944,Engine!$C$2:$C$1960,0)))</f>
        <v/>
      </c>
      <c r="E957" s="8">
        <f>IF(ISNA(MATCH(944,Engine!$C$2:$C$1960,0)),"",INDEX('Compliance Database'!$E$2:$E$1960,MATCH(944,Engine!$C$2:$C$1960,0)))</f>
        <v/>
      </c>
      <c r="F957" s="8">
        <f>IF(ISNA(MATCH(944,Engine!$C$2:$C$1960,0)),"",INDEX('Compliance Database'!$F$2:$F$1960,MATCH(944,Engine!$C$2:$C$1960,0)))</f>
        <v/>
      </c>
      <c r="G957" s="8">
        <f>IF(ISNA(MATCH(944,Engine!$C$2:$C$1960,0)),"",INDEX('Compliance Database'!$G$2:$G$1960,MATCH(944,Engine!$C$2:$C$1960,0)))</f>
        <v/>
      </c>
      <c r="H957" s="9">
        <f>IF(ISNA(MATCH(944,Engine!$C$2:$C$1960,0)),"",INDEX('Compliance Database'!$H$2:$H$1960,MATCH(944,Engine!$C$2:$C$1960,0)))</f>
        <v/>
      </c>
      <c r="I957" s="9">
        <f>IF(ISNA(MATCH(944,Engine!$C$2:$C$1960,0)),"",INDEX('Compliance Database'!$I$2:$I$1960,MATCH(944,Engine!$C$2:$C$1960,0)))</f>
        <v/>
      </c>
      <c r="J957" s="8">
        <f>IF(ISNA(MATCH(944,Engine!$C$2:$C$1960,0)),"",INDEX('Compliance Database'!$J$2:$J$1960,MATCH(944,Engine!$C$2:$C$1960,0)))</f>
        <v/>
      </c>
      <c r="K957" s="9">
        <f>IF(ISNA(MATCH(944,Engine!$C$2:$C$1960,0)),"",INDEX('Compliance Database'!$K$2:$K$1960,MATCH(944,Engine!$C$2:$C$1960,0)))</f>
        <v/>
      </c>
      <c r="L957" s="9">
        <f>IF(ISNA(MATCH(944,Engine!$C$2:$C$1960,0)),"",INDEX('Compliance Database'!$L$2:$L$1960,MATCH(944,Engine!$C$2:$C$1960,0)))</f>
        <v/>
      </c>
      <c r="M957" s="9">
        <f>IF(ISNA(MATCH(944,Engine!$C$2:$C$1960,0)),"",INDEX('Compliance Database'!$M$2:$M$1960,MATCH(944,Engine!$C$2:$C$1960,0)))</f>
        <v/>
      </c>
      <c r="N957" s="9">
        <f>IF(ISNA(MATCH(944,Engine!$C$2:$C$1960,0)),"",INDEX('Compliance Database'!$N$2:$N$1960,MATCH(944,Engine!$C$2:$C$1960,0)))</f>
        <v/>
      </c>
      <c r="O957" s="9">
        <f>IF(ISNA(MATCH(944,Engine!$C$2:$C$1960,0)),"",INDEX('Compliance Database'!$O$2:$O$1960,MATCH(944,Engine!$C$2:$C$1960,0)))</f>
        <v/>
      </c>
      <c r="P957" s="8">
        <f>IF(ISNA(MATCH(944,Engine!$C$2:$C$1960,0)),"",HYPERLINK("#Acts!A"&amp;INDEX('Compliance Database'!$P$2:$P$1960,MATCH(944,Engine!$C$2:$C$1960,0)),"Go to Act"))</f>
        <v/>
      </c>
    </row>
    <row r="958" ht="158" customHeight="1">
      <c r="A958" s="8">
        <f>IF(ISNA(MATCH(945,Engine!$C$2:$C$1960,0)),"",INDEX('Compliance Database'!$A$2:$A$1960,MATCH(945,Engine!$C$2:$C$1960,0)))</f>
        <v/>
      </c>
      <c r="B958" s="8">
        <f>IF(ISNA(MATCH(945,Engine!$C$2:$C$1960,0)),"",INDEX('Compliance Database'!$B$2:$B$1960,MATCH(945,Engine!$C$2:$C$1960,0)))</f>
        <v/>
      </c>
      <c r="C958" s="8">
        <f>IF(ISNA(MATCH(945,Engine!$C$2:$C$1960,0)),"",INDEX('Compliance Database'!$C$2:$C$1960,MATCH(945,Engine!$C$2:$C$1960,0)))</f>
        <v/>
      </c>
      <c r="D958" s="9">
        <f>IF(ISNA(MATCH(945,Engine!$C$2:$C$1960,0)),"",INDEX('Compliance Database'!$D$2:$D$1960,MATCH(945,Engine!$C$2:$C$1960,0)))</f>
        <v/>
      </c>
      <c r="E958" s="8">
        <f>IF(ISNA(MATCH(945,Engine!$C$2:$C$1960,0)),"",INDEX('Compliance Database'!$E$2:$E$1960,MATCH(945,Engine!$C$2:$C$1960,0)))</f>
        <v/>
      </c>
      <c r="F958" s="8">
        <f>IF(ISNA(MATCH(945,Engine!$C$2:$C$1960,0)),"",INDEX('Compliance Database'!$F$2:$F$1960,MATCH(945,Engine!$C$2:$C$1960,0)))</f>
        <v/>
      </c>
      <c r="G958" s="8">
        <f>IF(ISNA(MATCH(945,Engine!$C$2:$C$1960,0)),"",INDEX('Compliance Database'!$G$2:$G$1960,MATCH(945,Engine!$C$2:$C$1960,0)))</f>
        <v/>
      </c>
      <c r="H958" s="9">
        <f>IF(ISNA(MATCH(945,Engine!$C$2:$C$1960,0)),"",INDEX('Compliance Database'!$H$2:$H$1960,MATCH(945,Engine!$C$2:$C$1960,0)))</f>
        <v/>
      </c>
      <c r="I958" s="9">
        <f>IF(ISNA(MATCH(945,Engine!$C$2:$C$1960,0)),"",INDEX('Compliance Database'!$I$2:$I$1960,MATCH(945,Engine!$C$2:$C$1960,0)))</f>
        <v/>
      </c>
      <c r="J958" s="8">
        <f>IF(ISNA(MATCH(945,Engine!$C$2:$C$1960,0)),"",INDEX('Compliance Database'!$J$2:$J$1960,MATCH(945,Engine!$C$2:$C$1960,0)))</f>
        <v/>
      </c>
      <c r="K958" s="9">
        <f>IF(ISNA(MATCH(945,Engine!$C$2:$C$1960,0)),"",INDEX('Compliance Database'!$K$2:$K$1960,MATCH(945,Engine!$C$2:$C$1960,0)))</f>
        <v/>
      </c>
      <c r="L958" s="9">
        <f>IF(ISNA(MATCH(945,Engine!$C$2:$C$1960,0)),"",INDEX('Compliance Database'!$L$2:$L$1960,MATCH(945,Engine!$C$2:$C$1960,0)))</f>
        <v/>
      </c>
      <c r="M958" s="9">
        <f>IF(ISNA(MATCH(945,Engine!$C$2:$C$1960,0)),"",INDEX('Compliance Database'!$M$2:$M$1960,MATCH(945,Engine!$C$2:$C$1960,0)))</f>
        <v/>
      </c>
      <c r="N958" s="9">
        <f>IF(ISNA(MATCH(945,Engine!$C$2:$C$1960,0)),"",INDEX('Compliance Database'!$N$2:$N$1960,MATCH(945,Engine!$C$2:$C$1960,0)))</f>
        <v/>
      </c>
      <c r="O958" s="9">
        <f>IF(ISNA(MATCH(945,Engine!$C$2:$C$1960,0)),"",INDEX('Compliance Database'!$O$2:$O$1960,MATCH(945,Engine!$C$2:$C$1960,0)))</f>
        <v/>
      </c>
      <c r="P958" s="8">
        <f>IF(ISNA(MATCH(945,Engine!$C$2:$C$1960,0)),"",HYPERLINK("#Acts!A"&amp;INDEX('Compliance Database'!$P$2:$P$1960,MATCH(945,Engine!$C$2:$C$1960,0)),"Go to Act"))</f>
        <v/>
      </c>
    </row>
    <row r="959" ht="158" customHeight="1">
      <c r="A959" s="8">
        <f>IF(ISNA(MATCH(946,Engine!$C$2:$C$1960,0)),"",INDEX('Compliance Database'!$A$2:$A$1960,MATCH(946,Engine!$C$2:$C$1960,0)))</f>
        <v/>
      </c>
      <c r="B959" s="8">
        <f>IF(ISNA(MATCH(946,Engine!$C$2:$C$1960,0)),"",INDEX('Compliance Database'!$B$2:$B$1960,MATCH(946,Engine!$C$2:$C$1960,0)))</f>
        <v/>
      </c>
      <c r="C959" s="8">
        <f>IF(ISNA(MATCH(946,Engine!$C$2:$C$1960,0)),"",INDEX('Compliance Database'!$C$2:$C$1960,MATCH(946,Engine!$C$2:$C$1960,0)))</f>
        <v/>
      </c>
      <c r="D959" s="9">
        <f>IF(ISNA(MATCH(946,Engine!$C$2:$C$1960,0)),"",INDEX('Compliance Database'!$D$2:$D$1960,MATCH(946,Engine!$C$2:$C$1960,0)))</f>
        <v/>
      </c>
      <c r="E959" s="8">
        <f>IF(ISNA(MATCH(946,Engine!$C$2:$C$1960,0)),"",INDEX('Compliance Database'!$E$2:$E$1960,MATCH(946,Engine!$C$2:$C$1960,0)))</f>
        <v/>
      </c>
      <c r="F959" s="8">
        <f>IF(ISNA(MATCH(946,Engine!$C$2:$C$1960,0)),"",INDEX('Compliance Database'!$F$2:$F$1960,MATCH(946,Engine!$C$2:$C$1960,0)))</f>
        <v/>
      </c>
      <c r="G959" s="8">
        <f>IF(ISNA(MATCH(946,Engine!$C$2:$C$1960,0)),"",INDEX('Compliance Database'!$G$2:$G$1960,MATCH(946,Engine!$C$2:$C$1960,0)))</f>
        <v/>
      </c>
      <c r="H959" s="9">
        <f>IF(ISNA(MATCH(946,Engine!$C$2:$C$1960,0)),"",INDEX('Compliance Database'!$H$2:$H$1960,MATCH(946,Engine!$C$2:$C$1960,0)))</f>
        <v/>
      </c>
      <c r="I959" s="9">
        <f>IF(ISNA(MATCH(946,Engine!$C$2:$C$1960,0)),"",INDEX('Compliance Database'!$I$2:$I$1960,MATCH(946,Engine!$C$2:$C$1960,0)))</f>
        <v/>
      </c>
      <c r="J959" s="8">
        <f>IF(ISNA(MATCH(946,Engine!$C$2:$C$1960,0)),"",INDEX('Compliance Database'!$J$2:$J$1960,MATCH(946,Engine!$C$2:$C$1960,0)))</f>
        <v/>
      </c>
      <c r="K959" s="9">
        <f>IF(ISNA(MATCH(946,Engine!$C$2:$C$1960,0)),"",INDEX('Compliance Database'!$K$2:$K$1960,MATCH(946,Engine!$C$2:$C$1960,0)))</f>
        <v/>
      </c>
      <c r="L959" s="9">
        <f>IF(ISNA(MATCH(946,Engine!$C$2:$C$1960,0)),"",INDEX('Compliance Database'!$L$2:$L$1960,MATCH(946,Engine!$C$2:$C$1960,0)))</f>
        <v/>
      </c>
      <c r="M959" s="9">
        <f>IF(ISNA(MATCH(946,Engine!$C$2:$C$1960,0)),"",INDEX('Compliance Database'!$M$2:$M$1960,MATCH(946,Engine!$C$2:$C$1960,0)))</f>
        <v/>
      </c>
      <c r="N959" s="9">
        <f>IF(ISNA(MATCH(946,Engine!$C$2:$C$1960,0)),"",INDEX('Compliance Database'!$N$2:$N$1960,MATCH(946,Engine!$C$2:$C$1960,0)))</f>
        <v/>
      </c>
      <c r="O959" s="9">
        <f>IF(ISNA(MATCH(946,Engine!$C$2:$C$1960,0)),"",INDEX('Compliance Database'!$O$2:$O$1960,MATCH(946,Engine!$C$2:$C$1960,0)))</f>
        <v/>
      </c>
      <c r="P959" s="8">
        <f>IF(ISNA(MATCH(946,Engine!$C$2:$C$1960,0)),"",HYPERLINK("#Acts!A"&amp;INDEX('Compliance Database'!$P$2:$P$1960,MATCH(946,Engine!$C$2:$C$1960,0)),"Go to Act"))</f>
        <v/>
      </c>
    </row>
    <row r="960" ht="158" customHeight="1">
      <c r="A960" s="8">
        <f>IF(ISNA(MATCH(947,Engine!$C$2:$C$1960,0)),"",INDEX('Compliance Database'!$A$2:$A$1960,MATCH(947,Engine!$C$2:$C$1960,0)))</f>
        <v/>
      </c>
      <c r="B960" s="8">
        <f>IF(ISNA(MATCH(947,Engine!$C$2:$C$1960,0)),"",INDEX('Compliance Database'!$B$2:$B$1960,MATCH(947,Engine!$C$2:$C$1960,0)))</f>
        <v/>
      </c>
      <c r="C960" s="8">
        <f>IF(ISNA(MATCH(947,Engine!$C$2:$C$1960,0)),"",INDEX('Compliance Database'!$C$2:$C$1960,MATCH(947,Engine!$C$2:$C$1960,0)))</f>
        <v/>
      </c>
      <c r="D960" s="9">
        <f>IF(ISNA(MATCH(947,Engine!$C$2:$C$1960,0)),"",INDEX('Compliance Database'!$D$2:$D$1960,MATCH(947,Engine!$C$2:$C$1960,0)))</f>
        <v/>
      </c>
      <c r="E960" s="8">
        <f>IF(ISNA(MATCH(947,Engine!$C$2:$C$1960,0)),"",INDEX('Compliance Database'!$E$2:$E$1960,MATCH(947,Engine!$C$2:$C$1960,0)))</f>
        <v/>
      </c>
      <c r="F960" s="8">
        <f>IF(ISNA(MATCH(947,Engine!$C$2:$C$1960,0)),"",INDEX('Compliance Database'!$F$2:$F$1960,MATCH(947,Engine!$C$2:$C$1960,0)))</f>
        <v/>
      </c>
      <c r="G960" s="8">
        <f>IF(ISNA(MATCH(947,Engine!$C$2:$C$1960,0)),"",INDEX('Compliance Database'!$G$2:$G$1960,MATCH(947,Engine!$C$2:$C$1960,0)))</f>
        <v/>
      </c>
      <c r="H960" s="9">
        <f>IF(ISNA(MATCH(947,Engine!$C$2:$C$1960,0)),"",INDEX('Compliance Database'!$H$2:$H$1960,MATCH(947,Engine!$C$2:$C$1960,0)))</f>
        <v/>
      </c>
      <c r="I960" s="9">
        <f>IF(ISNA(MATCH(947,Engine!$C$2:$C$1960,0)),"",INDEX('Compliance Database'!$I$2:$I$1960,MATCH(947,Engine!$C$2:$C$1960,0)))</f>
        <v/>
      </c>
      <c r="J960" s="8">
        <f>IF(ISNA(MATCH(947,Engine!$C$2:$C$1960,0)),"",INDEX('Compliance Database'!$J$2:$J$1960,MATCH(947,Engine!$C$2:$C$1960,0)))</f>
        <v/>
      </c>
      <c r="K960" s="9">
        <f>IF(ISNA(MATCH(947,Engine!$C$2:$C$1960,0)),"",INDEX('Compliance Database'!$K$2:$K$1960,MATCH(947,Engine!$C$2:$C$1960,0)))</f>
        <v/>
      </c>
      <c r="L960" s="9">
        <f>IF(ISNA(MATCH(947,Engine!$C$2:$C$1960,0)),"",INDEX('Compliance Database'!$L$2:$L$1960,MATCH(947,Engine!$C$2:$C$1960,0)))</f>
        <v/>
      </c>
      <c r="M960" s="9">
        <f>IF(ISNA(MATCH(947,Engine!$C$2:$C$1960,0)),"",INDEX('Compliance Database'!$M$2:$M$1960,MATCH(947,Engine!$C$2:$C$1960,0)))</f>
        <v/>
      </c>
      <c r="N960" s="9">
        <f>IF(ISNA(MATCH(947,Engine!$C$2:$C$1960,0)),"",INDEX('Compliance Database'!$N$2:$N$1960,MATCH(947,Engine!$C$2:$C$1960,0)))</f>
        <v/>
      </c>
      <c r="O960" s="9">
        <f>IF(ISNA(MATCH(947,Engine!$C$2:$C$1960,0)),"",INDEX('Compliance Database'!$O$2:$O$1960,MATCH(947,Engine!$C$2:$C$1960,0)))</f>
        <v/>
      </c>
      <c r="P960" s="8">
        <f>IF(ISNA(MATCH(947,Engine!$C$2:$C$1960,0)),"",HYPERLINK("#Acts!A"&amp;INDEX('Compliance Database'!$P$2:$P$1960,MATCH(947,Engine!$C$2:$C$1960,0)),"Go to Act"))</f>
        <v/>
      </c>
    </row>
    <row r="961" ht="158" customHeight="1">
      <c r="A961" s="8">
        <f>IF(ISNA(MATCH(948,Engine!$C$2:$C$1960,0)),"",INDEX('Compliance Database'!$A$2:$A$1960,MATCH(948,Engine!$C$2:$C$1960,0)))</f>
        <v/>
      </c>
      <c r="B961" s="8">
        <f>IF(ISNA(MATCH(948,Engine!$C$2:$C$1960,0)),"",INDEX('Compliance Database'!$B$2:$B$1960,MATCH(948,Engine!$C$2:$C$1960,0)))</f>
        <v/>
      </c>
      <c r="C961" s="8">
        <f>IF(ISNA(MATCH(948,Engine!$C$2:$C$1960,0)),"",INDEX('Compliance Database'!$C$2:$C$1960,MATCH(948,Engine!$C$2:$C$1960,0)))</f>
        <v/>
      </c>
      <c r="D961" s="9">
        <f>IF(ISNA(MATCH(948,Engine!$C$2:$C$1960,0)),"",INDEX('Compliance Database'!$D$2:$D$1960,MATCH(948,Engine!$C$2:$C$1960,0)))</f>
        <v/>
      </c>
      <c r="E961" s="8">
        <f>IF(ISNA(MATCH(948,Engine!$C$2:$C$1960,0)),"",INDEX('Compliance Database'!$E$2:$E$1960,MATCH(948,Engine!$C$2:$C$1960,0)))</f>
        <v/>
      </c>
      <c r="F961" s="8">
        <f>IF(ISNA(MATCH(948,Engine!$C$2:$C$1960,0)),"",INDEX('Compliance Database'!$F$2:$F$1960,MATCH(948,Engine!$C$2:$C$1960,0)))</f>
        <v/>
      </c>
      <c r="G961" s="8">
        <f>IF(ISNA(MATCH(948,Engine!$C$2:$C$1960,0)),"",INDEX('Compliance Database'!$G$2:$G$1960,MATCH(948,Engine!$C$2:$C$1960,0)))</f>
        <v/>
      </c>
      <c r="H961" s="9">
        <f>IF(ISNA(MATCH(948,Engine!$C$2:$C$1960,0)),"",INDEX('Compliance Database'!$H$2:$H$1960,MATCH(948,Engine!$C$2:$C$1960,0)))</f>
        <v/>
      </c>
      <c r="I961" s="9">
        <f>IF(ISNA(MATCH(948,Engine!$C$2:$C$1960,0)),"",INDEX('Compliance Database'!$I$2:$I$1960,MATCH(948,Engine!$C$2:$C$1960,0)))</f>
        <v/>
      </c>
      <c r="J961" s="8">
        <f>IF(ISNA(MATCH(948,Engine!$C$2:$C$1960,0)),"",INDEX('Compliance Database'!$J$2:$J$1960,MATCH(948,Engine!$C$2:$C$1960,0)))</f>
        <v/>
      </c>
      <c r="K961" s="9">
        <f>IF(ISNA(MATCH(948,Engine!$C$2:$C$1960,0)),"",INDEX('Compliance Database'!$K$2:$K$1960,MATCH(948,Engine!$C$2:$C$1960,0)))</f>
        <v/>
      </c>
      <c r="L961" s="9">
        <f>IF(ISNA(MATCH(948,Engine!$C$2:$C$1960,0)),"",INDEX('Compliance Database'!$L$2:$L$1960,MATCH(948,Engine!$C$2:$C$1960,0)))</f>
        <v/>
      </c>
      <c r="M961" s="9">
        <f>IF(ISNA(MATCH(948,Engine!$C$2:$C$1960,0)),"",INDEX('Compliance Database'!$M$2:$M$1960,MATCH(948,Engine!$C$2:$C$1960,0)))</f>
        <v/>
      </c>
      <c r="N961" s="9">
        <f>IF(ISNA(MATCH(948,Engine!$C$2:$C$1960,0)),"",INDEX('Compliance Database'!$N$2:$N$1960,MATCH(948,Engine!$C$2:$C$1960,0)))</f>
        <v/>
      </c>
      <c r="O961" s="9">
        <f>IF(ISNA(MATCH(948,Engine!$C$2:$C$1960,0)),"",INDEX('Compliance Database'!$O$2:$O$1960,MATCH(948,Engine!$C$2:$C$1960,0)))</f>
        <v/>
      </c>
      <c r="P961" s="8">
        <f>IF(ISNA(MATCH(948,Engine!$C$2:$C$1960,0)),"",HYPERLINK("#Acts!A"&amp;INDEX('Compliance Database'!$P$2:$P$1960,MATCH(948,Engine!$C$2:$C$1960,0)),"Go to Act"))</f>
        <v/>
      </c>
    </row>
    <row r="962" ht="158" customHeight="1">
      <c r="A962" s="8">
        <f>IF(ISNA(MATCH(949,Engine!$C$2:$C$1960,0)),"",INDEX('Compliance Database'!$A$2:$A$1960,MATCH(949,Engine!$C$2:$C$1960,0)))</f>
        <v/>
      </c>
      <c r="B962" s="8">
        <f>IF(ISNA(MATCH(949,Engine!$C$2:$C$1960,0)),"",INDEX('Compliance Database'!$B$2:$B$1960,MATCH(949,Engine!$C$2:$C$1960,0)))</f>
        <v/>
      </c>
      <c r="C962" s="8">
        <f>IF(ISNA(MATCH(949,Engine!$C$2:$C$1960,0)),"",INDEX('Compliance Database'!$C$2:$C$1960,MATCH(949,Engine!$C$2:$C$1960,0)))</f>
        <v/>
      </c>
      <c r="D962" s="9">
        <f>IF(ISNA(MATCH(949,Engine!$C$2:$C$1960,0)),"",INDEX('Compliance Database'!$D$2:$D$1960,MATCH(949,Engine!$C$2:$C$1960,0)))</f>
        <v/>
      </c>
      <c r="E962" s="8">
        <f>IF(ISNA(MATCH(949,Engine!$C$2:$C$1960,0)),"",INDEX('Compliance Database'!$E$2:$E$1960,MATCH(949,Engine!$C$2:$C$1960,0)))</f>
        <v/>
      </c>
      <c r="F962" s="8">
        <f>IF(ISNA(MATCH(949,Engine!$C$2:$C$1960,0)),"",INDEX('Compliance Database'!$F$2:$F$1960,MATCH(949,Engine!$C$2:$C$1960,0)))</f>
        <v/>
      </c>
      <c r="G962" s="8">
        <f>IF(ISNA(MATCH(949,Engine!$C$2:$C$1960,0)),"",INDEX('Compliance Database'!$G$2:$G$1960,MATCH(949,Engine!$C$2:$C$1960,0)))</f>
        <v/>
      </c>
      <c r="H962" s="9">
        <f>IF(ISNA(MATCH(949,Engine!$C$2:$C$1960,0)),"",INDEX('Compliance Database'!$H$2:$H$1960,MATCH(949,Engine!$C$2:$C$1960,0)))</f>
        <v/>
      </c>
      <c r="I962" s="9">
        <f>IF(ISNA(MATCH(949,Engine!$C$2:$C$1960,0)),"",INDEX('Compliance Database'!$I$2:$I$1960,MATCH(949,Engine!$C$2:$C$1960,0)))</f>
        <v/>
      </c>
      <c r="J962" s="8">
        <f>IF(ISNA(MATCH(949,Engine!$C$2:$C$1960,0)),"",INDEX('Compliance Database'!$J$2:$J$1960,MATCH(949,Engine!$C$2:$C$1960,0)))</f>
        <v/>
      </c>
      <c r="K962" s="9">
        <f>IF(ISNA(MATCH(949,Engine!$C$2:$C$1960,0)),"",INDEX('Compliance Database'!$K$2:$K$1960,MATCH(949,Engine!$C$2:$C$1960,0)))</f>
        <v/>
      </c>
      <c r="L962" s="9">
        <f>IF(ISNA(MATCH(949,Engine!$C$2:$C$1960,0)),"",INDEX('Compliance Database'!$L$2:$L$1960,MATCH(949,Engine!$C$2:$C$1960,0)))</f>
        <v/>
      </c>
      <c r="M962" s="9">
        <f>IF(ISNA(MATCH(949,Engine!$C$2:$C$1960,0)),"",INDEX('Compliance Database'!$M$2:$M$1960,MATCH(949,Engine!$C$2:$C$1960,0)))</f>
        <v/>
      </c>
      <c r="N962" s="9">
        <f>IF(ISNA(MATCH(949,Engine!$C$2:$C$1960,0)),"",INDEX('Compliance Database'!$N$2:$N$1960,MATCH(949,Engine!$C$2:$C$1960,0)))</f>
        <v/>
      </c>
      <c r="O962" s="9">
        <f>IF(ISNA(MATCH(949,Engine!$C$2:$C$1960,0)),"",INDEX('Compliance Database'!$O$2:$O$1960,MATCH(949,Engine!$C$2:$C$1960,0)))</f>
        <v/>
      </c>
      <c r="P962" s="8">
        <f>IF(ISNA(MATCH(949,Engine!$C$2:$C$1960,0)),"",HYPERLINK("#Acts!A"&amp;INDEX('Compliance Database'!$P$2:$P$1960,MATCH(949,Engine!$C$2:$C$1960,0)),"Go to Act"))</f>
        <v/>
      </c>
    </row>
    <row r="963" ht="158" customHeight="1">
      <c r="A963" s="8">
        <f>IF(ISNA(MATCH(950,Engine!$C$2:$C$1960,0)),"",INDEX('Compliance Database'!$A$2:$A$1960,MATCH(950,Engine!$C$2:$C$1960,0)))</f>
        <v/>
      </c>
      <c r="B963" s="8">
        <f>IF(ISNA(MATCH(950,Engine!$C$2:$C$1960,0)),"",INDEX('Compliance Database'!$B$2:$B$1960,MATCH(950,Engine!$C$2:$C$1960,0)))</f>
        <v/>
      </c>
      <c r="C963" s="8">
        <f>IF(ISNA(MATCH(950,Engine!$C$2:$C$1960,0)),"",INDEX('Compliance Database'!$C$2:$C$1960,MATCH(950,Engine!$C$2:$C$1960,0)))</f>
        <v/>
      </c>
      <c r="D963" s="9">
        <f>IF(ISNA(MATCH(950,Engine!$C$2:$C$1960,0)),"",INDEX('Compliance Database'!$D$2:$D$1960,MATCH(950,Engine!$C$2:$C$1960,0)))</f>
        <v/>
      </c>
      <c r="E963" s="8">
        <f>IF(ISNA(MATCH(950,Engine!$C$2:$C$1960,0)),"",INDEX('Compliance Database'!$E$2:$E$1960,MATCH(950,Engine!$C$2:$C$1960,0)))</f>
        <v/>
      </c>
      <c r="F963" s="8">
        <f>IF(ISNA(MATCH(950,Engine!$C$2:$C$1960,0)),"",INDEX('Compliance Database'!$F$2:$F$1960,MATCH(950,Engine!$C$2:$C$1960,0)))</f>
        <v/>
      </c>
      <c r="G963" s="8">
        <f>IF(ISNA(MATCH(950,Engine!$C$2:$C$1960,0)),"",INDEX('Compliance Database'!$G$2:$G$1960,MATCH(950,Engine!$C$2:$C$1960,0)))</f>
        <v/>
      </c>
      <c r="H963" s="9">
        <f>IF(ISNA(MATCH(950,Engine!$C$2:$C$1960,0)),"",INDEX('Compliance Database'!$H$2:$H$1960,MATCH(950,Engine!$C$2:$C$1960,0)))</f>
        <v/>
      </c>
      <c r="I963" s="9">
        <f>IF(ISNA(MATCH(950,Engine!$C$2:$C$1960,0)),"",INDEX('Compliance Database'!$I$2:$I$1960,MATCH(950,Engine!$C$2:$C$1960,0)))</f>
        <v/>
      </c>
      <c r="J963" s="8">
        <f>IF(ISNA(MATCH(950,Engine!$C$2:$C$1960,0)),"",INDEX('Compliance Database'!$J$2:$J$1960,MATCH(950,Engine!$C$2:$C$1960,0)))</f>
        <v/>
      </c>
      <c r="K963" s="9">
        <f>IF(ISNA(MATCH(950,Engine!$C$2:$C$1960,0)),"",INDEX('Compliance Database'!$K$2:$K$1960,MATCH(950,Engine!$C$2:$C$1960,0)))</f>
        <v/>
      </c>
      <c r="L963" s="9">
        <f>IF(ISNA(MATCH(950,Engine!$C$2:$C$1960,0)),"",INDEX('Compliance Database'!$L$2:$L$1960,MATCH(950,Engine!$C$2:$C$1960,0)))</f>
        <v/>
      </c>
      <c r="M963" s="9">
        <f>IF(ISNA(MATCH(950,Engine!$C$2:$C$1960,0)),"",INDEX('Compliance Database'!$M$2:$M$1960,MATCH(950,Engine!$C$2:$C$1960,0)))</f>
        <v/>
      </c>
      <c r="N963" s="9">
        <f>IF(ISNA(MATCH(950,Engine!$C$2:$C$1960,0)),"",INDEX('Compliance Database'!$N$2:$N$1960,MATCH(950,Engine!$C$2:$C$1960,0)))</f>
        <v/>
      </c>
      <c r="O963" s="9">
        <f>IF(ISNA(MATCH(950,Engine!$C$2:$C$1960,0)),"",INDEX('Compliance Database'!$O$2:$O$1960,MATCH(950,Engine!$C$2:$C$1960,0)))</f>
        <v/>
      </c>
      <c r="P963" s="8">
        <f>IF(ISNA(MATCH(950,Engine!$C$2:$C$1960,0)),"",HYPERLINK("#Acts!A"&amp;INDEX('Compliance Database'!$P$2:$P$1960,MATCH(950,Engine!$C$2:$C$1960,0)),"Go to Act"))</f>
        <v/>
      </c>
    </row>
    <row r="964" ht="158" customHeight="1">
      <c r="A964" s="8">
        <f>IF(ISNA(MATCH(951,Engine!$C$2:$C$1960,0)),"",INDEX('Compliance Database'!$A$2:$A$1960,MATCH(951,Engine!$C$2:$C$1960,0)))</f>
        <v/>
      </c>
      <c r="B964" s="8">
        <f>IF(ISNA(MATCH(951,Engine!$C$2:$C$1960,0)),"",INDEX('Compliance Database'!$B$2:$B$1960,MATCH(951,Engine!$C$2:$C$1960,0)))</f>
        <v/>
      </c>
      <c r="C964" s="8">
        <f>IF(ISNA(MATCH(951,Engine!$C$2:$C$1960,0)),"",INDEX('Compliance Database'!$C$2:$C$1960,MATCH(951,Engine!$C$2:$C$1960,0)))</f>
        <v/>
      </c>
      <c r="D964" s="9">
        <f>IF(ISNA(MATCH(951,Engine!$C$2:$C$1960,0)),"",INDEX('Compliance Database'!$D$2:$D$1960,MATCH(951,Engine!$C$2:$C$1960,0)))</f>
        <v/>
      </c>
      <c r="E964" s="8">
        <f>IF(ISNA(MATCH(951,Engine!$C$2:$C$1960,0)),"",INDEX('Compliance Database'!$E$2:$E$1960,MATCH(951,Engine!$C$2:$C$1960,0)))</f>
        <v/>
      </c>
      <c r="F964" s="8">
        <f>IF(ISNA(MATCH(951,Engine!$C$2:$C$1960,0)),"",INDEX('Compliance Database'!$F$2:$F$1960,MATCH(951,Engine!$C$2:$C$1960,0)))</f>
        <v/>
      </c>
      <c r="G964" s="8">
        <f>IF(ISNA(MATCH(951,Engine!$C$2:$C$1960,0)),"",INDEX('Compliance Database'!$G$2:$G$1960,MATCH(951,Engine!$C$2:$C$1960,0)))</f>
        <v/>
      </c>
      <c r="H964" s="9">
        <f>IF(ISNA(MATCH(951,Engine!$C$2:$C$1960,0)),"",INDEX('Compliance Database'!$H$2:$H$1960,MATCH(951,Engine!$C$2:$C$1960,0)))</f>
        <v/>
      </c>
      <c r="I964" s="9">
        <f>IF(ISNA(MATCH(951,Engine!$C$2:$C$1960,0)),"",INDEX('Compliance Database'!$I$2:$I$1960,MATCH(951,Engine!$C$2:$C$1960,0)))</f>
        <v/>
      </c>
      <c r="J964" s="8">
        <f>IF(ISNA(MATCH(951,Engine!$C$2:$C$1960,0)),"",INDEX('Compliance Database'!$J$2:$J$1960,MATCH(951,Engine!$C$2:$C$1960,0)))</f>
        <v/>
      </c>
      <c r="K964" s="9">
        <f>IF(ISNA(MATCH(951,Engine!$C$2:$C$1960,0)),"",INDEX('Compliance Database'!$K$2:$K$1960,MATCH(951,Engine!$C$2:$C$1960,0)))</f>
        <v/>
      </c>
      <c r="L964" s="9">
        <f>IF(ISNA(MATCH(951,Engine!$C$2:$C$1960,0)),"",INDEX('Compliance Database'!$L$2:$L$1960,MATCH(951,Engine!$C$2:$C$1960,0)))</f>
        <v/>
      </c>
      <c r="M964" s="9">
        <f>IF(ISNA(MATCH(951,Engine!$C$2:$C$1960,0)),"",INDEX('Compliance Database'!$M$2:$M$1960,MATCH(951,Engine!$C$2:$C$1960,0)))</f>
        <v/>
      </c>
      <c r="N964" s="9">
        <f>IF(ISNA(MATCH(951,Engine!$C$2:$C$1960,0)),"",INDEX('Compliance Database'!$N$2:$N$1960,MATCH(951,Engine!$C$2:$C$1960,0)))</f>
        <v/>
      </c>
      <c r="O964" s="9">
        <f>IF(ISNA(MATCH(951,Engine!$C$2:$C$1960,0)),"",INDEX('Compliance Database'!$O$2:$O$1960,MATCH(951,Engine!$C$2:$C$1960,0)))</f>
        <v/>
      </c>
      <c r="P964" s="8">
        <f>IF(ISNA(MATCH(951,Engine!$C$2:$C$1960,0)),"",HYPERLINK("#Acts!A"&amp;INDEX('Compliance Database'!$P$2:$P$1960,MATCH(951,Engine!$C$2:$C$1960,0)),"Go to Act"))</f>
        <v/>
      </c>
    </row>
    <row r="965" ht="158" customHeight="1">
      <c r="A965" s="8">
        <f>IF(ISNA(MATCH(952,Engine!$C$2:$C$1960,0)),"",INDEX('Compliance Database'!$A$2:$A$1960,MATCH(952,Engine!$C$2:$C$1960,0)))</f>
        <v/>
      </c>
      <c r="B965" s="8">
        <f>IF(ISNA(MATCH(952,Engine!$C$2:$C$1960,0)),"",INDEX('Compliance Database'!$B$2:$B$1960,MATCH(952,Engine!$C$2:$C$1960,0)))</f>
        <v/>
      </c>
      <c r="C965" s="8">
        <f>IF(ISNA(MATCH(952,Engine!$C$2:$C$1960,0)),"",INDEX('Compliance Database'!$C$2:$C$1960,MATCH(952,Engine!$C$2:$C$1960,0)))</f>
        <v/>
      </c>
      <c r="D965" s="9">
        <f>IF(ISNA(MATCH(952,Engine!$C$2:$C$1960,0)),"",INDEX('Compliance Database'!$D$2:$D$1960,MATCH(952,Engine!$C$2:$C$1960,0)))</f>
        <v/>
      </c>
      <c r="E965" s="8">
        <f>IF(ISNA(MATCH(952,Engine!$C$2:$C$1960,0)),"",INDEX('Compliance Database'!$E$2:$E$1960,MATCH(952,Engine!$C$2:$C$1960,0)))</f>
        <v/>
      </c>
      <c r="F965" s="8">
        <f>IF(ISNA(MATCH(952,Engine!$C$2:$C$1960,0)),"",INDEX('Compliance Database'!$F$2:$F$1960,MATCH(952,Engine!$C$2:$C$1960,0)))</f>
        <v/>
      </c>
      <c r="G965" s="8">
        <f>IF(ISNA(MATCH(952,Engine!$C$2:$C$1960,0)),"",INDEX('Compliance Database'!$G$2:$G$1960,MATCH(952,Engine!$C$2:$C$1960,0)))</f>
        <v/>
      </c>
      <c r="H965" s="9">
        <f>IF(ISNA(MATCH(952,Engine!$C$2:$C$1960,0)),"",INDEX('Compliance Database'!$H$2:$H$1960,MATCH(952,Engine!$C$2:$C$1960,0)))</f>
        <v/>
      </c>
      <c r="I965" s="9">
        <f>IF(ISNA(MATCH(952,Engine!$C$2:$C$1960,0)),"",INDEX('Compliance Database'!$I$2:$I$1960,MATCH(952,Engine!$C$2:$C$1960,0)))</f>
        <v/>
      </c>
      <c r="J965" s="8">
        <f>IF(ISNA(MATCH(952,Engine!$C$2:$C$1960,0)),"",INDEX('Compliance Database'!$J$2:$J$1960,MATCH(952,Engine!$C$2:$C$1960,0)))</f>
        <v/>
      </c>
      <c r="K965" s="9">
        <f>IF(ISNA(MATCH(952,Engine!$C$2:$C$1960,0)),"",INDEX('Compliance Database'!$K$2:$K$1960,MATCH(952,Engine!$C$2:$C$1960,0)))</f>
        <v/>
      </c>
      <c r="L965" s="9">
        <f>IF(ISNA(MATCH(952,Engine!$C$2:$C$1960,0)),"",INDEX('Compliance Database'!$L$2:$L$1960,MATCH(952,Engine!$C$2:$C$1960,0)))</f>
        <v/>
      </c>
      <c r="M965" s="9">
        <f>IF(ISNA(MATCH(952,Engine!$C$2:$C$1960,0)),"",INDEX('Compliance Database'!$M$2:$M$1960,MATCH(952,Engine!$C$2:$C$1960,0)))</f>
        <v/>
      </c>
      <c r="N965" s="9">
        <f>IF(ISNA(MATCH(952,Engine!$C$2:$C$1960,0)),"",INDEX('Compliance Database'!$N$2:$N$1960,MATCH(952,Engine!$C$2:$C$1960,0)))</f>
        <v/>
      </c>
      <c r="O965" s="9">
        <f>IF(ISNA(MATCH(952,Engine!$C$2:$C$1960,0)),"",INDEX('Compliance Database'!$O$2:$O$1960,MATCH(952,Engine!$C$2:$C$1960,0)))</f>
        <v/>
      </c>
      <c r="P965" s="8">
        <f>IF(ISNA(MATCH(952,Engine!$C$2:$C$1960,0)),"",HYPERLINK("#Acts!A"&amp;INDEX('Compliance Database'!$P$2:$P$1960,MATCH(952,Engine!$C$2:$C$1960,0)),"Go to Act"))</f>
        <v/>
      </c>
    </row>
    <row r="966" ht="158" customHeight="1">
      <c r="A966" s="8">
        <f>IF(ISNA(MATCH(953,Engine!$C$2:$C$1960,0)),"",INDEX('Compliance Database'!$A$2:$A$1960,MATCH(953,Engine!$C$2:$C$1960,0)))</f>
        <v/>
      </c>
      <c r="B966" s="8">
        <f>IF(ISNA(MATCH(953,Engine!$C$2:$C$1960,0)),"",INDEX('Compliance Database'!$B$2:$B$1960,MATCH(953,Engine!$C$2:$C$1960,0)))</f>
        <v/>
      </c>
      <c r="C966" s="8">
        <f>IF(ISNA(MATCH(953,Engine!$C$2:$C$1960,0)),"",INDEX('Compliance Database'!$C$2:$C$1960,MATCH(953,Engine!$C$2:$C$1960,0)))</f>
        <v/>
      </c>
      <c r="D966" s="9">
        <f>IF(ISNA(MATCH(953,Engine!$C$2:$C$1960,0)),"",INDEX('Compliance Database'!$D$2:$D$1960,MATCH(953,Engine!$C$2:$C$1960,0)))</f>
        <v/>
      </c>
      <c r="E966" s="8">
        <f>IF(ISNA(MATCH(953,Engine!$C$2:$C$1960,0)),"",INDEX('Compliance Database'!$E$2:$E$1960,MATCH(953,Engine!$C$2:$C$1960,0)))</f>
        <v/>
      </c>
      <c r="F966" s="8">
        <f>IF(ISNA(MATCH(953,Engine!$C$2:$C$1960,0)),"",INDEX('Compliance Database'!$F$2:$F$1960,MATCH(953,Engine!$C$2:$C$1960,0)))</f>
        <v/>
      </c>
      <c r="G966" s="8">
        <f>IF(ISNA(MATCH(953,Engine!$C$2:$C$1960,0)),"",INDEX('Compliance Database'!$G$2:$G$1960,MATCH(953,Engine!$C$2:$C$1960,0)))</f>
        <v/>
      </c>
      <c r="H966" s="9">
        <f>IF(ISNA(MATCH(953,Engine!$C$2:$C$1960,0)),"",INDEX('Compliance Database'!$H$2:$H$1960,MATCH(953,Engine!$C$2:$C$1960,0)))</f>
        <v/>
      </c>
      <c r="I966" s="9">
        <f>IF(ISNA(MATCH(953,Engine!$C$2:$C$1960,0)),"",INDEX('Compliance Database'!$I$2:$I$1960,MATCH(953,Engine!$C$2:$C$1960,0)))</f>
        <v/>
      </c>
      <c r="J966" s="8">
        <f>IF(ISNA(MATCH(953,Engine!$C$2:$C$1960,0)),"",INDEX('Compliance Database'!$J$2:$J$1960,MATCH(953,Engine!$C$2:$C$1960,0)))</f>
        <v/>
      </c>
      <c r="K966" s="9">
        <f>IF(ISNA(MATCH(953,Engine!$C$2:$C$1960,0)),"",INDEX('Compliance Database'!$K$2:$K$1960,MATCH(953,Engine!$C$2:$C$1960,0)))</f>
        <v/>
      </c>
      <c r="L966" s="9">
        <f>IF(ISNA(MATCH(953,Engine!$C$2:$C$1960,0)),"",INDEX('Compliance Database'!$L$2:$L$1960,MATCH(953,Engine!$C$2:$C$1960,0)))</f>
        <v/>
      </c>
      <c r="M966" s="9">
        <f>IF(ISNA(MATCH(953,Engine!$C$2:$C$1960,0)),"",INDEX('Compliance Database'!$M$2:$M$1960,MATCH(953,Engine!$C$2:$C$1960,0)))</f>
        <v/>
      </c>
      <c r="N966" s="9">
        <f>IF(ISNA(MATCH(953,Engine!$C$2:$C$1960,0)),"",INDEX('Compliance Database'!$N$2:$N$1960,MATCH(953,Engine!$C$2:$C$1960,0)))</f>
        <v/>
      </c>
      <c r="O966" s="9">
        <f>IF(ISNA(MATCH(953,Engine!$C$2:$C$1960,0)),"",INDEX('Compliance Database'!$O$2:$O$1960,MATCH(953,Engine!$C$2:$C$1960,0)))</f>
        <v/>
      </c>
      <c r="P966" s="8">
        <f>IF(ISNA(MATCH(953,Engine!$C$2:$C$1960,0)),"",HYPERLINK("#Acts!A"&amp;INDEX('Compliance Database'!$P$2:$P$1960,MATCH(953,Engine!$C$2:$C$1960,0)),"Go to Act"))</f>
        <v/>
      </c>
    </row>
    <row r="967" ht="158" customHeight="1">
      <c r="A967" s="8">
        <f>IF(ISNA(MATCH(954,Engine!$C$2:$C$1960,0)),"",INDEX('Compliance Database'!$A$2:$A$1960,MATCH(954,Engine!$C$2:$C$1960,0)))</f>
        <v/>
      </c>
      <c r="B967" s="8">
        <f>IF(ISNA(MATCH(954,Engine!$C$2:$C$1960,0)),"",INDEX('Compliance Database'!$B$2:$B$1960,MATCH(954,Engine!$C$2:$C$1960,0)))</f>
        <v/>
      </c>
      <c r="C967" s="8">
        <f>IF(ISNA(MATCH(954,Engine!$C$2:$C$1960,0)),"",INDEX('Compliance Database'!$C$2:$C$1960,MATCH(954,Engine!$C$2:$C$1960,0)))</f>
        <v/>
      </c>
      <c r="D967" s="9">
        <f>IF(ISNA(MATCH(954,Engine!$C$2:$C$1960,0)),"",INDEX('Compliance Database'!$D$2:$D$1960,MATCH(954,Engine!$C$2:$C$1960,0)))</f>
        <v/>
      </c>
      <c r="E967" s="8">
        <f>IF(ISNA(MATCH(954,Engine!$C$2:$C$1960,0)),"",INDEX('Compliance Database'!$E$2:$E$1960,MATCH(954,Engine!$C$2:$C$1960,0)))</f>
        <v/>
      </c>
      <c r="F967" s="8">
        <f>IF(ISNA(MATCH(954,Engine!$C$2:$C$1960,0)),"",INDEX('Compliance Database'!$F$2:$F$1960,MATCH(954,Engine!$C$2:$C$1960,0)))</f>
        <v/>
      </c>
      <c r="G967" s="8">
        <f>IF(ISNA(MATCH(954,Engine!$C$2:$C$1960,0)),"",INDEX('Compliance Database'!$G$2:$G$1960,MATCH(954,Engine!$C$2:$C$1960,0)))</f>
        <v/>
      </c>
      <c r="H967" s="9">
        <f>IF(ISNA(MATCH(954,Engine!$C$2:$C$1960,0)),"",INDEX('Compliance Database'!$H$2:$H$1960,MATCH(954,Engine!$C$2:$C$1960,0)))</f>
        <v/>
      </c>
      <c r="I967" s="9">
        <f>IF(ISNA(MATCH(954,Engine!$C$2:$C$1960,0)),"",INDEX('Compliance Database'!$I$2:$I$1960,MATCH(954,Engine!$C$2:$C$1960,0)))</f>
        <v/>
      </c>
      <c r="J967" s="8">
        <f>IF(ISNA(MATCH(954,Engine!$C$2:$C$1960,0)),"",INDEX('Compliance Database'!$J$2:$J$1960,MATCH(954,Engine!$C$2:$C$1960,0)))</f>
        <v/>
      </c>
      <c r="K967" s="9">
        <f>IF(ISNA(MATCH(954,Engine!$C$2:$C$1960,0)),"",INDEX('Compliance Database'!$K$2:$K$1960,MATCH(954,Engine!$C$2:$C$1960,0)))</f>
        <v/>
      </c>
      <c r="L967" s="9">
        <f>IF(ISNA(MATCH(954,Engine!$C$2:$C$1960,0)),"",INDEX('Compliance Database'!$L$2:$L$1960,MATCH(954,Engine!$C$2:$C$1960,0)))</f>
        <v/>
      </c>
      <c r="M967" s="9">
        <f>IF(ISNA(MATCH(954,Engine!$C$2:$C$1960,0)),"",INDEX('Compliance Database'!$M$2:$M$1960,MATCH(954,Engine!$C$2:$C$1960,0)))</f>
        <v/>
      </c>
      <c r="N967" s="9">
        <f>IF(ISNA(MATCH(954,Engine!$C$2:$C$1960,0)),"",INDEX('Compliance Database'!$N$2:$N$1960,MATCH(954,Engine!$C$2:$C$1960,0)))</f>
        <v/>
      </c>
      <c r="O967" s="9">
        <f>IF(ISNA(MATCH(954,Engine!$C$2:$C$1960,0)),"",INDEX('Compliance Database'!$O$2:$O$1960,MATCH(954,Engine!$C$2:$C$1960,0)))</f>
        <v/>
      </c>
      <c r="P967" s="8">
        <f>IF(ISNA(MATCH(954,Engine!$C$2:$C$1960,0)),"",HYPERLINK("#Acts!A"&amp;INDEX('Compliance Database'!$P$2:$P$1960,MATCH(954,Engine!$C$2:$C$1960,0)),"Go to Act"))</f>
        <v/>
      </c>
    </row>
    <row r="968" ht="158" customHeight="1">
      <c r="A968" s="8">
        <f>IF(ISNA(MATCH(955,Engine!$C$2:$C$1960,0)),"",INDEX('Compliance Database'!$A$2:$A$1960,MATCH(955,Engine!$C$2:$C$1960,0)))</f>
        <v/>
      </c>
      <c r="B968" s="8">
        <f>IF(ISNA(MATCH(955,Engine!$C$2:$C$1960,0)),"",INDEX('Compliance Database'!$B$2:$B$1960,MATCH(955,Engine!$C$2:$C$1960,0)))</f>
        <v/>
      </c>
      <c r="C968" s="8">
        <f>IF(ISNA(MATCH(955,Engine!$C$2:$C$1960,0)),"",INDEX('Compliance Database'!$C$2:$C$1960,MATCH(955,Engine!$C$2:$C$1960,0)))</f>
        <v/>
      </c>
      <c r="D968" s="9">
        <f>IF(ISNA(MATCH(955,Engine!$C$2:$C$1960,0)),"",INDEX('Compliance Database'!$D$2:$D$1960,MATCH(955,Engine!$C$2:$C$1960,0)))</f>
        <v/>
      </c>
      <c r="E968" s="8">
        <f>IF(ISNA(MATCH(955,Engine!$C$2:$C$1960,0)),"",INDEX('Compliance Database'!$E$2:$E$1960,MATCH(955,Engine!$C$2:$C$1960,0)))</f>
        <v/>
      </c>
      <c r="F968" s="8">
        <f>IF(ISNA(MATCH(955,Engine!$C$2:$C$1960,0)),"",INDEX('Compliance Database'!$F$2:$F$1960,MATCH(955,Engine!$C$2:$C$1960,0)))</f>
        <v/>
      </c>
      <c r="G968" s="8">
        <f>IF(ISNA(MATCH(955,Engine!$C$2:$C$1960,0)),"",INDEX('Compliance Database'!$G$2:$G$1960,MATCH(955,Engine!$C$2:$C$1960,0)))</f>
        <v/>
      </c>
      <c r="H968" s="9">
        <f>IF(ISNA(MATCH(955,Engine!$C$2:$C$1960,0)),"",INDEX('Compliance Database'!$H$2:$H$1960,MATCH(955,Engine!$C$2:$C$1960,0)))</f>
        <v/>
      </c>
      <c r="I968" s="9">
        <f>IF(ISNA(MATCH(955,Engine!$C$2:$C$1960,0)),"",INDEX('Compliance Database'!$I$2:$I$1960,MATCH(955,Engine!$C$2:$C$1960,0)))</f>
        <v/>
      </c>
      <c r="J968" s="8">
        <f>IF(ISNA(MATCH(955,Engine!$C$2:$C$1960,0)),"",INDEX('Compliance Database'!$J$2:$J$1960,MATCH(955,Engine!$C$2:$C$1960,0)))</f>
        <v/>
      </c>
      <c r="K968" s="9">
        <f>IF(ISNA(MATCH(955,Engine!$C$2:$C$1960,0)),"",INDEX('Compliance Database'!$K$2:$K$1960,MATCH(955,Engine!$C$2:$C$1960,0)))</f>
        <v/>
      </c>
      <c r="L968" s="9">
        <f>IF(ISNA(MATCH(955,Engine!$C$2:$C$1960,0)),"",INDEX('Compliance Database'!$L$2:$L$1960,MATCH(955,Engine!$C$2:$C$1960,0)))</f>
        <v/>
      </c>
      <c r="M968" s="9">
        <f>IF(ISNA(MATCH(955,Engine!$C$2:$C$1960,0)),"",INDEX('Compliance Database'!$M$2:$M$1960,MATCH(955,Engine!$C$2:$C$1960,0)))</f>
        <v/>
      </c>
      <c r="N968" s="9">
        <f>IF(ISNA(MATCH(955,Engine!$C$2:$C$1960,0)),"",INDEX('Compliance Database'!$N$2:$N$1960,MATCH(955,Engine!$C$2:$C$1960,0)))</f>
        <v/>
      </c>
      <c r="O968" s="9">
        <f>IF(ISNA(MATCH(955,Engine!$C$2:$C$1960,0)),"",INDEX('Compliance Database'!$O$2:$O$1960,MATCH(955,Engine!$C$2:$C$1960,0)))</f>
        <v/>
      </c>
      <c r="P968" s="8">
        <f>IF(ISNA(MATCH(955,Engine!$C$2:$C$1960,0)),"",HYPERLINK("#Acts!A"&amp;INDEX('Compliance Database'!$P$2:$P$1960,MATCH(955,Engine!$C$2:$C$1960,0)),"Go to Act"))</f>
        <v/>
      </c>
    </row>
    <row r="969" ht="158" customHeight="1">
      <c r="A969" s="8">
        <f>IF(ISNA(MATCH(956,Engine!$C$2:$C$1960,0)),"",INDEX('Compliance Database'!$A$2:$A$1960,MATCH(956,Engine!$C$2:$C$1960,0)))</f>
        <v/>
      </c>
      <c r="B969" s="8">
        <f>IF(ISNA(MATCH(956,Engine!$C$2:$C$1960,0)),"",INDEX('Compliance Database'!$B$2:$B$1960,MATCH(956,Engine!$C$2:$C$1960,0)))</f>
        <v/>
      </c>
      <c r="C969" s="8">
        <f>IF(ISNA(MATCH(956,Engine!$C$2:$C$1960,0)),"",INDEX('Compliance Database'!$C$2:$C$1960,MATCH(956,Engine!$C$2:$C$1960,0)))</f>
        <v/>
      </c>
      <c r="D969" s="9">
        <f>IF(ISNA(MATCH(956,Engine!$C$2:$C$1960,0)),"",INDEX('Compliance Database'!$D$2:$D$1960,MATCH(956,Engine!$C$2:$C$1960,0)))</f>
        <v/>
      </c>
      <c r="E969" s="8">
        <f>IF(ISNA(MATCH(956,Engine!$C$2:$C$1960,0)),"",INDEX('Compliance Database'!$E$2:$E$1960,MATCH(956,Engine!$C$2:$C$1960,0)))</f>
        <v/>
      </c>
      <c r="F969" s="8">
        <f>IF(ISNA(MATCH(956,Engine!$C$2:$C$1960,0)),"",INDEX('Compliance Database'!$F$2:$F$1960,MATCH(956,Engine!$C$2:$C$1960,0)))</f>
        <v/>
      </c>
      <c r="G969" s="8">
        <f>IF(ISNA(MATCH(956,Engine!$C$2:$C$1960,0)),"",INDEX('Compliance Database'!$G$2:$G$1960,MATCH(956,Engine!$C$2:$C$1960,0)))</f>
        <v/>
      </c>
      <c r="H969" s="9">
        <f>IF(ISNA(MATCH(956,Engine!$C$2:$C$1960,0)),"",INDEX('Compliance Database'!$H$2:$H$1960,MATCH(956,Engine!$C$2:$C$1960,0)))</f>
        <v/>
      </c>
      <c r="I969" s="9">
        <f>IF(ISNA(MATCH(956,Engine!$C$2:$C$1960,0)),"",INDEX('Compliance Database'!$I$2:$I$1960,MATCH(956,Engine!$C$2:$C$1960,0)))</f>
        <v/>
      </c>
      <c r="J969" s="8">
        <f>IF(ISNA(MATCH(956,Engine!$C$2:$C$1960,0)),"",INDEX('Compliance Database'!$J$2:$J$1960,MATCH(956,Engine!$C$2:$C$1960,0)))</f>
        <v/>
      </c>
      <c r="K969" s="9">
        <f>IF(ISNA(MATCH(956,Engine!$C$2:$C$1960,0)),"",INDEX('Compliance Database'!$K$2:$K$1960,MATCH(956,Engine!$C$2:$C$1960,0)))</f>
        <v/>
      </c>
      <c r="L969" s="9">
        <f>IF(ISNA(MATCH(956,Engine!$C$2:$C$1960,0)),"",INDEX('Compliance Database'!$L$2:$L$1960,MATCH(956,Engine!$C$2:$C$1960,0)))</f>
        <v/>
      </c>
      <c r="M969" s="9">
        <f>IF(ISNA(MATCH(956,Engine!$C$2:$C$1960,0)),"",INDEX('Compliance Database'!$M$2:$M$1960,MATCH(956,Engine!$C$2:$C$1960,0)))</f>
        <v/>
      </c>
      <c r="N969" s="9">
        <f>IF(ISNA(MATCH(956,Engine!$C$2:$C$1960,0)),"",INDEX('Compliance Database'!$N$2:$N$1960,MATCH(956,Engine!$C$2:$C$1960,0)))</f>
        <v/>
      </c>
      <c r="O969" s="9">
        <f>IF(ISNA(MATCH(956,Engine!$C$2:$C$1960,0)),"",INDEX('Compliance Database'!$O$2:$O$1960,MATCH(956,Engine!$C$2:$C$1960,0)))</f>
        <v/>
      </c>
      <c r="P969" s="8">
        <f>IF(ISNA(MATCH(956,Engine!$C$2:$C$1960,0)),"",HYPERLINK("#Acts!A"&amp;INDEX('Compliance Database'!$P$2:$P$1960,MATCH(956,Engine!$C$2:$C$1960,0)),"Go to Act"))</f>
        <v/>
      </c>
    </row>
    <row r="970" ht="158" customHeight="1">
      <c r="A970" s="8">
        <f>IF(ISNA(MATCH(957,Engine!$C$2:$C$1960,0)),"",INDEX('Compliance Database'!$A$2:$A$1960,MATCH(957,Engine!$C$2:$C$1960,0)))</f>
        <v/>
      </c>
      <c r="B970" s="8">
        <f>IF(ISNA(MATCH(957,Engine!$C$2:$C$1960,0)),"",INDEX('Compliance Database'!$B$2:$B$1960,MATCH(957,Engine!$C$2:$C$1960,0)))</f>
        <v/>
      </c>
      <c r="C970" s="8">
        <f>IF(ISNA(MATCH(957,Engine!$C$2:$C$1960,0)),"",INDEX('Compliance Database'!$C$2:$C$1960,MATCH(957,Engine!$C$2:$C$1960,0)))</f>
        <v/>
      </c>
      <c r="D970" s="9">
        <f>IF(ISNA(MATCH(957,Engine!$C$2:$C$1960,0)),"",INDEX('Compliance Database'!$D$2:$D$1960,MATCH(957,Engine!$C$2:$C$1960,0)))</f>
        <v/>
      </c>
      <c r="E970" s="8">
        <f>IF(ISNA(MATCH(957,Engine!$C$2:$C$1960,0)),"",INDEX('Compliance Database'!$E$2:$E$1960,MATCH(957,Engine!$C$2:$C$1960,0)))</f>
        <v/>
      </c>
      <c r="F970" s="8">
        <f>IF(ISNA(MATCH(957,Engine!$C$2:$C$1960,0)),"",INDEX('Compliance Database'!$F$2:$F$1960,MATCH(957,Engine!$C$2:$C$1960,0)))</f>
        <v/>
      </c>
      <c r="G970" s="8">
        <f>IF(ISNA(MATCH(957,Engine!$C$2:$C$1960,0)),"",INDEX('Compliance Database'!$G$2:$G$1960,MATCH(957,Engine!$C$2:$C$1960,0)))</f>
        <v/>
      </c>
      <c r="H970" s="9">
        <f>IF(ISNA(MATCH(957,Engine!$C$2:$C$1960,0)),"",INDEX('Compliance Database'!$H$2:$H$1960,MATCH(957,Engine!$C$2:$C$1960,0)))</f>
        <v/>
      </c>
      <c r="I970" s="9">
        <f>IF(ISNA(MATCH(957,Engine!$C$2:$C$1960,0)),"",INDEX('Compliance Database'!$I$2:$I$1960,MATCH(957,Engine!$C$2:$C$1960,0)))</f>
        <v/>
      </c>
      <c r="J970" s="8">
        <f>IF(ISNA(MATCH(957,Engine!$C$2:$C$1960,0)),"",INDEX('Compliance Database'!$J$2:$J$1960,MATCH(957,Engine!$C$2:$C$1960,0)))</f>
        <v/>
      </c>
      <c r="K970" s="9">
        <f>IF(ISNA(MATCH(957,Engine!$C$2:$C$1960,0)),"",INDEX('Compliance Database'!$K$2:$K$1960,MATCH(957,Engine!$C$2:$C$1960,0)))</f>
        <v/>
      </c>
      <c r="L970" s="9">
        <f>IF(ISNA(MATCH(957,Engine!$C$2:$C$1960,0)),"",INDEX('Compliance Database'!$L$2:$L$1960,MATCH(957,Engine!$C$2:$C$1960,0)))</f>
        <v/>
      </c>
      <c r="M970" s="9">
        <f>IF(ISNA(MATCH(957,Engine!$C$2:$C$1960,0)),"",INDEX('Compliance Database'!$M$2:$M$1960,MATCH(957,Engine!$C$2:$C$1960,0)))</f>
        <v/>
      </c>
      <c r="N970" s="9">
        <f>IF(ISNA(MATCH(957,Engine!$C$2:$C$1960,0)),"",INDEX('Compliance Database'!$N$2:$N$1960,MATCH(957,Engine!$C$2:$C$1960,0)))</f>
        <v/>
      </c>
      <c r="O970" s="9">
        <f>IF(ISNA(MATCH(957,Engine!$C$2:$C$1960,0)),"",INDEX('Compliance Database'!$O$2:$O$1960,MATCH(957,Engine!$C$2:$C$1960,0)))</f>
        <v/>
      </c>
      <c r="P970" s="8">
        <f>IF(ISNA(MATCH(957,Engine!$C$2:$C$1960,0)),"",HYPERLINK("#Acts!A"&amp;INDEX('Compliance Database'!$P$2:$P$1960,MATCH(957,Engine!$C$2:$C$1960,0)),"Go to Act"))</f>
        <v/>
      </c>
    </row>
    <row r="971" ht="158" customHeight="1">
      <c r="A971" s="8">
        <f>IF(ISNA(MATCH(958,Engine!$C$2:$C$1960,0)),"",INDEX('Compliance Database'!$A$2:$A$1960,MATCH(958,Engine!$C$2:$C$1960,0)))</f>
        <v/>
      </c>
      <c r="B971" s="8">
        <f>IF(ISNA(MATCH(958,Engine!$C$2:$C$1960,0)),"",INDEX('Compliance Database'!$B$2:$B$1960,MATCH(958,Engine!$C$2:$C$1960,0)))</f>
        <v/>
      </c>
      <c r="C971" s="8">
        <f>IF(ISNA(MATCH(958,Engine!$C$2:$C$1960,0)),"",INDEX('Compliance Database'!$C$2:$C$1960,MATCH(958,Engine!$C$2:$C$1960,0)))</f>
        <v/>
      </c>
      <c r="D971" s="9">
        <f>IF(ISNA(MATCH(958,Engine!$C$2:$C$1960,0)),"",INDEX('Compliance Database'!$D$2:$D$1960,MATCH(958,Engine!$C$2:$C$1960,0)))</f>
        <v/>
      </c>
      <c r="E971" s="8">
        <f>IF(ISNA(MATCH(958,Engine!$C$2:$C$1960,0)),"",INDEX('Compliance Database'!$E$2:$E$1960,MATCH(958,Engine!$C$2:$C$1960,0)))</f>
        <v/>
      </c>
      <c r="F971" s="8">
        <f>IF(ISNA(MATCH(958,Engine!$C$2:$C$1960,0)),"",INDEX('Compliance Database'!$F$2:$F$1960,MATCH(958,Engine!$C$2:$C$1960,0)))</f>
        <v/>
      </c>
      <c r="G971" s="8">
        <f>IF(ISNA(MATCH(958,Engine!$C$2:$C$1960,0)),"",INDEX('Compliance Database'!$G$2:$G$1960,MATCH(958,Engine!$C$2:$C$1960,0)))</f>
        <v/>
      </c>
      <c r="H971" s="9">
        <f>IF(ISNA(MATCH(958,Engine!$C$2:$C$1960,0)),"",INDEX('Compliance Database'!$H$2:$H$1960,MATCH(958,Engine!$C$2:$C$1960,0)))</f>
        <v/>
      </c>
      <c r="I971" s="9">
        <f>IF(ISNA(MATCH(958,Engine!$C$2:$C$1960,0)),"",INDEX('Compliance Database'!$I$2:$I$1960,MATCH(958,Engine!$C$2:$C$1960,0)))</f>
        <v/>
      </c>
      <c r="J971" s="8">
        <f>IF(ISNA(MATCH(958,Engine!$C$2:$C$1960,0)),"",INDEX('Compliance Database'!$J$2:$J$1960,MATCH(958,Engine!$C$2:$C$1960,0)))</f>
        <v/>
      </c>
      <c r="K971" s="9">
        <f>IF(ISNA(MATCH(958,Engine!$C$2:$C$1960,0)),"",INDEX('Compliance Database'!$K$2:$K$1960,MATCH(958,Engine!$C$2:$C$1960,0)))</f>
        <v/>
      </c>
      <c r="L971" s="9">
        <f>IF(ISNA(MATCH(958,Engine!$C$2:$C$1960,0)),"",INDEX('Compliance Database'!$L$2:$L$1960,MATCH(958,Engine!$C$2:$C$1960,0)))</f>
        <v/>
      </c>
      <c r="M971" s="9">
        <f>IF(ISNA(MATCH(958,Engine!$C$2:$C$1960,0)),"",INDEX('Compliance Database'!$M$2:$M$1960,MATCH(958,Engine!$C$2:$C$1960,0)))</f>
        <v/>
      </c>
      <c r="N971" s="9">
        <f>IF(ISNA(MATCH(958,Engine!$C$2:$C$1960,0)),"",INDEX('Compliance Database'!$N$2:$N$1960,MATCH(958,Engine!$C$2:$C$1960,0)))</f>
        <v/>
      </c>
      <c r="O971" s="9">
        <f>IF(ISNA(MATCH(958,Engine!$C$2:$C$1960,0)),"",INDEX('Compliance Database'!$O$2:$O$1960,MATCH(958,Engine!$C$2:$C$1960,0)))</f>
        <v/>
      </c>
      <c r="P971" s="8">
        <f>IF(ISNA(MATCH(958,Engine!$C$2:$C$1960,0)),"",HYPERLINK("#Acts!A"&amp;INDEX('Compliance Database'!$P$2:$P$1960,MATCH(958,Engine!$C$2:$C$1960,0)),"Go to Act"))</f>
        <v/>
      </c>
    </row>
    <row r="972" ht="158" customHeight="1">
      <c r="A972" s="8">
        <f>IF(ISNA(MATCH(959,Engine!$C$2:$C$1960,0)),"",INDEX('Compliance Database'!$A$2:$A$1960,MATCH(959,Engine!$C$2:$C$1960,0)))</f>
        <v/>
      </c>
      <c r="B972" s="8">
        <f>IF(ISNA(MATCH(959,Engine!$C$2:$C$1960,0)),"",INDEX('Compliance Database'!$B$2:$B$1960,MATCH(959,Engine!$C$2:$C$1960,0)))</f>
        <v/>
      </c>
      <c r="C972" s="8">
        <f>IF(ISNA(MATCH(959,Engine!$C$2:$C$1960,0)),"",INDEX('Compliance Database'!$C$2:$C$1960,MATCH(959,Engine!$C$2:$C$1960,0)))</f>
        <v/>
      </c>
      <c r="D972" s="9">
        <f>IF(ISNA(MATCH(959,Engine!$C$2:$C$1960,0)),"",INDEX('Compliance Database'!$D$2:$D$1960,MATCH(959,Engine!$C$2:$C$1960,0)))</f>
        <v/>
      </c>
      <c r="E972" s="8">
        <f>IF(ISNA(MATCH(959,Engine!$C$2:$C$1960,0)),"",INDEX('Compliance Database'!$E$2:$E$1960,MATCH(959,Engine!$C$2:$C$1960,0)))</f>
        <v/>
      </c>
      <c r="F972" s="8">
        <f>IF(ISNA(MATCH(959,Engine!$C$2:$C$1960,0)),"",INDEX('Compliance Database'!$F$2:$F$1960,MATCH(959,Engine!$C$2:$C$1960,0)))</f>
        <v/>
      </c>
      <c r="G972" s="8">
        <f>IF(ISNA(MATCH(959,Engine!$C$2:$C$1960,0)),"",INDEX('Compliance Database'!$G$2:$G$1960,MATCH(959,Engine!$C$2:$C$1960,0)))</f>
        <v/>
      </c>
      <c r="H972" s="9">
        <f>IF(ISNA(MATCH(959,Engine!$C$2:$C$1960,0)),"",INDEX('Compliance Database'!$H$2:$H$1960,MATCH(959,Engine!$C$2:$C$1960,0)))</f>
        <v/>
      </c>
      <c r="I972" s="9">
        <f>IF(ISNA(MATCH(959,Engine!$C$2:$C$1960,0)),"",INDEX('Compliance Database'!$I$2:$I$1960,MATCH(959,Engine!$C$2:$C$1960,0)))</f>
        <v/>
      </c>
      <c r="J972" s="8">
        <f>IF(ISNA(MATCH(959,Engine!$C$2:$C$1960,0)),"",INDEX('Compliance Database'!$J$2:$J$1960,MATCH(959,Engine!$C$2:$C$1960,0)))</f>
        <v/>
      </c>
      <c r="K972" s="9">
        <f>IF(ISNA(MATCH(959,Engine!$C$2:$C$1960,0)),"",INDEX('Compliance Database'!$K$2:$K$1960,MATCH(959,Engine!$C$2:$C$1960,0)))</f>
        <v/>
      </c>
      <c r="L972" s="9">
        <f>IF(ISNA(MATCH(959,Engine!$C$2:$C$1960,0)),"",INDEX('Compliance Database'!$L$2:$L$1960,MATCH(959,Engine!$C$2:$C$1960,0)))</f>
        <v/>
      </c>
      <c r="M972" s="9">
        <f>IF(ISNA(MATCH(959,Engine!$C$2:$C$1960,0)),"",INDEX('Compliance Database'!$M$2:$M$1960,MATCH(959,Engine!$C$2:$C$1960,0)))</f>
        <v/>
      </c>
      <c r="N972" s="9">
        <f>IF(ISNA(MATCH(959,Engine!$C$2:$C$1960,0)),"",INDEX('Compliance Database'!$N$2:$N$1960,MATCH(959,Engine!$C$2:$C$1960,0)))</f>
        <v/>
      </c>
      <c r="O972" s="9">
        <f>IF(ISNA(MATCH(959,Engine!$C$2:$C$1960,0)),"",INDEX('Compliance Database'!$O$2:$O$1960,MATCH(959,Engine!$C$2:$C$1960,0)))</f>
        <v/>
      </c>
      <c r="P972" s="8">
        <f>IF(ISNA(MATCH(959,Engine!$C$2:$C$1960,0)),"",HYPERLINK("#Acts!A"&amp;INDEX('Compliance Database'!$P$2:$P$1960,MATCH(959,Engine!$C$2:$C$1960,0)),"Go to Act"))</f>
        <v/>
      </c>
    </row>
    <row r="973" ht="158" customHeight="1">
      <c r="A973" s="8">
        <f>IF(ISNA(MATCH(960,Engine!$C$2:$C$1960,0)),"",INDEX('Compliance Database'!$A$2:$A$1960,MATCH(960,Engine!$C$2:$C$1960,0)))</f>
        <v/>
      </c>
      <c r="B973" s="8">
        <f>IF(ISNA(MATCH(960,Engine!$C$2:$C$1960,0)),"",INDEX('Compliance Database'!$B$2:$B$1960,MATCH(960,Engine!$C$2:$C$1960,0)))</f>
        <v/>
      </c>
      <c r="C973" s="8">
        <f>IF(ISNA(MATCH(960,Engine!$C$2:$C$1960,0)),"",INDEX('Compliance Database'!$C$2:$C$1960,MATCH(960,Engine!$C$2:$C$1960,0)))</f>
        <v/>
      </c>
      <c r="D973" s="9">
        <f>IF(ISNA(MATCH(960,Engine!$C$2:$C$1960,0)),"",INDEX('Compliance Database'!$D$2:$D$1960,MATCH(960,Engine!$C$2:$C$1960,0)))</f>
        <v/>
      </c>
      <c r="E973" s="8">
        <f>IF(ISNA(MATCH(960,Engine!$C$2:$C$1960,0)),"",INDEX('Compliance Database'!$E$2:$E$1960,MATCH(960,Engine!$C$2:$C$1960,0)))</f>
        <v/>
      </c>
      <c r="F973" s="8">
        <f>IF(ISNA(MATCH(960,Engine!$C$2:$C$1960,0)),"",INDEX('Compliance Database'!$F$2:$F$1960,MATCH(960,Engine!$C$2:$C$1960,0)))</f>
        <v/>
      </c>
      <c r="G973" s="8">
        <f>IF(ISNA(MATCH(960,Engine!$C$2:$C$1960,0)),"",INDEX('Compliance Database'!$G$2:$G$1960,MATCH(960,Engine!$C$2:$C$1960,0)))</f>
        <v/>
      </c>
      <c r="H973" s="9">
        <f>IF(ISNA(MATCH(960,Engine!$C$2:$C$1960,0)),"",INDEX('Compliance Database'!$H$2:$H$1960,MATCH(960,Engine!$C$2:$C$1960,0)))</f>
        <v/>
      </c>
      <c r="I973" s="9">
        <f>IF(ISNA(MATCH(960,Engine!$C$2:$C$1960,0)),"",INDEX('Compliance Database'!$I$2:$I$1960,MATCH(960,Engine!$C$2:$C$1960,0)))</f>
        <v/>
      </c>
      <c r="J973" s="8">
        <f>IF(ISNA(MATCH(960,Engine!$C$2:$C$1960,0)),"",INDEX('Compliance Database'!$J$2:$J$1960,MATCH(960,Engine!$C$2:$C$1960,0)))</f>
        <v/>
      </c>
      <c r="K973" s="9">
        <f>IF(ISNA(MATCH(960,Engine!$C$2:$C$1960,0)),"",INDEX('Compliance Database'!$K$2:$K$1960,MATCH(960,Engine!$C$2:$C$1960,0)))</f>
        <v/>
      </c>
      <c r="L973" s="9">
        <f>IF(ISNA(MATCH(960,Engine!$C$2:$C$1960,0)),"",INDEX('Compliance Database'!$L$2:$L$1960,MATCH(960,Engine!$C$2:$C$1960,0)))</f>
        <v/>
      </c>
      <c r="M973" s="9">
        <f>IF(ISNA(MATCH(960,Engine!$C$2:$C$1960,0)),"",INDEX('Compliance Database'!$M$2:$M$1960,MATCH(960,Engine!$C$2:$C$1960,0)))</f>
        <v/>
      </c>
      <c r="N973" s="9">
        <f>IF(ISNA(MATCH(960,Engine!$C$2:$C$1960,0)),"",INDEX('Compliance Database'!$N$2:$N$1960,MATCH(960,Engine!$C$2:$C$1960,0)))</f>
        <v/>
      </c>
      <c r="O973" s="9">
        <f>IF(ISNA(MATCH(960,Engine!$C$2:$C$1960,0)),"",INDEX('Compliance Database'!$O$2:$O$1960,MATCH(960,Engine!$C$2:$C$1960,0)))</f>
        <v/>
      </c>
      <c r="P973" s="8">
        <f>IF(ISNA(MATCH(960,Engine!$C$2:$C$1960,0)),"",HYPERLINK("#Acts!A"&amp;INDEX('Compliance Database'!$P$2:$P$1960,MATCH(960,Engine!$C$2:$C$1960,0)),"Go to Act"))</f>
        <v/>
      </c>
    </row>
    <row r="974" ht="158" customHeight="1">
      <c r="A974" s="8">
        <f>IF(ISNA(MATCH(961,Engine!$C$2:$C$1960,0)),"",INDEX('Compliance Database'!$A$2:$A$1960,MATCH(961,Engine!$C$2:$C$1960,0)))</f>
        <v/>
      </c>
      <c r="B974" s="8">
        <f>IF(ISNA(MATCH(961,Engine!$C$2:$C$1960,0)),"",INDEX('Compliance Database'!$B$2:$B$1960,MATCH(961,Engine!$C$2:$C$1960,0)))</f>
        <v/>
      </c>
      <c r="C974" s="8">
        <f>IF(ISNA(MATCH(961,Engine!$C$2:$C$1960,0)),"",INDEX('Compliance Database'!$C$2:$C$1960,MATCH(961,Engine!$C$2:$C$1960,0)))</f>
        <v/>
      </c>
      <c r="D974" s="9">
        <f>IF(ISNA(MATCH(961,Engine!$C$2:$C$1960,0)),"",INDEX('Compliance Database'!$D$2:$D$1960,MATCH(961,Engine!$C$2:$C$1960,0)))</f>
        <v/>
      </c>
      <c r="E974" s="8">
        <f>IF(ISNA(MATCH(961,Engine!$C$2:$C$1960,0)),"",INDEX('Compliance Database'!$E$2:$E$1960,MATCH(961,Engine!$C$2:$C$1960,0)))</f>
        <v/>
      </c>
      <c r="F974" s="8">
        <f>IF(ISNA(MATCH(961,Engine!$C$2:$C$1960,0)),"",INDEX('Compliance Database'!$F$2:$F$1960,MATCH(961,Engine!$C$2:$C$1960,0)))</f>
        <v/>
      </c>
      <c r="G974" s="8">
        <f>IF(ISNA(MATCH(961,Engine!$C$2:$C$1960,0)),"",INDEX('Compliance Database'!$G$2:$G$1960,MATCH(961,Engine!$C$2:$C$1960,0)))</f>
        <v/>
      </c>
      <c r="H974" s="9">
        <f>IF(ISNA(MATCH(961,Engine!$C$2:$C$1960,0)),"",INDEX('Compliance Database'!$H$2:$H$1960,MATCH(961,Engine!$C$2:$C$1960,0)))</f>
        <v/>
      </c>
      <c r="I974" s="9">
        <f>IF(ISNA(MATCH(961,Engine!$C$2:$C$1960,0)),"",INDEX('Compliance Database'!$I$2:$I$1960,MATCH(961,Engine!$C$2:$C$1960,0)))</f>
        <v/>
      </c>
      <c r="J974" s="8">
        <f>IF(ISNA(MATCH(961,Engine!$C$2:$C$1960,0)),"",INDEX('Compliance Database'!$J$2:$J$1960,MATCH(961,Engine!$C$2:$C$1960,0)))</f>
        <v/>
      </c>
      <c r="K974" s="9">
        <f>IF(ISNA(MATCH(961,Engine!$C$2:$C$1960,0)),"",INDEX('Compliance Database'!$K$2:$K$1960,MATCH(961,Engine!$C$2:$C$1960,0)))</f>
        <v/>
      </c>
      <c r="L974" s="9">
        <f>IF(ISNA(MATCH(961,Engine!$C$2:$C$1960,0)),"",INDEX('Compliance Database'!$L$2:$L$1960,MATCH(961,Engine!$C$2:$C$1960,0)))</f>
        <v/>
      </c>
      <c r="M974" s="9">
        <f>IF(ISNA(MATCH(961,Engine!$C$2:$C$1960,0)),"",INDEX('Compliance Database'!$M$2:$M$1960,MATCH(961,Engine!$C$2:$C$1960,0)))</f>
        <v/>
      </c>
      <c r="N974" s="9">
        <f>IF(ISNA(MATCH(961,Engine!$C$2:$C$1960,0)),"",INDEX('Compliance Database'!$N$2:$N$1960,MATCH(961,Engine!$C$2:$C$1960,0)))</f>
        <v/>
      </c>
      <c r="O974" s="9">
        <f>IF(ISNA(MATCH(961,Engine!$C$2:$C$1960,0)),"",INDEX('Compliance Database'!$O$2:$O$1960,MATCH(961,Engine!$C$2:$C$1960,0)))</f>
        <v/>
      </c>
      <c r="P974" s="8">
        <f>IF(ISNA(MATCH(961,Engine!$C$2:$C$1960,0)),"",HYPERLINK("#Acts!A"&amp;INDEX('Compliance Database'!$P$2:$P$1960,MATCH(961,Engine!$C$2:$C$1960,0)),"Go to Act"))</f>
        <v/>
      </c>
    </row>
    <row r="975" ht="158" customHeight="1">
      <c r="A975" s="8">
        <f>IF(ISNA(MATCH(962,Engine!$C$2:$C$1960,0)),"",INDEX('Compliance Database'!$A$2:$A$1960,MATCH(962,Engine!$C$2:$C$1960,0)))</f>
        <v/>
      </c>
      <c r="B975" s="8">
        <f>IF(ISNA(MATCH(962,Engine!$C$2:$C$1960,0)),"",INDEX('Compliance Database'!$B$2:$B$1960,MATCH(962,Engine!$C$2:$C$1960,0)))</f>
        <v/>
      </c>
      <c r="C975" s="8">
        <f>IF(ISNA(MATCH(962,Engine!$C$2:$C$1960,0)),"",INDEX('Compliance Database'!$C$2:$C$1960,MATCH(962,Engine!$C$2:$C$1960,0)))</f>
        <v/>
      </c>
      <c r="D975" s="9">
        <f>IF(ISNA(MATCH(962,Engine!$C$2:$C$1960,0)),"",INDEX('Compliance Database'!$D$2:$D$1960,MATCH(962,Engine!$C$2:$C$1960,0)))</f>
        <v/>
      </c>
      <c r="E975" s="8">
        <f>IF(ISNA(MATCH(962,Engine!$C$2:$C$1960,0)),"",INDEX('Compliance Database'!$E$2:$E$1960,MATCH(962,Engine!$C$2:$C$1960,0)))</f>
        <v/>
      </c>
      <c r="F975" s="8">
        <f>IF(ISNA(MATCH(962,Engine!$C$2:$C$1960,0)),"",INDEX('Compliance Database'!$F$2:$F$1960,MATCH(962,Engine!$C$2:$C$1960,0)))</f>
        <v/>
      </c>
      <c r="G975" s="8">
        <f>IF(ISNA(MATCH(962,Engine!$C$2:$C$1960,0)),"",INDEX('Compliance Database'!$G$2:$G$1960,MATCH(962,Engine!$C$2:$C$1960,0)))</f>
        <v/>
      </c>
      <c r="H975" s="9">
        <f>IF(ISNA(MATCH(962,Engine!$C$2:$C$1960,0)),"",INDEX('Compliance Database'!$H$2:$H$1960,MATCH(962,Engine!$C$2:$C$1960,0)))</f>
        <v/>
      </c>
      <c r="I975" s="9">
        <f>IF(ISNA(MATCH(962,Engine!$C$2:$C$1960,0)),"",INDEX('Compliance Database'!$I$2:$I$1960,MATCH(962,Engine!$C$2:$C$1960,0)))</f>
        <v/>
      </c>
      <c r="J975" s="8">
        <f>IF(ISNA(MATCH(962,Engine!$C$2:$C$1960,0)),"",INDEX('Compliance Database'!$J$2:$J$1960,MATCH(962,Engine!$C$2:$C$1960,0)))</f>
        <v/>
      </c>
      <c r="K975" s="9">
        <f>IF(ISNA(MATCH(962,Engine!$C$2:$C$1960,0)),"",INDEX('Compliance Database'!$K$2:$K$1960,MATCH(962,Engine!$C$2:$C$1960,0)))</f>
        <v/>
      </c>
      <c r="L975" s="9">
        <f>IF(ISNA(MATCH(962,Engine!$C$2:$C$1960,0)),"",INDEX('Compliance Database'!$L$2:$L$1960,MATCH(962,Engine!$C$2:$C$1960,0)))</f>
        <v/>
      </c>
      <c r="M975" s="9">
        <f>IF(ISNA(MATCH(962,Engine!$C$2:$C$1960,0)),"",INDEX('Compliance Database'!$M$2:$M$1960,MATCH(962,Engine!$C$2:$C$1960,0)))</f>
        <v/>
      </c>
      <c r="N975" s="9">
        <f>IF(ISNA(MATCH(962,Engine!$C$2:$C$1960,0)),"",INDEX('Compliance Database'!$N$2:$N$1960,MATCH(962,Engine!$C$2:$C$1960,0)))</f>
        <v/>
      </c>
      <c r="O975" s="9">
        <f>IF(ISNA(MATCH(962,Engine!$C$2:$C$1960,0)),"",INDEX('Compliance Database'!$O$2:$O$1960,MATCH(962,Engine!$C$2:$C$1960,0)))</f>
        <v/>
      </c>
      <c r="P975" s="8">
        <f>IF(ISNA(MATCH(962,Engine!$C$2:$C$1960,0)),"",HYPERLINK("#Acts!A"&amp;INDEX('Compliance Database'!$P$2:$P$1960,MATCH(962,Engine!$C$2:$C$1960,0)),"Go to Act"))</f>
        <v/>
      </c>
    </row>
    <row r="976" ht="158" customHeight="1">
      <c r="A976" s="8">
        <f>IF(ISNA(MATCH(963,Engine!$C$2:$C$1960,0)),"",INDEX('Compliance Database'!$A$2:$A$1960,MATCH(963,Engine!$C$2:$C$1960,0)))</f>
        <v/>
      </c>
      <c r="B976" s="8">
        <f>IF(ISNA(MATCH(963,Engine!$C$2:$C$1960,0)),"",INDEX('Compliance Database'!$B$2:$B$1960,MATCH(963,Engine!$C$2:$C$1960,0)))</f>
        <v/>
      </c>
      <c r="C976" s="8">
        <f>IF(ISNA(MATCH(963,Engine!$C$2:$C$1960,0)),"",INDEX('Compliance Database'!$C$2:$C$1960,MATCH(963,Engine!$C$2:$C$1960,0)))</f>
        <v/>
      </c>
      <c r="D976" s="9">
        <f>IF(ISNA(MATCH(963,Engine!$C$2:$C$1960,0)),"",INDEX('Compliance Database'!$D$2:$D$1960,MATCH(963,Engine!$C$2:$C$1960,0)))</f>
        <v/>
      </c>
      <c r="E976" s="8">
        <f>IF(ISNA(MATCH(963,Engine!$C$2:$C$1960,0)),"",INDEX('Compliance Database'!$E$2:$E$1960,MATCH(963,Engine!$C$2:$C$1960,0)))</f>
        <v/>
      </c>
      <c r="F976" s="8">
        <f>IF(ISNA(MATCH(963,Engine!$C$2:$C$1960,0)),"",INDEX('Compliance Database'!$F$2:$F$1960,MATCH(963,Engine!$C$2:$C$1960,0)))</f>
        <v/>
      </c>
      <c r="G976" s="8">
        <f>IF(ISNA(MATCH(963,Engine!$C$2:$C$1960,0)),"",INDEX('Compliance Database'!$G$2:$G$1960,MATCH(963,Engine!$C$2:$C$1960,0)))</f>
        <v/>
      </c>
      <c r="H976" s="9">
        <f>IF(ISNA(MATCH(963,Engine!$C$2:$C$1960,0)),"",INDEX('Compliance Database'!$H$2:$H$1960,MATCH(963,Engine!$C$2:$C$1960,0)))</f>
        <v/>
      </c>
      <c r="I976" s="9">
        <f>IF(ISNA(MATCH(963,Engine!$C$2:$C$1960,0)),"",INDEX('Compliance Database'!$I$2:$I$1960,MATCH(963,Engine!$C$2:$C$1960,0)))</f>
        <v/>
      </c>
      <c r="J976" s="8">
        <f>IF(ISNA(MATCH(963,Engine!$C$2:$C$1960,0)),"",INDEX('Compliance Database'!$J$2:$J$1960,MATCH(963,Engine!$C$2:$C$1960,0)))</f>
        <v/>
      </c>
      <c r="K976" s="9">
        <f>IF(ISNA(MATCH(963,Engine!$C$2:$C$1960,0)),"",INDEX('Compliance Database'!$K$2:$K$1960,MATCH(963,Engine!$C$2:$C$1960,0)))</f>
        <v/>
      </c>
      <c r="L976" s="9">
        <f>IF(ISNA(MATCH(963,Engine!$C$2:$C$1960,0)),"",INDEX('Compliance Database'!$L$2:$L$1960,MATCH(963,Engine!$C$2:$C$1960,0)))</f>
        <v/>
      </c>
      <c r="M976" s="9">
        <f>IF(ISNA(MATCH(963,Engine!$C$2:$C$1960,0)),"",INDEX('Compliance Database'!$M$2:$M$1960,MATCH(963,Engine!$C$2:$C$1960,0)))</f>
        <v/>
      </c>
      <c r="N976" s="9">
        <f>IF(ISNA(MATCH(963,Engine!$C$2:$C$1960,0)),"",INDEX('Compliance Database'!$N$2:$N$1960,MATCH(963,Engine!$C$2:$C$1960,0)))</f>
        <v/>
      </c>
      <c r="O976" s="9">
        <f>IF(ISNA(MATCH(963,Engine!$C$2:$C$1960,0)),"",INDEX('Compliance Database'!$O$2:$O$1960,MATCH(963,Engine!$C$2:$C$1960,0)))</f>
        <v/>
      </c>
      <c r="P976" s="8">
        <f>IF(ISNA(MATCH(963,Engine!$C$2:$C$1960,0)),"",HYPERLINK("#Acts!A"&amp;INDEX('Compliance Database'!$P$2:$P$1960,MATCH(963,Engine!$C$2:$C$1960,0)),"Go to Act"))</f>
        <v/>
      </c>
    </row>
    <row r="977" ht="158" customHeight="1">
      <c r="A977" s="8">
        <f>IF(ISNA(MATCH(964,Engine!$C$2:$C$1960,0)),"",INDEX('Compliance Database'!$A$2:$A$1960,MATCH(964,Engine!$C$2:$C$1960,0)))</f>
        <v/>
      </c>
      <c r="B977" s="8">
        <f>IF(ISNA(MATCH(964,Engine!$C$2:$C$1960,0)),"",INDEX('Compliance Database'!$B$2:$B$1960,MATCH(964,Engine!$C$2:$C$1960,0)))</f>
        <v/>
      </c>
      <c r="C977" s="8">
        <f>IF(ISNA(MATCH(964,Engine!$C$2:$C$1960,0)),"",INDEX('Compliance Database'!$C$2:$C$1960,MATCH(964,Engine!$C$2:$C$1960,0)))</f>
        <v/>
      </c>
      <c r="D977" s="9">
        <f>IF(ISNA(MATCH(964,Engine!$C$2:$C$1960,0)),"",INDEX('Compliance Database'!$D$2:$D$1960,MATCH(964,Engine!$C$2:$C$1960,0)))</f>
        <v/>
      </c>
      <c r="E977" s="8">
        <f>IF(ISNA(MATCH(964,Engine!$C$2:$C$1960,0)),"",INDEX('Compliance Database'!$E$2:$E$1960,MATCH(964,Engine!$C$2:$C$1960,0)))</f>
        <v/>
      </c>
      <c r="F977" s="8">
        <f>IF(ISNA(MATCH(964,Engine!$C$2:$C$1960,0)),"",INDEX('Compliance Database'!$F$2:$F$1960,MATCH(964,Engine!$C$2:$C$1960,0)))</f>
        <v/>
      </c>
      <c r="G977" s="8">
        <f>IF(ISNA(MATCH(964,Engine!$C$2:$C$1960,0)),"",INDEX('Compliance Database'!$G$2:$G$1960,MATCH(964,Engine!$C$2:$C$1960,0)))</f>
        <v/>
      </c>
      <c r="H977" s="9">
        <f>IF(ISNA(MATCH(964,Engine!$C$2:$C$1960,0)),"",INDEX('Compliance Database'!$H$2:$H$1960,MATCH(964,Engine!$C$2:$C$1960,0)))</f>
        <v/>
      </c>
      <c r="I977" s="9">
        <f>IF(ISNA(MATCH(964,Engine!$C$2:$C$1960,0)),"",INDEX('Compliance Database'!$I$2:$I$1960,MATCH(964,Engine!$C$2:$C$1960,0)))</f>
        <v/>
      </c>
      <c r="J977" s="8">
        <f>IF(ISNA(MATCH(964,Engine!$C$2:$C$1960,0)),"",INDEX('Compliance Database'!$J$2:$J$1960,MATCH(964,Engine!$C$2:$C$1960,0)))</f>
        <v/>
      </c>
      <c r="K977" s="9">
        <f>IF(ISNA(MATCH(964,Engine!$C$2:$C$1960,0)),"",INDEX('Compliance Database'!$K$2:$K$1960,MATCH(964,Engine!$C$2:$C$1960,0)))</f>
        <v/>
      </c>
      <c r="L977" s="9">
        <f>IF(ISNA(MATCH(964,Engine!$C$2:$C$1960,0)),"",INDEX('Compliance Database'!$L$2:$L$1960,MATCH(964,Engine!$C$2:$C$1960,0)))</f>
        <v/>
      </c>
      <c r="M977" s="9">
        <f>IF(ISNA(MATCH(964,Engine!$C$2:$C$1960,0)),"",INDEX('Compliance Database'!$M$2:$M$1960,MATCH(964,Engine!$C$2:$C$1960,0)))</f>
        <v/>
      </c>
      <c r="N977" s="9">
        <f>IF(ISNA(MATCH(964,Engine!$C$2:$C$1960,0)),"",INDEX('Compliance Database'!$N$2:$N$1960,MATCH(964,Engine!$C$2:$C$1960,0)))</f>
        <v/>
      </c>
      <c r="O977" s="9">
        <f>IF(ISNA(MATCH(964,Engine!$C$2:$C$1960,0)),"",INDEX('Compliance Database'!$O$2:$O$1960,MATCH(964,Engine!$C$2:$C$1960,0)))</f>
        <v/>
      </c>
      <c r="P977" s="8">
        <f>IF(ISNA(MATCH(964,Engine!$C$2:$C$1960,0)),"",HYPERLINK("#Acts!A"&amp;INDEX('Compliance Database'!$P$2:$P$1960,MATCH(964,Engine!$C$2:$C$1960,0)),"Go to Act"))</f>
        <v/>
      </c>
    </row>
    <row r="978" ht="158" customHeight="1">
      <c r="A978" s="8">
        <f>IF(ISNA(MATCH(965,Engine!$C$2:$C$1960,0)),"",INDEX('Compliance Database'!$A$2:$A$1960,MATCH(965,Engine!$C$2:$C$1960,0)))</f>
        <v/>
      </c>
      <c r="B978" s="8">
        <f>IF(ISNA(MATCH(965,Engine!$C$2:$C$1960,0)),"",INDEX('Compliance Database'!$B$2:$B$1960,MATCH(965,Engine!$C$2:$C$1960,0)))</f>
        <v/>
      </c>
      <c r="C978" s="8">
        <f>IF(ISNA(MATCH(965,Engine!$C$2:$C$1960,0)),"",INDEX('Compliance Database'!$C$2:$C$1960,MATCH(965,Engine!$C$2:$C$1960,0)))</f>
        <v/>
      </c>
      <c r="D978" s="9">
        <f>IF(ISNA(MATCH(965,Engine!$C$2:$C$1960,0)),"",INDEX('Compliance Database'!$D$2:$D$1960,MATCH(965,Engine!$C$2:$C$1960,0)))</f>
        <v/>
      </c>
      <c r="E978" s="8">
        <f>IF(ISNA(MATCH(965,Engine!$C$2:$C$1960,0)),"",INDEX('Compliance Database'!$E$2:$E$1960,MATCH(965,Engine!$C$2:$C$1960,0)))</f>
        <v/>
      </c>
      <c r="F978" s="8">
        <f>IF(ISNA(MATCH(965,Engine!$C$2:$C$1960,0)),"",INDEX('Compliance Database'!$F$2:$F$1960,MATCH(965,Engine!$C$2:$C$1960,0)))</f>
        <v/>
      </c>
      <c r="G978" s="8">
        <f>IF(ISNA(MATCH(965,Engine!$C$2:$C$1960,0)),"",INDEX('Compliance Database'!$G$2:$G$1960,MATCH(965,Engine!$C$2:$C$1960,0)))</f>
        <v/>
      </c>
      <c r="H978" s="9">
        <f>IF(ISNA(MATCH(965,Engine!$C$2:$C$1960,0)),"",INDEX('Compliance Database'!$H$2:$H$1960,MATCH(965,Engine!$C$2:$C$1960,0)))</f>
        <v/>
      </c>
      <c r="I978" s="9">
        <f>IF(ISNA(MATCH(965,Engine!$C$2:$C$1960,0)),"",INDEX('Compliance Database'!$I$2:$I$1960,MATCH(965,Engine!$C$2:$C$1960,0)))</f>
        <v/>
      </c>
      <c r="J978" s="8">
        <f>IF(ISNA(MATCH(965,Engine!$C$2:$C$1960,0)),"",INDEX('Compliance Database'!$J$2:$J$1960,MATCH(965,Engine!$C$2:$C$1960,0)))</f>
        <v/>
      </c>
      <c r="K978" s="9">
        <f>IF(ISNA(MATCH(965,Engine!$C$2:$C$1960,0)),"",INDEX('Compliance Database'!$K$2:$K$1960,MATCH(965,Engine!$C$2:$C$1960,0)))</f>
        <v/>
      </c>
      <c r="L978" s="9">
        <f>IF(ISNA(MATCH(965,Engine!$C$2:$C$1960,0)),"",INDEX('Compliance Database'!$L$2:$L$1960,MATCH(965,Engine!$C$2:$C$1960,0)))</f>
        <v/>
      </c>
      <c r="M978" s="9">
        <f>IF(ISNA(MATCH(965,Engine!$C$2:$C$1960,0)),"",INDEX('Compliance Database'!$M$2:$M$1960,MATCH(965,Engine!$C$2:$C$1960,0)))</f>
        <v/>
      </c>
      <c r="N978" s="9">
        <f>IF(ISNA(MATCH(965,Engine!$C$2:$C$1960,0)),"",INDEX('Compliance Database'!$N$2:$N$1960,MATCH(965,Engine!$C$2:$C$1960,0)))</f>
        <v/>
      </c>
      <c r="O978" s="9">
        <f>IF(ISNA(MATCH(965,Engine!$C$2:$C$1960,0)),"",INDEX('Compliance Database'!$O$2:$O$1960,MATCH(965,Engine!$C$2:$C$1960,0)))</f>
        <v/>
      </c>
      <c r="P978" s="8">
        <f>IF(ISNA(MATCH(965,Engine!$C$2:$C$1960,0)),"",HYPERLINK("#Acts!A"&amp;INDEX('Compliance Database'!$P$2:$P$1960,MATCH(965,Engine!$C$2:$C$1960,0)),"Go to Act"))</f>
        <v/>
      </c>
    </row>
    <row r="979" ht="158" customHeight="1">
      <c r="A979" s="8">
        <f>IF(ISNA(MATCH(966,Engine!$C$2:$C$1960,0)),"",INDEX('Compliance Database'!$A$2:$A$1960,MATCH(966,Engine!$C$2:$C$1960,0)))</f>
        <v/>
      </c>
      <c r="B979" s="8">
        <f>IF(ISNA(MATCH(966,Engine!$C$2:$C$1960,0)),"",INDEX('Compliance Database'!$B$2:$B$1960,MATCH(966,Engine!$C$2:$C$1960,0)))</f>
        <v/>
      </c>
      <c r="C979" s="8">
        <f>IF(ISNA(MATCH(966,Engine!$C$2:$C$1960,0)),"",INDEX('Compliance Database'!$C$2:$C$1960,MATCH(966,Engine!$C$2:$C$1960,0)))</f>
        <v/>
      </c>
      <c r="D979" s="9">
        <f>IF(ISNA(MATCH(966,Engine!$C$2:$C$1960,0)),"",INDEX('Compliance Database'!$D$2:$D$1960,MATCH(966,Engine!$C$2:$C$1960,0)))</f>
        <v/>
      </c>
      <c r="E979" s="8">
        <f>IF(ISNA(MATCH(966,Engine!$C$2:$C$1960,0)),"",INDEX('Compliance Database'!$E$2:$E$1960,MATCH(966,Engine!$C$2:$C$1960,0)))</f>
        <v/>
      </c>
      <c r="F979" s="8">
        <f>IF(ISNA(MATCH(966,Engine!$C$2:$C$1960,0)),"",INDEX('Compliance Database'!$F$2:$F$1960,MATCH(966,Engine!$C$2:$C$1960,0)))</f>
        <v/>
      </c>
      <c r="G979" s="8">
        <f>IF(ISNA(MATCH(966,Engine!$C$2:$C$1960,0)),"",INDEX('Compliance Database'!$G$2:$G$1960,MATCH(966,Engine!$C$2:$C$1960,0)))</f>
        <v/>
      </c>
      <c r="H979" s="9">
        <f>IF(ISNA(MATCH(966,Engine!$C$2:$C$1960,0)),"",INDEX('Compliance Database'!$H$2:$H$1960,MATCH(966,Engine!$C$2:$C$1960,0)))</f>
        <v/>
      </c>
      <c r="I979" s="9">
        <f>IF(ISNA(MATCH(966,Engine!$C$2:$C$1960,0)),"",INDEX('Compliance Database'!$I$2:$I$1960,MATCH(966,Engine!$C$2:$C$1960,0)))</f>
        <v/>
      </c>
      <c r="J979" s="8">
        <f>IF(ISNA(MATCH(966,Engine!$C$2:$C$1960,0)),"",INDEX('Compliance Database'!$J$2:$J$1960,MATCH(966,Engine!$C$2:$C$1960,0)))</f>
        <v/>
      </c>
      <c r="K979" s="9">
        <f>IF(ISNA(MATCH(966,Engine!$C$2:$C$1960,0)),"",INDEX('Compliance Database'!$K$2:$K$1960,MATCH(966,Engine!$C$2:$C$1960,0)))</f>
        <v/>
      </c>
      <c r="L979" s="9">
        <f>IF(ISNA(MATCH(966,Engine!$C$2:$C$1960,0)),"",INDEX('Compliance Database'!$L$2:$L$1960,MATCH(966,Engine!$C$2:$C$1960,0)))</f>
        <v/>
      </c>
      <c r="M979" s="9">
        <f>IF(ISNA(MATCH(966,Engine!$C$2:$C$1960,0)),"",INDEX('Compliance Database'!$M$2:$M$1960,MATCH(966,Engine!$C$2:$C$1960,0)))</f>
        <v/>
      </c>
      <c r="N979" s="9">
        <f>IF(ISNA(MATCH(966,Engine!$C$2:$C$1960,0)),"",INDEX('Compliance Database'!$N$2:$N$1960,MATCH(966,Engine!$C$2:$C$1960,0)))</f>
        <v/>
      </c>
      <c r="O979" s="9">
        <f>IF(ISNA(MATCH(966,Engine!$C$2:$C$1960,0)),"",INDEX('Compliance Database'!$O$2:$O$1960,MATCH(966,Engine!$C$2:$C$1960,0)))</f>
        <v/>
      </c>
      <c r="P979" s="8">
        <f>IF(ISNA(MATCH(966,Engine!$C$2:$C$1960,0)),"",HYPERLINK("#Acts!A"&amp;INDEX('Compliance Database'!$P$2:$P$1960,MATCH(966,Engine!$C$2:$C$1960,0)),"Go to Act"))</f>
        <v/>
      </c>
    </row>
    <row r="980" ht="158" customHeight="1">
      <c r="A980" s="8">
        <f>IF(ISNA(MATCH(967,Engine!$C$2:$C$1960,0)),"",INDEX('Compliance Database'!$A$2:$A$1960,MATCH(967,Engine!$C$2:$C$1960,0)))</f>
        <v/>
      </c>
      <c r="B980" s="8">
        <f>IF(ISNA(MATCH(967,Engine!$C$2:$C$1960,0)),"",INDEX('Compliance Database'!$B$2:$B$1960,MATCH(967,Engine!$C$2:$C$1960,0)))</f>
        <v/>
      </c>
      <c r="C980" s="8">
        <f>IF(ISNA(MATCH(967,Engine!$C$2:$C$1960,0)),"",INDEX('Compliance Database'!$C$2:$C$1960,MATCH(967,Engine!$C$2:$C$1960,0)))</f>
        <v/>
      </c>
      <c r="D980" s="9">
        <f>IF(ISNA(MATCH(967,Engine!$C$2:$C$1960,0)),"",INDEX('Compliance Database'!$D$2:$D$1960,MATCH(967,Engine!$C$2:$C$1960,0)))</f>
        <v/>
      </c>
      <c r="E980" s="8">
        <f>IF(ISNA(MATCH(967,Engine!$C$2:$C$1960,0)),"",INDEX('Compliance Database'!$E$2:$E$1960,MATCH(967,Engine!$C$2:$C$1960,0)))</f>
        <v/>
      </c>
      <c r="F980" s="8">
        <f>IF(ISNA(MATCH(967,Engine!$C$2:$C$1960,0)),"",INDEX('Compliance Database'!$F$2:$F$1960,MATCH(967,Engine!$C$2:$C$1960,0)))</f>
        <v/>
      </c>
      <c r="G980" s="8">
        <f>IF(ISNA(MATCH(967,Engine!$C$2:$C$1960,0)),"",INDEX('Compliance Database'!$G$2:$G$1960,MATCH(967,Engine!$C$2:$C$1960,0)))</f>
        <v/>
      </c>
      <c r="H980" s="9">
        <f>IF(ISNA(MATCH(967,Engine!$C$2:$C$1960,0)),"",INDEX('Compliance Database'!$H$2:$H$1960,MATCH(967,Engine!$C$2:$C$1960,0)))</f>
        <v/>
      </c>
      <c r="I980" s="9">
        <f>IF(ISNA(MATCH(967,Engine!$C$2:$C$1960,0)),"",INDEX('Compliance Database'!$I$2:$I$1960,MATCH(967,Engine!$C$2:$C$1960,0)))</f>
        <v/>
      </c>
      <c r="J980" s="8">
        <f>IF(ISNA(MATCH(967,Engine!$C$2:$C$1960,0)),"",INDEX('Compliance Database'!$J$2:$J$1960,MATCH(967,Engine!$C$2:$C$1960,0)))</f>
        <v/>
      </c>
      <c r="K980" s="9">
        <f>IF(ISNA(MATCH(967,Engine!$C$2:$C$1960,0)),"",INDEX('Compliance Database'!$K$2:$K$1960,MATCH(967,Engine!$C$2:$C$1960,0)))</f>
        <v/>
      </c>
      <c r="L980" s="9">
        <f>IF(ISNA(MATCH(967,Engine!$C$2:$C$1960,0)),"",INDEX('Compliance Database'!$L$2:$L$1960,MATCH(967,Engine!$C$2:$C$1960,0)))</f>
        <v/>
      </c>
      <c r="M980" s="9">
        <f>IF(ISNA(MATCH(967,Engine!$C$2:$C$1960,0)),"",INDEX('Compliance Database'!$M$2:$M$1960,MATCH(967,Engine!$C$2:$C$1960,0)))</f>
        <v/>
      </c>
      <c r="N980" s="9">
        <f>IF(ISNA(MATCH(967,Engine!$C$2:$C$1960,0)),"",INDEX('Compliance Database'!$N$2:$N$1960,MATCH(967,Engine!$C$2:$C$1960,0)))</f>
        <v/>
      </c>
      <c r="O980" s="9">
        <f>IF(ISNA(MATCH(967,Engine!$C$2:$C$1960,0)),"",INDEX('Compliance Database'!$O$2:$O$1960,MATCH(967,Engine!$C$2:$C$1960,0)))</f>
        <v/>
      </c>
      <c r="P980" s="8">
        <f>IF(ISNA(MATCH(967,Engine!$C$2:$C$1960,0)),"",HYPERLINK("#Acts!A"&amp;INDEX('Compliance Database'!$P$2:$P$1960,MATCH(967,Engine!$C$2:$C$1960,0)),"Go to Act"))</f>
        <v/>
      </c>
    </row>
    <row r="981" ht="158" customHeight="1">
      <c r="A981" s="8">
        <f>IF(ISNA(MATCH(968,Engine!$C$2:$C$1960,0)),"",INDEX('Compliance Database'!$A$2:$A$1960,MATCH(968,Engine!$C$2:$C$1960,0)))</f>
        <v/>
      </c>
      <c r="B981" s="8">
        <f>IF(ISNA(MATCH(968,Engine!$C$2:$C$1960,0)),"",INDEX('Compliance Database'!$B$2:$B$1960,MATCH(968,Engine!$C$2:$C$1960,0)))</f>
        <v/>
      </c>
      <c r="C981" s="8">
        <f>IF(ISNA(MATCH(968,Engine!$C$2:$C$1960,0)),"",INDEX('Compliance Database'!$C$2:$C$1960,MATCH(968,Engine!$C$2:$C$1960,0)))</f>
        <v/>
      </c>
      <c r="D981" s="9">
        <f>IF(ISNA(MATCH(968,Engine!$C$2:$C$1960,0)),"",INDEX('Compliance Database'!$D$2:$D$1960,MATCH(968,Engine!$C$2:$C$1960,0)))</f>
        <v/>
      </c>
      <c r="E981" s="8">
        <f>IF(ISNA(MATCH(968,Engine!$C$2:$C$1960,0)),"",INDEX('Compliance Database'!$E$2:$E$1960,MATCH(968,Engine!$C$2:$C$1960,0)))</f>
        <v/>
      </c>
      <c r="F981" s="8">
        <f>IF(ISNA(MATCH(968,Engine!$C$2:$C$1960,0)),"",INDEX('Compliance Database'!$F$2:$F$1960,MATCH(968,Engine!$C$2:$C$1960,0)))</f>
        <v/>
      </c>
      <c r="G981" s="8">
        <f>IF(ISNA(MATCH(968,Engine!$C$2:$C$1960,0)),"",INDEX('Compliance Database'!$G$2:$G$1960,MATCH(968,Engine!$C$2:$C$1960,0)))</f>
        <v/>
      </c>
      <c r="H981" s="9">
        <f>IF(ISNA(MATCH(968,Engine!$C$2:$C$1960,0)),"",INDEX('Compliance Database'!$H$2:$H$1960,MATCH(968,Engine!$C$2:$C$1960,0)))</f>
        <v/>
      </c>
      <c r="I981" s="9">
        <f>IF(ISNA(MATCH(968,Engine!$C$2:$C$1960,0)),"",INDEX('Compliance Database'!$I$2:$I$1960,MATCH(968,Engine!$C$2:$C$1960,0)))</f>
        <v/>
      </c>
      <c r="J981" s="8">
        <f>IF(ISNA(MATCH(968,Engine!$C$2:$C$1960,0)),"",INDEX('Compliance Database'!$J$2:$J$1960,MATCH(968,Engine!$C$2:$C$1960,0)))</f>
        <v/>
      </c>
      <c r="K981" s="9">
        <f>IF(ISNA(MATCH(968,Engine!$C$2:$C$1960,0)),"",INDEX('Compliance Database'!$K$2:$K$1960,MATCH(968,Engine!$C$2:$C$1960,0)))</f>
        <v/>
      </c>
      <c r="L981" s="9">
        <f>IF(ISNA(MATCH(968,Engine!$C$2:$C$1960,0)),"",INDEX('Compliance Database'!$L$2:$L$1960,MATCH(968,Engine!$C$2:$C$1960,0)))</f>
        <v/>
      </c>
      <c r="M981" s="9">
        <f>IF(ISNA(MATCH(968,Engine!$C$2:$C$1960,0)),"",INDEX('Compliance Database'!$M$2:$M$1960,MATCH(968,Engine!$C$2:$C$1960,0)))</f>
        <v/>
      </c>
      <c r="N981" s="9">
        <f>IF(ISNA(MATCH(968,Engine!$C$2:$C$1960,0)),"",INDEX('Compliance Database'!$N$2:$N$1960,MATCH(968,Engine!$C$2:$C$1960,0)))</f>
        <v/>
      </c>
      <c r="O981" s="9">
        <f>IF(ISNA(MATCH(968,Engine!$C$2:$C$1960,0)),"",INDEX('Compliance Database'!$O$2:$O$1960,MATCH(968,Engine!$C$2:$C$1960,0)))</f>
        <v/>
      </c>
      <c r="P981" s="8">
        <f>IF(ISNA(MATCH(968,Engine!$C$2:$C$1960,0)),"",HYPERLINK("#Acts!A"&amp;INDEX('Compliance Database'!$P$2:$P$1960,MATCH(968,Engine!$C$2:$C$1960,0)),"Go to Act"))</f>
        <v/>
      </c>
    </row>
    <row r="982" ht="158" customHeight="1">
      <c r="A982" s="8">
        <f>IF(ISNA(MATCH(969,Engine!$C$2:$C$1960,0)),"",INDEX('Compliance Database'!$A$2:$A$1960,MATCH(969,Engine!$C$2:$C$1960,0)))</f>
        <v/>
      </c>
      <c r="B982" s="8">
        <f>IF(ISNA(MATCH(969,Engine!$C$2:$C$1960,0)),"",INDEX('Compliance Database'!$B$2:$B$1960,MATCH(969,Engine!$C$2:$C$1960,0)))</f>
        <v/>
      </c>
      <c r="C982" s="8">
        <f>IF(ISNA(MATCH(969,Engine!$C$2:$C$1960,0)),"",INDEX('Compliance Database'!$C$2:$C$1960,MATCH(969,Engine!$C$2:$C$1960,0)))</f>
        <v/>
      </c>
      <c r="D982" s="9">
        <f>IF(ISNA(MATCH(969,Engine!$C$2:$C$1960,0)),"",INDEX('Compliance Database'!$D$2:$D$1960,MATCH(969,Engine!$C$2:$C$1960,0)))</f>
        <v/>
      </c>
      <c r="E982" s="8">
        <f>IF(ISNA(MATCH(969,Engine!$C$2:$C$1960,0)),"",INDEX('Compliance Database'!$E$2:$E$1960,MATCH(969,Engine!$C$2:$C$1960,0)))</f>
        <v/>
      </c>
      <c r="F982" s="8">
        <f>IF(ISNA(MATCH(969,Engine!$C$2:$C$1960,0)),"",INDEX('Compliance Database'!$F$2:$F$1960,MATCH(969,Engine!$C$2:$C$1960,0)))</f>
        <v/>
      </c>
      <c r="G982" s="8">
        <f>IF(ISNA(MATCH(969,Engine!$C$2:$C$1960,0)),"",INDEX('Compliance Database'!$G$2:$G$1960,MATCH(969,Engine!$C$2:$C$1960,0)))</f>
        <v/>
      </c>
      <c r="H982" s="9">
        <f>IF(ISNA(MATCH(969,Engine!$C$2:$C$1960,0)),"",INDEX('Compliance Database'!$H$2:$H$1960,MATCH(969,Engine!$C$2:$C$1960,0)))</f>
        <v/>
      </c>
      <c r="I982" s="9">
        <f>IF(ISNA(MATCH(969,Engine!$C$2:$C$1960,0)),"",INDEX('Compliance Database'!$I$2:$I$1960,MATCH(969,Engine!$C$2:$C$1960,0)))</f>
        <v/>
      </c>
      <c r="J982" s="8">
        <f>IF(ISNA(MATCH(969,Engine!$C$2:$C$1960,0)),"",INDEX('Compliance Database'!$J$2:$J$1960,MATCH(969,Engine!$C$2:$C$1960,0)))</f>
        <v/>
      </c>
      <c r="K982" s="9">
        <f>IF(ISNA(MATCH(969,Engine!$C$2:$C$1960,0)),"",INDEX('Compliance Database'!$K$2:$K$1960,MATCH(969,Engine!$C$2:$C$1960,0)))</f>
        <v/>
      </c>
      <c r="L982" s="9">
        <f>IF(ISNA(MATCH(969,Engine!$C$2:$C$1960,0)),"",INDEX('Compliance Database'!$L$2:$L$1960,MATCH(969,Engine!$C$2:$C$1960,0)))</f>
        <v/>
      </c>
      <c r="M982" s="9">
        <f>IF(ISNA(MATCH(969,Engine!$C$2:$C$1960,0)),"",INDEX('Compliance Database'!$M$2:$M$1960,MATCH(969,Engine!$C$2:$C$1960,0)))</f>
        <v/>
      </c>
      <c r="N982" s="9">
        <f>IF(ISNA(MATCH(969,Engine!$C$2:$C$1960,0)),"",INDEX('Compliance Database'!$N$2:$N$1960,MATCH(969,Engine!$C$2:$C$1960,0)))</f>
        <v/>
      </c>
      <c r="O982" s="9">
        <f>IF(ISNA(MATCH(969,Engine!$C$2:$C$1960,0)),"",INDEX('Compliance Database'!$O$2:$O$1960,MATCH(969,Engine!$C$2:$C$1960,0)))</f>
        <v/>
      </c>
      <c r="P982" s="8">
        <f>IF(ISNA(MATCH(969,Engine!$C$2:$C$1960,0)),"",HYPERLINK("#Acts!A"&amp;INDEX('Compliance Database'!$P$2:$P$1960,MATCH(969,Engine!$C$2:$C$1960,0)),"Go to Act"))</f>
        <v/>
      </c>
    </row>
    <row r="983" ht="158" customHeight="1">
      <c r="A983" s="8">
        <f>IF(ISNA(MATCH(970,Engine!$C$2:$C$1960,0)),"",INDEX('Compliance Database'!$A$2:$A$1960,MATCH(970,Engine!$C$2:$C$1960,0)))</f>
        <v/>
      </c>
      <c r="B983" s="8">
        <f>IF(ISNA(MATCH(970,Engine!$C$2:$C$1960,0)),"",INDEX('Compliance Database'!$B$2:$B$1960,MATCH(970,Engine!$C$2:$C$1960,0)))</f>
        <v/>
      </c>
      <c r="C983" s="8">
        <f>IF(ISNA(MATCH(970,Engine!$C$2:$C$1960,0)),"",INDEX('Compliance Database'!$C$2:$C$1960,MATCH(970,Engine!$C$2:$C$1960,0)))</f>
        <v/>
      </c>
      <c r="D983" s="9">
        <f>IF(ISNA(MATCH(970,Engine!$C$2:$C$1960,0)),"",INDEX('Compliance Database'!$D$2:$D$1960,MATCH(970,Engine!$C$2:$C$1960,0)))</f>
        <v/>
      </c>
      <c r="E983" s="8">
        <f>IF(ISNA(MATCH(970,Engine!$C$2:$C$1960,0)),"",INDEX('Compliance Database'!$E$2:$E$1960,MATCH(970,Engine!$C$2:$C$1960,0)))</f>
        <v/>
      </c>
      <c r="F983" s="8">
        <f>IF(ISNA(MATCH(970,Engine!$C$2:$C$1960,0)),"",INDEX('Compliance Database'!$F$2:$F$1960,MATCH(970,Engine!$C$2:$C$1960,0)))</f>
        <v/>
      </c>
      <c r="G983" s="8">
        <f>IF(ISNA(MATCH(970,Engine!$C$2:$C$1960,0)),"",INDEX('Compliance Database'!$G$2:$G$1960,MATCH(970,Engine!$C$2:$C$1960,0)))</f>
        <v/>
      </c>
      <c r="H983" s="9">
        <f>IF(ISNA(MATCH(970,Engine!$C$2:$C$1960,0)),"",INDEX('Compliance Database'!$H$2:$H$1960,MATCH(970,Engine!$C$2:$C$1960,0)))</f>
        <v/>
      </c>
      <c r="I983" s="9">
        <f>IF(ISNA(MATCH(970,Engine!$C$2:$C$1960,0)),"",INDEX('Compliance Database'!$I$2:$I$1960,MATCH(970,Engine!$C$2:$C$1960,0)))</f>
        <v/>
      </c>
      <c r="J983" s="8">
        <f>IF(ISNA(MATCH(970,Engine!$C$2:$C$1960,0)),"",INDEX('Compliance Database'!$J$2:$J$1960,MATCH(970,Engine!$C$2:$C$1960,0)))</f>
        <v/>
      </c>
      <c r="K983" s="9">
        <f>IF(ISNA(MATCH(970,Engine!$C$2:$C$1960,0)),"",INDEX('Compliance Database'!$K$2:$K$1960,MATCH(970,Engine!$C$2:$C$1960,0)))</f>
        <v/>
      </c>
      <c r="L983" s="9">
        <f>IF(ISNA(MATCH(970,Engine!$C$2:$C$1960,0)),"",INDEX('Compliance Database'!$L$2:$L$1960,MATCH(970,Engine!$C$2:$C$1960,0)))</f>
        <v/>
      </c>
      <c r="M983" s="9">
        <f>IF(ISNA(MATCH(970,Engine!$C$2:$C$1960,0)),"",INDEX('Compliance Database'!$M$2:$M$1960,MATCH(970,Engine!$C$2:$C$1960,0)))</f>
        <v/>
      </c>
      <c r="N983" s="9">
        <f>IF(ISNA(MATCH(970,Engine!$C$2:$C$1960,0)),"",INDEX('Compliance Database'!$N$2:$N$1960,MATCH(970,Engine!$C$2:$C$1960,0)))</f>
        <v/>
      </c>
      <c r="O983" s="9">
        <f>IF(ISNA(MATCH(970,Engine!$C$2:$C$1960,0)),"",INDEX('Compliance Database'!$O$2:$O$1960,MATCH(970,Engine!$C$2:$C$1960,0)))</f>
        <v/>
      </c>
      <c r="P983" s="8">
        <f>IF(ISNA(MATCH(970,Engine!$C$2:$C$1960,0)),"",HYPERLINK("#Acts!A"&amp;INDEX('Compliance Database'!$P$2:$P$1960,MATCH(970,Engine!$C$2:$C$1960,0)),"Go to Act"))</f>
        <v/>
      </c>
    </row>
    <row r="984" ht="158" customHeight="1">
      <c r="A984" s="8">
        <f>IF(ISNA(MATCH(971,Engine!$C$2:$C$1960,0)),"",INDEX('Compliance Database'!$A$2:$A$1960,MATCH(971,Engine!$C$2:$C$1960,0)))</f>
        <v/>
      </c>
      <c r="B984" s="8">
        <f>IF(ISNA(MATCH(971,Engine!$C$2:$C$1960,0)),"",INDEX('Compliance Database'!$B$2:$B$1960,MATCH(971,Engine!$C$2:$C$1960,0)))</f>
        <v/>
      </c>
      <c r="C984" s="8">
        <f>IF(ISNA(MATCH(971,Engine!$C$2:$C$1960,0)),"",INDEX('Compliance Database'!$C$2:$C$1960,MATCH(971,Engine!$C$2:$C$1960,0)))</f>
        <v/>
      </c>
      <c r="D984" s="9">
        <f>IF(ISNA(MATCH(971,Engine!$C$2:$C$1960,0)),"",INDEX('Compliance Database'!$D$2:$D$1960,MATCH(971,Engine!$C$2:$C$1960,0)))</f>
        <v/>
      </c>
      <c r="E984" s="8">
        <f>IF(ISNA(MATCH(971,Engine!$C$2:$C$1960,0)),"",INDEX('Compliance Database'!$E$2:$E$1960,MATCH(971,Engine!$C$2:$C$1960,0)))</f>
        <v/>
      </c>
      <c r="F984" s="8">
        <f>IF(ISNA(MATCH(971,Engine!$C$2:$C$1960,0)),"",INDEX('Compliance Database'!$F$2:$F$1960,MATCH(971,Engine!$C$2:$C$1960,0)))</f>
        <v/>
      </c>
      <c r="G984" s="8">
        <f>IF(ISNA(MATCH(971,Engine!$C$2:$C$1960,0)),"",INDEX('Compliance Database'!$G$2:$G$1960,MATCH(971,Engine!$C$2:$C$1960,0)))</f>
        <v/>
      </c>
      <c r="H984" s="9">
        <f>IF(ISNA(MATCH(971,Engine!$C$2:$C$1960,0)),"",INDEX('Compliance Database'!$H$2:$H$1960,MATCH(971,Engine!$C$2:$C$1960,0)))</f>
        <v/>
      </c>
      <c r="I984" s="9">
        <f>IF(ISNA(MATCH(971,Engine!$C$2:$C$1960,0)),"",INDEX('Compliance Database'!$I$2:$I$1960,MATCH(971,Engine!$C$2:$C$1960,0)))</f>
        <v/>
      </c>
      <c r="J984" s="8">
        <f>IF(ISNA(MATCH(971,Engine!$C$2:$C$1960,0)),"",INDEX('Compliance Database'!$J$2:$J$1960,MATCH(971,Engine!$C$2:$C$1960,0)))</f>
        <v/>
      </c>
      <c r="K984" s="9">
        <f>IF(ISNA(MATCH(971,Engine!$C$2:$C$1960,0)),"",INDEX('Compliance Database'!$K$2:$K$1960,MATCH(971,Engine!$C$2:$C$1960,0)))</f>
        <v/>
      </c>
      <c r="L984" s="9">
        <f>IF(ISNA(MATCH(971,Engine!$C$2:$C$1960,0)),"",INDEX('Compliance Database'!$L$2:$L$1960,MATCH(971,Engine!$C$2:$C$1960,0)))</f>
        <v/>
      </c>
      <c r="M984" s="9">
        <f>IF(ISNA(MATCH(971,Engine!$C$2:$C$1960,0)),"",INDEX('Compliance Database'!$M$2:$M$1960,MATCH(971,Engine!$C$2:$C$1960,0)))</f>
        <v/>
      </c>
      <c r="N984" s="9">
        <f>IF(ISNA(MATCH(971,Engine!$C$2:$C$1960,0)),"",INDEX('Compliance Database'!$N$2:$N$1960,MATCH(971,Engine!$C$2:$C$1960,0)))</f>
        <v/>
      </c>
      <c r="O984" s="9">
        <f>IF(ISNA(MATCH(971,Engine!$C$2:$C$1960,0)),"",INDEX('Compliance Database'!$O$2:$O$1960,MATCH(971,Engine!$C$2:$C$1960,0)))</f>
        <v/>
      </c>
      <c r="P984" s="8">
        <f>IF(ISNA(MATCH(971,Engine!$C$2:$C$1960,0)),"",HYPERLINK("#Acts!A"&amp;INDEX('Compliance Database'!$P$2:$P$1960,MATCH(971,Engine!$C$2:$C$1960,0)),"Go to Act"))</f>
        <v/>
      </c>
    </row>
    <row r="985" ht="158" customHeight="1">
      <c r="A985" s="8">
        <f>IF(ISNA(MATCH(972,Engine!$C$2:$C$1960,0)),"",INDEX('Compliance Database'!$A$2:$A$1960,MATCH(972,Engine!$C$2:$C$1960,0)))</f>
        <v/>
      </c>
      <c r="B985" s="8">
        <f>IF(ISNA(MATCH(972,Engine!$C$2:$C$1960,0)),"",INDEX('Compliance Database'!$B$2:$B$1960,MATCH(972,Engine!$C$2:$C$1960,0)))</f>
        <v/>
      </c>
      <c r="C985" s="8">
        <f>IF(ISNA(MATCH(972,Engine!$C$2:$C$1960,0)),"",INDEX('Compliance Database'!$C$2:$C$1960,MATCH(972,Engine!$C$2:$C$1960,0)))</f>
        <v/>
      </c>
      <c r="D985" s="9">
        <f>IF(ISNA(MATCH(972,Engine!$C$2:$C$1960,0)),"",INDEX('Compliance Database'!$D$2:$D$1960,MATCH(972,Engine!$C$2:$C$1960,0)))</f>
        <v/>
      </c>
      <c r="E985" s="8">
        <f>IF(ISNA(MATCH(972,Engine!$C$2:$C$1960,0)),"",INDEX('Compliance Database'!$E$2:$E$1960,MATCH(972,Engine!$C$2:$C$1960,0)))</f>
        <v/>
      </c>
      <c r="F985" s="8">
        <f>IF(ISNA(MATCH(972,Engine!$C$2:$C$1960,0)),"",INDEX('Compliance Database'!$F$2:$F$1960,MATCH(972,Engine!$C$2:$C$1960,0)))</f>
        <v/>
      </c>
      <c r="G985" s="8">
        <f>IF(ISNA(MATCH(972,Engine!$C$2:$C$1960,0)),"",INDEX('Compliance Database'!$G$2:$G$1960,MATCH(972,Engine!$C$2:$C$1960,0)))</f>
        <v/>
      </c>
      <c r="H985" s="9">
        <f>IF(ISNA(MATCH(972,Engine!$C$2:$C$1960,0)),"",INDEX('Compliance Database'!$H$2:$H$1960,MATCH(972,Engine!$C$2:$C$1960,0)))</f>
        <v/>
      </c>
      <c r="I985" s="9">
        <f>IF(ISNA(MATCH(972,Engine!$C$2:$C$1960,0)),"",INDEX('Compliance Database'!$I$2:$I$1960,MATCH(972,Engine!$C$2:$C$1960,0)))</f>
        <v/>
      </c>
      <c r="J985" s="8">
        <f>IF(ISNA(MATCH(972,Engine!$C$2:$C$1960,0)),"",INDEX('Compliance Database'!$J$2:$J$1960,MATCH(972,Engine!$C$2:$C$1960,0)))</f>
        <v/>
      </c>
      <c r="K985" s="9">
        <f>IF(ISNA(MATCH(972,Engine!$C$2:$C$1960,0)),"",INDEX('Compliance Database'!$K$2:$K$1960,MATCH(972,Engine!$C$2:$C$1960,0)))</f>
        <v/>
      </c>
      <c r="L985" s="9">
        <f>IF(ISNA(MATCH(972,Engine!$C$2:$C$1960,0)),"",INDEX('Compliance Database'!$L$2:$L$1960,MATCH(972,Engine!$C$2:$C$1960,0)))</f>
        <v/>
      </c>
      <c r="M985" s="9">
        <f>IF(ISNA(MATCH(972,Engine!$C$2:$C$1960,0)),"",INDEX('Compliance Database'!$M$2:$M$1960,MATCH(972,Engine!$C$2:$C$1960,0)))</f>
        <v/>
      </c>
      <c r="N985" s="9">
        <f>IF(ISNA(MATCH(972,Engine!$C$2:$C$1960,0)),"",INDEX('Compliance Database'!$N$2:$N$1960,MATCH(972,Engine!$C$2:$C$1960,0)))</f>
        <v/>
      </c>
      <c r="O985" s="9">
        <f>IF(ISNA(MATCH(972,Engine!$C$2:$C$1960,0)),"",INDEX('Compliance Database'!$O$2:$O$1960,MATCH(972,Engine!$C$2:$C$1960,0)))</f>
        <v/>
      </c>
      <c r="P985" s="8">
        <f>IF(ISNA(MATCH(972,Engine!$C$2:$C$1960,0)),"",HYPERLINK("#Acts!A"&amp;INDEX('Compliance Database'!$P$2:$P$1960,MATCH(972,Engine!$C$2:$C$1960,0)),"Go to Act"))</f>
        <v/>
      </c>
    </row>
    <row r="986" ht="158" customHeight="1">
      <c r="A986" s="8">
        <f>IF(ISNA(MATCH(973,Engine!$C$2:$C$1960,0)),"",INDEX('Compliance Database'!$A$2:$A$1960,MATCH(973,Engine!$C$2:$C$1960,0)))</f>
        <v/>
      </c>
      <c r="B986" s="8">
        <f>IF(ISNA(MATCH(973,Engine!$C$2:$C$1960,0)),"",INDEX('Compliance Database'!$B$2:$B$1960,MATCH(973,Engine!$C$2:$C$1960,0)))</f>
        <v/>
      </c>
      <c r="C986" s="8">
        <f>IF(ISNA(MATCH(973,Engine!$C$2:$C$1960,0)),"",INDEX('Compliance Database'!$C$2:$C$1960,MATCH(973,Engine!$C$2:$C$1960,0)))</f>
        <v/>
      </c>
      <c r="D986" s="9">
        <f>IF(ISNA(MATCH(973,Engine!$C$2:$C$1960,0)),"",INDEX('Compliance Database'!$D$2:$D$1960,MATCH(973,Engine!$C$2:$C$1960,0)))</f>
        <v/>
      </c>
      <c r="E986" s="8">
        <f>IF(ISNA(MATCH(973,Engine!$C$2:$C$1960,0)),"",INDEX('Compliance Database'!$E$2:$E$1960,MATCH(973,Engine!$C$2:$C$1960,0)))</f>
        <v/>
      </c>
      <c r="F986" s="8">
        <f>IF(ISNA(MATCH(973,Engine!$C$2:$C$1960,0)),"",INDEX('Compliance Database'!$F$2:$F$1960,MATCH(973,Engine!$C$2:$C$1960,0)))</f>
        <v/>
      </c>
      <c r="G986" s="8">
        <f>IF(ISNA(MATCH(973,Engine!$C$2:$C$1960,0)),"",INDEX('Compliance Database'!$G$2:$G$1960,MATCH(973,Engine!$C$2:$C$1960,0)))</f>
        <v/>
      </c>
      <c r="H986" s="9">
        <f>IF(ISNA(MATCH(973,Engine!$C$2:$C$1960,0)),"",INDEX('Compliance Database'!$H$2:$H$1960,MATCH(973,Engine!$C$2:$C$1960,0)))</f>
        <v/>
      </c>
      <c r="I986" s="9">
        <f>IF(ISNA(MATCH(973,Engine!$C$2:$C$1960,0)),"",INDEX('Compliance Database'!$I$2:$I$1960,MATCH(973,Engine!$C$2:$C$1960,0)))</f>
        <v/>
      </c>
      <c r="J986" s="8">
        <f>IF(ISNA(MATCH(973,Engine!$C$2:$C$1960,0)),"",INDEX('Compliance Database'!$J$2:$J$1960,MATCH(973,Engine!$C$2:$C$1960,0)))</f>
        <v/>
      </c>
      <c r="K986" s="9">
        <f>IF(ISNA(MATCH(973,Engine!$C$2:$C$1960,0)),"",INDEX('Compliance Database'!$K$2:$K$1960,MATCH(973,Engine!$C$2:$C$1960,0)))</f>
        <v/>
      </c>
      <c r="L986" s="9">
        <f>IF(ISNA(MATCH(973,Engine!$C$2:$C$1960,0)),"",INDEX('Compliance Database'!$L$2:$L$1960,MATCH(973,Engine!$C$2:$C$1960,0)))</f>
        <v/>
      </c>
      <c r="M986" s="9">
        <f>IF(ISNA(MATCH(973,Engine!$C$2:$C$1960,0)),"",INDEX('Compliance Database'!$M$2:$M$1960,MATCH(973,Engine!$C$2:$C$1960,0)))</f>
        <v/>
      </c>
      <c r="N986" s="9">
        <f>IF(ISNA(MATCH(973,Engine!$C$2:$C$1960,0)),"",INDEX('Compliance Database'!$N$2:$N$1960,MATCH(973,Engine!$C$2:$C$1960,0)))</f>
        <v/>
      </c>
      <c r="O986" s="9">
        <f>IF(ISNA(MATCH(973,Engine!$C$2:$C$1960,0)),"",INDEX('Compliance Database'!$O$2:$O$1960,MATCH(973,Engine!$C$2:$C$1960,0)))</f>
        <v/>
      </c>
      <c r="P986" s="8">
        <f>IF(ISNA(MATCH(973,Engine!$C$2:$C$1960,0)),"",HYPERLINK("#Acts!A"&amp;INDEX('Compliance Database'!$P$2:$P$1960,MATCH(973,Engine!$C$2:$C$1960,0)),"Go to Act"))</f>
        <v/>
      </c>
    </row>
    <row r="987" ht="158" customHeight="1">
      <c r="A987" s="8">
        <f>IF(ISNA(MATCH(974,Engine!$C$2:$C$1960,0)),"",INDEX('Compliance Database'!$A$2:$A$1960,MATCH(974,Engine!$C$2:$C$1960,0)))</f>
        <v/>
      </c>
      <c r="B987" s="8">
        <f>IF(ISNA(MATCH(974,Engine!$C$2:$C$1960,0)),"",INDEX('Compliance Database'!$B$2:$B$1960,MATCH(974,Engine!$C$2:$C$1960,0)))</f>
        <v/>
      </c>
      <c r="C987" s="8">
        <f>IF(ISNA(MATCH(974,Engine!$C$2:$C$1960,0)),"",INDEX('Compliance Database'!$C$2:$C$1960,MATCH(974,Engine!$C$2:$C$1960,0)))</f>
        <v/>
      </c>
      <c r="D987" s="9">
        <f>IF(ISNA(MATCH(974,Engine!$C$2:$C$1960,0)),"",INDEX('Compliance Database'!$D$2:$D$1960,MATCH(974,Engine!$C$2:$C$1960,0)))</f>
        <v/>
      </c>
      <c r="E987" s="8">
        <f>IF(ISNA(MATCH(974,Engine!$C$2:$C$1960,0)),"",INDEX('Compliance Database'!$E$2:$E$1960,MATCH(974,Engine!$C$2:$C$1960,0)))</f>
        <v/>
      </c>
      <c r="F987" s="8">
        <f>IF(ISNA(MATCH(974,Engine!$C$2:$C$1960,0)),"",INDEX('Compliance Database'!$F$2:$F$1960,MATCH(974,Engine!$C$2:$C$1960,0)))</f>
        <v/>
      </c>
      <c r="G987" s="8">
        <f>IF(ISNA(MATCH(974,Engine!$C$2:$C$1960,0)),"",INDEX('Compliance Database'!$G$2:$G$1960,MATCH(974,Engine!$C$2:$C$1960,0)))</f>
        <v/>
      </c>
      <c r="H987" s="9">
        <f>IF(ISNA(MATCH(974,Engine!$C$2:$C$1960,0)),"",INDEX('Compliance Database'!$H$2:$H$1960,MATCH(974,Engine!$C$2:$C$1960,0)))</f>
        <v/>
      </c>
      <c r="I987" s="9">
        <f>IF(ISNA(MATCH(974,Engine!$C$2:$C$1960,0)),"",INDEX('Compliance Database'!$I$2:$I$1960,MATCH(974,Engine!$C$2:$C$1960,0)))</f>
        <v/>
      </c>
      <c r="J987" s="8">
        <f>IF(ISNA(MATCH(974,Engine!$C$2:$C$1960,0)),"",INDEX('Compliance Database'!$J$2:$J$1960,MATCH(974,Engine!$C$2:$C$1960,0)))</f>
        <v/>
      </c>
      <c r="K987" s="9">
        <f>IF(ISNA(MATCH(974,Engine!$C$2:$C$1960,0)),"",INDEX('Compliance Database'!$K$2:$K$1960,MATCH(974,Engine!$C$2:$C$1960,0)))</f>
        <v/>
      </c>
      <c r="L987" s="9">
        <f>IF(ISNA(MATCH(974,Engine!$C$2:$C$1960,0)),"",INDEX('Compliance Database'!$L$2:$L$1960,MATCH(974,Engine!$C$2:$C$1960,0)))</f>
        <v/>
      </c>
      <c r="M987" s="9">
        <f>IF(ISNA(MATCH(974,Engine!$C$2:$C$1960,0)),"",INDEX('Compliance Database'!$M$2:$M$1960,MATCH(974,Engine!$C$2:$C$1960,0)))</f>
        <v/>
      </c>
      <c r="N987" s="9">
        <f>IF(ISNA(MATCH(974,Engine!$C$2:$C$1960,0)),"",INDEX('Compliance Database'!$N$2:$N$1960,MATCH(974,Engine!$C$2:$C$1960,0)))</f>
        <v/>
      </c>
      <c r="O987" s="9">
        <f>IF(ISNA(MATCH(974,Engine!$C$2:$C$1960,0)),"",INDEX('Compliance Database'!$O$2:$O$1960,MATCH(974,Engine!$C$2:$C$1960,0)))</f>
        <v/>
      </c>
      <c r="P987" s="8">
        <f>IF(ISNA(MATCH(974,Engine!$C$2:$C$1960,0)),"",HYPERLINK("#Acts!A"&amp;INDEX('Compliance Database'!$P$2:$P$1960,MATCH(974,Engine!$C$2:$C$1960,0)),"Go to Act"))</f>
        <v/>
      </c>
    </row>
    <row r="988" ht="158" customHeight="1">
      <c r="A988" s="8">
        <f>IF(ISNA(MATCH(975,Engine!$C$2:$C$1960,0)),"",INDEX('Compliance Database'!$A$2:$A$1960,MATCH(975,Engine!$C$2:$C$1960,0)))</f>
        <v/>
      </c>
      <c r="B988" s="8">
        <f>IF(ISNA(MATCH(975,Engine!$C$2:$C$1960,0)),"",INDEX('Compliance Database'!$B$2:$B$1960,MATCH(975,Engine!$C$2:$C$1960,0)))</f>
        <v/>
      </c>
      <c r="C988" s="8">
        <f>IF(ISNA(MATCH(975,Engine!$C$2:$C$1960,0)),"",INDEX('Compliance Database'!$C$2:$C$1960,MATCH(975,Engine!$C$2:$C$1960,0)))</f>
        <v/>
      </c>
      <c r="D988" s="9">
        <f>IF(ISNA(MATCH(975,Engine!$C$2:$C$1960,0)),"",INDEX('Compliance Database'!$D$2:$D$1960,MATCH(975,Engine!$C$2:$C$1960,0)))</f>
        <v/>
      </c>
      <c r="E988" s="8">
        <f>IF(ISNA(MATCH(975,Engine!$C$2:$C$1960,0)),"",INDEX('Compliance Database'!$E$2:$E$1960,MATCH(975,Engine!$C$2:$C$1960,0)))</f>
        <v/>
      </c>
      <c r="F988" s="8">
        <f>IF(ISNA(MATCH(975,Engine!$C$2:$C$1960,0)),"",INDEX('Compliance Database'!$F$2:$F$1960,MATCH(975,Engine!$C$2:$C$1960,0)))</f>
        <v/>
      </c>
      <c r="G988" s="8">
        <f>IF(ISNA(MATCH(975,Engine!$C$2:$C$1960,0)),"",INDEX('Compliance Database'!$G$2:$G$1960,MATCH(975,Engine!$C$2:$C$1960,0)))</f>
        <v/>
      </c>
      <c r="H988" s="9">
        <f>IF(ISNA(MATCH(975,Engine!$C$2:$C$1960,0)),"",INDEX('Compliance Database'!$H$2:$H$1960,MATCH(975,Engine!$C$2:$C$1960,0)))</f>
        <v/>
      </c>
      <c r="I988" s="9">
        <f>IF(ISNA(MATCH(975,Engine!$C$2:$C$1960,0)),"",INDEX('Compliance Database'!$I$2:$I$1960,MATCH(975,Engine!$C$2:$C$1960,0)))</f>
        <v/>
      </c>
      <c r="J988" s="8">
        <f>IF(ISNA(MATCH(975,Engine!$C$2:$C$1960,0)),"",INDEX('Compliance Database'!$J$2:$J$1960,MATCH(975,Engine!$C$2:$C$1960,0)))</f>
        <v/>
      </c>
      <c r="K988" s="9">
        <f>IF(ISNA(MATCH(975,Engine!$C$2:$C$1960,0)),"",INDEX('Compliance Database'!$K$2:$K$1960,MATCH(975,Engine!$C$2:$C$1960,0)))</f>
        <v/>
      </c>
      <c r="L988" s="9">
        <f>IF(ISNA(MATCH(975,Engine!$C$2:$C$1960,0)),"",INDEX('Compliance Database'!$L$2:$L$1960,MATCH(975,Engine!$C$2:$C$1960,0)))</f>
        <v/>
      </c>
      <c r="M988" s="9">
        <f>IF(ISNA(MATCH(975,Engine!$C$2:$C$1960,0)),"",INDEX('Compliance Database'!$M$2:$M$1960,MATCH(975,Engine!$C$2:$C$1960,0)))</f>
        <v/>
      </c>
      <c r="N988" s="9">
        <f>IF(ISNA(MATCH(975,Engine!$C$2:$C$1960,0)),"",INDEX('Compliance Database'!$N$2:$N$1960,MATCH(975,Engine!$C$2:$C$1960,0)))</f>
        <v/>
      </c>
      <c r="O988" s="9">
        <f>IF(ISNA(MATCH(975,Engine!$C$2:$C$1960,0)),"",INDEX('Compliance Database'!$O$2:$O$1960,MATCH(975,Engine!$C$2:$C$1960,0)))</f>
        <v/>
      </c>
      <c r="P988" s="8">
        <f>IF(ISNA(MATCH(975,Engine!$C$2:$C$1960,0)),"",HYPERLINK("#Acts!A"&amp;INDEX('Compliance Database'!$P$2:$P$1960,MATCH(975,Engine!$C$2:$C$1960,0)),"Go to Act"))</f>
        <v/>
      </c>
    </row>
    <row r="989" ht="158" customHeight="1">
      <c r="A989" s="8">
        <f>IF(ISNA(MATCH(976,Engine!$C$2:$C$1960,0)),"",INDEX('Compliance Database'!$A$2:$A$1960,MATCH(976,Engine!$C$2:$C$1960,0)))</f>
        <v/>
      </c>
      <c r="B989" s="8">
        <f>IF(ISNA(MATCH(976,Engine!$C$2:$C$1960,0)),"",INDEX('Compliance Database'!$B$2:$B$1960,MATCH(976,Engine!$C$2:$C$1960,0)))</f>
        <v/>
      </c>
      <c r="C989" s="8">
        <f>IF(ISNA(MATCH(976,Engine!$C$2:$C$1960,0)),"",INDEX('Compliance Database'!$C$2:$C$1960,MATCH(976,Engine!$C$2:$C$1960,0)))</f>
        <v/>
      </c>
      <c r="D989" s="9">
        <f>IF(ISNA(MATCH(976,Engine!$C$2:$C$1960,0)),"",INDEX('Compliance Database'!$D$2:$D$1960,MATCH(976,Engine!$C$2:$C$1960,0)))</f>
        <v/>
      </c>
      <c r="E989" s="8">
        <f>IF(ISNA(MATCH(976,Engine!$C$2:$C$1960,0)),"",INDEX('Compliance Database'!$E$2:$E$1960,MATCH(976,Engine!$C$2:$C$1960,0)))</f>
        <v/>
      </c>
      <c r="F989" s="8">
        <f>IF(ISNA(MATCH(976,Engine!$C$2:$C$1960,0)),"",INDEX('Compliance Database'!$F$2:$F$1960,MATCH(976,Engine!$C$2:$C$1960,0)))</f>
        <v/>
      </c>
      <c r="G989" s="8">
        <f>IF(ISNA(MATCH(976,Engine!$C$2:$C$1960,0)),"",INDEX('Compliance Database'!$G$2:$G$1960,MATCH(976,Engine!$C$2:$C$1960,0)))</f>
        <v/>
      </c>
      <c r="H989" s="9">
        <f>IF(ISNA(MATCH(976,Engine!$C$2:$C$1960,0)),"",INDEX('Compliance Database'!$H$2:$H$1960,MATCH(976,Engine!$C$2:$C$1960,0)))</f>
        <v/>
      </c>
      <c r="I989" s="9">
        <f>IF(ISNA(MATCH(976,Engine!$C$2:$C$1960,0)),"",INDEX('Compliance Database'!$I$2:$I$1960,MATCH(976,Engine!$C$2:$C$1960,0)))</f>
        <v/>
      </c>
      <c r="J989" s="8">
        <f>IF(ISNA(MATCH(976,Engine!$C$2:$C$1960,0)),"",INDEX('Compliance Database'!$J$2:$J$1960,MATCH(976,Engine!$C$2:$C$1960,0)))</f>
        <v/>
      </c>
      <c r="K989" s="9">
        <f>IF(ISNA(MATCH(976,Engine!$C$2:$C$1960,0)),"",INDEX('Compliance Database'!$K$2:$K$1960,MATCH(976,Engine!$C$2:$C$1960,0)))</f>
        <v/>
      </c>
      <c r="L989" s="9">
        <f>IF(ISNA(MATCH(976,Engine!$C$2:$C$1960,0)),"",INDEX('Compliance Database'!$L$2:$L$1960,MATCH(976,Engine!$C$2:$C$1960,0)))</f>
        <v/>
      </c>
      <c r="M989" s="9">
        <f>IF(ISNA(MATCH(976,Engine!$C$2:$C$1960,0)),"",INDEX('Compliance Database'!$M$2:$M$1960,MATCH(976,Engine!$C$2:$C$1960,0)))</f>
        <v/>
      </c>
      <c r="N989" s="9">
        <f>IF(ISNA(MATCH(976,Engine!$C$2:$C$1960,0)),"",INDEX('Compliance Database'!$N$2:$N$1960,MATCH(976,Engine!$C$2:$C$1960,0)))</f>
        <v/>
      </c>
      <c r="O989" s="9">
        <f>IF(ISNA(MATCH(976,Engine!$C$2:$C$1960,0)),"",INDEX('Compliance Database'!$O$2:$O$1960,MATCH(976,Engine!$C$2:$C$1960,0)))</f>
        <v/>
      </c>
      <c r="P989" s="8">
        <f>IF(ISNA(MATCH(976,Engine!$C$2:$C$1960,0)),"",HYPERLINK("#Acts!A"&amp;INDEX('Compliance Database'!$P$2:$P$1960,MATCH(976,Engine!$C$2:$C$1960,0)),"Go to Act"))</f>
        <v/>
      </c>
    </row>
    <row r="990" ht="158" customHeight="1">
      <c r="A990" s="8">
        <f>IF(ISNA(MATCH(977,Engine!$C$2:$C$1960,0)),"",INDEX('Compliance Database'!$A$2:$A$1960,MATCH(977,Engine!$C$2:$C$1960,0)))</f>
        <v/>
      </c>
      <c r="B990" s="8">
        <f>IF(ISNA(MATCH(977,Engine!$C$2:$C$1960,0)),"",INDEX('Compliance Database'!$B$2:$B$1960,MATCH(977,Engine!$C$2:$C$1960,0)))</f>
        <v/>
      </c>
      <c r="C990" s="8">
        <f>IF(ISNA(MATCH(977,Engine!$C$2:$C$1960,0)),"",INDEX('Compliance Database'!$C$2:$C$1960,MATCH(977,Engine!$C$2:$C$1960,0)))</f>
        <v/>
      </c>
      <c r="D990" s="9">
        <f>IF(ISNA(MATCH(977,Engine!$C$2:$C$1960,0)),"",INDEX('Compliance Database'!$D$2:$D$1960,MATCH(977,Engine!$C$2:$C$1960,0)))</f>
        <v/>
      </c>
      <c r="E990" s="8">
        <f>IF(ISNA(MATCH(977,Engine!$C$2:$C$1960,0)),"",INDEX('Compliance Database'!$E$2:$E$1960,MATCH(977,Engine!$C$2:$C$1960,0)))</f>
        <v/>
      </c>
      <c r="F990" s="8">
        <f>IF(ISNA(MATCH(977,Engine!$C$2:$C$1960,0)),"",INDEX('Compliance Database'!$F$2:$F$1960,MATCH(977,Engine!$C$2:$C$1960,0)))</f>
        <v/>
      </c>
      <c r="G990" s="8">
        <f>IF(ISNA(MATCH(977,Engine!$C$2:$C$1960,0)),"",INDEX('Compliance Database'!$G$2:$G$1960,MATCH(977,Engine!$C$2:$C$1960,0)))</f>
        <v/>
      </c>
      <c r="H990" s="9">
        <f>IF(ISNA(MATCH(977,Engine!$C$2:$C$1960,0)),"",INDEX('Compliance Database'!$H$2:$H$1960,MATCH(977,Engine!$C$2:$C$1960,0)))</f>
        <v/>
      </c>
      <c r="I990" s="9">
        <f>IF(ISNA(MATCH(977,Engine!$C$2:$C$1960,0)),"",INDEX('Compliance Database'!$I$2:$I$1960,MATCH(977,Engine!$C$2:$C$1960,0)))</f>
        <v/>
      </c>
      <c r="J990" s="8">
        <f>IF(ISNA(MATCH(977,Engine!$C$2:$C$1960,0)),"",INDEX('Compliance Database'!$J$2:$J$1960,MATCH(977,Engine!$C$2:$C$1960,0)))</f>
        <v/>
      </c>
      <c r="K990" s="9">
        <f>IF(ISNA(MATCH(977,Engine!$C$2:$C$1960,0)),"",INDEX('Compliance Database'!$K$2:$K$1960,MATCH(977,Engine!$C$2:$C$1960,0)))</f>
        <v/>
      </c>
      <c r="L990" s="9">
        <f>IF(ISNA(MATCH(977,Engine!$C$2:$C$1960,0)),"",INDEX('Compliance Database'!$L$2:$L$1960,MATCH(977,Engine!$C$2:$C$1960,0)))</f>
        <v/>
      </c>
      <c r="M990" s="9">
        <f>IF(ISNA(MATCH(977,Engine!$C$2:$C$1960,0)),"",INDEX('Compliance Database'!$M$2:$M$1960,MATCH(977,Engine!$C$2:$C$1960,0)))</f>
        <v/>
      </c>
      <c r="N990" s="9">
        <f>IF(ISNA(MATCH(977,Engine!$C$2:$C$1960,0)),"",INDEX('Compliance Database'!$N$2:$N$1960,MATCH(977,Engine!$C$2:$C$1960,0)))</f>
        <v/>
      </c>
      <c r="O990" s="9">
        <f>IF(ISNA(MATCH(977,Engine!$C$2:$C$1960,0)),"",INDEX('Compliance Database'!$O$2:$O$1960,MATCH(977,Engine!$C$2:$C$1960,0)))</f>
        <v/>
      </c>
      <c r="P990" s="8">
        <f>IF(ISNA(MATCH(977,Engine!$C$2:$C$1960,0)),"",HYPERLINK("#Acts!A"&amp;INDEX('Compliance Database'!$P$2:$P$1960,MATCH(977,Engine!$C$2:$C$1960,0)),"Go to Act"))</f>
        <v/>
      </c>
    </row>
    <row r="991" ht="158" customHeight="1">
      <c r="A991" s="8">
        <f>IF(ISNA(MATCH(978,Engine!$C$2:$C$1960,0)),"",INDEX('Compliance Database'!$A$2:$A$1960,MATCH(978,Engine!$C$2:$C$1960,0)))</f>
        <v/>
      </c>
      <c r="B991" s="8">
        <f>IF(ISNA(MATCH(978,Engine!$C$2:$C$1960,0)),"",INDEX('Compliance Database'!$B$2:$B$1960,MATCH(978,Engine!$C$2:$C$1960,0)))</f>
        <v/>
      </c>
      <c r="C991" s="8">
        <f>IF(ISNA(MATCH(978,Engine!$C$2:$C$1960,0)),"",INDEX('Compliance Database'!$C$2:$C$1960,MATCH(978,Engine!$C$2:$C$1960,0)))</f>
        <v/>
      </c>
      <c r="D991" s="9">
        <f>IF(ISNA(MATCH(978,Engine!$C$2:$C$1960,0)),"",INDEX('Compliance Database'!$D$2:$D$1960,MATCH(978,Engine!$C$2:$C$1960,0)))</f>
        <v/>
      </c>
      <c r="E991" s="8">
        <f>IF(ISNA(MATCH(978,Engine!$C$2:$C$1960,0)),"",INDEX('Compliance Database'!$E$2:$E$1960,MATCH(978,Engine!$C$2:$C$1960,0)))</f>
        <v/>
      </c>
      <c r="F991" s="8">
        <f>IF(ISNA(MATCH(978,Engine!$C$2:$C$1960,0)),"",INDEX('Compliance Database'!$F$2:$F$1960,MATCH(978,Engine!$C$2:$C$1960,0)))</f>
        <v/>
      </c>
      <c r="G991" s="8">
        <f>IF(ISNA(MATCH(978,Engine!$C$2:$C$1960,0)),"",INDEX('Compliance Database'!$G$2:$G$1960,MATCH(978,Engine!$C$2:$C$1960,0)))</f>
        <v/>
      </c>
      <c r="H991" s="9">
        <f>IF(ISNA(MATCH(978,Engine!$C$2:$C$1960,0)),"",INDEX('Compliance Database'!$H$2:$H$1960,MATCH(978,Engine!$C$2:$C$1960,0)))</f>
        <v/>
      </c>
      <c r="I991" s="9">
        <f>IF(ISNA(MATCH(978,Engine!$C$2:$C$1960,0)),"",INDEX('Compliance Database'!$I$2:$I$1960,MATCH(978,Engine!$C$2:$C$1960,0)))</f>
        <v/>
      </c>
      <c r="J991" s="8">
        <f>IF(ISNA(MATCH(978,Engine!$C$2:$C$1960,0)),"",INDEX('Compliance Database'!$J$2:$J$1960,MATCH(978,Engine!$C$2:$C$1960,0)))</f>
        <v/>
      </c>
      <c r="K991" s="9">
        <f>IF(ISNA(MATCH(978,Engine!$C$2:$C$1960,0)),"",INDEX('Compliance Database'!$K$2:$K$1960,MATCH(978,Engine!$C$2:$C$1960,0)))</f>
        <v/>
      </c>
      <c r="L991" s="9">
        <f>IF(ISNA(MATCH(978,Engine!$C$2:$C$1960,0)),"",INDEX('Compliance Database'!$L$2:$L$1960,MATCH(978,Engine!$C$2:$C$1960,0)))</f>
        <v/>
      </c>
      <c r="M991" s="9">
        <f>IF(ISNA(MATCH(978,Engine!$C$2:$C$1960,0)),"",INDEX('Compliance Database'!$M$2:$M$1960,MATCH(978,Engine!$C$2:$C$1960,0)))</f>
        <v/>
      </c>
      <c r="N991" s="9">
        <f>IF(ISNA(MATCH(978,Engine!$C$2:$C$1960,0)),"",INDEX('Compliance Database'!$N$2:$N$1960,MATCH(978,Engine!$C$2:$C$1960,0)))</f>
        <v/>
      </c>
      <c r="O991" s="9">
        <f>IF(ISNA(MATCH(978,Engine!$C$2:$C$1960,0)),"",INDEX('Compliance Database'!$O$2:$O$1960,MATCH(978,Engine!$C$2:$C$1960,0)))</f>
        <v/>
      </c>
      <c r="P991" s="8">
        <f>IF(ISNA(MATCH(978,Engine!$C$2:$C$1960,0)),"",HYPERLINK("#Acts!A"&amp;INDEX('Compliance Database'!$P$2:$P$1960,MATCH(978,Engine!$C$2:$C$1960,0)),"Go to Act"))</f>
        <v/>
      </c>
    </row>
    <row r="992" ht="158" customHeight="1">
      <c r="A992" s="8">
        <f>IF(ISNA(MATCH(979,Engine!$C$2:$C$1960,0)),"",INDEX('Compliance Database'!$A$2:$A$1960,MATCH(979,Engine!$C$2:$C$1960,0)))</f>
        <v/>
      </c>
      <c r="B992" s="8">
        <f>IF(ISNA(MATCH(979,Engine!$C$2:$C$1960,0)),"",INDEX('Compliance Database'!$B$2:$B$1960,MATCH(979,Engine!$C$2:$C$1960,0)))</f>
        <v/>
      </c>
      <c r="C992" s="8">
        <f>IF(ISNA(MATCH(979,Engine!$C$2:$C$1960,0)),"",INDEX('Compliance Database'!$C$2:$C$1960,MATCH(979,Engine!$C$2:$C$1960,0)))</f>
        <v/>
      </c>
      <c r="D992" s="9">
        <f>IF(ISNA(MATCH(979,Engine!$C$2:$C$1960,0)),"",INDEX('Compliance Database'!$D$2:$D$1960,MATCH(979,Engine!$C$2:$C$1960,0)))</f>
        <v/>
      </c>
      <c r="E992" s="8">
        <f>IF(ISNA(MATCH(979,Engine!$C$2:$C$1960,0)),"",INDEX('Compliance Database'!$E$2:$E$1960,MATCH(979,Engine!$C$2:$C$1960,0)))</f>
        <v/>
      </c>
      <c r="F992" s="8">
        <f>IF(ISNA(MATCH(979,Engine!$C$2:$C$1960,0)),"",INDEX('Compliance Database'!$F$2:$F$1960,MATCH(979,Engine!$C$2:$C$1960,0)))</f>
        <v/>
      </c>
      <c r="G992" s="8">
        <f>IF(ISNA(MATCH(979,Engine!$C$2:$C$1960,0)),"",INDEX('Compliance Database'!$G$2:$G$1960,MATCH(979,Engine!$C$2:$C$1960,0)))</f>
        <v/>
      </c>
      <c r="H992" s="9">
        <f>IF(ISNA(MATCH(979,Engine!$C$2:$C$1960,0)),"",INDEX('Compliance Database'!$H$2:$H$1960,MATCH(979,Engine!$C$2:$C$1960,0)))</f>
        <v/>
      </c>
      <c r="I992" s="9">
        <f>IF(ISNA(MATCH(979,Engine!$C$2:$C$1960,0)),"",INDEX('Compliance Database'!$I$2:$I$1960,MATCH(979,Engine!$C$2:$C$1960,0)))</f>
        <v/>
      </c>
      <c r="J992" s="8">
        <f>IF(ISNA(MATCH(979,Engine!$C$2:$C$1960,0)),"",INDEX('Compliance Database'!$J$2:$J$1960,MATCH(979,Engine!$C$2:$C$1960,0)))</f>
        <v/>
      </c>
      <c r="K992" s="9">
        <f>IF(ISNA(MATCH(979,Engine!$C$2:$C$1960,0)),"",INDEX('Compliance Database'!$K$2:$K$1960,MATCH(979,Engine!$C$2:$C$1960,0)))</f>
        <v/>
      </c>
      <c r="L992" s="9">
        <f>IF(ISNA(MATCH(979,Engine!$C$2:$C$1960,0)),"",INDEX('Compliance Database'!$L$2:$L$1960,MATCH(979,Engine!$C$2:$C$1960,0)))</f>
        <v/>
      </c>
      <c r="M992" s="9">
        <f>IF(ISNA(MATCH(979,Engine!$C$2:$C$1960,0)),"",INDEX('Compliance Database'!$M$2:$M$1960,MATCH(979,Engine!$C$2:$C$1960,0)))</f>
        <v/>
      </c>
      <c r="N992" s="9">
        <f>IF(ISNA(MATCH(979,Engine!$C$2:$C$1960,0)),"",INDEX('Compliance Database'!$N$2:$N$1960,MATCH(979,Engine!$C$2:$C$1960,0)))</f>
        <v/>
      </c>
      <c r="O992" s="9">
        <f>IF(ISNA(MATCH(979,Engine!$C$2:$C$1960,0)),"",INDEX('Compliance Database'!$O$2:$O$1960,MATCH(979,Engine!$C$2:$C$1960,0)))</f>
        <v/>
      </c>
      <c r="P992" s="8">
        <f>IF(ISNA(MATCH(979,Engine!$C$2:$C$1960,0)),"",HYPERLINK("#Acts!A"&amp;INDEX('Compliance Database'!$P$2:$P$1960,MATCH(979,Engine!$C$2:$C$1960,0)),"Go to Act"))</f>
        <v/>
      </c>
    </row>
    <row r="993" ht="158" customHeight="1">
      <c r="A993" s="8">
        <f>IF(ISNA(MATCH(980,Engine!$C$2:$C$1960,0)),"",INDEX('Compliance Database'!$A$2:$A$1960,MATCH(980,Engine!$C$2:$C$1960,0)))</f>
        <v/>
      </c>
      <c r="B993" s="8">
        <f>IF(ISNA(MATCH(980,Engine!$C$2:$C$1960,0)),"",INDEX('Compliance Database'!$B$2:$B$1960,MATCH(980,Engine!$C$2:$C$1960,0)))</f>
        <v/>
      </c>
      <c r="C993" s="8">
        <f>IF(ISNA(MATCH(980,Engine!$C$2:$C$1960,0)),"",INDEX('Compliance Database'!$C$2:$C$1960,MATCH(980,Engine!$C$2:$C$1960,0)))</f>
        <v/>
      </c>
      <c r="D993" s="9">
        <f>IF(ISNA(MATCH(980,Engine!$C$2:$C$1960,0)),"",INDEX('Compliance Database'!$D$2:$D$1960,MATCH(980,Engine!$C$2:$C$1960,0)))</f>
        <v/>
      </c>
      <c r="E993" s="8">
        <f>IF(ISNA(MATCH(980,Engine!$C$2:$C$1960,0)),"",INDEX('Compliance Database'!$E$2:$E$1960,MATCH(980,Engine!$C$2:$C$1960,0)))</f>
        <v/>
      </c>
      <c r="F993" s="8">
        <f>IF(ISNA(MATCH(980,Engine!$C$2:$C$1960,0)),"",INDEX('Compliance Database'!$F$2:$F$1960,MATCH(980,Engine!$C$2:$C$1960,0)))</f>
        <v/>
      </c>
      <c r="G993" s="8">
        <f>IF(ISNA(MATCH(980,Engine!$C$2:$C$1960,0)),"",INDEX('Compliance Database'!$G$2:$G$1960,MATCH(980,Engine!$C$2:$C$1960,0)))</f>
        <v/>
      </c>
      <c r="H993" s="9">
        <f>IF(ISNA(MATCH(980,Engine!$C$2:$C$1960,0)),"",INDEX('Compliance Database'!$H$2:$H$1960,MATCH(980,Engine!$C$2:$C$1960,0)))</f>
        <v/>
      </c>
      <c r="I993" s="9">
        <f>IF(ISNA(MATCH(980,Engine!$C$2:$C$1960,0)),"",INDEX('Compliance Database'!$I$2:$I$1960,MATCH(980,Engine!$C$2:$C$1960,0)))</f>
        <v/>
      </c>
      <c r="J993" s="8">
        <f>IF(ISNA(MATCH(980,Engine!$C$2:$C$1960,0)),"",INDEX('Compliance Database'!$J$2:$J$1960,MATCH(980,Engine!$C$2:$C$1960,0)))</f>
        <v/>
      </c>
      <c r="K993" s="9">
        <f>IF(ISNA(MATCH(980,Engine!$C$2:$C$1960,0)),"",INDEX('Compliance Database'!$K$2:$K$1960,MATCH(980,Engine!$C$2:$C$1960,0)))</f>
        <v/>
      </c>
      <c r="L993" s="9">
        <f>IF(ISNA(MATCH(980,Engine!$C$2:$C$1960,0)),"",INDEX('Compliance Database'!$L$2:$L$1960,MATCH(980,Engine!$C$2:$C$1960,0)))</f>
        <v/>
      </c>
      <c r="M993" s="9">
        <f>IF(ISNA(MATCH(980,Engine!$C$2:$C$1960,0)),"",INDEX('Compliance Database'!$M$2:$M$1960,MATCH(980,Engine!$C$2:$C$1960,0)))</f>
        <v/>
      </c>
      <c r="N993" s="9">
        <f>IF(ISNA(MATCH(980,Engine!$C$2:$C$1960,0)),"",INDEX('Compliance Database'!$N$2:$N$1960,MATCH(980,Engine!$C$2:$C$1960,0)))</f>
        <v/>
      </c>
      <c r="O993" s="9">
        <f>IF(ISNA(MATCH(980,Engine!$C$2:$C$1960,0)),"",INDEX('Compliance Database'!$O$2:$O$1960,MATCH(980,Engine!$C$2:$C$1960,0)))</f>
        <v/>
      </c>
      <c r="P993" s="8">
        <f>IF(ISNA(MATCH(980,Engine!$C$2:$C$1960,0)),"",HYPERLINK("#Acts!A"&amp;INDEX('Compliance Database'!$P$2:$P$1960,MATCH(980,Engine!$C$2:$C$1960,0)),"Go to Act"))</f>
        <v/>
      </c>
    </row>
    <row r="994" ht="158" customHeight="1">
      <c r="A994" s="8">
        <f>IF(ISNA(MATCH(981,Engine!$C$2:$C$1960,0)),"",INDEX('Compliance Database'!$A$2:$A$1960,MATCH(981,Engine!$C$2:$C$1960,0)))</f>
        <v/>
      </c>
      <c r="B994" s="8">
        <f>IF(ISNA(MATCH(981,Engine!$C$2:$C$1960,0)),"",INDEX('Compliance Database'!$B$2:$B$1960,MATCH(981,Engine!$C$2:$C$1960,0)))</f>
        <v/>
      </c>
      <c r="C994" s="8">
        <f>IF(ISNA(MATCH(981,Engine!$C$2:$C$1960,0)),"",INDEX('Compliance Database'!$C$2:$C$1960,MATCH(981,Engine!$C$2:$C$1960,0)))</f>
        <v/>
      </c>
      <c r="D994" s="9">
        <f>IF(ISNA(MATCH(981,Engine!$C$2:$C$1960,0)),"",INDEX('Compliance Database'!$D$2:$D$1960,MATCH(981,Engine!$C$2:$C$1960,0)))</f>
        <v/>
      </c>
      <c r="E994" s="8">
        <f>IF(ISNA(MATCH(981,Engine!$C$2:$C$1960,0)),"",INDEX('Compliance Database'!$E$2:$E$1960,MATCH(981,Engine!$C$2:$C$1960,0)))</f>
        <v/>
      </c>
      <c r="F994" s="8">
        <f>IF(ISNA(MATCH(981,Engine!$C$2:$C$1960,0)),"",INDEX('Compliance Database'!$F$2:$F$1960,MATCH(981,Engine!$C$2:$C$1960,0)))</f>
        <v/>
      </c>
      <c r="G994" s="8">
        <f>IF(ISNA(MATCH(981,Engine!$C$2:$C$1960,0)),"",INDEX('Compliance Database'!$G$2:$G$1960,MATCH(981,Engine!$C$2:$C$1960,0)))</f>
        <v/>
      </c>
      <c r="H994" s="9">
        <f>IF(ISNA(MATCH(981,Engine!$C$2:$C$1960,0)),"",INDEX('Compliance Database'!$H$2:$H$1960,MATCH(981,Engine!$C$2:$C$1960,0)))</f>
        <v/>
      </c>
      <c r="I994" s="9">
        <f>IF(ISNA(MATCH(981,Engine!$C$2:$C$1960,0)),"",INDEX('Compliance Database'!$I$2:$I$1960,MATCH(981,Engine!$C$2:$C$1960,0)))</f>
        <v/>
      </c>
      <c r="J994" s="8">
        <f>IF(ISNA(MATCH(981,Engine!$C$2:$C$1960,0)),"",INDEX('Compliance Database'!$J$2:$J$1960,MATCH(981,Engine!$C$2:$C$1960,0)))</f>
        <v/>
      </c>
      <c r="K994" s="9">
        <f>IF(ISNA(MATCH(981,Engine!$C$2:$C$1960,0)),"",INDEX('Compliance Database'!$K$2:$K$1960,MATCH(981,Engine!$C$2:$C$1960,0)))</f>
        <v/>
      </c>
      <c r="L994" s="9">
        <f>IF(ISNA(MATCH(981,Engine!$C$2:$C$1960,0)),"",INDEX('Compliance Database'!$L$2:$L$1960,MATCH(981,Engine!$C$2:$C$1960,0)))</f>
        <v/>
      </c>
      <c r="M994" s="9">
        <f>IF(ISNA(MATCH(981,Engine!$C$2:$C$1960,0)),"",INDEX('Compliance Database'!$M$2:$M$1960,MATCH(981,Engine!$C$2:$C$1960,0)))</f>
        <v/>
      </c>
      <c r="N994" s="9">
        <f>IF(ISNA(MATCH(981,Engine!$C$2:$C$1960,0)),"",INDEX('Compliance Database'!$N$2:$N$1960,MATCH(981,Engine!$C$2:$C$1960,0)))</f>
        <v/>
      </c>
      <c r="O994" s="9">
        <f>IF(ISNA(MATCH(981,Engine!$C$2:$C$1960,0)),"",INDEX('Compliance Database'!$O$2:$O$1960,MATCH(981,Engine!$C$2:$C$1960,0)))</f>
        <v/>
      </c>
      <c r="P994" s="8">
        <f>IF(ISNA(MATCH(981,Engine!$C$2:$C$1960,0)),"",HYPERLINK("#Acts!A"&amp;INDEX('Compliance Database'!$P$2:$P$1960,MATCH(981,Engine!$C$2:$C$1960,0)),"Go to Act"))</f>
        <v/>
      </c>
    </row>
    <row r="995" ht="158" customHeight="1">
      <c r="A995" s="8">
        <f>IF(ISNA(MATCH(982,Engine!$C$2:$C$1960,0)),"",INDEX('Compliance Database'!$A$2:$A$1960,MATCH(982,Engine!$C$2:$C$1960,0)))</f>
        <v/>
      </c>
      <c r="B995" s="8">
        <f>IF(ISNA(MATCH(982,Engine!$C$2:$C$1960,0)),"",INDEX('Compliance Database'!$B$2:$B$1960,MATCH(982,Engine!$C$2:$C$1960,0)))</f>
        <v/>
      </c>
      <c r="C995" s="8">
        <f>IF(ISNA(MATCH(982,Engine!$C$2:$C$1960,0)),"",INDEX('Compliance Database'!$C$2:$C$1960,MATCH(982,Engine!$C$2:$C$1960,0)))</f>
        <v/>
      </c>
      <c r="D995" s="9">
        <f>IF(ISNA(MATCH(982,Engine!$C$2:$C$1960,0)),"",INDEX('Compliance Database'!$D$2:$D$1960,MATCH(982,Engine!$C$2:$C$1960,0)))</f>
        <v/>
      </c>
      <c r="E995" s="8">
        <f>IF(ISNA(MATCH(982,Engine!$C$2:$C$1960,0)),"",INDEX('Compliance Database'!$E$2:$E$1960,MATCH(982,Engine!$C$2:$C$1960,0)))</f>
        <v/>
      </c>
      <c r="F995" s="8">
        <f>IF(ISNA(MATCH(982,Engine!$C$2:$C$1960,0)),"",INDEX('Compliance Database'!$F$2:$F$1960,MATCH(982,Engine!$C$2:$C$1960,0)))</f>
        <v/>
      </c>
      <c r="G995" s="8">
        <f>IF(ISNA(MATCH(982,Engine!$C$2:$C$1960,0)),"",INDEX('Compliance Database'!$G$2:$G$1960,MATCH(982,Engine!$C$2:$C$1960,0)))</f>
        <v/>
      </c>
      <c r="H995" s="9">
        <f>IF(ISNA(MATCH(982,Engine!$C$2:$C$1960,0)),"",INDEX('Compliance Database'!$H$2:$H$1960,MATCH(982,Engine!$C$2:$C$1960,0)))</f>
        <v/>
      </c>
      <c r="I995" s="9">
        <f>IF(ISNA(MATCH(982,Engine!$C$2:$C$1960,0)),"",INDEX('Compliance Database'!$I$2:$I$1960,MATCH(982,Engine!$C$2:$C$1960,0)))</f>
        <v/>
      </c>
      <c r="J995" s="8">
        <f>IF(ISNA(MATCH(982,Engine!$C$2:$C$1960,0)),"",INDEX('Compliance Database'!$J$2:$J$1960,MATCH(982,Engine!$C$2:$C$1960,0)))</f>
        <v/>
      </c>
      <c r="K995" s="9">
        <f>IF(ISNA(MATCH(982,Engine!$C$2:$C$1960,0)),"",INDEX('Compliance Database'!$K$2:$K$1960,MATCH(982,Engine!$C$2:$C$1960,0)))</f>
        <v/>
      </c>
      <c r="L995" s="9">
        <f>IF(ISNA(MATCH(982,Engine!$C$2:$C$1960,0)),"",INDEX('Compliance Database'!$L$2:$L$1960,MATCH(982,Engine!$C$2:$C$1960,0)))</f>
        <v/>
      </c>
      <c r="M995" s="9">
        <f>IF(ISNA(MATCH(982,Engine!$C$2:$C$1960,0)),"",INDEX('Compliance Database'!$M$2:$M$1960,MATCH(982,Engine!$C$2:$C$1960,0)))</f>
        <v/>
      </c>
      <c r="N995" s="9">
        <f>IF(ISNA(MATCH(982,Engine!$C$2:$C$1960,0)),"",INDEX('Compliance Database'!$N$2:$N$1960,MATCH(982,Engine!$C$2:$C$1960,0)))</f>
        <v/>
      </c>
      <c r="O995" s="9">
        <f>IF(ISNA(MATCH(982,Engine!$C$2:$C$1960,0)),"",INDEX('Compliance Database'!$O$2:$O$1960,MATCH(982,Engine!$C$2:$C$1960,0)))</f>
        <v/>
      </c>
      <c r="P995" s="8">
        <f>IF(ISNA(MATCH(982,Engine!$C$2:$C$1960,0)),"",HYPERLINK("#Acts!A"&amp;INDEX('Compliance Database'!$P$2:$P$1960,MATCH(982,Engine!$C$2:$C$1960,0)),"Go to Act"))</f>
        <v/>
      </c>
    </row>
    <row r="996" ht="158" customHeight="1">
      <c r="A996" s="8">
        <f>IF(ISNA(MATCH(983,Engine!$C$2:$C$1960,0)),"",INDEX('Compliance Database'!$A$2:$A$1960,MATCH(983,Engine!$C$2:$C$1960,0)))</f>
        <v/>
      </c>
      <c r="B996" s="8">
        <f>IF(ISNA(MATCH(983,Engine!$C$2:$C$1960,0)),"",INDEX('Compliance Database'!$B$2:$B$1960,MATCH(983,Engine!$C$2:$C$1960,0)))</f>
        <v/>
      </c>
      <c r="C996" s="8">
        <f>IF(ISNA(MATCH(983,Engine!$C$2:$C$1960,0)),"",INDEX('Compliance Database'!$C$2:$C$1960,MATCH(983,Engine!$C$2:$C$1960,0)))</f>
        <v/>
      </c>
      <c r="D996" s="9">
        <f>IF(ISNA(MATCH(983,Engine!$C$2:$C$1960,0)),"",INDEX('Compliance Database'!$D$2:$D$1960,MATCH(983,Engine!$C$2:$C$1960,0)))</f>
        <v/>
      </c>
      <c r="E996" s="8">
        <f>IF(ISNA(MATCH(983,Engine!$C$2:$C$1960,0)),"",INDEX('Compliance Database'!$E$2:$E$1960,MATCH(983,Engine!$C$2:$C$1960,0)))</f>
        <v/>
      </c>
      <c r="F996" s="8">
        <f>IF(ISNA(MATCH(983,Engine!$C$2:$C$1960,0)),"",INDEX('Compliance Database'!$F$2:$F$1960,MATCH(983,Engine!$C$2:$C$1960,0)))</f>
        <v/>
      </c>
      <c r="G996" s="8">
        <f>IF(ISNA(MATCH(983,Engine!$C$2:$C$1960,0)),"",INDEX('Compliance Database'!$G$2:$G$1960,MATCH(983,Engine!$C$2:$C$1960,0)))</f>
        <v/>
      </c>
      <c r="H996" s="9">
        <f>IF(ISNA(MATCH(983,Engine!$C$2:$C$1960,0)),"",INDEX('Compliance Database'!$H$2:$H$1960,MATCH(983,Engine!$C$2:$C$1960,0)))</f>
        <v/>
      </c>
      <c r="I996" s="9">
        <f>IF(ISNA(MATCH(983,Engine!$C$2:$C$1960,0)),"",INDEX('Compliance Database'!$I$2:$I$1960,MATCH(983,Engine!$C$2:$C$1960,0)))</f>
        <v/>
      </c>
      <c r="J996" s="8">
        <f>IF(ISNA(MATCH(983,Engine!$C$2:$C$1960,0)),"",INDEX('Compliance Database'!$J$2:$J$1960,MATCH(983,Engine!$C$2:$C$1960,0)))</f>
        <v/>
      </c>
      <c r="K996" s="9">
        <f>IF(ISNA(MATCH(983,Engine!$C$2:$C$1960,0)),"",INDEX('Compliance Database'!$K$2:$K$1960,MATCH(983,Engine!$C$2:$C$1960,0)))</f>
        <v/>
      </c>
      <c r="L996" s="9">
        <f>IF(ISNA(MATCH(983,Engine!$C$2:$C$1960,0)),"",INDEX('Compliance Database'!$L$2:$L$1960,MATCH(983,Engine!$C$2:$C$1960,0)))</f>
        <v/>
      </c>
      <c r="M996" s="9">
        <f>IF(ISNA(MATCH(983,Engine!$C$2:$C$1960,0)),"",INDEX('Compliance Database'!$M$2:$M$1960,MATCH(983,Engine!$C$2:$C$1960,0)))</f>
        <v/>
      </c>
      <c r="N996" s="9">
        <f>IF(ISNA(MATCH(983,Engine!$C$2:$C$1960,0)),"",INDEX('Compliance Database'!$N$2:$N$1960,MATCH(983,Engine!$C$2:$C$1960,0)))</f>
        <v/>
      </c>
      <c r="O996" s="9">
        <f>IF(ISNA(MATCH(983,Engine!$C$2:$C$1960,0)),"",INDEX('Compliance Database'!$O$2:$O$1960,MATCH(983,Engine!$C$2:$C$1960,0)))</f>
        <v/>
      </c>
      <c r="P996" s="8">
        <f>IF(ISNA(MATCH(983,Engine!$C$2:$C$1960,0)),"",HYPERLINK("#Acts!A"&amp;INDEX('Compliance Database'!$P$2:$P$1960,MATCH(983,Engine!$C$2:$C$1960,0)),"Go to Act"))</f>
        <v/>
      </c>
    </row>
    <row r="997" ht="158" customHeight="1">
      <c r="A997" s="8">
        <f>IF(ISNA(MATCH(984,Engine!$C$2:$C$1960,0)),"",INDEX('Compliance Database'!$A$2:$A$1960,MATCH(984,Engine!$C$2:$C$1960,0)))</f>
        <v/>
      </c>
      <c r="B997" s="8">
        <f>IF(ISNA(MATCH(984,Engine!$C$2:$C$1960,0)),"",INDEX('Compliance Database'!$B$2:$B$1960,MATCH(984,Engine!$C$2:$C$1960,0)))</f>
        <v/>
      </c>
      <c r="C997" s="8">
        <f>IF(ISNA(MATCH(984,Engine!$C$2:$C$1960,0)),"",INDEX('Compliance Database'!$C$2:$C$1960,MATCH(984,Engine!$C$2:$C$1960,0)))</f>
        <v/>
      </c>
      <c r="D997" s="9">
        <f>IF(ISNA(MATCH(984,Engine!$C$2:$C$1960,0)),"",INDEX('Compliance Database'!$D$2:$D$1960,MATCH(984,Engine!$C$2:$C$1960,0)))</f>
        <v/>
      </c>
      <c r="E997" s="8">
        <f>IF(ISNA(MATCH(984,Engine!$C$2:$C$1960,0)),"",INDEX('Compliance Database'!$E$2:$E$1960,MATCH(984,Engine!$C$2:$C$1960,0)))</f>
        <v/>
      </c>
      <c r="F997" s="8">
        <f>IF(ISNA(MATCH(984,Engine!$C$2:$C$1960,0)),"",INDEX('Compliance Database'!$F$2:$F$1960,MATCH(984,Engine!$C$2:$C$1960,0)))</f>
        <v/>
      </c>
      <c r="G997" s="8">
        <f>IF(ISNA(MATCH(984,Engine!$C$2:$C$1960,0)),"",INDEX('Compliance Database'!$G$2:$G$1960,MATCH(984,Engine!$C$2:$C$1960,0)))</f>
        <v/>
      </c>
      <c r="H997" s="9">
        <f>IF(ISNA(MATCH(984,Engine!$C$2:$C$1960,0)),"",INDEX('Compliance Database'!$H$2:$H$1960,MATCH(984,Engine!$C$2:$C$1960,0)))</f>
        <v/>
      </c>
      <c r="I997" s="9">
        <f>IF(ISNA(MATCH(984,Engine!$C$2:$C$1960,0)),"",INDEX('Compliance Database'!$I$2:$I$1960,MATCH(984,Engine!$C$2:$C$1960,0)))</f>
        <v/>
      </c>
      <c r="J997" s="8">
        <f>IF(ISNA(MATCH(984,Engine!$C$2:$C$1960,0)),"",INDEX('Compliance Database'!$J$2:$J$1960,MATCH(984,Engine!$C$2:$C$1960,0)))</f>
        <v/>
      </c>
      <c r="K997" s="9">
        <f>IF(ISNA(MATCH(984,Engine!$C$2:$C$1960,0)),"",INDEX('Compliance Database'!$K$2:$K$1960,MATCH(984,Engine!$C$2:$C$1960,0)))</f>
        <v/>
      </c>
      <c r="L997" s="9">
        <f>IF(ISNA(MATCH(984,Engine!$C$2:$C$1960,0)),"",INDEX('Compliance Database'!$L$2:$L$1960,MATCH(984,Engine!$C$2:$C$1960,0)))</f>
        <v/>
      </c>
      <c r="M997" s="9">
        <f>IF(ISNA(MATCH(984,Engine!$C$2:$C$1960,0)),"",INDEX('Compliance Database'!$M$2:$M$1960,MATCH(984,Engine!$C$2:$C$1960,0)))</f>
        <v/>
      </c>
      <c r="N997" s="9">
        <f>IF(ISNA(MATCH(984,Engine!$C$2:$C$1960,0)),"",INDEX('Compliance Database'!$N$2:$N$1960,MATCH(984,Engine!$C$2:$C$1960,0)))</f>
        <v/>
      </c>
      <c r="O997" s="9">
        <f>IF(ISNA(MATCH(984,Engine!$C$2:$C$1960,0)),"",INDEX('Compliance Database'!$O$2:$O$1960,MATCH(984,Engine!$C$2:$C$1960,0)))</f>
        <v/>
      </c>
      <c r="P997" s="8">
        <f>IF(ISNA(MATCH(984,Engine!$C$2:$C$1960,0)),"",HYPERLINK("#Acts!A"&amp;INDEX('Compliance Database'!$P$2:$P$1960,MATCH(984,Engine!$C$2:$C$1960,0)),"Go to Act"))</f>
        <v/>
      </c>
    </row>
    <row r="998" ht="158" customHeight="1">
      <c r="A998" s="8">
        <f>IF(ISNA(MATCH(985,Engine!$C$2:$C$1960,0)),"",INDEX('Compliance Database'!$A$2:$A$1960,MATCH(985,Engine!$C$2:$C$1960,0)))</f>
        <v/>
      </c>
      <c r="B998" s="8">
        <f>IF(ISNA(MATCH(985,Engine!$C$2:$C$1960,0)),"",INDEX('Compliance Database'!$B$2:$B$1960,MATCH(985,Engine!$C$2:$C$1960,0)))</f>
        <v/>
      </c>
      <c r="C998" s="8">
        <f>IF(ISNA(MATCH(985,Engine!$C$2:$C$1960,0)),"",INDEX('Compliance Database'!$C$2:$C$1960,MATCH(985,Engine!$C$2:$C$1960,0)))</f>
        <v/>
      </c>
      <c r="D998" s="9">
        <f>IF(ISNA(MATCH(985,Engine!$C$2:$C$1960,0)),"",INDEX('Compliance Database'!$D$2:$D$1960,MATCH(985,Engine!$C$2:$C$1960,0)))</f>
        <v/>
      </c>
      <c r="E998" s="8">
        <f>IF(ISNA(MATCH(985,Engine!$C$2:$C$1960,0)),"",INDEX('Compliance Database'!$E$2:$E$1960,MATCH(985,Engine!$C$2:$C$1960,0)))</f>
        <v/>
      </c>
      <c r="F998" s="8">
        <f>IF(ISNA(MATCH(985,Engine!$C$2:$C$1960,0)),"",INDEX('Compliance Database'!$F$2:$F$1960,MATCH(985,Engine!$C$2:$C$1960,0)))</f>
        <v/>
      </c>
      <c r="G998" s="8">
        <f>IF(ISNA(MATCH(985,Engine!$C$2:$C$1960,0)),"",INDEX('Compliance Database'!$G$2:$G$1960,MATCH(985,Engine!$C$2:$C$1960,0)))</f>
        <v/>
      </c>
      <c r="H998" s="9">
        <f>IF(ISNA(MATCH(985,Engine!$C$2:$C$1960,0)),"",INDEX('Compliance Database'!$H$2:$H$1960,MATCH(985,Engine!$C$2:$C$1960,0)))</f>
        <v/>
      </c>
      <c r="I998" s="9">
        <f>IF(ISNA(MATCH(985,Engine!$C$2:$C$1960,0)),"",INDEX('Compliance Database'!$I$2:$I$1960,MATCH(985,Engine!$C$2:$C$1960,0)))</f>
        <v/>
      </c>
      <c r="J998" s="8">
        <f>IF(ISNA(MATCH(985,Engine!$C$2:$C$1960,0)),"",INDEX('Compliance Database'!$J$2:$J$1960,MATCH(985,Engine!$C$2:$C$1960,0)))</f>
        <v/>
      </c>
      <c r="K998" s="9">
        <f>IF(ISNA(MATCH(985,Engine!$C$2:$C$1960,0)),"",INDEX('Compliance Database'!$K$2:$K$1960,MATCH(985,Engine!$C$2:$C$1960,0)))</f>
        <v/>
      </c>
      <c r="L998" s="9">
        <f>IF(ISNA(MATCH(985,Engine!$C$2:$C$1960,0)),"",INDEX('Compliance Database'!$L$2:$L$1960,MATCH(985,Engine!$C$2:$C$1960,0)))</f>
        <v/>
      </c>
      <c r="M998" s="9">
        <f>IF(ISNA(MATCH(985,Engine!$C$2:$C$1960,0)),"",INDEX('Compliance Database'!$M$2:$M$1960,MATCH(985,Engine!$C$2:$C$1960,0)))</f>
        <v/>
      </c>
      <c r="N998" s="9">
        <f>IF(ISNA(MATCH(985,Engine!$C$2:$C$1960,0)),"",INDEX('Compliance Database'!$N$2:$N$1960,MATCH(985,Engine!$C$2:$C$1960,0)))</f>
        <v/>
      </c>
      <c r="O998" s="9">
        <f>IF(ISNA(MATCH(985,Engine!$C$2:$C$1960,0)),"",INDEX('Compliance Database'!$O$2:$O$1960,MATCH(985,Engine!$C$2:$C$1960,0)))</f>
        <v/>
      </c>
      <c r="P998" s="8">
        <f>IF(ISNA(MATCH(985,Engine!$C$2:$C$1960,0)),"",HYPERLINK("#Acts!A"&amp;INDEX('Compliance Database'!$P$2:$P$1960,MATCH(985,Engine!$C$2:$C$1960,0)),"Go to Act"))</f>
        <v/>
      </c>
    </row>
    <row r="999" ht="158" customHeight="1">
      <c r="A999" s="8">
        <f>IF(ISNA(MATCH(986,Engine!$C$2:$C$1960,0)),"",INDEX('Compliance Database'!$A$2:$A$1960,MATCH(986,Engine!$C$2:$C$1960,0)))</f>
        <v/>
      </c>
      <c r="B999" s="8">
        <f>IF(ISNA(MATCH(986,Engine!$C$2:$C$1960,0)),"",INDEX('Compliance Database'!$B$2:$B$1960,MATCH(986,Engine!$C$2:$C$1960,0)))</f>
        <v/>
      </c>
      <c r="C999" s="8">
        <f>IF(ISNA(MATCH(986,Engine!$C$2:$C$1960,0)),"",INDEX('Compliance Database'!$C$2:$C$1960,MATCH(986,Engine!$C$2:$C$1960,0)))</f>
        <v/>
      </c>
      <c r="D999" s="9">
        <f>IF(ISNA(MATCH(986,Engine!$C$2:$C$1960,0)),"",INDEX('Compliance Database'!$D$2:$D$1960,MATCH(986,Engine!$C$2:$C$1960,0)))</f>
        <v/>
      </c>
      <c r="E999" s="8">
        <f>IF(ISNA(MATCH(986,Engine!$C$2:$C$1960,0)),"",INDEX('Compliance Database'!$E$2:$E$1960,MATCH(986,Engine!$C$2:$C$1960,0)))</f>
        <v/>
      </c>
      <c r="F999" s="8">
        <f>IF(ISNA(MATCH(986,Engine!$C$2:$C$1960,0)),"",INDEX('Compliance Database'!$F$2:$F$1960,MATCH(986,Engine!$C$2:$C$1960,0)))</f>
        <v/>
      </c>
      <c r="G999" s="8">
        <f>IF(ISNA(MATCH(986,Engine!$C$2:$C$1960,0)),"",INDEX('Compliance Database'!$G$2:$G$1960,MATCH(986,Engine!$C$2:$C$1960,0)))</f>
        <v/>
      </c>
      <c r="H999" s="9">
        <f>IF(ISNA(MATCH(986,Engine!$C$2:$C$1960,0)),"",INDEX('Compliance Database'!$H$2:$H$1960,MATCH(986,Engine!$C$2:$C$1960,0)))</f>
        <v/>
      </c>
      <c r="I999" s="9">
        <f>IF(ISNA(MATCH(986,Engine!$C$2:$C$1960,0)),"",INDEX('Compliance Database'!$I$2:$I$1960,MATCH(986,Engine!$C$2:$C$1960,0)))</f>
        <v/>
      </c>
      <c r="J999" s="8">
        <f>IF(ISNA(MATCH(986,Engine!$C$2:$C$1960,0)),"",INDEX('Compliance Database'!$J$2:$J$1960,MATCH(986,Engine!$C$2:$C$1960,0)))</f>
        <v/>
      </c>
      <c r="K999" s="9">
        <f>IF(ISNA(MATCH(986,Engine!$C$2:$C$1960,0)),"",INDEX('Compliance Database'!$K$2:$K$1960,MATCH(986,Engine!$C$2:$C$1960,0)))</f>
        <v/>
      </c>
      <c r="L999" s="9">
        <f>IF(ISNA(MATCH(986,Engine!$C$2:$C$1960,0)),"",INDEX('Compliance Database'!$L$2:$L$1960,MATCH(986,Engine!$C$2:$C$1960,0)))</f>
        <v/>
      </c>
      <c r="M999" s="9">
        <f>IF(ISNA(MATCH(986,Engine!$C$2:$C$1960,0)),"",INDEX('Compliance Database'!$M$2:$M$1960,MATCH(986,Engine!$C$2:$C$1960,0)))</f>
        <v/>
      </c>
      <c r="N999" s="9">
        <f>IF(ISNA(MATCH(986,Engine!$C$2:$C$1960,0)),"",INDEX('Compliance Database'!$N$2:$N$1960,MATCH(986,Engine!$C$2:$C$1960,0)))</f>
        <v/>
      </c>
      <c r="O999" s="9">
        <f>IF(ISNA(MATCH(986,Engine!$C$2:$C$1960,0)),"",INDEX('Compliance Database'!$O$2:$O$1960,MATCH(986,Engine!$C$2:$C$1960,0)))</f>
        <v/>
      </c>
      <c r="P999" s="8">
        <f>IF(ISNA(MATCH(986,Engine!$C$2:$C$1960,0)),"",HYPERLINK("#Acts!A"&amp;INDEX('Compliance Database'!$P$2:$P$1960,MATCH(986,Engine!$C$2:$C$1960,0)),"Go to Act"))</f>
        <v/>
      </c>
    </row>
    <row r="1000" ht="158" customHeight="1">
      <c r="A1000" s="8">
        <f>IF(ISNA(MATCH(987,Engine!$C$2:$C$1960,0)),"",INDEX('Compliance Database'!$A$2:$A$1960,MATCH(987,Engine!$C$2:$C$1960,0)))</f>
        <v/>
      </c>
      <c r="B1000" s="8">
        <f>IF(ISNA(MATCH(987,Engine!$C$2:$C$1960,0)),"",INDEX('Compliance Database'!$B$2:$B$1960,MATCH(987,Engine!$C$2:$C$1960,0)))</f>
        <v/>
      </c>
      <c r="C1000" s="8">
        <f>IF(ISNA(MATCH(987,Engine!$C$2:$C$1960,0)),"",INDEX('Compliance Database'!$C$2:$C$1960,MATCH(987,Engine!$C$2:$C$1960,0)))</f>
        <v/>
      </c>
      <c r="D1000" s="9">
        <f>IF(ISNA(MATCH(987,Engine!$C$2:$C$1960,0)),"",INDEX('Compliance Database'!$D$2:$D$1960,MATCH(987,Engine!$C$2:$C$1960,0)))</f>
        <v/>
      </c>
      <c r="E1000" s="8">
        <f>IF(ISNA(MATCH(987,Engine!$C$2:$C$1960,0)),"",INDEX('Compliance Database'!$E$2:$E$1960,MATCH(987,Engine!$C$2:$C$1960,0)))</f>
        <v/>
      </c>
      <c r="F1000" s="8">
        <f>IF(ISNA(MATCH(987,Engine!$C$2:$C$1960,0)),"",INDEX('Compliance Database'!$F$2:$F$1960,MATCH(987,Engine!$C$2:$C$1960,0)))</f>
        <v/>
      </c>
      <c r="G1000" s="8">
        <f>IF(ISNA(MATCH(987,Engine!$C$2:$C$1960,0)),"",INDEX('Compliance Database'!$G$2:$G$1960,MATCH(987,Engine!$C$2:$C$1960,0)))</f>
        <v/>
      </c>
      <c r="H1000" s="9">
        <f>IF(ISNA(MATCH(987,Engine!$C$2:$C$1960,0)),"",INDEX('Compliance Database'!$H$2:$H$1960,MATCH(987,Engine!$C$2:$C$1960,0)))</f>
        <v/>
      </c>
      <c r="I1000" s="9">
        <f>IF(ISNA(MATCH(987,Engine!$C$2:$C$1960,0)),"",INDEX('Compliance Database'!$I$2:$I$1960,MATCH(987,Engine!$C$2:$C$1960,0)))</f>
        <v/>
      </c>
      <c r="J1000" s="8">
        <f>IF(ISNA(MATCH(987,Engine!$C$2:$C$1960,0)),"",INDEX('Compliance Database'!$J$2:$J$1960,MATCH(987,Engine!$C$2:$C$1960,0)))</f>
        <v/>
      </c>
      <c r="K1000" s="9">
        <f>IF(ISNA(MATCH(987,Engine!$C$2:$C$1960,0)),"",INDEX('Compliance Database'!$K$2:$K$1960,MATCH(987,Engine!$C$2:$C$1960,0)))</f>
        <v/>
      </c>
      <c r="L1000" s="9">
        <f>IF(ISNA(MATCH(987,Engine!$C$2:$C$1960,0)),"",INDEX('Compliance Database'!$L$2:$L$1960,MATCH(987,Engine!$C$2:$C$1960,0)))</f>
        <v/>
      </c>
      <c r="M1000" s="9">
        <f>IF(ISNA(MATCH(987,Engine!$C$2:$C$1960,0)),"",INDEX('Compliance Database'!$M$2:$M$1960,MATCH(987,Engine!$C$2:$C$1960,0)))</f>
        <v/>
      </c>
      <c r="N1000" s="9">
        <f>IF(ISNA(MATCH(987,Engine!$C$2:$C$1960,0)),"",INDEX('Compliance Database'!$N$2:$N$1960,MATCH(987,Engine!$C$2:$C$1960,0)))</f>
        <v/>
      </c>
      <c r="O1000" s="9">
        <f>IF(ISNA(MATCH(987,Engine!$C$2:$C$1960,0)),"",INDEX('Compliance Database'!$O$2:$O$1960,MATCH(987,Engine!$C$2:$C$1960,0)))</f>
        <v/>
      </c>
      <c r="P1000" s="8">
        <f>IF(ISNA(MATCH(987,Engine!$C$2:$C$1960,0)),"",HYPERLINK("#Acts!A"&amp;INDEX('Compliance Database'!$P$2:$P$1960,MATCH(987,Engine!$C$2:$C$1960,0)),"Go to Act"))</f>
        <v/>
      </c>
    </row>
    <row r="1001" ht="158" customHeight="1">
      <c r="A1001" s="8">
        <f>IF(ISNA(MATCH(988,Engine!$C$2:$C$1960,0)),"",INDEX('Compliance Database'!$A$2:$A$1960,MATCH(988,Engine!$C$2:$C$1960,0)))</f>
        <v/>
      </c>
      <c r="B1001" s="8">
        <f>IF(ISNA(MATCH(988,Engine!$C$2:$C$1960,0)),"",INDEX('Compliance Database'!$B$2:$B$1960,MATCH(988,Engine!$C$2:$C$1960,0)))</f>
        <v/>
      </c>
      <c r="C1001" s="8">
        <f>IF(ISNA(MATCH(988,Engine!$C$2:$C$1960,0)),"",INDEX('Compliance Database'!$C$2:$C$1960,MATCH(988,Engine!$C$2:$C$1960,0)))</f>
        <v/>
      </c>
      <c r="D1001" s="9">
        <f>IF(ISNA(MATCH(988,Engine!$C$2:$C$1960,0)),"",INDEX('Compliance Database'!$D$2:$D$1960,MATCH(988,Engine!$C$2:$C$1960,0)))</f>
        <v/>
      </c>
      <c r="E1001" s="8">
        <f>IF(ISNA(MATCH(988,Engine!$C$2:$C$1960,0)),"",INDEX('Compliance Database'!$E$2:$E$1960,MATCH(988,Engine!$C$2:$C$1960,0)))</f>
        <v/>
      </c>
      <c r="F1001" s="8">
        <f>IF(ISNA(MATCH(988,Engine!$C$2:$C$1960,0)),"",INDEX('Compliance Database'!$F$2:$F$1960,MATCH(988,Engine!$C$2:$C$1960,0)))</f>
        <v/>
      </c>
      <c r="G1001" s="8">
        <f>IF(ISNA(MATCH(988,Engine!$C$2:$C$1960,0)),"",INDEX('Compliance Database'!$G$2:$G$1960,MATCH(988,Engine!$C$2:$C$1960,0)))</f>
        <v/>
      </c>
      <c r="H1001" s="9">
        <f>IF(ISNA(MATCH(988,Engine!$C$2:$C$1960,0)),"",INDEX('Compliance Database'!$H$2:$H$1960,MATCH(988,Engine!$C$2:$C$1960,0)))</f>
        <v/>
      </c>
      <c r="I1001" s="9">
        <f>IF(ISNA(MATCH(988,Engine!$C$2:$C$1960,0)),"",INDEX('Compliance Database'!$I$2:$I$1960,MATCH(988,Engine!$C$2:$C$1960,0)))</f>
        <v/>
      </c>
      <c r="J1001" s="8">
        <f>IF(ISNA(MATCH(988,Engine!$C$2:$C$1960,0)),"",INDEX('Compliance Database'!$J$2:$J$1960,MATCH(988,Engine!$C$2:$C$1960,0)))</f>
        <v/>
      </c>
      <c r="K1001" s="9">
        <f>IF(ISNA(MATCH(988,Engine!$C$2:$C$1960,0)),"",INDEX('Compliance Database'!$K$2:$K$1960,MATCH(988,Engine!$C$2:$C$1960,0)))</f>
        <v/>
      </c>
      <c r="L1001" s="9">
        <f>IF(ISNA(MATCH(988,Engine!$C$2:$C$1960,0)),"",INDEX('Compliance Database'!$L$2:$L$1960,MATCH(988,Engine!$C$2:$C$1960,0)))</f>
        <v/>
      </c>
      <c r="M1001" s="9">
        <f>IF(ISNA(MATCH(988,Engine!$C$2:$C$1960,0)),"",INDEX('Compliance Database'!$M$2:$M$1960,MATCH(988,Engine!$C$2:$C$1960,0)))</f>
        <v/>
      </c>
      <c r="N1001" s="9">
        <f>IF(ISNA(MATCH(988,Engine!$C$2:$C$1960,0)),"",INDEX('Compliance Database'!$N$2:$N$1960,MATCH(988,Engine!$C$2:$C$1960,0)))</f>
        <v/>
      </c>
      <c r="O1001" s="9">
        <f>IF(ISNA(MATCH(988,Engine!$C$2:$C$1960,0)),"",INDEX('Compliance Database'!$O$2:$O$1960,MATCH(988,Engine!$C$2:$C$1960,0)))</f>
        <v/>
      </c>
      <c r="P1001" s="8">
        <f>IF(ISNA(MATCH(988,Engine!$C$2:$C$1960,0)),"",HYPERLINK("#Acts!A"&amp;INDEX('Compliance Database'!$P$2:$P$1960,MATCH(988,Engine!$C$2:$C$1960,0)),"Go to Act"))</f>
        <v/>
      </c>
    </row>
    <row r="1002" ht="158" customHeight="1">
      <c r="A1002" s="8">
        <f>IF(ISNA(MATCH(989,Engine!$C$2:$C$1960,0)),"",INDEX('Compliance Database'!$A$2:$A$1960,MATCH(989,Engine!$C$2:$C$1960,0)))</f>
        <v/>
      </c>
      <c r="B1002" s="8">
        <f>IF(ISNA(MATCH(989,Engine!$C$2:$C$1960,0)),"",INDEX('Compliance Database'!$B$2:$B$1960,MATCH(989,Engine!$C$2:$C$1960,0)))</f>
        <v/>
      </c>
      <c r="C1002" s="8">
        <f>IF(ISNA(MATCH(989,Engine!$C$2:$C$1960,0)),"",INDEX('Compliance Database'!$C$2:$C$1960,MATCH(989,Engine!$C$2:$C$1960,0)))</f>
        <v/>
      </c>
      <c r="D1002" s="9">
        <f>IF(ISNA(MATCH(989,Engine!$C$2:$C$1960,0)),"",INDEX('Compliance Database'!$D$2:$D$1960,MATCH(989,Engine!$C$2:$C$1960,0)))</f>
        <v/>
      </c>
      <c r="E1002" s="8">
        <f>IF(ISNA(MATCH(989,Engine!$C$2:$C$1960,0)),"",INDEX('Compliance Database'!$E$2:$E$1960,MATCH(989,Engine!$C$2:$C$1960,0)))</f>
        <v/>
      </c>
      <c r="F1002" s="8">
        <f>IF(ISNA(MATCH(989,Engine!$C$2:$C$1960,0)),"",INDEX('Compliance Database'!$F$2:$F$1960,MATCH(989,Engine!$C$2:$C$1960,0)))</f>
        <v/>
      </c>
      <c r="G1002" s="8">
        <f>IF(ISNA(MATCH(989,Engine!$C$2:$C$1960,0)),"",INDEX('Compliance Database'!$G$2:$G$1960,MATCH(989,Engine!$C$2:$C$1960,0)))</f>
        <v/>
      </c>
      <c r="H1002" s="9">
        <f>IF(ISNA(MATCH(989,Engine!$C$2:$C$1960,0)),"",INDEX('Compliance Database'!$H$2:$H$1960,MATCH(989,Engine!$C$2:$C$1960,0)))</f>
        <v/>
      </c>
      <c r="I1002" s="9">
        <f>IF(ISNA(MATCH(989,Engine!$C$2:$C$1960,0)),"",INDEX('Compliance Database'!$I$2:$I$1960,MATCH(989,Engine!$C$2:$C$1960,0)))</f>
        <v/>
      </c>
      <c r="J1002" s="8">
        <f>IF(ISNA(MATCH(989,Engine!$C$2:$C$1960,0)),"",INDEX('Compliance Database'!$J$2:$J$1960,MATCH(989,Engine!$C$2:$C$1960,0)))</f>
        <v/>
      </c>
      <c r="K1002" s="9">
        <f>IF(ISNA(MATCH(989,Engine!$C$2:$C$1960,0)),"",INDEX('Compliance Database'!$K$2:$K$1960,MATCH(989,Engine!$C$2:$C$1960,0)))</f>
        <v/>
      </c>
      <c r="L1002" s="9">
        <f>IF(ISNA(MATCH(989,Engine!$C$2:$C$1960,0)),"",INDEX('Compliance Database'!$L$2:$L$1960,MATCH(989,Engine!$C$2:$C$1960,0)))</f>
        <v/>
      </c>
      <c r="M1002" s="9">
        <f>IF(ISNA(MATCH(989,Engine!$C$2:$C$1960,0)),"",INDEX('Compliance Database'!$M$2:$M$1960,MATCH(989,Engine!$C$2:$C$1960,0)))</f>
        <v/>
      </c>
      <c r="N1002" s="9">
        <f>IF(ISNA(MATCH(989,Engine!$C$2:$C$1960,0)),"",INDEX('Compliance Database'!$N$2:$N$1960,MATCH(989,Engine!$C$2:$C$1960,0)))</f>
        <v/>
      </c>
      <c r="O1002" s="9">
        <f>IF(ISNA(MATCH(989,Engine!$C$2:$C$1960,0)),"",INDEX('Compliance Database'!$O$2:$O$1960,MATCH(989,Engine!$C$2:$C$1960,0)))</f>
        <v/>
      </c>
      <c r="P1002" s="8">
        <f>IF(ISNA(MATCH(989,Engine!$C$2:$C$1960,0)),"",HYPERLINK("#Acts!A"&amp;INDEX('Compliance Database'!$P$2:$P$1960,MATCH(989,Engine!$C$2:$C$1960,0)),"Go to Act"))</f>
        <v/>
      </c>
    </row>
    <row r="1003" ht="158" customHeight="1">
      <c r="A1003" s="8">
        <f>IF(ISNA(MATCH(990,Engine!$C$2:$C$1960,0)),"",INDEX('Compliance Database'!$A$2:$A$1960,MATCH(990,Engine!$C$2:$C$1960,0)))</f>
        <v/>
      </c>
      <c r="B1003" s="8">
        <f>IF(ISNA(MATCH(990,Engine!$C$2:$C$1960,0)),"",INDEX('Compliance Database'!$B$2:$B$1960,MATCH(990,Engine!$C$2:$C$1960,0)))</f>
        <v/>
      </c>
      <c r="C1003" s="8">
        <f>IF(ISNA(MATCH(990,Engine!$C$2:$C$1960,0)),"",INDEX('Compliance Database'!$C$2:$C$1960,MATCH(990,Engine!$C$2:$C$1960,0)))</f>
        <v/>
      </c>
      <c r="D1003" s="9">
        <f>IF(ISNA(MATCH(990,Engine!$C$2:$C$1960,0)),"",INDEX('Compliance Database'!$D$2:$D$1960,MATCH(990,Engine!$C$2:$C$1960,0)))</f>
        <v/>
      </c>
      <c r="E1003" s="8">
        <f>IF(ISNA(MATCH(990,Engine!$C$2:$C$1960,0)),"",INDEX('Compliance Database'!$E$2:$E$1960,MATCH(990,Engine!$C$2:$C$1960,0)))</f>
        <v/>
      </c>
      <c r="F1003" s="8">
        <f>IF(ISNA(MATCH(990,Engine!$C$2:$C$1960,0)),"",INDEX('Compliance Database'!$F$2:$F$1960,MATCH(990,Engine!$C$2:$C$1960,0)))</f>
        <v/>
      </c>
      <c r="G1003" s="8">
        <f>IF(ISNA(MATCH(990,Engine!$C$2:$C$1960,0)),"",INDEX('Compliance Database'!$G$2:$G$1960,MATCH(990,Engine!$C$2:$C$1960,0)))</f>
        <v/>
      </c>
      <c r="H1003" s="9">
        <f>IF(ISNA(MATCH(990,Engine!$C$2:$C$1960,0)),"",INDEX('Compliance Database'!$H$2:$H$1960,MATCH(990,Engine!$C$2:$C$1960,0)))</f>
        <v/>
      </c>
      <c r="I1003" s="9">
        <f>IF(ISNA(MATCH(990,Engine!$C$2:$C$1960,0)),"",INDEX('Compliance Database'!$I$2:$I$1960,MATCH(990,Engine!$C$2:$C$1960,0)))</f>
        <v/>
      </c>
      <c r="J1003" s="8">
        <f>IF(ISNA(MATCH(990,Engine!$C$2:$C$1960,0)),"",INDEX('Compliance Database'!$J$2:$J$1960,MATCH(990,Engine!$C$2:$C$1960,0)))</f>
        <v/>
      </c>
      <c r="K1003" s="9">
        <f>IF(ISNA(MATCH(990,Engine!$C$2:$C$1960,0)),"",INDEX('Compliance Database'!$K$2:$K$1960,MATCH(990,Engine!$C$2:$C$1960,0)))</f>
        <v/>
      </c>
      <c r="L1003" s="9">
        <f>IF(ISNA(MATCH(990,Engine!$C$2:$C$1960,0)),"",INDEX('Compliance Database'!$L$2:$L$1960,MATCH(990,Engine!$C$2:$C$1960,0)))</f>
        <v/>
      </c>
      <c r="M1003" s="9">
        <f>IF(ISNA(MATCH(990,Engine!$C$2:$C$1960,0)),"",INDEX('Compliance Database'!$M$2:$M$1960,MATCH(990,Engine!$C$2:$C$1960,0)))</f>
        <v/>
      </c>
      <c r="N1003" s="9">
        <f>IF(ISNA(MATCH(990,Engine!$C$2:$C$1960,0)),"",INDEX('Compliance Database'!$N$2:$N$1960,MATCH(990,Engine!$C$2:$C$1960,0)))</f>
        <v/>
      </c>
      <c r="O1003" s="9">
        <f>IF(ISNA(MATCH(990,Engine!$C$2:$C$1960,0)),"",INDEX('Compliance Database'!$O$2:$O$1960,MATCH(990,Engine!$C$2:$C$1960,0)))</f>
        <v/>
      </c>
      <c r="P1003" s="8">
        <f>IF(ISNA(MATCH(990,Engine!$C$2:$C$1960,0)),"",HYPERLINK("#Acts!A"&amp;INDEX('Compliance Database'!$P$2:$P$1960,MATCH(990,Engine!$C$2:$C$1960,0)),"Go to Act"))</f>
        <v/>
      </c>
    </row>
    <row r="1004" ht="158" customHeight="1">
      <c r="A1004" s="8">
        <f>IF(ISNA(MATCH(991,Engine!$C$2:$C$1960,0)),"",INDEX('Compliance Database'!$A$2:$A$1960,MATCH(991,Engine!$C$2:$C$1960,0)))</f>
        <v/>
      </c>
      <c r="B1004" s="8">
        <f>IF(ISNA(MATCH(991,Engine!$C$2:$C$1960,0)),"",INDEX('Compliance Database'!$B$2:$B$1960,MATCH(991,Engine!$C$2:$C$1960,0)))</f>
        <v/>
      </c>
      <c r="C1004" s="8">
        <f>IF(ISNA(MATCH(991,Engine!$C$2:$C$1960,0)),"",INDEX('Compliance Database'!$C$2:$C$1960,MATCH(991,Engine!$C$2:$C$1960,0)))</f>
        <v/>
      </c>
      <c r="D1004" s="9">
        <f>IF(ISNA(MATCH(991,Engine!$C$2:$C$1960,0)),"",INDEX('Compliance Database'!$D$2:$D$1960,MATCH(991,Engine!$C$2:$C$1960,0)))</f>
        <v/>
      </c>
      <c r="E1004" s="8">
        <f>IF(ISNA(MATCH(991,Engine!$C$2:$C$1960,0)),"",INDEX('Compliance Database'!$E$2:$E$1960,MATCH(991,Engine!$C$2:$C$1960,0)))</f>
        <v/>
      </c>
      <c r="F1004" s="8">
        <f>IF(ISNA(MATCH(991,Engine!$C$2:$C$1960,0)),"",INDEX('Compliance Database'!$F$2:$F$1960,MATCH(991,Engine!$C$2:$C$1960,0)))</f>
        <v/>
      </c>
      <c r="G1004" s="8">
        <f>IF(ISNA(MATCH(991,Engine!$C$2:$C$1960,0)),"",INDEX('Compliance Database'!$G$2:$G$1960,MATCH(991,Engine!$C$2:$C$1960,0)))</f>
        <v/>
      </c>
      <c r="H1004" s="9">
        <f>IF(ISNA(MATCH(991,Engine!$C$2:$C$1960,0)),"",INDEX('Compliance Database'!$H$2:$H$1960,MATCH(991,Engine!$C$2:$C$1960,0)))</f>
        <v/>
      </c>
      <c r="I1004" s="9">
        <f>IF(ISNA(MATCH(991,Engine!$C$2:$C$1960,0)),"",INDEX('Compliance Database'!$I$2:$I$1960,MATCH(991,Engine!$C$2:$C$1960,0)))</f>
        <v/>
      </c>
      <c r="J1004" s="8">
        <f>IF(ISNA(MATCH(991,Engine!$C$2:$C$1960,0)),"",INDEX('Compliance Database'!$J$2:$J$1960,MATCH(991,Engine!$C$2:$C$1960,0)))</f>
        <v/>
      </c>
      <c r="K1004" s="9">
        <f>IF(ISNA(MATCH(991,Engine!$C$2:$C$1960,0)),"",INDEX('Compliance Database'!$K$2:$K$1960,MATCH(991,Engine!$C$2:$C$1960,0)))</f>
        <v/>
      </c>
      <c r="L1004" s="9">
        <f>IF(ISNA(MATCH(991,Engine!$C$2:$C$1960,0)),"",INDEX('Compliance Database'!$L$2:$L$1960,MATCH(991,Engine!$C$2:$C$1960,0)))</f>
        <v/>
      </c>
      <c r="M1004" s="9">
        <f>IF(ISNA(MATCH(991,Engine!$C$2:$C$1960,0)),"",INDEX('Compliance Database'!$M$2:$M$1960,MATCH(991,Engine!$C$2:$C$1960,0)))</f>
        <v/>
      </c>
      <c r="N1004" s="9">
        <f>IF(ISNA(MATCH(991,Engine!$C$2:$C$1960,0)),"",INDEX('Compliance Database'!$N$2:$N$1960,MATCH(991,Engine!$C$2:$C$1960,0)))</f>
        <v/>
      </c>
      <c r="O1004" s="9">
        <f>IF(ISNA(MATCH(991,Engine!$C$2:$C$1960,0)),"",INDEX('Compliance Database'!$O$2:$O$1960,MATCH(991,Engine!$C$2:$C$1960,0)))</f>
        <v/>
      </c>
      <c r="P1004" s="8">
        <f>IF(ISNA(MATCH(991,Engine!$C$2:$C$1960,0)),"",HYPERLINK("#Acts!A"&amp;INDEX('Compliance Database'!$P$2:$P$1960,MATCH(991,Engine!$C$2:$C$1960,0)),"Go to Act"))</f>
        <v/>
      </c>
    </row>
    <row r="1005" ht="158" customHeight="1">
      <c r="A1005" s="8">
        <f>IF(ISNA(MATCH(992,Engine!$C$2:$C$1960,0)),"",INDEX('Compliance Database'!$A$2:$A$1960,MATCH(992,Engine!$C$2:$C$1960,0)))</f>
        <v/>
      </c>
      <c r="B1005" s="8">
        <f>IF(ISNA(MATCH(992,Engine!$C$2:$C$1960,0)),"",INDEX('Compliance Database'!$B$2:$B$1960,MATCH(992,Engine!$C$2:$C$1960,0)))</f>
        <v/>
      </c>
      <c r="C1005" s="8">
        <f>IF(ISNA(MATCH(992,Engine!$C$2:$C$1960,0)),"",INDEX('Compliance Database'!$C$2:$C$1960,MATCH(992,Engine!$C$2:$C$1960,0)))</f>
        <v/>
      </c>
      <c r="D1005" s="9">
        <f>IF(ISNA(MATCH(992,Engine!$C$2:$C$1960,0)),"",INDEX('Compliance Database'!$D$2:$D$1960,MATCH(992,Engine!$C$2:$C$1960,0)))</f>
        <v/>
      </c>
      <c r="E1005" s="8">
        <f>IF(ISNA(MATCH(992,Engine!$C$2:$C$1960,0)),"",INDEX('Compliance Database'!$E$2:$E$1960,MATCH(992,Engine!$C$2:$C$1960,0)))</f>
        <v/>
      </c>
      <c r="F1005" s="8">
        <f>IF(ISNA(MATCH(992,Engine!$C$2:$C$1960,0)),"",INDEX('Compliance Database'!$F$2:$F$1960,MATCH(992,Engine!$C$2:$C$1960,0)))</f>
        <v/>
      </c>
      <c r="G1005" s="8">
        <f>IF(ISNA(MATCH(992,Engine!$C$2:$C$1960,0)),"",INDEX('Compliance Database'!$G$2:$G$1960,MATCH(992,Engine!$C$2:$C$1960,0)))</f>
        <v/>
      </c>
      <c r="H1005" s="9">
        <f>IF(ISNA(MATCH(992,Engine!$C$2:$C$1960,0)),"",INDEX('Compliance Database'!$H$2:$H$1960,MATCH(992,Engine!$C$2:$C$1960,0)))</f>
        <v/>
      </c>
      <c r="I1005" s="9">
        <f>IF(ISNA(MATCH(992,Engine!$C$2:$C$1960,0)),"",INDEX('Compliance Database'!$I$2:$I$1960,MATCH(992,Engine!$C$2:$C$1960,0)))</f>
        <v/>
      </c>
      <c r="J1005" s="8">
        <f>IF(ISNA(MATCH(992,Engine!$C$2:$C$1960,0)),"",INDEX('Compliance Database'!$J$2:$J$1960,MATCH(992,Engine!$C$2:$C$1960,0)))</f>
        <v/>
      </c>
      <c r="K1005" s="9">
        <f>IF(ISNA(MATCH(992,Engine!$C$2:$C$1960,0)),"",INDEX('Compliance Database'!$K$2:$K$1960,MATCH(992,Engine!$C$2:$C$1960,0)))</f>
        <v/>
      </c>
      <c r="L1005" s="9">
        <f>IF(ISNA(MATCH(992,Engine!$C$2:$C$1960,0)),"",INDEX('Compliance Database'!$L$2:$L$1960,MATCH(992,Engine!$C$2:$C$1960,0)))</f>
        <v/>
      </c>
      <c r="M1005" s="9">
        <f>IF(ISNA(MATCH(992,Engine!$C$2:$C$1960,0)),"",INDEX('Compliance Database'!$M$2:$M$1960,MATCH(992,Engine!$C$2:$C$1960,0)))</f>
        <v/>
      </c>
      <c r="N1005" s="9">
        <f>IF(ISNA(MATCH(992,Engine!$C$2:$C$1960,0)),"",INDEX('Compliance Database'!$N$2:$N$1960,MATCH(992,Engine!$C$2:$C$1960,0)))</f>
        <v/>
      </c>
      <c r="O1005" s="9">
        <f>IF(ISNA(MATCH(992,Engine!$C$2:$C$1960,0)),"",INDEX('Compliance Database'!$O$2:$O$1960,MATCH(992,Engine!$C$2:$C$1960,0)))</f>
        <v/>
      </c>
      <c r="P1005" s="8">
        <f>IF(ISNA(MATCH(992,Engine!$C$2:$C$1960,0)),"",HYPERLINK("#Acts!A"&amp;INDEX('Compliance Database'!$P$2:$P$1960,MATCH(992,Engine!$C$2:$C$1960,0)),"Go to Act"))</f>
        <v/>
      </c>
    </row>
    <row r="1006" ht="158" customHeight="1">
      <c r="A1006" s="8">
        <f>IF(ISNA(MATCH(993,Engine!$C$2:$C$1960,0)),"",INDEX('Compliance Database'!$A$2:$A$1960,MATCH(993,Engine!$C$2:$C$1960,0)))</f>
        <v/>
      </c>
      <c r="B1006" s="8">
        <f>IF(ISNA(MATCH(993,Engine!$C$2:$C$1960,0)),"",INDEX('Compliance Database'!$B$2:$B$1960,MATCH(993,Engine!$C$2:$C$1960,0)))</f>
        <v/>
      </c>
      <c r="C1006" s="8">
        <f>IF(ISNA(MATCH(993,Engine!$C$2:$C$1960,0)),"",INDEX('Compliance Database'!$C$2:$C$1960,MATCH(993,Engine!$C$2:$C$1960,0)))</f>
        <v/>
      </c>
      <c r="D1006" s="9">
        <f>IF(ISNA(MATCH(993,Engine!$C$2:$C$1960,0)),"",INDEX('Compliance Database'!$D$2:$D$1960,MATCH(993,Engine!$C$2:$C$1960,0)))</f>
        <v/>
      </c>
      <c r="E1006" s="8">
        <f>IF(ISNA(MATCH(993,Engine!$C$2:$C$1960,0)),"",INDEX('Compliance Database'!$E$2:$E$1960,MATCH(993,Engine!$C$2:$C$1960,0)))</f>
        <v/>
      </c>
      <c r="F1006" s="8">
        <f>IF(ISNA(MATCH(993,Engine!$C$2:$C$1960,0)),"",INDEX('Compliance Database'!$F$2:$F$1960,MATCH(993,Engine!$C$2:$C$1960,0)))</f>
        <v/>
      </c>
      <c r="G1006" s="8">
        <f>IF(ISNA(MATCH(993,Engine!$C$2:$C$1960,0)),"",INDEX('Compliance Database'!$G$2:$G$1960,MATCH(993,Engine!$C$2:$C$1960,0)))</f>
        <v/>
      </c>
      <c r="H1006" s="9">
        <f>IF(ISNA(MATCH(993,Engine!$C$2:$C$1960,0)),"",INDEX('Compliance Database'!$H$2:$H$1960,MATCH(993,Engine!$C$2:$C$1960,0)))</f>
        <v/>
      </c>
      <c r="I1006" s="9">
        <f>IF(ISNA(MATCH(993,Engine!$C$2:$C$1960,0)),"",INDEX('Compliance Database'!$I$2:$I$1960,MATCH(993,Engine!$C$2:$C$1960,0)))</f>
        <v/>
      </c>
      <c r="J1006" s="8">
        <f>IF(ISNA(MATCH(993,Engine!$C$2:$C$1960,0)),"",INDEX('Compliance Database'!$J$2:$J$1960,MATCH(993,Engine!$C$2:$C$1960,0)))</f>
        <v/>
      </c>
      <c r="K1006" s="9">
        <f>IF(ISNA(MATCH(993,Engine!$C$2:$C$1960,0)),"",INDEX('Compliance Database'!$K$2:$K$1960,MATCH(993,Engine!$C$2:$C$1960,0)))</f>
        <v/>
      </c>
      <c r="L1006" s="9">
        <f>IF(ISNA(MATCH(993,Engine!$C$2:$C$1960,0)),"",INDEX('Compliance Database'!$L$2:$L$1960,MATCH(993,Engine!$C$2:$C$1960,0)))</f>
        <v/>
      </c>
      <c r="M1006" s="9">
        <f>IF(ISNA(MATCH(993,Engine!$C$2:$C$1960,0)),"",INDEX('Compliance Database'!$M$2:$M$1960,MATCH(993,Engine!$C$2:$C$1960,0)))</f>
        <v/>
      </c>
      <c r="N1006" s="9">
        <f>IF(ISNA(MATCH(993,Engine!$C$2:$C$1960,0)),"",INDEX('Compliance Database'!$N$2:$N$1960,MATCH(993,Engine!$C$2:$C$1960,0)))</f>
        <v/>
      </c>
      <c r="O1006" s="9">
        <f>IF(ISNA(MATCH(993,Engine!$C$2:$C$1960,0)),"",INDEX('Compliance Database'!$O$2:$O$1960,MATCH(993,Engine!$C$2:$C$1960,0)))</f>
        <v/>
      </c>
      <c r="P1006" s="8">
        <f>IF(ISNA(MATCH(993,Engine!$C$2:$C$1960,0)),"",HYPERLINK("#Acts!A"&amp;INDEX('Compliance Database'!$P$2:$P$1960,MATCH(993,Engine!$C$2:$C$1960,0)),"Go to Act"))</f>
        <v/>
      </c>
    </row>
    <row r="1007" ht="158" customHeight="1">
      <c r="A1007" s="8">
        <f>IF(ISNA(MATCH(994,Engine!$C$2:$C$1960,0)),"",INDEX('Compliance Database'!$A$2:$A$1960,MATCH(994,Engine!$C$2:$C$1960,0)))</f>
        <v/>
      </c>
      <c r="B1007" s="8">
        <f>IF(ISNA(MATCH(994,Engine!$C$2:$C$1960,0)),"",INDEX('Compliance Database'!$B$2:$B$1960,MATCH(994,Engine!$C$2:$C$1960,0)))</f>
        <v/>
      </c>
      <c r="C1007" s="8">
        <f>IF(ISNA(MATCH(994,Engine!$C$2:$C$1960,0)),"",INDEX('Compliance Database'!$C$2:$C$1960,MATCH(994,Engine!$C$2:$C$1960,0)))</f>
        <v/>
      </c>
      <c r="D1007" s="9">
        <f>IF(ISNA(MATCH(994,Engine!$C$2:$C$1960,0)),"",INDEX('Compliance Database'!$D$2:$D$1960,MATCH(994,Engine!$C$2:$C$1960,0)))</f>
        <v/>
      </c>
      <c r="E1007" s="8">
        <f>IF(ISNA(MATCH(994,Engine!$C$2:$C$1960,0)),"",INDEX('Compliance Database'!$E$2:$E$1960,MATCH(994,Engine!$C$2:$C$1960,0)))</f>
        <v/>
      </c>
      <c r="F1007" s="8">
        <f>IF(ISNA(MATCH(994,Engine!$C$2:$C$1960,0)),"",INDEX('Compliance Database'!$F$2:$F$1960,MATCH(994,Engine!$C$2:$C$1960,0)))</f>
        <v/>
      </c>
      <c r="G1007" s="8">
        <f>IF(ISNA(MATCH(994,Engine!$C$2:$C$1960,0)),"",INDEX('Compliance Database'!$G$2:$G$1960,MATCH(994,Engine!$C$2:$C$1960,0)))</f>
        <v/>
      </c>
      <c r="H1007" s="9">
        <f>IF(ISNA(MATCH(994,Engine!$C$2:$C$1960,0)),"",INDEX('Compliance Database'!$H$2:$H$1960,MATCH(994,Engine!$C$2:$C$1960,0)))</f>
        <v/>
      </c>
      <c r="I1007" s="9">
        <f>IF(ISNA(MATCH(994,Engine!$C$2:$C$1960,0)),"",INDEX('Compliance Database'!$I$2:$I$1960,MATCH(994,Engine!$C$2:$C$1960,0)))</f>
        <v/>
      </c>
      <c r="J1007" s="8">
        <f>IF(ISNA(MATCH(994,Engine!$C$2:$C$1960,0)),"",INDEX('Compliance Database'!$J$2:$J$1960,MATCH(994,Engine!$C$2:$C$1960,0)))</f>
        <v/>
      </c>
      <c r="K1007" s="9">
        <f>IF(ISNA(MATCH(994,Engine!$C$2:$C$1960,0)),"",INDEX('Compliance Database'!$K$2:$K$1960,MATCH(994,Engine!$C$2:$C$1960,0)))</f>
        <v/>
      </c>
      <c r="L1007" s="9">
        <f>IF(ISNA(MATCH(994,Engine!$C$2:$C$1960,0)),"",INDEX('Compliance Database'!$L$2:$L$1960,MATCH(994,Engine!$C$2:$C$1960,0)))</f>
        <v/>
      </c>
      <c r="M1007" s="9">
        <f>IF(ISNA(MATCH(994,Engine!$C$2:$C$1960,0)),"",INDEX('Compliance Database'!$M$2:$M$1960,MATCH(994,Engine!$C$2:$C$1960,0)))</f>
        <v/>
      </c>
      <c r="N1007" s="9">
        <f>IF(ISNA(MATCH(994,Engine!$C$2:$C$1960,0)),"",INDEX('Compliance Database'!$N$2:$N$1960,MATCH(994,Engine!$C$2:$C$1960,0)))</f>
        <v/>
      </c>
      <c r="O1007" s="9">
        <f>IF(ISNA(MATCH(994,Engine!$C$2:$C$1960,0)),"",INDEX('Compliance Database'!$O$2:$O$1960,MATCH(994,Engine!$C$2:$C$1960,0)))</f>
        <v/>
      </c>
      <c r="P1007" s="8">
        <f>IF(ISNA(MATCH(994,Engine!$C$2:$C$1960,0)),"",HYPERLINK("#Acts!A"&amp;INDEX('Compliance Database'!$P$2:$P$1960,MATCH(994,Engine!$C$2:$C$1960,0)),"Go to Act"))</f>
        <v/>
      </c>
    </row>
    <row r="1008" ht="158" customHeight="1">
      <c r="A1008" s="8">
        <f>IF(ISNA(MATCH(995,Engine!$C$2:$C$1960,0)),"",INDEX('Compliance Database'!$A$2:$A$1960,MATCH(995,Engine!$C$2:$C$1960,0)))</f>
        <v/>
      </c>
      <c r="B1008" s="8">
        <f>IF(ISNA(MATCH(995,Engine!$C$2:$C$1960,0)),"",INDEX('Compliance Database'!$B$2:$B$1960,MATCH(995,Engine!$C$2:$C$1960,0)))</f>
        <v/>
      </c>
      <c r="C1008" s="8">
        <f>IF(ISNA(MATCH(995,Engine!$C$2:$C$1960,0)),"",INDEX('Compliance Database'!$C$2:$C$1960,MATCH(995,Engine!$C$2:$C$1960,0)))</f>
        <v/>
      </c>
      <c r="D1008" s="9">
        <f>IF(ISNA(MATCH(995,Engine!$C$2:$C$1960,0)),"",INDEX('Compliance Database'!$D$2:$D$1960,MATCH(995,Engine!$C$2:$C$1960,0)))</f>
        <v/>
      </c>
      <c r="E1008" s="8">
        <f>IF(ISNA(MATCH(995,Engine!$C$2:$C$1960,0)),"",INDEX('Compliance Database'!$E$2:$E$1960,MATCH(995,Engine!$C$2:$C$1960,0)))</f>
        <v/>
      </c>
      <c r="F1008" s="8">
        <f>IF(ISNA(MATCH(995,Engine!$C$2:$C$1960,0)),"",INDEX('Compliance Database'!$F$2:$F$1960,MATCH(995,Engine!$C$2:$C$1960,0)))</f>
        <v/>
      </c>
      <c r="G1008" s="8">
        <f>IF(ISNA(MATCH(995,Engine!$C$2:$C$1960,0)),"",INDEX('Compliance Database'!$G$2:$G$1960,MATCH(995,Engine!$C$2:$C$1960,0)))</f>
        <v/>
      </c>
      <c r="H1008" s="9">
        <f>IF(ISNA(MATCH(995,Engine!$C$2:$C$1960,0)),"",INDEX('Compliance Database'!$H$2:$H$1960,MATCH(995,Engine!$C$2:$C$1960,0)))</f>
        <v/>
      </c>
      <c r="I1008" s="9">
        <f>IF(ISNA(MATCH(995,Engine!$C$2:$C$1960,0)),"",INDEX('Compliance Database'!$I$2:$I$1960,MATCH(995,Engine!$C$2:$C$1960,0)))</f>
        <v/>
      </c>
      <c r="J1008" s="8">
        <f>IF(ISNA(MATCH(995,Engine!$C$2:$C$1960,0)),"",INDEX('Compliance Database'!$J$2:$J$1960,MATCH(995,Engine!$C$2:$C$1960,0)))</f>
        <v/>
      </c>
      <c r="K1008" s="9">
        <f>IF(ISNA(MATCH(995,Engine!$C$2:$C$1960,0)),"",INDEX('Compliance Database'!$K$2:$K$1960,MATCH(995,Engine!$C$2:$C$1960,0)))</f>
        <v/>
      </c>
      <c r="L1008" s="9">
        <f>IF(ISNA(MATCH(995,Engine!$C$2:$C$1960,0)),"",INDEX('Compliance Database'!$L$2:$L$1960,MATCH(995,Engine!$C$2:$C$1960,0)))</f>
        <v/>
      </c>
      <c r="M1008" s="9">
        <f>IF(ISNA(MATCH(995,Engine!$C$2:$C$1960,0)),"",INDEX('Compliance Database'!$M$2:$M$1960,MATCH(995,Engine!$C$2:$C$1960,0)))</f>
        <v/>
      </c>
      <c r="N1008" s="9">
        <f>IF(ISNA(MATCH(995,Engine!$C$2:$C$1960,0)),"",INDEX('Compliance Database'!$N$2:$N$1960,MATCH(995,Engine!$C$2:$C$1960,0)))</f>
        <v/>
      </c>
      <c r="O1008" s="9">
        <f>IF(ISNA(MATCH(995,Engine!$C$2:$C$1960,0)),"",INDEX('Compliance Database'!$O$2:$O$1960,MATCH(995,Engine!$C$2:$C$1960,0)))</f>
        <v/>
      </c>
      <c r="P1008" s="8">
        <f>IF(ISNA(MATCH(995,Engine!$C$2:$C$1960,0)),"",HYPERLINK("#Acts!A"&amp;INDEX('Compliance Database'!$P$2:$P$1960,MATCH(995,Engine!$C$2:$C$1960,0)),"Go to Act"))</f>
        <v/>
      </c>
    </row>
    <row r="1009" ht="158" customHeight="1">
      <c r="A1009" s="8">
        <f>IF(ISNA(MATCH(996,Engine!$C$2:$C$1960,0)),"",INDEX('Compliance Database'!$A$2:$A$1960,MATCH(996,Engine!$C$2:$C$1960,0)))</f>
        <v/>
      </c>
      <c r="B1009" s="8">
        <f>IF(ISNA(MATCH(996,Engine!$C$2:$C$1960,0)),"",INDEX('Compliance Database'!$B$2:$B$1960,MATCH(996,Engine!$C$2:$C$1960,0)))</f>
        <v/>
      </c>
      <c r="C1009" s="8">
        <f>IF(ISNA(MATCH(996,Engine!$C$2:$C$1960,0)),"",INDEX('Compliance Database'!$C$2:$C$1960,MATCH(996,Engine!$C$2:$C$1960,0)))</f>
        <v/>
      </c>
      <c r="D1009" s="9">
        <f>IF(ISNA(MATCH(996,Engine!$C$2:$C$1960,0)),"",INDEX('Compliance Database'!$D$2:$D$1960,MATCH(996,Engine!$C$2:$C$1960,0)))</f>
        <v/>
      </c>
      <c r="E1009" s="8">
        <f>IF(ISNA(MATCH(996,Engine!$C$2:$C$1960,0)),"",INDEX('Compliance Database'!$E$2:$E$1960,MATCH(996,Engine!$C$2:$C$1960,0)))</f>
        <v/>
      </c>
      <c r="F1009" s="8">
        <f>IF(ISNA(MATCH(996,Engine!$C$2:$C$1960,0)),"",INDEX('Compliance Database'!$F$2:$F$1960,MATCH(996,Engine!$C$2:$C$1960,0)))</f>
        <v/>
      </c>
      <c r="G1009" s="8">
        <f>IF(ISNA(MATCH(996,Engine!$C$2:$C$1960,0)),"",INDEX('Compliance Database'!$G$2:$G$1960,MATCH(996,Engine!$C$2:$C$1960,0)))</f>
        <v/>
      </c>
      <c r="H1009" s="9">
        <f>IF(ISNA(MATCH(996,Engine!$C$2:$C$1960,0)),"",INDEX('Compliance Database'!$H$2:$H$1960,MATCH(996,Engine!$C$2:$C$1960,0)))</f>
        <v/>
      </c>
      <c r="I1009" s="9">
        <f>IF(ISNA(MATCH(996,Engine!$C$2:$C$1960,0)),"",INDEX('Compliance Database'!$I$2:$I$1960,MATCH(996,Engine!$C$2:$C$1960,0)))</f>
        <v/>
      </c>
      <c r="J1009" s="8">
        <f>IF(ISNA(MATCH(996,Engine!$C$2:$C$1960,0)),"",INDEX('Compliance Database'!$J$2:$J$1960,MATCH(996,Engine!$C$2:$C$1960,0)))</f>
        <v/>
      </c>
      <c r="K1009" s="9">
        <f>IF(ISNA(MATCH(996,Engine!$C$2:$C$1960,0)),"",INDEX('Compliance Database'!$K$2:$K$1960,MATCH(996,Engine!$C$2:$C$1960,0)))</f>
        <v/>
      </c>
      <c r="L1009" s="9">
        <f>IF(ISNA(MATCH(996,Engine!$C$2:$C$1960,0)),"",INDEX('Compliance Database'!$L$2:$L$1960,MATCH(996,Engine!$C$2:$C$1960,0)))</f>
        <v/>
      </c>
      <c r="M1009" s="9">
        <f>IF(ISNA(MATCH(996,Engine!$C$2:$C$1960,0)),"",INDEX('Compliance Database'!$M$2:$M$1960,MATCH(996,Engine!$C$2:$C$1960,0)))</f>
        <v/>
      </c>
      <c r="N1009" s="9">
        <f>IF(ISNA(MATCH(996,Engine!$C$2:$C$1960,0)),"",INDEX('Compliance Database'!$N$2:$N$1960,MATCH(996,Engine!$C$2:$C$1960,0)))</f>
        <v/>
      </c>
      <c r="O1009" s="9">
        <f>IF(ISNA(MATCH(996,Engine!$C$2:$C$1960,0)),"",INDEX('Compliance Database'!$O$2:$O$1960,MATCH(996,Engine!$C$2:$C$1960,0)))</f>
        <v/>
      </c>
      <c r="P1009" s="8">
        <f>IF(ISNA(MATCH(996,Engine!$C$2:$C$1960,0)),"",HYPERLINK("#Acts!A"&amp;INDEX('Compliance Database'!$P$2:$P$1960,MATCH(996,Engine!$C$2:$C$1960,0)),"Go to Act"))</f>
        <v/>
      </c>
    </row>
    <row r="1010" ht="158" customHeight="1">
      <c r="A1010" s="8">
        <f>IF(ISNA(MATCH(997,Engine!$C$2:$C$1960,0)),"",INDEX('Compliance Database'!$A$2:$A$1960,MATCH(997,Engine!$C$2:$C$1960,0)))</f>
        <v/>
      </c>
      <c r="B1010" s="8">
        <f>IF(ISNA(MATCH(997,Engine!$C$2:$C$1960,0)),"",INDEX('Compliance Database'!$B$2:$B$1960,MATCH(997,Engine!$C$2:$C$1960,0)))</f>
        <v/>
      </c>
      <c r="C1010" s="8">
        <f>IF(ISNA(MATCH(997,Engine!$C$2:$C$1960,0)),"",INDEX('Compliance Database'!$C$2:$C$1960,MATCH(997,Engine!$C$2:$C$1960,0)))</f>
        <v/>
      </c>
      <c r="D1010" s="9">
        <f>IF(ISNA(MATCH(997,Engine!$C$2:$C$1960,0)),"",INDEX('Compliance Database'!$D$2:$D$1960,MATCH(997,Engine!$C$2:$C$1960,0)))</f>
        <v/>
      </c>
      <c r="E1010" s="8">
        <f>IF(ISNA(MATCH(997,Engine!$C$2:$C$1960,0)),"",INDEX('Compliance Database'!$E$2:$E$1960,MATCH(997,Engine!$C$2:$C$1960,0)))</f>
        <v/>
      </c>
      <c r="F1010" s="8">
        <f>IF(ISNA(MATCH(997,Engine!$C$2:$C$1960,0)),"",INDEX('Compliance Database'!$F$2:$F$1960,MATCH(997,Engine!$C$2:$C$1960,0)))</f>
        <v/>
      </c>
      <c r="G1010" s="8">
        <f>IF(ISNA(MATCH(997,Engine!$C$2:$C$1960,0)),"",INDEX('Compliance Database'!$G$2:$G$1960,MATCH(997,Engine!$C$2:$C$1960,0)))</f>
        <v/>
      </c>
      <c r="H1010" s="9">
        <f>IF(ISNA(MATCH(997,Engine!$C$2:$C$1960,0)),"",INDEX('Compliance Database'!$H$2:$H$1960,MATCH(997,Engine!$C$2:$C$1960,0)))</f>
        <v/>
      </c>
      <c r="I1010" s="9">
        <f>IF(ISNA(MATCH(997,Engine!$C$2:$C$1960,0)),"",INDEX('Compliance Database'!$I$2:$I$1960,MATCH(997,Engine!$C$2:$C$1960,0)))</f>
        <v/>
      </c>
      <c r="J1010" s="8">
        <f>IF(ISNA(MATCH(997,Engine!$C$2:$C$1960,0)),"",INDEX('Compliance Database'!$J$2:$J$1960,MATCH(997,Engine!$C$2:$C$1960,0)))</f>
        <v/>
      </c>
      <c r="K1010" s="9">
        <f>IF(ISNA(MATCH(997,Engine!$C$2:$C$1960,0)),"",INDEX('Compliance Database'!$K$2:$K$1960,MATCH(997,Engine!$C$2:$C$1960,0)))</f>
        <v/>
      </c>
      <c r="L1010" s="9">
        <f>IF(ISNA(MATCH(997,Engine!$C$2:$C$1960,0)),"",INDEX('Compliance Database'!$L$2:$L$1960,MATCH(997,Engine!$C$2:$C$1960,0)))</f>
        <v/>
      </c>
      <c r="M1010" s="9">
        <f>IF(ISNA(MATCH(997,Engine!$C$2:$C$1960,0)),"",INDEX('Compliance Database'!$M$2:$M$1960,MATCH(997,Engine!$C$2:$C$1960,0)))</f>
        <v/>
      </c>
      <c r="N1010" s="9">
        <f>IF(ISNA(MATCH(997,Engine!$C$2:$C$1960,0)),"",INDEX('Compliance Database'!$N$2:$N$1960,MATCH(997,Engine!$C$2:$C$1960,0)))</f>
        <v/>
      </c>
      <c r="O1010" s="9">
        <f>IF(ISNA(MATCH(997,Engine!$C$2:$C$1960,0)),"",INDEX('Compliance Database'!$O$2:$O$1960,MATCH(997,Engine!$C$2:$C$1960,0)))</f>
        <v/>
      </c>
      <c r="P1010" s="8">
        <f>IF(ISNA(MATCH(997,Engine!$C$2:$C$1960,0)),"",HYPERLINK("#Acts!A"&amp;INDEX('Compliance Database'!$P$2:$P$1960,MATCH(997,Engine!$C$2:$C$1960,0)),"Go to Act"))</f>
        <v/>
      </c>
    </row>
    <row r="1011" ht="158" customHeight="1">
      <c r="A1011" s="8">
        <f>IF(ISNA(MATCH(998,Engine!$C$2:$C$1960,0)),"",INDEX('Compliance Database'!$A$2:$A$1960,MATCH(998,Engine!$C$2:$C$1960,0)))</f>
        <v/>
      </c>
      <c r="B1011" s="8">
        <f>IF(ISNA(MATCH(998,Engine!$C$2:$C$1960,0)),"",INDEX('Compliance Database'!$B$2:$B$1960,MATCH(998,Engine!$C$2:$C$1960,0)))</f>
        <v/>
      </c>
      <c r="C1011" s="8">
        <f>IF(ISNA(MATCH(998,Engine!$C$2:$C$1960,0)),"",INDEX('Compliance Database'!$C$2:$C$1960,MATCH(998,Engine!$C$2:$C$1960,0)))</f>
        <v/>
      </c>
      <c r="D1011" s="9">
        <f>IF(ISNA(MATCH(998,Engine!$C$2:$C$1960,0)),"",INDEX('Compliance Database'!$D$2:$D$1960,MATCH(998,Engine!$C$2:$C$1960,0)))</f>
        <v/>
      </c>
      <c r="E1011" s="8">
        <f>IF(ISNA(MATCH(998,Engine!$C$2:$C$1960,0)),"",INDEX('Compliance Database'!$E$2:$E$1960,MATCH(998,Engine!$C$2:$C$1960,0)))</f>
        <v/>
      </c>
      <c r="F1011" s="8">
        <f>IF(ISNA(MATCH(998,Engine!$C$2:$C$1960,0)),"",INDEX('Compliance Database'!$F$2:$F$1960,MATCH(998,Engine!$C$2:$C$1960,0)))</f>
        <v/>
      </c>
      <c r="G1011" s="8">
        <f>IF(ISNA(MATCH(998,Engine!$C$2:$C$1960,0)),"",INDEX('Compliance Database'!$G$2:$G$1960,MATCH(998,Engine!$C$2:$C$1960,0)))</f>
        <v/>
      </c>
      <c r="H1011" s="9">
        <f>IF(ISNA(MATCH(998,Engine!$C$2:$C$1960,0)),"",INDEX('Compliance Database'!$H$2:$H$1960,MATCH(998,Engine!$C$2:$C$1960,0)))</f>
        <v/>
      </c>
      <c r="I1011" s="9">
        <f>IF(ISNA(MATCH(998,Engine!$C$2:$C$1960,0)),"",INDEX('Compliance Database'!$I$2:$I$1960,MATCH(998,Engine!$C$2:$C$1960,0)))</f>
        <v/>
      </c>
      <c r="J1011" s="8">
        <f>IF(ISNA(MATCH(998,Engine!$C$2:$C$1960,0)),"",INDEX('Compliance Database'!$J$2:$J$1960,MATCH(998,Engine!$C$2:$C$1960,0)))</f>
        <v/>
      </c>
      <c r="K1011" s="9">
        <f>IF(ISNA(MATCH(998,Engine!$C$2:$C$1960,0)),"",INDEX('Compliance Database'!$K$2:$K$1960,MATCH(998,Engine!$C$2:$C$1960,0)))</f>
        <v/>
      </c>
      <c r="L1011" s="9">
        <f>IF(ISNA(MATCH(998,Engine!$C$2:$C$1960,0)),"",INDEX('Compliance Database'!$L$2:$L$1960,MATCH(998,Engine!$C$2:$C$1960,0)))</f>
        <v/>
      </c>
      <c r="M1011" s="9">
        <f>IF(ISNA(MATCH(998,Engine!$C$2:$C$1960,0)),"",INDEX('Compliance Database'!$M$2:$M$1960,MATCH(998,Engine!$C$2:$C$1960,0)))</f>
        <v/>
      </c>
      <c r="N1011" s="9">
        <f>IF(ISNA(MATCH(998,Engine!$C$2:$C$1960,0)),"",INDEX('Compliance Database'!$N$2:$N$1960,MATCH(998,Engine!$C$2:$C$1960,0)))</f>
        <v/>
      </c>
      <c r="O1011" s="9">
        <f>IF(ISNA(MATCH(998,Engine!$C$2:$C$1960,0)),"",INDEX('Compliance Database'!$O$2:$O$1960,MATCH(998,Engine!$C$2:$C$1960,0)))</f>
        <v/>
      </c>
      <c r="P1011" s="8">
        <f>IF(ISNA(MATCH(998,Engine!$C$2:$C$1960,0)),"",HYPERLINK("#Acts!A"&amp;INDEX('Compliance Database'!$P$2:$P$1960,MATCH(998,Engine!$C$2:$C$1960,0)),"Go to Act"))</f>
        <v/>
      </c>
    </row>
    <row r="1012" ht="158" customHeight="1">
      <c r="A1012" s="8">
        <f>IF(ISNA(MATCH(999,Engine!$C$2:$C$1960,0)),"",INDEX('Compliance Database'!$A$2:$A$1960,MATCH(999,Engine!$C$2:$C$1960,0)))</f>
        <v/>
      </c>
      <c r="B1012" s="8">
        <f>IF(ISNA(MATCH(999,Engine!$C$2:$C$1960,0)),"",INDEX('Compliance Database'!$B$2:$B$1960,MATCH(999,Engine!$C$2:$C$1960,0)))</f>
        <v/>
      </c>
      <c r="C1012" s="8">
        <f>IF(ISNA(MATCH(999,Engine!$C$2:$C$1960,0)),"",INDEX('Compliance Database'!$C$2:$C$1960,MATCH(999,Engine!$C$2:$C$1960,0)))</f>
        <v/>
      </c>
      <c r="D1012" s="9">
        <f>IF(ISNA(MATCH(999,Engine!$C$2:$C$1960,0)),"",INDEX('Compliance Database'!$D$2:$D$1960,MATCH(999,Engine!$C$2:$C$1960,0)))</f>
        <v/>
      </c>
      <c r="E1012" s="8">
        <f>IF(ISNA(MATCH(999,Engine!$C$2:$C$1960,0)),"",INDEX('Compliance Database'!$E$2:$E$1960,MATCH(999,Engine!$C$2:$C$1960,0)))</f>
        <v/>
      </c>
      <c r="F1012" s="8">
        <f>IF(ISNA(MATCH(999,Engine!$C$2:$C$1960,0)),"",INDEX('Compliance Database'!$F$2:$F$1960,MATCH(999,Engine!$C$2:$C$1960,0)))</f>
        <v/>
      </c>
      <c r="G1012" s="8">
        <f>IF(ISNA(MATCH(999,Engine!$C$2:$C$1960,0)),"",INDEX('Compliance Database'!$G$2:$G$1960,MATCH(999,Engine!$C$2:$C$1960,0)))</f>
        <v/>
      </c>
      <c r="H1012" s="9">
        <f>IF(ISNA(MATCH(999,Engine!$C$2:$C$1960,0)),"",INDEX('Compliance Database'!$H$2:$H$1960,MATCH(999,Engine!$C$2:$C$1960,0)))</f>
        <v/>
      </c>
      <c r="I1012" s="9">
        <f>IF(ISNA(MATCH(999,Engine!$C$2:$C$1960,0)),"",INDEX('Compliance Database'!$I$2:$I$1960,MATCH(999,Engine!$C$2:$C$1960,0)))</f>
        <v/>
      </c>
      <c r="J1012" s="8">
        <f>IF(ISNA(MATCH(999,Engine!$C$2:$C$1960,0)),"",INDEX('Compliance Database'!$J$2:$J$1960,MATCH(999,Engine!$C$2:$C$1960,0)))</f>
        <v/>
      </c>
      <c r="K1012" s="9">
        <f>IF(ISNA(MATCH(999,Engine!$C$2:$C$1960,0)),"",INDEX('Compliance Database'!$K$2:$K$1960,MATCH(999,Engine!$C$2:$C$1960,0)))</f>
        <v/>
      </c>
      <c r="L1012" s="9">
        <f>IF(ISNA(MATCH(999,Engine!$C$2:$C$1960,0)),"",INDEX('Compliance Database'!$L$2:$L$1960,MATCH(999,Engine!$C$2:$C$1960,0)))</f>
        <v/>
      </c>
      <c r="M1012" s="9">
        <f>IF(ISNA(MATCH(999,Engine!$C$2:$C$1960,0)),"",INDEX('Compliance Database'!$M$2:$M$1960,MATCH(999,Engine!$C$2:$C$1960,0)))</f>
        <v/>
      </c>
      <c r="N1012" s="9">
        <f>IF(ISNA(MATCH(999,Engine!$C$2:$C$1960,0)),"",INDEX('Compliance Database'!$N$2:$N$1960,MATCH(999,Engine!$C$2:$C$1960,0)))</f>
        <v/>
      </c>
      <c r="O1012" s="9">
        <f>IF(ISNA(MATCH(999,Engine!$C$2:$C$1960,0)),"",INDEX('Compliance Database'!$O$2:$O$1960,MATCH(999,Engine!$C$2:$C$1960,0)))</f>
        <v/>
      </c>
      <c r="P1012" s="8">
        <f>IF(ISNA(MATCH(999,Engine!$C$2:$C$1960,0)),"",HYPERLINK("#Acts!A"&amp;INDEX('Compliance Database'!$P$2:$P$1960,MATCH(999,Engine!$C$2:$C$1960,0)),"Go to Act"))</f>
        <v/>
      </c>
    </row>
    <row r="1013" ht="158" customHeight="1">
      <c r="A1013" s="8">
        <f>IF(ISNA(MATCH(1000,Engine!$C$2:$C$1960,0)),"",INDEX('Compliance Database'!$A$2:$A$1960,MATCH(1000,Engine!$C$2:$C$1960,0)))</f>
        <v/>
      </c>
      <c r="B1013" s="8">
        <f>IF(ISNA(MATCH(1000,Engine!$C$2:$C$1960,0)),"",INDEX('Compliance Database'!$B$2:$B$1960,MATCH(1000,Engine!$C$2:$C$1960,0)))</f>
        <v/>
      </c>
      <c r="C1013" s="8">
        <f>IF(ISNA(MATCH(1000,Engine!$C$2:$C$1960,0)),"",INDEX('Compliance Database'!$C$2:$C$1960,MATCH(1000,Engine!$C$2:$C$1960,0)))</f>
        <v/>
      </c>
      <c r="D1013" s="9">
        <f>IF(ISNA(MATCH(1000,Engine!$C$2:$C$1960,0)),"",INDEX('Compliance Database'!$D$2:$D$1960,MATCH(1000,Engine!$C$2:$C$1960,0)))</f>
        <v/>
      </c>
      <c r="E1013" s="8">
        <f>IF(ISNA(MATCH(1000,Engine!$C$2:$C$1960,0)),"",INDEX('Compliance Database'!$E$2:$E$1960,MATCH(1000,Engine!$C$2:$C$1960,0)))</f>
        <v/>
      </c>
      <c r="F1013" s="8">
        <f>IF(ISNA(MATCH(1000,Engine!$C$2:$C$1960,0)),"",INDEX('Compliance Database'!$F$2:$F$1960,MATCH(1000,Engine!$C$2:$C$1960,0)))</f>
        <v/>
      </c>
      <c r="G1013" s="8">
        <f>IF(ISNA(MATCH(1000,Engine!$C$2:$C$1960,0)),"",INDEX('Compliance Database'!$G$2:$G$1960,MATCH(1000,Engine!$C$2:$C$1960,0)))</f>
        <v/>
      </c>
      <c r="H1013" s="9">
        <f>IF(ISNA(MATCH(1000,Engine!$C$2:$C$1960,0)),"",INDEX('Compliance Database'!$H$2:$H$1960,MATCH(1000,Engine!$C$2:$C$1960,0)))</f>
        <v/>
      </c>
      <c r="I1013" s="9">
        <f>IF(ISNA(MATCH(1000,Engine!$C$2:$C$1960,0)),"",INDEX('Compliance Database'!$I$2:$I$1960,MATCH(1000,Engine!$C$2:$C$1960,0)))</f>
        <v/>
      </c>
      <c r="J1013" s="8">
        <f>IF(ISNA(MATCH(1000,Engine!$C$2:$C$1960,0)),"",INDEX('Compliance Database'!$J$2:$J$1960,MATCH(1000,Engine!$C$2:$C$1960,0)))</f>
        <v/>
      </c>
      <c r="K1013" s="9">
        <f>IF(ISNA(MATCH(1000,Engine!$C$2:$C$1960,0)),"",INDEX('Compliance Database'!$K$2:$K$1960,MATCH(1000,Engine!$C$2:$C$1960,0)))</f>
        <v/>
      </c>
      <c r="L1013" s="9">
        <f>IF(ISNA(MATCH(1000,Engine!$C$2:$C$1960,0)),"",INDEX('Compliance Database'!$L$2:$L$1960,MATCH(1000,Engine!$C$2:$C$1960,0)))</f>
        <v/>
      </c>
      <c r="M1013" s="9">
        <f>IF(ISNA(MATCH(1000,Engine!$C$2:$C$1960,0)),"",INDEX('Compliance Database'!$M$2:$M$1960,MATCH(1000,Engine!$C$2:$C$1960,0)))</f>
        <v/>
      </c>
      <c r="N1013" s="9">
        <f>IF(ISNA(MATCH(1000,Engine!$C$2:$C$1960,0)),"",INDEX('Compliance Database'!$N$2:$N$1960,MATCH(1000,Engine!$C$2:$C$1960,0)))</f>
        <v/>
      </c>
      <c r="O1013" s="9">
        <f>IF(ISNA(MATCH(1000,Engine!$C$2:$C$1960,0)),"",INDEX('Compliance Database'!$O$2:$O$1960,MATCH(1000,Engine!$C$2:$C$1960,0)))</f>
        <v/>
      </c>
      <c r="P1013" s="8">
        <f>IF(ISNA(MATCH(1000,Engine!$C$2:$C$1960,0)),"",HYPERLINK("#Acts!A"&amp;INDEX('Compliance Database'!$P$2:$P$1960,MATCH(1000,Engine!$C$2:$C$1960,0)),"Go to Act"))</f>
        <v/>
      </c>
    </row>
    <row r="1014" ht="158" customHeight="1">
      <c r="A1014" s="8">
        <f>IF(ISNA(MATCH(1001,Engine!$C$2:$C$1960,0)),"",INDEX('Compliance Database'!$A$2:$A$1960,MATCH(1001,Engine!$C$2:$C$1960,0)))</f>
        <v/>
      </c>
      <c r="B1014" s="8">
        <f>IF(ISNA(MATCH(1001,Engine!$C$2:$C$1960,0)),"",INDEX('Compliance Database'!$B$2:$B$1960,MATCH(1001,Engine!$C$2:$C$1960,0)))</f>
        <v/>
      </c>
      <c r="C1014" s="8">
        <f>IF(ISNA(MATCH(1001,Engine!$C$2:$C$1960,0)),"",INDEX('Compliance Database'!$C$2:$C$1960,MATCH(1001,Engine!$C$2:$C$1960,0)))</f>
        <v/>
      </c>
      <c r="D1014" s="9">
        <f>IF(ISNA(MATCH(1001,Engine!$C$2:$C$1960,0)),"",INDEX('Compliance Database'!$D$2:$D$1960,MATCH(1001,Engine!$C$2:$C$1960,0)))</f>
        <v/>
      </c>
      <c r="E1014" s="8">
        <f>IF(ISNA(MATCH(1001,Engine!$C$2:$C$1960,0)),"",INDEX('Compliance Database'!$E$2:$E$1960,MATCH(1001,Engine!$C$2:$C$1960,0)))</f>
        <v/>
      </c>
      <c r="F1014" s="8">
        <f>IF(ISNA(MATCH(1001,Engine!$C$2:$C$1960,0)),"",INDEX('Compliance Database'!$F$2:$F$1960,MATCH(1001,Engine!$C$2:$C$1960,0)))</f>
        <v/>
      </c>
      <c r="G1014" s="8">
        <f>IF(ISNA(MATCH(1001,Engine!$C$2:$C$1960,0)),"",INDEX('Compliance Database'!$G$2:$G$1960,MATCH(1001,Engine!$C$2:$C$1960,0)))</f>
        <v/>
      </c>
      <c r="H1014" s="9">
        <f>IF(ISNA(MATCH(1001,Engine!$C$2:$C$1960,0)),"",INDEX('Compliance Database'!$H$2:$H$1960,MATCH(1001,Engine!$C$2:$C$1960,0)))</f>
        <v/>
      </c>
      <c r="I1014" s="9">
        <f>IF(ISNA(MATCH(1001,Engine!$C$2:$C$1960,0)),"",INDEX('Compliance Database'!$I$2:$I$1960,MATCH(1001,Engine!$C$2:$C$1960,0)))</f>
        <v/>
      </c>
      <c r="J1014" s="8">
        <f>IF(ISNA(MATCH(1001,Engine!$C$2:$C$1960,0)),"",INDEX('Compliance Database'!$J$2:$J$1960,MATCH(1001,Engine!$C$2:$C$1960,0)))</f>
        <v/>
      </c>
      <c r="K1014" s="9">
        <f>IF(ISNA(MATCH(1001,Engine!$C$2:$C$1960,0)),"",INDEX('Compliance Database'!$K$2:$K$1960,MATCH(1001,Engine!$C$2:$C$1960,0)))</f>
        <v/>
      </c>
      <c r="L1014" s="9">
        <f>IF(ISNA(MATCH(1001,Engine!$C$2:$C$1960,0)),"",INDEX('Compliance Database'!$L$2:$L$1960,MATCH(1001,Engine!$C$2:$C$1960,0)))</f>
        <v/>
      </c>
      <c r="M1014" s="9">
        <f>IF(ISNA(MATCH(1001,Engine!$C$2:$C$1960,0)),"",INDEX('Compliance Database'!$M$2:$M$1960,MATCH(1001,Engine!$C$2:$C$1960,0)))</f>
        <v/>
      </c>
      <c r="N1014" s="9">
        <f>IF(ISNA(MATCH(1001,Engine!$C$2:$C$1960,0)),"",INDEX('Compliance Database'!$N$2:$N$1960,MATCH(1001,Engine!$C$2:$C$1960,0)))</f>
        <v/>
      </c>
      <c r="O1014" s="9">
        <f>IF(ISNA(MATCH(1001,Engine!$C$2:$C$1960,0)),"",INDEX('Compliance Database'!$O$2:$O$1960,MATCH(1001,Engine!$C$2:$C$1960,0)))</f>
        <v/>
      </c>
      <c r="P1014" s="8">
        <f>IF(ISNA(MATCH(1001,Engine!$C$2:$C$1960,0)),"",HYPERLINK("#Acts!A"&amp;INDEX('Compliance Database'!$P$2:$P$1960,MATCH(1001,Engine!$C$2:$C$1960,0)),"Go to Act"))</f>
        <v/>
      </c>
    </row>
    <row r="1015" ht="158" customHeight="1">
      <c r="A1015" s="8">
        <f>IF(ISNA(MATCH(1002,Engine!$C$2:$C$1960,0)),"",INDEX('Compliance Database'!$A$2:$A$1960,MATCH(1002,Engine!$C$2:$C$1960,0)))</f>
        <v/>
      </c>
      <c r="B1015" s="8">
        <f>IF(ISNA(MATCH(1002,Engine!$C$2:$C$1960,0)),"",INDEX('Compliance Database'!$B$2:$B$1960,MATCH(1002,Engine!$C$2:$C$1960,0)))</f>
        <v/>
      </c>
      <c r="C1015" s="8">
        <f>IF(ISNA(MATCH(1002,Engine!$C$2:$C$1960,0)),"",INDEX('Compliance Database'!$C$2:$C$1960,MATCH(1002,Engine!$C$2:$C$1960,0)))</f>
        <v/>
      </c>
      <c r="D1015" s="9">
        <f>IF(ISNA(MATCH(1002,Engine!$C$2:$C$1960,0)),"",INDEX('Compliance Database'!$D$2:$D$1960,MATCH(1002,Engine!$C$2:$C$1960,0)))</f>
        <v/>
      </c>
      <c r="E1015" s="8">
        <f>IF(ISNA(MATCH(1002,Engine!$C$2:$C$1960,0)),"",INDEX('Compliance Database'!$E$2:$E$1960,MATCH(1002,Engine!$C$2:$C$1960,0)))</f>
        <v/>
      </c>
      <c r="F1015" s="8">
        <f>IF(ISNA(MATCH(1002,Engine!$C$2:$C$1960,0)),"",INDEX('Compliance Database'!$F$2:$F$1960,MATCH(1002,Engine!$C$2:$C$1960,0)))</f>
        <v/>
      </c>
      <c r="G1015" s="8">
        <f>IF(ISNA(MATCH(1002,Engine!$C$2:$C$1960,0)),"",INDEX('Compliance Database'!$G$2:$G$1960,MATCH(1002,Engine!$C$2:$C$1960,0)))</f>
        <v/>
      </c>
      <c r="H1015" s="9">
        <f>IF(ISNA(MATCH(1002,Engine!$C$2:$C$1960,0)),"",INDEX('Compliance Database'!$H$2:$H$1960,MATCH(1002,Engine!$C$2:$C$1960,0)))</f>
        <v/>
      </c>
      <c r="I1015" s="9">
        <f>IF(ISNA(MATCH(1002,Engine!$C$2:$C$1960,0)),"",INDEX('Compliance Database'!$I$2:$I$1960,MATCH(1002,Engine!$C$2:$C$1960,0)))</f>
        <v/>
      </c>
      <c r="J1015" s="8">
        <f>IF(ISNA(MATCH(1002,Engine!$C$2:$C$1960,0)),"",INDEX('Compliance Database'!$J$2:$J$1960,MATCH(1002,Engine!$C$2:$C$1960,0)))</f>
        <v/>
      </c>
      <c r="K1015" s="9">
        <f>IF(ISNA(MATCH(1002,Engine!$C$2:$C$1960,0)),"",INDEX('Compliance Database'!$K$2:$K$1960,MATCH(1002,Engine!$C$2:$C$1960,0)))</f>
        <v/>
      </c>
      <c r="L1015" s="9">
        <f>IF(ISNA(MATCH(1002,Engine!$C$2:$C$1960,0)),"",INDEX('Compliance Database'!$L$2:$L$1960,MATCH(1002,Engine!$C$2:$C$1960,0)))</f>
        <v/>
      </c>
      <c r="M1015" s="9">
        <f>IF(ISNA(MATCH(1002,Engine!$C$2:$C$1960,0)),"",INDEX('Compliance Database'!$M$2:$M$1960,MATCH(1002,Engine!$C$2:$C$1960,0)))</f>
        <v/>
      </c>
      <c r="N1015" s="9">
        <f>IF(ISNA(MATCH(1002,Engine!$C$2:$C$1960,0)),"",INDEX('Compliance Database'!$N$2:$N$1960,MATCH(1002,Engine!$C$2:$C$1960,0)))</f>
        <v/>
      </c>
      <c r="O1015" s="9">
        <f>IF(ISNA(MATCH(1002,Engine!$C$2:$C$1960,0)),"",INDEX('Compliance Database'!$O$2:$O$1960,MATCH(1002,Engine!$C$2:$C$1960,0)))</f>
        <v/>
      </c>
      <c r="P1015" s="8">
        <f>IF(ISNA(MATCH(1002,Engine!$C$2:$C$1960,0)),"",HYPERLINK("#Acts!A"&amp;INDEX('Compliance Database'!$P$2:$P$1960,MATCH(1002,Engine!$C$2:$C$1960,0)),"Go to Act"))</f>
        <v/>
      </c>
    </row>
    <row r="1016" ht="158" customHeight="1">
      <c r="A1016" s="8">
        <f>IF(ISNA(MATCH(1003,Engine!$C$2:$C$1960,0)),"",INDEX('Compliance Database'!$A$2:$A$1960,MATCH(1003,Engine!$C$2:$C$1960,0)))</f>
        <v/>
      </c>
      <c r="B1016" s="8">
        <f>IF(ISNA(MATCH(1003,Engine!$C$2:$C$1960,0)),"",INDEX('Compliance Database'!$B$2:$B$1960,MATCH(1003,Engine!$C$2:$C$1960,0)))</f>
        <v/>
      </c>
      <c r="C1016" s="8">
        <f>IF(ISNA(MATCH(1003,Engine!$C$2:$C$1960,0)),"",INDEX('Compliance Database'!$C$2:$C$1960,MATCH(1003,Engine!$C$2:$C$1960,0)))</f>
        <v/>
      </c>
      <c r="D1016" s="9">
        <f>IF(ISNA(MATCH(1003,Engine!$C$2:$C$1960,0)),"",INDEX('Compliance Database'!$D$2:$D$1960,MATCH(1003,Engine!$C$2:$C$1960,0)))</f>
        <v/>
      </c>
      <c r="E1016" s="8">
        <f>IF(ISNA(MATCH(1003,Engine!$C$2:$C$1960,0)),"",INDEX('Compliance Database'!$E$2:$E$1960,MATCH(1003,Engine!$C$2:$C$1960,0)))</f>
        <v/>
      </c>
      <c r="F1016" s="8">
        <f>IF(ISNA(MATCH(1003,Engine!$C$2:$C$1960,0)),"",INDEX('Compliance Database'!$F$2:$F$1960,MATCH(1003,Engine!$C$2:$C$1960,0)))</f>
        <v/>
      </c>
      <c r="G1016" s="8">
        <f>IF(ISNA(MATCH(1003,Engine!$C$2:$C$1960,0)),"",INDEX('Compliance Database'!$G$2:$G$1960,MATCH(1003,Engine!$C$2:$C$1960,0)))</f>
        <v/>
      </c>
      <c r="H1016" s="9">
        <f>IF(ISNA(MATCH(1003,Engine!$C$2:$C$1960,0)),"",INDEX('Compliance Database'!$H$2:$H$1960,MATCH(1003,Engine!$C$2:$C$1960,0)))</f>
        <v/>
      </c>
      <c r="I1016" s="9">
        <f>IF(ISNA(MATCH(1003,Engine!$C$2:$C$1960,0)),"",INDEX('Compliance Database'!$I$2:$I$1960,MATCH(1003,Engine!$C$2:$C$1960,0)))</f>
        <v/>
      </c>
      <c r="J1016" s="8">
        <f>IF(ISNA(MATCH(1003,Engine!$C$2:$C$1960,0)),"",INDEX('Compliance Database'!$J$2:$J$1960,MATCH(1003,Engine!$C$2:$C$1960,0)))</f>
        <v/>
      </c>
      <c r="K1016" s="9">
        <f>IF(ISNA(MATCH(1003,Engine!$C$2:$C$1960,0)),"",INDEX('Compliance Database'!$K$2:$K$1960,MATCH(1003,Engine!$C$2:$C$1960,0)))</f>
        <v/>
      </c>
      <c r="L1016" s="9">
        <f>IF(ISNA(MATCH(1003,Engine!$C$2:$C$1960,0)),"",INDEX('Compliance Database'!$L$2:$L$1960,MATCH(1003,Engine!$C$2:$C$1960,0)))</f>
        <v/>
      </c>
      <c r="M1016" s="9">
        <f>IF(ISNA(MATCH(1003,Engine!$C$2:$C$1960,0)),"",INDEX('Compliance Database'!$M$2:$M$1960,MATCH(1003,Engine!$C$2:$C$1960,0)))</f>
        <v/>
      </c>
      <c r="N1016" s="9">
        <f>IF(ISNA(MATCH(1003,Engine!$C$2:$C$1960,0)),"",INDEX('Compliance Database'!$N$2:$N$1960,MATCH(1003,Engine!$C$2:$C$1960,0)))</f>
        <v/>
      </c>
      <c r="O1016" s="9">
        <f>IF(ISNA(MATCH(1003,Engine!$C$2:$C$1960,0)),"",INDEX('Compliance Database'!$O$2:$O$1960,MATCH(1003,Engine!$C$2:$C$1960,0)))</f>
        <v/>
      </c>
      <c r="P1016" s="8">
        <f>IF(ISNA(MATCH(1003,Engine!$C$2:$C$1960,0)),"",HYPERLINK("#Acts!A"&amp;INDEX('Compliance Database'!$P$2:$P$1960,MATCH(1003,Engine!$C$2:$C$1960,0)),"Go to Act"))</f>
        <v/>
      </c>
    </row>
    <row r="1017" ht="158" customHeight="1">
      <c r="A1017" s="8">
        <f>IF(ISNA(MATCH(1004,Engine!$C$2:$C$1960,0)),"",INDEX('Compliance Database'!$A$2:$A$1960,MATCH(1004,Engine!$C$2:$C$1960,0)))</f>
        <v/>
      </c>
      <c r="B1017" s="8">
        <f>IF(ISNA(MATCH(1004,Engine!$C$2:$C$1960,0)),"",INDEX('Compliance Database'!$B$2:$B$1960,MATCH(1004,Engine!$C$2:$C$1960,0)))</f>
        <v/>
      </c>
      <c r="C1017" s="8">
        <f>IF(ISNA(MATCH(1004,Engine!$C$2:$C$1960,0)),"",INDEX('Compliance Database'!$C$2:$C$1960,MATCH(1004,Engine!$C$2:$C$1960,0)))</f>
        <v/>
      </c>
      <c r="D1017" s="9">
        <f>IF(ISNA(MATCH(1004,Engine!$C$2:$C$1960,0)),"",INDEX('Compliance Database'!$D$2:$D$1960,MATCH(1004,Engine!$C$2:$C$1960,0)))</f>
        <v/>
      </c>
      <c r="E1017" s="8">
        <f>IF(ISNA(MATCH(1004,Engine!$C$2:$C$1960,0)),"",INDEX('Compliance Database'!$E$2:$E$1960,MATCH(1004,Engine!$C$2:$C$1960,0)))</f>
        <v/>
      </c>
      <c r="F1017" s="8">
        <f>IF(ISNA(MATCH(1004,Engine!$C$2:$C$1960,0)),"",INDEX('Compliance Database'!$F$2:$F$1960,MATCH(1004,Engine!$C$2:$C$1960,0)))</f>
        <v/>
      </c>
      <c r="G1017" s="8">
        <f>IF(ISNA(MATCH(1004,Engine!$C$2:$C$1960,0)),"",INDEX('Compliance Database'!$G$2:$G$1960,MATCH(1004,Engine!$C$2:$C$1960,0)))</f>
        <v/>
      </c>
      <c r="H1017" s="9">
        <f>IF(ISNA(MATCH(1004,Engine!$C$2:$C$1960,0)),"",INDEX('Compliance Database'!$H$2:$H$1960,MATCH(1004,Engine!$C$2:$C$1960,0)))</f>
        <v/>
      </c>
      <c r="I1017" s="9">
        <f>IF(ISNA(MATCH(1004,Engine!$C$2:$C$1960,0)),"",INDEX('Compliance Database'!$I$2:$I$1960,MATCH(1004,Engine!$C$2:$C$1960,0)))</f>
        <v/>
      </c>
      <c r="J1017" s="8">
        <f>IF(ISNA(MATCH(1004,Engine!$C$2:$C$1960,0)),"",INDEX('Compliance Database'!$J$2:$J$1960,MATCH(1004,Engine!$C$2:$C$1960,0)))</f>
        <v/>
      </c>
      <c r="K1017" s="9">
        <f>IF(ISNA(MATCH(1004,Engine!$C$2:$C$1960,0)),"",INDEX('Compliance Database'!$K$2:$K$1960,MATCH(1004,Engine!$C$2:$C$1960,0)))</f>
        <v/>
      </c>
      <c r="L1017" s="9">
        <f>IF(ISNA(MATCH(1004,Engine!$C$2:$C$1960,0)),"",INDEX('Compliance Database'!$L$2:$L$1960,MATCH(1004,Engine!$C$2:$C$1960,0)))</f>
        <v/>
      </c>
      <c r="M1017" s="9">
        <f>IF(ISNA(MATCH(1004,Engine!$C$2:$C$1960,0)),"",INDEX('Compliance Database'!$M$2:$M$1960,MATCH(1004,Engine!$C$2:$C$1960,0)))</f>
        <v/>
      </c>
      <c r="N1017" s="9">
        <f>IF(ISNA(MATCH(1004,Engine!$C$2:$C$1960,0)),"",INDEX('Compliance Database'!$N$2:$N$1960,MATCH(1004,Engine!$C$2:$C$1960,0)))</f>
        <v/>
      </c>
      <c r="O1017" s="9">
        <f>IF(ISNA(MATCH(1004,Engine!$C$2:$C$1960,0)),"",INDEX('Compliance Database'!$O$2:$O$1960,MATCH(1004,Engine!$C$2:$C$1960,0)))</f>
        <v/>
      </c>
      <c r="P1017" s="8">
        <f>IF(ISNA(MATCH(1004,Engine!$C$2:$C$1960,0)),"",HYPERLINK("#Acts!A"&amp;INDEX('Compliance Database'!$P$2:$P$1960,MATCH(1004,Engine!$C$2:$C$1960,0)),"Go to Act"))</f>
        <v/>
      </c>
    </row>
    <row r="1018" ht="158" customHeight="1">
      <c r="A1018" s="8">
        <f>IF(ISNA(MATCH(1005,Engine!$C$2:$C$1960,0)),"",INDEX('Compliance Database'!$A$2:$A$1960,MATCH(1005,Engine!$C$2:$C$1960,0)))</f>
        <v/>
      </c>
      <c r="B1018" s="8">
        <f>IF(ISNA(MATCH(1005,Engine!$C$2:$C$1960,0)),"",INDEX('Compliance Database'!$B$2:$B$1960,MATCH(1005,Engine!$C$2:$C$1960,0)))</f>
        <v/>
      </c>
      <c r="C1018" s="8">
        <f>IF(ISNA(MATCH(1005,Engine!$C$2:$C$1960,0)),"",INDEX('Compliance Database'!$C$2:$C$1960,MATCH(1005,Engine!$C$2:$C$1960,0)))</f>
        <v/>
      </c>
      <c r="D1018" s="9">
        <f>IF(ISNA(MATCH(1005,Engine!$C$2:$C$1960,0)),"",INDEX('Compliance Database'!$D$2:$D$1960,MATCH(1005,Engine!$C$2:$C$1960,0)))</f>
        <v/>
      </c>
      <c r="E1018" s="8">
        <f>IF(ISNA(MATCH(1005,Engine!$C$2:$C$1960,0)),"",INDEX('Compliance Database'!$E$2:$E$1960,MATCH(1005,Engine!$C$2:$C$1960,0)))</f>
        <v/>
      </c>
      <c r="F1018" s="8">
        <f>IF(ISNA(MATCH(1005,Engine!$C$2:$C$1960,0)),"",INDEX('Compliance Database'!$F$2:$F$1960,MATCH(1005,Engine!$C$2:$C$1960,0)))</f>
        <v/>
      </c>
      <c r="G1018" s="8">
        <f>IF(ISNA(MATCH(1005,Engine!$C$2:$C$1960,0)),"",INDEX('Compliance Database'!$G$2:$G$1960,MATCH(1005,Engine!$C$2:$C$1960,0)))</f>
        <v/>
      </c>
      <c r="H1018" s="9">
        <f>IF(ISNA(MATCH(1005,Engine!$C$2:$C$1960,0)),"",INDEX('Compliance Database'!$H$2:$H$1960,MATCH(1005,Engine!$C$2:$C$1960,0)))</f>
        <v/>
      </c>
      <c r="I1018" s="9">
        <f>IF(ISNA(MATCH(1005,Engine!$C$2:$C$1960,0)),"",INDEX('Compliance Database'!$I$2:$I$1960,MATCH(1005,Engine!$C$2:$C$1960,0)))</f>
        <v/>
      </c>
      <c r="J1018" s="8">
        <f>IF(ISNA(MATCH(1005,Engine!$C$2:$C$1960,0)),"",INDEX('Compliance Database'!$J$2:$J$1960,MATCH(1005,Engine!$C$2:$C$1960,0)))</f>
        <v/>
      </c>
      <c r="K1018" s="9">
        <f>IF(ISNA(MATCH(1005,Engine!$C$2:$C$1960,0)),"",INDEX('Compliance Database'!$K$2:$K$1960,MATCH(1005,Engine!$C$2:$C$1960,0)))</f>
        <v/>
      </c>
      <c r="L1018" s="9">
        <f>IF(ISNA(MATCH(1005,Engine!$C$2:$C$1960,0)),"",INDEX('Compliance Database'!$L$2:$L$1960,MATCH(1005,Engine!$C$2:$C$1960,0)))</f>
        <v/>
      </c>
      <c r="M1018" s="9">
        <f>IF(ISNA(MATCH(1005,Engine!$C$2:$C$1960,0)),"",INDEX('Compliance Database'!$M$2:$M$1960,MATCH(1005,Engine!$C$2:$C$1960,0)))</f>
        <v/>
      </c>
      <c r="N1018" s="9">
        <f>IF(ISNA(MATCH(1005,Engine!$C$2:$C$1960,0)),"",INDEX('Compliance Database'!$N$2:$N$1960,MATCH(1005,Engine!$C$2:$C$1960,0)))</f>
        <v/>
      </c>
      <c r="O1018" s="9">
        <f>IF(ISNA(MATCH(1005,Engine!$C$2:$C$1960,0)),"",INDEX('Compliance Database'!$O$2:$O$1960,MATCH(1005,Engine!$C$2:$C$1960,0)))</f>
        <v/>
      </c>
      <c r="P1018" s="8">
        <f>IF(ISNA(MATCH(1005,Engine!$C$2:$C$1960,0)),"",HYPERLINK("#Acts!A"&amp;INDEX('Compliance Database'!$P$2:$P$1960,MATCH(1005,Engine!$C$2:$C$1960,0)),"Go to Act"))</f>
        <v/>
      </c>
    </row>
    <row r="1019" ht="158" customHeight="1">
      <c r="A1019" s="8">
        <f>IF(ISNA(MATCH(1006,Engine!$C$2:$C$1960,0)),"",INDEX('Compliance Database'!$A$2:$A$1960,MATCH(1006,Engine!$C$2:$C$1960,0)))</f>
        <v/>
      </c>
      <c r="B1019" s="8">
        <f>IF(ISNA(MATCH(1006,Engine!$C$2:$C$1960,0)),"",INDEX('Compliance Database'!$B$2:$B$1960,MATCH(1006,Engine!$C$2:$C$1960,0)))</f>
        <v/>
      </c>
      <c r="C1019" s="8">
        <f>IF(ISNA(MATCH(1006,Engine!$C$2:$C$1960,0)),"",INDEX('Compliance Database'!$C$2:$C$1960,MATCH(1006,Engine!$C$2:$C$1960,0)))</f>
        <v/>
      </c>
      <c r="D1019" s="9">
        <f>IF(ISNA(MATCH(1006,Engine!$C$2:$C$1960,0)),"",INDEX('Compliance Database'!$D$2:$D$1960,MATCH(1006,Engine!$C$2:$C$1960,0)))</f>
        <v/>
      </c>
      <c r="E1019" s="8">
        <f>IF(ISNA(MATCH(1006,Engine!$C$2:$C$1960,0)),"",INDEX('Compliance Database'!$E$2:$E$1960,MATCH(1006,Engine!$C$2:$C$1960,0)))</f>
        <v/>
      </c>
      <c r="F1019" s="8">
        <f>IF(ISNA(MATCH(1006,Engine!$C$2:$C$1960,0)),"",INDEX('Compliance Database'!$F$2:$F$1960,MATCH(1006,Engine!$C$2:$C$1960,0)))</f>
        <v/>
      </c>
      <c r="G1019" s="8">
        <f>IF(ISNA(MATCH(1006,Engine!$C$2:$C$1960,0)),"",INDEX('Compliance Database'!$G$2:$G$1960,MATCH(1006,Engine!$C$2:$C$1960,0)))</f>
        <v/>
      </c>
      <c r="H1019" s="9">
        <f>IF(ISNA(MATCH(1006,Engine!$C$2:$C$1960,0)),"",INDEX('Compliance Database'!$H$2:$H$1960,MATCH(1006,Engine!$C$2:$C$1960,0)))</f>
        <v/>
      </c>
      <c r="I1019" s="9">
        <f>IF(ISNA(MATCH(1006,Engine!$C$2:$C$1960,0)),"",INDEX('Compliance Database'!$I$2:$I$1960,MATCH(1006,Engine!$C$2:$C$1960,0)))</f>
        <v/>
      </c>
      <c r="J1019" s="8">
        <f>IF(ISNA(MATCH(1006,Engine!$C$2:$C$1960,0)),"",INDEX('Compliance Database'!$J$2:$J$1960,MATCH(1006,Engine!$C$2:$C$1960,0)))</f>
        <v/>
      </c>
      <c r="K1019" s="9">
        <f>IF(ISNA(MATCH(1006,Engine!$C$2:$C$1960,0)),"",INDEX('Compliance Database'!$K$2:$K$1960,MATCH(1006,Engine!$C$2:$C$1960,0)))</f>
        <v/>
      </c>
      <c r="L1019" s="9">
        <f>IF(ISNA(MATCH(1006,Engine!$C$2:$C$1960,0)),"",INDEX('Compliance Database'!$L$2:$L$1960,MATCH(1006,Engine!$C$2:$C$1960,0)))</f>
        <v/>
      </c>
      <c r="M1019" s="9">
        <f>IF(ISNA(MATCH(1006,Engine!$C$2:$C$1960,0)),"",INDEX('Compliance Database'!$M$2:$M$1960,MATCH(1006,Engine!$C$2:$C$1960,0)))</f>
        <v/>
      </c>
      <c r="N1019" s="9">
        <f>IF(ISNA(MATCH(1006,Engine!$C$2:$C$1960,0)),"",INDEX('Compliance Database'!$N$2:$N$1960,MATCH(1006,Engine!$C$2:$C$1960,0)))</f>
        <v/>
      </c>
      <c r="O1019" s="9">
        <f>IF(ISNA(MATCH(1006,Engine!$C$2:$C$1960,0)),"",INDEX('Compliance Database'!$O$2:$O$1960,MATCH(1006,Engine!$C$2:$C$1960,0)))</f>
        <v/>
      </c>
      <c r="P1019" s="8">
        <f>IF(ISNA(MATCH(1006,Engine!$C$2:$C$1960,0)),"",HYPERLINK("#Acts!A"&amp;INDEX('Compliance Database'!$P$2:$P$1960,MATCH(1006,Engine!$C$2:$C$1960,0)),"Go to Act"))</f>
        <v/>
      </c>
    </row>
    <row r="1020" ht="158" customHeight="1">
      <c r="A1020" s="8">
        <f>IF(ISNA(MATCH(1007,Engine!$C$2:$C$1960,0)),"",INDEX('Compliance Database'!$A$2:$A$1960,MATCH(1007,Engine!$C$2:$C$1960,0)))</f>
        <v/>
      </c>
      <c r="B1020" s="8">
        <f>IF(ISNA(MATCH(1007,Engine!$C$2:$C$1960,0)),"",INDEX('Compliance Database'!$B$2:$B$1960,MATCH(1007,Engine!$C$2:$C$1960,0)))</f>
        <v/>
      </c>
      <c r="C1020" s="8">
        <f>IF(ISNA(MATCH(1007,Engine!$C$2:$C$1960,0)),"",INDEX('Compliance Database'!$C$2:$C$1960,MATCH(1007,Engine!$C$2:$C$1960,0)))</f>
        <v/>
      </c>
      <c r="D1020" s="9">
        <f>IF(ISNA(MATCH(1007,Engine!$C$2:$C$1960,0)),"",INDEX('Compliance Database'!$D$2:$D$1960,MATCH(1007,Engine!$C$2:$C$1960,0)))</f>
        <v/>
      </c>
      <c r="E1020" s="8">
        <f>IF(ISNA(MATCH(1007,Engine!$C$2:$C$1960,0)),"",INDEX('Compliance Database'!$E$2:$E$1960,MATCH(1007,Engine!$C$2:$C$1960,0)))</f>
        <v/>
      </c>
      <c r="F1020" s="8">
        <f>IF(ISNA(MATCH(1007,Engine!$C$2:$C$1960,0)),"",INDEX('Compliance Database'!$F$2:$F$1960,MATCH(1007,Engine!$C$2:$C$1960,0)))</f>
        <v/>
      </c>
      <c r="G1020" s="8">
        <f>IF(ISNA(MATCH(1007,Engine!$C$2:$C$1960,0)),"",INDEX('Compliance Database'!$G$2:$G$1960,MATCH(1007,Engine!$C$2:$C$1960,0)))</f>
        <v/>
      </c>
      <c r="H1020" s="9">
        <f>IF(ISNA(MATCH(1007,Engine!$C$2:$C$1960,0)),"",INDEX('Compliance Database'!$H$2:$H$1960,MATCH(1007,Engine!$C$2:$C$1960,0)))</f>
        <v/>
      </c>
      <c r="I1020" s="9">
        <f>IF(ISNA(MATCH(1007,Engine!$C$2:$C$1960,0)),"",INDEX('Compliance Database'!$I$2:$I$1960,MATCH(1007,Engine!$C$2:$C$1960,0)))</f>
        <v/>
      </c>
      <c r="J1020" s="8">
        <f>IF(ISNA(MATCH(1007,Engine!$C$2:$C$1960,0)),"",INDEX('Compliance Database'!$J$2:$J$1960,MATCH(1007,Engine!$C$2:$C$1960,0)))</f>
        <v/>
      </c>
      <c r="K1020" s="9">
        <f>IF(ISNA(MATCH(1007,Engine!$C$2:$C$1960,0)),"",INDEX('Compliance Database'!$K$2:$K$1960,MATCH(1007,Engine!$C$2:$C$1960,0)))</f>
        <v/>
      </c>
      <c r="L1020" s="9">
        <f>IF(ISNA(MATCH(1007,Engine!$C$2:$C$1960,0)),"",INDEX('Compliance Database'!$L$2:$L$1960,MATCH(1007,Engine!$C$2:$C$1960,0)))</f>
        <v/>
      </c>
      <c r="M1020" s="9">
        <f>IF(ISNA(MATCH(1007,Engine!$C$2:$C$1960,0)),"",INDEX('Compliance Database'!$M$2:$M$1960,MATCH(1007,Engine!$C$2:$C$1960,0)))</f>
        <v/>
      </c>
      <c r="N1020" s="9">
        <f>IF(ISNA(MATCH(1007,Engine!$C$2:$C$1960,0)),"",INDEX('Compliance Database'!$N$2:$N$1960,MATCH(1007,Engine!$C$2:$C$1960,0)))</f>
        <v/>
      </c>
      <c r="O1020" s="9">
        <f>IF(ISNA(MATCH(1007,Engine!$C$2:$C$1960,0)),"",INDEX('Compliance Database'!$O$2:$O$1960,MATCH(1007,Engine!$C$2:$C$1960,0)))</f>
        <v/>
      </c>
      <c r="P1020" s="8">
        <f>IF(ISNA(MATCH(1007,Engine!$C$2:$C$1960,0)),"",HYPERLINK("#Acts!A"&amp;INDEX('Compliance Database'!$P$2:$P$1960,MATCH(1007,Engine!$C$2:$C$1960,0)),"Go to Act"))</f>
        <v/>
      </c>
    </row>
    <row r="1021" ht="158" customHeight="1">
      <c r="A1021" s="8">
        <f>IF(ISNA(MATCH(1008,Engine!$C$2:$C$1960,0)),"",INDEX('Compliance Database'!$A$2:$A$1960,MATCH(1008,Engine!$C$2:$C$1960,0)))</f>
        <v/>
      </c>
      <c r="B1021" s="8">
        <f>IF(ISNA(MATCH(1008,Engine!$C$2:$C$1960,0)),"",INDEX('Compliance Database'!$B$2:$B$1960,MATCH(1008,Engine!$C$2:$C$1960,0)))</f>
        <v/>
      </c>
      <c r="C1021" s="8">
        <f>IF(ISNA(MATCH(1008,Engine!$C$2:$C$1960,0)),"",INDEX('Compliance Database'!$C$2:$C$1960,MATCH(1008,Engine!$C$2:$C$1960,0)))</f>
        <v/>
      </c>
      <c r="D1021" s="9">
        <f>IF(ISNA(MATCH(1008,Engine!$C$2:$C$1960,0)),"",INDEX('Compliance Database'!$D$2:$D$1960,MATCH(1008,Engine!$C$2:$C$1960,0)))</f>
        <v/>
      </c>
      <c r="E1021" s="8">
        <f>IF(ISNA(MATCH(1008,Engine!$C$2:$C$1960,0)),"",INDEX('Compliance Database'!$E$2:$E$1960,MATCH(1008,Engine!$C$2:$C$1960,0)))</f>
        <v/>
      </c>
      <c r="F1021" s="8">
        <f>IF(ISNA(MATCH(1008,Engine!$C$2:$C$1960,0)),"",INDEX('Compliance Database'!$F$2:$F$1960,MATCH(1008,Engine!$C$2:$C$1960,0)))</f>
        <v/>
      </c>
      <c r="G1021" s="8">
        <f>IF(ISNA(MATCH(1008,Engine!$C$2:$C$1960,0)),"",INDEX('Compliance Database'!$G$2:$G$1960,MATCH(1008,Engine!$C$2:$C$1960,0)))</f>
        <v/>
      </c>
      <c r="H1021" s="9">
        <f>IF(ISNA(MATCH(1008,Engine!$C$2:$C$1960,0)),"",INDEX('Compliance Database'!$H$2:$H$1960,MATCH(1008,Engine!$C$2:$C$1960,0)))</f>
        <v/>
      </c>
      <c r="I1021" s="9">
        <f>IF(ISNA(MATCH(1008,Engine!$C$2:$C$1960,0)),"",INDEX('Compliance Database'!$I$2:$I$1960,MATCH(1008,Engine!$C$2:$C$1960,0)))</f>
        <v/>
      </c>
      <c r="J1021" s="8">
        <f>IF(ISNA(MATCH(1008,Engine!$C$2:$C$1960,0)),"",INDEX('Compliance Database'!$J$2:$J$1960,MATCH(1008,Engine!$C$2:$C$1960,0)))</f>
        <v/>
      </c>
      <c r="K1021" s="9">
        <f>IF(ISNA(MATCH(1008,Engine!$C$2:$C$1960,0)),"",INDEX('Compliance Database'!$K$2:$K$1960,MATCH(1008,Engine!$C$2:$C$1960,0)))</f>
        <v/>
      </c>
      <c r="L1021" s="9">
        <f>IF(ISNA(MATCH(1008,Engine!$C$2:$C$1960,0)),"",INDEX('Compliance Database'!$L$2:$L$1960,MATCH(1008,Engine!$C$2:$C$1960,0)))</f>
        <v/>
      </c>
      <c r="M1021" s="9">
        <f>IF(ISNA(MATCH(1008,Engine!$C$2:$C$1960,0)),"",INDEX('Compliance Database'!$M$2:$M$1960,MATCH(1008,Engine!$C$2:$C$1960,0)))</f>
        <v/>
      </c>
      <c r="N1021" s="9">
        <f>IF(ISNA(MATCH(1008,Engine!$C$2:$C$1960,0)),"",INDEX('Compliance Database'!$N$2:$N$1960,MATCH(1008,Engine!$C$2:$C$1960,0)))</f>
        <v/>
      </c>
      <c r="O1021" s="9">
        <f>IF(ISNA(MATCH(1008,Engine!$C$2:$C$1960,0)),"",INDEX('Compliance Database'!$O$2:$O$1960,MATCH(1008,Engine!$C$2:$C$1960,0)))</f>
        <v/>
      </c>
      <c r="P1021" s="8">
        <f>IF(ISNA(MATCH(1008,Engine!$C$2:$C$1960,0)),"",HYPERLINK("#Acts!A"&amp;INDEX('Compliance Database'!$P$2:$P$1960,MATCH(1008,Engine!$C$2:$C$1960,0)),"Go to Act"))</f>
        <v/>
      </c>
    </row>
    <row r="1022" ht="158" customHeight="1">
      <c r="A1022" s="8">
        <f>IF(ISNA(MATCH(1009,Engine!$C$2:$C$1960,0)),"",INDEX('Compliance Database'!$A$2:$A$1960,MATCH(1009,Engine!$C$2:$C$1960,0)))</f>
        <v/>
      </c>
      <c r="B1022" s="8">
        <f>IF(ISNA(MATCH(1009,Engine!$C$2:$C$1960,0)),"",INDEX('Compliance Database'!$B$2:$B$1960,MATCH(1009,Engine!$C$2:$C$1960,0)))</f>
        <v/>
      </c>
      <c r="C1022" s="8">
        <f>IF(ISNA(MATCH(1009,Engine!$C$2:$C$1960,0)),"",INDEX('Compliance Database'!$C$2:$C$1960,MATCH(1009,Engine!$C$2:$C$1960,0)))</f>
        <v/>
      </c>
      <c r="D1022" s="9">
        <f>IF(ISNA(MATCH(1009,Engine!$C$2:$C$1960,0)),"",INDEX('Compliance Database'!$D$2:$D$1960,MATCH(1009,Engine!$C$2:$C$1960,0)))</f>
        <v/>
      </c>
      <c r="E1022" s="8">
        <f>IF(ISNA(MATCH(1009,Engine!$C$2:$C$1960,0)),"",INDEX('Compliance Database'!$E$2:$E$1960,MATCH(1009,Engine!$C$2:$C$1960,0)))</f>
        <v/>
      </c>
      <c r="F1022" s="8">
        <f>IF(ISNA(MATCH(1009,Engine!$C$2:$C$1960,0)),"",INDEX('Compliance Database'!$F$2:$F$1960,MATCH(1009,Engine!$C$2:$C$1960,0)))</f>
        <v/>
      </c>
      <c r="G1022" s="8">
        <f>IF(ISNA(MATCH(1009,Engine!$C$2:$C$1960,0)),"",INDEX('Compliance Database'!$G$2:$G$1960,MATCH(1009,Engine!$C$2:$C$1960,0)))</f>
        <v/>
      </c>
      <c r="H1022" s="9">
        <f>IF(ISNA(MATCH(1009,Engine!$C$2:$C$1960,0)),"",INDEX('Compliance Database'!$H$2:$H$1960,MATCH(1009,Engine!$C$2:$C$1960,0)))</f>
        <v/>
      </c>
      <c r="I1022" s="9">
        <f>IF(ISNA(MATCH(1009,Engine!$C$2:$C$1960,0)),"",INDEX('Compliance Database'!$I$2:$I$1960,MATCH(1009,Engine!$C$2:$C$1960,0)))</f>
        <v/>
      </c>
      <c r="J1022" s="8">
        <f>IF(ISNA(MATCH(1009,Engine!$C$2:$C$1960,0)),"",INDEX('Compliance Database'!$J$2:$J$1960,MATCH(1009,Engine!$C$2:$C$1960,0)))</f>
        <v/>
      </c>
      <c r="K1022" s="9">
        <f>IF(ISNA(MATCH(1009,Engine!$C$2:$C$1960,0)),"",INDEX('Compliance Database'!$K$2:$K$1960,MATCH(1009,Engine!$C$2:$C$1960,0)))</f>
        <v/>
      </c>
      <c r="L1022" s="9">
        <f>IF(ISNA(MATCH(1009,Engine!$C$2:$C$1960,0)),"",INDEX('Compliance Database'!$L$2:$L$1960,MATCH(1009,Engine!$C$2:$C$1960,0)))</f>
        <v/>
      </c>
      <c r="M1022" s="9">
        <f>IF(ISNA(MATCH(1009,Engine!$C$2:$C$1960,0)),"",INDEX('Compliance Database'!$M$2:$M$1960,MATCH(1009,Engine!$C$2:$C$1960,0)))</f>
        <v/>
      </c>
      <c r="N1022" s="9">
        <f>IF(ISNA(MATCH(1009,Engine!$C$2:$C$1960,0)),"",INDEX('Compliance Database'!$N$2:$N$1960,MATCH(1009,Engine!$C$2:$C$1960,0)))</f>
        <v/>
      </c>
      <c r="O1022" s="9">
        <f>IF(ISNA(MATCH(1009,Engine!$C$2:$C$1960,0)),"",INDEX('Compliance Database'!$O$2:$O$1960,MATCH(1009,Engine!$C$2:$C$1960,0)))</f>
        <v/>
      </c>
      <c r="P1022" s="8">
        <f>IF(ISNA(MATCH(1009,Engine!$C$2:$C$1960,0)),"",HYPERLINK("#Acts!A"&amp;INDEX('Compliance Database'!$P$2:$P$1960,MATCH(1009,Engine!$C$2:$C$1960,0)),"Go to Act"))</f>
        <v/>
      </c>
    </row>
    <row r="1023" ht="158" customHeight="1">
      <c r="A1023" s="8">
        <f>IF(ISNA(MATCH(1010,Engine!$C$2:$C$1960,0)),"",INDEX('Compliance Database'!$A$2:$A$1960,MATCH(1010,Engine!$C$2:$C$1960,0)))</f>
        <v/>
      </c>
      <c r="B1023" s="8">
        <f>IF(ISNA(MATCH(1010,Engine!$C$2:$C$1960,0)),"",INDEX('Compliance Database'!$B$2:$B$1960,MATCH(1010,Engine!$C$2:$C$1960,0)))</f>
        <v/>
      </c>
      <c r="C1023" s="8">
        <f>IF(ISNA(MATCH(1010,Engine!$C$2:$C$1960,0)),"",INDEX('Compliance Database'!$C$2:$C$1960,MATCH(1010,Engine!$C$2:$C$1960,0)))</f>
        <v/>
      </c>
      <c r="D1023" s="9">
        <f>IF(ISNA(MATCH(1010,Engine!$C$2:$C$1960,0)),"",INDEX('Compliance Database'!$D$2:$D$1960,MATCH(1010,Engine!$C$2:$C$1960,0)))</f>
        <v/>
      </c>
      <c r="E1023" s="8">
        <f>IF(ISNA(MATCH(1010,Engine!$C$2:$C$1960,0)),"",INDEX('Compliance Database'!$E$2:$E$1960,MATCH(1010,Engine!$C$2:$C$1960,0)))</f>
        <v/>
      </c>
      <c r="F1023" s="8">
        <f>IF(ISNA(MATCH(1010,Engine!$C$2:$C$1960,0)),"",INDEX('Compliance Database'!$F$2:$F$1960,MATCH(1010,Engine!$C$2:$C$1960,0)))</f>
        <v/>
      </c>
      <c r="G1023" s="8">
        <f>IF(ISNA(MATCH(1010,Engine!$C$2:$C$1960,0)),"",INDEX('Compliance Database'!$G$2:$G$1960,MATCH(1010,Engine!$C$2:$C$1960,0)))</f>
        <v/>
      </c>
      <c r="H1023" s="9">
        <f>IF(ISNA(MATCH(1010,Engine!$C$2:$C$1960,0)),"",INDEX('Compliance Database'!$H$2:$H$1960,MATCH(1010,Engine!$C$2:$C$1960,0)))</f>
        <v/>
      </c>
      <c r="I1023" s="9">
        <f>IF(ISNA(MATCH(1010,Engine!$C$2:$C$1960,0)),"",INDEX('Compliance Database'!$I$2:$I$1960,MATCH(1010,Engine!$C$2:$C$1960,0)))</f>
        <v/>
      </c>
      <c r="J1023" s="8">
        <f>IF(ISNA(MATCH(1010,Engine!$C$2:$C$1960,0)),"",INDEX('Compliance Database'!$J$2:$J$1960,MATCH(1010,Engine!$C$2:$C$1960,0)))</f>
        <v/>
      </c>
      <c r="K1023" s="9">
        <f>IF(ISNA(MATCH(1010,Engine!$C$2:$C$1960,0)),"",INDEX('Compliance Database'!$K$2:$K$1960,MATCH(1010,Engine!$C$2:$C$1960,0)))</f>
        <v/>
      </c>
      <c r="L1023" s="9">
        <f>IF(ISNA(MATCH(1010,Engine!$C$2:$C$1960,0)),"",INDEX('Compliance Database'!$L$2:$L$1960,MATCH(1010,Engine!$C$2:$C$1960,0)))</f>
        <v/>
      </c>
      <c r="M1023" s="9">
        <f>IF(ISNA(MATCH(1010,Engine!$C$2:$C$1960,0)),"",INDEX('Compliance Database'!$M$2:$M$1960,MATCH(1010,Engine!$C$2:$C$1960,0)))</f>
        <v/>
      </c>
      <c r="N1023" s="9">
        <f>IF(ISNA(MATCH(1010,Engine!$C$2:$C$1960,0)),"",INDEX('Compliance Database'!$N$2:$N$1960,MATCH(1010,Engine!$C$2:$C$1960,0)))</f>
        <v/>
      </c>
      <c r="O1023" s="9">
        <f>IF(ISNA(MATCH(1010,Engine!$C$2:$C$1960,0)),"",INDEX('Compliance Database'!$O$2:$O$1960,MATCH(1010,Engine!$C$2:$C$1960,0)))</f>
        <v/>
      </c>
      <c r="P1023" s="8">
        <f>IF(ISNA(MATCH(1010,Engine!$C$2:$C$1960,0)),"",HYPERLINK("#Acts!A"&amp;INDEX('Compliance Database'!$P$2:$P$1960,MATCH(1010,Engine!$C$2:$C$1960,0)),"Go to Act"))</f>
        <v/>
      </c>
    </row>
    <row r="1024" ht="158" customHeight="1">
      <c r="A1024" s="8">
        <f>IF(ISNA(MATCH(1011,Engine!$C$2:$C$1960,0)),"",INDEX('Compliance Database'!$A$2:$A$1960,MATCH(1011,Engine!$C$2:$C$1960,0)))</f>
        <v/>
      </c>
      <c r="B1024" s="8">
        <f>IF(ISNA(MATCH(1011,Engine!$C$2:$C$1960,0)),"",INDEX('Compliance Database'!$B$2:$B$1960,MATCH(1011,Engine!$C$2:$C$1960,0)))</f>
        <v/>
      </c>
      <c r="C1024" s="8">
        <f>IF(ISNA(MATCH(1011,Engine!$C$2:$C$1960,0)),"",INDEX('Compliance Database'!$C$2:$C$1960,MATCH(1011,Engine!$C$2:$C$1960,0)))</f>
        <v/>
      </c>
      <c r="D1024" s="9">
        <f>IF(ISNA(MATCH(1011,Engine!$C$2:$C$1960,0)),"",INDEX('Compliance Database'!$D$2:$D$1960,MATCH(1011,Engine!$C$2:$C$1960,0)))</f>
        <v/>
      </c>
      <c r="E1024" s="8">
        <f>IF(ISNA(MATCH(1011,Engine!$C$2:$C$1960,0)),"",INDEX('Compliance Database'!$E$2:$E$1960,MATCH(1011,Engine!$C$2:$C$1960,0)))</f>
        <v/>
      </c>
      <c r="F1024" s="8">
        <f>IF(ISNA(MATCH(1011,Engine!$C$2:$C$1960,0)),"",INDEX('Compliance Database'!$F$2:$F$1960,MATCH(1011,Engine!$C$2:$C$1960,0)))</f>
        <v/>
      </c>
      <c r="G1024" s="8">
        <f>IF(ISNA(MATCH(1011,Engine!$C$2:$C$1960,0)),"",INDEX('Compliance Database'!$G$2:$G$1960,MATCH(1011,Engine!$C$2:$C$1960,0)))</f>
        <v/>
      </c>
      <c r="H1024" s="9">
        <f>IF(ISNA(MATCH(1011,Engine!$C$2:$C$1960,0)),"",INDEX('Compliance Database'!$H$2:$H$1960,MATCH(1011,Engine!$C$2:$C$1960,0)))</f>
        <v/>
      </c>
      <c r="I1024" s="9">
        <f>IF(ISNA(MATCH(1011,Engine!$C$2:$C$1960,0)),"",INDEX('Compliance Database'!$I$2:$I$1960,MATCH(1011,Engine!$C$2:$C$1960,0)))</f>
        <v/>
      </c>
      <c r="J1024" s="8">
        <f>IF(ISNA(MATCH(1011,Engine!$C$2:$C$1960,0)),"",INDEX('Compliance Database'!$J$2:$J$1960,MATCH(1011,Engine!$C$2:$C$1960,0)))</f>
        <v/>
      </c>
      <c r="K1024" s="9">
        <f>IF(ISNA(MATCH(1011,Engine!$C$2:$C$1960,0)),"",INDEX('Compliance Database'!$K$2:$K$1960,MATCH(1011,Engine!$C$2:$C$1960,0)))</f>
        <v/>
      </c>
      <c r="L1024" s="9">
        <f>IF(ISNA(MATCH(1011,Engine!$C$2:$C$1960,0)),"",INDEX('Compliance Database'!$L$2:$L$1960,MATCH(1011,Engine!$C$2:$C$1960,0)))</f>
        <v/>
      </c>
      <c r="M1024" s="9">
        <f>IF(ISNA(MATCH(1011,Engine!$C$2:$C$1960,0)),"",INDEX('Compliance Database'!$M$2:$M$1960,MATCH(1011,Engine!$C$2:$C$1960,0)))</f>
        <v/>
      </c>
      <c r="N1024" s="9">
        <f>IF(ISNA(MATCH(1011,Engine!$C$2:$C$1960,0)),"",INDEX('Compliance Database'!$N$2:$N$1960,MATCH(1011,Engine!$C$2:$C$1960,0)))</f>
        <v/>
      </c>
      <c r="O1024" s="9">
        <f>IF(ISNA(MATCH(1011,Engine!$C$2:$C$1960,0)),"",INDEX('Compliance Database'!$O$2:$O$1960,MATCH(1011,Engine!$C$2:$C$1960,0)))</f>
        <v/>
      </c>
      <c r="P1024" s="8">
        <f>IF(ISNA(MATCH(1011,Engine!$C$2:$C$1960,0)),"",HYPERLINK("#Acts!A"&amp;INDEX('Compliance Database'!$P$2:$P$1960,MATCH(1011,Engine!$C$2:$C$1960,0)),"Go to Act"))</f>
        <v/>
      </c>
    </row>
    <row r="1025" ht="158" customHeight="1">
      <c r="A1025" s="8">
        <f>IF(ISNA(MATCH(1012,Engine!$C$2:$C$1960,0)),"",INDEX('Compliance Database'!$A$2:$A$1960,MATCH(1012,Engine!$C$2:$C$1960,0)))</f>
        <v/>
      </c>
      <c r="B1025" s="8">
        <f>IF(ISNA(MATCH(1012,Engine!$C$2:$C$1960,0)),"",INDEX('Compliance Database'!$B$2:$B$1960,MATCH(1012,Engine!$C$2:$C$1960,0)))</f>
        <v/>
      </c>
      <c r="C1025" s="8">
        <f>IF(ISNA(MATCH(1012,Engine!$C$2:$C$1960,0)),"",INDEX('Compliance Database'!$C$2:$C$1960,MATCH(1012,Engine!$C$2:$C$1960,0)))</f>
        <v/>
      </c>
      <c r="D1025" s="9">
        <f>IF(ISNA(MATCH(1012,Engine!$C$2:$C$1960,0)),"",INDEX('Compliance Database'!$D$2:$D$1960,MATCH(1012,Engine!$C$2:$C$1960,0)))</f>
        <v/>
      </c>
      <c r="E1025" s="8">
        <f>IF(ISNA(MATCH(1012,Engine!$C$2:$C$1960,0)),"",INDEX('Compliance Database'!$E$2:$E$1960,MATCH(1012,Engine!$C$2:$C$1960,0)))</f>
        <v/>
      </c>
      <c r="F1025" s="8">
        <f>IF(ISNA(MATCH(1012,Engine!$C$2:$C$1960,0)),"",INDEX('Compliance Database'!$F$2:$F$1960,MATCH(1012,Engine!$C$2:$C$1960,0)))</f>
        <v/>
      </c>
      <c r="G1025" s="8">
        <f>IF(ISNA(MATCH(1012,Engine!$C$2:$C$1960,0)),"",INDEX('Compliance Database'!$G$2:$G$1960,MATCH(1012,Engine!$C$2:$C$1960,0)))</f>
        <v/>
      </c>
      <c r="H1025" s="9">
        <f>IF(ISNA(MATCH(1012,Engine!$C$2:$C$1960,0)),"",INDEX('Compliance Database'!$H$2:$H$1960,MATCH(1012,Engine!$C$2:$C$1960,0)))</f>
        <v/>
      </c>
      <c r="I1025" s="9">
        <f>IF(ISNA(MATCH(1012,Engine!$C$2:$C$1960,0)),"",INDEX('Compliance Database'!$I$2:$I$1960,MATCH(1012,Engine!$C$2:$C$1960,0)))</f>
        <v/>
      </c>
      <c r="J1025" s="8">
        <f>IF(ISNA(MATCH(1012,Engine!$C$2:$C$1960,0)),"",INDEX('Compliance Database'!$J$2:$J$1960,MATCH(1012,Engine!$C$2:$C$1960,0)))</f>
        <v/>
      </c>
      <c r="K1025" s="9">
        <f>IF(ISNA(MATCH(1012,Engine!$C$2:$C$1960,0)),"",INDEX('Compliance Database'!$K$2:$K$1960,MATCH(1012,Engine!$C$2:$C$1960,0)))</f>
        <v/>
      </c>
      <c r="L1025" s="9">
        <f>IF(ISNA(MATCH(1012,Engine!$C$2:$C$1960,0)),"",INDEX('Compliance Database'!$L$2:$L$1960,MATCH(1012,Engine!$C$2:$C$1960,0)))</f>
        <v/>
      </c>
      <c r="M1025" s="9">
        <f>IF(ISNA(MATCH(1012,Engine!$C$2:$C$1960,0)),"",INDEX('Compliance Database'!$M$2:$M$1960,MATCH(1012,Engine!$C$2:$C$1960,0)))</f>
        <v/>
      </c>
      <c r="N1025" s="9">
        <f>IF(ISNA(MATCH(1012,Engine!$C$2:$C$1960,0)),"",INDEX('Compliance Database'!$N$2:$N$1960,MATCH(1012,Engine!$C$2:$C$1960,0)))</f>
        <v/>
      </c>
      <c r="O1025" s="9">
        <f>IF(ISNA(MATCH(1012,Engine!$C$2:$C$1960,0)),"",INDEX('Compliance Database'!$O$2:$O$1960,MATCH(1012,Engine!$C$2:$C$1960,0)))</f>
        <v/>
      </c>
      <c r="P1025" s="8">
        <f>IF(ISNA(MATCH(1012,Engine!$C$2:$C$1960,0)),"",HYPERLINK("#Acts!A"&amp;INDEX('Compliance Database'!$P$2:$P$1960,MATCH(1012,Engine!$C$2:$C$1960,0)),"Go to Act"))</f>
        <v/>
      </c>
    </row>
    <row r="1026" ht="158" customHeight="1">
      <c r="A1026" s="8">
        <f>IF(ISNA(MATCH(1013,Engine!$C$2:$C$1960,0)),"",INDEX('Compliance Database'!$A$2:$A$1960,MATCH(1013,Engine!$C$2:$C$1960,0)))</f>
        <v/>
      </c>
      <c r="B1026" s="8">
        <f>IF(ISNA(MATCH(1013,Engine!$C$2:$C$1960,0)),"",INDEX('Compliance Database'!$B$2:$B$1960,MATCH(1013,Engine!$C$2:$C$1960,0)))</f>
        <v/>
      </c>
      <c r="C1026" s="8">
        <f>IF(ISNA(MATCH(1013,Engine!$C$2:$C$1960,0)),"",INDEX('Compliance Database'!$C$2:$C$1960,MATCH(1013,Engine!$C$2:$C$1960,0)))</f>
        <v/>
      </c>
      <c r="D1026" s="9">
        <f>IF(ISNA(MATCH(1013,Engine!$C$2:$C$1960,0)),"",INDEX('Compliance Database'!$D$2:$D$1960,MATCH(1013,Engine!$C$2:$C$1960,0)))</f>
        <v/>
      </c>
      <c r="E1026" s="8">
        <f>IF(ISNA(MATCH(1013,Engine!$C$2:$C$1960,0)),"",INDEX('Compliance Database'!$E$2:$E$1960,MATCH(1013,Engine!$C$2:$C$1960,0)))</f>
        <v/>
      </c>
      <c r="F1026" s="8">
        <f>IF(ISNA(MATCH(1013,Engine!$C$2:$C$1960,0)),"",INDEX('Compliance Database'!$F$2:$F$1960,MATCH(1013,Engine!$C$2:$C$1960,0)))</f>
        <v/>
      </c>
      <c r="G1026" s="8">
        <f>IF(ISNA(MATCH(1013,Engine!$C$2:$C$1960,0)),"",INDEX('Compliance Database'!$G$2:$G$1960,MATCH(1013,Engine!$C$2:$C$1960,0)))</f>
        <v/>
      </c>
      <c r="H1026" s="9">
        <f>IF(ISNA(MATCH(1013,Engine!$C$2:$C$1960,0)),"",INDEX('Compliance Database'!$H$2:$H$1960,MATCH(1013,Engine!$C$2:$C$1960,0)))</f>
        <v/>
      </c>
      <c r="I1026" s="9">
        <f>IF(ISNA(MATCH(1013,Engine!$C$2:$C$1960,0)),"",INDEX('Compliance Database'!$I$2:$I$1960,MATCH(1013,Engine!$C$2:$C$1960,0)))</f>
        <v/>
      </c>
      <c r="J1026" s="8">
        <f>IF(ISNA(MATCH(1013,Engine!$C$2:$C$1960,0)),"",INDEX('Compliance Database'!$J$2:$J$1960,MATCH(1013,Engine!$C$2:$C$1960,0)))</f>
        <v/>
      </c>
      <c r="K1026" s="9">
        <f>IF(ISNA(MATCH(1013,Engine!$C$2:$C$1960,0)),"",INDEX('Compliance Database'!$K$2:$K$1960,MATCH(1013,Engine!$C$2:$C$1960,0)))</f>
        <v/>
      </c>
      <c r="L1026" s="9">
        <f>IF(ISNA(MATCH(1013,Engine!$C$2:$C$1960,0)),"",INDEX('Compliance Database'!$L$2:$L$1960,MATCH(1013,Engine!$C$2:$C$1960,0)))</f>
        <v/>
      </c>
      <c r="M1026" s="9">
        <f>IF(ISNA(MATCH(1013,Engine!$C$2:$C$1960,0)),"",INDEX('Compliance Database'!$M$2:$M$1960,MATCH(1013,Engine!$C$2:$C$1960,0)))</f>
        <v/>
      </c>
      <c r="N1026" s="9">
        <f>IF(ISNA(MATCH(1013,Engine!$C$2:$C$1960,0)),"",INDEX('Compliance Database'!$N$2:$N$1960,MATCH(1013,Engine!$C$2:$C$1960,0)))</f>
        <v/>
      </c>
      <c r="O1026" s="9">
        <f>IF(ISNA(MATCH(1013,Engine!$C$2:$C$1960,0)),"",INDEX('Compliance Database'!$O$2:$O$1960,MATCH(1013,Engine!$C$2:$C$1960,0)))</f>
        <v/>
      </c>
      <c r="P1026" s="8">
        <f>IF(ISNA(MATCH(1013,Engine!$C$2:$C$1960,0)),"",HYPERLINK("#Acts!A"&amp;INDEX('Compliance Database'!$P$2:$P$1960,MATCH(1013,Engine!$C$2:$C$1960,0)),"Go to Act"))</f>
        <v/>
      </c>
    </row>
    <row r="1027" ht="158" customHeight="1">
      <c r="A1027" s="8">
        <f>IF(ISNA(MATCH(1014,Engine!$C$2:$C$1960,0)),"",INDEX('Compliance Database'!$A$2:$A$1960,MATCH(1014,Engine!$C$2:$C$1960,0)))</f>
        <v/>
      </c>
      <c r="B1027" s="8">
        <f>IF(ISNA(MATCH(1014,Engine!$C$2:$C$1960,0)),"",INDEX('Compliance Database'!$B$2:$B$1960,MATCH(1014,Engine!$C$2:$C$1960,0)))</f>
        <v/>
      </c>
      <c r="C1027" s="8">
        <f>IF(ISNA(MATCH(1014,Engine!$C$2:$C$1960,0)),"",INDEX('Compliance Database'!$C$2:$C$1960,MATCH(1014,Engine!$C$2:$C$1960,0)))</f>
        <v/>
      </c>
      <c r="D1027" s="9">
        <f>IF(ISNA(MATCH(1014,Engine!$C$2:$C$1960,0)),"",INDEX('Compliance Database'!$D$2:$D$1960,MATCH(1014,Engine!$C$2:$C$1960,0)))</f>
        <v/>
      </c>
      <c r="E1027" s="8">
        <f>IF(ISNA(MATCH(1014,Engine!$C$2:$C$1960,0)),"",INDEX('Compliance Database'!$E$2:$E$1960,MATCH(1014,Engine!$C$2:$C$1960,0)))</f>
        <v/>
      </c>
      <c r="F1027" s="8">
        <f>IF(ISNA(MATCH(1014,Engine!$C$2:$C$1960,0)),"",INDEX('Compliance Database'!$F$2:$F$1960,MATCH(1014,Engine!$C$2:$C$1960,0)))</f>
        <v/>
      </c>
      <c r="G1027" s="8">
        <f>IF(ISNA(MATCH(1014,Engine!$C$2:$C$1960,0)),"",INDEX('Compliance Database'!$G$2:$G$1960,MATCH(1014,Engine!$C$2:$C$1960,0)))</f>
        <v/>
      </c>
      <c r="H1027" s="9">
        <f>IF(ISNA(MATCH(1014,Engine!$C$2:$C$1960,0)),"",INDEX('Compliance Database'!$H$2:$H$1960,MATCH(1014,Engine!$C$2:$C$1960,0)))</f>
        <v/>
      </c>
      <c r="I1027" s="9">
        <f>IF(ISNA(MATCH(1014,Engine!$C$2:$C$1960,0)),"",INDEX('Compliance Database'!$I$2:$I$1960,MATCH(1014,Engine!$C$2:$C$1960,0)))</f>
        <v/>
      </c>
      <c r="J1027" s="8">
        <f>IF(ISNA(MATCH(1014,Engine!$C$2:$C$1960,0)),"",INDEX('Compliance Database'!$J$2:$J$1960,MATCH(1014,Engine!$C$2:$C$1960,0)))</f>
        <v/>
      </c>
      <c r="K1027" s="9">
        <f>IF(ISNA(MATCH(1014,Engine!$C$2:$C$1960,0)),"",INDEX('Compliance Database'!$K$2:$K$1960,MATCH(1014,Engine!$C$2:$C$1960,0)))</f>
        <v/>
      </c>
      <c r="L1027" s="9">
        <f>IF(ISNA(MATCH(1014,Engine!$C$2:$C$1960,0)),"",INDEX('Compliance Database'!$L$2:$L$1960,MATCH(1014,Engine!$C$2:$C$1960,0)))</f>
        <v/>
      </c>
      <c r="M1027" s="9">
        <f>IF(ISNA(MATCH(1014,Engine!$C$2:$C$1960,0)),"",INDEX('Compliance Database'!$M$2:$M$1960,MATCH(1014,Engine!$C$2:$C$1960,0)))</f>
        <v/>
      </c>
      <c r="N1027" s="9">
        <f>IF(ISNA(MATCH(1014,Engine!$C$2:$C$1960,0)),"",INDEX('Compliance Database'!$N$2:$N$1960,MATCH(1014,Engine!$C$2:$C$1960,0)))</f>
        <v/>
      </c>
      <c r="O1027" s="9">
        <f>IF(ISNA(MATCH(1014,Engine!$C$2:$C$1960,0)),"",INDEX('Compliance Database'!$O$2:$O$1960,MATCH(1014,Engine!$C$2:$C$1960,0)))</f>
        <v/>
      </c>
      <c r="P1027" s="8">
        <f>IF(ISNA(MATCH(1014,Engine!$C$2:$C$1960,0)),"",HYPERLINK("#Acts!A"&amp;INDEX('Compliance Database'!$P$2:$P$1960,MATCH(1014,Engine!$C$2:$C$1960,0)),"Go to Act"))</f>
        <v/>
      </c>
    </row>
    <row r="1028" ht="158" customHeight="1">
      <c r="A1028" s="8">
        <f>IF(ISNA(MATCH(1015,Engine!$C$2:$C$1960,0)),"",INDEX('Compliance Database'!$A$2:$A$1960,MATCH(1015,Engine!$C$2:$C$1960,0)))</f>
        <v/>
      </c>
      <c r="B1028" s="8">
        <f>IF(ISNA(MATCH(1015,Engine!$C$2:$C$1960,0)),"",INDEX('Compliance Database'!$B$2:$B$1960,MATCH(1015,Engine!$C$2:$C$1960,0)))</f>
        <v/>
      </c>
      <c r="C1028" s="8">
        <f>IF(ISNA(MATCH(1015,Engine!$C$2:$C$1960,0)),"",INDEX('Compliance Database'!$C$2:$C$1960,MATCH(1015,Engine!$C$2:$C$1960,0)))</f>
        <v/>
      </c>
      <c r="D1028" s="9">
        <f>IF(ISNA(MATCH(1015,Engine!$C$2:$C$1960,0)),"",INDEX('Compliance Database'!$D$2:$D$1960,MATCH(1015,Engine!$C$2:$C$1960,0)))</f>
        <v/>
      </c>
      <c r="E1028" s="8">
        <f>IF(ISNA(MATCH(1015,Engine!$C$2:$C$1960,0)),"",INDEX('Compliance Database'!$E$2:$E$1960,MATCH(1015,Engine!$C$2:$C$1960,0)))</f>
        <v/>
      </c>
      <c r="F1028" s="8">
        <f>IF(ISNA(MATCH(1015,Engine!$C$2:$C$1960,0)),"",INDEX('Compliance Database'!$F$2:$F$1960,MATCH(1015,Engine!$C$2:$C$1960,0)))</f>
        <v/>
      </c>
      <c r="G1028" s="8">
        <f>IF(ISNA(MATCH(1015,Engine!$C$2:$C$1960,0)),"",INDEX('Compliance Database'!$G$2:$G$1960,MATCH(1015,Engine!$C$2:$C$1960,0)))</f>
        <v/>
      </c>
      <c r="H1028" s="9">
        <f>IF(ISNA(MATCH(1015,Engine!$C$2:$C$1960,0)),"",INDEX('Compliance Database'!$H$2:$H$1960,MATCH(1015,Engine!$C$2:$C$1960,0)))</f>
        <v/>
      </c>
      <c r="I1028" s="9">
        <f>IF(ISNA(MATCH(1015,Engine!$C$2:$C$1960,0)),"",INDEX('Compliance Database'!$I$2:$I$1960,MATCH(1015,Engine!$C$2:$C$1960,0)))</f>
        <v/>
      </c>
      <c r="J1028" s="8">
        <f>IF(ISNA(MATCH(1015,Engine!$C$2:$C$1960,0)),"",INDEX('Compliance Database'!$J$2:$J$1960,MATCH(1015,Engine!$C$2:$C$1960,0)))</f>
        <v/>
      </c>
      <c r="K1028" s="9">
        <f>IF(ISNA(MATCH(1015,Engine!$C$2:$C$1960,0)),"",INDEX('Compliance Database'!$K$2:$K$1960,MATCH(1015,Engine!$C$2:$C$1960,0)))</f>
        <v/>
      </c>
      <c r="L1028" s="9">
        <f>IF(ISNA(MATCH(1015,Engine!$C$2:$C$1960,0)),"",INDEX('Compliance Database'!$L$2:$L$1960,MATCH(1015,Engine!$C$2:$C$1960,0)))</f>
        <v/>
      </c>
      <c r="M1028" s="9">
        <f>IF(ISNA(MATCH(1015,Engine!$C$2:$C$1960,0)),"",INDEX('Compliance Database'!$M$2:$M$1960,MATCH(1015,Engine!$C$2:$C$1960,0)))</f>
        <v/>
      </c>
      <c r="N1028" s="9">
        <f>IF(ISNA(MATCH(1015,Engine!$C$2:$C$1960,0)),"",INDEX('Compliance Database'!$N$2:$N$1960,MATCH(1015,Engine!$C$2:$C$1960,0)))</f>
        <v/>
      </c>
      <c r="O1028" s="9">
        <f>IF(ISNA(MATCH(1015,Engine!$C$2:$C$1960,0)),"",INDEX('Compliance Database'!$O$2:$O$1960,MATCH(1015,Engine!$C$2:$C$1960,0)))</f>
        <v/>
      </c>
      <c r="P1028" s="8">
        <f>IF(ISNA(MATCH(1015,Engine!$C$2:$C$1960,0)),"",HYPERLINK("#Acts!A"&amp;INDEX('Compliance Database'!$P$2:$P$1960,MATCH(1015,Engine!$C$2:$C$1960,0)),"Go to Act"))</f>
        <v/>
      </c>
    </row>
    <row r="1029" ht="158" customHeight="1">
      <c r="A1029" s="8">
        <f>IF(ISNA(MATCH(1016,Engine!$C$2:$C$1960,0)),"",INDEX('Compliance Database'!$A$2:$A$1960,MATCH(1016,Engine!$C$2:$C$1960,0)))</f>
        <v/>
      </c>
      <c r="B1029" s="8">
        <f>IF(ISNA(MATCH(1016,Engine!$C$2:$C$1960,0)),"",INDEX('Compliance Database'!$B$2:$B$1960,MATCH(1016,Engine!$C$2:$C$1960,0)))</f>
        <v/>
      </c>
      <c r="C1029" s="8">
        <f>IF(ISNA(MATCH(1016,Engine!$C$2:$C$1960,0)),"",INDEX('Compliance Database'!$C$2:$C$1960,MATCH(1016,Engine!$C$2:$C$1960,0)))</f>
        <v/>
      </c>
      <c r="D1029" s="9">
        <f>IF(ISNA(MATCH(1016,Engine!$C$2:$C$1960,0)),"",INDEX('Compliance Database'!$D$2:$D$1960,MATCH(1016,Engine!$C$2:$C$1960,0)))</f>
        <v/>
      </c>
      <c r="E1029" s="8">
        <f>IF(ISNA(MATCH(1016,Engine!$C$2:$C$1960,0)),"",INDEX('Compliance Database'!$E$2:$E$1960,MATCH(1016,Engine!$C$2:$C$1960,0)))</f>
        <v/>
      </c>
      <c r="F1029" s="8">
        <f>IF(ISNA(MATCH(1016,Engine!$C$2:$C$1960,0)),"",INDEX('Compliance Database'!$F$2:$F$1960,MATCH(1016,Engine!$C$2:$C$1960,0)))</f>
        <v/>
      </c>
      <c r="G1029" s="8">
        <f>IF(ISNA(MATCH(1016,Engine!$C$2:$C$1960,0)),"",INDEX('Compliance Database'!$G$2:$G$1960,MATCH(1016,Engine!$C$2:$C$1960,0)))</f>
        <v/>
      </c>
      <c r="H1029" s="9">
        <f>IF(ISNA(MATCH(1016,Engine!$C$2:$C$1960,0)),"",INDEX('Compliance Database'!$H$2:$H$1960,MATCH(1016,Engine!$C$2:$C$1960,0)))</f>
        <v/>
      </c>
      <c r="I1029" s="9">
        <f>IF(ISNA(MATCH(1016,Engine!$C$2:$C$1960,0)),"",INDEX('Compliance Database'!$I$2:$I$1960,MATCH(1016,Engine!$C$2:$C$1960,0)))</f>
        <v/>
      </c>
      <c r="J1029" s="8">
        <f>IF(ISNA(MATCH(1016,Engine!$C$2:$C$1960,0)),"",INDEX('Compliance Database'!$J$2:$J$1960,MATCH(1016,Engine!$C$2:$C$1960,0)))</f>
        <v/>
      </c>
      <c r="K1029" s="9">
        <f>IF(ISNA(MATCH(1016,Engine!$C$2:$C$1960,0)),"",INDEX('Compliance Database'!$K$2:$K$1960,MATCH(1016,Engine!$C$2:$C$1960,0)))</f>
        <v/>
      </c>
      <c r="L1029" s="9">
        <f>IF(ISNA(MATCH(1016,Engine!$C$2:$C$1960,0)),"",INDEX('Compliance Database'!$L$2:$L$1960,MATCH(1016,Engine!$C$2:$C$1960,0)))</f>
        <v/>
      </c>
      <c r="M1029" s="9">
        <f>IF(ISNA(MATCH(1016,Engine!$C$2:$C$1960,0)),"",INDEX('Compliance Database'!$M$2:$M$1960,MATCH(1016,Engine!$C$2:$C$1960,0)))</f>
        <v/>
      </c>
      <c r="N1029" s="9">
        <f>IF(ISNA(MATCH(1016,Engine!$C$2:$C$1960,0)),"",INDEX('Compliance Database'!$N$2:$N$1960,MATCH(1016,Engine!$C$2:$C$1960,0)))</f>
        <v/>
      </c>
      <c r="O1029" s="9">
        <f>IF(ISNA(MATCH(1016,Engine!$C$2:$C$1960,0)),"",INDEX('Compliance Database'!$O$2:$O$1960,MATCH(1016,Engine!$C$2:$C$1960,0)))</f>
        <v/>
      </c>
      <c r="P1029" s="8">
        <f>IF(ISNA(MATCH(1016,Engine!$C$2:$C$1960,0)),"",HYPERLINK("#Acts!A"&amp;INDEX('Compliance Database'!$P$2:$P$1960,MATCH(1016,Engine!$C$2:$C$1960,0)),"Go to Act"))</f>
        <v/>
      </c>
    </row>
    <row r="1030" ht="158" customHeight="1">
      <c r="A1030" s="8">
        <f>IF(ISNA(MATCH(1017,Engine!$C$2:$C$1960,0)),"",INDEX('Compliance Database'!$A$2:$A$1960,MATCH(1017,Engine!$C$2:$C$1960,0)))</f>
        <v/>
      </c>
      <c r="B1030" s="8">
        <f>IF(ISNA(MATCH(1017,Engine!$C$2:$C$1960,0)),"",INDEX('Compliance Database'!$B$2:$B$1960,MATCH(1017,Engine!$C$2:$C$1960,0)))</f>
        <v/>
      </c>
      <c r="C1030" s="8">
        <f>IF(ISNA(MATCH(1017,Engine!$C$2:$C$1960,0)),"",INDEX('Compliance Database'!$C$2:$C$1960,MATCH(1017,Engine!$C$2:$C$1960,0)))</f>
        <v/>
      </c>
      <c r="D1030" s="9">
        <f>IF(ISNA(MATCH(1017,Engine!$C$2:$C$1960,0)),"",INDEX('Compliance Database'!$D$2:$D$1960,MATCH(1017,Engine!$C$2:$C$1960,0)))</f>
        <v/>
      </c>
      <c r="E1030" s="8">
        <f>IF(ISNA(MATCH(1017,Engine!$C$2:$C$1960,0)),"",INDEX('Compliance Database'!$E$2:$E$1960,MATCH(1017,Engine!$C$2:$C$1960,0)))</f>
        <v/>
      </c>
      <c r="F1030" s="8">
        <f>IF(ISNA(MATCH(1017,Engine!$C$2:$C$1960,0)),"",INDEX('Compliance Database'!$F$2:$F$1960,MATCH(1017,Engine!$C$2:$C$1960,0)))</f>
        <v/>
      </c>
      <c r="G1030" s="8">
        <f>IF(ISNA(MATCH(1017,Engine!$C$2:$C$1960,0)),"",INDEX('Compliance Database'!$G$2:$G$1960,MATCH(1017,Engine!$C$2:$C$1960,0)))</f>
        <v/>
      </c>
      <c r="H1030" s="9">
        <f>IF(ISNA(MATCH(1017,Engine!$C$2:$C$1960,0)),"",INDEX('Compliance Database'!$H$2:$H$1960,MATCH(1017,Engine!$C$2:$C$1960,0)))</f>
        <v/>
      </c>
      <c r="I1030" s="9">
        <f>IF(ISNA(MATCH(1017,Engine!$C$2:$C$1960,0)),"",INDEX('Compliance Database'!$I$2:$I$1960,MATCH(1017,Engine!$C$2:$C$1960,0)))</f>
        <v/>
      </c>
      <c r="J1030" s="8">
        <f>IF(ISNA(MATCH(1017,Engine!$C$2:$C$1960,0)),"",INDEX('Compliance Database'!$J$2:$J$1960,MATCH(1017,Engine!$C$2:$C$1960,0)))</f>
        <v/>
      </c>
      <c r="K1030" s="9">
        <f>IF(ISNA(MATCH(1017,Engine!$C$2:$C$1960,0)),"",INDEX('Compliance Database'!$K$2:$K$1960,MATCH(1017,Engine!$C$2:$C$1960,0)))</f>
        <v/>
      </c>
      <c r="L1030" s="9">
        <f>IF(ISNA(MATCH(1017,Engine!$C$2:$C$1960,0)),"",INDEX('Compliance Database'!$L$2:$L$1960,MATCH(1017,Engine!$C$2:$C$1960,0)))</f>
        <v/>
      </c>
      <c r="M1030" s="9">
        <f>IF(ISNA(MATCH(1017,Engine!$C$2:$C$1960,0)),"",INDEX('Compliance Database'!$M$2:$M$1960,MATCH(1017,Engine!$C$2:$C$1960,0)))</f>
        <v/>
      </c>
      <c r="N1030" s="9">
        <f>IF(ISNA(MATCH(1017,Engine!$C$2:$C$1960,0)),"",INDEX('Compliance Database'!$N$2:$N$1960,MATCH(1017,Engine!$C$2:$C$1960,0)))</f>
        <v/>
      </c>
      <c r="O1030" s="9">
        <f>IF(ISNA(MATCH(1017,Engine!$C$2:$C$1960,0)),"",INDEX('Compliance Database'!$O$2:$O$1960,MATCH(1017,Engine!$C$2:$C$1960,0)))</f>
        <v/>
      </c>
      <c r="P1030" s="8">
        <f>IF(ISNA(MATCH(1017,Engine!$C$2:$C$1960,0)),"",HYPERLINK("#Acts!A"&amp;INDEX('Compliance Database'!$P$2:$P$1960,MATCH(1017,Engine!$C$2:$C$1960,0)),"Go to Act"))</f>
        <v/>
      </c>
    </row>
    <row r="1031" ht="158" customHeight="1">
      <c r="A1031" s="8">
        <f>IF(ISNA(MATCH(1018,Engine!$C$2:$C$1960,0)),"",INDEX('Compliance Database'!$A$2:$A$1960,MATCH(1018,Engine!$C$2:$C$1960,0)))</f>
        <v/>
      </c>
      <c r="B1031" s="8">
        <f>IF(ISNA(MATCH(1018,Engine!$C$2:$C$1960,0)),"",INDEX('Compliance Database'!$B$2:$B$1960,MATCH(1018,Engine!$C$2:$C$1960,0)))</f>
        <v/>
      </c>
      <c r="C1031" s="8">
        <f>IF(ISNA(MATCH(1018,Engine!$C$2:$C$1960,0)),"",INDEX('Compliance Database'!$C$2:$C$1960,MATCH(1018,Engine!$C$2:$C$1960,0)))</f>
        <v/>
      </c>
      <c r="D1031" s="9">
        <f>IF(ISNA(MATCH(1018,Engine!$C$2:$C$1960,0)),"",INDEX('Compliance Database'!$D$2:$D$1960,MATCH(1018,Engine!$C$2:$C$1960,0)))</f>
        <v/>
      </c>
      <c r="E1031" s="8">
        <f>IF(ISNA(MATCH(1018,Engine!$C$2:$C$1960,0)),"",INDEX('Compliance Database'!$E$2:$E$1960,MATCH(1018,Engine!$C$2:$C$1960,0)))</f>
        <v/>
      </c>
      <c r="F1031" s="8">
        <f>IF(ISNA(MATCH(1018,Engine!$C$2:$C$1960,0)),"",INDEX('Compliance Database'!$F$2:$F$1960,MATCH(1018,Engine!$C$2:$C$1960,0)))</f>
        <v/>
      </c>
      <c r="G1031" s="8">
        <f>IF(ISNA(MATCH(1018,Engine!$C$2:$C$1960,0)),"",INDEX('Compliance Database'!$G$2:$G$1960,MATCH(1018,Engine!$C$2:$C$1960,0)))</f>
        <v/>
      </c>
      <c r="H1031" s="9">
        <f>IF(ISNA(MATCH(1018,Engine!$C$2:$C$1960,0)),"",INDEX('Compliance Database'!$H$2:$H$1960,MATCH(1018,Engine!$C$2:$C$1960,0)))</f>
        <v/>
      </c>
      <c r="I1031" s="9">
        <f>IF(ISNA(MATCH(1018,Engine!$C$2:$C$1960,0)),"",INDEX('Compliance Database'!$I$2:$I$1960,MATCH(1018,Engine!$C$2:$C$1960,0)))</f>
        <v/>
      </c>
      <c r="J1031" s="8">
        <f>IF(ISNA(MATCH(1018,Engine!$C$2:$C$1960,0)),"",INDEX('Compliance Database'!$J$2:$J$1960,MATCH(1018,Engine!$C$2:$C$1960,0)))</f>
        <v/>
      </c>
      <c r="K1031" s="9">
        <f>IF(ISNA(MATCH(1018,Engine!$C$2:$C$1960,0)),"",INDEX('Compliance Database'!$K$2:$K$1960,MATCH(1018,Engine!$C$2:$C$1960,0)))</f>
        <v/>
      </c>
      <c r="L1031" s="9">
        <f>IF(ISNA(MATCH(1018,Engine!$C$2:$C$1960,0)),"",INDEX('Compliance Database'!$L$2:$L$1960,MATCH(1018,Engine!$C$2:$C$1960,0)))</f>
        <v/>
      </c>
      <c r="M1031" s="9">
        <f>IF(ISNA(MATCH(1018,Engine!$C$2:$C$1960,0)),"",INDEX('Compliance Database'!$M$2:$M$1960,MATCH(1018,Engine!$C$2:$C$1960,0)))</f>
        <v/>
      </c>
      <c r="N1031" s="9">
        <f>IF(ISNA(MATCH(1018,Engine!$C$2:$C$1960,0)),"",INDEX('Compliance Database'!$N$2:$N$1960,MATCH(1018,Engine!$C$2:$C$1960,0)))</f>
        <v/>
      </c>
      <c r="O1031" s="9">
        <f>IF(ISNA(MATCH(1018,Engine!$C$2:$C$1960,0)),"",INDEX('Compliance Database'!$O$2:$O$1960,MATCH(1018,Engine!$C$2:$C$1960,0)))</f>
        <v/>
      </c>
      <c r="P1031" s="8">
        <f>IF(ISNA(MATCH(1018,Engine!$C$2:$C$1960,0)),"",HYPERLINK("#Acts!A"&amp;INDEX('Compliance Database'!$P$2:$P$1960,MATCH(1018,Engine!$C$2:$C$1960,0)),"Go to Act"))</f>
        <v/>
      </c>
    </row>
    <row r="1032" ht="158" customHeight="1">
      <c r="A1032" s="8">
        <f>IF(ISNA(MATCH(1019,Engine!$C$2:$C$1960,0)),"",INDEX('Compliance Database'!$A$2:$A$1960,MATCH(1019,Engine!$C$2:$C$1960,0)))</f>
        <v/>
      </c>
      <c r="B1032" s="8">
        <f>IF(ISNA(MATCH(1019,Engine!$C$2:$C$1960,0)),"",INDEX('Compliance Database'!$B$2:$B$1960,MATCH(1019,Engine!$C$2:$C$1960,0)))</f>
        <v/>
      </c>
      <c r="C1032" s="8">
        <f>IF(ISNA(MATCH(1019,Engine!$C$2:$C$1960,0)),"",INDEX('Compliance Database'!$C$2:$C$1960,MATCH(1019,Engine!$C$2:$C$1960,0)))</f>
        <v/>
      </c>
      <c r="D1032" s="9">
        <f>IF(ISNA(MATCH(1019,Engine!$C$2:$C$1960,0)),"",INDEX('Compliance Database'!$D$2:$D$1960,MATCH(1019,Engine!$C$2:$C$1960,0)))</f>
        <v/>
      </c>
      <c r="E1032" s="8">
        <f>IF(ISNA(MATCH(1019,Engine!$C$2:$C$1960,0)),"",INDEX('Compliance Database'!$E$2:$E$1960,MATCH(1019,Engine!$C$2:$C$1960,0)))</f>
        <v/>
      </c>
      <c r="F1032" s="8">
        <f>IF(ISNA(MATCH(1019,Engine!$C$2:$C$1960,0)),"",INDEX('Compliance Database'!$F$2:$F$1960,MATCH(1019,Engine!$C$2:$C$1960,0)))</f>
        <v/>
      </c>
      <c r="G1032" s="8">
        <f>IF(ISNA(MATCH(1019,Engine!$C$2:$C$1960,0)),"",INDEX('Compliance Database'!$G$2:$G$1960,MATCH(1019,Engine!$C$2:$C$1960,0)))</f>
        <v/>
      </c>
      <c r="H1032" s="9">
        <f>IF(ISNA(MATCH(1019,Engine!$C$2:$C$1960,0)),"",INDEX('Compliance Database'!$H$2:$H$1960,MATCH(1019,Engine!$C$2:$C$1960,0)))</f>
        <v/>
      </c>
      <c r="I1032" s="9">
        <f>IF(ISNA(MATCH(1019,Engine!$C$2:$C$1960,0)),"",INDEX('Compliance Database'!$I$2:$I$1960,MATCH(1019,Engine!$C$2:$C$1960,0)))</f>
        <v/>
      </c>
      <c r="J1032" s="8">
        <f>IF(ISNA(MATCH(1019,Engine!$C$2:$C$1960,0)),"",INDEX('Compliance Database'!$J$2:$J$1960,MATCH(1019,Engine!$C$2:$C$1960,0)))</f>
        <v/>
      </c>
      <c r="K1032" s="9">
        <f>IF(ISNA(MATCH(1019,Engine!$C$2:$C$1960,0)),"",INDEX('Compliance Database'!$K$2:$K$1960,MATCH(1019,Engine!$C$2:$C$1960,0)))</f>
        <v/>
      </c>
      <c r="L1032" s="9">
        <f>IF(ISNA(MATCH(1019,Engine!$C$2:$C$1960,0)),"",INDEX('Compliance Database'!$L$2:$L$1960,MATCH(1019,Engine!$C$2:$C$1960,0)))</f>
        <v/>
      </c>
      <c r="M1032" s="9">
        <f>IF(ISNA(MATCH(1019,Engine!$C$2:$C$1960,0)),"",INDEX('Compliance Database'!$M$2:$M$1960,MATCH(1019,Engine!$C$2:$C$1960,0)))</f>
        <v/>
      </c>
      <c r="N1032" s="9">
        <f>IF(ISNA(MATCH(1019,Engine!$C$2:$C$1960,0)),"",INDEX('Compliance Database'!$N$2:$N$1960,MATCH(1019,Engine!$C$2:$C$1960,0)))</f>
        <v/>
      </c>
      <c r="O1032" s="9">
        <f>IF(ISNA(MATCH(1019,Engine!$C$2:$C$1960,0)),"",INDEX('Compliance Database'!$O$2:$O$1960,MATCH(1019,Engine!$C$2:$C$1960,0)))</f>
        <v/>
      </c>
      <c r="P1032" s="8">
        <f>IF(ISNA(MATCH(1019,Engine!$C$2:$C$1960,0)),"",HYPERLINK("#Acts!A"&amp;INDEX('Compliance Database'!$P$2:$P$1960,MATCH(1019,Engine!$C$2:$C$1960,0)),"Go to Act"))</f>
        <v/>
      </c>
    </row>
    <row r="1033" ht="158" customHeight="1">
      <c r="A1033" s="8">
        <f>IF(ISNA(MATCH(1020,Engine!$C$2:$C$1960,0)),"",INDEX('Compliance Database'!$A$2:$A$1960,MATCH(1020,Engine!$C$2:$C$1960,0)))</f>
        <v/>
      </c>
      <c r="B1033" s="8">
        <f>IF(ISNA(MATCH(1020,Engine!$C$2:$C$1960,0)),"",INDEX('Compliance Database'!$B$2:$B$1960,MATCH(1020,Engine!$C$2:$C$1960,0)))</f>
        <v/>
      </c>
      <c r="C1033" s="8">
        <f>IF(ISNA(MATCH(1020,Engine!$C$2:$C$1960,0)),"",INDEX('Compliance Database'!$C$2:$C$1960,MATCH(1020,Engine!$C$2:$C$1960,0)))</f>
        <v/>
      </c>
      <c r="D1033" s="9">
        <f>IF(ISNA(MATCH(1020,Engine!$C$2:$C$1960,0)),"",INDEX('Compliance Database'!$D$2:$D$1960,MATCH(1020,Engine!$C$2:$C$1960,0)))</f>
        <v/>
      </c>
      <c r="E1033" s="8">
        <f>IF(ISNA(MATCH(1020,Engine!$C$2:$C$1960,0)),"",INDEX('Compliance Database'!$E$2:$E$1960,MATCH(1020,Engine!$C$2:$C$1960,0)))</f>
        <v/>
      </c>
      <c r="F1033" s="8">
        <f>IF(ISNA(MATCH(1020,Engine!$C$2:$C$1960,0)),"",INDEX('Compliance Database'!$F$2:$F$1960,MATCH(1020,Engine!$C$2:$C$1960,0)))</f>
        <v/>
      </c>
      <c r="G1033" s="8">
        <f>IF(ISNA(MATCH(1020,Engine!$C$2:$C$1960,0)),"",INDEX('Compliance Database'!$G$2:$G$1960,MATCH(1020,Engine!$C$2:$C$1960,0)))</f>
        <v/>
      </c>
      <c r="H1033" s="9">
        <f>IF(ISNA(MATCH(1020,Engine!$C$2:$C$1960,0)),"",INDEX('Compliance Database'!$H$2:$H$1960,MATCH(1020,Engine!$C$2:$C$1960,0)))</f>
        <v/>
      </c>
      <c r="I1033" s="9">
        <f>IF(ISNA(MATCH(1020,Engine!$C$2:$C$1960,0)),"",INDEX('Compliance Database'!$I$2:$I$1960,MATCH(1020,Engine!$C$2:$C$1960,0)))</f>
        <v/>
      </c>
      <c r="J1033" s="8">
        <f>IF(ISNA(MATCH(1020,Engine!$C$2:$C$1960,0)),"",INDEX('Compliance Database'!$J$2:$J$1960,MATCH(1020,Engine!$C$2:$C$1960,0)))</f>
        <v/>
      </c>
      <c r="K1033" s="9">
        <f>IF(ISNA(MATCH(1020,Engine!$C$2:$C$1960,0)),"",INDEX('Compliance Database'!$K$2:$K$1960,MATCH(1020,Engine!$C$2:$C$1960,0)))</f>
        <v/>
      </c>
      <c r="L1033" s="9">
        <f>IF(ISNA(MATCH(1020,Engine!$C$2:$C$1960,0)),"",INDEX('Compliance Database'!$L$2:$L$1960,MATCH(1020,Engine!$C$2:$C$1960,0)))</f>
        <v/>
      </c>
      <c r="M1033" s="9">
        <f>IF(ISNA(MATCH(1020,Engine!$C$2:$C$1960,0)),"",INDEX('Compliance Database'!$M$2:$M$1960,MATCH(1020,Engine!$C$2:$C$1960,0)))</f>
        <v/>
      </c>
      <c r="N1033" s="9">
        <f>IF(ISNA(MATCH(1020,Engine!$C$2:$C$1960,0)),"",INDEX('Compliance Database'!$N$2:$N$1960,MATCH(1020,Engine!$C$2:$C$1960,0)))</f>
        <v/>
      </c>
      <c r="O1033" s="9">
        <f>IF(ISNA(MATCH(1020,Engine!$C$2:$C$1960,0)),"",INDEX('Compliance Database'!$O$2:$O$1960,MATCH(1020,Engine!$C$2:$C$1960,0)))</f>
        <v/>
      </c>
      <c r="P1033" s="8">
        <f>IF(ISNA(MATCH(1020,Engine!$C$2:$C$1960,0)),"",HYPERLINK("#Acts!A"&amp;INDEX('Compliance Database'!$P$2:$P$1960,MATCH(1020,Engine!$C$2:$C$1960,0)),"Go to Act"))</f>
        <v/>
      </c>
    </row>
    <row r="1034" ht="158" customHeight="1">
      <c r="A1034" s="8">
        <f>IF(ISNA(MATCH(1021,Engine!$C$2:$C$1960,0)),"",INDEX('Compliance Database'!$A$2:$A$1960,MATCH(1021,Engine!$C$2:$C$1960,0)))</f>
        <v/>
      </c>
      <c r="B1034" s="8">
        <f>IF(ISNA(MATCH(1021,Engine!$C$2:$C$1960,0)),"",INDEX('Compliance Database'!$B$2:$B$1960,MATCH(1021,Engine!$C$2:$C$1960,0)))</f>
        <v/>
      </c>
      <c r="C1034" s="8">
        <f>IF(ISNA(MATCH(1021,Engine!$C$2:$C$1960,0)),"",INDEX('Compliance Database'!$C$2:$C$1960,MATCH(1021,Engine!$C$2:$C$1960,0)))</f>
        <v/>
      </c>
      <c r="D1034" s="9">
        <f>IF(ISNA(MATCH(1021,Engine!$C$2:$C$1960,0)),"",INDEX('Compliance Database'!$D$2:$D$1960,MATCH(1021,Engine!$C$2:$C$1960,0)))</f>
        <v/>
      </c>
      <c r="E1034" s="8">
        <f>IF(ISNA(MATCH(1021,Engine!$C$2:$C$1960,0)),"",INDEX('Compliance Database'!$E$2:$E$1960,MATCH(1021,Engine!$C$2:$C$1960,0)))</f>
        <v/>
      </c>
      <c r="F1034" s="8">
        <f>IF(ISNA(MATCH(1021,Engine!$C$2:$C$1960,0)),"",INDEX('Compliance Database'!$F$2:$F$1960,MATCH(1021,Engine!$C$2:$C$1960,0)))</f>
        <v/>
      </c>
      <c r="G1034" s="8">
        <f>IF(ISNA(MATCH(1021,Engine!$C$2:$C$1960,0)),"",INDEX('Compliance Database'!$G$2:$G$1960,MATCH(1021,Engine!$C$2:$C$1960,0)))</f>
        <v/>
      </c>
      <c r="H1034" s="9">
        <f>IF(ISNA(MATCH(1021,Engine!$C$2:$C$1960,0)),"",INDEX('Compliance Database'!$H$2:$H$1960,MATCH(1021,Engine!$C$2:$C$1960,0)))</f>
        <v/>
      </c>
      <c r="I1034" s="9">
        <f>IF(ISNA(MATCH(1021,Engine!$C$2:$C$1960,0)),"",INDEX('Compliance Database'!$I$2:$I$1960,MATCH(1021,Engine!$C$2:$C$1960,0)))</f>
        <v/>
      </c>
      <c r="J1034" s="8">
        <f>IF(ISNA(MATCH(1021,Engine!$C$2:$C$1960,0)),"",INDEX('Compliance Database'!$J$2:$J$1960,MATCH(1021,Engine!$C$2:$C$1960,0)))</f>
        <v/>
      </c>
      <c r="K1034" s="9">
        <f>IF(ISNA(MATCH(1021,Engine!$C$2:$C$1960,0)),"",INDEX('Compliance Database'!$K$2:$K$1960,MATCH(1021,Engine!$C$2:$C$1960,0)))</f>
        <v/>
      </c>
      <c r="L1034" s="9">
        <f>IF(ISNA(MATCH(1021,Engine!$C$2:$C$1960,0)),"",INDEX('Compliance Database'!$L$2:$L$1960,MATCH(1021,Engine!$C$2:$C$1960,0)))</f>
        <v/>
      </c>
      <c r="M1034" s="9">
        <f>IF(ISNA(MATCH(1021,Engine!$C$2:$C$1960,0)),"",INDEX('Compliance Database'!$M$2:$M$1960,MATCH(1021,Engine!$C$2:$C$1960,0)))</f>
        <v/>
      </c>
      <c r="N1034" s="9">
        <f>IF(ISNA(MATCH(1021,Engine!$C$2:$C$1960,0)),"",INDEX('Compliance Database'!$N$2:$N$1960,MATCH(1021,Engine!$C$2:$C$1960,0)))</f>
        <v/>
      </c>
      <c r="O1034" s="9">
        <f>IF(ISNA(MATCH(1021,Engine!$C$2:$C$1960,0)),"",INDEX('Compliance Database'!$O$2:$O$1960,MATCH(1021,Engine!$C$2:$C$1960,0)))</f>
        <v/>
      </c>
      <c r="P1034" s="8">
        <f>IF(ISNA(MATCH(1021,Engine!$C$2:$C$1960,0)),"",HYPERLINK("#Acts!A"&amp;INDEX('Compliance Database'!$P$2:$P$1960,MATCH(1021,Engine!$C$2:$C$1960,0)),"Go to Act"))</f>
        <v/>
      </c>
    </row>
    <row r="1035" ht="158" customHeight="1">
      <c r="A1035" s="8">
        <f>IF(ISNA(MATCH(1022,Engine!$C$2:$C$1960,0)),"",INDEX('Compliance Database'!$A$2:$A$1960,MATCH(1022,Engine!$C$2:$C$1960,0)))</f>
        <v/>
      </c>
      <c r="B1035" s="8">
        <f>IF(ISNA(MATCH(1022,Engine!$C$2:$C$1960,0)),"",INDEX('Compliance Database'!$B$2:$B$1960,MATCH(1022,Engine!$C$2:$C$1960,0)))</f>
        <v/>
      </c>
      <c r="C1035" s="8">
        <f>IF(ISNA(MATCH(1022,Engine!$C$2:$C$1960,0)),"",INDEX('Compliance Database'!$C$2:$C$1960,MATCH(1022,Engine!$C$2:$C$1960,0)))</f>
        <v/>
      </c>
      <c r="D1035" s="9">
        <f>IF(ISNA(MATCH(1022,Engine!$C$2:$C$1960,0)),"",INDEX('Compliance Database'!$D$2:$D$1960,MATCH(1022,Engine!$C$2:$C$1960,0)))</f>
        <v/>
      </c>
      <c r="E1035" s="8">
        <f>IF(ISNA(MATCH(1022,Engine!$C$2:$C$1960,0)),"",INDEX('Compliance Database'!$E$2:$E$1960,MATCH(1022,Engine!$C$2:$C$1960,0)))</f>
        <v/>
      </c>
      <c r="F1035" s="8">
        <f>IF(ISNA(MATCH(1022,Engine!$C$2:$C$1960,0)),"",INDEX('Compliance Database'!$F$2:$F$1960,MATCH(1022,Engine!$C$2:$C$1960,0)))</f>
        <v/>
      </c>
      <c r="G1035" s="8">
        <f>IF(ISNA(MATCH(1022,Engine!$C$2:$C$1960,0)),"",INDEX('Compliance Database'!$G$2:$G$1960,MATCH(1022,Engine!$C$2:$C$1960,0)))</f>
        <v/>
      </c>
      <c r="H1035" s="9">
        <f>IF(ISNA(MATCH(1022,Engine!$C$2:$C$1960,0)),"",INDEX('Compliance Database'!$H$2:$H$1960,MATCH(1022,Engine!$C$2:$C$1960,0)))</f>
        <v/>
      </c>
      <c r="I1035" s="9">
        <f>IF(ISNA(MATCH(1022,Engine!$C$2:$C$1960,0)),"",INDEX('Compliance Database'!$I$2:$I$1960,MATCH(1022,Engine!$C$2:$C$1960,0)))</f>
        <v/>
      </c>
      <c r="J1035" s="8">
        <f>IF(ISNA(MATCH(1022,Engine!$C$2:$C$1960,0)),"",INDEX('Compliance Database'!$J$2:$J$1960,MATCH(1022,Engine!$C$2:$C$1960,0)))</f>
        <v/>
      </c>
      <c r="K1035" s="9">
        <f>IF(ISNA(MATCH(1022,Engine!$C$2:$C$1960,0)),"",INDEX('Compliance Database'!$K$2:$K$1960,MATCH(1022,Engine!$C$2:$C$1960,0)))</f>
        <v/>
      </c>
      <c r="L1035" s="9">
        <f>IF(ISNA(MATCH(1022,Engine!$C$2:$C$1960,0)),"",INDEX('Compliance Database'!$L$2:$L$1960,MATCH(1022,Engine!$C$2:$C$1960,0)))</f>
        <v/>
      </c>
      <c r="M1035" s="9">
        <f>IF(ISNA(MATCH(1022,Engine!$C$2:$C$1960,0)),"",INDEX('Compliance Database'!$M$2:$M$1960,MATCH(1022,Engine!$C$2:$C$1960,0)))</f>
        <v/>
      </c>
      <c r="N1035" s="9">
        <f>IF(ISNA(MATCH(1022,Engine!$C$2:$C$1960,0)),"",INDEX('Compliance Database'!$N$2:$N$1960,MATCH(1022,Engine!$C$2:$C$1960,0)))</f>
        <v/>
      </c>
      <c r="O1035" s="9">
        <f>IF(ISNA(MATCH(1022,Engine!$C$2:$C$1960,0)),"",INDEX('Compliance Database'!$O$2:$O$1960,MATCH(1022,Engine!$C$2:$C$1960,0)))</f>
        <v/>
      </c>
      <c r="P1035" s="8">
        <f>IF(ISNA(MATCH(1022,Engine!$C$2:$C$1960,0)),"",HYPERLINK("#Acts!A"&amp;INDEX('Compliance Database'!$P$2:$P$1960,MATCH(1022,Engine!$C$2:$C$1960,0)),"Go to Act"))</f>
        <v/>
      </c>
    </row>
    <row r="1036" ht="158" customHeight="1">
      <c r="A1036" s="8">
        <f>IF(ISNA(MATCH(1023,Engine!$C$2:$C$1960,0)),"",INDEX('Compliance Database'!$A$2:$A$1960,MATCH(1023,Engine!$C$2:$C$1960,0)))</f>
        <v/>
      </c>
      <c r="B1036" s="8">
        <f>IF(ISNA(MATCH(1023,Engine!$C$2:$C$1960,0)),"",INDEX('Compliance Database'!$B$2:$B$1960,MATCH(1023,Engine!$C$2:$C$1960,0)))</f>
        <v/>
      </c>
      <c r="C1036" s="8">
        <f>IF(ISNA(MATCH(1023,Engine!$C$2:$C$1960,0)),"",INDEX('Compliance Database'!$C$2:$C$1960,MATCH(1023,Engine!$C$2:$C$1960,0)))</f>
        <v/>
      </c>
      <c r="D1036" s="9">
        <f>IF(ISNA(MATCH(1023,Engine!$C$2:$C$1960,0)),"",INDEX('Compliance Database'!$D$2:$D$1960,MATCH(1023,Engine!$C$2:$C$1960,0)))</f>
        <v/>
      </c>
      <c r="E1036" s="8">
        <f>IF(ISNA(MATCH(1023,Engine!$C$2:$C$1960,0)),"",INDEX('Compliance Database'!$E$2:$E$1960,MATCH(1023,Engine!$C$2:$C$1960,0)))</f>
        <v/>
      </c>
      <c r="F1036" s="8">
        <f>IF(ISNA(MATCH(1023,Engine!$C$2:$C$1960,0)),"",INDEX('Compliance Database'!$F$2:$F$1960,MATCH(1023,Engine!$C$2:$C$1960,0)))</f>
        <v/>
      </c>
      <c r="G1036" s="8">
        <f>IF(ISNA(MATCH(1023,Engine!$C$2:$C$1960,0)),"",INDEX('Compliance Database'!$G$2:$G$1960,MATCH(1023,Engine!$C$2:$C$1960,0)))</f>
        <v/>
      </c>
      <c r="H1036" s="9">
        <f>IF(ISNA(MATCH(1023,Engine!$C$2:$C$1960,0)),"",INDEX('Compliance Database'!$H$2:$H$1960,MATCH(1023,Engine!$C$2:$C$1960,0)))</f>
        <v/>
      </c>
      <c r="I1036" s="9">
        <f>IF(ISNA(MATCH(1023,Engine!$C$2:$C$1960,0)),"",INDEX('Compliance Database'!$I$2:$I$1960,MATCH(1023,Engine!$C$2:$C$1960,0)))</f>
        <v/>
      </c>
      <c r="J1036" s="8">
        <f>IF(ISNA(MATCH(1023,Engine!$C$2:$C$1960,0)),"",INDEX('Compliance Database'!$J$2:$J$1960,MATCH(1023,Engine!$C$2:$C$1960,0)))</f>
        <v/>
      </c>
      <c r="K1036" s="9">
        <f>IF(ISNA(MATCH(1023,Engine!$C$2:$C$1960,0)),"",INDEX('Compliance Database'!$K$2:$K$1960,MATCH(1023,Engine!$C$2:$C$1960,0)))</f>
        <v/>
      </c>
      <c r="L1036" s="9">
        <f>IF(ISNA(MATCH(1023,Engine!$C$2:$C$1960,0)),"",INDEX('Compliance Database'!$L$2:$L$1960,MATCH(1023,Engine!$C$2:$C$1960,0)))</f>
        <v/>
      </c>
      <c r="M1036" s="9">
        <f>IF(ISNA(MATCH(1023,Engine!$C$2:$C$1960,0)),"",INDEX('Compliance Database'!$M$2:$M$1960,MATCH(1023,Engine!$C$2:$C$1960,0)))</f>
        <v/>
      </c>
      <c r="N1036" s="9">
        <f>IF(ISNA(MATCH(1023,Engine!$C$2:$C$1960,0)),"",INDEX('Compliance Database'!$N$2:$N$1960,MATCH(1023,Engine!$C$2:$C$1960,0)))</f>
        <v/>
      </c>
      <c r="O1036" s="9">
        <f>IF(ISNA(MATCH(1023,Engine!$C$2:$C$1960,0)),"",INDEX('Compliance Database'!$O$2:$O$1960,MATCH(1023,Engine!$C$2:$C$1960,0)))</f>
        <v/>
      </c>
      <c r="P1036" s="8">
        <f>IF(ISNA(MATCH(1023,Engine!$C$2:$C$1960,0)),"",HYPERLINK("#Acts!A"&amp;INDEX('Compliance Database'!$P$2:$P$1960,MATCH(1023,Engine!$C$2:$C$1960,0)),"Go to Act"))</f>
        <v/>
      </c>
    </row>
    <row r="1037" ht="158" customHeight="1">
      <c r="A1037" s="8">
        <f>IF(ISNA(MATCH(1024,Engine!$C$2:$C$1960,0)),"",INDEX('Compliance Database'!$A$2:$A$1960,MATCH(1024,Engine!$C$2:$C$1960,0)))</f>
        <v/>
      </c>
      <c r="B1037" s="8">
        <f>IF(ISNA(MATCH(1024,Engine!$C$2:$C$1960,0)),"",INDEX('Compliance Database'!$B$2:$B$1960,MATCH(1024,Engine!$C$2:$C$1960,0)))</f>
        <v/>
      </c>
      <c r="C1037" s="8">
        <f>IF(ISNA(MATCH(1024,Engine!$C$2:$C$1960,0)),"",INDEX('Compliance Database'!$C$2:$C$1960,MATCH(1024,Engine!$C$2:$C$1960,0)))</f>
        <v/>
      </c>
      <c r="D1037" s="9">
        <f>IF(ISNA(MATCH(1024,Engine!$C$2:$C$1960,0)),"",INDEX('Compliance Database'!$D$2:$D$1960,MATCH(1024,Engine!$C$2:$C$1960,0)))</f>
        <v/>
      </c>
      <c r="E1037" s="8">
        <f>IF(ISNA(MATCH(1024,Engine!$C$2:$C$1960,0)),"",INDEX('Compliance Database'!$E$2:$E$1960,MATCH(1024,Engine!$C$2:$C$1960,0)))</f>
        <v/>
      </c>
      <c r="F1037" s="8">
        <f>IF(ISNA(MATCH(1024,Engine!$C$2:$C$1960,0)),"",INDEX('Compliance Database'!$F$2:$F$1960,MATCH(1024,Engine!$C$2:$C$1960,0)))</f>
        <v/>
      </c>
      <c r="G1037" s="8">
        <f>IF(ISNA(MATCH(1024,Engine!$C$2:$C$1960,0)),"",INDEX('Compliance Database'!$G$2:$G$1960,MATCH(1024,Engine!$C$2:$C$1960,0)))</f>
        <v/>
      </c>
      <c r="H1037" s="9">
        <f>IF(ISNA(MATCH(1024,Engine!$C$2:$C$1960,0)),"",INDEX('Compliance Database'!$H$2:$H$1960,MATCH(1024,Engine!$C$2:$C$1960,0)))</f>
        <v/>
      </c>
      <c r="I1037" s="9">
        <f>IF(ISNA(MATCH(1024,Engine!$C$2:$C$1960,0)),"",INDEX('Compliance Database'!$I$2:$I$1960,MATCH(1024,Engine!$C$2:$C$1960,0)))</f>
        <v/>
      </c>
      <c r="J1037" s="8">
        <f>IF(ISNA(MATCH(1024,Engine!$C$2:$C$1960,0)),"",INDEX('Compliance Database'!$J$2:$J$1960,MATCH(1024,Engine!$C$2:$C$1960,0)))</f>
        <v/>
      </c>
      <c r="K1037" s="9">
        <f>IF(ISNA(MATCH(1024,Engine!$C$2:$C$1960,0)),"",INDEX('Compliance Database'!$K$2:$K$1960,MATCH(1024,Engine!$C$2:$C$1960,0)))</f>
        <v/>
      </c>
      <c r="L1037" s="9">
        <f>IF(ISNA(MATCH(1024,Engine!$C$2:$C$1960,0)),"",INDEX('Compliance Database'!$L$2:$L$1960,MATCH(1024,Engine!$C$2:$C$1960,0)))</f>
        <v/>
      </c>
      <c r="M1037" s="9">
        <f>IF(ISNA(MATCH(1024,Engine!$C$2:$C$1960,0)),"",INDEX('Compliance Database'!$M$2:$M$1960,MATCH(1024,Engine!$C$2:$C$1960,0)))</f>
        <v/>
      </c>
      <c r="N1037" s="9">
        <f>IF(ISNA(MATCH(1024,Engine!$C$2:$C$1960,0)),"",INDEX('Compliance Database'!$N$2:$N$1960,MATCH(1024,Engine!$C$2:$C$1960,0)))</f>
        <v/>
      </c>
      <c r="O1037" s="9">
        <f>IF(ISNA(MATCH(1024,Engine!$C$2:$C$1960,0)),"",INDEX('Compliance Database'!$O$2:$O$1960,MATCH(1024,Engine!$C$2:$C$1960,0)))</f>
        <v/>
      </c>
      <c r="P1037" s="8">
        <f>IF(ISNA(MATCH(1024,Engine!$C$2:$C$1960,0)),"",HYPERLINK("#Acts!A"&amp;INDEX('Compliance Database'!$P$2:$P$1960,MATCH(1024,Engine!$C$2:$C$1960,0)),"Go to Act"))</f>
        <v/>
      </c>
    </row>
    <row r="1038" ht="158" customHeight="1">
      <c r="A1038" s="8">
        <f>IF(ISNA(MATCH(1025,Engine!$C$2:$C$1960,0)),"",INDEX('Compliance Database'!$A$2:$A$1960,MATCH(1025,Engine!$C$2:$C$1960,0)))</f>
        <v/>
      </c>
      <c r="B1038" s="8">
        <f>IF(ISNA(MATCH(1025,Engine!$C$2:$C$1960,0)),"",INDEX('Compliance Database'!$B$2:$B$1960,MATCH(1025,Engine!$C$2:$C$1960,0)))</f>
        <v/>
      </c>
      <c r="C1038" s="8">
        <f>IF(ISNA(MATCH(1025,Engine!$C$2:$C$1960,0)),"",INDEX('Compliance Database'!$C$2:$C$1960,MATCH(1025,Engine!$C$2:$C$1960,0)))</f>
        <v/>
      </c>
      <c r="D1038" s="9">
        <f>IF(ISNA(MATCH(1025,Engine!$C$2:$C$1960,0)),"",INDEX('Compliance Database'!$D$2:$D$1960,MATCH(1025,Engine!$C$2:$C$1960,0)))</f>
        <v/>
      </c>
      <c r="E1038" s="8">
        <f>IF(ISNA(MATCH(1025,Engine!$C$2:$C$1960,0)),"",INDEX('Compliance Database'!$E$2:$E$1960,MATCH(1025,Engine!$C$2:$C$1960,0)))</f>
        <v/>
      </c>
      <c r="F1038" s="8">
        <f>IF(ISNA(MATCH(1025,Engine!$C$2:$C$1960,0)),"",INDEX('Compliance Database'!$F$2:$F$1960,MATCH(1025,Engine!$C$2:$C$1960,0)))</f>
        <v/>
      </c>
      <c r="G1038" s="8">
        <f>IF(ISNA(MATCH(1025,Engine!$C$2:$C$1960,0)),"",INDEX('Compliance Database'!$G$2:$G$1960,MATCH(1025,Engine!$C$2:$C$1960,0)))</f>
        <v/>
      </c>
      <c r="H1038" s="9">
        <f>IF(ISNA(MATCH(1025,Engine!$C$2:$C$1960,0)),"",INDEX('Compliance Database'!$H$2:$H$1960,MATCH(1025,Engine!$C$2:$C$1960,0)))</f>
        <v/>
      </c>
      <c r="I1038" s="9">
        <f>IF(ISNA(MATCH(1025,Engine!$C$2:$C$1960,0)),"",INDEX('Compliance Database'!$I$2:$I$1960,MATCH(1025,Engine!$C$2:$C$1960,0)))</f>
        <v/>
      </c>
      <c r="J1038" s="8">
        <f>IF(ISNA(MATCH(1025,Engine!$C$2:$C$1960,0)),"",INDEX('Compliance Database'!$J$2:$J$1960,MATCH(1025,Engine!$C$2:$C$1960,0)))</f>
        <v/>
      </c>
      <c r="K1038" s="9">
        <f>IF(ISNA(MATCH(1025,Engine!$C$2:$C$1960,0)),"",INDEX('Compliance Database'!$K$2:$K$1960,MATCH(1025,Engine!$C$2:$C$1960,0)))</f>
        <v/>
      </c>
      <c r="L1038" s="9">
        <f>IF(ISNA(MATCH(1025,Engine!$C$2:$C$1960,0)),"",INDEX('Compliance Database'!$L$2:$L$1960,MATCH(1025,Engine!$C$2:$C$1960,0)))</f>
        <v/>
      </c>
      <c r="M1038" s="9">
        <f>IF(ISNA(MATCH(1025,Engine!$C$2:$C$1960,0)),"",INDEX('Compliance Database'!$M$2:$M$1960,MATCH(1025,Engine!$C$2:$C$1960,0)))</f>
        <v/>
      </c>
      <c r="N1038" s="9">
        <f>IF(ISNA(MATCH(1025,Engine!$C$2:$C$1960,0)),"",INDEX('Compliance Database'!$N$2:$N$1960,MATCH(1025,Engine!$C$2:$C$1960,0)))</f>
        <v/>
      </c>
      <c r="O1038" s="9">
        <f>IF(ISNA(MATCH(1025,Engine!$C$2:$C$1960,0)),"",INDEX('Compliance Database'!$O$2:$O$1960,MATCH(1025,Engine!$C$2:$C$1960,0)))</f>
        <v/>
      </c>
      <c r="P1038" s="8">
        <f>IF(ISNA(MATCH(1025,Engine!$C$2:$C$1960,0)),"",HYPERLINK("#Acts!A"&amp;INDEX('Compliance Database'!$P$2:$P$1960,MATCH(1025,Engine!$C$2:$C$1960,0)),"Go to Act"))</f>
        <v/>
      </c>
    </row>
    <row r="1039" ht="158" customHeight="1">
      <c r="A1039" s="8">
        <f>IF(ISNA(MATCH(1026,Engine!$C$2:$C$1960,0)),"",INDEX('Compliance Database'!$A$2:$A$1960,MATCH(1026,Engine!$C$2:$C$1960,0)))</f>
        <v/>
      </c>
      <c r="B1039" s="8">
        <f>IF(ISNA(MATCH(1026,Engine!$C$2:$C$1960,0)),"",INDEX('Compliance Database'!$B$2:$B$1960,MATCH(1026,Engine!$C$2:$C$1960,0)))</f>
        <v/>
      </c>
      <c r="C1039" s="8">
        <f>IF(ISNA(MATCH(1026,Engine!$C$2:$C$1960,0)),"",INDEX('Compliance Database'!$C$2:$C$1960,MATCH(1026,Engine!$C$2:$C$1960,0)))</f>
        <v/>
      </c>
      <c r="D1039" s="9">
        <f>IF(ISNA(MATCH(1026,Engine!$C$2:$C$1960,0)),"",INDEX('Compliance Database'!$D$2:$D$1960,MATCH(1026,Engine!$C$2:$C$1960,0)))</f>
        <v/>
      </c>
      <c r="E1039" s="8">
        <f>IF(ISNA(MATCH(1026,Engine!$C$2:$C$1960,0)),"",INDEX('Compliance Database'!$E$2:$E$1960,MATCH(1026,Engine!$C$2:$C$1960,0)))</f>
        <v/>
      </c>
      <c r="F1039" s="8">
        <f>IF(ISNA(MATCH(1026,Engine!$C$2:$C$1960,0)),"",INDEX('Compliance Database'!$F$2:$F$1960,MATCH(1026,Engine!$C$2:$C$1960,0)))</f>
        <v/>
      </c>
      <c r="G1039" s="8">
        <f>IF(ISNA(MATCH(1026,Engine!$C$2:$C$1960,0)),"",INDEX('Compliance Database'!$G$2:$G$1960,MATCH(1026,Engine!$C$2:$C$1960,0)))</f>
        <v/>
      </c>
      <c r="H1039" s="9">
        <f>IF(ISNA(MATCH(1026,Engine!$C$2:$C$1960,0)),"",INDEX('Compliance Database'!$H$2:$H$1960,MATCH(1026,Engine!$C$2:$C$1960,0)))</f>
        <v/>
      </c>
      <c r="I1039" s="9">
        <f>IF(ISNA(MATCH(1026,Engine!$C$2:$C$1960,0)),"",INDEX('Compliance Database'!$I$2:$I$1960,MATCH(1026,Engine!$C$2:$C$1960,0)))</f>
        <v/>
      </c>
      <c r="J1039" s="8">
        <f>IF(ISNA(MATCH(1026,Engine!$C$2:$C$1960,0)),"",INDEX('Compliance Database'!$J$2:$J$1960,MATCH(1026,Engine!$C$2:$C$1960,0)))</f>
        <v/>
      </c>
      <c r="K1039" s="9">
        <f>IF(ISNA(MATCH(1026,Engine!$C$2:$C$1960,0)),"",INDEX('Compliance Database'!$K$2:$K$1960,MATCH(1026,Engine!$C$2:$C$1960,0)))</f>
        <v/>
      </c>
      <c r="L1039" s="9">
        <f>IF(ISNA(MATCH(1026,Engine!$C$2:$C$1960,0)),"",INDEX('Compliance Database'!$L$2:$L$1960,MATCH(1026,Engine!$C$2:$C$1960,0)))</f>
        <v/>
      </c>
      <c r="M1039" s="9">
        <f>IF(ISNA(MATCH(1026,Engine!$C$2:$C$1960,0)),"",INDEX('Compliance Database'!$M$2:$M$1960,MATCH(1026,Engine!$C$2:$C$1960,0)))</f>
        <v/>
      </c>
      <c r="N1039" s="9">
        <f>IF(ISNA(MATCH(1026,Engine!$C$2:$C$1960,0)),"",INDEX('Compliance Database'!$N$2:$N$1960,MATCH(1026,Engine!$C$2:$C$1960,0)))</f>
        <v/>
      </c>
      <c r="O1039" s="9">
        <f>IF(ISNA(MATCH(1026,Engine!$C$2:$C$1960,0)),"",INDEX('Compliance Database'!$O$2:$O$1960,MATCH(1026,Engine!$C$2:$C$1960,0)))</f>
        <v/>
      </c>
      <c r="P1039" s="8">
        <f>IF(ISNA(MATCH(1026,Engine!$C$2:$C$1960,0)),"",HYPERLINK("#Acts!A"&amp;INDEX('Compliance Database'!$P$2:$P$1960,MATCH(1026,Engine!$C$2:$C$1960,0)),"Go to Act"))</f>
        <v/>
      </c>
    </row>
    <row r="1040" ht="158" customHeight="1">
      <c r="A1040" s="8">
        <f>IF(ISNA(MATCH(1027,Engine!$C$2:$C$1960,0)),"",INDEX('Compliance Database'!$A$2:$A$1960,MATCH(1027,Engine!$C$2:$C$1960,0)))</f>
        <v/>
      </c>
      <c r="B1040" s="8">
        <f>IF(ISNA(MATCH(1027,Engine!$C$2:$C$1960,0)),"",INDEX('Compliance Database'!$B$2:$B$1960,MATCH(1027,Engine!$C$2:$C$1960,0)))</f>
        <v/>
      </c>
      <c r="C1040" s="8">
        <f>IF(ISNA(MATCH(1027,Engine!$C$2:$C$1960,0)),"",INDEX('Compliance Database'!$C$2:$C$1960,MATCH(1027,Engine!$C$2:$C$1960,0)))</f>
        <v/>
      </c>
      <c r="D1040" s="9">
        <f>IF(ISNA(MATCH(1027,Engine!$C$2:$C$1960,0)),"",INDEX('Compliance Database'!$D$2:$D$1960,MATCH(1027,Engine!$C$2:$C$1960,0)))</f>
        <v/>
      </c>
      <c r="E1040" s="8">
        <f>IF(ISNA(MATCH(1027,Engine!$C$2:$C$1960,0)),"",INDEX('Compliance Database'!$E$2:$E$1960,MATCH(1027,Engine!$C$2:$C$1960,0)))</f>
        <v/>
      </c>
      <c r="F1040" s="8">
        <f>IF(ISNA(MATCH(1027,Engine!$C$2:$C$1960,0)),"",INDEX('Compliance Database'!$F$2:$F$1960,MATCH(1027,Engine!$C$2:$C$1960,0)))</f>
        <v/>
      </c>
      <c r="G1040" s="8">
        <f>IF(ISNA(MATCH(1027,Engine!$C$2:$C$1960,0)),"",INDEX('Compliance Database'!$G$2:$G$1960,MATCH(1027,Engine!$C$2:$C$1960,0)))</f>
        <v/>
      </c>
      <c r="H1040" s="9">
        <f>IF(ISNA(MATCH(1027,Engine!$C$2:$C$1960,0)),"",INDEX('Compliance Database'!$H$2:$H$1960,MATCH(1027,Engine!$C$2:$C$1960,0)))</f>
        <v/>
      </c>
      <c r="I1040" s="9">
        <f>IF(ISNA(MATCH(1027,Engine!$C$2:$C$1960,0)),"",INDEX('Compliance Database'!$I$2:$I$1960,MATCH(1027,Engine!$C$2:$C$1960,0)))</f>
        <v/>
      </c>
      <c r="J1040" s="8">
        <f>IF(ISNA(MATCH(1027,Engine!$C$2:$C$1960,0)),"",INDEX('Compliance Database'!$J$2:$J$1960,MATCH(1027,Engine!$C$2:$C$1960,0)))</f>
        <v/>
      </c>
      <c r="K1040" s="9">
        <f>IF(ISNA(MATCH(1027,Engine!$C$2:$C$1960,0)),"",INDEX('Compliance Database'!$K$2:$K$1960,MATCH(1027,Engine!$C$2:$C$1960,0)))</f>
        <v/>
      </c>
      <c r="L1040" s="9">
        <f>IF(ISNA(MATCH(1027,Engine!$C$2:$C$1960,0)),"",INDEX('Compliance Database'!$L$2:$L$1960,MATCH(1027,Engine!$C$2:$C$1960,0)))</f>
        <v/>
      </c>
      <c r="M1040" s="9">
        <f>IF(ISNA(MATCH(1027,Engine!$C$2:$C$1960,0)),"",INDEX('Compliance Database'!$M$2:$M$1960,MATCH(1027,Engine!$C$2:$C$1960,0)))</f>
        <v/>
      </c>
      <c r="N1040" s="9">
        <f>IF(ISNA(MATCH(1027,Engine!$C$2:$C$1960,0)),"",INDEX('Compliance Database'!$N$2:$N$1960,MATCH(1027,Engine!$C$2:$C$1960,0)))</f>
        <v/>
      </c>
      <c r="O1040" s="9">
        <f>IF(ISNA(MATCH(1027,Engine!$C$2:$C$1960,0)),"",INDEX('Compliance Database'!$O$2:$O$1960,MATCH(1027,Engine!$C$2:$C$1960,0)))</f>
        <v/>
      </c>
      <c r="P1040" s="8">
        <f>IF(ISNA(MATCH(1027,Engine!$C$2:$C$1960,0)),"",HYPERLINK("#Acts!A"&amp;INDEX('Compliance Database'!$P$2:$P$1960,MATCH(1027,Engine!$C$2:$C$1960,0)),"Go to Act"))</f>
        <v/>
      </c>
    </row>
    <row r="1041" ht="158" customHeight="1">
      <c r="A1041" s="8">
        <f>IF(ISNA(MATCH(1028,Engine!$C$2:$C$1960,0)),"",INDEX('Compliance Database'!$A$2:$A$1960,MATCH(1028,Engine!$C$2:$C$1960,0)))</f>
        <v/>
      </c>
      <c r="B1041" s="8">
        <f>IF(ISNA(MATCH(1028,Engine!$C$2:$C$1960,0)),"",INDEX('Compliance Database'!$B$2:$B$1960,MATCH(1028,Engine!$C$2:$C$1960,0)))</f>
        <v/>
      </c>
      <c r="C1041" s="8">
        <f>IF(ISNA(MATCH(1028,Engine!$C$2:$C$1960,0)),"",INDEX('Compliance Database'!$C$2:$C$1960,MATCH(1028,Engine!$C$2:$C$1960,0)))</f>
        <v/>
      </c>
      <c r="D1041" s="9">
        <f>IF(ISNA(MATCH(1028,Engine!$C$2:$C$1960,0)),"",INDEX('Compliance Database'!$D$2:$D$1960,MATCH(1028,Engine!$C$2:$C$1960,0)))</f>
        <v/>
      </c>
      <c r="E1041" s="8">
        <f>IF(ISNA(MATCH(1028,Engine!$C$2:$C$1960,0)),"",INDEX('Compliance Database'!$E$2:$E$1960,MATCH(1028,Engine!$C$2:$C$1960,0)))</f>
        <v/>
      </c>
      <c r="F1041" s="8">
        <f>IF(ISNA(MATCH(1028,Engine!$C$2:$C$1960,0)),"",INDEX('Compliance Database'!$F$2:$F$1960,MATCH(1028,Engine!$C$2:$C$1960,0)))</f>
        <v/>
      </c>
      <c r="G1041" s="8">
        <f>IF(ISNA(MATCH(1028,Engine!$C$2:$C$1960,0)),"",INDEX('Compliance Database'!$G$2:$G$1960,MATCH(1028,Engine!$C$2:$C$1960,0)))</f>
        <v/>
      </c>
      <c r="H1041" s="9">
        <f>IF(ISNA(MATCH(1028,Engine!$C$2:$C$1960,0)),"",INDEX('Compliance Database'!$H$2:$H$1960,MATCH(1028,Engine!$C$2:$C$1960,0)))</f>
        <v/>
      </c>
      <c r="I1041" s="9">
        <f>IF(ISNA(MATCH(1028,Engine!$C$2:$C$1960,0)),"",INDEX('Compliance Database'!$I$2:$I$1960,MATCH(1028,Engine!$C$2:$C$1960,0)))</f>
        <v/>
      </c>
      <c r="J1041" s="8">
        <f>IF(ISNA(MATCH(1028,Engine!$C$2:$C$1960,0)),"",INDEX('Compliance Database'!$J$2:$J$1960,MATCH(1028,Engine!$C$2:$C$1960,0)))</f>
        <v/>
      </c>
      <c r="K1041" s="9">
        <f>IF(ISNA(MATCH(1028,Engine!$C$2:$C$1960,0)),"",INDEX('Compliance Database'!$K$2:$K$1960,MATCH(1028,Engine!$C$2:$C$1960,0)))</f>
        <v/>
      </c>
      <c r="L1041" s="9">
        <f>IF(ISNA(MATCH(1028,Engine!$C$2:$C$1960,0)),"",INDEX('Compliance Database'!$L$2:$L$1960,MATCH(1028,Engine!$C$2:$C$1960,0)))</f>
        <v/>
      </c>
      <c r="M1041" s="9">
        <f>IF(ISNA(MATCH(1028,Engine!$C$2:$C$1960,0)),"",INDEX('Compliance Database'!$M$2:$M$1960,MATCH(1028,Engine!$C$2:$C$1960,0)))</f>
        <v/>
      </c>
      <c r="N1041" s="9">
        <f>IF(ISNA(MATCH(1028,Engine!$C$2:$C$1960,0)),"",INDEX('Compliance Database'!$N$2:$N$1960,MATCH(1028,Engine!$C$2:$C$1960,0)))</f>
        <v/>
      </c>
      <c r="O1041" s="9">
        <f>IF(ISNA(MATCH(1028,Engine!$C$2:$C$1960,0)),"",INDEX('Compliance Database'!$O$2:$O$1960,MATCH(1028,Engine!$C$2:$C$1960,0)))</f>
        <v/>
      </c>
      <c r="P1041" s="8">
        <f>IF(ISNA(MATCH(1028,Engine!$C$2:$C$1960,0)),"",HYPERLINK("#Acts!A"&amp;INDEX('Compliance Database'!$P$2:$P$1960,MATCH(1028,Engine!$C$2:$C$1960,0)),"Go to Act"))</f>
        <v/>
      </c>
    </row>
    <row r="1042" ht="158" customHeight="1">
      <c r="A1042" s="8">
        <f>IF(ISNA(MATCH(1029,Engine!$C$2:$C$1960,0)),"",INDEX('Compliance Database'!$A$2:$A$1960,MATCH(1029,Engine!$C$2:$C$1960,0)))</f>
        <v/>
      </c>
      <c r="B1042" s="8">
        <f>IF(ISNA(MATCH(1029,Engine!$C$2:$C$1960,0)),"",INDEX('Compliance Database'!$B$2:$B$1960,MATCH(1029,Engine!$C$2:$C$1960,0)))</f>
        <v/>
      </c>
      <c r="C1042" s="8">
        <f>IF(ISNA(MATCH(1029,Engine!$C$2:$C$1960,0)),"",INDEX('Compliance Database'!$C$2:$C$1960,MATCH(1029,Engine!$C$2:$C$1960,0)))</f>
        <v/>
      </c>
      <c r="D1042" s="9">
        <f>IF(ISNA(MATCH(1029,Engine!$C$2:$C$1960,0)),"",INDEX('Compliance Database'!$D$2:$D$1960,MATCH(1029,Engine!$C$2:$C$1960,0)))</f>
        <v/>
      </c>
      <c r="E1042" s="8">
        <f>IF(ISNA(MATCH(1029,Engine!$C$2:$C$1960,0)),"",INDEX('Compliance Database'!$E$2:$E$1960,MATCH(1029,Engine!$C$2:$C$1960,0)))</f>
        <v/>
      </c>
      <c r="F1042" s="8">
        <f>IF(ISNA(MATCH(1029,Engine!$C$2:$C$1960,0)),"",INDEX('Compliance Database'!$F$2:$F$1960,MATCH(1029,Engine!$C$2:$C$1960,0)))</f>
        <v/>
      </c>
      <c r="G1042" s="8">
        <f>IF(ISNA(MATCH(1029,Engine!$C$2:$C$1960,0)),"",INDEX('Compliance Database'!$G$2:$G$1960,MATCH(1029,Engine!$C$2:$C$1960,0)))</f>
        <v/>
      </c>
      <c r="H1042" s="9">
        <f>IF(ISNA(MATCH(1029,Engine!$C$2:$C$1960,0)),"",INDEX('Compliance Database'!$H$2:$H$1960,MATCH(1029,Engine!$C$2:$C$1960,0)))</f>
        <v/>
      </c>
      <c r="I1042" s="9">
        <f>IF(ISNA(MATCH(1029,Engine!$C$2:$C$1960,0)),"",INDEX('Compliance Database'!$I$2:$I$1960,MATCH(1029,Engine!$C$2:$C$1960,0)))</f>
        <v/>
      </c>
      <c r="J1042" s="8">
        <f>IF(ISNA(MATCH(1029,Engine!$C$2:$C$1960,0)),"",INDEX('Compliance Database'!$J$2:$J$1960,MATCH(1029,Engine!$C$2:$C$1960,0)))</f>
        <v/>
      </c>
      <c r="K1042" s="9">
        <f>IF(ISNA(MATCH(1029,Engine!$C$2:$C$1960,0)),"",INDEX('Compliance Database'!$K$2:$K$1960,MATCH(1029,Engine!$C$2:$C$1960,0)))</f>
        <v/>
      </c>
      <c r="L1042" s="9">
        <f>IF(ISNA(MATCH(1029,Engine!$C$2:$C$1960,0)),"",INDEX('Compliance Database'!$L$2:$L$1960,MATCH(1029,Engine!$C$2:$C$1960,0)))</f>
        <v/>
      </c>
      <c r="M1042" s="9">
        <f>IF(ISNA(MATCH(1029,Engine!$C$2:$C$1960,0)),"",INDEX('Compliance Database'!$M$2:$M$1960,MATCH(1029,Engine!$C$2:$C$1960,0)))</f>
        <v/>
      </c>
      <c r="N1042" s="9">
        <f>IF(ISNA(MATCH(1029,Engine!$C$2:$C$1960,0)),"",INDEX('Compliance Database'!$N$2:$N$1960,MATCH(1029,Engine!$C$2:$C$1960,0)))</f>
        <v/>
      </c>
      <c r="O1042" s="9">
        <f>IF(ISNA(MATCH(1029,Engine!$C$2:$C$1960,0)),"",INDEX('Compliance Database'!$O$2:$O$1960,MATCH(1029,Engine!$C$2:$C$1960,0)))</f>
        <v/>
      </c>
      <c r="P1042" s="8">
        <f>IF(ISNA(MATCH(1029,Engine!$C$2:$C$1960,0)),"",HYPERLINK("#Acts!A"&amp;INDEX('Compliance Database'!$P$2:$P$1960,MATCH(1029,Engine!$C$2:$C$1960,0)),"Go to Act"))</f>
        <v/>
      </c>
    </row>
    <row r="1043" ht="158" customHeight="1">
      <c r="A1043" s="8">
        <f>IF(ISNA(MATCH(1030,Engine!$C$2:$C$1960,0)),"",INDEX('Compliance Database'!$A$2:$A$1960,MATCH(1030,Engine!$C$2:$C$1960,0)))</f>
        <v/>
      </c>
      <c r="B1043" s="8">
        <f>IF(ISNA(MATCH(1030,Engine!$C$2:$C$1960,0)),"",INDEX('Compliance Database'!$B$2:$B$1960,MATCH(1030,Engine!$C$2:$C$1960,0)))</f>
        <v/>
      </c>
      <c r="C1043" s="8">
        <f>IF(ISNA(MATCH(1030,Engine!$C$2:$C$1960,0)),"",INDEX('Compliance Database'!$C$2:$C$1960,MATCH(1030,Engine!$C$2:$C$1960,0)))</f>
        <v/>
      </c>
      <c r="D1043" s="9">
        <f>IF(ISNA(MATCH(1030,Engine!$C$2:$C$1960,0)),"",INDEX('Compliance Database'!$D$2:$D$1960,MATCH(1030,Engine!$C$2:$C$1960,0)))</f>
        <v/>
      </c>
      <c r="E1043" s="8">
        <f>IF(ISNA(MATCH(1030,Engine!$C$2:$C$1960,0)),"",INDEX('Compliance Database'!$E$2:$E$1960,MATCH(1030,Engine!$C$2:$C$1960,0)))</f>
        <v/>
      </c>
      <c r="F1043" s="8">
        <f>IF(ISNA(MATCH(1030,Engine!$C$2:$C$1960,0)),"",INDEX('Compliance Database'!$F$2:$F$1960,MATCH(1030,Engine!$C$2:$C$1960,0)))</f>
        <v/>
      </c>
      <c r="G1043" s="8">
        <f>IF(ISNA(MATCH(1030,Engine!$C$2:$C$1960,0)),"",INDEX('Compliance Database'!$G$2:$G$1960,MATCH(1030,Engine!$C$2:$C$1960,0)))</f>
        <v/>
      </c>
      <c r="H1043" s="9">
        <f>IF(ISNA(MATCH(1030,Engine!$C$2:$C$1960,0)),"",INDEX('Compliance Database'!$H$2:$H$1960,MATCH(1030,Engine!$C$2:$C$1960,0)))</f>
        <v/>
      </c>
      <c r="I1043" s="9">
        <f>IF(ISNA(MATCH(1030,Engine!$C$2:$C$1960,0)),"",INDEX('Compliance Database'!$I$2:$I$1960,MATCH(1030,Engine!$C$2:$C$1960,0)))</f>
        <v/>
      </c>
      <c r="J1043" s="8">
        <f>IF(ISNA(MATCH(1030,Engine!$C$2:$C$1960,0)),"",INDEX('Compliance Database'!$J$2:$J$1960,MATCH(1030,Engine!$C$2:$C$1960,0)))</f>
        <v/>
      </c>
      <c r="K1043" s="9">
        <f>IF(ISNA(MATCH(1030,Engine!$C$2:$C$1960,0)),"",INDEX('Compliance Database'!$K$2:$K$1960,MATCH(1030,Engine!$C$2:$C$1960,0)))</f>
        <v/>
      </c>
      <c r="L1043" s="9">
        <f>IF(ISNA(MATCH(1030,Engine!$C$2:$C$1960,0)),"",INDEX('Compliance Database'!$L$2:$L$1960,MATCH(1030,Engine!$C$2:$C$1960,0)))</f>
        <v/>
      </c>
      <c r="M1043" s="9">
        <f>IF(ISNA(MATCH(1030,Engine!$C$2:$C$1960,0)),"",INDEX('Compliance Database'!$M$2:$M$1960,MATCH(1030,Engine!$C$2:$C$1960,0)))</f>
        <v/>
      </c>
      <c r="N1043" s="9">
        <f>IF(ISNA(MATCH(1030,Engine!$C$2:$C$1960,0)),"",INDEX('Compliance Database'!$N$2:$N$1960,MATCH(1030,Engine!$C$2:$C$1960,0)))</f>
        <v/>
      </c>
      <c r="O1043" s="9">
        <f>IF(ISNA(MATCH(1030,Engine!$C$2:$C$1960,0)),"",INDEX('Compliance Database'!$O$2:$O$1960,MATCH(1030,Engine!$C$2:$C$1960,0)))</f>
        <v/>
      </c>
      <c r="P1043" s="8">
        <f>IF(ISNA(MATCH(1030,Engine!$C$2:$C$1960,0)),"",HYPERLINK("#Acts!A"&amp;INDEX('Compliance Database'!$P$2:$P$1960,MATCH(1030,Engine!$C$2:$C$1960,0)),"Go to Act"))</f>
        <v/>
      </c>
    </row>
    <row r="1044" ht="158" customHeight="1">
      <c r="A1044" s="8">
        <f>IF(ISNA(MATCH(1031,Engine!$C$2:$C$1960,0)),"",INDEX('Compliance Database'!$A$2:$A$1960,MATCH(1031,Engine!$C$2:$C$1960,0)))</f>
        <v/>
      </c>
      <c r="B1044" s="8">
        <f>IF(ISNA(MATCH(1031,Engine!$C$2:$C$1960,0)),"",INDEX('Compliance Database'!$B$2:$B$1960,MATCH(1031,Engine!$C$2:$C$1960,0)))</f>
        <v/>
      </c>
      <c r="C1044" s="8">
        <f>IF(ISNA(MATCH(1031,Engine!$C$2:$C$1960,0)),"",INDEX('Compliance Database'!$C$2:$C$1960,MATCH(1031,Engine!$C$2:$C$1960,0)))</f>
        <v/>
      </c>
      <c r="D1044" s="9">
        <f>IF(ISNA(MATCH(1031,Engine!$C$2:$C$1960,0)),"",INDEX('Compliance Database'!$D$2:$D$1960,MATCH(1031,Engine!$C$2:$C$1960,0)))</f>
        <v/>
      </c>
      <c r="E1044" s="8">
        <f>IF(ISNA(MATCH(1031,Engine!$C$2:$C$1960,0)),"",INDEX('Compliance Database'!$E$2:$E$1960,MATCH(1031,Engine!$C$2:$C$1960,0)))</f>
        <v/>
      </c>
      <c r="F1044" s="8">
        <f>IF(ISNA(MATCH(1031,Engine!$C$2:$C$1960,0)),"",INDEX('Compliance Database'!$F$2:$F$1960,MATCH(1031,Engine!$C$2:$C$1960,0)))</f>
        <v/>
      </c>
      <c r="G1044" s="8">
        <f>IF(ISNA(MATCH(1031,Engine!$C$2:$C$1960,0)),"",INDEX('Compliance Database'!$G$2:$G$1960,MATCH(1031,Engine!$C$2:$C$1960,0)))</f>
        <v/>
      </c>
      <c r="H1044" s="9">
        <f>IF(ISNA(MATCH(1031,Engine!$C$2:$C$1960,0)),"",INDEX('Compliance Database'!$H$2:$H$1960,MATCH(1031,Engine!$C$2:$C$1960,0)))</f>
        <v/>
      </c>
      <c r="I1044" s="9">
        <f>IF(ISNA(MATCH(1031,Engine!$C$2:$C$1960,0)),"",INDEX('Compliance Database'!$I$2:$I$1960,MATCH(1031,Engine!$C$2:$C$1960,0)))</f>
        <v/>
      </c>
      <c r="J1044" s="8">
        <f>IF(ISNA(MATCH(1031,Engine!$C$2:$C$1960,0)),"",INDEX('Compliance Database'!$J$2:$J$1960,MATCH(1031,Engine!$C$2:$C$1960,0)))</f>
        <v/>
      </c>
      <c r="K1044" s="9">
        <f>IF(ISNA(MATCH(1031,Engine!$C$2:$C$1960,0)),"",INDEX('Compliance Database'!$K$2:$K$1960,MATCH(1031,Engine!$C$2:$C$1960,0)))</f>
        <v/>
      </c>
      <c r="L1044" s="9">
        <f>IF(ISNA(MATCH(1031,Engine!$C$2:$C$1960,0)),"",INDEX('Compliance Database'!$L$2:$L$1960,MATCH(1031,Engine!$C$2:$C$1960,0)))</f>
        <v/>
      </c>
      <c r="M1044" s="9">
        <f>IF(ISNA(MATCH(1031,Engine!$C$2:$C$1960,0)),"",INDEX('Compliance Database'!$M$2:$M$1960,MATCH(1031,Engine!$C$2:$C$1960,0)))</f>
        <v/>
      </c>
      <c r="N1044" s="9">
        <f>IF(ISNA(MATCH(1031,Engine!$C$2:$C$1960,0)),"",INDEX('Compliance Database'!$N$2:$N$1960,MATCH(1031,Engine!$C$2:$C$1960,0)))</f>
        <v/>
      </c>
      <c r="O1044" s="9">
        <f>IF(ISNA(MATCH(1031,Engine!$C$2:$C$1960,0)),"",INDEX('Compliance Database'!$O$2:$O$1960,MATCH(1031,Engine!$C$2:$C$1960,0)))</f>
        <v/>
      </c>
      <c r="P1044" s="8">
        <f>IF(ISNA(MATCH(1031,Engine!$C$2:$C$1960,0)),"",HYPERLINK("#Acts!A"&amp;INDEX('Compliance Database'!$P$2:$P$1960,MATCH(1031,Engine!$C$2:$C$1960,0)),"Go to Act"))</f>
        <v/>
      </c>
    </row>
    <row r="1045" ht="158" customHeight="1">
      <c r="A1045" s="8">
        <f>IF(ISNA(MATCH(1032,Engine!$C$2:$C$1960,0)),"",INDEX('Compliance Database'!$A$2:$A$1960,MATCH(1032,Engine!$C$2:$C$1960,0)))</f>
        <v/>
      </c>
      <c r="B1045" s="8">
        <f>IF(ISNA(MATCH(1032,Engine!$C$2:$C$1960,0)),"",INDEX('Compliance Database'!$B$2:$B$1960,MATCH(1032,Engine!$C$2:$C$1960,0)))</f>
        <v/>
      </c>
      <c r="C1045" s="8">
        <f>IF(ISNA(MATCH(1032,Engine!$C$2:$C$1960,0)),"",INDEX('Compliance Database'!$C$2:$C$1960,MATCH(1032,Engine!$C$2:$C$1960,0)))</f>
        <v/>
      </c>
      <c r="D1045" s="9">
        <f>IF(ISNA(MATCH(1032,Engine!$C$2:$C$1960,0)),"",INDEX('Compliance Database'!$D$2:$D$1960,MATCH(1032,Engine!$C$2:$C$1960,0)))</f>
        <v/>
      </c>
      <c r="E1045" s="8">
        <f>IF(ISNA(MATCH(1032,Engine!$C$2:$C$1960,0)),"",INDEX('Compliance Database'!$E$2:$E$1960,MATCH(1032,Engine!$C$2:$C$1960,0)))</f>
        <v/>
      </c>
      <c r="F1045" s="8">
        <f>IF(ISNA(MATCH(1032,Engine!$C$2:$C$1960,0)),"",INDEX('Compliance Database'!$F$2:$F$1960,MATCH(1032,Engine!$C$2:$C$1960,0)))</f>
        <v/>
      </c>
      <c r="G1045" s="8">
        <f>IF(ISNA(MATCH(1032,Engine!$C$2:$C$1960,0)),"",INDEX('Compliance Database'!$G$2:$G$1960,MATCH(1032,Engine!$C$2:$C$1960,0)))</f>
        <v/>
      </c>
      <c r="H1045" s="9">
        <f>IF(ISNA(MATCH(1032,Engine!$C$2:$C$1960,0)),"",INDEX('Compliance Database'!$H$2:$H$1960,MATCH(1032,Engine!$C$2:$C$1960,0)))</f>
        <v/>
      </c>
      <c r="I1045" s="9">
        <f>IF(ISNA(MATCH(1032,Engine!$C$2:$C$1960,0)),"",INDEX('Compliance Database'!$I$2:$I$1960,MATCH(1032,Engine!$C$2:$C$1960,0)))</f>
        <v/>
      </c>
      <c r="J1045" s="8">
        <f>IF(ISNA(MATCH(1032,Engine!$C$2:$C$1960,0)),"",INDEX('Compliance Database'!$J$2:$J$1960,MATCH(1032,Engine!$C$2:$C$1960,0)))</f>
        <v/>
      </c>
      <c r="K1045" s="9">
        <f>IF(ISNA(MATCH(1032,Engine!$C$2:$C$1960,0)),"",INDEX('Compliance Database'!$K$2:$K$1960,MATCH(1032,Engine!$C$2:$C$1960,0)))</f>
        <v/>
      </c>
      <c r="L1045" s="9">
        <f>IF(ISNA(MATCH(1032,Engine!$C$2:$C$1960,0)),"",INDEX('Compliance Database'!$L$2:$L$1960,MATCH(1032,Engine!$C$2:$C$1960,0)))</f>
        <v/>
      </c>
      <c r="M1045" s="9">
        <f>IF(ISNA(MATCH(1032,Engine!$C$2:$C$1960,0)),"",INDEX('Compliance Database'!$M$2:$M$1960,MATCH(1032,Engine!$C$2:$C$1960,0)))</f>
        <v/>
      </c>
      <c r="N1045" s="9">
        <f>IF(ISNA(MATCH(1032,Engine!$C$2:$C$1960,0)),"",INDEX('Compliance Database'!$N$2:$N$1960,MATCH(1032,Engine!$C$2:$C$1960,0)))</f>
        <v/>
      </c>
      <c r="O1045" s="9">
        <f>IF(ISNA(MATCH(1032,Engine!$C$2:$C$1960,0)),"",INDEX('Compliance Database'!$O$2:$O$1960,MATCH(1032,Engine!$C$2:$C$1960,0)))</f>
        <v/>
      </c>
      <c r="P1045" s="8">
        <f>IF(ISNA(MATCH(1032,Engine!$C$2:$C$1960,0)),"",HYPERLINK("#Acts!A"&amp;INDEX('Compliance Database'!$P$2:$P$1960,MATCH(1032,Engine!$C$2:$C$1960,0)),"Go to Act"))</f>
        <v/>
      </c>
    </row>
    <row r="1046" ht="158" customHeight="1">
      <c r="A1046" s="8">
        <f>IF(ISNA(MATCH(1033,Engine!$C$2:$C$1960,0)),"",INDEX('Compliance Database'!$A$2:$A$1960,MATCH(1033,Engine!$C$2:$C$1960,0)))</f>
        <v/>
      </c>
      <c r="B1046" s="8">
        <f>IF(ISNA(MATCH(1033,Engine!$C$2:$C$1960,0)),"",INDEX('Compliance Database'!$B$2:$B$1960,MATCH(1033,Engine!$C$2:$C$1960,0)))</f>
        <v/>
      </c>
      <c r="C1046" s="8">
        <f>IF(ISNA(MATCH(1033,Engine!$C$2:$C$1960,0)),"",INDEX('Compliance Database'!$C$2:$C$1960,MATCH(1033,Engine!$C$2:$C$1960,0)))</f>
        <v/>
      </c>
      <c r="D1046" s="9">
        <f>IF(ISNA(MATCH(1033,Engine!$C$2:$C$1960,0)),"",INDEX('Compliance Database'!$D$2:$D$1960,MATCH(1033,Engine!$C$2:$C$1960,0)))</f>
        <v/>
      </c>
      <c r="E1046" s="8">
        <f>IF(ISNA(MATCH(1033,Engine!$C$2:$C$1960,0)),"",INDEX('Compliance Database'!$E$2:$E$1960,MATCH(1033,Engine!$C$2:$C$1960,0)))</f>
        <v/>
      </c>
      <c r="F1046" s="8">
        <f>IF(ISNA(MATCH(1033,Engine!$C$2:$C$1960,0)),"",INDEX('Compliance Database'!$F$2:$F$1960,MATCH(1033,Engine!$C$2:$C$1960,0)))</f>
        <v/>
      </c>
      <c r="G1046" s="8">
        <f>IF(ISNA(MATCH(1033,Engine!$C$2:$C$1960,0)),"",INDEX('Compliance Database'!$G$2:$G$1960,MATCH(1033,Engine!$C$2:$C$1960,0)))</f>
        <v/>
      </c>
      <c r="H1046" s="9">
        <f>IF(ISNA(MATCH(1033,Engine!$C$2:$C$1960,0)),"",INDEX('Compliance Database'!$H$2:$H$1960,MATCH(1033,Engine!$C$2:$C$1960,0)))</f>
        <v/>
      </c>
      <c r="I1046" s="9">
        <f>IF(ISNA(MATCH(1033,Engine!$C$2:$C$1960,0)),"",INDEX('Compliance Database'!$I$2:$I$1960,MATCH(1033,Engine!$C$2:$C$1960,0)))</f>
        <v/>
      </c>
      <c r="J1046" s="8">
        <f>IF(ISNA(MATCH(1033,Engine!$C$2:$C$1960,0)),"",INDEX('Compliance Database'!$J$2:$J$1960,MATCH(1033,Engine!$C$2:$C$1960,0)))</f>
        <v/>
      </c>
      <c r="K1046" s="9">
        <f>IF(ISNA(MATCH(1033,Engine!$C$2:$C$1960,0)),"",INDEX('Compliance Database'!$K$2:$K$1960,MATCH(1033,Engine!$C$2:$C$1960,0)))</f>
        <v/>
      </c>
      <c r="L1046" s="9">
        <f>IF(ISNA(MATCH(1033,Engine!$C$2:$C$1960,0)),"",INDEX('Compliance Database'!$L$2:$L$1960,MATCH(1033,Engine!$C$2:$C$1960,0)))</f>
        <v/>
      </c>
      <c r="M1046" s="9">
        <f>IF(ISNA(MATCH(1033,Engine!$C$2:$C$1960,0)),"",INDEX('Compliance Database'!$M$2:$M$1960,MATCH(1033,Engine!$C$2:$C$1960,0)))</f>
        <v/>
      </c>
      <c r="N1046" s="9">
        <f>IF(ISNA(MATCH(1033,Engine!$C$2:$C$1960,0)),"",INDEX('Compliance Database'!$N$2:$N$1960,MATCH(1033,Engine!$C$2:$C$1960,0)))</f>
        <v/>
      </c>
      <c r="O1046" s="9">
        <f>IF(ISNA(MATCH(1033,Engine!$C$2:$C$1960,0)),"",INDEX('Compliance Database'!$O$2:$O$1960,MATCH(1033,Engine!$C$2:$C$1960,0)))</f>
        <v/>
      </c>
      <c r="P1046" s="8">
        <f>IF(ISNA(MATCH(1033,Engine!$C$2:$C$1960,0)),"",HYPERLINK("#Acts!A"&amp;INDEX('Compliance Database'!$P$2:$P$1960,MATCH(1033,Engine!$C$2:$C$1960,0)),"Go to Act"))</f>
        <v/>
      </c>
    </row>
    <row r="1047" ht="158" customHeight="1">
      <c r="A1047" s="8">
        <f>IF(ISNA(MATCH(1034,Engine!$C$2:$C$1960,0)),"",INDEX('Compliance Database'!$A$2:$A$1960,MATCH(1034,Engine!$C$2:$C$1960,0)))</f>
        <v/>
      </c>
      <c r="B1047" s="8">
        <f>IF(ISNA(MATCH(1034,Engine!$C$2:$C$1960,0)),"",INDEX('Compliance Database'!$B$2:$B$1960,MATCH(1034,Engine!$C$2:$C$1960,0)))</f>
        <v/>
      </c>
      <c r="C1047" s="8">
        <f>IF(ISNA(MATCH(1034,Engine!$C$2:$C$1960,0)),"",INDEX('Compliance Database'!$C$2:$C$1960,MATCH(1034,Engine!$C$2:$C$1960,0)))</f>
        <v/>
      </c>
      <c r="D1047" s="9">
        <f>IF(ISNA(MATCH(1034,Engine!$C$2:$C$1960,0)),"",INDEX('Compliance Database'!$D$2:$D$1960,MATCH(1034,Engine!$C$2:$C$1960,0)))</f>
        <v/>
      </c>
      <c r="E1047" s="8">
        <f>IF(ISNA(MATCH(1034,Engine!$C$2:$C$1960,0)),"",INDEX('Compliance Database'!$E$2:$E$1960,MATCH(1034,Engine!$C$2:$C$1960,0)))</f>
        <v/>
      </c>
      <c r="F1047" s="8">
        <f>IF(ISNA(MATCH(1034,Engine!$C$2:$C$1960,0)),"",INDEX('Compliance Database'!$F$2:$F$1960,MATCH(1034,Engine!$C$2:$C$1960,0)))</f>
        <v/>
      </c>
      <c r="G1047" s="8">
        <f>IF(ISNA(MATCH(1034,Engine!$C$2:$C$1960,0)),"",INDEX('Compliance Database'!$G$2:$G$1960,MATCH(1034,Engine!$C$2:$C$1960,0)))</f>
        <v/>
      </c>
      <c r="H1047" s="9">
        <f>IF(ISNA(MATCH(1034,Engine!$C$2:$C$1960,0)),"",INDEX('Compliance Database'!$H$2:$H$1960,MATCH(1034,Engine!$C$2:$C$1960,0)))</f>
        <v/>
      </c>
      <c r="I1047" s="9">
        <f>IF(ISNA(MATCH(1034,Engine!$C$2:$C$1960,0)),"",INDEX('Compliance Database'!$I$2:$I$1960,MATCH(1034,Engine!$C$2:$C$1960,0)))</f>
        <v/>
      </c>
      <c r="J1047" s="8">
        <f>IF(ISNA(MATCH(1034,Engine!$C$2:$C$1960,0)),"",INDEX('Compliance Database'!$J$2:$J$1960,MATCH(1034,Engine!$C$2:$C$1960,0)))</f>
        <v/>
      </c>
      <c r="K1047" s="9">
        <f>IF(ISNA(MATCH(1034,Engine!$C$2:$C$1960,0)),"",INDEX('Compliance Database'!$K$2:$K$1960,MATCH(1034,Engine!$C$2:$C$1960,0)))</f>
        <v/>
      </c>
      <c r="L1047" s="9">
        <f>IF(ISNA(MATCH(1034,Engine!$C$2:$C$1960,0)),"",INDEX('Compliance Database'!$L$2:$L$1960,MATCH(1034,Engine!$C$2:$C$1960,0)))</f>
        <v/>
      </c>
      <c r="M1047" s="9">
        <f>IF(ISNA(MATCH(1034,Engine!$C$2:$C$1960,0)),"",INDEX('Compliance Database'!$M$2:$M$1960,MATCH(1034,Engine!$C$2:$C$1960,0)))</f>
        <v/>
      </c>
      <c r="N1047" s="9">
        <f>IF(ISNA(MATCH(1034,Engine!$C$2:$C$1960,0)),"",INDEX('Compliance Database'!$N$2:$N$1960,MATCH(1034,Engine!$C$2:$C$1960,0)))</f>
        <v/>
      </c>
      <c r="O1047" s="9">
        <f>IF(ISNA(MATCH(1034,Engine!$C$2:$C$1960,0)),"",INDEX('Compliance Database'!$O$2:$O$1960,MATCH(1034,Engine!$C$2:$C$1960,0)))</f>
        <v/>
      </c>
      <c r="P1047" s="8">
        <f>IF(ISNA(MATCH(1034,Engine!$C$2:$C$1960,0)),"",HYPERLINK("#Acts!A"&amp;INDEX('Compliance Database'!$P$2:$P$1960,MATCH(1034,Engine!$C$2:$C$1960,0)),"Go to Act"))</f>
        <v/>
      </c>
    </row>
    <row r="1048" ht="158" customHeight="1">
      <c r="A1048" s="8">
        <f>IF(ISNA(MATCH(1035,Engine!$C$2:$C$1960,0)),"",INDEX('Compliance Database'!$A$2:$A$1960,MATCH(1035,Engine!$C$2:$C$1960,0)))</f>
        <v/>
      </c>
      <c r="B1048" s="8">
        <f>IF(ISNA(MATCH(1035,Engine!$C$2:$C$1960,0)),"",INDEX('Compliance Database'!$B$2:$B$1960,MATCH(1035,Engine!$C$2:$C$1960,0)))</f>
        <v/>
      </c>
      <c r="C1048" s="8">
        <f>IF(ISNA(MATCH(1035,Engine!$C$2:$C$1960,0)),"",INDEX('Compliance Database'!$C$2:$C$1960,MATCH(1035,Engine!$C$2:$C$1960,0)))</f>
        <v/>
      </c>
      <c r="D1048" s="9">
        <f>IF(ISNA(MATCH(1035,Engine!$C$2:$C$1960,0)),"",INDEX('Compliance Database'!$D$2:$D$1960,MATCH(1035,Engine!$C$2:$C$1960,0)))</f>
        <v/>
      </c>
      <c r="E1048" s="8">
        <f>IF(ISNA(MATCH(1035,Engine!$C$2:$C$1960,0)),"",INDEX('Compliance Database'!$E$2:$E$1960,MATCH(1035,Engine!$C$2:$C$1960,0)))</f>
        <v/>
      </c>
      <c r="F1048" s="8">
        <f>IF(ISNA(MATCH(1035,Engine!$C$2:$C$1960,0)),"",INDEX('Compliance Database'!$F$2:$F$1960,MATCH(1035,Engine!$C$2:$C$1960,0)))</f>
        <v/>
      </c>
      <c r="G1048" s="8">
        <f>IF(ISNA(MATCH(1035,Engine!$C$2:$C$1960,0)),"",INDEX('Compliance Database'!$G$2:$G$1960,MATCH(1035,Engine!$C$2:$C$1960,0)))</f>
        <v/>
      </c>
      <c r="H1048" s="9">
        <f>IF(ISNA(MATCH(1035,Engine!$C$2:$C$1960,0)),"",INDEX('Compliance Database'!$H$2:$H$1960,MATCH(1035,Engine!$C$2:$C$1960,0)))</f>
        <v/>
      </c>
      <c r="I1048" s="9">
        <f>IF(ISNA(MATCH(1035,Engine!$C$2:$C$1960,0)),"",INDEX('Compliance Database'!$I$2:$I$1960,MATCH(1035,Engine!$C$2:$C$1960,0)))</f>
        <v/>
      </c>
      <c r="J1048" s="8">
        <f>IF(ISNA(MATCH(1035,Engine!$C$2:$C$1960,0)),"",INDEX('Compliance Database'!$J$2:$J$1960,MATCH(1035,Engine!$C$2:$C$1960,0)))</f>
        <v/>
      </c>
      <c r="K1048" s="9">
        <f>IF(ISNA(MATCH(1035,Engine!$C$2:$C$1960,0)),"",INDEX('Compliance Database'!$K$2:$K$1960,MATCH(1035,Engine!$C$2:$C$1960,0)))</f>
        <v/>
      </c>
      <c r="L1048" s="9">
        <f>IF(ISNA(MATCH(1035,Engine!$C$2:$C$1960,0)),"",INDEX('Compliance Database'!$L$2:$L$1960,MATCH(1035,Engine!$C$2:$C$1960,0)))</f>
        <v/>
      </c>
      <c r="M1048" s="9">
        <f>IF(ISNA(MATCH(1035,Engine!$C$2:$C$1960,0)),"",INDEX('Compliance Database'!$M$2:$M$1960,MATCH(1035,Engine!$C$2:$C$1960,0)))</f>
        <v/>
      </c>
      <c r="N1048" s="9">
        <f>IF(ISNA(MATCH(1035,Engine!$C$2:$C$1960,0)),"",INDEX('Compliance Database'!$N$2:$N$1960,MATCH(1035,Engine!$C$2:$C$1960,0)))</f>
        <v/>
      </c>
      <c r="O1048" s="9">
        <f>IF(ISNA(MATCH(1035,Engine!$C$2:$C$1960,0)),"",INDEX('Compliance Database'!$O$2:$O$1960,MATCH(1035,Engine!$C$2:$C$1960,0)))</f>
        <v/>
      </c>
      <c r="P1048" s="8">
        <f>IF(ISNA(MATCH(1035,Engine!$C$2:$C$1960,0)),"",HYPERLINK("#Acts!A"&amp;INDEX('Compliance Database'!$P$2:$P$1960,MATCH(1035,Engine!$C$2:$C$1960,0)),"Go to Act"))</f>
        <v/>
      </c>
    </row>
    <row r="1049" ht="158" customHeight="1">
      <c r="A1049" s="8">
        <f>IF(ISNA(MATCH(1036,Engine!$C$2:$C$1960,0)),"",INDEX('Compliance Database'!$A$2:$A$1960,MATCH(1036,Engine!$C$2:$C$1960,0)))</f>
        <v/>
      </c>
      <c r="B1049" s="8">
        <f>IF(ISNA(MATCH(1036,Engine!$C$2:$C$1960,0)),"",INDEX('Compliance Database'!$B$2:$B$1960,MATCH(1036,Engine!$C$2:$C$1960,0)))</f>
        <v/>
      </c>
      <c r="C1049" s="8">
        <f>IF(ISNA(MATCH(1036,Engine!$C$2:$C$1960,0)),"",INDEX('Compliance Database'!$C$2:$C$1960,MATCH(1036,Engine!$C$2:$C$1960,0)))</f>
        <v/>
      </c>
      <c r="D1049" s="9">
        <f>IF(ISNA(MATCH(1036,Engine!$C$2:$C$1960,0)),"",INDEX('Compliance Database'!$D$2:$D$1960,MATCH(1036,Engine!$C$2:$C$1960,0)))</f>
        <v/>
      </c>
      <c r="E1049" s="8">
        <f>IF(ISNA(MATCH(1036,Engine!$C$2:$C$1960,0)),"",INDEX('Compliance Database'!$E$2:$E$1960,MATCH(1036,Engine!$C$2:$C$1960,0)))</f>
        <v/>
      </c>
      <c r="F1049" s="8">
        <f>IF(ISNA(MATCH(1036,Engine!$C$2:$C$1960,0)),"",INDEX('Compliance Database'!$F$2:$F$1960,MATCH(1036,Engine!$C$2:$C$1960,0)))</f>
        <v/>
      </c>
      <c r="G1049" s="8">
        <f>IF(ISNA(MATCH(1036,Engine!$C$2:$C$1960,0)),"",INDEX('Compliance Database'!$G$2:$G$1960,MATCH(1036,Engine!$C$2:$C$1960,0)))</f>
        <v/>
      </c>
      <c r="H1049" s="9">
        <f>IF(ISNA(MATCH(1036,Engine!$C$2:$C$1960,0)),"",INDEX('Compliance Database'!$H$2:$H$1960,MATCH(1036,Engine!$C$2:$C$1960,0)))</f>
        <v/>
      </c>
      <c r="I1049" s="9">
        <f>IF(ISNA(MATCH(1036,Engine!$C$2:$C$1960,0)),"",INDEX('Compliance Database'!$I$2:$I$1960,MATCH(1036,Engine!$C$2:$C$1960,0)))</f>
        <v/>
      </c>
      <c r="J1049" s="8">
        <f>IF(ISNA(MATCH(1036,Engine!$C$2:$C$1960,0)),"",INDEX('Compliance Database'!$J$2:$J$1960,MATCH(1036,Engine!$C$2:$C$1960,0)))</f>
        <v/>
      </c>
      <c r="K1049" s="9">
        <f>IF(ISNA(MATCH(1036,Engine!$C$2:$C$1960,0)),"",INDEX('Compliance Database'!$K$2:$K$1960,MATCH(1036,Engine!$C$2:$C$1960,0)))</f>
        <v/>
      </c>
      <c r="L1049" s="9">
        <f>IF(ISNA(MATCH(1036,Engine!$C$2:$C$1960,0)),"",INDEX('Compliance Database'!$L$2:$L$1960,MATCH(1036,Engine!$C$2:$C$1960,0)))</f>
        <v/>
      </c>
      <c r="M1049" s="9">
        <f>IF(ISNA(MATCH(1036,Engine!$C$2:$C$1960,0)),"",INDEX('Compliance Database'!$M$2:$M$1960,MATCH(1036,Engine!$C$2:$C$1960,0)))</f>
        <v/>
      </c>
      <c r="N1049" s="9">
        <f>IF(ISNA(MATCH(1036,Engine!$C$2:$C$1960,0)),"",INDEX('Compliance Database'!$N$2:$N$1960,MATCH(1036,Engine!$C$2:$C$1960,0)))</f>
        <v/>
      </c>
      <c r="O1049" s="9">
        <f>IF(ISNA(MATCH(1036,Engine!$C$2:$C$1960,0)),"",INDEX('Compliance Database'!$O$2:$O$1960,MATCH(1036,Engine!$C$2:$C$1960,0)))</f>
        <v/>
      </c>
      <c r="P1049" s="8">
        <f>IF(ISNA(MATCH(1036,Engine!$C$2:$C$1960,0)),"",HYPERLINK("#Acts!A"&amp;INDEX('Compliance Database'!$P$2:$P$1960,MATCH(1036,Engine!$C$2:$C$1960,0)),"Go to Act"))</f>
        <v/>
      </c>
    </row>
    <row r="1050" ht="158" customHeight="1">
      <c r="A1050" s="8">
        <f>IF(ISNA(MATCH(1037,Engine!$C$2:$C$1960,0)),"",INDEX('Compliance Database'!$A$2:$A$1960,MATCH(1037,Engine!$C$2:$C$1960,0)))</f>
        <v/>
      </c>
      <c r="B1050" s="8">
        <f>IF(ISNA(MATCH(1037,Engine!$C$2:$C$1960,0)),"",INDEX('Compliance Database'!$B$2:$B$1960,MATCH(1037,Engine!$C$2:$C$1960,0)))</f>
        <v/>
      </c>
      <c r="C1050" s="8">
        <f>IF(ISNA(MATCH(1037,Engine!$C$2:$C$1960,0)),"",INDEX('Compliance Database'!$C$2:$C$1960,MATCH(1037,Engine!$C$2:$C$1960,0)))</f>
        <v/>
      </c>
      <c r="D1050" s="9">
        <f>IF(ISNA(MATCH(1037,Engine!$C$2:$C$1960,0)),"",INDEX('Compliance Database'!$D$2:$D$1960,MATCH(1037,Engine!$C$2:$C$1960,0)))</f>
        <v/>
      </c>
      <c r="E1050" s="8">
        <f>IF(ISNA(MATCH(1037,Engine!$C$2:$C$1960,0)),"",INDEX('Compliance Database'!$E$2:$E$1960,MATCH(1037,Engine!$C$2:$C$1960,0)))</f>
        <v/>
      </c>
      <c r="F1050" s="8">
        <f>IF(ISNA(MATCH(1037,Engine!$C$2:$C$1960,0)),"",INDEX('Compliance Database'!$F$2:$F$1960,MATCH(1037,Engine!$C$2:$C$1960,0)))</f>
        <v/>
      </c>
      <c r="G1050" s="8">
        <f>IF(ISNA(MATCH(1037,Engine!$C$2:$C$1960,0)),"",INDEX('Compliance Database'!$G$2:$G$1960,MATCH(1037,Engine!$C$2:$C$1960,0)))</f>
        <v/>
      </c>
      <c r="H1050" s="9">
        <f>IF(ISNA(MATCH(1037,Engine!$C$2:$C$1960,0)),"",INDEX('Compliance Database'!$H$2:$H$1960,MATCH(1037,Engine!$C$2:$C$1960,0)))</f>
        <v/>
      </c>
      <c r="I1050" s="9">
        <f>IF(ISNA(MATCH(1037,Engine!$C$2:$C$1960,0)),"",INDEX('Compliance Database'!$I$2:$I$1960,MATCH(1037,Engine!$C$2:$C$1960,0)))</f>
        <v/>
      </c>
      <c r="J1050" s="8">
        <f>IF(ISNA(MATCH(1037,Engine!$C$2:$C$1960,0)),"",INDEX('Compliance Database'!$J$2:$J$1960,MATCH(1037,Engine!$C$2:$C$1960,0)))</f>
        <v/>
      </c>
      <c r="K1050" s="9">
        <f>IF(ISNA(MATCH(1037,Engine!$C$2:$C$1960,0)),"",INDEX('Compliance Database'!$K$2:$K$1960,MATCH(1037,Engine!$C$2:$C$1960,0)))</f>
        <v/>
      </c>
      <c r="L1050" s="9">
        <f>IF(ISNA(MATCH(1037,Engine!$C$2:$C$1960,0)),"",INDEX('Compliance Database'!$L$2:$L$1960,MATCH(1037,Engine!$C$2:$C$1960,0)))</f>
        <v/>
      </c>
      <c r="M1050" s="9">
        <f>IF(ISNA(MATCH(1037,Engine!$C$2:$C$1960,0)),"",INDEX('Compliance Database'!$M$2:$M$1960,MATCH(1037,Engine!$C$2:$C$1960,0)))</f>
        <v/>
      </c>
      <c r="N1050" s="9">
        <f>IF(ISNA(MATCH(1037,Engine!$C$2:$C$1960,0)),"",INDEX('Compliance Database'!$N$2:$N$1960,MATCH(1037,Engine!$C$2:$C$1960,0)))</f>
        <v/>
      </c>
      <c r="O1050" s="9">
        <f>IF(ISNA(MATCH(1037,Engine!$C$2:$C$1960,0)),"",INDEX('Compliance Database'!$O$2:$O$1960,MATCH(1037,Engine!$C$2:$C$1960,0)))</f>
        <v/>
      </c>
      <c r="P1050" s="8">
        <f>IF(ISNA(MATCH(1037,Engine!$C$2:$C$1960,0)),"",HYPERLINK("#Acts!A"&amp;INDEX('Compliance Database'!$P$2:$P$1960,MATCH(1037,Engine!$C$2:$C$1960,0)),"Go to Act"))</f>
        <v/>
      </c>
    </row>
    <row r="1051" ht="158" customHeight="1">
      <c r="A1051" s="8">
        <f>IF(ISNA(MATCH(1038,Engine!$C$2:$C$1960,0)),"",INDEX('Compliance Database'!$A$2:$A$1960,MATCH(1038,Engine!$C$2:$C$1960,0)))</f>
        <v/>
      </c>
      <c r="B1051" s="8">
        <f>IF(ISNA(MATCH(1038,Engine!$C$2:$C$1960,0)),"",INDEX('Compliance Database'!$B$2:$B$1960,MATCH(1038,Engine!$C$2:$C$1960,0)))</f>
        <v/>
      </c>
      <c r="C1051" s="8">
        <f>IF(ISNA(MATCH(1038,Engine!$C$2:$C$1960,0)),"",INDEX('Compliance Database'!$C$2:$C$1960,MATCH(1038,Engine!$C$2:$C$1960,0)))</f>
        <v/>
      </c>
      <c r="D1051" s="9">
        <f>IF(ISNA(MATCH(1038,Engine!$C$2:$C$1960,0)),"",INDEX('Compliance Database'!$D$2:$D$1960,MATCH(1038,Engine!$C$2:$C$1960,0)))</f>
        <v/>
      </c>
      <c r="E1051" s="8">
        <f>IF(ISNA(MATCH(1038,Engine!$C$2:$C$1960,0)),"",INDEX('Compliance Database'!$E$2:$E$1960,MATCH(1038,Engine!$C$2:$C$1960,0)))</f>
        <v/>
      </c>
      <c r="F1051" s="8">
        <f>IF(ISNA(MATCH(1038,Engine!$C$2:$C$1960,0)),"",INDEX('Compliance Database'!$F$2:$F$1960,MATCH(1038,Engine!$C$2:$C$1960,0)))</f>
        <v/>
      </c>
      <c r="G1051" s="8">
        <f>IF(ISNA(MATCH(1038,Engine!$C$2:$C$1960,0)),"",INDEX('Compliance Database'!$G$2:$G$1960,MATCH(1038,Engine!$C$2:$C$1960,0)))</f>
        <v/>
      </c>
      <c r="H1051" s="9">
        <f>IF(ISNA(MATCH(1038,Engine!$C$2:$C$1960,0)),"",INDEX('Compliance Database'!$H$2:$H$1960,MATCH(1038,Engine!$C$2:$C$1960,0)))</f>
        <v/>
      </c>
      <c r="I1051" s="9">
        <f>IF(ISNA(MATCH(1038,Engine!$C$2:$C$1960,0)),"",INDEX('Compliance Database'!$I$2:$I$1960,MATCH(1038,Engine!$C$2:$C$1960,0)))</f>
        <v/>
      </c>
      <c r="J1051" s="8">
        <f>IF(ISNA(MATCH(1038,Engine!$C$2:$C$1960,0)),"",INDEX('Compliance Database'!$J$2:$J$1960,MATCH(1038,Engine!$C$2:$C$1960,0)))</f>
        <v/>
      </c>
      <c r="K1051" s="9">
        <f>IF(ISNA(MATCH(1038,Engine!$C$2:$C$1960,0)),"",INDEX('Compliance Database'!$K$2:$K$1960,MATCH(1038,Engine!$C$2:$C$1960,0)))</f>
        <v/>
      </c>
      <c r="L1051" s="9">
        <f>IF(ISNA(MATCH(1038,Engine!$C$2:$C$1960,0)),"",INDEX('Compliance Database'!$L$2:$L$1960,MATCH(1038,Engine!$C$2:$C$1960,0)))</f>
        <v/>
      </c>
      <c r="M1051" s="9">
        <f>IF(ISNA(MATCH(1038,Engine!$C$2:$C$1960,0)),"",INDEX('Compliance Database'!$M$2:$M$1960,MATCH(1038,Engine!$C$2:$C$1960,0)))</f>
        <v/>
      </c>
      <c r="N1051" s="9">
        <f>IF(ISNA(MATCH(1038,Engine!$C$2:$C$1960,0)),"",INDEX('Compliance Database'!$N$2:$N$1960,MATCH(1038,Engine!$C$2:$C$1960,0)))</f>
        <v/>
      </c>
      <c r="O1051" s="9">
        <f>IF(ISNA(MATCH(1038,Engine!$C$2:$C$1960,0)),"",INDEX('Compliance Database'!$O$2:$O$1960,MATCH(1038,Engine!$C$2:$C$1960,0)))</f>
        <v/>
      </c>
      <c r="P1051" s="8">
        <f>IF(ISNA(MATCH(1038,Engine!$C$2:$C$1960,0)),"",HYPERLINK("#Acts!A"&amp;INDEX('Compliance Database'!$P$2:$P$1960,MATCH(1038,Engine!$C$2:$C$1960,0)),"Go to Act"))</f>
        <v/>
      </c>
    </row>
    <row r="1052" ht="158" customHeight="1">
      <c r="A1052" s="8">
        <f>IF(ISNA(MATCH(1039,Engine!$C$2:$C$1960,0)),"",INDEX('Compliance Database'!$A$2:$A$1960,MATCH(1039,Engine!$C$2:$C$1960,0)))</f>
        <v/>
      </c>
      <c r="B1052" s="8">
        <f>IF(ISNA(MATCH(1039,Engine!$C$2:$C$1960,0)),"",INDEX('Compliance Database'!$B$2:$B$1960,MATCH(1039,Engine!$C$2:$C$1960,0)))</f>
        <v/>
      </c>
      <c r="C1052" s="8">
        <f>IF(ISNA(MATCH(1039,Engine!$C$2:$C$1960,0)),"",INDEX('Compliance Database'!$C$2:$C$1960,MATCH(1039,Engine!$C$2:$C$1960,0)))</f>
        <v/>
      </c>
      <c r="D1052" s="9">
        <f>IF(ISNA(MATCH(1039,Engine!$C$2:$C$1960,0)),"",INDEX('Compliance Database'!$D$2:$D$1960,MATCH(1039,Engine!$C$2:$C$1960,0)))</f>
        <v/>
      </c>
      <c r="E1052" s="8">
        <f>IF(ISNA(MATCH(1039,Engine!$C$2:$C$1960,0)),"",INDEX('Compliance Database'!$E$2:$E$1960,MATCH(1039,Engine!$C$2:$C$1960,0)))</f>
        <v/>
      </c>
      <c r="F1052" s="8">
        <f>IF(ISNA(MATCH(1039,Engine!$C$2:$C$1960,0)),"",INDEX('Compliance Database'!$F$2:$F$1960,MATCH(1039,Engine!$C$2:$C$1960,0)))</f>
        <v/>
      </c>
      <c r="G1052" s="8">
        <f>IF(ISNA(MATCH(1039,Engine!$C$2:$C$1960,0)),"",INDEX('Compliance Database'!$G$2:$G$1960,MATCH(1039,Engine!$C$2:$C$1960,0)))</f>
        <v/>
      </c>
      <c r="H1052" s="9">
        <f>IF(ISNA(MATCH(1039,Engine!$C$2:$C$1960,0)),"",INDEX('Compliance Database'!$H$2:$H$1960,MATCH(1039,Engine!$C$2:$C$1960,0)))</f>
        <v/>
      </c>
      <c r="I1052" s="9">
        <f>IF(ISNA(MATCH(1039,Engine!$C$2:$C$1960,0)),"",INDEX('Compliance Database'!$I$2:$I$1960,MATCH(1039,Engine!$C$2:$C$1960,0)))</f>
        <v/>
      </c>
      <c r="J1052" s="8">
        <f>IF(ISNA(MATCH(1039,Engine!$C$2:$C$1960,0)),"",INDEX('Compliance Database'!$J$2:$J$1960,MATCH(1039,Engine!$C$2:$C$1960,0)))</f>
        <v/>
      </c>
      <c r="K1052" s="9">
        <f>IF(ISNA(MATCH(1039,Engine!$C$2:$C$1960,0)),"",INDEX('Compliance Database'!$K$2:$K$1960,MATCH(1039,Engine!$C$2:$C$1960,0)))</f>
        <v/>
      </c>
      <c r="L1052" s="9">
        <f>IF(ISNA(MATCH(1039,Engine!$C$2:$C$1960,0)),"",INDEX('Compliance Database'!$L$2:$L$1960,MATCH(1039,Engine!$C$2:$C$1960,0)))</f>
        <v/>
      </c>
      <c r="M1052" s="9">
        <f>IF(ISNA(MATCH(1039,Engine!$C$2:$C$1960,0)),"",INDEX('Compliance Database'!$M$2:$M$1960,MATCH(1039,Engine!$C$2:$C$1960,0)))</f>
        <v/>
      </c>
      <c r="N1052" s="9">
        <f>IF(ISNA(MATCH(1039,Engine!$C$2:$C$1960,0)),"",INDEX('Compliance Database'!$N$2:$N$1960,MATCH(1039,Engine!$C$2:$C$1960,0)))</f>
        <v/>
      </c>
      <c r="O1052" s="9">
        <f>IF(ISNA(MATCH(1039,Engine!$C$2:$C$1960,0)),"",INDEX('Compliance Database'!$O$2:$O$1960,MATCH(1039,Engine!$C$2:$C$1960,0)))</f>
        <v/>
      </c>
      <c r="P1052" s="8">
        <f>IF(ISNA(MATCH(1039,Engine!$C$2:$C$1960,0)),"",HYPERLINK("#Acts!A"&amp;INDEX('Compliance Database'!$P$2:$P$1960,MATCH(1039,Engine!$C$2:$C$1960,0)),"Go to Act"))</f>
        <v/>
      </c>
    </row>
    <row r="1053" ht="158" customHeight="1">
      <c r="A1053" s="8">
        <f>IF(ISNA(MATCH(1040,Engine!$C$2:$C$1960,0)),"",INDEX('Compliance Database'!$A$2:$A$1960,MATCH(1040,Engine!$C$2:$C$1960,0)))</f>
        <v/>
      </c>
      <c r="B1053" s="8">
        <f>IF(ISNA(MATCH(1040,Engine!$C$2:$C$1960,0)),"",INDEX('Compliance Database'!$B$2:$B$1960,MATCH(1040,Engine!$C$2:$C$1960,0)))</f>
        <v/>
      </c>
      <c r="C1053" s="8">
        <f>IF(ISNA(MATCH(1040,Engine!$C$2:$C$1960,0)),"",INDEX('Compliance Database'!$C$2:$C$1960,MATCH(1040,Engine!$C$2:$C$1960,0)))</f>
        <v/>
      </c>
      <c r="D1053" s="9">
        <f>IF(ISNA(MATCH(1040,Engine!$C$2:$C$1960,0)),"",INDEX('Compliance Database'!$D$2:$D$1960,MATCH(1040,Engine!$C$2:$C$1960,0)))</f>
        <v/>
      </c>
      <c r="E1053" s="8">
        <f>IF(ISNA(MATCH(1040,Engine!$C$2:$C$1960,0)),"",INDEX('Compliance Database'!$E$2:$E$1960,MATCH(1040,Engine!$C$2:$C$1960,0)))</f>
        <v/>
      </c>
      <c r="F1053" s="8">
        <f>IF(ISNA(MATCH(1040,Engine!$C$2:$C$1960,0)),"",INDEX('Compliance Database'!$F$2:$F$1960,MATCH(1040,Engine!$C$2:$C$1960,0)))</f>
        <v/>
      </c>
      <c r="G1053" s="8">
        <f>IF(ISNA(MATCH(1040,Engine!$C$2:$C$1960,0)),"",INDEX('Compliance Database'!$G$2:$G$1960,MATCH(1040,Engine!$C$2:$C$1960,0)))</f>
        <v/>
      </c>
      <c r="H1053" s="9">
        <f>IF(ISNA(MATCH(1040,Engine!$C$2:$C$1960,0)),"",INDEX('Compliance Database'!$H$2:$H$1960,MATCH(1040,Engine!$C$2:$C$1960,0)))</f>
        <v/>
      </c>
      <c r="I1053" s="9">
        <f>IF(ISNA(MATCH(1040,Engine!$C$2:$C$1960,0)),"",INDEX('Compliance Database'!$I$2:$I$1960,MATCH(1040,Engine!$C$2:$C$1960,0)))</f>
        <v/>
      </c>
      <c r="J1053" s="8">
        <f>IF(ISNA(MATCH(1040,Engine!$C$2:$C$1960,0)),"",INDEX('Compliance Database'!$J$2:$J$1960,MATCH(1040,Engine!$C$2:$C$1960,0)))</f>
        <v/>
      </c>
      <c r="K1053" s="9">
        <f>IF(ISNA(MATCH(1040,Engine!$C$2:$C$1960,0)),"",INDEX('Compliance Database'!$K$2:$K$1960,MATCH(1040,Engine!$C$2:$C$1960,0)))</f>
        <v/>
      </c>
      <c r="L1053" s="9">
        <f>IF(ISNA(MATCH(1040,Engine!$C$2:$C$1960,0)),"",INDEX('Compliance Database'!$L$2:$L$1960,MATCH(1040,Engine!$C$2:$C$1960,0)))</f>
        <v/>
      </c>
      <c r="M1053" s="9">
        <f>IF(ISNA(MATCH(1040,Engine!$C$2:$C$1960,0)),"",INDEX('Compliance Database'!$M$2:$M$1960,MATCH(1040,Engine!$C$2:$C$1960,0)))</f>
        <v/>
      </c>
      <c r="N1053" s="9">
        <f>IF(ISNA(MATCH(1040,Engine!$C$2:$C$1960,0)),"",INDEX('Compliance Database'!$N$2:$N$1960,MATCH(1040,Engine!$C$2:$C$1960,0)))</f>
        <v/>
      </c>
      <c r="O1053" s="9">
        <f>IF(ISNA(MATCH(1040,Engine!$C$2:$C$1960,0)),"",INDEX('Compliance Database'!$O$2:$O$1960,MATCH(1040,Engine!$C$2:$C$1960,0)))</f>
        <v/>
      </c>
      <c r="P1053" s="8">
        <f>IF(ISNA(MATCH(1040,Engine!$C$2:$C$1960,0)),"",HYPERLINK("#Acts!A"&amp;INDEX('Compliance Database'!$P$2:$P$1960,MATCH(1040,Engine!$C$2:$C$1960,0)),"Go to Act"))</f>
        <v/>
      </c>
    </row>
    <row r="1054" ht="158" customHeight="1">
      <c r="A1054" s="8">
        <f>IF(ISNA(MATCH(1041,Engine!$C$2:$C$1960,0)),"",INDEX('Compliance Database'!$A$2:$A$1960,MATCH(1041,Engine!$C$2:$C$1960,0)))</f>
        <v/>
      </c>
      <c r="B1054" s="8">
        <f>IF(ISNA(MATCH(1041,Engine!$C$2:$C$1960,0)),"",INDEX('Compliance Database'!$B$2:$B$1960,MATCH(1041,Engine!$C$2:$C$1960,0)))</f>
        <v/>
      </c>
      <c r="C1054" s="8">
        <f>IF(ISNA(MATCH(1041,Engine!$C$2:$C$1960,0)),"",INDEX('Compliance Database'!$C$2:$C$1960,MATCH(1041,Engine!$C$2:$C$1960,0)))</f>
        <v/>
      </c>
      <c r="D1054" s="9">
        <f>IF(ISNA(MATCH(1041,Engine!$C$2:$C$1960,0)),"",INDEX('Compliance Database'!$D$2:$D$1960,MATCH(1041,Engine!$C$2:$C$1960,0)))</f>
        <v/>
      </c>
      <c r="E1054" s="8">
        <f>IF(ISNA(MATCH(1041,Engine!$C$2:$C$1960,0)),"",INDEX('Compliance Database'!$E$2:$E$1960,MATCH(1041,Engine!$C$2:$C$1960,0)))</f>
        <v/>
      </c>
      <c r="F1054" s="8">
        <f>IF(ISNA(MATCH(1041,Engine!$C$2:$C$1960,0)),"",INDEX('Compliance Database'!$F$2:$F$1960,MATCH(1041,Engine!$C$2:$C$1960,0)))</f>
        <v/>
      </c>
      <c r="G1054" s="8">
        <f>IF(ISNA(MATCH(1041,Engine!$C$2:$C$1960,0)),"",INDEX('Compliance Database'!$G$2:$G$1960,MATCH(1041,Engine!$C$2:$C$1960,0)))</f>
        <v/>
      </c>
      <c r="H1054" s="9">
        <f>IF(ISNA(MATCH(1041,Engine!$C$2:$C$1960,0)),"",INDEX('Compliance Database'!$H$2:$H$1960,MATCH(1041,Engine!$C$2:$C$1960,0)))</f>
        <v/>
      </c>
      <c r="I1054" s="9">
        <f>IF(ISNA(MATCH(1041,Engine!$C$2:$C$1960,0)),"",INDEX('Compliance Database'!$I$2:$I$1960,MATCH(1041,Engine!$C$2:$C$1960,0)))</f>
        <v/>
      </c>
      <c r="J1054" s="8">
        <f>IF(ISNA(MATCH(1041,Engine!$C$2:$C$1960,0)),"",INDEX('Compliance Database'!$J$2:$J$1960,MATCH(1041,Engine!$C$2:$C$1960,0)))</f>
        <v/>
      </c>
      <c r="K1054" s="9">
        <f>IF(ISNA(MATCH(1041,Engine!$C$2:$C$1960,0)),"",INDEX('Compliance Database'!$K$2:$K$1960,MATCH(1041,Engine!$C$2:$C$1960,0)))</f>
        <v/>
      </c>
      <c r="L1054" s="9">
        <f>IF(ISNA(MATCH(1041,Engine!$C$2:$C$1960,0)),"",INDEX('Compliance Database'!$L$2:$L$1960,MATCH(1041,Engine!$C$2:$C$1960,0)))</f>
        <v/>
      </c>
      <c r="M1054" s="9">
        <f>IF(ISNA(MATCH(1041,Engine!$C$2:$C$1960,0)),"",INDEX('Compliance Database'!$M$2:$M$1960,MATCH(1041,Engine!$C$2:$C$1960,0)))</f>
        <v/>
      </c>
      <c r="N1054" s="9">
        <f>IF(ISNA(MATCH(1041,Engine!$C$2:$C$1960,0)),"",INDEX('Compliance Database'!$N$2:$N$1960,MATCH(1041,Engine!$C$2:$C$1960,0)))</f>
        <v/>
      </c>
      <c r="O1054" s="9">
        <f>IF(ISNA(MATCH(1041,Engine!$C$2:$C$1960,0)),"",INDEX('Compliance Database'!$O$2:$O$1960,MATCH(1041,Engine!$C$2:$C$1960,0)))</f>
        <v/>
      </c>
      <c r="P1054" s="8">
        <f>IF(ISNA(MATCH(1041,Engine!$C$2:$C$1960,0)),"",HYPERLINK("#Acts!A"&amp;INDEX('Compliance Database'!$P$2:$P$1960,MATCH(1041,Engine!$C$2:$C$1960,0)),"Go to Act"))</f>
        <v/>
      </c>
    </row>
    <row r="1055" ht="158" customHeight="1">
      <c r="A1055" s="8">
        <f>IF(ISNA(MATCH(1042,Engine!$C$2:$C$1960,0)),"",INDEX('Compliance Database'!$A$2:$A$1960,MATCH(1042,Engine!$C$2:$C$1960,0)))</f>
        <v/>
      </c>
      <c r="B1055" s="8">
        <f>IF(ISNA(MATCH(1042,Engine!$C$2:$C$1960,0)),"",INDEX('Compliance Database'!$B$2:$B$1960,MATCH(1042,Engine!$C$2:$C$1960,0)))</f>
        <v/>
      </c>
      <c r="C1055" s="8">
        <f>IF(ISNA(MATCH(1042,Engine!$C$2:$C$1960,0)),"",INDEX('Compliance Database'!$C$2:$C$1960,MATCH(1042,Engine!$C$2:$C$1960,0)))</f>
        <v/>
      </c>
      <c r="D1055" s="9">
        <f>IF(ISNA(MATCH(1042,Engine!$C$2:$C$1960,0)),"",INDEX('Compliance Database'!$D$2:$D$1960,MATCH(1042,Engine!$C$2:$C$1960,0)))</f>
        <v/>
      </c>
      <c r="E1055" s="8">
        <f>IF(ISNA(MATCH(1042,Engine!$C$2:$C$1960,0)),"",INDEX('Compliance Database'!$E$2:$E$1960,MATCH(1042,Engine!$C$2:$C$1960,0)))</f>
        <v/>
      </c>
      <c r="F1055" s="8">
        <f>IF(ISNA(MATCH(1042,Engine!$C$2:$C$1960,0)),"",INDEX('Compliance Database'!$F$2:$F$1960,MATCH(1042,Engine!$C$2:$C$1960,0)))</f>
        <v/>
      </c>
      <c r="G1055" s="8">
        <f>IF(ISNA(MATCH(1042,Engine!$C$2:$C$1960,0)),"",INDEX('Compliance Database'!$G$2:$G$1960,MATCH(1042,Engine!$C$2:$C$1960,0)))</f>
        <v/>
      </c>
      <c r="H1055" s="9">
        <f>IF(ISNA(MATCH(1042,Engine!$C$2:$C$1960,0)),"",INDEX('Compliance Database'!$H$2:$H$1960,MATCH(1042,Engine!$C$2:$C$1960,0)))</f>
        <v/>
      </c>
      <c r="I1055" s="9">
        <f>IF(ISNA(MATCH(1042,Engine!$C$2:$C$1960,0)),"",INDEX('Compliance Database'!$I$2:$I$1960,MATCH(1042,Engine!$C$2:$C$1960,0)))</f>
        <v/>
      </c>
      <c r="J1055" s="8">
        <f>IF(ISNA(MATCH(1042,Engine!$C$2:$C$1960,0)),"",INDEX('Compliance Database'!$J$2:$J$1960,MATCH(1042,Engine!$C$2:$C$1960,0)))</f>
        <v/>
      </c>
      <c r="K1055" s="9">
        <f>IF(ISNA(MATCH(1042,Engine!$C$2:$C$1960,0)),"",INDEX('Compliance Database'!$K$2:$K$1960,MATCH(1042,Engine!$C$2:$C$1960,0)))</f>
        <v/>
      </c>
      <c r="L1055" s="9">
        <f>IF(ISNA(MATCH(1042,Engine!$C$2:$C$1960,0)),"",INDEX('Compliance Database'!$L$2:$L$1960,MATCH(1042,Engine!$C$2:$C$1960,0)))</f>
        <v/>
      </c>
      <c r="M1055" s="9">
        <f>IF(ISNA(MATCH(1042,Engine!$C$2:$C$1960,0)),"",INDEX('Compliance Database'!$M$2:$M$1960,MATCH(1042,Engine!$C$2:$C$1960,0)))</f>
        <v/>
      </c>
      <c r="N1055" s="9">
        <f>IF(ISNA(MATCH(1042,Engine!$C$2:$C$1960,0)),"",INDEX('Compliance Database'!$N$2:$N$1960,MATCH(1042,Engine!$C$2:$C$1960,0)))</f>
        <v/>
      </c>
      <c r="O1055" s="9">
        <f>IF(ISNA(MATCH(1042,Engine!$C$2:$C$1960,0)),"",INDEX('Compliance Database'!$O$2:$O$1960,MATCH(1042,Engine!$C$2:$C$1960,0)))</f>
        <v/>
      </c>
      <c r="P1055" s="8">
        <f>IF(ISNA(MATCH(1042,Engine!$C$2:$C$1960,0)),"",HYPERLINK("#Acts!A"&amp;INDEX('Compliance Database'!$P$2:$P$1960,MATCH(1042,Engine!$C$2:$C$1960,0)),"Go to Act"))</f>
        <v/>
      </c>
    </row>
    <row r="1056" ht="158" customHeight="1">
      <c r="A1056" s="8">
        <f>IF(ISNA(MATCH(1043,Engine!$C$2:$C$1960,0)),"",INDEX('Compliance Database'!$A$2:$A$1960,MATCH(1043,Engine!$C$2:$C$1960,0)))</f>
        <v/>
      </c>
      <c r="B1056" s="8">
        <f>IF(ISNA(MATCH(1043,Engine!$C$2:$C$1960,0)),"",INDEX('Compliance Database'!$B$2:$B$1960,MATCH(1043,Engine!$C$2:$C$1960,0)))</f>
        <v/>
      </c>
      <c r="C1056" s="8">
        <f>IF(ISNA(MATCH(1043,Engine!$C$2:$C$1960,0)),"",INDEX('Compliance Database'!$C$2:$C$1960,MATCH(1043,Engine!$C$2:$C$1960,0)))</f>
        <v/>
      </c>
      <c r="D1056" s="9">
        <f>IF(ISNA(MATCH(1043,Engine!$C$2:$C$1960,0)),"",INDEX('Compliance Database'!$D$2:$D$1960,MATCH(1043,Engine!$C$2:$C$1960,0)))</f>
        <v/>
      </c>
      <c r="E1056" s="8">
        <f>IF(ISNA(MATCH(1043,Engine!$C$2:$C$1960,0)),"",INDEX('Compliance Database'!$E$2:$E$1960,MATCH(1043,Engine!$C$2:$C$1960,0)))</f>
        <v/>
      </c>
      <c r="F1056" s="8">
        <f>IF(ISNA(MATCH(1043,Engine!$C$2:$C$1960,0)),"",INDEX('Compliance Database'!$F$2:$F$1960,MATCH(1043,Engine!$C$2:$C$1960,0)))</f>
        <v/>
      </c>
      <c r="G1056" s="8">
        <f>IF(ISNA(MATCH(1043,Engine!$C$2:$C$1960,0)),"",INDEX('Compliance Database'!$G$2:$G$1960,MATCH(1043,Engine!$C$2:$C$1960,0)))</f>
        <v/>
      </c>
      <c r="H1056" s="9">
        <f>IF(ISNA(MATCH(1043,Engine!$C$2:$C$1960,0)),"",INDEX('Compliance Database'!$H$2:$H$1960,MATCH(1043,Engine!$C$2:$C$1960,0)))</f>
        <v/>
      </c>
      <c r="I1056" s="9">
        <f>IF(ISNA(MATCH(1043,Engine!$C$2:$C$1960,0)),"",INDEX('Compliance Database'!$I$2:$I$1960,MATCH(1043,Engine!$C$2:$C$1960,0)))</f>
        <v/>
      </c>
      <c r="J1056" s="8">
        <f>IF(ISNA(MATCH(1043,Engine!$C$2:$C$1960,0)),"",INDEX('Compliance Database'!$J$2:$J$1960,MATCH(1043,Engine!$C$2:$C$1960,0)))</f>
        <v/>
      </c>
      <c r="K1056" s="9">
        <f>IF(ISNA(MATCH(1043,Engine!$C$2:$C$1960,0)),"",INDEX('Compliance Database'!$K$2:$K$1960,MATCH(1043,Engine!$C$2:$C$1960,0)))</f>
        <v/>
      </c>
      <c r="L1056" s="9">
        <f>IF(ISNA(MATCH(1043,Engine!$C$2:$C$1960,0)),"",INDEX('Compliance Database'!$L$2:$L$1960,MATCH(1043,Engine!$C$2:$C$1960,0)))</f>
        <v/>
      </c>
      <c r="M1056" s="9">
        <f>IF(ISNA(MATCH(1043,Engine!$C$2:$C$1960,0)),"",INDEX('Compliance Database'!$M$2:$M$1960,MATCH(1043,Engine!$C$2:$C$1960,0)))</f>
        <v/>
      </c>
      <c r="N1056" s="9">
        <f>IF(ISNA(MATCH(1043,Engine!$C$2:$C$1960,0)),"",INDEX('Compliance Database'!$N$2:$N$1960,MATCH(1043,Engine!$C$2:$C$1960,0)))</f>
        <v/>
      </c>
      <c r="O1056" s="9">
        <f>IF(ISNA(MATCH(1043,Engine!$C$2:$C$1960,0)),"",INDEX('Compliance Database'!$O$2:$O$1960,MATCH(1043,Engine!$C$2:$C$1960,0)))</f>
        <v/>
      </c>
      <c r="P1056" s="8">
        <f>IF(ISNA(MATCH(1043,Engine!$C$2:$C$1960,0)),"",HYPERLINK("#Acts!A"&amp;INDEX('Compliance Database'!$P$2:$P$1960,MATCH(1043,Engine!$C$2:$C$1960,0)),"Go to Act"))</f>
        <v/>
      </c>
    </row>
    <row r="1057" ht="158" customHeight="1">
      <c r="A1057" s="8">
        <f>IF(ISNA(MATCH(1044,Engine!$C$2:$C$1960,0)),"",INDEX('Compliance Database'!$A$2:$A$1960,MATCH(1044,Engine!$C$2:$C$1960,0)))</f>
        <v/>
      </c>
      <c r="B1057" s="8">
        <f>IF(ISNA(MATCH(1044,Engine!$C$2:$C$1960,0)),"",INDEX('Compliance Database'!$B$2:$B$1960,MATCH(1044,Engine!$C$2:$C$1960,0)))</f>
        <v/>
      </c>
      <c r="C1057" s="8">
        <f>IF(ISNA(MATCH(1044,Engine!$C$2:$C$1960,0)),"",INDEX('Compliance Database'!$C$2:$C$1960,MATCH(1044,Engine!$C$2:$C$1960,0)))</f>
        <v/>
      </c>
      <c r="D1057" s="9">
        <f>IF(ISNA(MATCH(1044,Engine!$C$2:$C$1960,0)),"",INDEX('Compliance Database'!$D$2:$D$1960,MATCH(1044,Engine!$C$2:$C$1960,0)))</f>
        <v/>
      </c>
      <c r="E1057" s="8">
        <f>IF(ISNA(MATCH(1044,Engine!$C$2:$C$1960,0)),"",INDEX('Compliance Database'!$E$2:$E$1960,MATCH(1044,Engine!$C$2:$C$1960,0)))</f>
        <v/>
      </c>
      <c r="F1057" s="8">
        <f>IF(ISNA(MATCH(1044,Engine!$C$2:$C$1960,0)),"",INDEX('Compliance Database'!$F$2:$F$1960,MATCH(1044,Engine!$C$2:$C$1960,0)))</f>
        <v/>
      </c>
      <c r="G1057" s="8">
        <f>IF(ISNA(MATCH(1044,Engine!$C$2:$C$1960,0)),"",INDEX('Compliance Database'!$G$2:$G$1960,MATCH(1044,Engine!$C$2:$C$1960,0)))</f>
        <v/>
      </c>
      <c r="H1057" s="9">
        <f>IF(ISNA(MATCH(1044,Engine!$C$2:$C$1960,0)),"",INDEX('Compliance Database'!$H$2:$H$1960,MATCH(1044,Engine!$C$2:$C$1960,0)))</f>
        <v/>
      </c>
      <c r="I1057" s="9">
        <f>IF(ISNA(MATCH(1044,Engine!$C$2:$C$1960,0)),"",INDEX('Compliance Database'!$I$2:$I$1960,MATCH(1044,Engine!$C$2:$C$1960,0)))</f>
        <v/>
      </c>
      <c r="J1057" s="8">
        <f>IF(ISNA(MATCH(1044,Engine!$C$2:$C$1960,0)),"",INDEX('Compliance Database'!$J$2:$J$1960,MATCH(1044,Engine!$C$2:$C$1960,0)))</f>
        <v/>
      </c>
      <c r="K1057" s="9">
        <f>IF(ISNA(MATCH(1044,Engine!$C$2:$C$1960,0)),"",INDEX('Compliance Database'!$K$2:$K$1960,MATCH(1044,Engine!$C$2:$C$1960,0)))</f>
        <v/>
      </c>
      <c r="L1057" s="9">
        <f>IF(ISNA(MATCH(1044,Engine!$C$2:$C$1960,0)),"",INDEX('Compliance Database'!$L$2:$L$1960,MATCH(1044,Engine!$C$2:$C$1960,0)))</f>
        <v/>
      </c>
      <c r="M1057" s="9">
        <f>IF(ISNA(MATCH(1044,Engine!$C$2:$C$1960,0)),"",INDEX('Compliance Database'!$M$2:$M$1960,MATCH(1044,Engine!$C$2:$C$1960,0)))</f>
        <v/>
      </c>
      <c r="N1057" s="9">
        <f>IF(ISNA(MATCH(1044,Engine!$C$2:$C$1960,0)),"",INDEX('Compliance Database'!$N$2:$N$1960,MATCH(1044,Engine!$C$2:$C$1960,0)))</f>
        <v/>
      </c>
      <c r="O1057" s="9">
        <f>IF(ISNA(MATCH(1044,Engine!$C$2:$C$1960,0)),"",INDEX('Compliance Database'!$O$2:$O$1960,MATCH(1044,Engine!$C$2:$C$1960,0)))</f>
        <v/>
      </c>
      <c r="P1057" s="8">
        <f>IF(ISNA(MATCH(1044,Engine!$C$2:$C$1960,0)),"",HYPERLINK("#Acts!A"&amp;INDEX('Compliance Database'!$P$2:$P$1960,MATCH(1044,Engine!$C$2:$C$1960,0)),"Go to Act"))</f>
        <v/>
      </c>
    </row>
    <row r="1058" ht="158" customHeight="1">
      <c r="A1058" s="8">
        <f>IF(ISNA(MATCH(1045,Engine!$C$2:$C$1960,0)),"",INDEX('Compliance Database'!$A$2:$A$1960,MATCH(1045,Engine!$C$2:$C$1960,0)))</f>
        <v/>
      </c>
      <c r="B1058" s="8">
        <f>IF(ISNA(MATCH(1045,Engine!$C$2:$C$1960,0)),"",INDEX('Compliance Database'!$B$2:$B$1960,MATCH(1045,Engine!$C$2:$C$1960,0)))</f>
        <v/>
      </c>
      <c r="C1058" s="8">
        <f>IF(ISNA(MATCH(1045,Engine!$C$2:$C$1960,0)),"",INDEX('Compliance Database'!$C$2:$C$1960,MATCH(1045,Engine!$C$2:$C$1960,0)))</f>
        <v/>
      </c>
      <c r="D1058" s="9">
        <f>IF(ISNA(MATCH(1045,Engine!$C$2:$C$1960,0)),"",INDEX('Compliance Database'!$D$2:$D$1960,MATCH(1045,Engine!$C$2:$C$1960,0)))</f>
        <v/>
      </c>
      <c r="E1058" s="8">
        <f>IF(ISNA(MATCH(1045,Engine!$C$2:$C$1960,0)),"",INDEX('Compliance Database'!$E$2:$E$1960,MATCH(1045,Engine!$C$2:$C$1960,0)))</f>
        <v/>
      </c>
      <c r="F1058" s="8">
        <f>IF(ISNA(MATCH(1045,Engine!$C$2:$C$1960,0)),"",INDEX('Compliance Database'!$F$2:$F$1960,MATCH(1045,Engine!$C$2:$C$1960,0)))</f>
        <v/>
      </c>
      <c r="G1058" s="8">
        <f>IF(ISNA(MATCH(1045,Engine!$C$2:$C$1960,0)),"",INDEX('Compliance Database'!$G$2:$G$1960,MATCH(1045,Engine!$C$2:$C$1960,0)))</f>
        <v/>
      </c>
      <c r="H1058" s="9">
        <f>IF(ISNA(MATCH(1045,Engine!$C$2:$C$1960,0)),"",INDEX('Compliance Database'!$H$2:$H$1960,MATCH(1045,Engine!$C$2:$C$1960,0)))</f>
        <v/>
      </c>
      <c r="I1058" s="9">
        <f>IF(ISNA(MATCH(1045,Engine!$C$2:$C$1960,0)),"",INDEX('Compliance Database'!$I$2:$I$1960,MATCH(1045,Engine!$C$2:$C$1960,0)))</f>
        <v/>
      </c>
      <c r="J1058" s="8">
        <f>IF(ISNA(MATCH(1045,Engine!$C$2:$C$1960,0)),"",INDEX('Compliance Database'!$J$2:$J$1960,MATCH(1045,Engine!$C$2:$C$1960,0)))</f>
        <v/>
      </c>
      <c r="K1058" s="9">
        <f>IF(ISNA(MATCH(1045,Engine!$C$2:$C$1960,0)),"",INDEX('Compliance Database'!$K$2:$K$1960,MATCH(1045,Engine!$C$2:$C$1960,0)))</f>
        <v/>
      </c>
      <c r="L1058" s="9">
        <f>IF(ISNA(MATCH(1045,Engine!$C$2:$C$1960,0)),"",INDEX('Compliance Database'!$L$2:$L$1960,MATCH(1045,Engine!$C$2:$C$1960,0)))</f>
        <v/>
      </c>
      <c r="M1058" s="9">
        <f>IF(ISNA(MATCH(1045,Engine!$C$2:$C$1960,0)),"",INDEX('Compliance Database'!$M$2:$M$1960,MATCH(1045,Engine!$C$2:$C$1960,0)))</f>
        <v/>
      </c>
      <c r="N1058" s="9">
        <f>IF(ISNA(MATCH(1045,Engine!$C$2:$C$1960,0)),"",INDEX('Compliance Database'!$N$2:$N$1960,MATCH(1045,Engine!$C$2:$C$1960,0)))</f>
        <v/>
      </c>
      <c r="O1058" s="9">
        <f>IF(ISNA(MATCH(1045,Engine!$C$2:$C$1960,0)),"",INDEX('Compliance Database'!$O$2:$O$1960,MATCH(1045,Engine!$C$2:$C$1960,0)))</f>
        <v/>
      </c>
      <c r="P1058" s="8">
        <f>IF(ISNA(MATCH(1045,Engine!$C$2:$C$1960,0)),"",HYPERLINK("#Acts!A"&amp;INDEX('Compliance Database'!$P$2:$P$1960,MATCH(1045,Engine!$C$2:$C$1960,0)),"Go to Act"))</f>
        <v/>
      </c>
    </row>
    <row r="1059" ht="158" customHeight="1">
      <c r="A1059" s="8">
        <f>IF(ISNA(MATCH(1046,Engine!$C$2:$C$1960,0)),"",INDEX('Compliance Database'!$A$2:$A$1960,MATCH(1046,Engine!$C$2:$C$1960,0)))</f>
        <v/>
      </c>
      <c r="B1059" s="8">
        <f>IF(ISNA(MATCH(1046,Engine!$C$2:$C$1960,0)),"",INDEX('Compliance Database'!$B$2:$B$1960,MATCH(1046,Engine!$C$2:$C$1960,0)))</f>
        <v/>
      </c>
      <c r="C1059" s="8">
        <f>IF(ISNA(MATCH(1046,Engine!$C$2:$C$1960,0)),"",INDEX('Compliance Database'!$C$2:$C$1960,MATCH(1046,Engine!$C$2:$C$1960,0)))</f>
        <v/>
      </c>
      <c r="D1059" s="9">
        <f>IF(ISNA(MATCH(1046,Engine!$C$2:$C$1960,0)),"",INDEX('Compliance Database'!$D$2:$D$1960,MATCH(1046,Engine!$C$2:$C$1960,0)))</f>
        <v/>
      </c>
      <c r="E1059" s="8">
        <f>IF(ISNA(MATCH(1046,Engine!$C$2:$C$1960,0)),"",INDEX('Compliance Database'!$E$2:$E$1960,MATCH(1046,Engine!$C$2:$C$1960,0)))</f>
        <v/>
      </c>
      <c r="F1059" s="8">
        <f>IF(ISNA(MATCH(1046,Engine!$C$2:$C$1960,0)),"",INDEX('Compliance Database'!$F$2:$F$1960,MATCH(1046,Engine!$C$2:$C$1960,0)))</f>
        <v/>
      </c>
      <c r="G1059" s="8">
        <f>IF(ISNA(MATCH(1046,Engine!$C$2:$C$1960,0)),"",INDEX('Compliance Database'!$G$2:$G$1960,MATCH(1046,Engine!$C$2:$C$1960,0)))</f>
        <v/>
      </c>
      <c r="H1059" s="9">
        <f>IF(ISNA(MATCH(1046,Engine!$C$2:$C$1960,0)),"",INDEX('Compliance Database'!$H$2:$H$1960,MATCH(1046,Engine!$C$2:$C$1960,0)))</f>
        <v/>
      </c>
      <c r="I1059" s="9">
        <f>IF(ISNA(MATCH(1046,Engine!$C$2:$C$1960,0)),"",INDEX('Compliance Database'!$I$2:$I$1960,MATCH(1046,Engine!$C$2:$C$1960,0)))</f>
        <v/>
      </c>
      <c r="J1059" s="8">
        <f>IF(ISNA(MATCH(1046,Engine!$C$2:$C$1960,0)),"",INDEX('Compliance Database'!$J$2:$J$1960,MATCH(1046,Engine!$C$2:$C$1960,0)))</f>
        <v/>
      </c>
      <c r="K1059" s="9">
        <f>IF(ISNA(MATCH(1046,Engine!$C$2:$C$1960,0)),"",INDEX('Compliance Database'!$K$2:$K$1960,MATCH(1046,Engine!$C$2:$C$1960,0)))</f>
        <v/>
      </c>
      <c r="L1059" s="9">
        <f>IF(ISNA(MATCH(1046,Engine!$C$2:$C$1960,0)),"",INDEX('Compliance Database'!$L$2:$L$1960,MATCH(1046,Engine!$C$2:$C$1960,0)))</f>
        <v/>
      </c>
      <c r="M1059" s="9">
        <f>IF(ISNA(MATCH(1046,Engine!$C$2:$C$1960,0)),"",INDEX('Compliance Database'!$M$2:$M$1960,MATCH(1046,Engine!$C$2:$C$1960,0)))</f>
        <v/>
      </c>
      <c r="N1059" s="9">
        <f>IF(ISNA(MATCH(1046,Engine!$C$2:$C$1960,0)),"",INDEX('Compliance Database'!$N$2:$N$1960,MATCH(1046,Engine!$C$2:$C$1960,0)))</f>
        <v/>
      </c>
      <c r="O1059" s="9">
        <f>IF(ISNA(MATCH(1046,Engine!$C$2:$C$1960,0)),"",INDEX('Compliance Database'!$O$2:$O$1960,MATCH(1046,Engine!$C$2:$C$1960,0)))</f>
        <v/>
      </c>
      <c r="P1059" s="8">
        <f>IF(ISNA(MATCH(1046,Engine!$C$2:$C$1960,0)),"",HYPERLINK("#Acts!A"&amp;INDEX('Compliance Database'!$P$2:$P$1960,MATCH(1046,Engine!$C$2:$C$1960,0)),"Go to Act"))</f>
        <v/>
      </c>
    </row>
    <row r="1060" ht="158" customHeight="1">
      <c r="A1060" s="8">
        <f>IF(ISNA(MATCH(1047,Engine!$C$2:$C$1960,0)),"",INDEX('Compliance Database'!$A$2:$A$1960,MATCH(1047,Engine!$C$2:$C$1960,0)))</f>
        <v/>
      </c>
      <c r="B1060" s="8">
        <f>IF(ISNA(MATCH(1047,Engine!$C$2:$C$1960,0)),"",INDEX('Compliance Database'!$B$2:$B$1960,MATCH(1047,Engine!$C$2:$C$1960,0)))</f>
        <v/>
      </c>
      <c r="C1060" s="8">
        <f>IF(ISNA(MATCH(1047,Engine!$C$2:$C$1960,0)),"",INDEX('Compliance Database'!$C$2:$C$1960,MATCH(1047,Engine!$C$2:$C$1960,0)))</f>
        <v/>
      </c>
      <c r="D1060" s="9">
        <f>IF(ISNA(MATCH(1047,Engine!$C$2:$C$1960,0)),"",INDEX('Compliance Database'!$D$2:$D$1960,MATCH(1047,Engine!$C$2:$C$1960,0)))</f>
        <v/>
      </c>
      <c r="E1060" s="8">
        <f>IF(ISNA(MATCH(1047,Engine!$C$2:$C$1960,0)),"",INDEX('Compliance Database'!$E$2:$E$1960,MATCH(1047,Engine!$C$2:$C$1960,0)))</f>
        <v/>
      </c>
      <c r="F1060" s="8">
        <f>IF(ISNA(MATCH(1047,Engine!$C$2:$C$1960,0)),"",INDEX('Compliance Database'!$F$2:$F$1960,MATCH(1047,Engine!$C$2:$C$1960,0)))</f>
        <v/>
      </c>
      <c r="G1060" s="8">
        <f>IF(ISNA(MATCH(1047,Engine!$C$2:$C$1960,0)),"",INDEX('Compliance Database'!$G$2:$G$1960,MATCH(1047,Engine!$C$2:$C$1960,0)))</f>
        <v/>
      </c>
      <c r="H1060" s="9">
        <f>IF(ISNA(MATCH(1047,Engine!$C$2:$C$1960,0)),"",INDEX('Compliance Database'!$H$2:$H$1960,MATCH(1047,Engine!$C$2:$C$1960,0)))</f>
        <v/>
      </c>
      <c r="I1060" s="9">
        <f>IF(ISNA(MATCH(1047,Engine!$C$2:$C$1960,0)),"",INDEX('Compliance Database'!$I$2:$I$1960,MATCH(1047,Engine!$C$2:$C$1960,0)))</f>
        <v/>
      </c>
      <c r="J1060" s="8">
        <f>IF(ISNA(MATCH(1047,Engine!$C$2:$C$1960,0)),"",INDEX('Compliance Database'!$J$2:$J$1960,MATCH(1047,Engine!$C$2:$C$1960,0)))</f>
        <v/>
      </c>
      <c r="K1060" s="9">
        <f>IF(ISNA(MATCH(1047,Engine!$C$2:$C$1960,0)),"",INDEX('Compliance Database'!$K$2:$K$1960,MATCH(1047,Engine!$C$2:$C$1960,0)))</f>
        <v/>
      </c>
      <c r="L1060" s="9">
        <f>IF(ISNA(MATCH(1047,Engine!$C$2:$C$1960,0)),"",INDEX('Compliance Database'!$L$2:$L$1960,MATCH(1047,Engine!$C$2:$C$1960,0)))</f>
        <v/>
      </c>
      <c r="M1060" s="9">
        <f>IF(ISNA(MATCH(1047,Engine!$C$2:$C$1960,0)),"",INDEX('Compliance Database'!$M$2:$M$1960,MATCH(1047,Engine!$C$2:$C$1960,0)))</f>
        <v/>
      </c>
      <c r="N1060" s="9">
        <f>IF(ISNA(MATCH(1047,Engine!$C$2:$C$1960,0)),"",INDEX('Compliance Database'!$N$2:$N$1960,MATCH(1047,Engine!$C$2:$C$1960,0)))</f>
        <v/>
      </c>
      <c r="O1060" s="9">
        <f>IF(ISNA(MATCH(1047,Engine!$C$2:$C$1960,0)),"",INDEX('Compliance Database'!$O$2:$O$1960,MATCH(1047,Engine!$C$2:$C$1960,0)))</f>
        <v/>
      </c>
      <c r="P1060" s="8">
        <f>IF(ISNA(MATCH(1047,Engine!$C$2:$C$1960,0)),"",HYPERLINK("#Acts!A"&amp;INDEX('Compliance Database'!$P$2:$P$1960,MATCH(1047,Engine!$C$2:$C$1960,0)),"Go to Act"))</f>
        <v/>
      </c>
    </row>
    <row r="1061" ht="158" customHeight="1">
      <c r="A1061" s="8">
        <f>IF(ISNA(MATCH(1048,Engine!$C$2:$C$1960,0)),"",INDEX('Compliance Database'!$A$2:$A$1960,MATCH(1048,Engine!$C$2:$C$1960,0)))</f>
        <v/>
      </c>
      <c r="B1061" s="8">
        <f>IF(ISNA(MATCH(1048,Engine!$C$2:$C$1960,0)),"",INDEX('Compliance Database'!$B$2:$B$1960,MATCH(1048,Engine!$C$2:$C$1960,0)))</f>
        <v/>
      </c>
      <c r="C1061" s="8">
        <f>IF(ISNA(MATCH(1048,Engine!$C$2:$C$1960,0)),"",INDEX('Compliance Database'!$C$2:$C$1960,MATCH(1048,Engine!$C$2:$C$1960,0)))</f>
        <v/>
      </c>
      <c r="D1061" s="9">
        <f>IF(ISNA(MATCH(1048,Engine!$C$2:$C$1960,0)),"",INDEX('Compliance Database'!$D$2:$D$1960,MATCH(1048,Engine!$C$2:$C$1960,0)))</f>
        <v/>
      </c>
      <c r="E1061" s="8">
        <f>IF(ISNA(MATCH(1048,Engine!$C$2:$C$1960,0)),"",INDEX('Compliance Database'!$E$2:$E$1960,MATCH(1048,Engine!$C$2:$C$1960,0)))</f>
        <v/>
      </c>
      <c r="F1061" s="8">
        <f>IF(ISNA(MATCH(1048,Engine!$C$2:$C$1960,0)),"",INDEX('Compliance Database'!$F$2:$F$1960,MATCH(1048,Engine!$C$2:$C$1960,0)))</f>
        <v/>
      </c>
      <c r="G1061" s="8">
        <f>IF(ISNA(MATCH(1048,Engine!$C$2:$C$1960,0)),"",INDEX('Compliance Database'!$G$2:$G$1960,MATCH(1048,Engine!$C$2:$C$1960,0)))</f>
        <v/>
      </c>
      <c r="H1061" s="9">
        <f>IF(ISNA(MATCH(1048,Engine!$C$2:$C$1960,0)),"",INDEX('Compliance Database'!$H$2:$H$1960,MATCH(1048,Engine!$C$2:$C$1960,0)))</f>
        <v/>
      </c>
      <c r="I1061" s="9">
        <f>IF(ISNA(MATCH(1048,Engine!$C$2:$C$1960,0)),"",INDEX('Compliance Database'!$I$2:$I$1960,MATCH(1048,Engine!$C$2:$C$1960,0)))</f>
        <v/>
      </c>
      <c r="J1061" s="8">
        <f>IF(ISNA(MATCH(1048,Engine!$C$2:$C$1960,0)),"",INDEX('Compliance Database'!$J$2:$J$1960,MATCH(1048,Engine!$C$2:$C$1960,0)))</f>
        <v/>
      </c>
      <c r="K1061" s="9">
        <f>IF(ISNA(MATCH(1048,Engine!$C$2:$C$1960,0)),"",INDEX('Compliance Database'!$K$2:$K$1960,MATCH(1048,Engine!$C$2:$C$1960,0)))</f>
        <v/>
      </c>
      <c r="L1061" s="9">
        <f>IF(ISNA(MATCH(1048,Engine!$C$2:$C$1960,0)),"",INDEX('Compliance Database'!$L$2:$L$1960,MATCH(1048,Engine!$C$2:$C$1960,0)))</f>
        <v/>
      </c>
      <c r="M1061" s="9">
        <f>IF(ISNA(MATCH(1048,Engine!$C$2:$C$1960,0)),"",INDEX('Compliance Database'!$M$2:$M$1960,MATCH(1048,Engine!$C$2:$C$1960,0)))</f>
        <v/>
      </c>
      <c r="N1061" s="9">
        <f>IF(ISNA(MATCH(1048,Engine!$C$2:$C$1960,0)),"",INDEX('Compliance Database'!$N$2:$N$1960,MATCH(1048,Engine!$C$2:$C$1960,0)))</f>
        <v/>
      </c>
      <c r="O1061" s="9">
        <f>IF(ISNA(MATCH(1048,Engine!$C$2:$C$1960,0)),"",INDEX('Compliance Database'!$O$2:$O$1960,MATCH(1048,Engine!$C$2:$C$1960,0)))</f>
        <v/>
      </c>
      <c r="P1061" s="8">
        <f>IF(ISNA(MATCH(1048,Engine!$C$2:$C$1960,0)),"",HYPERLINK("#Acts!A"&amp;INDEX('Compliance Database'!$P$2:$P$1960,MATCH(1048,Engine!$C$2:$C$1960,0)),"Go to Act"))</f>
        <v/>
      </c>
    </row>
    <row r="1062" ht="158" customHeight="1">
      <c r="A1062" s="8">
        <f>IF(ISNA(MATCH(1049,Engine!$C$2:$C$1960,0)),"",INDEX('Compliance Database'!$A$2:$A$1960,MATCH(1049,Engine!$C$2:$C$1960,0)))</f>
        <v/>
      </c>
      <c r="B1062" s="8">
        <f>IF(ISNA(MATCH(1049,Engine!$C$2:$C$1960,0)),"",INDEX('Compliance Database'!$B$2:$B$1960,MATCH(1049,Engine!$C$2:$C$1960,0)))</f>
        <v/>
      </c>
      <c r="C1062" s="8">
        <f>IF(ISNA(MATCH(1049,Engine!$C$2:$C$1960,0)),"",INDEX('Compliance Database'!$C$2:$C$1960,MATCH(1049,Engine!$C$2:$C$1960,0)))</f>
        <v/>
      </c>
      <c r="D1062" s="9">
        <f>IF(ISNA(MATCH(1049,Engine!$C$2:$C$1960,0)),"",INDEX('Compliance Database'!$D$2:$D$1960,MATCH(1049,Engine!$C$2:$C$1960,0)))</f>
        <v/>
      </c>
      <c r="E1062" s="8">
        <f>IF(ISNA(MATCH(1049,Engine!$C$2:$C$1960,0)),"",INDEX('Compliance Database'!$E$2:$E$1960,MATCH(1049,Engine!$C$2:$C$1960,0)))</f>
        <v/>
      </c>
      <c r="F1062" s="8">
        <f>IF(ISNA(MATCH(1049,Engine!$C$2:$C$1960,0)),"",INDEX('Compliance Database'!$F$2:$F$1960,MATCH(1049,Engine!$C$2:$C$1960,0)))</f>
        <v/>
      </c>
      <c r="G1062" s="8">
        <f>IF(ISNA(MATCH(1049,Engine!$C$2:$C$1960,0)),"",INDEX('Compliance Database'!$G$2:$G$1960,MATCH(1049,Engine!$C$2:$C$1960,0)))</f>
        <v/>
      </c>
      <c r="H1062" s="9">
        <f>IF(ISNA(MATCH(1049,Engine!$C$2:$C$1960,0)),"",INDEX('Compliance Database'!$H$2:$H$1960,MATCH(1049,Engine!$C$2:$C$1960,0)))</f>
        <v/>
      </c>
      <c r="I1062" s="9">
        <f>IF(ISNA(MATCH(1049,Engine!$C$2:$C$1960,0)),"",INDEX('Compliance Database'!$I$2:$I$1960,MATCH(1049,Engine!$C$2:$C$1960,0)))</f>
        <v/>
      </c>
      <c r="J1062" s="8">
        <f>IF(ISNA(MATCH(1049,Engine!$C$2:$C$1960,0)),"",INDEX('Compliance Database'!$J$2:$J$1960,MATCH(1049,Engine!$C$2:$C$1960,0)))</f>
        <v/>
      </c>
      <c r="K1062" s="9">
        <f>IF(ISNA(MATCH(1049,Engine!$C$2:$C$1960,0)),"",INDEX('Compliance Database'!$K$2:$K$1960,MATCH(1049,Engine!$C$2:$C$1960,0)))</f>
        <v/>
      </c>
      <c r="L1062" s="9">
        <f>IF(ISNA(MATCH(1049,Engine!$C$2:$C$1960,0)),"",INDEX('Compliance Database'!$L$2:$L$1960,MATCH(1049,Engine!$C$2:$C$1960,0)))</f>
        <v/>
      </c>
      <c r="M1062" s="9">
        <f>IF(ISNA(MATCH(1049,Engine!$C$2:$C$1960,0)),"",INDEX('Compliance Database'!$M$2:$M$1960,MATCH(1049,Engine!$C$2:$C$1960,0)))</f>
        <v/>
      </c>
      <c r="N1062" s="9">
        <f>IF(ISNA(MATCH(1049,Engine!$C$2:$C$1960,0)),"",INDEX('Compliance Database'!$N$2:$N$1960,MATCH(1049,Engine!$C$2:$C$1960,0)))</f>
        <v/>
      </c>
      <c r="O1062" s="9">
        <f>IF(ISNA(MATCH(1049,Engine!$C$2:$C$1960,0)),"",INDEX('Compliance Database'!$O$2:$O$1960,MATCH(1049,Engine!$C$2:$C$1960,0)))</f>
        <v/>
      </c>
      <c r="P1062" s="8">
        <f>IF(ISNA(MATCH(1049,Engine!$C$2:$C$1960,0)),"",HYPERLINK("#Acts!A"&amp;INDEX('Compliance Database'!$P$2:$P$1960,MATCH(1049,Engine!$C$2:$C$1960,0)),"Go to Act"))</f>
        <v/>
      </c>
    </row>
    <row r="1063" ht="158" customHeight="1">
      <c r="A1063" s="8">
        <f>IF(ISNA(MATCH(1050,Engine!$C$2:$C$1960,0)),"",INDEX('Compliance Database'!$A$2:$A$1960,MATCH(1050,Engine!$C$2:$C$1960,0)))</f>
        <v/>
      </c>
      <c r="B1063" s="8">
        <f>IF(ISNA(MATCH(1050,Engine!$C$2:$C$1960,0)),"",INDEX('Compliance Database'!$B$2:$B$1960,MATCH(1050,Engine!$C$2:$C$1960,0)))</f>
        <v/>
      </c>
      <c r="C1063" s="8">
        <f>IF(ISNA(MATCH(1050,Engine!$C$2:$C$1960,0)),"",INDEX('Compliance Database'!$C$2:$C$1960,MATCH(1050,Engine!$C$2:$C$1960,0)))</f>
        <v/>
      </c>
      <c r="D1063" s="9">
        <f>IF(ISNA(MATCH(1050,Engine!$C$2:$C$1960,0)),"",INDEX('Compliance Database'!$D$2:$D$1960,MATCH(1050,Engine!$C$2:$C$1960,0)))</f>
        <v/>
      </c>
      <c r="E1063" s="8">
        <f>IF(ISNA(MATCH(1050,Engine!$C$2:$C$1960,0)),"",INDEX('Compliance Database'!$E$2:$E$1960,MATCH(1050,Engine!$C$2:$C$1960,0)))</f>
        <v/>
      </c>
      <c r="F1063" s="8">
        <f>IF(ISNA(MATCH(1050,Engine!$C$2:$C$1960,0)),"",INDEX('Compliance Database'!$F$2:$F$1960,MATCH(1050,Engine!$C$2:$C$1960,0)))</f>
        <v/>
      </c>
      <c r="G1063" s="8">
        <f>IF(ISNA(MATCH(1050,Engine!$C$2:$C$1960,0)),"",INDEX('Compliance Database'!$G$2:$G$1960,MATCH(1050,Engine!$C$2:$C$1960,0)))</f>
        <v/>
      </c>
      <c r="H1063" s="9">
        <f>IF(ISNA(MATCH(1050,Engine!$C$2:$C$1960,0)),"",INDEX('Compliance Database'!$H$2:$H$1960,MATCH(1050,Engine!$C$2:$C$1960,0)))</f>
        <v/>
      </c>
      <c r="I1063" s="9">
        <f>IF(ISNA(MATCH(1050,Engine!$C$2:$C$1960,0)),"",INDEX('Compliance Database'!$I$2:$I$1960,MATCH(1050,Engine!$C$2:$C$1960,0)))</f>
        <v/>
      </c>
      <c r="J1063" s="8">
        <f>IF(ISNA(MATCH(1050,Engine!$C$2:$C$1960,0)),"",INDEX('Compliance Database'!$J$2:$J$1960,MATCH(1050,Engine!$C$2:$C$1960,0)))</f>
        <v/>
      </c>
      <c r="K1063" s="9">
        <f>IF(ISNA(MATCH(1050,Engine!$C$2:$C$1960,0)),"",INDEX('Compliance Database'!$K$2:$K$1960,MATCH(1050,Engine!$C$2:$C$1960,0)))</f>
        <v/>
      </c>
      <c r="L1063" s="9">
        <f>IF(ISNA(MATCH(1050,Engine!$C$2:$C$1960,0)),"",INDEX('Compliance Database'!$L$2:$L$1960,MATCH(1050,Engine!$C$2:$C$1960,0)))</f>
        <v/>
      </c>
      <c r="M1063" s="9">
        <f>IF(ISNA(MATCH(1050,Engine!$C$2:$C$1960,0)),"",INDEX('Compliance Database'!$M$2:$M$1960,MATCH(1050,Engine!$C$2:$C$1960,0)))</f>
        <v/>
      </c>
      <c r="N1063" s="9">
        <f>IF(ISNA(MATCH(1050,Engine!$C$2:$C$1960,0)),"",INDEX('Compliance Database'!$N$2:$N$1960,MATCH(1050,Engine!$C$2:$C$1960,0)))</f>
        <v/>
      </c>
      <c r="O1063" s="9">
        <f>IF(ISNA(MATCH(1050,Engine!$C$2:$C$1960,0)),"",INDEX('Compliance Database'!$O$2:$O$1960,MATCH(1050,Engine!$C$2:$C$1960,0)))</f>
        <v/>
      </c>
      <c r="P1063" s="8">
        <f>IF(ISNA(MATCH(1050,Engine!$C$2:$C$1960,0)),"",HYPERLINK("#Acts!A"&amp;INDEX('Compliance Database'!$P$2:$P$1960,MATCH(1050,Engine!$C$2:$C$1960,0)),"Go to Act"))</f>
        <v/>
      </c>
    </row>
    <row r="1064" ht="158" customHeight="1">
      <c r="A1064" s="8">
        <f>IF(ISNA(MATCH(1051,Engine!$C$2:$C$1960,0)),"",INDEX('Compliance Database'!$A$2:$A$1960,MATCH(1051,Engine!$C$2:$C$1960,0)))</f>
        <v/>
      </c>
      <c r="B1064" s="8">
        <f>IF(ISNA(MATCH(1051,Engine!$C$2:$C$1960,0)),"",INDEX('Compliance Database'!$B$2:$B$1960,MATCH(1051,Engine!$C$2:$C$1960,0)))</f>
        <v/>
      </c>
      <c r="C1064" s="8">
        <f>IF(ISNA(MATCH(1051,Engine!$C$2:$C$1960,0)),"",INDEX('Compliance Database'!$C$2:$C$1960,MATCH(1051,Engine!$C$2:$C$1960,0)))</f>
        <v/>
      </c>
      <c r="D1064" s="9">
        <f>IF(ISNA(MATCH(1051,Engine!$C$2:$C$1960,0)),"",INDEX('Compliance Database'!$D$2:$D$1960,MATCH(1051,Engine!$C$2:$C$1960,0)))</f>
        <v/>
      </c>
      <c r="E1064" s="8">
        <f>IF(ISNA(MATCH(1051,Engine!$C$2:$C$1960,0)),"",INDEX('Compliance Database'!$E$2:$E$1960,MATCH(1051,Engine!$C$2:$C$1960,0)))</f>
        <v/>
      </c>
      <c r="F1064" s="8">
        <f>IF(ISNA(MATCH(1051,Engine!$C$2:$C$1960,0)),"",INDEX('Compliance Database'!$F$2:$F$1960,MATCH(1051,Engine!$C$2:$C$1960,0)))</f>
        <v/>
      </c>
      <c r="G1064" s="8">
        <f>IF(ISNA(MATCH(1051,Engine!$C$2:$C$1960,0)),"",INDEX('Compliance Database'!$G$2:$G$1960,MATCH(1051,Engine!$C$2:$C$1960,0)))</f>
        <v/>
      </c>
      <c r="H1064" s="9">
        <f>IF(ISNA(MATCH(1051,Engine!$C$2:$C$1960,0)),"",INDEX('Compliance Database'!$H$2:$H$1960,MATCH(1051,Engine!$C$2:$C$1960,0)))</f>
        <v/>
      </c>
      <c r="I1064" s="9">
        <f>IF(ISNA(MATCH(1051,Engine!$C$2:$C$1960,0)),"",INDEX('Compliance Database'!$I$2:$I$1960,MATCH(1051,Engine!$C$2:$C$1960,0)))</f>
        <v/>
      </c>
      <c r="J1064" s="8">
        <f>IF(ISNA(MATCH(1051,Engine!$C$2:$C$1960,0)),"",INDEX('Compliance Database'!$J$2:$J$1960,MATCH(1051,Engine!$C$2:$C$1960,0)))</f>
        <v/>
      </c>
      <c r="K1064" s="9">
        <f>IF(ISNA(MATCH(1051,Engine!$C$2:$C$1960,0)),"",INDEX('Compliance Database'!$K$2:$K$1960,MATCH(1051,Engine!$C$2:$C$1960,0)))</f>
        <v/>
      </c>
      <c r="L1064" s="9">
        <f>IF(ISNA(MATCH(1051,Engine!$C$2:$C$1960,0)),"",INDEX('Compliance Database'!$L$2:$L$1960,MATCH(1051,Engine!$C$2:$C$1960,0)))</f>
        <v/>
      </c>
      <c r="M1064" s="9">
        <f>IF(ISNA(MATCH(1051,Engine!$C$2:$C$1960,0)),"",INDEX('Compliance Database'!$M$2:$M$1960,MATCH(1051,Engine!$C$2:$C$1960,0)))</f>
        <v/>
      </c>
      <c r="N1064" s="9">
        <f>IF(ISNA(MATCH(1051,Engine!$C$2:$C$1960,0)),"",INDEX('Compliance Database'!$N$2:$N$1960,MATCH(1051,Engine!$C$2:$C$1960,0)))</f>
        <v/>
      </c>
      <c r="O1064" s="9">
        <f>IF(ISNA(MATCH(1051,Engine!$C$2:$C$1960,0)),"",INDEX('Compliance Database'!$O$2:$O$1960,MATCH(1051,Engine!$C$2:$C$1960,0)))</f>
        <v/>
      </c>
      <c r="P1064" s="8">
        <f>IF(ISNA(MATCH(1051,Engine!$C$2:$C$1960,0)),"",HYPERLINK("#Acts!A"&amp;INDEX('Compliance Database'!$P$2:$P$1960,MATCH(1051,Engine!$C$2:$C$1960,0)),"Go to Act"))</f>
        <v/>
      </c>
    </row>
    <row r="1065" ht="158" customHeight="1">
      <c r="A1065" s="8">
        <f>IF(ISNA(MATCH(1052,Engine!$C$2:$C$1960,0)),"",INDEX('Compliance Database'!$A$2:$A$1960,MATCH(1052,Engine!$C$2:$C$1960,0)))</f>
        <v/>
      </c>
      <c r="B1065" s="8">
        <f>IF(ISNA(MATCH(1052,Engine!$C$2:$C$1960,0)),"",INDEX('Compliance Database'!$B$2:$B$1960,MATCH(1052,Engine!$C$2:$C$1960,0)))</f>
        <v/>
      </c>
      <c r="C1065" s="8">
        <f>IF(ISNA(MATCH(1052,Engine!$C$2:$C$1960,0)),"",INDEX('Compliance Database'!$C$2:$C$1960,MATCH(1052,Engine!$C$2:$C$1960,0)))</f>
        <v/>
      </c>
      <c r="D1065" s="9">
        <f>IF(ISNA(MATCH(1052,Engine!$C$2:$C$1960,0)),"",INDEX('Compliance Database'!$D$2:$D$1960,MATCH(1052,Engine!$C$2:$C$1960,0)))</f>
        <v/>
      </c>
      <c r="E1065" s="8">
        <f>IF(ISNA(MATCH(1052,Engine!$C$2:$C$1960,0)),"",INDEX('Compliance Database'!$E$2:$E$1960,MATCH(1052,Engine!$C$2:$C$1960,0)))</f>
        <v/>
      </c>
      <c r="F1065" s="8">
        <f>IF(ISNA(MATCH(1052,Engine!$C$2:$C$1960,0)),"",INDEX('Compliance Database'!$F$2:$F$1960,MATCH(1052,Engine!$C$2:$C$1960,0)))</f>
        <v/>
      </c>
      <c r="G1065" s="8">
        <f>IF(ISNA(MATCH(1052,Engine!$C$2:$C$1960,0)),"",INDEX('Compliance Database'!$G$2:$G$1960,MATCH(1052,Engine!$C$2:$C$1960,0)))</f>
        <v/>
      </c>
      <c r="H1065" s="9">
        <f>IF(ISNA(MATCH(1052,Engine!$C$2:$C$1960,0)),"",INDEX('Compliance Database'!$H$2:$H$1960,MATCH(1052,Engine!$C$2:$C$1960,0)))</f>
        <v/>
      </c>
      <c r="I1065" s="9">
        <f>IF(ISNA(MATCH(1052,Engine!$C$2:$C$1960,0)),"",INDEX('Compliance Database'!$I$2:$I$1960,MATCH(1052,Engine!$C$2:$C$1960,0)))</f>
        <v/>
      </c>
      <c r="J1065" s="8">
        <f>IF(ISNA(MATCH(1052,Engine!$C$2:$C$1960,0)),"",INDEX('Compliance Database'!$J$2:$J$1960,MATCH(1052,Engine!$C$2:$C$1960,0)))</f>
        <v/>
      </c>
      <c r="K1065" s="9">
        <f>IF(ISNA(MATCH(1052,Engine!$C$2:$C$1960,0)),"",INDEX('Compliance Database'!$K$2:$K$1960,MATCH(1052,Engine!$C$2:$C$1960,0)))</f>
        <v/>
      </c>
      <c r="L1065" s="9">
        <f>IF(ISNA(MATCH(1052,Engine!$C$2:$C$1960,0)),"",INDEX('Compliance Database'!$L$2:$L$1960,MATCH(1052,Engine!$C$2:$C$1960,0)))</f>
        <v/>
      </c>
      <c r="M1065" s="9">
        <f>IF(ISNA(MATCH(1052,Engine!$C$2:$C$1960,0)),"",INDEX('Compliance Database'!$M$2:$M$1960,MATCH(1052,Engine!$C$2:$C$1960,0)))</f>
        <v/>
      </c>
      <c r="N1065" s="9">
        <f>IF(ISNA(MATCH(1052,Engine!$C$2:$C$1960,0)),"",INDEX('Compliance Database'!$N$2:$N$1960,MATCH(1052,Engine!$C$2:$C$1960,0)))</f>
        <v/>
      </c>
      <c r="O1065" s="9">
        <f>IF(ISNA(MATCH(1052,Engine!$C$2:$C$1960,0)),"",INDEX('Compliance Database'!$O$2:$O$1960,MATCH(1052,Engine!$C$2:$C$1960,0)))</f>
        <v/>
      </c>
      <c r="P1065" s="8">
        <f>IF(ISNA(MATCH(1052,Engine!$C$2:$C$1960,0)),"",HYPERLINK("#Acts!A"&amp;INDEX('Compliance Database'!$P$2:$P$1960,MATCH(1052,Engine!$C$2:$C$1960,0)),"Go to Act"))</f>
        <v/>
      </c>
    </row>
    <row r="1066" ht="158" customHeight="1">
      <c r="A1066" s="8">
        <f>IF(ISNA(MATCH(1053,Engine!$C$2:$C$1960,0)),"",INDEX('Compliance Database'!$A$2:$A$1960,MATCH(1053,Engine!$C$2:$C$1960,0)))</f>
        <v/>
      </c>
      <c r="B1066" s="8">
        <f>IF(ISNA(MATCH(1053,Engine!$C$2:$C$1960,0)),"",INDEX('Compliance Database'!$B$2:$B$1960,MATCH(1053,Engine!$C$2:$C$1960,0)))</f>
        <v/>
      </c>
      <c r="C1066" s="8">
        <f>IF(ISNA(MATCH(1053,Engine!$C$2:$C$1960,0)),"",INDEX('Compliance Database'!$C$2:$C$1960,MATCH(1053,Engine!$C$2:$C$1960,0)))</f>
        <v/>
      </c>
      <c r="D1066" s="9">
        <f>IF(ISNA(MATCH(1053,Engine!$C$2:$C$1960,0)),"",INDEX('Compliance Database'!$D$2:$D$1960,MATCH(1053,Engine!$C$2:$C$1960,0)))</f>
        <v/>
      </c>
      <c r="E1066" s="8">
        <f>IF(ISNA(MATCH(1053,Engine!$C$2:$C$1960,0)),"",INDEX('Compliance Database'!$E$2:$E$1960,MATCH(1053,Engine!$C$2:$C$1960,0)))</f>
        <v/>
      </c>
      <c r="F1066" s="8">
        <f>IF(ISNA(MATCH(1053,Engine!$C$2:$C$1960,0)),"",INDEX('Compliance Database'!$F$2:$F$1960,MATCH(1053,Engine!$C$2:$C$1960,0)))</f>
        <v/>
      </c>
      <c r="G1066" s="8">
        <f>IF(ISNA(MATCH(1053,Engine!$C$2:$C$1960,0)),"",INDEX('Compliance Database'!$G$2:$G$1960,MATCH(1053,Engine!$C$2:$C$1960,0)))</f>
        <v/>
      </c>
      <c r="H1066" s="9">
        <f>IF(ISNA(MATCH(1053,Engine!$C$2:$C$1960,0)),"",INDEX('Compliance Database'!$H$2:$H$1960,MATCH(1053,Engine!$C$2:$C$1960,0)))</f>
        <v/>
      </c>
      <c r="I1066" s="9">
        <f>IF(ISNA(MATCH(1053,Engine!$C$2:$C$1960,0)),"",INDEX('Compliance Database'!$I$2:$I$1960,MATCH(1053,Engine!$C$2:$C$1960,0)))</f>
        <v/>
      </c>
      <c r="J1066" s="8">
        <f>IF(ISNA(MATCH(1053,Engine!$C$2:$C$1960,0)),"",INDEX('Compliance Database'!$J$2:$J$1960,MATCH(1053,Engine!$C$2:$C$1960,0)))</f>
        <v/>
      </c>
      <c r="K1066" s="9">
        <f>IF(ISNA(MATCH(1053,Engine!$C$2:$C$1960,0)),"",INDEX('Compliance Database'!$K$2:$K$1960,MATCH(1053,Engine!$C$2:$C$1960,0)))</f>
        <v/>
      </c>
      <c r="L1066" s="9">
        <f>IF(ISNA(MATCH(1053,Engine!$C$2:$C$1960,0)),"",INDEX('Compliance Database'!$L$2:$L$1960,MATCH(1053,Engine!$C$2:$C$1960,0)))</f>
        <v/>
      </c>
      <c r="M1066" s="9">
        <f>IF(ISNA(MATCH(1053,Engine!$C$2:$C$1960,0)),"",INDEX('Compliance Database'!$M$2:$M$1960,MATCH(1053,Engine!$C$2:$C$1960,0)))</f>
        <v/>
      </c>
      <c r="N1066" s="9">
        <f>IF(ISNA(MATCH(1053,Engine!$C$2:$C$1960,0)),"",INDEX('Compliance Database'!$N$2:$N$1960,MATCH(1053,Engine!$C$2:$C$1960,0)))</f>
        <v/>
      </c>
      <c r="O1066" s="9">
        <f>IF(ISNA(MATCH(1053,Engine!$C$2:$C$1960,0)),"",INDEX('Compliance Database'!$O$2:$O$1960,MATCH(1053,Engine!$C$2:$C$1960,0)))</f>
        <v/>
      </c>
      <c r="P1066" s="8">
        <f>IF(ISNA(MATCH(1053,Engine!$C$2:$C$1960,0)),"",HYPERLINK("#Acts!A"&amp;INDEX('Compliance Database'!$P$2:$P$1960,MATCH(1053,Engine!$C$2:$C$1960,0)),"Go to Act"))</f>
        <v/>
      </c>
    </row>
    <row r="1067" ht="158" customHeight="1">
      <c r="A1067" s="8">
        <f>IF(ISNA(MATCH(1054,Engine!$C$2:$C$1960,0)),"",INDEX('Compliance Database'!$A$2:$A$1960,MATCH(1054,Engine!$C$2:$C$1960,0)))</f>
        <v/>
      </c>
      <c r="B1067" s="8">
        <f>IF(ISNA(MATCH(1054,Engine!$C$2:$C$1960,0)),"",INDEX('Compliance Database'!$B$2:$B$1960,MATCH(1054,Engine!$C$2:$C$1960,0)))</f>
        <v/>
      </c>
      <c r="C1067" s="8">
        <f>IF(ISNA(MATCH(1054,Engine!$C$2:$C$1960,0)),"",INDEX('Compliance Database'!$C$2:$C$1960,MATCH(1054,Engine!$C$2:$C$1960,0)))</f>
        <v/>
      </c>
      <c r="D1067" s="9">
        <f>IF(ISNA(MATCH(1054,Engine!$C$2:$C$1960,0)),"",INDEX('Compliance Database'!$D$2:$D$1960,MATCH(1054,Engine!$C$2:$C$1960,0)))</f>
        <v/>
      </c>
      <c r="E1067" s="8">
        <f>IF(ISNA(MATCH(1054,Engine!$C$2:$C$1960,0)),"",INDEX('Compliance Database'!$E$2:$E$1960,MATCH(1054,Engine!$C$2:$C$1960,0)))</f>
        <v/>
      </c>
      <c r="F1067" s="8">
        <f>IF(ISNA(MATCH(1054,Engine!$C$2:$C$1960,0)),"",INDEX('Compliance Database'!$F$2:$F$1960,MATCH(1054,Engine!$C$2:$C$1960,0)))</f>
        <v/>
      </c>
      <c r="G1067" s="8">
        <f>IF(ISNA(MATCH(1054,Engine!$C$2:$C$1960,0)),"",INDEX('Compliance Database'!$G$2:$G$1960,MATCH(1054,Engine!$C$2:$C$1960,0)))</f>
        <v/>
      </c>
      <c r="H1067" s="9">
        <f>IF(ISNA(MATCH(1054,Engine!$C$2:$C$1960,0)),"",INDEX('Compliance Database'!$H$2:$H$1960,MATCH(1054,Engine!$C$2:$C$1960,0)))</f>
        <v/>
      </c>
      <c r="I1067" s="9">
        <f>IF(ISNA(MATCH(1054,Engine!$C$2:$C$1960,0)),"",INDEX('Compliance Database'!$I$2:$I$1960,MATCH(1054,Engine!$C$2:$C$1960,0)))</f>
        <v/>
      </c>
      <c r="J1067" s="8">
        <f>IF(ISNA(MATCH(1054,Engine!$C$2:$C$1960,0)),"",INDEX('Compliance Database'!$J$2:$J$1960,MATCH(1054,Engine!$C$2:$C$1960,0)))</f>
        <v/>
      </c>
      <c r="K1067" s="9">
        <f>IF(ISNA(MATCH(1054,Engine!$C$2:$C$1960,0)),"",INDEX('Compliance Database'!$K$2:$K$1960,MATCH(1054,Engine!$C$2:$C$1960,0)))</f>
        <v/>
      </c>
      <c r="L1067" s="9">
        <f>IF(ISNA(MATCH(1054,Engine!$C$2:$C$1960,0)),"",INDEX('Compliance Database'!$L$2:$L$1960,MATCH(1054,Engine!$C$2:$C$1960,0)))</f>
        <v/>
      </c>
      <c r="M1067" s="9">
        <f>IF(ISNA(MATCH(1054,Engine!$C$2:$C$1960,0)),"",INDEX('Compliance Database'!$M$2:$M$1960,MATCH(1054,Engine!$C$2:$C$1960,0)))</f>
        <v/>
      </c>
      <c r="N1067" s="9">
        <f>IF(ISNA(MATCH(1054,Engine!$C$2:$C$1960,0)),"",INDEX('Compliance Database'!$N$2:$N$1960,MATCH(1054,Engine!$C$2:$C$1960,0)))</f>
        <v/>
      </c>
      <c r="O1067" s="9">
        <f>IF(ISNA(MATCH(1054,Engine!$C$2:$C$1960,0)),"",INDEX('Compliance Database'!$O$2:$O$1960,MATCH(1054,Engine!$C$2:$C$1960,0)))</f>
        <v/>
      </c>
      <c r="P1067" s="8">
        <f>IF(ISNA(MATCH(1054,Engine!$C$2:$C$1960,0)),"",HYPERLINK("#Acts!A"&amp;INDEX('Compliance Database'!$P$2:$P$1960,MATCH(1054,Engine!$C$2:$C$1960,0)),"Go to Act"))</f>
        <v/>
      </c>
    </row>
    <row r="1068" ht="158" customHeight="1">
      <c r="A1068" s="8">
        <f>IF(ISNA(MATCH(1055,Engine!$C$2:$C$1960,0)),"",INDEX('Compliance Database'!$A$2:$A$1960,MATCH(1055,Engine!$C$2:$C$1960,0)))</f>
        <v/>
      </c>
      <c r="B1068" s="8">
        <f>IF(ISNA(MATCH(1055,Engine!$C$2:$C$1960,0)),"",INDEX('Compliance Database'!$B$2:$B$1960,MATCH(1055,Engine!$C$2:$C$1960,0)))</f>
        <v/>
      </c>
      <c r="C1068" s="8">
        <f>IF(ISNA(MATCH(1055,Engine!$C$2:$C$1960,0)),"",INDEX('Compliance Database'!$C$2:$C$1960,MATCH(1055,Engine!$C$2:$C$1960,0)))</f>
        <v/>
      </c>
      <c r="D1068" s="9">
        <f>IF(ISNA(MATCH(1055,Engine!$C$2:$C$1960,0)),"",INDEX('Compliance Database'!$D$2:$D$1960,MATCH(1055,Engine!$C$2:$C$1960,0)))</f>
        <v/>
      </c>
      <c r="E1068" s="8">
        <f>IF(ISNA(MATCH(1055,Engine!$C$2:$C$1960,0)),"",INDEX('Compliance Database'!$E$2:$E$1960,MATCH(1055,Engine!$C$2:$C$1960,0)))</f>
        <v/>
      </c>
      <c r="F1068" s="8">
        <f>IF(ISNA(MATCH(1055,Engine!$C$2:$C$1960,0)),"",INDEX('Compliance Database'!$F$2:$F$1960,MATCH(1055,Engine!$C$2:$C$1960,0)))</f>
        <v/>
      </c>
      <c r="G1068" s="8">
        <f>IF(ISNA(MATCH(1055,Engine!$C$2:$C$1960,0)),"",INDEX('Compliance Database'!$G$2:$G$1960,MATCH(1055,Engine!$C$2:$C$1960,0)))</f>
        <v/>
      </c>
      <c r="H1068" s="9">
        <f>IF(ISNA(MATCH(1055,Engine!$C$2:$C$1960,0)),"",INDEX('Compliance Database'!$H$2:$H$1960,MATCH(1055,Engine!$C$2:$C$1960,0)))</f>
        <v/>
      </c>
      <c r="I1068" s="9">
        <f>IF(ISNA(MATCH(1055,Engine!$C$2:$C$1960,0)),"",INDEX('Compliance Database'!$I$2:$I$1960,MATCH(1055,Engine!$C$2:$C$1960,0)))</f>
        <v/>
      </c>
      <c r="J1068" s="8">
        <f>IF(ISNA(MATCH(1055,Engine!$C$2:$C$1960,0)),"",INDEX('Compliance Database'!$J$2:$J$1960,MATCH(1055,Engine!$C$2:$C$1960,0)))</f>
        <v/>
      </c>
      <c r="K1068" s="9">
        <f>IF(ISNA(MATCH(1055,Engine!$C$2:$C$1960,0)),"",INDEX('Compliance Database'!$K$2:$K$1960,MATCH(1055,Engine!$C$2:$C$1960,0)))</f>
        <v/>
      </c>
      <c r="L1068" s="9">
        <f>IF(ISNA(MATCH(1055,Engine!$C$2:$C$1960,0)),"",INDEX('Compliance Database'!$L$2:$L$1960,MATCH(1055,Engine!$C$2:$C$1960,0)))</f>
        <v/>
      </c>
      <c r="M1068" s="9">
        <f>IF(ISNA(MATCH(1055,Engine!$C$2:$C$1960,0)),"",INDEX('Compliance Database'!$M$2:$M$1960,MATCH(1055,Engine!$C$2:$C$1960,0)))</f>
        <v/>
      </c>
      <c r="N1068" s="9">
        <f>IF(ISNA(MATCH(1055,Engine!$C$2:$C$1960,0)),"",INDEX('Compliance Database'!$N$2:$N$1960,MATCH(1055,Engine!$C$2:$C$1960,0)))</f>
        <v/>
      </c>
      <c r="O1068" s="9">
        <f>IF(ISNA(MATCH(1055,Engine!$C$2:$C$1960,0)),"",INDEX('Compliance Database'!$O$2:$O$1960,MATCH(1055,Engine!$C$2:$C$1960,0)))</f>
        <v/>
      </c>
      <c r="P1068" s="8">
        <f>IF(ISNA(MATCH(1055,Engine!$C$2:$C$1960,0)),"",HYPERLINK("#Acts!A"&amp;INDEX('Compliance Database'!$P$2:$P$1960,MATCH(1055,Engine!$C$2:$C$1960,0)),"Go to Act"))</f>
        <v/>
      </c>
    </row>
    <row r="1069" ht="158" customHeight="1">
      <c r="A1069" s="8">
        <f>IF(ISNA(MATCH(1056,Engine!$C$2:$C$1960,0)),"",INDEX('Compliance Database'!$A$2:$A$1960,MATCH(1056,Engine!$C$2:$C$1960,0)))</f>
        <v/>
      </c>
      <c r="B1069" s="8">
        <f>IF(ISNA(MATCH(1056,Engine!$C$2:$C$1960,0)),"",INDEX('Compliance Database'!$B$2:$B$1960,MATCH(1056,Engine!$C$2:$C$1960,0)))</f>
        <v/>
      </c>
      <c r="C1069" s="8">
        <f>IF(ISNA(MATCH(1056,Engine!$C$2:$C$1960,0)),"",INDEX('Compliance Database'!$C$2:$C$1960,MATCH(1056,Engine!$C$2:$C$1960,0)))</f>
        <v/>
      </c>
      <c r="D1069" s="9">
        <f>IF(ISNA(MATCH(1056,Engine!$C$2:$C$1960,0)),"",INDEX('Compliance Database'!$D$2:$D$1960,MATCH(1056,Engine!$C$2:$C$1960,0)))</f>
        <v/>
      </c>
      <c r="E1069" s="8">
        <f>IF(ISNA(MATCH(1056,Engine!$C$2:$C$1960,0)),"",INDEX('Compliance Database'!$E$2:$E$1960,MATCH(1056,Engine!$C$2:$C$1960,0)))</f>
        <v/>
      </c>
      <c r="F1069" s="8">
        <f>IF(ISNA(MATCH(1056,Engine!$C$2:$C$1960,0)),"",INDEX('Compliance Database'!$F$2:$F$1960,MATCH(1056,Engine!$C$2:$C$1960,0)))</f>
        <v/>
      </c>
      <c r="G1069" s="8">
        <f>IF(ISNA(MATCH(1056,Engine!$C$2:$C$1960,0)),"",INDEX('Compliance Database'!$G$2:$G$1960,MATCH(1056,Engine!$C$2:$C$1960,0)))</f>
        <v/>
      </c>
      <c r="H1069" s="9">
        <f>IF(ISNA(MATCH(1056,Engine!$C$2:$C$1960,0)),"",INDEX('Compliance Database'!$H$2:$H$1960,MATCH(1056,Engine!$C$2:$C$1960,0)))</f>
        <v/>
      </c>
      <c r="I1069" s="9">
        <f>IF(ISNA(MATCH(1056,Engine!$C$2:$C$1960,0)),"",INDEX('Compliance Database'!$I$2:$I$1960,MATCH(1056,Engine!$C$2:$C$1960,0)))</f>
        <v/>
      </c>
      <c r="J1069" s="8">
        <f>IF(ISNA(MATCH(1056,Engine!$C$2:$C$1960,0)),"",INDEX('Compliance Database'!$J$2:$J$1960,MATCH(1056,Engine!$C$2:$C$1960,0)))</f>
        <v/>
      </c>
      <c r="K1069" s="9">
        <f>IF(ISNA(MATCH(1056,Engine!$C$2:$C$1960,0)),"",INDEX('Compliance Database'!$K$2:$K$1960,MATCH(1056,Engine!$C$2:$C$1960,0)))</f>
        <v/>
      </c>
      <c r="L1069" s="9">
        <f>IF(ISNA(MATCH(1056,Engine!$C$2:$C$1960,0)),"",INDEX('Compliance Database'!$L$2:$L$1960,MATCH(1056,Engine!$C$2:$C$1960,0)))</f>
        <v/>
      </c>
      <c r="M1069" s="9">
        <f>IF(ISNA(MATCH(1056,Engine!$C$2:$C$1960,0)),"",INDEX('Compliance Database'!$M$2:$M$1960,MATCH(1056,Engine!$C$2:$C$1960,0)))</f>
        <v/>
      </c>
      <c r="N1069" s="9">
        <f>IF(ISNA(MATCH(1056,Engine!$C$2:$C$1960,0)),"",INDEX('Compliance Database'!$N$2:$N$1960,MATCH(1056,Engine!$C$2:$C$1960,0)))</f>
        <v/>
      </c>
      <c r="O1069" s="9">
        <f>IF(ISNA(MATCH(1056,Engine!$C$2:$C$1960,0)),"",INDEX('Compliance Database'!$O$2:$O$1960,MATCH(1056,Engine!$C$2:$C$1960,0)))</f>
        <v/>
      </c>
      <c r="P1069" s="8">
        <f>IF(ISNA(MATCH(1056,Engine!$C$2:$C$1960,0)),"",HYPERLINK("#Acts!A"&amp;INDEX('Compliance Database'!$P$2:$P$1960,MATCH(1056,Engine!$C$2:$C$1960,0)),"Go to Act"))</f>
        <v/>
      </c>
    </row>
    <row r="1070" ht="158" customHeight="1">
      <c r="A1070" s="8">
        <f>IF(ISNA(MATCH(1057,Engine!$C$2:$C$1960,0)),"",INDEX('Compliance Database'!$A$2:$A$1960,MATCH(1057,Engine!$C$2:$C$1960,0)))</f>
        <v/>
      </c>
      <c r="B1070" s="8">
        <f>IF(ISNA(MATCH(1057,Engine!$C$2:$C$1960,0)),"",INDEX('Compliance Database'!$B$2:$B$1960,MATCH(1057,Engine!$C$2:$C$1960,0)))</f>
        <v/>
      </c>
      <c r="C1070" s="8">
        <f>IF(ISNA(MATCH(1057,Engine!$C$2:$C$1960,0)),"",INDEX('Compliance Database'!$C$2:$C$1960,MATCH(1057,Engine!$C$2:$C$1960,0)))</f>
        <v/>
      </c>
      <c r="D1070" s="9">
        <f>IF(ISNA(MATCH(1057,Engine!$C$2:$C$1960,0)),"",INDEX('Compliance Database'!$D$2:$D$1960,MATCH(1057,Engine!$C$2:$C$1960,0)))</f>
        <v/>
      </c>
      <c r="E1070" s="8">
        <f>IF(ISNA(MATCH(1057,Engine!$C$2:$C$1960,0)),"",INDEX('Compliance Database'!$E$2:$E$1960,MATCH(1057,Engine!$C$2:$C$1960,0)))</f>
        <v/>
      </c>
      <c r="F1070" s="8">
        <f>IF(ISNA(MATCH(1057,Engine!$C$2:$C$1960,0)),"",INDEX('Compliance Database'!$F$2:$F$1960,MATCH(1057,Engine!$C$2:$C$1960,0)))</f>
        <v/>
      </c>
      <c r="G1070" s="8">
        <f>IF(ISNA(MATCH(1057,Engine!$C$2:$C$1960,0)),"",INDEX('Compliance Database'!$G$2:$G$1960,MATCH(1057,Engine!$C$2:$C$1960,0)))</f>
        <v/>
      </c>
      <c r="H1070" s="9">
        <f>IF(ISNA(MATCH(1057,Engine!$C$2:$C$1960,0)),"",INDEX('Compliance Database'!$H$2:$H$1960,MATCH(1057,Engine!$C$2:$C$1960,0)))</f>
        <v/>
      </c>
      <c r="I1070" s="9">
        <f>IF(ISNA(MATCH(1057,Engine!$C$2:$C$1960,0)),"",INDEX('Compliance Database'!$I$2:$I$1960,MATCH(1057,Engine!$C$2:$C$1960,0)))</f>
        <v/>
      </c>
      <c r="J1070" s="8">
        <f>IF(ISNA(MATCH(1057,Engine!$C$2:$C$1960,0)),"",INDEX('Compliance Database'!$J$2:$J$1960,MATCH(1057,Engine!$C$2:$C$1960,0)))</f>
        <v/>
      </c>
      <c r="K1070" s="9">
        <f>IF(ISNA(MATCH(1057,Engine!$C$2:$C$1960,0)),"",INDEX('Compliance Database'!$K$2:$K$1960,MATCH(1057,Engine!$C$2:$C$1960,0)))</f>
        <v/>
      </c>
      <c r="L1070" s="9">
        <f>IF(ISNA(MATCH(1057,Engine!$C$2:$C$1960,0)),"",INDEX('Compliance Database'!$L$2:$L$1960,MATCH(1057,Engine!$C$2:$C$1960,0)))</f>
        <v/>
      </c>
      <c r="M1070" s="9">
        <f>IF(ISNA(MATCH(1057,Engine!$C$2:$C$1960,0)),"",INDEX('Compliance Database'!$M$2:$M$1960,MATCH(1057,Engine!$C$2:$C$1960,0)))</f>
        <v/>
      </c>
      <c r="N1070" s="9">
        <f>IF(ISNA(MATCH(1057,Engine!$C$2:$C$1960,0)),"",INDEX('Compliance Database'!$N$2:$N$1960,MATCH(1057,Engine!$C$2:$C$1960,0)))</f>
        <v/>
      </c>
      <c r="O1070" s="9">
        <f>IF(ISNA(MATCH(1057,Engine!$C$2:$C$1960,0)),"",INDEX('Compliance Database'!$O$2:$O$1960,MATCH(1057,Engine!$C$2:$C$1960,0)))</f>
        <v/>
      </c>
      <c r="P1070" s="8">
        <f>IF(ISNA(MATCH(1057,Engine!$C$2:$C$1960,0)),"",HYPERLINK("#Acts!A"&amp;INDEX('Compliance Database'!$P$2:$P$1960,MATCH(1057,Engine!$C$2:$C$1960,0)),"Go to Act"))</f>
        <v/>
      </c>
    </row>
    <row r="1071" ht="158" customHeight="1">
      <c r="A1071" s="8">
        <f>IF(ISNA(MATCH(1058,Engine!$C$2:$C$1960,0)),"",INDEX('Compliance Database'!$A$2:$A$1960,MATCH(1058,Engine!$C$2:$C$1960,0)))</f>
        <v/>
      </c>
      <c r="B1071" s="8">
        <f>IF(ISNA(MATCH(1058,Engine!$C$2:$C$1960,0)),"",INDEX('Compliance Database'!$B$2:$B$1960,MATCH(1058,Engine!$C$2:$C$1960,0)))</f>
        <v/>
      </c>
      <c r="C1071" s="8">
        <f>IF(ISNA(MATCH(1058,Engine!$C$2:$C$1960,0)),"",INDEX('Compliance Database'!$C$2:$C$1960,MATCH(1058,Engine!$C$2:$C$1960,0)))</f>
        <v/>
      </c>
      <c r="D1071" s="9">
        <f>IF(ISNA(MATCH(1058,Engine!$C$2:$C$1960,0)),"",INDEX('Compliance Database'!$D$2:$D$1960,MATCH(1058,Engine!$C$2:$C$1960,0)))</f>
        <v/>
      </c>
      <c r="E1071" s="8">
        <f>IF(ISNA(MATCH(1058,Engine!$C$2:$C$1960,0)),"",INDEX('Compliance Database'!$E$2:$E$1960,MATCH(1058,Engine!$C$2:$C$1960,0)))</f>
        <v/>
      </c>
      <c r="F1071" s="8">
        <f>IF(ISNA(MATCH(1058,Engine!$C$2:$C$1960,0)),"",INDEX('Compliance Database'!$F$2:$F$1960,MATCH(1058,Engine!$C$2:$C$1960,0)))</f>
        <v/>
      </c>
      <c r="G1071" s="8">
        <f>IF(ISNA(MATCH(1058,Engine!$C$2:$C$1960,0)),"",INDEX('Compliance Database'!$G$2:$G$1960,MATCH(1058,Engine!$C$2:$C$1960,0)))</f>
        <v/>
      </c>
      <c r="H1071" s="9">
        <f>IF(ISNA(MATCH(1058,Engine!$C$2:$C$1960,0)),"",INDEX('Compliance Database'!$H$2:$H$1960,MATCH(1058,Engine!$C$2:$C$1960,0)))</f>
        <v/>
      </c>
      <c r="I1071" s="9">
        <f>IF(ISNA(MATCH(1058,Engine!$C$2:$C$1960,0)),"",INDEX('Compliance Database'!$I$2:$I$1960,MATCH(1058,Engine!$C$2:$C$1960,0)))</f>
        <v/>
      </c>
      <c r="J1071" s="8">
        <f>IF(ISNA(MATCH(1058,Engine!$C$2:$C$1960,0)),"",INDEX('Compliance Database'!$J$2:$J$1960,MATCH(1058,Engine!$C$2:$C$1960,0)))</f>
        <v/>
      </c>
      <c r="K1071" s="9">
        <f>IF(ISNA(MATCH(1058,Engine!$C$2:$C$1960,0)),"",INDEX('Compliance Database'!$K$2:$K$1960,MATCH(1058,Engine!$C$2:$C$1960,0)))</f>
        <v/>
      </c>
      <c r="L1071" s="9">
        <f>IF(ISNA(MATCH(1058,Engine!$C$2:$C$1960,0)),"",INDEX('Compliance Database'!$L$2:$L$1960,MATCH(1058,Engine!$C$2:$C$1960,0)))</f>
        <v/>
      </c>
      <c r="M1071" s="9">
        <f>IF(ISNA(MATCH(1058,Engine!$C$2:$C$1960,0)),"",INDEX('Compliance Database'!$M$2:$M$1960,MATCH(1058,Engine!$C$2:$C$1960,0)))</f>
        <v/>
      </c>
      <c r="N1071" s="9">
        <f>IF(ISNA(MATCH(1058,Engine!$C$2:$C$1960,0)),"",INDEX('Compliance Database'!$N$2:$N$1960,MATCH(1058,Engine!$C$2:$C$1960,0)))</f>
        <v/>
      </c>
      <c r="O1071" s="9">
        <f>IF(ISNA(MATCH(1058,Engine!$C$2:$C$1960,0)),"",INDEX('Compliance Database'!$O$2:$O$1960,MATCH(1058,Engine!$C$2:$C$1960,0)))</f>
        <v/>
      </c>
      <c r="P1071" s="8">
        <f>IF(ISNA(MATCH(1058,Engine!$C$2:$C$1960,0)),"",HYPERLINK("#Acts!A"&amp;INDEX('Compliance Database'!$P$2:$P$1960,MATCH(1058,Engine!$C$2:$C$1960,0)),"Go to Act"))</f>
        <v/>
      </c>
    </row>
    <row r="1072" ht="158" customHeight="1">
      <c r="A1072" s="8">
        <f>IF(ISNA(MATCH(1059,Engine!$C$2:$C$1960,0)),"",INDEX('Compliance Database'!$A$2:$A$1960,MATCH(1059,Engine!$C$2:$C$1960,0)))</f>
        <v/>
      </c>
      <c r="B1072" s="8">
        <f>IF(ISNA(MATCH(1059,Engine!$C$2:$C$1960,0)),"",INDEX('Compliance Database'!$B$2:$B$1960,MATCH(1059,Engine!$C$2:$C$1960,0)))</f>
        <v/>
      </c>
      <c r="C1072" s="8">
        <f>IF(ISNA(MATCH(1059,Engine!$C$2:$C$1960,0)),"",INDEX('Compliance Database'!$C$2:$C$1960,MATCH(1059,Engine!$C$2:$C$1960,0)))</f>
        <v/>
      </c>
      <c r="D1072" s="9">
        <f>IF(ISNA(MATCH(1059,Engine!$C$2:$C$1960,0)),"",INDEX('Compliance Database'!$D$2:$D$1960,MATCH(1059,Engine!$C$2:$C$1960,0)))</f>
        <v/>
      </c>
      <c r="E1072" s="8">
        <f>IF(ISNA(MATCH(1059,Engine!$C$2:$C$1960,0)),"",INDEX('Compliance Database'!$E$2:$E$1960,MATCH(1059,Engine!$C$2:$C$1960,0)))</f>
        <v/>
      </c>
      <c r="F1072" s="8">
        <f>IF(ISNA(MATCH(1059,Engine!$C$2:$C$1960,0)),"",INDEX('Compliance Database'!$F$2:$F$1960,MATCH(1059,Engine!$C$2:$C$1960,0)))</f>
        <v/>
      </c>
      <c r="G1072" s="8">
        <f>IF(ISNA(MATCH(1059,Engine!$C$2:$C$1960,0)),"",INDEX('Compliance Database'!$G$2:$G$1960,MATCH(1059,Engine!$C$2:$C$1960,0)))</f>
        <v/>
      </c>
      <c r="H1072" s="9">
        <f>IF(ISNA(MATCH(1059,Engine!$C$2:$C$1960,0)),"",INDEX('Compliance Database'!$H$2:$H$1960,MATCH(1059,Engine!$C$2:$C$1960,0)))</f>
        <v/>
      </c>
      <c r="I1072" s="9">
        <f>IF(ISNA(MATCH(1059,Engine!$C$2:$C$1960,0)),"",INDEX('Compliance Database'!$I$2:$I$1960,MATCH(1059,Engine!$C$2:$C$1960,0)))</f>
        <v/>
      </c>
      <c r="J1072" s="8">
        <f>IF(ISNA(MATCH(1059,Engine!$C$2:$C$1960,0)),"",INDEX('Compliance Database'!$J$2:$J$1960,MATCH(1059,Engine!$C$2:$C$1960,0)))</f>
        <v/>
      </c>
      <c r="K1072" s="9">
        <f>IF(ISNA(MATCH(1059,Engine!$C$2:$C$1960,0)),"",INDEX('Compliance Database'!$K$2:$K$1960,MATCH(1059,Engine!$C$2:$C$1960,0)))</f>
        <v/>
      </c>
      <c r="L1072" s="9">
        <f>IF(ISNA(MATCH(1059,Engine!$C$2:$C$1960,0)),"",INDEX('Compliance Database'!$L$2:$L$1960,MATCH(1059,Engine!$C$2:$C$1960,0)))</f>
        <v/>
      </c>
      <c r="M1072" s="9">
        <f>IF(ISNA(MATCH(1059,Engine!$C$2:$C$1960,0)),"",INDEX('Compliance Database'!$M$2:$M$1960,MATCH(1059,Engine!$C$2:$C$1960,0)))</f>
        <v/>
      </c>
      <c r="N1072" s="9">
        <f>IF(ISNA(MATCH(1059,Engine!$C$2:$C$1960,0)),"",INDEX('Compliance Database'!$N$2:$N$1960,MATCH(1059,Engine!$C$2:$C$1960,0)))</f>
        <v/>
      </c>
      <c r="O1072" s="9">
        <f>IF(ISNA(MATCH(1059,Engine!$C$2:$C$1960,0)),"",INDEX('Compliance Database'!$O$2:$O$1960,MATCH(1059,Engine!$C$2:$C$1960,0)))</f>
        <v/>
      </c>
      <c r="P1072" s="8">
        <f>IF(ISNA(MATCH(1059,Engine!$C$2:$C$1960,0)),"",HYPERLINK("#Acts!A"&amp;INDEX('Compliance Database'!$P$2:$P$1960,MATCH(1059,Engine!$C$2:$C$1960,0)),"Go to Act"))</f>
        <v/>
      </c>
    </row>
    <row r="1073" ht="158" customHeight="1">
      <c r="A1073" s="8">
        <f>IF(ISNA(MATCH(1060,Engine!$C$2:$C$1960,0)),"",INDEX('Compliance Database'!$A$2:$A$1960,MATCH(1060,Engine!$C$2:$C$1960,0)))</f>
        <v/>
      </c>
      <c r="B1073" s="8">
        <f>IF(ISNA(MATCH(1060,Engine!$C$2:$C$1960,0)),"",INDEX('Compliance Database'!$B$2:$B$1960,MATCH(1060,Engine!$C$2:$C$1960,0)))</f>
        <v/>
      </c>
      <c r="C1073" s="8">
        <f>IF(ISNA(MATCH(1060,Engine!$C$2:$C$1960,0)),"",INDEX('Compliance Database'!$C$2:$C$1960,MATCH(1060,Engine!$C$2:$C$1960,0)))</f>
        <v/>
      </c>
      <c r="D1073" s="9">
        <f>IF(ISNA(MATCH(1060,Engine!$C$2:$C$1960,0)),"",INDEX('Compliance Database'!$D$2:$D$1960,MATCH(1060,Engine!$C$2:$C$1960,0)))</f>
        <v/>
      </c>
      <c r="E1073" s="8">
        <f>IF(ISNA(MATCH(1060,Engine!$C$2:$C$1960,0)),"",INDEX('Compliance Database'!$E$2:$E$1960,MATCH(1060,Engine!$C$2:$C$1960,0)))</f>
        <v/>
      </c>
      <c r="F1073" s="8">
        <f>IF(ISNA(MATCH(1060,Engine!$C$2:$C$1960,0)),"",INDEX('Compliance Database'!$F$2:$F$1960,MATCH(1060,Engine!$C$2:$C$1960,0)))</f>
        <v/>
      </c>
      <c r="G1073" s="8">
        <f>IF(ISNA(MATCH(1060,Engine!$C$2:$C$1960,0)),"",INDEX('Compliance Database'!$G$2:$G$1960,MATCH(1060,Engine!$C$2:$C$1960,0)))</f>
        <v/>
      </c>
      <c r="H1073" s="9">
        <f>IF(ISNA(MATCH(1060,Engine!$C$2:$C$1960,0)),"",INDEX('Compliance Database'!$H$2:$H$1960,MATCH(1060,Engine!$C$2:$C$1960,0)))</f>
        <v/>
      </c>
      <c r="I1073" s="9">
        <f>IF(ISNA(MATCH(1060,Engine!$C$2:$C$1960,0)),"",INDEX('Compliance Database'!$I$2:$I$1960,MATCH(1060,Engine!$C$2:$C$1960,0)))</f>
        <v/>
      </c>
      <c r="J1073" s="8">
        <f>IF(ISNA(MATCH(1060,Engine!$C$2:$C$1960,0)),"",INDEX('Compliance Database'!$J$2:$J$1960,MATCH(1060,Engine!$C$2:$C$1960,0)))</f>
        <v/>
      </c>
      <c r="K1073" s="9">
        <f>IF(ISNA(MATCH(1060,Engine!$C$2:$C$1960,0)),"",INDEX('Compliance Database'!$K$2:$K$1960,MATCH(1060,Engine!$C$2:$C$1960,0)))</f>
        <v/>
      </c>
      <c r="L1073" s="9">
        <f>IF(ISNA(MATCH(1060,Engine!$C$2:$C$1960,0)),"",INDEX('Compliance Database'!$L$2:$L$1960,MATCH(1060,Engine!$C$2:$C$1960,0)))</f>
        <v/>
      </c>
      <c r="M1073" s="9">
        <f>IF(ISNA(MATCH(1060,Engine!$C$2:$C$1960,0)),"",INDEX('Compliance Database'!$M$2:$M$1960,MATCH(1060,Engine!$C$2:$C$1960,0)))</f>
        <v/>
      </c>
      <c r="N1073" s="9">
        <f>IF(ISNA(MATCH(1060,Engine!$C$2:$C$1960,0)),"",INDEX('Compliance Database'!$N$2:$N$1960,MATCH(1060,Engine!$C$2:$C$1960,0)))</f>
        <v/>
      </c>
      <c r="O1073" s="9">
        <f>IF(ISNA(MATCH(1060,Engine!$C$2:$C$1960,0)),"",INDEX('Compliance Database'!$O$2:$O$1960,MATCH(1060,Engine!$C$2:$C$1960,0)))</f>
        <v/>
      </c>
      <c r="P1073" s="8">
        <f>IF(ISNA(MATCH(1060,Engine!$C$2:$C$1960,0)),"",HYPERLINK("#Acts!A"&amp;INDEX('Compliance Database'!$P$2:$P$1960,MATCH(1060,Engine!$C$2:$C$1960,0)),"Go to Act"))</f>
        <v/>
      </c>
    </row>
    <row r="1074" ht="158" customHeight="1">
      <c r="A1074" s="8">
        <f>IF(ISNA(MATCH(1061,Engine!$C$2:$C$1960,0)),"",INDEX('Compliance Database'!$A$2:$A$1960,MATCH(1061,Engine!$C$2:$C$1960,0)))</f>
        <v/>
      </c>
      <c r="B1074" s="8">
        <f>IF(ISNA(MATCH(1061,Engine!$C$2:$C$1960,0)),"",INDEX('Compliance Database'!$B$2:$B$1960,MATCH(1061,Engine!$C$2:$C$1960,0)))</f>
        <v/>
      </c>
      <c r="C1074" s="8">
        <f>IF(ISNA(MATCH(1061,Engine!$C$2:$C$1960,0)),"",INDEX('Compliance Database'!$C$2:$C$1960,MATCH(1061,Engine!$C$2:$C$1960,0)))</f>
        <v/>
      </c>
      <c r="D1074" s="9">
        <f>IF(ISNA(MATCH(1061,Engine!$C$2:$C$1960,0)),"",INDEX('Compliance Database'!$D$2:$D$1960,MATCH(1061,Engine!$C$2:$C$1960,0)))</f>
        <v/>
      </c>
      <c r="E1074" s="8">
        <f>IF(ISNA(MATCH(1061,Engine!$C$2:$C$1960,0)),"",INDEX('Compliance Database'!$E$2:$E$1960,MATCH(1061,Engine!$C$2:$C$1960,0)))</f>
        <v/>
      </c>
      <c r="F1074" s="8">
        <f>IF(ISNA(MATCH(1061,Engine!$C$2:$C$1960,0)),"",INDEX('Compliance Database'!$F$2:$F$1960,MATCH(1061,Engine!$C$2:$C$1960,0)))</f>
        <v/>
      </c>
      <c r="G1074" s="8">
        <f>IF(ISNA(MATCH(1061,Engine!$C$2:$C$1960,0)),"",INDEX('Compliance Database'!$G$2:$G$1960,MATCH(1061,Engine!$C$2:$C$1960,0)))</f>
        <v/>
      </c>
      <c r="H1074" s="9">
        <f>IF(ISNA(MATCH(1061,Engine!$C$2:$C$1960,0)),"",INDEX('Compliance Database'!$H$2:$H$1960,MATCH(1061,Engine!$C$2:$C$1960,0)))</f>
        <v/>
      </c>
      <c r="I1074" s="9">
        <f>IF(ISNA(MATCH(1061,Engine!$C$2:$C$1960,0)),"",INDEX('Compliance Database'!$I$2:$I$1960,MATCH(1061,Engine!$C$2:$C$1960,0)))</f>
        <v/>
      </c>
      <c r="J1074" s="8">
        <f>IF(ISNA(MATCH(1061,Engine!$C$2:$C$1960,0)),"",INDEX('Compliance Database'!$J$2:$J$1960,MATCH(1061,Engine!$C$2:$C$1960,0)))</f>
        <v/>
      </c>
      <c r="K1074" s="9">
        <f>IF(ISNA(MATCH(1061,Engine!$C$2:$C$1960,0)),"",INDEX('Compliance Database'!$K$2:$K$1960,MATCH(1061,Engine!$C$2:$C$1960,0)))</f>
        <v/>
      </c>
      <c r="L1074" s="9">
        <f>IF(ISNA(MATCH(1061,Engine!$C$2:$C$1960,0)),"",INDEX('Compliance Database'!$L$2:$L$1960,MATCH(1061,Engine!$C$2:$C$1960,0)))</f>
        <v/>
      </c>
      <c r="M1074" s="9">
        <f>IF(ISNA(MATCH(1061,Engine!$C$2:$C$1960,0)),"",INDEX('Compliance Database'!$M$2:$M$1960,MATCH(1061,Engine!$C$2:$C$1960,0)))</f>
        <v/>
      </c>
      <c r="N1074" s="9">
        <f>IF(ISNA(MATCH(1061,Engine!$C$2:$C$1960,0)),"",INDEX('Compliance Database'!$N$2:$N$1960,MATCH(1061,Engine!$C$2:$C$1960,0)))</f>
        <v/>
      </c>
      <c r="O1074" s="9">
        <f>IF(ISNA(MATCH(1061,Engine!$C$2:$C$1960,0)),"",INDEX('Compliance Database'!$O$2:$O$1960,MATCH(1061,Engine!$C$2:$C$1960,0)))</f>
        <v/>
      </c>
      <c r="P1074" s="8">
        <f>IF(ISNA(MATCH(1061,Engine!$C$2:$C$1960,0)),"",HYPERLINK("#Acts!A"&amp;INDEX('Compliance Database'!$P$2:$P$1960,MATCH(1061,Engine!$C$2:$C$1960,0)),"Go to Act"))</f>
        <v/>
      </c>
    </row>
    <row r="1075" ht="158" customHeight="1">
      <c r="A1075" s="8">
        <f>IF(ISNA(MATCH(1062,Engine!$C$2:$C$1960,0)),"",INDEX('Compliance Database'!$A$2:$A$1960,MATCH(1062,Engine!$C$2:$C$1960,0)))</f>
        <v/>
      </c>
      <c r="B1075" s="8">
        <f>IF(ISNA(MATCH(1062,Engine!$C$2:$C$1960,0)),"",INDEX('Compliance Database'!$B$2:$B$1960,MATCH(1062,Engine!$C$2:$C$1960,0)))</f>
        <v/>
      </c>
      <c r="C1075" s="8">
        <f>IF(ISNA(MATCH(1062,Engine!$C$2:$C$1960,0)),"",INDEX('Compliance Database'!$C$2:$C$1960,MATCH(1062,Engine!$C$2:$C$1960,0)))</f>
        <v/>
      </c>
      <c r="D1075" s="9">
        <f>IF(ISNA(MATCH(1062,Engine!$C$2:$C$1960,0)),"",INDEX('Compliance Database'!$D$2:$D$1960,MATCH(1062,Engine!$C$2:$C$1960,0)))</f>
        <v/>
      </c>
      <c r="E1075" s="8">
        <f>IF(ISNA(MATCH(1062,Engine!$C$2:$C$1960,0)),"",INDEX('Compliance Database'!$E$2:$E$1960,MATCH(1062,Engine!$C$2:$C$1960,0)))</f>
        <v/>
      </c>
      <c r="F1075" s="8">
        <f>IF(ISNA(MATCH(1062,Engine!$C$2:$C$1960,0)),"",INDEX('Compliance Database'!$F$2:$F$1960,MATCH(1062,Engine!$C$2:$C$1960,0)))</f>
        <v/>
      </c>
      <c r="G1075" s="8">
        <f>IF(ISNA(MATCH(1062,Engine!$C$2:$C$1960,0)),"",INDEX('Compliance Database'!$G$2:$G$1960,MATCH(1062,Engine!$C$2:$C$1960,0)))</f>
        <v/>
      </c>
      <c r="H1075" s="9">
        <f>IF(ISNA(MATCH(1062,Engine!$C$2:$C$1960,0)),"",INDEX('Compliance Database'!$H$2:$H$1960,MATCH(1062,Engine!$C$2:$C$1960,0)))</f>
        <v/>
      </c>
      <c r="I1075" s="9">
        <f>IF(ISNA(MATCH(1062,Engine!$C$2:$C$1960,0)),"",INDEX('Compliance Database'!$I$2:$I$1960,MATCH(1062,Engine!$C$2:$C$1960,0)))</f>
        <v/>
      </c>
      <c r="J1075" s="8">
        <f>IF(ISNA(MATCH(1062,Engine!$C$2:$C$1960,0)),"",INDEX('Compliance Database'!$J$2:$J$1960,MATCH(1062,Engine!$C$2:$C$1960,0)))</f>
        <v/>
      </c>
      <c r="K1075" s="9">
        <f>IF(ISNA(MATCH(1062,Engine!$C$2:$C$1960,0)),"",INDEX('Compliance Database'!$K$2:$K$1960,MATCH(1062,Engine!$C$2:$C$1960,0)))</f>
        <v/>
      </c>
      <c r="L1075" s="9">
        <f>IF(ISNA(MATCH(1062,Engine!$C$2:$C$1960,0)),"",INDEX('Compliance Database'!$L$2:$L$1960,MATCH(1062,Engine!$C$2:$C$1960,0)))</f>
        <v/>
      </c>
      <c r="M1075" s="9">
        <f>IF(ISNA(MATCH(1062,Engine!$C$2:$C$1960,0)),"",INDEX('Compliance Database'!$M$2:$M$1960,MATCH(1062,Engine!$C$2:$C$1960,0)))</f>
        <v/>
      </c>
      <c r="N1075" s="9">
        <f>IF(ISNA(MATCH(1062,Engine!$C$2:$C$1960,0)),"",INDEX('Compliance Database'!$N$2:$N$1960,MATCH(1062,Engine!$C$2:$C$1960,0)))</f>
        <v/>
      </c>
      <c r="O1075" s="9">
        <f>IF(ISNA(MATCH(1062,Engine!$C$2:$C$1960,0)),"",INDEX('Compliance Database'!$O$2:$O$1960,MATCH(1062,Engine!$C$2:$C$1960,0)))</f>
        <v/>
      </c>
      <c r="P1075" s="8">
        <f>IF(ISNA(MATCH(1062,Engine!$C$2:$C$1960,0)),"",HYPERLINK("#Acts!A"&amp;INDEX('Compliance Database'!$P$2:$P$1960,MATCH(1062,Engine!$C$2:$C$1960,0)),"Go to Act"))</f>
        <v/>
      </c>
    </row>
    <row r="1076" ht="158" customHeight="1">
      <c r="A1076" s="8">
        <f>IF(ISNA(MATCH(1063,Engine!$C$2:$C$1960,0)),"",INDEX('Compliance Database'!$A$2:$A$1960,MATCH(1063,Engine!$C$2:$C$1960,0)))</f>
        <v/>
      </c>
      <c r="B1076" s="8">
        <f>IF(ISNA(MATCH(1063,Engine!$C$2:$C$1960,0)),"",INDEX('Compliance Database'!$B$2:$B$1960,MATCH(1063,Engine!$C$2:$C$1960,0)))</f>
        <v/>
      </c>
      <c r="C1076" s="8">
        <f>IF(ISNA(MATCH(1063,Engine!$C$2:$C$1960,0)),"",INDEX('Compliance Database'!$C$2:$C$1960,MATCH(1063,Engine!$C$2:$C$1960,0)))</f>
        <v/>
      </c>
      <c r="D1076" s="9">
        <f>IF(ISNA(MATCH(1063,Engine!$C$2:$C$1960,0)),"",INDEX('Compliance Database'!$D$2:$D$1960,MATCH(1063,Engine!$C$2:$C$1960,0)))</f>
        <v/>
      </c>
      <c r="E1076" s="8">
        <f>IF(ISNA(MATCH(1063,Engine!$C$2:$C$1960,0)),"",INDEX('Compliance Database'!$E$2:$E$1960,MATCH(1063,Engine!$C$2:$C$1960,0)))</f>
        <v/>
      </c>
      <c r="F1076" s="8">
        <f>IF(ISNA(MATCH(1063,Engine!$C$2:$C$1960,0)),"",INDEX('Compliance Database'!$F$2:$F$1960,MATCH(1063,Engine!$C$2:$C$1960,0)))</f>
        <v/>
      </c>
      <c r="G1076" s="8">
        <f>IF(ISNA(MATCH(1063,Engine!$C$2:$C$1960,0)),"",INDEX('Compliance Database'!$G$2:$G$1960,MATCH(1063,Engine!$C$2:$C$1960,0)))</f>
        <v/>
      </c>
      <c r="H1076" s="9">
        <f>IF(ISNA(MATCH(1063,Engine!$C$2:$C$1960,0)),"",INDEX('Compliance Database'!$H$2:$H$1960,MATCH(1063,Engine!$C$2:$C$1960,0)))</f>
        <v/>
      </c>
      <c r="I1076" s="9">
        <f>IF(ISNA(MATCH(1063,Engine!$C$2:$C$1960,0)),"",INDEX('Compliance Database'!$I$2:$I$1960,MATCH(1063,Engine!$C$2:$C$1960,0)))</f>
        <v/>
      </c>
      <c r="J1076" s="8">
        <f>IF(ISNA(MATCH(1063,Engine!$C$2:$C$1960,0)),"",INDEX('Compliance Database'!$J$2:$J$1960,MATCH(1063,Engine!$C$2:$C$1960,0)))</f>
        <v/>
      </c>
      <c r="K1076" s="9">
        <f>IF(ISNA(MATCH(1063,Engine!$C$2:$C$1960,0)),"",INDEX('Compliance Database'!$K$2:$K$1960,MATCH(1063,Engine!$C$2:$C$1960,0)))</f>
        <v/>
      </c>
      <c r="L1076" s="9">
        <f>IF(ISNA(MATCH(1063,Engine!$C$2:$C$1960,0)),"",INDEX('Compliance Database'!$L$2:$L$1960,MATCH(1063,Engine!$C$2:$C$1960,0)))</f>
        <v/>
      </c>
      <c r="M1076" s="9">
        <f>IF(ISNA(MATCH(1063,Engine!$C$2:$C$1960,0)),"",INDEX('Compliance Database'!$M$2:$M$1960,MATCH(1063,Engine!$C$2:$C$1960,0)))</f>
        <v/>
      </c>
      <c r="N1076" s="9">
        <f>IF(ISNA(MATCH(1063,Engine!$C$2:$C$1960,0)),"",INDEX('Compliance Database'!$N$2:$N$1960,MATCH(1063,Engine!$C$2:$C$1960,0)))</f>
        <v/>
      </c>
      <c r="O1076" s="9">
        <f>IF(ISNA(MATCH(1063,Engine!$C$2:$C$1960,0)),"",INDEX('Compliance Database'!$O$2:$O$1960,MATCH(1063,Engine!$C$2:$C$1960,0)))</f>
        <v/>
      </c>
      <c r="P1076" s="8">
        <f>IF(ISNA(MATCH(1063,Engine!$C$2:$C$1960,0)),"",HYPERLINK("#Acts!A"&amp;INDEX('Compliance Database'!$P$2:$P$1960,MATCH(1063,Engine!$C$2:$C$1960,0)),"Go to Act"))</f>
        <v/>
      </c>
    </row>
    <row r="1077" ht="158" customHeight="1">
      <c r="A1077" s="8">
        <f>IF(ISNA(MATCH(1064,Engine!$C$2:$C$1960,0)),"",INDEX('Compliance Database'!$A$2:$A$1960,MATCH(1064,Engine!$C$2:$C$1960,0)))</f>
        <v/>
      </c>
      <c r="B1077" s="8">
        <f>IF(ISNA(MATCH(1064,Engine!$C$2:$C$1960,0)),"",INDEX('Compliance Database'!$B$2:$B$1960,MATCH(1064,Engine!$C$2:$C$1960,0)))</f>
        <v/>
      </c>
      <c r="C1077" s="8">
        <f>IF(ISNA(MATCH(1064,Engine!$C$2:$C$1960,0)),"",INDEX('Compliance Database'!$C$2:$C$1960,MATCH(1064,Engine!$C$2:$C$1960,0)))</f>
        <v/>
      </c>
      <c r="D1077" s="9">
        <f>IF(ISNA(MATCH(1064,Engine!$C$2:$C$1960,0)),"",INDEX('Compliance Database'!$D$2:$D$1960,MATCH(1064,Engine!$C$2:$C$1960,0)))</f>
        <v/>
      </c>
      <c r="E1077" s="8">
        <f>IF(ISNA(MATCH(1064,Engine!$C$2:$C$1960,0)),"",INDEX('Compliance Database'!$E$2:$E$1960,MATCH(1064,Engine!$C$2:$C$1960,0)))</f>
        <v/>
      </c>
      <c r="F1077" s="8">
        <f>IF(ISNA(MATCH(1064,Engine!$C$2:$C$1960,0)),"",INDEX('Compliance Database'!$F$2:$F$1960,MATCH(1064,Engine!$C$2:$C$1960,0)))</f>
        <v/>
      </c>
      <c r="G1077" s="8">
        <f>IF(ISNA(MATCH(1064,Engine!$C$2:$C$1960,0)),"",INDEX('Compliance Database'!$G$2:$G$1960,MATCH(1064,Engine!$C$2:$C$1960,0)))</f>
        <v/>
      </c>
      <c r="H1077" s="9">
        <f>IF(ISNA(MATCH(1064,Engine!$C$2:$C$1960,0)),"",INDEX('Compliance Database'!$H$2:$H$1960,MATCH(1064,Engine!$C$2:$C$1960,0)))</f>
        <v/>
      </c>
      <c r="I1077" s="9">
        <f>IF(ISNA(MATCH(1064,Engine!$C$2:$C$1960,0)),"",INDEX('Compliance Database'!$I$2:$I$1960,MATCH(1064,Engine!$C$2:$C$1960,0)))</f>
        <v/>
      </c>
      <c r="J1077" s="8">
        <f>IF(ISNA(MATCH(1064,Engine!$C$2:$C$1960,0)),"",INDEX('Compliance Database'!$J$2:$J$1960,MATCH(1064,Engine!$C$2:$C$1960,0)))</f>
        <v/>
      </c>
      <c r="K1077" s="9">
        <f>IF(ISNA(MATCH(1064,Engine!$C$2:$C$1960,0)),"",INDEX('Compliance Database'!$K$2:$K$1960,MATCH(1064,Engine!$C$2:$C$1960,0)))</f>
        <v/>
      </c>
      <c r="L1077" s="9">
        <f>IF(ISNA(MATCH(1064,Engine!$C$2:$C$1960,0)),"",INDEX('Compliance Database'!$L$2:$L$1960,MATCH(1064,Engine!$C$2:$C$1960,0)))</f>
        <v/>
      </c>
      <c r="M1077" s="9">
        <f>IF(ISNA(MATCH(1064,Engine!$C$2:$C$1960,0)),"",INDEX('Compliance Database'!$M$2:$M$1960,MATCH(1064,Engine!$C$2:$C$1960,0)))</f>
        <v/>
      </c>
      <c r="N1077" s="9">
        <f>IF(ISNA(MATCH(1064,Engine!$C$2:$C$1960,0)),"",INDEX('Compliance Database'!$N$2:$N$1960,MATCH(1064,Engine!$C$2:$C$1960,0)))</f>
        <v/>
      </c>
      <c r="O1077" s="9">
        <f>IF(ISNA(MATCH(1064,Engine!$C$2:$C$1960,0)),"",INDEX('Compliance Database'!$O$2:$O$1960,MATCH(1064,Engine!$C$2:$C$1960,0)))</f>
        <v/>
      </c>
      <c r="P1077" s="8">
        <f>IF(ISNA(MATCH(1064,Engine!$C$2:$C$1960,0)),"",HYPERLINK("#Acts!A"&amp;INDEX('Compliance Database'!$P$2:$P$1960,MATCH(1064,Engine!$C$2:$C$1960,0)),"Go to Act"))</f>
        <v/>
      </c>
    </row>
    <row r="1078" ht="158" customHeight="1">
      <c r="A1078" s="8">
        <f>IF(ISNA(MATCH(1065,Engine!$C$2:$C$1960,0)),"",INDEX('Compliance Database'!$A$2:$A$1960,MATCH(1065,Engine!$C$2:$C$1960,0)))</f>
        <v/>
      </c>
      <c r="B1078" s="8">
        <f>IF(ISNA(MATCH(1065,Engine!$C$2:$C$1960,0)),"",INDEX('Compliance Database'!$B$2:$B$1960,MATCH(1065,Engine!$C$2:$C$1960,0)))</f>
        <v/>
      </c>
      <c r="C1078" s="8">
        <f>IF(ISNA(MATCH(1065,Engine!$C$2:$C$1960,0)),"",INDEX('Compliance Database'!$C$2:$C$1960,MATCH(1065,Engine!$C$2:$C$1960,0)))</f>
        <v/>
      </c>
      <c r="D1078" s="9">
        <f>IF(ISNA(MATCH(1065,Engine!$C$2:$C$1960,0)),"",INDEX('Compliance Database'!$D$2:$D$1960,MATCH(1065,Engine!$C$2:$C$1960,0)))</f>
        <v/>
      </c>
      <c r="E1078" s="8">
        <f>IF(ISNA(MATCH(1065,Engine!$C$2:$C$1960,0)),"",INDEX('Compliance Database'!$E$2:$E$1960,MATCH(1065,Engine!$C$2:$C$1960,0)))</f>
        <v/>
      </c>
      <c r="F1078" s="8">
        <f>IF(ISNA(MATCH(1065,Engine!$C$2:$C$1960,0)),"",INDEX('Compliance Database'!$F$2:$F$1960,MATCH(1065,Engine!$C$2:$C$1960,0)))</f>
        <v/>
      </c>
      <c r="G1078" s="8">
        <f>IF(ISNA(MATCH(1065,Engine!$C$2:$C$1960,0)),"",INDEX('Compliance Database'!$G$2:$G$1960,MATCH(1065,Engine!$C$2:$C$1960,0)))</f>
        <v/>
      </c>
      <c r="H1078" s="9">
        <f>IF(ISNA(MATCH(1065,Engine!$C$2:$C$1960,0)),"",INDEX('Compliance Database'!$H$2:$H$1960,MATCH(1065,Engine!$C$2:$C$1960,0)))</f>
        <v/>
      </c>
      <c r="I1078" s="9">
        <f>IF(ISNA(MATCH(1065,Engine!$C$2:$C$1960,0)),"",INDEX('Compliance Database'!$I$2:$I$1960,MATCH(1065,Engine!$C$2:$C$1960,0)))</f>
        <v/>
      </c>
      <c r="J1078" s="8">
        <f>IF(ISNA(MATCH(1065,Engine!$C$2:$C$1960,0)),"",INDEX('Compliance Database'!$J$2:$J$1960,MATCH(1065,Engine!$C$2:$C$1960,0)))</f>
        <v/>
      </c>
      <c r="K1078" s="9">
        <f>IF(ISNA(MATCH(1065,Engine!$C$2:$C$1960,0)),"",INDEX('Compliance Database'!$K$2:$K$1960,MATCH(1065,Engine!$C$2:$C$1960,0)))</f>
        <v/>
      </c>
      <c r="L1078" s="9">
        <f>IF(ISNA(MATCH(1065,Engine!$C$2:$C$1960,0)),"",INDEX('Compliance Database'!$L$2:$L$1960,MATCH(1065,Engine!$C$2:$C$1960,0)))</f>
        <v/>
      </c>
      <c r="M1078" s="9">
        <f>IF(ISNA(MATCH(1065,Engine!$C$2:$C$1960,0)),"",INDEX('Compliance Database'!$M$2:$M$1960,MATCH(1065,Engine!$C$2:$C$1960,0)))</f>
        <v/>
      </c>
      <c r="N1078" s="9">
        <f>IF(ISNA(MATCH(1065,Engine!$C$2:$C$1960,0)),"",INDEX('Compliance Database'!$N$2:$N$1960,MATCH(1065,Engine!$C$2:$C$1960,0)))</f>
        <v/>
      </c>
      <c r="O1078" s="9">
        <f>IF(ISNA(MATCH(1065,Engine!$C$2:$C$1960,0)),"",INDEX('Compliance Database'!$O$2:$O$1960,MATCH(1065,Engine!$C$2:$C$1960,0)))</f>
        <v/>
      </c>
      <c r="P1078" s="8">
        <f>IF(ISNA(MATCH(1065,Engine!$C$2:$C$1960,0)),"",HYPERLINK("#Acts!A"&amp;INDEX('Compliance Database'!$P$2:$P$1960,MATCH(1065,Engine!$C$2:$C$1960,0)),"Go to Act"))</f>
        <v/>
      </c>
    </row>
    <row r="1079" ht="158" customHeight="1">
      <c r="A1079" s="8">
        <f>IF(ISNA(MATCH(1066,Engine!$C$2:$C$1960,0)),"",INDEX('Compliance Database'!$A$2:$A$1960,MATCH(1066,Engine!$C$2:$C$1960,0)))</f>
        <v/>
      </c>
      <c r="B1079" s="8">
        <f>IF(ISNA(MATCH(1066,Engine!$C$2:$C$1960,0)),"",INDEX('Compliance Database'!$B$2:$B$1960,MATCH(1066,Engine!$C$2:$C$1960,0)))</f>
        <v/>
      </c>
      <c r="C1079" s="8">
        <f>IF(ISNA(MATCH(1066,Engine!$C$2:$C$1960,0)),"",INDEX('Compliance Database'!$C$2:$C$1960,MATCH(1066,Engine!$C$2:$C$1960,0)))</f>
        <v/>
      </c>
      <c r="D1079" s="9">
        <f>IF(ISNA(MATCH(1066,Engine!$C$2:$C$1960,0)),"",INDEX('Compliance Database'!$D$2:$D$1960,MATCH(1066,Engine!$C$2:$C$1960,0)))</f>
        <v/>
      </c>
      <c r="E1079" s="8">
        <f>IF(ISNA(MATCH(1066,Engine!$C$2:$C$1960,0)),"",INDEX('Compliance Database'!$E$2:$E$1960,MATCH(1066,Engine!$C$2:$C$1960,0)))</f>
        <v/>
      </c>
      <c r="F1079" s="8">
        <f>IF(ISNA(MATCH(1066,Engine!$C$2:$C$1960,0)),"",INDEX('Compliance Database'!$F$2:$F$1960,MATCH(1066,Engine!$C$2:$C$1960,0)))</f>
        <v/>
      </c>
      <c r="G1079" s="8">
        <f>IF(ISNA(MATCH(1066,Engine!$C$2:$C$1960,0)),"",INDEX('Compliance Database'!$G$2:$G$1960,MATCH(1066,Engine!$C$2:$C$1960,0)))</f>
        <v/>
      </c>
      <c r="H1079" s="9">
        <f>IF(ISNA(MATCH(1066,Engine!$C$2:$C$1960,0)),"",INDEX('Compliance Database'!$H$2:$H$1960,MATCH(1066,Engine!$C$2:$C$1960,0)))</f>
        <v/>
      </c>
      <c r="I1079" s="9">
        <f>IF(ISNA(MATCH(1066,Engine!$C$2:$C$1960,0)),"",INDEX('Compliance Database'!$I$2:$I$1960,MATCH(1066,Engine!$C$2:$C$1960,0)))</f>
        <v/>
      </c>
      <c r="J1079" s="8">
        <f>IF(ISNA(MATCH(1066,Engine!$C$2:$C$1960,0)),"",INDEX('Compliance Database'!$J$2:$J$1960,MATCH(1066,Engine!$C$2:$C$1960,0)))</f>
        <v/>
      </c>
      <c r="K1079" s="9">
        <f>IF(ISNA(MATCH(1066,Engine!$C$2:$C$1960,0)),"",INDEX('Compliance Database'!$K$2:$K$1960,MATCH(1066,Engine!$C$2:$C$1960,0)))</f>
        <v/>
      </c>
      <c r="L1079" s="9">
        <f>IF(ISNA(MATCH(1066,Engine!$C$2:$C$1960,0)),"",INDEX('Compliance Database'!$L$2:$L$1960,MATCH(1066,Engine!$C$2:$C$1960,0)))</f>
        <v/>
      </c>
      <c r="M1079" s="9">
        <f>IF(ISNA(MATCH(1066,Engine!$C$2:$C$1960,0)),"",INDEX('Compliance Database'!$M$2:$M$1960,MATCH(1066,Engine!$C$2:$C$1960,0)))</f>
        <v/>
      </c>
      <c r="N1079" s="9">
        <f>IF(ISNA(MATCH(1066,Engine!$C$2:$C$1960,0)),"",INDEX('Compliance Database'!$N$2:$N$1960,MATCH(1066,Engine!$C$2:$C$1960,0)))</f>
        <v/>
      </c>
      <c r="O1079" s="9">
        <f>IF(ISNA(MATCH(1066,Engine!$C$2:$C$1960,0)),"",INDEX('Compliance Database'!$O$2:$O$1960,MATCH(1066,Engine!$C$2:$C$1960,0)))</f>
        <v/>
      </c>
      <c r="P1079" s="8">
        <f>IF(ISNA(MATCH(1066,Engine!$C$2:$C$1960,0)),"",HYPERLINK("#Acts!A"&amp;INDEX('Compliance Database'!$P$2:$P$1960,MATCH(1066,Engine!$C$2:$C$1960,0)),"Go to Act"))</f>
        <v/>
      </c>
    </row>
    <row r="1080" ht="158" customHeight="1">
      <c r="A1080" s="8">
        <f>IF(ISNA(MATCH(1067,Engine!$C$2:$C$1960,0)),"",INDEX('Compliance Database'!$A$2:$A$1960,MATCH(1067,Engine!$C$2:$C$1960,0)))</f>
        <v/>
      </c>
      <c r="B1080" s="8">
        <f>IF(ISNA(MATCH(1067,Engine!$C$2:$C$1960,0)),"",INDEX('Compliance Database'!$B$2:$B$1960,MATCH(1067,Engine!$C$2:$C$1960,0)))</f>
        <v/>
      </c>
      <c r="C1080" s="8">
        <f>IF(ISNA(MATCH(1067,Engine!$C$2:$C$1960,0)),"",INDEX('Compliance Database'!$C$2:$C$1960,MATCH(1067,Engine!$C$2:$C$1960,0)))</f>
        <v/>
      </c>
      <c r="D1080" s="9">
        <f>IF(ISNA(MATCH(1067,Engine!$C$2:$C$1960,0)),"",INDEX('Compliance Database'!$D$2:$D$1960,MATCH(1067,Engine!$C$2:$C$1960,0)))</f>
        <v/>
      </c>
      <c r="E1080" s="8">
        <f>IF(ISNA(MATCH(1067,Engine!$C$2:$C$1960,0)),"",INDEX('Compliance Database'!$E$2:$E$1960,MATCH(1067,Engine!$C$2:$C$1960,0)))</f>
        <v/>
      </c>
      <c r="F1080" s="8">
        <f>IF(ISNA(MATCH(1067,Engine!$C$2:$C$1960,0)),"",INDEX('Compliance Database'!$F$2:$F$1960,MATCH(1067,Engine!$C$2:$C$1960,0)))</f>
        <v/>
      </c>
      <c r="G1080" s="8">
        <f>IF(ISNA(MATCH(1067,Engine!$C$2:$C$1960,0)),"",INDEX('Compliance Database'!$G$2:$G$1960,MATCH(1067,Engine!$C$2:$C$1960,0)))</f>
        <v/>
      </c>
      <c r="H1080" s="9">
        <f>IF(ISNA(MATCH(1067,Engine!$C$2:$C$1960,0)),"",INDEX('Compliance Database'!$H$2:$H$1960,MATCH(1067,Engine!$C$2:$C$1960,0)))</f>
        <v/>
      </c>
      <c r="I1080" s="9">
        <f>IF(ISNA(MATCH(1067,Engine!$C$2:$C$1960,0)),"",INDEX('Compliance Database'!$I$2:$I$1960,MATCH(1067,Engine!$C$2:$C$1960,0)))</f>
        <v/>
      </c>
      <c r="J1080" s="8">
        <f>IF(ISNA(MATCH(1067,Engine!$C$2:$C$1960,0)),"",INDEX('Compliance Database'!$J$2:$J$1960,MATCH(1067,Engine!$C$2:$C$1960,0)))</f>
        <v/>
      </c>
      <c r="K1080" s="9">
        <f>IF(ISNA(MATCH(1067,Engine!$C$2:$C$1960,0)),"",INDEX('Compliance Database'!$K$2:$K$1960,MATCH(1067,Engine!$C$2:$C$1960,0)))</f>
        <v/>
      </c>
      <c r="L1080" s="9">
        <f>IF(ISNA(MATCH(1067,Engine!$C$2:$C$1960,0)),"",INDEX('Compliance Database'!$L$2:$L$1960,MATCH(1067,Engine!$C$2:$C$1960,0)))</f>
        <v/>
      </c>
      <c r="M1080" s="9">
        <f>IF(ISNA(MATCH(1067,Engine!$C$2:$C$1960,0)),"",INDEX('Compliance Database'!$M$2:$M$1960,MATCH(1067,Engine!$C$2:$C$1960,0)))</f>
        <v/>
      </c>
      <c r="N1080" s="9">
        <f>IF(ISNA(MATCH(1067,Engine!$C$2:$C$1960,0)),"",INDEX('Compliance Database'!$N$2:$N$1960,MATCH(1067,Engine!$C$2:$C$1960,0)))</f>
        <v/>
      </c>
      <c r="O1080" s="9">
        <f>IF(ISNA(MATCH(1067,Engine!$C$2:$C$1960,0)),"",INDEX('Compliance Database'!$O$2:$O$1960,MATCH(1067,Engine!$C$2:$C$1960,0)))</f>
        <v/>
      </c>
      <c r="P1080" s="8">
        <f>IF(ISNA(MATCH(1067,Engine!$C$2:$C$1960,0)),"",HYPERLINK("#Acts!A"&amp;INDEX('Compliance Database'!$P$2:$P$1960,MATCH(1067,Engine!$C$2:$C$1960,0)),"Go to Act"))</f>
        <v/>
      </c>
    </row>
    <row r="1081" ht="158" customHeight="1">
      <c r="A1081" s="8">
        <f>IF(ISNA(MATCH(1068,Engine!$C$2:$C$1960,0)),"",INDEX('Compliance Database'!$A$2:$A$1960,MATCH(1068,Engine!$C$2:$C$1960,0)))</f>
        <v/>
      </c>
      <c r="B1081" s="8">
        <f>IF(ISNA(MATCH(1068,Engine!$C$2:$C$1960,0)),"",INDEX('Compliance Database'!$B$2:$B$1960,MATCH(1068,Engine!$C$2:$C$1960,0)))</f>
        <v/>
      </c>
      <c r="C1081" s="8">
        <f>IF(ISNA(MATCH(1068,Engine!$C$2:$C$1960,0)),"",INDEX('Compliance Database'!$C$2:$C$1960,MATCH(1068,Engine!$C$2:$C$1960,0)))</f>
        <v/>
      </c>
      <c r="D1081" s="9">
        <f>IF(ISNA(MATCH(1068,Engine!$C$2:$C$1960,0)),"",INDEX('Compliance Database'!$D$2:$D$1960,MATCH(1068,Engine!$C$2:$C$1960,0)))</f>
        <v/>
      </c>
      <c r="E1081" s="8">
        <f>IF(ISNA(MATCH(1068,Engine!$C$2:$C$1960,0)),"",INDEX('Compliance Database'!$E$2:$E$1960,MATCH(1068,Engine!$C$2:$C$1960,0)))</f>
        <v/>
      </c>
      <c r="F1081" s="8">
        <f>IF(ISNA(MATCH(1068,Engine!$C$2:$C$1960,0)),"",INDEX('Compliance Database'!$F$2:$F$1960,MATCH(1068,Engine!$C$2:$C$1960,0)))</f>
        <v/>
      </c>
      <c r="G1081" s="8">
        <f>IF(ISNA(MATCH(1068,Engine!$C$2:$C$1960,0)),"",INDEX('Compliance Database'!$G$2:$G$1960,MATCH(1068,Engine!$C$2:$C$1960,0)))</f>
        <v/>
      </c>
      <c r="H1081" s="9">
        <f>IF(ISNA(MATCH(1068,Engine!$C$2:$C$1960,0)),"",INDEX('Compliance Database'!$H$2:$H$1960,MATCH(1068,Engine!$C$2:$C$1960,0)))</f>
        <v/>
      </c>
      <c r="I1081" s="9">
        <f>IF(ISNA(MATCH(1068,Engine!$C$2:$C$1960,0)),"",INDEX('Compliance Database'!$I$2:$I$1960,MATCH(1068,Engine!$C$2:$C$1960,0)))</f>
        <v/>
      </c>
      <c r="J1081" s="8">
        <f>IF(ISNA(MATCH(1068,Engine!$C$2:$C$1960,0)),"",INDEX('Compliance Database'!$J$2:$J$1960,MATCH(1068,Engine!$C$2:$C$1960,0)))</f>
        <v/>
      </c>
      <c r="K1081" s="9">
        <f>IF(ISNA(MATCH(1068,Engine!$C$2:$C$1960,0)),"",INDEX('Compliance Database'!$K$2:$K$1960,MATCH(1068,Engine!$C$2:$C$1960,0)))</f>
        <v/>
      </c>
      <c r="L1081" s="9">
        <f>IF(ISNA(MATCH(1068,Engine!$C$2:$C$1960,0)),"",INDEX('Compliance Database'!$L$2:$L$1960,MATCH(1068,Engine!$C$2:$C$1960,0)))</f>
        <v/>
      </c>
      <c r="M1081" s="9">
        <f>IF(ISNA(MATCH(1068,Engine!$C$2:$C$1960,0)),"",INDEX('Compliance Database'!$M$2:$M$1960,MATCH(1068,Engine!$C$2:$C$1960,0)))</f>
        <v/>
      </c>
      <c r="N1081" s="9">
        <f>IF(ISNA(MATCH(1068,Engine!$C$2:$C$1960,0)),"",INDEX('Compliance Database'!$N$2:$N$1960,MATCH(1068,Engine!$C$2:$C$1960,0)))</f>
        <v/>
      </c>
      <c r="O1081" s="9">
        <f>IF(ISNA(MATCH(1068,Engine!$C$2:$C$1960,0)),"",INDEX('Compliance Database'!$O$2:$O$1960,MATCH(1068,Engine!$C$2:$C$1960,0)))</f>
        <v/>
      </c>
      <c r="P1081" s="8">
        <f>IF(ISNA(MATCH(1068,Engine!$C$2:$C$1960,0)),"",HYPERLINK("#Acts!A"&amp;INDEX('Compliance Database'!$P$2:$P$1960,MATCH(1068,Engine!$C$2:$C$1960,0)),"Go to Act"))</f>
        <v/>
      </c>
    </row>
    <row r="1082" ht="158" customHeight="1">
      <c r="A1082" s="8">
        <f>IF(ISNA(MATCH(1069,Engine!$C$2:$C$1960,0)),"",INDEX('Compliance Database'!$A$2:$A$1960,MATCH(1069,Engine!$C$2:$C$1960,0)))</f>
        <v/>
      </c>
      <c r="B1082" s="8">
        <f>IF(ISNA(MATCH(1069,Engine!$C$2:$C$1960,0)),"",INDEX('Compliance Database'!$B$2:$B$1960,MATCH(1069,Engine!$C$2:$C$1960,0)))</f>
        <v/>
      </c>
      <c r="C1082" s="8">
        <f>IF(ISNA(MATCH(1069,Engine!$C$2:$C$1960,0)),"",INDEX('Compliance Database'!$C$2:$C$1960,MATCH(1069,Engine!$C$2:$C$1960,0)))</f>
        <v/>
      </c>
      <c r="D1082" s="9">
        <f>IF(ISNA(MATCH(1069,Engine!$C$2:$C$1960,0)),"",INDEX('Compliance Database'!$D$2:$D$1960,MATCH(1069,Engine!$C$2:$C$1960,0)))</f>
        <v/>
      </c>
      <c r="E1082" s="8">
        <f>IF(ISNA(MATCH(1069,Engine!$C$2:$C$1960,0)),"",INDEX('Compliance Database'!$E$2:$E$1960,MATCH(1069,Engine!$C$2:$C$1960,0)))</f>
        <v/>
      </c>
      <c r="F1082" s="8">
        <f>IF(ISNA(MATCH(1069,Engine!$C$2:$C$1960,0)),"",INDEX('Compliance Database'!$F$2:$F$1960,MATCH(1069,Engine!$C$2:$C$1960,0)))</f>
        <v/>
      </c>
      <c r="G1082" s="8">
        <f>IF(ISNA(MATCH(1069,Engine!$C$2:$C$1960,0)),"",INDEX('Compliance Database'!$G$2:$G$1960,MATCH(1069,Engine!$C$2:$C$1960,0)))</f>
        <v/>
      </c>
      <c r="H1082" s="9">
        <f>IF(ISNA(MATCH(1069,Engine!$C$2:$C$1960,0)),"",INDEX('Compliance Database'!$H$2:$H$1960,MATCH(1069,Engine!$C$2:$C$1960,0)))</f>
        <v/>
      </c>
      <c r="I1082" s="9">
        <f>IF(ISNA(MATCH(1069,Engine!$C$2:$C$1960,0)),"",INDEX('Compliance Database'!$I$2:$I$1960,MATCH(1069,Engine!$C$2:$C$1960,0)))</f>
        <v/>
      </c>
      <c r="J1082" s="8">
        <f>IF(ISNA(MATCH(1069,Engine!$C$2:$C$1960,0)),"",INDEX('Compliance Database'!$J$2:$J$1960,MATCH(1069,Engine!$C$2:$C$1960,0)))</f>
        <v/>
      </c>
      <c r="K1082" s="9">
        <f>IF(ISNA(MATCH(1069,Engine!$C$2:$C$1960,0)),"",INDEX('Compliance Database'!$K$2:$K$1960,MATCH(1069,Engine!$C$2:$C$1960,0)))</f>
        <v/>
      </c>
      <c r="L1082" s="9">
        <f>IF(ISNA(MATCH(1069,Engine!$C$2:$C$1960,0)),"",INDEX('Compliance Database'!$L$2:$L$1960,MATCH(1069,Engine!$C$2:$C$1960,0)))</f>
        <v/>
      </c>
      <c r="M1082" s="9">
        <f>IF(ISNA(MATCH(1069,Engine!$C$2:$C$1960,0)),"",INDEX('Compliance Database'!$M$2:$M$1960,MATCH(1069,Engine!$C$2:$C$1960,0)))</f>
        <v/>
      </c>
      <c r="N1082" s="9">
        <f>IF(ISNA(MATCH(1069,Engine!$C$2:$C$1960,0)),"",INDEX('Compliance Database'!$N$2:$N$1960,MATCH(1069,Engine!$C$2:$C$1960,0)))</f>
        <v/>
      </c>
      <c r="O1082" s="9">
        <f>IF(ISNA(MATCH(1069,Engine!$C$2:$C$1960,0)),"",INDEX('Compliance Database'!$O$2:$O$1960,MATCH(1069,Engine!$C$2:$C$1960,0)))</f>
        <v/>
      </c>
      <c r="P1082" s="8">
        <f>IF(ISNA(MATCH(1069,Engine!$C$2:$C$1960,0)),"",HYPERLINK("#Acts!A"&amp;INDEX('Compliance Database'!$P$2:$P$1960,MATCH(1069,Engine!$C$2:$C$1960,0)),"Go to Act"))</f>
        <v/>
      </c>
    </row>
    <row r="1083" ht="158" customHeight="1">
      <c r="A1083" s="8">
        <f>IF(ISNA(MATCH(1070,Engine!$C$2:$C$1960,0)),"",INDEX('Compliance Database'!$A$2:$A$1960,MATCH(1070,Engine!$C$2:$C$1960,0)))</f>
        <v/>
      </c>
      <c r="B1083" s="8">
        <f>IF(ISNA(MATCH(1070,Engine!$C$2:$C$1960,0)),"",INDEX('Compliance Database'!$B$2:$B$1960,MATCH(1070,Engine!$C$2:$C$1960,0)))</f>
        <v/>
      </c>
      <c r="C1083" s="8">
        <f>IF(ISNA(MATCH(1070,Engine!$C$2:$C$1960,0)),"",INDEX('Compliance Database'!$C$2:$C$1960,MATCH(1070,Engine!$C$2:$C$1960,0)))</f>
        <v/>
      </c>
      <c r="D1083" s="9">
        <f>IF(ISNA(MATCH(1070,Engine!$C$2:$C$1960,0)),"",INDEX('Compliance Database'!$D$2:$D$1960,MATCH(1070,Engine!$C$2:$C$1960,0)))</f>
        <v/>
      </c>
      <c r="E1083" s="8">
        <f>IF(ISNA(MATCH(1070,Engine!$C$2:$C$1960,0)),"",INDEX('Compliance Database'!$E$2:$E$1960,MATCH(1070,Engine!$C$2:$C$1960,0)))</f>
        <v/>
      </c>
      <c r="F1083" s="8">
        <f>IF(ISNA(MATCH(1070,Engine!$C$2:$C$1960,0)),"",INDEX('Compliance Database'!$F$2:$F$1960,MATCH(1070,Engine!$C$2:$C$1960,0)))</f>
        <v/>
      </c>
      <c r="G1083" s="8">
        <f>IF(ISNA(MATCH(1070,Engine!$C$2:$C$1960,0)),"",INDEX('Compliance Database'!$G$2:$G$1960,MATCH(1070,Engine!$C$2:$C$1960,0)))</f>
        <v/>
      </c>
      <c r="H1083" s="9">
        <f>IF(ISNA(MATCH(1070,Engine!$C$2:$C$1960,0)),"",INDEX('Compliance Database'!$H$2:$H$1960,MATCH(1070,Engine!$C$2:$C$1960,0)))</f>
        <v/>
      </c>
      <c r="I1083" s="9">
        <f>IF(ISNA(MATCH(1070,Engine!$C$2:$C$1960,0)),"",INDEX('Compliance Database'!$I$2:$I$1960,MATCH(1070,Engine!$C$2:$C$1960,0)))</f>
        <v/>
      </c>
      <c r="J1083" s="8">
        <f>IF(ISNA(MATCH(1070,Engine!$C$2:$C$1960,0)),"",INDEX('Compliance Database'!$J$2:$J$1960,MATCH(1070,Engine!$C$2:$C$1960,0)))</f>
        <v/>
      </c>
      <c r="K1083" s="9">
        <f>IF(ISNA(MATCH(1070,Engine!$C$2:$C$1960,0)),"",INDEX('Compliance Database'!$K$2:$K$1960,MATCH(1070,Engine!$C$2:$C$1960,0)))</f>
        <v/>
      </c>
      <c r="L1083" s="9">
        <f>IF(ISNA(MATCH(1070,Engine!$C$2:$C$1960,0)),"",INDEX('Compliance Database'!$L$2:$L$1960,MATCH(1070,Engine!$C$2:$C$1960,0)))</f>
        <v/>
      </c>
      <c r="M1083" s="9">
        <f>IF(ISNA(MATCH(1070,Engine!$C$2:$C$1960,0)),"",INDEX('Compliance Database'!$M$2:$M$1960,MATCH(1070,Engine!$C$2:$C$1960,0)))</f>
        <v/>
      </c>
      <c r="N1083" s="9">
        <f>IF(ISNA(MATCH(1070,Engine!$C$2:$C$1960,0)),"",INDEX('Compliance Database'!$N$2:$N$1960,MATCH(1070,Engine!$C$2:$C$1960,0)))</f>
        <v/>
      </c>
      <c r="O1083" s="9">
        <f>IF(ISNA(MATCH(1070,Engine!$C$2:$C$1960,0)),"",INDEX('Compliance Database'!$O$2:$O$1960,MATCH(1070,Engine!$C$2:$C$1960,0)))</f>
        <v/>
      </c>
      <c r="P1083" s="8">
        <f>IF(ISNA(MATCH(1070,Engine!$C$2:$C$1960,0)),"",HYPERLINK("#Acts!A"&amp;INDEX('Compliance Database'!$P$2:$P$1960,MATCH(1070,Engine!$C$2:$C$1960,0)),"Go to Act"))</f>
        <v/>
      </c>
    </row>
    <row r="1084" ht="158" customHeight="1">
      <c r="A1084" s="8">
        <f>IF(ISNA(MATCH(1071,Engine!$C$2:$C$1960,0)),"",INDEX('Compliance Database'!$A$2:$A$1960,MATCH(1071,Engine!$C$2:$C$1960,0)))</f>
        <v/>
      </c>
      <c r="B1084" s="8">
        <f>IF(ISNA(MATCH(1071,Engine!$C$2:$C$1960,0)),"",INDEX('Compliance Database'!$B$2:$B$1960,MATCH(1071,Engine!$C$2:$C$1960,0)))</f>
        <v/>
      </c>
      <c r="C1084" s="8">
        <f>IF(ISNA(MATCH(1071,Engine!$C$2:$C$1960,0)),"",INDEX('Compliance Database'!$C$2:$C$1960,MATCH(1071,Engine!$C$2:$C$1960,0)))</f>
        <v/>
      </c>
      <c r="D1084" s="9">
        <f>IF(ISNA(MATCH(1071,Engine!$C$2:$C$1960,0)),"",INDEX('Compliance Database'!$D$2:$D$1960,MATCH(1071,Engine!$C$2:$C$1960,0)))</f>
        <v/>
      </c>
      <c r="E1084" s="8">
        <f>IF(ISNA(MATCH(1071,Engine!$C$2:$C$1960,0)),"",INDEX('Compliance Database'!$E$2:$E$1960,MATCH(1071,Engine!$C$2:$C$1960,0)))</f>
        <v/>
      </c>
      <c r="F1084" s="8">
        <f>IF(ISNA(MATCH(1071,Engine!$C$2:$C$1960,0)),"",INDEX('Compliance Database'!$F$2:$F$1960,MATCH(1071,Engine!$C$2:$C$1960,0)))</f>
        <v/>
      </c>
      <c r="G1084" s="8">
        <f>IF(ISNA(MATCH(1071,Engine!$C$2:$C$1960,0)),"",INDEX('Compliance Database'!$G$2:$G$1960,MATCH(1071,Engine!$C$2:$C$1960,0)))</f>
        <v/>
      </c>
      <c r="H1084" s="9">
        <f>IF(ISNA(MATCH(1071,Engine!$C$2:$C$1960,0)),"",INDEX('Compliance Database'!$H$2:$H$1960,MATCH(1071,Engine!$C$2:$C$1960,0)))</f>
        <v/>
      </c>
      <c r="I1084" s="9">
        <f>IF(ISNA(MATCH(1071,Engine!$C$2:$C$1960,0)),"",INDEX('Compliance Database'!$I$2:$I$1960,MATCH(1071,Engine!$C$2:$C$1960,0)))</f>
        <v/>
      </c>
      <c r="J1084" s="8">
        <f>IF(ISNA(MATCH(1071,Engine!$C$2:$C$1960,0)),"",INDEX('Compliance Database'!$J$2:$J$1960,MATCH(1071,Engine!$C$2:$C$1960,0)))</f>
        <v/>
      </c>
      <c r="K1084" s="9">
        <f>IF(ISNA(MATCH(1071,Engine!$C$2:$C$1960,0)),"",INDEX('Compliance Database'!$K$2:$K$1960,MATCH(1071,Engine!$C$2:$C$1960,0)))</f>
        <v/>
      </c>
      <c r="L1084" s="9">
        <f>IF(ISNA(MATCH(1071,Engine!$C$2:$C$1960,0)),"",INDEX('Compliance Database'!$L$2:$L$1960,MATCH(1071,Engine!$C$2:$C$1960,0)))</f>
        <v/>
      </c>
      <c r="M1084" s="9">
        <f>IF(ISNA(MATCH(1071,Engine!$C$2:$C$1960,0)),"",INDEX('Compliance Database'!$M$2:$M$1960,MATCH(1071,Engine!$C$2:$C$1960,0)))</f>
        <v/>
      </c>
      <c r="N1084" s="9">
        <f>IF(ISNA(MATCH(1071,Engine!$C$2:$C$1960,0)),"",INDEX('Compliance Database'!$N$2:$N$1960,MATCH(1071,Engine!$C$2:$C$1960,0)))</f>
        <v/>
      </c>
      <c r="O1084" s="9">
        <f>IF(ISNA(MATCH(1071,Engine!$C$2:$C$1960,0)),"",INDEX('Compliance Database'!$O$2:$O$1960,MATCH(1071,Engine!$C$2:$C$1960,0)))</f>
        <v/>
      </c>
      <c r="P1084" s="8">
        <f>IF(ISNA(MATCH(1071,Engine!$C$2:$C$1960,0)),"",HYPERLINK("#Acts!A"&amp;INDEX('Compliance Database'!$P$2:$P$1960,MATCH(1071,Engine!$C$2:$C$1960,0)),"Go to Act"))</f>
        <v/>
      </c>
    </row>
    <row r="1085" ht="158" customHeight="1">
      <c r="A1085" s="8">
        <f>IF(ISNA(MATCH(1072,Engine!$C$2:$C$1960,0)),"",INDEX('Compliance Database'!$A$2:$A$1960,MATCH(1072,Engine!$C$2:$C$1960,0)))</f>
        <v/>
      </c>
      <c r="B1085" s="8">
        <f>IF(ISNA(MATCH(1072,Engine!$C$2:$C$1960,0)),"",INDEX('Compliance Database'!$B$2:$B$1960,MATCH(1072,Engine!$C$2:$C$1960,0)))</f>
        <v/>
      </c>
      <c r="C1085" s="8">
        <f>IF(ISNA(MATCH(1072,Engine!$C$2:$C$1960,0)),"",INDEX('Compliance Database'!$C$2:$C$1960,MATCH(1072,Engine!$C$2:$C$1960,0)))</f>
        <v/>
      </c>
      <c r="D1085" s="9">
        <f>IF(ISNA(MATCH(1072,Engine!$C$2:$C$1960,0)),"",INDEX('Compliance Database'!$D$2:$D$1960,MATCH(1072,Engine!$C$2:$C$1960,0)))</f>
        <v/>
      </c>
      <c r="E1085" s="8">
        <f>IF(ISNA(MATCH(1072,Engine!$C$2:$C$1960,0)),"",INDEX('Compliance Database'!$E$2:$E$1960,MATCH(1072,Engine!$C$2:$C$1960,0)))</f>
        <v/>
      </c>
      <c r="F1085" s="8">
        <f>IF(ISNA(MATCH(1072,Engine!$C$2:$C$1960,0)),"",INDEX('Compliance Database'!$F$2:$F$1960,MATCH(1072,Engine!$C$2:$C$1960,0)))</f>
        <v/>
      </c>
      <c r="G1085" s="8">
        <f>IF(ISNA(MATCH(1072,Engine!$C$2:$C$1960,0)),"",INDEX('Compliance Database'!$G$2:$G$1960,MATCH(1072,Engine!$C$2:$C$1960,0)))</f>
        <v/>
      </c>
      <c r="H1085" s="9">
        <f>IF(ISNA(MATCH(1072,Engine!$C$2:$C$1960,0)),"",INDEX('Compliance Database'!$H$2:$H$1960,MATCH(1072,Engine!$C$2:$C$1960,0)))</f>
        <v/>
      </c>
      <c r="I1085" s="9">
        <f>IF(ISNA(MATCH(1072,Engine!$C$2:$C$1960,0)),"",INDEX('Compliance Database'!$I$2:$I$1960,MATCH(1072,Engine!$C$2:$C$1960,0)))</f>
        <v/>
      </c>
      <c r="J1085" s="8">
        <f>IF(ISNA(MATCH(1072,Engine!$C$2:$C$1960,0)),"",INDEX('Compliance Database'!$J$2:$J$1960,MATCH(1072,Engine!$C$2:$C$1960,0)))</f>
        <v/>
      </c>
      <c r="K1085" s="9">
        <f>IF(ISNA(MATCH(1072,Engine!$C$2:$C$1960,0)),"",INDEX('Compliance Database'!$K$2:$K$1960,MATCH(1072,Engine!$C$2:$C$1960,0)))</f>
        <v/>
      </c>
      <c r="L1085" s="9">
        <f>IF(ISNA(MATCH(1072,Engine!$C$2:$C$1960,0)),"",INDEX('Compliance Database'!$L$2:$L$1960,MATCH(1072,Engine!$C$2:$C$1960,0)))</f>
        <v/>
      </c>
      <c r="M1085" s="9">
        <f>IF(ISNA(MATCH(1072,Engine!$C$2:$C$1960,0)),"",INDEX('Compliance Database'!$M$2:$M$1960,MATCH(1072,Engine!$C$2:$C$1960,0)))</f>
        <v/>
      </c>
      <c r="N1085" s="9">
        <f>IF(ISNA(MATCH(1072,Engine!$C$2:$C$1960,0)),"",INDEX('Compliance Database'!$N$2:$N$1960,MATCH(1072,Engine!$C$2:$C$1960,0)))</f>
        <v/>
      </c>
      <c r="O1085" s="9">
        <f>IF(ISNA(MATCH(1072,Engine!$C$2:$C$1960,0)),"",INDEX('Compliance Database'!$O$2:$O$1960,MATCH(1072,Engine!$C$2:$C$1960,0)))</f>
        <v/>
      </c>
      <c r="P1085" s="8">
        <f>IF(ISNA(MATCH(1072,Engine!$C$2:$C$1960,0)),"",HYPERLINK("#Acts!A"&amp;INDEX('Compliance Database'!$P$2:$P$1960,MATCH(1072,Engine!$C$2:$C$1960,0)),"Go to Act"))</f>
        <v/>
      </c>
    </row>
    <row r="1086" ht="158" customHeight="1">
      <c r="A1086" s="8">
        <f>IF(ISNA(MATCH(1073,Engine!$C$2:$C$1960,0)),"",INDEX('Compliance Database'!$A$2:$A$1960,MATCH(1073,Engine!$C$2:$C$1960,0)))</f>
        <v/>
      </c>
      <c r="B1086" s="8">
        <f>IF(ISNA(MATCH(1073,Engine!$C$2:$C$1960,0)),"",INDEX('Compliance Database'!$B$2:$B$1960,MATCH(1073,Engine!$C$2:$C$1960,0)))</f>
        <v/>
      </c>
      <c r="C1086" s="8">
        <f>IF(ISNA(MATCH(1073,Engine!$C$2:$C$1960,0)),"",INDEX('Compliance Database'!$C$2:$C$1960,MATCH(1073,Engine!$C$2:$C$1960,0)))</f>
        <v/>
      </c>
      <c r="D1086" s="9">
        <f>IF(ISNA(MATCH(1073,Engine!$C$2:$C$1960,0)),"",INDEX('Compliance Database'!$D$2:$D$1960,MATCH(1073,Engine!$C$2:$C$1960,0)))</f>
        <v/>
      </c>
      <c r="E1086" s="8">
        <f>IF(ISNA(MATCH(1073,Engine!$C$2:$C$1960,0)),"",INDEX('Compliance Database'!$E$2:$E$1960,MATCH(1073,Engine!$C$2:$C$1960,0)))</f>
        <v/>
      </c>
      <c r="F1086" s="8">
        <f>IF(ISNA(MATCH(1073,Engine!$C$2:$C$1960,0)),"",INDEX('Compliance Database'!$F$2:$F$1960,MATCH(1073,Engine!$C$2:$C$1960,0)))</f>
        <v/>
      </c>
      <c r="G1086" s="8">
        <f>IF(ISNA(MATCH(1073,Engine!$C$2:$C$1960,0)),"",INDEX('Compliance Database'!$G$2:$G$1960,MATCH(1073,Engine!$C$2:$C$1960,0)))</f>
        <v/>
      </c>
      <c r="H1086" s="9">
        <f>IF(ISNA(MATCH(1073,Engine!$C$2:$C$1960,0)),"",INDEX('Compliance Database'!$H$2:$H$1960,MATCH(1073,Engine!$C$2:$C$1960,0)))</f>
        <v/>
      </c>
      <c r="I1086" s="9">
        <f>IF(ISNA(MATCH(1073,Engine!$C$2:$C$1960,0)),"",INDEX('Compliance Database'!$I$2:$I$1960,MATCH(1073,Engine!$C$2:$C$1960,0)))</f>
        <v/>
      </c>
      <c r="J1086" s="8">
        <f>IF(ISNA(MATCH(1073,Engine!$C$2:$C$1960,0)),"",INDEX('Compliance Database'!$J$2:$J$1960,MATCH(1073,Engine!$C$2:$C$1960,0)))</f>
        <v/>
      </c>
      <c r="K1086" s="9">
        <f>IF(ISNA(MATCH(1073,Engine!$C$2:$C$1960,0)),"",INDEX('Compliance Database'!$K$2:$K$1960,MATCH(1073,Engine!$C$2:$C$1960,0)))</f>
        <v/>
      </c>
      <c r="L1086" s="9">
        <f>IF(ISNA(MATCH(1073,Engine!$C$2:$C$1960,0)),"",INDEX('Compliance Database'!$L$2:$L$1960,MATCH(1073,Engine!$C$2:$C$1960,0)))</f>
        <v/>
      </c>
      <c r="M1086" s="9">
        <f>IF(ISNA(MATCH(1073,Engine!$C$2:$C$1960,0)),"",INDEX('Compliance Database'!$M$2:$M$1960,MATCH(1073,Engine!$C$2:$C$1960,0)))</f>
        <v/>
      </c>
      <c r="N1086" s="9">
        <f>IF(ISNA(MATCH(1073,Engine!$C$2:$C$1960,0)),"",INDEX('Compliance Database'!$N$2:$N$1960,MATCH(1073,Engine!$C$2:$C$1960,0)))</f>
        <v/>
      </c>
      <c r="O1086" s="9">
        <f>IF(ISNA(MATCH(1073,Engine!$C$2:$C$1960,0)),"",INDEX('Compliance Database'!$O$2:$O$1960,MATCH(1073,Engine!$C$2:$C$1960,0)))</f>
        <v/>
      </c>
      <c r="P1086" s="8">
        <f>IF(ISNA(MATCH(1073,Engine!$C$2:$C$1960,0)),"",HYPERLINK("#Acts!A"&amp;INDEX('Compliance Database'!$P$2:$P$1960,MATCH(1073,Engine!$C$2:$C$1960,0)),"Go to Act"))</f>
        <v/>
      </c>
    </row>
    <row r="1087" ht="158" customHeight="1">
      <c r="A1087" s="8">
        <f>IF(ISNA(MATCH(1074,Engine!$C$2:$C$1960,0)),"",INDEX('Compliance Database'!$A$2:$A$1960,MATCH(1074,Engine!$C$2:$C$1960,0)))</f>
        <v/>
      </c>
      <c r="B1087" s="8">
        <f>IF(ISNA(MATCH(1074,Engine!$C$2:$C$1960,0)),"",INDEX('Compliance Database'!$B$2:$B$1960,MATCH(1074,Engine!$C$2:$C$1960,0)))</f>
        <v/>
      </c>
      <c r="C1087" s="8">
        <f>IF(ISNA(MATCH(1074,Engine!$C$2:$C$1960,0)),"",INDEX('Compliance Database'!$C$2:$C$1960,MATCH(1074,Engine!$C$2:$C$1960,0)))</f>
        <v/>
      </c>
      <c r="D1087" s="9">
        <f>IF(ISNA(MATCH(1074,Engine!$C$2:$C$1960,0)),"",INDEX('Compliance Database'!$D$2:$D$1960,MATCH(1074,Engine!$C$2:$C$1960,0)))</f>
        <v/>
      </c>
      <c r="E1087" s="8">
        <f>IF(ISNA(MATCH(1074,Engine!$C$2:$C$1960,0)),"",INDEX('Compliance Database'!$E$2:$E$1960,MATCH(1074,Engine!$C$2:$C$1960,0)))</f>
        <v/>
      </c>
      <c r="F1087" s="8">
        <f>IF(ISNA(MATCH(1074,Engine!$C$2:$C$1960,0)),"",INDEX('Compliance Database'!$F$2:$F$1960,MATCH(1074,Engine!$C$2:$C$1960,0)))</f>
        <v/>
      </c>
      <c r="G1087" s="8">
        <f>IF(ISNA(MATCH(1074,Engine!$C$2:$C$1960,0)),"",INDEX('Compliance Database'!$G$2:$G$1960,MATCH(1074,Engine!$C$2:$C$1960,0)))</f>
        <v/>
      </c>
      <c r="H1087" s="9">
        <f>IF(ISNA(MATCH(1074,Engine!$C$2:$C$1960,0)),"",INDEX('Compliance Database'!$H$2:$H$1960,MATCH(1074,Engine!$C$2:$C$1960,0)))</f>
        <v/>
      </c>
      <c r="I1087" s="9">
        <f>IF(ISNA(MATCH(1074,Engine!$C$2:$C$1960,0)),"",INDEX('Compliance Database'!$I$2:$I$1960,MATCH(1074,Engine!$C$2:$C$1960,0)))</f>
        <v/>
      </c>
      <c r="J1087" s="8">
        <f>IF(ISNA(MATCH(1074,Engine!$C$2:$C$1960,0)),"",INDEX('Compliance Database'!$J$2:$J$1960,MATCH(1074,Engine!$C$2:$C$1960,0)))</f>
        <v/>
      </c>
      <c r="K1087" s="9">
        <f>IF(ISNA(MATCH(1074,Engine!$C$2:$C$1960,0)),"",INDEX('Compliance Database'!$K$2:$K$1960,MATCH(1074,Engine!$C$2:$C$1960,0)))</f>
        <v/>
      </c>
      <c r="L1087" s="9">
        <f>IF(ISNA(MATCH(1074,Engine!$C$2:$C$1960,0)),"",INDEX('Compliance Database'!$L$2:$L$1960,MATCH(1074,Engine!$C$2:$C$1960,0)))</f>
        <v/>
      </c>
      <c r="M1087" s="9">
        <f>IF(ISNA(MATCH(1074,Engine!$C$2:$C$1960,0)),"",INDEX('Compliance Database'!$M$2:$M$1960,MATCH(1074,Engine!$C$2:$C$1960,0)))</f>
        <v/>
      </c>
      <c r="N1087" s="9">
        <f>IF(ISNA(MATCH(1074,Engine!$C$2:$C$1960,0)),"",INDEX('Compliance Database'!$N$2:$N$1960,MATCH(1074,Engine!$C$2:$C$1960,0)))</f>
        <v/>
      </c>
      <c r="O1087" s="9">
        <f>IF(ISNA(MATCH(1074,Engine!$C$2:$C$1960,0)),"",INDEX('Compliance Database'!$O$2:$O$1960,MATCH(1074,Engine!$C$2:$C$1960,0)))</f>
        <v/>
      </c>
      <c r="P1087" s="8">
        <f>IF(ISNA(MATCH(1074,Engine!$C$2:$C$1960,0)),"",HYPERLINK("#Acts!A"&amp;INDEX('Compliance Database'!$P$2:$P$1960,MATCH(1074,Engine!$C$2:$C$1960,0)),"Go to Act"))</f>
        <v/>
      </c>
    </row>
    <row r="1088" ht="158" customHeight="1">
      <c r="A1088" s="8">
        <f>IF(ISNA(MATCH(1075,Engine!$C$2:$C$1960,0)),"",INDEX('Compliance Database'!$A$2:$A$1960,MATCH(1075,Engine!$C$2:$C$1960,0)))</f>
        <v/>
      </c>
      <c r="B1088" s="8">
        <f>IF(ISNA(MATCH(1075,Engine!$C$2:$C$1960,0)),"",INDEX('Compliance Database'!$B$2:$B$1960,MATCH(1075,Engine!$C$2:$C$1960,0)))</f>
        <v/>
      </c>
      <c r="C1088" s="8">
        <f>IF(ISNA(MATCH(1075,Engine!$C$2:$C$1960,0)),"",INDEX('Compliance Database'!$C$2:$C$1960,MATCH(1075,Engine!$C$2:$C$1960,0)))</f>
        <v/>
      </c>
      <c r="D1088" s="9">
        <f>IF(ISNA(MATCH(1075,Engine!$C$2:$C$1960,0)),"",INDEX('Compliance Database'!$D$2:$D$1960,MATCH(1075,Engine!$C$2:$C$1960,0)))</f>
        <v/>
      </c>
      <c r="E1088" s="8">
        <f>IF(ISNA(MATCH(1075,Engine!$C$2:$C$1960,0)),"",INDEX('Compliance Database'!$E$2:$E$1960,MATCH(1075,Engine!$C$2:$C$1960,0)))</f>
        <v/>
      </c>
      <c r="F1088" s="8">
        <f>IF(ISNA(MATCH(1075,Engine!$C$2:$C$1960,0)),"",INDEX('Compliance Database'!$F$2:$F$1960,MATCH(1075,Engine!$C$2:$C$1960,0)))</f>
        <v/>
      </c>
      <c r="G1088" s="8">
        <f>IF(ISNA(MATCH(1075,Engine!$C$2:$C$1960,0)),"",INDEX('Compliance Database'!$G$2:$G$1960,MATCH(1075,Engine!$C$2:$C$1960,0)))</f>
        <v/>
      </c>
      <c r="H1088" s="9">
        <f>IF(ISNA(MATCH(1075,Engine!$C$2:$C$1960,0)),"",INDEX('Compliance Database'!$H$2:$H$1960,MATCH(1075,Engine!$C$2:$C$1960,0)))</f>
        <v/>
      </c>
      <c r="I1088" s="9">
        <f>IF(ISNA(MATCH(1075,Engine!$C$2:$C$1960,0)),"",INDEX('Compliance Database'!$I$2:$I$1960,MATCH(1075,Engine!$C$2:$C$1960,0)))</f>
        <v/>
      </c>
      <c r="J1088" s="8">
        <f>IF(ISNA(MATCH(1075,Engine!$C$2:$C$1960,0)),"",INDEX('Compliance Database'!$J$2:$J$1960,MATCH(1075,Engine!$C$2:$C$1960,0)))</f>
        <v/>
      </c>
      <c r="K1088" s="9">
        <f>IF(ISNA(MATCH(1075,Engine!$C$2:$C$1960,0)),"",INDEX('Compliance Database'!$K$2:$K$1960,MATCH(1075,Engine!$C$2:$C$1960,0)))</f>
        <v/>
      </c>
      <c r="L1088" s="9">
        <f>IF(ISNA(MATCH(1075,Engine!$C$2:$C$1960,0)),"",INDEX('Compliance Database'!$L$2:$L$1960,MATCH(1075,Engine!$C$2:$C$1960,0)))</f>
        <v/>
      </c>
      <c r="M1088" s="9">
        <f>IF(ISNA(MATCH(1075,Engine!$C$2:$C$1960,0)),"",INDEX('Compliance Database'!$M$2:$M$1960,MATCH(1075,Engine!$C$2:$C$1960,0)))</f>
        <v/>
      </c>
      <c r="N1088" s="9">
        <f>IF(ISNA(MATCH(1075,Engine!$C$2:$C$1960,0)),"",INDEX('Compliance Database'!$N$2:$N$1960,MATCH(1075,Engine!$C$2:$C$1960,0)))</f>
        <v/>
      </c>
      <c r="O1088" s="9">
        <f>IF(ISNA(MATCH(1075,Engine!$C$2:$C$1960,0)),"",INDEX('Compliance Database'!$O$2:$O$1960,MATCH(1075,Engine!$C$2:$C$1960,0)))</f>
        <v/>
      </c>
      <c r="P1088" s="8">
        <f>IF(ISNA(MATCH(1075,Engine!$C$2:$C$1960,0)),"",HYPERLINK("#Acts!A"&amp;INDEX('Compliance Database'!$P$2:$P$1960,MATCH(1075,Engine!$C$2:$C$1960,0)),"Go to Act"))</f>
        <v/>
      </c>
    </row>
    <row r="1089" ht="158" customHeight="1">
      <c r="A1089" s="8">
        <f>IF(ISNA(MATCH(1076,Engine!$C$2:$C$1960,0)),"",INDEX('Compliance Database'!$A$2:$A$1960,MATCH(1076,Engine!$C$2:$C$1960,0)))</f>
        <v/>
      </c>
      <c r="B1089" s="8">
        <f>IF(ISNA(MATCH(1076,Engine!$C$2:$C$1960,0)),"",INDEX('Compliance Database'!$B$2:$B$1960,MATCH(1076,Engine!$C$2:$C$1960,0)))</f>
        <v/>
      </c>
      <c r="C1089" s="8">
        <f>IF(ISNA(MATCH(1076,Engine!$C$2:$C$1960,0)),"",INDEX('Compliance Database'!$C$2:$C$1960,MATCH(1076,Engine!$C$2:$C$1960,0)))</f>
        <v/>
      </c>
      <c r="D1089" s="9">
        <f>IF(ISNA(MATCH(1076,Engine!$C$2:$C$1960,0)),"",INDEX('Compliance Database'!$D$2:$D$1960,MATCH(1076,Engine!$C$2:$C$1960,0)))</f>
        <v/>
      </c>
      <c r="E1089" s="8">
        <f>IF(ISNA(MATCH(1076,Engine!$C$2:$C$1960,0)),"",INDEX('Compliance Database'!$E$2:$E$1960,MATCH(1076,Engine!$C$2:$C$1960,0)))</f>
        <v/>
      </c>
      <c r="F1089" s="8">
        <f>IF(ISNA(MATCH(1076,Engine!$C$2:$C$1960,0)),"",INDEX('Compliance Database'!$F$2:$F$1960,MATCH(1076,Engine!$C$2:$C$1960,0)))</f>
        <v/>
      </c>
      <c r="G1089" s="8">
        <f>IF(ISNA(MATCH(1076,Engine!$C$2:$C$1960,0)),"",INDEX('Compliance Database'!$G$2:$G$1960,MATCH(1076,Engine!$C$2:$C$1960,0)))</f>
        <v/>
      </c>
      <c r="H1089" s="9">
        <f>IF(ISNA(MATCH(1076,Engine!$C$2:$C$1960,0)),"",INDEX('Compliance Database'!$H$2:$H$1960,MATCH(1076,Engine!$C$2:$C$1960,0)))</f>
        <v/>
      </c>
      <c r="I1089" s="9">
        <f>IF(ISNA(MATCH(1076,Engine!$C$2:$C$1960,0)),"",INDEX('Compliance Database'!$I$2:$I$1960,MATCH(1076,Engine!$C$2:$C$1960,0)))</f>
        <v/>
      </c>
      <c r="J1089" s="8">
        <f>IF(ISNA(MATCH(1076,Engine!$C$2:$C$1960,0)),"",INDEX('Compliance Database'!$J$2:$J$1960,MATCH(1076,Engine!$C$2:$C$1960,0)))</f>
        <v/>
      </c>
      <c r="K1089" s="9">
        <f>IF(ISNA(MATCH(1076,Engine!$C$2:$C$1960,0)),"",INDEX('Compliance Database'!$K$2:$K$1960,MATCH(1076,Engine!$C$2:$C$1960,0)))</f>
        <v/>
      </c>
      <c r="L1089" s="9">
        <f>IF(ISNA(MATCH(1076,Engine!$C$2:$C$1960,0)),"",INDEX('Compliance Database'!$L$2:$L$1960,MATCH(1076,Engine!$C$2:$C$1960,0)))</f>
        <v/>
      </c>
      <c r="M1089" s="9">
        <f>IF(ISNA(MATCH(1076,Engine!$C$2:$C$1960,0)),"",INDEX('Compliance Database'!$M$2:$M$1960,MATCH(1076,Engine!$C$2:$C$1960,0)))</f>
        <v/>
      </c>
      <c r="N1089" s="9">
        <f>IF(ISNA(MATCH(1076,Engine!$C$2:$C$1960,0)),"",INDEX('Compliance Database'!$N$2:$N$1960,MATCH(1076,Engine!$C$2:$C$1960,0)))</f>
        <v/>
      </c>
      <c r="O1089" s="9">
        <f>IF(ISNA(MATCH(1076,Engine!$C$2:$C$1960,0)),"",INDEX('Compliance Database'!$O$2:$O$1960,MATCH(1076,Engine!$C$2:$C$1960,0)))</f>
        <v/>
      </c>
      <c r="P1089" s="8">
        <f>IF(ISNA(MATCH(1076,Engine!$C$2:$C$1960,0)),"",HYPERLINK("#Acts!A"&amp;INDEX('Compliance Database'!$P$2:$P$1960,MATCH(1076,Engine!$C$2:$C$1960,0)),"Go to Act"))</f>
        <v/>
      </c>
    </row>
    <row r="1090" ht="158" customHeight="1">
      <c r="A1090" s="8">
        <f>IF(ISNA(MATCH(1077,Engine!$C$2:$C$1960,0)),"",INDEX('Compliance Database'!$A$2:$A$1960,MATCH(1077,Engine!$C$2:$C$1960,0)))</f>
        <v/>
      </c>
      <c r="B1090" s="8">
        <f>IF(ISNA(MATCH(1077,Engine!$C$2:$C$1960,0)),"",INDEX('Compliance Database'!$B$2:$B$1960,MATCH(1077,Engine!$C$2:$C$1960,0)))</f>
        <v/>
      </c>
      <c r="C1090" s="8">
        <f>IF(ISNA(MATCH(1077,Engine!$C$2:$C$1960,0)),"",INDEX('Compliance Database'!$C$2:$C$1960,MATCH(1077,Engine!$C$2:$C$1960,0)))</f>
        <v/>
      </c>
      <c r="D1090" s="9">
        <f>IF(ISNA(MATCH(1077,Engine!$C$2:$C$1960,0)),"",INDEX('Compliance Database'!$D$2:$D$1960,MATCH(1077,Engine!$C$2:$C$1960,0)))</f>
        <v/>
      </c>
      <c r="E1090" s="8">
        <f>IF(ISNA(MATCH(1077,Engine!$C$2:$C$1960,0)),"",INDEX('Compliance Database'!$E$2:$E$1960,MATCH(1077,Engine!$C$2:$C$1960,0)))</f>
        <v/>
      </c>
      <c r="F1090" s="8">
        <f>IF(ISNA(MATCH(1077,Engine!$C$2:$C$1960,0)),"",INDEX('Compliance Database'!$F$2:$F$1960,MATCH(1077,Engine!$C$2:$C$1960,0)))</f>
        <v/>
      </c>
      <c r="G1090" s="8">
        <f>IF(ISNA(MATCH(1077,Engine!$C$2:$C$1960,0)),"",INDEX('Compliance Database'!$G$2:$G$1960,MATCH(1077,Engine!$C$2:$C$1960,0)))</f>
        <v/>
      </c>
      <c r="H1090" s="9">
        <f>IF(ISNA(MATCH(1077,Engine!$C$2:$C$1960,0)),"",INDEX('Compliance Database'!$H$2:$H$1960,MATCH(1077,Engine!$C$2:$C$1960,0)))</f>
        <v/>
      </c>
      <c r="I1090" s="9">
        <f>IF(ISNA(MATCH(1077,Engine!$C$2:$C$1960,0)),"",INDEX('Compliance Database'!$I$2:$I$1960,MATCH(1077,Engine!$C$2:$C$1960,0)))</f>
        <v/>
      </c>
      <c r="J1090" s="8">
        <f>IF(ISNA(MATCH(1077,Engine!$C$2:$C$1960,0)),"",INDEX('Compliance Database'!$J$2:$J$1960,MATCH(1077,Engine!$C$2:$C$1960,0)))</f>
        <v/>
      </c>
      <c r="K1090" s="9">
        <f>IF(ISNA(MATCH(1077,Engine!$C$2:$C$1960,0)),"",INDEX('Compliance Database'!$K$2:$K$1960,MATCH(1077,Engine!$C$2:$C$1960,0)))</f>
        <v/>
      </c>
      <c r="L1090" s="9">
        <f>IF(ISNA(MATCH(1077,Engine!$C$2:$C$1960,0)),"",INDEX('Compliance Database'!$L$2:$L$1960,MATCH(1077,Engine!$C$2:$C$1960,0)))</f>
        <v/>
      </c>
      <c r="M1090" s="9">
        <f>IF(ISNA(MATCH(1077,Engine!$C$2:$C$1960,0)),"",INDEX('Compliance Database'!$M$2:$M$1960,MATCH(1077,Engine!$C$2:$C$1960,0)))</f>
        <v/>
      </c>
      <c r="N1090" s="9">
        <f>IF(ISNA(MATCH(1077,Engine!$C$2:$C$1960,0)),"",INDEX('Compliance Database'!$N$2:$N$1960,MATCH(1077,Engine!$C$2:$C$1960,0)))</f>
        <v/>
      </c>
      <c r="O1090" s="9">
        <f>IF(ISNA(MATCH(1077,Engine!$C$2:$C$1960,0)),"",INDEX('Compliance Database'!$O$2:$O$1960,MATCH(1077,Engine!$C$2:$C$1960,0)))</f>
        <v/>
      </c>
      <c r="P1090" s="8">
        <f>IF(ISNA(MATCH(1077,Engine!$C$2:$C$1960,0)),"",HYPERLINK("#Acts!A"&amp;INDEX('Compliance Database'!$P$2:$P$1960,MATCH(1077,Engine!$C$2:$C$1960,0)),"Go to Act"))</f>
        <v/>
      </c>
    </row>
    <row r="1091" ht="158" customHeight="1">
      <c r="A1091" s="8">
        <f>IF(ISNA(MATCH(1078,Engine!$C$2:$C$1960,0)),"",INDEX('Compliance Database'!$A$2:$A$1960,MATCH(1078,Engine!$C$2:$C$1960,0)))</f>
        <v/>
      </c>
      <c r="B1091" s="8">
        <f>IF(ISNA(MATCH(1078,Engine!$C$2:$C$1960,0)),"",INDEX('Compliance Database'!$B$2:$B$1960,MATCH(1078,Engine!$C$2:$C$1960,0)))</f>
        <v/>
      </c>
      <c r="C1091" s="8">
        <f>IF(ISNA(MATCH(1078,Engine!$C$2:$C$1960,0)),"",INDEX('Compliance Database'!$C$2:$C$1960,MATCH(1078,Engine!$C$2:$C$1960,0)))</f>
        <v/>
      </c>
      <c r="D1091" s="9">
        <f>IF(ISNA(MATCH(1078,Engine!$C$2:$C$1960,0)),"",INDEX('Compliance Database'!$D$2:$D$1960,MATCH(1078,Engine!$C$2:$C$1960,0)))</f>
        <v/>
      </c>
      <c r="E1091" s="8">
        <f>IF(ISNA(MATCH(1078,Engine!$C$2:$C$1960,0)),"",INDEX('Compliance Database'!$E$2:$E$1960,MATCH(1078,Engine!$C$2:$C$1960,0)))</f>
        <v/>
      </c>
      <c r="F1091" s="8">
        <f>IF(ISNA(MATCH(1078,Engine!$C$2:$C$1960,0)),"",INDEX('Compliance Database'!$F$2:$F$1960,MATCH(1078,Engine!$C$2:$C$1960,0)))</f>
        <v/>
      </c>
      <c r="G1091" s="8">
        <f>IF(ISNA(MATCH(1078,Engine!$C$2:$C$1960,0)),"",INDEX('Compliance Database'!$G$2:$G$1960,MATCH(1078,Engine!$C$2:$C$1960,0)))</f>
        <v/>
      </c>
      <c r="H1091" s="9">
        <f>IF(ISNA(MATCH(1078,Engine!$C$2:$C$1960,0)),"",INDEX('Compliance Database'!$H$2:$H$1960,MATCH(1078,Engine!$C$2:$C$1960,0)))</f>
        <v/>
      </c>
      <c r="I1091" s="9">
        <f>IF(ISNA(MATCH(1078,Engine!$C$2:$C$1960,0)),"",INDEX('Compliance Database'!$I$2:$I$1960,MATCH(1078,Engine!$C$2:$C$1960,0)))</f>
        <v/>
      </c>
      <c r="J1091" s="8">
        <f>IF(ISNA(MATCH(1078,Engine!$C$2:$C$1960,0)),"",INDEX('Compliance Database'!$J$2:$J$1960,MATCH(1078,Engine!$C$2:$C$1960,0)))</f>
        <v/>
      </c>
      <c r="K1091" s="9">
        <f>IF(ISNA(MATCH(1078,Engine!$C$2:$C$1960,0)),"",INDEX('Compliance Database'!$K$2:$K$1960,MATCH(1078,Engine!$C$2:$C$1960,0)))</f>
        <v/>
      </c>
      <c r="L1091" s="9">
        <f>IF(ISNA(MATCH(1078,Engine!$C$2:$C$1960,0)),"",INDEX('Compliance Database'!$L$2:$L$1960,MATCH(1078,Engine!$C$2:$C$1960,0)))</f>
        <v/>
      </c>
      <c r="M1091" s="9">
        <f>IF(ISNA(MATCH(1078,Engine!$C$2:$C$1960,0)),"",INDEX('Compliance Database'!$M$2:$M$1960,MATCH(1078,Engine!$C$2:$C$1960,0)))</f>
        <v/>
      </c>
      <c r="N1091" s="9">
        <f>IF(ISNA(MATCH(1078,Engine!$C$2:$C$1960,0)),"",INDEX('Compliance Database'!$N$2:$N$1960,MATCH(1078,Engine!$C$2:$C$1960,0)))</f>
        <v/>
      </c>
      <c r="O1091" s="9">
        <f>IF(ISNA(MATCH(1078,Engine!$C$2:$C$1960,0)),"",INDEX('Compliance Database'!$O$2:$O$1960,MATCH(1078,Engine!$C$2:$C$1960,0)))</f>
        <v/>
      </c>
      <c r="P1091" s="8">
        <f>IF(ISNA(MATCH(1078,Engine!$C$2:$C$1960,0)),"",HYPERLINK("#Acts!A"&amp;INDEX('Compliance Database'!$P$2:$P$1960,MATCH(1078,Engine!$C$2:$C$1960,0)),"Go to Act"))</f>
        <v/>
      </c>
    </row>
    <row r="1092" ht="158" customHeight="1">
      <c r="A1092" s="8">
        <f>IF(ISNA(MATCH(1079,Engine!$C$2:$C$1960,0)),"",INDEX('Compliance Database'!$A$2:$A$1960,MATCH(1079,Engine!$C$2:$C$1960,0)))</f>
        <v/>
      </c>
      <c r="B1092" s="8">
        <f>IF(ISNA(MATCH(1079,Engine!$C$2:$C$1960,0)),"",INDEX('Compliance Database'!$B$2:$B$1960,MATCH(1079,Engine!$C$2:$C$1960,0)))</f>
        <v/>
      </c>
      <c r="C1092" s="8">
        <f>IF(ISNA(MATCH(1079,Engine!$C$2:$C$1960,0)),"",INDEX('Compliance Database'!$C$2:$C$1960,MATCH(1079,Engine!$C$2:$C$1960,0)))</f>
        <v/>
      </c>
      <c r="D1092" s="9">
        <f>IF(ISNA(MATCH(1079,Engine!$C$2:$C$1960,0)),"",INDEX('Compliance Database'!$D$2:$D$1960,MATCH(1079,Engine!$C$2:$C$1960,0)))</f>
        <v/>
      </c>
      <c r="E1092" s="8">
        <f>IF(ISNA(MATCH(1079,Engine!$C$2:$C$1960,0)),"",INDEX('Compliance Database'!$E$2:$E$1960,MATCH(1079,Engine!$C$2:$C$1960,0)))</f>
        <v/>
      </c>
      <c r="F1092" s="8">
        <f>IF(ISNA(MATCH(1079,Engine!$C$2:$C$1960,0)),"",INDEX('Compliance Database'!$F$2:$F$1960,MATCH(1079,Engine!$C$2:$C$1960,0)))</f>
        <v/>
      </c>
      <c r="G1092" s="8">
        <f>IF(ISNA(MATCH(1079,Engine!$C$2:$C$1960,0)),"",INDEX('Compliance Database'!$G$2:$G$1960,MATCH(1079,Engine!$C$2:$C$1960,0)))</f>
        <v/>
      </c>
      <c r="H1092" s="9">
        <f>IF(ISNA(MATCH(1079,Engine!$C$2:$C$1960,0)),"",INDEX('Compliance Database'!$H$2:$H$1960,MATCH(1079,Engine!$C$2:$C$1960,0)))</f>
        <v/>
      </c>
      <c r="I1092" s="9">
        <f>IF(ISNA(MATCH(1079,Engine!$C$2:$C$1960,0)),"",INDEX('Compliance Database'!$I$2:$I$1960,MATCH(1079,Engine!$C$2:$C$1960,0)))</f>
        <v/>
      </c>
      <c r="J1092" s="8">
        <f>IF(ISNA(MATCH(1079,Engine!$C$2:$C$1960,0)),"",INDEX('Compliance Database'!$J$2:$J$1960,MATCH(1079,Engine!$C$2:$C$1960,0)))</f>
        <v/>
      </c>
      <c r="K1092" s="9">
        <f>IF(ISNA(MATCH(1079,Engine!$C$2:$C$1960,0)),"",INDEX('Compliance Database'!$K$2:$K$1960,MATCH(1079,Engine!$C$2:$C$1960,0)))</f>
        <v/>
      </c>
      <c r="L1092" s="9">
        <f>IF(ISNA(MATCH(1079,Engine!$C$2:$C$1960,0)),"",INDEX('Compliance Database'!$L$2:$L$1960,MATCH(1079,Engine!$C$2:$C$1960,0)))</f>
        <v/>
      </c>
      <c r="M1092" s="9">
        <f>IF(ISNA(MATCH(1079,Engine!$C$2:$C$1960,0)),"",INDEX('Compliance Database'!$M$2:$M$1960,MATCH(1079,Engine!$C$2:$C$1960,0)))</f>
        <v/>
      </c>
      <c r="N1092" s="9">
        <f>IF(ISNA(MATCH(1079,Engine!$C$2:$C$1960,0)),"",INDEX('Compliance Database'!$N$2:$N$1960,MATCH(1079,Engine!$C$2:$C$1960,0)))</f>
        <v/>
      </c>
      <c r="O1092" s="9">
        <f>IF(ISNA(MATCH(1079,Engine!$C$2:$C$1960,0)),"",INDEX('Compliance Database'!$O$2:$O$1960,MATCH(1079,Engine!$C$2:$C$1960,0)))</f>
        <v/>
      </c>
      <c r="P1092" s="8">
        <f>IF(ISNA(MATCH(1079,Engine!$C$2:$C$1960,0)),"",HYPERLINK("#Acts!A"&amp;INDEX('Compliance Database'!$P$2:$P$1960,MATCH(1079,Engine!$C$2:$C$1960,0)),"Go to Act"))</f>
        <v/>
      </c>
    </row>
    <row r="1093" ht="158" customHeight="1">
      <c r="A1093" s="8">
        <f>IF(ISNA(MATCH(1080,Engine!$C$2:$C$1960,0)),"",INDEX('Compliance Database'!$A$2:$A$1960,MATCH(1080,Engine!$C$2:$C$1960,0)))</f>
        <v/>
      </c>
      <c r="B1093" s="8">
        <f>IF(ISNA(MATCH(1080,Engine!$C$2:$C$1960,0)),"",INDEX('Compliance Database'!$B$2:$B$1960,MATCH(1080,Engine!$C$2:$C$1960,0)))</f>
        <v/>
      </c>
      <c r="C1093" s="8">
        <f>IF(ISNA(MATCH(1080,Engine!$C$2:$C$1960,0)),"",INDEX('Compliance Database'!$C$2:$C$1960,MATCH(1080,Engine!$C$2:$C$1960,0)))</f>
        <v/>
      </c>
      <c r="D1093" s="9">
        <f>IF(ISNA(MATCH(1080,Engine!$C$2:$C$1960,0)),"",INDEX('Compliance Database'!$D$2:$D$1960,MATCH(1080,Engine!$C$2:$C$1960,0)))</f>
        <v/>
      </c>
      <c r="E1093" s="8">
        <f>IF(ISNA(MATCH(1080,Engine!$C$2:$C$1960,0)),"",INDEX('Compliance Database'!$E$2:$E$1960,MATCH(1080,Engine!$C$2:$C$1960,0)))</f>
        <v/>
      </c>
      <c r="F1093" s="8">
        <f>IF(ISNA(MATCH(1080,Engine!$C$2:$C$1960,0)),"",INDEX('Compliance Database'!$F$2:$F$1960,MATCH(1080,Engine!$C$2:$C$1960,0)))</f>
        <v/>
      </c>
      <c r="G1093" s="8">
        <f>IF(ISNA(MATCH(1080,Engine!$C$2:$C$1960,0)),"",INDEX('Compliance Database'!$G$2:$G$1960,MATCH(1080,Engine!$C$2:$C$1960,0)))</f>
        <v/>
      </c>
      <c r="H1093" s="9">
        <f>IF(ISNA(MATCH(1080,Engine!$C$2:$C$1960,0)),"",INDEX('Compliance Database'!$H$2:$H$1960,MATCH(1080,Engine!$C$2:$C$1960,0)))</f>
        <v/>
      </c>
      <c r="I1093" s="9">
        <f>IF(ISNA(MATCH(1080,Engine!$C$2:$C$1960,0)),"",INDEX('Compliance Database'!$I$2:$I$1960,MATCH(1080,Engine!$C$2:$C$1960,0)))</f>
        <v/>
      </c>
      <c r="J1093" s="8">
        <f>IF(ISNA(MATCH(1080,Engine!$C$2:$C$1960,0)),"",INDEX('Compliance Database'!$J$2:$J$1960,MATCH(1080,Engine!$C$2:$C$1960,0)))</f>
        <v/>
      </c>
      <c r="K1093" s="9">
        <f>IF(ISNA(MATCH(1080,Engine!$C$2:$C$1960,0)),"",INDEX('Compliance Database'!$K$2:$K$1960,MATCH(1080,Engine!$C$2:$C$1960,0)))</f>
        <v/>
      </c>
      <c r="L1093" s="9">
        <f>IF(ISNA(MATCH(1080,Engine!$C$2:$C$1960,0)),"",INDEX('Compliance Database'!$L$2:$L$1960,MATCH(1080,Engine!$C$2:$C$1960,0)))</f>
        <v/>
      </c>
      <c r="M1093" s="9">
        <f>IF(ISNA(MATCH(1080,Engine!$C$2:$C$1960,0)),"",INDEX('Compliance Database'!$M$2:$M$1960,MATCH(1080,Engine!$C$2:$C$1960,0)))</f>
        <v/>
      </c>
      <c r="N1093" s="9">
        <f>IF(ISNA(MATCH(1080,Engine!$C$2:$C$1960,0)),"",INDEX('Compliance Database'!$N$2:$N$1960,MATCH(1080,Engine!$C$2:$C$1960,0)))</f>
        <v/>
      </c>
      <c r="O1093" s="9">
        <f>IF(ISNA(MATCH(1080,Engine!$C$2:$C$1960,0)),"",INDEX('Compliance Database'!$O$2:$O$1960,MATCH(1080,Engine!$C$2:$C$1960,0)))</f>
        <v/>
      </c>
      <c r="P1093" s="8">
        <f>IF(ISNA(MATCH(1080,Engine!$C$2:$C$1960,0)),"",HYPERLINK("#Acts!A"&amp;INDEX('Compliance Database'!$P$2:$P$1960,MATCH(1080,Engine!$C$2:$C$1960,0)),"Go to Act"))</f>
        <v/>
      </c>
    </row>
    <row r="1094" ht="158" customHeight="1">
      <c r="A1094" s="8">
        <f>IF(ISNA(MATCH(1081,Engine!$C$2:$C$1960,0)),"",INDEX('Compliance Database'!$A$2:$A$1960,MATCH(1081,Engine!$C$2:$C$1960,0)))</f>
        <v/>
      </c>
      <c r="B1094" s="8">
        <f>IF(ISNA(MATCH(1081,Engine!$C$2:$C$1960,0)),"",INDEX('Compliance Database'!$B$2:$B$1960,MATCH(1081,Engine!$C$2:$C$1960,0)))</f>
        <v/>
      </c>
      <c r="C1094" s="8">
        <f>IF(ISNA(MATCH(1081,Engine!$C$2:$C$1960,0)),"",INDEX('Compliance Database'!$C$2:$C$1960,MATCH(1081,Engine!$C$2:$C$1960,0)))</f>
        <v/>
      </c>
      <c r="D1094" s="9">
        <f>IF(ISNA(MATCH(1081,Engine!$C$2:$C$1960,0)),"",INDEX('Compliance Database'!$D$2:$D$1960,MATCH(1081,Engine!$C$2:$C$1960,0)))</f>
        <v/>
      </c>
      <c r="E1094" s="8">
        <f>IF(ISNA(MATCH(1081,Engine!$C$2:$C$1960,0)),"",INDEX('Compliance Database'!$E$2:$E$1960,MATCH(1081,Engine!$C$2:$C$1960,0)))</f>
        <v/>
      </c>
      <c r="F1094" s="8">
        <f>IF(ISNA(MATCH(1081,Engine!$C$2:$C$1960,0)),"",INDEX('Compliance Database'!$F$2:$F$1960,MATCH(1081,Engine!$C$2:$C$1960,0)))</f>
        <v/>
      </c>
      <c r="G1094" s="8">
        <f>IF(ISNA(MATCH(1081,Engine!$C$2:$C$1960,0)),"",INDEX('Compliance Database'!$G$2:$G$1960,MATCH(1081,Engine!$C$2:$C$1960,0)))</f>
        <v/>
      </c>
      <c r="H1094" s="9">
        <f>IF(ISNA(MATCH(1081,Engine!$C$2:$C$1960,0)),"",INDEX('Compliance Database'!$H$2:$H$1960,MATCH(1081,Engine!$C$2:$C$1960,0)))</f>
        <v/>
      </c>
      <c r="I1094" s="9">
        <f>IF(ISNA(MATCH(1081,Engine!$C$2:$C$1960,0)),"",INDEX('Compliance Database'!$I$2:$I$1960,MATCH(1081,Engine!$C$2:$C$1960,0)))</f>
        <v/>
      </c>
      <c r="J1094" s="8">
        <f>IF(ISNA(MATCH(1081,Engine!$C$2:$C$1960,0)),"",INDEX('Compliance Database'!$J$2:$J$1960,MATCH(1081,Engine!$C$2:$C$1960,0)))</f>
        <v/>
      </c>
      <c r="K1094" s="9">
        <f>IF(ISNA(MATCH(1081,Engine!$C$2:$C$1960,0)),"",INDEX('Compliance Database'!$K$2:$K$1960,MATCH(1081,Engine!$C$2:$C$1960,0)))</f>
        <v/>
      </c>
      <c r="L1094" s="9">
        <f>IF(ISNA(MATCH(1081,Engine!$C$2:$C$1960,0)),"",INDEX('Compliance Database'!$L$2:$L$1960,MATCH(1081,Engine!$C$2:$C$1960,0)))</f>
        <v/>
      </c>
      <c r="M1094" s="9">
        <f>IF(ISNA(MATCH(1081,Engine!$C$2:$C$1960,0)),"",INDEX('Compliance Database'!$M$2:$M$1960,MATCH(1081,Engine!$C$2:$C$1960,0)))</f>
        <v/>
      </c>
      <c r="N1094" s="9">
        <f>IF(ISNA(MATCH(1081,Engine!$C$2:$C$1960,0)),"",INDEX('Compliance Database'!$N$2:$N$1960,MATCH(1081,Engine!$C$2:$C$1960,0)))</f>
        <v/>
      </c>
      <c r="O1094" s="9">
        <f>IF(ISNA(MATCH(1081,Engine!$C$2:$C$1960,0)),"",INDEX('Compliance Database'!$O$2:$O$1960,MATCH(1081,Engine!$C$2:$C$1960,0)))</f>
        <v/>
      </c>
      <c r="P1094" s="8">
        <f>IF(ISNA(MATCH(1081,Engine!$C$2:$C$1960,0)),"",HYPERLINK("#Acts!A"&amp;INDEX('Compliance Database'!$P$2:$P$1960,MATCH(1081,Engine!$C$2:$C$1960,0)),"Go to Act"))</f>
        <v/>
      </c>
    </row>
    <row r="1095" ht="158" customHeight="1">
      <c r="A1095" s="8">
        <f>IF(ISNA(MATCH(1082,Engine!$C$2:$C$1960,0)),"",INDEX('Compliance Database'!$A$2:$A$1960,MATCH(1082,Engine!$C$2:$C$1960,0)))</f>
        <v/>
      </c>
      <c r="B1095" s="8">
        <f>IF(ISNA(MATCH(1082,Engine!$C$2:$C$1960,0)),"",INDEX('Compliance Database'!$B$2:$B$1960,MATCH(1082,Engine!$C$2:$C$1960,0)))</f>
        <v/>
      </c>
      <c r="C1095" s="8">
        <f>IF(ISNA(MATCH(1082,Engine!$C$2:$C$1960,0)),"",INDEX('Compliance Database'!$C$2:$C$1960,MATCH(1082,Engine!$C$2:$C$1960,0)))</f>
        <v/>
      </c>
      <c r="D1095" s="9">
        <f>IF(ISNA(MATCH(1082,Engine!$C$2:$C$1960,0)),"",INDEX('Compliance Database'!$D$2:$D$1960,MATCH(1082,Engine!$C$2:$C$1960,0)))</f>
        <v/>
      </c>
      <c r="E1095" s="8">
        <f>IF(ISNA(MATCH(1082,Engine!$C$2:$C$1960,0)),"",INDEX('Compliance Database'!$E$2:$E$1960,MATCH(1082,Engine!$C$2:$C$1960,0)))</f>
        <v/>
      </c>
      <c r="F1095" s="8">
        <f>IF(ISNA(MATCH(1082,Engine!$C$2:$C$1960,0)),"",INDEX('Compliance Database'!$F$2:$F$1960,MATCH(1082,Engine!$C$2:$C$1960,0)))</f>
        <v/>
      </c>
      <c r="G1095" s="8">
        <f>IF(ISNA(MATCH(1082,Engine!$C$2:$C$1960,0)),"",INDEX('Compliance Database'!$G$2:$G$1960,MATCH(1082,Engine!$C$2:$C$1960,0)))</f>
        <v/>
      </c>
      <c r="H1095" s="9">
        <f>IF(ISNA(MATCH(1082,Engine!$C$2:$C$1960,0)),"",INDEX('Compliance Database'!$H$2:$H$1960,MATCH(1082,Engine!$C$2:$C$1960,0)))</f>
        <v/>
      </c>
      <c r="I1095" s="9">
        <f>IF(ISNA(MATCH(1082,Engine!$C$2:$C$1960,0)),"",INDEX('Compliance Database'!$I$2:$I$1960,MATCH(1082,Engine!$C$2:$C$1960,0)))</f>
        <v/>
      </c>
      <c r="J1095" s="8">
        <f>IF(ISNA(MATCH(1082,Engine!$C$2:$C$1960,0)),"",INDEX('Compliance Database'!$J$2:$J$1960,MATCH(1082,Engine!$C$2:$C$1960,0)))</f>
        <v/>
      </c>
      <c r="K1095" s="9">
        <f>IF(ISNA(MATCH(1082,Engine!$C$2:$C$1960,0)),"",INDEX('Compliance Database'!$K$2:$K$1960,MATCH(1082,Engine!$C$2:$C$1960,0)))</f>
        <v/>
      </c>
      <c r="L1095" s="9">
        <f>IF(ISNA(MATCH(1082,Engine!$C$2:$C$1960,0)),"",INDEX('Compliance Database'!$L$2:$L$1960,MATCH(1082,Engine!$C$2:$C$1960,0)))</f>
        <v/>
      </c>
      <c r="M1095" s="9">
        <f>IF(ISNA(MATCH(1082,Engine!$C$2:$C$1960,0)),"",INDEX('Compliance Database'!$M$2:$M$1960,MATCH(1082,Engine!$C$2:$C$1960,0)))</f>
        <v/>
      </c>
      <c r="N1095" s="9">
        <f>IF(ISNA(MATCH(1082,Engine!$C$2:$C$1960,0)),"",INDEX('Compliance Database'!$N$2:$N$1960,MATCH(1082,Engine!$C$2:$C$1960,0)))</f>
        <v/>
      </c>
      <c r="O1095" s="9">
        <f>IF(ISNA(MATCH(1082,Engine!$C$2:$C$1960,0)),"",INDEX('Compliance Database'!$O$2:$O$1960,MATCH(1082,Engine!$C$2:$C$1960,0)))</f>
        <v/>
      </c>
      <c r="P1095" s="8">
        <f>IF(ISNA(MATCH(1082,Engine!$C$2:$C$1960,0)),"",HYPERLINK("#Acts!A"&amp;INDEX('Compliance Database'!$P$2:$P$1960,MATCH(1082,Engine!$C$2:$C$1960,0)),"Go to Act"))</f>
        <v/>
      </c>
    </row>
    <row r="1096" ht="158" customHeight="1">
      <c r="A1096" s="8">
        <f>IF(ISNA(MATCH(1083,Engine!$C$2:$C$1960,0)),"",INDEX('Compliance Database'!$A$2:$A$1960,MATCH(1083,Engine!$C$2:$C$1960,0)))</f>
        <v/>
      </c>
      <c r="B1096" s="8">
        <f>IF(ISNA(MATCH(1083,Engine!$C$2:$C$1960,0)),"",INDEX('Compliance Database'!$B$2:$B$1960,MATCH(1083,Engine!$C$2:$C$1960,0)))</f>
        <v/>
      </c>
      <c r="C1096" s="8">
        <f>IF(ISNA(MATCH(1083,Engine!$C$2:$C$1960,0)),"",INDEX('Compliance Database'!$C$2:$C$1960,MATCH(1083,Engine!$C$2:$C$1960,0)))</f>
        <v/>
      </c>
      <c r="D1096" s="9">
        <f>IF(ISNA(MATCH(1083,Engine!$C$2:$C$1960,0)),"",INDEX('Compliance Database'!$D$2:$D$1960,MATCH(1083,Engine!$C$2:$C$1960,0)))</f>
        <v/>
      </c>
      <c r="E1096" s="8">
        <f>IF(ISNA(MATCH(1083,Engine!$C$2:$C$1960,0)),"",INDEX('Compliance Database'!$E$2:$E$1960,MATCH(1083,Engine!$C$2:$C$1960,0)))</f>
        <v/>
      </c>
      <c r="F1096" s="8">
        <f>IF(ISNA(MATCH(1083,Engine!$C$2:$C$1960,0)),"",INDEX('Compliance Database'!$F$2:$F$1960,MATCH(1083,Engine!$C$2:$C$1960,0)))</f>
        <v/>
      </c>
      <c r="G1096" s="8">
        <f>IF(ISNA(MATCH(1083,Engine!$C$2:$C$1960,0)),"",INDEX('Compliance Database'!$G$2:$G$1960,MATCH(1083,Engine!$C$2:$C$1960,0)))</f>
        <v/>
      </c>
      <c r="H1096" s="9">
        <f>IF(ISNA(MATCH(1083,Engine!$C$2:$C$1960,0)),"",INDEX('Compliance Database'!$H$2:$H$1960,MATCH(1083,Engine!$C$2:$C$1960,0)))</f>
        <v/>
      </c>
      <c r="I1096" s="9">
        <f>IF(ISNA(MATCH(1083,Engine!$C$2:$C$1960,0)),"",INDEX('Compliance Database'!$I$2:$I$1960,MATCH(1083,Engine!$C$2:$C$1960,0)))</f>
        <v/>
      </c>
      <c r="J1096" s="8">
        <f>IF(ISNA(MATCH(1083,Engine!$C$2:$C$1960,0)),"",INDEX('Compliance Database'!$J$2:$J$1960,MATCH(1083,Engine!$C$2:$C$1960,0)))</f>
        <v/>
      </c>
      <c r="K1096" s="9">
        <f>IF(ISNA(MATCH(1083,Engine!$C$2:$C$1960,0)),"",INDEX('Compliance Database'!$K$2:$K$1960,MATCH(1083,Engine!$C$2:$C$1960,0)))</f>
        <v/>
      </c>
      <c r="L1096" s="9">
        <f>IF(ISNA(MATCH(1083,Engine!$C$2:$C$1960,0)),"",INDEX('Compliance Database'!$L$2:$L$1960,MATCH(1083,Engine!$C$2:$C$1960,0)))</f>
        <v/>
      </c>
      <c r="M1096" s="9">
        <f>IF(ISNA(MATCH(1083,Engine!$C$2:$C$1960,0)),"",INDEX('Compliance Database'!$M$2:$M$1960,MATCH(1083,Engine!$C$2:$C$1960,0)))</f>
        <v/>
      </c>
      <c r="N1096" s="9">
        <f>IF(ISNA(MATCH(1083,Engine!$C$2:$C$1960,0)),"",INDEX('Compliance Database'!$N$2:$N$1960,MATCH(1083,Engine!$C$2:$C$1960,0)))</f>
        <v/>
      </c>
      <c r="O1096" s="9">
        <f>IF(ISNA(MATCH(1083,Engine!$C$2:$C$1960,0)),"",INDEX('Compliance Database'!$O$2:$O$1960,MATCH(1083,Engine!$C$2:$C$1960,0)))</f>
        <v/>
      </c>
      <c r="P1096" s="8">
        <f>IF(ISNA(MATCH(1083,Engine!$C$2:$C$1960,0)),"",HYPERLINK("#Acts!A"&amp;INDEX('Compliance Database'!$P$2:$P$1960,MATCH(1083,Engine!$C$2:$C$1960,0)),"Go to Act"))</f>
        <v/>
      </c>
    </row>
    <row r="1097" ht="158" customHeight="1">
      <c r="A1097" s="8">
        <f>IF(ISNA(MATCH(1084,Engine!$C$2:$C$1960,0)),"",INDEX('Compliance Database'!$A$2:$A$1960,MATCH(1084,Engine!$C$2:$C$1960,0)))</f>
        <v/>
      </c>
      <c r="B1097" s="8">
        <f>IF(ISNA(MATCH(1084,Engine!$C$2:$C$1960,0)),"",INDEX('Compliance Database'!$B$2:$B$1960,MATCH(1084,Engine!$C$2:$C$1960,0)))</f>
        <v/>
      </c>
      <c r="C1097" s="8">
        <f>IF(ISNA(MATCH(1084,Engine!$C$2:$C$1960,0)),"",INDEX('Compliance Database'!$C$2:$C$1960,MATCH(1084,Engine!$C$2:$C$1960,0)))</f>
        <v/>
      </c>
      <c r="D1097" s="9">
        <f>IF(ISNA(MATCH(1084,Engine!$C$2:$C$1960,0)),"",INDEX('Compliance Database'!$D$2:$D$1960,MATCH(1084,Engine!$C$2:$C$1960,0)))</f>
        <v/>
      </c>
      <c r="E1097" s="8">
        <f>IF(ISNA(MATCH(1084,Engine!$C$2:$C$1960,0)),"",INDEX('Compliance Database'!$E$2:$E$1960,MATCH(1084,Engine!$C$2:$C$1960,0)))</f>
        <v/>
      </c>
      <c r="F1097" s="8">
        <f>IF(ISNA(MATCH(1084,Engine!$C$2:$C$1960,0)),"",INDEX('Compliance Database'!$F$2:$F$1960,MATCH(1084,Engine!$C$2:$C$1960,0)))</f>
        <v/>
      </c>
      <c r="G1097" s="8">
        <f>IF(ISNA(MATCH(1084,Engine!$C$2:$C$1960,0)),"",INDEX('Compliance Database'!$G$2:$G$1960,MATCH(1084,Engine!$C$2:$C$1960,0)))</f>
        <v/>
      </c>
      <c r="H1097" s="9">
        <f>IF(ISNA(MATCH(1084,Engine!$C$2:$C$1960,0)),"",INDEX('Compliance Database'!$H$2:$H$1960,MATCH(1084,Engine!$C$2:$C$1960,0)))</f>
        <v/>
      </c>
      <c r="I1097" s="9">
        <f>IF(ISNA(MATCH(1084,Engine!$C$2:$C$1960,0)),"",INDEX('Compliance Database'!$I$2:$I$1960,MATCH(1084,Engine!$C$2:$C$1960,0)))</f>
        <v/>
      </c>
      <c r="J1097" s="8">
        <f>IF(ISNA(MATCH(1084,Engine!$C$2:$C$1960,0)),"",INDEX('Compliance Database'!$J$2:$J$1960,MATCH(1084,Engine!$C$2:$C$1960,0)))</f>
        <v/>
      </c>
      <c r="K1097" s="9">
        <f>IF(ISNA(MATCH(1084,Engine!$C$2:$C$1960,0)),"",INDEX('Compliance Database'!$K$2:$K$1960,MATCH(1084,Engine!$C$2:$C$1960,0)))</f>
        <v/>
      </c>
      <c r="L1097" s="9">
        <f>IF(ISNA(MATCH(1084,Engine!$C$2:$C$1960,0)),"",INDEX('Compliance Database'!$L$2:$L$1960,MATCH(1084,Engine!$C$2:$C$1960,0)))</f>
        <v/>
      </c>
      <c r="M1097" s="9">
        <f>IF(ISNA(MATCH(1084,Engine!$C$2:$C$1960,0)),"",INDEX('Compliance Database'!$M$2:$M$1960,MATCH(1084,Engine!$C$2:$C$1960,0)))</f>
        <v/>
      </c>
      <c r="N1097" s="9">
        <f>IF(ISNA(MATCH(1084,Engine!$C$2:$C$1960,0)),"",INDEX('Compliance Database'!$N$2:$N$1960,MATCH(1084,Engine!$C$2:$C$1960,0)))</f>
        <v/>
      </c>
      <c r="O1097" s="9">
        <f>IF(ISNA(MATCH(1084,Engine!$C$2:$C$1960,0)),"",INDEX('Compliance Database'!$O$2:$O$1960,MATCH(1084,Engine!$C$2:$C$1960,0)))</f>
        <v/>
      </c>
      <c r="P1097" s="8">
        <f>IF(ISNA(MATCH(1084,Engine!$C$2:$C$1960,0)),"",HYPERLINK("#Acts!A"&amp;INDEX('Compliance Database'!$P$2:$P$1960,MATCH(1084,Engine!$C$2:$C$1960,0)),"Go to Act"))</f>
        <v/>
      </c>
    </row>
    <row r="1098" ht="158" customHeight="1">
      <c r="A1098" s="8">
        <f>IF(ISNA(MATCH(1085,Engine!$C$2:$C$1960,0)),"",INDEX('Compliance Database'!$A$2:$A$1960,MATCH(1085,Engine!$C$2:$C$1960,0)))</f>
        <v/>
      </c>
      <c r="B1098" s="8">
        <f>IF(ISNA(MATCH(1085,Engine!$C$2:$C$1960,0)),"",INDEX('Compliance Database'!$B$2:$B$1960,MATCH(1085,Engine!$C$2:$C$1960,0)))</f>
        <v/>
      </c>
      <c r="C1098" s="8">
        <f>IF(ISNA(MATCH(1085,Engine!$C$2:$C$1960,0)),"",INDEX('Compliance Database'!$C$2:$C$1960,MATCH(1085,Engine!$C$2:$C$1960,0)))</f>
        <v/>
      </c>
      <c r="D1098" s="9">
        <f>IF(ISNA(MATCH(1085,Engine!$C$2:$C$1960,0)),"",INDEX('Compliance Database'!$D$2:$D$1960,MATCH(1085,Engine!$C$2:$C$1960,0)))</f>
        <v/>
      </c>
      <c r="E1098" s="8">
        <f>IF(ISNA(MATCH(1085,Engine!$C$2:$C$1960,0)),"",INDEX('Compliance Database'!$E$2:$E$1960,MATCH(1085,Engine!$C$2:$C$1960,0)))</f>
        <v/>
      </c>
      <c r="F1098" s="8">
        <f>IF(ISNA(MATCH(1085,Engine!$C$2:$C$1960,0)),"",INDEX('Compliance Database'!$F$2:$F$1960,MATCH(1085,Engine!$C$2:$C$1960,0)))</f>
        <v/>
      </c>
      <c r="G1098" s="8">
        <f>IF(ISNA(MATCH(1085,Engine!$C$2:$C$1960,0)),"",INDEX('Compliance Database'!$G$2:$G$1960,MATCH(1085,Engine!$C$2:$C$1960,0)))</f>
        <v/>
      </c>
      <c r="H1098" s="9">
        <f>IF(ISNA(MATCH(1085,Engine!$C$2:$C$1960,0)),"",INDEX('Compliance Database'!$H$2:$H$1960,MATCH(1085,Engine!$C$2:$C$1960,0)))</f>
        <v/>
      </c>
      <c r="I1098" s="9">
        <f>IF(ISNA(MATCH(1085,Engine!$C$2:$C$1960,0)),"",INDEX('Compliance Database'!$I$2:$I$1960,MATCH(1085,Engine!$C$2:$C$1960,0)))</f>
        <v/>
      </c>
      <c r="J1098" s="8">
        <f>IF(ISNA(MATCH(1085,Engine!$C$2:$C$1960,0)),"",INDEX('Compliance Database'!$J$2:$J$1960,MATCH(1085,Engine!$C$2:$C$1960,0)))</f>
        <v/>
      </c>
      <c r="K1098" s="9">
        <f>IF(ISNA(MATCH(1085,Engine!$C$2:$C$1960,0)),"",INDEX('Compliance Database'!$K$2:$K$1960,MATCH(1085,Engine!$C$2:$C$1960,0)))</f>
        <v/>
      </c>
      <c r="L1098" s="9">
        <f>IF(ISNA(MATCH(1085,Engine!$C$2:$C$1960,0)),"",INDEX('Compliance Database'!$L$2:$L$1960,MATCH(1085,Engine!$C$2:$C$1960,0)))</f>
        <v/>
      </c>
      <c r="M1098" s="9">
        <f>IF(ISNA(MATCH(1085,Engine!$C$2:$C$1960,0)),"",INDEX('Compliance Database'!$M$2:$M$1960,MATCH(1085,Engine!$C$2:$C$1960,0)))</f>
        <v/>
      </c>
      <c r="N1098" s="9">
        <f>IF(ISNA(MATCH(1085,Engine!$C$2:$C$1960,0)),"",INDEX('Compliance Database'!$N$2:$N$1960,MATCH(1085,Engine!$C$2:$C$1960,0)))</f>
        <v/>
      </c>
      <c r="O1098" s="9">
        <f>IF(ISNA(MATCH(1085,Engine!$C$2:$C$1960,0)),"",INDEX('Compliance Database'!$O$2:$O$1960,MATCH(1085,Engine!$C$2:$C$1960,0)))</f>
        <v/>
      </c>
      <c r="P1098" s="8">
        <f>IF(ISNA(MATCH(1085,Engine!$C$2:$C$1960,0)),"",HYPERLINK("#Acts!A"&amp;INDEX('Compliance Database'!$P$2:$P$1960,MATCH(1085,Engine!$C$2:$C$1960,0)),"Go to Act"))</f>
        <v/>
      </c>
    </row>
    <row r="1099" ht="158" customHeight="1">
      <c r="A1099" s="8">
        <f>IF(ISNA(MATCH(1086,Engine!$C$2:$C$1960,0)),"",INDEX('Compliance Database'!$A$2:$A$1960,MATCH(1086,Engine!$C$2:$C$1960,0)))</f>
        <v/>
      </c>
      <c r="B1099" s="8">
        <f>IF(ISNA(MATCH(1086,Engine!$C$2:$C$1960,0)),"",INDEX('Compliance Database'!$B$2:$B$1960,MATCH(1086,Engine!$C$2:$C$1960,0)))</f>
        <v/>
      </c>
      <c r="C1099" s="8">
        <f>IF(ISNA(MATCH(1086,Engine!$C$2:$C$1960,0)),"",INDEX('Compliance Database'!$C$2:$C$1960,MATCH(1086,Engine!$C$2:$C$1960,0)))</f>
        <v/>
      </c>
      <c r="D1099" s="9">
        <f>IF(ISNA(MATCH(1086,Engine!$C$2:$C$1960,0)),"",INDEX('Compliance Database'!$D$2:$D$1960,MATCH(1086,Engine!$C$2:$C$1960,0)))</f>
        <v/>
      </c>
      <c r="E1099" s="8">
        <f>IF(ISNA(MATCH(1086,Engine!$C$2:$C$1960,0)),"",INDEX('Compliance Database'!$E$2:$E$1960,MATCH(1086,Engine!$C$2:$C$1960,0)))</f>
        <v/>
      </c>
      <c r="F1099" s="8">
        <f>IF(ISNA(MATCH(1086,Engine!$C$2:$C$1960,0)),"",INDEX('Compliance Database'!$F$2:$F$1960,MATCH(1086,Engine!$C$2:$C$1960,0)))</f>
        <v/>
      </c>
      <c r="G1099" s="8">
        <f>IF(ISNA(MATCH(1086,Engine!$C$2:$C$1960,0)),"",INDEX('Compliance Database'!$G$2:$G$1960,MATCH(1086,Engine!$C$2:$C$1960,0)))</f>
        <v/>
      </c>
      <c r="H1099" s="9">
        <f>IF(ISNA(MATCH(1086,Engine!$C$2:$C$1960,0)),"",INDEX('Compliance Database'!$H$2:$H$1960,MATCH(1086,Engine!$C$2:$C$1960,0)))</f>
        <v/>
      </c>
      <c r="I1099" s="9">
        <f>IF(ISNA(MATCH(1086,Engine!$C$2:$C$1960,0)),"",INDEX('Compliance Database'!$I$2:$I$1960,MATCH(1086,Engine!$C$2:$C$1960,0)))</f>
        <v/>
      </c>
      <c r="J1099" s="8">
        <f>IF(ISNA(MATCH(1086,Engine!$C$2:$C$1960,0)),"",INDEX('Compliance Database'!$J$2:$J$1960,MATCH(1086,Engine!$C$2:$C$1960,0)))</f>
        <v/>
      </c>
      <c r="K1099" s="9">
        <f>IF(ISNA(MATCH(1086,Engine!$C$2:$C$1960,0)),"",INDEX('Compliance Database'!$K$2:$K$1960,MATCH(1086,Engine!$C$2:$C$1960,0)))</f>
        <v/>
      </c>
      <c r="L1099" s="9">
        <f>IF(ISNA(MATCH(1086,Engine!$C$2:$C$1960,0)),"",INDEX('Compliance Database'!$L$2:$L$1960,MATCH(1086,Engine!$C$2:$C$1960,0)))</f>
        <v/>
      </c>
      <c r="M1099" s="9">
        <f>IF(ISNA(MATCH(1086,Engine!$C$2:$C$1960,0)),"",INDEX('Compliance Database'!$M$2:$M$1960,MATCH(1086,Engine!$C$2:$C$1960,0)))</f>
        <v/>
      </c>
      <c r="N1099" s="9">
        <f>IF(ISNA(MATCH(1086,Engine!$C$2:$C$1960,0)),"",INDEX('Compliance Database'!$N$2:$N$1960,MATCH(1086,Engine!$C$2:$C$1960,0)))</f>
        <v/>
      </c>
      <c r="O1099" s="9">
        <f>IF(ISNA(MATCH(1086,Engine!$C$2:$C$1960,0)),"",INDEX('Compliance Database'!$O$2:$O$1960,MATCH(1086,Engine!$C$2:$C$1960,0)))</f>
        <v/>
      </c>
      <c r="P1099" s="8">
        <f>IF(ISNA(MATCH(1086,Engine!$C$2:$C$1960,0)),"",HYPERLINK("#Acts!A"&amp;INDEX('Compliance Database'!$P$2:$P$1960,MATCH(1086,Engine!$C$2:$C$1960,0)),"Go to Act"))</f>
        <v/>
      </c>
    </row>
    <row r="1100" ht="158" customHeight="1">
      <c r="A1100" s="8">
        <f>IF(ISNA(MATCH(1087,Engine!$C$2:$C$1960,0)),"",INDEX('Compliance Database'!$A$2:$A$1960,MATCH(1087,Engine!$C$2:$C$1960,0)))</f>
        <v/>
      </c>
      <c r="B1100" s="8">
        <f>IF(ISNA(MATCH(1087,Engine!$C$2:$C$1960,0)),"",INDEX('Compliance Database'!$B$2:$B$1960,MATCH(1087,Engine!$C$2:$C$1960,0)))</f>
        <v/>
      </c>
      <c r="C1100" s="8">
        <f>IF(ISNA(MATCH(1087,Engine!$C$2:$C$1960,0)),"",INDEX('Compliance Database'!$C$2:$C$1960,MATCH(1087,Engine!$C$2:$C$1960,0)))</f>
        <v/>
      </c>
      <c r="D1100" s="9">
        <f>IF(ISNA(MATCH(1087,Engine!$C$2:$C$1960,0)),"",INDEX('Compliance Database'!$D$2:$D$1960,MATCH(1087,Engine!$C$2:$C$1960,0)))</f>
        <v/>
      </c>
      <c r="E1100" s="8">
        <f>IF(ISNA(MATCH(1087,Engine!$C$2:$C$1960,0)),"",INDEX('Compliance Database'!$E$2:$E$1960,MATCH(1087,Engine!$C$2:$C$1960,0)))</f>
        <v/>
      </c>
      <c r="F1100" s="8">
        <f>IF(ISNA(MATCH(1087,Engine!$C$2:$C$1960,0)),"",INDEX('Compliance Database'!$F$2:$F$1960,MATCH(1087,Engine!$C$2:$C$1960,0)))</f>
        <v/>
      </c>
      <c r="G1100" s="8">
        <f>IF(ISNA(MATCH(1087,Engine!$C$2:$C$1960,0)),"",INDEX('Compliance Database'!$G$2:$G$1960,MATCH(1087,Engine!$C$2:$C$1960,0)))</f>
        <v/>
      </c>
      <c r="H1100" s="9">
        <f>IF(ISNA(MATCH(1087,Engine!$C$2:$C$1960,0)),"",INDEX('Compliance Database'!$H$2:$H$1960,MATCH(1087,Engine!$C$2:$C$1960,0)))</f>
        <v/>
      </c>
      <c r="I1100" s="9">
        <f>IF(ISNA(MATCH(1087,Engine!$C$2:$C$1960,0)),"",INDEX('Compliance Database'!$I$2:$I$1960,MATCH(1087,Engine!$C$2:$C$1960,0)))</f>
        <v/>
      </c>
      <c r="J1100" s="8">
        <f>IF(ISNA(MATCH(1087,Engine!$C$2:$C$1960,0)),"",INDEX('Compliance Database'!$J$2:$J$1960,MATCH(1087,Engine!$C$2:$C$1960,0)))</f>
        <v/>
      </c>
      <c r="K1100" s="9">
        <f>IF(ISNA(MATCH(1087,Engine!$C$2:$C$1960,0)),"",INDEX('Compliance Database'!$K$2:$K$1960,MATCH(1087,Engine!$C$2:$C$1960,0)))</f>
        <v/>
      </c>
      <c r="L1100" s="9">
        <f>IF(ISNA(MATCH(1087,Engine!$C$2:$C$1960,0)),"",INDEX('Compliance Database'!$L$2:$L$1960,MATCH(1087,Engine!$C$2:$C$1960,0)))</f>
        <v/>
      </c>
      <c r="M1100" s="9">
        <f>IF(ISNA(MATCH(1087,Engine!$C$2:$C$1960,0)),"",INDEX('Compliance Database'!$M$2:$M$1960,MATCH(1087,Engine!$C$2:$C$1960,0)))</f>
        <v/>
      </c>
      <c r="N1100" s="9">
        <f>IF(ISNA(MATCH(1087,Engine!$C$2:$C$1960,0)),"",INDEX('Compliance Database'!$N$2:$N$1960,MATCH(1087,Engine!$C$2:$C$1960,0)))</f>
        <v/>
      </c>
      <c r="O1100" s="9">
        <f>IF(ISNA(MATCH(1087,Engine!$C$2:$C$1960,0)),"",INDEX('Compliance Database'!$O$2:$O$1960,MATCH(1087,Engine!$C$2:$C$1960,0)))</f>
        <v/>
      </c>
      <c r="P1100" s="8">
        <f>IF(ISNA(MATCH(1087,Engine!$C$2:$C$1960,0)),"",HYPERLINK("#Acts!A"&amp;INDEX('Compliance Database'!$P$2:$P$1960,MATCH(1087,Engine!$C$2:$C$1960,0)),"Go to Act"))</f>
        <v/>
      </c>
    </row>
    <row r="1101" ht="158" customHeight="1">
      <c r="A1101" s="8">
        <f>IF(ISNA(MATCH(1088,Engine!$C$2:$C$1960,0)),"",INDEX('Compliance Database'!$A$2:$A$1960,MATCH(1088,Engine!$C$2:$C$1960,0)))</f>
        <v/>
      </c>
      <c r="B1101" s="8">
        <f>IF(ISNA(MATCH(1088,Engine!$C$2:$C$1960,0)),"",INDEX('Compliance Database'!$B$2:$B$1960,MATCH(1088,Engine!$C$2:$C$1960,0)))</f>
        <v/>
      </c>
      <c r="C1101" s="8">
        <f>IF(ISNA(MATCH(1088,Engine!$C$2:$C$1960,0)),"",INDEX('Compliance Database'!$C$2:$C$1960,MATCH(1088,Engine!$C$2:$C$1960,0)))</f>
        <v/>
      </c>
      <c r="D1101" s="9">
        <f>IF(ISNA(MATCH(1088,Engine!$C$2:$C$1960,0)),"",INDEX('Compliance Database'!$D$2:$D$1960,MATCH(1088,Engine!$C$2:$C$1960,0)))</f>
        <v/>
      </c>
      <c r="E1101" s="8">
        <f>IF(ISNA(MATCH(1088,Engine!$C$2:$C$1960,0)),"",INDEX('Compliance Database'!$E$2:$E$1960,MATCH(1088,Engine!$C$2:$C$1960,0)))</f>
        <v/>
      </c>
      <c r="F1101" s="8">
        <f>IF(ISNA(MATCH(1088,Engine!$C$2:$C$1960,0)),"",INDEX('Compliance Database'!$F$2:$F$1960,MATCH(1088,Engine!$C$2:$C$1960,0)))</f>
        <v/>
      </c>
      <c r="G1101" s="8">
        <f>IF(ISNA(MATCH(1088,Engine!$C$2:$C$1960,0)),"",INDEX('Compliance Database'!$G$2:$G$1960,MATCH(1088,Engine!$C$2:$C$1960,0)))</f>
        <v/>
      </c>
      <c r="H1101" s="9">
        <f>IF(ISNA(MATCH(1088,Engine!$C$2:$C$1960,0)),"",INDEX('Compliance Database'!$H$2:$H$1960,MATCH(1088,Engine!$C$2:$C$1960,0)))</f>
        <v/>
      </c>
      <c r="I1101" s="9">
        <f>IF(ISNA(MATCH(1088,Engine!$C$2:$C$1960,0)),"",INDEX('Compliance Database'!$I$2:$I$1960,MATCH(1088,Engine!$C$2:$C$1960,0)))</f>
        <v/>
      </c>
      <c r="J1101" s="8">
        <f>IF(ISNA(MATCH(1088,Engine!$C$2:$C$1960,0)),"",INDEX('Compliance Database'!$J$2:$J$1960,MATCH(1088,Engine!$C$2:$C$1960,0)))</f>
        <v/>
      </c>
      <c r="K1101" s="9">
        <f>IF(ISNA(MATCH(1088,Engine!$C$2:$C$1960,0)),"",INDEX('Compliance Database'!$K$2:$K$1960,MATCH(1088,Engine!$C$2:$C$1960,0)))</f>
        <v/>
      </c>
      <c r="L1101" s="9">
        <f>IF(ISNA(MATCH(1088,Engine!$C$2:$C$1960,0)),"",INDEX('Compliance Database'!$L$2:$L$1960,MATCH(1088,Engine!$C$2:$C$1960,0)))</f>
        <v/>
      </c>
      <c r="M1101" s="9">
        <f>IF(ISNA(MATCH(1088,Engine!$C$2:$C$1960,0)),"",INDEX('Compliance Database'!$M$2:$M$1960,MATCH(1088,Engine!$C$2:$C$1960,0)))</f>
        <v/>
      </c>
      <c r="N1101" s="9">
        <f>IF(ISNA(MATCH(1088,Engine!$C$2:$C$1960,0)),"",INDEX('Compliance Database'!$N$2:$N$1960,MATCH(1088,Engine!$C$2:$C$1960,0)))</f>
        <v/>
      </c>
      <c r="O1101" s="9">
        <f>IF(ISNA(MATCH(1088,Engine!$C$2:$C$1960,0)),"",INDEX('Compliance Database'!$O$2:$O$1960,MATCH(1088,Engine!$C$2:$C$1960,0)))</f>
        <v/>
      </c>
      <c r="P1101" s="8">
        <f>IF(ISNA(MATCH(1088,Engine!$C$2:$C$1960,0)),"",HYPERLINK("#Acts!A"&amp;INDEX('Compliance Database'!$P$2:$P$1960,MATCH(1088,Engine!$C$2:$C$1960,0)),"Go to Act"))</f>
        <v/>
      </c>
    </row>
    <row r="1102" ht="158" customHeight="1">
      <c r="A1102" s="8">
        <f>IF(ISNA(MATCH(1089,Engine!$C$2:$C$1960,0)),"",INDEX('Compliance Database'!$A$2:$A$1960,MATCH(1089,Engine!$C$2:$C$1960,0)))</f>
        <v/>
      </c>
      <c r="B1102" s="8">
        <f>IF(ISNA(MATCH(1089,Engine!$C$2:$C$1960,0)),"",INDEX('Compliance Database'!$B$2:$B$1960,MATCH(1089,Engine!$C$2:$C$1960,0)))</f>
        <v/>
      </c>
      <c r="C1102" s="8">
        <f>IF(ISNA(MATCH(1089,Engine!$C$2:$C$1960,0)),"",INDEX('Compliance Database'!$C$2:$C$1960,MATCH(1089,Engine!$C$2:$C$1960,0)))</f>
        <v/>
      </c>
      <c r="D1102" s="9">
        <f>IF(ISNA(MATCH(1089,Engine!$C$2:$C$1960,0)),"",INDEX('Compliance Database'!$D$2:$D$1960,MATCH(1089,Engine!$C$2:$C$1960,0)))</f>
        <v/>
      </c>
      <c r="E1102" s="8">
        <f>IF(ISNA(MATCH(1089,Engine!$C$2:$C$1960,0)),"",INDEX('Compliance Database'!$E$2:$E$1960,MATCH(1089,Engine!$C$2:$C$1960,0)))</f>
        <v/>
      </c>
      <c r="F1102" s="8">
        <f>IF(ISNA(MATCH(1089,Engine!$C$2:$C$1960,0)),"",INDEX('Compliance Database'!$F$2:$F$1960,MATCH(1089,Engine!$C$2:$C$1960,0)))</f>
        <v/>
      </c>
      <c r="G1102" s="8">
        <f>IF(ISNA(MATCH(1089,Engine!$C$2:$C$1960,0)),"",INDEX('Compliance Database'!$G$2:$G$1960,MATCH(1089,Engine!$C$2:$C$1960,0)))</f>
        <v/>
      </c>
      <c r="H1102" s="9">
        <f>IF(ISNA(MATCH(1089,Engine!$C$2:$C$1960,0)),"",INDEX('Compliance Database'!$H$2:$H$1960,MATCH(1089,Engine!$C$2:$C$1960,0)))</f>
        <v/>
      </c>
      <c r="I1102" s="9">
        <f>IF(ISNA(MATCH(1089,Engine!$C$2:$C$1960,0)),"",INDEX('Compliance Database'!$I$2:$I$1960,MATCH(1089,Engine!$C$2:$C$1960,0)))</f>
        <v/>
      </c>
      <c r="J1102" s="8">
        <f>IF(ISNA(MATCH(1089,Engine!$C$2:$C$1960,0)),"",INDEX('Compliance Database'!$J$2:$J$1960,MATCH(1089,Engine!$C$2:$C$1960,0)))</f>
        <v/>
      </c>
      <c r="K1102" s="9">
        <f>IF(ISNA(MATCH(1089,Engine!$C$2:$C$1960,0)),"",INDEX('Compliance Database'!$K$2:$K$1960,MATCH(1089,Engine!$C$2:$C$1960,0)))</f>
        <v/>
      </c>
      <c r="L1102" s="9">
        <f>IF(ISNA(MATCH(1089,Engine!$C$2:$C$1960,0)),"",INDEX('Compliance Database'!$L$2:$L$1960,MATCH(1089,Engine!$C$2:$C$1960,0)))</f>
        <v/>
      </c>
      <c r="M1102" s="9">
        <f>IF(ISNA(MATCH(1089,Engine!$C$2:$C$1960,0)),"",INDEX('Compliance Database'!$M$2:$M$1960,MATCH(1089,Engine!$C$2:$C$1960,0)))</f>
        <v/>
      </c>
      <c r="N1102" s="9">
        <f>IF(ISNA(MATCH(1089,Engine!$C$2:$C$1960,0)),"",INDEX('Compliance Database'!$N$2:$N$1960,MATCH(1089,Engine!$C$2:$C$1960,0)))</f>
        <v/>
      </c>
      <c r="O1102" s="9">
        <f>IF(ISNA(MATCH(1089,Engine!$C$2:$C$1960,0)),"",INDEX('Compliance Database'!$O$2:$O$1960,MATCH(1089,Engine!$C$2:$C$1960,0)))</f>
        <v/>
      </c>
      <c r="P1102" s="8">
        <f>IF(ISNA(MATCH(1089,Engine!$C$2:$C$1960,0)),"",HYPERLINK("#Acts!A"&amp;INDEX('Compliance Database'!$P$2:$P$1960,MATCH(1089,Engine!$C$2:$C$1960,0)),"Go to Act"))</f>
        <v/>
      </c>
    </row>
    <row r="1103" ht="158" customHeight="1">
      <c r="A1103" s="8">
        <f>IF(ISNA(MATCH(1090,Engine!$C$2:$C$1960,0)),"",INDEX('Compliance Database'!$A$2:$A$1960,MATCH(1090,Engine!$C$2:$C$1960,0)))</f>
        <v/>
      </c>
      <c r="B1103" s="8">
        <f>IF(ISNA(MATCH(1090,Engine!$C$2:$C$1960,0)),"",INDEX('Compliance Database'!$B$2:$B$1960,MATCH(1090,Engine!$C$2:$C$1960,0)))</f>
        <v/>
      </c>
      <c r="C1103" s="8">
        <f>IF(ISNA(MATCH(1090,Engine!$C$2:$C$1960,0)),"",INDEX('Compliance Database'!$C$2:$C$1960,MATCH(1090,Engine!$C$2:$C$1960,0)))</f>
        <v/>
      </c>
      <c r="D1103" s="9">
        <f>IF(ISNA(MATCH(1090,Engine!$C$2:$C$1960,0)),"",INDEX('Compliance Database'!$D$2:$D$1960,MATCH(1090,Engine!$C$2:$C$1960,0)))</f>
        <v/>
      </c>
      <c r="E1103" s="8">
        <f>IF(ISNA(MATCH(1090,Engine!$C$2:$C$1960,0)),"",INDEX('Compliance Database'!$E$2:$E$1960,MATCH(1090,Engine!$C$2:$C$1960,0)))</f>
        <v/>
      </c>
      <c r="F1103" s="8">
        <f>IF(ISNA(MATCH(1090,Engine!$C$2:$C$1960,0)),"",INDEX('Compliance Database'!$F$2:$F$1960,MATCH(1090,Engine!$C$2:$C$1960,0)))</f>
        <v/>
      </c>
      <c r="G1103" s="8">
        <f>IF(ISNA(MATCH(1090,Engine!$C$2:$C$1960,0)),"",INDEX('Compliance Database'!$G$2:$G$1960,MATCH(1090,Engine!$C$2:$C$1960,0)))</f>
        <v/>
      </c>
      <c r="H1103" s="9">
        <f>IF(ISNA(MATCH(1090,Engine!$C$2:$C$1960,0)),"",INDEX('Compliance Database'!$H$2:$H$1960,MATCH(1090,Engine!$C$2:$C$1960,0)))</f>
        <v/>
      </c>
      <c r="I1103" s="9">
        <f>IF(ISNA(MATCH(1090,Engine!$C$2:$C$1960,0)),"",INDEX('Compliance Database'!$I$2:$I$1960,MATCH(1090,Engine!$C$2:$C$1960,0)))</f>
        <v/>
      </c>
      <c r="J1103" s="8">
        <f>IF(ISNA(MATCH(1090,Engine!$C$2:$C$1960,0)),"",INDEX('Compliance Database'!$J$2:$J$1960,MATCH(1090,Engine!$C$2:$C$1960,0)))</f>
        <v/>
      </c>
      <c r="K1103" s="9">
        <f>IF(ISNA(MATCH(1090,Engine!$C$2:$C$1960,0)),"",INDEX('Compliance Database'!$K$2:$K$1960,MATCH(1090,Engine!$C$2:$C$1960,0)))</f>
        <v/>
      </c>
      <c r="L1103" s="9">
        <f>IF(ISNA(MATCH(1090,Engine!$C$2:$C$1960,0)),"",INDEX('Compliance Database'!$L$2:$L$1960,MATCH(1090,Engine!$C$2:$C$1960,0)))</f>
        <v/>
      </c>
      <c r="M1103" s="9">
        <f>IF(ISNA(MATCH(1090,Engine!$C$2:$C$1960,0)),"",INDEX('Compliance Database'!$M$2:$M$1960,MATCH(1090,Engine!$C$2:$C$1960,0)))</f>
        <v/>
      </c>
      <c r="N1103" s="9">
        <f>IF(ISNA(MATCH(1090,Engine!$C$2:$C$1960,0)),"",INDEX('Compliance Database'!$N$2:$N$1960,MATCH(1090,Engine!$C$2:$C$1960,0)))</f>
        <v/>
      </c>
      <c r="O1103" s="9">
        <f>IF(ISNA(MATCH(1090,Engine!$C$2:$C$1960,0)),"",INDEX('Compliance Database'!$O$2:$O$1960,MATCH(1090,Engine!$C$2:$C$1960,0)))</f>
        <v/>
      </c>
      <c r="P1103" s="8">
        <f>IF(ISNA(MATCH(1090,Engine!$C$2:$C$1960,0)),"",HYPERLINK("#Acts!A"&amp;INDEX('Compliance Database'!$P$2:$P$1960,MATCH(1090,Engine!$C$2:$C$1960,0)),"Go to Act"))</f>
        <v/>
      </c>
    </row>
    <row r="1104" ht="158" customHeight="1">
      <c r="A1104" s="8">
        <f>IF(ISNA(MATCH(1091,Engine!$C$2:$C$1960,0)),"",INDEX('Compliance Database'!$A$2:$A$1960,MATCH(1091,Engine!$C$2:$C$1960,0)))</f>
        <v/>
      </c>
      <c r="B1104" s="8">
        <f>IF(ISNA(MATCH(1091,Engine!$C$2:$C$1960,0)),"",INDEX('Compliance Database'!$B$2:$B$1960,MATCH(1091,Engine!$C$2:$C$1960,0)))</f>
        <v/>
      </c>
      <c r="C1104" s="8">
        <f>IF(ISNA(MATCH(1091,Engine!$C$2:$C$1960,0)),"",INDEX('Compliance Database'!$C$2:$C$1960,MATCH(1091,Engine!$C$2:$C$1960,0)))</f>
        <v/>
      </c>
      <c r="D1104" s="9">
        <f>IF(ISNA(MATCH(1091,Engine!$C$2:$C$1960,0)),"",INDEX('Compliance Database'!$D$2:$D$1960,MATCH(1091,Engine!$C$2:$C$1960,0)))</f>
        <v/>
      </c>
      <c r="E1104" s="8">
        <f>IF(ISNA(MATCH(1091,Engine!$C$2:$C$1960,0)),"",INDEX('Compliance Database'!$E$2:$E$1960,MATCH(1091,Engine!$C$2:$C$1960,0)))</f>
        <v/>
      </c>
      <c r="F1104" s="8">
        <f>IF(ISNA(MATCH(1091,Engine!$C$2:$C$1960,0)),"",INDEX('Compliance Database'!$F$2:$F$1960,MATCH(1091,Engine!$C$2:$C$1960,0)))</f>
        <v/>
      </c>
      <c r="G1104" s="8">
        <f>IF(ISNA(MATCH(1091,Engine!$C$2:$C$1960,0)),"",INDEX('Compliance Database'!$G$2:$G$1960,MATCH(1091,Engine!$C$2:$C$1960,0)))</f>
        <v/>
      </c>
      <c r="H1104" s="9">
        <f>IF(ISNA(MATCH(1091,Engine!$C$2:$C$1960,0)),"",INDEX('Compliance Database'!$H$2:$H$1960,MATCH(1091,Engine!$C$2:$C$1960,0)))</f>
        <v/>
      </c>
      <c r="I1104" s="9">
        <f>IF(ISNA(MATCH(1091,Engine!$C$2:$C$1960,0)),"",INDEX('Compliance Database'!$I$2:$I$1960,MATCH(1091,Engine!$C$2:$C$1960,0)))</f>
        <v/>
      </c>
      <c r="J1104" s="8">
        <f>IF(ISNA(MATCH(1091,Engine!$C$2:$C$1960,0)),"",INDEX('Compliance Database'!$J$2:$J$1960,MATCH(1091,Engine!$C$2:$C$1960,0)))</f>
        <v/>
      </c>
      <c r="K1104" s="9">
        <f>IF(ISNA(MATCH(1091,Engine!$C$2:$C$1960,0)),"",INDEX('Compliance Database'!$K$2:$K$1960,MATCH(1091,Engine!$C$2:$C$1960,0)))</f>
        <v/>
      </c>
      <c r="L1104" s="9">
        <f>IF(ISNA(MATCH(1091,Engine!$C$2:$C$1960,0)),"",INDEX('Compliance Database'!$L$2:$L$1960,MATCH(1091,Engine!$C$2:$C$1960,0)))</f>
        <v/>
      </c>
      <c r="M1104" s="9">
        <f>IF(ISNA(MATCH(1091,Engine!$C$2:$C$1960,0)),"",INDEX('Compliance Database'!$M$2:$M$1960,MATCH(1091,Engine!$C$2:$C$1960,0)))</f>
        <v/>
      </c>
      <c r="N1104" s="9">
        <f>IF(ISNA(MATCH(1091,Engine!$C$2:$C$1960,0)),"",INDEX('Compliance Database'!$N$2:$N$1960,MATCH(1091,Engine!$C$2:$C$1960,0)))</f>
        <v/>
      </c>
      <c r="O1104" s="9">
        <f>IF(ISNA(MATCH(1091,Engine!$C$2:$C$1960,0)),"",INDEX('Compliance Database'!$O$2:$O$1960,MATCH(1091,Engine!$C$2:$C$1960,0)))</f>
        <v/>
      </c>
      <c r="P1104" s="8">
        <f>IF(ISNA(MATCH(1091,Engine!$C$2:$C$1960,0)),"",HYPERLINK("#Acts!A"&amp;INDEX('Compliance Database'!$P$2:$P$1960,MATCH(1091,Engine!$C$2:$C$1960,0)),"Go to Act"))</f>
        <v/>
      </c>
    </row>
    <row r="1105" ht="158" customHeight="1">
      <c r="A1105" s="8">
        <f>IF(ISNA(MATCH(1092,Engine!$C$2:$C$1960,0)),"",INDEX('Compliance Database'!$A$2:$A$1960,MATCH(1092,Engine!$C$2:$C$1960,0)))</f>
        <v/>
      </c>
      <c r="B1105" s="8">
        <f>IF(ISNA(MATCH(1092,Engine!$C$2:$C$1960,0)),"",INDEX('Compliance Database'!$B$2:$B$1960,MATCH(1092,Engine!$C$2:$C$1960,0)))</f>
        <v/>
      </c>
      <c r="C1105" s="8">
        <f>IF(ISNA(MATCH(1092,Engine!$C$2:$C$1960,0)),"",INDEX('Compliance Database'!$C$2:$C$1960,MATCH(1092,Engine!$C$2:$C$1960,0)))</f>
        <v/>
      </c>
      <c r="D1105" s="9">
        <f>IF(ISNA(MATCH(1092,Engine!$C$2:$C$1960,0)),"",INDEX('Compliance Database'!$D$2:$D$1960,MATCH(1092,Engine!$C$2:$C$1960,0)))</f>
        <v/>
      </c>
      <c r="E1105" s="8">
        <f>IF(ISNA(MATCH(1092,Engine!$C$2:$C$1960,0)),"",INDEX('Compliance Database'!$E$2:$E$1960,MATCH(1092,Engine!$C$2:$C$1960,0)))</f>
        <v/>
      </c>
      <c r="F1105" s="8">
        <f>IF(ISNA(MATCH(1092,Engine!$C$2:$C$1960,0)),"",INDEX('Compliance Database'!$F$2:$F$1960,MATCH(1092,Engine!$C$2:$C$1960,0)))</f>
        <v/>
      </c>
      <c r="G1105" s="8">
        <f>IF(ISNA(MATCH(1092,Engine!$C$2:$C$1960,0)),"",INDEX('Compliance Database'!$G$2:$G$1960,MATCH(1092,Engine!$C$2:$C$1960,0)))</f>
        <v/>
      </c>
      <c r="H1105" s="9">
        <f>IF(ISNA(MATCH(1092,Engine!$C$2:$C$1960,0)),"",INDEX('Compliance Database'!$H$2:$H$1960,MATCH(1092,Engine!$C$2:$C$1960,0)))</f>
        <v/>
      </c>
      <c r="I1105" s="9">
        <f>IF(ISNA(MATCH(1092,Engine!$C$2:$C$1960,0)),"",INDEX('Compliance Database'!$I$2:$I$1960,MATCH(1092,Engine!$C$2:$C$1960,0)))</f>
        <v/>
      </c>
      <c r="J1105" s="8">
        <f>IF(ISNA(MATCH(1092,Engine!$C$2:$C$1960,0)),"",INDEX('Compliance Database'!$J$2:$J$1960,MATCH(1092,Engine!$C$2:$C$1960,0)))</f>
        <v/>
      </c>
      <c r="K1105" s="9">
        <f>IF(ISNA(MATCH(1092,Engine!$C$2:$C$1960,0)),"",INDEX('Compliance Database'!$K$2:$K$1960,MATCH(1092,Engine!$C$2:$C$1960,0)))</f>
        <v/>
      </c>
      <c r="L1105" s="9">
        <f>IF(ISNA(MATCH(1092,Engine!$C$2:$C$1960,0)),"",INDEX('Compliance Database'!$L$2:$L$1960,MATCH(1092,Engine!$C$2:$C$1960,0)))</f>
        <v/>
      </c>
      <c r="M1105" s="9">
        <f>IF(ISNA(MATCH(1092,Engine!$C$2:$C$1960,0)),"",INDEX('Compliance Database'!$M$2:$M$1960,MATCH(1092,Engine!$C$2:$C$1960,0)))</f>
        <v/>
      </c>
      <c r="N1105" s="9">
        <f>IF(ISNA(MATCH(1092,Engine!$C$2:$C$1960,0)),"",INDEX('Compliance Database'!$N$2:$N$1960,MATCH(1092,Engine!$C$2:$C$1960,0)))</f>
        <v/>
      </c>
      <c r="O1105" s="9">
        <f>IF(ISNA(MATCH(1092,Engine!$C$2:$C$1960,0)),"",INDEX('Compliance Database'!$O$2:$O$1960,MATCH(1092,Engine!$C$2:$C$1960,0)))</f>
        <v/>
      </c>
      <c r="P1105" s="8">
        <f>IF(ISNA(MATCH(1092,Engine!$C$2:$C$1960,0)),"",HYPERLINK("#Acts!A"&amp;INDEX('Compliance Database'!$P$2:$P$1960,MATCH(1092,Engine!$C$2:$C$1960,0)),"Go to Act"))</f>
        <v/>
      </c>
    </row>
    <row r="1106" ht="158" customHeight="1">
      <c r="A1106" s="8">
        <f>IF(ISNA(MATCH(1093,Engine!$C$2:$C$1960,0)),"",INDEX('Compliance Database'!$A$2:$A$1960,MATCH(1093,Engine!$C$2:$C$1960,0)))</f>
        <v/>
      </c>
      <c r="B1106" s="8">
        <f>IF(ISNA(MATCH(1093,Engine!$C$2:$C$1960,0)),"",INDEX('Compliance Database'!$B$2:$B$1960,MATCH(1093,Engine!$C$2:$C$1960,0)))</f>
        <v/>
      </c>
      <c r="C1106" s="8">
        <f>IF(ISNA(MATCH(1093,Engine!$C$2:$C$1960,0)),"",INDEX('Compliance Database'!$C$2:$C$1960,MATCH(1093,Engine!$C$2:$C$1960,0)))</f>
        <v/>
      </c>
      <c r="D1106" s="9">
        <f>IF(ISNA(MATCH(1093,Engine!$C$2:$C$1960,0)),"",INDEX('Compliance Database'!$D$2:$D$1960,MATCH(1093,Engine!$C$2:$C$1960,0)))</f>
        <v/>
      </c>
      <c r="E1106" s="8">
        <f>IF(ISNA(MATCH(1093,Engine!$C$2:$C$1960,0)),"",INDEX('Compliance Database'!$E$2:$E$1960,MATCH(1093,Engine!$C$2:$C$1960,0)))</f>
        <v/>
      </c>
      <c r="F1106" s="8">
        <f>IF(ISNA(MATCH(1093,Engine!$C$2:$C$1960,0)),"",INDEX('Compliance Database'!$F$2:$F$1960,MATCH(1093,Engine!$C$2:$C$1960,0)))</f>
        <v/>
      </c>
      <c r="G1106" s="8">
        <f>IF(ISNA(MATCH(1093,Engine!$C$2:$C$1960,0)),"",INDEX('Compliance Database'!$G$2:$G$1960,MATCH(1093,Engine!$C$2:$C$1960,0)))</f>
        <v/>
      </c>
      <c r="H1106" s="9">
        <f>IF(ISNA(MATCH(1093,Engine!$C$2:$C$1960,0)),"",INDEX('Compliance Database'!$H$2:$H$1960,MATCH(1093,Engine!$C$2:$C$1960,0)))</f>
        <v/>
      </c>
      <c r="I1106" s="9">
        <f>IF(ISNA(MATCH(1093,Engine!$C$2:$C$1960,0)),"",INDEX('Compliance Database'!$I$2:$I$1960,MATCH(1093,Engine!$C$2:$C$1960,0)))</f>
        <v/>
      </c>
      <c r="J1106" s="8">
        <f>IF(ISNA(MATCH(1093,Engine!$C$2:$C$1960,0)),"",INDEX('Compliance Database'!$J$2:$J$1960,MATCH(1093,Engine!$C$2:$C$1960,0)))</f>
        <v/>
      </c>
      <c r="K1106" s="9">
        <f>IF(ISNA(MATCH(1093,Engine!$C$2:$C$1960,0)),"",INDEX('Compliance Database'!$K$2:$K$1960,MATCH(1093,Engine!$C$2:$C$1960,0)))</f>
        <v/>
      </c>
      <c r="L1106" s="9">
        <f>IF(ISNA(MATCH(1093,Engine!$C$2:$C$1960,0)),"",INDEX('Compliance Database'!$L$2:$L$1960,MATCH(1093,Engine!$C$2:$C$1960,0)))</f>
        <v/>
      </c>
      <c r="M1106" s="9">
        <f>IF(ISNA(MATCH(1093,Engine!$C$2:$C$1960,0)),"",INDEX('Compliance Database'!$M$2:$M$1960,MATCH(1093,Engine!$C$2:$C$1960,0)))</f>
        <v/>
      </c>
      <c r="N1106" s="9">
        <f>IF(ISNA(MATCH(1093,Engine!$C$2:$C$1960,0)),"",INDEX('Compliance Database'!$N$2:$N$1960,MATCH(1093,Engine!$C$2:$C$1960,0)))</f>
        <v/>
      </c>
      <c r="O1106" s="9">
        <f>IF(ISNA(MATCH(1093,Engine!$C$2:$C$1960,0)),"",INDEX('Compliance Database'!$O$2:$O$1960,MATCH(1093,Engine!$C$2:$C$1960,0)))</f>
        <v/>
      </c>
      <c r="P1106" s="8">
        <f>IF(ISNA(MATCH(1093,Engine!$C$2:$C$1960,0)),"",HYPERLINK("#Acts!A"&amp;INDEX('Compliance Database'!$P$2:$P$1960,MATCH(1093,Engine!$C$2:$C$1960,0)),"Go to Act"))</f>
        <v/>
      </c>
    </row>
    <row r="1107" ht="158" customHeight="1">
      <c r="A1107" s="8">
        <f>IF(ISNA(MATCH(1094,Engine!$C$2:$C$1960,0)),"",INDEX('Compliance Database'!$A$2:$A$1960,MATCH(1094,Engine!$C$2:$C$1960,0)))</f>
        <v/>
      </c>
      <c r="B1107" s="8">
        <f>IF(ISNA(MATCH(1094,Engine!$C$2:$C$1960,0)),"",INDEX('Compliance Database'!$B$2:$B$1960,MATCH(1094,Engine!$C$2:$C$1960,0)))</f>
        <v/>
      </c>
      <c r="C1107" s="8">
        <f>IF(ISNA(MATCH(1094,Engine!$C$2:$C$1960,0)),"",INDEX('Compliance Database'!$C$2:$C$1960,MATCH(1094,Engine!$C$2:$C$1960,0)))</f>
        <v/>
      </c>
      <c r="D1107" s="9">
        <f>IF(ISNA(MATCH(1094,Engine!$C$2:$C$1960,0)),"",INDEX('Compliance Database'!$D$2:$D$1960,MATCH(1094,Engine!$C$2:$C$1960,0)))</f>
        <v/>
      </c>
      <c r="E1107" s="8">
        <f>IF(ISNA(MATCH(1094,Engine!$C$2:$C$1960,0)),"",INDEX('Compliance Database'!$E$2:$E$1960,MATCH(1094,Engine!$C$2:$C$1960,0)))</f>
        <v/>
      </c>
      <c r="F1107" s="8">
        <f>IF(ISNA(MATCH(1094,Engine!$C$2:$C$1960,0)),"",INDEX('Compliance Database'!$F$2:$F$1960,MATCH(1094,Engine!$C$2:$C$1960,0)))</f>
        <v/>
      </c>
      <c r="G1107" s="8">
        <f>IF(ISNA(MATCH(1094,Engine!$C$2:$C$1960,0)),"",INDEX('Compliance Database'!$G$2:$G$1960,MATCH(1094,Engine!$C$2:$C$1960,0)))</f>
        <v/>
      </c>
      <c r="H1107" s="9">
        <f>IF(ISNA(MATCH(1094,Engine!$C$2:$C$1960,0)),"",INDEX('Compliance Database'!$H$2:$H$1960,MATCH(1094,Engine!$C$2:$C$1960,0)))</f>
        <v/>
      </c>
      <c r="I1107" s="9">
        <f>IF(ISNA(MATCH(1094,Engine!$C$2:$C$1960,0)),"",INDEX('Compliance Database'!$I$2:$I$1960,MATCH(1094,Engine!$C$2:$C$1960,0)))</f>
        <v/>
      </c>
      <c r="J1107" s="8">
        <f>IF(ISNA(MATCH(1094,Engine!$C$2:$C$1960,0)),"",INDEX('Compliance Database'!$J$2:$J$1960,MATCH(1094,Engine!$C$2:$C$1960,0)))</f>
        <v/>
      </c>
      <c r="K1107" s="9">
        <f>IF(ISNA(MATCH(1094,Engine!$C$2:$C$1960,0)),"",INDEX('Compliance Database'!$K$2:$K$1960,MATCH(1094,Engine!$C$2:$C$1960,0)))</f>
        <v/>
      </c>
      <c r="L1107" s="9">
        <f>IF(ISNA(MATCH(1094,Engine!$C$2:$C$1960,0)),"",INDEX('Compliance Database'!$L$2:$L$1960,MATCH(1094,Engine!$C$2:$C$1960,0)))</f>
        <v/>
      </c>
      <c r="M1107" s="9">
        <f>IF(ISNA(MATCH(1094,Engine!$C$2:$C$1960,0)),"",INDEX('Compliance Database'!$M$2:$M$1960,MATCH(1094,Engine!$C$2:$C$1960,0)))</f>
        <v/>
      </c>
      <c r="N1107" s="9">
        <f>IF(ISNA(MATCH(1094,Engine!$C$2:$C$1960,0)),"",INDEX('Compliance Database'!$N$2:$N$1960,MATCH(1094,Engine!$C$2:$C$1960,0)))</f>
        <v/>
      </c>
      <c r="O1107" s="9">
        <f>IF(ISNA(MATCH(1094,Engine!$C$2:$C$1960,0)),"",INDEX('Compliance Database'!$O$2:$O$1960,MATCH(1094,Engine!$C$2:$C$1960,0)))</f>
        <v/>
      </c>
      <c r="P1107" s="8">
        <f>IF(ISNA(MATCH(1094,Engine!$C$2:$C$1960,0)),"",HYPERLINK("#Acts!A"&amp;INDEX('Compliance Database'!$P$2:$P$1960,MATCH(1094,Engine!$C$2:$C$1960,0)),"Go to Act"))</f>
        <v/>
      </c>
    </row>
    <row r="1108" ht="158" customHeight="1">
      <c r="A1108" s="8">
        <f>IF(ISNA(MATCH(1095,Engine!$C$2:$C$1960,0)),"",INDEX('Compliance Database'!$A$2:$A$1960,MATCH(1095,Engine!$C$2:$C$1960,0)))</f>
        <v/>
      </c>
      <c r="B1108" s="8">
        <f>IF(ISNA(MATCH(1095,Engine!$C$2:$C$1960,0)),"",INDEX('Compliance Database'!$B$2:$B$1960,MATCH(1095,Engine!$C$2:$C$1960,0)))</f>
        <v/>
      </c>
      <c r="C1108" s="8">
        <f>IF(ISNA(MATCH(1095,Engine!$C$2:$C$1960,0)),"",INDEX('Compliance Database'!$C$2:$C$1960,MATCH(1095,Engine!$C$2:$C$1960,0)))</f>
        <v/>
      </c>
      <c r="D1108" s="9">
        <f>IF(ISNA(MATCH(1095,Engine!$C$2:$C$1960,0)),"",INDEX('Compliance Database'!$D$2:$D$1960,MATCH(1095,Engine!$C$2:$C$1960,0)))</f>
        <v/>
      </c>
      <c r="E1108" s="8">
        <f>IF(ISNA(MATCH(1095,Engine!$C$2:$C$1960,0)),"",INDEX('Compliance Database'!$E$2:$E$1960,MATCH(1095,Engine!$C$2:$C$1960,0)))</f>
        <v/>
      </c>
      <c r="F1108" s="8">
        <f>IF(ISNA(MATCH(1095,Engine!$C$2:$C$1960,0)),"",INDEX('Compliance Database'!$F$2:$F$1960,MATCH(1095,Engine!$C$2:$C$1960,0)))</f>
        <v/>
      </c>
      <c r="G1108" s="8">
        <f>IF(ISNA(MATCH(1095,Engine!$C$2:$C$1960,0)),"",INDEX('Compliance Database'!$G$2:$G$1960,MATCH(1095,Engine!$C$2:$C$1960,0)))</f>
        <v/>
      </c>
      <c r="H1108" s="9">
        <f>IF(ISNA(MATCH(1095,Engine!$C$2:$C$1960,0)),"",INDEX('Compliance Database'!$H$2:$H$1960,MATCH(1095,Engine!$C$2:$C$1960,0)))</f>
        <v/>
      </c>
      <c r="I1108" s="9">
        <f>IF(ISNA(MATCH(1095,Engine!$C$2:$C$1960,0)),"",INDEX('Compliance Database'!$I$2:$I$1960,MATCH(1095,Engine!$C$2:$C$1960,0)))</f>
        <v/>
      </c>
      <c r="J1108" s="8">
        <f>IF(ISNA(MATCH(1095,Engine!$C$2:$C$1960,0)),"",INDEX('Compliance Database'!$J$2:$J$1960,MATCH(1095,Engine!$C$2:$C$1960,0)))</f>
        <v/>
      </c>
      <c r="K1108" s="9">
        <f>IF(ISNA(MATCH(1095,Engine!$C$2:$C$1960,0)),"",INDEX('Compliance Database'!$K$2:$K$1960,MATCH(1095,Engine!$C$2:$C$1960,0)))</f>
        <v/>
      </c>
      <c r="L1108" s="9">
        <f>IF(ISNA(MATCH(1095,Engine!$C$2:$C$1960,0)),"",INDEX('Compliance Database'!$L$2:$L$1960,MATCH(1095,Engine!$C$2:$C$1960,0)))</f>
        <v/>
      </c>
      <c r="M1108" s="9">
        <f>IF(ISNA(MATCH(1095,Engine!$C$2:$C$1960,0)),"",INDEX('Compliance Database'!$M$2:$M$1960,MATCH(1095,Engine!$C$2:$C$1960,0)))</f>
        <v/>
      </c>
      <c r="N1108" s="9">
        <f>IF(ISNA(MATCH(1095,Engine!$C$2:$C$1960,0)),"",INDEX('Compliance Database'!$N$2:$N$1960,MATCH(1095,Engine!$C$2:$C$1960,0)))</f>
        <v/>
      </c>
      <c r="O1108" s="9">
        <f>IF(ISNA(MATCH(1095,Engine!$C$2:$C$1960,0)),"",INDEX('Compliance Database'!$O$2:$O$1960,MATCH(1095,Engine!$C$2:$C$1960,0)))</f>
        <v/>
      </c>
      <c r="P1108" s="8">
        <f>IF(ISNA(MATCH(1095,Engine!$C$2:$C$1960,0)),"",HYPERLINK("#Acts!A"&amp;INDEX('Compliance Database'!$P$2:$P$1960,MATCH(1095,Engine!$C$2:$C$1960,0)),"Go to Act"))</f>
        <v/>
      </c>
    </row>
    <row r="1109" ht="158" customHeight="1">
      <c r="A1109" s="8">
        <f>IF(ISNA(MATCH(1096,Engine!$C$2:$C$1960,0)),"",INDEX('Compliance Database'!$A$2:$A$1960,MATCH(1096,Engine!$C$2:$C$1960,0)))</f>
        <v/>
      </c>
      <c r="B1109" s="8">
        <f>IF(ISNA(MATCH(1096,Engine!$C$2:$C$1960,0)),"",INDEX('Compliance Database'!$B$2:$B$1960,MATCH(1096,Engine!$C$2:$C$1960,0)))</f>
        <v/>
      </c>
      <c r="C1109" s="8">
        <f>IF(ISNA(MATCH(1096,Engine!$C$2:$C$1960,0)),"",INDEX('Compliance Database'!$C$2:$C$1960,MATCH(1096,Engine!$C$2:$C$1960,0)))</f>
        <v/>
      </c>
      <c r="D1109" s="9">
        <f>IF(ISNA(MATCH(1096,Engine!$C$2:$C$1960,0)),"",INDEX('Compliance Database'!$D$2:$D$1960,MATCH(1096,Engine!$C$2:$C$1960,0)))</f>
        <v/>
      </c>
      <c r="E1109" s="8">
        <f>IF(ISNA(MATCH(1096,Engine!$C$2:$C$1960,0)),"",INDEX('Compliance Database'!$E$2:$E$1960,MATCH(1096,Engine!$C$2:$C$1960,0)))</f>
        <v/>
      </c>
      <c r="F1109" s="8">
        <f>IF(ISNA(MATCH(1096,Engine!$C$2:$C$1960,0)),"",INDEX('Compliance Database'!$F$2:$F$1960,MATCH(1096,Engine!$C$2:$C$1960,0)))</f>
        <v/>
      </c>
      <c r="G1109" s="8">
        <f>IF(ISNA(MATCH(1096,Engine!$C$2:$C$1960,0)),"",INDEX('Compliance Database'!$G$2:$G$1960,MATCH(1096,Engine!$C$2:$C$1960,0)))</f>
        <v/>
      </c>
      <c r="H1109" s="9">
        <f>IF(ISNA(MATCH(1096,Engine!$C$2:$C$1960,0)),"",INDEX('Compliance Database'!$H$2:$H$1960,MATCH(1096,Engine!$C$2:$C$1960,0)))</f>
        <v/>
      </c>
      <c r="I1109" s="9">
        <f>IF(ISNA(MATCH(1096,Engine!$C$2:$C$1960,0)),"",INDEX('Compliance Database'!$I$2:$I$1960,MATCH(1096,Engine!$C$2:$C$1960,0)))</f>
        <v/>
      </c>
      <c r="J1109" s="8">
        <f>IF(ISNA(MATCH(1096,Engine!$C$2:$C$1960,0)),"",INDEX('Compliance Database'!$J$2:$J$1960,MATCH(1096,Engine!$C$2:$C$1960,0)))</f>
        <v/>
      </c>
      <c r="K1109" s="9">
        <f>IF(ISNA(MATCH(1096,Engine!$C$2:$C$1960,0)),"",INDEX('Compliance Database'!$K$2:$K$1960,MATCH(1096,Engine!$C$2:$C$1960,0)))</f>
        <v/>
      </c>
      <c r="L1109" s="9">
        <f>IF(ISNA(MATCH(1096,Engine!$C$2:$C$1960,0)),"",INDEX('Compliance Database'!$L$2:$L$1960,MATCH(1096,Engine!$C$2:$C$1960,0)))</f>
        <v/>
      </c>
      <c r="M1109" s="9">
        <f>IF(ISNA(MATCH(1096,Engine!$C$2:$C$1960,0)),"",INDEX('Compliance Database'!$M$2:$M$1960,MATCH(1096,Engine!$C$2:$C$1960,0)))</f>
        <v/>
      </c>
      <c r="N1109" s="9">
        <f>IF(ISNA(MATCH(1096,Engine!$C$2:$C$1960,0)),"",INDEX('Compliance Database'!$N$2:$N$1960,MATCH(1096,Engine!$C$2:$C$1960,0)))</f>
        <v/>
      </c>
      <c r="O1109" s="9">
        <f>IF(ISNA(MATCH(1096,Engine!$C$2:$C$1960,0)),"",INDEX('Compliance Database'!$O$2:$O$1960,MATCH(1096,Engine!$C$2:$C$1960,0)))</f>
        <v/>
      </c>
      <c r="P1109" s="8">
        <f>IF(ISNA(MATCH(1096,Engine!$C$2:$C$1960,0)),"",HYPERLINK("#Acts!A"&amp;INDEX('Compliance Database'!$P$2:$P$1960,MATCH(1096,Engine!$C$2:$C$1960,0)),"Go to Act"))</f>
        <v/>
      </c>
    </row>
    <row r="1110" ht="158" customHeight="1">
      <c r="A1110" s="8">
        <f>IF(ISNA(MATCH(1097,Engine!$C$2:$C$1960,0)),"",INDEX('Compliance Database'!$A$2:$A$1960,MATCH(1097,Engine!$C$2:$C$1960,0)))</f>
        <v/>
      </c>
      <c r="B1110" s="8">
        <f>IF(ISNA(MATCH(1097,Engine!$C$2:$C$1960,0)),"",INDEX('Compliance Database'!$B$2:$B$1960,MATCH(1097,Engine!$C$2:$C$1960,0)))</f>
        <v/>
      </c>
      <c r="C1110" s="8">
        <f>IF(ISNA(MATCH(1097,Engine!$C$2:$C$1960,0)),"",INDEX('Compliance Database'!$C$2:$C$1960,MATCH(1097,Engine!$C$2:$C$1960,0)))</f>
        <v/>
      </c>
      <c r="D1110" s="9">
        <f>IF(ISNA(MATCH(1097,Engine!$C$2:$C$1960,0)),"",INDEX('Compliance Database'!$D$2:$D$1960,MATCH(1097,Engine!$C$2:$C$1960,0)))</f>
        <v/>
      </c>
      <c r="E1110" s="8">
        <f>IF(ISNA(MATCH(1097,Engine!$C$2:$C$1960,0)),"",INDEX('Compliance Database'!$E$2:$E$1960,MATCH(1097,Engine!$C$2:$C$1960,0)))</f>
        <v/>
      </c>
      <c r="F1110" s="8">
        <f>IF(ISNA(MATCH(1097,Engine!$C$2:$C$1960,0)),"",INDEX('Compliance Database'!$F$2:$F$1960,MATCH(1097,Engine!$C$2:$C$1960,0)))</f>
        <v/>
      </c>
      <c r="G1110" s="8">
        <f>IF(ISNA(MATCH(1097,Engine!$C$2:$C$1960,0)),"",INDEX('Compliance Database'!$G$2:$G$1960,MATCH(1097,Engine!$C$2:$C$1960,0)))</f>
        <v/>
      </c>
      <c r="H1110" s="9">
        <f>IF(ISNA(MATCH(1097,Engine!$C$2:$C$1960,0)),"",INDEX('Compliance Database'!$H$2:$H$1960,MATCH(1097,Engine!$C$2:$C$1960,0)))</f>
        <v/>
      </c>
      <c r="I1110" s="9">
        <f>IF(ISNA(MATCH(1097,Engine!$C$2:$C$1960,0)),"",INDEX('Compliance Database'!$I$2:$I$1960,MATCH(1097,Engine!$C$2:$C$1960,0)))</f>
        <v/>
      </c>
      <c r="J1110" s="8">
        <f>IF(ISNA(MATCH(1097,Engine!$C$2:$C$1960,0)),"",INDEX('Compliance Database'!$J$2:$J$1960,MATCH(1097,Engine!$C$2:$C$1960,0)))</f>
        <v/>
      </c>
      <c r="K1110" s="9">
        <f>IF(ISNA(MATCH(1097,Engine!$C$2:$C$1960,0)),"",INDEX('Compliance Database'!$K$2:$K$1960,MATCH(1097,Engine!$C$2:$C$1960,0)))</f>
        <v/>
      </c>
      <c r="L1110" s="9">
        <f>IF(ISNA(MATCH(1097,Engine!$C$2:$C$1960,0)),"",INDEX('Compliance Database'!$L$2:$L$1960,MATCH(1097,Engine!$C$2:$C$1960,0)))</f>
        <v/>
      </c>
      <c r="M1110" s="9">
        <f>IF(ISNA(MATCH(1097,Engine!$C$2:$C$1960,0)),"",INDEX('Compliance Database'!$M$2:$M$1960,MATCH(1097,Engine!$C$2:$C$1960,0)))</f>
        <v/>
      </c>
      <c r="N1110" s="9">
        <f>IF(ISNA(MATCH(1097,Engine!$C$2:$C$1960,0)),"",INDEX('Compliance Database'!$N$2:$N$1960,MATCH(1097,Engine!$C$2:$C$1960,0)))</f>
        <v/>
      </c>
      <c r="O1110" s="9">
        <f>IF(ISNA(MATCH(1097,Engine!$C$2:$C$1960,0)),"",INDEX('Compliance Database'!$O$2:$O$1960,MATCH(1097,Engine!$C$2:$C$1960,0)))</f>
        <v/>
      </c>
      <c r="P1110" s="8">
        <f>IF(ISNA(MATCH(1097,Engine!$C$2:$C$1960,0)),"",HYPERLINK("#Acts!A"&amp;INDEX('Compliance Database'!$P$2:$P$1960,MATCH(1097,Engine!$C$2:$C$1960,0)),"Go to Act"))</f>
        <v/>
      </c>
    </row>
    <row r="1111" ht="158" customHeight="1">
      <c r="A1111" s="8">
        <f>IF(ISNA(MATCH(1098,Engine!$C$2:$C$1960,0)),"",INDEX('Compliance Database'!$A$2:$A$1960,MATCH(1098,Engine!$C$2:$C$1960,0)))</f>
        <v/>
      </c>
      <c r="B1111" s="8">
        <f>IF(ISNA(MATCH(1098,Engine!$C$2:$C$1960,0)),"",INDEX('Compliance Database'!$B$2:$B$1960,MATCH(1098,Engine!$C$2:$C$1960,0)))</f>
        <v/>
      </c>
      <c r="C1111" s="8">
        <f>IF(ISNA(MATCH(1098,Engine!$C$2:$C$1960,0)),"",INDEX('Compliance Database'!$C$2:$C$1960,MATCH(1098,Engine!$C$2:$C$1960,0)))</f>
        <v/>
      </c>
      <c r="D1111" s="9">
        <f>IF(ISNA(MATCH(1098,Engine!$C$2:$C$1960,0)),"",INDEX('Compliance Database'!$D$2:$D$1960,MATCH(1098,Engine!$C$2:$C$1960,0)))</f>
        <v/>
      </c>
      <c r="E1111" s="8">
        <f>IF(ISNA(MATCH(1098,Engine!$C$2:$C$1960,0)),"",INDEX('Compliance Database'!$E$2:$E$1960,MATCH(1098,Engine!$C$2:$C$1960,0)))</f>
        <v/>
      </c>
      <c r="F1111" s="8">
        <f>IF(ISNA(MATCH(1098,Engine!$C$2:$C$1960,0)),"",INDEX('Compliance Database'!$F$2:$F$1960,MATCH(1098,Engine!$C$2:$C$1960,0)))</f>
        <v/>
      </c>
      <c r="G1111" s="8">
        <f>IF(ISNA(MATCH(1098,Engine!$C$2:$C$1960,0)),"",INDEX('Compliance Database'!$G$2:$G$1960,MATCH(1098,Engine!$C$2:$C$1960,0)))</f>
        <v/>
      </c>
      <c r="H1111" s="9">
        <f>IF(ISNA(MATCH(1098,Engine!$C$2:$C$1960,0)),"",INDEX('Compliance Database'!$H$2:$H$1960,MATCH(1098,Engine!$C$2:$C$1960,0)))</f>
        <v/>
      </c>
      <c r="I1111" s="9">
        <f>IF(ISNA(MATCH(1098,Engine!$C$2:$C$1960,0)),"",INDEX('Compliance Database'!$I$2:$I$1960,MATCH(1098,Engine!$C$2:$C$1960,0)))</f>
        <v/>
      </c>
      <c r="J1111" s="8">
        <f>IF(ISNA(MATCH(1098,Engine!$C$2:$C$1960,0)),"",INDEX('Compliance Database'!$J$2:$J$1960,MATCH(1098,Engine!$C$2:$C$1960,0)))</f>
        <v/>
      </c>
      <c r="K1111" s="9">
        <f>IF(ISNA(MATCH(1098,Engine!$C$2:$C$1960,0)),"",INDEX('Compliance Database'!$K$2:$K$1960,MATCH(1098,Engine!$C$2:$C$1960,0)))</f>
        <v/>
      </c>
      <c r="L1111" s="9">
        <f>IF(ISNA(MATCH(1098,Engine!$C$2:$C$1960,0)),"",INDEX('Compliance Database'!$L$2:$L$1960,MATCH(1098,Engine!$C$2:$C$1960,0)))</f>
        <v/>
      </c>
      <c r="M1111" s="9">
        <f>IF(ISNA(MATCH(1098,Engine!$C$2:$C$1960,0)),"",INDEX('Compliance Database'!$M$2:$M$1960,MATCH(1098,Engine!$C$2:$C$1960,0)))</f>
        <v/>
      </c>
      <c r="N1111" s="9">
        <f>IF(ISNA(MATCH(1098,Engine!$C$2:$C$1960,0)),"",INDEX('Compliance Database'!$N$2:$N$1960,MATCH(1098,Engine!$C$2:$C$1960,0)))</f>
        <v/>
      </c>
      <c r="O1111" s="9">
        <f>IF(ISNA(MATCH(1098,Engine!$C$2:$C$1960,0)),"",INDEX('Compliance Database'!$O$2:$O$1960,MATCH(1098,Engine!$C$2:$C$1960,0)))</f>
        <v/>
      </c>
      <c r="P1111" s="8">
        <f>IF(ISNA(MATCH(1098,Engine!$C$2:$C$1960,0)),"",HYPERLINK("#Acts!A"&amp;INDEX('Compliance Database'!$P$2:$P$1960,MATCH(1098,Engine!$C$2:$C$1960,0)),"Go to Act"))</f>
        <v/>
      </c>
    </row>
    <row r="1112" ht="158" customHeight="1">
      <c r="A1112" s="8">
        <f>IF(ISNA(MATCH(1099,Engine!$C$2:$C$1960,0)),"",INDEX('Compliance Database'!$A$2:$A$1960,MATCH(1099,Engine!$C$2:$C$1960,0)))</f>
        <v/>
      </c>
      <c r="B1112" s="8">
        <f>IF(ISNA(MATCH(1099,Engine!$C$2:$C$1960,0)),"",INDEX('Compliance Database'!$B$2:$B$1960,MATCH(1099,Engine!$C$2:$C$1960,0)))</f>
        <v/>
      </c>
      <c r="C1112" s="8">
        <f>IF(ISNA(MATCH(1099,Engine!$C$2:$C$1960,0)),"",INDEX('Compliance Database'!$C$2:$C$1960,MATCH(1099,Engine!$C$2:$C$1960,0)))</f>
        <v/>
      </c>
      <c r="D1112" s="9">
        <f>IF(ISNA(MATCH(1099,Engine!$C$2:$C$1960,0)),"",INDEX('Compliance Database'!$D$2:$D$1960,MATCH(1099,Engine!$C$2:$C$1960,0)))</f>
        <v/>
      </c>
      <c r="E1112" s="8">
        <f>IF(ISNA(MATCH(1099,Engine!$C$2:$C$1960,0)),"",INDEX('Compliance Database'!$E$2:$E$1960,MATCH(1099,Engine!$C$2:$C$1960,0)))</f>
        <v/>
      </c>
      <c r="F1112" s="8">
        <f>IF(ISNA(MATCH(1099,Engine!$C$2:$C$1960,0)),"",INDEX('Compliance Database'!$F$2:$F$1960,MATCH(1099,Engine!$C$2:$C$1960,0)))</f>
        <v/>
      </c>
      <c r="G1112" s="8">
        <f>IF(ISNA(MATCH(1099,Engine!$C$2:$C$1960,0)),"",INDEX('Compliance Database'!$G$2:$G$1960,MATCH(1099,Engine!$C$2:$C$1960,0)))</f>
        <v/>
      </c>
      <c r="H1112" s="9">
        <f>IF(ISNA(MATCH(1099,Engine!$C$2:$C$1960,0)),"",INDEX('Compliance Database'!$H$2:$H$1960,MATCH(1099,Engine!$C$2:$C$1960,0)))</f>
        <v/>
      </c>
      <c r="I1112" s="9">
        <f>IF(ISNA(MATCH(1099,Engine!$C$2:$C$1960,0)),"",INDEX('Compliance Database'!$I$2:$I$1960,MATCH(1099,Engine!$C$2:$C$1960,0)))</f>
        <v/>
      </c>
      <c r="J1112" s="8">
        <f>IF(ISNA(MATCH(1099,Engine!$C$2:$C$1960,0)),"",INDEX('Compliance Database'!$J$2:$J$1960,MATCH(1099,Engine!$C$2:$C$1960,0)))</f>
        <v/>
      </c>
      <c r="K1112" s="9">
        <f>IF(ISNA(MATCH(1099,Engine!$C$2:$C$1960,0)),"",INDEX('Compliance Database'!$K$2:$K$1960,MATCH(1099,Engine!$C$2:$C$1960,0)))</f>
        <v/>
      </c>
      <c r="L1112" s="9">
        <f>IF(ISNA(MATCH(1099,Engine!$C$2:$C$1960,0)),"",INDEX('Compliance Database'!$L$2:$L$1960,MATCH(1099,Engine!$C$2:$C$1960,0)))</f>
        <v/>
      </c>
      <c r="M1112" s="9">
        <f>IF(ISNA(MATCH(1099,Engine!$C$2:$C$1960,0)),"",INDEX('Compliance Database'!$M$2:$M$1960,MATCH(1099,Engine!$C$2:$C$1960,0)))</f>
        <v/>
      </c>
      <c r="N1112" s="9">
        <f>IF(ISNA(MATCH(1099,Engine!$C$2:$C$1960,0)),"",INDEX('Compliance Database'!$N$2:$N$1960,MATCH(1099,Engine!$C$2:$C$1960,0)))</f>
        <v/>
      </c>
      <c r="O1112" s="9">
        <f>IF(ISNA(MATCH(1099,Engine!$C$2:$C$1960,0)),"",INDEX('Compliance Database'!$O$2:$O$1960,MATCH(1099,Engine!$C$2:$C$1960,0)))</f>
        <v/>
      </c>
      <c r="P1112" s="8">
        <f>IF(ISNA(MATCH(1099,Engine!$C$2:$C$1960,0)),"",HYPERLINK("#Acts!A"&amp;INDEX('Compliance Database'!$P$2:$P$1960,MATCH(1099,Engine!$C$2:$C$1960,0)),"Go to Act"))</f>
        <v/>
      </c>
    </row>
    <row r="1113" ht="158" customHeight="1">
      <c r="A1113" s="8">
        <f>IF(ISNA(MATCH(1100,Engine!$C$2:$C$1960,0)),"",INDEX('Compliance Database'!$A$2:$A$1960,MATCH(1100,Engine!$C$2:$C$1960,0)))</f>
        <v/>
      </c>
      <c r="B1113" s="8">
        <f>IF(ISNA(MATCH(1100,Engine!$C$2:$C$1960,0)),"",INDEX('Compliance Database'!$B$2:$B$1960,MATCH(1100,Engine!$C$2:$C$1960,0)))</f>
        <v/>
      </c>
      <c r="C1113" s="8">
        <f>IF(ISNA(MATCH(1100,Engine!$C$2:$C$1960,0)),"",INDEX('Compliance Database'!$C$2:$C$1960,MATCH(1100,Engine!$C$2:$C$1960,0)))</f>
        <v/>
      </c>
      <c r="D1113" s="9">
        <f>IF(ISNA(MATCH(1100,Engine!$C$2:$C$1960,0)),"",INDEX('Compliance Database'!$D$2:$D$1960,MATCH(1100,Engine!$C$2:$C$1960,0)))</f>
        <v/>
      </c>
      <c r="E1113" s="8">
        <f>IF(ISNA(MATCH(1100,Engine!$C$2:$C$1960,0)),"",INDEX('Compliance Database'!$E$2:$E$1960,MATCH(1100,Engine!$C$2:$C$1960,0)))</f>
        <v/>
      </c>
      <c r="F1113" s="8">
        <f>IF(ISNA(MATCH(1100,Engine!$C$2:$C$1960,0)),"",INDEX('Compliance Database'!$F$2:$F$1960,MATCH(1100,Engine!$C$2:$C$1960,0)))</f>
        <v/>
      </c>
      <c r="G1113" s="8">
        <f>IF(ISNA(MATCH(1100,Engine!$C$2:$C$1960,0)),"",INDEX('Compliance Database'!$G$2:$G$1960,MATCH(1100,Engine!$C$2:$C$1960,0)))</f>
        <v/>
      </c>
      <c r="H1113" s="9">
        <f>IF(ISNA(MATCH(1100,Engine!$C$2:$C$1960,0)),"",INDEX('Compliance Database'!$H$2:$H$1960,MATCH(1100,Engine!$C$2:$C$1960,0)))</f>
        <v/>
      </c>
      <c r="I1113" s="9">
        <f>IF(ISNA(MATCH(1100,Engine!$C$2:$C$1960,0)),"",INDEX('Compliance Database'!$I$2:$I$1960,MATCH(1100,Engine!$C$2:$C$1960,0)))</f>
        <v/>
      </c>
      <c r="J1113" s="8">
        <f>IF(ISNA(MATCH(1100,Engine!$C$2:$C$1960,0)),"",INDEX('Compliance Database'!$J$2:$J$1960,MATCH(1100,Engine!$C$2:$C$1960,0)))</f>
        <v/>
      </c>
      <c r="K1113" s="9">
        <f>IF(ISNA(MATCH(1100,Engine!$C$2:$C$1960,0)),"",INDEX('Compliance Database'!$K$2:$K$1960,MATCH(1100,Engine!$C$2:$C$1960,0)))</f>
        <v/>
      </c>
      <c r="L1113" s="9">
        <f>IF(ISNA(MATCH(1100,Engine!$C$2:$C$1960,0)),"",INDEX('Compliance Database'!$L$2:$L$1960,MATCH(1100,Engine!$C$2:$C$1960,0)))</f>
        <v/>
      </c>
      <c r="M1113" s="9">
        <f>IF(ISNA(MATCH(1100,Engine!$C$2:$C$1960,0)),"",INDEX('Compliance Database'!$M$2:$M$1960,MATCH(1100,Engine!$C$2:$C$1960,0)))</f>
        <v/>
      </c>
      <c r="N1113" s="9">
        <f>IF(ISNA(MATCH(1100,Engine!$C$2:$C$1960,0)),"",INDEX('Compliance Database'!$N$2:$N$1960,MATCH(1100,Engine!$C$2:$C$1960,0)))</f>
        <v/>
      </c>
      <c r="O1113" s="9">
        <f>IF(ISNA(MATCH(1100,Engine!$C$2:$C$1960,0)),"",INDEX('Compliance Database'!$O$2:$O$1960,MATCH(1100,Engine!$C$2:$C$1960,0)))</f>
        <v/>
      </c>
      <c r="P1113" s="8">
        <f>IF(ISNA(MATCH(1100,Engine!$C$2:$C$1960,0)),"",HYPERLINK("#Acts!A"&amp;INDEX('Compliance Database'!$P$2:$P$1960,MATCH(1100,Engine!$C$2:$C$1960,0)),"Go to Act"))</f>
        <v/>
      </c>
    </row>
    <row r="1114" ht="158" customHeight="1">
      <c r="A1114" s="8">
        <f>IF(ISNA(MATCH(1101,Engine!$C$2:$C$1960,0)),"",INDEX('Compliance Database'!$A$2:$A$1960,MATCH(1101,Engine!$C$2:$C$1960,0)))</f>
        <v/>
      </c>
      <c r="B1114" s="8">
        <f>IF(ISNA(MATCH(1101,Engine!$C$2:$C$1960,0)),"",INDEX('Compliance Database'!$B$2:$B$1960,MATCH(1101,Engine!$C$2:$C$1960,0)))</f>
        <v/>
      </c>
      <c r="C1114" s="8">
        <f>IF(ISNA(MATCH(1101,Engine!$C$2:$C$1960,0)),"",INDEX('Compliance Database'!$C$2:$C$1960,MATCH(1101,Engine!$C$2:$C$1960,0)))</f>
        <v/>
      </c>
      <c r="D1114" s="9">
        <f>IF(ISNA(MATCH(1101,Engine!$C$2:$C$1960,0)),"",INDEX('Compliance Database'!$D$2:$D$1960,MATCH(1101,Engine!$C$2:$C$1960,0)))</f>
        <v/>
      </c>
      <c r="E1114" s="8">
        <f>IF(ISNA(MATCH(1101,Engine!$C$2:$C$1960,0)),"",INDEX('Compliance Database'!$E$2:$E$1960,MATCH(1101,Engine!$C$2:$C$1960,0)))</f>
        <v/>
      </c>
      <c r="F1114" s="8">
        <f>IF(ISNA(MATCH(1101,Engine!$C$2:$C$1960,0)),"",INDEX('Compliance Database'!$F$2:$F$1960,MATCH(1101,Engine!$C$2:$C$1960,0)))</f>
        <v/>
      </c>
      <c r="G1114" s="8">
        <f>IF(ISNA(MATCH(1101,Engine!$C$2:$C$1960,0)),"",INDEX('Compliance Database'!$G$2:$G$1960,MATCH(1101,Engine!$C$2:$C$1960,0)))</f>
        <v/>
      </c>
      <c r="H1114" s="9">
        <f>IF(ISNA(MATCH(1101,Engine!$C$2:$C$1960,0)),"",INDEX('Compliance Database'!$H$2:$H$1960,MATCH(1101,Engine!$C$2:$C$1960,0)))</f>
        <v/>
      </c>
      <c r="I1114" s="9">
        <f>IF(ISNA(MATCH(1101,Engine!$C$2:$C$1960,0)),"",INDEX('Compliance Database'!$I$2:$I$1960,MATCH(1101,Engine!$C$2:$C$1960,0)))</f>
        <v/>
      </c>
      <c r="J1114" s="8">
        <f>IF(ISNA(MATCH(1101,Engine!$C$2:$C$1960,0)),"",INDEX('Compliance Database'!$J$2:$J$1960,MATCH(1101,Engine!$C$2:$C$1960,0)))</f>
        <v/>
      </c>
      <c r="K1114" s="9">
        <f>IF(ISNA(MATCH(1101,Engine!$C$2:$C$1960,0)),"",INDEX('Compliance Database'!$K$2:$K$1960,MATCH(1101,Engine!$C$2:$C$1960,0)))</f>
        <v/>
      </c>
      <c r="L1114" s="9">
        <f>IF(ISNA(MATCH(1101,Engine!$C$2:$C$1960,0)),"",INDEX('Compliance Database'!$L$2:$L$1960,MATCH(1101,Engine!$C$2:$C$1960,0)))</f>
        <v/>
      </c>
      <c r="M1114" s="9">
        <f>IF(ISNA(MATCH(1101,Engine!$C$2:$C$1960,0)),"",INDEX('Compliance Database'!$M$2:$M$1960,MATCH(1101,Engine!$C$2:$C$1960,0)))</f>
        <v/>
      </c>
      <c r="N1114" s="9">
        <f>IF(ISNA(MATCH(1101,Engine!$C$2:$C$1960,0)),"",INDEX('Compliance Database'!$N$2:$N$1960,MATCH(1101,Engine!$C$2:$C$1960,0)))</f>
        <v/>
      </c>
      <c r="O1114" s="9">
        <f>IF(ISNA(MATCH(1101,Engine!$C$2:$C$1960,0)),"",INDEX('Compliance Database'!$O$2:$O$1960,MATCH(1101,Engine!$C$2:$C$1960,0)))</f>
        <v/>
      </c>
      <c r="P1114" s="8">
        <f>IF(ISNA(MATCH(1101,Engine!$C$2:$C$1960,0)),"",HYPERLINK("#Acts!A"&amp;INDEX('Compliance Database'!$P$2:$P$1960,MATCH(1101,Engine!$C$2:$C$1960,0)),"Go to Act"))</f>
        <v/>
      </c>
    </row>
    <row r="1115" ht="158" customHeight="1">
      <c r="A1115" s="8">
        <f>IF(ISNA(MATCH(1102,Engine!$C$2:$C$1960,0)),"",INDEX('Compliance Database'!$A$2:$A$1960,MATCH(1102,Engine!$C$2:$C$1960,0)))</f>
        <v/>
      </c>
      <c r="B1115" s="8">
        <f>IF(ISNA(MATCH(1102,Engine!$C$2:$C$1960,0)),"",INDEX('Compliance Database'!$B$2:$B$1960,MATCH(1102,Engine!$C$2:$C$1960,0)))</f>
        <v/>
      </c>
      <c r="C1115" s="8">
        <f>IF(ISNA(MATCH(1102,Engine!$C$2:$C$1960,0)),"",INDEX('Compliance Database'!$C$2:$C$1960,MATCH(1102,Engine!$C$2:$C$1960,0)))</f>
        <v/>
      </c>
      <c r="D1115" s="9">
        <f>IF(ISNA(MATCH(1102,Engine!$C$2:$C$1960,0)),"",INDEX('Compliance Database'!$D$2:$D$1960,MATCH(1102,Engine!$C$2:$C$1960,0)))</f>
        <v/>
      </c>
      <c r="E1115" s="8">
        <f>IF(ISNA(MATCH(1102,Engine!$C$2:$C$1960,0)),"",INDEX('Compliance Database'!$E$2:$E$1960,MATCH(1102,Engine!$C$2:$C$1960,0)))</f>
        <v/>
      </c>
      <c r="F1115" s="8">
        <f>IF(ISNA(MATCH(1102,Engine!$C$2:$C$1960,0)),"",INDEX('Compliance Database'!$F$2:$F$1960,MATCH(1102,Engine!$C$2:$C$1960,0)))</f>
        <v/>
      </c>
      <c r="G1115" s="8">
        <f>IF(ISNA(MATCH(1102,Engine!$C$2:$C$1960,0)),"",INDEX('Compliance Database'!$G$2:$G$1960,MATCH(1102,Engine!$C$2:$C$1960,0)))</f>
        <v/>
      </c>
      <c r="H1115" s="9">
        <f>IF(ISNA(MATCH(1102,Engine!$C$2:$C$1960,0)),"",INDEX('Compliance Database'!$H$2:$H$1960,MATCH(1102,Engine!$C$2:$C$1960,0)))</f>
        <v/>
      </c>
      <c r="I1115" s="9">
        <f>IF(ISNA(MATCH(1102,Engine!$C$2:$C$1960,0)),"",INDEX('Compliance Database'!$I$2:$I$1960,MATCH(1102,Engine!$C$2:$C$1960,0)))</f>
        <v/>
      </c>
      <c r="J1115" s="8">
        <f>IF(ISNA(MATCH(1102,Engine!$C$2:$C$1960,0)),"",INDEX('Compliance Database'!$J$2:$J$1960,MATCH(1102,Engine!$C$2:$C$1960,0)))</f>
        <v/>
      </c>
      <c r="K1115" s="9">
        <f>IF(ISNA(MATCH(1102,Engine!$C$2:$C$1960,0)),"",INDEX('Compliance Database'!$K$2:$K$1960,MATCH(1102,Engine!$C$2:$C$1960,0)))</f>
        <v/>
      </c>
      <c r="L1115" s="9">
        <f>IF(ISNA(MATCH(1102,Engine!$C$2:$C$1960,0)),"",INDEX('Compliance Database'!$L$2:$L$1960,MATCH(1102,Engine!$C$2:$C$1960,0)))</f>
        <v/>
      </c>
      <c r="M1115" s="9">
        <f>IF(ISNA(MATCH(1102,Engine!$C$2:$C$1960,0)),"",INDEX('Compliance Database'!$M$2:$M$1960,MATCH(1102,Engine!$C$2:$C$1960,0)))</f>
        <v/>
      </c>
      <c r="N1115" s="9">
        <f>IF(ISNA(MATCH(1102,Engine!$C$2:$C$1960,0)),"",INDEX('Compliance Database'!$N$2:$N$1960,MATCH(1102,Engine!$C$2:$C$1960,0)))</f>
        <v/>
      </c>
      <c r="O1115" s="9">
        <f>IF(ISNA(MATCH(1102,Engine!$C$2:$C$1960,0)),"",INDEX('Compliance Database'!$O$2:$O$1960,MATCH(1102,Engine!$C$2:$C$1960,0)))</f>
        <v/>
      </c>
      <c r="P1115" s="8">
        <f>IF(ISNA(MATCH(1102,Engine!$C$2:$C$1960,0)),"",HYPERLINK("#Acts!A"&amp;INDEX('Compliance Database'!$P$2:$P$1960,MATCH(1102,Engine!$C$2:$C$1960,0)),"Go to Act"))</f>
        <v/>
      </c>
    </row>
    <row r="1116" ht="158" customHeight="1">
      <c r="A1116" s="8">
        <f>IF(ISNA(MATCH(1103,Engine!$C$2:$C$1960,0)),"",INDEX('Compliance Database'!$A$2:$A$1960,MATCH(1103,Engine!$C$2:$C$1960,0)))</f>
        <v/>
      </c>
      <c r="B1116" s="8">
        <f>IF(ISNA(MATCH(1103,Engine!$C$2:$C$1960,0)),"",INDEX('Compliance Database'!$B$2:$B$1960,MATCH(1103,Engine!$C$2:$C$1960,0)))</f>
        <v/>
      </c>
      <c r="C1116" s="8">
        <f>IF(ISNA(MATCH(1103,Engine!$C$2:$C$1960,0)),"",INDEX('Compliance Database'!$C$2:$C$1960,MATCH(1103,Engine!$C$2:$C$1960,0)))</f>
        <v/>
      </c>
      <c r="D1116" s="9">
        <f>IF(ISNA(MATCH(1103,Engine!$C$2:$C$1960,0)),"",INDEX('Compliance Database'!$D$2:$D$1960,MATCH(1103,Engine!$C$2:$C$1960,0)))</f>
        <v/>
      </c>
      <c r="E1116" s="8">
        <f>IF(ISNA(MATCH(1103,Engine!$C$2:$C$1960,0)),"",INDEX('Compliance Database'!$E$2:$E$1960,MATCH(1103,Engine!$C$2:$C$1960,0)))</f>
        <v/>
      </c>
      <c r="F1116" s="8">
        <f>IF(ISNA(MATCH(1103,Engine!$C$2:$C$1960,0)),"",INDEX('Compliance Database'!$F$2:$F$1960,MATCH(1103,Engine!$C$2:$C$1960,0)))</f>
        <v/>
      </c>
      <c r="G1116" s="8">
        <f>IF(ISNA(MATCH(1103,Engine!$C$2:$C$1960,0)),"",INDEX('Compliance Database'!$G$2:$G$1960,MATCH(1103,Engine!$C$2:$C$1960,0)))</f>
        <v/>
      </c>
      <c r="H1116" s="9">
        <f>IF(ISNA(MATCH(1103,Engine!$C$2:$C$1960,0)),"",INDEX('Compliance Database'!$H$2:$H$1960,MATCH(1103,Engine!$C$2:$C$1960,0)))</f>
        <v/>
      </c>
      <c r="I1116" s="9">
        <f>IF(ISNA(MATCH(1103,Engine!$C$2:$C$1960,0)),"",INDEX('Compliance Database'!$I$2:$I$1960,MATCH(1103,Engine!$C$2:$C$1960,0)))</f>
        <v/>
      </c>
      <c r="J1116" s="8">
        <f>IF(ISNA(MATCH(1103,Engine!$C$2:$C$1960,0)),"",INDEX('Compliance Database'!$J$2:$J$1960,MATCH(1103,Engine!$C$2:$C$1960,0)))</f>
        <v/>
      </c>
      <c r="K1116" s="9">
        <f>IF(ISNA(MATCH(1103,Engine!$C$2:$C$1960,0)),"",INDEX('Compliance Database'!$K$2:$K$1960,MATCH(1103,Engine!$C$2:$C$1960,0)))</f>
        <v/>
      </c>
      <c r="L1116" s="9">
        <f>IF(ISNA(MATCH(1103,Engine!$C$2:$C$1960,0)),"",INDEX('Compliance Database'!$L$2:$L$1960,MATCH(1103,Engine!$C$2:$C$1960,0)))</f>
        <v/>
      </c>
      <c r="M1116" s="9">
        <f>IF(ISNA(MATCH(1103,Engine!$C$2:$C$1960,0)),"",INDEX('Compliance Database'!$M$2:$M$1960,MATCH(1103,Engine!$C$2:$C$1960,0)))</f>
        <v/>
      </c>
      <c r="N1116" s="9">
        <f>IF(ISNA(MATCH(1103,Engine!$C$2:$C$1960,0)),"",INDEX('Compliance Database'!$N$2:$N$1960,MATCH(1103,Engine!$C$2:$C$1960,0)))</f>
        <v/>
      </c>
      <c r="O1116" s="9">
        <f>IF(ISNA(MATCH(1103,Engine!$C$2:$C$1960,0)),"",INDEX('Compliance Database'!$O$2:$O$1960,MATCH(1103,Engine!$C$2:$C$1960,0)))</f>
        <v/>
      </c>
      <c r="P1116" s="8">
        <f>IF(ISNA(MATCH(1103,Engine!$C$2:$C$1960,0)),"",HYPERLINK("#Acts!A"&amp;INDEX('Compliance Database'!$P$2:$P$1960,MATCH(1103,Engine!$C$2:$C$1960,0)),"Go to Act"))</f>
        <v/>
      </c>
    </row>
    <row r="1117" ht="158" customHeight="1">
      <c r="A1117" s="8">
        <f>IF(ISNA(MATCH(1104,Engine!$C$2:$C$1960,0)),"",INDEX('Compliance Database'!$A$2:$A$1960,MATCH(1104,Engine!$C$2:$C$1960,0)))</f>
        <v/>
      </c>
      <c r="B1117" s="8">
        <f>IF(ISNA(MATCH(1104,Engine!$C$2:$C$1960,0)),"",INDEX('Compliance Database'!$B$2:$B$1960,MATCH(1104,Engine!$C$2:$C$1960,0)))</f>
        <v/>
      </c>
      <c r="C1117" s="8">
        <f>IF(ISNA(MATCH(1104,Engine!$C$2:$C$1960,0)),"",INDEX('Compliance Database'!$C$2:$C$1960,MATCH(1104,Engine!$C$2:$C$1960,0)))</f>
        <v/>
      </c>
      <c r="D1117" s="9">
        <f>IF(ISNA(MATCH(1104,Engine!$C$2:$C$1960,0)),"",INDEX('Compliance Database'!$D$2:$D$1960,MATCH(1104,Engine!$C$2:$C$1960,0)))</f>
        <v/>
      </c>
      <c r="E1117" s="8">
        <f>IF(ISNA(MATCH(1104,Engine!$C$2:$C$1960,0)),"",INDEX('Compliance Database'!$E$2:$E$1960,MATCH(1104,Engine!$C$2:$C$1960,0)))</f>
        <v/>
      </c>
      <c r="F1117" s="8">
        <f>IF(ISNA(MATCH(1104,Engine!$C$2:$C$1960,0)),"",INDEX('Compliance Database'!$F$2:$F$1960,MATCH(1104,Engine!$C$2:$C$1960,0)))</f>
        <v/>
      </c>
      <c r="G1117" s="8">
        <f>IF(ISNA(MATCH(1104,Engine!$C$2:$C$1960,0)),"",INDEX('Compliance Database'!$G$2:$G$1960,MATCH(1104,Engine!$C$2:$C$1960,0)))</f>
        <v/>
      </c>
      <c r="H1117" s="9">
        <f>IF(ISNA(MATCH(1104,Engine!$C$2:$C$1960,0)),"",INDEX('Compliance Database'!$H$2:$H$1960,MATCH(1104,Engine!$C$2:$C$1960,0)))</f>
        <v/>
      </c>
      <c r="I1117" s="9">
        <f>IF(ISNA(MATCH(1104,Engine!$C$2:$C$1960,0)),"",INDEX('Compliance Database'!$I$2:$I$1960,MATCH(1104,Engine!$C$2:$C$1960,0)))</f>
        <v/>
      </c>
      <c r="J1117" s="8">
        <f>IF(ISNA(MATCH(1104,Engine!$C$2:$C$1960,0)),"",INDEX('Compliance Database'!$J$2:$J$1960,MATCH(1104,Engine!$C$2:$C$1960,0)))</f>
        <v/>
      </c>
      <c r="K1117" s="9">
        <f>IF(ISNA(MATCH(1104,Engine!$C$2:$C$1960,0)),"",INDEX('Compliance Database'!$K$2:$K$1960,MATCH(1104,Engine!$C$2:$C$1960,0)))</f>
        <v/>
      </c>
      <c r="L1117" s="9">
        <f>IF(ISNA(MATCH(1104,Engine!$C$2:$C$1960,0)),"",INDEX('Compliance Database'!$L$2:$L$1960,MATCH(1104,Engine!$C$2:$C$1960,0)))</f>
        <v/>
      </c>
      <c r="M1117" s="9">
        <f>IF(ISNA(MATCH(1104,Engine!$C$2:$C$1960,0)),"",INDEX('Compliance Database'!$M$2:$M$1960,MATCH(1104,Engine!$C$2:$C$1960,0)))</f>
        <v/>
      </c>
      <c r="N1117" s="9">
        <f>IF(ISNA(MATCH(1104,Engine!$C$2:$C$1960,0)),"",INDEX('Compliance Database'!$N$2:$N$1960,MATCH(1104,Engine!$C$2:$C$1960,0)))</f>
        <v/>
      </c>
      <c r="O1117" s="9">
        <f>IF(ISNA(MATCH(1104,Engine!$C$2:$C$1960,0)),"",INDEX('Compliance Database'!$O$2:$O$1960,MATCH(1104,Engine!$C$2:$C$1960,0)))</f>
        <v/>
      </c>
      <c r="P1117" s="8">
        <f>IF(ISNA(MATCH(1104,Engine!$C$2:$C$1960,0)),"",HYPERLINK("#Acts!A"&amp;INDEX('Compliance Database'!$P$2:$P$1960,MATCH(1104,Engine!$C$2:$C$1960,0)),"Go to Act"))</f>
        <v/>
      </c>
    </row>
    <row r="1118" ht="158" customHeight="1">
      <c r="A1118" s="8">
        <f>IF(ISNA(MATCH(1105,Engine!$C$2:$C$1960,0)),"",INDEX('Compliance Database'!$A$2:$A$1960,MATCH(1105,Engine!$C$2:$C$1960,0)))</f>
        <v/>
      </c>
      <c r="B1118" s="8">
        <f>IF(ISNA(MATCH(1105,Engine!$C$2:$C$1960,0)),"",INDEX('Compliance Database'!$B$2:$B$1960,MATCH(1105,Engine!$C$2:$C$1960,0)))</f>
        <v/>
      </c>
      <c r="C1118" s="8">
        <f>IF(ISNA(MATCH(1105,Engine!$C$2:$C$1960,0)),"",INDEX('Compliance Database'!$C$2:$C$1960,MATCH(1105,Engine!$C$2:$C$1960,0)))</f>
        <v/>
      </c>
      <c r="D1118" s="9">
        <f>IF(ISNA(MATCH(1105,Engine!$C$2:$C$1960,0)),"",INDEX('Compliance Database'!$D$2:$D$1960,MATCH(1105,Engine!$C$2:$C$1960,0)))</f>
        <v/>
      </c>
      <c r="E1118" s="8">
        <f>IF(ISNA(MATCH(1105,Engine!$C$2:$C$1960,0)),"",INDEX('Compliance Database'!$E$2:$E$1960,MATCH(1105,Engine!$C$2:$C$1960,0)))</f>
        <v/>
      </c>
      <c r="F1118" s="8">
        <f>IF(ISNA(MATCH(1105,Engine!$C$2:$C$1960,0)),"",INDEX('Compliance Database'!$F$2:$F$1960,MATCH(1105,Engine!$C$2:$C$1960,0)))</f>
        <v/>
      </c>
      <c r="G1118" s="8">
        <f>IF(ISNA(MATCH(1105,Engine!$C$2:$C$1960,0)),"",INDEX('Compliance Database'!$G$2:$G$1960,MATCH(1105,Engine!$C$2:$C$1960,0)))</f>
        <v/>
      </c>
      <c r="H1118" s="9">
        <f>IF(ISNA(MATCH(1105,Engine!$C$2:$C$1960,0)),"",INDEX('Compliance Database'!$H$2:$H$1960,MATCH(1105,Engine!$C$2:$C$1960,0)))</f>
        <v/>
      </c>
      <c r="I1118" s="9">
        <f>IF(ISNA(MATCH(1105,Engine!$C$2:$C$1960,0)),"",INDEX('Compliance Database'!$I$2:$I$1960,MATCH(1105,Engine!$C$2:$C$1960,0)))</f>
        <v/>
      </c>
      <c r="J1118" s="8">
        <f>IF(ISNA(MATCH(1105,Engine!$C$2:$C$1960,0)),"",INDEX('Compliance Database'!$J$2:$J$1960,MATCH(1105,Engine!$C$2:$C$1960,0)))</f>
        <v/>
      </c>
      <c r="K1118" s="9">
        <f>IF(ISNA(MATCH(1105,Engine!$C$2:$C$1960,0)),"",INDEX('Compliance Database'!$K$2:$K$1960,MATCH(1105,Engine!$C$2:$C$1960,0)))</f>
        <v/>
      </c>
      <c r="L1118" s="9">
        <f>IF(ISNA(MATCH(1105,Engine!$C$2:$C$1960,0)),"",INDEX('Compliance Database'!$L$2:$L$1960,MATCH(1105,Engine!$C$2:$C$1960,0)))</f>
        <v/>
      </c>
      <c r="M1118" s="9">
        <f>IF(ISNA(MATCH(1105,Engine!$C$2:$C$1960,0)),"",INDEX('Compliance Database'!$M$2:$M$1960,MATCH(1105,Engine!$C$2:$C$1960,0)))</f>
        <v/>
      </c>
      <c r="N1118" s="9">
        <f>IF(ISNA(MATCH(1105,Engine!$C$2:$C$1960,0)),"",INDEX('Compliance Database'!$N$2:$N$1960,MATCH(1105,Engine!$C$2:$C$1960,0)))</f>
        <v/>
      </c>
      <c r="O1118" s="9">
        <f>IF(ISNA(MATCH(1105,Engine!$C$2:$C$1960,0)),"",INDEX('Compliance Database'!$O$2:$O$1960,MATCH(1105,Engine!$C$2:$C$1960,0)))</f>
        <v/>
      </c>
      <c r="P1118" s="8">
        <f>IF(ISNA(MATCH(1105,Engine!$C$2:$C$1960,0)),"",HYPERLINK("#Acts!A"&amp;INDEX('Compliance Database'!$P$2:$P$1960,MATCH(1105,Engine!$C$2:$C$1960,0)),"Go to Act"))</f>
        <v/>
      </c>
    </row>
    <row r="1119" ht="158" customHeight="1">
      <c r="A1119" s="8">
        <f>IF(ISNA(MATCH(1106,Engine!$C$2:$C$1960,0)),"",INDEX('Compliance Database'!$A$2:$A$1960,MATCH(1106,Engine!$C$2:$C$1960,0)))</f>
        <v/>
      </c>
      <c r="B1119" s="8">
        <f>IF(ISNA(MATCH(1106,Engine!$C$2:$C$1960,0)),"",INDEX('Compliance Database'!$B$2:$B$1960,MATCH(1106,Engine!$C$2:$C$1960,0)))</f>
        <v/>
      </c>
      <c r="C1119" s="8">
        <f>IF(ISNA(MATCH(1106,Engine!$C$2:$C$1960,0)),"",INDEX('Compliance Database'!$C$2:$C$1960,MATCH(1106,Engine!$C$2:$C$1960,0)))</f>
        <v/>
      </c>
      <c r="D1119" s="9">
        <f>IF(ISNA(MATCH(1106,Engine!$C$2:$C$1960,0)),"",INDEX('Compliance Database'!$D$2:$D$1960,MATCH(1106,Engine!$C$2:$C$1960,0)))</f>
        <v/>
      </c>
      <c r="E1119" s="8">
        <f>IF(ISNA(MATCH(1106,Engine!$C$2:$C$1960,0)),"",INDEX('Compliance Database'!$E$2:$E$1960,MATCH(1106,Engine!$C$2:$C$1960,0)))</f>
        <v/>
      </c>
      <c r="F1119" s="8">
        <f>IF(ISNA(MATCH(1106,Engine!$C$2:$C$1960,0)),"",INDEX('Compliance Database'!$F$2:$F$1960,MATCH(1106,Engine!$C$2:$C$1960,0)))</f>
        <v/>
      </c>
      <c r="G1119" s="8">
        <f>IF(ISNA(MATCH(1106,Engine!$C$2:$C$1960,0)),"",INDEX('Compliance Database'!$G$2:$G$1960,MATCH(1106,Engine!$C$2:$C$1960,0)))</f>
        <v/>
      </c>
      <c r="H1119" s="9">
        <f>IF(ISNA(MATCH(1106,Engine!$C$2:$C$1960,0)),"",INDEX('Compliance Database'!$H$2:$H$1960,MATCH(1106,Engine!$C$2:$C$1960,0)))</f>
        <v/>
      </c>
      <c r="I1119" s="9">
        <f>IF(ISNA(MATCH(1106,Engine!$C$2:$C$1960,0)),"",INDEX('Compliance Database'!$I$2:$I$1960,MATCH(1106,Engine!$C$2:$C$1960,0)))</f>
        <v/>
      </c>
      <c r="J1119" s="8">
        <f>IF(ISNA(MATCH(1106,Engine!$C$2:$C$1960,0)),"",INDEX('Compliance Database'!$J$2:$J$1960,MATCH(1106,Engine!$C$2:$C$1960,0)))</f>
        <v/>
      </c>
      <c r="K1119" s="9">
        <f>IF(ISNA(MATCH(1106,Engine!$C$2:$C$1960,0)),"",INDEX('Compliance Database'!$K$2:$K$1960,MATCH(1106,Engine!$C$2:$C$1960,0)))</f>
        <v/>
      </c>
      <c r="L1119" s="9">
        <f>IF(ISNA(MATCH(1106,Engine!$C$2:$C$1960,0)),"",INDEX('Compliance Database'!$L$2:$L$1960,MATCH(1106,Engine!$C$2:$C$1960,0)))</f>
        <v/>
      </c>
      <c r="M1119" s="9">
        <f>IF(ISNA(MATCH(1106,Engine!$C$2:$C$1960,0)),"",INDEX('Compliance Database'!$M$2:$M$1960,MATCH(1106,Engine!$C$2:$C$1960,0)))</f>
        <v/>
      </c>
      <c r="N1119" s="9">
        <f>IF(ISNA(MATCH(1106,Engine!$C$2:$C$1960,0)),"",INDEX('Compliance Database'!$N$2:$N$1960,MATCH(1106,Engine!$C$2:$C$1960,0)))</f>
        <v/>
      </c>
      <c r="O1119" s="9">
        <f>IF(ISNA(MATCH(1106,Engine!$C$2:$C$1960,0)),"",INDEX('Compliance Database'!$O$2:$O$1960,MATCH(1106,Engine!$C$2:$C$1960,0)))</f>
        <v/>
      </c>
      <c r="P1119" s="8">
        <f>IF(ISNA(MATCH(1106,Engine!$C$2:$C$1960,0)),"",HYPERLINK("#Acts!A"&amp;INDEX('Compliance Database'!$P$2:$P$1960,MATCH(1106,Engine!$C$2:$C$1960,0)),"Go to Act"))</f>
        <v/>
      </c>
    </row>
    <row r="1120" ht="158" customHeight="1">
      <c r="A1120" s="8">
        <f>IF(ISNA(MATCH(1107,Engine!$C$2:$C$1960,0)),"",INDEX('Compliance Database'!$A$2:$A$1960,MATCH(1107,Engine!$C$2:$C$1960,0)))</f>
        <v/>
      </c>
      <c r="B1120" s="8">
        <f>IF(ISNA(MATCH(1107,Engine!$C$2:$C$1960,0)),"",INDEX('Compliance Database'!$B$2:$B$1960,MATCH(1107,Engine!$C$2:$C$1960,0)))</f>
        <v/>
      </c>
      <c r="C1120" s="8">
        <f>IF(ISNA(MATCH(1107,Engine!$C$2:$C$1960,0)),"",INDEX('Compliance Database'!$C$2:$C$1960,MATCH(1107,Engine!$C$2:$C$1960,0)))</f>
        <v/>
      </c>
      <c r="D1120" s="9">
        <f>IF(ISNA(MATCH(1107,Engine!$C$2:$C$1960,0)),"",INDEX('Compliance Database'!$D$2:$D$1960,MATCH(1107,Engine!$C$2:$C$1960,0)))</f>
        <v/>
      </c>
      <c r="E1120" s="8">
        <f>IF(ISNA(MATCH(1107,Engine!$C$2:$C$1960,0)),"",INDEX('Compliance Database'!$E$2:$E$1960,MATCH(1107,Engine!$C$2:$C$1960,0)))</f>
        <v/>
      </c>
      <c r="F1120" s="8">
        <f>IF(ISNA(MATCH(1107,Engine!$C$2:$C$1960,0)),"",INDEX('Compliance Database'!$F$2:$F$1960,MATCH(1107,Engine!$C$2:$C$1960,0)))</f>
        <v/>
      </c>
      <c r="G1120" s="8">
        <f>IF(ISNA(MATCH(1107,Engine!$C$2:$C$1960,0)),"",INDEX('Compliance Database'!$G$2:$G$1960,MATCH(1107,Engine!$C$2:$C$1960,0)))</f>
        <v/>
      </c>
      <c r="H1120" s="9">
        <f>IF(ISNA(MATCH(1107,Engine!$C$2:$C$1960,0)),"",INDEX('Compliance Database'!$H$2:$H$1960,MATCH(1107,Engine!$C$2:$C$1960,0)))</f>
        <v/>
      </c>
      <c r="I1120" s="9">
        <f>IF(ISNA(MATCH(1107,Engine!$C$2:$C$1960,0)),"",INDEX('Compliance Database'!$I$2:$I$1960,MATCH(1107,Engine!$C$2:$C$1960,0)))</f>
        <v/>
      </c>
      <c r="J1120" s="8">
        <f>IF(ISNA(MATCH(1107,Engine!$C$2:$C$1960,0)),"",INDEX('Compliance Database'!$J$2:$J$1960,MATCH(1107,Engine!$C$2:$C$1960,0)))</f>
        <v/>
      </c>
      <c r="K1120" s="9">
        <f>IF(ISNA(MATCH(1107,Engine!$C$2:$C$1960,0)),"",INDEX('Compliance Database'!$K$2:$K$1960,MATCH(1107,Engine!$C$2:$C$1960,0)))</f>
        <v/>
      </c>
      <c r="L1120" s="9">
        <f>IF(ISNA(MATCH(1107,Engine!$C$2:$C$1960,0)),"",INDEX('Compliance Database'!$L$2:$L$1960,MATCH(1107,Engine!$C$2:$C$1960,0)))</f>
        <v/>
      </c>
      <c r="M1120" s="9">
        <f>IF(ISNA(MATCH(1107,Engine!$C$2:$C$1960,0)),"",INDEX('Compliance Database'!$M$2:$M$1960,MATCH(1107,Engine!$C$2:$C$1960,0)))</f>
        <v/>
      </c>
      <c r="N1120" s="9">
        <f>IF(ISNA(MATCH(1107,Engine!$C$2:$C$1960,0)),"",INDEX('Compliance Database'!$N$2:$N$1960,MATCH(1107,Engine!$C$2:$C$1960,0)))</f>
        <v/>
      </c>
      <c r="O1120" s="9">
        <f>IF(ISNA(MATCH(1107,Engine!$C$2:$C$1960,0)),"",INDEX('Compliance Database'!$O$2:$O$1960,MATCH(1107,Engine!$C$2:$C$1960,0)))</f>
        <v/>
      </c>
      <c r="P1120" s="8">
        <f>IF(ISNA(MATCH(1107,Engine!$C$2:$C$1960,0)),"",HYPERLINK("#Acts!A"&amp;INDEX('Compliance Database'!$P$2:$P$1960,MATCH(1107,Engine!$C$2:$C$1960,0)),"Go to Act"))</f>
        <v/>
      </c>
    </row>
    <row r="1121" ht="158" customHeight="1">
      <c r="A1121" s="8">
        <f>IF(ISNA(MATCH(1108,Engine!$C$2:$C$1960,0)),"",INDEX('Compliance Database'!$A$2:$A$1960,MATCH(1108,Engine!$C$2:$C$1960,0)))</f>
        <v/>
      </c>
      <c r="B1121" s="8">
        <f>IF(ISNA(MATCH(1108,Engine!$C$2:$C$1960,0)),"",INDEX('Compliance Database'!$B$2:$B$1960,MATCH(1108,Engine!$C$2:$C$1960,0)))</f>
        <v/>
      </c>
      <c r="C1121" s="8">
        <f>IF(ISNA(MATCH(1108,Engine!$C$2:$C$1960,0)),"",INDEX('Compliance Database'!$C$2:$C$1960,MATCH(1108,Engine!$C$2:$C$1960,0)))</f>
        <v/>
      </c>
      <c r="D1121" s="9">
        <f>IF(ISNA(MATCH(1108,Engine!$C$2:$C$1960,0)),"",INDEX('Compliance Database'!$D$2:$D$1960,MATCH(1108,Engine!$C$2:$C$1960,0)))</f>
        <v/>
      </c>
      <c r="E1121" s="8">
        <f>IF(ISNA(MATCH(1108,Engine!$C$2:$C$1960,0)),"",INDEX('Compliance Database'!$E$2:$E$1960,MATCH(1108,Engine!$C$2:$C$1960,0)))</f>
        <v/>
      </c>
      <c r="F1121" s="8">
        <f>IF(ISNA(MATCH(1108,Engine!$C$2:$C$1960,0)),"",INDEX('Compliance Database'!$F$2:$F$1960,MATCH(1108,Engine!$C$2:$C$1960,0)))</f>
        <v/>
      </c>
      <c r="G1121" s="8">
        <f>IF(ISNA(MATCH(1108,Engine!$C$2:$C$1960,0)),"",INDEX('Compliance Database'!$G$2:$G$1960,MATCH(1108,Engine!$C$2:$C$1960,0)))</f>
        <v/>
      </c>
      <c r="H1121" s="9">
        <f>IF(ISNA(MATCH(1108,Engine!$C$2:$C$1960,0)),"",INDEX('Compliance Database'!$H$2:$H$1960,MATCH(1108,Engine!$C$2:$C$1960,0)))</f>
        <v/>
      </c>
      <c r="I1121" s="9">
        <f>IF(ISNA(MATCH(1108,Engine!$C$2:$C$1960,0)),"",INDEX('Compliance Database'!$I$2:$I$1960,MATCH(1108,Engine!$C$2:$C$1960,0)))</f>
        <v/>
      </c>
      <c r="J1121" s="8">
        <f>IF(ISNA(MATCH(1108,Engine!$C$2:$C$1960,0)),"",INDEX('Compliance Database'!$J$2:$J$1960,MATCH(1108,Engine!$C$2:$C$1960,0)))</f>
        <v/>
      </c>
      <c r="K1121" s="9">
        <f>IF(ISNA(MATCH(1108,Engine!$C$2:$C$1960,0)),"",INDEX('Compliance Database'!$K$2:$K$1960,MATCH(1108,Engine!$C$2:$C$1960,0)))</f>
        <v/>
      </c>
      <c r="L1121" s="9">
        <f>IF(ISNA(MATCH(1108,Engine!$C$2:$C$1960,0)),"",INDEX('Compliance Database'!$L$2:$L$1960,MATCH(1108,Engine!$C$2:$C$1960,0)))</f>
        <v/>
      </c>
      <c r="M1121" s="9">
        <f>IF(ISNA(MATCH(1108,Engine!$C$2:$C$1960,0)),"",INDEX('Compliance Database'!$M$2:$M$1960,MATCH(1108,Engine!$C$2:$C$1960,0)))</f>
        <v/>
      </c>
      <c r="N1121" s="9">
        <f>IF(ISNA(MATCH(1108,Engine!$C$2:$C$1960,0)),"",INDEX('Compliance Database'!$N$2:$N$1960,MATCH(1108,Engine!$C$2:$C$1960,0)))</f>
        <v/>
      </c>
      <c r="O1121" s="9">
        <f>IF(ISNA(MATCH(1108,Engine!$C$2:$C$1960,0)),"",INDEX('Compliance Database'!$O$2:$O$1960,MATCH(1108,Engine!$C$2:$C$1960,0)))</f>
        <v/>
      </c>
      <c r="P1121" s="8">
        <f>IF(ISNA(MATCH(1108,Engine!$C$2:$C$1960,0)),"",HYPERLINK("#Acts!A"&amp;INDEX('Compliance Database'!$P$2:$P$1960,MATCH(1108,Engine!$C$2:$C$1960,0)),"Go to Act"))</f>
        <v/>
      </c>
    </row>
    <row r="1122" ht="158" customHeight="1">
      <c r="A1122" s="8">
        <f>IF(ISNA(MATCH(1109,Engine!$C$2:$C$1960,0)),"",INDEX('Compliance Database'!$A$2:$A$1960,MATCH(1109,Engine!$C$2:$C$1960,0)))</f>
        <v/>
      </c>
      <c r="B1122" s="8">
        <f>IF(ISNA(MATCH(1109,Engine!$C$2:$C$1960,0)),"",INDEX('Compliance Database'!$B$2:$B$1960,MATCH(1109,Engine!$C$2:$C$1960,0)))</f>
        <v/>
      </c>
      <c r="C1122" s="8">
        <f>IF(ISNA(MATCH(1109,Engine!$C$2:$C$1960,0)),"",INDEX('Compliance Database'!$C$2:$C$1960,MATCH(1109,Engine!$C$2:$C$1960,0)))</f>
        <v/>
      </c>
      <c r="D1122" s="9">
        <f>IF(ISNA(MATCH(1109,Engine!$C$2:$C$1960,0)),"",INDEX('Compliance Database'!$D$2:$D$1960,MATCH(1109,Engine!$C$2:$C$1960,0)))</f>
        <v/>
      </c>
      <c r="E1122" s="8">
        <f>IF(ISNA(MATCH(1109,Engine!$C$2:$C$1960,0)),"",INDEX('Compliance Database'!$E$2:$E$1960,MATCH(1109,Engine!$C$2:$C$1960,0)))</f>
        <v/>
      </c>
      <c r="F1122" s="8">
        <f>IF(ISNA(MATCH(1109,Engine!$C$2:$C$1960,0)),"",INDEX('Compliance Database'!$F$2:$F$1960,MATCH(1109,Engine!$C$2:$C$1960,0)))</f>
        <v/>
      </c>
      <c r="G1122" s="8">
        <f>IF(ISNA(MATCH(1109,Engine!$C$2:$C$1960,0)),"",INDEX('Compliance Database'!$G$2:$G$1960,MATCH(1109,Engine!$C$2:$C$1960,0)))</f>
        <v/>
      </c>
      <c r="H1122" s="9">
        <f>IF(ISNA(MATCH(1109,Engine!$C$2:$C$1960,0)),"",INDEX('Compliance Database'!$H$2:$H$1960,MATCH(1109,Engine!$C$2:$C$1960,0)))</f>
        <v/>
      </c>
      <c r="I1122" s="9">
        <f>IF(ISNA(MATCH(1109,Engine!$C$2:$C$1960,0)),"",INDEX('Compliance Database'!$I$2:$I$1960,MATCH(1109,Engine!$C$2:$C$1960,0)))</f>
        <v/>
      </c>
      <c r="J1122" s="8">
        <f>IF(ISNA(MATCH(1109,Engine!$C$2:$C$1960,0)),"",INDEX('Compliance Database'!$J$2:$J$1960,MATCH(1109,Engine!$C$2:$C$1960,0)))</f>
        <v/>
      </c>
      <c r="K1122" s="9">
        <f>IF(ISNA(MATCH(1109,Engine!$C$2:$C$1960,0)),"",INDEX('Compliance Database'!$K$2:$K$1960,MATCH(1109,Engine!$C$2:$C$1960,0)))</f>
        <v/>
      </c>
      <c r="L1122" s="9">
        <f>IF(ISNA(MATCH(1109,Engine!$C$2:$C$1960,0)),"",INDEX('Compliance Database'!$L$2:$L$1960,MATCH(1109,Engine!$C$2:$C$1960,0)))</f>
        <v/>
      </c>
      <c r="M1122" s="9">
        <f>IF(ISNA(MATCH(1109,Engine!$C$2:$C$1960,0)),"",INDEX('Compliance Database'!$M$2:$M$1960,MATCH(1109,Engine!$C$2:$C$1960,0)))</f>
        <v/>
      </c>
      <c r="N1122" s="9">
        <f>IF(ISNA(MATCH(1109,Engine!$C$2:$C$1960,0)),"",INDEX('Compliance Database'!$N$2:$N$1960,MATCH(1109,Engine!$C$2:$C$1960,0)))</f>
        <v/>
      </c>
      <c r="O1122" s="9">
        <f>IF(ISNA(MATCH(1109,Engine!$C$2:$C$1960,0)),"",INDEX('Compliance Database'!$O$2:$O$1960,MATCH(1109,Engine!$C$2:$C$1960,0)))</f>
        <v/>
      </c>
      <c r="P1122" s="8">
        <f>IF(ISNA(MATCH(1109,Engine!$C$2:$C$1960,0)),"",HYPERLINK("#Acts!A"&amp;INDEX('Compliance Database'!$P$2:$P$1960,MATCH(1109,Engine!$C$2:$C$1960,0)),"Go to Act"))</f>
        <v/>
      </c>
    </row>
    <row r="1123" ht="158" customHeight="1">
      <c r="A1123" s="8">
        <f>IF(ISNA(MATCH(1110,Engine!$C$2:$C$1960,0)),"",INDEX('Compliance Database'!$A$2:$A$1960,MATCH(1110,Engine!$C$2:$C$1960,0)))</f>
        <v/>
      </c>
      <c r="B1123" s="8">
        <f>IF(ISNA(MATCH(1110,Engine!$C$2:$C$1960,0)),"",INDEX('Compliance Database'!$B$2:$B$1960,MATCH(1110,Engine!$C$2:$C$1960,0)))</f>
        <v/>
      </c>
      <c r="C1123" s="8">
        <f>IF(ISNA(MATCH(1110,Engine!$C$2:$C$1960,0)),"",INDEX('Compliance Database'!$C$2:$C$1960,MATCH(1110,Engine!$C$2:$C$1960,0)))</f>
        <v/>
      </c>
      <c r="D1123" s="9">
        <f>IF(ISNA(MATCH(1110,Engine!$C$2:$C$1960,0)),"",INDEX('Compliance Database'!$D$2:$D$1960,MATCH(1110,Engine!$C$2:$C$1960,0)))</f>
        <v/>
      </c>
      <c r="E1123" s="8">
        <f>IF(ISNA(MATCH(1110,Engine!$C$2:$C$1960,0)),"",INDEX('Compliance Database'!$E$2:$E$1960,MATCH(1110,Engine!$C$2:$C$1960,0)))</f>
        <v/>
      </c>
      <c r="F1123" s="8">
        <f>IF(ISNA(MATCH(1110,Engine!$C$2:$C$1960,0)),"",INDEX('Compliance Database'!$F$2:$F$1960,MATCH(1110,Engine!$C$2:$C$1960,0)))</f>
        <v/>
      </c>
      <c r="G1123" s="8">
        <f>IF(ISNA(MATCH(1110,Engine!$C$2:$C$1960,0)),"",INDEX('Compliance Database'!$G$2:$G$1960,MATCH(1110,Engine!$C$2:$C$1960,0)))</f>
        <v/>
      </c>
      <c r="H1123" s="9">
        <f>IF(ISNA(MATCH(1110,Engine!$C$2:$C$1960,0)),"",INDEX('Compliance Database'!$H$2:$H$1960,MATCH(1110,Engine!$C$2:$C$1960,0)))</f>
        <v/>
      </c>
      <c r="I1123" s="9">
        <f>IF(ISNA(MATCH(1110,Engine!$C$2:$C$1960,0)),"",INDEX('Compliance Database'!$I$2:$I$1960,MATCH(1110,Engine!$C$2:$C$1960,0)))</f>
        <v/>
      </c>
      <c r="J1123" s="8">
        <f>IF(ISNA(MATCH(1110,Engine!$C$2:$C$1960,0)),"",INDEX('Compliance Database'!$J$2:$J$1960,MATCH(1110,Engine!$C$2:$C$1960,0)))</f>
        <v/>
      </c>
      <c r="K1123" s="9">
        <f>IF(ISNA(MATCH(1110,Engine!$C$2:$C$1960,0)),"",INDEX('Compliance Database'!$K$2:$K$1960,MATCH(1110,Engine!$C$2:$C$1960,0)))</f>
        <v/>
      </c>
      <c r="L1123" s="9">
        <f>IF(ISNA(MATCH(1110,Engine!$C$2:$C$1960,0)),"",INDEX('Compliance Database'!$L$2:$L$1960,MATCH(1110,Engine!$C$2:$C$1960,0)))</f>
        <v/>
      </c>
      <c r="M1123" s="9">
        <f>IF(ISNA(MATCH(1110,Engine!$C$2:$C$1960,0)),"",INDEX('Compliance Database'!$M$2:$M$1960,MATCH(1110,Engine!$C$2:$C$1960,0)))</f>
        <v/>
      </c>
      <c r="N1123" s="9">
        <f>IF(ISNA(MATCH(1110,Engine!$C$2:$C$1960,0)),"",INDEX('Compliance Database'!$N$2:$N$1960,MATCH(1110,Engine!$C$2:$C$1960,0)))</f>
        <v/>
      </c>
      <c r="O1123" s="9">
        <f>IF(ISNA(MATCH(1110,Engine!$C$2:$C$1960,0)),"",INDEX('Compliance Database'!$O$2:$O$1960,MATCH(1110,Engine!$C$2:$C$1960,0)))</f>
        <v/>
      </c>
      <c r="P1123" s="8">
        <f>IF(ISNA(MATCH(1110,Engine!$C$2:$C$1960,0)),"",HYPERLINK("#Acts!A"&amp;INDEX('Compliance Database'!$P$2:$P$1960,MATCH(1110,Engine!$C$2:$C$1960,0)),"Go to Act"))</f>
        <v/>
      </c>
    </row>
    <row r="1124" ht="158" customHeight="1">
      <c r="A1124" s="8">
        <f>IF(ISNA(MATCH(1111,Engine!$C$2:$C$1960,0)),"",INDEX('Compliance Database'!$A$2:$A$1960,MATCH(1111,Engine!$C$2:$C$1960,0)))</f>
        <v/>
      </c>
      <c r="B1124" s="8">
        <f>IF(ISNA(MATCH(1111,Engine!$C$2:$C$1960,0)),"",INDEX('Compliance Database'!$B$2:$B$1960,MATCH(1111,Engine!$C$2:$C$1960,0)))</f>
        <v/>
      </c>
      <c r="C1124" s="8">
        <f>IF(ISNA(MATCH(1111,Engine!$C$2:$C$1960,0)),"",INDEX('Compliance Database'!$C$2:$C$1960,MATCH(1111,Engine!$C$2:$C$1960,0)))</f>
        <v/>
      </c>
      <c r="D1124" s="9">
        <f>IF(ISNA(MATCH(1111,Engine!$C$2:$C$1960,0)),"",INDEX('Compliance Database'!$D$2:$D$1960,MATCH(1111,Engine!$C$2:$C$1960,0)))</f>
        <v/>
      </c>
      <c r="E1124" s="8">
        <f>IF(ISNA(MATCH(1111,Engine!$C$2:$C$1960,0)),"",INDEX('Compliance Database'!$E$2:$E$1960,MATCH(1111,Engine!$C$2:$C$1960,0)))</f>
        <v/>
      </c>
      <c r="F1124" s="8">
        <f>IF(ISNA(MATCH(1111,Engine!$C$2:$C$1960,0)),"",INDEX('Compliance Database'!$F$2:$F$1960,MATCH(1111,Engine!$C$2:$C$1960,0)))</f>
        <v/>
      </c>
      <c r="G1124" s="8">
        <f>IF(ISNA(MATCH(1111,Engine!$C$2:$C$1960,0)),"",INDEX('Compliance Database'!$G$2:$G$1960,MATCH(1111,Engine!$C$2:$C$1960,0)))</f>
        <v/>
      </c>
      <c r="H1124" s="9">
        <f>IF(ISNA(MATCH(1111,Engine!$C$2:$C$1960,0)),"",INDEX('Compliance Database'!$H$2:$H$1960,MATCH(1111,Engine!$C$2:$C$1960,0)))</f>
        <v/>
      </c>
      <c r="I1124" s="9">
        <f>IF(ISNA(MATCH(1111,Engine!$C$2:$C$1960,0)),"",INDEX('Compliance Database'!$I$2:$I$1960,MATCH(1111,Engine!$C$2:$C$1960,0)))</f>
        <v/>
      </c>
      <c r="J1124" s="8">
        <f>IF(ISNA(MATCH(1111,Engine!$C$2:$C$1960,0)),"",INDEX('Compliance Database'!$J$2:$J$1960,MATCH(1111,Engine!$C$2:$C$1960,0)))</f>
        <v/>
      </c>
      <c r="K1124" s="9">
        <f>IF(ISNA(MATCH(1111,Engine!$C$2:$C$1960,0)),"",INDEX('Compliance Database'!$K$2:$K$1960,MATCH(1111,Engine!$C$2:$C$1960,0)))</f>
        <v/>
      </c>
      <c r="L1124" s="9">
        <f>IF(ISNA(MATCH(1111,Engine!$C$2:$C$1960,0)),"",INDEX('Compliance Database'!$L$2:$L$1960,MATCH(1111,Engine!$C$2:$C$1960,0)))</f>
        <v/>
      </c>
      <c r="M1124" s="9">
        <f>IF(ISNA(MATCH(1111,Engine!$C$2:$C$1960,0)),"",INDEX('Compliance Database'!$M$2:$M$1960,MATCH(1111,Engine!$C$2:$C$1960,0)))</f>
        <v/>
      </c>
      <c r="N1124" s="9">
        <f>IF(ISNA(MATCH(1111,Engine!$C$2:$C$1960,0)),"",INDEX('Compliance Database'!$N$2:$N$1960,MATCH(1111,Engine!$C$2:$C$1960,0)))</f>
        <v/>
      </c>
      <c r="O1124" s="9">
        <f>IF(ISNA(MATCH(1111,Engine!$C$2:$C$1960,0)),"",INDEX('Compliance Database'!$O$2:$O$1960,MATCH(1111,Engine!$C$2:$C$1960,0)))</f>
        <v/>
      </c>
      <c r="P1124" s="8">
        <f>IF(ISNA(MATCH(1111,Engine!$C$2:$C$1960,0)),"",HYPERLINK("#Acts!A"&amp;INDEX('Compliance Database'!$P$2:$P$1960,MATCH(1111,Engine!$C$2:$C$1960,0)),"Go to Act"))</f>
        <v/>
      </c>
    </row>
    <row r="1125" ht="158" customHeight="1">
      <c r="A1125" s="8">
        <f>IF(ISNA(MATCH(1112,Engine!$C$2:$C$1960,0)),"",INDEX('Compliance Database'!$A$2:$A$1960,MATCH(1112,Engine!$C$2:$C$1960,0)))</f>
        <v/>
      </c>
      <c r="B1125" s="8">
        <f>IF(ISNA(MATCH(1112,Engine!$C$2:$C$1960,0)),"",INDEX('Compliance Database'!$B$2:$B$1960,MATCH(1112,Engine!$C$2:$C$1960,0)))</f>
        <v/>
      </c>
      <c r="C1125" s="8">
        <f>IF(ISNA(MATCH(1112,Engine!$C$2:$C$1960,0)),"",INDEX('Compliance Database'!$C$2:$C$1960,MATCH(1112,Engine!$C$2:$C$1960,0)))</f>
        <v/>
      </c>
      <c r="D1125" s="9">
        <f>IF(ISNA(MATCH(1112,Engine!$C$2:$C$1960,0)),"",INDEX('Compliance Database'!$D$2:$D$1960,MATCH(1112,Engine!$C$2:$C$1960,0)))</f>
        <v/>
      </c>
      <c r="E1125" s="8">
        <f>IF(ISNA(MATCH(1112,Engine!$C$2:$C$1960,0)),"",INDEX('Compliance Database'!$E$2:$E$1960,MATCH(1112,Engine!$C$2:$C$1960,0)))</f>
        <v/>
      </c>
      <c r="F1125" s="8">
        <f>IF(ISNA(MATCH(1112,Engine!$C$2:$C$1960,0)),"",INDEX('Compliance Database'!$F$2:$F$1960,MATCH(1112,Engine!$C$2:$C$1960,0)))</f>
        <v/>
      </c>
      <c r="G1125" s="8">
        <f>IF(ISNA(MATCH(1112,Engine!$C$2:$C$1960,0)),"",INDEX('Compliance Database'!$G$2:$G$1960,MATCH(1112,Engine!$C$2:$C$1960,0)))</f>
        <v/>
      </c>
      <c r="H1125" s="9">
        <f>IF(ISNA(MATCH(1112,Engine!$C$2:$C$1960,0)),"",INDEX('Compliance Database'!$H$2:$H$1960,MATCH(1112,Engine!$C$2:$C$1960,0)))</f>
        <v/>
      </c>
      <c r="I1125" s="9">
        <f>IF(ISNA(MATCH(1112,Engine!$C$2:$C$1960,0)),"",INDEX('Compliance Database'!$I$2:$I$1960,MATCH(1112,Engine!$C$2:$C$1960,0)))</f>
        <v/>
      </c>
      <c r="J1125" s="8">
        <f>IF(ISNA(MATCH(1112,Engine!$C$2:$C$1960,0)),"",INDEX('Compliance Database'!$J$2:$J$1960,MATCH(1112,Engine!$C$2:$C$1960,0)))</f>
        <v/>
      </c>
      <c r="K1125" s="9">
        <f>IF(ISNA(MATCH(1112,Engine!$C$2:$C$1960,0)),"",INDEX('Compliance Database'!$K$2:$K$1960,MATCH(1112,Engine!$C$2:$C$1960,0)))</f>
        <v/>
      </c>
      <c r="L1125" s="9">
        <f>IF(ISNA(MATCH(1112,Engine!$C$2:$C$1960,0)),"",INDEX('Compliance Database'!$L$2:$L$1960,MATCH(1112,Engine!$C$2:$C$1960,0)))</f>
        <v/>
      </c>
      <c r="M1125" s="9">
        <f>IF(ISNA(MATCH(1112,Engine!$C$2:$C$1960,0)),"",INDEX('Compliance Database'!$M$2:$M$1960,MATCH(1112,Engine!$C$2:$C$1960,0)))</f>
        <v/>
      </c>
      <c r="N1125" s="9">
        <f>IF(ISNA(MATCH(1112,Engine!$C$2:$C$1960,0)),"",INDEX('Compliance Database'!$N$2:$N$1960,MATCH(1112,Engine!$C$2:$C$1960,0)))</f>
        <v/>
      </c>
      <c r="O1125" s="9">
        <f>IF(ISNA(MATCH(1112,Engine!$C$2:$C$1960,0)),"",INDEX('Compliance Database'!$O$2:$O$1960,MATCH(1112,Engine!$C$2:$C$1960,0)))</f>
        <v/>
      </c>
      <c r="P1125" s="8">
        <f>IF(ISNA(MATCH(1112,Engine!$C$2:$C$1960,0)),"",HYPERLINK("#Acts!A"&amp;INDEX('Compliance Database'!$P$2:$P$1960,MATCH(1112,Engine!$C$2:$C$1960,0)),"Go to Act"))</f>
        <v/>
      </c>
    </row>
    <row r="1126" ht="158" customHeight="1">
      <c r="A1126" s="8">
        <f>IF(ISNA(MATCH(1113,Engine!$C$2:$C$1960,0)),"",INDEX('Compliance Database'!$A$2:$A$1960,MATCH(1113,Engine!$C$2:$C$1960,0)))</f>
        <v/>
      </c>
      <c r="B1126" s="8">
        <f>IF(ISNA(MATCH(1113,Engine!$C$2:$C$1960,0)),"",INDEX('Compliance Database'!$B$2:$B$1960,MATCH(1113,Engine!$C$2:$C$1960,0)))</f>
        <v/>
      </c>
      <c r="C1126" s="8">
        <f>IF(ISNA(MATCH(1113,Engine!$C$2:$C$1960,0)),"",INDEX('Compliance Database'!$C$2:$C$1960,MATCH(1113,Engine!$C$2:$C$1960,0)))</f>
        <v/>
      </c>
      <c r="D1126" s="9">
        <f>IF(ISNA(MATCH(1113,Engine!$C$2:$C$1960,0)),"",INDEX('Compliance Database'!$D$2:$D$1960,MATCH(1113,Engine!$C$2:$C$1960,0)))</f>
        <v/>
      </c>
      <c r="E1126" s="8">
        <f>IF(ISNA(MATCH(1113,Engine!$C$2:$C$1960,0)),"",INDEX('Compliance Database'!$E$2:$E$1960,MATCH(1113,Engine!$C$2:$C$1960,0)))</f>
        <v/>
      </c>
      <c r="F1126" s="8">
        <f>IF(ISNA(MATCH(1113,Engine!$C$2:$C$1960,0)),"",INDEX('Compliance Database'!$F$2:$F$1960,MATCH(1113,Engine!$C$2:$C$1960,0)))</f>
        <v/>
      </c>
      <c r="G1126" s="8">
        <f>IF(ISNA(MATCH(1113,Engine!$C$2:$C$1960,0)),"",INDEX('Compliance Database'!$G$2:$G$1960,MATCH(1113,Engine!$C$2:$C$1960,0)))</f>
        <v/>
      </c>
      <c r="H1126" s="9">
        <f>IF(ISNA(MATCH(1113,Engine!$C$2:$C$1960,0)),"",INDEX('Compliance Database'!$H$2:$H$1960,MATCH(1113,Engine!$C$2:$C$1960,0)))</f>
        <v/>
      </c>
      <c r="I1126" s="9">
        <f>IF(ISNA(MATCH(1113,Engine!$C$2:$C$1960,0)),"",INDEX('Compliance Database'!$I$2:$I$1960,MATCH(1113,Engine!$C$2:$C$1960,0)))</f>
        <v/>
      </c>
      <c r="J1126" s="8">
        <f>IF(ISNA(MATCH(1113,Engine!$C$2:$C$1960,0)),"",INDEX('Compliance Database'!$J$2:$J$1960,MATCH(1113,Engine!$C$2:$C$1960,0)))</f>
        <v/>
      </c>
      <c r="K1126" s="9">
        <f>IF(ISNA(MATCH(1113,Engine!$C$2:$C$1960,0)),"",INDEX('Compliance Database'!$K$2:$K$1960,MATCH(1113,Engine!$C$2:$C$1960,0)))</f>
        <v/>
      </c>
      <c r="L1126" s="9">
        <f>IF(ISNA(MATCH(1113,Engine!$C$2:$C$1960,0)),"",INDEX('Compliance Database'!$L$2:$L$1960,MATCH(1113,Engine!$C$2:$C$1960,0)))</f>
        <v/>
      </c>
      <c r="M1126" s="9">
        <f>IF(ISNA(MATCH(1113,Engine!$C$2:$C$1960,0)),"",INDEX('Compliance Database'!$M$2:$M$1960,MATCH(1113,Engine!$C$2:$C$1960,0)))</f>
        <v/>
      </c>
      <c r="N1126" s="9">
        <f>IF(ISNA(MATCH(1113,Engine!$C$2:$C$1960,0)),"",INDEX('Compliance Database'!$N$2:$N$1960,MATCH(1113,Engine!$C$2:$C$1960,0)))</f>
        <v/>
      </c>
      <c r="O1126" s="9">
        <f>IF(ISNA(MATCH(1113,Engine!$C$2:$C$1960,0)),"",INDEX('Compliance Database'!$O$2:$O$1960,MATCH(1113,Engine!$C$2:$C$1960,0)))</f>
        <v/>
      </c>
      <c r="P1126" s="8">
        <f>IF(ISNA(MATCH(1113,Engine!$C$2:$C$1960,0)),"",HYPERLINK("#Acts!A"&amp;INDEX('Compliance Database'!$P$2:$P$1960,MATCH(1113,Engine!$C$2:$C$1960,0)),"Go to Act"))</f>
        <v/>
      </c>
    </row>
    <row r="1127" ht="158" customHeight="1">
      <c r="A1127" s="8">
        <f>IF(ISNA(MATCH(1114,Engine!$C$2:$C$1960,0)),"",INDEX('Compliance Database'!$A$2:$A$1960,MATCH(1114,Engine!$C$2:$C$1960,0)))</f>
        <v/>
      </c>
      <c r="B1127" s="8">
        <f>IF(ISNA(MATCH(1114,Engine!$C$2:$C$1960,0)),"",INDEX('Compliance Database'!$B$2:$B$1960,MATCH(1114,Engine!$C$2:$C$1960,0)))</f>
        <v/>
      </c>
      <c r="C1127" s="8">
        <f>IF(ISNA(MATCH(1114,Engine!$C$2:$C$1960,0)),"",INDEX('Compliance Database'!$C$2:$C$1960,MATCH(1114,Engine!$C$2:$C$1960,0)))</f>
        <v/>
      </c>
      <c r="D1127" s="9">
        <f>IF(ISNA(MATCH(1114,Engine!$C$2:$C$1960,0)),"",INDEX('Compliance Database'!$D$2:$D$1960,MATCH(1114,Engine!$C$2:$C$1960,0)))</f>
        <v/>
      </c>
      <c r="E1127" s="8">
        <f>IF(ISNA(MATCH(1114,Engine!$C$2:$C$1960,0)),"",INDEX('Compliance Database'!$E$2:$E$1960,MATCH(1114,Engine!$C$2:$C$1960,0)))</f>
        <v/>
      </c>
      <c r="F1127" s="8">
        <f>IF(ISNA(MATCH(1114,Engine!$C$2:$C$1960,0)),"",INDEX('Compliance Database'!$F$2:$F$1960,MATCH(1114,Engine!$C$2:$C$1960,0)))</f>
        <v/>
      </c>
      <c r="G1127" s="8">
        <f>IF(ISNA(MATCH(1114,Engine!$C$2:$C$1960,0)),"",INDEX('Compliance Database'!$G$2:$G$1960,MATCH(1114,Engine!$C$2:$C$1960,0)))</f>
        <v/>
      </c>
      <c r="H1127" s="9">
        <f>IF(ISNA(MATCH(1114,Engine!$C$2:$C$1960,0)),"",INDEX('Compliance Database'!$H$2:$H$1960,MATCH(1114,Engine!$C$2:$C$1960,0)))</f>
        <v/>
      </c>
      <c r="I1127" s="9">
        <f>IF(ISNA(MATCH(1114,Engine!$C$2:$C$1960,0)),"",INDEX('Compliance Database'!$I$2:$I$1960,MATCH(1114,Engine!$C$2:$C$1960,0)))</f>
        <v/>
      </c>
      <c r="J1127" s="8">
        <f>IF(ISNA(MATCH(1114,Engine!$C$2:$C$1960,0)),"",INDEX('Compliance Database'!$J$2:$J$1960,MATCH(1114,Engine!$C$2:$C$1960,0)))</f>
        <v/>
      </c>
      <c r="K1127" s="9">
        <f>IF(ISNA(MATCH(1114,Engine!$C$2:$C$1960,0)),"",INDEX('Compliance Database'!$K$2:$K$1960,MATCH(1114,Engine!$C$2:$C$1960,0)))</f>
        <v/>
      </c>
      <c r="L1127" s="9">
        <f>IF(ISNA(MATCH(1114,Engine!$C$2:$C$1960,0)),"",INDEX('Compliance Database'!$L$2:$L$1960,MATCH(1114,Engine!$C$2:$C$1960,0)))</f>
        <v/>
      </c>
      <c r="M1127" s="9">
        <f>IF(ISNA(MATCH(1114,Engine!$C$2:$C$1960,0)),"",INDEX('Compliance Database'!$M$2:$M$1960,MATCH(1114,Engine!$C$2:$C$1960,0)))</f>
        <v/>
      </c>
      <c r="N1127" s="9">
        <f>IF(ISNA(MATCH(1114,Engine!$C$2:$C$1960,0)),"",INDEX('Compliance Database'!$N$2:$N$1960,MATCH(1114,Engine!$C$2:$C$1960,0)))</f>
        <v/>
      </c>
      <c r="O1127" s="9">
        <f>IF(ISNA(MATCH(1114,Engine!$C$2:$C$1960,0)),"",INDEX('Compliance Database'!$O$2:$O$1960,MATCH(1114,Engine!$C$2:$C$1960,0)))</f>
        <v/>
      </c>
      <c r="P1127" s="8">
        <f>IF(ISNA(MATCH(1114,Engine!$C$2:$C$1960,0)),"",HYPERLINK("#Acts!A"&amp;INDEX('Compliance Database'!$P$2:$P$1960,MATCH(1114,Engine!$C$2:$C$1960,0)),"Go to Act"))</f>
        <v/>
      </c>
    </row>
    <row r="1128" ht="158" customHeight="1">
      <c r="A1128" s="8">
        <f>IF(ISNA(MATCH(1115,Engine!$C$2:$C$1960,0)),"",INDEX('Compliance Database'!$A$2:$A$1960,MATCH(1115,Engine!$C$2:$C$1960,0)))</f>
        <v/>
      </c>
      <c r="B1128" s="8">
        <f>IF(ISNA(MATCH(1115,Engine!$C$2:$C$1960,0)),"",INDEX('Compliance Database'!$B$2:$B$1960,MATCH(1115,Engine!$C$2:$C$1960,0)))</f>
        <v/>
      </c>
      <c r="C1128" s="8">
        <f>IF(ISNA(MATCH(1115,Engine!$C$2:$C$1960,0)),"",INDEX('Compliance Database'!$C$2:$C$1960,MATCH(1115,Engine!$C$2:$C$1960,0)))</f>
        <v/>
      </c>
      <c r="D1128" s="9">
        <f>IF(ISNA(MATCH(1115,Engine!$C$2:$C$1960,0)),"",INDEX('Compliance Database'!$D$2:$D$1960,MATCH(1115,Engine!$C$2:$C$1960,0)))</f>
        <v/>
      </c>
      <c r="E1128" s="8">
        <f>IF(ISNA(MATCH(1115,Engine!$C$2:$C$1960,0)),"",INDEX('Compliance Database'!$E$2:$E$1960,MATCH(1115,Engine!$C$2:$C$1960,0)))</f>
        <v/>
      </c>
      <c r="F1128" s="8">
        <f>IF(ISNA(MATCH(1115,Engine!$C$2:$C$1960,0)),"",INDEX('Compliance Database'!$F$2:$F$1960,MATCH(1115,Engine!$C$2:$C$1960,0)))</f>
        <v/>
      </c>
      <c r="G1128" s="8">
        <f>IF(ISNA(MATCH(1115,Engine!$C$2:$C$1960,0)),"",INDEX('Compliance Database'!$G$2:$G$1960,MATCH(1115,Engine!$C$2:$C$1960,0)))</f>
        <v/>
      </c>
      <c r="H1128" s="9">
        <f>IF(ISNA(MATCH(1115,Engine!$C$2:$C$1960,0)),"",INDEX('Compliance Database'!$H$2:$H$1960,MATCH(1115,Engine!$C$2:$C$1960,0)))</f>
        <v/>
      </c>
      <c r="I1128" s="9">
        <f>IF(ISNA(MATCH(1115,Engine!$C$2:$C$1960,0)),"",INDEX('Compliance Database'!$I$2:$I$1960,MATCH(1115,Engine!$C$2:$C$1960,0)))</f>
        <v/>
      </c>
      <c r="J1128" s="8">
        <f>IF(ISNA(MATCH(1115,Engine!$C$2:$C$1960,0)),"",INDEX('Compliance Database'!$J$2:$J$1960,MATCH(1115,Engine!$C$2:$C$1960,0)))</f>
        <v/>
      </c>
      <c r="K1128" s="9">
        <f>IF(ISNA(MATCH(1115,Engine!$C$2:$C$1960,0)),"",INDEX('Compliance Database'!$K$2:$K$1960,MATCH(1115,Engine!$C$2:$C$1960,0)))</f>
        <v/>
      </c>
      <c r="L1128" s="9">
        <f>IF(ISNA(MATCH(1115,Engine!$C$2:$C$1960,0)),"",INDEX('Compliance Database'!$L$2:$L$1960,MATCH(1115,Engine!$C$2:$C$1960,0)))</f>
        <v/>
      </c>
      <c r="M1128" s="9">
        <f>IF(ISNA(MATCH(1115,Engine!$C$2:$C$1960,0)),"",INDEX('Compliance Database'!$M$2:$M$1960,MATCH(1115,Engine!$C$2:$C$1960,0)))</f>
        <v/>
      </c>
      <c r="N1128" s="9">
        <f>IF(ISNA(MATCH(1115,Engine!$C$2:$C$1960,0)),"",INDEX('Compliance Database'!$N$2:$N$1960,MATCH(1115,Engine!$C$2:$C$1960,0)))</f>
        <v/>
      </c>
      <c r="O1128" s="9">
        <f>IF(ISNA(MATCH(1115,Engine!$C$2:$C$1960,0)),"",INDEX('Compliance Database'!$O$2:$O$1960,MATCH(1115,Engine!$C$2:$C$1960,0)))</f>
        <v/>
      </c>
      <c r="P1128" s="8">
        <f>IF(ISNA(MATCH(1115,Engine!$C$2:$C$1960,0)),"",HYPERLINK("#Acts!A"&amp;INDEX('Compliance Database'!$P$2:$P$1960,MATCH(1115,Engine!$C$2:$C$1960,0)),"Go to Act"))</f>
        <v/>
      </c>
    </row>
    <row r="1129" ht="158" customHeight="1">
      <c r="A1129" s="8">
        <f>IF(ISNA(MATCH(1116,Engine!$C$2:$C$1960,0)),"",INDEX('Compliance Database'!$A$2:$A$1960,MATCH(1116,Engine!$C$2:$C$1960,0)))</f>
        <v/>
      </c>
      <c r="B1129" s="8">
        <f>IF(ISNA(MATCH(1116,Engine!$C$2:$C$1960,0)),"",INDEX('Compliance Database'!$B$2:$B$1960,MATCH(1116,Engine!$C$2:$C$1960,0)))</f>
        <v/>
      </c>
      <c r="C1129" s="8">
        <f>IF(ISNA(MATCH(1116,Engine!$C$2:$C$1960,0)),"",INDEX('Compliance Database'!$C$2:$C$1960,MATCH(1116,Engine!$C$2:$C$1960,0)))</f>
        <v/>
      </c>
      <c r="D1129" s="9">
        <f>IF(ISNA(MATCH(1116,Engine!$C$2:$C$1960,0)),"",INDEX('Compliance Database'!$D$2:$D$1960,MATCH(1116,Engine!$C$2:$C$1960,0)))</f>
        <v/>
      </c>
      <c r="E1129" s="8">
        <f>IF(ISNA(MATCH(1116,Engine!$C$2:$C$1960,0)),"",INDEX('Compliance Database'!$E$2:$E$1960,MATCH(1116,Engine!$C$2:$C$1960,0)))</f>
        <v/>
      </c>
      <c r="F1129" s="8">
        <f>IF(ISNA(MATCH(1116,Engine!$C$2:$C$1960,0)),"",INDEX('Compliance Database'!$F$2:$F$1960,MATCH(1116,Engine!$C$2:$C$1960,0)))</f>
        <v/>
      </c>
      <c r="G1129" s="8">
        <f>IF(ISNA(MATCH(1116,Engine!$C$2:$C$1960,0)),"",INDEX('Compliance Database'!$G$2:$G$1960,MATCH(1116,Engine!$C$2:$C$1960,0)))</f>
        <v/>
      </c>
      <c r="H1129" s="9">
        <f>IF(ISNA(MATCH(1116,Engine!$C$2:$C$1960,0)),"",INDEX('Compliance Database'!$H$2:$H$1960,MATCH(1116,Engine!$C$2:$C$1960,0)))</f>
        <v/>
      </c>
      <c r="I1129" s="9">
        <f>IF(ISNA(MATCH(1116,Engine!$C$2:$C$1960,0)),"",INDEX('Compliance Database'!$I$2:$I$1960,MATCH(1116,Engine!$C$2:$C$1960,0)))</f>
        <v/>
      </c>
      <c r="J1129" s="8">
        <f>IF(ISNA(MATCH(1116,Engine!$C$2:$C$1960,0)),"",INDEX('Compliance Database'!$J$2:$J$1960,MATCH(1116,Engine!$C$2:$C$1960,0)))</f>
        <v/>
      </c>
      <c r="K1129" s="9">
        <f>IF(ISNA(MATCH(1116,Engine!$C$2:$C$1960,0)),"",INDEX('Compliance Database'!$K$2:$K$1960,MATCH(1116,Engine!$C$2:$C$1960,0)))</f>
        <v/>
      </c>
      <c r="L1129" s="9">
        <f>IF(ISNA(MATCH(1116,Engine!$C$2:$C$1960,0)),"",INDEX('Compliance Database'!$L$2:$L$1960,MATCH(1116,Engine!$C$2:$C$1960,0)))</f>
        <v/>
      </c>
      <c r="M1129" s="9">
        <f>IF(ISNA(MATCH(1116,Engine!$C$2:$C$1960,0)),"",INDEX('Compliance Database'!$M$2:$M$1960,MATCH(1116,Engine!$C$2:$C$1960,0)))</f>
        <v/>
      </c>
      <c r="N1129" s="9">
        <f>IF(ISNA(MATCH(1116,Engine!$C$2:$C$1960,0)),"",INDEX('Compliance Database'!$N$2:$N$1960,MATCH(1116,Engine!$C$2:$C$1960,0)))</f>
        <v/>
      </c>
      <c r="O1129" s="9">
        <f>IF(ISNA(MATCH(1116,Engine!$C$2:$C$1960,0)),"",INDEX('Compliance Database'!$O$2:$O$1960,MATCH(1116,Engine!$C$2:$C$1960,0)))</f>
        <v/>
      </c>
      <c r="P1129" s="8">
        <f>IF(ISNA(MATCH(1116,Engine!$C$2:$C$1960,0)),"",HYPERLINK("#Acts!A"&amp;INDEX('Compliance Database'!$P$2:$P$1960,MATCH(1116,Engine!$C$2:$C$1960,0)),"Go to Act"))</f>
        <v/>
      </c>
    </row>
    <row r="1130" ht="158" customHeight="1">
      <c r="A1130" s="8">
        <f>IF(ISNA(MATCH(1117,Engine!$C$2:$C$1960,0)),"",INDEX('Compliance Database'!$A$2:$A$1960,MATCH(1117,Engine!$C$2:$C$1960,0)))</f>
        <v/>
      </c>
      <c r="B1130" s="8">
        <f>IF(ISNA(MATCH(1117,Engine!$C$2:$C$1960,0)),"",INDEX('Compliance Database'!$B$2:$B$1960,MATCH(1117,Engine!$C$2:$C$1960,0)))</f>
        <v/>
      </c>
      <c r="C1130" s="8">
        <f>IF(ISNA(MATCH(1117,Engine!$C$2:$C$1960,0)),"",INDEX('Compliance Database'!$C$2:$C$1960,MATCH(1117,Engine!$C$2:$C$1960,0)))</f>
        <v/>
      </c>
      <c r="D1130" s="9">
        <f>IF(ISNA(MATCH(1117,Engine!$C$2:$C$1960,0)),"",INDEX('Compliance Database'!$D$2:$D$1960,MATCH(1117,Engine!$C$2:$C$1960,0)))</f>
        <v/>
      </c>
      <c r="E1130" s="8">
        <f>IF(ISNA(MATCH(1117,Engine!$C$2:$C$1960,0)),"",INDEX('Compliance Database'!$E$2:$E$1960,MATCH(1117,Engine!$C$2:$C$1960,0)))</f>
        <v/>
      </c>
      <c r="F1130" s="8">
        <f>IF(ISNA(MATCH(1117,Engine!$C$2:$C$1960,0)),"",INDEX('Compliance Database'!$F$2:$F$1960,MATCH(1117,Engine!$C$2:$C$1960,0)))</f>
        <v/>
      </c>
      <c r="G1130" s="8">
        <f>IF(ISNA(MATCH(1117,Engine!$C$2:$C$1960,0)),"",INDEX('Compliance Database'!$G$2:$G$1960,MATCH(1117,Engine!$C$2:$C$1960,0)))</f>
        <v/>
      </c>
      <c r="H1130" s="9">
        <f>IF(ISNA(MATCH(1117,Engine!$C$2:$C$1960,0)),"",INDEX('Compliance Database'!$H$2:$H$1960,MATCH(1117,Engine!$C$2:$C$1960,0)))</f>
        <v/>
      </c>
      <c r="I1130" s="9">
        <f>IF(ISNA(MATCH(1117,Engine!$C$2:$C$1960,0)),"",INDEX('Compliance Database'!$I$2:$I$1960,MATCH(1117,Engine!$C$2:$C$1960,0)))</f>
        <v/>
      </c>
      <c r="J1130" s="8">
        <f>IF(ISNA(MATCH(1117,Engine!$C$2:$C$1960,0)),"",INDEX('Compliance Database'!$J$2:$J$1960,MATCH(1117,Engine!$C$2:$C$1960,0)))</f>
        <v/>
      </c>
      <c r="K1130" s="9">
        <f>IF(ISNA(MATCH(1117,Engine!$C$2:$C$1960,0)),"",INDEX('Compliance Database'!$K$2:$K$1960,MATCH(1117,Engine!$C$2:$C$1960,0)))</f>
        <v/>
      </c>
      <c r="L1130" s="9">
        <f>IF(ISNA(MATCH(1117,Engine!$C$2:$C$1960,0)),"",INDEX('Compliance Database'!$L$2:$L$1960,MATCH(1117,Engine!$C$2:$C$1960,0)))</f>
        <v/>
      </c>
      <c r="M1130" s="9">
        <f>IF(ISNA(MATCH(1117,Engine!$C$2:$C$1960,0)),"",INDEX('Compliance Database'!$M$2:$M$1960,MATCH(1117,Engine!$C$2:$C$1960,0)))</f>
        <v/>
      </c>
      <c r="N1130" s="9">
        <f>IF(ISNA(MATCH(1117,Engine!$C$2:$C$1960,0)),"",INDEX('Compliance Database'!$N$2:$N$1960,MATCH(1117,Engine!$C$2:$C$1960,0)))</f>
        <v/>
      </c>
      <c r="O1130" s="9">
        <f>IF(ISNA(MATCH(1117,Engine!$C$2:$C$1960,0)),"",INDEX('Compliance Database'!$O$2:$O$1960,MATCH(1117,Engine!$C$2:$C$1960,0)))</f>
        <v/>
      </c>
      <c r="P1130" s="8">
        <f>IF(ISNA(MATCH(1117,Engine!$C$2:$C$1960,0)),"",HYPERLINK("#Acts!A"&amp;INDEX('Compliance Database'!$P$2:$P$1960,MATCH(1117,Engine!$C$2:$C$1960,0)),"Go to Act"))</f>
        <v/>
      </c>
    </row>
    <row r="1131" ht="158" customHeight="1">
      <c r="A1131" s="8">
        <f>IF(ISNA(MATCH(1118,Engine!$C$2:$C$1960,0)),"",INDEX('Compliance Database'!$A$2:$A$1960,MATCH(1118,Engine!$C$2:$C$1960,0)))</f>
        <v/>
      </c>
      <c r="B1131" s="8">
        <f>IF(ISNA(MATCH(1118,Engine!$C$2:$C$1960,0)),"",INDEX('Compliance Database'!$B$2:$B$1960,MATCH(1118,Engine!$C$2:$C$1960,0)))</f>
        <v/>
      </c>
      <c r="C1131" s="8">
        <f>IF(ISNA(MATCH(1118,Engine!$C$2:$C$1960,0)),"",INDEX('Compliance Database'!$C$2:$C$1960,MATCH(1118,Engine!$C$2:$C$1960,0)))</f>
        <v/>
      </c>
      <c r="D1131" s="9">
        <f>IF(ISNA(MATCH(1118,Engine!$C$2:$C$1960,0)),"",INDEX('Compliance Database'!$D$2:$D$1960,MATCH(1118,Engine!$C$2:$C$1960,0)))</f>
        <v/>
      </c>
      <c r="E1131" s="8">
        <f>IF(ISNA(MATCH(1118,Engine!$C$2:$C$1960,0)),"",INDEX('Compliance Database'!$E$2:$E$1960,MATCH(1118,Engine!$C$2:$C$1960,0)))</f>
        <v/>
      </c>
      <c r="F1131" s="8">
        <f>IF(ISNA(MATCH(1118,Engine!$C$2:$C$1960,0)),"",INDEX('Compliance Database'!$F$2:$F$1960,MATCH(1118,Engine!$C$2:$C$1960,0)))</f>
        <v/>
      </c>
      <c r="G1131" s="8">
        <f>IF(ISNA(MATCH(1118,Engine!$C$2:$C$1960,0)),"",INDEX('Compliance Database'!$G$2:$G$1960,MATCH(1118,Engine!$C$2:$C$1960,0)))</f>
        <v/>
      </c>
      <c r="H1131" s="9">
        <f>IF(ISNA(MATCH(1118,Engine!$C$2:$C$1960,0)),"",INDEX('Compliance Database'!$H$2:$H$1960,MATCH(1118,Engine!$C$2:$C$1960,0)))</f>
        <v/>
      </c>
      <c r="I1131" s="9">
        <f>IF(ISNA(MATCH(1118,Engine!$C$2:$C$1960,0)),"",INDEX('Compliance Database'!$I$2:$I$1960,MATCH(1118,Engine!$C$2:$C$1960,0)))</f>
        <v/>
      </c>
      <c r="J1131" s="8">
        <f>IF(ISNA(MATCH(1118,Engine!$C$2:$C$1960,0)),"",INDEX('Compliance Database'!$J$2:$J$1960,MATCH(1118,Engine!$C$2:$C$1960,0)))</f>
        <v/>
      </c>
      <c r="K1131" s="9">
        <f>IF(ISNA(MATCH(1118,Engine!$C$2:$C$1960,0)),"",INDEX('Compliance Database'!$K$2:$K$1960,MATCH(1118,Engine!$C$2:$C$1960,0)))</f>
        <v/>
      </c>
      <c r="L1131" s="9">
        <f>IF(ISNA(MATCH(1118,Engine!$C$2:$C$1960,0)),"",INDEX('Compliance Database'!$L$2:$L$1960,MATCH(1118,Engine!$C$2:$C$1960,0)))</f>
        <v/>
      </c>
      <c r="M1131" s="9">
        <f>IF(ISNA(MATCH(1118,Engine!$C$2:$C$1960,0)),"",INDEX('Compliance Database'!$M$2:$M$1960,MATCH(1118,Engine!$C$2:$C$1960,0)))</f>
        <v/>
      </c>
      <c r="N1131" s="9">
        <f>IF(ISNA(MATCH(1118,Engine!$C$2:$C$1960,0)),"",INDEX('Compliance Database'!$N$2:$N$1960,MATCH(1118,Engine!$C$2:$C$1960,0)))</f>
        <v/>
      </c>
      <c r="O1131" s="9">
        <f>IF(ISNA(MATCH(1118,Engine!$C$2:$C$1960,0)),"",INDEX('Compliance Database'!$O$2:$O$1960,MATCH(1118,Engine!$C$2:$C$1960,0)))</f>
        <v/>
      </c>
      <c r="P1131" s="8">
        <f>IF(ISNA(MATCH(1118,Engine!$C$2:$C$1960,0)),"",HYPERLINK("#Acts!A"&amp;INDEX('Compliance Database'!$P$2:$P$1960,MATCH(1118,Engine!$C$2:$C$1960,0)),"Go to Act"))</f>
        <v/>
      </c>
    </row>
    <row r="1132" ht="158" customHeight="1">
      <c r="A1132" s="8">
        <f>IF(ISNA(MATCH(1119,Engine!$C$2:$C$1960,0)),"",INDEX('Compliance Database'!$A$2:$A$1960,MATCH(1119,Engine!$C$2:$C$1960,0)))</f>
        <v/>
      </c>
      <c r="B1132" s="8">
        <f>IF(ISNA(MATCH(1119,Engine!$C$2:$C$1960,0)),"",INDEX('Compliance Database'!$B$2:$B$1960,MATCH(1119,Engine!$C$2:$C$1960,0)))</f>
        <v/>
      </c>
      <c r="C1132" s="8">
        <f>IF(ISNA(MATCH(1119,Engine!$C$2:$C$1960,0)),"",INDEX('Compliance Database'!$C$2:$C$1960,MATCH(1119,Engine!$C$2:$C$1960,0)))</f>
        <v/>
      </c>
      <c r="D1132" s="9">
        <f>IF(ISNA(MATCH(1119,Engine!$C$2:$C$1960,0)),"",INDEX('Compliance Database'!$D$2:$D$1960,MATCH(1119,Engine!$C$2:$C$1960,0)))</f>
        <v/>
      </c>
      <c r="E1132" s="8">
        <f>IF(ISNA(MATCH(1119,Engine!$C$2:$C$1960,0)),"",INDEX('Compliance Database'!$E$2:$E$1960,MATCH(1119,Engine!$C$2:$C$1960,0)))</f>
        <v/>
      </c>
      <c r="F1132" s="8">
        <f>IF(ISNA(MATCH(1119,Engine!$C$2:$C$1960,0)),"",INDEX('Compliance Database'!$F$2:$F$1960,MATCH(1119,Engine!$C$2:$C$1960,0)))</f>
        <v/>
      </c>
      <c r="G1132" s="8">
        <f>IF(ISNA(MATCH(1119,Engine!$C$2:$C$1960,0)),"",INDEX('Compliance Database'!$G$2:$G$1960,MATCH(1119,Engine!$C$2:$C$1960,0)))</f>
        <v/>
      </c>
      <c r="H1132" s="9">
        <f>IF(ISNA(MATCH(1119,Engine!$C$2:$C$1960,0)),"",INDEX('Compliance Database'!$H$2:$H$1960,MATCH(1119,Engine!$C$2:$C$1960,0)))</f>
        <v/>
      </c>
      <c r="I1132" s="9">
        <f>IF(ISNA(MATCH(1119,Engine!$C$2:$C$1960,0)),"",INDEX('Compliance Database'!$I$2:$I$1960,MATCH(1119,Engine!$C$2:$C$1960,0)))</f>
        <v/>
      </c>
      <c r="J1132" s="8">
        <f>IF(ISNA(MATCH(1119,Engine!$C$2:$C$1960,0)),"",INDEX('Compliance Database'!$J$2:$J$1960,MATCH(1119,Engine!$C$2:$C$1960,0)))</f>
        <v/>
      </c>
      <c r="K1132" s="9">
        <f>IF(ISNA(MATCH(1119,Engine!$C$2:$C$1960,0)),"",INDEX('Compliance Database'!$K$2:$K$1960,MATCH(1119,Engine!$C$2:$C$1960,0)))</f>
        <v/>
      </c>
      <c r="L1132" s="9">
        <f>IF(ISNA(MATCH(1119,Engine!$C$2:$C$1960,0)),"",INDEX('Compliance Database'!$L$2:$L$1960,MATCH(1119,Engine!$C$2:$C$1960,0)))</f>
        <v/>
      </c>
      <c r="M1132" s="9">
        <f>IF(ISNA(MATCH(1119,Engine!$C$2:$C$1960,0)),"",INDEX('Compliance Database'!$M$2:$M$1960,MATCH(1119,Engine!$C$2:$C$1960,0)))</f>
        <v/>
      </c>
      <c r="N1132" s="9">
        <f>IF(ISNA(MATCH(1119,Engine!$C$2:$C$1960,0)),"",INDEX('Compliance Database'!$N$2:$N$1960,MATCH(1119,Engine!$C$2:$C$1960,0)))</f>
        <v/>
      </c>
      <c r="O1132" s="9">
        <f>IF(ISNA(MATCH(1119,Engine!$C$2:$C$1960,0)),"",INDEX('Compliance Database'!$O$2:$O$1960,MATCH(1119,Engine!$C$2:$C$1960,0)))</f>
        <v/>
      </c>
      <c r="P1132" s="8">
        <f>IF(ISNA(MATCH(1119,Engine!$C$2:$C$1960,0)),"",HYPERLINK("#Acts!A"&amp;INDEX('Compliance Database'!$P$2:$P$1960,MATCH(1119,Engine!$C$2:$C$1960,0)),"Go to Act"))</f>
        <v/>
      </c>
    </row>
    <row r="1133" ht="158" customHeight="1">
      <c r="A1133" s="8">
        <f>IF(ISNA(MATCH(1120,Engine!$C$2:$C$1960,0)),"",INDEX('Compliance Database'!$A$2:$A$1960,MATCH(1120,Engine!$C$2:$C$1960,0)))</f>
        <v/>
      </c>
      <c r="B1133" s="8">
        <f>IF(ISNA(MATCH(1120,Engine!$C$2:$C$1960,0)),"",INDEX('Compliance Database'!$B$2:$B$1960,MATCH(1120,Engine!$C$2:$C$1960,0)))</f>
        <v/>
      </c>
      <c r="C1133" s="8">
        <f>IF(ISNA(MATCH(1120,Engine!$C$2:$C$1960,0)),"",INDEX('Compliance Database'!$C$2:$C$1960,MATCH(1120,Engine!$C$2:$C$1960,0)))</f>
        <v/>
      </c>
      <c r="D1133" s="9">
        <f>IF(ISNA(MATCH(1120,Engine!$C$2:$C$1960,0)),"",INDEX('Compliance Database'!$D$2:$D$1960,MATCH(1120,Engine!$C$2:$C$1960,0)))</f>
        <v/>
      </c>
      <c r="E1133" s="8">
        <f>IF(ISNA(MATCH(1120,Engine!$C$2:$C$1960,0)),"",INDEX('Compliance Database'!$E$2:$E$1960,MATCH(1120,Engine!$C$2:$C$1960,0)))</f>
        <v/>
      </c>
      <c r="F1133" s="8">
        <f>IF(ISNA(MATCH(1120,Engine!$C$2:$C$1960,0)),"",INDEX('Compliance Database'!$F$2:$F$1960,MATCH(1120,Engine!$C$2:$C$1960,0)))</f>
        <v/>
      </c>
      <c r="G1133" s="8">
        <f>IF(ISNA(MATCH(1120,Engine!$C$2:$C$1960,0)),"",INDEX('Compliance Database'!$G$2:$G$1960,MATCH(1120,Engine!$C$2:$C$1960,0)))</f>
        <v/>
      </c>
      <c r="H1133" s="9">
        <f>IF(ISNA(MATCH(1120,Engine!$C$2:$C$1960,0)),"",INDEX('Compliance Database'!$H$2:$H$1960,MATCH(1120,Engine!$C$2:$C$1960,0)))</f>
        <v/>
      </c>
      <c r="I1133" s="9">
        <f>IF(ISNA(MATCH(1120,Engine!$C$2:$C$1960,0)),"",INDEX('Compliance Database'!$I$2:$I$1960,MATCH(1120,Engine!$C$2:$C$1960,0)))</f>
        <v/>
      </c>
      <c r="J1133" s="8">
        <f>IF(ISNA(MATCH(1120,Engine!$C$2:$C$1960,0)),"",INDEX('Compliance Database'!$J$2:$J$1960,MATCH(1120,Engine!$C$2:$C$1960,0)))</f>
        <v/>
      </c>
      <c r="K1133" s="9">
        <f>IF(ISNA(MATCH(1120,Engine!$C$2:$C$1960,0)),"",INDEX('Compliance Database'!$K$2:$K$1960,MATCH(1120,Engine!$C$2:$C$1960,0)))</f>
        <v/>
      </c>
      <c r="L1133" s="9">
        <f>IF(ISNA(MATCH(1120,Engine!$C$2:$C$1960,0)),"",INDEX('Compliance Database'!$L$2:$L$1960,MATCH(1120,Engine!$C$2:$C$1960,0)))</f>
        <v/>
      </c>
      <c r="M1133" s="9">
        <f>IF(ISNA(MATCH(1120,Engine!$C$2:$C$1960,0)),"",INDEX('Compliance Database'!$M$2:$M$1960,MATCH(1120,Engine!$C$2:$C$1960,0)))</f>
        <v/>
      </c>
      <c r="N1133" s="9">
        <f>IF(ISNA(MATCH(1120,Engine!$C$2:$C$1960,0)),"",INDEX('Compliance Database'!$N$2:$N$1960,MATCH(1120,Engine!$C$2:$C$1960,0)))</f>
        <v/>
      </c>
      <c r="O1133" s="9">
        <f>IF(ISNA(MATCH(1120,Engine!$C$2:$C$1960,0)),"",INDEX('Compliance Database'!$O$2:$O$1960,MATCH(1120,Engine!$C$2:$C$1960,0)))</f>
        <v/>
      </c>
      <c r="P1133" s="8">
        <f>IF(ISNA(MATCH(1120,Engine!$C$2:$C$1960,0)),"",HYPERLINK("#Acts!A"&amp;INDEX('Compliance Database'!$P$2:$P$1960,MATCH(1120,Engine!$C$2:$C$1960,0)),"Go to Act"))</f>
        <v/>
      </c>
    </row>
    <row r="1134" ht="158" customHeight="1">
      <c r="A1134" s="8">
        <f>IF(ISNA(MATCH(1121,Engine!$C$2:$C$1960,0)),"",INDEX('Compliance Database'!$A$2:$A$1960,MATCH(1121,Engine!$C$2:$C$1960,0)))</f>
        <v/>
      </c>
      <c r="B1134" s="8">
        <f>IF(ISNA(MATCH(1121,Engine!$C$2:$C$1960,0)),"",INDEX('Compliance Database'!$B$2:$B$1960,MATCH(1121,Engine!$C$2:$C$1960,0)))</f>
        <v/>
      </c>
      <c r="C1134" s="8">
        <f>IF(ISNA(MATCH(1121,Engine!$C$2:$C$1960,0)),"",INDEX('Compliance Database'!$C$2:$C$1960,MATCH(1121,Engine!$C$2:$C$1960,0)))</f>
        <v/>
      </c>
      <c r="D1134" s="9">
        <f>IF(ISNA(MATCH(1121,Engine!$C$2:$C$1960,0)),"",INDEX('Compliance Database'!$D$2:$D$1960,MATCH(1121,Engine!$C$2:$C$1960,0)))</f>
        <v/>
      </c>
      <c r="E1134" s="8">
        <f>IF(ISNA(MATCH(1121,Engine!$C$2:$C$1960,0)),"",INDEX('Compliance Database'!$E$2:$E$1960,MATCH(1121,Engine!$C$2:$C$1960,0)))</f>
        <v/>
      </c>
      <c r="F1134" s="8">
        <f>IF(ISNA(MATCH(1121,Engine!$C$2:$C$1960,0)),"",INDEX('Compliance Database'!$F$2:$F$1960,MATCH(1121,Engine!$C$2:$C$1960,0)))</f>
        <v/>
      </c>
      <c r="G1134" s="8">
        <f>IF(ISNA(MATCH(1121,Engine!$C$2:$C$1960,0)),"",INDEX('Compliance Database'!$G$2:$G$1960,MATCH(1121,Engine!$C$2:$C$1960,0)))</f>
        <v/>
      </c>
      <c r="H1134" s="9">
        <f>IF(ISNA(MATCH(1121,Engine!$C$2:$C$1960,0)),"",INDEX('Compliance Database'!$H$2:$H$1960,MATCH(1121,Engine!$C$2:$C$1960,0)))</f>
        <v/>
      </c>
      <c r="I1134" s="9">
        <f>IF(ISNA(MATCH(1121,Engine!$C$2:$C$1960,0)),"",INDEX('Compliance Database'!$I$2:$I$1960,MATCH(1121,Engine!$C$2:$C$1960,0)))</f>
        <v/>
      </c>
      <c r="J1134" s="8">
        <f>IF(ISNA(MATCH(1121,Engine!$C$2:$C$1960,0)),"",INDEX('Compliance Database'!$J$2:$J$1960,MATCH(1121,Engine!$C$2:$C$1960,0)))</f>
        <v/>
      </c>
      <c r="K1134" s="9">
        <f>IF(ISNA(MATCH(1121,Engine!$C$2:$C$1960,0)),"",INDEX('Compliance Database'!$K$2:$K$1960,MATCH(1121,Engine!$C$2:$C$1960,0)))</f>
        <v/>
      </c>
      <c r="L1134" s="9">
        <f>IF(ISNA(MATCH(1121,Engine!$C$2:$C$1960,0)),"",INDEX('Compliance Database'!$L$2:$L$1960,MATCH(1121,Engine!$C$2:$C$1960,0)))</f>
        <v/>
      </c>
      <c r="M1134" s="9">
        <f>IF(ISNA(MATCH(1121,Engine!$C$2:$C$1960,0)),"",INDEX('Compliance Database'!$M$2:$M$1960,MATCH(1121,Engine!$C$2:$C$1960,0)))</f>
        <v/>
      </c>
      <c r="N1134" s="9">
        <f>IF(ISNA(MATCH(1121,Engine!$C$2:$C$1960,0)),"",INDEX('Compliance Database'!$N$2:$N$1960,MATCH(1121,Engine!$C$2:$C$1960,0)))</f>
        <v/>
      </c>
      <c r="O1134" s="9">
        <f>IF(ISNA(MATCH(1121,Engine!$C$2:$C$1960,0)),"",INDEX('Compliance Database'!$O$2:$O$1960,MATCH(1121,Engine!$C$2:$C$1960,0)))</f>
        <v/>
      </c>
      <c r="P1134" s="8">
        <f>IF(ISNA(MATCH(1121,Engine!$C$2:$C$1960,0)),"",HYPERLINK("#Acts!A"&amp;INDEX('Compliance Database'!$P$2:$P$1960,MATCH(1121,Engine!$C$2:$C$1960,0)),"Go to Act"))</f>
        <v/>
      </c>
    </row>
    <row r="1135" ht="158" customHeight="1">
      <c r="A1135" s="8">
        <f>IF(ISNA(MATCH(1122,Engine!$C$2:$C$1960,0)),"",INDEX('Compliance Database'!$A$2:$A$1960,MATCH(1122,Engine!$C$2:$C$1960,0)))</f>
        <v/>
      </c>
      <c r="B1135" s="8">
        <f>IF(ISNA(MATCH(1122,Engine!$C$2:$C$1960,0)),"",INDEX('Compliance Database'!$B$2:$B$1960,MATCH(1122,Engine!$C$2:$C$1960,0)))</f>
        <v/>
      </c>
      <c r="C1135" s="8">
        <f>IF(ISNA(MATCH(1122,Engine!$C$2:$C$1960,0)),"",INDEX('Compliance Database'!$C$2:$C$1960,MATCH(1122,Engine!$C$2:$C$1960,0)))</f>
        <v/>
      </c>
      <c r="D1135" s="9">
        <f>IF(ISNA(MATCH(1122,Engine!$C$2:$C$1960,0)),"",INDEX('Compliance Database'!$D$2:$D$1960,MATCH(1122,Engine!$C$2:$C$1960,0)))</f>
        <v/>
      </c>
      <c r="E1135" s="8">
        <f>IF(ISNA(MATCH(1122,Engine!$C$2:$C$1960,0)),"",INDEX('Compliance Database'!$E$2:$E$1960,MATCH(1122,Engine!$C$2:$C$1960,0)))</f>
        <v/>
      </c>
      <c r="F1135" s="8">
        <f>IF(ISNA(MATCH(1122,Engine!$C$2:$C$1960,0)),"",INDEX('Compliance Database'!$F$2:$F$1960,MATCH(1122,Engine!$C$2:$C$1960,0)))</f>
        <v/>
      </c>
      <c r="G1135" s="8">
        <f>IF(ISNA(MATCH(1122,Engine!$C$2:$C$1960,0)),"",INDEX('Compliance Database'!$G$2:$G$1960,MATCH(1122,Engine!$C$2:$C$1960,0)))</f>
        <v/>
      </c>
      <c r="H1135" s="9">
        <f>IF(ISNA(MATCH(1122,Engine!$C$2:$C$1960,0)),"",INDEX('Compliance Database'!$H$2:$H$1960,MATCH(1122,Engine!$C$2:$C$1960,0)))</f>
        <v/>
      </c>
      <c r="I1135" s="9">
        <f>IF(ISNA(MATCH(1122,Engine!$C$2:$C$1960,0)),"",INDEX('Compliance Database'!$I$2:$I$1960,MATCH(1122,Engine!$C$2:$C$1960,0)))</f>
        <v/>
      </c>
      <c r="J1135" s="8">
        <f>IF(ISNA(MATCH(1122,Engine!$C$2:$C$1960,0)),"",INDEX('Compliance Database'!$J$2:$J$1960,MATCH(1122,Engine!$C$2:$C$1960,0)))</f>
        <v/>
      </c>
      <c r="K1135" s="9">
        <f>IF(ISNA(MATCH(1122,Engine!$C$2:$C$1960,0)),"",INDEX('Compliance Database'!$K$2:$K$1960,MATCH(1122,Engine!$C$2:$C$1960,0)))</f>
        <v/>
      </c>
      <c r="L1135" s="9">
        <f>IF(ISNA(MATCH(1122,Engine!$C$2:$C$1960,0)),"",INDEX('Compliance Database'!$L$2:$L$1960,MATCH(1122,Engine!$C$2:$C$1960,0)))</f>
        <v/>
      </c>
      <c r="M1135" s="9">
        <f>IF(ISNA(MATCH(1122,Engine!$C$2:$C$1960,0)),"",INDEX('Compliance Database'!$M$2:$M$1960,MATCH(1122,Engine!$C$2:$C$1960,0)))</f>
        <v/>
      </c>
      <c r="N1135" s="9">
        <f>IF(ISNA(MATCH(1122,Engine!$C$2:$C$1960,0)),"",INDEX('Compliance Database'!$N$2:$N$1960,MATCH(1122,Engine!$C$2:$C$1960,0)))</f>
        <v/>
      </c>
      <c r="O1135" s="9">
        <f>IF(ISNA(MATCH(1122,Engine!$C$2:$C$1960,0)),"",INDEX('Compliance Database'!$O$2:$O$1960,MATCH(1122,Engine!$C$2:$C$1960,0)))</f>
        <v/>
      </c>
      <c r="P1135" s="8">
        <f>IF(ISNA(MATCH(1122,Engine!$C$2:$C$1960,0)),"",HYPERLINK("#Acts!A"&amp;INDEX('Compliance Database'!$P$2:$P$1960,MATCH(1122,Engine!$C$2:$C$1960,0)),"Go to Act"))</f>
        <v/>
      </c>
    </row>
    <row r="1136" ht="158" customHeight="1">
      <c r="A1136" s="8">
        <f>IF(ISNA(MATCH(1123,Engine!$C$2:$C$1960,0)),"",INDEX('Compliance Database'!$A$2:$A$1960,MATCH(1123,Engine!$C$2:$C$1960,0)))</f>
        <v/>
      </c>
      <c r="B1136" s="8">
        <f>IF(ISNA(MATCH(1123,Engine!$C$2:$C$1960,0)),"",INDEX('Compliance Database'!$B$2:$B$1960,MATCH(1123,Engine!$C$2:$C$1960,0)))</f>
        <v/>
      </c>
      <c r="C1136" s="8">
        <f>IF(ISNA(MATCH(1123,Engine!$C$2:$C$1960,0)),"",INDEX('Compliance Database'!$C$2:$C$1960,MATCH(1123,Engine!$C$2:$C$1960,0)))</f>
        <v/>
      </c>
      <c r="D1136" s="9">
        <f>IF(ISNA(MATCH(1123,Engine!$C$2:$C$1960,0)),"",INDEX('Compliance Database'!$D$2:$D$1960,MATCH(1123,Engine!$C$2:$C$1960,0)))</f>
        <v/>
      </c>
      <c r="E1136" s="8">
        <f>IF(ISNA(MATCH(1123,Engine!$C$2:$C$1960,0)),"",INDEX('Compliance Database'!$E$2:$E$1960,MATCH(1123,Engine!$C$2:$C$1960,0)))</f>
        <v/>
      </c>
      <c r="F1136" s="8">
        <f>IF(ISNA(MATCH(1123,Engine!$C$2:$C$1960,0)),"",INDEX('Compliance Database'!$F$2:$F$1960,MATCH(1123,Engine!$C$2:$C$1960,0)))</f>
        <v/>
      </c>
      <c r="G1136" s="8">
        <f>IF(ISNA(MATCH(1123,Engine!$C$2:$C$1960,0)),"",INDEX('Compliance Database'!$G$2:$G$1960,MATCH(1123,Engine!$C$2:$C$1960,0)))</f>
        <v/>
      </c>
      <c r="H1136" s="9">
        <f>IF(ISNA(MATCH(1123,Engine!$C$2:$C$1960,0)),"",INDEX('Compliance Database'!$H$2:$H$1960,MATCH(1123,Engine!$C$2:$C$1960,0)))</f>
        <v/>
      </c>
      <c r="I1136" s="9">
        <f>IF(ISNA(MATCH(1123,Engine!$C$2:$C$1960,0)),"",INDEX('Compliance Database'!$I$2:$I$1960,MATCH(1123,Engine!$C$2:$C$1960,0)))</f>
        <v/>
      </c>
      <c r="J1136" s="8">
        <f>IF(ISNA(MATCH(1123,Engine!$C$2:$C$1960,0)),"",INDEX('Compliance Database'!$J$2:$J$1960,MATCH(1123,Engine!$C$2:$C$1960,0)))</f>
        <v/>
      </c>
      <c r="K1136" s="9">
        <f>IF(ISNA(MATCH(1123,Engine!$C$2:$C$1960,0)),"",INDEX('Compliance Database'!$K$2:$K$1960,MATCH(1123,Engine!$C$2:$C$1960,0)))</f>
        <v/>
      </c>
      <c r="L1136" s="9">
        <f>IF(ISNA(MATCH(1123,Engine!$C$2:$C$1960,0)),"",INDEX('Compliance Database'!$L$2:$L$1960,MATCH(1123,Engine!$C$2:$C$1960,0)))</f>
        <v/>
      </c>
      <c r="M1136" s="9">
        <f>IF(ISNA(MATCH(1123,Engine!$C$2:$C$1960,0)),"",INDEX('Compliance Database'!$M$2:$M$1960,MATCH(1123,Engine!$C$2:$C$1960,0)))</f>
        <v/>
      </c>
      <c r="N1136" s="9">
        <f>IF(ISNA(MATCH(1123,Engine!$C$2:$C$1960,0)),"",INDEX('Compliance Database'!$N$2:$N$1960,MATCH(1123,Engine!$C$2:$C$1960,0)))</f>
        <v/>
      </c>
      <c r="O1136" s="9">
        <f>IF(ISNA(MATCH(1123,Engine!$C$2:$C$1960,0)),"",INDEX('Compliance Database'!$O$2:$O$1960,MATCH(1123,Engine!$C$2:$C$1960,0)))</f>
        <v/>
      </c>
      <c r="P1136" s="8">
        <f>IF(ISNA(MATCH(1123,Engine!$C$2:$C$1960,0)),"",HYPERLINK("#Acts!A"&amp;INDEX('Compliance Database'!$P$2:$P$1960,MATCH(1123,Engine!$C$2:$C$1960,0)),"Go to Act"))</f>
        <v/>
      </c>
    </row>
    <row r="1137" ht="158" customHeight="1">
      <c r="A1137" s="8">
        <f>IF(ISNA(MATCH(1124,Engine!$C$2:$C$1960,0)),"",INDEX('Compliance Database'!$A$2:$A$1960,MATCH(1124,Engine!$C$2:$C$1960,0)))</f>
        <v/>
      </c>
      <c r="B1137" s="8">
        <f>IF(ISNA(MATCH(1124,Engine!$C$2:$C$1960,0)),"",INDEX('Compliance Database'!$B$2:$B$1960,MATCH(1124,Engine!$C$2:$C$1960,0)))</f>
        <v/>
      </c>
      <c r="C1137" s="8">
        <f>IF(ISNA(MATCH(1124,Engine!$C$2:$C$1960,0)),"",INDEX('Compliance Database'!$C$2:$C$1960,MATCH(1124,Engine!$C$2:$C$1960,0)))</f>
        <v/>
      </c>
      <c r="D1137" s="9">
        <f>IF(ISNA(MATCH(1124,Engine!$C$2:$C$1960,0)),"",INDEX('Compliance Database'!$D$2:$D$1960,MATCH(1124,Engine!$C$2:$C$1960,0)))</f>
        <v/>
      </c>
      <c r="E1137" s="8">
        <f>IF(ISNA(MATCH(1124,Engine!$C$2:$C$1960,0)),"",INDEX('Compliance Database'!$E$2:$E$1960,MATCH(1124,Engine!$C$2:$C$1960,0)))</f>
        <v/>
      </c>
      <c r="F1137" s="8">
        <f>IF(ISNA(MATCH(1124,Engine!$C$2:$C$1960,0)),"",INDEX('Compliance Database'!$F$2:$F$1960,MATCH(1124,Engine!$C$2:$C$1960,0)))</f>
        <v/>
      </c>
      <c r="G1137" s="8">
        <f>IF(ISNA(MATCH(1124,Engine!$C$2:$C$1960,0)),"",INDEX('Compliance Database'!$G$2:$G$1960,MATCH(1124,Engine!$C$2:$C$1960,0)))</f>
        <v/>
      </c>
      <c r="H1137" s="9">
        <f>IF(ISNA(MATCH(1124,Engine!$C$2:$C$1960,0)),"",INDEX('Compliance Database'!$H$2:$H$1960,MATCH(1124,Engine!$C$2:$C$1960,0)))</f>
        <v/>
      </c>
      <c r="I1137" s="9">
        <f>IF(ISNA(MATCH(1124,Engine!$C$2:$C$1960,0)),"",INDEX('Compliance Database'!$I$2:$I$1960,MATCH(1124,Engine!$C$2:$C$1960,0)))</f>
        <v/>
      </c>
      <c r="J1137" s="8">
        <f>IF(ISNA(MATCH(1124,Engine!$C$2:$C$1960,0)),"",INDEX('Compliance Database'!$J$2:$J$1960,MATCH(1124,Engine!$C$2:$C$1960,0)))</f>
        <v/>
      </c>
      <c r="K1137" s="9">
        <f>IF(ISNA(MATCH(1124,Engine!$C$2:$C$1960,0)),"",INDEX('Compliance Database'!$K$2:$K$1960,MATCH(1124,Engine!$C$2:$C$1960,0)))</f>
        <v/>
      </c>
      <c r="L1137" s="9">
        <f>IF(ISNA(MATCH(1124,Engine!$C$2:$C$1960,0)),"",INDEX('Compliance Database'!$L$2:$L$1960,MATCH(1124,Engine!$C$2:$C$1960,0)))</f>
        <v/>
      </c>
      <c r="M1137" s="9">
        <f>IF(ISNA(MATCH(1124,Engine!$C$2:$C$1960,0)),"",INDEX('Compliance Database'!$M$2:$M$1960,MATCH(1124,Engine!$C$2:$C$1960,0)))</f>
        <v/>
      </c>
      <c r="N1137" s="9">
        <f>IF(ISNA(MATCH(1124,Engine!$C$2:$C$1960,0)),"",INDEX('Compliance Database'!$N$2:$N$1960,MATCH(1124,Engine!$C$2:$C$1960,0)))</f>
        <v/>
      </c>
      <c r="O1137" s="9">
        <f>IF(ISNA(MATCH(1124,Engine!$C$2:$C$1960,0)),"",INDEX('Compliance Database'!$O$2:$O$1960,MATCH(1124,Engine!$C$2:$C$1960,0)))</f>
        <v/>
      </c>
      <c r="P1137" s="8">
        <f>IF(ISNA(MATCH(1124,Engine!$C$2:$C$1960,0)),"",HYPERLINK("#Acts!A"&amp;INDEX('Compliance Database'!$P$2:$P$1960,MATCH(1124,Engine!$C$2:$C$1960,0)),"Go to Act"))</f>
        <v/>
      </c>
    </row>
    <row r="1138" ht="158" customHeight="1">
      <c r="A1138" s="8">
        <f>IF(ISNA(MATCH(1125,Engine!$C$2:$C$1960,0)),"",INDEX('Compliance Database'!$A$2:$A$1960,MATCH(1125,Engine!$C$2:$C$1960,0)))</f>
        <v/>
      </c>
      <c r="B1138" s="8">
        <f>IF(ISNA(MATCH(1125,Engine!$C$2:$C$1960,0)),"",INDEX('Compliance Database'!$B$2:$B$1960,MATCH(1125,Engine!$C$2:$C$1960,0)))</f>
        <v/>
      </c>
      <c r="C1138" s="8">
        <f>IF(ISNA(MATCH(1125,Engine!$C$2:$C$1960,0)),"",INDEX('Compliance Database'!$C$2:$C$1960,MATCH(1125,Engine!$C$2:$C$1960,0)))</f>
        <v/>
      </c>
      <c r="D1138" s="9">
        <f>IF(ISNA(MATCH(1125,Engine!$C$2:$C$1960,0)),"",INDEX('Compliance Database'!$D$2:$D$1960,MATCH(1125,Engine!$C$2:$C$1960,0)))</f>
        <v/>
      </c>
      <c r="E1138" s="8">
        <f>IF(ISNA(MATCH(1125,Engine!$C$2:$C$1960,0)),"",INDEX('Compliance Database'!$E$2:$E$1960,MATCH(1125,Engine!$C$2:$C$1960,0)))</f>
        <v/>
      </c>
      <c r="F1138" s="8">
        <f>IF(ISNA(MATCH(1125,Engine!$C$2:$C$1960,0)),"",INDEX('Compliance Database'!$F$2:$F$1960,MATCH(1125,Engine!$C$2:$C$1960,0)))</f>
        <v/>
      </c>
      <c r="G1138" s="8">
        <f>IF(ISNA(MATCH(1125,Engine!$C$2:$C$1960,0)),"",INDEX('Compliance Database'!$G$2:$G$1960,MATCH(1125,Engine!$C$2:$C$1960,0)))</f>
        <v/>
      </c>
      <c r="H1138" s="9">
        <f>IF(ISNA(MATCH(1125,Engine!$C$2:$C$1960,0)),"",INDEX('Compliance Database'!$H$2:$H$1960,MATCH(1125,Engine!$C$2:$C$1960,0)))</f>
        <v/>
      </c>
      <c r="I1138" s="9">
        <f>IF(ISNA(MATCH(1125,Engine!$C$2:$C$1960,0)),"",INDEX('Compliance Database'!$I$2:$I$1960,MATCH(1125,Engine!$C$2:$C$1960,0)))</f>
        <v/>
      </c>
      <c r="J1138" s="8">
        <f>IF(ISNA(MATCH(1125,Engine!$C$2:$C$1960,0)),"",INDEX('Compliance Database'!$J$2:$J$1960,MATCH(1125,Engine!$C$2:$C$1960,0)))</f>
        <v/>
      </c>
      <c r="K1138" s="9">
        <f>IF(ISNA(MATCH(1125,Engine!$C$2:$C$1960,0)),"",INDEX('Compliance Database'!$K$2:$K$1960,MATCH(1125,Engine!$C$2:$C$1960,0)))</f>
        <v/>
      </c>
      <c r="L1138" s="9">
        <f>IF(ISNA(MATCH(1125,Engine!$C$2:$C$1960,0)),"",INDEX('Compliance Database'!$L$2:$L$1960,MATCH(1125,Engine!$C$2:$C$1960,0)))</f>
        <v/>
      </c>
      <c r="M1138" s="9">
        <f>IF(ISNA(MATCH(1125,Engine!$C$2:$C$1960,0)),"",INDEX('Compliance Database'!$M$2:$M$1960,MATCH(1125,Engine!$C$2:$C$1960,0)))</f>
        <v/>
      </c>
      <c r="N1138" s="9">
        <f>IF(ISNA(MATCH(1125,Engine!$C$2:$C$1960,0)),"",INDEX('Compliance Database'!$N$2:$N$1960,MATCH(1125,Engine!$C$2:$C$1960,0)))</f>
        <v/>
      </c>
      <c r="O1138" s="9">
        <f>IF(ISNA(MATCH(1125,Engine!$C$2:$C$1960,0)),"",INDEX('Compliance Database'!$O$2:$O$1960,MATCH(1125,Engine!$C$2:$C$1960,0)))</f>
        <v/>
      </c>
      <c r="P1138" s="8">
        <f>IF(ISNA(MATCH(1125,Engine!$C$2:$C$1960,0)),"",HYPERLINK("#Acts!A"&amp;INDEX('Compliance Database'!$P$2:$P$1960,MATCH(1125,Engine!$C$2:$C$1960,0)),"Go to Act"))</f>
        <v/>
      </c>
    </row>
    <row r="1139" ht="158" customHeight="1">
      <c r="A1139" s="8">
        <f>IF(ISNA(MATCH(1126,Engine!$C$2:$C$1960,0)),"",INDEX('Compliance Database'!$A$2:$A$1960,MATCH(1126,Engine!$C$2:$C$1960,0)))</f>
        <v/>
      </c>
      <c r="B1139" s="8">
        <f>IF(ISNA(MATCH(1126,Engine!$C$2:$C$1960,0)),"",INDEX('Compliance Database'!$B$2:$B$1960,MATCH(1126,Engine!$C$2:$C$1960,0)))</f>
        <v/>
      </c>
      <c r="C1139" s="8">
        <f>IF(ISNA(MATCH(1126,Engine!$C$2:$C$1960,0)),"",INDEX('Compliance Database'!$C$2:$C$1960,MATCH(1126,Engine!$C$2:$C$1960,0)))</f>
        <v/>
      </c>
      <c r="D1139" s="9">
        <f>IF(ISNA(MATCH(1126,Engine!$C$2:$C$1960,0)),"",INDEX('Compliance Database'!$D$2:$D$1960,MATCH(1126,Engine!$C$2:$C$1960,0)))</f>
        <v/>
      </c>
      <c r="E1139" s="8">
        <f>IF(ISNA(MATCH(1126,Engine!$C$2:$C$1960,0)),"",INDEX('Compliance Database'!$E$2:$E$1960,MATCH(1126,Engine!$C$2:$C$1960,0)))</f>
        <v/>
      </c>
      <c r="F1139" s="8">
        <f>IF(ISNA(MATCH(1126,Engine!$C$2:$C$1960,0)),"",INDEX('Compliance Database'!$F$2:$F$1960,MATCH(1126,Engine!$C$2:$C$1960,0)))</f>
        <v/>
      </c>
      <c r="G1139" s="8">
        <f>IF(ISNA(MATCH(1126,Engine!$C$2:$C$1960,0)),"",INDEX('Compliance Database'!$G$2:$G$1960,MATCH(1126,Engine!$C$2:$C$1960,0)))</f>
        <v/>
      </c>
      <c r="H1139" s="9">
        <f>IF(ISNA(MATCH(1126,Engine!$C$2:$C$1960,0)),"",INDEX('Compliance Database'!$H$2:$H$1960,MATCH(1126,Engine!$C$2:$C$1960,0)))</f>
        <v/>
      </c>
      <c r="I1139" s="9">
        <f>IF(ISNA(MATCH(1126,Engine!$C$2:$C$1960,0)),"",INDEX('Compliance Database'!$I$2:$I$1960,MATCH(1126,Engine!$C$2:$C$1960,0)))</f>
        <v/>
      </c>
      <c r="J1139" s="8">
        <f>IF(ISNA(MATCH(1126,Engine!$C$2:$C$1960,0)),"",INDEX('Compliance Database'!$J$2:$J$1960,MATCH(1126,Engine!$C$2:$C$1960,0)))</f>
        <v/>
      </c>
      <c r="K1139" s="9">
        <f>IF(ISNA(MATCH(1126,Engine!$C$2:$C$1960,0)),"",INDEX('Compliance Database'!$K$2:$K$1960,MATCH(1126,Engine!$C$2:$C$1960,0)))</f>
        <v/>
      </c>
      <c r="L1139" s="9">
        <f>IF(ISNA(MATCH(1126,Engine!$C$2:$C$1960,0)),"",INDEX('Compliance Database'!$L$2:$L$1960,MATCH(1126,Engine!$C$2:$C$1960,0)))</f>
        <v/>
      </c>
      <c r="M1139" s="9">
        <f>IF(ISNA(MATCH(1126,Engine!$C$2:$C$1960,0)),"",INDEX('Compliance Database'!$M$2:$M$1960,MATCH(1126,Engine!$C$2:$C$1960,0)))</f>
        <v/>
      </c>
      <c r="N1139" s="9">
        <f>IF(ISNA(MATCH(1126,Engine!$C$2:$C$1960,0)),"",INDEX('Compliance Database'!$N$2:$N$1960,MATCH(1126,Engine!$C$2:$C$1960,0)))</f>
        <v/>
      </c>
      <c r="O1139" s="9">
        <f>IF(ISNA(MATCH(1126,Engine!$C$2:$C$1960,0)),"",INDEX('Compliance Database'!$O$2:$O$1960,MATCH(1126,Engine!$C$2:$C$1960,0)))</f>
        <v/>
      </c>
      <c r="P1139" s="8">
        <f>IF(ISNA(MATCH(1126,Engine!$C$2:$C$1960,0)),"",HYPERLINK("#Acts!A"&amp;INDEX('Compliance Database'!$P$2:$P$1960,MATCH(1126,Engine!$C$2:$C$1960,0)),"Go to Act"))</f>
        <v/>
      </c>
    </row>
    <row r="1140" ht="158" customHeight="1">
      <c r="A1140" s="8">
        <f>IF(ISNA(MATCH(1127,Engine!$C$2:$C$1960,0)),"",INDEX('Compliance Database'!$A$2:$A$1960,MATCH(1127,Engine!$C$2:$C$1960,0)))</f>
        <v/>
      </c>
      <c r="B1140" s="8">
        <f>IF(ISNA(MATCH(1127,Engine!$C$2:$C$1960,0)),"",INDEX('Compliance Database'!$B$2:$B$1960,MATCH(1127,Engine!$C$2:$C$1960,0)))</f>
        <v/>
      </c>
      <c r="C1140" s="8">
        <f>IF(ISNA(MATCH(1127,Engine!$C$2:$C$1960,0)),"",INDEX('Compliance Database'!$C$2:$C$1960,MATCH(1127,Engine!$C$2:$C$1960,0)))</f>
        <v/>
      </c>
      <c r="D1140" s="9">
        <f>IF(ISNA(MATCH(1127,Engine!$C$2:$C$1960,0)),"",INDEX('Compliance Database'!$D$2:$D$1960,MATCH(1127,Engine!$C$2:$C$1960,0)))</f>
        <v/>
      </c>
      <c r="E1140" s="8">
        <f>IF(ISNA(MATCH(1127,Engine!$C$2:$C$1960,0)),"",INDEX('Compliance Database'!$E$2:$E$1960,MATCH(1127,Engine!$C$2:$C$1960,0)))</f>
        <v/>
      </c>
      <c r="F1140" s="8">
        <f>IF(ISNA(MATCH(1127,Engine!$C$2:$C$1960,0)),"",INDEX('Compliance Database'!$F$2:$F$1960,MATCH(1127,Engine!$C$2:$C$1960,0)))</f>
        <v/>
      </c>
      <c r="G1140" s="8">
        <f>IF(ISNA(MATCH(1127,Engine!$C$2:$C$1960,0)),"",INDEX('Compliance Database'!$G$2:$G$1960,MATCH(1127,Engine!$C$2:$C$1960,0)))</f>
        <v/>
      </c>
      <c r="H1140" s="9">
        <f>IF(ISNA(MATCH(1127,Engine!$C$2:$C$1960,0)),"",INDEX('Compliance Database'!$H$2:$H$1960,MATCH(1127,Engine!$C$2:$C$1960,0)))</f>
        <v/>
      </c>
      <c r="I1140" s="9">
        <f>IF(ISNA(MATCH(1127,Engine!$C$2:$C$1960,0)),"",INDEX('Compliance Database'!$I$2:$I$1960,MATCH(1127,Engine!$C$2:$C$1960,0)))</f>
        <v/>
      </c>
      <c r="J1140" s="8">
        <f>IF(ISNA(MATCH(1127,Engine!$C$2:$C$1960,0)),"",INDEX('Compliance Database'!$J$2:$J$1960,MATCH(1127,Engine!$C$2:$C$1960,0)))</f>
        <v/>
      </c>
      <c r="K1140" s="9">
        <f>IF(ISNA(MATCH(1127,Engine!$C$2:$C$1960,0)),"",INDEX('Compliance Database'!$K$2:$K$1960,MATCH(1127,Engine!$C$2:$C$1960,0)))</f>
        <v/>
      </c>
      <c r="L1140" s="9">
        <f>IF(ISNA(MATCH(1127,Engine!$C$2:$C$1960,0)),"",INDEX('Compliance Database'!$L$2:$L$1960,MATCH(1127,Engine!$C$2:$C$1960,0)))</f>
        <v/>
      </c>
      <c r="M1140" s="9">
        <f>IF(ISNA(MATCH(1127,Engine!$C$2:$C$1960,0)),"",INDEX('Compliance Database'!$M$2:$M$1960,MATCH(1127,Engine!$C$2:$C$1960,0)))</f>
        <v/>
      </c>
      <c r="N1140" s="9">
        <f>IF(ISNA(MATCH(1127,Engine!$C$2:$C$1960,0)),"",INDEX('Compliance Database'!$N$2:$N$1960,MATCH(1127,Engine!$C$2:$C$1960,0)))</f>
        <v/>
      </c>
      <c r="O1140" s="9">
        <f>IF(ISNA(MATCH(1127,Engine!$C$2:$C$1960,0)),"",INDEX('Compliance Database'!$O$2:$O$1960,MATCH(1127,Engine!$C$2:$C$1960,0)))</f>
        <v/>
      </c>
      <c r="P1140" s="8">
        <f>IF(ISNA(MATCH(1127,Engine!$C$2:$C$1960,0)),"",HYPERLINK("#Acts!A"&amp;INDEX('Compliance Database'!$P$2:$P$1960,MATCH(1127,Engine!$C$2:$C$1960,0)),"Go to Act"))</f>
        <v/>
      </c>
    </row>
    <row r="1141" ht="158" customHeight="1">
      <c r="A1141" s="8">
        <f>IF(ISNA(MATCH(1128,Engine!$C$2:$C$1960,0)),"",INDEX('Compliance Database'!$A$2:$A$1960,MATCH(1128,Engine!$C$2:$C$1960,0)))</f>
        <v/>
      </c>
      <c r="B1141" s="8">
        <f>IF(ISNA(MATCH(1128,Engine!$C$2:$C$1960,0)),"",INDEX('Compliance Database'!$B$2:$B$1960,MATCH(1128,Engine!$C$2:$C$1960,0)))</f>
        <v/>
      </c>
      <c r="C1141" s="8">
        <f>IF(ISNA(MATCH(1128,Engine!$C$2:$C$1960,0)),"",INDEX('Compliance Database'!$C$2:$C$1960,MATCH(1128,Engine!$C$2:$C$1960,0)))</f>
        <v/>
      </c>
      <c r="D1141" s="9">
        <f>IF(ISNA(MATCH(1128,Engine!$C$2:$C$1960,0)),"",INDEX('Compliance Database'!$D$2:$D$1960,MATCH(1128,Engine!$C$2:$C$1960,0)))</f>
        <v/>
      </c>
      <c r="E1141" s="8">
        <f>IF(ISNA(MATCH(1128,Engine!$C$2:$C$1960,0)),"",INDEX('Compliance Database'!$E$2:$E$1960,MATCH(1128,Engine!$C$2:$C$1960,0)))</f>
        <v/>
      </c>
      <c r="F1141" s="8">
        <f>IF(ISNA(MATCH(1128,Engine!$C$2:$C$1960,0)),"",INDEX('Compliance Database'!$F$2:$F$1960,MATCH(1128,Engine!$C$2:$C$1960,0)))</f>
        <v/>
      </c>
      <c r="G1141" s="8">
        <f>IF(ISNA(MATCH(1128,Engine!$C$2:$C$1960,0)),"",INDEX('Compliance Database'!$G$2:$G$1960,MATCH(1128,Engine!$C$2:$C$1960,0)))</f>
        <v/>
      </c>
      <c r="H1141" s="9">
        <f>IF(ISNA(MATCH(1128,Engine!$C$2:$C$1960,0)),"",INDEX('Compliance Database'!$H$2:$H$1960,MATCH(1128,Engine!$C$2:$C$1960,0)))</f>
        <v/>
      </c>
      <c r="I1141" s="9">
        <f>IF(ISNA(MATCH(1128,Engine!$C$2:$C$1960,0)),"",INDEX('Compliance Database'!$I$2:$I$1960,MATCH(1128,Engine!$C$2:$C$1960,0)))</f>
        <v/>
      </c>
      <c r="J1141" s="8">
        <f>IF(ISNA(MATCH(1128,Engine!$C$2:$C$1960,0)),"",INDEX('Compliance Database'!$J$2:$J$1960,MATCH(1128,Engine!$C$2:$C$1960,0)))</f>
        <v/>
      </c>
      <c r="K1141" s="9">
        <f>IF(ISNA(MATCH(1128,Engine!$C$2:$C$1960,0)),"",INDEX('Compliance Database'!$K$2:$K$1960,MATCH(1128,Engine!$C$2:$C$1960,0)))</f>
        <v/>
      </c>
      <c r="L1141" s="9">
        <f>IF(ISNA(MATCH(1128,Engine!$C$2:$C$1960,0)),"",INDEX('Compliance Database'!$L$2:$L$1960,MATCH(1128,Engine!$C$2:$C$1960,0)))</f>
        <v/>
      </c>
      <c r="M1141" s="9">
        <f>IF(ISNA(MATCH(1128,Engine!$C$2:$C$1960,0)),"",INDEX('Compliance Database'!$M$2:$M$1960,MATCH(1128,Engine!$C$2:$C$1960,0)))</f>
        <v/>
      </c>
      <c r="N1141" s="9">
        <f>IF(ISNA(MATCH(1128,Engine!$C$2:$C$1960,0)),"",INDEX('Compliance Database'!$N$2:$N$1960,MATCH(1128,Engine!$C$2:$C$1960,0)))</f>
        <v/>
      </c>
      <c r="O1141" s="9">
        <f>IF(ISNA(MATCH(1128,Engine!$C$2:$C$1960,0)),"",INDEX('Compliance Database'!$O$2:$O$1960,MATCH(1128,Engine!$C$2:$C$1960,0)))</f>
        <v/>
      </c>
      <c r="P1141" s="8">
        <f>IF(ISNA(MATCH(1128,Engine!$C$2:$C$1960,0)),"",HYPERLINK("#Acts!A"&amp;INDEX('Compliance Database'!$P$2:$P$1960,MATCH(1128,Engine!$C$2:$C$1960,0)),"Go to Act"))</f>
        <v/>
      </c>
    </row>
    <row r="1142" ht="158" customHeight="1">
      <c r="A1142" s="8">
        <f>IF(ISNA(MATCH(1129,Engine!$C$2:$C$1960,0)),"",INDEX('Compliance Database'!$A$2:$A$1960,MATCH(1129,Engine!$C$2:$C$1960,0)))</f>
        <v/>
      </c>
      <c r="B1142" s="8">
        <f>IF(ISNA(MATCH(1129,Engine!$C$2:$C$1960,0)),"",INDEX('Compliance Database'!$B$2:$B$1960,MATCH(1129,Engine!$C$2:$C$1960,0)))</f>
        <v/>
      </c>
      <c r="C1142" s="8">
        <f>IF(ISNA(MATCH(1129,Engine!$C$2:$C$1960,0)),"",INDEX('Compliance Database'!$C$2:$C$1960,MATCH(1129,Engine!$C$2:$C$1960,0)))</f>
        <v/>
      </c>
      <c r="D1142" s="9">
        <f>IF(ISNA(MATCH(1129,Engine!$C$2:$C$1960,0)),"",INDEX('Compliance Database'!$D$2:$D$1960,MATCH(1129,Engine!$C$2:$C$1960,0)))</f>
        <v/>
      </c>
      <c r="E1142" s="8">
        <f>IF(ISNA(MATCH(1129,Engine!$C$2:$C$1960,0)),"",INDEX('Compliance Database'!$E$2:$E$1960,MATCH(1129,Engine!$C$2:$C$1960,0)))</f>
        <v/>
      </c>
      <c r="F1142" s="8">
        <f>IF(ISNA(MATCH(1129,Engine!$C$2:$C$1960,0)),"",INDEX('Compliance Database'!$F$2:$F$1960,MATCH(1129,Engine!$C$2:$C$1960,0)))</f>
        <v/>
      </c>
      <c r="G1142" s="8">
        <f>IF(ISNA(MATCH(1129,Engine!$C$2:$C$1960,0)),"",INDEX('Compliance Database'!$G$2:$G$1960,MATCH(1129,Engine!$C$2:$C$1960,0)))</f>
        <v/>
      </c>
      <c r="H1142" s="9">
        <f>IF(ISNA(MATCH(1129,Engine!$C$2:$C$1960,0)),"",INDEX('Compliance Database'!$H$2:$H$1960,MATCH(1129,Engine!$C$2:$C$1960,0)))</f>
        <v/>
      </c>
      <c r="I1142" s="9">
        <f>IF(ISNA(MATCH(1129,Engine!$C$2:$C$1960,0)),"",INDEX('Compliance Database'!$I$2:$I$1960,MATCH(1129,Engine!$C$2:$C$1960,0)))</f>
        <v/>
      </c>
      <c r="J1142" s="8">
        <f>IF(ISNA(MATCH(1129,Engine!$C$2:$C$1960,0)),"",INDEX('Compliance Database'!$J$2:$J$1960,MATCH(1129,Engine!$C$2:$C$1960,0)))</f>
        <v/>
      </c>
      <c r="K1142" s="9">
        <f>IF(ISNA(MATCH(1129,Engine!$C$2:$C$1960,0)),"",INDEX('Compliance Database'!$K$2:$K$1960,MATCH(1129,Engine!$C$2:$C$1960,0)))</f>
        <v/>
      </c>
      <c r="L1142" s="9">
        <f>IF(ISNA(MATCH(1129,Engine!$C$2:$C$1960,0)),"",INDEX('Compliance Database'!$L$2:$L$1960,MATCH(1129,Engine!$C$2:$C$1960,0)))</f>
        <v/>
      </c>
      <c r="M1142" s="9">
        <f>IF(ISNA(MATCH(1129,Engine!$C$2:$C$1960,0)),"",INDEX('Compliance Database'!$M$2:$M$1960,MATCH(1129,Engine!$C$2:$C$1960,0)))</f>
        <v/>
      </c>
      <c r="N1142" s="9">
        <f>IF(ISNA(MATCH(1129,Engine!$C$2:$C$1960,0)),"",INDEX('Compliance Database'!$N$2:$N$1960,MATCH(1129,Engine!$C$2:$C$1960,0)))</f>
        <v/>
      </c>
      <c r="O1142" s="9">
        <f>IF(ISNA(MATCH(1129,Engine!$C$2:$C$1960,0)),"",INDEX('Compliance Database'!$O$2:$O$1960,MATCH(1129,Engine!$C$2:$C$1960,0)))</f>
        <v/>
      </c>
      <c r="P1142" s="8">
        <f>IF(ISNA(MATCH(1129,Engine!$C$2:$C$1960,0)),"",HYPERLINK("#Acts!A"&amp;INDEX('Compliance Database'!$P$2:$P$1960,MATCH(1129,Engine!$C$2:$C$1960,0)),"Go to Act"))</f>
        <v/>
      </c>
    </row>
    <row r="1143" ht="158" customHeight="1">
      <c r="A1143" s="8">
        <f>IF(ISNA(MATCH(1130,Engine!$C$2:$C$1960,0)),"",INDEX('Compliance Database'!$A$2:$A$1960,MATCH(1130,Engine!$C$2:$C$1960,0)))</f>
        <v/>
      </c>
      <c r="B1143" s="8">
        <f>IF(ISNA(MATCH(1130,Engine!$C$2:$C$1960,0)),"",INDEX('Compliance Database'!$B$2:$B$1960,MATCH(1130,Engine!$C$2:$C$1960,0)))</f>
        <v/>
      </c>
      <c r="C1143" s="8">
        <f>IF(ISNA(MATCH(1130,Engine!$C$2:$C$1960,0)),"",INDEX('Compliance Database'!$C$2:$C$1960,MATCH(1130,Engine!$C$2:$C$1960,0)))</f>
        <v/>
      </c>
      <c r="D1143" s="9">
        <f>IF(ISNA(MATCH(1130,Engine!$C$2:$C$1960,0)),"",INDEX('Compliance Database'!$D$2:$D$1960,MATCH(1130,Engine!$C$2:$C$1960,0)))</f>
        <v/>
      </c>
      <c r="E1143" s="8">
        <f>IF(ISNA(MATCH(1130,Engine!$C$2:$C$1960,0)),"",INDEX('Compliance Database'!$E$2:$E$1960,MATCH(1130,Engine!$C$2:$C$1960,0)))</f>
        <v/>
      </c>
      <c r="F1143" s="8">
        <f>IF(ISNA(MATCH(1130,Engine!$C$2:$C$1960,0)),"",INDEX('Compliance Database'!$F$2:$F$1960,MATCH(1130,Engine!$C$2:$C$1960,0)))</f>
        <v/>
      </c>
      <c r="G1143" s="8">
        <f>IF(ISNA(MATCH(1130,Engine!$C$2:$C$1960,0)),"",INDEX('Compliance Database'!$G$2:$G$1960,MATCH(1130,Engine!$C$2:$C$1960,0)))</f>
        <v/>
      </c>
      <c r="H1143" s="9">
        <f>IF(ISNA(MATCH(1130,Engine!$C$2:$C$1960,0)),"",INDEX('Compliance Database'!$H$2:$H$1960,MATCH(1130,Engine!$C$2:$C$1960,0)))</f>
        <v/>
      </c>
      <c r="I1143" s="9">
        <f>IF(ISNA(MATCH(1130,Engine!$C$2:$C$1960,0)),"",INDEX('Compliance Database'!$I$2:$I$1960,MATCH(1130,Engine!$C$2:$C$1960,0)))</f>
        <v/>
      </c>
      <c r="J1143" s="8">
        <f>IF(ISNA(MATCH(1130,Engine!$C$2:$C$1960,0)),"",INDEX('Compliance Database'!$J$2:$J$1960,MATCH(1130,Engine!$C$2:$C$1960,0)))</f>
        <v/>
      </c>
      <c r="K1143" s="9">
        <f>IF(ISNA(MATCH(1130,Engine!$C$2:$C$1960,0)),"",INDEX('Compliance Database'!$K$2:$K$1960,MATCH(1130,Engine!$C$2:$C$1960,0)))</f>
        <v/>
      </c>
      <c r="L1143" s="9">
        <f>IF(ISNA(MATCH(1130,Engine!$C$2:$C$1960,0)),"",INDEX('Compliance Database'!$L$2:$L$1960,MATCH(1130,Engine!$C$2:$C$1960,0)))</f>
        <v/>
      </c>
      <c r="M1143" s="9">
        <f>IF(ISNA(MATCH(1130,Engine!$C$2:$C$1960,0)),"",INDEX('Compliance Database'!$M$2:$M$1960,MATCH(1130,Engine!$C$2:$C$1960,0)))</f>
        <v/>
      </c>
      <c r="N1143" s="9">
        <f>IF(ISNA(MATCH(1130,Engine!$C$2:$C$1960,0)),"",INDEX('Compliance Database'!$N$2:$N$1960,MATCH(1130,Engine!$C$2:$C$1960,0)))</f>
        <v/>
      </c>
      <c r="O1143" s="9">
        <f>IF(ISNA(MATCH(1130,Engine!$C$2:$C$1960,0)),"",INDEX('Compliance Database'!$O$2:$O$1960,MATCH(1130,Engine!$C$2:$C$1960,0)))</f>
        <v/>
      </c>
      <c r="P1143" s="8">
        <f>IF(ISNA(MATCH(1130,Engine!$C$2:$C$1960,0)),"",HYPERLINK("#Acts!A"&amp;INDEX('Compliance Database'!$P$2:$P$1960,MATCH(1130,Engine!$C$2:$C$1960,0)),"Go to Act"))</f>
        <v/>
      </c>
    </row>
    <row r="1144" ht="158" customHeight="1">
      <c r="A1144" s="8">
        <f>IF(ISNA(MATCH(1131,Engine!$C$2:$C$1960,0)),"",INDEX('Compliance Database'!$A$2:$A$1960,MATCH(1131,Engine!$C$2:$C$1960,0)))</f>
        <v/>
      </c>
      <c r="B1144" s="8">
        <f>IF(ISNA(MATCH(1131,Engine!$C$2:$C$1960,0)),"",INDEX('Compliance Database'!$B$2:$B$1960,MATCH(1131,Engine!$C$2:$C$1960,0)))</f>
        <v/>
      </c>
      <c r="C1144" s="8">
        <f>IF(ISNA(MATCH(1131,Engine!$C$2:$C$1960,0)),"",INDEX('Compliance Database'!$C$2:$C$1960,MATCH(1131,Engine!$C$2:$C$1960,0)))</f>
        <v/>
      </c>
      <c r="D1144" s="9">
        <f>IF(ISNA(MATCH(1131,Engine!$C$2:$C$1960,0)),"",INDEX('Compliance Database'!$D$2:$D$1960,MATCH(1131,Engine!$C$2:$C$1960,0)))</f>
        <v/>
      </c>
      <c r="E1144" s="8">
        <f>IF(ISNA(MATCH(1131,Engine!$C$2:$C$1960,0)),"",INDEX('Compliance Database'!$E$2:$E$1960,MATCH(1131,Engine!$C$2:$C$1960,0)))</f>
        <v/>
      </c>
      <c r="F1144" s="8">
        <f>IF(ISNA(MATCH(1131,Engine!$C$2:$C$1960,0)),"",INDEX('Compliance Database'!$F$2:$F$1960,MATCH(1131,Engine!$C$2:$C$1960,0)))</f>
        <v/>
      </c>
      <c r="G1144" s="8">
        <f>IF(ISNA(MATCH(1131,Engine!$C$2:$C$1960,0)),"",INDEX('Compliance Database'!$G$2:$G$1960,MATCH(1131,Engine!$C$2:$C$1960,0)))</f>
        <v/>
      </c>
      <c r="H1144" s="9">
        <f>IF(ISNA(MATCH(1131,Engine!$C$2:$C$1960,0)),"",INDEX('Compliance Database'!$H$2:$H$1960,MATCH(1131,Engine!$C$2:$C$1960,0)))</f>
        <v/>
      </c>
      <c r="I1144" s="9">
        <f>IF(ISNA(MATCH(1131,Engine!$C$2:$C$1960,0)),"",INDEX('Compliance Database'!$I$2:$I$1960,MATCH(1131,Engine!$C$2:$C$1960,0)))</f>
        <v/>
      </c>
      <c r="J1144" s="8">
        <f>IF(ISNA(MATCH(1131,Engine!$C$2:$C$1960,0)),"",INDEX('Compliance Database'!$J$2:$J$1960,MATCH(1131,Engine!$C$2:$C$1960,0)))</f>
        <v/>
      </c>
      <c r="K1144" s="9">
        <f>IF(ISNA(MATCH(1131,Engine!$C$2:$C$1960,0)),"",INDEX('Compliance Database'!$K$2:$K$1960,MATCH(1131,Engine!$C$2:$C$1960,0)))</f>
        <v/>
      </c>
      <c r="L1144" s="9">
        <f>IF(ISNA(MATCH(1131,Engine!$C$2:$C$1960,0)),"",INDEX('Compliance Database'!$L$2:$L$1960,MATCH(1131,Engine!$C$2:$C$1960,0)))</f>
        <v/>
      </c>
      <c r="M1144" s="9">
        <f>IF(ISNA(MATCH(1131,Engine!$C$2:$C$1960,0)),"",INDEX('Compliance Database'!$M$2:$M$1960,MATCH(1131,Engine!$C$2:$C$1960,0)))</f>
        <v/>
      </c>
      <c r="N1144" s="9">
        <f>IF(ISNA(MATCH(1131,Engine!$C$2:$C$1960,0)),"",INDEX('Compliance Database'!$N$2:$N$1960,MATCH(1131,Engine!$C$2:$C$1960,0)))</f>
        <v/>
      </c>
      <c r="O1144" s="9">
        <f>IF(ISNA(MATCH(1131,Engine!$C$2:$C$1960,0)),"",INDEX('Compliance Database'!$O$2:$O$1960,MATCH(1131,Engine!$C$2:$C$1960,0)))</f>
        <v/>
      </c>
      <c r="P1144" s="8">
        <f>IF(ISNA(MATCH(1131,Engine!$C$2:$C$1960,0)),"",HYPERLINK("#Acts!A"&amp;INDEX('Compliance Database'!$P$2:$P$1960,MATCH(1131,Engine!$C$2:$C$1960,0)),"Go to Act"))</f>
        <v/>
      </c>
    </row>
    <row r="1145" ht="158" customHeight="1">
      <c r="A1145" s="8">
        <f>IF(ISNA(MATCH(1132,Engine!$C$2:$C$1960,0)),"",INDEX('Compliance Database'!$A$2:$A$1960,MATCH(1132,Engine!$C$2:$C$1960,0)))</f>
        <v/>
      </c>
      <c r="B1145" s="8">
        <f>IF(ISNA(MATCH(1132,Engine!$C$2:$C$1960,0)),"",INDEX('Compliance Database'!$B$2:$B$1960,MATCH(1132,Engine!$C$2:$C$1960,0)))</f>
        <v/>
      </c>
      <c r="C1145" s="8">
        <f>IF(ISNA(MATCH(1132,Engine!$C$2:$C$1960,0)),"",INDEX('Compliance Database'!$C$2:$C$1960,MATCH(1132,Engine!$C$2:$C$1960,0)))</f>
        <v/>
      </c>
      <c r="D1145" s="9">
        <f>IF(ISNA(MATCH(1132,Engine!$C$2:$C$1960,0)),"",INDEX('Compliance Database'!$D$2:$D$1960,MATCH(1132,Engine!$C$2:$C$1960,0)))</f>
        <v/>
      </c>
      <c r="E1145" s="8">
        <f>IF(ISNA(MATCH(1132,Engine!$C$2:$C$1960,0)),"",INDEX('Compliance Database'!$E$2:$E$1960,MATCH(1132,Engine!$C$2:$C$1960,0)))</f>
        <v/>
      </c>
      <c r="F1145" s="8">
        <f>IF(ISNA(MATCH(1132,Engine!$C$2:$C$1960,0)),"",INDEX('Compliance Database'!$F$2:$F$1960,MATCH(1132,Engine!$C$2:$C$1960,0)))</f>
        <v/>
      </c>
      <c r="G1145" s="8">
        <f>IF(ISNA(MATCH(1132,Engine!$C$2:$C$1960,0)),"",INDEX('Compliance Database'!$G$2:$G$1960,MATCH(1132,Engine!$C$2:$C$1960,0)))</f>
        <v/>
      </c>
      <c r="H1145" s="9">
        <f>IF(ISNA(MATCH(1132,Engine!$C$2:$C$1960,0)),"",INDEX('Compliance Database'!$H$2:$H$1960,MATCH(1132,Engine!$C$2:$C$1960,0)))</f>
        <v/>
      </c>
      <c r="I1145" s="9">
        <f>IF(ISNA(MATCH(1132,Engine!$C$2:$C$1960,0)),"",INDEX('Compliance Database'!$I$2:$I$1960,MATCH(1132,Engine!$C$2:$C$1960,0)))</f>
        <v/>
      </c>
      <c r="J1145" s="8">
        <f>IF(ISNA(MATCH(1132,Engine!$C$2:$C$1960,0)),"",INDEX('Compliance Database'!$J$2:$J$1960,MATCH(1132,Engine!$C$2:$C$1960,0)))</f>
        <v/>
      </c>
      <c r="K1145" s="9">
        <f>IF(ISNA(MATCH(1132,Engine!$C$2:$C$1960,0)),"",INDEX('Compliance Database'!$K$2:$K$1960,MATCH(1132,Engine!$C$2:$C$1960,0)))</f>
        <v/>
      </c>
      <c r="L1145" s="9">
        <f>IF(ISNA(MATCH(1132,Engine!$C$2:$C$1960,0)),"",INDEX('Compliance Database'!$L$2:$L$1960,MATCH(1132,Engine!$C$2:$C$1960,0)))</f>
        <v/>
      </c>
      <c r="M1145" s="9">
        <f>IF(ISNA(MATCH(1132,Engine!$C$2:$C$1960,0)),"",INDEX('Compliance Database'!$M$2:$M$1960,MATCH(1132,Engine!$C$2:$C$1960,0)))</f>
        <v/>
      </c>
      <c r="N1145" s="9">
        <f>IF(ISNA(MATCH(1132,Engine!$C$2:$C$1960,0)),"",INDEX('Compliance Database'!$N$2:$N$1960,MATCH(1132,Engine!$C$2:$C$1960,0)))</f>
        <v/>
      </c>
      <c r="O1145" s="9">
        <f>IF(ISNA(MATCH(1132,Engine!$C$2:$C$1960,0)),"",INDEX('Compliance Database'!$O$2:$O$1960,MATCH(1132,Engine!$C$2:$C$1960,0)))</f>
        <v/>
      </c>
      <c r="P1145" s="8">
        <f>IF(ISNA(MATCH(1132,Engine!$C$2:$C$1960,0)),"",HYPERLINK("#Acts!A"&amp;INDEX('Compliance Database'!$P$2:$P$1960,MATCH(1132,Engine!$C$2:$C$1960,0)),"Go to Act"))</f>
        <v/>
      </c>
    </row>
    <row r="1146" ht="158" customHeight="1">
      <c r="A1146" s="8">
        <f>IF(ISNA(MATCH(1133,Engine!$C$2:$C$1960,0)),"",INDEX('Compliance Database'!$A$2:$A$1960,MATCH(1133,Engine!$C$2:$C$1960,0)))</f>
        <v/>
      </c>
      <c r="B1146" s="8">
        <f>IF(ISNA(MATCH(1133,Engine!$C$2:$C$1960,0)),"",INDEX('Compliance Database'!$B$2:$B$1960,MATCH(1133,Engine!$C$2:$C$1960,0)))</f>
        <v/>
      </c>
      <c r="C1146" s="8">
        <f>IF(ISNA(MATCH(1133,Engine!$C$2:$C$1960,0)),"",INDEX('Compliance Database'!$C$2:$C$1960,MATCH(1133,Engine!$C$2:$C$1960,0)))</f>
        <v/>
      </c>
      <c r="D1146" s="9">
        <f>IF(ISNA(MATCH(1133,Engine!$C$2:$C$1960,0)),"",INDEX('Compliance Database'!$D$2:$D$1960,MATCH(1133,Engine!$C$2:$C$1960,0)))</f>
        <v/>
      </c>
      <c r="E1146" s="8">
        <f>IF(ISNA(MATCH(1133,Engine!$C$2:$C$1960,0)),"",INDEX('Compliance Database'!$E$2:$E$1960,MATCH(1133,Engine!$C$2:$C$1960,0)))</f>
        <v/>
      </c>
      <c r="F1146" s="8">
        <f>IF(ISNA(MATCH(1133,Engine!$C$2:$C$1960,0)),"",INDEX('Compliance Database'!$F$2:$F$1960,MATCH(1133,Engine!$C$2:$C$1960,0)))</f>
        <v/>
      </c>
      <c r="G1146" s="8">
        <f>IF(ISNA(MATCH(1133,Engine!$C$2:$C$1960,0)),"",INDEX('Compliance Database'!$G$2:$G$1960,MATCH(1133,Engine!$C$2:$C$1960,0)))</f>
        <v/>
      </c>
      <c r="H1146" s="9">
        <f>IF(ISNA(MATCH(1133,Engine!$C$2:$C$1960,0)),"",INDEX('Compliance Database'!$H$2:$H$1960,MATCH(1133,Engine!$C$2:$C$1960,0)))</f>
        <v/>
      </c>
      <c r="I1146" s="9">
        <f>IF(ISNA(MATCH(1133,Engine!$C$2:$C$1960,0)),"",INDEX('Compliance Database'!$I$2:$I$1960,MATCH(1133,Engine!$C$2:$C$1960,0)))</f>
        <v/>
      </c>
      <c r="J1146" s="8">
        <f>IF(ISNA(MATCH(1133,Engine!$C$2:$C$1960,0)),"",INDEX('Compliance Database'!$J$2:$J$1960,MATCH(1133,Engine!$C$2:$C$1960,0)))</f>
        <v/>
      </c>
      <c r="K1146" s="9">
        <f>IF(ISNA(MATCH(1133,Engine!$C$2:$C$1960,0)),"",INDEX('Compliance Database'!$K$2:$K$1960,MATCH(1133,Engine!$C$2:$C$1960,0)))</f>
        <v/>
      </c>
      <c r="L1146" s="9">
        <f>IF(ISNA(MATCH(1133,Engine!$C$2:$C$1960,0)),"",INDEX('Compliance Database'!$L$2:$L$1960,MATCH(1133,Engine!$C$2:$C$1960,0)))</f>
        <v/>
      </c>
      <c r="M1146" s="9">
        <f>IF(ISNA(MATCH(1133,Engine!$C$2:$C$1960,0)),"",INDEX('Compliance Database'!$M$2:$M$1960,MATCH(1133,Engine!$C$2:$C$1960,0)))</f>
        <v/>
      </c>
      <c r="N1146" s="9">
        <f>IF(ISNA(MATCH(1133,Engine!$C$2:$C$1960,0)),"",INDEX('Compliance Database'!$N$2:$N$1960,MATCH(1133,Engine!$C$2:$C$1960,0)))</f>
        <v/>
      </c>
      <c r="O1146" s="9">
        <f>IF(ISNA(MATCH(1133,Engine!$C$2:$C$1960,0)),"",INDEX('Compliance Database'!$O$2:$O$1960,MATCH(1133,Engine!$C$2:$C$1960,0)))</f>
        <v/>
      </c>
      <c r="P1146" s="8">
        <f>IF(ISNA(MATCH(1133,Engine!$C$2:$C$1960,0)),"",HYPERLINK("#Acts!A"&amp;INDEX('Compliance Database'!$P$2:$P$1960,MATCH(1133,Engine!$C$2:$C$1960,0)),"Go to Act"))</f>
        <v/>
      </c>
    </row>
    <row r="1147" ht="158" customHeight="1">
      <c r="A1147" s="8">
        <f>IF(ISNA(MATCH(1134,Engine!$C$2:$C$1960,0)),"",INDEX('Compliance Database'!$A$2:$A$1960,MATCH(1134,Engine!$C$2:$C$1960,0)))</f>
        <v/>
      </c>
      <c r="B1147" s="8">
        <f>IF(ISNA(MATCH(1134,Engine!$C$2:$C$1960,0)),"",INDEX('Compliance Database'!$B$2:$B$1960,MATCH(1134,Engine!$C$2:$C$1960,0)))</f>
        <v/>
      </c>
      <c r="C1147" s="8">
        <f>IF(ISNA(MATCH(1134,Engine!$C$2:$C$1960,0)),"",INDEX('Compliance Database'!$C$2:$C$1960,MATCH(1134,Engine!$C$2:$C$1960,0)))</f>
        <v/>
      </c>
      <c r="D1147" s="9">
        <f>IF(ISNA(MATCH(1134,Engine!$C$2:$C$1960,0)),"",INDEX('Compliance Database'!$D$2:$D$1960,MATCH(1134,Engine!$C$2:$C$1960,0)))</f>
        <v/>
      </c>
      <c r="E1147" s="8">
        <f>IF(ISNA(MATCH(1134,Engine!$C$2:$C$1960,0)),"",INDEX('Compliance Database'!$E$2:$E$1960,MATCH(1134,Engine!$C$2:$C$1960,0)))</f>
        <v/>
      </c>
      <c r="F1147" s="8">
        <f>IF(ISNA(MATCH(1134,Engine!$C$2:$C$1960,0)),"",INDEX('Compliance Database'!$F$2:$F$1960,MATCH(1134,Engine!$C$2:$C$1960,0)))</f>
        <v/>
      </c>
      <c r="G1147" s="8">
        <f>IF(ISNA(MATCH(1134,Engine!$C$2:$C$1960,0)),"",INDEX('Compliance Database'!$G$2:$G$1960,MATCH(1134,Engine!$C$2:$C$1960,0)))</f>
        <v/>
      </c>
      <c r="H1147" s="9">
        <f>IF(ISNA(MATCH(1134,Engine!$C$2:$C$1960,0)),"",INDEX('Compliance Database'!$H$2:$H$1960,MATCH(1134,Engine!$C$2:$C$1960,0)))</f>
        <v/>
      </c>
      <c r="I1147" s="9">
        <f>IF(ISNA(MATCH(1134,Engine!$C$2:$C$1960,0)),"",INDEX('Compliance Database'!$I$2:$I$1960,MATCH(1134,Engine!$C$2:$C$1960,0)))</f>
        <v/>
      </c>
      <c r="J1147" s="8">
        <f>IF(ISNA(MATCH(1134,Engine!$C$2:$C$1960,0)),"",INDEX('Compliance Database'!$J$2:$J$1960,MATCH(1134,Engine!$C$2:$C$1960,0)))</f>
        <v/>
      </c>
      <c r="K1147" s="9">
        <f>IF(ISNA(MATCH(1134,Engine!$C$2:$C$1960,0)),"",INDEX('Compliance Database'!$K$2:$K$1960,MATCH(1134,Engine!$C$2:$C$1960,0)))</f>
        <v/>
      </c>
      <c r="L1147" s="9">
        <f>IF(ISNA(MATCH(1134,Engine!$C$2:$C$1960,0)),"",INDEX('Compliance Database'!$L$2:$L$1960,MATCH(1134,Engine!$C$2:$C$1960,0)))</f>
        <v/>
      </c>
      <c r="M1147" s="9">
        <f>IF(ISNA(MATCH(1134,Engine!$C$2:$C$1960,0)),"",INDEX('Compliance Database'!$M$2:$M$1960,MATCH(1134,Engine!$C$2:$C$1960,0)))</f>
        <v/>
      </c>
      <c r="N1147" s="9">
        <f>IF(ISNA(MATCH(1134,Engine!$C$2:$C$1960,0)),"",INDEX('Compliance Database'!$N$2:$N$1960,MATCH(1134,Engine!$C$2:$C$1960,0)))</f>
        <v/>
      </c>
      <c r="O1147" s="9">
        <f>IF(ISNA(MATCH(1134,Engine!$C$2:$C$1960,0)),"",INDEX('Compliance Database'!$O$2:$O$1960,MATCH(1134,Engine!$C$2:$C$1960,0)))</f>
        <v/>
      </c>
      <c r="P1147" s="8">
        <f>IF(ISNA(MATCH(1134,Engine!$C$2:$C$1960,0)),"",HYPERLINK("#Acts!A"&amp;INDEX('Compliance Database'!$P$2:$P$1960,MATCH(1134,Engine!$C$2:$C$1960,0)),"Go to Act"))</f>
        <v/>
      </c>
    </row>
    <row r="1148" ht="158" customHeight="1">
      <c r="A1148" s="8">
        <f>IF(ISNA(MATCH(1135,Engine!$C$2:$C$1960,0)),"",INDEX('Compliance Database'!$A$2:$A$1960,MATCH(1135,Engine!$C$2:$C$1960,0)))</f>
        <v/>
      </c>
      <c r="B1148" s="8">
        <f>IF(ISNA(MATCH(1135,Engine!$C$2:$C$1960,0)),"",INDEX('Compliance Database'!$B$2:$B$1960,MATCH(1135,Engine!$C$2:$C$1960,0)))</f>
        <v/>
      </c>
      <c r="C1148" s="8">
        <f>IF(ISNA(MATCH(1135,Engine!$C$2:$C$1960,0)),"",INDEX('Compliance Database'!$C$2:$C$1960,MATCH(1135,Engine!$C$2:$C$1960,0)))</f>
        <v/>
      </c>
      <c r="D1148" s="9">
        <f>IF(ISNA(MATCH(1135,Engine!$C$2:$C$1960,0)),"",INDEX('Compliance Database'!$D$2:$D$1960,MATCH(1135,Engine!$C$2:$C$1960,0)))</f>
        <v/>
      </c>
      <c r="E1148" s="8">
        <f>IF(ISNA(MATCH(1135,Engine!$C$2:$C$1960,0)),"",INDEX('Compliance Database'!$E$2:$E$1960,MATCH(1135,Engine!$C$2:$C$1960,0)))</f>
        <v/>
      </c>
      <c r="F1148" s="8">
        <f>IF(ISNA(MATCH(1135,Engine!$C$2:$C$1960,0)),"",INDEX('Compliance Database'!$F$2:$F$1960,MATCH(1135,Engine!$C$2:$C$1960,0)))</f>
        <v/>
      </c>
      <c r="G1148" s="8">
        <f>IF(ISNA(MATCH(1135,Engine!$C$2:$C$1960,0)),"",INDEX('Compliance Database'!$G$2:$G$1960,MATCH(1135,Engine!$C$2:$C$1960,0)))</f>
        <v/>
      </c>
      <c r="H1148" s="9">
        <f>IF(ISNA(MATCH(1135,Engine!$C$2:$C$1960,0)),"",INDEX('Compliance Database'!$H$2:$H$1960,MATCH(1135,Engine!$C$2:$C$1960,0)))</f>
        <v/>
      </c>
      <c r="I1148" s="9">
        <f>IF(ISNA(MATCH(1135,Engine!$C$2:$C$1960,0)),"",INDEX('Compliance Database'!$I$2:$I$1960,MATCH(1135,Engine!$C$2:$C$1960,0)))</f>
        <v/>
      </c>
      <c r="J1148" s="8">
        <f>IF(ISNA(MATCH(1135,Engine!$C$2:$C$1960,0)),"",INDEX('Compliance Database'!$J$2:$J$1960,MATCH(1135,Engine!$C$2:$C$1960,0)))</f>
        <v/>
      </c>
      <c r="K1148" s="9">
        <f>IF(ISNA(MATCH(1135,Engine!$C$2:$C$1960,0)),"",INDEX('Compliance Database'!$K$2:$K$1960,MATCH(1135,Engine!$C$2:$C$1960,0)))</f>
        <v/>
      </c>
      <c r="L1148" s="9">
        <f>IF(ISNA(MATCH(1135,Engine!$C$2:$C$1960,0)),"",INDEX('Compliance Database'!$L$2:$L$1960,MATCH(1135,Engine!$C$2:$C$1960,0)))</f>
        <v/>
      </c>
      <c r="M1148" s="9">
        <f>IF(ISNA(MATCH(1135,Engine!$C$2:$C$1960,0)),"",INDEX('Compliance Database'!$M$2:$M$1960,MATCH(1135,Engine!$C$2:$C$1960,0)))</f>
        <v/>
      </c>
      <c r="N1148" s="9">
        <f>IF(ISNA(MATCH(1135,Engine!$C$2:$C$1960,0)),"",INDEX('Compliance Database'!$N$2:$N$1960,MATCH(1135,Engine!$C$2:$C$1960,0)))</f>
        <v/>
      </c>
      <c r="O1148" s="9">
        <f>IF(ISNA(MATCH(1135,Engine!$C$2:$C$1960,0)),"",INDEX('Compliance Database'!$O$2:$O$1960,MATCH(1135,Engine!$C$2:$C$1960,0)))</f>
        <v/>
      </c>
      <c r="P1148" s="8">
        <f>IF(ISNA(MATCH(1135,Engine!$C$2:$C$1960,0)),"",HYPERLINK("#Acts!A"&amp;INDEX('Compliance Database'!$P$2:$P$1960,MATCH(1135,Engine!$C$2:$C$1960,0)),"Go to Act"))</f>
        <v/>
      </c>
    </row>
    <row r="1149" ht="158" customHeight="1">
      <c r="A1149" s="8">
        <f>IF(ISNA(MATCH(1136,Engine!$C$2:$C$1960,0)),"",INDEX('Compliance Database'!$A$2:$A$1960,MATCH(1136,Engine!$C$2:$C$1960,0)))</f>
        <v/>
      </c>
      <c r="B1149" s="8">
        <f>IF(ISNA(MATCH(1136,Engine!$C$2:$C$1960,0)),"",INDEX('Compliance Database'!$B$2:$B$1960,MATCH(1136,Engine!$C$2:$C$1960,0)))</f>
        <v/>
      </c>
      <c r="C1149" s="8">
        <f>IF(ISNA(MATCH(1136,Engine!$C$2:$C$1960,0)),"",INDEX('Compliance Database'!$C$2:$C$1960,MATCH(1136,Engine!$C$2:$C$1960,0)))</f>
        <v/>
      </c>
      <c r="D1149" s="9">
        <f>IF(ISNA(MATCH(1136,Engine!$C$2:$C$1960,0)),"",INDEX('Compliance Database'!$D$2:$D$1960,MATCH(1136,Engine!$C$2:$C$1960,0)))</f>
        <v/>
      </c>
      <c r="E1149" s="8">
        <f>IF(ISNA(MATCH(1136,Engine!$C$2:$C$1960,0)),"",INDEX('Compliance Database'!$E$2:$E$1960,MATCH(1136,Engine!$C$2:$C$1960,0)))</f>
        <v/>
      </c>
      <c r="F1149" s="8">
        <f>IF(ISNA(MATCH(1136,Engine!$C$2:$C$1960,0)),"",INDEX('Compliance Database'!$F$2:$F$1960,MATCH(1136,Engine!$C$2:$C$1960,0)))</f>
        <v/>
      </c>
      <c r="G1149" s="8">
        <f>IF(ISNA(MATCH(1136,Engine!$C$2:$C$1960,0)),"",INDEX('Compliance Database'!$G$2:$G$1960,MATCH(1136,Engine!$C$2:$C$1960,0)))</f>
        <v/>
      </c>
      <c r="H1149" s="9">
        <f>IF(ISNA(MATCH(1136,Engine!$C$2:$C$1960,0)),"",INDEX('Compliance Database'!$H$2:$H$1960,MATCH(1136,Engine!$C$2:$C$1960,0)))</f>
        <v/>
      </c>
      <c r="I1149" s="9">
        <f>IF(ISNA(MATCH(1136,Engine!$C$2:$C$1960,0)),"",INDEX('Compliance Database'!$I$2:$I$1960,MATCH(1136,Engine!$C$2:$C$1960,0)))</f>
        <v/>
      </c>
      <c r="J1149" s="8">
        <f>IF(ISNA(MATCH(1136,Engine!$C$2:$C$1960,0)),"",INDEX('Compliance Database'!$J$2:$J$1960,MATCH(1136,Engine!$C$2:$C$1960,0)))</f>
        <v/>
      </c>
      <c r="K1149" s="9">
        <f>IF(ISNA(MATCH(1136,Engine!$C$2:$C$1960,0)),"",INDEX('Compliance Database'!$K$2:$K$1960,MATCH(1136,Engine!$C$2:$C$1960,0)))</f>
        <v/>
      </c>
      <c r="L1149" s="9">
        <f>IF(ISNA(MATCH(1136,Engine!$C$2:$C$1960,0)),"",INDEX('Compliance Database'!$L$2:$L$1960,MATCH(1136,Engine!$C$2:$C$1960,0)))</f>
        <v/>
      </c>
      <c r="M1149" s="9">
        <f>IF(ISNA(MATCH(1136,Engine!$C$2:$C$1960,0)),"",INDEX('Compliance Database'!$M$2:$M$1960,MATCH(1136,Engine!$C$2:$C$1960,0)))</f>
        <v/>
      </c>
      <c r="N1149" s="9">
        <f>IF(ISNA(MATCH(1136,Engine!$C$2:$C$1960,0)),"",INDEX('Compliance Database'!$N$2:$N$1960,MATCH(1136,Engine!$C$2:$C$1960,0)))</f>
        <v/>
      </c>
      <c r="O1149" s="9">
        <f>IF(ISNA(MATCH(1136,Engine!$C$2:$C$1960,0)),"",INDEX('Compliance Database'!$O$2:$O$1960,MATCH(1136,Engine!$C$2:$C$1960,0)))</f>
        <v/>
      </c>
      <c r="P1149" s="8">
        <f>IF(ISNA(MATCH(1136,Engine!$C$2:$C$1960,0)),"",HYPERLINK("#Acts!A"&amp;INDEX('Compliance Database'!$P$2:$P$1960,MATCH(1136,Engine!$C$2:$C$1960,0)),"Go to Act"))</f>
        <v/>
      </c>
    </row>
    <row r="1150" ht="158" customHeight="1">
      <c r="A1150" s="8">
        <f>IF(ISNA(MATCH(1137,Engine!$C$2:$C$1960,0)),"",INDEX('Compliance Database'!$A$2:$A$1960,MATCH(1137,Engine!$C$2:$C$1960,0)))</f>
        <v/>
      </c>
      <c r="B1150" s="8">
        <f>IF(ISNA(MATCH(1137,Engine!$C$2:$C$1960,0)),"",INDEX('Compliance Database'!$B$2:$B$1960,MATCH(1137,Engine!$C$2:$C$1960,0)))</f>
        <v/>
      </c>
      <c r="C1150" s="8">
        <f>IF(ISNA(MATCH(1137,Engine!$C$2:$C$1960,0)),"",INDEX('Compliance Database'!$C$2:$C$1960,MATCH(1137,Engine!$C$2:$C$1960,0)))</f>
        <v/>
      </c>
      <c r="D1150" s="9">
        <f>IF(ISNA(MATCH(1137,Engine!$C$2:$C$1960,0)),"",INDEX('Compliance Database'!$D$2:$D$1960,MATCH(1137,Engine!$C$2:$C$1960,0)))</f>
        <v/>
      </c>
      <c r="E1150" s="8">
        <f>IF(ISNA(MATCH(1137,Engine!$C$2:$C$1960,0)),"",INDEX('Compliance Database'!$E$2:$E$1960,MATCH(1137,Engine!$C$2:$C$1960,0)))</f>
        <v/>
      </c>
      <c r="F1150" s="8">
        <f>IF(ISNA(MATCH(1137,Engine!$C$2:$C$1960,0)),"",INDEX('Compliance Database'!$F$2:$F$1960,MATCH(1137,Engine!$C$2:$C$1960,0)))</f>
        <v/>
      </c>
      <c r="G1150" s="8">
        <f>IF(ISNA(MATCH(1137,Engine!$C$2:$C$1960,0)),"",INDEX('Compliance Database'!$G$2:$G$1960,MATCH(1137,Engine!$C$2:$C$1960,0)))</f>
        <v/>
      </c>
      <c r="H1150" s="9">
        <f>IF(ISNA(MATCH(1137,Engine!$C$2:$C$1960,0)),"",INDEX('Compliance Database'!$H$2:$H$1960,MATCH(1137,Engine!$C$2:$C$1960,0)))</f>
        <v/>
      </c>
      <c r="I1150" s="9">
        <f>IF(ISNA(MATCH(1137,Engine!$C$2:$C$1960,0)),"",INDEX('Compliance Database'!$I$2:$I$1960,MATCH(1137,Engine!$C$2:$C$1960,0)))</f>
        <v/>
      </c>
      <c r="J1150" s="8">
        <f>IF(ISNA(MATCH(1137,Engine!$C$2:$C$1960,0)),"",INDEX('Compliance Database'!$J$2:$J$1960,MATCH(1137,Engine!$C$2:$C$1960,0)))</f>
        <v/>
      </c>
      <c r="K1150" s="9">
        <f>IF(ISNA(MATCH(1137,Engine!$C$2:$C$1960,0)),"",INDEX('Compliance Database'!$K$2:$K$1960,MATCH(1137,Engine!$C$2:$C$1960,0)))</f>
        <v/>
      </c>
      <c r="L1150" s="9">
        <f>IF(ISNA(MATCH(1137,Engine!$C$2:$C$1960,0)),"",INDEX('Compliance Database'!$L$2:$L$1960,MATCH(1137,Engine!$C$2:$C$1960,0)))</f>
        <v/>
      </c>
      <c r="M1150" s="9">
        <f>IF(ISNA(MATCH(1137,Engine!$C$2:$C$1960,0)),"",INDEX('Compliance Database'!$M$2:$M$1960,MATCH(1137,Engine!$C$2:$C$1960,0)))</f>
        <v/>
      </c>
      <c r="N1150" s="9">
        <f>IF(ISNA(MATCH(1137,Engine!$C$2:$C$1960,0)),"",INDEX('Compliance Database'!$N$2:$N$1960,MATCH(1137,Engine!$C$2:$C$1960,0)))</f>
        <v/>
      </c>
      <c r="O1150" s="9">
        <f>IF(ISNA(MATCH(1137,Engine!$C$2:$C$1960,0)),"",INDEX('Compliance Database'!$O$2:$O$1960,MATCH(1137,Engine!$C$2:$C$1960,0)))</f>
        <v/>
      </c>
      <c r="P1150" s="8">
        <f>IF(ISNA(MATCH(1137,Engine!$C$2:$C$1960,0)),"",HYPERLINK("#Acts!A"&amp;INDEX('Compliance Database'!$P$2:$P$1960,MATCH(1137,Engine!$C$2:$C$1960,0)),"Go to Act"))</f>
        <v/>
      </c>
    </row>
    <row r="1151" ht="158" customHeight="1">
      <c r="A1151" s="8">
        <f>IF(ISNA(MATCH(1138,Engine!$C$2:$C$1960,0)),"",INDEX('Compliance Database'!$A$2:$A$1960,MATCH(1138,Engine!$C$2:$C$1960,0)))</f>
        <v/>
      </c>
      <c r="B1151" s="8">
        <f>IF(ISNA(MATCH(1138,Engine!$C$2:$C$1960,0)),"",INDEX('Compliance Database'!$B$2:$B$1960,MATCH(1138,Engine!$C$2:$C$1960,0)))</f>
        <v/>
      </c>
      <c r="C1151" s="8">
        <f>IF(ISNA(MATCH(1138,Engine!$C$2:$C$1960,0)),"",INDEX('Compliance Database'!$C$2:$C$1960,MATCH(1138,Engine!$C$2:$C$1960,0)))</f>
        <v/>
      </c>
      <c r="D1151" s="9">
        <f>IF(ISNA(MATCH(1138,Engine!$C$2:$C$1960,0)),"",INDEX('Compliance Database'!$D$2:$D$1960,MATCH(1138,Engine!$C$2:$C$1960,0)))</f>
        <v/>
      </c>
      <c r="E1151" s="8">
        <f>IF(ISNA(MATCH(1138,Engine!$C$2:$C$1960,0)),"",INDEX('Compliance Database'!$E$2:$E$1960,MATCH(1138,Engine!$C$2:$C$1960,0)))</f>
        <v/>
      </c>
      <c r="F1151" s="8">
        <f>IF(ISNA(MATCH(1138,Engine!$C$2:$C$1960,0)),"",INDEX('Compliance Database'!$F$2:$F$1960,MATCH(1138,Engine!$C$2:$C$1960,0)))</f>
        <v/>
      </c>
      <c r="G1151" s="8">
        <f>IF(ISNA(MATCH(1138,Engine!$C$2:$C$1960,0)),"",INDEX('Compliance Database'!$G$2:$G$1960,MATCH(1138,Engine!$C$2:$C$1960,0)))</f>
        <v/>
      </c>
      <c r="H1151" s="9">
        <f>IF(ISNA(MATCH(1138,Engine!$C$2:$C$1960,0)),"",INDEX('Compliance Database'!$H$2:$H$1960,MATCH(1138,Engine!$C$2:$C$1960,0)))</f>
        <v/>
      </c>
      <c r="I1151" s="9">
        <f>IF(ISNA(MATCH(1138,Engine!$C$2:$C$1960,0)),"",INDEX('Compliance Database'!$I$2:$I$1960,MATCH(1138,Engine!$C$2:$C$1960,0)))</f>
        <v/>
      </c>
      <c r="J1151" s="8">
        <f>IF(ISNA(MATCH(1138,Engine!$C$2:$C$1960,0)),"",INDEX('Compliance Database'!$J$2:$J$1960,MATCH(1138,Engine!$C$2:$C$1960,0)))</f>
        <v/>
      </c>
      <c r="K1151" s="9">
        <f>IF(ISNA(MATCH(1138,Engine!$C$2:$C$1960,0)),"",INDEX('Compliance Database'!$K$2:$K$1960,MATCH(1138,Engine!$C$2:$C$1960,0)))</f>
        <v/>
      </c>
      <c r="L1151" s="9">
        <f>IF(ISNA(MATCH(1138,Engine!$C$2:$C$1960,0)),"",INDEX('Compliance Database'!$L$2:$L$1960,MATCH(1138,Engine!$C$2:$C$1960,0)))</f>
        <v/>
      </c>
      <c r="M1151" s="9">
        <f>IF(ISNA(MATCH(1138,Engine!$C$2:$C$1960,0)),"",INDEX('Compliance Database'!$M$2:$M$1960,MATCH(1138,Engine!$C$2:$C$1960,0)))</f>
        <v/>
      </c>
      <c r="N1151" s="9">
        <f>IF(ISNA(MATCH(1138,Engine!$C$2:$C$1960,0)),"",INDEX('Compliance Database'!$N$2:$N$1960,MATCH(1138,Engine!$C$2:$C$1960,0)))</f>
        <v/>
      </c>
      <c r="O1151" s="9">
        <f>IF(ISNA(MATCH(1138,Engine!$C$2:$C$1960,0)),"",INDEX('Compliance Database'!$O$2:$O$1960,MATCH(1138,Engine!$C$2:$C$1960,0)))</f>
        <v/>
      </c>
      <c r="P1151" s="8">
        <f>IF(ISNA(MATCH(1138,Engine!$C$2:$C$1960,0)),"",HYPERLINK("#Acts!A"&amp;INDEX('Compliance Database'!$P$2:$P$1960,MATCH(1138,Engine!$C$2:$C$1960,0)),"Go to Act"))</f>
        <v/>
      </c>
    </row>
    <row r="1152" ht="158" customHeight="1">
      <c r="A1152" s="8">
        <f>IF(ISNA(MATCH(1139,Engine!$C$2:$C$1960,0)),"",INDEX('Compliance Database'!$A$2:$A$1960,MATCH(1139,Engine!$C$2:$C$1960,0)))</f>
        <v/>
      </c>
      <c r="B1152" s="8">
        <f>IF(ISNA(MATCH(1139,Engine!$C$2:$C$1960,0)),"",INDEX('Compliance Database'!$B$2:$B$1960,MATCH(1139,Engine!$C$2:$C$1960,0)))</f>
        <v/>
      </c>
      <c r="C1152" s="8">
        <f>IF(ISNA(MATCH(1139,Engine!$C$2:$C$1960,0)),"",INDEX('Compliance Database'!$C$2:$C$1960,MATCH(1139,Engine!$C$2:$C$1960,0)))</f>
        <v/>
      </c>
      <c r="D1152" s="9">
        <f>IF(ISNA(MATCH(1139,Engine!$C$2:$C$1960,0)),"",INDEX('Compliance Database'!$D$2:$D$1960,MATCH(1139,Engine!$C$2:$C$1960,0)))</f>
        <v/>
      </c>
      <c r="E1152" s="8">
        <f>IF(ISNA(MATCH(1139,Engine!$C$2:$C$1960,0)),"",INDEX('Compliance Database'!$E$2:$E$1960,MATCH(1139,Engine!$C$2:$C$1960,0)))</f>
        <v/>
      </c>
      <c r="F1152" s="8">
        <f>IF(ISNA(MATCH(1139,Engine!$C$2:$C$1960,0)),"",INDEX('Compliance Database'!$F$2:$F$1960,MATCH(1139,Engine!$C$2:$C$1960,0)))</f>
        <v/>
      </c>
      <c r="G1152" s="8">
        <f>IF(ISNA(MATCH(1139,Engine!$C$2:$C$1960,0)),"",INDEX('Compliance Database'!$G$2:$G$1960,MATCH(1139,Engine!$C$2:$C$1960,0)))</f>
        <v/>
      </c>
      <c r="H1152" s="9">
        <f>IF(ISNA(MATCH(1139,Engine!$C$2:$C$1960,0)),"",INDEX('Compliance Database'!$H$2:$H$1960,MATCH(1139,Engine!$C$2:$C$1960,0)))</f>
        <v/>
      </c>
      <c r="I1152" s="9">
        <f>IF(ISNA(MATCH(1139,Engine!$C$2:$C$1960,0)),"",INDEX('Compliance Database'!$I$2:$I$1960,MATCH(1139,Engine!$C$2:$C$1960,0)))</f>
        <v/>
      </c>
      <c r="J1152" s="8">
        <f>IF(ISNA(MATCH(1139,Engine!$C$2:$C$1960,0)),"",INDEX('Compliance Database'!$J$2:$J$1960,MATCH(1139,Engine!$C$2:$C$1960,0)))</f>
        <v/>
      </c>
      <c r="K1152" s="9">
        <f>IF(ISNA(MATCH(1139,Engine!$C$2:$C$1960,0)),"",INDEX('Compliance Database'!$K$2:$K$1960,MATCH(1139,Engine!$C$2:$C$1960,0)))</f>
        <v/>
      </c>
      <c r="L1152" s="9">
        <f>IF(ISNA(MATCH(1139,Engine!$C$2:$C$1960,0)),"",INDEX('Compliance Database'!$L$2:$L$1960,MATCH(1139,Engine!$C$2:$C$1960,0)))</f>
        <v/>
      </c>
      <c r="M1152" s="9">
        <f>IF(ISNA(MATCH(1139,Engine!$C$2:$C$1960,0)),"",INDEX('Compliance Database'!$M$2:$M$1960,MATCH(1139,Engine!$C$2:$C$1960,0)))</f>
        <v/>
      </c>
      <c r="N1152" s="9">
        <f>IF(ISNA(MATCH(1139,Engine!$C$2:$C$1960,0)),"",INDEX('Compliance Database'!$N$2:$N$1960,MATCH(1139,Engine!$C$2:$C$1960,0)))</f>
        <v/>
      </c>
      <c r="O1152" s="9">
        <f>IF(ISNA(MATCH(1139,Engine!$C$2:$C$1960,0)),"",INDEX('Compliance Database'!$O$2:$O$1960,MATCH(1139,Engine!$C$2:$C$1960,0)))</f>
        <v/>
      </c>
      <c r="P1152" s="8">
        <f>IF(ISNA(MATCH(1139,Engine!$C$2:$C$1960,0)),"",HYPERLINK("#Acts!A"&amp;INDEX('Compliance Database'!$P$2:$P$1960,MATCH(1139,Engine!$C$2:$C$1960,0)),"Go to Act"))</f>
        <v/>
      </c>
    </row>
    <row r="1153" ht="158" customHeight="1">
      <c r="A1153" s="8">
        <f>IF(ISNA(MATCH(1140,Engine!$C$2:$C$1960,0)),"",INDEX('Compliance Database'!$A$2:$A$1960,MATCH(1140,Engine!$C$2:$C$1960,0)))</f>
        <v/>
      </c>
      <c r="B1153" s="8">
        <f>IF(ISNA(MATCH(1140,Engine!$C$2:$C$1960,0)),"",INDEX('Compliance Database'!$B$2:$B$1960,MATCH(1140,Engine!$C$2:$C$1960,0)))</f>
        <v/>
      </c>
      <c r="C1153" s="8">
        <f>IF(ISNA(MATCH(1140,Engine!$C$2:$C$1960,0)),"",INDEX('Compliance Database'!$C$2:$C$1960,MATCH(1140,Engine!$C$2:$C$1960,0)))</f>
        <v/>
      </c>
      <c r="D1153" s="9">
        <f>IF(ISNA(MATCH(1140,Engine!$C$2:$C$1960,0)),"",INDEX('Compliance Database'!$D$2:$D$1960,MATCH(1140,Engine!$C$2:$C$1960,0)))</f>
        <v/>
      </c>
      <c r="E1153" s="8">
        <f>IF(ISNA(MATCH(1140,Engine!$C$2:$C$1960,0)),"",INDEX('Compliance Database'!$E$2:$E$1960,MATCH(1140,Engine!$C$2:$C$1960,0)))</f>
        <v/>
      </c>
      <c r="F1153" s="8">
        <f>IF(ISNA(MATCH(1140,Engine!$C$2:$C$1960,0)),"",INDEX('Compliance Database'!$F$2:$F$1960,MATCH(1140,Engine!$C$2:$C$1960,0)))</f>
        <v/>
      </c>
      <c r="G1153" s="8">
        <f>IF(ISNA(MATCH(1140,Engine!$C$2:$C$1960,0)),"",INDEX('Compliance Database'!$G$2:$G$1960,MATCH(1140,Engine!$C$2:$C$1960,0)))</f>
        <v/>
      </c>
      <c r="H1153" s="9">
        <f>IF(ISNA(MATCH(1140,Engine!$C$2:$C$1960,0)),"",INDEX('Compliance Database'!$H$2:$H$1960,MATCH(1140,Engine!$C$2:$C$1960,0)))</f>
        <v/>
      </c>
      <c r="I1153" s="9">
        <f>IF(ISNA(MATCH(1140,Engine!$C$2:$C$1960,0)),"",INDEX('Compliance Database'!$I$2:$I$1960,MATCH(1140,Engine!$C$2:$C$1960,0)))</f>
        <v/>
      </c>
      <c r="J1153" s="8">
        <f>IF(ISNA(MATCH(1140,Engine!$C$2:$C$1960,0)),"",INDEX('Compliance Database'!$J$2:$J$1960,MATCH(1140,Engine!$C$2:$C$1960,0)))</f>
        <v/>
      </c>
      <c r="K1153" s="9">
        <f>IF(ISNA(MATCH(1140,Engine!$C$2:$C$1960,0)),"",INDEX('Compliance Database'!$K$2:$K$1960,MATCH(1140,Engine!$C$2:$C$1960,0)))</f>
        <v/>
      </c>
      <c r="L1153" s="9">
        <f>IF(ISNA(MATCH(1140,Engine!$C$2:$C$1960,0)),"",INDEX('Compliance Database'!$L$2:$L$1960,MATCH(1140,Engine!$C$2:$C$1960,0)))</f>
        <v/>
      </c>
      <c r="M1153" s="9">
        <f>IF(ISNA(MATCH(1140,Engine!$C$2:$C$1960,0)),"",INDEX('Compliance Database'!$M$2:$M$1960,MATCH(1140,Engine!$C$2:$C$1960,0)))</f>
        <v/>
      </c>
      <c r="N1153" s="9">
        <f>IF(ISNA(MATCH(1140,Engine!$C$2:$C$1960,0)),"",INDEX('Compliance Database'!$N$2:$N$1960,MATCH(1140,Engine!$C$2:$C$1960,0)))</f>
        <v/>
      </c>
      <c r="O1153" s="9">
        <f>IF(ISNA(MATCH(1140,Engine!$C$2:$C$1960,0)),"",INDEX('Compliance Database'!$O$2:$O$1960,MATCH(1140,Engine!$C$2:$C$1960,0)))</f>
        <v/>
      </c>
      <c r="P1153" s="8">
        <f>IF(ISNA(MATCH(1140,Engine!$C$2:$C$1960,0)),"",HYPERLINK("#Acts!A"&amp;INDEX('Compliance Database'!$P$2:$P$1960,MATCH(1140,Engine!$C$2:$C$1960,0)),"Go to Act"))</f>
        <v/>
      </c>
    </row>
    <row r="1154" ht="158" customHeight="1">
      <c r="A1154" s="8">
        <f>IF(ISNA(MATCH(1141,Engine!$C$2:$C$1960,0)),"",INDEX('Compliance Database'!$A$2:$A$1960,MATCH(1141,Engine!$C$2:$C$1960,0)))</f>
        <v/>
      </c>
      <c r="B1154" s="8">
        <f>IF(ISNA(MATCH(1141,Engine!$C$2:$C$1960,0)),"",INDEX('Compliance Database'!$B$2:$B$1960,MATCH(1141,Engine!$C$2:$C$1960,0)))</f>
        <v/>
      </c>
      <c r="C1154" s="8">
        <f>IF(ISNA(MATCH(1141,Engine!$C$2:$C$1960,0)),"",INDEX('Compliance Database'!$C$2:$C$1960,MATCH(1141,Engine!$C$2:$C$1960,0)))</f>
        <v/>
      </c>
      <c r="D1154" s="9">
        <f>IF(ISNA(MATCH(1141,Engine!$C$2:$C$1960,0)),"",INDEX('Compliance Database'!$D$2:$D$1960,MATCH(1141,Engine!$C$2:$C$1960,0)))</f>
        <v/>
      </c>
      <c r="E1154" s="8">
        <f>IF(ISNA(MATCH(1141,Engine!$C$2:$C$1960,0)),"",INDEX('Compliance Database'!$E$2:$E$1960,MATCH(1141,Engine!$C$2:$C$1960,0)))</f>
        <v/>
      </c>
      <c r="F1154" s="8">
        <f>IF(ISNA(MATCH(1141,Engine!$C$2:$C$1960,0)),"",INDEX('Compliance Database'!$F$2:$F$1960,MATCH(1141,Engine!$C$2:$C$1960,0)))</f>
        <v/>
      </c>
      <c r="G1154" s="8">
        <f>IF(ISNA(MATCH(1141,Engine!$C$2:$C$1960,0)),"",INDEX('Compliance Database'!$G$2:$G$1960,MATCH(1141,Engine!$C$2:$C$1960,0)))</f>
        <v/>
      </c>
      <c r="H1154" s="9">
        <f>IF(ISNA(MATCH(1141,Engine!$C$2:$C$1960,0)),"",INDEX('Compliance Database'!$H$2:$H$1960,MATCH(1141,Engine!$C$2:$C$1960,0)))</f>
        <v/>
      </c>
      <c r="I1154" s="9">
        <f>IF(ISNA(MATCH(1141,Engine!$C$2:$C$1960,0)),"",INDEX('Compliance Database'!$I$2:$I$1960,MATCH(1141,Engine!$C$2:$C$1960,0)))</f>
        <v/>
      </c>
      <c r="J1154" s="8">
        <f>IF(ISNA(MATCH(1141,Engine!$C$2:$C$1960,0)),"",INDEX('Compliance Database'!$J$2:$J$1960,MATCH(1141,Engine!$C$2:$C$1960,0)))</f>
        <v/>
      </c>
      <c r="K1154" s="9">
        <f>IF(ISNA(MATCH(1141,Engine!$C$2:$C$1960,0)),"",INDEX('Compliance Database'!$K$2:$K$1960,MATCH(1141,Engine!$C$2:$C$1960,0)))</f>
        <v/>
      </c>
      <c r="L1154" s="9">
        <f>IF(ISNA(MATCH(1141,Engine!$C$2:$C$1960,0)),"",INDEX('Compliance Database'!$L$2:$L$1960,MATCH(1141,Engine!$C$2:$C$1960,0)))</f>
        <v/>
      </c>
      <c r="M1154" s="9">
        <f>IF(ISNA(MATCH(1141,Engine!$C$2:$C$1960,0)),"",INDEX('Compliance Database'!$M$2:$M$1960,MATCH(1141,Engine!$C$2:$C$1960,0)))</f>
        <v/>
      </c>
      <c r="N1154" s="9">
        <f>IF(ISNA(MATCH(1141,Engine!$C$2:$C$1960,0)),"",INDEX('Compliance Database'!$N$2:$N$1960,MATCH(1141,Engine!$C$2:$C$1960,0)))</f>
        <v/>
      </c>
      <c r="O1154" s="9">
        <f>IF(ISNA(MATCH(1141,Engine!$C$2:$C$1960,0)),"",INDEX('Compliance Database'!$O$2:$O$1960,MATCH(1141,Engine!$C$2:$C$1960,0)))</f>
        <v/>
      </c>
      <c r="P1154" s="8">
        <f>IF(ISNA(MATCH(1141,Engine!$C$2:$C$1960,0)),"",HYPERLINK("#Acts!A"&amp;INDEX('Compliance Database'!$P$2:$P$1960,MATCH(1141,Engine!$C$2:$C$1960,0)),"Go to Act"))</f>
        <v/>
      </c>
    </row>
    <row r="1155" ht="158" customHeight="1">
      <c r="A1155" s="8">
        <f>IF(ISNA(MATCH(1142,Engine!$C$2:$C$1960,0)),"",INDEX('Compliance Database'!$A$2:$A$1960,MATCH(1142,Engine!$C$2:$C$1960,0)))</f>
        <v/>
      </c>
      <c r="B1155" s="8">
        <f>IF(ISNA(MATCH(1142,Engine!$C$2:$C$1960,0)),"",INDEX('Compliance Database'!$B$2:$B$1960,MATCH(1142,Engine!$C$2:$C$1960,0)))</f>
        <v/>
      </c>
      <c r="C1155" s="8">
        <f>IF(ISNA(MATCH(1142,Engine!$C$2:$C$1960,0)),"",INDEX('Compliance Database'!$C$2:$C$1960,MATCH(1142,Engine!$C$2:$C$1960,0)))</f>
        <v/>
      </c>
      <c r="D1155" s="9">
        <f>IF(ISNA(MATCH(1142,Engine!$C$2:$C$1960,0)),"",INDEX('Compliance Database'!$D$2:$D$1960,MATCH(1142,Engine!$C$2:$C$1960,0)))</f>
        <v/>
      </c>
      <c r="E1155" s="8">
        <f>IF(ISNA(MATCH(1142,Engine!$C$2:$C$1960,0)),"",INDEX('Compliance Database'!$E$2:$E$1960,MATCH(1142,Engine!$C$2:$C$1960,0)))</f>
        <v/>
      </c>
      <c r="F1155" s="8">
        <f>IF(ISNA(MATCH(1142,Engine!$C$2:$C$1960,0)),"",INDEX('Compliance Database'!$F$2:$F$1960,MATCH(1142,Engine!$C$2:$C$1960,0)))</f>
        <v/>
      </c>
      <c r="G1155" s="8">
        <f>IF(ISNA(MATCH(1142,Engine!$C$2:$C$1960,0)),"",INDEX('Compliance Database'!$G$2:$G$1960,MATCH(1142,Engine!$C$2:$C$1960,0)))</f>
        <v/>
      </c>
      <c r="H1155" s="9">
        <f>IF(ISNA(MATCH(1142,Engine!$C$2:$C$1960,0)),"",INDEX('Compliance Database'!$H$2:$H$1960,MATCH(1142,Engine!$C$2:$C$1960,0)))</f>
        <v/>
      </c>
      <c r="I1155" s="9">
        <f>IF(ISNA(MATCH(1142,Engine!$C$2:$C$1960,0)),"",INDEX('Compliance Database'!$I$2:$I$1960,MATCH(1142,Engine!$C$2:$C$1960,0)))</f>
        <v/>
      </c>
      <c r="J1155" s="8">
        <f>IF(ISNA(MATCH(1142,Engine!$C$2:$C$1960,0)),"",INDEX('Compliance Database'!$J$2:$J$1960,MATCH(1142,Engine!$C$2:$C$1960,0)))</f>
        <v/>
      </c>
      <c r="K1155" s="9">
        <f>IF(ISNA(MATCH(1142,Engine!$C$2:$C$1960,0)),"",INDEX('Compliance Database'!$K$2:$K$1960,MATCH(1142,Engine!$C$2:$C$1960,0)))</f>
        <v/>
      </c>
      <c r="L1155" s="9">
        <f>IF(ISNA(MATCH(1142,Engine!$C$2:$C$1960,0)),"",INDEX('Compliance Database'!$L$2:$L$1960,MATCH(1142,Engine!$C$2:$C$1960,0)))</f>
        <v/>
      </c>
      <c r="M1155" s="9">
        <f>IF(ISNA(MATCH(1142,Engine!$C$2:$C$1960,0)),"",INDEX('Compliance Database'!$M$2:$M$1960,MATCH(1142,Engine!$C$2:$C$1960,0)))</f>
        <v/>
      </c>
      <c r="N1155" s="9">
        <f>IF(ISNA(MATCH(1142,Engine!$C$2:$C$1960,0)),"",INDEX('Compliance Database'!$N$2:$N$1960,MATCH(1142,Engine!$C$2:$C$1960,0)))</f>
        <v/>
      </c>
      <c r="O1155" s="9">
        <f>IF(ISNA(MATCH(1142,Engine!$C$2:$C$1960,0)),"",INDEX('Compliance Database'!$O$2:$O$1960,MATCH(1142,Engine!$C$2:$C$1960,0)))</f>
        <v/>
      </c>
      <c r="P1155" s="8">
        <f>IF(ISNA(MATCH(1142,Engine!$C$2:$C$1960,0)),"",HYPERLINK("#Acts!A"&amp;INDEX('Compliance Database'!$P$2:$P$1960,MATCH(1142,Engine!$C$2:$C$1960,0)),"Go to Act"))</f>
        <v/>
      </c>
    </row>
    <row r="1156" ht="158" customHeight="1">
      <c r="A1156" s="8">
        <f>IF(ISNA(MATCH(1143,Engine!$C$2:$C$1960,0)),"",INDEX('Compliance Database'!$A$2:$A$1960,MATCH(1143,Engine!$C$2:$C$1960,0)))</f>
        <v/>
      </c>
      <c r="B1156" s="8">
        <f>IF(ISNA(MATCH(1143,Engine!$C$2:$C$1960,0)),"",INDEX('Compliance Database'!$B$2:$B$1960,MATCH(1143,Engine!$C$2:$C$1960,0)))</f>
        <v/>
      </c>
      <c r="C1156" s="8">
        <f>IF(ISNA(MATCH(1143,Engine!$C$2:$C$1960,0)),"",INDEX('Compliance Database'!$C$2:$C$1960,MATCH(1143,Engine!$C$2:$C$1960,0)))</f>
        <v/>
      </c>
      <c r="D1156" s="9">
        <f>IF(ISNA(MATCH(1143,Engine!$C$2:$C$1960,0)),"",INDEX('Compliance Database'!$D$2:$D$1960,MATCH(1143,Engine!$C$2:$C$1960,0)))</f>
        <v/>
      </c>
      <c r="E1156" s="8">
        <f>IF(ISNA(MATCH(1143,Engine!$C$2:$C$1960,0)),"",INDEX('Compliance Database'!$E$2:$E$1960,MATCH(1143,Engine!$C$2:$C$1960,0)))</f>
        <v/>
      </c>
      <c r="F1156" s="8">
        <f>IF(ISNA(MATCH(1143,Engine!$C$2:$C$1960,0)),"",INDEX('Compliance Database'!$F$2:$F$1960,MATCH(1143,Engine!$C$2:$C$1960,0)))</f>
        <v/>
      </c>
      <c r="G1156" s="8">
        <f>IF(ISNA(MATCH(1143,Engine!$C$2:$C$1960,0)),"",INDEX('Compliance Database'!$G$2:$G$1960,MATCH(1143,Engine!$C$2:$C$1960,0)))</f>
        <v/>
      </c>
      <c r="H1156" s="9">
        <f>IF(ISNA(MATCH(1143,Engine!$C$2:$C$1960,0)),"",INDEX('Compliance Database'!$H$2:$H$1960,MATCH(1143,Engine!$C$2:$C$1960,0)))</f>
        <v/>
      </c>
      <c r="I1156" s="9">
        <f>IF(ISNA(MATCH(1143,Engine!$C$2:$C$1960,0)),"",INDEX('Compliance Database'!$I$2:$I$1960,MATCH(1143,Engine!$C$2:$C$1960,0)))</f>
        <v/>
      </c>
      <c r="J1156" s="8">
        <f>IF(ISNA(MATCH(1143,Engine!$C$2:$C$1960,0)),"",INDEX('Compliance Database'!$J$2:$J$1960,MATCH(1143,Engine!$C$2:$C$1960,0)))</f>
        <v/>
      </c>
      <c r="K1156" s="9">
        <f>IF(ISNA(MATCH(1143,Engine!$C$2:$C$1960,0)),"",INDEX('Compliance Database'!$K$2:$K$1960,MATCH(1143,Engine!$C$2:$C$1960,0)))</f>
        <v/>
      </c>
      <c r="L1156" s="9">
        <f>IF(ISNA(MATCH(1143,Engine!$C$2:$C$1960,0)),"",INDEX('Compliance Database'!$L$2:$L$1960,MATCH(1143,Engine!$C$2:$C$1960,0)))</f>
        <v/>
      </c>
      <c r="M1156" s="9">
        <f>IF(ISNA(MATCH(1143,Engine!$C$2:$C$1960,0)),"",INDEX('Compliance Database'!$M$2:$M$1960,MATCH(1143,Engine!$C$2:$C$1960,0)))</f>
        <v/>
      </c>
      <c r="N1156" s="9">
        <f>IF(ISNA(MATCH(1143,Engine!$C$2:$C$1960,0)),"",INDEX('Compliance Database'!$N$2:$N$1960,MATCH(1143,Engine!$C$2:$C$1960,0)))</f>
        <v/>
      </c>
      <c r="O1156" s="9">
        <f>IF(ISNA(MATCH(1143,Engine!$C$2:$C$1960,0)),"",INDEX('Compliance Database'!$O$2:$O$1960,MATCH(1143,Engine!$C$2:$C$1960,0)))</f>
        <v/>
      </c>
      <c r="P1156" s="8">
        <f>IF(ISNA(MATCH(1143,Engine!$C$2:$C$1960,0)),"",HYPERLINK("#Acts!A"&amp;INDEX('Compliance Database'!$P$2:$P$1960,MATCH(1143,Engine!$C$2:$C$1960,0)),"Go to Act"))</f>
        <v/>
      </c>
    </row>
    <row r="1157" ht="158" customHeight="1">
      <c r="A1157" s="8">
        <f>IF(ISNA(MATCH(1144,Engine!$C$2:$C$1960,0)),"",INDEX('Compliance Database'!$A$2:$A$1960,MATCH(1144,Engine!$C$2:$C$1960,0)))</f>
        <v/>
      </c>
      <c r="B1157" s="8">
        <f>IF(ISNA(MATCH(1144,Engine!$C$2:$C$1960,0)),"",INDEX('Compliance Database'!$B$2:$B$1960,MATCH(1144,Engine!$C$2:$C$1960,0)))</f>
        <v/>
      </c>
      <c r="C1157" s="8">
        <f>IF(ISNA(MATCH(1144,Engine!$C$2:$C$1960,0)),"",INDEX('Compliance Database'!$C$2:$C$1960,MATCH(1144,Engine!$C$2:$C$1960,0)))</f>
        <v/>
      </c>
      <c r="D1157" s="9">
        <f>IF(ISNA(MATCH(1144,Engine!$C$2:$C$1960,0)),"",INDEX('Compliance Database'!$D$2:$D$1960,MATCH(1144,Engine!$C$2:$C$1960,0)))</f>
        <v/>
      </c>
      <c r="E1157" s="8">
        <f>IF(ISNA(MATCH(1144,Engine!$C$2:$C$1960,0)),"",INDEX('Compliance Database'!$E$2:$E$1960,MATCH(1144,Engine!$C$2:$C$1960,0)))</f>
        <v/>
      </c>
      <c r="F1157" s="8">
        <f>IF(ISNA(MATCH(1144,Engine!$C$2:$C$1960,0)),"",INDEX('Compliance Database'!$F$2:$F$1960,MATCH(1144,Engine!$C$2:$C$1960,0)))</f>
        <v/>
      </c>
      <c r="G1157" s="8">
        <f>IF(ISNA(MATCH(1144,Engine!$C$2:$C$1960,0)),"",INDEX('Compliance Database'!$G$2:$G$1960,MATCH(1144,Engine!$C$2:$C$1960,0)))</f>
        <v/>
      </c>
      <c r="H1157" s="9">
        <f>IF(ISNA(MATCH(1144,Engine!$C$2:$C$1960,0)),"",INDEX('Compliance Database'!$H$2:$H$1960,MATCH(1144,Engine!$C$2:$C$1960,0)))</f>
        <v/>
      </c>
      <c r="I1157" s="9">
        <f>IF(ISNA(MATCH(1144,Engine!$C$2:$C$1960,0)),"",INDEX('Compliance Database'!$I$2:$I$1960,MATCH(1144,Engine!$C$2:$C$1960,0)))</f>
        <v/>
      </c>
      <c r="J1157" s="8">
        <f>IF(ISNA(MATCH(1144,Engine!$C$2:$C$1960,0)),"",INDEX('Compliance Database'!$J$2:$J$1960,MATCH(1144,Engine!$C$2:$C$1960,0)))</f>
        <v/>
      </c>
      <c r="K1157" s="9">
        <f>IF(ISNA(MATCH(1144,Engine!$C$2:$C$1960,0)),"",INDEX('Compliance Database'!$K$2:$K$1960,MATCH(1144,Engine!$C$2:$C$1960,0)))</f>
        <v/>
      </c>
      <c r="L1157" s="9">
        <f>IF(ISNA(MATCH(1144,Engine!$C$2:$C$1960,0)),"",INDEX('Compliance Database'!$L$2:$L$1960,MATCH(1144,Engine!$C$2:$C$1960,0)))</f>
        <v/>
      </c>
      <c r="M1157" s="9">
        <f>IF(ISNA(MATCH(1144,Engine!$C$2:$C$1960,0)),"",INDEX('Compliance Database'!$M$2:$M$1960,MATCH(1144,Engine!$C$2:$C$1960,0)))</f>
        <v/>
      </c>
      <c r="N1157" s="9">
        <f>IF(ISNA(MATCH(1144,Engine!$C$2:$C$1960,0)),"",INDEX('Compliance Database'!$N$2:$N$1960,MATCH(1144,Engine!$C$2:$C$1960,0)))</f>
        <v/>
      </c>
      <c r="O1157" s="9">
        <f>IF(ISNA(MATCH(1144,Engine!$C$2:$C$1960,0)),"",INDEX('Compliance Database'!$O$2:$O$1960,MATCH(1144,Engine!$C$2:$C$1960,0)))</f>
        <v/>
      </c>
      <c r="P1157" s="8">
        <f>IF(ISNA(MATCH(1144,Engine!$C$2:$C$1960,0)),"",HYPERLINK("#Acts!A"&amp;INDEX('Compliance Database'!$P$2:$P$1960,MATCH(1144,Engine!$C$2:$C$1960,0)),"Go to Act"))</f>
        <v/>
      </c>
    </row>
    <row r="1158" ht="158" customHeight="1">
      <c r="A1158" s="8">
        <f>IF(ISNA(MATCH(1145,Engine!$C$2:$C$1960,0)),"",INDEX('Compliance Database'!$A$2:$A$1960,MATCH(1145,Engine!$C$2:$C$1960,0)))</f>
        <v/>
      </c>
      <c r="B1158" s="8">
        <f>IF(ISNA(MATCH(1145,Engine!$C$2:$C$1960,0)),"",INDEX('Compliance Database'!$B$2:$B$1960,MATCH(1145,Engine!$C$2:$C$1960,0)))</f>
        <v/>
      </c>
      <c r="C1158" s="8">
        <f>IF(ISNA(MATCH(1145,Engine!$C$2:$C$1960,0)),"",INDEX('Compliance Database'!$C$2:$C$1960,MATCH(1145,Engine!$C$2:$C$1960,0)))</f>
        <v/>
      </c>
      <c r="D1158" s="9">
        <f>IF(ISNA(MATCH(1145,Engine!$C$2:$C$1960,0)),"",INDEX('Compliance Database'!$D$2:$D$1960,MATCH(1145,Engine!$C$2:$C$1960,0)))</f>
        <v/>
      </c>
      <c r="E1158" s="8">
        <f>IF(ISNA(MATCH(1145,Engine!$C$2:$C$1960,0)),"",INDEX('Compliance Database'!$E$2:$E$1960,MATCH(1145,Engine!$C$2:$C$1960,0)))</f>
        <v/>
      </c>
      <c r="F1158" s="8">
        <f>IF(ISNA(MATCH(1145,Engine!$C$2:$C$1960,0)),"",INDEX('Compliance Database'!$F$2:$F$1960,MATCH(1145,Engine!$C$2:$C$1960,0)))</f>
        <v/>
      </c>
      <c r="G1158" s="8">
        <f>IF(ISNA(MATCH(1145,Engine!$C$2:$C$1960,0)),"",INDEX('Compliance Database'!$G$2:$G$1960,MATCH(1145,Engine!$C$2:$C$1960,0)))</f>
        <v/>
      </c>
      <c r="H1158" s="9">
        <f>IF(ISNA(MATCH(1145,Engine!$C$2:$C$1960,0)),"",INDEX('Compliance Database'!$H$2:$H$1960,MATCH(1145,Engine!$C$2:$C$1960,0)))</f>
        <v/>
      </c>
      <c r="I1158" s="9">
        <f>IF(ISNA(MATCH(1145,Engine!$C$2:$C$1960,0)),"",INDEX('Compliance Database'!$I$2:$I$1960,MATCH(1145,Engine!$C$2:$C$1960,0)))</f>
        <v/>
      </c>
      <c r="J1158" s="8">
        <f>IF(ISNA(MATCH(1145,Engine!$C$2:$C$1960,0)),"",INDEX('Compliance Database'!$J$2:$J$1960,MATCH(1145,Engine!$C$2:$C$1960,0)))</f>
        <v/>
      </c>
      <c r="K1158" s="9">
        <f>IF(ISNA(MATCH(1145,Engine!$C$2:$C$1960,0)),"",INDEX('Compliance Database'!$K$2:$K$1960,MATCH(1145,Engine!$C$2:$C$1960,0)))</f>
        <v/>
      </c>
      <c r="L1158" s="9">
        <f>IF(ISNA(MATCH(1145,Engine!$C$2:$C$1960,0)),"",INDEX('Compliance Database'!$L$2:$L$1960,MATCH(1145,Engine!$C$2:$C$1960,0)))</f>
        <v/>
      </c>
      <c r="M1158" s="9">
        <f>IF(ISNA(MATCH(1145,Engine!$C$2:$C$1960,0)),"",INDEX('Compliance Database'!$M$2:$M$1960,MATCH(1145,Engine!$C$2:$C$1960,0)))</f>
        <v/>
      </c>
      <c r="N1158" s="9">
        <f>IF(ISNA(MATCH(1145,Engine!$C$2:$C$1960,0)),"",INDEX('Compliance Database'!$N$2:$N$1960,MATCH(1145,Engine!$C$2:$C$1960,0)))</f>
        <v/>
      </c>
      <c r="O1158" s="9">
        <f>IF(ISNA(MATCH(1145,Engine!$C$2:$C$1960,0)),"",INDEX('Compliance Database'!$O$2:$O$1960,MATCH(1145,Engine!$C$2:$C$1960,0)))</f>
        <v/>
      </c>
      <c r="P1158" s="8">
        <f>IF(ISNA(MATCH(1145,Engine!$C$2:$C$1960,0)),"",HYPERLINK("#Acts!A"&amp;INDEX('Compliance Database'!$P$2:$P$1960,MATCH(1145,Engine!$C$2:$C$1960,0)),"Go to Act"))</f>
        <v/>
      </c>
    </row>
    <row r="1159" ht="158" customHeight="1">
      <c r="A1159" s="8">
        <f>IF(ISNA(MATCH(1146,Engine!$C$2:$C$1960,0)),"",INDEX('Compliance Database'!$A$2:$A$1960,MATCH(1146,Engine!$C$2:$C$1960,0)))</f>
        <v/>
      </c>
      <c r="B1159" s="8">
        <f>IF(ISNA(MATCH(1146,Engine!$C$2:$C$1960,0)),"",INDEX('Compliance Database'!$B$2:$B$1960,MATCH(1146,Engine!$C$2:$C$1960,0)))</f>
        <v/>
      </c>
      <c r="C1159" s="8">
        <f>IF(ISNA(MATCH(1146,Engine!$C$2:$C$1960,0)),"",INDEX('Compliance Database'!$C$2:$C$1960,MATCH(1146,Engine!$C$2:$C$1960,0)))</f>
        <v/>
      </c>
      <c r="D1159" s="9">
        <f>IF(ISNA(MATCH(1146,Engine!$C$2:$C$1960,0)),"",INDEX('Compliance Database'!$D$2:$D$1960,MATCH(1146,Engine!$C$2:$C$1960,0)))</f>
        <v/>
      </c>
      <c r="E1159" s="8">
        <f>IF(ISNA(MATCH(1146,Engine!$C$2:$C$1960,0)),"",INDEX('Compliance Database'!$E$2:$E$1960,MATCH(1146,Engine!$C$2:$C$1960,0)))</f>
        <v/>
      </c>
      <c r="F1159" s="8">
        <f>IF(ISNA(MATCH(1146,Engine!$C$2:$C$1960,0)),"",INDEX('Compliance Database'!$F$2:$F$1960,MATCH(1146,Engine!$C$2:$C$1960,0)))</f>
        <v/>
      </c>
      <c r="G1159" s="8">
        <f>IF(ISNA(MATCH(1146,Engine!$C$2:$C$1960,0)),"",INDEX('Compliance Database'!$G$2:$G$1960,MATCH(1146,Engine!$C$2:$C$1960,0)))</f>
        <v/>
      </c>
      <c r="H1159" s="9">
        <f>IF(ISNA(MATCH(1146,Engine!$C$2:$C$1960,0)),"",INDEX('Compliance Database'!$H$2:$H$1960,MATCH(1146,Engine!$C$2:$C$1960,0)))</f>
        <v/>
      </c>
      <c r="I1159" s="9">
        <f>IF(ISNA(MATCH(1146,Engine!$C$2:$C$1960,0)),"",INDEX('Compliance Database'!$I$2:$I$1960,MATCH(1146,Engine!$C$2:$C$1960,0)))</f>
        <v/>
      </c>
      <c r="J1159" s="8">
        <f>IF(ISNA(MATCH(1146,Engine!$C$2:$C$1960,0)),"",INDEX('Compliance Database'!$J$2:$J$1960,MATCH(1146,Engine!$C$2:$C$1960,0)))</f>
        <v/>
      </c>
      <c r="K1159" s="9">
        <f>IF(ISNA(MATCH(1146,Engine!$C$2:$C$1960,0)),"",INDEX('Compliance Database'!$K$2:$K$1960,MATCH(1146,Engine!$C$2:$C$1960,0)))</f>
        <v/>
      </c>
      <c r="L1159" s="9">
        <f>IF(ISNA(MATCH(1146,Engine!$C$2:$C$1960,0)),"",INDEX('Compliance Database'!$L$2:$L$1960,MATCH(1146,Engine!$C$2:$C$1960,0)))</f>
        <v/>
      </c>
      <c r="M1159" s="9">
        <f>IF(ISNA(MATCH(1146,Engine!$C$2:$C$1960,0)),"",INDEX('Compliance Database'!$M$2:$M$1960,MATCH(1146,Engine!$C$2:$C$1960,0)))</f>
        <v/>
      </c>
      <c r="N1159" s="9">
        <f>IF(ISNA(MATCH(1146,Engine!$C$2:$C$1960,0)),"",INDEX('Compliance Database'!$N$2:$N$1960,MATCH(1146,Engine!$C$2:$C$1960,0)))</f>
        <v/>
      </c>
      <c r="O1159" s="9">
        <f>IF(ISNA(MATCH(1146,Engine!$C$2:$C$1960,0)),"",INDEX('Compliance Database'!$O$2:$O$1960,MATCH(1146,Engine!$C$2:$C$1960,0)))</f>
        <v/>
      </c>
      <c r="P1159" s="8">
        <f>IF(ISNA(MATCH(1146,Engine!$C$2:$C$1960,0)),"",HYPERLINK("#Acts!A"&amp;INDEX('Compliance Database'!$P$2:$P$1960,MATCH(1146,Engine!$C$2:$C$1960,0)),"Go to Act"))</f>
        <v/>
      </c>
    </row>
    <row r="1160" ht="158" customHeight="1">
      <c r="A1160" s="8">
        <f>IF(ISNA(MATCH(1147,Engine!$C$2:$C$1960,0)),"",INDEX('Compliance Database'!$A$2:$A$1960,MATCH(1147,Engine!$C$2:$C$1960,0)))</f>
        <v/>
      </c>
      <c r="B1160" s="8">
        <f>IF(ISNA(MATCH(1147,Engine!$C$2:$C$1960,0)),"",INDEX('Compliance Database'!$B$2:$B$1960,MATCH(1147,Engine!$C$2:$C$1960,0)))</f>
        <v/>
      </c>
      <c r="C1160" s="8">
        <f>IF(ISNA(MATCH(1147,Engine!$C$2:$C$1960,0)),"",INDEX('Compliance Database'!$C$2:$C$1960,MATCH(1147,Engine!$C$2:$C$1960,0)))</f>
        <v/>
      </c>
      <c r="D1160" s="9">
        <f>IF(ISNA(MATCH(1147,Engine!$C$2:$C$1960,0)),"",INDEX('Compliance Database'!$D$2:$D$1960,MATCH(1147,Engine!$C$2:$C$1960,0)))</f>
        <v/>
      </c>
      <c r="E1160" s="8">
        <f>IF(ISNA(MATCH(1147,Engine!$C$2:$C$1960,0)),"",INDEX('Compliance Database'!$E$2:$E$1960,MATCH(1147,Engine!$C$2:$C$1960,0)))</f>
        <v/>
      </c>
      <c r="F1160" s="8">
        <f>IF(ISNA(MATCH(1147,Engine!$C$2:$C$1960,0)),"",INDEX('Compliance Database'!$F$2:$F$1960,MATCH(1147,Engine!$C$2:$C$1960,0)))</f>
        <v/>
      </c>
      <c r="G1160" s="8">
        <f>IF(ISNA(MATCH(1147,Engine!$C$2:$C$1960,0)),"",INDEX('Compliance Database'!$G$2:$G$1960,MATCH(1147,Engine!$C$2:$C$1960,0)))</f>
        <v/>
      </c>
      <c r="H1160" s="9">
        <f>IF(ISNA(MATCH(1147,Engine!$C$2:$C$1960,0)),"",INDEX('Compliance Database'!$H$2:$H$1960,MATCH(1147,Engine!$C$2:$C$1960,0)))</f>
        <v/>
      </c>
      <c r="I1160" s="9">
        <f>IF(ISNA(MATCH(1147,Engine!$C$2:$C$1960,0)),"",INDEX('Compliance Database'!$I$2:$I$1960,MATCH(1147,Engine!$C$2:$C$1960,0)))</f>
        <v/>
      </c>
      <c r="J1160" s="8">
        <f>IF(ISNA(MATCH(1147,Engine!$C$2:$C$1960,0)),"",INDEX('Compliance Database'!$J$2:$J$1960,MATCH(1147,Engine!$C$2:$C$1960,0)))</f>
        <v/>
      </c>
      <c r="K1160" s="9">
        <f>IF(ISNA(MATCH(1147,Engine!$C$2:$C$1960,0)),"",INDEX('Compliance Database'!$K$2:$K$1960,MATCH(1147,Engine!$C$2:$C$1960,0)))</f>
        <v/>
      </c>
      <c r="L1160" s="9">
        <f>IF(ISNA(MATCH(1147,Engine!$C$2:$C$1960,0)),"",INDEX('Compliance Database'!$L$2:$L$1960,MATCH(1147,Engine!$C$2:$C$1960,0)))</f>
        <v/>
      </c>
      <c r="M1160" s="9">
        <f>IF(ISNA(MATCH(1147,Engine!$C$2:$C$1960,0)),"",INDEX('Compliance Database'!$M$2:$M$1960,MATCH(1147,Engine!$C$2:$C$1960,0)))</f>
        <v/>
      </c>
      <c r="N1160" s="9">
        <f>IF(ISNA(MATCH(1147,Engine!$C$2:$C$1960,0)),"",INDEX('Compliance Database'!$N$2:$N$1960,MATCH(1147,Engine!$C$2:$C$1960,0)))</f>
        <v/>
      </c>
      <c r="O1160" s="9">
        <f>IF(ISNA(MATCH(1147,Engine!$C$2:$C$1960,0)),"",INDEX('Compliance Database'!$O$2:$O$1960,MATCH(1147,Engine!$C$2:$C$1960,0)))</f>
        <v/>
      </c>
      <c r="P1160" s="8">
        <f>IF(ISNA(MATCH(1147,Engine!$C$2:$C$1960,0)),"",HYPERLINK("#Acts!A"&amp;INDEX('Compliance Database'!$P$2:$P$1960,MATCH(1147,Engine!$C$2:$C$1960,0)),"Go to Act"))</f>
        <v/>
      </c>
    </row>
    <row r="1161" ht="158" customHeight="1">
      <c r="A1161" s="8">
        <f>IF(ISNA(MATCH(1148,Engine!$C$2:$C$1960,0)),"",INDEX('Compliance Database'!$A$2:$A$1960,MATCH(1148,Engine!$C$2:$C$1960,0)))</f>
        <v/>
      </c>
      <c r="B1161" s="8">
        <f>IF(ISNA(MATCH(1148,Engine!$C$2:$C$1960,0)),"",INDEX('Compliance Database'!$B$2:$B$1960,MATCH(1148,Engine!$C$2:$C$1960,0)))</f>
        <v/>
      </c>
      <c r="C1161" s="8">
        <f>IF(ISNA(MATCH(1148,Engine!$C$2:$C$1960,0)),"",INDEX('Compliance Database'!$C$2:$C$1960,MATCH(1148,Engine!$C$2:$C$1960,0)))</f>
        <v/>
      </c>
      <c r="D1161" s="9">
        <f>IF(ISNA(MATCH(1148,Engine!$C$2:$C$1960,0)),"",INDEX('Compliance Database'!$D$2:$D$1960,MATCH(1148,Engine!$C$2:$C$1960,0)))</f>
        <v/>
      </c>
      <c r="E1161" s="8">
        <f>IF(ISNA(MATCH(1148,Engine!$C$2:$C$1960,0)),"",INDEX('Compliance Database'!$E$2:$E$1960,MATCH(1148,Engine!$C$2:$C$1960,0)))</f>
        <v/>
      </c>
      <c r="F1161" s="8">
        <f>IF(ISNA(MATCH(1148,Engine!$C$2:$C$1960,0)),"",INDEX('Compliance Database'!$F$2:$F$1960,MATCH(1148,Engine!$C$2:$C$1960,0)))</f>
        <v/>
      </c>
      <c r="G1161" s="8">
        <f>IF(ISNA(MATCH(1148,Engine!$C$2:$C$1960,0)),"",INDEX('Compliance Database'!$G$2:$G$1960,MATCH(1148,Engine!$C$2:$C$1960,0)))</f>
        <v/>
      </c>
      <c r="H1161" s="9">
        <f>IF(ISNA(MATCH(1148,Engine!$C$2:$C$1960,0)),"",INDEX('Compliance Database'!$H$2:$H$1960,MATCH(1148,Engine!$C$2:$C$1960,0)))</f>
        <v/>
      </c>
      <c r="I1161" s="9">
        <f>IF(ISNA(MATCH(1148,Engine!$C$2:$C$1960,0)),"",INDEX('Compliance Database'!$I$2:$I$1960,MATCH(1148,Engine!$C$2:$C$1960,0)))</f>
        <v/>
      </c>
      <c r="J1161" s="8">
        <f>IF(ISNA(MATCH(1148,Engine!$C$2:$C$1960,0)),"",INDEX('Compliance Database'!$J$2:$J$1960,MATCH(1148,Engine!$C$2:$C$1960,0)))</f>
        <v/>
      </c>
      <c r="K1161" s="9">
        <f>IF(ISNA(MATCH(1148,Engine!$C$2:$C$1960,0)),"",INDEX('Compliance Database'!$K$2:$K$1960,MATCH(1148,Engine!$C$2:$C$1960,0)))</f>
        <v/>
      </c>
      <c r="L1161" s="9">
        <f>IF(ISNA(MATCH(1148,Engine!$C$2:$C$1960,0)),"",INDEX('Compliance Database'!$L$2:$L$1960,MATCH(1148,Engine!$C$2:$C$1960,0)))</f>
        <v/>
      </c>
      <c r="M1161" s="9">
        <f>IF(ISNA(MATCH(1148,Engine!$C$2:$C$1960,0)),"",INDEX('Compliance Database'!$M$2:$M$1960,MATCH(1148,Engine!$C$2:$C$1960,0)))</f>
        <v/>
      </c>
      <c r="N1161" s="9">
        <f>IF(ISNA(MATCH(1148,Engine!$C$2:$C$1960,0)),"",INDEX('Compliance Database'!$N$2:$N$1960,MATCH(1148,Engine!$C$2:$C$1960,0)))</f>
        <v/>
      </c>
      <c r="O1161" s="9">
        <f>IF(ISNA(MATCH(1148,Engine!$C$2:$C$1960,0)),"",INDEX('Compliance Database'!$O$2:$O$1960,MATCH(1148,Engine!$C$2:$C$1960,0)))</f>
        <v/>
      </c>
      <c r="P1161" s="8">
        <f>IF(ISNA(MATCH(1148,Engine!$C$2:$C$1960,0)),"",HYPERLINK("#Acts!A"&amp;INDEX('Compliance Database'!$P$2:$P$1960,MATCH(1148,Engine!$C$2:$C$1960,0)),"Go to Act"))</f>
        <v/>
      </c>
    </row>
    <row r="1162" ht="158" customHeight="1">
      <c r="A1162" s="8">
        <f>IF(ISNA(MATCH(1149,Engine!$C$2:$C$1960,0)),"",INDEX('Compliance Database'!$A$2:$A$1960,MATCH(1149,Engine!$C$2:$C$1960,0)))</f>
        <v/>
      </c>
      <c r="B1162" s="8">
        <f>IF(ISNA(MATCH(1149,Engine!$C$2:$C$1960,0)),"",INDEX('Compliance Database'!$B$2:$B$1960,MATCH(1149,Engine!$C$2:$C$1960,0)))</f>
        <v/>
      </c>
      <c r="C1162" s="8">
        <f>IF(ISNA(MATCH(1149,Engine!$C$2:$C$1960,0)),"",INDEX('Compliance Database'!$C$2:$C$1960,MATCH(1149,Engine!$C$2:$C$1960,0)))</f>
        <v/>
      </c>
      <c r="D1162" s="9">
        <f>IF(ISNA(MATCH(1149,Engine!$C$2:$C$1960,0)),"",INDEX('Compliance Database'!$D$2:$D$1960,MATCH(1149,Engine!$C$2:$C$1960,0)))</f>
        <v/>
      </c>
      <c r="E1162" s="8">
        <f>IF(ISNA(MATCH(1149,Engine!$C$2:$C$1960,0)),"",INDEX('Compliance Database'!$E$2:$E$1960,MATCH(1149,Engine!$C$2:$C$1960,0)))</f>
        <v/>
      </c>
      <c r="F1162" s="8">
        <f>IF(ISNA(MATCH(1149,Engine!$C$2:$C$1960,0)),"",INDEX('Compliance Database'!$F$2:$F$1960,MATCH(1149,Engine!$C$2:$C$1960,0)))</f>
        <v/>
      </c>
      <c r="G1162" s="8">
        <f>IF(ISNA(MATCH(1149,Engine!$C$2:$C$1960,0)),"",INDEX('Compliance Database'!$G$2:$G$1960,MATCH(1149,Engine!$C$2:$C$1960,0)))</f>
        <v/>
      </c>
      <c r="H1162" s="9">
        <f>IF(ISNA(MATCH(1149,Engine!$C$2:$C$1960,0)),"",INDEX('Compliance Database'!$H$2:$H$1960,MATCH(1149,Engine!$C$2:$C$1960,0)))</f>
        <v/>
      </c>
      <c r="I1162" s="9">
        <f>IF(ISNA(MATCH(1149,Engine!$C$2:$C$1960,0)),"",INDEX('Compliance Database'!$I$2:$I$1960,MATCH(1149,Engine!$C$2:$C$1960,0)))</f>
        <v/>
      </c>
      <c r="J1162" s="8">
        <f>IF(ISNA(MATCH(1149,Engine!$C$2:$C$1960,0)),"",INDEX('Compliance Database'!$J$2:$J$1960,MATCH(1149,Engine!$C$2:$C$1960,0)))</f>
        <v/>
      </c>
      <c r="K1162" s="9">
        <f>IF(ISNA(MATCH(1149,Engine!$C$2:$C$1960,0)),"",INDEX('Compliance Database'!$K$2:$K$1960,MATCH(1149,Engine!$C$2:$C$1960,0)))</f>
        <v/>
      </c>
      <c r="L1162" s="9">
        <f>IF(ISNA(MATCH(1149,Engine!$C$2:$C$1960,0)),"",INDEX('Compliance Database'!$L$2:$L$1960,MATCH(1149,Engine!$C$2:$C$1960,0)))</f>
        <v/>
      </c>
      <c r="M1162" s="9">
        <f>IF(ISNA(MATCH(1149,Engine!$C$2:$C$1960,0)),"",INDEX('Compliance Database'!$M$2:$M$1960,MATCH(1149,Engine!$C$2:$C$1960,0)))</f>
        <v/>
      </c>
      <c r="N1162" s="9">
        <f>IF(ISNA(MATCH(1149,Engine!$C$2:$C$1960,0)),"",INDEX('Compliance Database'!$N$2:$N$1960,MATCH(1149,Engine!$C$2:$C$1960,0)))</f>
        <v/>
      </c>
      <c r="O1162" s="9">
        <f>IF(ISNA(MATCH(1149,Engine!$C$2:$C$1960,0)),"",INDEX('Compliance Database'!$O$2:$O$1960,MATCH(1149,Engine!$C$2:$C$1960,0)))</f>
        <v/>
      </c>
      <c r="P1162" s="8">
        <f>IF(ISNA(MATCH(1149,Engine!$C$2:$C$1960,0)),"",HYPERLINK("#Acts!A"&amp;INDEX('Compliance Database'!$P$2:$P$1960,MATCH(1149,Engine!$C$2:$C$1960,0)),"Go to Act"))</f>
        <v/>
      </c>
    </row>
    <row r="1163" ht="158" customHeight="1">
      <c r="A1163" s="8">
        <f>IF(ISNA(MATCH(1150,Engine!$C$2:$C$1960,0)),"",INDEX('Compliance Database'!$A$2:$A$1960,MATCH(1150,Engine!$C$2:$C$1960,0)))</f>
        <v/>
      </c>
      <c r="B1163" s="8">
        <f>IF(ISNA(MATCH(1150,Engine!$C$2:$C$1960,0)),"",INDEX('Compliance Database'!$B$2:$B$1960,MATCH(1150,Engine!$C$2:$C$1960,0)))</f>
        <v/>
      </c>
      <c r="C1163" s="8">
        <f>IF(ISNA(MATCH(1150,Engine!$C$2:$C$1960,0)),"",INDEX('Compliance Database'!$C$2:$C$1960,MATCH(1150,Engine!$C$2:$C$1960,0)))</f>
        <v/>
      </c>
      <c r="D1163" s="9">
        <f>IF(ISNA(MATCH(1150,Engine!$C$2:$C$1960,0)),"",INDEX('Compliance Database'!$D$2:$D$1960,MATCH(1150,Engine!$C$2:$C$1960,0)))</f>
        <v/>
      </c>
      <c r="E1163" s="8">
        <f>IF(ISNA(MATCH(1150,Engine!$C$2:$C$1960,0)),"",INDEX('Compliance Database'!$E$2:$E$1960,MATCH(1150,Engine!$C$2:$C$1960,0)))</f>
        <v/>
      </c>
      <c r="F1163" s="8">
        <f>IF(ISNA(MATCH(1150,Engine!$C$2:$C$1960,0)),"",INDEX('Compliance Database'!$F$2:$F$1960,MATCH(1150,Engine!$C$2:$C$1960,0)))</f>
        <v/>
      </c>
      <c r="G1163" s="8">
        <f>IF(ISNA(MATCH(1150,Engine!$C$2:$C$1960,0)),"",INDEX('Compliance Database'!$G$2:$G$1960,MATCH(1150,Engine!$C$2:$C$1960,0)))</f>
        <v/>
      </c>
      <c r="H1163" s="9">
        <f>IF(ISNA(MATCH(1150,Engine!$C$2:$C$1960,0)),"",INDEX('Compliance Database'!$H$2:$H$1960,MATCH(1150,Engine!$C$2:$C$1960,0)))</f>
        <v/>
      </c>
      <c r="I1163" s="9">
        <f>IF(ISNA(MATCH(1150,Engine!$C$2:$C$1960,0)),"",INDEX('Compliance Database'!$I$2:$I$1960,MATCH(1150,Engine!$C$2:$C$1960,0)))</f>
        <v/>
      </c>
      <c r="J1163" s="8">
        <f>IF(ISNA(MATCH(1150,Engine!$C$2:$C$1960,0)),"",INDEX('Compliance Database'!$J$2:$J$1960,MATCH(1150,Engine!$C$2:$C$1960,0)))</f>
        <v/>
      </c>
      <c r="K1163" s="9">
        <f>IF(ISNA(MATCH(1150,Engine!$C$2:$C$1960,0)),"",INDEX('Compliance Database'!$K$2:$K$1960,MATCH(1150,Engine!$C$2:$C$1960,0)))</f>
        <v/>
      </c>
      <c r="L1163" s="9">
        <f>IF(ISNA(MATCH(1150,Engine!$C$2:$C$1960,0)),"",INDEX('Compliance Database'!$L$2:$L$1960,MATCH(1150,Engine!$C$2:$C$1960,0)))</f>
        <v/>
      </c>
      <c r="M1163" s="9">
        <f>IF(ISNA(MATCH(1150,Engine!$C$2:$C$1960,0)),"",INDEX('Compliance Database'!$M$2:$M$1960,MATCH(1150,Engine!$C$2:$C$1960,0)))</f>
        <v/>
      </c>
      <c r="N1163" s="9">
        <f>IF(ISNA(MATCH(1150,Engine!$C$2:$C$1960,0)),"",INDEX('Compliance Database'!$N$2:$N$1960,MATCH(1150,Engine!$C$2:$C$1960,0)))</f>
        <v/>
      </c>
      <c r="O1163" s="9">
        <f>IF(ISNA(MATCH(1150,Engine!$C$2:$C$1960,0)),"",INDEX('Compliance Database'!$O$2:$O$1960,MATCH(1150,Engine!$C$2:$C$1960,0)))</f>
        <v/>
      </c>
      <c r="P1163" s="8">
        <f>IF(ISNA(MATCH(1150,Engine!$C$2:$C$1960,0)),"",HYPERLINK("#Acts!A"&amp;INDEX('Compliance Database'!$P$2:$P$1960,MATCH(1150,Engine!$C$2:$C$1960,0)),"Go to Act"))</f>
        <v/>
      </c>
    </row>
    <row r="1164" ht="158" customHeight="1">
      <c r="A1164" s="8">
        <f>IF(ISNA(MATCH(1151,Engine!$C$2:$C$1960,0)),"",INDEX('Compliance Database'!$A$2:$A$1960,MATCH(1151,Engine!$C$2:$C$1960,0)))</f>
        <v/>
      </c>
      <c r="B1164" s="8">
        <f>IF(ISNA(MATCH(1151,Engine!$C$2:$C$1960,0)),"",INDEX('Compliance Database'!$B$2:$B$1960,MATCH(1151,Engine!$C$2:$C$1960,0)))</f>
        <v/>
      </c>
      <c r="C1164" s="8">
        <f>IF(ISNA(MATCH(1151,Engine!$C$2:$C$1960,0)),"",INDEX('Compliance Database'!$C$2:$C$1960,MATCH(1151,Engine!$C$2:$C$1960,0)))</f>
        <v/>
      </c>
      <c r="D1164" s="9">
        <f>IF(ISNA(MATCH(1151,Engine!$C$2:$C$1960,0)),"",INDEX('Compliance Database'!$D$2:$D$1960,MATCH(1151,Engine!$C$2:$C$1960,0)))</f>
        <v/>
      </c>
      <c r="E1164" s="8">
        <f>IF(ISNA(MATCH(1151,Engine!$C$2:$C$1960,0)),"",INDEX('Compliance Database'!$E$2:$E$1960,MATCH(1151,Engine!$C$2:$C$1960,0)))</f>
        <v/>
      </c>
      <c r="F1164" s="8">
        <f>IF(ISNA(MATCH(1151,Engine!$C$2:$C$1960,0)),"",INDEX('Compliance Database'!$F$2:$F$1960,MATCH(1151,Engine!$C$2:$C$1960,0)))</f>
        <v/>
      </c>
      <c r="G1164" s="8">
        <f>IF(ISNA(MATCH(1151,Engine!$C$2:$C$1960,0)),"",INDEX('Compliance Database'!$G$2:$G$1960,MATCH(1151,Engine!$C$2:$C$1960,0)))</f>
        <v/>
      </c>
      <c r="H1164" s="9">
        <f>IF(ISNA(MATCH(1151,Engine!$C$2:$C$1960,0)),"",INDEX('Compliance Database'!$H$2:$H$1960,MATCH(1151,Engine!$C$2:$C$1960,0)))</f>
        <v/>
      </c>
      <c r="I1164" s="9">
        <f>IF(ISNA(MATCH(1151,Engine!$C$2:$C$1960,0)),"",INDEX('Compliance Database'!$I$2:$I$1960,MATCH(1151,Engine!$C$2:$C$1960,0)))</f>
        <v/>
      </c>
      <c r="J1164" s="8">
        <f>IF(ISNA(MATCH(1151,Engine!$C$2:$C$1960,0)),"",INDEX('Compliance Database'!$J$2:$J$1960,MATCH(1151,Engine!$C$2:$C$1960,0)))</f>
        <v/>
      </c>
      <c r="K1164" s="9">
        <f>IF(ISNA(MATCH(1151,Engine!$C$2:$C$1960,0)),"",INDEX('Compliance Database'!$K$2:$K$1960,MATCH(1151,Engine!$C$2:$C$1960,0)))</f>
        <v/>
      </c>
      <c r="L1164" s="9">
        <f>IF(ISNA(MATCH(1151,Engine!$C$2:$C$1960,0)),"",INDEX('Compliance Database'!$L$2:$L$1960,MATCH(1151,Engine!$C$2:$C$1960,0)))</f>
        <v/>
      </c>
      <c r="M1164" s="9">
        <f>IF(ISNA(MATCH(1151,Engine!$C$2:$C$1960,0)),"",INDEX('Compliance Database'!$M$2:$M$1960,MATCH(1151,Engine!$C$2:$C$1960,0)))</f>
        <v/>
      </c>
      <c r="N1164" s="9">
        <f>IF(ISNA(MATCH(1151,Engine!$C$2:$C$1960,0)),"",INDEX('Compliance Database'!$N$2:$N$1960,MATCH(1151,Engine!$C$2:$C$1960,0)))</f>
        <v/>
      </c>
      <c r="O1164" s="9">
        <f>IF(ISNA(MATCH(1151,Engine!$C$2:$C$1960,0)),"",INDEX('Compliance Database'!$O$2:$O$1960,MATCH(1151,Engine!$C$2:$C$1960,0)))</f>
        <v/>
      </c>
      <c r="P1164" s="8">
        <f>IF(ISNA(MATCH(1151,Engine!$C$2:$C$1960,0)),"",HYPERLINK("#Acts!A"&amp;INDEX('Compliance Database'!$P$2:$P$1960,MATCH(1151,Engine!$C$2:$C$1960,0)),"Go to Act"))</f>
        <v/>
      </c>
    </row>
    <row r="1165" ht="158" customHeight="1">
      <c r="A1165" s="8">
        <f>IF(ISNA(MATCH(1152,Engine!$C$2:$C$1960,0)),"",INDEX('Compliance Database'!$A$2:$A$1960,MATCH(1152,Engine!$C$2:$C$1960,0)))</f>
        <v/>
      </c>
      <c r="B1165" s="8">
        <f>IF(ISNA(MATCH(1152,Engine!$C$2:$C$1960,0)),"",INDEX('Compliance Database'!$B$2:$B$1960,MATCH(1152,Engine!$C$2:$C$1960,0)))</f>
        <v/>
      </c>
      <c r="C1165" s="8">
        <f>IF(ISNA(MATCH(1152,Engine!$C$2:$C$1960,0)),"",INDEX('Compliance Database'!$C$2:$C$1960,MATCH(1152,Engine!$C$2:$C$1960,0)))</f>
        <v/>
      </c>
      <c r="D1165" s="9">
        <f>IF(ISNA(MATCH(1152,Engine!$C$2:$C$1960,0)),"",INDEX('Compliance Database'!$D$2:$D$1960,MATCH(1152,Engine!$C$2:$C$1960,0)))</f>
        <v/>
      </c>
      <c r="E1165" s="8">
        <f>IF(ISNA(MATCH(1152,Engine!$C$2:$C$1960,0)),"",INDEX('Compliance Database'!$E$2:$E$1960,MATCH(1152,Engine!$C$2:$C$1960,0)))</f>
        <v/>
      </c>
      <c r="F1165" s="8">
        <f>IF(ISNA(MATCH(1152,Engine!$C$2:$C$1960,0)),"",INDEX('Compliance Database'!$F$2:$F$1960,MATCH(1152,Engine!$C$2:$C$1960,0)))</f>
        <v/>
      </c>
      <c r="G1165" s="8">
        <f>IF(ISNA(MATCH(1152,Engine!$C$2:$C$1960,0)),"",INDEX('Compliance Database'!$G$2:$G$1960,MATCH(1152,Engine!$C$2:$C$1960,0)))</f>
        <v/>
      </c>
      <c r="H1165" s="9">
        <f>IF(ISNA(MATCH(1152,Engine!$C$2:$C$1960,0)),"",INDEX('Compliance Database'!$H$2:$H$1960,MATCH(1152,Engine!$C$2:$C$1960,0)))</f>
        <v/>
      </c>
      <c r="I1165" s="9">
        <f>IF(ISNA(MATCH(1152,Engine!$C$2:$C$1960,0)),"",INDEX('Compliance Database'!$I$2:$I$1960,MATCH(1152,Engine!$C$2:$C$1960,0)))</f>
        <v/>
      </c>
      <c r="J1165" s="8">
        <f>IF(ISNA(MATCH(1152,Engine!$C$2:$C$1960,0)),"",INDEX('Compliance Database'!$J$2:$J$1960,MATCH(1152,Engine!$C$2:$C$1960,0)))</f>
        <v/>
      </c>
      <c r="K1165" s="9">
        <f>IF(ISNA(MATCH(1152,Engine!$C$2:$C$1960,0)),"",INDEX('Compliance Database'!$K$2:$K$1960,MATCH(1152,Engine!$C$2:$C$1960,0)))</f>
        <v/>
      </c>
      <c r="L1165" s="9">
        <f>IF(ISNA(MATCH(1152,Engine!$C$2:$C$1960,0)),"",INDEX('Compliance Database'!$L$2:$L$1960,MATCH(1152,Engine!$C$2:$C$1960,0)))</f>
        <v/>
      </c>
      <c r="M1165" s="9">
        <f>IF(ISNA(MATCH(1152,Engine!$C$2:$C$1960,0)),"",INDEX('Compliance Database'!$M$2:$M$1960,MATCH(1152,Engine!$C$2:$C$1960,0)))</f>
        <v/>
      </c>
      <c r="N1165" s="9">
        <f>IF(ISNA(MATCH(1152,Engine!$C$2:$C$1960,0)),"",INDEX('Compliance Database'!$N$2:$N$1960,MATCH(1152,Engine!$C$2:$C$1960,0)))</f>
        <v/>
      </c>
      <c r="O1165" s="9">
        <f>IF(ISNA(MATCH(1152,Engine!$C$2:$C$1960,0)),"",INDEX('Compliance Database'!$O$2:$O$1960,MATCH(1152,Engine!$C$2:$C$1960,0)))</f>
        <v/>
      </c>
      <c r="P1165" s="8">
        <f>IF(ISNA(MATCH(1152,Engine!$C$2:$C$1960,0)),"",HYPERLINK("#Acts!A"&amp;INDEX('Compliance Database'!$P$2:$P$1960,MATCH(1152,Engine!$C$2:$C$1960,0)),"Go to Act"))</f>
        <v/>
      </c>
    </row>
    <row r="1166" ht="158" customHeight="1">
      <c r="A1166" s="8">
        <f>IF(ISNA(MATCH(1153,Engine!$C$2:$C$1960,0)),"",INDEX('Compliance Database'!$A$2:$A$1960,MATCH(1153,Engine!$C$2:$C$1960,0)))</f>
        <v/>
      </c>
      <c r="B1166" s="8">
        <f>IF(ISNA(MATCH(1153,Engine!$C$2:$C$1960,0)),"",INDEX('Compliance Database'!$B$2:$B$1960,MATCH(1153,Engine!$C$2:$C$1960,0)))</f>
        <v/>
      </c>
      <c r="C1166" s="8">
        <f>IF(ISNA(MATCH(1153,Engine!$C$2:$C$1960,0)),"",INDEX('Compliance Database'!$C$2:$C$1960,MATCH(1153,Engine!$C$2:$C$1960,0)))</f>
        <v/>
      </c>
      <c r="D1166" s="9">
        <f>IF(ISNA(MATCH(1153,Engine!$C$2:$C$1960,0)),"",INDEX('Compliance Database'!$D$2:$D$1960,MATCH(1153,Engine!$C$2:$C$1960,0)))</f>
        <v/>
      </c>
      <c r="E1166" s="8">
        <f>IF(ISNA(MATCH(1153,Engine!$C$2:$C$1960,0)),"",INDEX('Compliance Database'!$E$2:$E$1960,MATCH(1153,Engine!$C$2:$C$1960,0)))</f>
        <v/>
      </c>
      <c r="F1166" s="8">
        <f>IF(ISNA(MATCH(1153,Engine!$C$2:$C$1960,0)),"",INDEX('Compliance Database'!$F$2:$F$1960,MATCH(1153,Engine!$C$2:$C$1960,0)))</f>
        <v/>
      </c>
      <c r="G1166" s="8">
        <f>IF(ISNA(MATCH(1153,Engine!$C$2:$C$1960,0)),"",INDEX('Compliance Database'!$G$2:$G$1960,MATCH(1153,Engine!$C$2:$C$1960,0)))</f>
        <v/>
      </c>
      <c r="H1166" s="9">
        <f>IF(ISNA(MATCH(1153,Engine!$C$2:$C$1960,0)),"",INDEX('Compliance Database'!$H$2:$H$1960,MATCH(1153,Engine!$C$2:$C$1960,0)))</f>
        <v/>
      </c>
      <c r="I1166" s="9">
        <f>IF(ISNA(MATCH(1153,Engine!$C$2:$C$1960,0)),"",INDEX('Compliance Database'!$I$2:$I$1960,MATCH(1153,Engine!$C$2:$C$1960,0)))</f>
        <v/>
      </c>
      <c r="J1166" s="8">
        <f>IF(ISNA(MATCH(1153,Engine!$C$2:$C$1960,0)),"",INDEX('Compliance Database'!$J$2:$J$1960,MATCH(1153,Engine!$C$2:$C$1960,0)))</f>
        <v/>
      </c>
      <c r="K1166" s="9">
        <f>IF(ISNA(MATCH(1153,Engine!$C$2:$C$1960,0)),"",INDEX('Compliance Database'!$K$2:$K$1960,MATCH(1153,Engine!$C$2:$C$1960,0)))</f>
        <v/>
      </c>
      <c r="L1166" s="9">
        <f>IF(ISNA(MATCH(1153,Engine!$C$2:$C$1960,0)),"",INDEX('Compliance Database'!$L$2:$L$1960,MATCH(1153,Engine!$C$2:$C$1960,0)))</f>
        <v/>
      </c>
      <c r="M1166" s="9">
        <f>IF(ISNA(MATCH(1153,Engine!$C$2:$C$1960,0)),"",INDEX('Compliance Database'!$M$2:$M$1960,MATCH(1153,Engine!$C$2:$C$1960,0)))</f>
        <v/>
      </c>
      <c r="N1166" s="9">
        <f>IF(ISNA(MATCH(1153,Engine!$C$2:$C$1960,0)),"",INDEX('Compliance Database'!$N$2:$N$1960,MATCH(1153,Engine!$C$2:$C$1960,0)))</f>
        <v/>
      </c>
      <c r="O1166" s="9">
        <f>IF(ISNA(MATCH(1153,Engine!$C$2:$C$1960,0)),"",INDEX('Compliance Database'!$O$2:$O$1960,MATCH(1153,Engine!$C$2:$C$1960,0)))</f>
        <v/>
      </c>
      <c r="P1166" s="8">
        <f>IF(ISNA(MATCH(1153,Engine!$C$2:$C$1960,0)),"",HYPERLINK("#Acts!A"&amp;INDEX('Compliance Database'!$P$2:$P$1960,MATCH(1153,Engine!$C$2:$C$1960,0)),"Go to Act"))</f>
        <v/>
      </c>
    </row>
    <row r="1167" ht="158" customHeight="1">
      <c r="A1167" s="8">
        <f>IF(ISNA(MATCH(1154,Engine!$C$2:$C$1960,0)),"",INDEX('Compliance Database'!$A$2:$A$1960,MATCH(1154,Engine!$C$2:$C$1960,0)))</f>
        <v/>
      </c>
      <c r="B1167" s="8">
        <f>IF(ISNA(MATCH(1154,Engine!$C$2:$C$1960,0)),"",INDEX('Compliance Database'!$B$2:$B$1960,MATCH(1154,Engine!$C$2:$C$1960,0)))</f>
        <v/>
      </c>
      <c r="C1167" s="8">
        <f>IF(ISNA(MATCH(1154,Engine!$C$2:$C$1960,0)),"",INDEX('Compliance Database'!$C$2:$C$1960,MATCH(1154,Engine!$C$2:$C$1960,0)))</f>
        <v/>
      </c>
      <c r="D1167" s="9">
        <f>IF(ISNA(MATCH(1154,Engine!$C$2:$C$1960,0)),"",INDEX('Compliance Database'!$D$2:$D$1960,MATCH(1154,Engine!$C$2:$C$1960,0)))</f>
        <v/>
      </c>
      <c r="E1167" s="8">
        <f>IF(ISNA(MATCH(1154,Engine!$C$2:$C$1960,0)),"",INDEX('Compliance Database'!$E$2:$E$1960,MATCH(1154,Engine!$C$2:$C$1960,0)))</f>
        <v/>
      </c>
      <c r="F1167" s="8">
        <f>IF(ISNA(MATCH(1154,Engine!$C$2:$C$1960,0)),"",INDEX('Compliance Database'!$F$2:$F$1960,MATCH(1154,Engine!$C$2:$C$1960,0)))</f>
        <v/>
      </c>
      <c r="G1167" s="8">
        <f>IF(ISNA(MATCH(1154,Engine!$C$2:$C$1960,0)),"",INDEX('Compliance Database'!$G$2:$G$1960,MATCH(1154,Engine!$C$2:$C$1960,0)))</f>
        <v/>
      </c>
      <c r="H1167" s="9">
        <f>IF(ISNA(MATCH(1154,Engine!$C$2:$C$1960,0)),"",INDEX('Compliance Database'!$H$2:$H$1960,MATCH(1154,Engine!$C$2:$C$1960,0)))</f>
        <v/>
      </c>
      <c r="I1167" s="9">
        <f>IF(ISNA(MATCH(1154,Engine!$C$2:$C$1960,0)),"",INDEX('Compliance Database'!$I$2:$I$1960,MATCH(1154,Engine!$C$2:$C$1960,0)))</f>
        <v/>
      </c>
      <c r="J1167" s="8">
        <f>IF(ISNA(MATCH(1154,Engine!$C$2:$C$1960,0)),"",INDEX('Compliance Database'!$J$2:$J$1960,MATCH(1154,Engine!$C$2:$C$1960,0)))</f>
        <v/>
      </c>
      <c r="K1167" s="9">
        <f>IF(ISNA(MATCH(1154,Engine!$C$2:$C$1960,0)),"",INDEX('Compliance Database'!$K$2:$K$1960,MATCH(1154,Engine!$C$2:$C$1960,0)))</f>
        <v/>
      </c>
      <c r="L1167" s="9">
        <f>IF(ISNA(MATCH(1154,Engine!$C$2:$C$1960,0)),"",INDEX('Compliance Database'!$L$2:$L$1960,MATCH(1154,Engine!$C$2:$C$1960,0)))</f>
        <v/>
      </c>
      <c r="M1167" s="9">
        <f>IF(ISNA(MATCH(1154,Engine!$C$2:$C$1960,0)),"",INDEX('Compliance Database'!$M$2:$M$1960,MATCH(1154,Engine!$C$2:$C$1960,0)))</f>
        <v/>
      </c>
      <c r="N1167" s="9">
        <f>IF(ISNA(MATCH(1154,Engine!$C$2:$C$1960,0)),"",INDEX('Compliance Database'!$N$2:$N$1960,MATCH(1154,Engine!$C$2:$C$1960,0)))</f>
        <v/>
      </c>
      <c r="O1167" s="9">
        <f>IF(ISNA(MATCH(1154,Engine!$C$2:$C$1960,0)),"",INDEX('Compliance Database'!$O$2:$O$1960,MATCH(1154,Engine!$C$2:$C$1960,0)))</f>
        <v/>
      </c>
      <c r="P1167" s="8">
        <f>IF(ISNA(MATCH(1154,Engine!$C$2:$C$1960,0)),"",HYPERLINK("#Acts!A"&amp;INDEX('Compliance Database'!$P$2:$P$1960,MATCH(1154,Engine!$C$2:$C$1960,0)),"Go to Act"))</f>
        <v/>
      </c>
    </row>
    <row r="1168" ht="158" customHeight="1">
      <c r="A1168" s="8">
        <f>IF(ISNA(MATCH(1155,Engine!$C$2:$C$1960,0)),"",INDEX('Compliance Database'!$A$2:$A$1960,MATCH(1155,Engine!$C$2:$C$1960,0)))</f>
        <v/>
      </c>
      <c r="B1168" s="8">
        <f>IF(ISNA(MATCH(1155,Engine!$C$2:$C$1960,0)),"",INDEX('Compliance Database'!$B$2:$B$1960,MATCH(1155,Engine!$C$2:$C$1960,0)))</f>
        <v/>
      </c>
      <c r="C1168" s="8">
        <f>IF(ISNA(MATCH(1155,Engine!$C$2:$C$1960,0)),"",INDEX('Compliance Database'!$C$2:$C$1960,MATCH(1155,Engine!$C$2:$C$1960,0)))</f>
        <v/>
      </c>
      <c r="D1168" s="9">
        <f>IF(ISNA(MATCH(1155,Engine!$C$2:$C$1960,0)),"",INDEX('Compliance Database'!$D$2:$D$1960,MATCH(1155,Engine!$C$2:$C$1960,0)))</f>
        <v/>
      </c>
      <c r="E1168" s="8">
        <f>IF(ISNA(MATCH(1155,Engine!$C$2:$C$1960,0)),"",INDEX('Compliance Database'!$E$2:$E$1960,MATCH(1155,Engine!$C$2:$C$1960,0)))</f>
        <v/>
      </c>
      <c r="F1168" s="8">
        <f>IF(ISNA(MATCH(1155,Engine!$C$2:$C$1960,0)),"",INDEX('Compliance Database'!$F$2:$F$1960,MATCH(1155,Engine!$C$2:$C$1960,0)))</f>
        <v/>
      </c>
      <c r="G1168" s="8">
        <f>IF(ISNA(MATCH(1155,Engine!$C$2:$C$1960,0)),"",INDEX('Compliance Database'!$G$2:$G$1960,MATCH(1155,Engine!$C$2:$C$1960,0)))</f>
        <v/>
      </c>
      <c r="H1168" s="9">
        <f>IF(ISNA(MATCH(1155,Engine!$C$2:$C$1960,0)),"",INDEX('Compliance Database'!$H$2:$H$1960,MATCH(1155,Engine!$C$2:$C$1960,0)))</f>
        <v/>
      </c>
      <c r="I1168" s="9">
        <f>IF(ISNA(MATCH(1155,Engine!$C$2:$C$1960,0)),"",INDEX('Compliance Database'!$I$2:$I$1960,MATCH(1155,Engine!$C$2:$C$1960,0)))</f>
        <v/>
      </c>
      <c r="J1168" s="8">
        <f>IF(ISNA(MATCH(1155,Engine!$C$2:$C$1960,0)),"",INDEX('Compliance Database'!$J$2:$J$1960,MATCH(1155,Engine!$C$2:$C$1960,0)))</f>
        <v/>
      </c>
      <c r="K1168" s="9">
        <f>IF(ISNA(MATCH(1155,Engine!$C$2:$C$1960,0)),"",INDEX('Compliance Database'!$K$2:$K$1960,MATCH(1155,Engine!$C$2:$C$1960,0)))</f>
        <v/>
      </c>
      <c r="L1168" s="9">
        <f>IF(ISNA(MATCH(1155,Engine!$C$2:$C$1960,0)),"",INDEX('Compliance Database'!$L$2:$L$1960,MATCH(1155,Engine!$C$2:$C$1960,0)))</f>
        <v/>
      </c>
      <c r="M1168" s="9">
        <f>IF(ISNA(MATCH(1155,Engine!$C$2:$C$1960,0)),"",INDEX('Compliance Database'!$M$2:$M$1960,MATCH(1155,Engine!$C$2:$C$1960,0)))</f>
        <v/>
      </c>
      <c r="N1168" s="9">
        <f>IF(ISNA(MATCH(1155,Engine!$C$2:$C$1960,0)),"",INDEX('Compliance Database'!$N$2:$N$1960,MATCH(1155,Engine!$C$2:$C$1960,0)))</f>
        <v/>
      </c>
      <c r="O1168" s="9">
        <f>IF(ISNA(MATCH(1155,Engine!$C$2:$C$1960,0)),"",INDEX('Compliance Database'!$O$2:$O$1960,MATCH(1155,Engine!$C$2:$C$1960,0)))</f>
        <v/>
      </c>
      <c r="P1168" s="8">
        <f>IF(ISNA(MATCH(1155,Engine!$C$2:$C$1960,0)),"",HYPERLINK("#Acts!A"&amp;INDEX('Compliance Database'!$P$2:$P$1960,MATCH(1155,Engine!$C$2:$C$1960,0)),"Go to Act"))</f>
        <v/>
      </c>
    </row>
    <row r="1169" ht="158" customHeight="1">
      <c r="A1169" s="8">
        <f>IF(ISNA(MATCH(1156,Engine!$C$2:$C$1960,0)),"",INDEX('Compliance Database'!$A$2:$A$1960,MATCH(1156,Engine!$C$2:$C$1960,0)))</f>
        <v/>
      </c>
      <c r="B1169" s="8">
        <f>IF(ISNA(MATCH(1156,Engine!$C$2:$C$1960,0)),"",INDEX('Compliance Database'!$B$2:$B$1960,MATCH(1156,Engine!$C$2:$C$1960,0)))</f>
        <v/>
      </c>
      <c r="C1169" s="8">
        <f>IF(ISNA(MATCH(1156,Engine!$C$2:$C$1960,0)),"",INDEX('Compliance Database'!$C$2:$C$1960,MATCH(1156,Engine!$C$2:$C$1960,0)))</f>
        <v/>
      </c>
      <c r="D1169" s="9">
        <f>IF(ISNA(MATCH(1156,Engine!$C$2:$C$1960,0)),"",INDEX('Compliance Database'!$D$2:$D$1960,MATCH(1156,Engine!$C$2:$C$1960,0)))</f>
        <v/>
      </c>
      <c r="E1169" s="8">
        <f>IF(ISNA(MATCH(1156,Engine!$C$2:$C$1960,0)),"",INDEX('Compliance Database'!$E$2:$E$1960,MATCH(1156,Engine!$C$2:$C$1960,0)))</f>
        <v/>
      </c>
      <c r="F1169" s="8">
        <f>IF(ISNA(MATCH(1156,Engine!$C$2:$C$1960,0)),"",INDEX('Compliance Database'!$F$2:$F$1960,MATCH(1156,Engine!$C$2:$C$1960,0)))</f>
        <v/>
      </c>
      <c r="G1169" s="8">
        <f>IF(ISNA(MATCH(1156,Engine!$C$2:$C$1960,0)),"",INDEX('Compliance Database'!$G$2:$G$1960,MATCH(1156,Engine!$C$2:$C$1960,0)))</f>
        <v/>
      </c>
      <c r="H1169" s="9">
        <f>IF(ISNA(MATCH(1156,Engine!$C$2:$C$1960,0)),"",INDEX('Compliance Database'!$H$2:$H$1960,MATCH(1156,Engine!$C$2:$C$1960,0)))</f>
        <v/>
      </c>
      <c r="I1169" s="9">
        <f>IF(ISNA(MATCH(1156,Engine!$C$2:$C$1960,0)),"",INDEX('Compliance Database'!$I$2:$I$1960,MATCH(1156,Engine!$C$2:$C$1960,0)))</f>
        <v/>
      </c>
      <c r="J1169" s="8">
        <f>IF(ISNA(MATCH(1156,Engine!$C$2:$C$1960,0)),"",INDEX('Compliance Database'!$J$2:$J$1960,MATCH(1156,Engine!$C$2:$C$1960,0)))</f>
        <v/>
      </c>
      <c r="K1169" s="9">
        <f>IF(ISNA(MATCH(1156,Engine!$C$2:$C$1960,0)),"",INDEX('Compliance Database'!$K$2:$K$1960,MATCH(1156,Engine!$C$2:$C$1960,0)))</f>
        <v/>
      </c>
      <c r="L1169" s="9">
        <f>IF(ISNA(MATCH(1156,Engine!$C$2:$C$1960,0)),"",INDEX('Compliance Database'!$L$2:$L$1960,MATCH(1156,Engine!$C$2:$C$1960,0)))</f>
        <v/>
      </c>
      <c r="M1169" s="9">
        <f>IF(ISNA(MATCH(1156,Engine!$C$2:$C$1960,0)),"",INDEX('Compliance Database'!$M$2:$M$1960,MATCH(1156,Engine!$C$2:$C$1960,0)))</f>
        <v/>
      </c>
      <c r="N1169" s="9">
        <f>IF(ISNA(MATCH(1156,Engine!$C$2:$C$1960,0)),"",INDEX('Compliance Database'!$N$2:$N$1960,MATCH(1156,Engine!$C$2:$C$1960,0)))</f>
        <v/>
      </c>
      <c r="O1169" s="9">
        <f>IF(ISNA(MATCH(1156,Engine!$C$2:$C$1960,0)),"",INDEX('Compliance Database'!$O$2:$O$1960,MATCH(1156,Engine!$C$2:$C$1960,0)))</f>
        <v/>
      </c>
      <c r="P1169" s="8">
        <f>IF(ISNA(MATCH(1156,Engine!$C$2:$C$1960,0)),"",HYPERLINK("#Acts!A"&amp;INDEX('Compliance Database'!$P$2:$P$1960,MATCH(1156,Engine!$C$2:$C$1960,0)),"Go to Act"))</f>
        <v/>
      </c>
    </row>
    <row r="1170" ht="158" customHeight="1">
      <c r="A1170" s="8">
        <f>IF(ISNA(MATCH(1157,Engine!$C$2:$C$1960,0)),"",INDEX('Compliance Database'!$A$2:$A$1960,MATCH(1157,Engine!$C$2:$C$1960,0)))</f>
        <v/>
      </c>
      <c r="B1170" s="8">
        <f>IF(ISNA(MATCH(1157,Engine!$C$2:$C$1960,0)),"",INDEX('Compliance Database'!$B$2:$B$1960,MATCH(1157,Engine!$C$2:$C$1960,0)))</f>
        <v/>
      </c>
      <c r="C1170" s="8">
        <f>IF(ISNA(MATCH(1157,Engine!$C$2:$C$1960,0)),"",INDEX('Compliance Database'!$C$2:$C$1960,MATCH(1157,Engine!$C$2:$C$1960,0)))</f>
        <v/>
      </c>
      <c r="D1170" s="9">
        <f>IF(ISNA(MATCH(1157,Engine!$C$2:$C$1960,0)),"",INDEX('Compliance Database'!$D$2:$D$1960,MATCH(1157,Engine!$C$2:$C$1960,0)))</f>
        <v/>
      </c>
      <c r="E1170" s="8">
        <f>IF(ISNA(MATCH(1157,Engine!$C$2:$C$1960,0)),"",INDEX('Compliance Database'!$E$2:$E$1960,MATCH(1157,Engine!$C$2:$C$1960,0)))</f>
        <v/>
      </c>
      <c r="F1170" s="8">
        <f>IF(ISNA(MATCH(1157,Engine!$C$2:$C$1960,0)),"",INDEX('Compliance Database'!$F$2:$F$1960,MATCH(1157,Engine!$C$2:$C$1960,0)))</f>
        <v/>
      </c>
      <c r="G1170" s="8">
        <f>IF(ISNA(MATCH(1157,Engine!$C$2:$C$1960,0)),"",INDEX('Compliance Database'!$G$2:$G$1960,MATCH(1157,Engine!$C$2:$C$1960,0)))</f>
        <v/>
      </c>
      <c r="H1170" s="9">
        <f>IF(ISNA(MATCH(1157,Engine!$C$2:$C$1960,0)),"",INDEX('Compliance Database'!$H$2:$H$1960,MATCH(1157,Engine!$C$2:$C$1960,0)))</f>
        <v/>
      </c>
      <c r="I1170" s="9">
        <f>IF(ISNA(MATCH(1157,Engine!$C$2:$C$1960,0)),"",INDEX('Compliance Database'!$I$2:$I$1960,MATCH(1157,Engine!$C$2:$C$1960,0)))</f>
        <v/>
      </c>
      <c r="J1170" s="8">
        <f>IF(ISNA(MATCH(1157,Engine!$C$2:$C$1960,0)),"",INDEX('Compliance Database'!$J$2:$J$1960,MATCH(1157,Engine!$C$2:$C$1960,0)))</f>
        <v/>
      </c>
      <c r="K1170" s="9">
        <f>IF(ISNA(MATCH(1157,Engine!$C$2:$C$1960,0)),"",INDEX('Compliance Database'!$K$2:$K$1960,MATCH(1157,Engine!$C$2:$C$1960,0)))</f>
        <v/>
      </c>
      <c r="L1170" s="9">
        <f>IF(ISNA(MATCH(1157,Engine!$C$2:$C$1960,0)),"",INDEX('Compliance Database'!$L$2:$L$1960,MATCH(1157,Engine!$C$2:$C$1960,0)))</f>
        <v/>
      </c>
      <c r="M1170" s="9">
        <f>IF(ISNA(MATCH(1157,Engine!$C$2:$C$1960,0)),"",INDEX('Compliance Database'!$M$2:$M$1960,MATCH(1157,Engine!$C$2:$C$1960,0)))</f>
        <v/>
      </c>
      <c r="N1170" s="9">
        <f>IF(ISNA(MATCH(1157,Engine!$C$2:$C$1960,0)),"",INDEX('Compliance Database'!$N$2:$N$1960,MATCH(1157,Engine!$C$2:$C$1960,0)))</f>
        <v/>
      </c>
      <c r="O1170" s="9">
        <f>IF(ISNA(MATCH(1157,Engine!$C$2:$C$1960,0)),"",INDEX('Compliance Database'!$O$2:$O$1960,MATCH(1157,Engine!$C$2:$C$1960,0)))</f>
        <v/>
      </c>
      <c r="P1170" s="8">
        <f>IF(ISNA(MATCH(1157,Engine!$C$2:$C$1960,0)),"",HYPERLINK("#Acts!A"&amp;INDEX('Compliance Database'!$P$2:$P$1960,MATCH(1157,Engine!$C$2:$C$1960,0)),"Go to Act"))</f>
        <v/>
      </c>
    </row>
    <row r="1171" ht="158" customHeight="1">
      <c r="A1171" s="8">
        <f>IF(ISNA(MATCH(1158,Engine!$C$2:$C$1960,0)),"",INDEX('Compliance Database'!$A$2:$A$1960,MATCH(1158,Engine!$C$2:$C$1960,0)))</f>
        <v/>
      </c>
      <c r="B1171" s="8">
        <f>IF(ISNA(MATCH(1158,Engine!$C$2:$C$1960,0)),"",INDEX('Compliance Database'!$B$2:$B$1960,MATCH(1158,Engine!$C$2:$C$1960,0)))</f>
        <v/>
      </c>
      <c r="C1171" s="8">
        <f>IF(ISNA(MATCH(1158,Engine!$C$2:$C$1960,0)),"",INDEX('Compliance Database'!$C$2:$C$1960,MATCH(1158,Engine!$C$2:$C$1960,0)))</f>
        <v/>
      </c>
      <c r="D1171" s="9">
        <f>IF(ISNA(MATCH(1158,Engine!$C$2:$C$1960,0)),"",INDEX('Compliance Database'!$D$2:$D$1960,MATCH(1158,Engine!$C$2:$C$1960,0)))</f>
        <v/>
      </c>
      <c r="E1171" s="8">
        <f>IF(ISNA(MATCH(1158,Engine!$C$2:$C$1960,0)),"",INDEX('Compliance Database'!$E$2:$E$1960,MATCH(1158,Engine!$C$2:$C$1960,0)))</f>
        <v/>
      </c>
      <c r="F1171" s="8">
        <f>IF(ISNA(MATCH(1158,Engine!$C$2:$C$1960,0)),"",INDEX('Compliance Database'!$F$2:$F$1960,MATCH(1158,Engine!$C$2:$C$1960,0)))</f>
        <v/>
      </c>
      <c r="G1171" s="8">
        <f>IF(ISNA(MATCH(1158,Engine!$C$2:$C$1960,0)),"",INDEX('Compliance Database'!$G$2:$G$1960,MATCH(1158,Engine!$C$2:$C$1960,0)))</f>
        <v/>
      </c>
      <c r="H1171" s="9">
        <f>IF(ISNA(MATCH(1158,Engine!$C$2:$C$1960,0)),"",INDEX('Compliance Database'!$H$2:$H$1960,MATCH(1158,Engine!$C$2:$C$1960,0)))</f>
        <v/>
      </c>
      <c r="I1171" s="9">
        <f>IF(ISNA(MATCH(1158,Engine!$C$2:$C$1960,0)),"",INDEX('Compliance Database'!$I$2:$I$1960,MATCH(1158,Engine!$C$2:$C$1960,0)))</f>
        <v/>
      </c>
      <c r="J1171" s="8">
        <f>IF(ISNA(MATCH(1158,Engine!$C$2:$C$1960,0)),"",INDEX('Compliance Database'!$J$2:$J$1960,MATCH(1158,Engine!$C$2:$C$1960,0)))</f>
        <v/>
      </c>
      <c r="K1171" s="9">
        <f>IF(ISNA(MATCH(1158,Engine!$C$2:$C$1960,0)),"",INDEX('Compliance Database'!$K$2:$K$1960,MATCH(1158,Engine!$C$2:$C$1960,0)))</f>
        <v/>
      </c>
      <c r="L1171" s="9">
        <f>IF(ISNA(MATCH(1158,Engine!$C$2:$C$1960,0)),"",INDEX('Compliance Database'!$L$2:$L$1960,MATCH(1158,Engine!$C$2:$C$1960,0)))</f>
        <v/>
      </c>
      <c r="M1171" s="9">
        <f>IF(ISNA(MATCH(1158,Engine!$C$2:$C$1960,0)),"",INDEX('Compliance Database'!$M$2:$M$1960,MATCH(1158,Engine!$C$2:$C$1960,0)))</f>
        <v/>
      </c>
      <c r="N1171" s="9">
        <f>IF(ISNA(MATCH(1158,Engine!$C$2:$C$1960,0)),"",INDEX('Compliance Database'!$N$2:$N$1960,MATCH(1158,Engine!$C$2:$C$1960,0)))</f>
        <v/>
      </c>
      <c r="O1171" s="9">
        <f>IF(ISNA(MATCH(1158,Engine!$C$2:$C$1960,0)),"",INDEX('Compliance Database'!$O$2:$O$1960,MATCH(1158,Engine!$C$2:$C$1960,0)))</f>
        <v/>
      </c>
      <c r="P1171" s="8">
        <f>IF(ISNA(MATCH(1158,Engine!$C$2:$C$1960,0)),"",HYPERLINK("#Acts!A"&amp;INDEX('Compliance Database'!$P$2:$P$1960,MATCH(1158,Engine!$C$2:$C$1960,0)),"Go to Act"))</f>
        <v/>
      </c>
    </row>
    <row r="1172" ht="158" customHeight="1">
      <c r="A1172" s="8">
        <f>IF(ISNA(MATCH(1159,Engine!$C$2:$C$1960,0)),"",INDEX('Compliance Database'!$A$2:$A$1960,MATCH(1159,Engine!$C$2:$C$1960,0)))</f>
        <v/>
      </c>
      <c r="B1172" s="8">
        <f>IF(ISNA(MATCH(1159,Engine!$C$2:$C$1960,0)),"",INDEX('Compliance Database'!$B$2:$B$1960,MATCH(1159,Engine!$C$2:$C$1960,0)))</f>
        <v/>
      </c>
      <c r="C1172" s="8">
        <f>IF(ISNA(MATCH(1159,Engine!$C$2:$C$1960,0)),"",INDEX('Compliance Database'!$C$2:$C$1960,MATCH(1159,Engine!$C$2:$C$1960,0)))</f>
        <v/>
      </c>
      <c r="D1172" s="9">
        <f>IF(ISNA(MATCH(1159,Engine!$C$2:$C$1960,0)),"",INDEX('Compliance Database'!$D$2:$D$1960,MATCH(1159,Engine!$C$2:$C$1960,0)))</f>
        <v/>
      </c>
      <c r="E1172" s="8">
        <f>IF(ISNA(MATCH(1159,Engine!$C$2:$C$1960,0)),"",INDEX('Compliance Database'!$E$2:$E$1960,MATCH(1159,Engine!$C$2:$C$1960,0)))</f>
        <v/>
      </c>
      <c r="F1172" s="8">
        <f>IF(ISNA(MATCH(1159,Engine!$C$2:$C$1960,0)),"",INDEX('Compliance Database'!$F$2:$F$1960,MATCH(1159,Engine!$C$2:$C$1960,0)))</f>
        <v/>
      </c>
      <c r="G1172" s="8">
        <f>IF(ISNA(MATCH(1159,Engine!$C$2:$C$1960,0)),"",INDEX('Compliance Database'!$G$2:$G$1960,MATCH(1159,Engine!$C$2:$C$1960,0)))</f>
        <v/>
      </c>
      <c r="H1172" s="9">
        <f>IF(ISNA(MATCH(1159,Engine!$C$2:$C$1960,0)),"",INDEX('Compliance Database'!$H$2:$H$1960,MATCH(1159,Engine!$C$2:$C$1960,0)))</f>
        <v/>
      </c>
      <c r="I1172" s="9">
        <f>IF(ISNA(MATCH(1159,Engine!$C$2:$C$1960,0)),"",INDEX('Compliance Database'!$I$2:$I$1960,MATCH(1159,Engine!$C$2:$C$1960,0)))</f>
        <v/>
      </c>
      <c r="J1172" s="8">
        <f>IF(ISNA(MATCH(1159,Engine!$C$2:$C$1960,0)),"",INDEX('Compliance Database'!$J$2:$J$1960,MATCH(1159,Engine!$C$2:$C$1960,0)))</f>
        <v/>
      </c>
      <c r="K1172" s="9">
        <f>IF(ISNA(MATCH(1159,Engine!$C$2:$C$1960,0)),"",INDEX('Compliance Database'!$K$2:$K$1960,MATCH(1159,Engine!$C$2:$C$1960,0)))</f>
        <v/>
      </c>
      <c r="L1172" s="9">
        <f>IF(ISNA(MATCH(1159,Engine!$C$2:$C$1960,0)),"",INDEX('Compliance Database'!$L$2:$L$1960,MATCH(1159,Engine!$C$2:$C$1960,0)))</f>
        <v/>
      </c>
      <c r="M1172" s="9">
        <f>IF(ISNA(MATCH(1159,Engine!$C$2:$C$1960,0)),"",INDEX('Compliance Database'!$M$2:$M$1960,MATCH(1159,Engine!$C$2:$C$1960,0)))</f>
        <v/>
      </c>
      <c r="N1172" s="9">
        <f>IF(ISNA(MATCH(1159,Engine!$C$2:$C$1960,0)),"",INDEX('Compliance Database'!$N$2:$N$1960,MATCH(1159,Engine!$C$2:$C$1960,0)))</f>
        <v/>
      </c>
      <c r="O1172" s="9">
        <f>IF(ISNA(MATCH(1159,Engine!$C$2:$C$1960,0)),"",INDEX('Compliance Database'!$O$2:$O$1960,MATCH(1159,Engine!$C$2:$C$1960,0)))</f>
        <v/>
      </c>
      <c r="P1172" s="8">
        <f>IF(ISNA(MATCH(1159,Engine!$C$2:$C$1960,0)),"",HYPERLINK("#Acts!A"&amp;INDEX('Compliance Database'!$P$2:$P$1960,MATCH(1159,Engine!$C$2:$C$1960,0)),"Go to Act"))</f>
        <v/>
      </c>
    </row>
    <row r="1173" ht="158" customHeight="1">
      <c r="A1173" s="8">
        <f>IF(ISNA(MATCH(1160,Engine!$C$2:$C$1960,0)),"",INDEX('Compliance Database'!$A$2:$A$1960,MATCH(1160,Engine!$C$2:$C$1960,0)))</f>
        <v/>
      </c>
      <c r="B1173" s="8">
        <f>IF(ISNA(MATCH(1160,Engine!$C$2:$C$1960,0)),"",INDEX('Compliance Database'!$B$2:$B$1960,MATCH(1160,Engine!$C$2:$C$1960,0)))</f>
        <v/>
      </c>
      <c r="C1173" s="8">
        <f>IF(ISNA(MATCH(1160,Engine!$C$2:$C$1960,0)),"",INDEX('Compliance Database'!$C$2:$C$1960,MATCH(1160,Engine!$C$2:$C$1960,0)))</f>
        <v/>
      </c>
      <c r="D1173" s="9">
        <f>IF(ISNA(MATCH(1160,Engine!$C$2:$C$1960,0)),"",INDEX('Compliance Database'!$D$2:$D$1960,MATCH(1160,Engine!$C$2:$C$1960,0)))</f>
        <v/>
      </c>
      <c r="E1173" s="8">
        <f>IF(ISNA(MATCH(1160,Engine!$C$2:$C$1960,0)),"",INDEX('Compliance Database'!$E$2:$E$1960,MATCH(1160,Engine!$C$2:$C$1960,0)))</f>
        <v/>
      </c>
      <c r="F1173" s="8">
        <f>IF(ISNA(MATCH(1160,Engine!$C$2:$C$1960,0)),"",INDEX('Compliance Database'!$F$2:$F$1960,MATCH(1160,Engine!$C$2:$C$1960,0)))</f>
        <v/>
      </c>
      <c r="G1173" s="8">
        <f>IF(ISNA(MATCH(1160,Engine!$C$2:$C$1960,0)),"",INDEX('Compliance Database'!$G$2:$G$1960,MATCH(1160,Engine!$C$2:$C$1960,0)))</f>
        <v/>
      </c>
      <c r="H1173" s="9">
        <f>IF(ISNA(MATCH(1160,Engine!$C$2:$C$1960,0)),"",INDEX('Compliance Database'!$H$2:$H$1960,MATCH(1160,Engine!$C$2:$C$1960,0)))</f>
        <v/>
      </c>
      <c r="I1173" s="9">
        <f>IF(ISNA(MATCH(1160,Engine!$C$2:$C$1960,0)),"",INDEX('Compliance Database'!$I$2:$I$1960,MATCH(1160,Engine!$C$2:$C$1960,0)))</f>
        <v/>
      </c>
      <c r="J1173" s="8">
        <f>IF(ISNA(MATCH(1160,Engine!$C$2:$C$1960,0)),"",INDEX('Compliance Database'!$J$2:$J$1960,MATCH(1160,Engine!$C$2:$C$1960,0)))</f>
        <v/>
      </c>
      <c r="K1173" s="9">
        <f>IF(ISNA(MATCH(1160,Engine!$C$2:$C$1960,0)),"",INDEX('Compliance Database'!$K$2:$K$1960,MATCH(1160,Engine!$C$2:$C$1960,0)))</f>
        <v/>
      </c>
      <c r="L1173" s="9">
        <f>IF(ISNA(MATCH(1160,Engine!$C$2:$C$1960,0)),"",INDEX('Compliance Database'!$L$2:$L$1960,MATCH(1160,Engine!$C$2:$C$1960,0)))</f>
        <v/>
      </c>
      <c r="M1173" s="9">
        <f>IF(ISNA(MATCH(1160,Engine!$C$2:$C$1960,0)),"",INDEX('Compliance Database'!$M$2:$M$1960,MATCH(1160,Engine!$C$2:$C$1960,0)))</f>
        <v/>
      </c>
      <c r="N1173" s="9">
        <f>IF(ISNA(MATCH(1160,Engine!$C$2:$C$1960,0)),"",INDEX('Compliance Database'!$N$2:$N$1960,MATCH(1160,Engine!$C$2:$C$1960,0)))</f>
        <v/>
      </c>
      <c r="O1173" s="9">
        <f>IF(ISNA(MATCH(1160,Engine!$C$2:$C$1960,0)),"",INDEX('Compliance Database'!$O$2:$O$1960,MATCH(1160,Engine!$C$2:$C$1960,0)))</f>
        <v/>
      </c>
      <c r="P1173" s="8">
        <f>IF(ISNA(MATCH(1160,Engine!$C$2:$C$1960,0)),"",HYPERLINK("#Acts!A"&amp;INDEX('Compliance Database'!$P$2:$P$1960,MATCH(1160,Engine!$C$2:$C$1960,0)),"Go to Act"))</f>
        <v/>
      </c>
    </row>
    <row r="1174" ht="158" customHeight="1">
      <c r="A1174" s="8">
        <f>IF(ISNA(MATCH(1161,Engine!$C$2:$C$1960,0)),"",INDEX('Compliance Database'!$A$2:$A$1960,MATCH(1161,Engine!$C$2:$C$1960,0)))</f>
        <v/>
      </c>
      <c r="B1174" s="8">
        <f>IF(ISNA(MATCH(1161,Engine!$C$2:$C$1960,0)),"",INDEX('Compliance Database'!$B$2:$B$1960,MATCH(1161,Engine!$C$2:$C$1960,0)))</f>
        <v/>
      </c>
      <c r="C1174" s="8">
        <f>IF(ISNA(MATCH(1161,Engine!$C$2:$C$1960,0)),"",INDEX('Compliance Database'!$C$2:$C$1960,MATCH(1161,Engine!$C$2:$C$1960,0)))</f>
        <v/>
      </c>
      <c r="D1174" s="9">
        <f>IF(ISNA(MATCH(1161,Engine!$C$2:$C$1960,0)),"",INDEX('Compliance Database'!$D$2:$D$1960,MATCH(1161,Engine!$C$2:$C$1960,0)))</f>
        <v/>
      </c>
      <c r="E1174" s="8">
        <f>IF(ISNA(MATCH(1161,Engine!$C$2:$C$1960,0)),"",INDEX('Compliance Database'!$E$2:$E$1960,MATCH(1161,Engine!$C$2:$C$1960,0)))</f>
        <v/>
      </c>
      <c r="F1174" s="8">
        <f>IF(ISNA(MATCH(1161,Engine!$C$2:$C$1960,0)),"",INDEX('Compliance Database'!$F$2:$F$1960,MATCH(1161,Engine!$C$2:$C$1960,0)))</f>
        <v/>
      </c>
      <c r="G1174" s="8">
        <f>IF(ISNA(MATCH(1161,Engine!$C$2:$C$1960,0)),"",INDEX('Compliance Database'!$G$2:$G$1960,MATCH(1161,Engine!$C$2:$C$1960,0)))</f>
        <v/>
      </c>
      <c r="H1174" s="9">
        <f>IF(ISNA(MATCH(1161,Engine!$C$2:$C$1960,0)),"",INDEX('Compliance Database'!$H$2:$H$1960,MATCH(1161,Engine!$C$2:$C$1960,0)))</f>
        <v/>
      </c>
      <c r="I1174" s="9">
        <f>IF(ISNA(MATCH(1161,Engine!$C$2:$C$1960,0)),"",INDEX('Compliance Database'!$I$2:$I$1960,MATCH(1161,Engine!$C$2:$C$1960,0)))</f>
        <v/>
      </c>
      <c r="J1174" s="8">
        <f>IF(ISNA(MATCH(1161,Engine!$C$2:$C$1960,0)),"",INDEX('Compliance Database'!$J$2:$J$1960,MATCH(1161,Engine!$C$2:$C$1960,0)))</f>
        <v/>
      </c>
      <c r="K1174" s="9">
        <f>IF(ISNA(MATCH(1161,Engine!$C$2:$C$1960,0)),"",INDEX('Compliance Database'!$K$2:$K$1960,MATCH(1161,Engine!$C$2:$C$1960,0)))</f>
        <v/>
      </c>
      <c r="L1174" s="9">
        <f>IF(ISNA(MATCH(1161,Engine!$C$2:$C$1960,0)),"",INDEX('Compliance Database'!$L$2:$L$1960,MATCH(1161,Engine!$C$2:$C$1960,0)))</f>
        <v/>
      </c>
      <c r="M1174" s="9">
        <f>IF(ISNA(MATCH(1161,Engine!$C$2:$C$1960,0)),"",INDEX('Compliance Database'!$M$2:$M$1960,MATCH(1161,Engine!$C$2:$C$1960,0)))</f>
        <v/>
      </c>
      <c r="N1174" s="9">
        <f>IF(ISNA(MATCH(1161,Engine!$C$2:$C$1960,0)),"",INDEX('Compliance Database'!$N$2:$N$1960,MATCH(1161,Engine!$C$2:$C$1960,0)))</f>
        <v/>
      </c>
      <c r="O1174" s="9">
        <f>IF(ISNA(MATCH(1161,Engine!$C$2:$C$1960,0)),"",INDEX('Compliance Database'!$O$2:$O$1960,MATCH(1161,Engine!$C$2:$C$1960,0)))</f>
        <v/>
      </c>
      <c r="P1174" s="8">
        <f>IF(ISNA(MATCH(1161,Engine!$C$2:$C$1960,0)),"",HYPERLINK("#Acts!A"&amp;INDEX('Compliance Database'!$P$2:$P$1960,MATCH(1161,Engine!$C$2:$C$1960,0)),"Go to Act"))</f>
        <v/>
      </c>
    </row>
    <row r="1175" ht="158" customHeight="1">
      <c r="A1175" s="8">
        <f>IF(ISNA(MATCH(1162,Engine!$C$2:$C$1960,0)),"",INDEX('Compliance Database'!$A$2:$A$1960,MATCH(1162,Engine!$C$2:$C$1960,0)))</f>
        <v/>
      </c>
      <c r="B1175" s="8">
        <f>IF(ISNA(MATCH(1162,Engine!$C$2:$C$1960,0)),"",INDEX('Compliance Database'!$B$2:$B$1960,MATCH(1162,Engine!$C$2:$C$1960,0)))</f>
        <v/>
      </c>
      <c r="C1175" s="8">
        <f>IF(ISNA(MATCH(1162,Engine!$C$2:$C$1960,0)),"",INDEX('Compliance Database'!$C$2:$C$1960,MATCH(1162,Engine!$C$2:$C$1960,0)))</f>
        <v/>
      </c>
      <c r="D1175" s="9">
        <f>IF(ISNA(MATCH(1162,Engine!$C$2:$C$1960,0)),"",INDEX('Compliance Database'!$D$2:$D$1960,MATCH(1162,Engine!$C$2:$C$1960,0)))</f>
        <v/>
      </c>
      <c r="E1175" s="8">
        <f>IF(ISNA(MATCH(1162,Engine!$C$2:$C$1960,0)),"",INDEX('Compliance Database'!$E$2:$E$1960,MATCH(1162,Engine!$C$2:$C$1960,0)))</f>
        <v/>
      </c>
      <c r="F1175" s="8">
        <f>IF(ISNA(MATCH(1162,Engine!$C$2:$C$1960,0)),"",INDEX('Compliance Database'!$F$2:$F$1960,MATCH(1162,Engine!$C$2:$C$1960,0)))</f>
        <v/>
      </c>
      <c r="G1175" s="8">
        <f>IF(ISNA(MATCH(1162,Engine!$C$2:$C$1960,0)),"",INDEX('Compliance Database'!$G$2:$G$1960,MATCH(1162,Engine!$C$2:$C$1960,0)))</f>
        <v/>
      </c>
      <c r="H1175" s="9">
        <f>IF(ISNA(MATCH(1162,Engine!$C$2:$C$1960,0)),"",INDEX('Compliance Database'!$H$2:$H$1960,MATCH(1162,Engine!$C$2:$C$1960,0)))</f>
        <v/>
      </c>
      <c r="I1175" s="9">
        <f>IF(ISNA(MATCH(1162,Engine!$C$2:$C$1960,0)),"",INDEX('Compliance Database'!$I$2:$I$1960,MATCH(1162,Engine!$C$2:$C$1960,0)))</f>
        <v/>
      </c>
      <c r="J1175" s="8">
        <f>IF(ISNA(MATCH(1162,Engine!$C$2:$C$1960,0)),"",INDEX('Compliance Database'!$J$2:$J$1960,MATCH(1162,Engine!$C$2:$C$1960,0)))</f>
        <v/>
      </c>
      <c r="K1175" s="9">
        <f>IF(ISNA(MATCH(1162,Engine!$C$2:$C$1960,0)),"",INDEX('Compliance Database'!$K$2:$K$1960,MATCH(1162,Engine!$C$2:$C$1960,0)))</f>
        <v/>
      </c>
      <c r="L1175" s="9">
        <f>IF(ISNA(MATCH(1162,Engine!$C$2:$C$1960,0)),"",INDEX('Compliance Database'!$L$2:$L$1960,MATCH(1162,Engine!$C$2:$C$1960,0)))</f>
        <v/>
      </c>
      <c r="M1175" s="9">
        <f>IF(ISNA(MATCH(1162,Engine!$C$2:$C$1960,0)),"",INDEX('Compliance Database'!$M$2:$M$1960,MATCH(1162,Engine!$C$2:$C$1960,0)))</f>
        <v/>
      </c>
      <c r="N1175" s="9">
        <f>IF(ISNA(MATCH(1162,Engine!$C$2:$C$1960,0)),"",INDEX('Compliance Database'!$N$2:$N$1960,MATCH(1162,Engine!$C$2:$C$1960,0)))</f>
        <v/>
      </c>
      <c r="O1175" s="9">
        <f>IF(ISNA(MATCH(1162,Engine!$C$2:$C$1960,0)),"",INDEX('Compliance Database'!$O$2:$O$1960,MATCH(1162,Engine!$C$2:$C$1960,0)))</f>
        <v/>
      </c>
      <c r="P1175" s="8">
        <f>IF(ISNA(MATCH(1162,Engine!$C$2:$C$1960,0)),"",HYPERLINK("#Acts!A"&amp;INDEX('Compliance Database'!$P$2:$P$1960,MATCH(1162,Engine!$C$2:$C$1960,0)),"Go to Act"))</f>
        <v/>
      </c>
    </row>
    <row r="1176" ht="158" customHeight="1">
      <c r="A1176" s="8">
        <f>IF(ISNA(MATCH(1163,Engine!$C$2:$C$1960,0)),"",INDEX('Compliance Database'!$A$2:$A$1960,MATCH(1163,Engine!$C$2:$C$1960,0)))</f>
        <v/>
      </c>
      <c r="B1176" s="8">
        <f>IF(ISNA(MATCH(1163,Engine!$C$2:$C$1960,0)),"",INDEX('Compliance Database'!$B$2:$B$1960,MATCH(1163,Engine!$C$2:$C$1960,0)))</f>
        <v/>
      </c>
      <c r="C1176" s="8">
        <f>IF(ISNA(MATCH(1163,Engine!$C$2:$C$1960,0)),"",INDEX('Compliance Database'!$C$2:$C$1960,MATCH(1163,Engine!$C$2:$C$1960,0)))</f>
        <v/>
      </c>
      <c r="D1176" s="9">
        <f>IF(ISNA(MATCH(1163,Engine!$C$2:$C$1960,0)),"",INDEX('Compliance Database'!$D$2:$D$1960,MATCH(1163,Engine!$C$2:$C$1960,0)))</f>
        <v/>
      </c>
      <c r="E1176" s="8">
        <f>IF(ISNA(MATCH(1163,Engine!$C$2:$C$1960,0)),"",INDEX('Compliance Database'!$E$2:$E$1960,MATCH(1163,Engine!$C$2:$C$1960,0)))</f>
        <v/>
      </c>
      <c r="F1176" s="8">
        <f>IF(ISNA(MATCH(1163,Engine!$C$2:$C$1960,0)),"",INDEX('Compliance Database'!$F$2:$F$1960,MATCH(1163,Engine!$C$2:$C$1960,0)))</f>
        <v/>
      </c>
      <c r="G1176" s="8">
        <f>IF(ISNA(MATCH(1163,Engine!$C$2:$C$1960,0)),"",INDEX('Compliance Database'!$G$2:$G$1960,MATCH(1163,Engine!$C$2:$C$1960,0)))</f>
        <v/>
      </c>
      <c r="H1176" s="9">
        <f>IF(ISNA(MATCH(1163,Engine!$C$2:$C$1960,0)),"",INDEX('Compliance Database'!$H$2:$H$1960,MATCH(1163,Engine!$C$2:$C$1960,0)))</f>
        <v/>
      </c>
      <c r="I1176" s="9">
        <f>IF(ISNA(MATCH(1163,Engine!$C$2:$C$1960,0)),"",INDEX('Compliance Database'!$I$2:$I$1960,MATCH(1163,Engine!$C$2:$C$1960,0)))</f>
        <v/>
      </c>
      <c r="J1176" s="8">
        <f>IF(ISNA(MATCH(1163,Engine!$C$2:$C$1960,0)),"",INDEX('Compliance Database'!$J$2:$J$1960,MATCH(1163,Engine!$C$2:$C$1960,0)))</f>
        <v/>
      </c>
      <c r="K1176" s="9">
        <f>IF(ISNA(MATCH(1163,Engine!$C$2:$C$1960,0)),"",INDEX('Compliance Database'!$K$2:$K$1960,MATCH(1163,Engine!$C$2:$C$1960,0)))</f>
        <v/>
      </c>
      <c r="L1176" s="9">
        <f>IF(ISNA(MATCH(1163,Engine!$C$2:$C$1960,0)),"",INDEX('Compliance Database'!$L$2:$L$1960,MATCH(1163,Engine!$C$2:$C$1960,0)))</f>
        <v/>
      </c>
      <c r="M1176" s="9">
        <f>IF(ISNA(MATCH(1163,Engine!$C$2:$C$1960,0)),"",INDEX('Compliance Database'!$M$2:$M$1960,MATCH(1163,Engine!$C$2:$C$1960,0)))</f>
        <v/>
      </c>
      <c r="N1176" s="9">
        <f>IF(ISNA(MATCH(1163,Engine!$C$2:$C$1960,0)),"",INDEX('Compliance Database'!$N$2:$N$1960,MATCH(1163,Engine!$C$2:$C$1960,0)))</f>
        <v/>
      </c>
      <c r="O1176" s="9">
        <f>IF(ISNA(MATCH(1163,Engine!$C$2:$C$1960,0)),"",INDEX('Compliance Database'!$O$2:$O$1960,MATCH(1163,Engine!$C$2:$C$1960,0)))</f>
        <v/>
      </c>
      <c r="P1176" s="8">
        <f>IF(ISNA(MATCH(1163,Engine!$C$2:$C$1960,0)),"",HYPERLINK("#Acts!A"&amp;INDEX('Compliance Database'!$P$2:$P$1960,MATCH(1163,Engine!$C$2:$C$1960,0)),"Go to Act"))</f>
        <v/>
      </c>
    </row>
    <row r="1177" ht="158" customHeight="1">
      <c r="A1177" s="8">
        <f>IF(ISNA(MATCH(1164,Engine!$C$2:$C$1960,0)),"",INDEX('Compliance Database'!$A$2:$A$1960,MATCH(1164,Engine!$C$2:$C$1960,0)))</f>
        <v/>
      </c>
      <c r="B1177" s="8">
        <f>IF(ISNA(MATCH(1164,Engine!$C$2:$C$1960,0)),"",INDEX('Compliance Database'!$B$2:$B$1960,MATCH(1164,Engine!$C$2:$C$1960,0)))</f>
        <v/>
      </c>
      <c r="C1177" s="8">
        <f>IF(ISNA(MATCH(1164,Engine!$C$2:$C$1960,0)),"",INDEX('Compliance Database'!$C$2:$C$1960,MATCH(1164,Engine!$C$2:$C$1960,0)))</f>
        <v/>
      </c>
      <c r="D1177" s="9">
        <f>IF(ISNA(MATCH(1164,Engine!$C$2:$C$1960,0)),"",INDEX('Compliance Database'!$D$2:$D$1960,MATCH(1164,Engine!$C$2:$C$1960,0)))</f>
        <v/>
      </c>
      <c r="E1177" s="8">
        <f>IF(ISNA(MATCH(1164,Engine!$C$2:$C$1960,0)),"",INDEX('Compliance Database'!$E$2:$E$1960,MATCH(1164,Engine!$C$2:$C$1960,0)))</f>
        <v/>
      </c>
      <c r="F1177" s="8">
        <f>IF(ISNA(MATCH(1164,Engine!$C$2:$C$1960,0)),"",INDEX('Compliance Database'!$F$2:$F$1960,MATCH(1164,Engine!$C$2:$C$1960,0)))</f>
        <v/>
      </c>
      <c r="G1177" s="8">
        <f>IF(ISNA(MATCH(1164,Engine!$C$2:$C$1960,0)),"",INDEX('Compliance Database'!$G$2:$G$1960,MATCH(1164,Engine!$C$2:$C$1960,0)))</f>
        <v/>
      </c>
      <c r="H1177" s="9">
        <f>IF(ISNA(MATCH(1164,Engine!$C$2:$C$1960,0)),"",INDEX('Compliance Database'!$H$2:$H$1960,MATCH(1164,Engine!$C$2:$C$1960,0)))</f>
        <v/>
      </c>
      <c r="I1177" s="9">
        <f>IF(ISNA(MATCH(1164,Engine!$C$2:$C$1960,0)),"",INDEX('Compliance Database'!$I$2:$I$1960,MATCH(1164,Engine!$C$2:$C$1960,0)))</f>
        <v/>
      </c>
      <c r="J1177" s="8">
        <f>IF(ISNA(MATCH(1164,Engine!$C$2:$C$1960,0)),"",INDEX('Compliance Database'!$J$2:$J$1960,MATCH(1164,Engine!$C$2:$C$1960,0)))</f>
        <v/>
      </c>
      <c r="K1177" s="9">
        <f>IF(ISNA(MATCH(1164,Engine!$C$2:$C$1960,0)),"",INDEX('Compliance Database'!$K$2:$K$1960,MATCH(1164,Engine!$C$2:$C$1960,0)))</f>
        <v/>
      </c>
      <c r="L1177" s="9">
        <f>IF(ISNA(MATCH(1164,Engine!$C$2:$C$1960,0)),"",INDEX('Compliance Database'!$L$2:$L$1960,MATCH(1164,Engine!$C$2:$C$1960,0)))</f>
        <v/>
      </c>
      <c r="M1177" s="9">
        <f>IF(ISNA(MATCH(1164,Engine!$C$2:$C$1960,0)),"",INDEX('Compliance Database'!$M$2:$M$1960,MATCH(1164,Engine!$C$2:$C$1960,0)))</f>
        <v/>
      </c>
      <c r="N1177" s="9">
        <f>IF(ISNA(MATCH(1164,Engine!$C$2:$C$1960,0)),"",INDEX('Compliance Database'!$N$2:$N$1960,MATCH(1164,Engine!$C$2:$C$1960,0)))</f>
        <v/>
      </c>
      <c r="O1177" s="9">
        <f>IF(ISNA(MATCH(1164,Engine!$C$2:$C$1960,0)),"",INDEX('Compliance Database'!$O$2:$O$1960,MATCH(1164,Engine!$C$2:$C$1960,0)))</f>
        <v/>
      </c>
      <c r="P1177" s="8">
        <f>IF(ISNA(MATCH(1164,Engine!$C$2:$C$1960,0)),"",HYPERLINK("#Acts!A"&amp;INDEX('Compliance Database'!$P$2:$P$1960,MATCH(1164,Engine!$C$2:$C$1960,0)),"Go to Act"))</f>
        <v/>
      </c>
    </row>
    <row r="1178" ht="158" customHeight="1">
      <c r="A1178" s="8">
        <f>IF(ISNA(MATCH(1165,Engine!$C$2:$C$1960,0)),"",INDEX('Compliance Database'!$A$2:$A$1960,MATCH(1165,Engine!$C$2:$C$1960,0)))</f>
        <v/>
      </c>
      <c r="B1178" s="8">
        <f>IF(ISNA(MATCH(1165,Engine!$C$2:$C$1960,0)),"",INDEX('Compliance Database'!$B$2:$B$1960,MATCH(1165,Engine!$C$2:$C$1960,0)))</f>
        <v/>
      </c>
      <c r="C1178" s="8">
        <f>IF(ISNA(MATCH(1165,Engine!$C$2:$C$1960,0)),"",INDEX('Compliance Database'!$C$2:$C$1960,MATCH(1165,Engine!$C$2:$C$1960,0)))</f>
        <v/>
      </c>
      <c r="D1178" s="9">
        <f>IF(ISNA(MATCH(1165,Engine!$C$2:$C$1960,0)),"",INDEX('Compliance Database'!$D$2:$D$1960,MATCH(1165,Engine!$C$2:$C$1960,0)))</f>
        <v/>
      </c>
      <c r="E1178" s="8">
        <f>IF(ISNA(MATCH(1165,Engine!$C$2:$C$1960,0)),"",INDEX('Compliance Database'!$E$2:$E$1960,MATCH(1165,Engine!$C$2:$C$1960,0)))</f>
        <v/>
      </c>
      <c r="F1178" s="8">
        <f>IF(ISNA(MATCH(1165,Engine!$C$2:$C$1960,0)),"",INDEX('Compliance Database'!$F$2:$F$1960,MATCH(1165,Engine!$C$2:$C$1960,0)))</f>
        <v/>
      </c>
      <c r="G1178" s="8">
        <f>IF(ISNA(MATCH(1165,Engine!$C$2:$C$1960,0)),"",INDEX('Compliance Database'!$G$2:$G$1960,MATCH(1165,Engine!$C$2:$C$1960,0)))</f>
        <v/>
      </c>
      <c r="H1178" s="9">
        <f>IF(ISNA(MATCH(1165,Engine!$C$2:$C$1960,0)),"",INDEX('Compliance Database'!$H$2:$H$1960,MATCH(1165,Engine!$C$2:$C$1960,0)))</f>
        <v/>
      </c>
      <c r="I1178" s="9">
        <f>IF(ISNA(MATCH(1165,Engine!$C$2:$C$1960,0)),"",INDEX('Compliance Database'!$I$2:$I$1960,MATCH(1165,Engine!$C$2:$C$1960,0)))</f>
        <v/>
      </c>
      <c r="J1178" s="8">
        <f>IF(ISNA(MATCH(1165,Engine!$C$2:$C$1960,0)),"",INDEX('Compliance Database'!$J$2:$J$1960,MATCH(1165,Engine!$C$2:$C$1960,0)))</f>
        <v/>
      </c>
      <c r="K1178" s="9">
        <f>IF(ISNA(MATCH(1165,Engine!$C$2:$C$1960,0)),"",INDEX('Compliance Database'!$K$2:$K$1960,MATCH(1165,Engine!$C$2:$C$1960,0)))</f>
        <v/>
      </c>
      <c r="L1178" s="9">
        <f>IF(ISNA(MATCH(1165,Engine!$C$2:$C$1960,0)),"",INDEX('Compliance Database'!$L$2:$L$1960,MATCH(1165,Engine!$C$2:$C$1960,0)))</f>
        <v/>
      </c>
      <c r="M1178" s="9">
        <f>IF(ISNA(MATCH(1165,Engine!$C$2:$C$1960,0)),"",INDEX('Compliance Database'!$M$2:$M$1960,MATCH(1165,Engine!$C$2:$C$1960,0)))</f>
        <v/>
      </c>
      <c r="N1178" s="9">
        <f>IF(ISNA(MATCH(1165,Engine!$C$2:$C$1960,0)),"",INDEX('Compliance Database'!$N$2:$N$1960,MATCH(1165,Engine!$C$2:$C$1960,0)))</f>
        <v/>
      </c>
      <c r="O1178" s="9">
        <f>IF(ISNA(MATCH(1165,Engine!$C$2:$C$1960,0)),"",INDEX('Compliance Database'!$O$2:$O$1960,MATCH(1165,Engine!$C$2:$C$1960,0)))</f>
        <v/>
      </c>
      <c r="P1178" s="8">
        <f>IF(ISNA(MATCH(1165,Engine!$C$2:$C$1960,0)),"",HYPERLINK("#Acts!A"&amp;INDEX('Compliance Database'!$P$2:$P$1960,MATCH(1165,Engine!$C$2:$C$1960,0)),"Go to Act"))</f>
        <v/>
      </c>
    </row>
    <row r="1179" ht="158" customHeight="1">
      <c r="A1179" s="8">
        <f>IF(ISNA(MATCH(1166,Engine!$C$2:$C$1960,0)),"",INDEX('Compliance Database'!$A$2:$A$1960,MATCH(1166,Engine!$C$2:$C$1960,0)))</f>
        <v/>
      </c>
      <c r="B1179" s="8">
        <f>IF(ISNA(MATCH(1166,Engine!$C$2:$C$1960,0)),"",INDEX('Compliance Database'!$B$2:$B$1960,MATCH(1166,Engine!$C$2:$C$1960,0)))</f>
        <v/>
      </c>
      <c r="C1179" s="8">
        <f>IF(ISNA(MATCH(1166,Engine!$C$2:$C$1960,0)),"",INDEX('Compliance Database'!$C$2:$C$1960,MATCH(1166,Engine!$C$2:$C$1960,0)))</f>
        <v/>
      </c>
      <c r="D1179" s="9">
        <f>IF(ISNA(MATCH(1166,Engine!$C$2:$C$1960,0)),"",INDEX('Compliance Database'!$D$2:$D$1960,MATCH(1166,Engine!$C$2:$C$1960,0)))</f>
        <v/>
      </c>
      <c r="E1179" s="8">
        <f>IF(ISNA(MATCH(1166,Engine!$C$2:$C$1960,0)),"",INDEX('Compliance Database'!$E$2:$E$1960,MATCH(1166,Engine!$C$2:$C$1960,0)))</f>
        <v/>
      </c>
      <c r="F1179" s="8">
        <f>IF(ISNA(MATCH(1166,Engine!$C$2:$C$1960,0)),"",INDEX('Compliance Database'!$F$2:$F$1960,MATCH(1166,Engine!$C$2:$C$1960,0)))</f>
        <v/>
      </c>
      <c r="G1179" s="8">
        <f>IF(ISNA(MATCH(1166,Engine!$C$2:$C$1960,0)),"",INDEX('Compliance Database'!$G$2:$G$1960,MATCH(1166,Engine!$C$2:$C$1960,0)))</f>
        <v/>
      </c>
      <c r="H1179" s="9">
        <f>IF(ISNA(MATCH(1166,Engine!$C$2:$C$1960,0)),"",INDEX('Compliance Database'!$H$2:$H$1960,MATCH(1166,Engine!$C$2:$C$1960,0)))</f>
        <v/>
      </c>
      <c r="I1179" s="9">
        <f>IF(ISNA(MATCH(1166,Engine!$C$2:$C$1960,0)),"",INDEX('Compliance Database'!$I$2:$I$1960,MATCH(1166,Engine!$C$2:$C$1960,0)))</f>
        <v/>
      </c>
      <c r="J1179" s="8">
        <f>IF(ISNA(MATCH(1166,Engine!$C$2:$C$1960,0)),"",INDEX('Compliance Database'!$J$2:$J$1960,MATCH(1166,Engine!$C$2:$C$1960,0)))</f>
        <v/>
      </c>
      <c r="K1179" s="9">
        <f>IF(ISNA(MATCH(1166,Engine!$C$2:$C$1960,0)),"",INDEX('Compliance Database'!$K$2:$K$1960,MATCH(1166,Engine!$C$2:$C$1960,0)))</f>
        <v/>
      </c>
      <c r="L1179" s="9">
        <f>IF(ISNA(MATCH(1166,Engine!$C$2:$C$1960,0)),"",INDEX('Compliance Database'!$L$2:$L$1960,MATCH(1166,Engine!$C$2:$C$1960,0)))</f>
        <v/>
      </c>
      <c r="M1179" s="9">
        <f>IF(ISNA(MATCH(1166,Engine!$C$2:$C$1960,0)),"",INDEX('Compliance Database'!$M$2:$M$1960,MATCH(1166,Engine!$C$2:$C$1960,0)))</f>
        <v/>
      </c>
      <c r="N1179" s="9">
        <f>IF(ISNA(MATCH(1166,Engine!$C$2:$C$1960,0)),"",INDEX('Compliance Database'!$N$2:$N$1960,MATCH(1166,Engine!$C$2:$C$1960,0)))</f>
        <v/>
      </c>
      <c r="O1179" s="9">
        <f>IF(ISNA(MATCH(1166,Engine!$C$2:$C$1960,0)),"",INDEX('Compliance Database'!$O$2:$O$1960,MATCH(1166,Engine!$C$2:$C$1960,0)))</f>
        <v/>
      </c>
      <c r="P1179" s="8">
        <f>IF(ISNA(MATCH(1166,Engine!$C$2:$C$1960,0)),"",HYPERLINK("#Acts!A"&amp;INDEX('Compliance Database'!$P$2:$P$1960,MATCH(1166,Engine!$C$2:$C$1960,0)),"Go to Act"))</f>
        <v/>
      </c>
    </row>
    <row r="1180" ht="158" customHeight="1">
      <c r="A1180" s="8">
        <f>IF(ISNA(MATCH(1167,Engine!$C$2:$C$1960,0)),"",INDEX('Compliance Database'!$A$2:$A$1960,MATCH(1167,Engine!$C$2:$C$1960,0)))</f>
        <v/>
      </c>
      <c r="B1180" s="8">
        <f>IF(ISNA(MATCH(1167,Engine!$C$2:$C$1960,0)),"",INDEX('Compliance Database'!$B$2:$B$1960,MATCH(1167,Engine!$C$2:$C$1960,0)))</f>
        <v/>
      </c>
      <c r="C1180" s="8">
        <f>IF(ISNA(MATCH(1167,Engine!$C$2:$C$1960,0)),"",INDEX('Compliance Database'!$C$2:$C$1960,MATCH(1167,Engine!$C$2:$C$1960,0)))</f>
        <v/>
      </c>
      <c r="D1180" s="9">
        <f>IF(ISNA(MATCH(1167,Engine!$C$2:$C$1960,0)),"",INDEX('Compliance Database'!$D$2:$D$1960,MATCH(1167,Engine!$C$2:$C$1960,0)))</f>
        <v/>
      </c>
      <c r="E1180" s="8">
        <f>IF(ISNA(MATCH(1167,Engine!$C$2:$C$1960,0)),"",INDEX('Compliance Database'!$E$2:$E$1960,MATCH(1167,Engine!$C$2:$C$1960,0)))</f>
        <v/>
      </c>
      <c r="F1180" s="8">
        <f>IF(ISNA(MATCH(1167,Engine!$C$2:$C$1960,0)),"",INDEX('Compliance Database'!$F$2:$F$1960,MATCH(1167,Engine!$C$2:$C$1960,0)))</f>
        <v/>
      </c>
      <c r="G1180" s="8">
        <f>IF(ISNA(MATCH(1167,Engine!$C$2:$C$1960,0)),"",INDEX('Compliance Database'!$G$2:$G$1960,MATCH(1167,Engine!$C$2:$C$1960,0)))</f>
        <v/>
      </c>
      <c r="H1180" s="9">
        <f>IF(ISNA(MATCH(1167,Engine!$C$2:$C$1960,0)),"",INDEX('Compliance Database'!$H$2:$H$1960,MATCH(1167,Engine!$C$2:$C$1960,0)))</f>
        <v/>
      </c>
      <c r="I1180" s="9">
        <f>IF(ISNA(MATCH(1167,Engine!$C$2:$C$1960,0)),"",INDEX('Compliance Database'!$I$2:$I$1960,MATCH(1167,Engine!$C$2:$C$1960,0)))</f>
        <v/>
      </c>
      <c r="J1180" s="8">
        <f>IF(ISNA(MATCH(1167,Engine!$C$2:$C$1960,0)),"",INDEX('Compliance Database'!$J$2:$J$1960,MATCH(1167,Engine!$C$2:$C$1960,0)))</f>
        <v/>
      </c>
      <c r="K1180" s="9">
        <f>IF(ISNA(MATCH(1167,Engine!$C$2:$C$1960,0)),"",INDEX('Compliance Database'!$K$2:$K$1960,MATCH(1167,Engine!$C$2:$C$1960,0)))</f>
        <v/>
      </c>
      <c r="L1180" s="9">
        <f>IF(ISNA(MATCH(1167,Engine!$C$2:$C$1960,0)),"",INDEX('Compliance Database'!$L$2:$L$1960,MATCH(1167,Engine!$C$2:$C$1960,0)))</f>
        <v/>
      </c>
      <c r="M1180" s="9">
        <f>IF(ISNA(MATCH(1167,Engine!$C$2:$C$1960,0)),"",INDEX('Compliance Database'!$M$2:$M$1960,MATCH(1167,Engine!$C$2:$C$1960,0)))</f>
        <v/>
      </c>
      <c r="N1180" s="9">
        <f>IF(ISNA(MATCH(1167,Engine!$C$2:$C$1960,0)),"",INDEX('Compliance Database'!$N$2:$N$1960,MATCH(1167,Engine!$C$2:$C$1960,0)))</f>
        <v/>
      </c>
      <c r="O1180" s="9">
        <f>IF(ISNA(MATCH(1167,Engine!$C$2:$C$1960,0)),"",INDEX('Compliance Database'!$O$2:$O$1960,MATCH(1167,Engine!$C$2:$C$1960,0)))</f>
        <v/>
      </c>
      <c r="P1180" s="8">
        <f>IF(ISNA(MATCH(1167,Engine!$C$2:$C$1960,0)),"",HYPERLINK("#Acts!A"&amp;INDEX('Compliance Database'!$P$2:$P$1960,MATCH(1167,Engine!$C$2:$C$1960,0)),"Go to Act"))</f>
        <v/>
      </c>
    </row>
    <row r="1181" ht="158" customHeight="1">
      <c r="A1181" s="8">
        <f>IF(ISNA(MATCH(1168,Engine!$C$2:$C$1960,0)),"",INDEX('Compliance Database'!$A$2:$A$1960,MATCH(1168,Engine!$C$2:$C$1960,0)))</f>
        <v/>
      </c>
      <c r="B1181" s="8">
        <f>IF(ISNA(MATCH(1168,Engine!$C$2:$C$1960,0)),"",INDEX('Compliance Database'!$B$2:$B$1960,MATCH(1168,Engine!$C$2:$C$1960,0)))</f>
        <v/>
      </c>
      <c r="C1181" s="8">
        <f>IF(ISNA(MATCH(1168,Engine!$C$2:$C$1960,0)),"",INDEX('Compliance Database'!$C$2:$C$1960,MATCH(1168,Engine!$C$2:$C$1960,0)))</f>
        <v/>
      </c>
      <c r="D1181" s="9">
        <f>IF(ISNA(MATCH(1168,Engine!$C$2:$C$1960,0)),"",INDEX('Compliance Database'!$D$2:$D$1960,MATCH(1168,Engine!$C$2:$C$1960,0)))</f>
        <v/>
      </c>
      <c r="E1181" s="8">
        <f>IF(ISNA(MATCH(1168,Engine!$C$2:$C$1960,0)),"",INDEX('Compliance Database'!$E$2:$E$1960,MATCH(1168,Engine!$C$2:$C$1960,0)))</f>
        <v/>
      </c>
      <c r="F1181" s="8">
        <f>IF(ISNA(MATCH(1168,Engine!$C$2:$C$1960,0)),"",INDEX('Compliance Database'!$F$2:$F$1960,MATCH(1168,Engine!$C$2:$C$1960,0)))</f>
        <v/>
      </c>
      <c r="G1181" s="8">
        <f>IF(ISNA(MATCH(1168,Engine!$C$2:$C$1960,0)),"",INDEX('Compliance Database'!$G$2:$G$1960,MATCH(1168,Engine!$C$2:$C$1960,0)))</f>
        <v/>
      </c>
      <c r="H1181" s="9">
        <f>IF(ISNA(MATCH(1168,Engine!$C$2:$C$1960,0)),"",INDEX('Compliance Database'!$H$2:$H$1960,MATCH(1168,Engine!$C$2:$C$1960,0)))</f>
        <v/>
      </c>
      <c r="I1181" s="9">
        <f>IF(ISNA(MATCH(1168,Engine!$C$2:$C$1960,0)),"",INDEX('Compliance Database'!$I$2:$I$1960,MATCH(1168,Engine!$C$2:$C$1960,0)))</f>
        <v/>
      </c>
      <c r="J1181" s="8">
        <f>IF(ISNA(MATCH(1168,Engine!$C$2:$C$1960,0)),"",INDEX('Compliance Database'!$J$2:$J$1960,MATCH(1168,Engine!$C$2:$C$1960,0)))</f>
        <v/>
      </c>
      <c r="K1181" s="9">
        <f>IF(ISNA(MATCH(1168,Engine!$C$2:$C$1960,0)),"",INDEX('Compliance Database'!$K$2:$K$1960,MATCH(1168,Engine!$C$2:$C$1960,0)))</f>
        <v/>
      </c>
      <c r="L1181" s="9">
        <f>IF(ISNA(MATCH(1168,Engine!$C$2:$C$1960,0)),"",INDEX('Compliance Database'!$L$2:$L$1960,MATCH(1168,Engine!$C$2:$C$1960,0)))</f>
        <v/>
      </c>
      <c r="M1181" s="9">
        <f>IF(ISNA(MATCH(1168,Engine!$C$2:$C$1960,0)),"",INDEX('Compliance Database'!$M$2:$M$1960,MATCH(1168,Engine!$C$2:$C$1960,0)))</f>
        <v/>
      </c>
      <c r="N1181" s="9">
        <f>IF(ISNA(MATCH(1168,Engine!$C$2:$C$1960,0)),"",INDEX('Compliance Database'!$N$2:$N$1960,MATCH(1168,Engine!$C$2:$C$1960,0)))</f>
        <v/>
      </c>
      <c r="O1181" s="9">
        <f>IF(ISNA(MATCH(1168,Engine!$C$2:$C$1960,0)),"",INDEX('Compliance Database'!$O$2:$O$1960,MATCH(1168,Engine!$C$2:$C$1960,0)))</f>
        <v/>
      </c>
      <c r="P1181" s="8">
        <f>IF(ISNA(MATCH(1168,Engine!$C$2:$C$1960,0)),"",HYPERLINK("#Acts!A"&amp;INDEX('Compliance Database'!$P$2:$P$1960,MATCH(1168,Engine!$C$2:$C$1960,0)),"Go to Act"))</f>
        <v/>
      </c>
    </row>
    <row r="1182" ht="158" customHeight="1">
      <c r="A1182" s="8">
        <f>IF(ISNA(MATCH(1169,Engine!$C$2:$C$1960,0)),"",INDEX('Compliance Database'!$A$2:$A$1960,MATCH(1169,Engine!$C$2:$C$1960,0)))</f>
        <v/>
      </c>
      <c r="B1182" s="8">
        <f>IF(ISNA(MATCH(1169,Engine!$C$2:$C$1960,0)),"",INDEX('Compliance Database'!$B$2:$B$1960,MATCH(1169,Engine!$C$2:$C$1960,0)))</f>
        <v/>
      </c>
      <c r="C1182" s="8">
        <f>IF(ISNA(MATCH(1169,Engine!$C$2:$C$1960,0)),"",INDEX('Compliance Database'!$C$2:$C$1960,MATCH(1169,Engine!$C$2:$C$1960,0)))</f>
        <v/>
      </c>
      <c r="D1182" s="9">
        <f>IF(ISNA(MATCH(1169,Engine!$C$2:$C$1960,0)),"",INDEX('Compliance Database'!$D$2:$D$1960,MATCH(1169,Engine!$C$2:$C$1960,0)))</f>
        <v/>
      </c>
      <c r="E1182" s="8">
        <f>IF(ISNA(MATCH(1169,Engine!$C$2:$C$1960,0)),"",INDEX('Compliance Database'!$E$2:$E$1960,MATCH(1169,Engine!$C$2:$C$1960,0)))</f>
        <v/>
      </c>
      <c r="F1182" s="8">
        <f>IF(ISNA(MATCH(1169,Engine!$C$2:$C$1960,0)),"",INDEX('Compliance Database'!$F$2:$F$1960,MATCH(1169,Engine!$C$2:$C$1960,0)))</f>
        <v/>
      </c>
      <c r="G1182" s="8">
        <f>IF(ISNA(MATCH(1169,Engine!$C$2:$C$1960,0)),"",INDEX('Compliance Database'!$G$2:$G$1960,MATCH(1169,Engine!$C$2:$C$1960,0)))</f>
        <v/>
      </c>
      <c r="H1182" s="9">
        <f>IF(ISNA(MATCH(1169,Engine!$C$2:$C$1960,0)),"",INDEX('Compliance Database'!$H$2:$H$1960,MATCH(1169,Engine!$C$2:$C$1960,0)))</f>
        <v/>
      </c>
      <c r="I1182" s="9">
        <f>IF(ISNA(MATCH(1169,Engine!$C$2:$C$1960,0)),"",INDEX('Compliance Database'!$I$2:$I$1960,MATCH(1169,Engine!$C$2:$C$1960,0)))</f>
        <v/>
      </c>
      <c r="J1182" s="8">
        <f>IF(ISNA(MATCH(1169,Engine!$C$2:$C$1960,0)),"",INDEX('Compliance Database'!$J$2:$J$1960,MATCH(1169,Engine!$C$2:$C$1960,0)))</f>
        <v/>
      </c>
      <c r="K1182" s="9">
        <f>IF(ISNA(MATCH(1169,Engine!$C$2:$C$1960,0)),"",INDEX('Compliance Database'!$K$2:$K$1960,MATCH(1169,Engine!$C$2:$C$1960,0)))</f>
        <v/>
      </c>
      <c r="L1182" s="9">
        <f>IF(ISNA(MATCH(1169,Engine!$C$2:$C$1960,0)),"",INDEX('Compliance Database'!$L$2:$L$1960,MATCH(1169,Engine!$C$2:$C$1960,0)))</f>
        <v/>
      </c>
      <c r="M1182" s="9">
        <f>IF(ISNA(MATCH(1169,Engine!$C$2:$C$1960,0)),"",INDEX('Compliance Database'!$M$2:$M$1960,MATCH(1169,Engine!$C$2:$C$1960,0)))</f>
        <v/>
      </c>
      <c r="N1182" s="9">
        <f>IF(ISNA(MATCH(1169,Engine!$C$2:$C$1960,0)),"",INDEX('Compliance Database'!$N$2:$N$1960,MATCH(1169,Engine!$C$2:$C$1960,0)))</f>
        <v/>
      </c>
      <c r="O1182" s="9">
        <f>IF(ISNA(MATCH(1169,Engine!$C$2:$C$1960,0)),"",INDEX('Compliance Database'!$O$2:$O$1960,MATCH(1169,Engine!$C$2:$C$1960,0)))</f>
        <v/>
      </c>
      <c r="P1182" s="8">
        <f>IF(ISNA(MATCH(1169,Engine!$C$2:$C$1960,0)),"",HYPERLINK("#Acts!A"&amp;INDEX('Compliance Database'!$P$2:$P$1960,MATCH(1169,Engine!$C$2:$C$1960,0)),"Go to Act"))</f>
        <v/>
      </c>
    </row>
    <row r="1183" ht="158" customHeight="1">
      <c r="A1183" s="8">
        <f>IF(ISNA(MATCH(1170,Engine!$C$2:$C$1960,0)),"",INDEX('Compliance Database'!$A$2:$A$1960,MATCH(1170,Engine!$C$2:$C$1960,0)))</f>
        <v/>
      </c>
      <c r="B1183" s="8">
        <f>IF(ISNA(MATCH(1170,Engine!$C$2:$C$1960,0)),"",INDEX('Compliance Database'!$B$2:$B$1960,MATCH(1170,Engine!$C$2:$C$1960,0)))</f>
        <v/>
      </c>
      <c r="C1183" s="8">
        <f>IF(ISNA(MATCH(1170,Engine!$C$2:$C$1960,0)),"",INDEX('Compliance Database'!$C$2:$C$1960,MATCH(1170,Engine!$C$2:$C$1960,0)))</f>
        <v/>
      </c>
      <c r="D1183" s="9">
        <f>IF(ISNA(MATCH(1170,Engine!$C$2:$C$1960,0)),"",INDEX('Compliance Database'!$D$2:$D$1960,MATCH(1170,Engine!$C$2:$C$1960,0)))</f>
        <v/>
      </c>
      <c r="E1183" s="8">
        <f>IF(ISNA(MATCH(1170,Engine!$C$2:$C$1960,0)),"",INDEX('Compliance Database'!$E$2:$E$1960,MATCH(1170,Engine!$C$2:$C$1960,0)))</f>
        <v/>
      </c>
      <c r="F1183" s="8">
        <f>IF(ISNA(MATCH(1170,Engine!$C$2:$C$1960,0)),"",INDEX('Compliance Database'!$F$2:$F$1960,MATCH(1170,Engine!$C$2:$C$1960,0)))</f>
        <v/>
      </c>
      <c r="G1183" s="8">
        <f>IF(ISNA(MATCH(1170,Engine!$C$2:$C$1960,0)),"",INDEX('Compliance Database'!$G$2:$G$1960,MATCH(1170,Engine!$C$2:$C$1960,0)))</f>
        <v/>
      </c>
      <c r="H1183" s="9">
        <f>IF(ISNA(MATCH(1170,Engine!$C$2:$C$1960,0)),"",INDEX('Compliance Database'!$H$2:$H$1960,MATCH(1170,Engine!$C$2:$C$1960,0)))</f>
        <v/>
      </c>
      <c r="I1183" s="9">
        <f>IF(ISNA(MATCH(1170,Engine!$C$2:$C$1960,0)),"",INDEX('Compliance Database'!$I$2:$I$1960,MATCH(1170,Engine!$C$2:$C$1960,0)))</f>
        <v/>
      </c>
      <c r="J1183" s="8">
        <f>IF(ISNA(MATCH(1170,Engine!$C$2:$C$1960,0)),"",INDEX('Compliance Database'!$J$2:$J$1960,MATCH(1170,Engine!$C$2:$C$1960,0)))</f>
        <v/>
      </c>
      <c r="K1183" s="9">
        <f>IF(ISNA(MATCH(1170,Engine!$C$2:$C$1960,0)),"",INDEX('Compliance Database'!$K$2:$K$1960,MATCH(1170,Engine!$C$2:$C$1960,0)))</f>
        <v/>
      </c>
      <c r="L1183" s="9">
        <f>IF(ISNA(MATCH(1170,Engine!$C$2:$C$1960,0)),"",INDEX('Compliance Database'!$L$2:$L$1960,MATCH(1170,Engine!$C$2:$C$1960,0)))</f>
        <v/>
      </c>
      <c r="M1183" s="9">
        <f>IF(ISNA(MATCH(1170,Engine!$C$2:$C$1960,0)),"",INDEX('Compliance Database'!$M$2:$M$1960,MATCH(1170,Engine!$C$2:$C$1960,0)))</f>
        <v/>
      </c>
      <c r="N1183" s="9">
        <f>IF(ISNA(MATCH(1170,Engine!$C$2:$C$1960,0)),"",INDEX('Compliance Database'!$N$2:$N$1960,MATCH(1170,Engine!$C$2:$C$1960,0)))</f>
        <v/>
      </c>
      <c r="O1183" s="9">
        <f>IF(ISNA(MATCH(1170,Engine!$C$2:$C$1960,0)),"",INDEX('Compliance Database'!$O$2:$O$1960,MATCH(1170,Engine!$C$2:$C$1960,0)))</f>
        <v/>
      </c>
      <c r="P1183" s="8">
        <f>IF(ISNA(MATCH(1170,Engine!$C$2:$C$1960,0)),"",HYPERLINK("#Acts!A"&amp;INDEX('Compliance Database'!$P$2:$P$1960,MATCH(1170,Engine!$C$2:$C$1960,0)),"Go to Act"))</f>
        <v/>
      </c>
    </row>
    <row r="1184" ht="158" customHeight="1">
      <c r="A1184" s="8">
        <f>IF(ISNA(MATCH(1171,Engine!$C$2:$C$1960,0)),"",INDEX('Compliance Database'!$A$2:$A$1960,MATCH(1171,Engine!$C$2:$C$1960,0)))</f>
        <v/>
      </c>
      <c r="B1184" s="8">
        <f>IF(ISNA(MATCH(1171,Engine!$C$2:$C$1960,0)),"",INDEX('Compliance Database'!$B$2:$B$1960,MATCH(1171,Engine!$C$2:$C$1960,0)))</f>
        <v/>
      </c>
      <c r="C1184" s="8">
        <f>IF(ISNA(MATCH(1171,Engine!$C$2:$C$1960,0)),"",INDEX('Compliance Database'!$C$2:$C$1960,MATCH(1171,Engine!$C$2:$C$1960,0)))</f>
        <v/>
      </c>
      <c r="D1184" s="9">
        <f>IF(ISNA(MATCH(1171,Engine!$C$2:$C$1960,0)),"",INDEX('Compliance Database'!$D$2:$D$1960,MATCH(1171,Engine!$C$2:$C$1960,0)))</f>
        <v/>
      </c>
      <c r="E1184" s="8">
        <f>IF(ISNA(MATCH(1171,Engine!$C$2:$C$1960,0)),"",INDEX('Compliance Database'!$E$2:$E$1960,MATCH(1171,Engine!$C$2:$C$1960,0)))</f>
        <v/>
      </c>
      <c r="F1184" s="8">
        <f>IF(ISNA(MATCH(1171,Engine!$C$2:$C$1960,0)),"",INDEX('Compliance Database'!$F$2:$F$1960,MATCH(1171,Engine!$C$2:$C$1960,0)))</f>
        <v/>
      </c>
      <c r="G1184" s="8">
        <f>IF(ISNA(MATCH(1171,Engine!$C$2:$C$1960,0)),"",INDEX('Compliance Database'!$G$2:$G$1960,MATCH(1171,Engine!$C$2:$C$1960,0)))</f>
        <v/>
      </c>
      <c r="H1184" s="9">
        <f>IF(ISNA(MATCH(1171,Engine!$C$2:$C$1960,0)),"",INDEX('Compliance Database'!$H$2:$H$1960,MATCH(1171,Engine!$C$2:$C$1960,0)))</f>
        <v/>
      </c>
      <c r="I1184" s="9">
        <f>IF(ISNA(MATCH(1171,Engine!$C$2:$C$1960,0)),"",INDEX('Compliance Database'!$I$2:$I$1960,MATCH(1171,Engine!$C$2:$C$1960,0)))</f>
        <v/>
      </c>
      <c r="J1184" s="8">
        <f>IF(ISNA(MATCH(1171,Engine!$C$2:$C$1960,0)),"",INDEX('Compliance Database'!$J$2:$J$1960,MATCH(1171,Engine!$C$2:$C$1960,0)))</f>
        <v/>
      </c>
      <c r="K1184" s="9">
        <f>IF(ISNA(MATCH(1171,Engine!$C$2:$C$1960,0)),"",INDEX('Compliance Database'!$K$2:$K$1960,MATCH(1171,Engine!$C$2:$C$1960,0)))</f>
        <v/>
      </c>
      <c r="L1184" s="9">
        <f>IF(ISNA(MATCH(1171,Engine!$C$2:$C$1960,0)),"",INDEX('Compliance Database'!$L$2:$L$1960,MATCH(1171,Engine!$C$2:$C$1960,0)))</f>
        <v/>
      </c>
      <c r="M1184" s="9">
        <f>IF(ISNA(MATCH(1171,Engine!$C$2:$C$1960,0)),"",INDEX('Compliance Database'!$M$2:$M$1960,MATCH(1171,Engine!$C$2:$C$1960,0)))</f>
        <v/>
      </c>
      <c r="N1184" s="9">
        <f>IF(ISNA(MATCH(1171,Engine!$C$2:$C$1960,0)),"",INDEX('Compliance Database'!$N$2:$N$1960,MATCH(1171,Engine!$C$2:$C$1960,0)))</f>
        <v/>
      </c>
      <c r="O1184" s="9">
        <f>IF(ISNA(MATCH(1171,Engine!$C$2:$C$1960,0)),"",INDEX('Compliance Database'!$O$2:$O$1960,MATCH(1171,Engine!$C$2:$C$1960,0)))</f>
        <v/>
      </c>
      <c r="P1184" s="8">
        <f>IF(ISNA(MATCH(1171,Engine!$C$2:$C$1960,0)),"",HYPERLINK("#Acts!A"&amp;INDEX('Compliance Database'!$P$2:$P$1960,MATCH(1171,Engine!$C$2:$C$1960,0)),"Go to Act"))</f>
        <v/>
      </c>
    </row>
    <row r="1185" ht="158" customHeight="1">
      <c r="A1185" s="8">
        <f>IF(ISNA(MATCH(1172,Engine!$C$2:$C$1960,0)),"",INDEX('Compliance Database'!$A$2:$A$1960,MATCH(1172,Engine!$C$2:$C$1960,0)))</f>
        <v/>
      </c>
      <c r="B1185" s="8">
        <f>IF(ISNA(MATCH(1172,Engine!$C$2:$C$1960,0)),"",INDEX('Compliance Database'!$B$2:$B$1960,MATCH(1172,Engine!$C$2:$C$1960,0)))</f>
        <v/>
      </c>
      <c r="C1185" s="8">
        <f>IF(ISNA(MATCH(1172,Engine!$C$2:$C$1960,0)),"",INDEX('Compliance Database'!$C$2:$C$1960,MATCH(1172,Engine!$C$2:$C$1960,0)))</f>
        <v/>
      </c>
      <c r="D1185" s="9">
        <f>IF(ISNA(MATCH(1172,Engine!$C$2:$C$1960,0)),"",INDEX('Compliance Database'!$D$2:$D$1960,MATCH(1172,Engine!$C$2:$C$1960,0)))</f>
        <v/>
      </c>
      <c r="E1185" s="8">
        <f>IF(ISNA(MATCH(1172,Engine!$C$2:$C$1960,0)),"",INDEX('Compliance Database'!$E$2:$E$1960,MATCH(1172,Engine!$C$2:$C$1960,0)))</f>
        <v/>
      </c>
      <c r="F1185" s="8">
        <f>IF(ISNA(MATCH(1172,Engine!$C$2:$C$1960,0)),"",INDEX('Compliance Database'!$F$2:$F$1960,MATCH(1172,Engine!$C$2:$C$1960,0)))</f>
        <v/>
      </c>
      <c r="G1185" s="8">
        <f>IF(ISNA(MATCH(1172,Engine!$C$2:$C$1960,0)),"",INDEX('Compliance Database'!$G$2:$G$1960,MATCH(1172,Engine!$C$2:$C$1960,0)))</f>
        <v/>
      </c>
      <c r="H1185" s="9">
        <f>IF(ISNA(MATCH(1172,Engine!$C$2:$C$1960,0)),"",INDEX('Compliance Database'!$H$2:$H$1960,MATCH(1172,Engine!$C$2:$C$1960,0)))</f>
        <v/>
      </c>
      <c r="I1185" s="9">
        <f>IF(ISNA(MATCH(1172,Engine!$C$2:$C$1960,0)),"",INDEX('Compliance Database'!$I$2:$I$1960,MATCH(1172,Engine!$C$2:$C$1960,0)))</f>
        <v/>
      </c>
      <c r="J1185" s="8">
        <f>IF(ISNA(MATCH(1172,Engine!$C$2:$C$1960,0)),"",INDEX('Compliance Database'!$J$2:$J$1960,MATCH(1172,Engine!$C$2:$C$1960,0)))</f>
        <v/>
      </c>
      <c r="K1185" s="9">
        <f>IF(ISNA(MATCH(1172,Engine!$C$2:$C$1960,0)),"",INDEX('Compliance Database'!$K$2:$K$1960,MATCH(1172,Engine!$C$2:$C$1960,0)))</f>
        <v/>
      </c>
      <c r="L1185" s="9">
        <f>IF(ISNA(MATCH(1172,Engine!$C$2:$C$1960,0)),"",INDEX('Compliance Database'!$L$2:$L$1960,MATCH(1172,Engine!$C$2:$C$1960,0)))</f>
        <v/>
      </c>
      <c r="M1185" s="9">
        <f>IF(ISNA(MATCH(1172,Engine!$C$2:$C$1960,0)),"",INDEX('Compliance Database'!$M$2:$M$1960,MATCH(1172,Engine!$C$2:$C$1960,0)))</f>
        <v/>
      </c>
      <c r="N1185" s="9">
        <f>IF(ISNA(MATCH(1172,Engine!$C$2:$C$1960,0)),"",INDEX('Compliance Database'!$N$2:$N$1960,MATCH(1172,Engine!$C$2:$C$1960,0)))</f>
        <v/>
      </c>
      <c r="O1185" s="9">
        <f>IF(ISNA(MATCH(1172,Engine!$C$2:$C$1960,0)),"",INDEX('Compliance Database'!$O$2:$O$1960,MATCH(1172,Engine!$C$2:$C$1960,0)))</f>
        <v/>
      </c>
      <c r="P1185" s="8">
        <f>IF(ISNA(MATCH(1172,Engine!$C$2:$C$1960,0)),"",HYPERLINK("#Acts!A"&amp;INDEX('Compliance Database'!$P$2:$P$1960,MATCH(1172,Engine!$C$2:$C$1960,0)),"Go to Act"))</f>
        <v/>
      </c>
    </row>
    <row r="1186" ht="158" customHeight="1">
      <c r="A1186" s="8">
        <f>IF(ISNA(MATCH(1173,Engine!$C$2:$C$1960,0)),"",INDEX('Compliance Database'!$A$2:$A$1960,MATCH(1173,Engine!$C$2:$C$1960,0)))</f>
        <v/>
      </c>
      <c r="B1186" s="8">
        <f>IF(ISNA(MATCH(1173,Engine!$C$2:$C$1960,0)),"",INDEX('Compliance Database'!$B$2:$B$1960,MATCH(1173,Engine!$C$2:$C$1960,0)))</f>
        <v/>
      </c>
      <c r="C1186" s="8">
        <f>IF(ISNA(MATCH(1173,Engine!$C$2:$C$1960,0)),"",INDEX('Compliance Database'!$C$2:$C$1960,MATCH(1173,Engine!$C$2:$C$1960,0)))</f>
        <v/>
      </c>
      <c r="D1186" s="9">
        <f>IF(ISNA(MATCH(1173,Engine!$C$2:$C$1960,0)),"",INDEX('Compliance Database'!$D$2:$D$1960,MATCH(1173,Engine!$C$2:$C$1960,0)))</f>
        <v/>
      </c>
      <c r="E1186" s="8">
        <f>IF(ISNA(MATCH(1173,Engine!$C$2:$C$1960,0)),"",INDEX('Compliance Database'!$E$2:$E$1960,MATCH(1173,Engine!$C$2:$C$1960,0)))</f>
        <v/>
      </c>
      <c r="F1186" s="8">
        <f>IF(ISNA(MATCH(1173,Engine!$C$2:$C$1960,0)),"",INDEX('Compliance Database'!$F$2:$F$1960,MATCH(1173,Engine!$C$2:$C$1960,0)))</f>
        <v/>
      </c>
      <c r="G1186" s="8">
        <f>IF(ISNA(MATCH(1173,Engine!$C$2:$C$1960,0)),"",INDEX('Compliance Database'!$G$2:$G$1960,MATCH(1173,Engine!$C$2:$C$1960,0)))</f>
        <v/>
      </c>
      <c r="H1186" s="9">
        <f>IF(ISNA(MATCH(1173,Engine!$C$2:$C$1960,0)),"",INDEX('Compliance Database'!$H$2:$H$1960,MATCH(1173,Engine!$C$2:$C$1960,0)))</f>
        <v/>
      </c>
      <c r="I1186" s="9">
        <f>IF(ISNA(MATCH(1173,Engine!$C$2:$C$1960,0)),"",INDEX('Compliance Database'!$I$2:$I$1960,MATCH(1173,Engine!$C$2:$C$1960,0)))</f>
        <v/>
      </c>
      <c r="J1186" s="8">
        <f>IF(ISNA(MATCH(1173,Engine!$C$2:$C$1960,0)),"",INDEX('Compliance Database'!$J$2:$J$1960,MATCH(1173,Engine!$C$2:$C$1960,0)))</f>
        <v/>
      </c>
      <c r="K1186" s="9">
        <f>IF(ISNA(MATCH(1173,Engine!$C$2:$C$1960,0)),"",INDEX('Compliance Database'!$K$2:$K$1960,MATCH(1173,Engine!$C$2:$C$1960,0)))</f>
        <v/>
      </c>
      <c r="L1186" s="9">
        <f>IF(ISNA(MATCH(1173,Engine!$C$2:$C$1960,0)),"",INDEX('Compliance Database'!$L$2:$L$1960,MATCH(1173,Engine!$C$2:$C$1960,0)))</f>
        <v/>
      </c>
      <c r="M1186" s="9">
        <f>IF(ISNA(MATCH(1173,Engine!$C$2:$C$1960,0)),"",INDEX('Compliance Database'!$M$2:$M$1960,MATCH(1173,Engine!$C$2:$C$1960,0)))</f>
        <v/>
      </c>
      <c r="N1186" s="9">
        <f>IF(ISNA(MATCH(1173,Engine!$C$2:$C$1960,0)),"",INDEX('Compliance Database'!$N$2:$N$1960,MATCH(1173,Engine!$C$2:$C$1960,0)))</f>
        <v/>
      </c>
      <c r="O1186" s="9">
        <f>IF(ISNA(MATCH(1173,Engine!$C$2:$C$1960,0)),"",INDEX('Compliance Database'!$O$2:$O$1960,MATCH(1173,Engine!$C$2:$C$1960,0)))</f>
        <v/>
      </c>
      <c r="P1186" s="8">
        <f>IF(ISNA(MATCH(1173,Engine!$C$2:$C$1960,0)),"",HYPERLINK("#Acts!A"&amp;INDEX('Compliance Database'!$P$2:$P$1960,MATCH(1173,Engine!$C$2:$C$1960,0)),"Go to Act"))</f>
        <v/>
      </c>
    </row>
    <row r="1187" ht="158" customHeight="1">
      <c r="A1187" s="8">
        <f>IF(ISNA(MATCH(1174,Engine!$C$2:$C$1960,0)),"",INDEX('Compliance Database'!$A$2:$A$1960,MATCH(1174,Engine!$C$2:$C$1960,0)))</f>
        <v/>
      </c>
      <c r="B1187" s="8">
        <f>IF(ISNA(MATCH(1174,Engine!$C$2:$C$1960,0)),"",INDEX('Compliance Database'!$B$2:$B$1960,MATCH(1174,Engine!$C$2:$C$1960,0)))</f>
        <v/>
      </c>
      <c r="C1187" s="8">
        <f>IF(ISNA(MATCH(1174,Engine!$C$2:$C$1960,0)),"",INDEX('Compliance Database'!$C$2:$C$1960,MATCH(1174,Engine!$C$2:$C$1960,0)))</f>
        <v/>
      </c>
      <c r="D1187" s="9">
        <f>IF(ISNA(MATCH(1174,Engine!$C$2:$C$1960,0)),"",INDEX('Compliance Database'!$D$2:$D$1960,MATCH(1174,Engine!$C$2:$C$1960,0)))</f>
        <v/>
      </c>
      <c r="E1187" s="8">
        <f>IF(ISNA(MATCH(1174,Engine!$C$2:$C$1960,0)),"",INDEX('Compliance Database'!$E$2:$E$1960,MATCH(1174,Engine!$C$2:$C$1960,0)))</f>
        <v/>
      </c>
      <c r="F1187" s="8">
        <f>IF(ISNA(MATCH(1174,Engine!$C$2:$C$1960,0)),"",INDEX('Compliance Database'!$F$2:$F$1960,MATCH(1174,Engine!$C$2:$C$1960,0)))</f>
        <v/>
      </c>
      <c r="G1187" s="8">
        <f>IF(ISNA(MATCH(1174,Engine!$C$2:$C$1960,0)),"",INDEX('Compliance Database'!$G$2:$G$1960,MATCH(1174,Engine!$C$2:$C$1960,0)))</f>
        <v/>
      </c>
      <c r="H1187" s="9">
        <f>IF(ISNA(MATCH(1174,Engine!$C$2:$C$1960,0)),"",INDEX('Compliance Database'!$H$2:$H$1960,MATCH(1174,Engine!$C$2:$C$1960,0)))</f>
        <v/>
      </c>
      <c r="I1187" s="9">
        <f>IF(ISNA(MATCH(1174,Engine!$C$2:$C$1960,0)),"",INDEX('Compliance Database'!$I$2:$I$1960,MATCH(1174,Engine!$C$2:$C$1960,0)))</f>
        <v/>
      </c>
      <c r="J1187" s="8">
        <f>IF(ISNA(MATCH(1174,Engine!$C$2:$C$1960,0)),"",INDEX('Compliance Database'!$J$2:$J$1960,MATCH(1174,Engine!$C$2:$C$1960,0)))</f>
        <v/>
      </c>
      <c r="K1187" s="9">
        <f>IF(ISNA(MATCH(1174,Engine!$C$2:$C$1960,0)),"",INDEX('Compliance Database'!$K$2:$K$1960,MATCH(1174,Engine!$C$2:$C$1960,0)))</f>
        <v/>
      </c>
      <c r="L1187" s="9">
        <f>IF(ISNA(MATCH(1174,Engine!$C$2:$C$1960,0)),"",INDEX('Compliance Database'!$L$2:$L$1960,MATCH(1174,Engine!$C$2:$C$1960,0)))</f>
        <v/>
      </c>
      <c r="M1187" s="9">
        <f>IF(ISNA(MATCH(1174,Engine!$C$2:$C$1960,0)),"",INDEX('Compliance Database'!$M$2:$M$1960,MATCH(1174,Engine!$C$2:$C$1960,0)))</f>
        <v/>
      </c>
      <c r="N1187" s="9">
        <f>IF(ISNA(MATCH(1174,Engine!$C$2:$C$1960,0)),"",INDEX('Compliance Database'!$N$2:$N$1960,MATCH(1174,Engine!$C$2:$C$1960,0)))</f>
        <v/>
      </c>
      <c r="O1187" s="9">
        <f>IF(ISNA(MATCH(1174,Engine!$C$2:$C$1960,0)),"",INDEX('Compliance Database'!$O$2:$O$1960,MATCH(1174,Engine!$C$2:$C$1960,0)))</f>
        <v/>
      </c>
      <c r="P1187" s="8">
        <f>IF(ISNA(MATCH(1174,Engine!$C$2:$C$1960,0)),"",HYPERLINK("#Acts!A"&amp;INDEX('Compliance Database'!$P$2:$P$1960,MATCH(1174,Engine!$C$2:$C$1960,0)),"Go to Act"))</f>
        <v/>
      </c>
    </row>
    <row r="1188" ht="158" customHeight="1">
      <c r="A1188" s="8">
        <f>IF(ISNA(MATCH(1175,Engine!$C$2:$C$1960,0)),"",INDEX('Compliance Database'!$A$2:$A$1960,MATCH(1175,Engine!$C$2:$C$1960,0)))</f>
        <v/>
      </c>
      <c r="B1188" s="8">
        <f>IF(ISNA(MATCH(1175,Engine!$C$2:$C$1960,0)),"",INDEX('Compliance Database'!$B$2:$B$1960,MATCH(1175,Engine!$C$2:$C$1960,0)))</f>
        <v/>
      </c>
      <c r="C1188" s="8">
        <f>IF(ISNA(MATCH(1175,Engine!$C$2:$C$1960,0)),"",INDEX('Compliance Database'!$C$2:$C$1960,MATCH(1175,Engine!$C$2:$C$1960,0)))</f>
        <v/>
      </c>
      <c r="D1188" s="9">
        <f>IF(ISNA(MATCH(1175,Engine!$C$2:$C$1960,0)),"",INDEX('Compliance Database'!$D$2:$D$1960,MATCH(1175,Engine!$C$2:$C$1960,0)))</f>
        <v/>
      </c>
      <c r="E1188" s="8">
        <f>IF(ISNA(MATCH(1175,Engine!$C$2:$C$1960,0)),"",INDEX('Compliance Database'!$E$2:$E$1960,MATCH(1175,Engine!$C$2:$C$1960,0)))</f>
        <v/>
      </c>
      <c r="F1188" s="8">
        <f>IF(ISNA(MATCH(1175,Engine!$C$2:$C$1960,0)),"",INDEX('Compliance Database'!$F$2:$F$1960,MATCH(1175,Engine!$C$2:$C$1960,0)))</f>
        <v/>
      </c>
      <c r="G1188" s="8">
        <f>IF(ISNA(MATCH(1175,Engine!$C$2:$C$1960,0)),"",INDEX('Compliance Database'!$G$2:$G$1960,MATCH(1175,Engine!$C$2:$C$1960,0)))</f>
        <v/>
      </c>
      <c r="H1188" s="9">
        <f>IF(ISNA(MATCH(1175,Engine!$C$2:$C$1960,0)),"",INDEX('Compliance Database'!$H$2:$H$1960,MATCH(1175,Engine!$C$2:$C$1960,0)))</f>
        <v/>
      </c>
      <c r="I1188" s="9">
        <f>IF(ISNA(MATCH(1175,Engine!$C$2:$C$1960,0)),"",INDEX('Compliance Database'!$I$2:$I$1960,MATCH(1175,Engine!$C$2:$C$1960,0)))</f>
        <v/>
      </c>
      <c r="J1188" s="8">
        <f>IF(ISNA(MATCH(1175,Engine!$C$2:$C$1960,0)),"",INDEX('Compliance Database'!$J$2:$J$1960,MATCH(1175,Engine!$C$2:$C$1960,0)))</f>
        <v/>
      </c>
      <c r="K1188" s="9">
        <f>IF(ISNA(MATCH(1175,Engine!$C$2:$C$1960,0)),"",INDEX('Compliance Database'!$K$2:$K$1960,MATCH(1175,Engine!$C$2:$C$1960,0)))</f>
        <v/>
      </c>
      <c r="L1188" s="9">
        <f>IF(ISNA(MATCH(1175,Engine!$C$2:$C$1960,0)),"",INDEX('Compliance Database'!$L$2:$L$1960,MATCH(1175,Engine!$C$2:$C$1960,0)))</f>
        <v/>
      </c>
      <c r="M1188" s="9">
        <f>IF(ISNA(MATCH(1175,Engine!$C$2:$C$1960,0)),"",INDEX('Compliance Database'!$M$2:$M$1960,MATCH(1175,Engine!$C$2:$C$1960,0)))</f>
        <v/>
      </c>
      <c r="N1188" s="9">
        <f>IF(ISNA(MATCH(1175,Engine!$C$2:$C$1960,0)),"",INDEX('Compliance Database'!$N$2:$N$1960,MATCH(1175,Engine!$C$2:$C$1960,0)))</f>
        <v/>
      </c>
      <c r="O1188" s="9">
        <f>IF(ISNA(MATCH(1175,Engine!$C$2:$C$1960,0)),"",INDEX('Compliance Database'!$O$2:$O$1960,MATCH(1175,Engine!$C$2:$C$1960,0)))</f>
        <v/>
      </c>
      <c r="P1188" s="8">
        <f>IF(ISNA(MATCH(1175,Engine!$C$2:$C$1960,0)),"",HYPERLINK("#Acts!A"&amp;INDEX('Compliance Database'!$P$2:$P$1960,MATCH(1175,Engine!$C$2:$C$1960,0)),"Go to Act"))</f>
        <v/>
      </c>
    </row>
    <row r="1189" ht="158" customHeight="1">
      <c r="A1189" s="8">
        <f>IF(ISNA(MATCH(1176,Engine!$C$2:$C$1960,0)),"",INDEX('Compliance Database'!$A$2:$A$1960,MATCH(1176,Engine!$C$2:$C$1960,0)))</f>
        <v/>
      </c>
      <c r="B1189" s="8">
        <f>IF(ISNA(MATCH(1176,Engine!$C$2:$C$1960,0)),"",INDEX('Compliance Database'!$B$2:$B$1960,MATCH(1176,Engine!$C$2:$C$1960,0)))</f>
        <v/>
      </c>
      <c r="C1189" s="8">
        <f>IF(ISNA(MATCH(1176,Engine!$C$2:$C$1960,0)),"",INDEX('Compliance Database'!$C$2:$C$1960,MATCH(1176,Engine!$C$2:$C$1960,0)))</f>
        <v/>
      </c>
      <c r="D1189" s="9">
        <f>IF(ISNA(MATCH(1176,Engine!$C$2:$C$1960,0)),"",INDEX('Compliance Database'!$D$2:$D$1960,MATCH(1176,Engine!$C$2:$C$1960,0)))</f>
        <v/>
      </c>
      <c r="E1189" s="8">
        <f>IF(ISNA(MATCH(1176,Engine!$C$2:$C$1960,0)),"",INDEX('Compliance Database'!$E$2:$E$1960,MATCH(1176,Engine!$C$2:$C$1960,0)))</f>
        <v/>
      </c>
      <c r="F1189" s="8">
        <f>IF(ISNA(MATCH(1176,Engine!$C$2:$C$1960,0)),"",INDEX('Compliance Database'!$F$2:$F$1960,MATCH(1176,Engine!$C$2:$C$1960,0)))</f>
        <v/>
      </c>
      <c r="G1189" s="8">
        <f>IF(ISNA(MATCH(1176,Engine!$C$2:$C$1960,0)),"",INDEX('Compliance Database'!$G$2:$G$1960,MATCH(1176,Engine!$C$2:$C$1960,0)))</f>
        <v/>
      </c>
      <c r="H1189" s="9">
        <f>IF(ISNA(MATCH(1176,Engine!$C$2:$C$1960,0)),"",INDEX('Compliance Database'!$H$2:$H$1960,MATCH(1176,Engine!$C$2:$C$1960,0)))</f>
        <v/>
      </c>
      <c r="I1189" s="9">
        <f>IF(ISNA(MATCH(1176,Engine!$C$2:$C$1960,0)),"",INDEX('Compliance Database'!$I$2:$I$1960,MATCH(1176,Engine!$C$2:$C$1960,0)))</f>
        <v/>
      </c>
      <c r="J1189" s="8">
        <f>IF(ISNA(MATCH(1176,Engine!$C$2:$C$1960,0)),"",INDEX('Compliance Database'!$J$2:$J$1960,MATCH(1176,Engine!$C$2:$C$1960,0)))</f>
        <v/>
      </c>
      <c r="K1189" s="9">
        <f>IF(ISNA(MATCH(1176,Engine!$C$2:$C$1960,0)),"",INDEX('Compliance Database'!$K$2:$K$1960,MATCH(1176,Engine!$C$2:$C$1960,0)))</f>
        <v/>
      </c>
      <c r="L1189" s="9">
        <f>IF(ISNA(MATCH(1176,Engine!$C$2:$C$1960,0)),"",INDEX('Compliance Database'!$L$2:$L$1960,MATCH(1176,Engine!$C$2:$C$1960,0)))</f>
        <v/>
      </c>
      <c r="M1189" s="9">
        <f>IF(ISNA(MATCH(1176,Engine!$C$2:$C$1960,0)),"",INDEX('Compliance Database'!$M$2:$M$1960,MATCH(1176,Engine!$C$2:$C$1960,0)))</f>
        <v/>
      </c>
      <c r="N1189" s="9">
        <f>IF(ISNA(MATCH(1176,Engine!$C$2:$C$1960,0)),"",INDEX('Compliance Database'!$N$2:$N$1960,MATCH(1176,Engine!$C$2:$C$1960,0)))</f>
        <v/>
      </c>
      <c r="O1189" s="9">
        <f>IF(ISNA(MATCH(1176,Engine!$C$2:$C$1960,0)),"",INDEX('Compliance Database'!$O$2:$O$1960,MATCH(1176,Engine!$C$2:$C$1960,0)))</f>
        <v/>
      </c>
      <c r="P1189" s="8">
        <f>IF(ISNA(MATCH(1176,Engine!$C$2:$C$1960,0)),"",HYPERLINK("#Acts!A"&amp;INDEX('Compliance Database'!$P$2:$P$1960,MATCH(1176,Engine!$C$2:$C$1960,0)),"Go to Act"))</f>
        <v/>
      </c>
    </row>
    <row r="1190" ht="158" customHeight="1">
      <c r="A1190" s="8">
        <f>IF(ISNA(MATCH(1177,Engine!$C$2:$C$1960,0)),"",INDEX('Compliance Database'!$A$2:$A$1960,MATCH(1177,Engine!$C$2:$C$1960,0)))</f>
        <v/>
      </c>
      <c r="B1190" s="8">
        <f>IF(ISNA(MATCH(1177,Engine!$C$2:$C$1960,0)),"",INDEX('Compliance Database'!$B$2:$B$1960,MATCH(1177,Engine!$C$2:$C$1960,0)))</f>
        <v/>
      </c>
      <c r="C1190" s="8">
        <f>IF(ISNA(MATCH(1177,Engine!$C$2:$C$1960,0)),"",INDEX('Compliance Database'!$C$2:$C$1960,MATCH(1177,Engine!$C$2:$C$1960,0)))</f>
        <v/>
      </c>
      <c r="D1190" s="9">
        <f>IF(ISNA(MATCH(1177,Engine!$C$2:$C$1960,0)),"",INDEX('Compliance Database'!$D$2:$D$1960,MATCH(1177,Engine!$C$2:$C$1960,0)))</f>
        <v/>
      </c>
      <c r="E1190" s="8">
        <f>IF(ISNA(MATCH(1177,Engine!$C$2:$C$1960,0)),"",INDEX('Compliance Database'!$E$2:$E$1960,MATCH(1177,Engine!$C$2:$C$1960,0)))</f>
        <v/>
      </c>
      <c r="F1190" s="8">
        <f>IF(ISNA(MATCH(1177,Engine!$C$2:$C$1960,0)),"",INDEX('Compliance Database'!$F$2:$F$1960,MATCH(1177,Engine!$C$2:$C$1960,0)))</f>
        <v/>
      </c>
      <c r="G1190" s="8">
        <f>IF(ISNA(MATCH(1177,Engine!$C$2:$C$1960,0)),"",INDEX('Compliance Database'!$G$2:$G$1960,MATCH(1177,Engine!$C$2:$C$1960,0)))</f>
        <v/>
      </c>
      <c r="H1190" s="9">
        <f>IF(ISNA(MATCH(1177,Engine!$C$2:$C$1960,0)),"",INDEX('Compliance Database'!$H$2:$H$1960,MATCH(1177,Engine!$C$2:$C$1960,0)))</f>
        <v/>
      </c>
      <c r="I1190" s="9">
        <f>IF(ISNA(MATCH(1177,Engine!$C$2:$C$1960,0)),"",INDEX('Compliance Database'!$I$2:$I$1960,MATCH(1177,Engine!$C$2:$C$1960,0)))</f>
        <v/>
      </c>
      <c r="J1190" s="8">
        <f>IF(ISNA(MATCH(1177,Engine!$C$2:$C$1960,0)),"",INDEX('Compliance Database'!$J$2:$J$1960,MATCH(1177,Engine!$C$2:$C$1960,0)))</f>
        <v/>
      </c>
      <c r="K1190" s="9">
        <f>IF(ISNA(MATCH(1177,Engine!$C$2:$C$1960,0)),"",INDEX('Compliance Database'!$K$2:$K$1960,MATCH(1177,Engine!$C$2:$C$1960,0)))</f>
        <v/>
      </c>
      <c r="L1190" s="9">
        <f>IF(ISNA(MATCH(1177,Engine!$C$2:$C$1960,0)),"",INDEX('Compliance Database'!$L$2:$L$1960,MATCH(1177,Engine!$C$2:$C$1960,0)))</f>
        <v/>
      </c>
      <c r="M1190" s="9">
        <f>IF(ISNA(MATCH(1177,Engine!$C$2:$C$1960,0)),"",INDEX('Compliance Database'!$M$2:$M$1960,MATCH(1177,Engine!$C$2:$C$1960,0)))</f>
        <v/>
      </c>
      <c r="N1190" s="9">
        <f>IF(ISNA(MATCH(1177,Engine!$C$2:$C$1960,0)),"",INDEX('Compliance Database'!$N$2:$N$1960,MATCH(1177,Engine!$C$2:$C$1960,0)))</f>
        <v/>
      </c>
      <c r="O1190" s="9">
        <f>IF(ISNA(MATCH(1177,Engine!$C$2:$C$1960,0)),"",INDEX('Compliance Database'!$O$2:$O$1960,MATCH(1177,Engine!$C$2:$C$1960,0)))</f>
        <v/>
      </c>
      <c r="P1190" s="8">
        <f>IF(ISNA(MATCH(1177,Engine!$C$2:$C$1960,0)),"",HYPERLINK("#Acts!A"&amp;INDEX('Compliance Database'!$P$2:$P$1960,MATCH(1177,Engine!$C$2:$C$1960,0)),"Go to Act"))</f>
        <v/>
      </c>
    </row>
    <row r="1191" ht="158" customHeight="1">
      <c r="A1191" s="8">
        <f>IF(ISNA(MATCH(1178,Engine!$C$2:$C$1960,0)),"",INDEX('Compliance Database'!$A$2:$A$1960,MATCH(1178,Engine!$C$2:$C$1960,0)))</f>
        <v/>
      </c>
      <c r="B1191" s="8">
        <f>IF(ISNA(MATCH(1178,Engine!$C$2:$C$1960,0)),"",INDEX('Compliance Database'!$B$2:$B$1960,MATCH(1178,Engine!$C$2:$C$1960,0)))</f>
        <v/>
      </c>
      <c r="C1191" s="8">
        <f>IF(ISNA(MATCH(1178,Engine!$C$2:$C$1960,0)),"",INDEX('Compliance Database'!$C$2:$C$1960,MATCH(1178,Engine!$C$2:$C$1960,0)))</f>
        <v/>
      </c>
      <c r="D1191" s="9">
        <f>IF(ISNA(MATCH(1178,Engine!$C$2:$C$1960,0)),"",INDEX('Compliance Database'!$D$2:$D$1960,MATCH(1178,Engine!$C$2:$C$1960,0)))</f>
        <v/>
      </c>
      <c r="E1191" s="8">
        <f>IF(ISNA(MATCH(1178,Engine!$C$2:$C$1960,0)),"",INDEX('Compliance Database'!$E$2:$E$1960,MATCH(1178,Engine!$C$2:$C$1960,0)))</f>
        <v/>
      </c>
      <c r="F1191" s="8">
        <f>IF(ISNA(MATCH(1178,Engine!$C$2:$C$1960,0)),"",INDEX('Compliance Database'!$F$2:$F$1960,MATCH(1178,Engine!$C$2:$C$1960,0)))</f>
        <v/>
      </c>
      <c r="G1191" s="8">
        <f>IF(ISNA(MATCH(1178,Engine!$C$2:$C$1960,0)),"",INDEX('Compliance Database'!$G$2:$G$1960,MATCH(1178,Engine!$C$2:$C$1960,0)))</f>
        <v/>
      </c>
      <c r="H1191" s="9">
        <f>IF(ISNA(MATCH(1178,Engine!$C$2:$C$1960,0)),"",INDEX('Compliance Database'!$H$2:$H$1960,MATCH(1178,Engine!$C$2:$C$1960,0)))</f>
        <v/>
      </c>
      <c r="I1191" s="9">
        <f>IF(ISNA(MATCH(1178,Engine!$C$2:$C$1960,0)),"",INDEX('Compliance Database'!$I$2:$I$1960,MATCH(1178,Engine!$C$2:$C$1960,0)))</f>
        <v/>
      </c>
      <c r="J1191" s="8">
        <f>IF(ISNA(MATCH(1178,Engine!$C$2:$C$1960,0)),"",INDEX('Compliance Database'!$J$2:$J$1960,MATCH(1178,Engine!$C$2:$C$1960,0)))</f>
        <v/>
      </c>
      <c r="K1191" s="9">
        <f>IF(ISNA(MATCH(1178,Engine!$C$2:$C$1960,0)),"",INDEX('Compliance Database'!$K$2:$K$1960,MATCH(1178,Engine!$C$2:$C$1960,0)))</f>
        <v/>
      </c>
      <c r="L1191" s="9">
        <f>IF(ISNA(MATCH(1178,Engine!$C$2:$C$1960,0)),"",INDEX('Compliance Database'!$L$2:$L$1960,MATCH(1178,Engine!$C$2:$C$1960,0)))</f>
        <v/>
      </c>
      <c r="M1191" s="9">
        <f>IF(ISNA(MATCH(1178,Engine!$C$2:$C$1960,0)),"",INDEX('Compliance Database'!$M$2:$M$1960,MATCH(1178,Engine!$C$2:$C$1960,0)))</f>
        <v/>
      </c>
      <c r="N1191" s="9">
        <f>IF(ISNA(MATCH(1178,Engine!$C$2:$C$1960,0)),"",INDEX('Compliance Database'!$N$2:$N$1960,MATCH(1178,Engine!$C$2:$C$1960,0)))</f>
        <v/>
      </c>
      <c r="O1191" s="9">
        <f>IF(ISNA(MATCH(1178,Engine!$C$2:$C$1960,0)),"",INDEX('Compliance Database'!$O$2:$O$1960,MATCH(1178,Engine!$C$2:$C$1960,0)))</f>
        <v/>
      </c>
      <c r="P1191" s="8">
        <f>IF(ISNA(MATCH(1178,Engine!$C$2:$C$1960,0)),"",HYPERLINK("#Acts!A"&amp;INDEX('Compliance Database'!$P$2:$P$1960,MATCH(1178,Engine!$C$2:$C$1960,0)),"Go to Act"))</f>
        <v/>
      </c>
    </row>
    <row r="1192" ht="158" customHeight="1">
      <c r="A1192" s="8">
        <f>IF(ISNA(MATCH(1179,Engine!$C$2:$C$1960,0)),"",INDEX('Compliance Database'!$A$2:$A$1960,MATCH(1179,Engine!$C$2:$C$1960,0)))</f>
        <v/>
      </c>
      <c r="B1192" s="8">
        <f>IF(ISNA(MATCH(1179,Engine!$C$2:$C$1960,0)),"",INDEX('Compliance Database'!$B$2:$B$1960,MATCH(1179,Engine!$C$2:$C$1960,0)))</f>
        <v/>
      </c>
      <c r="C1192" s="8">
        <f>IF(ISNA(MATCH(1179,Engine!$C$2:$C$1960,0)),"",INDEX('Compliance Database'!$C$2:$C$1960,MATCH(1179,Engine!$C$2:$C$1960,0)))</f>
        <v/>
      </c>
      <c r="D1192" s="9">
        <f>IF(ISNA(MATCH(1179,Engine!$C$2:$C$1960,0)),"",INDEX('Compliance Database'!$D$2:$D$1960,MATCH(1179,Engine!$C$2:$C$1960,0)))</f>
        <v/>
      </c>
      <c r="E1192" s="8">
        <f>IF(ISNA(MATCH(1179,Engine!$C$2:$C$1960,0)),"",INDEX('Compliance Database'!$E$2:$E$1960,MATCH(1179,Engine!$C$2:$C$1960,0)))</f>
        <v/>
      </c>
      <c r="F1192" s="8">
        <f>IF(ISNA(MATCH(1179,Engine!$C$2:$C$1960,0)),"",INDEX('Compliance Database'!$F$2:$F$1960,MATCH(1179,Engine!$C$2:$C$1960,0)))</f>
        <v/>
      </c>
      <c r="G1192" s="8">
        <f>IF(ISNA(MATCH(1179,Engine!$C$2:$C$1960,0)),"",INDEX('Compliance Database'!$G$2:$G$1960,MATCH(1179,Engine!$C$2:$C$1960,0)))</f>
        <v/>
      </c>
      <c r="H1192" s="9">
        <f>IF(ISNA(MATCH(1179,Engine!$C$2:$C$1960,0)),"",INDEX('Compliance Database'!$H$2:$H$1960,MATCH(1179,Engine!$C$2:$C$1960,0)))</f>
        <v/>
      </c>
      <c r="I1192" s="9">
        <f>IF(ISNA(MATCH(1179,Engine!$C$2:$C$1960,0)),"",INDEX('Compliance Database'!$I$2:$I$1960,MATCH(1179,Engine!$C$2:$C$1960,0)))</f>
        <v/>
      </c>
      <c r="J1192" s="8">
        <f>IF(ISNA(MATCH(1179,Engine!$C$2:$C$1960,0)),"",INDEX('Compliance Database'!$J$2:$J$1960,MATCH(1179,Engine!$C$2:$C$1960,0)))</f>
        <v/>
      </c>
      <c r="K1192" s="9">
        <f>IF(ISNA(MATCH(1179,Engine!$C$2:$C$1960,0)),"",INDEX('Compliance Database'!$K$2:$K$1960,MATCH(1179,Engine!$C$2:$C$1960,0)))</f>
        <v/>
      </c>
      <c r="L1192" s="9">
        <f>IF(ISNA(MATCH(1179,Engine!$C$2:$C$1960,0)),"",INDEX('Compliance Database'!$L$2:$L$1960,MATCH(1179,Engine!$C$2:$C$1960,0)))</f>
        <v/>
      </c>
      <c r="M1192" s="9">
        <f>IF(ISNA(MATCH(1179,Engine!$C$2:$C$1960,0)),"",INDEX('Compliance Database'!$M$2:$M$1960,MATCH(1179,Engine!$C$2:$C$1960,0)))</f>
        <v/>
      </c>
      <c r="N1192" s="9">
        <f>IF(ISNA(MATCH(1179,Engine!$C$2:$C$1960,0)),"",INDEX('Compliance Database'!$N$2:$N$1960,MATCH(1179,Engine!$C$2:$C$1960,0)))</f>
        <v/>
      </c>
      <c r="O1192" s="9">
        <f>IF(ISNA(MATCH(1179,Engine!$C$2:$C$1960,0)),"",INDEX('Compliance Database'!$O$2:$O$1960,MATCH(1179,Engine!$C$2:$C$1960,0)))</f>
        <v/>
      </c>
      <c r="P1192" s="8">
        <f>IF(ISNA(MATCH(1179,Engine!$C$2:$C$1960,0)),"",HYPERLINK("#Acts!A"&amp;INDEX('Compliance Database'!$P$2:$P$1960,MATCH(1179,Engine!$C$2:$C$1960,0)),"Go to Act"))</f>
        <v/>
      </c>
    </row>
    <row r="1193" ht="158" customHeight="1">
      <c r="A1193" s="8">
        <f>IF(ISNA(MATCH(1180,Engine!$C$2:$C$1960,0)),"",INDEX('Compliance Database'!$A$2:$A$1960,MATCH(1180,Engine!$C$2:$C$1960,0)))</f>
        <v/>
      </c>
      <c r="B1193" s="8">
        <f>IF(ISNA(MATCH(1180,Engine!$C$2:$C$1960,0)),"",INDEX('Compliance Database'!$B$2:$B$1960,MATCH(1180,Engine!$C$2:$C$1960,0)))</f>
        <v/>
      </c>
      <c r="C1193" s="8">
        <f>IF(ISNA(MATCH(1180,Engine!$C$2:$C$1960,0)),"",INDEX('Compliance Database'!$C$2:$C$1960,MATCH(1180,Engine!$C$2:$C$1960,0)))</f>
        <v/>
      </c>
      <c r="D1193" s="9">
        <f>IF(ISNA(MATCH(1180,Engine!$C$2:$C$1960,0)),"",INDEX('Compliance Database'!$D$2:$D$1960,MATCH(1180,Engine!$C$2:$C$1960,0)))</f>
        <v/>
      </c>
      <c r="E1193" s="8">
        <f>IF(ISNA(MATCH(1180,Engine!$C$2:$C$1960,0)),"",INDEX('Compliance Database'!$E$2:$E$1960,MATCH(1180,Engine!$C$2:$C$1960,0)))</f>
        <v/>
      </c>
      <c r="F1193" s="8">
        <f>IF(ISNA(MATCH(1180,Engine!$C$2:$C$1960,0)),"",INDEX('Compliance Database'!$F$2:$F$1960,MATCH(1180,Engine!$C$2:$C$1960,0)))</f>
        <v/>
      </c>
      <c r="G1193" s="8">
        <f>IF(ISNA(MATCH(1180,Engine!$C$2:$C$1960,0)),"",INDEX('Compliance Database'!$G$2:$G$1960,MATCH(1180,Engine!$C$2:$C$1960,0)))</f>
        <v/>
      </c>
      <c r="H1193" s="9">
        <f>IF(ISNA(MATCH(1180,Engine!$C$2:$C$1960,0)),"",INDEX('Compliance Database'!$H$2:$H$1960,MATCH(1180,Engine!$C$2:$C$1960,0)))</f>
        <v/>
      </c>
      <c r="I1193" s="9">
        <f>IF(ISNA(MATCH(1180,Engine!$C$2:$C$1960,0)),"",INDEX('Compliance Database'!$I$2:$I$1960,MATCH(1180,Engine!$C$2:$C$1960,0)))</f>
        <v/>
      </c>
      <c r="J1193" s="8">
        <f>IF(ISNA(MATCH(1180,Engine!$C$2:$C$1960,0)),"",INDEX('Compliance Database'!$J$2:$J$1960,MATCH(1180,Engine!$C$2:$C$1960,0)))</f>
        <v/>
      </c>
      <c r="K1193" s="9">
        <f>IF(ISNA(MATCH(1180,Engine!$C$2:$C$1960,0)),"",INDEX('Compliance Database'!$K$2:$K$1960,MATCH(1180,Engine!$C$2:$C$1960,0)))</f>
        <v/>
      </c>
      <c r="L1193" s="9">
        <f>IF(ISNA(MATCH(1180,Engine!$C$2:$C$1960,0)),"",INDEX('Compliance Database'!$L$2:$L$1960,MATCH(1180,Engine!$C$2:$C$1960,0)))</f>
        <v/>
      </c>
      <c r="M1193" s="9">
        <f>IF(ISNA(MATCH(1180,Engine!$C$2:$C$1960,0)),"",INDEX('Compliance Database'!$M$2:$M$1960,MATCH(1180,Engine!$C$2:$C$1960,0)))</f>
        <v/>
      </c>
      <c r="N1193" s="9">
        <f>IF(ISNA(MATCH(1180,Engine!$C$2:$C$1960,0)),"",INDEX('Compliance Database'!$N$2:$N$1960,MATCH(1180,Engine!$C$2:$C$1960,0)))</f>
        <v/>
      </c>
      <c r="O1193" s="9">
        <f>IF(ISNA(MATCH(1180,Engine!$C$2:$C$1960,0)),"",INDEX('Compliance Database'!$O$2:$O$1960,MATCH(1180,Engine!$C$2:$C$1960,0)))</f>
        <v/>
      </c>
      <c r="P1193" s="8">
        <f>IF(ISNA(MATCH(1180,Engine!$C$2:$C$1960,0)),"",HYPERLINK("#Acts!A"&amp;INDEX('Compliance Database'!$P$2:$P$1960,MATCH(1180,Engine!$C$2:$C$1960,0)),"Go to Act"))</f>
        <v/>
      </c>
    </row>
    <row r="1194" ht="158" customHeight="1">
      <c r="A1194" s="8">
        <f>IF(ISNA(MATCH(1181,Engine!$C$2:$C$1960,0)),"",INDEX('Compliance Database'!$A$2:$A$1960,MATCH(1181,Engine!$C$2:$C$1960,0)))</f>
        <v/>
      </c>
      <c r="B1194" s="8">
        <f>IF(ISNA(MATCH(1181,Engine!$C$2:$C$1960,0)),"",INDEX('Compliance Database'!$B$2:$B$1960,MATCH(1181,Engine!$C$2:$C$1960,0)))</f>
        <v/>
      </c>
      <c r="C1194" s="8">
        <f>IF(ISNA(MATCH(1181,Engine!$C$2:$C$1960,0)),"",INDEX('Compliance Database'!$C$2:$C$1960,MATCH(1181,Engine!$C$2:$C$1960,0)))</f>
        <v/>
      </c>
      <c r="D1194" s="9">
        <f>IF(ISNA(MATCH(1181,Engine!$C$2:$C$1960,0)),"",INDEX('Compliance Database'!$D$2:$D$1960,MATCH(1181,Engine!$C$2:$C$1960,0)))</f>
        <v/>
      </c>
      <c r="E1194" s="8">
        <f>IF(ISNA(MATCH(1181,Engine!$C$2:$C$1960,0)),"",INDEX('Compliance Database'!$E$2:$E$1960,MATCH(1181,Engine!$C$2:$C$1960,0)))</f>
        <v/>
      </c>
      <c r="F1194" s="8">
        <f>IF(ISNA(MATCH(1181,Engine!$C$2:$C$1960,0)),"",INDEX('Compliance Database'!$F$2:$F$1960,MATCH(1181,Engine!$C$2:$C$1960,0)))</f>
        <v/>
      </c>
      <c r="G1194" s="8">
        <f>IF(ISNA(MATCH(1181,Engine!$C$2:$C$1960,0)),"",INDEX('Compliance Database'!$G$2:$G$1960,MATCH(1181,Engine!$C$2:$C$1960,0)))</f>
        <v/>
      </c>
      <c r="H1194" s="9">
        <f>IF(ISNA(MATCH(1181,Engine!$C$2:$C$1960,0)),"",INDEX('Compliance Database'!$H$2:$H$1960,MATCH(1181,Engine!$C$2:$C$1960,0)))</f>
        <v/>
      </c>
      <c r="I1194" s="9">
        <f>IF(ISNA(MATCH(1181,Engine!$C$2:$C$1960,0)),"",INDEX('Compliance Database'!$I$2:$I$1960,MATCH(1181,Engine!$C$2:$C$1960,0)))</f>
        <v/>
      </c>
      <c r="J1194" s="8">
        <f>IF(ISNA(MATCH(1181,Engine!$C$2:$C$1960,0)),"",INDEX('Compliance Database'!$J$2:$J$1960,MATCH(1181,Engine!$C$2:$C$1960,0)))</f>
        <v/>
      </c>
      <c r="K1194" s="9">
        <f>IF(ISNA(MATCH(1181,Engine!$C$2:$C$1960,0)),"",INDEX('Compliance Database'!$K$2:$K$1960,MATCH(1181,Engine!$C$2:$C$1960,0)))</f>
        <v/>
      </c>
      <c r="L1194" s="9">
        <f>IF(ISNA(MATCH(1181,Engine!$C$2:$C$1960,0)),"",INDEX('Compliance Database'!$L$2:$L$1960,MATCH(1181,Engine!$C$2:$C$1960,0)))</f>
        <v/>
      </c>
      <c r="M1194" s="9">
        <f>IF(ISNA(MATCH(1181,Engine!$C$2:$C$1960,0)),"",INDEX('Compliance Database'!$M$2:$M$1960,MATCH(1181,Engine!$C$2:$C$1960,0)))</f>
        <v/>
      </c>
      <c r="N1194" s="9">
        <f>IF(ISNA(MATCH(1181,Engine!$C$2:$C$1960,0)),"",INDEX('Compliance Database'!$N$2:$N$1960,MATCH(1181,Engine!$C$2:$C$1960,0)))</f>
        <v/>
      </c>
      <c r="O1194" s="9">
        <f>IF(ISNA(MATCH(1181,Engine!$C$2:$C$1960,0)),"",INDEX('Compliance Database'!$O$2:$O$1960,MATCH(1181,Engine!$C$2:$C$1960,0)))</f>
        <v/>
      </c>
      <c r="P1194" s="8">
        <f>IF(ISNA(MATCH(1181,Engine!$C$2:$C$1960,0)),"",HYPERLINK("#Acts!A"&amp;INDEX('Compliance Database'!$P$2:$P$1960,MATCH(1181,Engine!$C$2:$C$1960,0)),"Go to Act"))</f>
        <v/>
      </c>
    </row>
    <row r="1195" ht="158" customHeight="1">
      <c r="A1195" s="8">
        <f>IF(ISNA(MATCH(1182,Engine!$C$2:$C$1960,0)),"",INDEX('Compliance Database'!$A$2:$A$1960,MATCH(1182,Engine!$C$2:$C$1960,0)))</f>
        <v/>
      </c>
      <c r="B1195" s="8">
        <f>IF(ISNA(MATCH(1182,Engine!$C$2:$C$1960,0)),"",INDEX('Compliance Database'!$B$2:$B$1960,MATCH(1182,Engine!$C$2:$C$1960,0)))</f>
        <v/>
      </c>
      <c r="C1195" s="8">
        <f>IF(ISNA(MATCH(1182,Engine!$C$2:$C$1960,0)),"",INDEX('Compliance Database'!$C$2:$C$1960,MATCH(1182,Engine!$C$2:$C$1960,0)))</f>
        <v/>
      </c>
      <c r="D1195" s="9">
        <f>IF(ISNA(MATCH(1182,Engine!$C$2:$C$1960,0)),"",INDEX('Compliance Database'!$D$2:$D$1960,MATCH(1182,Engine!$C$2:$C$1960,0)))</f>
        <v/>
      </c>
      <c r="E1195" s="8">
        <f>IF(ISNA(MATCH(1182,Engine!$C$2:$C$1960,0)),"",INDEX('Compliance Database'!$E$2:$E$1960,MATCH(1182,Engine!$C$2:$C$1960,0)))</f>
        <v/>
      </c>
      <c r="F1195" s="8">
        <f>IF(ISNA(MATCH(1182,Engine!$C$2:$C$1960,0)),"",INDEX('Compliance Database'!$F$2:$F$1960,MATCH(1182,Engine!$C$2:$C$1960,0)))</f>
        <v/>
      </c>
      <c r="G1195" s="8">
        <f>IF(ISNA(MATCH(1182,Engine!$C$2:$C$1960,0)),"",INDEX('Compliance Database'!$G$2:$G$1960,MATCH(1182,Engine!$C$2:$C$1960,0)))</f>
        <v/>
      </c>
      <c r="H1195" s="9">
        <f>IF(ISNA(MATCH(1182,Engine!$C$2:$C$1960,0)),"",INDEX('Compliance Database'!$H$2:$H$1960,MATCH(1182,Engine!$C$2:$C$1960,0)))</f>
        <v/>
      </c>
      <c r="I1195" s="9">
        <f>IF(ISNA(MATCH(1182,Engine!$C$2:$C$1960,0)),"",INDEX('Compliance Database'!$I$2:$I$1960,MATCH(1182,Engine!$C$2:$C$1960,0)))</f>
        <v/>
      </c>
      <c r="J1195" s="8">
        <f>IF(ISNA(MATCH(1182,Engine!$C$2:$C$1960,0)),"",INDEX('Compliance Database'!$J$2:$J$1960,MATCH(1182,Engine!$C$2:$C$1960,0)))</f>
        <v/>
      </c>
      <c r="K1195" s="9">
        <f>IF(ISNA(MATCH(1182,Engine!$C$2:$C$1960,0)),"",INDEX('Compliance Database'!$K$2:$K$1960,MATCH(1182,Engine!$C$2:$C$1960,0)))</f>
        <v/>
      </c>
      <c r="L1195" s="9">
        <f>IF(ISNA(MATCH(1182,Engine!$C$2:$C$1960,0)),"",INDEX('Compliance Database'!$L$2:$L$1960,MATCH(1182,Engine!$C$2:$C$1960,0)))</f>
        <v/>
      </c>
      <c r="M1195" s="9">
        <f>IF(ISNA(MATCH(1182,Engine!$C$2:$C$1960,0)),"",INDEX('Compliance Database'!$M$2:$M$1960,MATCH(1182,Engine!$C$2:$C$1960,0)))</f>
        <v/>
      </c>
      <c r="N1195" s="9">
        <f>IF(ISNA(MATCH(1182,Engine!$C$2:$C$1960,0)),"",INDEX('Compliance Database'!$N$2:$N$1960,MATCH(1182,Engine!$C$2:$C$1960,0)))</f>
        <v/>
      </c>
      <c r="O1195" s="9">
        <f>IF(ISNA(MATCH(1182,Engine!$C$2:$C$1960,0)),"",INDEX('Compliance Database'!$O$2:$O$1960,MATCH(1182,Engine!$C$2:$C$1960,0)))</f>
        <v/>
      </c>
      <c r="P1195" s="8">
        <f>IF(ISNA(MATCH(1182,Engine!$C$2:$C$1960,0)),"",HYPERLINK("#Acts!A"&amp;INDEX('Compliance Database'!$P$2:$P$1960,MATCH(1182,Engine!$C$2:$C$1960,0)),"Go to Act"))</f>
        <v/>
      </c>
    </row>
    <row r="1196" ht="158" customHeight="1">
      <c r="A1196" s="8">
        <f>IF(ISNA(MATCH(1183,Engine!$C$2:$C$1960,0)),"",INDEX('Compliance Database'!$A$2:$A$1960,MATCH(1183,Engine!$C$2:$C$1960,0)))</f>
        <v/>
      </c>
      <c r="B1196" s="8">
        <f>IF(ISNA(MATCH(1183,Engine!$C$2:$C$1960,0)),"",INDEX('Compliance Database'!$B$2:$B$1960,MATCH(1183,Engine!$C$2:$C$1960,0)))</f>
        <v/>
      </c>
      <c r="C1196" s="8">
        <f>IF(ISNA(MATCH(1183,Engine!$C$2:$C$1960,0)),"",INDEX('Compliance Database'!$C$2:$C$1960,MATCH(1183,Engine!$C$2:$C$1960,0)))</f>
        <v/>
      </c>
      <c r="D1196" s="9">
        <f>IF(ISNA(MATCH(1183,Engine!$C$2:$C$1960,0)),"",INDEX('Compliance Database'!$D$2:$D$1960,MATCH(1183,Engine!$C$2:$C$1960,0)))</f>
        <v/>
      </c>
      <c r="E1196" s="8">
        <f>IF(ISNA(MATCH(1183,Engine!$C$2:$C$1960,0)),"",INDEX('Compliance Database'!$E$2:$E$1960,MATCH(1183,Engine!$C$2:$C$1960,0)))</f>
        <v/>
      </c>
      <c r="F1196" s="8">
        <f>IF(ISNA(MATCH(1183,Engine!$C$2:$C$1960,0)),"",INDEX('Compliance Database'!$F$2:$F$1960,MATCH(1183,Engine!$C$2:$C$1960,0)))</f>
        <v/>
      </c>
      <c r="G1196" s="8">
        <f>IF(ISNA(MATCH(1183,Engine!$C$2:$C$1960,0)),"",INDEX('Compliance Database'!$G$2:$G$1960,MATCH(1183,Engine!$C$2:$C$1960,0)))</f>
        <v/>
      </c>
      <c r="H1196" s="9">
        <f>IF(ISNA(MATCH(1183,Engine!$C$2:$C$1960,0)),"",INDEX('Compliance Database'!$H$2:$H$1960,MATCH(1183,Engine!$C$2:$C$1960,0)))</f>
        <v/>
      </c>
      <c r="I1196" s="9">
        <f>IF(ISNA(MATCH(1183,Engine!$C$2:$C$1960,0)),"",INDEX('Compliance Database'!$I$2:$I$1960,MATCH(1183,Engine!$C$2:$C$1960,0)))</f>
        <v/>
      </c>
      <c r="J1196" s="8">
        <f>IF(ISNA(MATCH(1183,Engine!$C$2:$C$1960,0)),"",INDEX('Compliance Database'!$J$2:$J$1960,MATCH(1183,Engine!$C$2:$C$1960,0)))</f>
        <v/>
      </c>
      <c r="K1196" s="9">
        <f>IF(ISNA(MATCH(1183,Engine!$C$2:$C$1960,0)),"",INDEX('Compliance Database'!$K$2:$K$1960,MATCH(1183,Engine!$C$2:$C$1960,0)))</f>
        <v/>
      </c>
      <c r="L1196" s="9">
        <f>IF(ISNA(MATCH(1183,Engine!$C$2:$C$1960,0)),"",INDEX('Compliance Database'!$L$2:$L$1960,MATCH(1183,Engine!$C$2:$C$1960,0)))</f>
        <v/>
      </c>
      <c r="M1196" s="9">
        <f>IF(ISNA(MATCH(1183,Engine!$C$2:$C$1960,0)),"",INDEX('Compliance Database'!$M$2:$M$1960,MATCH(1183,Engine!$C$2:$C$1960,0)))</f>
        <v/>
      </c>
      <c r="N1196" s="9">
        <f>IF(ISNA(MATCH(1183,Engine!$C$2:$C$1960,0)),"",INDEX('Compliance Database'!$N$2:$N$1960,MATCH(1183,Engine!$C$2:$C$1960,0)))</f>
        <v/>
      </c>
      <c r="O1196" s="9">
        <f>IF(ISNA(MATCH(1183,Engine!$C$2:$C$1960,0)),"",INDEX('Compliance Database'!$O$2:$O$1960,MATCH(1183,Engine!$C$2:$C$1960,0)))</f>
        <v/>
      </c>
      <c r="P1196" s="8">
        <f>IF(ISNA(MATCH(1183,Engine!$C$2:$C$1960,0)),"",HYPERLINK("#Acts!A"&amp;INDEX('Compliance Database'!$P$2:$P$1960,MATCH(1183,Engine!$C$2:$C$1960,0)),"Go to Act"))</f>
        <v/>
      </c>
    </row>
    <row r="1197" ht="158" customHeight="1">
      <c r="A1197" s="8">
        <f>IF(ISNA(MATCH(1184,Engine!$C$2:$C$1960,0)),"",INDEX('Compliance Database'!$A$2:$A$1960,MATCH(1184,Engine!$C$2:$C$1960,0)))</f>
        <v/>
      </c>
      <c r="B1197" s="8">
        <f>IF(ISNA(MATCH(1184,Engine!$C$2:$C$1960,0)),"",INDEX('Compliance Database'!$B$2:$B$1960,MATCH(1184,Engine!$C$2:$C$1960,0)))</f>
        <v/>
      </c>
      <c r="C1197" s="8">
        <f>IF(ISNA(MATCH(1184,Engine!$C$2:$C$1960,0)),"",INDEX('Compliance Database'!$C$2:$C$1960,MATCH(1184,Engine!$C$2:$C$1960,0)))</f>
        <v/>
      </c>
      <c r="D1197" s="9">
        <f>IF(ISNA(MATCH(1184,Engine!$C$2:$C$1960,0)),"",INDEX('Compliance Database'!$D$2:$D$1960,MATCH(1184,Engine!$C$2:$C$1960,0)))</f>
        <v/>
      </c>
      <c r="E1197" s="8">
        <f>IF(ISNA(MATCH(1184,Engine!$C$2:$C$1960,0)),"",INDEX('Compliance Database'!$E$2:$E$1960,MATCH(1184,Engine!$C$2:$C$1960,0)))</f>
        <v/>
      </c>
      <c r="F1197" s="8">
        <f>IF(ISNA(MATCH(1184,Engine!$C$2:$C$1960,0)),"",INDEX('Compliance Database'!$F$2:$F$1960,MATCH(1184,Engine!$C$2:$C$1960,0)))</f>
        <v/>
      </c>
      <c r="G1197" s="8">
        <f>IF(ISNA(MATCH(1184,Engine!$C$2:$C$1960,0)),"",INDEX('Compliance Database'!$G$2:$G$1960,MATCH(1184,Engine!$C$2:$C$1960,0)))</f>
        <v/>
      </c>
      <c r="H1197" s="9">
        <f>IF(ISNA(MATCH(1184,Engine!$C$2:$C$1960,0)),"",INDEX('Compliance Database'!$H$2:$H$1960,MATCH(1184,Engine!$C$2:$C$1960,0)))</f>
        <v/>
      </c>
      <c r="I1197" s="9">
        <f>IF(ISNA(MATCH(1184,Engine!$C$2:$C$1960,0)),"",INDEX('Compliance Database'!$I$2:$I$1960,MATCH(1184,Engine!$C$2:$C$1960,0)))</f>
        <v/>
      </c>
      <c r="J1197" s="8">
        <f>IF(ISNA(MATCH(1184,Engine!$C$2:$C$1960,0)),"",INDEX('Compliance Database'!$J$2:$J$1960,MATCH(1184,Engine!$C$2:$C$1960,0)))</f>
        <v/>
      </c>
      <c r="K1197" s="9">
        <f>IF(ISNA(MATCH(1184,Engine!$C$2:$C$1960,0)),"",INDEX('Compliance Database'!$K$2:$K$1960,MATCH(1184,Engine!$C$2:$C$1960,0)))</f>
        <v/>
      </c>
      <c r="L1197" s="9">
        <f>IF(ISNA(MATCH(1184,Engine!$C$2:$C$1960,0)),"",INDEX('Compliance Database'!$L$2:$L$1960,MATCH(1184,Engine!$C$2:$C$1960,0)))</f>
        <v/>
      </c>
      <c r="M1197" s="9">
        <f>IF(ISNA(MATCH(1184,Engine!$C$2:$C$1960,0)),"",INDEX('Compliance Database'!$M$2:$M$1960,MATCH(1184,Engine!$C$2:$C$1960,0)))</f>
        <v/>
      </c>
      <c r="N1197" s="9">
        <f>IF(ISNA(MATCH(1184,Engine!$C$2:$C$1960,0)),"",INDEX('Compliance Database'!$N$2:$N$1960,MATCH(1184,Engine!$C$2:$C$1960,0)))</f>
        <v/>
      </c>
      <c r="O1197" s="9">
        <f>IF(ISNA(MATCH(1184,Engine!$C$2:$C$1960,0)),"",INDEX('Compliance Database'!$O$2:$O$1960,MATCH(1184,Engine!$C$2:$C$1960,0)))</f>
        <v/>
      </c>
      <c r="P1197" s="8">
        <f>IF(ISNA(MATCH(1184,Engine!$C$2:$C$1960,0)),"",HYPERLINK("#Acts!A"&amp;INDEX('Compliance Database'!$P$2:$P$1960,MATCH(1184,Engine!$C$2:$C$1960,0)),"Go to Act"))</f>
        <v/>
      </c>
    </row>
    <row r="1198" ht="158" customHeight="1">
      <c r="A1198" s="8">
        <f>IF(ISNA(MATCH(1185,Engine!$C$2:$C$1960,0)),"",INDEX('Compliance Database'!$A$2:$A$1960,MATCH(1185,Engine!$C$2:$C$1960,0)))</f>
        <v/>
      </c>
      <c r="B1198" s="8">
        <f>IF(ISNA(MATCH(1185,Engine!$C$2:$C$1960,0)),"",INDEX('Compliance Database'!$B$2:$B$1960,MATCH(1185,Engine!$C$2:$C$1960,0)))</f>
        <v/>
      </c>
      <c r="C1198" s="8">
        <f>IF(ISNA(MATCH(1185,Engine!$C$2:$C$1960,0)),"",INDEX('Compliance Database'!$C$2:$C$1960,MATCH(1185,Engine!$C$2:$C$1960,0)))</f>
        <v/>
      </c>
      <c r="D1198" s="9">
        <f>IF(ISNA(MATCH(1185,Engine!$C$2:$C$1960,0)),"",INDEX('Compliance Database'!$D$2:$D$1960,MATCH(1185,Engine!$C$2:$C$1960,0)))</f>
        <v/>
      </c>
      <c r="E1198" s="8">
        <f>IF(ISNA(MATCH(1185,Engine!$C$2:$C$1960,0)),"",INDEX('Compliance Database'!$E$2:$E$1960,MATCH(1185,Engine!$C$2:$C$1960,0)))</f>
        <v/>
      </c>
      <c r="F1198" s="8">
        <f>IF(ISNA(MATCH(1185,Engine!$C$2:$C$1960,0)),"",INDEX('Compliance Database'!$F$2:$F$1960,MATCH(1185,Engine!$C$2:$C$1960,0)))</f>
        <v/>
      </c>
      <c r="G1198" s="8">
        <f>IF(ISNA(MATCH(1185,Engine!$C$2:$C$1960,0)),"",INDEX('Compliance Database'!$G$2:$G$1960,MATCH(1185,Engine!$C$2:$C$1960,0)))</f>
        <v/>
      </c>
      <c r="H1198" s="9">
        <f>IF(ISNA(MATCH(1185,Engine!$C$2:$C$1960,0)),"",INDEX('Compliance Database'!$H$2:$H$1960,MATCH(1185,Engine!$C$2:$C$1960,0)))</f>
        <v/>
      </c>
      <c r="I1198" s="9">
        <f>IF(ISNA(MATCH(1185,Engine!$C$2:$C$1960,0)),"",INDEX('Compliance Database'!$I$2:$I$1960,MATCH(1185,Engine!$C$2:$C$1960,0)))</f>
        <v/>
      </c>
      <c r="J1198" s="8">
        <f>IF(ISNA(MATCH(1185,Engine!$C$2:$C$1960,0)),"",INDEX('Compliance Database'!$J$2:$J$1960,MATCH(1185,Engine!$C$2:$C$1960,0)))</f>
        <v/>
      </c>
      <c r="K1198" s="9">
        <f>IF(ISNA(MATCH(1185,Engine!$C$2:$C$1960,0)),"",INDEX('Compliance Database'!$K$2:$K$1960,MATCH(1185,Engine!$C$2:$C$1960,0)))</f>
        <v/>
      </c>
      <c r="L1198" s="9">
        <f>IF(ISNA(MATCH(1185,Engine!$C$2:$C$1960,0)),"",INDEX('Compliance Database'!$L$2:$L$1960,MATCH(1185,Engine!$C$2:$C$1960,0)))</f>
        <v/>
      </c>
      <c r="M1198" s="9">
        <f>IF(ISNA(MATCH(1185,Engine!$C$2:$C$1960,0)),"",INDEX('Compliance Database'!$M$2:$M$1960,MATCH(1185,Engine!$C$2:$C$1960,0)))</f>
        <v/>
      </c>
      <c r="N1198" s="9">
        <f>IF(ISNA(MATCH(1185,Engine!$C$2:$C$1960,0)),"",INDEX('Compliance Database'!$N$2:$N$1960,MATCH(1185,Engine!$C$2:$C$1960,0)))</f>
        <v/>
      </c>
      <c r="O1198" s="9">
        <f>IF(ISNA(MATCH(1185,Engine!$C$2:$C$1960,0)),"",INDEX('Compliance Database'!$O$2:$O$1960,MATCH(1185,Engine!$C$2:$C$1960,0)))</f>
        <v/>
      </c>
      <c r="P1198" s="8">
        <f>IF(ISNA(MATCH(1185,Engine!$C$2:$C$1960,0)),"",HYPERLINK("#Acts!A"&amp;INDEX('Compliance Database'!$P$2:$P$1960,MATCH(1185,Engine!$C$2:$C$1960,0)),"Go to Act"))</f>
        <v/>
      </c>
    </row>
    <row r="1199" ht="158" customHeight="1">
      <c r="A1199" s="8">
        <f>IF(ISNA(MATCH(1186,Engine!$C$2:$C$1960,0)),"",INDEX('Compliance Database'!$A$2:$A$1960,MATCH(1186,Engine!$C$2:$C$1960,0)))</f>
        <v/>
      </c>
      <c r="B1199" s="8">
        <f>IF(ISNA(MATCH(1186,Engine!$C$2:$C$1960,0)),"",INDEX('Compliance Database'!$B$2:$B$1960,MATCH(1186,Engine!$C$2:$C$1960,0)))</f>
        <v/>
      </c>
      <c r="C1199" s="8">
        <f>IF(ISNA(MATCH(1186,Engine!$C$2:$C$1960,0)),"",INDEX('Compliance Database'!$C$2:$C$1960,MATCH(1186,Engine!$C$2:$C$1960,0)))</f>
        <v/>
      </c>
      <c r="D1199" s="9">
        <f>IF(ISNA(MATCH(1186,Engine!$C$2:$C$1960,0)),"",INDEX('Compliance Database'!$D$2:$D$1960,MATCH(1186,Engine!$C$2:$C$1960,0)))</f>
        <v/>
      </c>
      <c r="E1199" s="8">
        <f>IF(ISNA(MATCH(1186,Engine!$C$2:$C$1960,0)),"",INDEX('Compliance Database'!$E$2:$E$1960,MATCH(1186,Engine!$C$2:$C$1960,0)))</f>
        <v/>
      </c>
      <c r="F1199" s="8">
        <f>IF(ISNA(MATCH(1186,Engine!$C$2:$C$1960,0)),"",INDEX('Compliance Database'!$F$2:$F$1960,MATCH(1186,Engine!$C$2:$C$1960,0)))</f>
        <v/>
      </c>
      <c r="G1199" s="8">
        <f>IF(ISNA(MATCH(1186,Engine!$C$2:$C$1960,0)),"",INDEX('Compliance Database'!$G$2:$G$1960,MATCH(1186,Engine!$C$2:$C$1960,0)))</f>
        <v/>
      </c>
      <c r="H1199" s="9">
        <f>IF(ISNA(MATCH(1186,Engine!$C$2:$C$1960,0)),"",INDEX('Compliance Database'!$H$2:$H$1960,MATCH(1186,Engine!$C$2:$C$1960,0)))</f>
        <v/>
      </c>
      <c r="I1199" s="9">
        <f>IF(ISNA(MATCH(1186,Engine!$C$2:$C$1960,0)),"",INDEX('Compliance Database'!$I$2:$I$1960,MATCH(1186,Engine!$C$2:$C$1960,0)))</f>
        <v/>
      </c>
      <c r="J1199" s="8">
        <f>IF(ISNA(MATCH(1186,Engine!$C$2:$C$1960,0)),"",INDEX('Compliance Database'!$J$2:$J$1960,MATCH(1186,Engine!$C$2:$C$1960,0)))</f>
        <v/>
      </c>
      <c r="K1199" s="9">
        <f>IF(ISNA(MATCH(1186,Engine!$C$2:$C$1960,0)),"",INDEX('Compliance Database'!$K$2:$K$1960,MATCH(1186,Engine!$C$2:$C$1960,0)))</f>
        <v/>
      </c>
      <c r="L1199" s="9">
        <f>IF(ISNA(MATCH(1186,Engine!$C$2:$C$1960,0)),"",INDEX('Compliance Database'!$L$2:$L$1960,MATCH(1186,Engine!$C$2:$C$1960,0)))</f>
        <v/>
      </c>
      <c r="M1199" s="9">
        <f>IF(ISNA(MATCH(1186,Engine!$C$2:$C$1960,0)),"",INDEX('Compliance Database'!$M$2:$M$1960,MATCH(1186,Engine!$C$2:$C$1960,0)))</f>
        <v/>
      </c>
      <c r="N1199" s="9">
        <f>IF(ISNA(MATCH(1186,Engine!$C$2:$C$1960,0)),"",INDEX('Compliance Database'!$N$2:$N$1960,MATCH(1186,Engine!$C$2:$C$1960,0)))</f>
        <v/>
      </c>
      <c r="O1199" s="9">
        <f>IF(ISNA(MATCH(1186,Engine!$C$2:$C$1960,0)),"",INDEX('Compliance Database'!$O$2:$O$1960,MATCH(1186,Engine!$C$2:$C$1960,0)))</f>
        <v/>
      </c>
      <c r="P1199" s="8">
        <f>IF(ISNA(MATCH(1186,Engine!$C$2:$C$1960,0)),"",HYPERLINK("#Acts!A"&amp;INDEX('Compliance Database'!$P$2:$P$1960,MATCH(1186,Engine!$C$2:$C$1960,0)),"Go to Act"))</f>
        <v/>
      </c>
    </row>
    <row r="1200" ht="158" customHeight="1">
      <c r="A1200" s="8">
        <f>IF(ISNA(MATCH(1187,Engine!$C$2:$C$1960,0)),"",INDEX('Compliance Database'!$A$2:$A$1960,MATCH(1187,Engine!$C$2:$C$1960,0)))</f>
        <v/>
      </c>
      <c r="B1200" s="8">
        <f>IF(ISNA(MATCH(1187,Engine!$C$2:$C$1960,0)),"",INDEX('Compliance Database'!$B$2:$B$1960,MATCH(1187,Engine!$C$2:$C$1960,0)))</f>
        <v/>
      </c>
      <c r="C1200" s="8">
        <f>IF(ISNA(MATCH(1187,Engine!$C$2:$C$1960,0)),"",INDEX('Compliance Database'!$C$2:$C$1960,MATCH(1187,Engine!$C$2:$C$1960,0)))</f>
        <v/>
      </c>
      <c r="D1200" s="9">
        <f>IF(ISNA(MATCH(1187,Engine!$C$2:$C$1960,0)),"",INDEX('Compliance Database'!$D$2:$D$1960,MATCH(1187,Engine!$C$2:$C$1960,0)))</f>
        <v/>
      </c>
      <c r="E1200" s="8">
        <f>IF(ISNA(MATCH(1187,Engine!$C$2:$C$1960,0)),"",INDEX('Compliance Database'!$E$2:$E$1960,MATCH(1187,Engine!$C$2:$C$1960,0)))</f>
        <v/>
      </c>
      <c r="F1200" s="8">
        <f>IF(ISNA(MATCH(1187,Engine!$C$2:$C$1960,0)),"",INDEX('Compliance Database'!$F$2:$F$1960,MATCH(1187,Engine!$C$2:$C$1960,0)))</f>
        <v/>
      </c>
      <c r="G1200" s="8">
        <f>IF(ISNA(MATCH(1187,Engine!$C$2:$C$1960,0)),"",INDEX('Compliance Database'!$G$2:$G$1960,MATCH(1187,Engine!$C$2:$C$1960,0)))</f>
        <v/>
      </c>
      <c r="H1200" s="9">
        <f>IF(ISNA(MATCH(1187,Engine!$C$2:$C$1960,0)),"",INDEX('Compliance Database'!$H$2:$H$1960,MATCH(1187,Engine!$C$2:$C$1960,0)))</f>
        <v/>
      </c>
      <c r="I1200" s="9">
        <f>IF(ISNA(MATCH(1187,Engine!$C$2:$C$1960,0)),"",INDEX('Compliance Database'!$I$2:$I$1960,MATCH(1187,Engine!$C$2:$C$1960,0)))</f>
        <v/>
      </c>
      <c r="J1200" s="8">
        <f>IF(ISNA(MATCH(1187,Engine!$C$2:$C$1960,0)),"",INDEX('Compliance Database'!$J$2:$J$1960,MATCH(1187,Engine!$C$2:$C$1960,0)))</f>
        <v/>
      </c>
      <c r="K1200" s="9">
        <f>IF(ISNA(MATCH(1187,Engine!$C$2:$C$1960,0)),"",INDEX('Compliance Database'!$K$2:$K$1960,MATCH(1187,Engine!$C$2:$C$1960,0)))</f>
        <v/>
      </c>
      <c r="L1200" s="9">
        <f>IF(ISNA(MATCH(1187,Engine!$C$2:$C$1960,0)),"",INDEX('Compliance Database'!$L$2:$L$1960,MATCH(1187,Engine!$C$2:$C$1960,0)))</f>
        <v/>
      </c>
      <c r="M1200" s="9">
        <f>IF(ISNA(MATCH(1187,Engine!$C$2:$C$1960,0)),"",INDEX('Compliance Database'!$M$2:$M$1960,MATCH(1187,Engine!$C$2:$C$1960,0)))</f>
        <v/>
      </c>
      <c r="N1200" s="9">
        <f>IF(ISNA(MATCH(1187,Engine!$C$2:$C$1960,0)),"",INDEX('Compliance Database'!$N$2:$N$1960,MATCH(1187,Engine!$C$2:$C$1960,0)))</f>
        <v/>
      </c>
      <c r="O1200" s="9">
        <f>IF(ISNA(MATCH(1187,Engine!$C$2:$C$1960,0)),"",INDEX('Compliance Database'!$O$2:$O$1960,MATCH(1187,Engine!$C$2:$C$1960,0)))</f>
        <v/>
      </c>
      <c r="P1200" s="8">
        <f>IF(ISNA(MATCH(1187,Engine!$C$2:$C$1960,0)),"",HYPERLINK("#Acts!A"&amp;INDEX('Compliance Database'!$P$2:$P$1960,MATCH(1187,Engine!$C$2:$C$1960,0)),"Go to Act"))</f>
        <v/>
      </c>
    </row>
    <row r="1201" ht="158" customHeight="1">
      <c r="A1201" s="8">
        <f>IF(ISNA(MATCH(1188,Engine!$C$2:$C$1960,0)),"",INDEX('Compliance Database'!$A$2:$A$1960,MATCH(1188,Engine!$C$2:$C$1960,0)))</f>
        <v/>
      </c>
      <c r="B1201" s="8">
        <f>IF(ISNA(MATCH(1188,Engine!$C$2:$C$1960,0)),"",INDEX('Compliance Database'!$B$2:$B$1960,MATCH(1188,Engine!$C$2:$C$1960,0)))</f>
        <v/>
      </c>
      <c r="C1201" s="8">
        <f>IF(ISNA(MATCH(1188,Engine!$C$2:$C$1960,0)),"",INDEX('Compliance Database'!$C$2:$C$1960,MATCH(1188,Engine!$C$2:$C$1960,0)))</f>
        <v/>
      </c>
      <c r="D1201" s="9">
        <f>IF(ISNA(MATCH(1188,Engine!$C$2:$C$1960,0)),"",INDEX('Compliance Database'!$D$2:$D$1960,MATCH(1188,Engine!$C$2:$C$1960,0)))</f>
        <v/>
      </c>
      <c r="E1201" s="8">
        <f>IF(ISNA(MATCH(1188,Engine!$C$2:$C$1960,0)),"",INDEX('Compliance Database'!$E$2:$E$1960,MATCH(1188,Engine!$C$2:$C$1960,0)))</f>
        <v/>
      </c>
      <c r="F1201" s="8">
        <f>IF(ISNA(MATCH(1188,Engine!$C$2:$C$1960,0)),"",INDEX('Compliance Database'!$F$2:$F$1960,MATCH(1188,Engine!$C$2:$C$1960,0)))</f>
        <v/>
      </c>
      <c r="G1201" s="8">
        <f>IF(ISNA(MATCH(1188,Engine!$C$2:$C$1960,0)),"",INDEX('Compliance Database'!$G$2:$G$1960,MATCH(1188,Engine!$C$2:$C$1960,0)))</f>
        <v/>
      </c>
      <c r="H1201" s="9">
        <f>IF(ISNA(MATCH(1188,Engine!$C$2:$C$1960,0)),"",INDEX('Compliance Database'!$H$2:$H$1960,MATCH(1188,Engine!$C$2:$C$1960,0)))</f>
        <v/>
      </c>
      <c r="I1201" s="9">
        <f>IF(ISNA(MATCH(1188,Engine!$C$2:$C$1960,0)),"",INDEX('Compliance Database'!$I$2:$I$1960,MATCH(1188,Engine!$C$2:$C$1960,0)))</f>
        <v/>
      </c>
      <c r="J1201" s="8">
        <f>IF(ISNA(MATCH(1188,Engine!$C$2:$C$1960,0)),"",INDEX('Compliance Database'!$J$2:$J$1960,MATCH(1188,Engine!$C$2:$C$1960,0)))</f>
        <v/>
      </c>
      <c r="K1201" s="9">
        <f>IF(ISNA(MATCH(1188,Engine!$C$2:$C$1960,0)),"",INDEX('Compliance Database'!$K$2:$K$1960,MATCH(1188,Engine!$C$2:$C$1960,0)))</f>
        <v/>
      </c>
      <c r="L1201" s="9">
        <f>IF(ISNA(MATCH(1188,Engine!$C$2:$C$1960,0)),"",INDEX('Compliance Database'!$L$2:$L$1960,MATCH(1188,Engine!$C$2:$C$1960,0)))</f>
        <v/>
      </c>
      <c r="M1201" s="9">
        <f>IF(ISNA(MATCH(1188,Engine!$C$2:$C$1960,0)),"",INDEX('Compliance Database'!$M$2:$M$1960,MATCH(1188,Engine!$C$2:$C$1960,0)))</f>
        <v/>
      </c>
      <c r="N1201" s="9">
        <f>IF(ISNA(MATCH(1188,Engine!$C$2:$C$1960,0)),"",INDEX('Compliance Database'!$N$2:$N$1960,MATCH(1188,Engine!$C$2:$C$1960,0)))</f>
        <v/>
      </c>
      <c r="O1201" s="9">
        <f>IF(ISNA(MATCH(1188,Engine!$C$2:$C$1960,0)),"",INDEX('Compliance Database'!$O$2:$O$1960,MATCH(1188,Engine!$C$2:$C$1960,0)))</f>
        <v/>
      </c>
      <c r="P1201" s="8">
        <f>IF(ISNA(MATCH(1188,Engine!$C$2:$C$1960,0)),"",HYPERLINK("#Acts!A"&amp;INDEX('Compliance Database'!$P$2:$P$1960,MATCH(1188,Engine!$C$2:$C$1960,0)),"Go to Act"))</f>
        <v/>
      </c>
    </row>
    <row r="1202" ht="158" customHeight="1">
      <c r="A1202" s="8">
        <f>IF(ISNA(MATCH(1189,Engine!$C$2:$C$1960,0)),"",INDEX('Compliance Database'!$A$2:$A$1960,MATCH(1189,Engine!$C$2:$C$1960,0)))</f>
        <v/>
      </c>
      <c r="B1202" s="8">
        <f>IF(ISNA(MATCH(1189,Engine!$C$2:$C$1960,0)),"",INDEX('Compliance Database'!$B$2:$B$1960,MATCH(1189,Engine!$C$2:$C$1960,0)))</f>
        <v/>
      </c>
      <c r="C1202" s="8">
        <f>IF(ISNA(MATCH(1189,Engine!$C$2:$C$1960,0)),"",INDEX('Compliance Database'!$C$2:$C$1960,MATCH(1189,Engine!$C$2:$C$1960,0)))</f>
        <v/>
      </c>
      <c r="D1202" s="9">
        <f>IF(ISNA(MATCH(1189,Engine!$C$2:$C$1960,0)),"",INDEX('Compliance Database'!$D$2:$D$1960,MATCH(1189,Engine!$C$2:$C$1960,0)))</f>
        <v/>
      </c>
      <c r="E1202" s="8">
        <f>IF(ISNA(MATCH(1189,Engine!$C$2:$C$1960,0)),"",INDEX('Compliance Database'!$E$2:$E$1960,MATCH(1189,Engine!$C$2:$C$1960,0)))</f>
        <v/>
      </c>
      <c r="F1202" s="8">
        <f>IF(ISNA(MATCH(1189,Engine!$C$2:$C$1960,0)),"",INDEX('Compliance Database'!$F$2:$F$1960,MATCH(1189,Engine!$C$2:$C$1960,0)))</f>
        <v/>
      </c>
      <c r="G1202" s="8">
        <f>IF(ISNA(MATCH(1189,Engine!$C$2:$C$1960,0)),"",INDEX('Compliance Database'!$G$2:$G$1960,MATCH(1189,Engine!$C$2:$C$1960,0)))</f>
        <v/>
      </c>
      <c r="H1202" s="9">
        <f>IF(ISNA(MATCH(1189,Engine!$C$2:$C$1960,0)),"",INDEX('Compliance Database'!$H$2:$H$1960,MATCH(1189,Engine!$C$2:$C$1960,0)))</f>
        <v/>
      </c>
      <c r="I1202" s="9">
        <f>IF(ISNA(MATCH(1189,Engine!$C$2:$C$1960,0)),"",INDEX('Compliance Database'!$I$2:$I$1960,MATCH(1189,Engine!$C$2:$C$1960,0)))</f>
        <v/>
      </c>
      <c r="J1202" s="8">
        <f>IF(ISNA(MATCH(1189,Engine!$C$2:$C$1960,0)),"",INDEX('Compliance Database'!$J$2:$J$1960,MATCH(1189,Engine!$C$2:$C$1960,0)))</f>
        <v/>
      </c>
      <c r="K1202" s="9">
        <f>IF(ISNA(MATCH(1189,Engine!$C$2:$C$1960,0)),"",INDEX('Compliance Database'!$K$2:$K$1960,MATCH(1189,Engine!$C$2:$C$1960,0)))</f>
        <v/>
      </c>
      <c r="L1202" s="9">
        <f>IF(ISNA(MATCH(1189,Engine!$C$2:$C$1960,0)),"",INDEX('Compliance Database'!$L$2:$L$1960,MATCH(1189,Engine!$C$2:$C$1960,0)))</f>
        <v/>
      </c>
      <c r="M1202" s="9">
        <f>IF(ISNA(MATCH(1189,Engine!$C$2:$C$1960,0)),"",INDEX('Compliance Database'!$M$2:$M$1960,MATCH(1189,Engine!$C$2:$C$1960,0)))</f>
        <v/>
      </c>
      <c r="N1202" s="9">
        <f>IF(ISNA(MATCH(1189,Engine!$C$2:$C$1960,0)),"",INDEX('Compliance Database'!$N$2:$N$1960,MATCH(1189,Engine!$C$2:$C$1960,0)))</f>
        <v/>
      </c>
      <c r="O1202" s="9">
        <f>IF(ISNA(MATCH(1189,Engine!$C$2:$C$1960,0)),"",INDEX('Compliance Database'!$O$2:$O$1960,MATCH(1189,Engine!$C$2:$C$1960,0)))</f>
        <v/>
      </c>
      <c r="P1202" s="8">
        <f>IF(ISNA(MATCH(1189,Engine!$C$2:$C$1960,0)),"",HYPERLINK("#Acts!A"&amp;INDEX('Compliance Database'!$P$2:$P$1960,MATCH(1189,Engine!$C$2:$C$1960,0)),"Go to Act"))</f>
        <v/>
      </c>
    </row>
    <row r="1203" ht="158" customHeight="1">
      <c r="A1203" s="8">
        <f>IF(ISNA(MATCH(1190,Engine!$C$2:$C$1960,0)),"",INDEX('Compliance Database'!$A$2:$A$1960,MATCH(1190,Engine!$C$2:$C$1960,0)))</f>
        <v/>
      </c>
      <c r="B1203" s="8">
        <f>IF(ISNA(MATCH(1190,Engine!$C$2:$C$1960,0)),"",INDEX('Compliance Database'!$B$2:$B$1960,MATCH(1190,Engine!$C$2:$C$1960,0)))</f>
        <v/>
      </c>
      <c r="C1203" s="8">
        <f>IF(ISNA(MATCH(1190,Engine!$C$2:$C$1960,0)),"",INDEX('Compliance Database'!$C$2:$C$1960,MATCH(1190,Engine!$C$2:$C$1960,0)))</f>
        <v/>
      </c>
      <c r="D1203" s="9">
        <f>IF(ISNA(MATCH(1190,Engine!$C$2:$C$1960,0)),"",INDEX('Compliance Database'!$D$2:$D$1960,MATCH(1190,Engine!$C$2:$C$1960,0)))</f>
        <v/>
      </c>
      <c r="E1203" s="8">
        <f>IF(ISNA(MATCH(1190,Engine!$C$2:$C$1960,0)),"",INDEX('Compliance Database'!$E$2:$E$1960,MATCH(1190,Engine!$C$2:$C$1960,0)))</f>
        <v/>
      </c>
      <c r="F1203" s="8">
        <f>IF(ISNA(MATCH(1190,Engine!$C$2:$C$1960,0)),"",INDEX('Compliance Database'!$F$2:$F$1960,MATCH(1190,Engine!$C$2:$C$1960,0)))</f>
        <v/>
      </c>
      <c r="G1203" s="8">
        <f>IF(ISNA(MATCH(1190,Engine!$C$2:$C$1960,0)),"",INDEX('Compliance Database'!$G$2:$G$1960,MATCH(1190,Engine!$C$2:$C$1960,0)))</f>
        <v/>
      </c>
      <c r="H1203" s="9">
        <f>IF(ISNA(MATCH(1190,Engine!$C$2:$C$1960,0)),"",INDEX('Compliance Database'!$H$2:$H$1960,MATCH(1190,Engine!$C$2:$C$1960,0)))</f>
        <v/>
      </c>
      <c r="I1203" s="9">
        <f>IF(ISNA(MATCH(1190,Engine!$C$2:$C$1960,0)),"",INDEX('Compliance Database'!$I$2:$I$1960,MATCH(1190,Engine!$C$2:$C$1960,0)))</f>
        <v/>
      </c>
      <c r="J1203" s="8">
        <f>IF(ISNA(MATCH(1190,Engine!$C$2:$C$1960,0)),"",INDEX('Compliance Database'!$J$2:$J$1960,MATCH(1190,Engine!$C$2:$C$1960,0)))</f>
        <v/>
      </c>
      <c r="K1203" s="9">
        <f>IF(ISNA(MATCH(1190,Engine!$C$2:$C$1960,0)),"",INDEX('Compliance Database'!$K$2:$K$1960,MATCH(1190,Engine!$C$2:$C$1960,0)))</f>
        <v/>
      </c>
      <c r="L1203" s="9">
        <f>IF(ISNA(MATCH(1190,Engine!$C$2:$C$1960,0)),"",INDEX('Compliance Database'!$L$2:$L$1960,MATCH(1190,Engine!$C$2:$C$1960,0)))</f>
        <v/>
      </c>
      <c r="M1203" s="9">
        <f>IF(ISNA(MATCH(1190,Engine!$C$2:$C$1960,0)),"",INDEX('Compliance Database'!$M$2:$M$1960,MATCH(1190,Engine!$C$2:$C$1960,0)))</f>
        <v/>
      </c>
      <c r="N1203" s="9">
        <f>IF(ISNA(MATCH(1190,Engine!$C$2:$C$1960,0)),"",INDEX('Compliance Database'!$N$2:$N$1960,MATCH(1190,Engine!$C$2:$C$1960,0)))</f>
        <v/>
      </c>
      <c r="O1203" s="9">
        <f>IF(ISNA(MATCH(1190,Engine!$C$2:$C$1960,0)),"",INDEX('Compliance Database'!$O$2:$O$1960,MATCH(1190,Engine!$C$2:$C$1960,0)))</f>
        <v/>
      </c>
      <c r="P1203" s="8">
        <f>IF(ISNA(MATCH(1190,Engine!$C$2:$C$1960,0)),"",HYPERLINK("#Acts!A"&amp;INDEX('Compliance Database'!$P$2:$P$1960,MATCH(1190,Engine!$C$2:$C$1960,0)),"Go to Act"))</f>
        <v/>
      </c>
    </row>
    <row r="1204" ht="158" customHeight="1">
      <c r="A1204" s="8">
        <f>IF(ISNA(MATCH(1191,Engine!$C$2:$C$1960,0)),"",INDEX('Compliance Database'!$A$2:$A$1960,MATCH(1191,Engine!$C$2:$C$1960,0)))</f>
        <v/>
      </c>
      <c r="B1204" s="8">
        <f>IF(ISNA(MATCH(1191,Engine!$C$2:$C$1960,0)),"",INDEX('Compliance Database'!$B$2:$B$1960,MATCH(1191,Engine!$C$2:$C$1960,0)))</f>
        <v/>
      </c>
      <c r="C1204" s="8">
        <f>IF(ISNA(MATCH(1191,Engine!$C$2:$C$1960,0)),"",INDEX('Compliance Database'!$C$2:$C$1960,MATCH(1191,Engine!$C$2:$C$1960,0)))</f>
        <v/>
      </c>
      <c r="D1204" s="9">
        <f>IF(ISNA(MATCH(1191,Engine!$C$2:$C$1960,0)),"",INDEX('Compliance Database'!$D$2:$D$1960,MATCH(1191,Engine!$C$2:$C$1960,0)))</f>
        <v/>
      </c>
      <c r="E1204" s="8">
        <f>IF(ISNA(MATCH(1191,Engine!$C$2:$C$1960,0)),"",INDEX('Compliance Database'!$E$2:$E$1960,MATCH(1191,Engine!$C$2:$C$1960,0)))</f>
        <v/>
      </c>
      <c r="F1204" s="8">
        <f>IF(ISNA(MATCH(1191,Engine!$C$2:$C$1960,0)),"",INDEX('Compliance Database'!$F$2:$F$1960,MATCH(1191,Engine!$C$2:$C$1960,0)))</f>
        <v/>
      </c>
      <c r="G1204" s="8">
        <f>IF(ISNA(MATCH(1191,Engine!$C$2:$C$1960,0)),"",INDEX('Compliance Database'!$G$2:$G$1960,MATCH(1191,Engine!$C$2:$C$1960,0)))</f>
        <v/>
      </c>
      <c r="H1204" s="9">
        <f>IF(ISNA(MATCH(1191,Engine!$C$2:$C$1960,0)),"",INDEX('Compliance Database'!$H$2:$H$1960,MATCH(1191,Engine!$C$2:$C$1960,0)))</f>
        <v/>
      </c>
      <c r="I1204" s="9">
        <f>IF(ISNA(MATCH(1191,Engine!$C$2:$C$1960,0)),"",INDEX('Compliance Database'!$I$2:$I$1960,MATCH(1191,Engine!$C$2:$C$1960,0)))</f>
        <v/>
      </c>
      <c r="J1204" s="8">
        <f>IF(ISNA(MATCH(1191,Engine!$C$2:$C$1960,0)),"",INDEX('Compliance Database'!$J$2:$J$1960,MATCH(1191,Engine!$C$2:$C$1960,0)))</f>
        <v/>
      </c>
      <c r="K1204" s="9">
        <f>IF(ISNA(MATCH(1191,Engine!$C$2:$C$1960,0)),"",INDEX('Compliance Database'!$K$2:$K$1960,MATCH(1191,Engine!$C$2:$C$1960,0)))</f>
        <v/>
      </c>
      <c r="L1204" s="9">
        <f>IF(ISNA(MATCH(1191,Engine!$C$2:$C$1960,0)),"",INDEX('Compliance Database'!$L$2:$L$1960,MATCH(1191,Engine!$C$2:$C$1960,0)))</f>
        <v/>
      </c>
      <c r="M1204" s="9">
        <f>IF(ISNA(MATCH(1191,Engine!$C$2:$C$1960,0)),"",INDEX('Compliance Database'!$M$2:$M$1960,MATCH(1191,Engine!$C$2:$C$1960,0)))</f>
        <v/>
      </c>
      <c r="N1204" s="9">
        <f>IF(ISNA(MATCH(1191,Engine!$C$2:$C$1960,0)),"",INDEX('Compliance Database'!$N$2:$N$1960,MATCH(1191,Engine!$C$2:$C$1960,0)))</f>
        <v/>
      </c>
      <c r="O1204" s="9">
        <f>IF(ISNA(MATCH(1191,Engine!$C$2:$C$1960,0)),"",INDEX('Compliance Database'!$O$2:$O$1960,MATCH(1191,Engine!$C$2:$C$1960,0)))</f>
        <v/>
      </c>
      <c r="P1204" s="8">
        <f>IF(ISNA(MATCH(1191,Engine!$C$2:$C$1960,0)),"",HYPERLINK("#Acts!A"&amp;INDEX('Compliance Database'!$P$2:$P$1960,MATCH(1191,Engine!$C$2:$C$1960,0)),"Go to Act"))</f>
        <v/>
      </c>
    </row>
    <row r="1205" ht="158" customHeight="1">
      <c r="A1205" s="8">
        <f>IF(ISNA(MATCH(1192,Engine!$C$2:$C$1960,0)),"",INDEX('Compliance Database'!$A$2:$A$1960,MATCH(1192,Engine!$C$2:$C$1960,0)))</f>
        <v/>
      </c>
      <c r="B1205" s="8">
        <f>IF(ISNA(MATCH(1192,Engine!$C$2:$C$1960,0)),"",INDEX('Compliance Database'!$B$2:$B$1960,MATCH(1192,Engine!$C$2:$C$1960,0)))</f>
        <v/>
      </c>
      <c r="C1205" s="8">
        <f>IF(ISNA(MATCH(1192,Engine!$C$2:$C$1960,0)),"",INDEX('Compliance Database'!$C$2:$C$1960,MATCH(1192,Engine!$C$2:$C$1960,0)))</f>
        <v/>
      </c>
      <c r="D1205" s="9">
        <f>IF(ISNA(MATCH(1192,Engine!$C$2:$C$1960,0)),"",INDEX('Compliance Database'!$D$2:$D$1960,MATCH(1192,Engine!$C$2:$C$1960,0)))</f>
        <v/>
      </c>
      <c r="E1205" s="8">
        <f>IF(ISNA(MATCH(1192,Engine!$C$2:$C$1960,0)),"",INDEX('Compliance Database'!$E$2:$E$1960,MATCH(1192,Engine!$C$2:$C$1960,0)))</f>
        <v/>
      </c>
      <c r="F1205" s="8">
        <f>IF(ISNA(MATCH(1192,Engine!$C$2:$C$1960,0)),"",INDEX('Compliance Database'!$F$2:$F$1960,MATCH(1192,Engine!$C$2:$C$1960,0)))</f>
        <v/>
      </c>
      <c r="G1205" s="8">
        <f>IF(ISNA(MATCH(1192,Engine!$C$2:$C$1960,0)),"",INDEX('Compliance Database'!$G$2:$G$1960,MATCH(1192,Engine!$C$2:$C$1960,0)))</f>
        <v/>
      </c>
      <c r="H1205" s="9">
        <f>IF(ISNA(MATCH(1192,Engine!$C$2:$C$1960,0)),"",INDEX('Compliance Database'!$H$2:$H$1960,MATCH(1192,Engine!$C$2:$C$1960,0)))</f>
        <v/>
      </c>
      <c r="I1205" s="9">
        <f>IF(ISNA(MATCH(1192,Engine!$C$2:$C$1960,0)),"",INDEX('Compliance Database'!$I$2:$I$1960,MATCH(1192,Engine!$C$2:$C$1960,0)))</f>
        <v/>
      </c>
      <c r="J1205" s="8">
        <f>IF(ISNA(MATCH(1192,Engine!$C$2:$C$1960,0)),"",INDEX('Compliance Database'!$J$2:$J$1960,MATCH(1192,Engine!$C$2:$C$1960,0)))</f>
        <v/>
      </c>
      <c r="K1205" s="9">
        <f>IF(ISNA(MATCH(1192,Engine!$C$2:$C$1960,0)),"",INDEX('Compliance Database'!$K$2:$K$1960,MATCH(1192,Engine!$C$2:$C$1960,0)))</f>
        <v/>
      </c>
      <c r="L1205" s="9">
        <f>IF(ISNA(MATCH(1192,Engine!$C$2:$C$1960,0)),"",INDEX('Compliance Database'!$L$2:$L$1960,MATCH(1192,Engine!$C$2:$C$1960,0)))</f>
        <v/>
      </c>
      <c r="M1205" s="9">
        <f>IF(ISNA(MATCH(1192,Engine!$C$2:$C$1960,0)),"",INDEX('Compliance Database'!$M$2:$M$1960,MATCH(1192,Engine!$C$2:$C$1960,0)))</f>
        <v/>
      </c>
      <c r="N1205" s="9">
        <f>IF(ISNA(MATCH(1192,Engine!$C$2:$C$1960,0)),"",INDEX('Compliance Database'!$N$2:$N$1960,MATCH(1192,Engine!$C$2:$C$1960,0)))</f>
        <v/>
      </c>
      <c r="O1205" s="9">
        <f>IF(ISNA(MATCH(1192,Engine!$C$2:$C$1960,0)),"",INDEX('Compliance Database'!$O$2:$O$1960,MATCH(1192,Engine!$C$2:$C$1960,0)))</f>
        <v/>
      </c>
      <c r="P1205" s="8">
        <f>IF(ISNA(MATCH(1192,Engine!$C$2:$C$1960,0)),"",HYPERLINK("#Acts!A"&amp;INDEX('Compliance Database'!$P$2:$P$1960,MATCH(1192,Engine!$C$2:$C$1960,0)),"Go to Act"))</f>
        <v/>
      </c>
    </row>
    <row r="1206" ht="158" customHeight="1">
      <c r="A1206" s="8">
        <f>IF(ISNA(MATCH(1193,Engine!$C$2:$C$1960,0)),"",INDEX('Compliance Database'!$A$2:$A$1960,MATCH(1193,Engine!$C$2:$C$1960,0)))</f>
        <v/>
      </c>
      <c r="B1206" s="8">
        <f>IF(ISNA(MATCH(1193,Engine!$C$2:$C$1960,0)),"",INDEX('Compliance Database'!$B$2:$B$1960,MATCH(1193,Engine!$C$2:$C$1960,0)))</f>
        <v/>
      </c>
      <c r="C1206" s="8">
        <f>IF(ISNA(MATCH(1193,Engine!$C$2:$C$1960,0)),"",INDEX('Compliance Database'!$C$2:$C$1960,MATCH(1193,Engine!$C$2:$C$1960,0)))</f>
        <v/>
      </c>
      <c r="D1206" s="9">
        <f>IF(ISNA(MATCH(1193,Engine!$C$2:$C$1960,0)),"",INDEX('Compliance Database'!$D$2:$D$1960,MATCH(1193,Engine!$C$2:$C$1960,0)))</f>
        <v/>
      </c>
      <c r="E1206" s="8">
        <f>IF(ISNA(MATCH(1193,Engine!$C$2:$C$1960,0)),"",INDEX('Compliance Database'!$E$2:$E$1960,MATCH(1193,Engine!$C$2:$C$1960,0)))</f>
        <v/>
      </c>
      <c r="F1206" s="8">
        <f>IF(ISNA(MATCH(1193,Engine!$C$2:$C$1960,0)),"",INDEX('Compliance Database'!$F$2:$F$1960,MATCH(1193,Engine!$C$2:$C$1960,0)))</f>
        <v/>
      </c>
      <c r="G1206" s="8">
        <f>IF(ISNA(MATCH(1193,Engine!$C$2:$C$1960,0)),"",INDEX('Compliance Database'!$G$2:$G$1960,MATCH(1193,Engine!$C$2:$C$1960,0)))</f>
        <v/>
      </c>
      <c r="H1206" s="9">
        <f>IF(ISNA(MATCH(1193,Engine!$C$2:$C$1960,0)),"",INDEX('Compliance Database'!$H$2:$H$1960,MATCH(1193,Engine!$C$2:$C$1960,0)))</f>
        <v/>
      </c>
      <c r="I1206" s="9">
        <f>IF(ISNA(MATCH(1193,Engine!$C$2:$C$1960,0)),"",INDEX('Compliance Database'!$I$2:$I$1960,MATCH(1193,Engine!$C$2:$C$1960,0)))</f>
        <v/>
      </c>
      <c r="J1206" s="8">
        <f>IF(ISNA(MATCH(1193,Engine!$C$2:$C$1960,0)),"",INDEX('Compliance Database'!$J$2:$J$1960,MATCH(1193,Engine!$C$2:$C$1960,0)))</f>
        <v/>
      </c>
      <c r="K1206" s="9">
        <f>IF(ISNA(MATCH(1193,Engine!$C$2:$C$1960,0)),"",INDEX('Compliance Database'!$K$2:$K$1960,MATCH(1193,Engine!$C$2:$C$1960,0)))</f>
        <v/>
      </c>
      <c r="L1206" s="9">
        <f>IF(ISNA(MATCH(1193,Engine!$C$2:$C$1960,0)),"",INDEX('Compliance Database'!$L$2:$L$1960,MATCH(1193,Engine!$C$2:$C$1960,0)))</f>
        <v/>
      </c>
      <c r="M1206" s="9">
        <f>IF(ISNA(MATCH(1193,Engine!$C$2:$C$1960,0)),"",INDEX('Compliance Database'!$M$2:$M$1960,MATCH(1193,Engine!$C$2:$C$1960,0)))</f>
        <v/>
      </c>
      <c r="N1206" s="9">
        <f>IF(ISNA(MATCH(1193,Engine!$C$2:$C$1960,0)),"",INDEX('Compliance Database'!$N$2:$N$1960,MATCH(1193,Engine!$C$2:$C$1960,0)))</f>
        <v/>
      </c>
      <c r="O1206" s="9">
        <f>IF(ISNA(MATCH(1193,Engine!$C$2:$C$1960,0)),"",INDEX('Compliance Database'!$O$2:$O$1960,MATCH(1193,Engine!$C$2:$C$1960,0)))</f>
        <v/>
      </c>
      <c r="P1206" s="8">
        <f>IF(ISNA(MATCH(1193,Engine!$C$2:$C$1960,0)),"",HYPERLINK("#Acts!A"&amp;INDEX('Compliance Database'!$P$2:$P$1960,MATCH(1193,Engine!$C$2:$C$1960,0)),"Go to Act"))</f>
        <v/>
      </c>
    </row>
    <row r="1207" ht="158" customHeight="1">
      <c r="A1207" s="8">
        <f>IF(ISNA(MATCH(1194,Engine!$C$2:$C$1960,0)),"",INDEX('Compliance Database'!$A$2:$A$1960,MATCH(1194,Engine!$C$2:$C$1960,0)))</f>
        <v/>
      </c>
      <c r="B1207" s="8">
        <f>IF(ISNA(MATCH(1194,Engine!$C$2:$C$1960,0)),"",INDEX('Compliance Database'!$B$2:$B$1960,MATCH(1194,Engine!$C$2:$C$1960,0)))</f>
        <v/>
      </c>
      <c r="C1207" s="8">
        <f>IF(ISNA(MATCH(1194,Engine!$C$2:$C$1960,0)),"",INDEX('Compliance Database'!$C$2:$C$1960,MATCH(1194,Engine!$C$2:$C$1960,0)))</f>
        <v/>
      </c>
      <c r="D1207" s="9">
        <f>IF(ISNA(MATCH(1194,Engine!$C$2:$C$1960,0)),"",INDEX('Compliance Database'!$D$2:$D$1960,MATCH(1194,Engine!$C$2:$C$1960,0)))</f>
        <v/>
      </c>
      <c r="E1207" s="8">
        <f>IF(ISNA(MATCH(1194,Engine!$C$2:$C$1960,0)),"",INDEX('Compliance Database'!$E$2:$E$1960,MATCH(1194,Engine!$C$2:$C$1960,0)))</f>
        <v/>
      </c>
      <c r="F1207" s="8">
        <f>IF(ISNA(MATCH(1194,Engine!$C$2:$C$1960,0)),"",INDEX('Compliance Database'!$F$2:$F$1960,MATCH(1194,Engine!$C$2:$C$1960,0)))</f>
        <v/>
      </c>
      <c r="G1207" s="8">
        <f>IF(ISNA(MATCH(1194,Engine!$C$2:$C$1960,0)),"",INDEX('Compliance Database'!$G$2:$G$1960,MATCH(1194,Engine!$C$2:$C$1960,0)))</f>
        <v/>
      </c>
      <c r="H1207" s="9">
        <f>IF(ISNA(MATCH(1194,Engine!$C$2:$C$1960,0)),"",INDEX('Compliance Database'!$H$2:$H$1960,MATCH(1194,Engine!$C$2:$C$1960,0)))</f>
        <v/>
      </c>
      <c r="I1207" s="9">
        <f>IF(ISNA(MATCH(1194,Engine!$C$2:$C$1960,0)),"",INDEX('Compliance Database'!$I$2:$I$1960,MATCH(1194,Engine!$C$2:$C$1960,0)))</f>
        <v/>
      </c>
      <c r="J1207" s="8">
        <f>IF(ISNA(MATCH(1194,Engine!$C$2:$C$1960,0)),"",INDEX('Compliance Database'!$J$2:$J$1960,MATCH(1194,Engine!$C$2:$C$1960,0)))</f>
        <v/>
      </c>
      <c r="K1207" s="9">
        <f>IF(ISNA(MATCH(1194,Engine!$C$2:$C$1960,0)),"",INDEX('Compliance Database'!$K$2:$K$1960,MATCH(1194,Engine!$C$2:$C$1960,0)))</f>
        <v/>
      </c>
      <c r="L1207" s="9">
        <f>IF(ISNA(MATCH(1194,Engine!$C$2:$C$1960,0)),"",INDEX('Compliance Database'!$L$2:$L$1960,MATCH(1194,Engine!$C$2:$C$1960,0)))</f>
        <v/>
      </c>
      <c r="M1207" s="9">
        <f>IF(ISNA(MATCH(1194,Engine!$C$2:$C$1960,0)),"",INDEX('Compliance Database'!$M$2:$M$1960,MATCH(1194,Engine!$C$2:$C$1960,0)))</f>
        <v/>
      </c>
      <c r="N1207" s="9">
        <f>IF(ISNA(MATCH(1194,Engine!$C$2:$C$1960,0)),"",INDEX('Compliance Database'!$N$2:$N$1960,MATCH(1194,Engine!$C$2:$C$1960,0)))</f>
        <v/>
      </c>
      <c r="O1207" s="9">
        <f>IF(ISNA(MATCH(1194,Engine!$C$2:$C$1960,0)),"",INDEX('Compliance Database'!$O$2:$O$1960,MATCH(1194,Engine!$C$2:$C$1960,0)))</f>
        <v/>
      </c>
      <c r="P1207" s="8">
        <f>IF(ISNA(MATCH(1194,Engine!$C$2:$C$1960,0)),"",HYPERLINK("#Acts!A"&amp;INDEX('Compliance Database'!$P$2:$P$1960,MATCH(1194,Engine!$C$2:$C$1960,0)),"Go to Act"))</f>
        <v/>
      </c>
    </row>
    <row r="1208" ht="158" customHeight="1">
      <c r="A1208" s="8">
        <f>IF(ISNA(MATCH(1195,Engine!$C$2:$C$1960,0)),"",INDEX('Compliance Database'!$A$2:$A$1960,MATCH(1195,Engine!$C$2:$C$1960,0)))</f>
        <v/>
      </c>
      <c r="B1208" s="8">
        <f>IF(ISNA(MATCH(1195,Engine!$C$2:$C$1960,0)),"",INDEX('Compliance Database'!$B$2:$B$1960,MATCH(1195,Engine!$C$2:$C$1960,0)))</f>
        <v/>
      </c>
      <c r="C1208" s="8">
        <f>IF(ISNA(MATCH(1195,Engine!$C$2:$C$1960,0)),"",INDEX('Compliance Database'!$C$2:$C$1960,MATCH(1195,Engine!$C$2:$C$1960,0)))</f>
        <v/>
      </c>
      <c r="D1208" s="9">
        <f>IF(ISNA(MATCH(1195,Engine!$C$2:$C$1960,0)),"",INDEX('Compliance Database'!$D$2:$D$1960,MATCH(1195,Engine!$C$2:$C$1960,0)))</f>
        <v/>
      </c>
      <c r="E1208" s="8">
        <f>IF(ISNA(MATCH(1195,Engine!$C$2:$C$1960,0)),"",INDEX('Compliance Database'!$E$2:$E$1960,MATCH(1195,Engine!$C$2:$C$1960,0)))</f>
        <v/>
      </c>
      <c r="F1208" s="8">
        <f>IF(ISNA(MATCH(1195,Engine!$C$2:$C$1960,0)),"",INDEX('Compliance Database'!$F$2:$F$1960,MATCH(1195,Engine!$C$2:$C$1960,0)))</f>
        <v/>
      </c>
      <c r="G1208" s="8">
        <f>IF(ISNA(MATCH(1195,Engine!$C$2:$C$1960,0)),"",INDEX('Compliance Database'!$G$2:$G$1960,MATCH(1195,Engine!$C$2:$C$1960,0)))</f>
        <v/>
      </c>
      <c r="H1208" s="9">
        <f>IF(ISNA(MATCH(1195,Engine!$C$2:$C$1960,0)),"",INDEX('Compliance Database'!$H$2:$H$1960,MATCH(1195,Engine!$C$2:$C$1960,0)))</f>
        <v/>
      </c>
      <c r="I1208" s="9">
        <f>IF(ISNA(MATCH(1195,Engine!$C$2:$C$1960,0)),"",INDEX('Compliance Database'!$I$2:$I$1960,MATCH(1195,Engine!$C$2:$C$1960,0)))</f>
        <v/>
      </c>
      <c r="J1208" s="8">
        <f>IF(ISNA(MATCH(1195,Engine!$C$2:$C$1960,0)),"",INDEX('Compliance Database'!$J$2:$J$1960,MATCH(1195,Engine!$C$2:$C$1960,0)))</f>
        <v/>
      </c>
      <c r="K1208" s="9">
        <f>IF(ISNA(MATCH(1195,Engine!$C$2:$C$1960,0)),"",INDEX('Compliance Database'!$K$2:$K$1960,MATCH(1195,Engine!$C$2:$C$1960,0)))</f>
        <v/>
      </c>
      <c r="L1208" s="9">
        <f>IF(ISNA(MATCH(1195,Engine!$C$2:$C$1960,0)),"",INDEX('Compliance Database'!$L$2:$L$1960,MATCH(1195,Engine!$C$2:$C$1960,0)))</f>
        <v/>
      </c>
      <c r="M1208" s="9">
        <f>IF(ISNA(MATCH(1195,Engine!$C$2:$C$1960,0)),"",INDEX('Compliance Database'!$M$2:$M$1960,MATCH(1195,Engine!$C$2:$C$1960,0)))</f>
        <v/>
      </c>
      <c r="N1208" s="9">
        <f>IF(ISNA(MATCH(1195,Engine!$C$2:$C$1960,0)),"",INDEX('Compliance Database'!$N$2:$N$1960,MATCH(1195,Engine!$C$2:$C$1960,0)))</f>
        <v/>
      </c>
      <c r="O1208" s="9">
        <f>IF(ISNA(MATCH(1195,Engine!$C$2:$C$1960,0)),"",INDEX('Compliance Database'!$O$2:$O$1960,MATCH(1195,Engine!$C$2:$C$1960,0)))</f>
        <v/>
      </c>
      <c r="P1208" s="8">
        <f>IF(ISNA(MATCH(1195,Engine!$C$2:$C$1960,0)),"",HYPERLINK("#Acts!A"&amp;INDEX('Compliance Database'!$P$2:$P$1960,MATCH(1195,Engine!$C$2:$C$1960,0)),"Go to Act"))</f>
        <v/>
      </c>
    </row>
    <row r="1209" ht="158" customHeight="1">
      <c r="A1209" s="8">
        <f>IF(ISNA(MATCH(1196,Engine!$C$2:$C$1960,0)),"",INDEX('Compliance Database'!$A$2:$A$1960,MATCH(1196,Engine!$C$2:$C$1960,0)))</f>
        <v/>
      </c>
      <c r="B1209" s="8">
        <f>IF(ISNA(MATCH(1196,Engine!$C$2:$C$1960,0)),"",INDEX('Compliance Database'!$B$2:$B$1960,MATCH(1196,Engine!$C$2:$C$1960,0)))</f>
        <v/>
      </c>
      <c r="C1209" s="8">
        <f>IF(ISNA(MATCH(1196,Engine!$C$2:$C$1960,0)),"",INDEX('Compliance Database'!$C$2:$C$1960,MATCH(1196,Engine!$C$2:$C$1960,0)))</f>
        <v/>
      </c>
      <c r="D1209" s="9">
        <f>IF(ISNA(MATCH(1196,Engine!$C$2:$C$1960,0)),"",INDEX('Compliance Database'!$D$2:$D$1960,MATCH(1196,Engine!$C$2:$C$1960,0)))</f>
        <v/>
      </c>
      <c r="E1209" s="8">
        <f>IF(ISNA(MATCH(1196,Engine!$C$2:$C$1960,0)),"",INDEX('Compliance Database'!$E$2:$E$1960,MATCH(1196,Engine!$C$2:$C$1960,0)))</f>
        <v/>
      </c>
      <c r="F1209" s="8">
        <f>IF(ISNA(MATCH(1196,Engine!$C$2:$C$1960,0)),"",INDEX('Compliance Database'!$F$2:$F$1960,MATCH(1196,Engine!$C$2:$C$1960,0)))</f>
        <v/>
      </c>
      <c r="G1209" s="8">
        <f>IF(ISNA(MATCH(1196,Engine!$C$2:$C$1960,0)),"",INDEX('Compliance Database'!$G$2:$G$1960,MATCH(1196,Engine!$C$2:$C$1960,0)))</f>
        <v/>
      </c>
      <c r="H1209" s="9">
        <f>IF(ISNA(MATCH(1196,Engine!$C$2:$C$1960,0)),"",INDEX('Compliance Database'!$H$2:$H$1960,MATCH(1196,Engine!$C$2:$C$1960,0)))</f>
        <v/>
      </c>
      <c r="I1209" s="9">
        <f>IF(ISNA(MATCH(1196,Engine!$C$2:$C$1960,0)),"",INDEX('Compliance Database'!$I$2:$I$1960,MATCH(1196,Engine!$C$2:$C$1960,0)))</f>
        <v/>
      </c>
      <c r="J1209" s="8">
        <f>IF(ISNA(MATCH(1196,Engine!$C$2:$C$1960,0)),"",INDEX('Compliance Database'!$J$2:$J$1960,MATCH(1196,Engine!$C$2:$C$1960,0)))</f>
        <v/>
      </c>
      <c r="K1209" s="9">
        <f>IF(ISNA(MATCH(1196,Engine!$C$2:$C$1960,0)),"",INDEX('Compliance Database'!$K$2:$K$1960,MATCH(1196,Engine!$C$2:$C$1960,0)))</f>
        <v/>
      </c>
      <c r="L1209" s="9">
        <f>IF(ISNA(MATCH(1196,Engine!$C$2:$C$1960,0)),"",INDEX('Compliance Database'!$L$2:$L$1960,MATCH(1196,Engine!$C$2:$C$1960,0)))</f>
        <v/>
      </c>
      <c r="M1209" s="9">
        <f>IF(ISNA(MATCH(1196,Engine!$C$2:$C$1960,0)),"",INDEX('Compliance Database'!$M$2:$M$1960,MATCH(1196,Engine!$C$2:$C$1960,0)))</f>
        <v/>
      </c>
      <c r="N1209" s="9">
        <f>IF(ISNA(MATCH(1196,Engine!$C$2:$C$1960,0)),"",INDEX('Compliance Database'!$N$2:$N$1960,MATCH(1196,Engine!$C$2:$C$1960,0)))</f>
        <v/>
      </c>
      <c r="O1209" s="9">
        <f>IF(ISNA(MATCH(1196,Engine!$C$2:$C$1960,0)),"",INDEX('Compliance Database'!$O$2:$O$1960,MATCH(1196,Engine!$C$2:$C$1960,0)))</f>
        <v/>
      </c>
      <c r="P1209" s="8">
        <f>IF(ISNA(MATCH(1196,Engine!$C$2:$C$1960,0)),"",HYPERLINK("#Acts!A"&amp;INDEX('Compliance Database'!$P$2:$P$1960,MATCH(1196,Engine!$C$2:$C$1960,0)),"Go to Act"))</f>
        <v/>
      </c>
    </row>
    <row r="1210" ht="158" customHeight="1">
      <c r="A1210" s="8">
        <f>IF(ISNA(MATCH(1197,Engine!$C$2:$C$1960,0)),"",INDEX('Compliance Database'!$A$2:$A$1960,MATCH(1197,Engine!$C$2:$C$1960,0)))</f>
        <v/>
      </c>
      <c r="B1210" s="8">
        <f>IF(ISNA(MATCH(1197,Engine!$C$2:$C$1960,0)),"",INDEX('Compliance Database'!$B$2:$B$1960,MATCH(1197,Engine!$C$2:$C$1960,0)))</f>
        <v/>
      </c>
      <c r="C1210" s="8">
        <f>IF(ISNA(MATCH(1197,Engine!$C$2:$C$1960,0)),"",INDEX('Compliance Database'!$C$2:$C$1960,MATCH(1197,Engine!$C$2:$C$1960,0)))</f>
        <v/>
      </c>
      <c r="D1210" s="9">
        <f>IF(ISNA(MATCH(1197,Engine!$C$2:$C$1960,0)),"",INDEX('Compliance Database'!$D$2:$D$1960,MATCH(1197,Engine!$C$2:$C$1960,0)))</f>
        <v/>
      </c>
      <c r="E1210" s="8">
        <f>IF(ISNA(MATCH(1197,Engine!$C$2:$C$1960,0)),"",INDEX('Compliance Database'!$E$2:$E$1960,MATCH(1197,Engine!$C$2:$C$1960,0)))</f>
        <v/>
      </c>
      <c r="F1210" s="8">
        <f>IF(ISNA(MATCH(1197,Engine!$C$2:$C$1960,0)),"",INDEX('Compliance Database'!$F$2:$F$1960,MATCH(1197,Engine!$C$2:$C$1960,0)))</f>
        <v/>
      </c>
      <c r="G1210" s="8">
        <f>IF(ISNA(MATCH(1197,Engine!$C$2:$C$1960,0)),"",INDEX('Compliance Database'!$G$2:$G$1960,MATCH(1197,Engine!$C$2:$C$1960,0)))</f>
        <v/>
      </c>
      <c r="H1210" s="9">
        <f>IF(ISNA(MATCH(1197,Engine!$C$2:$C$1960,0)),"",INDEX('Compliance Database'!$H$2:$H$1960,MATCH(1197,Engine!$C$2:$C$1960,0)))</f>
        <v/>
      </c>
      <c r="I1210" s="9">
        <f>IF(ISNA(MATCH(1197,Engine!$C$2:$C$1960,0)),"",INDEX('Compliance Database'!$I$2:$I$1960,MATCH(1197,Engine!$C$2:$C$1960,0)))</f>
        <v/>
      </c>
      <c r="J1210" s="8">
        <f>IF(ISNA(MATCH(1197,Engine!$C$2:$C$1960,0)),"",INDEX('Compliance Database'!$J$2:$J$1960,MATCH(1197,Engine!$C$2:$C$1960,0)))</f>
        <v/>
      </c>
      <c r="K1210" s="9">
        <f>IF(ISNA(MATCH(1197,Engine!$C$2:$C$1960,0)),"",INDEX('Compliance Database'!$K$2:$K$1960,MATCH(1197,Engine!$C$2:$C$1960,0)))</f>
        <v/>
      </c>
      <c r="L1210" s="9">
        <f>IF(ISNA(MATCH(1197,Engine!$C$2:$C$1960,0)),"",INDEX('Compliance Database'!$L$2:$L$1960,MATCH(1197,Engine!$C$2:$C$1960,0)))</f>
        <v/>
      </c>
      <c r="M1210" s="9">
        <f>IF(ISNA(MATCH(1197,Engine!$C$2:$C$1960,0)),"",INDEX('Compliance Database'!$M$2:$M$1960,MATCH(1197,Engine!$C$2:$C$1960,0)))</f>
        <v/>
      </c>
      <c r="N1210" s="9">
        <f>IF(ISNA(MATCH(1197,Engine!$C$2:$C$1960,0)),"",INDEX('Compliance Database'!$N$2:$N$1960,MATCH(1197,Engine!$C$2:$C$1960,0)))</f>
        <v/>
      </c>
      <c r="O1210" s="9">
        <f>IF(ISNA(MATCH(1197,Engine!$C$2:$C$1960,0)),"",INDEX('Compliance Database'!$O$2:$O$1960,MATCH(1197,Engine!$C$2:$C$1960,0)))</f>
        <v/>
      </c>
      <c r="P1210" s="8">
        <f>IF(ISNA(MATCH(1197,Engine!$C$2:$C$1960,0)),"",HYPERLINK("#Acts!A"&amp;INDEX('Compliance Database'!$P$2:$P$1960,MATCH(1197,Engine!$C$2:$C$1960,0)),"Go to Act"))</f>
        <v/>
      </c>
    </row>
    <row r="1211" ht="158" customHeight="1">
      <c r="A1211" s="8">
        <f>IF(ISNA(MATCH(1198,Engine!$C$2:$C$1960,0)),"",INDEX('Compliance Database'!$A$2:$A$1960,MATCH(1198,Engine!$C$2:$C$1960,0)))</f>
        <v/>
      </c>
      <c r="B1211" s="8">
        <f>IF(ISNA(MATCH(1198,Engine!$C$2:$C$1960,0)),"",INDEX('Compliance Database'!$B$2:$B$1960,MATCH(1198,Engine!$C$2:$C$1960,0)))</f>
        <v/>
      </c>
      <c r="C1211" s="8">
        <f>IF(ISNA(MATCH(1198,Engine!$C$2:$C$1960,0)),"",INDEX('Compliance Database'!$C$2:$C$1960,MATCH(1198,Engine!$C$2:$C$1960,0)))</f>
        <v/>
      </c>
      <c r="D1211" s="9">
        <f>IF(ISNA(MATCH(1198,Engine!$C$2:$C$1960,0)),"",INDEX('Compliance Database'!$D$2:$D$1960,MATCH(1198,Engine!$C$2:$C$1960,0)))</f>
        <v/>
      </c>
      <c r="E1211" s="8">
        <f>IF(ISNA(MATCH(1198,Engine!$C$2:$C$1960,0)),"",INDEX('Compliance Database'!$E$2:$E$1960,MATCH(1198,Engine!$C$2:$C$1960,0)))</f>
        <v/>
      </c>
      <c r="F1211" s="8">
        <f>IF(ISNA(MATCH(1198,Engine!$C$2:$C$1960,0)),"",INDEX('Compliance Database'!$F$2:$F$1960,MATCH(1198,Engine!$C$2:$C$1960,0)))</f>
        <v/>
      </c>
      <c r="G1211" s="8">
        <f>IF(ISNA(MATCH(1198,Engine!$C$2:$C$1960,0)),"",INDEX('Compliance Database'!$G$2:$G$1960,MATCH(1198,Engine!$C$2:$C$1960,0)))</f>
        <v/>
      </c>
      <c r="H1211" s="9">
        <f>IF(ISNA(MATCH(1198,Engine!$C$2:$C$1960,0)),"",INDEX('Compliance Database'!$H$2:$H$1960,MATCH(1198,Engine!$C$2:$C$1960,0)))</f>
        <v/>
      </c>
      <c r="I1211" s="9">
        <f>IF(ISNA(MATCH(1198,Engine!$C$2:$C$1960,0)),"",INDEX('Compliance Database'!$I$2:$I$1960,MATCH(1198,Engine!$C$2:$C$1960,0)))</f>
        <v/>
      </c>
      <c r="J1211" s="8">
        <f>IF(ISNA(MATCH(1198,Engine!$C$2:$C$1960,0)),"",INDEX('Compliance Database'!$J$2:$J$1960,MATCH(1198,Engine!$C$2:$C$1960,0)))</f>
        <v/>
      </c>
      <c r="K1211" s="9">
        <f>IF(ISNA(MATCH(1198,Engine!$C$2:$C$1960,0)),"",INDEX('Compliance Database'!$K$2:$K$1960,MATCH(1198,Engine!$C$2:$C$1960,0)))</f>
        <v/>
      </c>
      <c r="L1211" s="9">
        <f>IF(ISNA(MATCH(1198,Engine!$C$2:$C$1960,0)),"",INDEX('Compliance Database'!$L$2:$L$1960,MATCH(1198,Engine!$C$2:$C$1960,0)))</f>
        <v/>
      </c>
      <c r="M1211" s="9">
        <f>IF(ISNA(MATCH(1198,Engine!$C$2:$C$1960,0)),"",INDEX('Compliance Database'!$M$2:$M$1960,MATCH(1198,Engine!$C$2:$C$1960,0)))</f>
        <v/>
      </c>
      <c r="N1211" s="9">
        <f>IF(ISNA(MATCH(1198,Engine!$C$2:$C$1960,0)),"",INDEX('Compliance Database'!$N$2:$N$1960,MATCH(1198,Engine!$C$2:$C$1960,0)))</f>
        <v/>
      </c>
      <c r="O1211" s="9">
        <f>IF(ISNA(MATCH(1198,Engine!$C$2:$C$1960,0)),"",INDEX('Compliance Database'!$O$2:$O$1960,MATCH(1198,Engine!$C$2:$C$1960,0)))</f>
        <v/>
      </c>
      <c r="P1211" s="8">
        <f>IF(ISNA(MATCH(1198,Engine!$C$2:$C$1960,0)),"",HYPERLINK("#Acts!A"&amp;INDEX('Compliance Database'!$P$2:$P$1960,MATCH(1198,Engine!$C$2:$C$1960,0)),"Go to Act"))</f>
        <v/>
      </c>
    </row>
    <row r="1212" ht="158" customHeight="1">
      <c r="A1212" s="8">
        <f>IF(ISNA(MATCH(1199,Engine!$C$2:$C$1960,0)),"",INDEX('Compliance Database'!$A$2:$A$1960,MATCH(1199,Engine!$C$2:$C$1960,0)))</f>
        <v/>
      </c>
      <c r="B1212" s="8">
        <f>IF(ISNA(MATCH(1199,Engine!$C$2:$C$1960,0)),"",INDEX('Compliance Database'!$B$2:$B$1960,MATCH(1199,Engine!$C$2:$C$1960,0)))</f>
        <v/>
      </c>
      <c r="C1212" s="8">
        <f>IF(ISNA(MATCH(1199,Engine!$C$2:$C$1960,0)),"",INDEX('Compliance Database'!$C$2:$C$1960,MATCH(1199,Engine!$C$2:$C$1960,0)))</f>
        <v/>
      </c>
      <c r="D1212" s="9">
        <f>IF(ISNA(MATCH(1199,Engine!$C$2:$C$1960,0)),"",INDEX('Compliance Database'!$D$2:$D$1960,MATCH(1199,Engine!$C$2:$C$1960,0)))</f>
        <v/>
      </c>
      <c r="E1212" s="8">
        <f>IF(ISNA(MATCH(1199,Engine!$C$2:$C$1960,0)),"",INDEX('Compliance Database'!$E$2:$E$1960,MATCH(1199,Engine!$C$2:$C$1960,0)))</f>
        <v/>
      </c>
      <c r="F1212" s="8">
        <f>IF(ISNA(MATCH(1199,Engine!$C$2:$C$1960,0)),"",INDEX('Compliance Database'!$F$2:$F$1960,MATCH(1199,Engine!$C$2:$C$1960,0)))</f>
        <v/>
      </c>
      <c r="G1212" s="8">
        <f>IF(ISNA(MATCH(1199,Engine!$C$2:$C$1960,0)),"",INDEX('Compliance Database'!$G$2:$G$1960,MATCH(1199,Engine!$C$2:$C$1960,0)))</f>
        <v/>
      </c>
      <c r="H1212" s="9">
        <f>IF(ISNA(MATCH(1199,Engine!$C$2:$C$1960,0)),"",INDEX('Compliance Database'!$H$2:$H$1960,MATCH(1199,Engine!$C$2:$C$1960,0)))</f>
        <v/>
      </c>
      <c r="I1212" s="9">
        <f>IF(ISNA(MATCH(1199,Engine!$C$2:$C$1960,0)),"",INDEX('Compliance Database'!$I$2:$I$1960,MATCH(1199,Engine!$C$2:$C$1960,0)))</f>
        <v/>
      </c>
      <c r="J1212" s="8">
        <f>IF(ISNA(MATCH(1199,Engine!$C$2:$C$1960,0)),"",INDEX('Compliance Database'!$J$2:$J$1960,MATCH(1199,Engine!$C$2:$C$1960,0)))</f>
        <v/>
      </c>
      <c r="K1212" s="9">
        <f>IF(ISNA(MATCH(1199,Engine!$C$2:$C$1960,0)),"",INDEX('Compliance Database'!$K$2:$K$1960,MATCH(1199,Engine!$C$2:$C$1960,0)))</f>
        <v/>
      </c>
      <c r="L1212" s="9">
        <f>IF(ISNA(MATCH(1199,Engine!$C$2:$C$1960,0)),"",INDEX('Compliance Database'!$L$2:$L$1960,MATCH(1199,Engine!$C$2:$C$1960,0)))</f>
        <v/>
      </c>
      <c r="M1212" s="9">
        <f>IF(ISNA(MATCH(1199,Engine!$C$2:$C$1960,0)),"",INDEX('Compliance Database'!$M$2:$M$1960,MATCH(1199,Engine!$C$2:$C$1960,0)))</f>
        <v/>
      </c>
      <c r="N1212" s="9">
        <f>IF(ISNA(MATCH(1199,Engine!$C$2:$C$1960,0)),"",INDEX('Compliance Database'!$N$2:$N$1960,MATCH(1199,Engine!$C$2:$C$1960,0)))</f>
        <v/>
      </c>
      <c r="O1212" s="9">
        <f>IF(ISNA(MATCH(1199,Engine!$C$2:$C$1960,0)),"",INDEX('Compliance Database'!$O$2:$O$1960,MATCH(1199,Engine!$C$2:$C$1960,0)))</f>
        <v/>
      </c>
      <c r="P1212" s="8">
        <f>IF(ISNA(MATCH(1199,Engine!$C$2:$C$1960,0)),"",HYPERLINK("#Acts!A"&amp;INDEX('Compliance Database'!$P$2:$P$1960,MATCH(1199,Engine!$C$2:$C$1960,0)),"Go to Act"))</f>
        <v/>
      </c>
    </row>
    <row r="1213" ht="158" customHeight="1">
      <c r="A1213" s="8">
        <f>IF(ISNA(MATCH(1200,Engine!$C$2:$C$1960,0)),"",INDEX('Compliance Database'!$A$2:$A$1960,MATCH(1200,Engine!$C$2:$C$1960,0)))</f>
        <v/>
      </c>
      <c r="B1213" s="8">
        <f>IF(ISNA(MATCH(1200,Engine!$C$2:$C$1960,0)),"",INDEX('Compliance Database'!$B$2:$B$1960,MATCH(1200,Engine!$C$2:$C$1960,0)))</f>
        <v/>
      </c>
      <c r="C1213" s="8">
        <f>IF(ISNA(MATCH(1200,Engine!$C$2:$C$1960,0)),"",INDEX('Compliance Database'!$C$2:$C$1960,MATCH(1200,Engine!$C$2:$C$1960,0)))</f>
        <v/>
      </c>
      <c r="D1213" s="9">
        <f>IF(ISNA(MATCH(1200,Engine!$C$2:$C$1960,0)),"",INDEX('Compliance Database'!$D$2:$D$1960,MATCH(1200,Engine!$C$2:$C$1960,0)))</f>
        <v/>
      </c>
      <c r="E1213" s="8">
        <f>IF(ISNA(MATCH(1200,Engine!$C$2:$C$1960,0)),"",INDEX('Compliance Database'!$E$2:$E$1960,MATCH(1200,Engine!$C$2:$C$1960,0)))</f>
        <v/>
      </c>
      <c r="F1213" s="8">
        <f>IF(ISNA(MATCH(1200,Engine!$C$2:$C$1960,0)),"",INDEX('Compliance Database'!$F$2:$F$1960,MATCH(1200,Engine!$C$2:$C$1960,0)))</f>
        <v/>
      </c>
      <c r="G1213" s="8">
        <f>IF(ISNA(MATCH(1200,Engine!$C$2:$C$1960,0)),"",INDEX('Compliance Database'!$G$2:$G$1960,MATCH(1200,Engine!$C$2:$C$1960,0)))</f>
        <v/>
      </c>
      <c r="H1213" s="9">
        <f>IF(ISNA(MATCH(1200,Engine!$C$2:$C$1960,0)),"",INDEX('Compliance Database'!$H$2:$H$1960,MATCH(1200,Engine!$C$2:$C$1960,0)))</f>
        <v/>
      </c>
      <c r="I1213" s="9">
        <f>IF(ISNA(MATCH(1200,Engine!$C$2:$C$1960,0)),"",INDEX('Compliance Database'!$I$2:$I$1960,MATCH(1200,Engine!$C$2:$C$1960,0)))</f>
        <v/>
      </c>
      <c r="J1213" s="8">
        <f>IF(ISNA(MATCH(1200,Engine!$C$2:$C$1960,0)),"",INDEX('Compliance Database'!$J$2:$J$1960,MATCH(1200,Engine!$C$2:$C$1960,0)))</f>
        <v/>
      </c>
      <c r="K1213" s="9">
        <f>IF(ISNA(MATCH(1200,Engine!$C$2:$C$1960,0)),"",INDEX('Compliance Database'!$K$2:$K$1960,MATCH(1200,Engine!$C$2:$C$1960,0)))</f>
        <v/>
      </c>
      <c r="L1213" s="9">
        <f>IF(ISNA(MATCH(1200,Engine!$C$2:$C$1960,0)),"",INDEX('Compliance Database'!$L$2:$L$1960,MATCH(1200,Engine!$C$2:$C$1960,0)))</f>
        <v/>
      </c>
      <c r="M1213" s="9">
        <f>IF(ISNA(MATCH(1200,Engine!$C$2:$C$1960,0)),"",INDEX('Compliance Database'!$M$2:$M$1960,MATCH(1200,Engine!$C$2:$C$1960,0)))</f>
        <v/>
      </c>
      <c r="N1213" s="9">
        <f>IF(ISNA(MATCH(1200,Engine!$C$2:$C$1960,0)),"",INDEX('Compliance Database'!$N$2:$N$1960,MATCH(1200,Engine!$C$2:$C$1960,0)))</f>
        <v/>
      </c>
      <c r="O1213" s="9">
        <f>IF(ISNA(MATCH(1200,Engine!$C$2:$C$1960,0)),"",INDEX('Compliance Database'!$O$2:$O$1960,MATCH(1200,Engine!$C$2:$C$1960,0)))</f>
        <v/>
      </c>
      <c r="P1213" s="8">
        <f>IF(ISNA(MATCH(1200,Engine!$C$2:$C$1960,0)),"",HYPERLINK("#Acts!A"&amp;INDEX('Compliance Database'!$P$2:$P$1960,MATCH(1200,Engine!$C$2:$C$1960,0)),"Go to Act"))</f>
        <v/>
      </c>
    </row>
    <row r="1214" ht="158" customHeight="1">
      <c r="A1214" s="8">
        <f>IF(ISNA(MATCH(1201,Engine!$C$2:$C$1960,0)),"",INDEX('Compliance Database'!$A$2:$A$1960,MATCH(1201,Engine!$C$2:$C$1960,0)))</f>
        <v/>
      </c>
      <c r="B1214" s="8">
        <f>IF(ISNA(MATCH(1201,Engine!$C$2:$C$1960,0)),"",INDEX('Compliance Database'!$B$2:$B$1960,MATCH(1201,Engine!$C$2:$C$1960,0)))</f>
        <v/>
      </c>
      <c r="C1214" s="8">
        <f>IF(ISNA(MATCH(1201,Engine!$C$2:$C$1960,0)),"",INDEX('Compliance Database'!$C$2:$C$1960,MATCH(1201,Engine!$C$2:$C$1960,0)))</f>
        <v/>
      </c>
      <c r="D1214" s="9">
        <f>IF(ISNA(MATCH(1201,Engine!$C$2:$C$1960,0)),"",INDEX('Compliance Database'!$D$2:$D$1960,MATCH(1201,Engine!$C$2:$C$1960,0)))</f>
        <v/>
      </c>
      <c r="E1214" s="8">
        <f>IF(ISNA(MATCH(1201,Engine!$C$2:$C$1960,0)),"",INDEX('Compliance Database'!$E$2:$E$1960,MATCH(1201,Engine!$C$2:$C$1960,0)))</f>
        <v/>
      </c>
      <c r="F1214" s="8">
        <f>IF(ISNA(MATCH(1201,Engine!$C$2:$C$1960,0)),"",INDEX('Compliance Database'!$F$2:$F$1960,MATCH(1201,Engine!$C$2:$C$1960,0)))</f>
        <v/>
      </c>
      <c r="G1214" s="8">
        <f>IF(ISNA(MATCH(1201,Engine!$C$2:$C$1960,0)),"",INDEX('Compliance Database'!$G$2:$G$1960,MATCH(1201,Engine!$C$2:$C$1960,0)))</f>
        <v/>
      </c>
      <c r="H1214" s="9">
        <f>IF(ISNA(MATCH(1201,Engine!$C$2:$C$1960,0)),"",INDEX('Compliance Database'!$H$2:$H$1960,MATCH(1201,Engine!$C$2:$C$1960,0)))</f>
        <v/>
      </c>
      <c r="I1214" s="9">
        <f>IF(ISNA(MATCH(1201,Engine!$C$2:$C$1960,0)),"",INDEX('Compliance Database'!$I$2:$I$1960,MATCH(1201,Engine!$C$2:$C$1960,0)))</f>
        <v/>
      </c>
      <c r="J1214" s="8">
        <f>IF(ISNA(MATCH(1201,Engine!$C$2:$C$1960,0)),"",INDEX('Compliance Database'!$J$2:$J$1960,MATCH(1201,Engine!$C$2:$C$1960,0)))</f>
        <v/>
      </c>
      <c r="K1214" s="9">
        <f>IF(ISNA(MATCH(1201,Engine!$C$2:$C$1960,0)),"",INDEX('Compliance Database'!$K$2:$K$1960,MATCH(1201,Engine!$C$2:$C$1960,0)))</f>
        <v/>
      </c>
      <c r="L1214" s="9">
        <f>IF(ISNA(MATCH(1201,Engine!$C$2:$C$1960,0)),"",INDEX('Compliance Database'!$L$2:$L$1960,MATCH(1201,Engine!$C$2:$C$1960,0)))</f>
        <v/>
      </c>
      <c r="M1214" s="9">
        <f>IF(ISNA(MATCH(1201,Engine!$C$2:$C$1960,0)),"",INDEX('Compliance Database'!$M$2:$M$1960,MATCH(1201,Engine!$C$2:$C$1960,0)))</f>
        <v/>
      </c>
      <c r="N1214" s="9">
        <f>IF(ISNA(MATCH(1201,Engine!$C$2:$C$1960,0)),"",INDEX('Compliance Database'!$N$2:$N$1960,MATCH(1201,Engine!$C$2:$C$1960,0)))</f>
        <v/>
      </c>
      <c r="O1214" s="9">
        <f>IF(ISNA(MATCH(1201,Engine!$C$2:$C$1960,0)),"",INDEX('Compliance Database'!$O$2:$O$1960,MATCH(1201,Engine!$C$2:$C$1960,0)))</f>
        <v/>
      </c>
      <c r="P1214" s="8">
        <f>IF(ISNA(MATCH(1201,Engine!$C$2:$C$1960,0)),"",HYPERLINK("#Acts!A"&amp;INDEX('Compliance Database'!$P$2:$P$1960,MATCH(1201,Engine!$C$2:$C$1960,0)),"Go to Act"))</f>
        <v/>
      </c>
    </row>
    <row r="1215" ht="158" customHeight="1">
      <c r="A1215" s="8">
        <f>IF(ISNA(MATCH(1202,Engine!$C$2:$C$1960,0)),"",INDEX('Compliance Database'!$A$2:$A$1960,MATCH(1202,Engine!$C$2:$C$1960,0)))</f>
        <v/>
      </c>
      <c r="B1215" s="8">
        <f>IF(ISNA(MATCH(1202,Engine!$C$2:$C$1960,0)),"",INDEX('Compliance Database'!$B$2:$B$1960,MATCH(1202,Engine!$C$2:$C$1960,0)))</f>
        <v/>
      </c>
      <c r="C1215" s="8">
        <f>IF(ISNA(MATCH(1202,Engine!$C$2:$C$1960,0)),"",INDEX('Compliance Database'!$C$2:$C$1960,MATCH(1202,Engine!$C$2:$C$1960,0)))</f>
        <v/>
      </c>
      <c r="D1215" s="9">
        <f>IF(ISNA(MATCH(1202,Engine!$C$2:$C$1960,0)),"",INDEX('Compliance Database'!$D$2:$D$1960,MATCH(1202,Engine!$C$2:$C$1960,0)))</f>
        <v/>
      </c>
      <c r="E1215" s="8">
        <f>IF(ISNA(MATCH(1202,Engine!$C$2:$C$1960,0)),"",INDEX('Compliance Database'!$E$2:$E$1960,MATCH(1202,Engine!$C$2:$C$1960,0)))</f>
        <v/>
      </c>
      <c r="F1215" s="8">
        <f>IF(ISNA(MATCH(1202,Engine!$C$2:$C$1960,0)),"",INDEX('Compliance Database'!$F$2:$F$1960,MATCH(1202,Engine!$C$2:$C$1960,0)))</f>
        <v/>
      </c>
      <c r="G1215" s="8">
        <f>IF(ISNA(MATCH(1202,Engine!$C$2:$C$1960,0)),"",INDEX('Compliance Database'!$G$2:$G$1960,MATCH(1202,Engine!$C$2:$C$1960,0)))</f>
        <v/>
      </c>
      <c r="H1215" s="9">
        <f>IF(ISNA(MATCH(1202,Engine!$C$2:$C$1960,0)),"",INDEX('Compliance Database'!$H$2:$H$1960,MATCH(1202,Engine!$C$2:$C$1960,0)))</f>
        <v/>
      </c>
      <c r="I1215" s="9">
        <f>IF(ISNA(MATCH(1202,Engine!$C$2:$C$1960,0)),"",INDEX('Compliance Database'!$I$2:$I$1960,MATCH(1202,Engine!$C$2:$C$1960,0)))</f>
        <v/>
      </c>
      <c r="J1215" s="8">
        <f>IF(ISNA(MATCH(1202,Engine!$C$2:$C$1960,0)),"",INDEX('Compliance Database'!$J$2:$J$1960,MATCH(1202,Engine!$C$2:$C$1960,0)))</f>
        <v/>
      </c>
      <c r="K1215" s="9">
        <f>IF(ISNA(MATCH(1202,Engine!$C$2:$C$1960,0)),"",INDEX('Compliance Database'!$K$2:$K$1960,MATCH(1202,Engine!$C$2:$C$1960,0)))</f>
        <v/>
      </c>
      <c r="L1215" s="9">
        <f>IF(ISNA(MATCH(1202,Engine!$C$2:$C$1960,0)),"",INDEX('Compliance Database'!$L$2:$L$1960,MATCH(1202,Engine!$C$2:$C$1960,0)))</f>
        <v/>
      </c>
      <c r="M1215" s="9">
        <f>IF(ISNA(MATCH(1202,Engine!$C$2:$C$1960,0)),"",INDEX('Compliance Database'!$M$2:$M$1960,MATCH(1202,Engine!$C$2:$C$1960,0)))</f>
        <v/>
      </c>
      <c r="N1215" s="9">
        <f>IF(ISNA(MATCH(1202,Engine!$C$2:$C$1960,0)),"",INDEX('Compliance Database'!$N$2:$N$1960,MATCH(1202,Engine!$C$2:$C$1960,0)))</f>
        <v/>
      </c>
      <c r="O1215" s="9">
        <f>IF(ISNA(MATCH(1202,Engine!$C$2:$C$1960,0)),"",INDEX('Compliance Database'!$O$2:$O$1960,MATCH(1202,Engine!$C$2:$C$1960,0)))</f>
        <v/>
      </c>
      <c r="P1215" s="8">
        <f>IF(ISNA(MATCH(1202,Engine!$C$2:$C$1960,0)),"",HYPERLINK("#Acts!A"&amp;INDEX('Compliance Database'!$P$2:$P$1960,MATCH(1202,Engine!$C$2:$C$1960,0)),"Go to Act"))</f>
        <v/>
      </c>
    </row>
    <row r="1216" ht="158" customHeight="1">
      <c r="A1216" s="8">
        <f>IF(ISNA(MATCH(1203,Engine!$C$2:$C$1960,0)),"",INDEX('Compliance Database'!$A$2:$A$1960,MATCH(1203,Engine!$C$2:$C$1960,0)))</f>
        <v/>
      </c>
      <c r="B1216" s="8">
        <f>IF(ISNA(MATCH(1203,Engine!$C$2:$C$1960,0)),"",INDEX('Compliance Database'!$B$2:$B$1960,MATCH(1203,Engine!$C$2:$C$1960,0)))</f>
        <v/>
      </c>
      <c r="C1216" s="8">
        <f>IF(ISNA(MATCH(1203,Engine!$C$2:$C$1960,0)),"",INDEX('Compliance Database'!$C$2:$C$1960,MATCH(1203,Engine!$C$2:$C$1960,0)))</f>
        <v/>
      </c>
      <c r="D1216" s="9">
        <f>IF(ISNA(MATCH(1203,Engine!$C$2:$C$1960,0)),"",INDEX('Compliance Database'!$D$2:$D$1960,MATCH(1203,Engine!$C$2:$C$1960,0)))</f>
        <v/>
      </c>
      <c r="E1216" s="8">
        <f>IF(ISNA(MATCH(1203,Engine!$C$2:$C$1960,0)),"",INDEX('Compliance Database'!$E$2:$E$1960,MATCH(1203,Engine!$C$2:$C$1960,0)))</f>
        <v/>
      </c>
      <c r="F1216" s="8">
        <f>IF(ISNA(MATCH(1203,Engine!$C$2:$C$1960,0)),"",INDEX('Compliance Database'!$F$2:$F$1960,MATCH(1203,Engine!$C$2:$C$1960,0)))</f>
        <v/>
      </c>
      <c r="G1216" s="8">
        <f>IF(ISNA(MATCH(1203,Engine!$C$2:$C$1960,0)),"",INDEX('Compliance Database'!$G$2:$G$1960,MATCH(1203,Engine!$C$2:$C$1960,0)))</f>
        <v/>
      </c>
      <c r="H1216" s="9">
        <f>IF(ISNA(MATCH(1203,Engine!$C$2:$C$1960,0)),"",INDEX('Compliance Database'!$H$2:$H$1960,MATCH(1203,Engine!$C$2:$C$1960,0)))</f>
        <v/>
      </c>
      <c r="I1216" s="9">
        <f>IF(ISNA(MATCH(1203,Engine!$C$2:$C$1960,0)),"",INDEX('Compliance Database'!$I$2:$I$1960,MATCH(1203,Engine!$C$2:$C$1960,0)))</f>
        <v/>
      </c>
      <c r="J1216" s="8">
        <f>IF(ISNA(MATCH(1203,Engine!$C$2:$C$1960,0)),"",INDEX('Compliance Database'!$J$2:$J$1960,MATCH(1203,Engine!$C$2:$C$1960,0)))</f>
        <v/>
      </c>
      <c r="K1216" s="9">
        <f>IF(ISNA(MATCH(1203,Engine!$C$2:$C$1960,0)),"",INDEX('Compliance Database'!$K$2:$K$1960,MATCH(1203,Engine!$C$2:$C$1960,0)))</f>
        <v/>
      </c>
      <c r="L1216" s="9">
        <f>IF(ISNA(MATCH(1203,Engine!$C$2:$C$1960,0)),"",INDEX('Compliance Database'!$L$2:$L$1960,MATCH(1203,Engine!$C$2:$C$1960,0)))</f>
        <v/>
      </c>
      <c r="M1216" s="9">
        <f>IF(ISNA(MATCH(1203,Engine!$C$2:$C$1960,0)),"",INDEX('Compliance Database'!$M$2:$M$1960,MATCH(1203,Engine!$C$2:$C$1960,0)))</f>
        <v/>
      </c>
      <c r="N1216" s="9">
        <f>IF(ISNA(MATCH(1203,Engine!$C$2:$C$1960,0)),"",INDEX('Compliance Database'!$N$2:$N$1960,MATCH(1203,Engine!$C$2:$C$1960,0)))</f>
        <v/>
      </c>
      <c r="O1216" s="9">
        <f>IF(ISNA(MATCH(1203,Engine!$C$2:$C$1960,0)),"",INDEX('Compliance Database'!$O$2:$O$1960,MATCH(1203,Engine!$C$2:$C$1960,0)))</f>
        <v/>
      </c>
      <c r="P1216" s="8">
        <f>IF(ISNA(MATCH(1203,Engine!$C$2:$C$1960,0)),"",HYPERLINK("#Acts!A"&amp;INDEX('Compliance Database'!$P$2:$P$1960,MATCH(1203,Engine!$C$2:$C$1960,0)),"Go to Act"))</f>
        <v/>
      </c>
    </row>
    <row r="1217" ht="158" customHeight="1">
      <c r="A1217" s="8">
        <f>IF(ISNA(MATCH(1204,Engine!$C$2:$C$1960,0)),"",INDEX('Compliance Database'!$A$2:$A$1960,MATCH(1204,Engine!$C$2:$C$1960,0)))</f>
        <v/>
      </c>
      <c r="B1217" s="8">
        <f>IF(ISNA(MATCH(1204,Engine!$C$2:$C$1960,0)),"",INDEX('Compliance Database'!$B$2:$B$1960,MATCH(1204,Engine!$C$2:$C$1960,0)))</f>
        <v/>
      </c>
      <c r="C1217" s="8">
        <f>IF(ISNA(MATCH(1204,Engine!$C$2:$C$1960,0)),"",INDEX('Compliance Database'!$C$2:$C$1960,MATCH(1204,Engine!$C$2:$C$1960,0)))</f>
        <v/>
      </c>
      <c r="D1217" s="9">
        <f>IF(ISNA(MATCH(1204,Engine!$C$2:$C$1960,0)),"",INDEX('Compliance Database'!$D$2:$D$1960,MATCH(1204,Engine!$C$2:$C$1960,0)))</f>
        <v/>
      </c>
      <c r="E1217" s="8">
        <f>IF(ISNA(MATCH(1204,Engine!$C$2:$C$1960,0)),"",INDEX('Compliance Database'!$E$2:$E$1960,MATCH(1204,Engine!$C$2:$C$1960,0)))</f>
        <v/>
      </c>
      <c r="F1217" s="8">
        <f>IF(ISNA(MATCH(1204,Engine!$C$2:$C$1960,0)),"",INDEX('Compliance Database'!$F$2:$F$1960,MATCH(1204,Engine!$C$2:$C$1960,0)))</f>
        <v/>
      </c>
      <c r="G1217" s="8">
        <f>IF(ISNA(MATCH(1204,Engine!$C$2:$C$1960,0)),"",INDEX('Compliance Database'!$G$2:$G$1960,MATCH(1204,Engine!$C$2:$C$1960,0)))</f>
        <v/>
      </c>
      <c r="H1217" s="9">
        <f>IF(ISNA(MATCH(1204,Engine!$C$2:$C$1960,0)),"",INDEX('Compliance Database'!$H$2:$H$1960,MATCH(1204,Engine!$C$2:$C$1960,0)))</f>
        <v/>
      </c>
      <c r="I1217" s="9">
        <f>IF(ISNA(MATCH(1204,Engine!$C$2:$C$1960,0)),"",INDEX('Compliance Database'!$I$2:$I$1960,MATCH(1204,Engine!$C$2:$C$1960,0)))</f>
        <v/>
      </c>
      <c r="J1217" s="8">
        <f>IF(ISNA(MATCH(1204,Engine!$C$2:$C$1960,0)),"",INDEX('Compliance Database'!$J$2:$J$1960,MATCH(1204,Engine!$C$2:$C$1960,0)))</f>
        <v/>
      </c>
      <c r="K1217" s="9">
        <f>IF(ISNA(MATCH(1204,Engine!$C$2:$C$1960,0)),"",INDEX('Compliance Database'!$K$2:$K$1960,MATCH(1204,Engine!$C$2:$C$1960,0)))</f>
        <v/>
      </c>
      <c r="L1217" s="9">
        <f>IF(ISNA(MATCH(1204,Engine!$C$2:$C$1960,0)),"",INDEX('Compliance Database'!$L$2:$L$1960,MATCH(1204,Engine!$C$2:$C$1960,0)))</f>
        <v/>
      </c>
      <c r="M1217" s="9">
        <f>IF(ISNA(MATCH(1204,Engine!$C$2:$C$1960,0)),"",INDEX('Compliance Database'!$M$2:$M$1960,MATCH(1204,Engine!$C$2:$C$1960,0)))</f>
        <v/>
      </c>
      <c r="N1217" s="9">
        <f>IF(ISNA(MATCH(1204,Engine!$C$2:$C$1960,0)),"",INDEX('Compliance Database'!$N$2:$N$1960,MATCH(1204,Engine!$C$2:$C$1960,0)))</f>
        <v/>
      </c>
      <c r="O1217" s="9">
        <f>IF(ISNA(MATCH(1204,Engine!$C$2:$C$1960,0)),"",INDEX('Compliance Database'!$O$2:$O$1960,MATCH(1204,Engine!$C$2:$C$1960,0)))</f>
        <v/>
      </c>
      <c r="P1217" s="8">
        <f>IF(ISNA(MATCH(1204,Engine!$C$2:$C$1960,0)),"",HYPERLINK("#Acts!A"&amp;INDEX('Compliance Database'!$P$2:$P$1960,MATCH(1204,Engine!$C$2:$C$1960,0)),"Go to Act"))</f>
        <v/>
      </c>
    </row>
    <row r="1218" ht="158" customHeight="1">
      <c r="A1218" s="8">
        <f>IF(ISNA(MATCH(1205,Engine!$C$2:$C$1960,0)),"",INDEX('Compliance Database'!$A$2:$A$1960,MATCH(1205,Engine!$C$2:$C$1960,0)))</f>
        <v/>
      </c>
      <c r="B1218" s="8">
        <f>IF(ISNA(MATCH(1205,Engine!$C$2:$C$1960,0)),"",INDEX('Compliance Database'!$B$2:$B$1960,MATCH(1205,Engine!$C$2:$C$1960,0)))</f>
        <v/>
      </c>
      <c r="C1218" s="8">
        <f>IF(ISNA(MATCH(1205,Engine!$C$2:$C$1960,0)),"",INDEX('Compliance Database'!$C$2:$C$1960,MATCH(1205,Engine!$C$2:$C$1960,0)))</f>
        <v/>
      </c>
      <c r="D1218" s="9">
        <f>IF(ISNA(MATCH(1205,Engine!$C$2:$C$1960,0)),"",INDEX('Compliance Database'!$D$2:$D$1960,MATCH(1205,Engine!$C$2:$C$1960,0)))</f>
        <v/>
      </c>
      <c r="E1218" s="8">
        <f>IF(ISNA(MATCH(1205,Engine!$C$2:$C$1960,0)),"",INDEX('Compliance Database'!$E$2:$E$1960,MATCH(1205,Engine!$C$2:$C$1960,0)))</f>
        <v/>
      </c>
      <c r="F1218" s="8">
        <f>IF(ISNA(MATCH(1205,Engine!$C$2:$C$1960,0)),"",INDEX('Compliance Database'!$F$2:$F$1960,MATCH(1205,Engine!$C$2:$C$1960,0)))</f>
        <v/>
      </c>
      <c r="G1218" s="8">
        <f>IF(ISNA(MATCH(1205,Engine!$C$2:$C$1960,0)),"",INDEX('Compliance Database'!$G$2:$G$1960,MATCH(1205,Engine!$C$2:$C$1960,0)))</f>
        <v/>
      </c>
      <c r="H1218" s="9">
        <f>IF(ISNA(MATCH(1205,Engine!$C$2:$C$1960,0)),"",INDEX('Compliance Database'!$H$2:$H$1960,MATCH(1205,Engine!$C$2:$C$1960,0)))</f>
        <v/>
      </c>
      <c r="I1218" s="9">
        <f>IF(ISNA(MATCH(1205,Engine!$C$2:$C$1960,0)),"",INDEX('Compliance Database'!$I$2:$I$1960,MATCH(1205,Engine!$C$2:$C$1960,0)))</f>
        <v/>
      </c>
      <c r="J1218" s="8">
        <f>IF(ISNA(MATCH(1205,Engine!$C$2:$C$1960,0)),"",INDEX('Compliance Database'!$J$2:$J$1960,MATCH(1205,Engine!$C$2:$C$1960,0)))</f>
        <v/>
      </c>
      <c r="K1218" s="9">
        <f>IF(ISNA(MATCH(1205,Engine!$C$2:$C$1960,0)),"",INDEX('Compliance Database'!$K$2:$K$1960,MATCH(1205,Engine!$C$2:$C$1960,0)))</f>
        <v/>
      </c>
      <c r="L1218" s="9">
        <f>IF(ISNA(MATCH(1205,Engine!$C$2:$C$1960,0)),"",INDEX('Compliance Database'!$L$2:$L$1960,MATCH(1205,Engine!$C$2:$C$1960,0)))</f>
        <v/>
      </c>
      <c r="M1218" s="9">
        <f>IF(ISNA(MATCH(1205,Engine!$C$2:$C$1960,0)),"",INDEX('Compliance Database'!$M$2:$M$1960,MATCH(1205,Engine!$C$2:$C$1960,0)))</f>
        <v/>
      </c>
      <c r="N1218" s="9">
        <f>IF(ISNA(MATCH(1205,Engine!$C$2:$C$1960,0)),"",INDEX('Compliance Database'!$N$2:$N$1960,MATCH(1205,Engine!$C$2:$C$1960,0)))</f>
        <v/>
      </c>
      <c r="O1218" s="9">
        <f>IF(ISNA(MATCH(1205,Engine!$C$2:$C$1960,0)),"",INDEX('Compliance Database'!$O$2:$O$1960,MATCH(1205,Engine!$C$2:$C$1960,0)))</f>
        <v/>
      </c>
      <c r="P1218" s="8">
        <f>IF(ISNA(MATCH(1205,Engine!$C$2:$C$1960,0)),"",HYPERLINK("#Acts!A"&amp;INDEX('Compliance Database'!$P$2:$P$1960,MATCH(1205,Engine!$C$2:$C$1960,0)),"Go to Act"))</f>
        <v/>
      </c>
    </row>
    <row r="1219" ht="158" customHeight="1">
      <c r="A1219" s="8">
        <f>IF(ISNA(MATCH(1206,Engine!$C$2:$C$1960,0)),"",INDEX('Compliance Database'!$A$2:$A$1960,MATCH(1206,Engine!$C$2:$C$1960,0)))</f>
        <v/>
      </c>
      <c r="B1219" s="8">
        <f>IF(ISNA(MATCH(1206,Engine!$C$2:$C$1960,0)),"",INDEX('Compliance Database'!$B$2:$B$1960,MATCH(1206,Engine!$C$2:$C$1960,0)))</f>
        <v/>
      </c>
      <c r="C1219" s="8">
        <f>IF(ISNA(MATCH(1206,Engine!$C$2:$C$1960,0)),"",INDEX('Compliance Database'!$C$2:$C$1960,MATCH(1206,Engine!$C$2:$C$1960,0)))</f>
        <v/>
      </c>
      <c r="D1219" s="9">
        <f>IF(ISNA(MATCH(1206,Engine!$C$2:$C$1960,0)),"",INDEX('Compliance Database'!$D$2:$D$1960,MATCH(1206,Engine!$C$2:$C$1960,0)))</f>
        <v/>
      </c>
      <c r="E1219" s="8">
        <f>IF(ISNA(MATCH(1206,Engine!$C$2:$C$1960,0)),"",INDEX('Compliance Database'!$E$2:$E$1960,MATCH(1206,Engine!$C$2:$C$1960,0)))</f>
        <v/>
      </c>
      <c r="F1219" s="8">
        <f>IF(ISNA(MATCH(1206,Engine!$C$2:$C$1960,0)),"",INDEX('Compliance Database'!$F$2:$F$1960,MATCH(1206,Engine!$C$2:$C$1960,0)))</f>
        <v/>
      </c>
      <c r="G1219" s="8">
        <f>IF(ISNA(MATCH(1206,Engine!$C$2:$C$1960,0)),"",INDEX('Compliance Database'!$G$2:$G$1960,MATCH(1206,Engine!$C$2:$C$1960,0)))</f>
        <v/>
      </c>
      <c r="H1219" s="9">
        <f>IF(ISNA(MATCH(1206,Engine!$C$2:$C$1960,0)),"",INDEX('Compliance Database'!$H$2:$H$1960,MATCH(1206,Engine!$C$2:$C$1960,0)))</f>
        <v/>
      </c>
      <c r="I1219" s="9">
        <f>IF(ISNA(MATCH(1206,Engine!$C$2:$C$1960,0)),"",INDEX('Compliance Database'!$I$2:$I$1960,MATCH(1206,Engine!$C$2:$C$1960,0)))</f>
        <v/>
      </c>
      <c r="J1219" s="8">
        <f>IF(ISNA(MATCH(1206,Engine!$C$2:$C$1960,0)),"",INDEX('Compliance Database'!$J$2:$J$1960,MATCH(1206,Engine!$C$2:$C$1960,0)))</f>
        <v/>
      </c>
      <c r="K1219" s="9">
        <f>IF(ISNA(MATCH(1206,Engine!$C$2:$C$1960,0)),"",INDEX('Compliance Database'!$K$2:$K$1960,MATCH(1206,Engine!$C$2:$C$1960,0)))</f>
        <v/>
      </c>
      <c r="L1219" s="9">
        <f>IF(ISNA(MATCH(1206,Engine!$C$2:$C$1960,0)),"",INDEX('Compliance Database'!$L$2:$L$1960,MATCH(1206,Engine!$C$2:$C$1960,0)))</f>
        <v/>
      </c>
      <c r="M1219" s="9">
        <f>IF(ISNA(MATCH(1206,Engine!$C$2:$C$1960,0)),"",INDEX('Compliance Database'!$M$2:$M$1960,MATCH(1206,Engine!$C$2:$C$1960,0)))</f>
        <v/>
      </c>
      <c r="N1219" s="9">
        <f>IF(ISNA(MATCH(1206,Engine!$C$2:$C$1960,0)),"",INDEX('Compliance Database'!$N$2:$N$1960,MATCH(1206,Engine!$C$2:$C$1960,0)))</f>
        <v/>
      </c>
      <c r="O1219" s="9">
        <f>IF(ISNA(MATCH(1206,Engine!$C$2:$C$1960,0)),"",INDEX('Compliance Database'!$O$2:$O$1960,MATCH(1206,Engine!$C$2:$C$1960,0)))</f>
        <v/>
      </c>
      <c r="P1219" s="8">
        <f>IF(ISNA(MATCH(1206,Engine!$C$2:$C$1960,0)),"",HYPERLINK("#Acts!A"&amp;INDEX('Compliance Database'!$P$2:$P$1960,MATCH(1206,Engine!$C$2:$C$1960,0)),"Go to Act"))</f>
        <v/>
      </c>
    </row>
    <row r="1220" ht="158" customHeight="1">
      <c r="A1220" s="8">
        <f>IF(ISNA(MATCH(1207,Engine!$C$2:$C$1960,0)),"",INDEX('Compliance Database'!$A$2:$A$1960,MATCH(1207,Engine!$C$2:$C$1960,0)))</f>
        <v/>
      </c>
      <c r="B1220" s="8">
        <f>IF(ISNA(MATCH(1207,Engine!$C$2:$C$1960,0)),"",INDEX('Compliance Database'!$B$2:$B$1960,MATCH(1207,Engine!$C$2:$C$1960,0)))</f>
        <v/>
      </c>
      <c r="C1220" s="8">
        <f>IF(ISNA(MATCH(1207,Engine!$C$2:$C$1960,0)),"",INDEX('Compliance Database'!$C$2:$C$1960,MATCH(1207,Engine!$C$2:$C$1960,0)))</f>
        <v/>
      </c>
      <c r="D1220" s="9">
        <f>IF(ISNA(MATCH(1207,Engine!$C$2:$C$1960,0)),"",INDEX('Compliance Database'!$D$2:$D$1960,MATCH(1207,Engine!$C$2:$C$1960,0)))</f>
        <v/>
      </c>
      <c r="E1220" s="8">
        <f>IF(ISNA(MATCH(1207,Engine!$C$2:$C$1960,0)),"",INDEX('Compliance Database'!$E$2:$E$1960,MATCH(1207,Engine!$C$2:$C$1960,0)))</f>
        <v/>
      </c>
      <c r="F1220" s="8">
        <f>IF(ISNA(MATCH(1207,Engine!$C$2:$C$1960,0)),"",INDEX('Compliance Database'!$F$2:$F$1960,MATCH(1207,Engine!$C$2:$C$1960,0)))</f>
        <v/>
      </c>
      <c r="G1220" s="8">
        <f>IF(ISNA(MATCH(1207,Engine!$C$2:$C$1960,0)),"",INDEX('Compliance Database'!$G$2:$G$1960,MATCH(1207,Engine!$C$2:$C$1960,0)))</f>
        <v/>
      </c>
      <c r="H1220" s="9">
        <f>IF(ISNA(MATCH(1207,Engine!$C$2:$C$1960,0)),"",INDEX('Compliance Database'!$H$2:$H$1960,MATCH(1207,Engine!$C$2:$C$1960,0)))</f>
        <v/>
      </c>
      <c r="I1220" s="9">
        <f>IF(ISNA(MATCH(1207,Engine!$C$2:$C$1960,0)),"",INDEX('Compliance Database'!$I$2:$I$1960,MATCH(1207,Engine!$C$2:$C$1960,0)))</f>
        <v/>
      </c>
      <c r="J1220" s="8">
        <f>IF(ISNA(MATCH(1207,Engine!$C$2:$C$1960,0)),"",INDEX('Compliance Database'!$J$2:$J$1960,MATCH(1207,Engine!$C$2:$C$1960,0)))</f>
        <v/>
      </c>
      <c r="K1220" s="9">
        <f>IF(ISNA(MATCH(1207,Engine!$C$2:$C$1960,0)),"",INDEX('Compliance Database'!$K$2:$K$1960,MATCH(1207,Engine!$C$2:$C$1960,0)))</f>
        <v/>
      </c>
      <c r="L1220" s="9">
        <f>IF(ISNA(MATCH(1207,Engine!$C$2:$C$1960,0)),"",INDEX('Compliance Database'!$L$2:$L$1960,MATCH(1207,Engine!$C$2:$C$1960,0)))</f>
        <v/>
      </c>
      <c r="M1220" s="9">
        <f>IF(ISNA(MATCH(1207,Engine!$C$2:$C$1960,0)),"",INDEX('Compliance Database'!$M$2:$M$1960,MATCH(1207,Engine!$C$2:$C$1960,0)))</f>
        <v/>
      </c>
      <c r="N1220" s="9">
        <f>IF(ISNA(MATCH(1207,Engine!$C$2:$C$1960,0)),"",INDEX('Compliance Database'!$N$2:$N$1960,MATCH(1207,Engine!$C$2:$C$1960,0)))</f>
        <v/>
      </c>
      <c r="O1220" s="9">
        <f>IF(ISNA(MATCH(1207,Engine!$C$2:$C$1960,0)),"",INDEX('Compliance Database'!$O$2:$O$1960,MATCH(1207,Engine!$C$2:$C$1960,0)))</f>
        <v/>
      </c>
      <c r="P1220" s="8">
        <f>IF(ISNA(MATCH(1207,Engine!$C$2:$C$1960,0)),"",HYPERLINK("#Acts!A"&amp;INDEX('Compliance Database'!$P$2:$P$1960,MATCH(1207,Engine!$C$2:$C$1960,0)),"Go to Act"))</f>
        <v/>
      </c>
    </row>
    <row r="1221" ht="158" customHeight="1">
      <c r="A1221" s="8">
        <f>IF(ISNA(MATCH(1208,Engine!$C$2:$C$1960,0)),"",INDEX('Compliance Database'!$A$2:$A$1960,MATCH(1208,Engine!$C$2:$C$1960,0)))</f>
        <v/>
      </c>
      <c r="B1221" s="8">
        <f>IF(ISNA(MATCH(1208,Engine!$C$2:$C$1960,0)),"",INDEX('Compliance Database'!$B$2:$B$1960,MATCH(1208,Engine!$C$2:$C$1960,0)))</f>
        <v/>
      </c>
      <c r="C1221" s="8">
        <f>IF(ISNA(MATCH(1208,Engine!$C$2:$C$1960,0)),"",INDEX('Compliance Database'!$C$2:$C$1960,MATCH(1208,Engine!$C$2:$C$1960,0)))</f>
        <v/>
      </c>
      <c r="D1221" s="9">
        <f>IF(ISNA(MATCH(1208,Engine!$C$2:$C$1960,0)),"",INDEX('Compliance Database'!$D$2:$D$1960,MATCH(1208,Engine!$C$2:$C$1960,0)))</f>
        <v/>
      </c>
      <c r="E1221" s="8">
        <f>IF(ISNA(MATCH(1208,Engine!$C$2:$C$1960,0)),"",INDEX('Compliance Database'!$E$2:$E$1960,MATCH(1208,Engine!$C$2:$C$1960,0)))</f>
        <v/>
      </c>
      <c r="F1221" s="8">
        <f>IF(ISNA(MATCH(1208,Engine!$C$2:$C$1960,0)),"",INDEX('Compliance Database'!$F$2:$F$1960,MATCH(1208,Engine!$C$2:$C$1960,0)))</f>
        <v/>
      </c>
      <c r="G1221" s="8">
        <f>IF(ISNA(MATCH(1208,Engine!$C$2:$C$1960,0)),"",INDEX('Compliance Database'!$G$2:$G$1960,MATCH(1208,Engine!$C$2:$C$1960,0)))</f>
        <v/>
      </c>
      <c r="H1221" s="9">
        <f>IF(ISNA(MATCH(1208,Engine!$C$2:$C$1960,0)),"",INDEX('Compliance Database'!$H$2:$H$1960,MATCH(1208,Engine!$C$2:$C$1960,0)))</f>
        <v/>
      </c>
      <c r="I1221" s="9">
        <f>IF(ISNA(MATCH(1208,Engine!$C$2:$C$1960,0)),"",INDEX('Compliance Database'!$I$2:$I$1960,MATCH(1208,Engine!$C$2:$C$1960,0)))</f>
        <v/>
      </c>
      <c r="J1221" s="8">
        <f>IF(ISNA(MATCH(1208,Engine!$C$2:$C$1960,0)),"",INDEX('Compliance Database'!$J$2:$J$1960,MATCH(1208,Engine!$C$2:$C$1960,0)))</f>
        <v/>
      </c>
      <c r="K1221" s="9">
        <f>IF(ISNA(MATCH(1208,Engine!$C$2:$C$1960,0)),"",INDEX('Compliance Database'!$K$2:$K$1960,MATCH(1208,Engine!$C$2:$C$1960,0)))</f>
        <v/>
      </c>
      <c r="L1221" s="9">
        <f>IF(ISNA(MATCH(1208,Engine!$C$2:$C$1960,0)),"",INDEX('Compliance Database'!$L$2:$L$1960,MATCH(1208,Engine!$C$2:$C$1960,0)))</f>
        <v/>
      </c>
      <c r="M1221" s="9">
        <f>IF(ISNA(MATCH(1208,Engine!$C$2:$C$1960,0)),"",INDEX('Compliance Database'!$M$2:$M$1960,MATCH(1208,Engine!$C$2:$C$1960,0)))</f>
        <v/>
      </c>
      <c r="N1221" s="9">
        <f>IF(ISNA(MATCH(1208,Engine!$C$2:$C$1960,0)),"",INDEX('Compliance Database'!$N$2:$N$1960,MATCH(1208,Engine!$C$2:$C$1960,0)))</f>
        <v/>
      </c>
      <c r="O1221" s="9">
        <f>IF(ISNA(MATCH(1208,Engine!$C$2:$C$1960,0)),"",INDEX('Compliance Database'!$O$2:$O$1960,MATCH(1208,Engine!$C$2:$C$1960,0)))</f>
        <v/>
      </c>
      <c r="P1221" s="8">
        <f>IF(ISNA(MATCH(1208,Engine!$C$2:$C$1960,0)),"",HYPERLINK("#Acts!A"&amp;INDEX('Compliance Database'!$P$2:$P$1960,MATCH(1208,Engine!$C$2:$C$1960,0)),"Go to Act"))</f>
        <v/>
      </c>
    </row>
    <row r="1222" ht="158" customHeight="1">
      <c r="A1222" s="8">
        <f>IF(ISNA(MATCH(1209,Engine!$C$2:$C$1960,0)),"",INDEX('Compliance Database'!$A$2:$A$1960,MATCH(1209,Engine!$C$2:$C$1960,0)))</f>
        <v/>
      </c>
      <c r="B1222" s="8">
        <f>IF(ISNA(MATCH(1209,Engine!$C$2:$C$1960,0)),"",INDEX('Compliance Database'!$B$2:$B$1960,MATCH(1209,Engine!$C$2:$C$1960,0)))</f>
        <v/>
      </c>
      <c r="C1222" s="8">
        <f>IF(ISNA(MATCH(1209,Engine!$C$2:$C$1960,0)),"",INDEX('Compliance Database'!$C$2:$C$1960,MATCH(1209,Engine!$C$2:$C$1960,0)))</f>
        <v/>
      </c>
      <c r="D1222" s="9">
        <f>IF(ISNA(MATCH(1209,Engine!$C$2:$C$1960,0)),"",INDEX('Compliance Database'!$D$2:$D$1960,MATCH(1209,Engine!$C$2:$C$1960,0)))</f>
        <v/>
      </c>
      <c r="E1222" s="8">
        <f>IF(ISNA(MATCH(1209,Engine!$C$2:$C$1960,0)),"",INDEX('Compliance Database'!$E$2:$E$1960,MATCH(1209,Engine!$C$2:$C$1960,0)))</f>
        <v/>
      </c>
      <c r="F1222" s="8">
        <f>IF(ISNA(MATCH(1209,Engine!$C$2:$C$1960,0)),"",INDEX('Compliance Database'!$F$2:$F$1960,MATCH(1209,Engine!$C$2:$C$1960,0)))</f>
        <v/>
      </c>
      <c r="G1222" s="8">
        <f>IF(ISNA(MATCH(1209,Engine!$C$2:$C$1960,0)),"",INDEX('Compliance Database'!$G$2:$G$1960,MATCH(1209,Engine!$C$2:$C$1960,0)))</f>
        <v/>
      </c>
      <c r="H1222" s="9">
        <f>IF(ISNA(MATCH(1209,Engine!$C$2:$C$1960,0)),"",INDEX('Compliance Database'!$H$2:$H$1960,MATCH(1209,Engine!$C$2:$C$1960,0)))</f>
        <v/>
      </c>
      <c r="I1222" s="9">
        <f>IF(ISNA(MATCH(1209,Engine!$C$2:$C$1960,0)),"",INDEX('Compliance Database'!$I$2:$I$1960,MATCH(1209,Engine!$C$2:$C$1960,0)))</f>
        <v/>
      </c>
      <c r="J1222" s="8">
        <f>IF(ISNA(MATCH(1209,Engine!$C$2:$C$1960,0)),"",INDEX('Compliance Database'!$J$2:$J$1960,MATCH(1209,Engine!$C$2:$C$1960,0)))</f>
        <v/>
      </c>
      <c r="K1222" s="9">
        <f>IF(ISNA(MATCH(1209,Engine!$C$2:$C$1960,0)),"",INDEX('Compliance Database'!$K$2:$K$1960,MATCH(1209,Engine!$C$2:$C$1960,0)))</f>
        <v/>
      </c>
      <c r="L1222" s="9">
        <f>IF(ISNA(MATCH(1209,Engine!$C$2:$C$1960,0)),"",INDEX('Compliance Database'!$L$2:$L$1960,MATCH(1209,Engine!$C$2:$C$1960,0)))</f>
        <v/>
      </c>
      <c r="M1222" s="9">
        <f>IF(ISNA(MATCH(1209,Engine!$C$2:$C$1960,0)),"",INDEX('Compliance Database'!$M$2:$M$1960,MATCH(1209,Engine!$C$2:$C$1960,0)))</f>
        <v/>
      </c>
      <c r="N1222" s="9">
        <f>IF(ISNA(MATCH(1209,Engine!$C$2:$C$1960,0)),"",INDEX('Compliance Database'!$N$2:$N$1960,MATCH(1209,Engine!$C$2:$C$1960,0)))</f>
        <v/>
      </c>
      <c r="O1222" s="9">
        <f>IF(ISNA(MATCH(1209,Engine!$C$2:$C$1960,0)),"",INDEX('Compliance Database'!$O$2:$O$1960,MATCH(1209,Engine!$C$2:$C$1960,0)))</f>
        <v/>
      </c>
      <c r="P1222" s="8">
        <f>IF(ISNA(MATCH(1209,Engine!$C$2:$C$1960,0)),"",HYPERLINK("#Acts!A"&amp;INDEX('Compliance Database'!$P$2:$P$1960,MATCH(1209,Engine!$C$2:$C$1960,0)),"Go to Act"))</f>
        <v/>
      </c>
    </row>
    <row r="1223" ht="158" customHeight="1">
      <c r="A1223" s="8">
        <f>IF(ISNA(MATCH(1210,Engine!$C$2:$C$1960,0)),"",INDEX('Compliance Database'!$A$2:$A$1960,MATCH(1210,Engine!$C$2:$C$1960,0)))</f>
        <v/>
      </c>
      <c r="B1223" s="8">
        <f>IF(ISNA(MATCH(1210,Engine!$C$2:$C$1960,0)),"",INDEX('Compliance Database'!$B$2:$B$1960,MATCH(1210,Engine!$C$2:$C$1960,0)))</f>
        <v/>
      </c>
      <c r="C1223" s="8">
        <f>IF(ISNA(MATCH(1210,Engine!$C$2:$C$1960,0)),"",INDEX('Compliance Database'!$C$2:$C$1960,MATCH(1210,Engine!$C$2:$C$1960,0)))</f>
        <v/>
      </c>
      <c r="D1223" s="9">
        <f>IF(ISNA(MATCH(1210,Engine!$C$2:$C$1960,0)),"",INDEX('Compliance Database'!$D$2:$D$1960,MATCH(1210,Engine!$C$2:$C$1960,0)))</f>
        <v/>
      </c>
      <c r="E1223" s="8">
        <f>IF(ISNA(MATCH(1210,Engine!$C$2:$C$1960,0)),"",INDEX('Compliance Database'!$E$2:$E$1960,MATCH(1210,Engine!$C$2:$C$1960,0)))</f>
        <v/>
      </c>
      <c r="F1223" s="8">
        <f>IF(ISNA(MATCH(1210,Engine!$C$2:$C$1960,0)),"",INDEX('Compliance Database'!$F$2:$F$1960,MATCH(1210,Engine!$C$2:$C$1960,0)))</f>
        <v/>
      </c>
      <c r="G1223" s="8">
        <f>IF(ISNA(MATCH(1210,Engine!$C$2:$C$1960,0)),"",INDEX('Compliance Database'!$G$2:$G$1960,MATCH(1210,Engine!$C$2:$C$1960,0)))</f>
        <v/>
      </c>
      <c r="H1223" s="9">
        <f>IF(ISNA(MATCH(1210,Engine!$C$2:$C$1960,0)),"",INDEX('Compliance Database'!$H$2:$H$1960,MATCH(1210,Engine!$C$2:$C$1960,0)))</f>
        <v/>
      </c>
      <c r="I1223" s="9">
        <f>IF(ISNA(MATCH(1210,Engine!$C$2:$C$1960,0)),"",INDEX('Compliance Database'!$I$2:$I$1960,MATCH(1210,Engine!$C$2:$C$1960,0)))</f>
        <v/>
      </c>
      <c r="J1223" s="8">
        <f>IF(ISNA(MATCH(1210,Engine!$C$2:$C$1960,0)),"",INDEX('Compliance Database'!$J$2:$J$1960,MATCH(1210,Engine!$C$2:$C$1960,0)))</f>
        <v/>
      </c>
      <c r="K1223" s="9">
        <f>IF(ISNA(MATCH(1210,Engine!$C$2:$C$1960,0)),"",INDEX('Compliance Database'!$K$2:$K$1960,MATCH(1210,Engine!$C$2:$C$1960,0)))</f>
        <v/>
      </c>
      <c r="L1223" s="9">
        <f>IF(ISNA(MATCH(1210,Engine!$C$2:$C$1960,0)),"",INDEX('Compliance Database'!$L$2:$L$1960,MATCH(1210,Engine!$C$2:$C$1960,0)))</f>
        <v/>
      </c>
      <c r="M1223" s="9">
        <f>IF(ISNA(MATCH(1210,Engine!$C$2:$C$1960,0)),"",INDEX('Compliance Database'!$M$2:$M$1960,MATCH(1210,Engine!$C$2:$C$1960,0)))</f>
        <v/>
      </c>
      <c r="N1223" s="9">
        <f>IF(ISNA(MATCH(1210,Engine!$C$2:$C$1960,0)),"",INDEX('Compliance Database'!$N$2:$N$1960,MATCH(1210,Engine!$C$2:$C$1960,0)))</f>
        <v/>
      </c>
      <c r="O1223" s="9">
        <f>IF(ISNA(MATCH(1210,Engine!$C$2:$C$1960,0)),"",INDEX('Compliance Database'!$O$2:$O$1960,MATCH(1210,Engine!$C$2:$C$1960,0)))</f>
        <v/>
      </c>
      <c r="P1223" s="8">
        <f>IF(ISNA(MATCH(1210,Engine!$C$2:$C$1960,0)),"",HYPERLINK("#Acts!A"&amp;INDEX('Compliance Database'!$P$2:$P$1960,MATCH(1210,Engine!$C$2:$C$1960,0)),"Go to Act"))</f>
        <v/>
      </c>
    </row>
    <row r="1224" ht="158" customHeight="1">
      <c r="A1224" s="8">
        <f>IF(ISNA(MATCH(1211,Engine!$C$2:$C$1960,0)),"",INDEX('Compliance Database'!$A$2:$A$1960,MATCH(1211,Engine!$C$2:$C$1960,0)))</f>
        <v/>
      </c>
      <c r="B1224" s="8">
        <f>IF(ISNA(MATCH(1211,Engine!$C$2:$C$1960,0)),"",INDEX('Compliance Database'!$B$2:$B$1960,MATCH(1211,Engine!$C$2:$C$1960,0)))</f>
        <v/>
      </c>
      <c r="C1224" s="8">
        <f>IF(ISNA(MATCH(1211,Engine!$C$2:$C$1960,0)),"",INDEX('Compliance Database'!$C$2:$C$1960,MATCH(1211,Engine!$C$2:$C$1960,0)))</f>
        <v/>
      </c>
      <c r="D1224" s="9">
        <f>IF(ISNA(MATCH(1211,Engine!$C$2:$C$1960,0)),"",INDEX('Compliance Database'!$D$2:$D$1960,MATCH(1211,Engine!$C$2:$C$1960,0)))</f>
        <v/>
      </c>
      <c r="E1224" s="8">
        <f>IF(ISNA(MATCH(1211,Engine!$C$2:$C$1960,0)),"",INDEX('Compliance Database'!$E$2:$E$1960,MATCH(1211,Engine!$C$2:$C$1960,0)))</f>
        <v/>
      </c>
      <c r="F1224" s="8">
        <f>IF(ISNA(MATCH(1211,Engine!$C$2:$C$1960,0)),"",INDEX('Compliance Database'!$F$2:$F$1960,MATCH(1211,Engine!$C$2:$C$1960,0)))</f>
        <v/>
      </c>
      <c r="G1224" s="8">
        <f>IF(ISNA(MATCH(1211,Engine!$C$2:$C$1960,0)),"",INDEX('Compliance Database'!$G$2:$G$1960,MATCH(1211,Engine!$C$2:$C$1960,0)))</f>
        <v/>
      </c>
      <c r="H1224" s="9">
        <f>IF(ISNA(MATCH(1211,Engine!$C$2:$C$1960,0)),"",INDEX('Compliance Database'!$H$2:$H$1960,MATCH(1211,Engine!$C$2:$C$1960,0)))</f>
        <v/>
      </c>
      <c r="I1224" s="9">
        <f>IF(ISNA(MATCH(1211,Engine!$C$2:$C$1960,0)),"",INDEX('Compliance Database'!$I$2:$I$1960,MATCH(1211,Engine!$C$2:$C$1960,0)))</f>
        <v/>
      </c>
      <c r="J1224" s="8">
        <f>IF(ISNA(MATCH(1211,Engine!$C$2:$C$1960,0)),"",INDEX('Compliance Database'!$J$2:$J$1960,MATCH(1211,Engine!$C$2:$C$1960,0)))</f>
        <v/>
      </c>
      <c r="K1224" s="9">
        <f>IF(ISNA(MATCH(1211,Engine!$C$2:$C$1960,0)),"",INDEX('Compliance Database'!$K$2:$K$1960,MATCH(1211,Engine!$C$2:$C$1960,0)))</f>
        <v/>
      </c>
      <c r="L1224" s="9">
        <f>IF(ISNA(MATCH(1211,Engine!$C$2:$C$1960,0)),"",INDEX('Compliance Database'!$L$2:$L$1960,MATCH(1211,Engine!$C$2:$C$1960,0)))</f>
        <v/>
      </c>
      <c r="M1224" s="9">
        <f>IF(ISNA(MATCH(1211,Engine!$C$2:$C$1960,0)),"",INDEX('Compliance Database'!$M$2:$M$1960,MATCH(1211,Engine!$C$2:$C$1960,0)))</f>
        <v/>
      </c>
      <c r="N1224" s="9">
        <f>IF(ISNA(MATCH(1211,Engine!$C$2:$C$1960,0)),"",INDEX('Compliance Database'!$N$2:$N$1960,MATCH(1211,Engine!$C$2:$C$1960,0)))</f>
        <v/>
      </c>
      <c r="O1224" s="9">
        <f>IF(ISNA(MATCH(1211,Engine!$C$2:$C$1960,0)),"",INDEX('Compliance Database'!$O$2:$O$1960,MATCH(1211,Engine!$C$2:$C$1960,0)))</f>
        <v/>
      </c>
      <c r="P1224" s="8">
        <f>IF(ISNA(MATCH(1211,Engine!$C$2:$C$1960,0)),"",HYPERLINK("#Acts!A"&amp;INDEX('Compliance Database'!$P$2:$P$1960,MATCH(1211,Engine!$C$2:$C$1960,0)),"Go to Act"))</f>
        <v/>
      </c>
    </row>
    <row r="1225" ht="158" customHeight="1">
      <c r="A1225" s="8">
        <f>IF(ISNA(MATCH(1212,Engine!$C$2:$C$1960,0)),"",INDEX('Compliance Database'!$A$2:$A$1960,MATCH(1212,Engine!$C$2:$C$1960,0)))</f>
        <v/>
      </c>
      <c r="B1225" s="8">
        <f>IF(ISNA(MATCH(1212,Engine!$C$2:$C$1960,0)),"",INDEX('Compliance Database'!$B$2:$B$1960,MATCH(1212,Engine!$C$2:$C$1960,0)))</f>
        <v/>
      </c>
      <c r="C1225" s="8">
        <f>IF(ISNA(MATCH(1212,Engine!$C$2:$C$1960,0)),"",INDEX('Compliance Database'!$C$2:$C$1960,MATCH(1212,Engine!$C$2:$C$1960,0)))</f>
        <v/>
      </c>
      <c r="D1225" s="9">
        <f>IF(ISNA(MATCH(1212,Engine!$C$2:$C$1960,0)),"",INDEX('Compliance Database'!$D$2:$D$1960,MATCH(1212,Engine!$C$2:$C$1960,0)))</f>
        <v/>
      </c>
      <c r="E1225" s="8">
        <f>IF(ISNA(MATCH(1212,Engine!$C$2:$C$1960,0)),"",INDEX('Compliance Database'!$E$2:$E$1960,MATCH(1212,Engine!$C$2:$C$1960,0)))</f>
        <v/>
      </c>
      <c r="F1225" s="8">
        <f>IF(ISNA(MATCH(1212,Engine!$C$2:$C$1960,0)),"",INDEX('Compliance Database'!$F$2:$F$1960,MATCH(1212,Engine!$C$2:$C$1960,0)))</f>
        <v/>
      </c>
      <c r="G1225" s="8">
        <f>IF(ISNA(MATCH(1212,Engine!$C$2:$C$1960,0)),"",INDEX('Compliance Database'!$G$2:$G$1960,MATCH(1212,Engine!$C$2:$C$1960,0)))</f>
        <v/>
      </c>
      <c r="H1225" s="9">
        <f>IF(ISNA(MATCH(1212,Engine!$C$2:$C$1960,0)),"",INDEX('Compliance Database'!$H$2:$H$1960,MATCH(1212,Engine!$C$2:$C$1960,0)))</f>
        <v/>
      </c>
      <c r="I1225" s="9">
        <f>IF(ISNA(MATCH(1212,Engine!$C$2:$C$1960,0)),"",INDEX('Compliance Database'!$I$2:$I$1960,MATCH(1212,Engine!$C$2:$C$1960,0)))</f>
        <v/>
      </c>
      <c r="J1225" s="8">
        <f>IF(ISNA(MATCH(1212,Engine!$C$2:$C$1960,0)),"",INDEX('Compliance Database'!$J$2:$J$1960,MATCH(1212,Engine!$C$2:$C$1960,0)))</f>
        <v/>
      </c>
      <c r="K1225" s="9">
        <f>IF(ISNA(MATCH(1212,Engine!$C$2:$C$1960,0)),"",INDEX('Compliance Database'!$K$2:$K$1960,MATCH(1212,Engine!$C$2:$C$1960,0)))</f>
        <v/>
      </c>
      <c r="L1225" s="9">
        <f>IF(ISNA(MATCH(1212,Engine!$C$2:$C$1960,0)),"",INDEX('Compliance Database'!$L$2:$L$1960,MATCH(1212,Engine!$C$2:$C$1960,0)))</f>
        <v/>
      </c>
      <c r="M1225" s="9">
        <f>IF(ISNA(MATCH(1212,Engine!$C$2:$C$1960,0)),"",INDEX('Compliance Database'!$M$2:$M$1960,MATCH(1212,Engine!$C$2:$C$1960,0)))</f>
        <v/>
      </c>
      <c r="N1225" s="9">
        <f>IF(ISNA(MATCH(1212,Engine!$C$2:$C$1960,0)),"",INDEX('Compliance Database'!$N$2:$N$1960,MATCH(1212,Engine!$C$2:$C$1960,0)))</f>
        <v/>
      </c>
      <c r="O1225" s="9">
        <f>IF(ISNA(MATCH(1212,Engine!$C$2:$C$1960,0)),"",INDEX('Compliance Database'!$O$2:$O$1960,MATCH(1212,Engine!$C$2:$C$1960,0)))</f>
        <v/>
      </c>
      <c r="P1225" s="8">
        <f>IF(ISNA(MATCH(1212,Engine!$C$2:$C$1960,0)),"",HYPERLINK("#Acts!A"&amp;INDEX('Compliance Database'!$P$2:$P$1960,MATCH(1212,Engine!$C$2:$C$1960,0)),"Go to Act"))</f>
        <v/>
      </c>
    </row>
    <row r="1226" ht="158" customHeight="1">
      <c r="A1226" s="8">
        <f>IF(ISNA(MATCH(1213,Engine!$C$2:$C$1960,0)),"",INDEX('Compliance Database'!$A$2:$A$1960,MATCH(1213,Engine!$C$2:$C$1960,0)))</f>
        <v/>
      </c>
      <c r="B1226" s="8">
        <f>IF(ISNA(MATCH(1213,Engine!$C$2:$C$1960,0)),"",INDEX('Compliance Database'!$B$2:$B$1960,MATCH(1213,Engine!$C$2:$C$1960,0)))</f>
        <v/>
      </c>
      <c r="C1226" s="8">
        <f>IF(ISNA(MATCH(1213,Engine!$C$2:$C$1960,0)),"",INDEX('Compliance Database'!$C$2:$C$1960,MATCH(1213,Engine!$C$2:$C$1960,0)))</f>
        <v/>
      </c>
      <c r="D1226" s="9">
        <f>IF(ISNA(MATCH(1213,Engine!$C$2:$C$1960,0)),"",INDEX('Compliance Database'!$D$2:$D$1960,MATCH(1213,Engine!$C$2:$C$1960,0)))</f>
        <v/>
      </c>
      <c r="E1226" s="8">
        <f>IF(ISNA(MATCH(1213,Engine!$C$2:$C$1960,0)),"",INDEX('Compliance Database'!$E$2:$E$1960,MATCH(1213,Engine!$C$2:$C$1960,0)))</f>
        <v/>
      </c>
      <c r="F1226" s="8">
        <f>IF(ISNA(MATCH(1213,Engine!$C$2:$C$1960,0)),"",INDEX('Compliance Database'!$F$2:$F$1960,MATCH(1213,Engine!$C$2:$C$1960,0)))</f>
        <v/>
      </c>
      <c r="G1226" s="8">
        <f>IF(ISNA(MATCH(1213,Engine!$C$2:$C$1960,0)),"",INDEX('Compliance Database'!$G$2:$G$1960,MATCH(1213,Engine!$C$2:$C$1960,0)))</f>
        <v/>
      </c>
      <c r="H1226" s="9">
        <f>IF(ISNA(MATCH(1213,Engine!$C$2:$C$1960,0)),"",INDEX('Compliance Database'!$H$2:$H$1960,MATCH(1213,Engine!$C$2:$C$1960,0)))</f>
        <v/>
      </c>
      <c r="I1226" s="9">
        <f>IF(ISNA(MATCH(1213,Engine!$C$2:$C$1960,0)),"",INDEX('Compliance Database'!$I$2:$I$1960,MATCH(1213,Engine!$C$2:$C$1960,0)))</f>
        <v/>
      </c>
      <c r="J1226" s="8">
        <f>IF(ISNA(MATCH(1213,Engine!$C$2:$C$1960,0)),"",INDEX('Compliance Database'!$J$2:$J$1960,MATCH(1213,Engine!$C$2:$C$1960,0)))</f>
        <v/>
      </c>
      <c r="K1226" s="9">
        <f>IF(ISNA(MATCH(1213,Engine!$C$2:$C$1960,0)),"",INDEX('Compliance Database'!$K$2:$K$1960,MATCH(1213,Engine!$C$2:$C$1960,0)))</f>
        <v/>
      </c>
      <c r="L1226" s="9">
        <f>IF(ISNA(MATCH(1213,Engine!$C$2:$C$1960,0)),"",INDEX('Compliance Database'!$L$2:$L$1960,MATCH(1213,Engine!$C$2:$C$1960,0)))</f>
        <v/>
      </c>
      <c r="M1226" s="9">
        <f>IF(ISNA(MATCH(1213,Engine!$C$2:$C$1960,0)),"",INDEX('Compliance Database'!$M$2:$M$1960,MATCH(1213,Engine!$C$2:$C$1960,0)))</f>
        <v/>
      </c>
      <c r="N1226" s="9">
        <f>IF(ISNA(MATCH(1213,Engine!$C$2:$C$1960,0)),"",INDEX('Compliance Database'!$N$2:$N$1960,MATCH(1213,Engine!$C$2:$C$1960,0)))</f>
        <v/>
      </c>
      <c r="O1226" s="9">
        <f>IF(ISNA(MATCH(1213,Engine!$C$2:$C$1960,0)),"",INDEX('Compliance Database'!$O$2:$O$1960,MATCH(1213,Engine!$C$2:$C$1960,0)))</f>
        <v/>
      </c>
      <c r="P1226" s="8">
        <f>IF(ISNA(MATCH(1213,Engine!$C$2:$C$1960,0)),"",HYPERLINK("#Acts!A"&amp;INDEX('Compliance Database'!$P$2:$P$1960,MATCH(1213,Engine!$C$2:$C$1960,0)),"Go to Act"))</f>
        <v/>
      </c>
    </row>
    <row r="1227" ht="158" customHeight="1">
      <c r="A1227" s="8">
        <f>IF(ISNA(MATCH(1214,Engine!$C$2:$C$1960,0)),"",INDEX('Compliance Database'!$A$2:$A$1960,MATCH(1214,Engine!$C$2:$C$1960,0)))</f>
        <v/>
      </c>
      <c r="B1227" s="8">
        <f>IF(ISNA(MATCH(1214,Engine!$C$2:$C$1960,0)),"",INDEX('Compliance Database'!$B$2:$B$1960,MATCH(1214,Engine!$C$2:$C$1960,0)))</f>
        <v/>
      </c>
      <c r="C1227" s="8">
        <f>IF(ISNA(MATCH(1214,Engine!$C$2:$C$1960,0)),"",INDEX('Compliance Database'!$C$2:$C$1960,MATCH(1214,Engine!$C$2:$C$1960,0)))</f>
        <v/>
      </c>
      <c r="D1227" s="9">
        <f>IF(ISNA(MATCH(1214,Engine!$C$2:$C$1960,0)),"",INDEX('Compliance Database'!$D$2:$D$1960,MATCH(1214,Engine!$C$2:$C$1960,0)))</f>
        <v/>
      </c>
      <c r="E1227" s="8">
        <f>IF(ISNA(MATCH(1214,Engine!$C$2:$C$1960,0)),"",INDEX('Compliance Database'!$E$2:$E$1960,MATCH(1214,Engine!$C$2:$C$1960,0)))</f>
        <v/>
      </c>
      <c r="F1227" s="8">
        <f>IF(ISNA(MATCH(1214,Engine!$C$2:$C$1960,0)),"",INDEX('Compliance Database'!$F$2:$F$1960,MATCH(1214,Engine!$C$2:$C$1960,0)))</f>
        <v/>
      </c>
      <c r="G1227" s="8">
        <f>IF(ISNA(MATCH(1214,Engine!$C$2:$C$1960,0)),"",INDEX('Compliance Database'!$G$2:$G$1960,MATCH(1214,Engine!$C$2:$C$1960,0)))</f>
        <v/>
      </c>
      <c r="H1227" s="9">
        <f>IF(ISNA(MATCH(1214,Engine!$C$2:$C$1960,0)),"",INDEX('Compliance Database'!$H$2:$H$1960,MATCH(1214,Engine!$C$2:$C$1960,0)))</f>
        <v/>
      </c>
      <c r="I1227" s="9">
        <f>IF(ISNA(MATCH(1214,Engine!$C$2:$C$1960,0)),"",INDEX('Compliance Database'!$I$2:$I$1960,MATCH(1214,Engine!$C$2:$C$1960,0)))</f>
        <v/>
      </c>
      <c r="J1227" s="8">
        <f>IF(ISNA(MATCH(1214,Engine!$C$2:$C$1960,0)),"",INDEX('Compliance Database'!$J$2:$J$1960,MATCH(1214,Engine!$C$2:$C$1960,0)))</f>
        <v/>
      </c>
      <c r="K1227" s="9">
        <f>IF(ISNA(MATCH(1214,Engine!$C$2:$C$1960,0)),"",INDEX('Compliance Database'!$K$2:$K$1960,MATCH(1214,Engine!$C$2:$C$1960,0)))</f>
        <v/>
      </c>
      <c r="L1227" s="9">
        <f>IF(ISNA(MATCH(1214,Engine!$C$2:$C$1960,0)),"",INDEX('Compliance Database'!$L$2:$L$1960,MATCH(1214,Engine!$C$2:$C$1960,0)))</f>
        <v/>
      </c>
      <c r="M1227" s="9">
        <f>IF(ISNA(MATCH(1214,Engine!$C$2:$C$1960,0)),"",INDEX('Compliance Database'!$M$2:$M$1960,MATCH(1214,Engine!$C$2:$C$1960,0)))</f>
        <v/>
      </c>
      <c r="N1227" s="9">
        <f>IF(ISNA(MATCH(1214,Engine!$C$2:$C$1960,0)),"",INDEX('Compliance Database'!$N$2:$N$1960,MATCH(1214,Engine!$C$2:$C$1960,0)))</f>
        <v/>
      </c>
      <c r="O1227" s="9">
        <f>IF(ISNA(MATCH(1214,Engine!$C$2:$C$1960,0)),"",INDEX('Compliance Database'!$O$2:$O$1960,MATCH(1214,Engine!$C$2:$C$1960,0)))</f>
        <v/>
      </c>
      <c r="P1227" s="8">
        <f>IF(ISNA(MATCH(1214,Engine!$C$2:$C$1960,0)),"",HYPERLINK("#Acts!A"&amp;INDEX('Compliance Database'!$P$2:$P$1960,MATCH(1214,Engine!$C$2:$C$1960,0)),"Go to Act"))</f>
        <v/>
      </c>
    </row>
    <row r="1228" ht="158" customHeight="1">
      <c r="A1228" s="8">
        <f>IF(ISNA(MATCH(1215,Engine!$C$2:$C$1960,0)),"",INDEX('Compliance Database'!$A$2:$A$1960,MATCH(1215,Engine!$C$2:$C$1960,0)))</f>
        <v/>
      </c>
      <c r="B1228" s="8">
        <f>IF(ISNA(MATCH(1215,Engine!$C$2:$C$1960,0)),"",INDEX('Compliance Database'!$B$2:$B$1960,MATCH(1215,Engine!$C$2:$C$1960,0)))</f>
        <v/>
      </c>
      <c r="C1228" s="8">
        <f>IF(ISNA(MATCH(1215,Engine!$C$2:$C$1960,0)),"",INDEX('Compliance Database'!$C$2:$C$1960,MATCH(1215,Engine!$C$2:$C$1960,0)))</f>
        <v/>
      </c>
      <c r="D1228" s="9">
        <f>IF(ISNA(MATCH(1215,Engine!$C$2:$C$1960,0)),"",INDEX('Compliance Database'!$D$2:$D$1960,MATCH(1215,Engine!$C$2:$C$1960,0)))</f>
        <v/>
      </c>
      <c r="E1228" s="8">
        <f>IF(ISNA(MATCH(1215,Engine!$C$2:$C$1960,0)),"",INDEX('Compliance Database'!$E$2:$E$1960,MATCH(1215,Engine!$C$2:$C$1960,0)))</f>
        <v/>
      </c>
      <c r="F1228" s="8">
        <f>IF(ISNA(MATCH(1215,Engine!$C$2:$C$1960,0)),"",INDEX('Compliance Database'!$F$2:$F$1960,MATCH(1215,Engine!$C$2:$C$1960,0)))</f>
        <v/>
      </c>
      <c r="G1228" s="8">
        <f>IF(ISNA(MATCH(1215,Engine!$C$2:$C$1960,0)),"",INDEX('Compliance Database'!$G$2:$G$1960,MATCH(1215,Engine!$C$2:$C$1960,0)))</f>
        <v/>
      </c>
      <c r="H1228" s="9">
        <f>IF(ISNA(MATCH(1215,Engine!$C$2:$C$1960,0)),"",INDEX('Compliance Database'!$H$2:$H$1960,MATCH(1215,Engine!$C$2:$C$1960,0)))</f>
        <v/>
      </c>
      <c r="I1228" s="9">
        <f>IF(ISNA(MATCH(1215,Engine!$C$2:$C$1960,0)),"",INDEX('Compliance Database'!$I$2:$I$1960,MATCH(1215,Engine!$C$2:$C$1960,0)))</f>
        <v/>
      </c>
      <c r="J1228" s="8">
        <f>IF(ISNA(MATCH(1215,Engine!$C$2:$C$1960,0)),"",INDEX('Compliance Database'!$J$2:$J$1960,MATCH(1215,Engine!$C$2:$C$1960,0)))</f>
        <v/>
      </c>
      <c r="K1228" s="9">
        <f>IF(ISNA(MATCH(1215,Engine!$C$2:$C$1960,0)),"",INDEX('Compliance Database'!$K$2:$K$1960,MATCH(1215,Engine!$C$2:$C$1960,0)))</f>
        <v/>
      </c>
      <c r="L1228" s="9">
        <f>IF(ISNA(MATCH(1215,Engine!$C$2:$C$1960,0)),"",INDEX('Compliance Database'!$L$2:$L$1960,MATCH(1215,Engine!$C$2:$C$1960,0)))</f>
        <v/>
      </c>
      <c r="M1228" s="9">
        <f>IF(ISNA(MATCH(1215,Engine!$C$2:$C$1960,0)),"",INDEX('Compliance Database'!$M$2:$M$1960,MATCH(1215,Engine!$C$2:$C$1960,0)))</f>
        <v/>
      </c>
      <c r="N1228" s="9">
        <f>IF(ISNA(MATCH(1215,Engine!$C$2:$C$1960,0)),"",INDEX('Compliance Database'!$N$2:$N$1960,MATCH(1215,Engine!$C$2:$C$1960,0)))</f>
        <v/>
      </c>
      <c r="O1228" s="9">
        <f>IF(ISNA(MATCH(1215,Engine!$C$2:$C$1960,0)),"",INDEX('Compliance Database'!$O$2:$O$1960,MATCH(1215,Engine!$C$2:$C$1960,0)))</f>
        <v/>
      </c>
      <c r="P1228" s="8">
        <f>IF(ISNA(MATCH(1215,Engine!$C$2:$C$1960,0)),"",HYPERLINK("#Acts!A"&amp;INDEX('Compliance Database'!$P$2:$P$1960,MATCH(1215,Engine!$C$2:$C$1960,0)),"Go to Act"))</f>
        <v/>
      </c>
    </row>
    <row r="1229" ht="158" customHeight="1">
      <c r="A1229" s="8">
        <f>IF(ISNA(MATCH(1216,Engine!$C$2:$C$1960,0)),"",INDEX('Compliance Database'!$A$2:$A$1960,MATCH(1216,Engine!$C$2:$C$1960,0)))</f>
        <v/>
      </c>
      <c r="B1229" s="8">
        <f>IF(ISNA(MATCH(1216,Engine!$C$2:$C$1960,0)),"",INDEX('Compliance Database'!$B$2:$B$1960,MATCH(1216,Engine!$C$2:$C$1960,0)))</f>
        <v/>
      </c>
      <c r="C1229" s="8">
        <f>IF(ISNA(MATCH(1216,Engine!$C$2:$C$1960,0)),"",INDEX('Compliance Database'!$C$2:$C$1960,MATCH(1216,Engine!$C$2:$C$1960,0)))</f>
        <v/>
      </c>
      <c r="D1229" s="9">
        <f>IF(ISNA(MATCH(1216,Engine!$C$2:$C$1960,0)),"",INDEX('Compliance Database'!$D$2:$D$1960,MATCH(1216,Engine!$C$2:$C$1960,0)))</f>
        <v/>
      </c>
      <c r="E1229" s="8">
        <f>IF(ISNA(MATCH(1216,Engine!$C$2:$C$1960,0)),"",INDEX('Compliance Database'!$E$2:$E$1960,MATCH(1216,Engine!$C$2:$C$1960,0)))</f>
        <v/>
      </c>
      <c r="F1229" s="8">
        <f>IF(ISNA(MATCH(1216,Engine!$C$2:$C$1960,0)),"",INDEX('Compliance Database'!$F$2:$F$1960,MATCH(1216,Engine!$C$2:$C$1960,0)))</f>
        <v/>
      </c>
      <c r="G1229" s="8">
        <f>IF(ISNA(MATCH(1216,Engine!$C$2:$C$1960,0)),"",INDEX('Compliance Database'!$G$2:$G$1960,MATCH(1216,Engine!$C$2:$C$1960,0)))</f>
        <v/>
      </c>
      <c r="H1229" s="9">
        <f>IF(ISNA(MATCH(1216,Engine!$C$2:$C$1960,0)),"",INDEX('Compliance Database'!$H$2:$H$1960,MATCH(1216,Engine!$C$2:$C$1960,0)))</f>
        <v/>
      </c>
      <c r="I1229" s="9">
        <f>IF(ISNA(MATCH(1216,Engine!$C$2:$C$1960,0)),"",INDEX('Compliance Database'!$I$2:$I$1960,MATCH(1216,Engine!$C$2:$C$1960,0)))</f>
        <v/>
      </c>
      <c r="J1229" s="8">
        <f>IF(ISNA(MATCH(1216,Engine!$C$2:$C$1960,0)),"",INDEX('Compliance Database'!$J$2:$J$1960,MATCH(1216,Engine!$C$2:$C$1960,0)))</f>
        <v/>
      </c>
      <c r="K1229" s="9">
        <f>IF(ISNA(MATCH(1216,Engine!$C$2:$C$1960,0)),"",INDEX('Compliance Database'!$K$2:$K$1960,MATCH(1216,Engine!$C$2:$C$1960,0)))</f>
        <v/>
      </c>
      <c r="L1229" s="9">
        <f>IF(ISNA(MATCH(1216,Engine!$C$2:$C$1960,0)),"",INDEX('Compliance Database'!$L$2:$L$1960,MATCH(1216,Engine!$C$2:$C$1960,0)))</f>
        <v/>
      </c>
      <c r="M1229" s="9">
        <f>IF(ISNA(MATCH(1216,Engine!$C$2:$C$1960,0)),"",INDEX('Compliance Database'!$M$2:$M$1960,MATCH(1216,Engine!$C$2:$C$1960,0)))</f>
        <v/>
      </c>
      <c r="N1229" s="9">
        <f>IF(ISNA(MATCH(1216,Engine!$C$2:$C$1960,0)),"",INDEX('Compliance Database'!$N$2:$N$1960,MATCH(1216,Engine!$C$2:$C$1960,0)))</f>
        <v/>
      </c>
      <c r="O1229" s="9">
        <f>IF(ISNA(MATCH(1216,Engine!$C$2:$C$1960,0)),"",INDEX('Compliance Database'!$O$2:$O$1960,MATCH(1216,Engine!$C$2:$C$1960,0)))</f>
        <v/>
      </c>
      <c r="P1229" s="8">
        <f>IF(ISNA(MATCH(1216,Engine!$C$2:$C$1960,0)),"",HYPERLINK("#Acts!A"&amp;INDEX('Compliance Database'!$P$2:$P$1960,MATCH(1216,Engine!$C$2:$C$1960,0)),"Go to Act"))</f>
        <v/>
      </c>
    </row>
    <row r="1230" ht="158" customHeight="1">
      <c r="A1230" s="8">
        <f>IF(ISNA(MATCH(1217,Engine!$C$2:$C$1960,0)),"",INDEX('Compliance Database'!$A$2:$A$1960,MATCH(1217,Engine!$C$2:$C$1960,0)))</f>
        <v/>
      </c>
      <c r="B1230" s="8">
        <f>IF(ISNA(MATCH(1217,Engine!$C$2:$C$1960,0)),"",INDEX('Compliance Database'!$B$2:$B$1960,MATCH(1217,Engine!$C$2:$C$1960,0)))</f>
        <v/>
      </c>
      <c r="C1230" s="8">
        <f>IF(ISNA(MATCH(1217,Engine!$C$2:$C$1960,0)),"",INDEX('Compliance Database'!$C$2:$C$1960,MATCH(1217,Engine!$C$2:$C$1960,0)))</f>
        <v/>
      </c>
      <c r="D1230" s="9">
        <f>IF(ISNA(MATCH(1217,Engine!$C$2:$C$1960,0)),"",INDEX('Compliance Database'!$D$2:$D$1960,MATCH(1217,Engine!$C$2:$C$1960,0)))</f>
        <v/>
      </c>
      <c r="E1230" s="8">
        <f>IF(ISNA(MATCH(1217,Engine!$C$2:$C$1960,0)),"",INDEX('Compliance Database'!$E$2:$E$1960,MATCH(1217,Engine!$C$2:$C$1960,0)))</f>
        <v/>
      </c>
      <c r="F1230" s="8">
        <f>IF(ISNA(MATCH(1217,Engine!$C$2:$C$1960,0)),"",INDEX('Compliance Database'!$F$2:$F$1960,MATCH(1217,Engine!$C$2:$C$1960,0)))</f>
        <v/>
      </c>
      <c r="G1230" s="8">
        <f>IF(ISNA(MATCH(1217,Engine!$C$2:$C$1960,0)),"",INDEX('Compliance Database'!$G$2:$G$1960,MATCH(1217,Engine!$C$2:$C$1960,0)))</f>
        <v/>
      </c>
      <c r="H1230" s="9">
        <f>IF(ISNA(MATCH(1217,Engine!$C$2:$C$1960,0)),"",INDEX('Compliance Database'!$H$2:$H$1960,MATCH(1217,Engine!$C$2:$C$1960,0)))</f>
        <v/>
      </c>
      <c r="I1230" s="9">
        <f>IF(ISNA(MATCH(1217,Engine!$C$2:$C$1960,0)),"",INDEX('Compliance Database'!$I$2:$I$1960,MATCH(1217,Engine!$C$2:$C$1960,0)))</f>
        <v/>
      </c>
      <c r="J1230" s="8">
        <f>IF(ISNA(MATCH(1217,Engine!$C$2:$C$1960,0)),"",INDEX('Compliance Database'!$J$2:$J$1960,MATCH(1217,Engine!$C$2:$C$1960,0)))</f>
        <v/>
      </c>
      <c r="K1230" s="9">
        <f>IF(ISNA(MATCH(1217,Engine!$C$2:$C$1960,0)),"",INDEX('Compliance Database'!$K$2:$K$1960,MATCH(1217,Engine!$C$2:$C$1960,0)))</f>
        <v/>
      </c>
      <c r="L1230" s="9">
        <f>IF(ISNA(MATCH(1217,Engine!$C$2:$C$1960,0)),"",INDEX('Compliance Database'!$L$2:$L$1960,MATCH(1217,Engine!$C$2:$C$1960,0)))</f>
        <v/>
      </c>
      <c r="M1230" s="9">
        <f>IF(ISNA(MATCH(1217,Engine!$C$2:$C$1960,0)),"",INDEX('Compliance Database'!$M$2:$M$1960,MATCH(1217,Engine!$C$2:$C$1960,0)))</f>
        <v/>
      </c>
      <c r="N1230" s="9">
        <f>IF(ISNA(MATCH(1217,Engine!$C$2:$C$1960,0)),"",INDEX('Compliance Database'!$N$2:$N$1960,MATCH(1217,Engine!$C$2:$C$1960,0)))</f>
        <v/>
      </c>
      <c r="O1230" s="9">
        <f>IF(ISNA(MATCH(1217,Engine!$C$2:$C$1960,0)),"",INDEX('Compliance Database'!$O$2:$O$1960,MATCH(1217,Engine!$C$2:$C$1960,0)))</f>
        <v/>
      </c>
      <c r="P1230" s="8">
        <f>IF(ISNA(MATCH(1217,Engine!$C$2:$C$1960,0)),"",HYPERLINK("#Acts!A"&amp;INDEX('Compliance Database'!$P$2:$P$1960,MATCH(1217,Engine!$C$2:$C$1960,0)),"Go to Act"))</f>
        <v/>
      </c>
    </row>
    <row r="1231" ht="158" customHeight="1">
      <c r="A1231" s="8">
        <f>IF(ISNA(MATCH(1218,Engine!$C$2:$C$1960,0)),"",INDEX('Compliance Database'!$A$2:$A$1960,MATCH(1218,Engine!$C$2:$C$1960,0)))</f>
        <v/>
      </c>
      <c r="B1231" s="8">
        <f>IF(ISNA(MATCH(1218,Engine!$C$2:$C$1960,0)),"",INDEX('Compliance Database'!$B$2:$B$1960,MATCH(1218,Engine!$C$2:$C$1960,0)))</f>
        <v/>
      </c>
      <c r="C1231" s="8">
        <f>IF(ISNA(MATCH(1218,Engine!$C$2:$C$1960,0)),"",INDEX('Compliance Database'!$C$2:$C$1960,MATCH(1218,Engine!$C$2:$C$1960,0)))</f>
        <v/>
      </c>
      <c r="D1231" s="9">
        <f>IF(ISNA(MATCH(1218,Engine!$C$2:$C$1960,0)),"",INDEX('Compliance Database'!$D$2:$D$1960,MATCH(1218,Engine!$C$2:$C$1960,0)))</f>
        <v/>
      </c>
      <c r="E1231" s="8">
        <f>IF(ISNA(MATCH(1218,Engine!$C$2:$C$1960,0)),"",INDEX('Compliance Database'!$E$2:$E$1960,MATCH(1218,Engine!$C$2:$C$1960,0)))</f>
        <v/>
      </c>
      <c r="F1231" s="8">
        <f>IF(ISNA(MATCH(1218,Engine!$C$2:$C$1960,0)),"",INDEX('Compliance Database'!$F$2:$F$1960,MATCH(1218,Engine!$C$2:$C$1960,0)))</f>
        <v/>
      </c>
      <c r="G1231" s="8">
        <f>IF(ISNA(MATCH(1218,Engine!$C$2:$C$1960,0)),"",INDEX('Compliance Database'!$G$2:$G$1960,MATCH(1218,Engine!$C$2:$C$1960,0)))</f>
        <v/>
      </c>
      <c r="H1231" s="9">
        <f>IF(ISNA(MATCH(1218,Engine!$C$2:$C$1960,0)),"",INDEX('Compliance Database'!$H$2:$H$1960,MATCH(1218,Engine!$C$2:$C$1960,0)))</f>
        <v/>
      </c>
      <c r="I1231" s="9">
        <f>IF(ISNA(MATCH(1218,Engine!$C$2:$C$1960,0)),"",INDEX('Compliance Database'!$I$2:$I$1960,MATCH(1218,Engine!$C$2:$C$1960,0)))</f>
        <v/>
      </c>
      <c r="J1231" s="8">
        <f>IF(ISNA(MATCH(1218,Engine!$C$2:$C$1960,0)),"",INDEX('Compliance Database'!$J$2:$J$1960,MATCH(1218,Engine!$C$2:$C$1960,0)))</f>
        <v/>
      </c>
      <c r="K1231" s="9">
        <f>IF(ISNA(MATCH(1218,Engine!$C$2:$C$1960,0)),"",INDEX('Compliance Database'!$K$2:$K$1960,MATCH(1218,Engine!$C$2:$C$1960,0)))</f>
        <v/>
      </c>
      <c r="L1231" s="9">
        <f>IF(ISNA(MATCH(1218,Engine!$C$2:$C$1960,0)),"",INDEX('Compliance Database'!$L$2:$L$1960,MATCH(1218,Engine!$C$2:$C$1960,0)))</f>
        <v/>
      </c>
      <c r="M1231" s="9">
        <f>IF(ISNA(MATCH(1218,Engine!$C$2:$C$1960,0)),"",INDEX('Compliance Database'!$M$2:$M$1960,MATCH(1218,Engine!$C$2:$C$1960,0)))</f>
        <v/>
      </c>
      <c r="N1231" s="9">
        <f>IF(ISNA(MATCH(1218,Engine!$C$2:$C$1960,0)),"",INDEX('Compliance Database'!$N$2:$N$1960,MATCH(1218,Engine!$C$2:$C$1960,0)))</f>
        <v/>
      </c>
      <c r="O1231" s="9">
        <f>IF(ISNA(MATCH(1218,Engine!$C$2:$C$1960,0)),"",INDEX('Compliance Database'!$O$2:$O$1960,MATCH(1218,Engine!$C$2:$C$1960,0)))</f>
        <v/>
      </c>
      <c r="P1231" s="8">
        <f>IF(ISNA(MATCH(1218,Engine!$C$2:$C$1960,0)),"",HYPERLINK("#Acts!A"&amp;INDEX('Compliance Database'!$P$2:$P$1960,MATCH(1218,Engine!$C$2:$C$1960,0)),"Go to Act"))</f>
        <v/>
      </c>
    </row>
    <row r="1232" ht="158" customHeight="1">
      <c r="A1232" s="8">
        <f>IF(ISNA(MATCH(1219,Engine!$C$2:$C$1960,0)),"",INDEX('Compliance Database'!$A$2:$A$1960,MATCH(1219,Engine!$C$2:$C$1960,0)))</f>
        <v/>
      </c>
      <c r="B1232" s="8">
        <f>IF(ISNA(MATCH(1219,Engine!$C$2:$C$1960,0)),"",INDEX('Compliance Database'!$B$2:$B$1960,MATCH(1219,Engine!$C$2:$C$1960,0)))</f>
        <v/>
      </c>
      <c r="C1232" s="8">
        <f>IF(ISNA(MATCH(1219,Engine!$C$2:$C$1960,0)),"",INDEX('Compliance Database'!$C$2:$C$1960,MATCH(1219,Engine!$C$2:$C$1960,0)))</f>
        <v/>
      </c>
      <c r="D1232" s="9">
        <f>IF(ISNA(MATCH(1219,Engine!$C$2:$C$1960,0)),"",INDEX('Compliance Database'!$D$2:$D$1960,MATCH(1219,Engine!$C$2:$C$1960,0)))</f>
        <v/>
      </c>
      <c r="E1232" s="8">
        <f>IF(ISNA(MATCH(1219,Engine!$C$2:$C$1960,0)),"",INDEX('Compliance Database'!$E$2:$E$1960,MATCH(1219,Engine!$C$2:$C$1960,0)))</f>
        <v/>
      </c>
      <c r="F1232" s="8">
        <f>IF(ISNA(MATCH(1219,Engine!$C$2:$C$1960,0)),"",INDEX('Compliance Database'!$F$2:$F$1960,MATCH(1219,Engine!$C$2:$C$1960,0)))</f>
        <v/>
      </c>
      <c r="G1232" s="8">
        <f>IF(ISNA(MATCH(1219,Engine!$C$2:$C$1960,0)),"",INDEX('Compliance Database'!$G$2:$G$1960,MATCH(1219,Engine!$C$2:$C$1960,0)))</f>
        <v/>
      </c>
      <c r="H1232" s="9">
        <f>IF(ISNA(MATCH(1219,Engine!$C$2:$C$1960,0)),"",INDEX('Compliance Database'!$H$2:$H$1960,MATCH(1219,Engine!$C$2:$C$1960,0)))</f>
        <v/>
      </c>
      <c r="I1232" s="9">
        <f>IF(ISNA(MATCH(1219,Engine!$C$2:$C$1960,0)),"",INDEX('Compliance Database'!$I$2:$I$1960,MATCH(1219,Engine!$C$2:$C$1960,0)))</f>
        <v/>
      </c>
      <c r="J1232" s="8">
        <f>IF(ISNA(MATCH(1219,Engine!$C$2:$C$1960,0)),"",INDEX('Compliance Database'!$J$2:$J$1960,MATCH(1219,Engine!$C$2:$C$1960,0)))</f>
        <v/>
      </c>
      <c r="K1232" s="9">
        <f>IF(ISNA(MATCH(1219,Engine!$C$2:$C$1960,0)),"",INDEX('Compliance Database'!$K$2:$K$1960,MATCH(1219,Engine!$C$2:$C$1960,0)))</f>
        <v/>
      </c>
      <c r="L1232" s="9">
        <f>IF(ISNA(MATCH(1219,Engine!$C$2:$C$1960,0)),"",INDEX('Compliance Database'!$L$2:$L$1960,MATCH(1219,Engine!$C$2:$C$1960,0)))</f>
        <v/>
      </c>
      <c r="M1232" s="9">
        <f>IF(ISNA(MATCH(1219,Engine!$C$2:$C$1960,0)),"",INDEX('Compliance Database'!$M$2:$M$1960,MATCH(1219,Engine!$C$2:$C$1960,0)))</f>
        <v/>
      </c>
      <c r="N1232" s="9">
        <f>IF(ISNA(MATCH(1219,Engine!$C$2:$C$1960,0)),"",INDEX('Compliance Database'!$N$2:$N$1960,MATCH(1219,Engine!$C$2:$C$1960,0)))</f>
        <v/>
      </c>
      <c r="O1232" s="9">
        <f>IF(ISNA(MATCH(1219,Engine!$C$2:$C$1960,0)),"",INDEX('Compliance Database'!$O$2:$O$1960,MATCH(1219,Engine!$C$2:$C$1960,0)))</f>
        <v/>
      </c>
      <c r="P1232" s="8">
        <f>IF(ISNA(MATCH(1219,Engine!$C$2:$C$1960,0)),"",HYPERLINK("#Acts!A"&amp;INDEX('Compliance Database'!$P$2:$P$1960,MATCH(1219,Engine!$C$2:$C$1960,0)),"Go to Act"))</f>
        <v/>
      </c>
    </row>
    <row r="1233" ht="158" customHeight="1">
      <c r="A1233" s="8">
        <f>IF(ISNA(MATCH(1220,Engine!$C$2:$C$1960,0)),"",INDEX('Compliance Database'!$A$2:$A$1960,MATCH(1220,Engine!$C$2:$C$1960,0)))</f>
        <v/>
      </c>
      <c r="B1233" s="8">
        <f>IF(ISNA(MATCH(1220,Engine!$C$2:$C$1960,0)),"",INDEX('Compliance Database'!$B$2:$B$1960,MATCH(1220,Engine!$C$2:$C$1960,0)))</f>
        <v/>
      </c>
      <c r="C1233" s="8">
        <f>IF(ISNA(MATCH(1220,Engine!$C$2:$C$1960,0)),"",INDEX('Compliance Database'!$C$2:$C$1960,MATCH(1220,Engine!$C$2:$C$1960,0)))</f>
        <v/>
      </c>
      <c r="D1233" s="9">
        <f>IF(ISNA(MATCH(1220,Engine!$C$2:$C$1960,0)),"",INDEX('Compliance Database'!$D$2:$D$1960,MATCH(1220,Engine!$C$2:$C$1960,0)))</f>
        <v/>
      </c>
      <c r="E1233" s="8">
        <f>IF(ISNA(MATCH(1220,Engine!$C$2:$C$1960,0)),"",INDEX('Compliance Database'!$E$2:$E$1960,MATCH(1220,Engine!$C$2:$C$1960,0)))</f>
        <v/>
      </c>
      <c r="F1233" s="8">
        <f>IF(ISNA(MATCH(1220,Engine!$C$2:$C$1960,0)),"",INDEX('Compliance Database'!$F$2:$F$1960,MATCH(1220,Engine!$C$2:$C$1960,0)))</f>
        <v/>
      </c>
      <c r="G1233" s="8">
        <f>IF(ISNA(MATCH(1220,Engine!$C$2:$C$1960,0)),"",INDEX('Compliance Database'!$G$2:$G$1960,MATCH(1220,Engine!$C$2:$C$1960,0)))</f>
        <v/>
      </c>
      <c r="H1233" s="9">
        <f>IF(ISNA(MATCH(1220,Engine!$C$2:$C$1960,0)),"",INDEX('Compliance Database'!$H$2:$H$1960,MATCH(1220,Engine!$C$2:$C$1960,0)))</f>
        <v/>
      </c>
      <c r="I1233" s="9">
        <f>IF(ISNA(MATCH(1220,Engine!$C$2:$C$1960,0)),"",INDEX('Compliance Database'!$I$2:$I$1960,MATCH(1220,Engine!$C$2:$C$1960,0)))</f>
        <v/>
      </c>
      <c r="J1233" s="8">
        <f>IF(ISNA(MATCH(1220,Engine!$C$2:$C$1960,0)),"",INDEX('Compliance Database'!$J$2:$J$1960,MATCH(1220,Engine!$C$2:$C$1960,0)))</f>
        <v/>
      </c>
      <c r="K1233" s="9">
        <f>IF(ISNA(MATCH(1220,Engine!$C$2:$C$1960,0)),"",INDEX('Compliance Database'!$K$2:$K$1960,MATCH(1220,Engine!$C$2:$C$1960,0)))</f>
        <v/>
      </c>
      <c r="L1233" s="9">
        <f>IF(ISNA(MATCH(1220,Engine!$C$2:$C$1960,0)),"",INDEX('Compliance Database'!$L$2:$L$1960,MATCH(1220,Engine!$C$2:$C$1960,0)))</f>
        <v/>
      </c>
      <c r="M1233" s="9">
        <f>IF(ISNA(MATCH(1220,Engine!$C$2:$C$1960,0)),"",INDEX('Compliance Database'!$M$2:$M$1960,MATCH(1220,Engine!$C$2:$C$1960,0)))</f>
        <v/>
      </c>
      <c r="N1233" s="9">
        <f>IF(ISNA(MATCH(1220,Engine!$C$2:$C$1960,0)),"",INDEX('Compliance Database'!$N$2:$N$1960,MATCH(1220,Engine!$C$2:$C$1960,0)))</f>
        <v/>
      </c>
      <c r="O1233" s="9">
        <f>IF(ISNA(MATCH(1220,Engine!$C$2:$C$1960,0)),"",INDEX('Compliance Database'!$O$2:$O$1960,MATCH(1220,Engine!$C$2:$C$1960,0)))</f>
        <v/>
      </c>
      <c r="P1233" s="8">
        <f>IF(ISNA(MATCH(1220,Engine!$C$2:$C$1960,0)),"",HYPERLINK("#Acts!A"&amp;INDEX('Compliance Database'!$P$2:$P$1960,MATCH(1220,Engine!$C$2:$C$1960,0)),"Go to Act"))</f>
        <v/>
      </c>
    </row>
    <row r="1234" ht="158" customHeight="1">
      <c r="A1234" s="8">
        <f>IF(ISNA(MATCH(1221,Engine!$C$2:$C$1960,0)),"",INDEX('Compliance Database'!$A$2:$A$1960,MATCH(1221,Engine!$C$2:$C$1960,0)))</f>
        <v/>
      </c>
      <c r="B1234" s="8">
        <f>IF(ISNA(MATCH(1221,Engine!$C$2:$C$1960,0)),"",INDEX('Compliance Database'!$B$2:$B$1960,MATCH(1221,Engine!$C$2:$C$1960,0)))</f>
        <v/>
      </c>
      <c r="C1234" s="8">
        <f>IF(ISNA(MATCH(1221,Engine!$C$2:$C$1960,0)),"",INDEX('Compliance Database'!$C$2:$C$1960,MATCH(1221,Engine!$C$2:$C$1960,0)))</f>
        <v/>
      </c>
      <c r="D1234" s="9">
        <f>IF(ISNA(MATCH(1221,Engine!$C$2:$C$1960,0)),"",INDEX('Compliance Database'!$D$2:$D$1960,MATCH(1221,Engine!$C$2:$C$1960,0)))</f>
        <v/>
      </c>
      <c r="E1234" s="8">
        <f>IF(ISNA(MATCH(1221,Engine!$C$2:$C$1960,0)),"",INDEX('Compliance Database'!$E$2:$E$1960,MATCH(1221,Engine!$C$2:$C$1960,0)))</f>
        <v/>
      </c>
      <c r="F1234" s="8">
        <f>IF(ISNA(MATCH(1221,Engine!$C$2:$C$1960,0)),"",INDEX('Compliance Database'!$F$2:$F$1960,MATCH(1221,Engine!$C$2:$C$1960,0)))</f>
        <v/>
      </c>
      <c r="G1234" s="8">
        <f>IF(ISNA(MATCH(1221,Engine!$C$2:$C$1960,0)),"",INDEX('Compliance Database'!$G$2:$G$1960,MATCH(1221,Engine!$C$2:$C$1960,0)))</f>
        <v/>
      </c>
      <c r="H1234" s="9">
        <f>IF(ISNA(MATCH(1221,Engine!$C$2:$C$1960,0)),"",INDEX('Compliance Database'!$H$2:$H$1960,MATCH(1221,Engine!$C$2:$C$1960,0)))</f>
        <v/>
      </c>
      <c r="I1234" s="9">
        <f>IF(ISNA(MATCH(1221,Engine!$C$2:$C$1960,0)),"",INDEX('Compliance Database'!$I$2:$I$1960,MATCH(1221,Engine!$C$2:$C$1960,0)))</f>
        <v/>
      </c>
      <c r="J1234" s="8">
        <f>IF(ISNA(MATCH(1221,Engine!$C$2:$C$1960,0)),"",INDEX('Compliance Database'!$J$2:$J$1960,MATCH(1221,Engine!$C$2:$C$1960,0)))</f>
        <v/>
      </c>
      <c r="K1234" s="9">
        <f>IF(ISNA(MATCH(1221,Engine!$C$2:$C$1960,0)),"",INDEX('Compliance Database'!$K$2:$K$1960,MATCH(1221,Engine!$C$2:$C$1960,0)))</f>
        <v/>
      </c>
      <c r="L1234" s="9">
        <f>IF(ISNA(MATCH(1221,Engine!$C$2:$C$1960,0)),"",INDEX('Compliance Database'!$L$2:$L$1960,MATCH(1221,Engine!$C$2:$C$1960,0)))</f>
        <v/>
      </c>
      <c r="M1234" s="9">
        <f>IF(ISNA(MATCH(1221,Engine!$C$2:$C$1960,0)),"",INDEX('Compliance Database'!$M$2:$M$1960,MATCH(1221,Engine!$C$2:$C$1960,0)))</f>
        <v/>
      </c>
      <c r="N1234" s="9">
        <f>IF(ISNA(MATCH(1221,Engine!$C$2:$C$1960,0)),"",INDEX('Compliance Database'!$N$2:$N$1960,MATCH(1221,Engine!$C$2:$C$1960,0)))</f>
        <v/>
      </c>
      <c r="O1234" s="9">
        <f>IF(ISNA(MATCH(1221,Engine!$C$2:$C$1960,0)),"",INDEX('Compliance Database'!$O$2:$O$1960,MATCH(1221,Engine!$C$2:$C$1960,0)))</f>
        <v/>
      </c>
      <c r="P1234" s="8">
        <f>IF(ISNA(MATCH(1221,Engine!$C$2:$C$1960,0)),"",HYPERLINK("#Acts!A"&amp;INDEX('Compliance Database'!$P$2:$P$1960,MATCH(1221,Engine!$C$2:$C$1960,0)),"Go to Act"))</f>
        <v/>
      </c>
    </row>
    <row r="1235" ht="158" customHeight="1">
      <c r="A1235" s="8">
        <f>IF(ISNA(MATCH(1222,Engine!$C$2:$C$1960,0)),"",INDEX('Compliance Database'!$A$2:$A$1960,MATCH(1222,Engine!$C$2:$C$1960,0)))</f>
        <v/>
      </c>
      <c r="B1235" s="8">
        <f>IF(ISNA(MATCH(1222,Engine!$C$2:$C$1960,0)),"",INDEX('Compliance Database'!$B$2:$B$1960,MATCH(1222,Engine!$C$2:$C$1960,0)))</f>
        <v/>
      </c>
      <c r="C1235" s="8">
        <f>IF(ISNA(MATCH(1222,Engine!$C$2:$C$1960,0)),"",INDEX('Compliance Database'!$C$2:$C$1960,MATCH(1222,Engine!$C$2:$C$1960,0)))</f>
        <v/>
      </c>
      <c r="D1235" s="9">
        <f>IF(ISNA(MATCH(1222,Engine!$C$2:$C$1960,0)),"",INDEX('Compliance Database'!$D$2:$D$1960,MATCH(1222,Engine!$C$2:$C$1960,0)))</f>
        <v/>
      </c>
      <c r="E1235" s="8">
        <f>IF(ISNA(MATCH(1222,Engine!$C$2:$C$1960,0)),"",INDEX('Compliance Database'!$E$2:$E$1960,MATCH(1222,Engine!$C$2:$C$1960,0)))</f>
        <v/>
      </c>
      <c r="F1235" s="8">
        <f>IF(ISNA(MATCH(1222,Engine!$C$2:$C$1960,0)),"",INDEX('Compliance Database'!$F$2:$F$1960,MATCH(1222,Engine!$C$2:$C$1960,0)))</f>
        <v/>
      </c>
      <c r="G1235" s="8">
        <f>IF(ISNA(MATCH(1222,Engine!$C$2:$C$1960,0)),"",INDEX('Compliance Database'!$G$2:$G$1960,MATCH(1222,Engine!$C$2:$C$1960,0)))</f>
        <v/>
      </c>
      <c r="H1235" s="9">
        <f>IF(ISNA(MATCH(1222,Engine!$C$2:$C$1960,0)),"",INDEX('Compliance Database'!$H$2:$H$1960,MATCH(1222,Engine!$C$2:$C$1960,0)))</f>
        <v/>
      </c>
      <c r="I1235" s="9">
        <f>IF(ISNA(MATCH(1222,Engine!$C$2:$C$1960,0)),"",INDEX('Compliance Database'!$I$2:$I$1960,MATCH(1222,Engine!$C$2:$C$1960,0)))</f>
        <v/>
      </c>
      <c r="J1235" s="8">
        <f>IF(ISNA(MATCH(1222,Engine!$C$2:$C$1960,0)),"",INDEX('Compliance Database'!$J$2:$J$1960,MATCH(1222,Engine!$C$2:$C$1960,0)))</f>
        <v/>
      </c>
      <c r="K1235" s="9">
        <f>IF(ISNA(MATCH(1222,Engine!$C$2:$C$1960,0)),"",INDEX('Compliance Database'!$K$2:$K$1960,MATCH(1222,Engine!$C$2:$C$1960,0)))</f>
        <v/>
      </c>
      <c r="L1235" s="9">
        <f>IF(ISNA(MATCH(1222,Engine!$C$2:$C$1960,0)),"",INDEX('Compliance Database'!$L$2:$L$1960,MATCH(1222,Engine!$C$2:$C$1960,0)))</f>
        <v/>
      </c>
      <c r="M1235" s="9">
        <f>IF(ISNA(MATCH(1222,Engine!$C$2:$C$1960,0)),"",INDEX('Compliance Database'!$M$2:$M$1960,MATCH(1222,Engine!$C$2:$C$1960,0)))</f>
        <v/>
      </c>
      <c r="N1235" s="9">
        <f>IF(ISNA(MATCH(1222,Engine!$C$2:$C$1960,0)),"",INDEX('Compliance Database'!$N$2:$N$1960,MATCH(1222,Engine!$C$2:$C$1960,0)))</f>
        <v/>
      </c>
      <c r="O1235" s="9">
        <f>IF(ISNA(MATCH(1222,Engine!$C$2:$C$1960,0)),"",INDEX('Compliance Database'!$O$2:$O$1960,MATCH(1222,Engine!$C$2:$C$1960,0)))</f>
        <v/>
      </c>
      <c r="P1235" s="8">
        <f>IF(ISNA(MATCH(1222,Engine!$C$2:$C$1960,0)),"",HYPERLINK("#Acts!A"&amp;INDEX('Compliance Database'!$P$2:$P$1960,MATCH(1222,Engine!$C$2:$C$1960,0)),"Go to Act"))</f>
        <v/>
      </c>
    </row>
    <row r="1236" ht="158" customHeight="1">
      <c r="A1236" s="8">
        <f>IF(ISNA(MATCH(1223,Engine!$C$2:$C$1960,0)),"",INDEX('Compliance Database'!$A$2:$A$1960,MATCH(1223,Engine!$C$2:$C$1960,0)))</f>
        <v/>
      </c>
      <c r="B1236" s="8">
        <f>IF(ISNA(MATCH(1223,Engine!$C$2:$C$1960,0)),"",INDEX('Compliance Database'!$B$2:$B$1960,MATCH(1223,Engine!$C$2:$C$1960,0)))</f>
        <v/>
      </c>
      <c r="C1236" s="8">
        <f>IF(ISNA(MATCH(1223,Engine!$C$2:$C$1960,0)),"",INDEX('Compliance Database'!$C$2:$C$1960,MATCH(1223,Engine!$C$2:$C$1960,0)))</f>
        <v/>
      </c>
      <c r="D1236" s="9">
        <f>IF(ISNA(MATCH(1223,Engine!$C$2:$C$1960,0)),"",INDEX('Compliance Database'!$D$2:$D$1960,MATCH(1223,Engine!$C$2:$C$1960,0)))</f>
        <v/>
      </c>
      <c r="E1236" s="8">
        <f>IF(ISNA(MATCH(1223,Engine!$C$2:$C$1960,0)),"",INDEX('Compliance Database'!$E$2:$E$1960,MATCH(1223,Engine!$C$2:$C$1960,0)))</f>
        <v/>
      </c>
      <c r="F1236" s="8">
        <f>IF(ISNA(MATCH(1223,Engine!$C$2:$C$1960,0)),"",INDEX('Compliance Database'!$F$2:$F$1960,MATCH(1223,Engine!$C$2:$C$1960,0)))</f>
        <v/>
      </c>
      <c r="G1236" s="8">
        <f>IF(ISNA(MATCH(1223,Engine!$C$2:$C$1960,0)),"",INDEX('Compliance Database'!$G$2:$G$1960,MATCH(1223,Engine!$C$2:$C$1960,0)))</f>
        <v/>
      </c>
      <c r="H1236" s="9">
        <f>IF(ISNA(MATCH(1223,Engine!$C$2:$C$1960,0)),"",INDEX('Compliance Database'!$H$2:$H$1960,MATCH(1223,Engine!$C$2:$C$1960,0)))</f>
        <v/>
      </c>
      <c r="I1236" s="9">
        <f>IF(ISNA(MATCH(1223,Engine!$C$2:$C$1960,0)),"",INDEX('Compliance Database'!$I$2:$I$1960,MATCH(1223,Engine!$C$2:$C$1960,0)))</f>
        <v/>
      </c>
      <c r="J1236" s="8">
        <f>IF(ISNA(MATCH(1223,Engine!$C$2:$C$1960,0)),"",INDEX('Compliance Database'!$J$2:$J$1960,MATCH(1223,Engine!$C$2:$C$1960,0)))</f>
        <v/>
      </c>
      <c r="K1236" s="9">
        <f>IF(ISNA(MATCH(1223,Engine!$C$2:$C$1960,0)),"",INDEX('Compliance Database'!$K$2:$K$1960,MATCH(1223,Engine!$C$2:$C$1960,0)))</f>
        <v/>
      </c>
      <c r="L1236" s="9">
        <f>IF(ISNA(MATCH(1223,Engine!$C$2:$C$1960,0)),"",INDEX('Compliance Database'!$L$2:$L$1960,MATCH(1223,Engine!$C$2:$C$1960,0)))</f>
        <v/>
      </c>
      <c r="M1236" s="9">
        <f>IF(ISNA(MATCH(1223,Engine!$C$2:$C$1960,0)),"",INDEX('Compliance Database'!$M$2:$M$1960,MATCH(1223,Engine!$C$2:$C$1960,0)))</f>
        <v/>
      </c>
      <c r="N1236" s="9">
        <f>IF(ISNA(MATCH(1223,Engine!$C$2:$C$1960,0)),"",INDEX('Compliance Database'!$N$2:$N$1960,MATCH(1223,Engine!$C$2:$C$1960,0)))</f>
        <v/>
      </c>
      <c r="O1236" s="9">
        <f>IF(ISNA(MATCH(1223,Engine!$C$2:$C$1960,0)),"",INDEX('Compliance Database'!$O$2:$O$1960,MATCH(1223,Engine!$C$2:$C$1960,0)))</f>
        <v/>
      </c>
      <c r="P1236" s="8">
        <f>IF(ISNA(MATCH(1223,Engine!$C$2:$C$1960,0)),"",HYPERLINK("#Acts!A"&amp;INDEX('Compliance Database'!$P$2:$P$1960,MATCH(1223,Engine!$C$2:$C$1960,0)),"Go to Act"))</f>
        <v/>
      </c>
    </row>
    <row r="1237" ht="158" customHeight="1">
      <c r="A1237" s="8">
        <f>IF(ISNA(MATCH(1224,Engine!$C$2:$C$1960,0)),"",INDEX('Compliance Database'!$A$2:$A$1960,MATCH(1224,Engine!$C$2:$C$1960,0)))</f>
        <v/>
      </c>
      <c r="B1237" s="8">
        <f>IF(ISNA(MATCH(1224,Engine!$C$2:$C$1960,0)),"",INDEX('Compliance Database'!$B$2:$B$1960,MATCH(1224,Engine!$C$2:$C$1960,0)))</f>
        <v/>
      </c>
      <c r="C1237" s="8">
        <f>IF(ISNA(MATCH(1224,Engine!$C$2:$C$1960,0)),"",INDEX('Compliance Database'!$C$2:$C$1960,MATCH(1224,Engine!$C$2:$C$1960,0)))</f>
        <v/>
      </c>
      <c r="D1237" s="9">
        <f>IF(ISNA(MATCH(1224,Engine!$C$2:$C$1960,0)),"",INDEX('Compliance Database'!$D$2:$D$1960,MATCH(1224,Engine!$C$2:$C$1960,0)))</f>
        <v/>
      </c>
      <c r="E1237" s="8">
        <f>IF(ISNA(MATCH(1224,Engine!$C$2:$C$1960,0)),"",INDEX('Compliance Database'!$E$2:$E$1960,MATCH(1224,Engine!$C$2:$C$1960,0)))</f>
        <v/>
      </c>
      <c r="F1237" s="8">
        <f>IF(ISNA(MATCH(1224,Engine!$C$2:$C$1960,0)),"",INDEX('Compliance Database'!$F$2:$F$1960,MATCH(1224,Engine!$C$2:$C$1960,0)))</f>
        <v/>
      </c>
      <c r="G1237" s="8">
        <f>IF(ISNA(MATCH(1224,Engine!$C$2:$C$1960,0)),"",INDEX('Compliance Database'!$G$2:$G$1960,MATCH(1224,Engine!$C$2:$C$1960,0)))</f>
        <v/>
      </c>
      <c r="H1237" s="9">
        <f>IF(ISNA(MATCH(1224,Engine!$C$2:$C$1960,0)),"",INDEX('Compliance Database'!$H$2:$H$1960,MATCH(1224,Engine!$C$2:$C$1960,0)))</f>
        <v/>
      </c>
      <c r="I1237" s="9">
        <f>IF(ISNA(MATCH(1224,Engine!$C$2:$C$1960,0)),"",INDEX('Compliance Database'!$I$2:$I$1960,MATCH(1224,Engine!$C$2:$C$1960,0)))</f>
        <v/>
      </c>
      <c r="J1237" s="8">
        <f>IF(ISNA(MATCH(1224,Engine!$C$2:$C$1960,0)),"",INDEX('Compliance Database'!$J$2:$J$1960,MATCH(1224,Engine!$C$2:$C$1960,0)))</f>
        <v/>
      </c>
      <c r="K1237" s="9">
        <f>IF(ISNA(MATCH(1224,Engine!$C$2:$C$1960,0)),"",INDEX('Compliance Database'!$K$2:$K$1960,MATCH(1224,Engine!$C$2:$C$1960,0)))</f>
        <v/>
      </c>
      <c r="L1237" s="9">
        <f>IF(ISNA(MATCH(1224,Engine!$C$2:$C$1960,0)),"",INDEX('Compliance Database'!$L$2:$L$1960,MATCH(1224,Engine!$C$2:$C$1960,0)))</f>
        <v/>
      </c>
      <c r="M1237" s="9">
        <f>IF(ISNA(MATCH(1224,Engine!$C$2:$C$1960,0)),"",INDEX('Compliance Database'!$M$2:$M$1960,MATCH(1224,Engine!$C$2:$C$1960,0)))</f>
        <v/>
      </c>
      <c r="N1237" s="9">
        <f>IF(ISNA(MATCH(1224,Engine!$C$2:$C$1960,0)),"",INDEX('Compliance Database'!$N$2:$N$1960,MATCH(1224,Engine!$C$2:$C$1960,0)))</f>
        <v/>
      </c>
      <c r="O1237" s="9">
        <f>IF(ISNA(MATCH(1224,Engine!$C$2:$C$1960,0)),"",INDEX('Compliance Database'!$O$2:$O$1960,MATCH(1224,Engine!$C$2:$C$1960,0)))</f>
        <v/>
      </c>
      <c r="P1237" s="8">
        <f>IF(ISNA(MATCH(1224,Engine!$C$2:$C$1960,0)),"",HYPERLINK("#Acts!A"&amp;INDEX('Compliance Database'!$P$2:$P$1960,MATCH(1224,Engine!$C$2:$C$1960,0)),"Go to Act"))</f>
        <v/>
      </c>
    </row>
    <row r="1238" ht="158" customHeight="1">
      <c r="A1238" s="8">
        <f>IF(ISNA(MATCH(1225,Engine!$C$2:$C$1960,0)),"",INDEX('Compliance Database'!$A$2:$A$1960,MATCH(1225,Engine!$C$2:$C$1960,0)))</f>
        <v/>
      </c>
      <c r="B1238" s="8">
        <f>IF(ISNA(MATCH(1225,Engine!$C$2:$C$1960,0)),"",INDEX('Compliance Database'!$B$2:$B$1960,MATCH(1225,Engine!$C$2:$C$1960,0)))</f>
        <v/>
      </c>
      <c r="C1238" s="8">
        <f>IF(ISNA(MATCH(1225,Engine!$C$2:$C$1960,0)),"",INDEX('Compliance Database'!$C$2:$C$1960,MATCH(1225,Engine!$C$2:$C$1960,0)))</f>
        <v/>
      </c>
      <c r="D1238" s="9">
        <f>IF(ISNA(MATCH(1225,Engine!$C$2:$C$1960,0)),"",INDEX('Compliance Database'!$D$2:$D$1960,MATCH(1225,Engine!$C$2:$C$1960,0)))</f>
        <v/>
      </c>
      <c r="E1238" s="8">
        <f>IF(ISNA(MATCH(1225,Engine!$C$2:$C$1960,0)),"",INDEX('Compliance Database'!$E$2:$E$1960,MATCH(1225,Engine!$C$2:$C$1960,0)))</f>
        <v/>
      </c>
      <c r="F1238" s="8">
        <f>IF(ISNA(MATCH(1225,Engine!$C$2:$C$1960,0)),"",INDEX('Compliance Database'!$F$2:$F$1960,MATCH(1225,Engine!$C$2:$C$1960,0)))</f>
        <v/>
      </c>
      <c r="G1238" s="8">
        <f>IF(ISNA(MATCH(1225,Engine!$C$2:$C$1960,0)),"",INDEX('Compliance Database'!$G$2:$G$1960,MATCH(1225,Engine!$C$2:$C$1960,0)))</f>
        <v/>
      </c>
      <c r="H1238" s="9">
        <f>IF(ISNA(MATCH(1225,Engine!$C$2:$C$1960,0)),"",INDEX('Compliance Database'!$H$2:$H$1960,MATCH(1225,Engine!$C$2:$C$1960,0)))</f>
        <v/>
      </c>
      <c r="I1238" s="9">
        <f>IF(ISNA(MATCH(1225,Engine!$C$2:$C$1960,0)),"",INDEX('Compliance Database'!$I$2:$I$1960,MATCH(1225,Engine!$C$2:$C$1960,0)))</f>
        <v/>
      </c>
      <c r="J1238" s="8">
        <f>IF(ISNA(MATCH(1225,Engine!$C$2:$C$1960,0)),"",INDEX('Compliance Database'!$J$2:$J$1960,MATCH(1225,Engine!$C$2:$C$1960,0)))</f>
        <v/>
      </c>
      <c r="K1238" s="9">
        <f>IF(ISNA(MATCH(1225,Engine!$C$2:$C$1960,0)),"",INDEX('Compliance Database'!$K$2:$K$1960,MATCH(1225,Engine!$C$2:$C$1960,0)))</f>
        <v/>
      </c>
      <c r="L1238" s="9">
        <f>IF(ISNA(MATCH(1225,Engine!$C$2:$C$1960,0)),"",INDEX('Compliance Database'!$L$2:$L$1960,MATCH(1225,Engine!$C$2:$C$1960,0)))</f>
        <v/>
      </c>
      <c r="M1238" s="9">
        <f>IF(ISNA(MATCH(1225,Engine!$C$2:$C$1960,0)),"",INDEX('Compliance Database'!$M$2:$M$1960,MATCH(1225,Engine!$C$2:$C$1960,0)))</f>
        <v/>
      </c>
      <c r="N1238" s="9">
        <f>IF(ISNA(MATCH(1225,Engine!$C$2:$C$1960,0)),"",INDEX('Compliance Database'!$N$2:$N$1960,MATCH(1225,Engine!$C$2:$C$1960,0)))</f>
        <v/>
      </c>
      <c r="O1238" s="9">
        <f>IF(ISNA(MATCH(1225,Engine!$C$2:$C$1960,0)),"",INDEX('Compliance Database'!$O$2:$O$1960,MATCH(1225,Engine!$C$2:$C$1960,0)))</f>
        <v/>
      </c>
      <c r="P1238" s="8">
        <f>IF(ISNA(MATCH(1225,Engine!$C$2:$C$1960,0)),"",HYPERLINK("#Acts!A"&amp;INDEX('Compliance Database'!$P$2:$P$1960,MATCH(1225,Engine!$C$2:$C$1960,0)),"Go to Act"))</f>
        <v/>
      </c>
    </row>
    <row r="1239" ht="158" customHeight="1">
      <c r="A1239" s="8">
        <f>IF(ISNA(MATCH(1226,Engine!$C$2:$C$1960,0)),"",INDEX('Compliance Database'!$A$2:$A$1960,MATCH(1226,Engine!$C$2:$C$1960,0)))</f>
        <v/>
      </c>
      <c r="B1239" s="8">
        <f>IF(ISNA(MATCH(1226,Engine!$C$2:$C$1960,0)),"",INDEX('Compliance Database'!$B$2:$B$1960,MATCH(1226,Engine!$C$2:$C$1960,0)))</f>
        <v/>
      </c>
      <c r="C1239" s="8">
        <f>IF(ISNA(MATCH(1226,Engine!$C$2:$C$1960,0)),"",INDEX('Compliance Database'!$C$2:$C$1960,MATCH(1226,Engine!$C$2:$C$1960,0)))</f>
        <v/>
      </c>
      <c r="D1239" s="9">
        <f>IF(ISNA(MATCH(1226,Engine!$C$2:$C$1960,0)),"",INDEX('Compliance Database'!$D$2:$D$1960,MATCH(1226,Engine!$C$2:$C$1960,0)))</f>
        <v/>
      </c>
      <c r="E1239" s="8">
        <f>IF(ISNA(MATCH(1226,Engine!$C$2:$C$1960,0)),"",INDEX('Compliance Database'!$E$2:$E$1960,MATCH(1226,Engine!$C$2:$C$1960,0)))</f>
        <v/>
      </c>
      <c r="F1239" s="8">
        <f>IF(ISNA(MATCH(1226,Engine!$C$2:$C$1960,0)),"",INDEX('Compliance Database'!$F$2:$F$1960,MATCH(1226,Engine!$C$2:$C$1960,0)))</f>
        <v/>
      </c>
      <c r="G1239" s="8">
        <f>IF(ISNA(MATCH(1226,Engine!$C$2:$C$1960,0)),"",INDEX('Compliance Database'!$G$2:$G$1960,MATCH(1226,Engine!$C$2:$C$1960,0)))</f>
        <v/>
      </c>
      <c r="H1239" s="9">
        <f>IF(ISNA(MATCH(1226,Engine!$C$2:$C$1960,0)),"",INDEX('Compliance Database'!$H$2:$H$1960,MATCH(1226,Engine!$C$2:$C$1960,0)))</f>
        <v/>
      </c>
      <c r="I1239" s="9">
        <f>IF(ISNA(MATCH(1226,Engine!$C$2:$C$1960,0)),"",INDEX('Compliance Database'!$I$2:$I$1960,MATCH(1226,Engine!$C$2:$C$1960,0)))</f>
        <v/>
      </c>
      <c r="J1239" s="8">
        <f>IF(ISNA(MATCH(1226,Engine!$C$2:$C$1960,0)),"",INDEX('Compliance Database'!$J$2:$J$1960,MATCH(1226,Engine!$C$2:$C$1960,0)))</f>
        <v/>
      </c>
      <c r="K1239" s="9">
        <f>IF(ISNA(MATCH(1226,Engine!$C$2:$C$1960,0)),"",INDEX('Compliance Database'!$K$2:$K$1960,MATCH(1226,Engine!$C$2:$C$1960,0)))</f>
        <v/>
      </c>
      <c r="L1239" s="9">
        <f>IF(ISNA(MATCH(1226,Engine!$C$2:$C$1960,0)),"",INDEX('Compliance Database'!$L$2:$L$1960,MATCH(1226,Engine!$C$2:$C$1960,0)))</f>
        <v/>
      </c>
      <c r="M1239" s="9">
        <f>IF(ISNA(MATCH(1226,Engine!$C$2:$C$1960,0)),"",INDEX('Compliance Database'!$M$2:$M$1960,MATCH(1226,Engine!$C$2:$C$1960,0)))</f>
        <v/>
      </c>
      <c r="N1239" s="9">
        <f>IF(ISNA(MATCH(1226,Engine!$C$2:$C$1960,0)),"",INDEX('Compliance Database'!$N$2:$N$1960,MATCH(1226,Engine!$C$2:$C$1960,0)))</f>
        <v/>
      </c>
      <c r="O1239" s="9">
        <f>IF(ISNA(MATCH(1226,Engine!$C$2:$C$1960,0)),"",INDEX('Compliance Database'!$O$2:$O$1960,MATCH(1226,Engine!$C$2:$C$1960,0)))</f>
        <v/>
      </c>
      <c r="P1239" s="8">
        <f>IF(ISNA(MATCH(1226,Engine!$C$2:$C$1960,0)),"",HYPERLINK("#Acts!A"&amp;INDEX('Compliance Database'!$P$2:$P$1960,MATCH(1226,Engine!$C$2:$C$1960,0)),"Go to Act"))</f>
        <v/>
      </c>
    </row>
    <row r="1240" ht="158" customHeight="1">
      <c r="A1240" s="8">
        <f>IF(ISNA(MATCH(1227,Engine!$C$2:$C$1960,0)),"",INDEX('Compliance Database'!$A$2:$A$1960,MATCH(1227,Engine!$C$2:$C$1960,0)))</f>
        <v/>
      </c>
      <c r="B1240" s="8">
        <f>IF(ISNA(MATCH(1227,Engine!$C$2:$C$1960,0)),"",INDEX('Compliance Database'!$B$2:$B$1960,MATCH(1227,Engine!$C$2:$C$1960,0)))</f>
        <v/>
      </c>
      <c r="C1240" s="8">
        <f>IF(ISNA(MATCH(1227,Engine!$C$2:$C$1960,0)),"",INDEX('Compliance Database'!$C$2:$C$1960,MATCH(1227,Engine!$C$2:$C$1960,0)))</f>
        <v/>
      </c>
      <c r="D1240" s="9">
        <f>IF(ISNA(MATCH(1227,Engine!$C$2:$C$1960,0)),"",INDEX('Compliance Database'!$D$2:$D$1960,MATCH(1227,Engine!$C$2:$C$1960,0)))</f>
        <v/>
      </c>
      <c r="E1240" s="8">
        <f>IF(ISNA(MATCH(1227,Engine!$C$2:$C$1960,0)),"",INDEX('Compliance Database'!$E$2:$E$1960,MATCH(1227,Engine!$C$2:$C$1960,0)))</f>
        <v/>
      </c>
      <c r="F1240" s="8">
        <f>IF(ISNA(MATCH(1227,Engine!$C$2:$C$1960,0)),"",INDEX('Compliance Database'!$F$2:$F$1960,MATCH(1227,Engine!$C$2:$C$1960,0)))</f>
        <v/>
      </c>
      <c r="G1240" s="8">
        <f>IF(ISNA(MATCH(1227,Engine!$C$2:$C$1960,0)),"",INDEX('Compliance Database'!$G$2:$G$1960,MATCH(1227,Engine!$C$2:$C$1960,0)))</f>
        <v/>
      </c>
      <c r="H1240" s="9">
        <f>IF(ISNA(MATCH(1227,Engine!$C$2:$C$1960,0)),"",INDEX('Compliance Database'!$H$2:$H$1960,MATCH(1227,Engine!$C$2:$C$1960,0)))</f>
        <v/>
      </c>
      <c r="I1240" s="9">
        <f>IF(ISNA(MATCH(1227,Engine!$C$2:$C$1960,0)),"",INDEX('Compliance Database'!$I$2:$I$1960,MATCH(1227,Engine!$C$2:$C$1960,0)))</f>
        <v/>
      </c>
      <c r="J1240" s="8">
        <f>IF(ISNA(MATCH(1227,Engine!$C$2:$C$1960,0)),"",INDEX('Compliance Database'!$J$2:$J$1960,MATCH(1227,Engine!$C$2:$C$1960,0)))</f>
        <v/>
      </c>
      <c r="K1240" s="9">
        <f>IF(ISNA(MATCH(1227,Engine!$C$2:$C$1960,0)),"",INDEX('Compliance Database'!$K$2:$K$1960,MATCH(1227,Engine!$C$2:$C$1960,0)))</f>
        <v/>
      </c>
      <c r="L1240" s="9">
        <f>IF(ISNA(MATCH(1227,Engine!$C$2:$C$1960,0)),"",INDEX('Compliance Database'!$L$2:$L$1960,MATCH(1227,Engine!$C$2:$C$1960,0)))</f>
        <v/>
      </c>
      <c r="M1240" s="9">
        <f>IF(ISNA(MATCH(1227,Engine!$C$2:$C$1960,0)),"",INDEX('Compliance Database'!$M$2:$M$1960,MATCH(1227,Engine!$C$2:$C$1960,0)))</f>
        <v/>
      </c>
      <c r="N1240" s="9">
        <f>IF(ISNA(MATCH(1227,Engine!$C$2:$C$1960,0)),"",INDEX('Compliance Database'!$N$2:$N$1960,MATCH(1227,Engine!$C$2:$C$1960,0)))</f>
        <v/>
      </c>
      <c r="O1240" s="9">
        <f>IF(ISNA(MATCH(1227,Engine!$C$2:$C$1960,0)),"",INDEX('Compliance Database'!$O$2:$O$1960,MATCH(1227,Engine!$C$2:$C$1960,0)))</f>
        <v/>
      </c>
      <c r="P1240" s="8">
        <f>IF(ISNA(MATCH(1227,Engine!$C$2:$C$1960,0)),"",HYPERLINK("#Acts!A"&amp;INDEX('Compliance Database'!$P$2:$P$1960,MATCH(1227,Engine!$C$2:$C$1960,0)),"Go to Act"))</f>
        <v/>
      </c>
    </row>
    <row r="1241" ht="158" customHeight="1">
      <c r="A1241" s="8">
        <f>IF(ISNA(MATCH(1228,Engine!$C$2:$C$1960,0)),"",INDEX('Compliance Database'!$A$2:$A$1960,MATCH(1228,Engine!$C$2:$C$1960,0)))</f>
        <v/>
      </c>
      <c r="B1241" s="8">
        <f>IF(ISNA(MATCH(1228,Engine!$C$2:$C$1960,0)),"",INDEX('Compliance Database'!$B$2:$B$1960,MATCH(1228,Engine!$C$2:$C$1960,0)))</f>
        <v/>
      </c>
      <c r="C1241" s="8">
        <f>IF(ISNA(MATCH(1228,Engine!$C$2:$C$1960,0)),"",INDEX('Compliance Database'!$C$2:$C$1960,MATCH(1228,Engine!$C$2:$C$1960,0)))</f>
        <v/>
      </c>
      <c r="D1241" s="9">
        <f>IF(ISNA(MATCH(1228,Engine!$C$2:$C$1960,0)),"",INDEX('Compliance Database'!$D$2:$D$1960,MATCH(1228,Engine!$C$2:$C$1960,0)))</f>
        <v/>
      </c>
      <c r="E1241" s="8">
        <f>IF(ISNA(MATCH(1228,Engine!$C$2:$C$1960,0)),"",INDEX('Compliance Database'!$E$2:$E$1960,MATCH(1228,Engine!$C$2:$C$1960,0)))</f>
        <v/>
      </c>
      <c r="F1241" s="8">
        <f>IF(ISNA(MATCH(1228,Engine!$C$2:$C$1960,0)),"",INDEX('Compliance Database'!$F$2:$F$1960,MATCH(1228,Engine!$C$2:$C$1960,0)))</f>
        <v/>
      </c>
      <c r="G1241" s="8">
        <f>IF(ISNA(MATCH(1228,Engine!$C$2:$C$1960,0)),"",INDEX('Compliance Database'!$G$2:$G$1960,MATCH(1228,Engine!$C$2:$C$1960,0)))</f>
        <v/>
      </c>
      <c r="H1241" s="9">
        <f>IF(ISNA(MATCH(1228,Engine!$C$2:$C$1960,0)),"",INDEX('Compliance Database'!$H$2:$H$1960,MATCH(1228,Engine!$C$2:$C$1960,0)))</f>
        <v/>
      </c>
      <c r="I1241" s="9">
        <f>IF(ISNA(MATCH(1228,Engine!$C$2:$C$1960,0)),"",INDEX('Compliance Database'!$I$2:$I$1960,MATCH(1228,Engine!$C$2:$C$1960,0)))</f>
        <v/>
      </c>
      <c r="J1241" s="8">
        <f>IF(ISNA(MATCH(1228,Engine!$C$2:$C$1960,0)),"",INDEX('Compliance Database'!$J$2:$J$1960,MATCH(1228,Engine!$C$2:$C$1960,0)))</f>
        <v/>
      </c>
      <c r="K1241" s="9">
        <f>IF(ISNA(MATCH(1228,Engine!$C$2:$C$1960,0)),"",INDEX('Compliance Database'!$K$2:$K$1960,MATCH(1228,Engine!$C$2:$C$1960,0)))</f>
        <v/>
      </c>
      <c r="L1241" s="9">
        <f>IF(ISNA(MATCH(1228,Engine!$C$2:$C$1960,0)),"",INDEX('Compliance Database'!$L$2:$L$1960,MATCH(1228,Engine!$C$2:$C$1960,0)))</f>
        <v/>
      </c>
      <c r="M1241" s="9">
        <f>IF(ISNA(MATCH(1228,Engine!$C$2:$C$1960,0)),"",INDEX('Compliance Database'!$M$2:$M$1960,MATCH(1228,Engine!$C$2:$C$1960,0)))</f>
        <v/>
      </c>
      <c r="N1241" s="9">
        <f>IF(ISNA(MATCH(1228,Engine!$C$2:$C$1960,0)),"",INDEX('Compliance Database'!$N$2:$N$1960,MATCH(1228,Engine!$C$2:$C$1960,0)))</f>
        <v/>
      </c>
      <c r="O1241" s="9">
        <f>IF(ISNA(MATCH(1228,Engine!$C$2:$C$1960,0)),"",INDEX('Compliance Database'!$O$2:$O$1960,MATCH(1228,Engine!$C$2:$C$1960,0)))</f>
        <v/>
      </c>
      <c r="P1241" s="8">
        <f>IF(ISNA(MATCH(1228,Engine!$C$2:$C$1960,0)),"",HYPERLINK("#Acts!A"&amp;INDEX('Compliance Database'!$P$2:$P$1960,MATCH(1228,Engine!$C$2:$C$1960,0)),"Go to Act"))</f>
        <v/>
      </c>
    </row>
    <row r="1242" ht="158" customHeight="1">
      <c r="A1242" s="8">
        <f>IF(ISNA(MATCH(1229,Engine!$C$2:$C$1960,0)),"",INDEX('Compliance Database'!$A$2:$A$1960,MATCH(1229,Engine!$C$2:$C$1960,0)))</f>
        <v/>
      </c>
      <c r="B1242" s="8">
        <f>IF(ISNA(MATCH(1229,Engine!$C$2:$C$1960,0)),"",INDEX('Compliance Database'!$B$2:$B$1960,MATCH(1229,Engine!$C$2:$C$1960,0)))</f>
        <v/>
      </c>
      <c r="C1242" s="8">
        <f>IF(ISNA(MATCH(1229,Engine!$C$2:$C$1960,0)),"",INDEX('Compliance Database'!$C$2:$C$1960,MATCH(1229,Engine!$C$2:$C$1960,0)))</f>
        <v/>
      </c>
      <c r="D1242" s="9">
        <f>IF(ISNA(MATCH(1229,Engine!$C$2:$C$1960,0)),"",INDEX('Compliance Database'!$D$2:$D$1960,MATCH(1229,Engine!$C$2:$C$1960,0)))</f>
        <v/>
      </c>
      <c r="E1242" s="8">
        <f>IF(ISNA(MATCH(1229,Engine!$C$2:$C$1960,0)),"",INDEX('Compliance Database'!$E$2:$E$1960,MATCH(1229,Engine!$C$2:$C$1960,0)))</f>
        <v/>
      </c>
      <c r="F1242" s="8">
        <f>IF(ISNA(MATCH(1229,Engine!$C$2:$C$1960,0)),"",INDEX('Compliance Database'!$F$2:$F$1960,MATCH(1229,Engine!$C$2:$C$1960,0)))</f>
        <v/>
      </c>
      <c r="G1242" s="8">
        <f>IF(ISNA(MATCH(1229,Engine!$C$2:$C$1960,0)),"",INDEX('Compliance Database'!$G$2:$G$1960,MATCH(1229,Engine!$C$2:$C$1960,0)))</f>
        <v/>
      </c>
      <c r="H1242" s="9">
        <f>IF(ISNA(MATCH(1229,Engine!$C$2:$C$1960,0)),"",INDEX('Compliance Database'!$H$2:$H$1960,MATCH(1229,Engine!$C$2:$C$1960,0)))</f>
        <v/>
      </c>
      <c r="I1242" s="9">
        <f>IF(ISNA(MATCH(1229,Engine!$C$2:$C$1960,0)),"",INDEX('Compliance Database'!$I$2:$I$1960,MATCH(1229,Engine!$C$2:$C$1960,0)))</f>
        <v/>
      </c>
      <c r="J1242" s="8">
        <f>IF(ISNA(MATCH(1229,Engine!$C$2:$C$1960,0)),"",INDEX('Compliance Database'!$J$2:$J$1960,MATCH(1229,Engine!$C$2:$C$1960,0)))</f>
        <v/>
      </c>
      <c r="K1242" s="9">
        <f>IF(ISNA(MATCH(1229,Engine!$C$2:$C$1960,0)),"",INDEX('Compliance Database'!$K$2:$K$1960,MATCH(1229,Engine!$C$2:$C$1960,0)))</f>
        <v/>
      </c>
      <c r="L1242" s="9">
        <f>IF(ISNA(MATCH(1229,Engine!$C$2:$C$1960,0)),"",INDEX('Compliance Database'!$L$2:$L$1960,MATCH(1229,Engine!$C$2:$C$1960,0)))</f>
        <v/>
      </c>
      <c r="M1242" s="9">
        <f>IF(ISNA(MATCH(1229,Engine!$C$2:$C$1960,0)),"",INDEX('Compliance Database'!$M$2:$M$1960,MATCH(1229,Engine!$C$2:$C$1960,0)))</f>
        <v/>
      </c>
      <c r="N1242" s="9">
        <f>IF(ISNA(MATCH(1229,Engine!$C$2:$C$1960,0)),"",INDEX('Compliance Database'!$N$2:$N$1960,MATCH(1229,Engine!$C$2:$C$1960,0)))</f>
        <v/>
      </c>
      <c r="O1242" s="9">
        <f>IF(ISNA(MATCH(1229,Engine!$C$2:$C$1960,0)),"",INDEX('Compliance Database'!$O$2:$O$1960,MATCH(1229,Engine!$C$2:$C$1960,0)))</f>
        <v/>
      </c>
      <c r="P1242" s="8">
        <f>IF(ISNA(MATCH(1229,Engine!$C$2:$C$1960,0)),"",HYPERLINK("#Acts!A"&amp;INDEX('Compliance Database'!$P$2:$P$1960,MATCH(1229,Engine!$C$2:$C$1960,0)),"Go to Act"))</f>
        <v/>
      </c>
    </row>
    <row r="1243" ht="158" customHeight="1">
      <c r="A1243" s="8">
        <f>IF(ISNA(MATCH(1230,Engine!$C$2:$C$1960,0)),"",INDEX('Compliance Database'!$A$2:$A$1960,MATCH(1230,Engine!$C$2:$C$1960,0)))</f>
        <v/>
      </c>
      <c r="B1243" s="8">
        <f>IF(ISNA(MATCH(1230,Engine!$C$2:$C$1960,0)),"",INDEX('Compliance Database'!$B$2:$B$1960,MATCH(1230,Engine!$C$2:$C$1960,0)))</f>
        <v/>
      </c>
      <c r="C1243" s="8">
        <f>IF(ISNA(MATCH(1230,Engine!$C$2:$C$1960,0)),"",INDEX('Compliance Database'!$C$2:$C$1960,MATCH(1230,Engine!$C$2:$C$1960,0)))</f>
        <v/>
      </c>
      <c r="D1243" s="9">
        <f>IF(ISNA(MATCH(1230,Engine!$C$2:$C$1960,0)),"",INDEX('Compliance Database'!$D$2:$D$1960,MATCH(1230,Engine!$C$2:$C$1960,0)))</f>
        <v/>
      </c>
      <c r="E1243" s="8">
        <f>IF(ISNA(MATCH(1230,Engine!$C$2:$C$1960,0)),"",INDEX('Compliance Database'!$E$2:$E$1960,MATCH(1230,Engine!$C$2:$C$1960,0)))</f>
        <v/>
      </c>
      <c r="F1243" s="8">
        <f>IF(ISNA(MATCH(1230,Engine!$C$2:$C$1960,0)),"",INDEX('Compliance Database'!$F$2:$F$1960,MATCH(1230,Engine!$C$2:$C$1960,0)))</f>
        <v/>
      </c>
      <c r="G1243" s="8">
        <f>IF(ISNA(MATCH(1230,Engine!$C$2:$C$1960,0)),"",INDEX('Compliance Database'!$G$2:$G$1960,MATCH(1230,Engine!$C$2:$C$1960,0)))</f>
        <v/>
      </c>
      <c r="H1243" s="9">
        <f>IF(ISNA(MATCH(1230,Engine!$C$2:$C$1960,0)),"",INDEX('Compliance Database'!$H$2:$H$1960,MATCH(1230,Engine!$C$2:$C$1960,0)))</f>
        <v/>
      </c>
      <c r="I1243" s="9">
        <f>IF(ISNA(MATCH(1230,Engine!$C$2:$C$1960,0)),"",INDEX('Compliance Database'!$I$2:$I$1960,MATCH(1230,Engine!$C$2:$C$1960,0)))</f>
        <v/>
      </c>
      <c r="J1243" s="8">
        <f>IF(ISNA(MATCH(1230,Engine!$C$2:$C$1960,0)),"",INDEX('Compliance Database'!$J$2:$J$1960,MATCH(1230,Engine!$C$2:$C$1960,0)))</f>
        <v/>
      </c>
      <c r="K1243" s="9">
        <f>IF(ISNA(MATCH(1230,Engine!$C$2:$C$1960,0)),"",INDEX('Compliance Database'!$K$2:$K$1960,MATCH(1230,Engine!$C$2:$C$1960,0)))</f>
        <v/>
      </c>
      <c r="L1243" s="9">
        <f>IF(ISNA(MATCH(1230,Engine!$C$2:$C$1960,0)),"",INDEX('Compliance Database'!$L$2:$L$1960,MATCH(1230,Engine!$C$2:$C$1960,0)))</f>
        <v/>
      </c>
      <c r="M1243" s="9">
        <f>IF(ISNA(MATCH(1230,Engine!$C$2:$C$1960,0)),"",INDEX('Compliance Database'!$M$2:$M$1960,MATCH(1230,Engine!$C$2:$C$1960,0)))</f>
        <v/>
      </c>
      <c r="N1243" s="9">
        <f>IF(ISNA(MATCH(1230,Engine!$C$2:$C$1960,0)),"",INDEX('Compliance Database'!$N$2:$N$1960,MATCH(1230,Engine!$C$2:$C$1960,0)))</f>
        <v/>
      </c>
      <c r="O1243" s="9">
        <f>IF(ISNA(MATCH(1230,Engine!$C$2:$C$1960,0)),"",INDEX('Compliance Database'!$O$2:$O$1960,MATCH(1230,Engine!$C$2:$C$1960,0)))</f>
        <v/>
      </c>
      <c r="P1243" s="8">
        <f>IF(ISNA(MATCH(1230,Engine!$C$2:$C$1960,0)),"",HYPERLINK("#Acts!A"&amp;INDEX('Compliance Database'!$P$2:$P$1960,MATCH(1230,Engine!$C$2:$C$1960,0)),"Go to Act"))</f>
        <v/>
      </c>
    </row>
    <row r="1244" ht="158" customHeight="1">
      <c r="A1244" s="8">
        <f>IF(ISNA(MATCH(1231,Engine!$C$2:$C$1960,0)),"",INDEX('Compliance Database'!$A$2:$A$1960,MATCH(1231,Engine!$C$2:$C$1960,0)))</f>
        <v/>
      </c>
      <c r="B1244" s="8">
        <f>IF(ISNA(MATCH(1231,Engine!$C$2:$C$1960,0)),"",INDEX('Compliance Database'!$B$2:$B$1960,MATCH(1231,Engine!$C$2:$C$1960,0)))</f>
        <v/>
      </c>
      <c r="C1244" s="8">
        <f>IF(ISNA(MATCH(1231,Engine!$C$2:$C$1960,0)),"",INDEX('Compliance Database'!$C$2:$C$1960,MATCH(1231,Engine!$C$2:$C$1960,0)))</f>
        <v/>
      </c>
      <c r="D1244" s="9">
        <f>IF(ISNA(MATCH(1231,Engine!$C$2:$C$1960,0)),"",INDEX('Compliance Database'!$D$2:$D$1960,MATCH(1231,Engine!$C$2:$C$1960,0)))</f>
        <v/>
      </c>
      <c r="E1244" s="8">
        <f>IF(ISNA(MATCH(1231,Engine!$C$2:$C$1960,0)),"",INDEX('Compliance Database'!$E$2:$E$1960,MATCH(1231,Engine!$C$2:$C$1960,0)))</f>
        <v/>
      </c>
      <c r="F1244" s="8">
        <f>IF(ISNA(MATCH(1231,Engine!$C$2:$C$1960,0)),"",INDEX('Compliance Database'!$F$2:$F$1960,MATCH(1231,Engine!$C$2:$C$1960,0)))</f>
        <v/>
      </c>
      <c r="G1244" s="8">
        <f>IF(ISNA(MATCH(1231,Engine!$C$2:$C$1960,0)),"",INDEX('Compliance Database'!$G$2:$G$1960,MATCH(1231,Engine!$C$2:$C$1960,0)))</f>
        <v/>
      </c>
      <c r="H1244" s="9">
        <f>IF(ISNA(MATCH(1231,Engine!$C$2:$C$1960,0)),"",INDEX('Compliance Database'!$H$2:$H$1960,MATCH(1231,Engine!$C$2:$C$1960,0)))</f>
        <v/>
      </c>
      <c r="I1244" s="9">
        <f>IF(ISNA(MATCH(1231,Engine!$C$2:$C$1960,0)),"",INDEX('Compliance Database'!$I$2:$I$1960,MATCH(1231,Engine!$C$2:$C$1960,0)))</f>
        <v/>
      </c>
      <c r="J1244" s="8">
        <f>IF(ISNA(MATCH(1231,Engine!$C$2:$C$1960,0)),"",INDEX('Compliance Database'!$J$2:$J$1960,MATCH(1231,Engine!$C$2:$C$1960,0)))</f>
        <v/>
      </c>
      <c r="K1244" s="9">
        <f>IF(ISNA(MATCH(1231,Engine!$C$2:$C$1960,0)),"",INDEX('Compliance Database'!$K$2:$K$1960,MATCH(1231,Engine!$C$2:$C$1960,0)))</f>
        <v/>
      </c>
      <c r="L1244" s="9">
        <f>IF(ISNA(MATCH(1231,Engine!$C$2:$C$1960,0)),"",INDEX('Compliance Database'!$L$2:$L$1960,MATCH(1231,Engine!$C$2:$C$1960,0)))</f>
        <v/>
      </c>
      <c r="M1244" s="9">
        <f>IF(ISNA(MATCH(1231,Engine!$C$2:$C$1960,0)),"",INDEX('Compliance Database'!$M$2:$M$1960,MATCH(1231,Engine!$C$2:$C$1960,0)))</f>
        <v/>
      </c>
      <c r="N1244" s="9">
        <f>IF(ISNA(MATCH(1231,Engine!$C$2:$C$1960,0)),"",INDEX('Compliance Database'!$N$2:$N$1960,MATCH(1231,Engine!$C$2:$C$1960,0)))</f>
        <v/>
      </c>
      <c r="O1244" s="9">
        <f>IF(ISNA(MATCH(1231,Engine!$C$2:$C$1960,0)),"",INDEX('Compliance Database'!$O$2:$O$1960,MATCH(1231,Engine!$C$2:$C$1960,0)))</f>
        <v/>
      </c>
      <c r="P1244" s="8">
        <f>IF(ISNA(MATCH(1231,Engine!$C$2:$C$1960,0)),"",HYPERLINK("#Acts!A"&amp;INDEX('Compliance Database'!$P$2:$P$1960,MATCH(1231,Engine!$C$2:$C$1960,0)),"Go to Act"))</f>
        <v/>
      </c>
    </row>
    <row r="1245" ht="158" customHeight="1">
      <c r="A1245" s="8">
        <f>IF(ISNA(MATCH(1232,Engine!$C$2:$C$1960,0)),"",INDEX('Compliance Database'!$A$2:$A$1960,MATCH(1232,Engine!$C$2:$C$1960,0)))</f>
        <v/>
      </c>
      <c r="B1245" s="8">
        <f>IF(ISNA(MATCH(1232,Engine!$C$2:$C$1960,0)),"",INDEX('Compliance Database'!$B$2:$B$1960,MATCH(1232,Engine!$C$2:$C$1960,0)))</f>
        <v/>
      </c>
      <c r="C1245" s="8">
        <f>IF(ISNA(MATCH(1232,Engine!$C$2:$C$1960,0)),"",INDEX('Compliance Database'!$C$2:$C$1960,MATCH(1232,Engine!$C$2:$C$1960,0)))</f>
        <v/>
      </c>
      <c r="D1245" s="9">
        <f>IF(ISNA(MATCH(1232,Engine!$C$2:$C$1960,0)),"",INDEX('Compliance Database'!$D$2:$D$1960,MATCH(1232,Engine!$C$2:$C$1960,0)))</f>
        <v/>
      </c>
      <c r="E1245" s="8">
        <f>IF(ISNA(MATCH(1232,Engine!$C$2:$C$1960,0)),"",INDEX('Compliance Database'!$E$2:$E$1960,MATCH(1232,Engine!$C$2:$C$1960,0)))</f>
        <v/>
      </c>
      <c r="F1245" s="8">
        <f>IF(ISNA(MATCH(1232,Engine!$C$2:$C$1960,0)),"",INDEX('Compliance Database'!$F$2:$F$1960,MATCH(1232,Engine!$C$2:$C$1960,0)))</f>
        <v/>
      </c>
      <c r="G1245" s="8">
        <f>IF(ISNA(MATCH(1232,Engine!$C$2:$C$1960,0)),"",INDEX('Compliance Database'!$G$2:$G$1960,MATCH(1232,Engine!$C$2:$C$1960,0)))</f>
        <v/>
      </c>
      <c r="H1245" s="9">
        <f>IF(ISNA(MATCH(1232,Engine!$C$2:$C$1960,0)),"",INDEX('Compliance Database'!$H$2:$H$1960,MATCH(1232,Engine!$C$2:$C$1960,0)))</f>
        <v/>
      </c>
      <c r="I1245" s="9">
        <f>IF(ISNA(MATCH(1232,Engine!$C$2:$C$1960,0)),"",INDEX('Compliance Database'!$I$2:$I$1960,MATCH(1232,Engine!$C$2:$C$1960,0)))</f>
        <v/>
      </c>
      <c r="J1245" s="8">
        <f>IF(ISNA(MATCH(1232,Engine!$C$2:$C$1960,0)),"",INDEX('Compliance Database'!$J$2:$J$1960,MATCH(1232,Engine!$C$2:$C$1960,0)))</f>
        <v/>
      </c>
      <c r="K1245" s="9">
        <f>IF(ISNA(MATCH(1232,Engine!$C$2:$C$1960,0)),"",INDEX('Compliance Database'!$K$2:$K$1960,MATCH(1232,Engine!$C$2:$C$1960,0)))</f>
        <v/>
      </c>
      <c r="L1245" s="9">
        <f>IF(ISNA(MATCH(1232,Engine!$C$2:$C$1960,0)),"",INDEX('Compliance Database'!$L$2:$L$1960,MATCH(1232,Engine!$C$2:$C$1960,0)))</f>
        <v/>
      </c>
      <c r="M1245" s="9">
        <f>IF(ISNA(MATCH(1232,Engine!$C$2:$C$1960,0)),"",INDEX('Compliance Database'!$M$2:$M$1960,MATCH(1232,Engine!$C$2:$C$1960,0)))</f>
        <v/>
      </c>
      <c r="N1245" s="9">
        <f>IF(ISNA(MATCH(1232,Engine!$C$2:$C$1960,0)),"",INDEX('Compliance Database'!$N$2:$N$1960,MATCH(1232,Engine!$C$2:$C$1960,0)))</f>
        <v/>
      </c>
      <c r="O1245" s="9">
        <f>IF(ISNA(MATCH(1232,Engine!$C$2:$C$1960,0)),"",INDEX('Compliance Database'!$O$2:$O$1960,MATCH(1232,Engine!$C$2:$C$1960,0)))</f>
        <v/>
      </c>
      <c r="P1245" s="8">
        <f>IF(ISNA(MATCH(1232,Engine!$C$2:$C$1960,0)),"",HYPERLINK("#Acts!A"&amp;INDEX('Compliance Database'!$P$2:$P$1960,MATCH(1232,Engine!$C$2:$C$1960,0)),"Go to Act"))</f>
        <v/>
      </c>
    </row>
    <row r="1246" ht="158" customHeight="1">
      <c r="A1246" s="8">
        <f>IF(ISNA(MATCH(1233,Engine!$C$2:$C$1960,0)),"",INDEX('Compliance Database'!$A$2:$A$1960,MATCH(1233,Engine!$C$2:$C$1960,0)))</f>
        <v/>
      </c>
      <c r="B1246" s="8">
        <f>IF(ISNA(MATCH(1233,Engine!$C$2:$C$1960,0)),"",INDEX('Compliance Database'!$B$2:$B$1960,MATCH(1233,Engine!$C$2:$C$1960,0)))</f>
        <v/>
      </c>
      <c r="C1246" s="8">
        <f>IF(ISNA(MATCH(1233,Engine!$C$2:$C$1960,0)),"",INDEX('Compliance Database'!$C$2:$C$1960,MATCH(1233,Engine!$C$2:$C$1960,0)))</f>
        <v/>
      </c>
      <c r="D1246" s="9">
        <f>IF(ISNA(MATCH(1233,Engine!$C$2:$C$1960,0)),"",INDEX('Compliance Database'!$D$2:$D$1960,MATCH(1233,Engine!$C$2:$C$1960,0)))</f>
        <v/>
      </c>
      <c r="E1246" s="8">
        <f>IF(ISNA(MATCH(1233,Engine!$C$2:$C$1960,0)),"",INDEX('Compliance Database'!$E$2:$E$1960,MATCH(1233,Engine!$C$2:$C$1960,0)))</f>
        <v/>
      </c>
      <c r="F1246" s="8">
        <f>IF(ISNA(MATCH(1233,Engine!$C$2:$C$1960,0)),"",INDEX('Compliance Database'!$F$2:$F$1960,MATCH(1233,Engine!$C$2:$C$1960,0)))</f>
        <v/>
      </c>
      <c r="G1246" s="8">
        <f>IF(ISNA(MATCH(1233,Engine!$C$2:$C$1960,0)),"",INDEX('Compliance Database'!$G$2:$G$1960,MATCH(1233,Engine!$C$2:$C$1960,0)))</f>
        <v/>
      </c>
      <c r="H1246" s="9">
        <f>IF(ISNA(MATCH(1233,Engine!$C$2:$C$1960,0)),"",INDEX('Compliance Database'!$H$2:$H$1960,MATCH(1233,Engine!$C$2:$C$1960,0)))</f>
        <v/>
      </c>
      <c r="I1246" s="9">
        <f>IF(ISNA(MATCH(1233,Engine!$C$2:$C$1960,0)),"",INDEX('Compliance Database'!$I$2:$I$1960,MATCH(1233,Engine!$C$2:$C$1960,0)))</f>
        <v/>
      </c>
      <c r="J1246" s="8">
        <f>IF(ISNA(MATCH(1233,Engine!$C$2:$C$1960,0)),"",INDEX('Compliance Database'!$J$2:$J$1960,MATCH(1233,Engine!$C$2:$C$1960,0)))</f>
        <v/>
      </c>
      <c r="K1246" s="9">
        <f>IF(ISNA(MATCH(1233,Engine!$C$2:$C$1960,0)),"",INDEX('Compliance Database'!$K$2:$K$1960,MATCH(1233,Engine!$C$2:$C$1960,0)))</f>
        <v/>
      </c>
      <c r="L1246" s="9">
        <f>IF(ISNA(MATCH(1233,Engine!$C$2:$C$1960,0)),"",INDEX('Compliance Database'!$L$2:$L$1960,MATCH(1233,Engine!$C$2:$C$1960,0)))</f>
        <v/>
      </c>
      <c r="M1246" s="9">
        <f>IF(ISNA(MATCH(1233,Engine!$C$2:$C$1960,0)),"",INDEX('Compliance Database'!$M$2:$M$1960,MATCH(1233,Engine!$C$2:$C$1960,0)))</f>
        <v/>
      </c>
      <c r="N1246" s="9">
        <f>IF(ISNA(MATCH(1233,Engine!$C$2:$C$1960,0)),"",INDEX('Compliance Database'!$N$2:$N$1960,MATCH(1233,Engine!$C$2:$C$1960,0)))</f>
        <v/>
      </c>
      <c r="O1246" s="9">
        <f>IF(ISNA(MATCH(1233,Engine!$C$2:$C$1960,0)),"",INDEX('Compliance Database'!$O$2:$O$1960,MATCH(1233,Engine!$C$2:$C$1960,0)))</f>
        <v/>
      </c>
      <c r="P1246" s="8">
        <f>IF(ISNA(MATCH(1233,Engine!$C$2:$C$1960,0)),"",HYPERLINK("#Acts!A"&amp;INDEX('Compliance Database'!$P$2:$P$1960,MATCH(1233,Engine!$C$2:$C$1960,0)),"Go to Act"))</f>
        <v/>
      </c>
    </row>
    <row r="1247" ht="158" customHeight="1">
      <c r="A1247" s="8">
        <f>IF(ISNA(MATCH(1234,Engine!$C$2:$C$1960,0)),"",INDEX('Compliance Database'!$A$2:$A$1960,MATCH(1234,Engine!$C$2:$C$1960,0)))</f>
        <v/>
      </c>
      <c r="B1247" s="8">
        <f>IF(ISNA(MATCH(1234,Engine!$C$2:$C$1960,0)),"",INDEX('Compliance Database'!$B$2:$B$1960,MATCH(1234,Engine!$C$2:$C$1960,0)))</f>
        <v/>
      </c>
      <c r="C1247" s="8">
        <f>IF(ISNA(MATCH(1234,Engine!$C$2:$C$1960,0)),"",INDEX('Compliance Database'!$C$2:$C$1960,MATCH(1234,Engine!$C$2:$C$1960,0)))</f>
        <v/>
      </c>
      <c r="D1247" s="9">
        <f>IF(ISNA(MATCH(1234,Engine!$C$2:$C$1960,0)),"",INDEX('Compliance Database'!$D$2:$D$1960,MATCH(1234,Engine!$C$2:$C$1960,0)))</f>
        <v/>
      </c>
      <c r="E1247" s="8">
        <f>IF(ISNA(MATCH(1234,Engine!$C$2:$C$1960,0)),"",INDEX('Compliance Database'!$E$2:$E$1960,MATCH(1234,Engine!$C$2:$C$1960,0)))</f>
        <v/>
      </c>
      <c r="F1247" s="8">
        <f>IF(ISNA(MATCH(1234,Engine!$C$2:$C$1960,0)),"",INDEX('Compliance Database'!$F$2:$F$1960,MATCH(1234,Engine!$C$2:$C$1960,0)))</f>
        <v/>
      </c>
      <c r="G1247" s="8">
        <f>IF(ISNA(MATCH(1234,Engine!$C$2:$C$1960,0)),"",INDEX('Compliance Database'!$G$2:$G$1960,MATCH(1234,Engine!$C$2:$C$1960,0)))</f>
        <v/>
      </c>
      <c r="H1247" s="9">
        <f>IF(ISNA(MATCH(1234,Engine!$C$2:$C$1960,0)),"",INDEX('Compliance Database'!$H$2:$H$1960,MATCH(1234,Engine!$C$2:$C$1960,0)))</f>
        <v/>
      </c>
      <c r="I1247" s="9">
        <f>IF(ISNA(MATCH(1234,Engine!$C$2:$C$1960,0)),"",INDEX('Compliance Database'!$I$2:$I$1960,MATCH(1234,Engine!$C$2:$C$1960,0)))</f>
        <v/>
      </c>
      <c r="J1247" s="8">
        <f>IF(ISNA(MATCH(1234,Engine!$C$2:$C$1960,0)),"",INDEX('Compliance Database'!$J$2:$J$1960,MATCH(1234,Engine!$C$2:$C$1960,0)))</f>
        <v/>
      </c>
      <c r="K1247" s="9">
        <f>IF(ISNA(MATCH(1234,Engine!$C$2:$C$1960,0)),"",INDEX('Compliance Database'!$K$2:$K$1960,MATCH(1234,Engine!$C$2:$C$1960,0)))</f>
        <v/>
      </c>
      <c r="L1247" s="9">
        <f>IF(ISNA(MATCH(1234,Engine!$C$2:$C$1960,0)),"",INDEX('Compliance Database'!$L$2:$L$1960,MATCH(1234,Engine!$C$2:$C$1960,0)))</f>
        <v/>
      </c>
      <c r="M1247" s="9">
        <f>IF(ISNA(MATCH(1234,Engine!$C$2:$C$1960,0)),"",INDEX('Compliance Database'!$M$2:$M$1960,MATCH(1234,Engine!$C$2:$C$1960,0)))</f>
        <v/>
      </c>
      <c r="N1247" s="9">
        <f>IF(ISNA(MATCH(1234,Engine!$C$2:$C$1960,0)),"",INDEX('Compliance Database'!$N$2:$N$1960,MATCH(1234,Engine!$C$2:$C$1960,0)))</f>
        <v/>
      </c>
      <c r="O1247" s="9">
        <f>IF(ISNA(MATCH(1234,Engine!$C$2:$C$1960,0)),"",INDEX('Compliance Database'!$O$2:$O$1960,MATCH(1234,Engine!$C$2:$C$1960,0)))</f>
        <v/>
      </c>
      <c r="P1247" s="8">
        <f>IF(ISNA(MATCH(1234,Engine!$C$2:$C$1960,0)),"",HYPERLINK("#Acts!A"&amp;INDEX('Compliance Database'!$P$2:$P$1960,MATCH(1234,Engine!$C$2:$C$1960,0)),"Go to Act"))</f>
        <v/>
      </c>
    </row>
    <row r="1248" ht="158" customHeight="1">
      <c r="A1248" s="8">
        <f>IF(ISNA(MATCH(1235,Engine!$C$2:$C$1960,0)),"",INDEX('Compliance Database'!$A$2:$A$1960,MATCH(1235,Engine!$C$2:$C$1960,0)))</f>
        <v/>
      </c>
      <c r="B1248" s="8">
        <f>IF(ISNA(MATCH(1235,Engine!$C$2:$C$1960,0)),"",INDEX('Compliance Database'!$B$2:$B$1960,MATCH(1235,Engine!$C$2:$C$1960,0)))</f>
        <v/>
      </c>
      <c r="C1248" s="8">
        <f>IF(ISNA(MATCH(1235,Engine!$C$2:$C$1960,0)),"",INDEX('Compliance Database'!$C$2:$C$1960,MATCH(1235,Engine!$C$2:$C$1960,0)))</f>
        <v/>
      </c>
      <c r="D1248" s="9">
        <f>IF(ISNA(MATCH(1235,Engine!$C$2:$C$1960,0)),"",INDEX('Compliance Database'!$D$2:$D$1960,MATCH(1235,Engine!$C$2:$C$1960,0)))</f>
        <v/>
      </c>
      <c r="E1248" s="8">
        <f>IF(ISNA(MATCH(1235,Engine!$C$2:$C$1960,0)),"",INDEX('Compliance Database'!$E$2:$E$1960,MATCH(1235,Engine!$C$2:$C$1960,0)))</f>
        <v/>
      </c>
      <c r="F1248" s="8">
        <f>IF(ISNA(MATCH(1235,Engine!$C$2:$C$1960,0)),"",INDEX('Compliance Database'!$F$2:$F$1960,MATCH(1235,Engine!$C$2:$C$1960,0)))</f>
        <v/>
      </c>
      <c r="G1248" s="8">
        <f>IF(ISNA(MATCH(1235,Engine!$C$2:$C$1960,0)),"",INDEX('Compliance Database'!$G$2:$G$1960,MATCH(1235,Engine!$C$2:$C$1960,0)))</f>
        <v/>
      </c>
      <c r="H1248" s="9">
        <f>IF(ISNA(MATCH(1235,Engine!$C$2:$C$1960,0)),"",INDEX('Compliance Database'!$H$2:$H$1960,MATCH(1235,Engine!$C$2:$C$1960,0)))</f>
        <v/>
      </c>
      <c r="I1248" s="9">
        <f>IF(ISNA(MATCH(1235,Engine!$C$2:$C$1960,0)),"",INDEX('Compliance Database'!$I$2:$I$1960,MATCH(1235,Engine!$C$2:$C$1960,0)))</f>
        <v/>
      </c>
      <c r="J1248" s="8">
        <f>IF(ISNA(MATCH(1235,Engine!$C$2:$C$1960,0)),"",INDEX('Compliance Database'!$J$2:$J$1960,MATCH(1235,Engine!$C$2:$C$1960,0)))</f>
        <v/>
      </c>
      <c r="K1248" s="9">
        <f>IF(ISNA(MATCH(1235,Engine!$C$2:$C$1960,0)),"",INDEX('Compliance Database'!$K$2:$K$1960,MATCH(1235,Engine!$C$2:$C$1960,0)))</f>
        <v/>
      </c>
      <c r="L1248" s="9">
        <f>IF(ISNA(MATCH(1235,Engine!$C$2:$C$1960,0)),"",INDEX('Compliance Database'!$L$2:$L$1960,MATCH(1235,Engine!$C$2:$C$1960,0)))</f>
        <v/>
      </c>
      <c r="M1248" s="9">
        <f>IF(ISNA(MATCH(1235,Engine!$C$2:$C$1960,0)),"",INDEX('Compliance Database'!$M$2:$M$1960,MATCH(1235,Engine!$C$2:$C$1960,0)))</f>
        <v/>
      </c>
      <c r="N1248" s="9">
        <f>IF(ISNA(MATCH(1235,Engine!$C$2:$C$1960,0)),"",INDEX('Compliance Database'!$N$2:$N$1960,MATCH(1235,Engine!$C$2:$C$1960,0)))</f>
        <v/>
      </c>
      <c r="O1248" s="9">
        <f>IF(ISNA(MATCH(1235,Engine!$C$2:$C$1960,0)),"",INDEX('Compliance Database'!$O$2:$O$1960,MATCH(1235,Engine!$C$2:$C$1960,0)))</f>
        <v/>
      </c>
      <c r="P1248" s="8">
        <f>IF(ISNA(MATCH(1235,Engine!$C$2:$C$1960,0)),"",HYPERLINK("#Acts!A"&amp;INDEX('Compliance Database'!$P$2:$P$1960,MATCH(1235,Engine!$C$2:$C$1960,0)),"Go to Act"))</f>
        <v/>
      </c>
    </row>
    <row r="1249" ht="158" customHeight="1">
      <c r="A1249" s="8">
        <f>IF(ISNA(MATCH(1236,Engine!$C$2:$C$1960,0)),"",INDEX('Compliance Database'!$A$2:$A$1960,MATCH(1236,Engine!$C$2:$C$1960,0)))</f>
        <v/>
      </c>
      <c r="B1249" s="8">
        <f>IF(ISNA(MATCH(1236,Engine!$C$2:$C$1960,0)),"",INDEX('Compliance Database'!$B$2:$B$1960,MATCH(1236,Engine!$C$2:$C$1960,0)))</f>
        <v/>
      </c>
      <c r="C1249" s="8">
        <f>IF(ISNA(MATCH(1236,Engine!$C$2:$C$1960,0)),"",INDEX('Compliance Database'!$C$2:$C$1960,MATCH(1236,Engine!$C$2:$C$1960,0)))</f>
        <v/>
      </c>
      <c r="D1249" s="9">
        <f>IF(ISNA(MATCH(1236,Engine!$C$2:$C$1960,0)),"",INDEX('Compliance Database'!$D$2:$D$1960,MATCH(1236,Engine!$C$2:$C$1960,0)))</f>
        <v/>
      </c>
      <c r="E1249" s="8">
        <f>IF(ISNA(MATCH(1236,Engine!$C$2:$C$1960,0)),"",INDEX('Compliance Database'!$E$2:$E$1960,MATCH(1236,Engine!$C$2:$C$1960,0)))</f>
        <v/>
      </c>
      <c r="F1249" s="8">
        <f>IF(ISNA(MATCH(1236,Engine!$C$2:$C$1960,0)),"",INDEX('Compliance Database'!$F$2:$F$1960,MATCH(1236,Engine!$C$2:$C$1960,0)))</f>
        <v/>
      </c>
      <c r="G1249" s="8">
        <f>IF(ISNA(MATCH(1236,Engine!$C$2:$C$1960,0)),"",INDEX('Compliance Database'!$G$2:$G$1960,MATCH(1236,Engine!$C$2:$C$1960,0)))</f>
        <v/>
      </c>
      <c r="H1249" s="9">
        <f>IF(ISNA(MATCH(1236,Engine!$C$2:$C$1960,0)),"",INDEX('Compliance Database'!$H$2:$H$1960,MATCH(1236,Engine!$C$2:$C$1960,0)))</f>
        <v/>
      </c>
      <c r="I1249" s="9">
        <f>IF(ISNA(MATCH(1236,Engine!$C$2:$C$1960,0)),"",INDEX('Compliance Database'!$I$2:$I$1960,MATCH(1236,Engine!$C$2:$C$1960,0)))</f>
        <v/>
      </c>
      <c r="J1249" s="8">
        <f>IF(ISNA(MATCH(1236,Engine!$C$2:$C$1960,0)),"",INDEX('Compliance Database'!$J$2:$J$1960,MATCH(1236,Engine!$C$2:$C$1960,0)))</f>
        <v/>
      </c>
      <c r="K1249" s="9">
        <f>IF(ISNA(MATCH(1236,Engine!$C$2:$C$1960,0)),"",INDEX('Compliance Database'!$K$2:$K$1960,MATCH(1236,Engine!$C$2:$C$1960,0)))</f>
        <v/>
      </c>
      <c r="L1249" s="9">
        <f>IF(ISNA(MATCH(1236,Engine!$C$2:$C$1960,0)),"",INDEX('Compliance Database'!$L$2:$L$1960,MATCH(1236,Engine!$C$2:$C$1960,0)))</f>
        <v/>
      </c>
      <c r="M1249" s="9">
        <f>IF(ISNA(MATCH(1236,Engine!$C$2:$C$1960,0)),"",INDEX('Compliance Database'!$M$2:$M$1960,MATCH(1236,Engine!$C$2:$C$1960,0)))</f>
        <v/>
      </c>
      <c r="N1249" s="9">
        <f>IF(ISNA(MATCH(1236,Engine!$C$2:$C$1960,0)),"",INDEX('Compliance Database'!$N$2:$N$1960,MATCH(1236,Engine!$C$2:$C$1960,0)))</f>
        <v/>
      </c>
      <c r="O1249" s="9">
        <f>IF(ISNA(MATCH(1236,Engine!$C$2:$C$1960,0)),"",INDEX('Compliance Database'!$O$2:$O$1960,MATCH(1236,Engine!$C$2:$C$1960,0)))</f>
        <v/>
      </c>
      <c r="P1249" s="8">
        <f>IF(ISNA(MATCH(1236,Engine!$C$2:$C$1960,0)),"",HYPERLINK("#Acts!A"&amp;INDEX('Compliance Database'!$P$2:$P$1960,MATCH(1236,Engine!$C$2:$C$1960,0)),"Go to Act"))</f>
        <v/>
      </c>
    </row>
    <row r="1250" ht="158" customHeight="1">
      <c r="A1250" s="8">
        <f>IF(ISNA(MATCH(1237,Engine!$C$2:$C$1960,0)),"",INDEX('Compliance Database'!$A$2:$A$1960,MATCH(1237,Engine!$C$2:$C$1960,0)))</f>
        <v/>
      </c>
      <c r="B1250" s="8">
        <f>IF(ISNA(MATCH(1237,Engine!$C$2:$C$1960,0)),"",INDEX('Compliance Database'!$B$2:$B$1960,MATCH(1237,Engine!$C$2:$C$1960,0)))</f>
        <v/>
      </c>
      <c r="C1250" s="8">
        <f>IF(ISNA(MATCH(1237,Engine!$C$2:$C$1960,0)),"",INDEX('Compliance Database'!$C$2:$C$1960,MATCH(1237,Engine!$C$2:$C$1960,0)))</f>
        <v/>
      </c>
      <c r="D1250" s="9">
        <f>IF(ISNA(MATCH(1237,Engine!$C$2:$C$1960,0)),"",INDEX('Compliance Database'!$D$2:$D$1960,MATCH(1237,Engine!$C$2:$C$1960,0)))</f>
        <v/>
      </c>
      <c r="E1250" s="8">
        <f>IF(ISNA(MATCH(1237,Engine!$C$2:$C$1960,0)),"",INDEX('Compliance Database'!$E$2:$E$1960,MATCH(1237,Engine!$C$2:$C$1960,0)))</f>
        <v/>
      </c>
      <c r="F1250" s="8">
        <f>IF(ISNA(MATCH(1237,Engine!$C$2:$C$1960,0)),"",INDEX('Compliance Database'!$F$2:$F$1960,MATCH(1237,Engine!$C$2:$C$1960,0)))</f>
        <v/>
      </c>
      <c r="G1250" s="8">
        <f>IF(ISNA(MATCH(1237,Engine!$C$2:$C$1960,0)),"",INDEX('Compliance Database'!$G$2:$G$1960,MATCH(1237,Engine!$C$2:$C$1960,0)))</f>
        <v/>
      </c>
      <c r="H1250" s="9">
        <f>IF(ISNA(MATCH(1237,Engine!$C$2:$C$1960,0)),"",INDEX('Compliance Database'!$H$2:$H$1960,MATCH(1237,Engine!$C$2:$C$1960,0)))</f>
        <v/>
      </c>
      <c r="I1250" s="9">
        <f>IF(ISNA(MATCH(1237,Engine!$C$2:$C$1960,0)),"",INDEX('Compliance Database'!$I$2:$I$1960,MATCH(1237,Engine!$C$2:$C$1960,0)))</f>
        <v/>
      </c>
      <c r="J1250" s="8">
        <f>IF(ISNA(MATCH(1237,Engine!$C$2:$C$1960,0)),"",INDEX('Compliance Database'!$J$2:$J$1960,MATCH(1237,Engine!$C$2:$C$1960,0)))</f>
        <v/>
      </c>
      <c r="K1250" s="9">
        <f>IF(ISNA(MATCH(1237,Engine!$C$2:$C$1960,0)),"",INDEX('Compliance Database'!$K$2:$K$1960,MATCH(1237,Engine!$C$2:$C$1960,0)))</f>
        <v/>
      </c>
      <c r="L1250" s="9">
        <f>IF(ISNA(MATCH(1237,Engine!$C$2:$C$1960,0)),"",INDEX('Compliance Database'!$L$2:$L$1960,MATCH(1237,Engine!$C$2:$C$1960,0)))</f>
        <v/>
      </c>
      <c r="M1250" s="9">
        <f>IF(ISNA(MATCH(1237,Engine!$C$2:$C$1960,0)),"",INDEX('Compliance Database'!$M$2:$M$1960,MATCH(1237,Engine!$C$2:$C$1960,0)))</f>
        <v/>
      </c>
      <c r="N1250" s="9">
        <f>IF(ISNA(MATCH(1237,Engine!$C$2:$C$1960,0)),"",INDEX('Compliance Database'!$N$2:$N$1960,MATCH(1237,Engine!$C$2:$C$1960,0)))</f>
        <v/>
      </c>
      <c r="O1250" s="9">
        <f>IF(ISNA(MATCH(1237,Engine!$C$2:$C$1960,0)),"",INDEX('Compliance Database'!$O$2:$O$1960,MATCH(1237,Engine!$C$2:$C$1960,0)))</f>
        <v/>
      </c>
      <c r="P1250" s="8">
        <f>IF(ISNA(MATCH(1237,Engine!$C$2:$C$1960,0)),"",HYPERLINK("#Acts!A"&amp;INDEX('Compliance Database'!$P$2:$P$1960,MATCH(1237,Engine!$C$2:$C$1960,0)),"Go to Act"))</f>
        <v/>
      </c>
    </row>
    <row r="1251" ht="158" customHeight="1">
      <c r="A1251" s="8">
        <f>IF(ISNA(MATCH(1238,Engine!$C$2:$C$1960,0)),"",INDEX('Compliance Database'!$A$2:$A$1960,MATCH(1238,Engine!$C$2:$C$1960,0)))</f>
        <v/>
      </c>
      <c r="B1251" s="8">
        <f>IF(ISNA(MATCH(1238,Engine!$C$2:$C$1960,0)),"",INDEX('Compliance Database'!$B$2:$B$1960,MATCH(1238,Engine!$C$2:$C$1960,0)))</f>
        <v/>
      </c>
      <c r="C1251" s="8">
        <f>IF(ISNA(MATCH(1238,Engine!$C$2:$C$1960,0)),"",INDEX('Compliance Database'!$C$2:$C$1960,MATCH(1238,Engine!$C$2:$C$1960,0)))</f>
        <v/>
      </c>
      <c r="D1251" s="9">
        <f>IF(ISNA(MATCH(1238,Engine!$C$2:$C$1960,0)),"",INDEX('Compliance Database'!$D$2:$D$1960,MATCH(1238,Engine!$C$2:$C$1960,0)))</f>
        <v/>
      </c>
      <c r="E1251" s="8">
        <f>IF(ISNA(MATCH(1238,Engine!$C$2:$C$1960,0)),"",INDEX('Compliance Database'!$E$2:$E$1960,MATCH(1238,Engine!$C$2:$C$1960,0)))</f>
        <v/>
      </c>
      <c r="F1251" s="8">
        <f>IF(ISNA(MATCH(1238,Engine!$C$2:$C$1960,0)),"",INDEX('Compliance Database'!$F$2:$F$1960,MATCH(1238,Engine!$C$2:$C$1960,0)))</f>
        <v/>
      </c>
      <c r="G1251" s="8">
        <f>IF(ISNA(MATCH(1238,Engine!$C$2:$C$1960,0)),"",INDEX('Compliance Database'!$G$2:$G$1960,MATCH(1238,Engine!$C$2:$C$1960,0)))</f>
        <v/>
      </c>
      <c r="H1251" s="9">
        <f>IF(ISNA(MATCH(1238,Engine!$C$2:$C$1960,0)),"",INDEX('Compliance Database'!$H$2:$H$1960,MATCH(1238,Engine!$C$2:$C$1960,0)))</f>
        <v/>
      </c>
      <c r="I1251" s="9">
        <f>IF(ISNA(MATCH(1238,Engine!$C$2:$C$1960,0)),"",INDEX('Compliance Database'!$I$2:$I$1960,MATCH(1238,Engine!$C$2:$C$1960,0)))</f>
        <v/>
      </c>
      <c r="J1251" s="8">
        <f>IF(ISNA(MATCH(1238,Engine!$C$2:$C$1960,0)),"",INDEX('Compliance Database'!$J$2:$J$1960,MATCH(1238,Engine!$C$2:$C$1960,0)))</f>
        <v/>
      </c>
      <c r="K1251" s="9">
        <f>IF(ISNA(MATCH(1238,Engine!$C$2:$C$1960,0)),"",INDEX('Compliance Database'!$K$2:$K$1960,MATCH(1238,Engine!$C$2:$C$1960,0)))</f>
        <v/>
      </c>
      <c r="L1251" s="9">
        <f>IF(ISNA(MATCH(1238,Engine!$C$2:$C$1960,0)),"",INDEX('Compliance Database'!$L$2:$L$1960,MATCH(1238,Engine!$C$2:$C$1960,0)))</f>
        <v/>
      </c>
      <c r="M1251" s="9">
        <f>IF(ISNA(MATCH(1238,Engine!$C$2:$C$1960,0)),"",INDEX('Compliance Database'!$M$2:$M$1960,MATCH(1238,Engine!$C$2:$C$1960,0)))</f>
        <v/>
      </c>
      <c r="N1251" s="9">
        <f>IF(ISNA(MATCH(1238,Engine!$C$2:$C$1960,0)),"",INDEX('Compliance Database'!$N$2:$N$1960,MATCH(1238,Engine!$C$2:$C$1960,0)))</f>
        <v/>
      </c>
      <c r="O1251" s="9">
        <f>IF(ISNA(MATCH(1238,Engine!$C$2:$C$1960,0)),"",INDEX('Compliance Database'!$O$2:$O$1960,MATCH(1238,Engine!$C$2:$C$1960,0)))</f>
        <v/>
      </c>
      <c r="P1251" s="8">
        <f>IF(ISNA(MATCH(1238,Engine!$C$2:$C$1960,0)),"",HYPERLINK("#Acts!A"&amp;INDEX('Compliance Database'!$P$2:$P$1960,MATCH(1238,Engine!$C$2:$C$1960,0)),"Go to Act"))</f>
        <v/>
      </c>
    </row>
    <row r="1252" ht="158" customHeight="1">
      <c r="A1252" s="8">
        <f>IF(ISNA(MATCH(1239,Engine!$C$2:$C$1960,0)),"",INDEX('Compliance Database'!$A$2:$A$1960,MATCH(1239,Engine!$C$2:$C$1960,0)))</f>
        <v/>
      </c>
      <c r="B1252" s="8">
        <f>IF(ISNA(MATCH(1239,Engine!$C$2:$C$1960,0)),"",INDEX('Compliance Database'!$B$2:$B$1960,MATCH(1239,Engine!$C$2:$C$1960,0)))</f>
        <v/>
      </c>
      <c r="C1252" s="8">
        <f>IF(ISNA(MATCH(1239,Engine!$C$2:$C$1960,0)),"",INDEX('Compliance Database'!$C$2:$C$1960,MATCH(1239,Engine!$C$2:$C$1960,0)))</f>
        <v/>
      </c>
      <c r="D1252" s="9">
        <f>IF(ISNA(MATCH(1239,Engine!$C$2:$C$1960,0)),"",INDEX('Compliance Database'!$D$2:$D$1960,MATCH(1239,Engine!$C$2:$C$1960,0)))</f>
        <v/>
      </c>
      <c r="E1252" s="8">
        <f>IF(ISNA(MATCH(1239,Engine!$C$2:$C$1960,0)),"",INDEX('Compliance Database'!$E$2:$E$1960,MATCH(1239,Engine!$C$2:$C$1960,0)))</f>
        <v/>
      </c>
      <c r="F1252" s="8">
        <f>IF(ISNA(MATCH(1239,Engine!$C$2:$C$1960,0)),"",INDEX('Compliance Database'!$F$2:$F$1960,MATCH(1239,Engine!$C$2:$C$1960,0)))</f>
        <v/>
      </c>
      <c r="G1252" s="8">
        <f>IF(ISNA(MATCH(1239,Engine!$C$2:$C$1960,0)),"",INDEX('Compliance Database'!$G$2:$G$1960,MATCH(1239,Engine!$C$2:$C$1960,0)))</f>
        <v/>
      </c>
      <c r="H1252" s="9">
        <f>IF(ISNA(MATCH(1239,Engine!$C$2:$C$1960,0)),"",INDEX('Compliance Database'!$H$2:$H$1960,MATCH(1239,Engine!$C$2:$C$1960,0)))</f>
        <v/>
      </c>
      <c r="I1252" s="9">
        <f>IF(ISNA(MATCH(1239,Engine!$C$2:$C$1960,0)),"",INDEX('Compliance Database'!$I$2:$I$1960,MATCH(1239,Engine!$C$2:$C$1960,0)))</f>
        <v/>
      </c>
      <c r="J1252" s="8">
        <f>IF(ISNA(MATCH(1239,Engine!$C$2:$C$1960,0)),"",INDEX('Compliance Database'!$J$2:$J$1960,MATCH(1239,Engine!$C$2:$C$1960,0)))</f>
        <v/>
      </c>
      <c r="K1252" s="9">
        <f>IF(ISNA(MATCH(1239,Engine!$C$2:$C$1960,0)),"",INDEX('Compliance Database'!$K$2:$K$1960,MATCH(1239,Engine!$C$2:$C$1960,0)))</f>
        <v/>
      </c>
      <c r="L1252" s="9">
        <f>IF(ISNA(MATCH(1239,Engine!$C$2:$C$1960,0)),"",INDEX('Compliance Database'!$L$2:$L$1960,MATCH(1239,Engine!$C$2:$C$1960,0)))</f>
        <v/>
      </c>
      <c r="M1252" s="9">
        <f>IF(ISNA(MATCH(1239,Engine!$C$2:$C$1960,0)),"",INDEX('Compliance Database'!$M$2:$M$1960,MATCH(1239,Engine!$C$2:$C$1960,0)))</f>
        <v/>
      </c>
      <c r="N1252" s="9">
        <f>IF(ISNA(MATCH(1239,Engine!$C$2:$C$1960,0)),"",INDEX('Compliance Database'!$N$2:$N$1960,MATCH(1239,Engine!$C$2:$C$1960,0)))</f>
        <v/>
      </c>
      <c r="O1252" s="9">
        <f>IF(ISNA(MATCH(1239,Engine!$C$2:$C$1960,0)),"",INDEX('Compliance Database'!$O$2:$O$1960,MATCH(1239,Engine!$C$2:$C$1960,0)))</f>
        <v/>
      </c>
      <c r="P1252" s="8">
        <f>IF(ISNA(MATCH(1239,Engine!$C$2:$C$1960,0)),"",HYPERLINK("#Acts!A"&amp;INDEX('Compliance Database'!$P$2:$P$1960,MATCH(1239,Engine!$C$2:$C$1960,0)),"Go to Act"))</f>
        <v/>
      </c>
    </row>
    <row r="1253" ht="158" customHeight="1">
      <c r="A1253" s="8">
        <f>IF(ISNA(MATCH(1240,Engine!$C$2:$C$1960,0)),"",INDEX('Compliance Database'!$A$2:$A$1960,MATCH(1240,Engine!$C$2:$C$1960,0)))</f>
        <v/>
      </c>
      <c r="B1253" s="8">
        <f>IF(ISNA(MATCH(1240,Engine!$C$2:$C$1960,0)),"",INDEX('Compliance Database'!$B$2:$B$1960,MATCH(1240,Engine!$C$2:$C$1960,0)))</f>
        <v/>
      </c>
      <c r="C1253" s="8">
        <f>IF(ISNA(MATCH(1240,Engine!$C$2:$C$1960,0)),"",INDEX('Compliance Database'!$C$2:$C$1960,MATCH(1240,Engine!$C$2:$C$1960,0)))</f>
        <v/>
      </c>
      <c r="D1253" s="9">
        <f>IF(ISNA(MATCH(1240,Engine!$C$2:$C$1960,0)),"",INDEX('Compliance Database'!$D$2:$D$1960,MATCH(1240,Engine!$C$2:$C$1960,0)))</f>
        <v/>
      </c>
      <c r="E1253" s="8">
        <f>IF(ISNA(MATCH(1240,Engine!$C$2:$C$1960,0)),"",INDEX('Compliance Database'!$E$2:$E$1960,MATCH(1240,Engine!$C$2:$C$1960,0)))</f>
        <v/>
      </c>
      <c r="F1253" s="8">
        <f>IF(ISNA(MATCH(1240,Engine!$C$2:$C$1960,0)),"",INDEX('Compliance Database'!$F$2:$F$1960,MATCH(1240,Engine!$C$2:$C$1960,0)))</f>
        <v/>
      </c>
      <c r="G1253" s="8">
        <f>IF(ISNA(MATCH(1240,Engine!$C$2:$C$1960,0)),"",INDEX('Compliance Database'!$G$2:$G$1960,MATCH(1240,Engine!$C$2:$C$1960,0)))</f>
        <v/>
      </c>
      <c r="H1253" s="9">
        <f>IF(ISNA(MATCH(1240,Engine!$C$2:$C$1960,0)),"",INDEX('Compliance Database'!$H$2:$H$1960,MATCH(1240,Engine!$C$2:$C$1960,0)))</f>
        <v/>
      </c>
      <c r="I1253" s="9">
        <f>IF(ISNA(MATCH(1240,Engine!$C$2:$C$1960,0)),"",INDEX('Compliance Database'!$I$2:$I$1960,MATCH(1240,Engine!$C$2:$C$1960,0)))</f>
        <v/>
      </c>
      <c r="J1253" s="8">
        <f>IF(ISNA(MATCH(1240,Engine!$C$2:$C$1960,0)),"",INDEX('Compliance Database'!$J$2:$J$1960,MATCH(1240,Engine!$C$2:$C$1960,0)))</f>
        <v/>
      </c>
      <c r="K1253" s="9">
        <f>IF(ISNA(MATCH(1240,Engine!$C$2:$C$1960,0)),"",INDEX('Compliance Database'!$K$2:$K$1960,MATCH(1240,Engine!$C$2:$C$1960,0)))</f>
        <v/>
      </c>
      <c r="L1253" s="9">
        <f>IF(ISNA(MATCH(1240,Engine!$C$2:$C$1960,0)),"",INDEX('Compliance Database'!$L$2:$L$1960,MATCH(1240,Engine!$C$2:$C$1960,0)))</f>
        <v/>
      </c>
      <c r="M1253" s="9">
        <f>IF(ISNA(MATCH(1240,Engine!$C$2:$C$1960,0)),"",INDEX('Compliance Database'!$M$2:$M$1960,MATCH(1240,Engine!$C$2:$C$1960,0)))</f>
        <v/>
      </c>
      <c r="N1253" s="9">
        <f>IF(ISNA(MATCH(1240,Engine!$C$2:$C$1960,0)),"",INDEX('Compliance Database'!$N$2:$N$1960,MATCH(1240,Engine!$C$2:$C$1960,0)))</f>
        <v/>
      </c>
      <c r="O1253" s="9">
        <f>IF(ISNA(MATCH(1240,Engine!$C$2:$C$1960,0)),"",INDEX('Compliance Database'!$O$2:$O$1960,MATCH(1240,Engine!$C$2:$C$1960,0)))</f>
        <v/>
      </c>
      <c r="P1253" s="8">
        <f>IF(ISNA(MATCH(1240,Engine!$C$2:$C$1960,0)),"",HYPERLINK("#Acts!A"&amp;INDEX('Compliance Database'!$P$2:$P$1960,MATCH(1240,Engine!$C$2:$C$1960,0)),"Go to Act"))</f>
        <v/>
      </c>
    </row>
    <row r="1254" ht="158" customHeight="1">
      <c r="A1254" s="8">
        <f>IF(ISNA(MATCH(1241,Engine!$C$2:$C$1960,0)),"",INDEX('Compliance Database'!$A$2:$A$1960,MATCH(1241,Engine!$C$2:$C$1960,0)))</f>
        <v/>
      </c>
      <c r="B1254" s="8">
        <f>IF(ISNA(MATCH(1241,Engine!$C$2:$C$1960,0)),"",INDEX('Compliance Database'!$B$2:$B$1960,MATCH(1241,Engine!$C$2:$C$1960,0)))</f>
        <v/>
      </c>
      <c r="C1254" s="8">
        <f>IF(ISNA(MATCH(1241,Engine!$C$2:$C$1960,0)),"",INDEX('Compliance Database'!$C$2:$C$1960,MATCH(1241,Engine!$C$2:$C$1960,0)))</f>
        <v/>
      </c>
      <c r="D1254" s="9">
        <f>IF(ISNA(MATCH(1241,Engine!$C$2:$C$1960,0)),"",INDEX('Compliance Database'!$D$2:$D$1960,MATCH(1241,Engine!$C$2:$C$1960,0)))</f>
        <v/>
      </c>
      <c r="E1254" s="8">
        <f>IF(ISNA(MATCH(1241,Engine!$C$2:$C$1960,0)),"",INDEX('Compliance Database'!$E$2:$E$1960,MATCH(1241,Engine!$C$2:$C$1960,0)))</f>
        <v/>
      </c>
      <c r="F1254" s="8">
        <f>IF(ISNA(MATCH(1241,Engine!$C$2:$C$1960,0)),"",INDEX('Compliance Database'!$F$2:$F$1960,MATCH(1241,Engine!$C$2:$C$1960,0)))</f>
        <v/>
      </c>
      <c r="G1254" s="8">
        <f>IF(ISNA(MATCH(1241,Engine!$C$2:$C$1960,0)),"",INDEX('Compliance Database'!$G$2:$G$1960,MATCH(1241,Engine!$C$2:$C$1960,0)))</f>
        <v/>
      </c>
      <c r="H1254" s="9">
        <f>IF(ISNA(MATCH(1241,Engine!$C$2:$C$1960,0)),"",INDEX('Compliance Database'!$H$2:$H$1960,MATCH(1241,Engine!$C$2:$C$1960,0)))</f>
        <v/>
      </c>
      <c r="I1254" s="9">
        <f>IF(ISNA(MATCH(1241,Engine!$C$2:$C$1960,0)),"",INDEX('Compliance Database'!$I$2:$I$1960,MATCH(1241,Engine!$C$2:$C$1960,0)))</f>
        <v/>
      </c>
      <c r="J1254" s="8">
        <f>IF(ISNA(MATCH(1241,Engine!$C$2:$C$1960,0)),"",INDEX('Compliance Database'!$J$2:$J$1960,MATCH(1241,Engine!$C$2:$C$1960,0)))</f>
        <v/>
      </c>
      <c r="K1254" s="9">
        <f>IF(ISNA(MATCH(1241,Engine!$C$2:$C$1960,0)),"",INDEX('Compliance Database'!$K$2:$K$1960,MATCH(1241,Engine!$C$2:$C$1960,0)))</f>
        <v/>
      </c>
      <c r="L1254" s="9">
        <f>IF(ISNA(MATCH(1241,Engine!$C$2:$C$1960,0)),"",INDEX('Compliance Database'!$L$2:$L$1960,MATCH(1241,Engine!$C$2:$C$1960,0)))</f>
        <v/>
      </c>
      <c r="M1254" s="9">
        <f>IF(ISNA(MATCH(1241,Engine!$C$2:$C$1960,0)),"",INDEX('Compliance Database'!$M$2:$M$1960,MATCH(1241,Engine!$C$2:$C$1960,0)))</f>
        <v/>
      </c>
      <c r="N1254" s="9">
        <f>IF(ISNA(MATCH(1241,Engine!$C$2:$C$1960,0)),"",INDEX('Compliance Database'!$N$2:$N$1960,MATCH(1241,Engine!$C$2:$C$1960,0)))</f>
        <v/>
      </c>
      <c r="O1254" s="9">
        <f>IF(ISNA(MATCH(1241,Engine!$C$2:$C$1960,0)),"",INDEX('Compliance Database'!$O$2:$O$1960,MATCH(1241,Engine!$C$2:$C$1960,0)))</f>
        <v/>
      </c>
      <c r="P1254" s="8">
        <f>IF(ISNA(MATCH(1241,Engine!$C$2:$C$1960,0)),"",HYPERLINK("#Acts!A"&amp;INDEX('Compliance Database'!$P$2:$P$1960,MATCH(1241,Engine!$C$2:$C$1960,0)),"Go to Act"))</f>
        <v/>
      </c>
    </row>
    <row r="1255" ht="158" customHeight="1">
      <c r="A1255" s="8">
        <f>IF(ISNA(MATCH(1242,Engine!$C$2:$C$1960,0)),"",INDEX('Compliance Database'!$A$2:$A$1960,MATCH(1242,Engine!$C$2:$C$1960,0)))</f>
        <v/>
      </c>
      <c r="B1255" s="8">
        <f>IF(ISNA(MATCH(1242,Engine!$C$2:$C$1960,0)),"",INDEX('Compliance Database'!$B$2:$B$1960,MATCH(1242,Engine!$C$2:$C$1960,0)))</f>
        <v/>
      </c>
      <c r="C1255" s="8">
        <f>IF(ISNA(MATCH(1242,Engine!$C$2:$C$1960,0)),"",INDEX('Compliance Database'!$C$2:$C$1960,MATCH(1242,Engine!$C$2:$C$1960,0)))</f>
        <v/>
      </c>
      <c r="D1255" s="9">
        <f>IF(ISNA(MATCH(1242,Engine!$C$2:$C$1960,0)),"",INDEX('Compliance Database'!$D$2:$D$1960,MATCH(1242,Engine!$C$2:$C$1960,0)))</f>
        <v/>
      </c>
      <c r="E1255" s="8">
        <f>IF(ISNA(MATCH(1242,Engine!$C$2:$C$1960,0)),"",INDEX('Compliance Database'!$E$2:$E$1960,MATCH(1242,Engine!$C$2:$C$1960,0)))</f>
        <v/>
      </c>
      <c r="F1255" s="8">
        <f>IF(ISNA(MATCH(1242,Engine!$C$2:$C$1960,0)),"",INDEX('Compliance Database'!$F$2:$F$1960,MATCH(1242,Engine!$C$2:$C$1960,0)))</f>
        <v/>
      </c>
      <c r="G1255" s="8">
        <f>IF(ISNA(MATCH(1242,Engine!$C$2:$C$1960,0)),"",INDEX('Compliance Database'!$G$2:$G$1960,MATCH(1242,Engine!$C$2:$C$1960,0)))</f>
        <v/>
      </c>
      <c r="H1255" s="9">
        <f>IF(ISNA(MATCH(1242,Engine!$C$2:$C$1960,0)),"",INDEX('Compliance Database'!$H$2:$H$1960,MATCH(1242,Engine!$C$2:$C$1960,0)))</f>
        <v/>
      </c>
      <c r="I1255" s="9">
        <f>IF(ISNA(MATCH(1242,Engine!$C$2:$C$1960,0)),"",INDEX('Compliance Database'!$I$2:$I$1960,MATCH(1242,Engine!$C$2:$C$1960,0)))</f>
        <v/>
      </c>
      <c r="J1255" s="8">
        <f>IF(ISNA(MATCH(1242,Engine!$C$2:$C$1960,0)),"",INDEX('Compliance Database'!$J$2:$J$1960,MATCH(1242,Engine!$C$2:$C$1960,0)))</f>
        <v/>
      </c>
      <c r="K1255" s="9">
        <f>IF(ISNA(MATCH(1242,Engine!$C$2:$C$1960,0)),"",INDEX('Compliance Database'!$K$2:$K$1960,MATCH(1242,Engine!$C$2:$C$1960,0)))</f>
        <v/>
      </c>
      <c r="L1255" s="9">
        <f>IF(ISNA(MATCH(1242,Engine!$C$2:$C$1960,0)),"",INDEX('Compliance Database'!$L$2:$L$1960,MATCH(1242,Engine!$C$2:$C$1960,0)))</f>
        <v/>
      </c>
      <c r="M1255" s="9">
        <f>IF(ISNA(MATCH(1242,Engine!$C$2:$C$1960,0)),"",INDEX('Compliance Database'!$M$2:$M$1960,MATCH(1242,Engine!$C$2:$C$1960,0)))</f>
        <v/>
      </c>
      <c r="N1255" s="9">
        <f>IF(ISNA(MATCH(1242,Engine!$C$2:$C$1960,0)),"",INDEX('Compliance Database'!$N$2:$N$1960,MATCH(1242,Engine!$C$2:$C$1960,0)))</f>
        <v/>
      </c>
      <c r="O1255" s="9">
        <f>IF(ISNA(MATCH(1242,Engine!$C$2:$C$1960,0)),"",INDEX('Compliance Database'!$O$2:$O$1960,MATCH(1242,Engine!$C$2:$C$1960,0)))</f>
        <v/>
      </c>
      <c r="P1255" s="8">
        <f>IF(ISNA(MATCH(1242,Engine!$C$2:$C$1960,0)),"",HYPERLINK("#Acts!A"&amp;INDEX('Compliance Database'!$P$2:$P$1960,MATCH(1242,Engine!$C$2:$C$1960,0)),"Go to Act"))</f>
        <v/>
      </c>
    </row>
    <row r="1256" ht="158" customHeight="1">
      <c r="A1256" s="8">
        <f>IF(ISNA(MATCH(1243,Engine!$C$2:$C$1960,0)),"",INDEX('Compliance Database'!$A$2:$A$1960,MATCH(1243,Engine!$C$2:$C$1960,0)))</f>
        <v/>
      </c>
      <c r="B1256" s="8">
        <f>IF(ISNA(MATCH(1243,Engine!$C$2:$C$1960,0)),"",INDEX('Compliance Database'!$B$2:$B$1960,MATCH(1243,Engine!$C$2:$C$1960,0)))</f>
        <v/>
      </c>
      <c r="C1256" s="8">
        <f>IF(ISNA(MATCH(1243,Engine!$C$2:$C$1960,0)),"",INDEX('Compliance Database'!$C$2:$C$1960,MATCH(1243,Engine!$C$2:$C$1960,0)))</f>
        <v/>
      </c>
      <c r="D1256" s="9">
        <f>IF(ISNA(MATCH(1243,Engine!$C$2:$C$1960,0)),"",INDEX('Compliance Database'!$D$2:$D$1960,MATCH(1243,Engine!$C$2:$C$1960,0)))</f>
        <v/>
      </c>
      <c r="E1256" s="8">
        <f>IF(ISNA(MATCH(1243,Engine!$C$2:$C$1960,0)),"",INDEX('Compliance Database'!$E$2:$E$1960,MATCH(1243,Engine!$C$2:$C$1960,0)))</f>
        <v/>
      </c>
      <c r="F1256" s="8">
        <f>IF(ISNA(MATCH(1243,Engine!$C$2:$C$1960,0)),"",INDEX('Compliance Database'!$F$2:$F$1960,MATCH(1243,Engine!$C$2:$C$1960,0)))</f>
        <v/>
      </c>
      <c r="G1256" s="8">
        <f>IF(ISNA(MATCH(1243,Engine!$C$2:$C$1960,0)),"",INDEX('Compliance Database'!$G$2:$G$1960,MATCH(1243,Engine!$C$2:$C$1960,0)))</f>
        <v/>
      </c>
      <c r="H1256" s="9">
        <f>IF(ISNA(MATCH(1243,Engine!$C$2:$C$1960,0)),"",INDEX('Compliance Database'!$H$2:$H$1960,MATCH(1243,Engine!$C$2:$C$1960,0)))</f>
        <v/>
      </c>
      <c r="I1256" s="9">
        <f>IF(ISNA(MATCH(1243,Engine!$C$2:$C$1960,0)),"",INDEX('Compliance Database'!$I$2:$I$1960,MATCH(1243,Engine!$C$2:$C$1960,0)))</f>
        <v/>
      </c>
      <c r="J1256" s="8">
        <f>IF(ISNA(MATCH(1243,Engine!$C$2:$C$1960,0)),"",INDEX('Compliance Database'!$J$2:$J$1960,MATCH(1243,Engine!$C$2:$C$1960,0)))</f>
        <v/>
      </c>
      <c r="K1256" s="9">
        <f>IF(ISNA(MATCH(1243,Engine!$C$2:$C$1960,0)),"",INDEX('Compliance Database'!$K$2:$K$1960,MATCH(1243,Engine!$C$2:$C$1960,0)))</f>
        <v/>
      </c>
      <c r="L1256" s="9">
        <f>IF(ISNA(MATCH(1243,Engine!$C$2:$C$1960,0)),"",INDEX('Compliance Database'!$L$2:$L$1960,MATCH(1243,Engine!$C$2:$C$1960,0)))</f>
        <v/>
      </c>
      <c r="M1256" s="9">
        <f>IF(ISNA(MATCH(1243,Engine!$C$2:$C$1960,0)),"",INDEX('Compliance Database'!$M$2:$M$1960,MATCH(1243,Engine!$C$2:$C$1960,0)))</f>
        <v/>
      </c>
      <c r="N1256" s="9">
        <f>IF(ISNA(MATCH(1243,Engine!$C$2:$C$1960,0)),"",INDEX('Compliance Database'!$N$2:$N$1960,MATCH(1243,Engine!$C$2:$C$1960,0)))</f>
        <v/>
      </c>
      <c r="O1256" s="9">
        <f>IF(ISNA(MATCH(1243,Engine!$C$2:$C$1960,0)),"",INDEX('Compliance Database'!$O$2:$O$1960,MATCH(1243,Engine!$C$2:$C$1960,0)))</f>
        <v/>
      </c>
      <c r="P1256" s="8">
        <f>IF(ISNA(MATCH(1243,Engine!$C$2:$C$1960,0)),"",HYPERLINK("#Acts!A"&amp;INDEX('Compliance Database'!$P$2:$P$1960,MATCH(1243,Engine!$C$2:$C$1960,0)),"Go to Act"))</f>
        <v/>
      </c>
    </row>
    <row r="1257" ht="158" customHeight="1">
      <c r="A1257" s="8">
        <f>IF(ISNA(MATCH(1244,Engine!$C$2:$C$1960,0)),"",INDEX('Compliance Database'!$A$2:$A$1960,MATCH(1244,Engine!$C$2:$C$1960,0)))</f>
        <v/>
      </c>
      <c r="B1257" s="8">
        <f>IF(ISNA(MATCH(1244,Engine!$C$2:$C$1960,0)),"",INDEX('Compliance Database'!$B$2:$B$1960,MATCH(1244,Engine!$C$2:$C$1960,0)))</f>
        <v/>
      </c>
      <c r="C1257" s="8">
        <f>IF(ISNA(MATCH(1244,Engine!$C$2:$C$1960,0)),"",INDEX('Compliance Database'!$C$2:$C$1960,MATCH(1244,Engine!$C$2:$C$1960,0)))</f>
        <v/>
      </c>
      <c r="D1257" s="9">
        <f>IF(ISNA(MATCH(1244,Engine!$C$2:$C$1960,0)),"",INDEX('Compliance Database'!$D$2:$D$1960,MATCH(1244,Engine!$C$2:$C$1960,0)))</f>
        <v/>
      </c>
      <c r="E1257" s="8">
        <f>IF(ISNA(MATCH(1244,Engine!$C$2:$C$1960,0)),"",INDEX('Compliance Database'!$E$2:$E$1960,MATCH(1244,Engine!$C$2:$C$1960,0)))</f>
        <v/>
      </c>
      <c r="F1257" s="8">
        <f>IF(ISNA(MATCH(1244,Engine!$C$2:$C$1960,0)),"",INDEX('Compliance Database'!$F$2:$F$1960,MATCH(1244,Engine!$C$2:$C$1960,0)))</f>
        <v/>
      </c>
      <c r="G1257" s="8">
        <f>IF(ISNA(MATCH(1244,Engine!$C$2:$C$1960,0)),"",INDEX('Compliance Database'!$G$2:$G$1960,MATCH(1244,Engine!$C$2:$C$1960,0)))</f>
        <v/>
      </c>
      <c r="H1257" s="9">
        <f>IF(ISNA(MATCH(1244,Engine!$C$2:$C$1960,0)),"",INDEX('Compliance Database'!$H$2:$H$1960,MATCH(1244,Engine!$C$2:$C$1960,0)))</f>
        <v/>
      </c>
      <c r="I1257" s="9">
        <f>IF(ISNA(MATCH(1244,Engine!$C$2:$C$1960,0)),"",INDEX('Compliance Database'!$I$2:$I$1960,MATCH(1244,Engine!$C$2:$C$1960,0)))</f>
        <v/>
      </c>
      <c r="J1257" s="8">
        <f>IF(ISNA(MATCH(1244,Engine!$C$2:$C$1960,0)),"",INDEX('Compliance Database'!$J$2:$J$1960,MATCH(1244,Engine!$C$2:$C$1960,0)))</f>
        <v/>
      </c>
      <c r="K1257" s="9">
        <f>IF(ISNA(MATCH(1244,Engine!$C$2:$C$1960,0)),"",INDEX('Compliance Database'!$K$2:$K$1960,MATCH(1244,Engine!$C$2:$C$1960,0)))</f>
        <v/>
      </c>
      <c r="L1257" s="9">
        <f>IF(ISNA(MATCH(1244,Engine!$C$2:$C$1960,0)),"",INDEX('Compliance Database'!$L$2:$L$1960,MATCH(1244,Engine!$C$2:$C$1960,0)))</f>
        <v/>
      </c>
      <c r="M1257" s="9">
        <f>IF(ISNA(MATCH(1244,Engine!$C$2:$C$1960,0)),"",INDEX('Compliance Database'!$M$2:$M$1960,MATCH(1244,Engine!$C$2:$C$1960,0)))</f>
        <v/>
      </c>
      <c r="N1257" s="9">
        <f>IF(ISNA(MATCH(1244,Engine!$C$2:$C$1960,0)),"",INDEX('Compliance Database'!$N$2:$N$1960,MATCH(1244,Engine!$C$2:$C$1960,0)))</f>
        <v/>
      </c>
      <c r="O1257" s="9">
        <f>IF(ISNA(MATCH(1244,Engine!$C$2:$C$1960,0)),"",INDEX('Compliance Database'!$O$2:$O$1960,MATCH(1244,Engine!$C$2:$C$1960,0)))</f>
        <v/>
      </c>
      <c r="P1257" s="8">
        <f>IF(ISNA(MATCH(1244,Engine!$C$2:$C$1960,0)),"",HYPERLINK("#Acts!A"&amp;INDEX('Compliance Database'!$P$2:$P$1960,MATCH(1244,Engine!$C$2:$C$1960,0)),"Go to Act"))</f>
        <v/>
      </c>
    </row>
    <row r="1258" ht="158" customHeight="1">
      <c r="A1258" s="8">
        <f>IF(ISNA(MATCH(1245,Engine!$C$2:$C$1960,0)),"",INDEX('Compliance Database'!$A$2:$A$1960,MATCH(1245,Engine!$C$2:$C$1960,0)))</f>
        <v/>
      </c>
      <c r="B1258" s="8">
        <f>IF(ISNA(MATCH(1245,Engine!$C$2:$C$1960,0)),"",INDEX('Compliance Database'!$B$2:$B$1960,MATCH(1245,Engine!$C$2:$C$1960,0)))</f>
        <v/>
      </c>
      <c r="C1258" s="8">
        <f>IF(ISNA(MATCH(1245,Engine!$C$2:$C$1960,0)),"",INDEX('Compliance Database'!$C$2:$C$1960,MATCH(1245,Engine!$C$2:$C$1960,0)))</f>
        <v/>
      </c>
      <c r="D1258" s="9">
        <f>IF(ISNA(MATCH(1245,Engine!$C$2:$C$1960,0)),"",INDEX('Compliance Database'!$D$2:$D$1960,MATCH(1245,Engine!$C$2:$C$1960,0)))</f>
        <v/>
      </c>
      <c r="E1258" s="8">
        <f>IF(ISNA(MATCH(1245,Engine!$C$2:$C$1960,0)),"",INDEX('Compliance Database'!$E$2:$E$1960,MATCH(1245,Engine!$C$2:$C$1960,0)))</f>
        <v/>
      </c>
      <c r="F1258" s="8">
        <f>IF(ISNA(MATCH(1245,Engine!$C$2:$C$1960,0)),"",INDEX('Compliance Database'!$F$2:$F$1960,MATCH(1245,Engine!$C$2:$C$1960,0)))</f>
        <v/>
      </c>
      <c r="G1258" s="8">
        <f>IF(ISNA(MATCH(1245,Engine!$C$2:$C$1960,0)),"",INDEX('Compliance Database'!$G$2:$G$1960,MATCH(1245,Engine!$C$2:$C$1960,0)))</f>
        <v/>
      </c>
      <c r="H1258" s="9">
        <f>IF(ISNA(MATCH(1245,Engine!$C$2:$C$1960,0)),"",INDEX('Compliance Database'!$H$2:$H$1960,MATCH(1245,Engine!$C$2:$C$1960,0)))</f>
        <v/>
      </c>
      <c r="I1258" s="9">
        <f>IF(ISNA(MATCH(1245,Engine!$C$2:$C$1960,0)),"",INDEX('Compliance Database'!$I$2:$I$1960,MATCH(1245,Engine!$C$2:$C$1960,0)))</f>
        <v/>
      </c>
      <c r="J1258" s="8">
        <f>IF(ISNA(MATCH(1245,Engine!$C$2:$C$1960,0)),"",INDEX('Compliance Database'!$J$2:$J$1960,MATCH(1245,Engine!$C$2:$C$1960,0)))</f>
        <v/>
      </c>
      <c r="K1258" s="9">
        <f>IF(ISNA(MATCH(1245,Engine!$C$2:$C$1960,0)),"",INDEX('Compliance Database'!$K$2:$K$1960,MATCH(1245,Engine!$C$2:$C$1960,0)))</f>
        <v/>
      </c>
      <c r="L1258" s="9">
        <f>IF(ISNA(MATCH(1245,Engine!$C$2:$C$1960,0)),"",INDEX('Compliance Database'!$L$2:$L$1960,MATCH(1245,Engine!$C$2:$C$1960,0)))</f>
        <v/>
      </c>
      <c r="M1258" s="9">
        <f>IF(ISNA(MATCH(1245,Engine!$C$2:$C$1960,0)),"",INDEX('Compliance Database'!$M$2:$M$1960,MATCH(1245,Engine!$C$2:$C$1960,0)))</f>
        <v/>
      </c>
      <c r="N1258" s="9">
        <f>IF(ISNA(MATCH(1245,Engine!$C$2:$C$1960,0)),"",INDEX('Compliance Database'!$N$2:$N$1960,MATCH(1245,Engine!$C$2:$C$1960,0)))</f>
        <v/>
      </c>
      <c r="O1258" s="9">
        <f>IF(ISNA(MATCH(1245,Engine!$C$2:$C$1960,0)),"",INDEX('Compliance Database'!$O$2:$O$1960,MATCH(1245,Engine!$C$2:$C$1960,0)))</f>
        <v/>
      </c>
      <c r="P1258" s="8">
        <f>IF(ISNA(MATCH(1245,Engine!$C$2:$C$1960,0)),"",HYPERLINK("#Acts!A"&amp;INDEX('Compliance Database'!$P$2:$P$1960,MATCH(1245,Engine!$C$2:$C$1960,0)),"Go to Act"))</f>
        <v/>
      </c>
    </row>
    <row r="1259" ht="158" customHeight="1">
      <c r="A1259" s="8">
        <f>IF(ISNA(MATCH(1246,Engine!$C$2:$C$1960,0)),"",INDEX('Compliance Database'!$A$2:$A$1960,MATCH(1246,Engine!$C$2:$C$1960,0)))</f>
        <v/>
      </c>
      <c r="B1259" s="8">
        <f>IF(ISNA(MATCH(1246,Engine!$C$2:$C$1960,0)),"",INDEX('Compliance Database'!$B$2:$B$1960,MATCH(1246,Engine!$C$2:$C$1960,0)))</f>
        <v/>
      </c>
      <c r="C1259" s="8">
        <f>IF(ISNA(MATCH(1246,Engine!$C$2:$C$1960,0)),"",INDEX('Compliance Database'!$C$2:$C$1960,MATCH(1246,Engine!$C$2:$C$1960,0)))</f>
        <v/>
      </c>
      <c r="D1259" s="9">
        <f>IF(ISNA(MATCH(1246,Engine!$C$2:$C$1960,0)),"",INDEX('Compliance Database'!$D$2:$D$1960,MATCH(1246,Engine!$C$2:$C$1960,0)))</f>
        <v/>
      </c>
      <c r="E1259" s="8">
        <f>IF(ISNA(MATCH(1246,Engine!$C$2:$C$1960,0)),"",INDEX('Compliance Database'!$E$2:$E$1960,MATCH(1246,Engine!$C$2:$C$1960,0)))</f>
        <v/>
      </c>
      <c r="F1259" s="8">
        <f>IF(ISNA(MATCH(1246,Engine!$C$2:$C$1960,0)),"",INDEX('Compliance Database'!$F$2:$F$1960,MATCH(1246,Engine!$C$2:$C$1960,0)))</f>
        <v/>
      </c>
      <c r="G1259" s="8">
        <f>IF(ISNA(MATCH(1246,Engine!$C$2:$C$1960,0)),"",INDEX('Compliance Database'!$G$2:$G$1960,MATCH(1246,Engine!$C$2:$C$1960,0)))</f>
        <v/>
      </c>
      <c r="H1259" s="9">
        <f>IF(ISNA(MATCH(1246,Engine!$C$2:$C$1960,0)),"",INDEX('Compliance Database'!$H$2:$H$1960,MATCH(1246,Engine!$C$2:$C$1960,0)))</f>
        <v/>
      </c>
      <c r="I1259" s="9">
        <f>IF(ISNA(MATCH(1246,Engine!$C$2:$C$1960,0)),"",INDEX('Compliance Database'!$I$2:$I$1960,MATCH(1246,Engine!$C$2:$C$1960,0)))</f>
        <v/>
      </c>
      <c r="J1259" s="8">
        <f>IF(ISNA(MATCH(1246,Engine!$C$2:$C$1960,0)),"",INDEX('Compliance Database'!$J$2:$J$1960,MATCH(1246,Engine!$C$2:$C$1960,0)))</f>
        <v/>
      </c>
      <c r="K1259" s="9">
        <f>IF(ISNA(MATCH(1246,Engine!$C$2:$C$1960,0)),"",INDEX('Compliance Database'!$K$2:$K$1960,MATCH(1246,Engine!$C$2:$C$1960,0)))</f>
        <v/>
      </c>
      <c r="L1259" s="9">
        <f>IF(ISNA(MATCH(1246,Engine!$C$2:$C$1960,0)),"",INDEX('Compliance Database'!$L$2:$L$1960,MATCH(1246,Engine!$C$2:$C$1960,0)))</f>
        <v/>
      </c>
      <c r="M1259" s="9">
        <f>IF(ISNA(MATCH(1246,Engine!$C$2:$C$1960,0)),"",INDEX('Compliance Database'!$M$2:$M$1960,MATCH(1246,Engine!$C$2:$C$1960,0)))</f>
        <v/>
      </c>
      <c r="N1259" s="9">
        <f>IF(ISNA(MATCH(1246,Engine!$C$2:$C$1960,0)),"",INDEX('Compliance Database'!$N$2:$N$1960,MATCH(1246,Engine!$C$2:$C$1960,0)))</f>
        <v/>
      </c>
      <c r="O1259" s="9">
        <f>IF(ISNA(MATCH(1246,Engine!$C$2:$C$1960,0)),"",INDEX('Compliance Database'!$O$2:$O$1960,MATCH(1246,Engine!$C$2:$C$1960,0)))</f>
        <v/>
      </c>
      <c r="P1259" s="8">
        <f>IF(ISNA(MATCH(1246,Engine!$C$2:$C$1960,0)),"",HYPERLINK("#Acts!A"&amp;INDEX('Compliance Database'!$P$2:$P$1960,MATCH(1246,Engine!$C$2:$C$1960,0)),"Go to Act"))</f>
        <v/>
      </c>
    </row>
    <row r="1260" ht="158" customHeight="1">
      <c r="A1260" s="8">
        <f>IF(ISNA(MATCH(1247,Engine!$C$2:$C$1960,0)),"",INDEX('Compliance Database'!$A$2:$A$1960,MATCH(1247,Engine!$C$2:$C$1960,0)))</f>
        <v/>
      </c>
      <c r="B1260" s="8">
        <f>IF(ISNA(MATCH(1247,Engine!$C$2:$C$1960,0)),"",INDEX('Compliance Database'!$B$2:$B$1960,MATCH(1247,Engine!$C$2:$C$1960,0)))</f>
        <v/>
      </c>
      <c r="C1260" s="8">
        <f>IF(ISNA(MATCH(1247,Engine!$C$2:$C$1960,0)),"",INDEX('Compliance Database'!$C$2:$C$1960,MATCH(1247,Engine!$C$2:$C$1960,0)))</f>
        <v/>
      </c>
      <c r="D1260" s="9">
        <f>IF(ISNA(MATCH(1247,Engine!$C$2:$C$1960,0)),"",INDEX('Compliance Database'!$D$2:$D$1960,MATCH(1247,Engine!$C$2:$C$1960,0)))</f>
        <v/>
      </c>
      <c r="E1260" s="8">
        <f>IF(ISNA(MATCH(1247,Engine!$C$2:$C$1960,0)),"",INDEX('Compliance Database'!$E$2:$E$1960,MATCH(1247,Engine!$C$2:$C$1960,0)))</f>
        <v/>
      </c>
      <c r="F1260" s="8">
        <f>IF(ISNA(MATCH(1247,Engine!$C$2:$C$1960,0)),"",INDEX('Compliance Database'!$F$2:$F$1960,MATCH(1247,Engine!$C$2:$C$1960,0)))</f>
        <v/>
      </c>
      <c r="G1260" s="8">
        <f>IF(ISNA(MATCH(1247,Engine!$C$2:$C$1960,0)),"",INDEX('Compliance Database'!$G$2:$G$1960,MATCH(1247,Engine!$C$2:$C$1960,0)))</f>
        <v/>
      </c>
      <c r="H1260" s="9">
        <f>IF(ISNA(MATCH(1247,Engine!$C$2:$C$1960,0)),"",INDEX('Compliance Database'!$H$2:$H$1960,MATCH(1247,Engine!$C$2:$C$1960,0)))</f>
        <v/>
      </c>
      <c r="I1260" s="9">
        <f>IF(ISNA(MATCH(1247,Engine!$C$2:$C$1960,0)),"",INDEX('Compliance Database'!$I$2:$I$1960,MATCH(1247,Engine!$C$2:$C$1960,0)))</f>
        <v/>
      </c>
      <c r="J1260" s="8">
        <f>IF(ISNA(MATCH(1247,Engine!$C$2:$C$1960,0)),"",INDEX('Compliance Database'!$J$2:$J$1960,MATCH(1247,Engine!$C$2:$C$1960,0)))</f>
        <v/>
      </c>
      <c r="K1260" s="9">
        <f>IF(ISNA(MATCH(1247,Engine!$C$2:$C$1960,0)),"",INDEX('Compliance Database'!$K$2:$K$1960,MATCH(1247,Engine!$C$2:$C$1960,0)))</f>
        <v/>
      </c>
      <c r="L1260" s="9">
        <f>IF(ISNA(MATCH(1247,Engine!$C$2:$C$1960,0)),"",INDEX('Compliance Database'!$L$2:$L$1960,MATCH(1247,Engine!$C$2:$C$1960,0)))</f>
        <v/>
      </c>
      <c r="M1260" s="9">
        <f>IF(ISNA(MATCH(1247,Engine!$C$2:$C$1960,0)),"",INDEX('Compliance Database'!$M$2:$M$1960,MATCH(1247,Engine!$C$2:$C$1960,0)))</f>
        <v/>
      </c>
      <c r="N1260" s="9">
        <f>IF(ISNA(MATCH(1247,Engine!$C$2:$C$1960,0)),"",INDEX('Compliance Database'!$N$2:$N$1960,MATCH(1247,Engine!$C$2:$C$1960,0)))</f>
        <v/>
      </c>
      <c r="O1260" s="9">
        <f>IF(ISNA(MATCH(1247,Engine!$C$2:$C$1960,0)),"",INDEX('Compliance Database'!$O$2:$O$1960,MATCH(1247,Engine!$C$2:$C$1960,0)))</f>
        <v/>
      </c>
      <c r="P1260" s="8">
        <f>IF(ISNA(MATCH(1247,Engine!$C$2:$C$1960,0)),"",HYPERLINK("#Acts!A"&amp;INDEX('Compliance Database'!$P$2:$P$1960,MATCH(1247,Engine!$C$2:$C$1960,0)),"Go to Act"))</f>
        <v/>
      </c>
    </row>
    <row r="1261" ht="158" customHeight="1">
      <c r="A1261" s="8">
        <f>IF(ISNA(MATCH(1248,Engine!$C$2:$C$1960,0)),"",INDEX('Compliance Database'!$A$2:$A$1960,MATCH(1248,Engine!$C$2:$C$1960,0)))</f>
        <v/>
      </c>
      <c r="B1261" s="8">
        <f>IF(ISNA(MATCH(1248,Engine!$C$2:$C$1960,0)),"",INDEX('Compliance Database'!$B$2:$B$1960,MATCH(1248,Engine!$C$2:$C$1960,0)))</f>
        <v/>
      </c>
      <c r="C1261" s="8">
        <f>IF(ISNA(MATCH(1248,Engine!$C$2:$C$1960,0)),"",INDEX('Compliance Database'!$C$2:$C$1960,MATCH(1248,Engine!$C$2:$C$1960,0)))</f>
        <v/>
      </c>
      <c r="D1261" s="9">
        <f>IF(ISNA(MATCH(1248,Engine!$C$2:$C$1960,0)),"",INDEX('Compliance Database'!$D$2:$D$1960,MATCH(1248,Engine!$C$2:$C$1960,0)))</f>
        <v/>
      </c>
      <c r="E1261" s="8">
        <f>IF(ISNA(MATCH(1248,Engine!$C$2:$C$1960,0)),"",INDEX('Compliance Database'!$E$2:$E$1960,MATCH(1248,Engine!$C$2:$C$1960,0)))</f>
        <v/>
      </c>
      <c r="F1261" s="8">
        <f>IF(ISNA(MATCH(1248,Engine!$C$2:$C$1960,0)),"",INDEX('Compliance Database'!$F$2:$F$1960,MATCH(1248,Engine!$C$2:$C$1960,0)))</f>
        <v/>
      </c>
      <c r="G1261" s="8">
        <f>IF(ISNA(MATCH(1248,Engine!$C$2:$C$1960,0)),"",INDEX('Compliance Database'!$G$2:$G$1960,MATCH(1248,Engine!$C$2:$C$1960,0)))</f>
        <v/>
      </c>
      <c r="H1261" s="9">
        <f>IF(ISNA(MATCH(1248,Engine!$C$2:$C$1960,0)),"",INDEX('Compliance Database'!$H$2:$H$1960,MATCH(1248,Engine!$C$2:$C$1960,0)))</f>
        <v/>
      </c>
      <c r="I1261" s="9">
        <f>IF(ISNA(MATCH(1248,Engine!$C$2:$C$1960,0)),"",INDEX('Compliance Database'!$I$2:$I$1960,MATCH(1248,Engine!$C$2:$C$1960,0)))</f>
        <v/>
      </c>
      <c r="J1261" s="8">
        <f>IF(ISNA(MATCH(1248,Engine!$C$2:$C$1960,0)),"",INDEX('Compliance Database'!$J$2:$J$1960,MATCH(1248,Engine!$C$2:$C$1960,0)))</f>
        <v/>
      </c>
      <c r="K1261" s="9">
        <f>IF(ISNA(MATCH(1248,Engine!$C$2:$C$1960,0)),"",INDEX('Compliance Database'!$K$2:$K$1960,MATCH(1248,Engine!$C$2:$C$1960,0)))</f>
        <v/>
      </c>
      <c r="L1261" s="9">
        <f>IF(ISNA(MATCH(1248,Engine!$C$2:$C$1960,0)),"",INDEX('Compliance Database'!$L$2:$L$1960,MATCH(1248,Engine!$C$2:$C$1960,0)))</f>
        <v/>
      </c>
      <c r="M1261" s="9">
        <f>IF(ISNA(MATCH(1248,Engine!$C$2:$C$1960,0)),"",INDEX('Compliance Database'!$M$2:$M$1960,MATCH(1248,Engine!$C$2:$C$1960,0)))</f>
        <v/>
      </c>
      <c r="N1261" s="9">
        <f>IF(ISNA(MATCH(1248,Engine!$C$2:$C$1960,0)),"",INDEX('Compliance Database'!$N$2:$N$1960,MATCH(1248,Engine!$C$2:$C$1960,0)))</f>
        <v/>
      </c>
      <c r="O1261" s="9">
        <f>IF(ISNA(MATCH(1248,Engine!$C$2:$C$1960,0)),"",INDEX('Compliance Database'!$O$2:$O$1960,MATCH(1248,Engine!$C$2:$C$1960,0)))</f>
        <v/>
      </c>
      <c r="P1261" s="8">
        <f>IF(ISNA(MATCH(1248,Engine!$C$2:$C$1960,0)),"",HYPERLINK("#Acts!A"&amp;INDEX('Compliance Database'!$P$2:$P$1960,MATCH(1248,Engine!$C$2:$C$1960,0)),"Go to Act"))</f>
        <v/>
      </c>
    </row>
    <row r="1262" ht="158" customHeight="1">
      <c r="A1262" s="8">
        <f>IF(ISNA(MATCH(1249,Engine!$C$2:$C$1960,0)),"",INDEX('Compliance Database'!$A$2:$A$1960,MATCH(1249,Engine!$C$2:$C$1960,0)))</f>
        <v/>
      </c>
      <c r="B1262" s="8">
        <f>IF(ISNA(MATCH(1249,Engine!$C$2:$C$1960,0)),"",INDEX('Compliance Database'!$B$2:$B$1960,MATCH(1249,Engine!$C$2:$C$1960,0)))</f>
        <v/>
      </c>
      <c r="C1262" s="8">
        <f>IF(ISNA(MATCH(1249,Engine!$C$2:$C$1960,0)),"",INDEX('Compliance Database'!$C$2:$C$1960,MATCH(1249,Engine!$C$2:$C$1960,0)))</f>
        <v/>
      </c>
      <c r="D1262" s="9">
        <f>IF(ISNA(MATCH(1249,Engine!$C$2:$C$1960,0)),"",INDEX('Compliance Database'!$D$2:$D$1960,MATCH(1249,Engine!$C$2:$C$1960,0)))</f>
        <v/>
      </c>
      <c r="E1262" s="8">
        <f>IF(ISNA(MATCH(1249,Engine!$C$2:$C$1960,0)),"",INDEX('Compliance Database'!$E$2:$E$1960,MATCH(1249,Engine!$C$2:$C$1960,0)))</f>
        <v/>
      </c>
      <c r="F1262" s="8">
        <f>IF(ISNA(MATCH(1249,Engine!$C$2:$C$1960,0)),"",INDEX('Compliance Database'!$F$2:$F$1960,MATCH(1249,Engine!$C$2:$C$1960,0)))</f>
        <v/>
      </c>
      <c r="G1262" s="8">
        <f>IF(ISNA(MATCH(1249,Engine!$C$2:$C$1960,0)),"",INDEX('Compliance Database'!$G$2:$G$1960,MATCH(1249,Engine!$C$2:$C$1960,0)))</f>
        <v/>
      </c>
      <c r="H1262" s="9">
        <f>IF(ISNA(MATCH(1249,Engine!$C$2:$C$1960,0)),"",INDEX('Compliance Database'!$H$2:$H$1960,MATCH(1249,Engine!$C$2:$C$1960,0)))</f>
        <v/>
      </c>
      <c r="I1262" s="9">
        <f>IF(ISNA(MATCH(1249,Engine!$C$2:$C$1960,0)),"",INDEX('Compliance Database'!$I$2:$I$1960,MATCH(1249,Engine!$C$2:$C$1960,0)))</f>
        <v/>
      </c>
      <c r="J1262" s="8">
        <f>IF(ISNA(MATCH(1249,Engine!$C$2:$C$1960,0)),"",INDEX('Compliance Database'!$J$2:$J$1960,MATCH(1249,Engine!$C$2:$C$1960,0)))</f>
        <v/>
      </c>
      <c r="K1262" s="9">
        <f>IF(ISNA(MATCH(1249,Engine!$C$2:$C$1960,0)),"",INDEX('Compliance Database'!$K$2:$K$1960,MATCH(1249,Engine!$C$2:$C$1960,0)))</f>
        <v/>
      </c>
      <c r="L1262" s="9">
        <f>IF(ISNA(MATCH(1249,Engine!$C$2:$C$1960,0)),"",INDEX('Compliance Database'!$L$2:$L$1960,MATCH(1249,Engine!$C$2:$C$1960,0)))</f>
        <v/>
      </c>
      <c r="M1262" s="9">
        <f>IF(ISNA(MATCH(1249,Engine!$C$2:$C$1960,0)),"",INDEX('Compliance Database'!$M$2:$M$1960,MATCH(1249,Engine!$C$2:$C$1960,0)))</f>
        <v/>
      </c>
      <c r="N1262" s="9">
        <f>IF(ISNA(MATCH(1249,Engine!$C$2:$C$1960,0)),"",INDEX('Compliance Database'!$N$2:$N$1960,MATCH(1249,Engine!$C$2:$C$1960,0)))</f>
        <v/>
      </c>
      <c r="O1262" s="9">
        <f>IF(ISNA(MATCH(1249,Engine!$C$2:$C$1960,0)),"",INDEX('Compliance Database'!$O$2:$O$1960,MATCH(1249,Engine!$C$2:$C$1960,0)))</f>
        <v/>
      </c>
      <c r="P1262" s="8">
        <f>IF(ISNA(MATCH(1249,Engine!$C$2:$C$1960,0)),"",HYPERLINK("#Acts!A"&amp;INDEX('Compliance Database'!$P$2:$P$1960,MATCH(1249,Engine!$C$2:$C$1960,0)),"Go to Act"))</f>
        <v/>
      </c>
    </row>
    <row r="1263" ht="158" customHeight="1">
      <c r="A1263" s="8">
        <f>IF(ISNA(MATCH(1250,Engine!$C$2:$C$1960,0)),"",INDEX('Compliance Database'!$A$2:$A$1960,MATCH(1250,Engine!$C$2:$C$1960,0)))</f>
        <v/>
      </c>
      <c r="B1263" s="8">
        <f>IF(ISNA(MATCH(1250,Engine!$C$2:$C$1960,0)),"",INDEX('Compliance Database'!$B$2:$B$1960,MATCH(1250,Engine!$C$2:$C$1960,0)))</f>
        <v/>
      </c>
      <c r="C1263" s="8">
        <f>IF(ISNA(MATCH(1250,Engine!$C$2:$C$1960,0)),"",INDEX('Compliance Database'!$C$2:$C$1960,MATCH(1250,Engine!$C$2:$C$1960,0)))</f>
        <v/>
      </c>
      <c r="D1263" s="9">
        <f>IF(ISNA(MATCH(1250,Engine!$C$2:$C$1960,0)),"",INDEX('Compliance Database'!$D$2:$D$1960,MATCH(1250,Engine!$C$2:$C$1960,0)))</f>
        <v/>
      </c>
      <c r="E1263" s="8">
        <f>IF(ISNA(MATCH(1250,Engine!$C$2:$C$1960,0)),"",INDEX('Compliance Database'!$E$2:$E$1960,MATCH(1250,Engine!$C$2:$C$1960,0)))</f>
        <v/>
      </c>
      <c r="F1263" s="8">
        <f>IF(ISNA(MATCH(1250,Engine!$C$2:$C$1960,0)),"",INDEX('Compliance Database'!$F$2:$F$1960,MATCH(1250,Engine!$C$2:$C$1960,0)))</f>
        <v/>
      </c>
      <c r="G1263" s="8">
        <f>IF(ISNA(MATCH(1250,Engine!$C$2:$C$1960,0)),"",INDEX('Compliance Database'!$G$2:$G$1960,MATCH(1250,Engine!$C$2:$C$1960,0)))</f>
        <v/>
      </c>
      <c r="H1263" s="9">
        <f>IF(ISNA(MATCH(1250,Engine!$C$2:$C$1960,0)),"",INDEX('Compliance Database'!$H$2:$H$1960,MATCH(1250,Engine!$C$2:$C$1960,0)))</f>
        <v/>
      </c>
      <c r="I1263" s="9">
        <f>IF(ISNA(MATCH(1250,Engine!$C$2:$C$1960,0)),"",INDEX('Compliance Database'!$I$2:$I$1960,MATCH(1250,Engine!$C$2:$C$1960,0)))</f>
        <v/>
      </c>
      <c r="J1263" s="8">
        <f>IF(ISNA(MATCH(1250,Engine!$C$2:$C$1960,0)),"",INDEX('Compliance Database'!$J$2:$J$1960,MATCH(1250,Engine!$C$2:$C$1960,0)))</f>
        <v/>
      </c>
      <c r="K1263" s="9">
        <f>IF(ISNA(MATCH(1250,Engine!$C$2:$C$1960,0)),"",INDEX('Compliance Database'!$K$2:$K$1960,MATCH(1250,Engine!$C$2:$C$1960,0)))</f>
        <v/>
      </c>
      <c r="L1263" s="9">
        <f>IF(ISNA(MATCH(1250,Engine!$C$2:$C$1960,0)),"",INDEX('Compliance Database'!$L$2:$L$1960,MATCH(1250,Engine!$C$2:$C$1960,0)))</f>
        <v/>
      </c>
      <c r="M1263" s="9">
        <f>IF(ISNA(MATCH(1250,Engine!$C$2:$C$1960,0)),"",INDEX('Compliance Database'!$M$2:$M$1960,MATCH(1250,Engine!$C$2:$C$1960,0)))</f>
        <v/>
      </c>
      <c r="N1263" s="9">
        <f>IF(ISNA(MATCH(1250,Engine!$C$2:$C$1960,0)),"",INDEX('Compliance Database'!$N$2:$N$1960,MATCH(1250,Engine!$C$2:$C$1960,0)))</f>
        <v/>
      </c>
      <c r="O1263" s="9">
        <f>IF(ISNA(MATCH(1250,Engine!$C$2:$C$1960,0)),"",INDEX('Compliance Database'!$O$2:$O$1960,MATCH(1250,Engine!$C$2:$C$1960,0)))</f>
        <v/>
      </c>
      <c r="P1263" s="8">
        <f>IF(ISNA(MATCH(1250,Engine!$C$2:$C$1960,0)),"",HYPERLINK("#Acts!A"&amp;INDEX('Compliance Database'!$P$2:$P$1960,MATCH(1250,Engine!$C$2:$C$1960,0)),"Go to Act"))</f>
        <v/>
      </c>
    </row>
    <row r="1264" ht="158" customHeight="1">
      <c r="A1264" s="8">
        <f>IF(ISNA(MATCH(1251,Engine!$C$2:$C$1960,0)),"",INDEX('Compliance Database'!$A$2:$A$1960,MATCH(1251,Engine!$C$2:$C$1960,0)))</f>
        <v/>
      </c>
      <c r="B1264" s="8">
        <f>IF(ISNA(MATCH(1251,Engine!$C$2:$C$1960,0)),"",INDEX('Compliance Database'!$B$2:$B$1960,MATCH(1251,Engine!$C$2:$C$1960,0)))</f>
        <v/>
      </c>
      <c r="C1264" s="8">
        <f>IF(ISNA(MATCH(1251,Engine!$C$2:$C$1960,0)),"",INDEX('Compliance Database'!$C$2:$C$1960,MATCH(1251,Engine!$C$2:$C$1960,0)))</f>
        <v/>
      </c>
      <c r="D1264" s="9">
        <f>IF(ISNA(MATCH(1251,Engine!$C$2:$C$1960,0)),"",INDEX('Compliance Database'!$D$2:$D$1960,MATCH(1251,Engine!$C$2:$C$1960,0)))</f>
        <v/>
      </c>
      <c r="E1264" s="8">
        <f>IF(ISNA(MATCH(1251,Engine!$C$2:$C$1960,0)),"",INDEX('Compliance Database'!$E$2:$E$1960,MATCH(1251,Engine!$C$2:$C$1960,0)))</f>
        <v/>
      </c>
      <c r="F1264" s="8">
        <f>IF(ISNA(MATCH(1251,Engine!$C$2:$C$1960,0)),"",INDEX('Compliance Database'!$F$2:$F$1960,MATCH(1251,Engine!$C$2:$C$1960,0)))</f>
        <v/>
      </c>
      <c r="G1264" s="8">
        <f>IF(ISNA(MATCH(1251,Engine!$C$2:$C$1960,0)),"",INDEX('Compliance Database'!$G$2:$G$1960,MATCH(1251,Engine!$C$2:$C$1960,0)))</f>
        <v/>
      </c>
      <c r="H1264" s="9">
        <f>IF(ISNA(MATCH(1251,Engine!$C$2:$C$1960,0)),"",INDEX('Compliance Database'!$H$2:$H$1960,MATCH(1251,Engine!$C$2:$C$1960,0)))</f>
        <v/>
      </c>
      <c r="I1264" s="9">
        <f>IF(ISNA(MATCH(1251,Engine!$C$2:$C$1960,0)),"",INDEX('Compliance Database'!$I$2:$I$1960,MATCH(1251,Engine!$C$2:$C$1960,0)))</f>
        <v/>
      </c>
      <c r="J1264" s="8">
        <f>IF(ISNA(MATCH(1251,Engine!$C$2:$C$1960,0)),"",INDEX('Compliance Database'!$J$2:$J$1960,MATCH(1251,Engine!$C$2:$C$1960,0)))</f>
        <v/>
      </c>
      <c r="K1264" s="9">
        <f>IF(ISNA(MATCH(1251,Engine!$C$2:$C$1960,0)),"",INDEX('Compliance Database'!$K$2:$K$1960,MATCH(1251,Engine!$C$2:$C$1960,0)))</f>
        <v/>
      </c>
      <c r="L1264" s="9">
        <f>IF(ISNA(MATCH(1251,Engine!$C$2:$C$1960,0)),"",INDEX('Compliance Database'!$L$2:$L$1960,MATCH(1251,Engine!$C$2:$C$1960,0)))</f>
        <v/>
      </c>
      <c r="M1264" s="9">
        <f>IF(ISNA(MATCH(1251,Engine!$C$2:$C$1960,0)),"",INDEX('Compliance Database'!$M$2:$M$1960,MATCH(1251,Engine!$C$2:$C$1960,0)))</f>
        <v/>
      </c>
      <c r="N1264" s="9">
        <f>IF(ISNA(MATCH(1251,Engine!$C$2:$C$1960,0)),"",INDEX('Compliance Database'!$N$2:$N$1960,MATCH(1251,Engine!$C$2:$C$1960,0)))</f>
        <v/>
      </c>
      <c r="O1264" s="9">
        <f>IF(ISNA(MATCH(1251,Engine!$C$2:$C$1960,0)),"",INDEX('Compliance Database'!$O$2:$O$1960,MATCH(1251,Engine!$C$2:$C$1960,0)))</f>
        <v/>
      </c>
      <c r="P1264" s="8">
        <f>IF(ISNA(MATCH(1251,Engine!$C$2:$C$1960,0)),"",HYPERLINK("#Acts!A"&amp;INDEX('Compliance Database'!$P$2:$P$1960,MATCH(1251,Engine!$C$2:$C$1960,0)),"Go to Act"))</f>
        <v/>
      </c>
    </row>
    <row r="1265" ht="158" customHeight="1">
      <c r="A1265" s="8">
        <f>IF(ISNA(MATCH(1252,Engine!$C$2:$C$1960,0)),"",INDEX('Compliance Database'!$A$2:$A$1960,MATCH(1252,Engine!$C$2:$C$1960,0)))</f>
        <v/>
      </c>
      <c r="B1265" s="8">
        <f>IF(ISNA(MATCH(1252,Engine!$C$2:$C$1960,0)),"",INDEX('Compliance Database'!$B$2:$B$1960,MATCH(1252,Engine!$C$2:$C$1960,0)))</f>
        <v/>
      </c>
      <c r="C1265" s="8">
        <f>IF(ISNA(MATCH(1252,Engine!$C$2:$C$1960,0)),"",INDEX('Compliance Database'!$C$2:$C$1960,MATCH(1252,Engine!$C$2:$C$1960,0)))</f>
        <v/>
      </c>
      <c r="D1265" s="9">
        <f>IF(ISNA(MATCH(1252,Engine!$C$2:$C$1960,0)),"",INDEX('Compliance Database'!$D$2:$D$1960,MATCH(1252,Engine!$C$2:$C$1960,0)))</f>
        <v/>
      </c>
      <c r="E1265" s="8">
        <f>IF(ISNA(MATCH(1252,Engine!$C$2:$C$1960,0)),"",INDEX('Compliance Database'!$E$2:$E$1960,MATCH(1252,Engine!$C$2:$C$1960,0)))</f>
        <v/>
      </c>
      <c r="F1265" s="8">
        <f>IF(ISNA(MATCH(1252,Engine!$C$2:$C$1960,0)),"",INDEX('Compliance Database'!$F$2:$F$1960,MATCH(1252,Engine!$C$2:$C$1960,0)))</f>
        <v/>
      </c>
      <c r="G1265" s="8">
        <f>IF(ISNA(MATCH(1252,Engine!$C$2:$C$1960,0)),"",INDEX('Compliance Database'!$G$2:$G$1960,MATCH(1252,Engine!$C$2:$C$1960,0)))</f>
        <v/>
      </c>
      <c r="H1265" s="9">
        <f>IF(ISNA(MATCH(1252,Engine!$C$2:$C$1960,0)),"",INDEX('Compliance Database'!$H$2:$H$1960,MATCH(1252,Engine!$C$2:$C$1960,0)))</f>
        <v/>
      </c>
      <c r="I1265" s="9">
        <f>IF(ISNA(MATCH(1252,Engine!$C$2:$C$1960,0)),"",INDEX('Compliance Database'!$I$2:$I$1960,MATCH(1252,Engine!$C$2:$C$1960,0)))</f>
        <v/>
      </c>
      <c r="J1265" s="8">
        <f>IF(ISNA(MATCH(1252,Engine!$C$2:$C$1960,0)),"",INDEX('Compliance Database'!$J$2:$J$1960,MATCH(1252,Engine!$C$2:$C$1960,0)))</f>
        <v/>
      </c>
      <c r="K1265" s="9">
        <f>IF(ISNA(MATCH(1252,Engine!$C$2:$C$1960,0)),"",INDEX('Compliance Database'!$K$2:$K$1960,MATCH(1252,Engine!$C$2:$C$1960,0)))</f>
        <v/>
      </c>
      <c r="L1265" s="9">
        <f>IF(ISNA(MATCH(1252,Engine!$C$2:$C$1960,0)),"",INDEX('Compliance Database'!$L$2:$L$1960,MATCH(1252,Engine!$C$2:$C$1960,0)))</f>
        <v/>
      </c>
      <c r="M1265" s="9">
        <f>IF(ISNA(MATCH(1252,Engine!$C$2:$C$1960,0)),"",INDEX('Compliance Database'!$M$2:$M$1960,MATCH(1252,Engine!$C$2:$C$1960,0)))</f>
        <v/>
      </c>
      <c r="N1265" s="9">
        <f>IF(ISNA(MATCH(1252,Engine!$C$2:$C$1960,0)),"",INDEX('Compliance Database'!$N$2:$N$1960,MATCH(1252,Engine!$C$2:$C$1960,0)))</f>
        <v/>
      </c>
      <c r="O1265" s="9">
        <f>IF(ISNA(MATCH(1252,Engine!$C$2:$C$1960,0)),"",INDEX('Compliance Database'!$O$2:$O$1960,MATCH(1252,Engine!$C$2:$C$1960,0)))</f>
        <v/>
      </c>
      <c r="P1265" s="8">
        <f>IF(ISNA(MATCH(1252,Engine!$C$2:$C$1960,0)),"",HYPERLINK("#Acts!A"&amp;INDEX('Compliance Database'!$P$2:$P$1960,MATCH(1252,Engine!$C$2:$C$1960,0)),"Go to Act"))</f>
        <v/>
      </c>
    </row>
    <row r="1266" ht="158" customHeight="1">
      <c r="A1266" s="8">
        <f>IF(ISNA(MATCH(1253,Engine!$C$2:$C$1960,0)),"",INDEX('Compliance Database'!$A$2:$A$1960,MATCH(1253,Engine!$C$2:$C$1960,0)))</f>
        <v/>
      </c>
      <c r="B1266" s="8">
        <f>IF(ISNA(MATCH(1253,Engine!$C$2:$C$1960,0)),"",INDEX('Compliance Database'!$B$2:$B$1960,MATCH(1253,Engine!$C$2:$C$1960,0)))</f>
        <v/>
      </c>
      <c r="C1266" s="8">
        <f>IF(ISNA(MATCH(1253,Engine!$C$2:$C$1960,0)),"",INDEX('Compliance Database'!$C$2:$C$1960,MATCH(1253,Engine!$C$2:$C$1960,0)))</f>
        <v/>
      </c>
      <c r="D1266" s="9">
        <f>IF(ISNA(MATCH(1253,Engine!$C$2:$C$1960,0)),"",INDEX('Compliance Database'!$D$2:$D$1960,MATCH(1253,Engine!$C$2:$C$1960,0)))</f>
        <v/>
      </c>
      <c r="E1266" s="8">
        <f>IF(ISNA(MATCH(1253,Engine!$C$2:$C$1960,0)),"",INDEX('Compliance Database'!$E$2:$E$1960,MATCH(1253,Engine!$C$2:$C$1960,0)))</f>
        <v/>
      </c>
      <c r="F1266" s="8">
        <f>IF(ISNA(MATCH(1253,Engine!$C$2:$C$1960,0)),"",INDEX('Compliance Database'!$F$2:$F$1960,MATCH(1253,Engine!$C$2:$C$1960,0)))</f>
        <v/>
      </c>
      <c r="G1266" s="8">
        <f>IF(ISNA(MATCH(1253,Engine!$C$2:$C$1960,0)),"",INDEX('Compliance Database'!$G$2:$G$1960,MATCH(1253,Engine!$C$2:$C$1960,0)))</f>
        <v/>
      </c>
      <c r="H1266" s="9">
        <f>IF(ISNA(MATCH(1253,Engine!$C$2:$C$1960,0)),"",INDEX('Compliance Database'!$H$2:$H$1960,MATCH(1253,Engine!$C$2:$C$1960,0)))</f>
        <v/>
      </c>
      <c r="I1266" s="9">
        <f>IF(ISNA(MATCH(1253,Engine!$C$2:$C$1960,0)),"",INDEX('Compliance Database'!$I$2:$I$1960,MATCH(1253,Engine!$C$2:$C$1960,0)))</f>
        <v/>
      </c>
      <c r="J1266" s="8">
        <f>IF(ISNA(MATCH(1253,Engine!$C$2:$C$1960,0)),"",INDEX('Compliance Database'!$J$2:$J$1960,MATCH(1253,Engine!$C$2:$C$1960,0)))</f>
        <v/>
      </c>
      <c r="K1266" s="9">
        <f>IF(ISNA(MATCH(1253,Engine!$C$2:$C$1960,0)),"",INDEX('Compliance Database'!$K$2:$K$1960,MATCH(1253,Engine!$C$2:$C$1960,0)))</f>
        <v/>
      </c>
      <c r="L1266" s="9">
        <f>IF(ISNA(MATCH(1253,Engine!$C$2:$C$1960,0)),"",INDEX('Compliance Database'!$L$2:$L$1960,MATCH(1253,Engine!$C$2:$C$1960,0)))</f>
        <v/>
      </c>
      <c r="M1266" s="9">
        <f>IF(ISNA(MATCH(1253,Engine!$C$2:$C$1960,0)),"",INDEX('Compliance Database'!$M$2:$M$1960,MATCH(1253,Engine!$C$2:$C$1960,0)))</f>
        <v/>
      </c>
      <c r="N1266" s="9">
        <f>IF(ISNA(MATCH(1253,Engine!$C$2:$C$1960,0)),"",INDEX('Compliance Database'!$N$2:$N$1960,MATCH(1253,Engine!$C$2:$C$1960,0)))</f>
        <v/>
      </c>
      <c r="O1266" s="9">
        <f>IF(ISNA(MATCH(1253,Engine!$C$2:$C$1960,0)),"",INDEX('Compliance Database'!$O$2:$O$1960,MATCH(1253,Engine!$C$2:$C$1960,0)))</f>
        <v/>
      </c>
      <c r="P1266" s="8">
        <f>IF(ISNA(MATCH(1253,Engine!$C$2:$C$1960,0)),"",HYPERLINK("#Acts!A"&amp;INDEX('Compliance Database'!$P$2:$P$1960,MATCH(1253,Engine!$C$2:$C$1960,0)),"Go to Act"))</f>
        <v/>
      </c>
    </row>
    <row r="1267" ht="158" customHeight="1">
      <c r="A1267" s="8">
        <f>IF(ISNA(MATCH(1254,Engine!$C$2:$C$1960,0)),"",INDEX('Compliance Database'!$A$2:$A$1960,MATCH(1254,Engine!$C$2:$C$1960,0)))</f>
        <v/>
      </c>
      <c r="B1267" s="8">
        <f>IF(ISNA(MATCH(1254,Engine!$C$2:$C$1960,0)),"",INDEX('Compliance Database'!$B$2:$B$1960,MATCH(1254,Engine!$C$2:$C$1960,0)))</f>
        <v/>
      </c>
      <c r="C1267" s="8">
        <f>IF(ISNA(MATCH(1254,Engine!$C$2:$C$1960,0)),"",INDEX('Compliance Database'!$C$2:$C$1960,MATCH(1254,Engine!$C$2:$C$1960,0)))</f>
        <v/>
      </c>
      <c r="D1267" s="9">
        <f>IF(ISNA(MATCH(1254,Engine!$C$2:$C$1960,0)),"",INDEX('Compliance Database'!$D$2:$D$1960,MATCH(1254,Engine!$C$2:$C$1960,0)))</f>
        <v/>
      </c>
      <c r="E1267" s="8">
        <f>IF(ISNA(MATCH(1254,Engine!$C$2:$C$1960,0)),"",INDEX('Compliance Database'!$E$2:$E$1960,MATCH(1254,Engine!$C$2:$C$1960,0)))</f>
        <v/>
      </c>
      <c r="F1267" s="8">
        <f>IF(ISNA(MATCH(1254,Engine!$C$2:$C$1960,0)),"",INDEX('Compliance Database'!$F$2:$F$1960,MATCH(1254,Engine!$C$2:$C$1960,0)))</f>
        <v/>
      </c>
      <c r="G1267" s="8">
        <f>IF(ISNA(MATCH(1254,Engine!$C$2:$C$1960,0)),"",INDEX('Compliance Database'!$G$2:$G$1960,MATCH(1254,Engine!$C$2:$C$1960,0)))</f>
        <v/>
      </c>
      <c r="H1267" s="9">
        <f>IF(ISNA(MATCH(1254,Engine!$C$2:$C$1960,0)),"",INDEX('Compliance Database'!$H$2:$H$1960,MATCH(1254,Engine!$C$2:$C$1960,0)))</f>
        <v/>
      </c>
      <c r="I1267" s="9">
        <f>IF(ISNA(MATCH(1254,Engine!$C$2:$C$1960,0)),"",INDEX('Compliance Database'!$I$2:$I$1960,MATCH(1254,Engine!$C$2:$C$1960,0)))</f>
        <v/>
      </c>
      <c r="J1267" s="8">
        <f>IF(ISNA(MATCH(1254,Engine!$C$2:$C$1960,0)),"",INDEX('Compliance Database'!$J$2:$J$1960,MATCH(1254,Engine!$C$2:$C$1960,0)))</f>
        <v/>
      </c>
      <c r="K1267" s="9">
        <f>IF(ISNA(MATCH(1254,Engine!$C$2:$C$1960,0)),"",INDEX('Compliance Database'!$K$2:$K$1960,MATCH(1254,Engine!$C$2:$C$1960,0)))</f>
        <v/>
      </c>
      <c r="L1267" s="9">
        <f>IF(ISNA(MATCH(1254,Engine!$C$2:$C$1960,0)),"",INDEX('Compliance Database'!$L$2:$L$1960,MATCH(1254,Engine!$C$2:$C$1960,0)))</f>
        <v/>
      </c>
      <c r="M1267" s="9">
        <f>IF(ISNA(MATCH(1254,Engine!$C$2:$C$1960,0)),"",INDEX('Compliance Database'!$M$2:$M$1960,MATCH(1254,Engine!$C$2:$C$1960,0)))</f>
        <v/>
      </c>
      <c r="N1267" s="9">
        <f>IF(ISNA(MATCH(1254,Engine!$C$2:$C$1960,0)),"",INDEX('Compliance Database'!$N$2:$N$1960,MATCH(1254,Engine!$C$2:$C$1960,0)))</f>
        <v/>
      </c>
      <c r="O1267" s="9">
        <f>IF(ISNA(MATCH(1254,Engine!$C$2:$C$1960,0)),"",INDEX('Compliance Database'!$O$2:$O$1960,MATCH(1254,Engine!$C$2:$C$1960,0)))</f>
        <v/>
      </c>
      <c r="P1267" s="8">
        <f>IF(ISNA(MATCH(1254,Engine!$C$2:$C$1960,0)),"",HYPERLINK("#Acts!A"&amp;INDEX('Compliance Database'!$P$2:$P$1960,MATCH(1254,Engine!$C$2:$C$1960,0)),"Go to Act"))</f>
        <v/>
      </c>
    </row>
    <row r="1268" ht="158" customHeight="1">
      <c r="A1268" s="8">
        <f>IF(ISNA(MATCH(1255,Engine!$C$2:$C$1960,0)),"",INDEX('Compliance Database'!$A$2:$A$1960,MATCH(1255,Engine!$C$2:$C$1960,0)))</f>
        <v/>
      </c>
      <c r="B1268" s="8">
        <f>IF(ISNA(MATCH(1255,Engine!$C$2:$C$1960,0)),"",INDEX('Compliance Database'!$B$2:$B$1960,MATCH(1255,Engine!$C$2:$C$1960,0)))</f>
        <v/>
      </c>
      <c r="C1268" s="8">
        <f>IF(ISNA(MATCH(1255,Engine!$C$2:$C$1960,0)),"",INDEX('Compliance Database'!$C$2:$C$1960,MATCH(1255,Engine!$C$2:$C$1960,0)))</f>
        <v/>
      </c>
      <c r="D1268" s="9">
        <f>IF(ISNA(MATCH(1255,Engine!$C$2:$C$1960,0)),"",INDEX('Compliance Database'!$D$2:$D$1960,MATCH(1255,Engine!$C$2:$C$1960,0)))</f>
        <v/>
      </c>
      <c r="E1268" s="8">
        <f>IF(ISNA(MATCH(1255,Engine!$C$2:$C$1960,0)),"",INDEX('Compliance Database'!$E$2:$E$1960,MATCH(1255,Engine!$C$2:$C$1960,0)))</f>
        <v/>
      </c>
      <c r="F1268" s="8">
        <f>IF(ISNA(MATCH(1255,Engine!$C$2:$C$1960,0)),"",INDEX('Compliance Database'!$F$2:$F$1960,MATCH(1255,Engine!$C$2:$C$1960,0)))</f>
        <v/>
      </c>
      <c r="G1268" s="8">
        <f>IF(ISNA(MATCH(1255,Engine!$C$2:$C$1960,0)),"",INDEX('Compliance Database'!$G$2:$G$1960,MATCH(1255,Engine!$C$2:$C$1960,0)))</f>
        <v/>
      </c>
      <c r="H1268" s="9">
        <f>IF(ISNA(MATCH(1255,Engine!$C$2:$C$1960,0)),"",INDEX('Compliance Database'!$H$2:$H$1960,MATCH(1255,Engine!$C$2:$C$1960,0)))</f>
        <v/>
      </c>
      <c r="I1268" s="9">
        <f>IF(ISNA(MATCH(1255,Engine!$C$2:$C$1960,0)),"",INDEX('Compliance Database'!$I$2:$I$1960,MATCH(1255,Engine!$C$2:$C$1960,0)))</f>
        <v/>
      </c>
      <c r="J1268" s="8">
        <f>IF(ISNA(MATCH(1255,Engine!$C$2:$C$1960,0)),"",INDEX('Compliance Database'!$J$2:$J$1960,MATCH(1255,Engine!$C$2:$C$1960,0)))</f>
        <v/>
      </c>
      <c r="K1268" s="9">
        <f>IF(ISNA(MATCH(1255,Engine!$C$2:$C$1960,0)),"",INDEX('Compliance Database'!$K$2:$K$1960,MATCH(1255,Engine!$C$2:$C$1960,0)))</f>
        <v/>
      </c>
      <c r="L1268" s="9">
        <f>IF(ISNA(MATCH(1255,Engine!$C$2:$C$1960,0)),"",INDEX('Compliance Database'!$L$2:$L$1960,MATCH(1255,Engine!$C$2:$C$1960,0)))</f>
        <v/>
      </c>
      <c r="M1268" s="9">
        <f>IF(ISNA(MATCH(1255,Engine!$C$2:$C$1960,0)),"",INDEX('Compliance Database'!$M$2:$M$1960,MATCH(1255,Engine!$C$2:$C$1960,0)))</f>
        <v/>
      </c>
      <c r="N1268" s="9">
        <f>IF(ISNA(MATCH(1255,Engine!$C$2:$C$1960,0)),"",INDEX('Compliance Database'!$N$2:$N$1960,MATCH(1255,Engine!$C$2:$C$1960,0)))</f>
        <v/>
      </c>
      <c r="O1268" s="9">
        <f>IF(ISNA(MATCH(1255,Engine!$C$2:$C$1960,0)),"",INDEX('Compliance Database'!$O$2:$O$1960,MATCH(1255,Engine!$C$2:$C$1960,0)))</f>
        <v/>
      </c>
      <c r="P1268" s="8">
        <f>IF(ISNA(MATCH(1255,Engine!$C$2:$C$1960,0)),"",HYPERLINK("#Acts!A"&amp;INDEX('Compliance Database'!$P$2:$P$1960,MATCH(1255,Engine!$C$2:$C$1960,0)),"Go to Act"))</f>
        <v/>
      </c>
    </row>
    <row r="1269" ht="158" customHeight="1">
      <c r="A1269" s="8">
        <f>IF(ISNA(MATCH(1256,Engine!$C$2:$C$1960,0)),"",INDEX('Compliance Database'!$A$2:$A$1960,MATCH(1256,Engine!$C$2:$C$1960,0)))</f>
        <v/>
      </c>
      <c r="B1269" s="8">
        <f>IF(ISNA(MATCH(1256,Engine!$C$2:$C$1960,0)),"",INDEX('Compliance Database'!$B$2:$B$1960,MATCH(1256,Engine!$C$2:$C$1960,0)))</f>
        <v/>
      </c>
      <c r="C1269" s="8">
        <f>IF(ISNA(MATCH(1256,Engine!$C$2:$C$1960,0)),"",INDEX('Compliance Database'!$C$2:$C$1960,MATCH(1256,Engine!$C$2:$C$1960,0)))</f>
        <v/>
      </c>
      <c r="D1269" s="9">
        <f>IF(ISNA(MATCH(1256,Engine!$C$2:$C$1960,0)),"",INDEX('Compliance Database'!$D$2:$D$1960,MATCH(1256,Engine!$C$2:$C$1960,0)))</f>
        <v/>
      </c>
      <c r="E1269" s="8">
        <f>IF(ISNA(MATCH(1256,Engine!$C$2:$C$1960,0)),"",INDEX('Compliance Database'!$E$2:$E$1960,MATCH(1256,Engine!$C$2:$C$1960,0)))</f>
        <v/>
      </c>
      <c r="F1269" s="8">
        <f>IF(ISNA(MATCH(1256,Engine!$C$2:$C$1960,0)),"",INDEX('Compliance Database'!$F$2:$F$1960,MATCH(1256,Engine!$C$2:$C$1960,0)))</f>
        <v/>
      </c>
      <c r="G1269" s="8">
        <f>IF(ISNA(MATCH(1256,Engine!$C$2:$C$1960,0)),"",INDEX('Compliance Database'!$G$2:$G$1960,MATCH(1256,Engine!$C$2:$C$1960,0)))</f>
        <v/>
      </c>
      <c r="H1269" s="9">
        <f>IF(ISNA(MATCH(1256,Engine!$C$2:$C$1960,0)),"",INDEX('Compliance Database'!$H$2:$H$1960,MATCH(1256,Engine!$C$2:$C$1960,0)))</f>
        <v/>
      </c>
      <c r="I1269" s="9">
        <f>IF(ISNA(MATCH(1256,Engine!$C$2:$C$1960,0)),"",INDEX('Compliance Database'!$I$2:$I$1960,MATCH(1256,Engine!$C$2:$C$1960,0)))</f>
        <v/>
      </c>
      <c r="J1269" s="8">
        <f>IF(ISNA(MATCH(1256,Engine!$C$2:$C$1960,0)),"",INDEX('Compliance Database'!$J$2:$J$1960,MATCH(1256,Engine!$C$2:$C$1960,0)))</f>
        <v/>
      </c>
      <c r="K1269" s="9">
        <f>IF(ISNA(MATCH(1256,Engine!$C$2:$C$1960,0)),"",INDEX('Compliance Database'!$K$2:$K$1960,MATCH(1256,Engine!$C$2:$C$1960,0)))</f>
        <v/>
      </c>
      <c r="L1269" s="9">
        <f>IF(ISNA(MATCH(1256,Engine!$C$2:$C$1960,0)),"",INDEX('Compliance Database'!$L$2:$L$1960,MATCH(1256,Engine!$C$2:$C$1960,0)))</f>
        <v/>
      </c>
      <c r="M1269" s="9">
        <f>IF(ISNA(MATCH(1256,Engine!$C$2:$C$1960,0)),"",INDEX('Compliance Database'!$M$2:$M$1960,MATCH(1256,Engine!$C$2:$C$1960,0)))</f>
        <v/>
      </c>
      <c r="N1269" s="9">
        <f>IF(ISNA(MATCH(1256,Engine!$C$2:$C$1960,0)),"",INDEX('Compliance Database'!$N$2:$N$1960,MATCH(1256,Engine!$C$2:$C$1960,0)))</f>
        <v/>
      </c>
      <c r="O1269" s="9">
        <f>IF(ISNA(MATCH(1256,Engine!$C$2:$C$1960,0)),"",INDEX('Compliance Database'!$O$2:$O$1960,MATCH(1256,Engine!$C$2:$C$1960,0)))</f>
        <v/>
      </c>
      <c r="P1269" s="8">
        <f>IF(ISNA(MATCH(1256,Engine!$C$2:$C$1960,0)),"",HYPERLINK("#Acts!A"&amp;INDEX('Compliance Database'!$P$2:$P$1960,MATCH(1256,Engine!$C$2:$C$1960,0)),"Go to Act"))</f>
        <v/>
      </c>
    </row>
    <row r="1270" ht="158" customHeight="1">
      <c r="A1270" s="8">
        <f>IF(ISNA(MATCH(1257,Engine!$C$2:$C$1960,0)),"",INDEX('Compliance Database'!$A$2:$A$1960,MATCH(1257,Engine!$C$2:$C$1960,0)))</f>
        <v/>
      </c>
      <c r="B1270" s="8">
        <f>IF(ISNA(MATCH(1257,Engine!$C$2:$C$1960,0)),"",INDEX('Compliance Database'!$B$2:$B$1960,MATCH(1257,Engine!$C$2:$C$1960,0)))</f>
        <v/>
      </c>
      <c r="C1270" s="8">
        <f>IF(ISNA(MATCH(1257,Engine!$C$2:$C$1960,0)),"",INDEX('Compliance Database'!$C$2:$C$1960,MATCH(1257,Engine!$C$2:$C$1960,0)))</f>
        <v/>
      </c>
      <c r="D1270" s="9">
        <f>IF(ISNA(MATCH(1257,Engine!$C$2:$C$1960,0)),"",INDEX('Compliance Database'!$D$2:$D$1960,MATCH(1257,Engine!$C$2:$C$1960,0)))</f>
        <v/>
      </c>
      <c r="E1270" s="8">
        <f>IF(ISNA(MATCH(1257,Engine!$C$2:$C$1960,0)),"",INDEX('Compliance Database'!$E$2:$E$1960,MATCH(1257,Engine!$C$2:$C$1960,0)))</f>
        <v/>
      </c>
      <c r="F1270" s="8">
        <f>IF(ISNA(MATCH(1257,Engine!$C$2:$C$1960,0)),"",INDEX('Compliance Database'!$F$2:$F$1960,MATCH(1257,Engine!$C$2:$C$1960,0)))</f>
        <v/>
      </c>
      <c r="G1270" s="8">
        <f>IF(ISNA(MATCH(1257,Engine!$C$2:$C$1960,0)),"",INDEX('Compliance Database'!$G$2:$G$1960,MATCH(1257,Engine!$C$2:$C$1960,0)))</f>
        <v/>
      </c>
      <c r="H1270" s="9">
        <f>IF(ISNA(MATCH(1257,Engine!$C$2:$C$1960,0)),"",INDEX('Compliance Database'!$H$2:$H$1960,MATCH(1257,Engine!$C$2:$C$1960,0)))</f>
        <v/>
      </c>
      <c r="I1270" s="9">
        <f>IF(ISNA(MATCH(1257,Engine!$C$2:$C$1960,0)),"",INDEX('Compliance Database'!$I$2:$I$1960,MATCH(1257,Engine!$C$2:$C$1960,0)))</f>
        <v/>
      </c>
      <c r="J1270" s="8">
        <f>IF(ISNA(MATCH(1257,Engine!$C$2:$C$1960,0)),"",INDEX('Compliance Database'!$J$2:$J$1960,MATCH(1257,Engine!$C$2:$C$1960,0)))</f>
        <v/>
      </c>
      <c r="K1270" s="9">
        <f>IF(ISNA(MATCH(1257,Engine!$C$2:$C$1960,0)),"",INDEX('Compliance Database'!$K$2:$K$1960,MATCH(1257,Engine!$C$2:$C$1960,0)))</f>
        <v/>
      </c>
      <c r="L1270" s="9">
        <f>IF(ISNA(MATCH(1257,Engine!$C$2:$C$1960,0)),"",INDEX('Compliance Database'!$L$2:$L$1960,MATCH(1257,Engine!$C$2:$C$1960,0)))</f>
        <v/>
      </c>
      <c r="M1270" s="9">
        <f>IF(ISNA(MATCH(1257,Engine!$C$2:$C$1960,0)),"",INDEX('Compliance Database'!$M$2:$M$1960,MATCH(1257,Engine!$C$2:$C$1960,0)))</f>
        <v/>
      </c>
      <c r="N1270" s="9">
        <f>IF(ISNA(MATCH(1257,Engine!$C$2:$C$1960,0)),"",INDEX('Compliance Database'!$N$2:$N$1960,MATCH(1257,Engine!$C$2:$C$1960,0)))</f>
        <v/>
      </c>
      <c r="O1270" s="9">
        <f>IF(ISNA(MATCH(1257,Engine!$C$2:$C$1960,0)),"",INDEX('Compliance Database'!$O$2:$O$1960,MATCH(1257,Engine!$C$2:$C$1960,0)))</f>
        <v/>
      </c>
      <c r="P1270" s="8">
        <f>IF(ISNA(MATCH(1257,Engine!$C$2:$C$1960,0)),"",HYPERLINK("#Acts!A"&amp;INDEX('Compliance Database'!$P$2:$P$1960,MATCH(1257,Engine!$C$2:$C$1960,0)),"Go to Act"))</f>
        <v/>
      </c>
    </row>
    <row r="1271" ht="158" customHeight="1">
      <c r="A1271" s="8">
        <f>IF(ISNA(MATCH(1258,Engine!$C$2:$C$1960,0)),"",INDEX('Compliance Database'!$A$2:$A$1960,MATCH(1258,Engine!$C$2:$C$1960,0)))</f>
        <v/>
      </c>
      <c r="B1271" s="8">
        <f>IF(ISNA(MATCH(1258,Engine!$C$2:$C$1960,0)),"",INDEX('Compliance Database'!$B$2:$B$1960,MATCH(1258,Engine!$C$2:$C$1960,0)))</f>
        <v/>
      </c>
      <c r="C1271" s="8">
        <f>IF(ISNA(MATCH(1258,Engine!$C$2:$C$1960,0)),"",INDEX('Compliance Database'!$C$2:$C$1960,MATCH(1258,Engine!$C$2:$C$1960,0)))</f>
        <v/>
      </c>
      <c r="D1271" s="9">
        <f>IF(ISNA(MATCH(1258,Engine!$C$2:$C$1960,0)),"",INDEX('Compliance Database'!$D$2:$D$1960,MATCH(1258,Engine!$C$2:$C$1960,0)))</f>
        <v/>
      </c>
      <c r="E1271" s="8">
        <f>IF(ISNA(MATCH(1258,Engine!$C$2:$C$1960,0)),"",INDEX('Compliance Database'!$E$2:$E$1960,MATCH(1258,Engine!$C$2:$C$1960,0)))</f>
        <v/>
      </c>
      <c r="F1271" s="8">
        <f>IF(ISNA(MATCH(1258,Engine!$C$2:$C$1960,0)),"",INDEX('Compliance Database'!$F$2:$F$1960,MATCH(1258,Engine!$C$2:$C$1960,0)))</f>
        <v/>
      </c>
      <c r="G1271" s="8">
        <f>IF(ISNA(MATCH(1258,Engine!$C$2:$C$1960,0)),"",INDEX('Compliance Database'!$G$2:$G$1960,MATCH(1258,Engine!$C$2:$C$1960,0)))</f>
        <v/>
      </c>
      <c r="H1271" s="9">
        <f>IF(ISNA(MATCH(1258,Engine!$C$2:$C$1960,0)),"",INDEX('Compliance Database'!$H$2:$H$1960,MATCH(1258,Engine!$C$2:$C$1960,0)))</f>
        <v/>
      </c>
      <c r="I1271" s="9">
        <f>IF(ISNA(MATCH(1258,Engine!$C$2:$C$1960,0)),"",INDEX('Compliance Database'!$I$2:$I$1960,MATCH(1258,Engine!$C$2:$C$1960,0)))</f>
        <v/>
      </c>
      <c r="J1271" s="8">
        <f>IF(ISNA(MATCH(1258,Engine!$C$2:$C$1960,0)),"",INDEX('Compliance Database'!$J$2:$J$1960,MATCH(1258,Engine!$C$2:$C$1960,0)))</f>
        <v/>
      </c>
      <c r="K1271" s="9">
        <f>IF(ISNA(MATCH(1258,Engine!$C$2:$C$1960,0)),"",INDEX('Compliance Database'!$K$2:$K$1960,MATCH(1258,Engine!$C$2:$C$1960,0)))</f>
        <v/>
      </c>
      <c r="L1271" s="9">
        <f>IF(ISNA(MATCH(1258,Engine!$C$2:$C$1960,0)),"",INDEX('Compliance Database'!$L$2:$L$1960,MATCH(1258,Engine!$C$2:$C$1960,0)))</f>
        <v/>
      </c>
      <c r="M1271" s="9">
        <f>IF(ISNA(MATCH(1258,Engine!$C$2:$C$1960,0)),"",INDEX('Compliance Database'!$M$2:$M$1960,MATCH(1258,Engine!$C$2:$C$1960,0)))</f>
        <v/>
      </c>
      <c r="N1271" s="9">
        <f>IF(ISNA(MATCH(1258,Engine!$C$2:$C$1960,0)),"",INDEX('Compliance Database'!$N$2:$N$1960,MATCH(1258,Engine!$C$2:$C$1960,0)))</f>
        <v/>
      </c>
      <c r="O1271" s="9">
        <f>IF(ISNA(MATCH(1258,Engine!$C$2:$C$1960,0)),"",INDEX('Compliance Database'!$O$2:$O$1960,MATCH(1258,Engine!$C$2:$C$1960,0)))</f>
        <v/>
      </c>
      <c r="P1271" s="8">
        <f>IF(ISNA(MATCH(1258,Engine!$C$2:$C$1960,0)),"",HYPERLINK("#Acts!A"&amp;INDEX('Compliance Database'!$P$2:$P$1960,MATCH(1258,Engine!$C$2:$C$1960,0)),"Go to Act"))</f>
        <v/>
      </c>
    </row>
    <row r="1272" ht="158" customHeight="1">
      <c r="A1272" s="8">
        <f>IF(ISNA(MATCH(1259,Engine!$C$2:$C$1960,0)),"",INDEX('Compliance Database'!$A$2:$A$1960,MATCH(1259,Engine!$C$2:$C$1960,0)))</f>
        <v/>
      </c>
      <c r="B1272" s="8">
        <f>IF(ISNA(MATCH(1259,Engine!$C$2:$C$1960,0)),"",INDEX('Compliance Database'!$B$2:$B$1960,MATCH(1259,Engine!$C$2:$C$1960,0)))</f>
        <v/>
      </c>
      <c r="C1272" s="8">
        <f>IF(ISNA(MATCH(1259,Engine!$C$2:$C$1960,0)),"",INDEX('Compliance Database'!$C$2:$C$1960,MATCH(1259,Engine!$C$2:$C$1960,0)))</f>
        <v/>
      </c>
      <c r="D1272" s="9">
        <f>IF(ISNA(MATCH(1259,Engine!$C$2:$C$1960,0)),"",INDEX('Compliance Database'!$D$2:$D$1960,MATCH(1259,Engine!$C$2:$C$1960,0)))</f>
        <v/>
      </c>
      <c r="E1272" s="8">
        <f>IF(ISNA(MATCH(1259,Engine!$C$2:$C$1960,0)),"",INDEX('Compliance Database'!$E$2:$E$1960,MATCH(1259,Engine!$C$2:$C$1960,0)))</f>
        <v/>
      </c>
      <c r="F1272" s="8">
        <f>IF(ISNA(MATCH(1259,Engine!$C$2:$C$1960,0)),"",INDEX('Compliance Database'!$F$2:$F$1960,MATCH(1259,Engine!$C$2:$C$1960,0)))</f>
        <v/>
      </c>
      <c r="G1272" s="8">
        <f>IF(ISNA(MATCH(1259,Engine!$C$2:$C$1960,0)),"",INDEX('Compliance Database'!$G$2:$G$1960,MATCH(1259,Engine!$C$2:$C$1960,0)))</f>
        <v/>
      </c>
      <c r="H1272" s="9">
        <f>IF(ISNA(MATCH(1259,Engine!$C$2:$C$1960,0)),"",INDEX('Compliance Database'!$H$2:$H$1960,MATCH(1259,Engine!$C$2:$C$1960,0)))</f>
        <v/>
      </c>
      <c r="I1272" s="9">
        <f>IF(ISNA(MATCH(1259,Engine!$C$2:$C$1960,0)),"",INDEX('Compliance Database'!$I$2:$I$1960,MATCH(1259,Engine!$C$2:$C$1960,0)))</f>
        <v/>
      </c>
      <c r="J1272" s="8">
        <f>IF(ISNA(MATCH(1259,Engine!$C$2:$C$1960,0)),"",INDEX('Compliance Database'!$J$2:$J$1960,MATCH(1259,Engine!$C$2:$C$1960,0)))</f>
        <v/>
      </c>
      <c r="K1272" s="9">
        <f>IF(ISNA(MATCH(1259,Engine!$C$2:$C$1960,0)),"",INDEX('Compliance Database'!$K$2:$K$1960,MATCH(1259,Engine!$C$2:$C$1960,0)))</f>
        <v/>
      </c>
      <c r="L1272" s="9">
        <f>IF(ISNA(MATCH(1259,Engine!$C$2:$C$1960,0)),"",INDEX('Compliance Database'!$L$2:$L$1960,MATCH(1259,Engine!$C$2:$C$1960,0)))</f>
        <v/>
      </c>
      <c r="M1272" s="9">
        <f>IF(ISNA(MATCH(1259,Engine!$C$2:$C$1960,0)),"",INDEX('Compliance Database'!$M$2:$M$1960,MATCH(1259,Engine!$C$2:$C$1960,0)))</f>
        <v/>
      </c>
      <c r="N1272" s="9">
        <f>IF(ISNA(MATCH(1259,Engine!$C$2:$C$1960,0)),"",INDEX('Compliance Database'!$N$2:$N$1960,MATCH(1259,Engine!$C$2:$C$1960,0)))</f>
        <v/>
      </c>
      <c r="O1272" s="9">
        <f>IF(ISNA(MATCH(1259,Engine!$C$2:$C$1960,0)),"",INDEX('Compliance Database'!$O$2:$O$1960,MATCH(1259,Engine!$C$2:$C$1960,0)))</f>
        <v/>
      </c>
      <c r="P1272" s="8">
        <f>IF(ISNA(MATCH(1259,Engine!$C$2:$C$1960,0)),"",HYPERLINK("#Acts!A"&amp;INDEX('Compliance Database'!$P$2:$P$1960,MATCH(1259,Engine!$C$2:$C$1960,0)),"Go to Act"))</f>
        <v/>
      </c>
    </row>
    <row r="1273" ht="158" customHeight="1">
      <c r="A1273" s="8">
        <f>IF(ISNA(MATCH(1260,Engine!$C$2:$C$1960,0)),"",INDEX('Compliance Database'!$A$2:$A$1960,MATCH(1260,Engine!$C$2:$C$1960,0)))</f>
        <v/>
      </c>
      <c r="B1273" s="8">
        <f>IF(ISNA(MATCH(1260,Engine!$C$2:$C$1960,0)),"",INDEX('Compliance Database'!$B$2:$B$1960,MATCH(1260,Engine!$C$2:$C$1960,0)))</f>
        <v/>
      </c>
      <c r="C1273" s="8">
        <f>IF(ISNA(MATCH(1260,Engine!$C$2:$C$1960,0)),"",INDEX('Compliance Database'!$C$2:$C$1960,MATCH(1260,Engine!$C$2:$C$1960,0)))</f>
        <v/>
      </c>
      <c r="D1273" s="9">
        <f>IF(ISNA(MATCH(1260,Engine!$C$2:$C$1960,0)),"",INDEX('Compliance Database'!$D$2:$D$1960,MATCH(1260,Engine!$C$2:$C$1960,0)))</f>
        <v/>
      </c>
      <c r="E1273" s="8">
        <f>IF(ISNA(MATCH(1260,Engine!$C$2:$C$1960,0)),"",INDEX('Compliance Database'!$E$2:$E$1960,MATCH(1260,Engine!$C$2:$C$1960,0)))</f>
        <v/>
      </c>
      <c r="F1273" s="8">
        <f>IF(ISNA(MATCH(1260,Engine!$C$2:$C$1960,0)),"",INDEX('Compliance Database'!$F$2:$F$1960,MATCH(1260,Engine!$C$2:$C$1960,0)))</f>
        <v/>
      </c>
      <c r="G1273" s="8">
        <f>IF(ISNA(MATCH(1260,Engine!$C$2:$C$1960,0)),"",INDEX('Compliance Database'!$G$2:$G$1960,MATCH(1260,Engine!$C$2:$C$1960,0)))</f>
        <v/>
      </c>
      <c r="H1273" s="9">
        <f>IF(ISNA(MATCH(1260,Engine!$C$2:$C$1960,0)),"",INDEX('Compliance Database'!$H$2:$H$1960,MATCH(1260,Engine!$C$2:$C$1960,0)))</f>
        <v/>
      </c>
      <c r="I1273" s="9">
        <f>IF(ISNA(MATCH(1260,Engine!$C$2:$C$1960,0)),"",INDEX('Compliance Database'!$I$2:$I$1960,MATCH(1260,Engine!$C$2:$C$1960,0)))</f>
        <v/>
      </c>
      <c r="J1273" s="8">
        <f>IF(ISNA(MATCH(1260,Engine!$C$2:$C$1960,0)),"",INDEX('Compliance Database'!$J$2:$J$1960,MATCH(1260,Engine!$C$2:$C$1960,0)))</f>
        <v/>
      </c>
      <c r="K1273" s="9">
        <f>IF(ISNA(MATCH(1260,Engine!$C$2:$C$1960,0)),"",INDEX('Compliance Database'!$K$2:$K$1960,MATCH(1260,Engine!$C$2:$C$1960,0)))</f>
        <v/>
      </c>
      <c r="L1273" s="9">
        <f>IF(ISNA(MATCH(1260,Engine!$C$2:$C$1960,0)),"",INDEX('Compliance Database'!$L$2:$L$1960,MATCH(1260,Engine!$C$2:$C$1960,0)))</f>
        <v/>
      </c>
      <c r="M1273" s="9">
        <f>IF(ISNA(MATCH(1260,Engine!$C$2:$C$1960,0)),"",INDEX('Compliance Database'!$M$2:$M$1960,MATCH(1260,Engine!$C$2:$C$1960,0)))</f>
        <v/>
      </c>
      <c r="N1273" s="9">
        <f>IF(ISNA(MATCH(1260,Engine!$C$2:$C$1960,0)),"",INDEX('Compliance Database'!$N$2:$N$1960,MATCH(1260,Engine!$C$2:$C$1960,0)))</f>
        <v/>
      </c>
      <c r="O1273" s="9">
        <f>IF(ISNA(MATCH(1260,Engine!$C$2:$C$1960,0)),"",INDEX('Compliance Database'!$O$2:$O$1960,MATCH(1260,Engine!$C$2:$C$1960,0)))</f>
        <v/>
      </c>
      <c r="P1273" s="8">
        <f>IF(ISNA(MATCH(1260,Engine!$C$2:$C$1960,0)),"",HYPERLINK("#Acts!A"&amp;INDEX('Compliance Database'!$P$2:$P$1960,MATCH(1260,Engine!$C$2:$C$1960,0)),"Go to Act"))</f>
        <v/>
      </c>
    </row>
    <row r="1274" ht="158" customHeight="1">
      <c r="A1274" s="8">
        <f>IF(ISNA(MATCH(1261,Engine!$C$2:$C$1960,0)),"",INDEX('Compliance Database'!$A$2:$A$1960,MATCH(1261,Engine!$C$2:$C$1960,0)))</f>
        <v/>
      </c>
      <c r="B1274" s="8">
        <f>IF(ISNA(MATCH(1261,Engine!$C$2:$C$1960,0)),"",INDEX('Compliance Database'!$B$2:$B$1960,MATCH(1261,Engine!$C$2:$C$1960,0)))</f>
        <v/>
      </c>
      <c r="C1274" s="8">
        <f>IF(ISNA(MATCH(1261,Engine!$C$2:$C$1960,0)),"",INDEX('Compliance Database'!$C$2:$C$1960,MATCH(1261,Engine!$C$2:$C$1960,0)))</f>
        <v/>
      </c>
      <c r="D1274" s="9">
        <f>IF(ISNA(MATCH(1261,Engine!$C$2:$C$1960,0)),"",INDEX('Compliance Database'!$D$2:$D$1960,MATCH(1261,Engine!$C$2:$C$1960,0)))</f>
        <v/>
      </c>
      <c r="E1274" s="8">
        <f>IF(ISNA(MATCH(1261,Engine!$C$2:$C$1960,0)),"",INDEX('Compliance Database'!$E$2:$E$1960,MATCH(1261,Engine!$C$2:$C$1960,0)))</f>
        <v/>
      </c>
      <c r="F1274" s="8">
        <f>IF(ISNA(MATCH(1261,Engine!$C$2:$C$1960,0)),"",INDEX('Compliance Database'!$F$2:$F$1960,MATCH(1261,Engine!$C$2:$C$1960,0)))</f>
        <v/>
      </c>
      <c r="G1274" s="8">
        <f>IF(ISNA(MATCH(1261,Engine!$C$2:$C$1960,0)),"",INDEX('Compliance Database'!$G$2:$G$1960,MATCH(1261,Engine!$C$2:$C$1960,0)))</f>
        <v/>
      </c>
      <c r="H1274" s="9">
        <f>IF(ISNA(MATCH(1261,Engine!$C$2:$C$1960,0)),"",INDEX('Compliance Database'!$H$2:$H$1960,MATCH(1261,Engine!$C$2:$C$1960,0)))</f>
        <v/>
      </c>
      <c r="I1274" s="9">
        <f>IF(ISNA(MATCH(1261,Engine!$C$2:$C$1960,0)),"",INDEX('Compliance Database'!$I$2:$I$1960,MATCH(1261,Engine!$C$2:$C$1960,0)))</f>
        <v/>
      </c>
      <c r="J1274" s="8">
        <f>IF(ISNA(MATCH(1261,Engine!$C$2:$C$1960,0)),"",INDEX('Compliance Database'!$J$2:$J$1960,MATCH(1261,Engine!$C$2:$C$1960,0)))</f>
        <v/>
      </c>
      <c r="K1274" s="9">
        <f>IF(ISNA(MATCH(1261,Engine!$C$2:$C$1960,0)),"",INDEX('Compliance Database'!$K$2:$K$1960,MATCH(1261,Engine!$C$2:$C$1960,0)))</f>
        <v/>
      </c>
      <c r="L1274" s="9">
        <f>IF(ISNA(MATCH(1261,Engine!$C$2:$C$1960,0)),"",INDEX('Compliance Database'!$L$2:$L$1960,MATCH(1261,Engine!$C$2:$C$1960,0)))</f>
        <v/>
      </c>
      <c r="M1274" s="9">
        <f>IF(ISNA(MATCH(1261,Engine!$C$2:$C$1960,0)),"",INDEX('Compliance Database'!$M$2:$M$1960,MATCH(1261,Engine!$C$2:$C$1960,0)))</f>
        <v/>
      </c>
      <c r="N1274" s="9">
        <f>IF(ISNA(MATCH(1261,Engine!$C$2:$C$1960,0)),"",INDEX('Compliance Database'!$N$2:$N$1960,MATCH(1261,Engine!$C$2:$C$1960,0)))</f>
        <v/>
      </c>
      <c r="O1274" s="9">
        <f>IF(ISNA(MATCH(1261,Engine!$C$2:$C$1960,0)),"",INDEX('Compliance Database'!$O$2:$O$1960,MATCH(1261,Engine!$C$2:$C$1960,0)))</f>
        <v/>
      </c>
      <c r="P1274" s="8">
        <f>IF(ISNA(MATCH(1261,Engine!$C$2:$C$1960,0)),"",HYPERLINK("#Acts!A"&amp;INDEX('Compliance Database'!$P$2:$P$1960,MATCH(1261,Engine!$C$2:$C$1960,0)),"Go to Act"))</f>
        <v/>
      </c>
    </row>
    <row r="1275" ht="158" customHeight="1">
      <c r="A1275" s="8">
        <f>IF(ISNA(MATCH(1262,Engine!$C$2:$C$1960,0)),"",INDEX('Compliance Database'!$A$2:$A$1960,MATCH(1262,Engine!$C$2:$C$1960,0)))</f>
        <v/>
      </c>
      <c r="B1275" s="8">
        <f>IF(ISNA(MATCH(1262,Engine!$C$2:$C$1960,0)),"",INDEX('Compliance Database'!$B$2:$B$1960,MATCH(1262,Engine!$C$2:$C$1960,0)))</f>
        <v/>
      </c>
      <c r="C1275" s="8">
        <f>IF(ISNA(MATCH(1262,Engine!$C$2:$C$1960,0)),"",INDEX('Compliance Database'!$C$2:$C$1960,MATCH(1262,Engine!$C$2:$C$1960,0)))</f>
        <v/>
      </c>
      <c r="D1275" s="9">
        <f>IF(ISNA(MATCH(1262,Engine!$C$2:$C$1960,0)),"",INDEX('Compliance Database'!$D$2:$D$1960,MATCH(1262,Engine!$C$2:$C$1960,0)))</f>
        <v/>
      </c>
      <c r="E1275" s="8">
        <f>IF(ISNA(MATCH(1262,Engine!$C$2:$C$1960,0)),"",INDEX('Compliance Database'!$E$2:$E$1960,MATCH(1262,Engine!$C$2:$C$1960,0)))</f>
        <v/>
      </c>
      <c r="F1275" s="8">
        <f>IF(ISNA(MATCH(1262,Engine!$C$2:$C$1960,0)),"",INDEX('Compliance Database'!$F$2:$F$1960,MATCH(1262,Engine!$C$2:$C$1960,0)))</f>
        <v/>
      </c>
      <c r="G1275" s="8">
        <f>IF(ISNA(MATCH(1262,Engine!$C$2:$C$1960,0)),"",INDEX('Compliance Database'!$G$2:$G$1960,MATCH(1262,Engine!$C$2:$C$1960,0)))</f>
        <v/>
      </c>
      <c r="H1275" s="9">
        <f>IF(ISNA(MATCH(1262,Engine!$C$2:$C$1960,0)),"",INDEX('Compliance Database'!$H$2:$H$1960,MATCH(1262,Engine!$C$2:$C$1960,0)))</f>
        <v/>
      </c>
      <c r="I1275" s="9">
        <f>IF(ISNA(MATCH(1262,Engine!$C$2:$C$1960,0)),"",INDEX('Compliance Database'!$I$2:$I$1960,MATCH(1262,Engine!$C$2:$C$1960,0)))</f>
        <v/>
      </c>
      <c r="J1275" s="8">
        <f>IF(ISNA(MATCH(1262,Engine!$C$2:$C$1960,0)),"",INDEX('Compliance Database'!$J$2:$J$1960,MATCH(1262,Engine!$C$2:$C$1960,0)))</f>
        <v/>
      </c>
      <c r="K1275" s="9">
        <f>IF(ISNA(MATCH(1262,Engine!$C$2:$C$1960,0)),"",INDEX('Compliance Database'!$K$2:$K$1960,MATCH(1262,Engine!$C$2:$C$1960,0)))</f>
        <v/>
      </c>
      <c r="L1275" s="9">
        <f>IF(ISNA(MATCH(1262,Engine!$C$2:$C$1960,0)),"",INDEX('Compliance Database'!$L$2:$L$1960,MATCH(1262,Engine!$C$2:$C$1960,0)))</f>
        <v/>
      </c>
      <c r="M1275" s="9">
        <f>IF(ISNA(MATCH(1262,Engine!$C$2:$C$1960,0)),"",INDEX('Compliance Database'!$M$2:$M$1960,MATCH(1262,Engine!$C$2:$C$1960,0)))</f>
        <v/>
      </c>
      <c r="N1275" s="9">
        <f>IF(ISNA(MATCH(1262,Engine!$C$2:$C$1960,0)),"",INDEX('Compliance Database'!$N$2:$N$1960,MATCH(1262,Engine!$C$2:$C$1960,0)))</f>
        <v/>
      </c>
      <c r="O1275" s="9">
        <f>IF(ISNA(MATCH(1262,Engine!$C$2:$C$1960,0)),"",INDEX('Compliance Database'!$O$2:$O$1960,MATCH(1262,Engine!$C$2:$C$1960,0)))</f>
        <v/>
      </c>
      <c r="P1275" s="8">
        <f>IF(ISNA(MATCH(1262,Engine!$C$2:$C$1960,0)),"",HYPERLINK("#Acts!A"&amp;INDEX('Compliance Database'!$P$2:$P$1960,MATCH(1262,Engine!$C$2:$C$1960,0)),"Go to Act"))</f>
        <v/>
      </c>
    </row>
    <row r="1276" ht="158" customHeight="1">
      <c r="A1276" s="8">
        <f>IF(ISNA(MATCH(1263,Engine!$C$2:$C$1960,0)),"",INDEX('Compliance Database'!$A$2:$A$1960,MATCH(1263,Engine!$C$2:$C$1960,0)))</f>
        <v/>
      </c>
      <c r="B1276" s="8">
        <f>IF(ISNA(MATCH(1263,Engine!$C$2:$C$1960,0)),"",INDEX('Compliance Database'!$B$2:$B$1960,MATCH(1263,Engine!$C$2:$C$1960,0)))</f>
        <v/>
      </c>
      <c r="C1276" s="8">
        <f>IF(ISNA(MATCH(1263,Engine!$C$2:$C$1960,0)),"",INDEX('Compliance Database'!$C$2:$C$1960,MATCH(1263,Engine!$C$2:$C$1960,0)))</f>
        <v/>
      </c>
      <c r="D1276" s="9">
        <f>IF(ISNA(MATCH(1263,Engine!$C$2:$C$1960,0)),"",INDEX('Compliance Database'!$D$2:$D$1960,MATCH(1263,Engine!$C$2:$C$1960,0)))</f>
        <v/>
      </c>
      <c r="E1276" s="8">
        <f>IF(ISNA(MATCH(1263,Engine!$C$2:$C$1960,0)),"",INDEX('Compliance Database'!$E$2:$E$1960,MATCH(1263,Engine!$C$2:$C$1960,0)))</f>
        <v/>
      </c>
      <c r="F1276" s="8">
        <f>IF(ISNA(MATCH(1263,Engine!$C$2:$C$1960,0)),"",INDEX('Compliance Database'!$F$2:$F$1960,MATCH(1263,Engine!$C$2:$C$1960,0)))</f>
        <v/>
      </c>
      <c r="G1276" s="8">
        <f>IF(ISNA(MATCH(1263,Engine!$C$2:$C$1960,0)),"",INDEX('Compliance Database'!$G$2:$G$1960,MATCH(1263,Engine!$C$2:$C$1960,0)))</f>
        <v/>
      </c>
      <c r="H1276" s="9">
        <f>IF(ISNA(MATCH(1263,Engine!$C$2:$C$1960,0)),"",INDEX('Compliance Database'!$H$2:$H$1960,MATCH(1263,Engine!$C$2:$C$1960,0)))</f>
        <v/>
      </c>
      <c r="I1276" s="9">
        <f>IF(ISNA(MATCH(1263,Engine!$C$2:$C$1960,0)),"",INDEX('Compliance Database'!$I$2:$I$1960,MATCH(1263,Engine!$C$2:$C$1960,0)))</f>
        <v/>
      </c>
      <c r="J1276" s="8">
        <f>IF(ISNA(MATCH(1263,Engine!$C$2:$C$1960,0)),"",INDEX('Compliance Database'!$J$2:$J$1960,MATCH(1263,Engine!$C$2:$C$1960,0)))</f>
        <v/>
      </c>
      <c r="K1276" s="9">
        <f>IF(ISNA(MATCH(1263,Engine!$C$2:$C$1960,0)),"",INDEX('Compliance Database'!$K$2:$K$1960,MATCH(1263,Engine!$C$2:$C$1960,0)))</f>
        <v/>
      </c>
      <c r="L1276" s="9">
        <f>IF(ISNA(MATCH(1263,Engine!$C$2:$C$1960,0)),"",INDEX('Compliance Database'!$L$2:$L$1960,MATCH(1263,Engine!$C$2:$C$1960,0)))</f>
        <v/>
      </c>
      <c r="M1276" s="9">
        <f>IF(ISNA(MATCH(1263,Engine!$C$2:$C$1960,0)),"",INDEX('Compliance Database'!$M$2:$M$1960,MATCH(1263,Engine!$C$2:$C$1960,0)))</f>
        <v/>
      </c>
      <c r="N1276" s="9">
        <f>IF(ISNA(MATCH(1263,Engine!$C$2:$C$1960,0)),"",INDEX('Compliance Database'!$N$2:$N$1960,MATCH(1263,Engine!$C$2:$C$1960,0)))</f>
        <v/>
      </c>
      <c r="O1276" s="9">
        <f>IF(ISNA(MATCH(1263,Engine!$C$2:$C$1960,0)),"",INDEX('Compliance Database'!$O$2:$O$1960,MATCH(1263,Engine!$C$2:$C$1960,0)))</f>
        <v/>
      </c>
      <c r="P1276" s="8">
        <f>IF(ISNA(MATCH(1263,Engine!$C$2:$C$1960,0)),"",HYPERLINK("#Acts!A"&amp;INDEX('Compliance Database'!$P$2:$P$1960,MATCH(1263,Engine!$C$2:$C$1960,0)),"Go to Act"))</f>
        <v/>
      </c>
    </row>
    <row r="1277" ht="158" customHeight="1">
      <c r="A1277" s="8">
        <f>IF(ISNA(MATCH(1264,Engine!$C$2:$C$1960,0)),"",INDEX('Compliance Database'!$A$2:$A$1960,MATCH(1264,Engine!$C$2:$C$1960,0)))</f>
        <v/>
      </c>
      <c r="B1277" s="8">
        <f>IF(ISNA(MATCH(1264,Engine!$C$2:$C$1960,0)),"",INDEX('Compliance Database'!$B$2:$B$1960,MATCH(1264,Engine!$C$2:$C$1960,0)))</f>
        <v/>
      </c>
      <c r="C1277" s="8">
        <f>IF(ISNA(MATCH(1264,Engine!$C$2:$C$1960,0)),"",INDEX('Compliance Database'!$C$2:$C$1960,MATCH(1264,Engine!$C$2:$C$1960,0)))</f>
        <v/>
      </c>
      <c r="D1277" s="9">
        <f>IF(ISNA(MATCH(1264,Engine!$C$2:$C$1960,0)),"",INDEX('Compliance Database'!$D$2:$D$1960,MATCH(1264,Engine!$C$2:$C$1960,0)))</f>
        <v/>
      </c>
      <c r="E1277" s="8">
        <f>IF(ISNA(MATCH(1264,Engine!$C$2:$C$1960,0)),"",INDEX('Compliance Database'!$E$2:$E$1960,MATCH(1264,Engine!$C$2:$C$1960,0)))</f>
        <v/>
      </c>
      <c r="F1277" s="8">
        <f>IF(ISNA(MATCH(1264,Engine!$C$2:$C$1960,0)),"",INDEX('Compliance Database'!$F$2:$F$1960,MATCH(1264,Engine!$C$2:$C$1960,0)))</f>
        <v/>
      </c>
      <c r="G1277" s="8">
        <f>IF(ISNA(MATCH(1264,Engine!$C$2:$C$1960,0)),"",INDEX('Compliance Database'!$G$2:$G$1960,MATCH(1264,Engine!$C$2:$C$1960,0)))</f>
        <v/>
      </c>
      <c r="H1277" s="9">
        <f>IF(ISNA(MATCH(1264,Engine!$C$2:$C$1960,0)),"",INDEX('Compliance Database'!$H$2:$H$1960,MATCH(1264,Engine!$C$2:$C$1960,0)))</f>
        <v/>
      </c>
      <c r="I1277" s="9">
        <f>IF(ISNA(MATCH(1264,Engine!$C$2:$C$1960,0)),"",INDEX('Compliance Database'!$I$2:$I$1960,MATCH(1264,Engine!$C$2:$C$1960,0)))</f>
        <v/>
      </c>
      <c r="J1277" s="8">
        <f>IF(ISNA(MATCH(1264,Engine!$C$2:$C$1960,0)),"",INDEX('Compliance Database'!$J$2:$J$1960,MATCH(1264,Engine!$C$2:$C$1960,0)))</f>
        <v/>
      </c>
      <c r="K1277" s="9">
        <f>IF(ISNA(MATCH(1264,Engine!$C$2:$C$1960,0)),"",INDEX('Compliance Database'!$K$2:$K$1960,MATCH(1264,Engine!$C$2:$C$1960,0)))</f>
        <v/>
      </c>
      <c r="L1277" s="9">
        <f>IF(ISNA(MATCH(1264,Engine!$C$2:$C$1960,0)),"",INDEX('Compliance Database'!$L$2:$L$1960,MATCH(1264,Engine!$C$2:$C$1960,0)))</f>
        <v/>
      </c>
      <c r="M1277" s="9">
        <f>IF(ISNA(MATCH(1264,Engine!$C$2:$C$1960,0)),"",INDEX('Compliance Database'!$M$2:$M$1960,MATCH(1264,Engine!$C$2:$C$1960,0)))</f>
        <v/>
      </c>
      <c r="N1277" s="9">
        <f>IF(ISNA(MATCH(1264,Engine!$C$2:$C$1960,0)),"",INDEX('Compliance Database'!$N$2:$N$1960,MATCH(1264,Engine!$C$2:$C$1960,0)))</f>
        <v/>
      </c>
      <c r="O1277" s="9">
        <f>IF(ISNA(MATCH(1264,Engine!$C$2:$C$1960,0)),"",INDEX('Compliance Database'!$O$2:$O$1960,MATCH(1264,Engine!$C$2:$C$1960,0)))</f>
        <v/>
      </c>
      <c r="P1277" s="8">
        <f>IF(ISNA(MATCH(1264,Engine!$C$2:$C$1960,0)),"",HYPERLINK("#Acts!A"&amp;INDEX('Compliance Database'!$P$2:$P$1960,MATCH(1264,Engine!$C$2:$C$1960,0)),"Go to Act"))</f>
        <v/>
      </c>
    </row>
    <row r="1278" ht="158" customHeight="1">
      <c r="A1278" s="8">
        <f>IF(ISNA(MATCH(1265,Engine!$C$2:$C$1960,0)),"",INDEX('Compliance Database'!$A$2:$A$1960,MATCH(1265,Engine!$C$2:$C$1960,0)))</f>
        <v/>
      </c>
      <c r="B1278" s="8">
        <f>IF(ISNA(MATCH(1265,Engine!$C$2:$C$1960,0)),"",INDEX('Compliance Database'!$B$2:$B$1960,MATCH(1265,Engine!$C$2:$C$1960,0)))</f>
        <v/>
      </c>
      <c r="C1278" s="8">
        <f>IF(ISNA(MATCH(1265,Engine!$C$2:$C$1960,0)),"",INDEX('Compliance Database'!$C$2:$C$1960,MATCH(1265,Engine!$C$2:$C$1960,0)))</f>
        <v/>
      </c>
      <c r="D1278" s="9">
        <f>IF(ISNA(MATCH(1265,Engine!$C$2:$C$1960,0)),"",INDEX('Compliance Database'!$D$2:$D$1960,MATCH(1265,Engine!$C$2:$C$1960,0)))</f>
        <v/>
      </c>
      <c r="E1278" s="8">
        <f>IF(ISNA(MATCH(1265,Engine!$C$2:$C$1960,0)),"",INDEX('Compliance Database'!$E$2:$E$1960,MATCH(1265,Engine!$C$2:$C$1960,0)))</f>
        <v/>
      </c>
      <c r="F1278" s="8">
        <f>IF(ISNA(MATCH(1265,Engine!$C$2:$C$1960,0)),"",INDEX('Compliance Database'!$F$2:$F$1960,MATCH(1265,Engine!$C$2:$C$1960,0)))</f>
        <v/>
      </c>
      <c r="G1278" s="8">
        <f>IF(ISNA(MATCH(1265,Engine!$C$2:$C$1960,0)),"",INDEX('Compliance Database'!$G$2:$G$1960,MATCH(1265,Engine!$C$2:$C$1960,0)))</f>
        <v/>
      </c>
      <c r="H1278" s="9">
        <f>IF(ISNA(MATCH(1265,Engine!$C$2:$C$1960,0)),"",INDEX('Compliance Database'!$H$2:$H$1960,MATCH(1265,Engine!$C$2:$C$1960,0)))</f>
        <v/>
      </c>
      <c r="I1278" s="9">
        <f>IF(ISNA(MATCH(1265,Engine!$C$2:$C$1960,0)),"",INDEX('Compliance Database'!$I$2:$I$1960,MATCH(1265,Engine!$C$2:$C$1960,0)))</f>
        <v/>
      </c>
      <c r="J1278" s="8">
        <f>IF(ISNA(MATCH(1265,Engine!$C$2:$C$1960,0)),"",INDEX('Compliance Database'!$J$2:$J$1960,MATCH(1265,Engine!$C$2:$C$1960,0)))</f>
        <v/>
      </c>
      <c r="K1278" s="9">
        <f>IF(ISNA(MATCH(1265,Engine!$C$2:$C$1960,0)),"",INDEX('Compliance Database'!$K$2:$K$1960,MATCH(1265,Engine!$C$2:$C$1960,0)))</f>
        <v/>
      </c>
      <c r="L1278" s="9">
        <f>IF(ISNA(MATCH(1265,Engine!$C$2:$C$1960,0)),"",INDEX('Compliance Database'!$L$2:$L$1960,MATCH(1265,Engine!$C$2:$C$1960,0)))</f>
        <v/>
      </c>
      <c r="M1278" s="9">
        <f>IF(ISNA(MATCH(1265,Engine!$C$2:$C$1960,0)),"",INDEX('Compliance Database'!$M$2:$M$1960,MATCH(1265,Engine!$C$2:$C$1960,0)))</f>
        <v/>
      </c>
      <c r="N1278" s="9">
        <f>IF(ISNA(MATCH(1265,Engine!$C$2:$C$1960,0)),"",INDEX('Compliance Database'!$N$2:$N$1960,MATCH(1265,Engine!$C$2:$C$1960,0)))</f>
        <v/>
      </c>
      <c r="O1278" s="9">
        <f>IF(ISNA(MATCH(1265,Engine!$C$2:$C$1960,0)),"",INDEX('Compliance Database'!$O$2:$O$1960,MATCH(1265,Engine!$C$2:$C$1960,0)))</f>
        <v/>
      </c>
      <c r="P1278" s="8">
        <f>IF(ISNA(MATCH(1265,Engine!$C$2:$C$1960,0)),"",HYPERLINK("#Acts!A"&amp;INDEX('Compliance Database'!$P$2:$P$1960,MATCH(1265,Engine!$C$2:$C$1960,0)),"Go to Act"))</f>
        <v/>
      </c>
    </row>
    <row r="1279" ht="158" customHeight="1">
      <c r="A1279" s="8">
        <f>IF(ISNA(MATCH(1266,Engine!$C$2:$C$1960,0)),"",INDEX('Compliance Database'!$A$2:$A$1960,MATCH(1266,Engine!$C$2:$C$1960,0)))</f>
        <v/>
      </c>
      <c r="B1279" s="8">
        <f>IF(ISNA(MATCH(1266,Engine!$C$2:$C$1960,0)),"",INDEX('Compliance Database'!$B$2:$B$1960,MATCH(1266,Engine!$C$2:$C$1960,0)))</f>
        <v/>
      </c>
      <c r="C1279" s="8">
        <f>IF(ISNA(MATCH(1266,Engine!$C$2:$C$1960,0)),"",INDEX('Compliance Database'!$C$2:$C$1960,MATCH(1266,Engine!$C$2:$C$1960,0)))</f>
        <v/>
      </c>
      <c r="D1279" s="9">
        <f>IF(ISNA(MATCH(1266,Engine!$C$2:$C$1960,0)),"",INDEX('Compliance Database'!$D$2:$D$1960,MATCH(1266,Engine!$C$2:$C$1960,0)))</f>
        <v/>
      </c>
      <c r="E1279" s="8">
        <f>IF(ISNA(MATCH(1266,Engine!$C$2:$C$1960,0)),"",INDEX('Compliance Database'!$E$2:$E$1960,MATCH(1266,Engine!$C$2:$C$1960,0)))</f>
        <v/>
      </c>
      <c r="F1279" s="8">
        <f>IF(ISNA(MATCH(1266,Engine!$C$2:$C$1960,0)),"",INDEX('Compliance Database'!$F$2:$F$1960,MATCH(1266,Engine!$C$2:$C$1960,0)))</f>
        <v/>
      </c>
      <c r="G1279" s="8">
        <f>IF(ISNA(MATCH(1266,Engine!$C$2:$C$1960,0)),"",INDEX('Compliance Database'!$G$2:$G$1960,MATCH(1266,Engine!$C$2:$C$1960,0)))</f>
        <v/>
      </c>
      <c r="H1279" s="9">
        <f>IF(ISNA(MATCH(1266,Engine!$C$2:$C$1960,0)),"",INDEX('Compliance Database'!$H$2:$H$1960,MATCH(1266,Engine!$C$2:$C$1960,0)))</f>
        <v/>
      </c>
      <c r="I1279" s="9">
        <f>IF(ISNA(MATCH(1266,Engine!$C$2:$C$1960,0)),"",INDEX('Compliance Database'!$I$2:$I$1960,MATCH(1266,Engine!$C$2:$C$1960,0)))</f>
        <v/>
      </c>
      <c r="J1279" s="8">
        <f>IF(ISNA(MATCH(1266,Engine!$C$2:$C$1960,0)),"",INDEX('Compliance Database'!$J$2:$J$1960,MATCH(1266,Engine!$C$2:$C$1960,0)))</f>
        <v/>
      </c>
      <c r="K1279" s="9">
        <f>IF(ISNA(MATCH(1266,Engine!$C$2:$C$1960,0)),"",INDEX('Compliance Database'!$K$2:$K$1960,MATCH(1266,Engine!$C$2:$C$1960,0)))</f>
        <v/>
      </c>
      <c r="L1279" s="9">
        <f>IF(ISNA(MATCH(1266,Engine!$C$2:$C$1960,0)),"",INDEX('Compliance Database'!$L$2:$L$1960,MATCH(1266,Engine!$C$2:$C$1960,0)))</f>
        <v/>
      </c>
      <c r="M1279" s="9">
        <f>IF(ISNA(MATCH(1266,Engine!$C$2:$C$1960,0)),"",INDEX('Compliance Database'!$M$2:$M$1960,MATCH(1266,Engine!$C$2:$C$1960,0)))</f>
        <v/>
      </c>
      <c r="N1279" s="9">
        <f>IF(ISNA(MATCH(1266,Engine!$C$2:$C$1960,0)),"",INDEX('Compliance Database'!$N$2:$N$1960,MATCH(1266,Engine!$C$2:$C$1960,0)))</f>
        <v/>
      </c>
      <c r="O1279" s="9">
        <f>IF(ISNA(MATCH(1266,Engine!$C$2:$C$1960,0)),"",INDEX('Compliance Database'!$O$2:$O$1960,MATCH(1266,Engine!$C$2:$C$1960,0)))</f>
        <v/>
      </c>
      <c r="P1279" s="8">
        <f>IF(ISNA(MATCH(1266,Engine!$C$2:$C$1960,0)),"",HYPERLINK("#Acts!A"&amp;INDEX('Compliance Database'!$P$2:$P$1960,MATCH(1266,Engine!$C$2:$C$1960,0)),"Go to Act"))</f>
        <v/>
      </c>
    </row>
    <row r="1280" ht="158" customHeight="1">
      <c r="A1280" s="8">
        <f>IF(ISNA(MATCH(1267,Engine!$C$2:$C$1960,0)),"",INDEX('Compliance Database'!$A$2:$A$1960,MATCH(1267,Engine!$C$2:$C$1960,0)))</f>
        <v/>
      </c>
      <c r="B1280" s="8">
        <f>IF(ISNA(MATCH(1267,Engine!$C$2:$C$1960,0)),"",INDEX('Compliance Database'!$B$2:$B$1960,MATCH(1267,Engine!$C$2:$C$1960,0)))</f>
        <v/>
      </c>
      <c r="C1280" s="8">
        <f>IF(ISNA(MATCH(1267,Engine!$C$2:$C$1960,0)),"",INDEX('Compliance Database'!$C$2:$C$1960,MATCH(1267,Engine!$C$2:$C$1960,0)))</f>
        <v/>
      </c>
      <c r="D1280" s="9">
        <f>IF(ISNA(MATCH(1267,Engine!$C$2:$C$1960,0)),"",INDEX('Compliance Database'!$D$2:$D$1960,MATCH(1267,Engine!$C$2:$C$1960,0)))</f>
        <v/>
      </c>
      <c r="E1280" s="8">
        <f>IF(ISNA(MATCH(1267,Engine!$C$2:$C$1960,0)),"",INDEX('Compliance Database'!$E$2:$E$1960,MATCH(1267,Engine!$C$2:$C$1960,0)))</f>
        <v/>
      </c>
      <c r="F1280" s="8">
        <f>IF(ISNA(MATCH(1267,Engine!$C$2:$C$1960,0)),"",INDEX('Compliance Database'!$F$2:$F$1960,MATCH(1267,Engine!$C$2:$C$1960,0)))</f>
        <v/>
      </c>
      <c r="G1280" s="8">
        <f>IF(ISNA(MATCH(1267,Engine!$C$2:$C$1960,0)),"",INDEX('Compliance Database'!$G$2:$G$1960,MATCH(1267,Engine!$C$2:$C$1960,0)))</f>
        <v/>
      </c>
      <c r="H1280" s="9">
        <f>IF(ISNA(MATCH(1267,Engine!$C$2:$C$1960,0)),"",INDEX('Compliance Database'!$H$2:$H$1960,MATCH(1267,Engine!$C$2:$C$1960,0)))</f>
        <v/>
      </c>
      <c r="I1280" s="9">
        <f>IF(ISNA(MATCH(1267,Engine!$C$2:$C$1960,0)),"",INDEX('Compliance Database'!$I$2:$I$1960,MATCH(1267,Engine!$C$2:$C$1960,0)))</f>
        <v/>
      </c>
      <c r="J1280" s="8">
        <f>IF(ISNA(MATCH(1267,Engine!$C$2:$C$1960,0)),"",INDEX('Compliance Database'!$J$2:$J$1960,MATCH(1267,Engine!$C$2:$C$1960,0)))</f>
        <v/>
      </c>
      <c r="K1280" s="9">
        <f>IF(ISNA(MATCH(1267,Engine!$C$2:$C$1960,0)),"",INDEX('Compliance Database'!$K$2:$K$1960,MATCH(1267,Engine!$C$2:$C$1960,0)))</f>
        <v/>
      </c>
      <c r="L1280" s="9">
        <f>IF(ISNA(MATCH(1267,Engine!$C$2:$C$1960,0)),"",INDEX('Compliance Database'!$L$2:$L$1960,MATCH(1267,Engine!$C$2:$C$1960,0)))</f>
        <v/>
      </c>
      <c r="M1280" s="9">
        <f>IF(ISNA(MATCH(1267,Engine!$C$2:$C$1960,0)),"",INDEX('Compliance Database'!$M$2:$M$1960,MATCH(1267,Engine!$C$2:$C$1960,0)))</f>
        <v/>
      </c>
      <c r="N1280" s="9">
        <f>IF(ISNA(MATCH(1267,Engine!$C$2:$C$1960,0)),"",INDEX('Compliance Database'!$N$2:$N$1960,MATCH(1267,Engine!$C$2:$C$1960,0)))</f>
        <v/>
      </c>
      <c r="O1280" s="9">
        <f>IF(ISNA(MATCH(1267,Engine!$C$2:$C$1960,0)),"",INDEX('Compliance Database'!$O$2:$O$1960,MATCH(1267,Engine!$C$2:$C$1960,0)))</f>
        <v/>
      </c>
      <c r="P1280" s="8">
        <f>IF(ISNA(MATCH(1267,Engine!$C$2:$C$1960,0)),"",HYPERLINK("#Acts!A"&amp;INDEX('Compliance Database'!$P$2:$P$1960,MATCH(1267,Engine!$C$2:$C$1960,0)),"Go to Act"))</f>
        <v/>
      </c>
    </row>
    <row r="1281" ht="158" customHeight="1">
      <c r="A1281" s="8">
        <f>IF(ISNA(MATCH(1268,Engine!$C$2:$C$1960,0)),"",INDEX('Compliance Database'!$A$2:$A$1960,MATCH(1268,Engine!$C$2:$C$1960,0)))</f>
        <v/>
      </c>
      <c r="B1281" s="8">
        <f>IF(ISNA(MATCH(1268,Engine!$C$2:$C$1960,0)),"",INDEX('Compliance Database'!$B$2:$B$1960,MATCH(1268,Engine!$C$2:$C$1960,0)))</f>
        <v/>
      </c>
      <c r="C1281" s="8">
        <f>IF(ISNA(MATCH(1268,Engine!$C$2:$C$1960,0)),"",INDEX('Compliance Database'!$C$2:$C$1960,MATCH(1268,Engine!$C$2:$C$1960,0)))</f>
        <v/>
      </c>
      <c r="D1281" s="9">
        <f>IF(ISNA(MATCH(1268,Engine!$C$2:$C$1960,0)),"",INDEX('Compliance Database'!$D$2:$D$1960,MATCH(1268,Engine!$C$2:$C$1960,0)))</f>
        <v/>
      </c>
      <c r="E1281" s="8">
        <f>IF(ISNA(MATCH(1268,Engine!$C$2:$C$1960,0)),"",INDEX('Compliance Database'!$E$2:$E$1960,MATCH(1268,Engine!$C$2:$C$1960,0)))</f>
        <v/>
      </c>
      <c r="F1281" s="8">
        <f>IF(ISNA(MATCH(1268,Engine!$C$2:$C$1960,0)),"",INDEX('Compliance Database'!$F$2:$F$1960,MATCH(1268,Engine!$C$2:$C$1960,0)))</f>
        <v/>
      </c>
      <c r="G1281" s="8">
        <f>IF(ISNA(MATCH(1268,Engine!$C$2:$C$1960,0)),"",INDEX('Compliance Database'!$G$2:$G$1960,MATCH(1268,Engine!$C$2:$C$1960,0)))</f>
        <v/>
      </c>
      <c r="H1281" s="9">
        <f>IF(ISNA(MATCH(1268,Engine!$C$2:$C$1960,0)),"",INDEX('Compliance Database'!$H$2:$H$1960,MATCH(1268,Engine!$C$2:$C$1960,0)))</f>
        <v/>
      </c>
      <c r="I1281" s="9">
        <f>IF(ISNA(MATCH(1268,Engine!$C$2:$C$1960,0)),"",INDEX('Compliance Database'!$I$2:$I$1960,MATCH(1268,Engine!$C$2:$C$1960,0)))</f>
        <v/>
      </c>
      <c r="J1281" s="8">
        <f>IF(ISNA(MATCH(1268,Engine!$C$2:$C$1960,0)),"",INDEX('Compliance Database'!$J$2:$J$1960,MATCH(1268,Engine!$C$2:$C$1960,0)))</f>
        <v/>
      </c>
      <c r="K1281" s="9">
        <f>IF(ISNA(MATCH(1268,Engine!$C$2:$C$1960,0)),"",INDEX('Compliance Database'!$K$2:$K$1960,MATCH(1268,Engine!$C$2:$C$1960,0)))</f>
        <v/>
      </c>
      <c r="L1281" s="9">
        <f>IF(ISNA(MATCH(1268,Engine!$C$2:$C$1960,0)),"",INDEX('Compliance Database'!$L$2:$L$1960,MATCH(1268,Engine!$C$2:$C$1960,0)))</f>
        <v/>
      </c>
      <c r="M1281" s="9">
        <f>IF(ISNA(MATCH(1268,Engine!$C$2:$C$1960,0)),"",INDEX('Compliance Database'!$M$2:$M$1960,MATCH(1268,Engine!$C$2:$C$1960,0)))</f>
        <v/>
      </c>
      <c r="N1281" s="9">
        <f>IF(ISNA(MATCH(1268,Engine!$C$2:$C$1960,0)),"",INDEX('Compliance Database'!$N$2:$N$1960,MATCH(1268,Engine!$C$2:$C$1960,0)))</f>
        <v/>
      </c>
      <c r="O1281" s="9">
        <f>IF(ISNA(MATCH(1268,Engine!$C$2:$C$1960,0)),"",INDEX('Compliance Database'!$O$2:$O$1960,MATCH(1268,Engine!$C$2:$C$1960,0)))</f>
        <v/>
      </c>
      <c r="P1281" s="8">
        <f>IF(ISNA(MATCH(1268,Engine!$C$2:$C$1960,0)),"",HYPERLINK("#Acts!A"&amp;INDEX('Compliance Database'!$P$2:$P$1960,MATCH(1268,Engine!$C$2:$C$1960,0)),"Go to Act"))</f>
        <v/>
      </c>
    </row>
    <row r="1282" ht="158" customHeight="1">
      <c r="A1282" s="8">
        <f>IF(ISNA(MATCH(1269,Engine!$C$2:$C$1960,0)),"",INDEX('Compliance Database'!$A$2:$A$1960,MATCH(1269,Engine!$C$2:$C$1960,0)))</f>
        <v/>
      </c>
      <c r="B1282" s="8">
        <f>IF(ISNA(MATCH(1269,Engine!$C$2:$C$1960,0)),"",INDEX('Compliance Database'!$B$2:$B$1960,MATCH(1269,Engine!$C$2:$C$1960,0)))</f>
        <v/>
      </c>
      <c r="C1282" s="8">
        <f>IF(ISNA(MATCH(1269,Engine!$C$2:$C$1960,0)),"",INDEX('Compliance Database'!$C$2:$C$1960,MATCH(1269,Engine!$C$2:$C$1960,0)))</f>
        <v/>
      </c>
      <c r="D1282" s="9">
        <f>IF(ISNA(MATCH(1269,Engine!$C$2:$C$1960,0)),"",INDEX('Compliance Database'!$D$2:$D$1960,MATCH(1269,Engine!$C$2:$C$1960,0)))</f>
        <v/>
      </c>
      <c r="E1282" s="8">
        <f>IF(ISNA(MATCH(1269,Engine!$C$2:$C$1960,0)),"",INDEX('Compliance Database'!$E$2:$E$1960,MATCH(1269,Engine!$C$2:$C$1960,0)))</f>
        <v/>
      </c>
      <c r="F1282" s="8">
        <f>IF(ISNA(MATCH(1269,Engine!$C$2:$C$1960,0)),"",INDEX('Compliance Database'!$F$2:$F$1960,MATCH(1269,Engine!$C$2:$C$1960,0)))</f>
        <v/>
      </c>
      <c r="G1282" s="8">
        <f>IF(ISNA(MATCH(1269,Engine!$C$2:$C$1960,0)),"",INDEX('Compliance Database'!$G$2:$G$1960,MATCH(1269,Engine!$C$2:$C$1960,0)))</f>
        <v/>
      </c>
      <c r="H1282" s="9">
        <f>IF(ISNA(MATCH(1269,Engine!$C$2:$C$1960,0)),"",INDEX('Compliance Database'!$H$2:$H$1960,MATCH(1269,Engine!$C$2:$C$1960,0)))</f>
        <v/>
      </c>
      <c r="I1282" s="9">
        <f>IF(ISNA(MATCH(1269,Engine!$C$2:$C$1960,0)),"",INDEX('Compliance Database'!$I$2:$I$1960,MATCH(1269,Engine!$C$2:$C$1960,0)))</f>
        <v/>
      </c>
      <c r="J1282" s="8">
        <f>IF(ISNA(MATCH(1269,Engine!$C$2:$C$1960,0)),"",INDEX('Compliance Database'!$J$2:$J$1960,MATCH(1269,Engine!$C$2:$C$1960,0)))</f>
        <v/>
      </c>
      <c r="K1282" s="9">
        <f>IF(ISNA(MATCH(1269,Engine!$C$2:$C$1960,0)),"",INDEX('Compliance Database'!$K$2:$K$1960,MATCH(1269,Engine!$C$2:$C$1960,0)))</f>
        <v/>
      </c>
      <c r="L1282" s="9">
        <f>IF(ISNA(MATCH(1269,Engine!$C$2:$C$1960,0)),"",INDEX('Compliance Database'!$L$2:$L$1960,MATCH(1269,Engine!$C$2:$C$1960,0)))</f>
        <v/>
      </c>
      <c r="M1282" s="9">
        <f>IF(ISNA(MATCH(1269,Engine!$C$2:$C$1960,0)),"",INDEX('Compliance Database'!$M$2:$M$1960,MATCH(1269,Engine!$C$2:$C$1960,0)))</f>
        <v/>
      </c>
      <c r="N1282" s="9">
        <f>IF(ISNA(MATCH(1269,Engine!$C$2:$C$1960,0)),"",INDEX('Compliance Database'!$N$2:$N$1960,MATCH(1269,Engine!$C$2:$C$1960,0)))</f>
        <v/>
      </c>
      <c r="O1282" s="9">
        <f>IF(ISNA(MATCH(1269,Engine!$C$2:$C$1960,0)),"",INDEX('Compliance Database'!$O$2:$O$1960,MATCH(1269,Engine!$C$2:$C$1960,0)))</f>
        <v/>
      </c>
      <c r="P1282" s="8">
        <f>IF(ISNA(MATCH(1269,Engine!$C$2:$C$1960,0)),"",HYPERLINK("#Acts!A"&amp;INDEX('Compliance Database'!$P$2:$P$1960,MATCH(1269,Engine!$C$2:$C$1960,0)),"Go to Act"))</f>
        <v/>
      </c>
    </row>
    <row r="1283" ht="158" customHeight="1">
      <c r="A1283" s="8">
        <f>IF(ISNA(MATCH(1270,Engine!$C$2:$C$1960,0)),"",INDEX('Compliance Database'!$A$2:$A$1960,MATCH(1270,Engine!$C$2:$C$1960,0)))</f>
        <v/>
      </c>
      <c r="B1283" s="8">
        <f>IF(ISNA(MATCH(1270,Engine!$C$2:$C$1960,0)),"",INDEX('Compliance Database'!$B$2:$B$1960,MATCH(1270,Engine!$C$2:$C$1960,0)))</f>
        <v/>
      </c>
      <c r="C1283" s="8">
        <f>IF(ISNA(MATCH(1270,Engine!$C$2:$C$1960,0)),"",INDEX('Compliance Database'!$C$2:$C$1960,MATCH(1270,Engine!$C$2:$C$1960,0)))</f>
        <v/>
      </c>
      <c r="D1283" s="9">
        <f>IF(ISNA(MATCH(1270,Engine!$C$2:$C$1960,0)),"",INDEX('Compliance Database'!$D$2:$D$1960,MATCH(1270,Engine!$C$2:$C$1960,0)))</f>
        <v/>
      </c>
      <c r="E1283" s="8">
        <f>IF(ISNA(MATCH(1270,Engine!$C$2:$C$1960,0)),"",INDEX('Compliance Database'!$E$2:$E$1960,MATCH(1270,Engine!$C$2:$C$1960,0)))</f>
        <v/>
      </c>
      <c r="F1283" s="8">
        <f>IF(ISNA(MATCH(1270,Engine!$C$2:$C$1960,0)),"",INDEX('Compliance Database'!$F$2:$F$1960,MATCH(1270,Engine!$C$2:$C$1960,0)))</f>
        <v/>
      </c>
      <c r="G1283" s="8">
        <f>IF(ISNA(MATCH(1270,Engine!$C$2:$C$1960,0)),"",INDEX('Compliance Database'!$G$2:$G$1960,MATCH(1270,Engine!$C$2:$C$1960,0)))</f>
        <v/>
      </c>
      <c r="H1283" s="9">
        <f>IF(ISNA(MATCH(1270,Engine!$C$2:$C$1960,0)),"",INDEX('Compliance Database'!$H$2:$H$1960,MATCH(1270,Engine!$C$2:$C$1960,0)))</f>
        <v/>
      </c>
      <c r="I1283" s="9">
        <f>IF(ISNA(MATCH(1270,Engine!$C$2:$C$1960,0)),"",INDEX('Compliance Database'!$I$2:$I$1960,MATCH(1270,Engine!$C$2:$C$1960,0)))</f>
        <v/>
      </c>
      <c r="J1283" s="8">
        <f>IF(ISNA(MATCH(1270,Engine!$C$2:$C$1960,0)),"",INDEX('Compliance Database'!$J$2:$J$1960,MATCH(1270,Engine!$C$2:$C$1960,0)))</f>
        <v/>
      </c>
      <c r="K1283" s="9">
        <f>IF(ISNA(MATCH(1270,Engine!$C$2:$C$1960,0)),"",INDEX('Compliance Database'!$K$2:$K$1960,MATCH(1270,Engine!$C$2:$C$1960,0)))</f>
        <v/>
      </c>
      <c r="L1283" s="9">
        <f>IF(ISNA(MATCH(1270,Engine!$C$2:$C$1960,0)),"",INDEX('Compliance Database'!$L$2:$L$1960,MATCH(1270,Engine!$C$2:$C$1960,0)))</f>
        <v/>
      </c>
      <c r="M1283" s="9">
        <f>IF(ISNA(MATCH(1270,Engine!$C$2:$C$1960,0)),"",INDEX('Compliance Database'!$M$2:$M$1960,MATCH(1270,Engine!$C$2:$C$1960,0)))</f>
        <v/>
      </c>
      <c r="N1283" s="9">
        <f>IF(ISNA(MATCH(1270,Engine!$C$2:$C$1960,0)),"",INDEX('Compliance Database'!$N$2:$N$1960,MATCH(1270,Engine!$C$2:$C$1960,0)))</f>
        <v/>
      </c>
      <c r="O1283" s="9">
        <f>IF(ISNA(MATCH(1270,Engine!$C$2:$C$1960,0)),"",INDEX('Compliance Database'!$O$2:$O$1960,MATCH(1270,Engine!$C$2:$C$1960,0)))</f>
        <v/>
      </c>
      <c r="P1283" s="8">
        <f>IF(ISNA(MATCH(1270,Engine!$C$2:$C$1960,0)),"",HYPERLINK("#Acts!A"&amp;INDEX('Compliance Database'!$P$2:$P$1960,MATCH(1270,Engine!$C$2:$C$1960,0)),"Go to Act"))</f>
        <v/>
      </c>
    </row>
    <row r="1284" ht="158" customHeight="1">
      <c r="A1284" s="8">
        <f>IF(ISNA(MATCH(1271,Engine!$C$2:$C$1960,0)),"",INDEX('Compliance Database'!$A$2:$A$1960,MATCH(1271,Engine!$C$2:$C$1960,0)))</f>
        <v/>
      </c>
      <c r="B1284" s="8">
        <f>IF(ISNA(MATCH(1271,Engine!$C$2:$C$1960,0)),"",INDEX('Compliance Database'!$B$2:$B$1960,MATCH(1271,Engine!$C$2:$C$1960,0)))</f>
        <v/>
      </c>
      <c r="C1284" s="8">
        <f>IF(ISNA(MATCH(1271,Engine!$C$2:$C$1960,0)),"",INDEX('Compliance Database'!$C$2:$C$1960,MATCH(1271,Engine!$C$2:$C$1960,0)))</f>
        <v/>
      </c>
      <c r="D1284" s="9">
        <f>IF(ISNA(MATCH(1271,Engine!$C$2:$C$1960,0)),"",INDEX('Compliance Database'!$D$2:$D$1960,MATCH(1271,Engine!$C$2:$C$1960,0)))</f>
        <v/>
      </c>
      <c r="E1284" s="8">
        <f>IF(ISNA(MATCH(1271,Engine!$C$2:$C$1960,0)),"",INDEX('Compliance Database'!$E$2:$E$1960,MATCH(1271,Engine!$C$2:$C$1960,0)))</f>
        <v/>
      </c>
      <c r="F1284" s="8">
        <f>IF(ISNA(MATCH(1271,Engine!$C$2:$C$1960,0)),"",INDEX('Compliance Database'!$F$2:$F$1960,MATCH(1271,Engine!$C$2:$C$1960,0)))</f>
        <v/>
      </c>
      <c r="G1284" s="8">
        <f>IF(ISNA(MATCH(1271,Engine!$C$2:$C$1960,0)),"",INDEX('Compliance Database'!$G$2:$G$1960,MATCH(1271,Engine!$C$2:$C$1960,0)))</f>
        <v/>
      </c>
      <c r="H1284" s="9">
        <f>IF(ISNA(MATCH(1271,Engine!$C$2:$C$1960,0)),"",INDEX('Compliance Database'!$H$2:$H$1960,MATCH(1271,Engine!$C$2:$C$1960,0)))</f>
        <v/>
      </c>
      <c r="I1284" s="9">
        <f>IF(ISNA(MATCH(1271,Engine!$C$2:$C$1960,0)),"",INDEX('Compliance Database'!$I$2:$I$1960,MATCH(1271,Engine!$C$2:$C$1960,0)))</f>
        <v/>
      </c>
      <c r="J1284" s="8">
        <f>IF(ISNA(MATCH(1271,Engine!$C$2:$C$1960,0)),"",INDEX('Compliance Database'!$J$2:$J$1960,MATCH(1271,Engine!$C$2:$C$1960,0)))</f>
        <v/>
      </c>
      <c r="K1284" s="9">
        <f>IF(ISNA(MATCH(1271,Engine!$C$2:$C$1960,0)),"",INDEX('Compliance Database'!$K$2:$K$1960,MATCH(1271,Engine!$C$2:$C$1960,0)))</f>
        <v/>
      </c>
      <c r="L1284" s="9">
        <f>IF(ISNA(MATCH(1271,Engine!$C$2:$C$1960,0)),"",INDEX('Compliance Database'!$L$2:$L$1960,MATCH(1271,Engine!$C$2:$C$1960,0)))</f>
        <v/>
      </c>
      <c r="M1284" s="9">
        <f>IF(ISNA(MATCH(1271,Engine!$C$2:$C$1960,0)),"",INDEX('Compliance Database'!$M$2:$M$1960,MATCH(1271,Engine!$C$2:$C$1960,0)))</f>
        <v/>
      </c>
      <c r="N1284" s="9">
        <f>IF(ISNA(MATCH(1271,Engine!$C$2:$C$1960,0)),"",INDEX('Compliance Database'!$N$2:$N$1960,MATCH(1271,Engine!$C$2:$C$1960,0)))</f>
        <v/>
      </c>
      <c r="O1284" s="9">
        <f>IF(ISNA(MATCH(1271,Engine!$C$2:$C$1960,0)),"",INDEX('Compliance Database'!$O$2:$O$1960,MATCH(1271,Engine!$C$2:$C$1960,0)))</f>
        <v/>
      </c>
      <c r="P1284" s="8">
        <f>IF(ISNA(MATCH(1271,Engine!$C$2:$C$1960,0)),"",HYPERLINK("#Acts!A"&amp;INDEX('Compliance Database'!$P$2:$P$1960,MATCH(1271,Engine!$C$2:$C$1960,0)),"Go to Act"))</f>
        <v/>
      </c>
    </row>
    <row r="1285" ht="158" customHeight="1">
      <c r="A1285" s="8">
        <f>IF(ISNA(MATCH(1272,Engine!$C$2:$C$1960,0)),"",INDEX('Compliance Database'!$A$2:$A$1960,MATCH(1272,Engine!$C$2:$C$1960,0)))</f>
        <v/>
      </c>
      <c r="B1285" s="8">
        <f>IF(ISNA(MATCH(1272,Engine!$C$2:$C$1960,0)),"",INDEX('Compliance Database'!$B$2:$B$1960,MATCH(1272,Engine!$C$2:$C$1960,0)))</f>
        <v/>
      </c>
      <c r="C1285" s="8">
        <f>IF(ISNA(MATCH(1272,Engine!$C$2:$C$1960,0)),"",INDEX('Compliance Database'!$C$2:$C$1960,MATCH(1272,Engine!$C$2:$C$1960,0)))</f>
        <v/>
      </c>
      <c r="D1285" s="9">
        <f>IF(ISNA(MATCH(1272,Engine!$C$2:$C$1960,0)),"",INDEX('Compliance Database'!$D$2:$D$1960,MATCH(1272,Engine!$C$2:$C$1960,0)))</f>
        <v/>
      </c>
      <c r="E1285" s="8">
        <f>IF(ISNA(MATCH(1272,Engine!$C$2:$C$1960,0)),"",INDEX('Compliance Database'!$E$2:$E$1960,MATCH(1272,Engine!$C$2:$C$1960,0)))</f>
        <v/>
      </c>
      <c r="F1285" s="8">
        <f>IF(ISNA(MATCH(1272,Engine!$C$2:$C$1960,0)),"",INDEX('Compliance Database'!$F$2:$F$1960,MATCH(1272,Engine!$C$2:$C$1960,0)))</f>
        <v/>
      </c>
      <c r="G1285" s="8">
        <f>IF(ISNA(MATCH(1272,Engine!$C$2:$C$1960,0)),"",INDEX('Compliance Database'!$G$2:$G$1960,MATCH(1272,Engine!$C$2:$C$1960,0)))</f>
        <v/>
      </c>
      <c r="H1285" s="9">
        <f>IF(ISNA(MATCH(1272,Engine!$C$2:$C$1960,0)),"",INDEX('Compliance Database'!$H$2:$H$1960,MATCH(1272,Engine!$C$2:$C$1960,0)))</f>
        <v/>
      </c>
      <c r="I1285" s="9">
        <f>IF(ISNA(MATCH(1272,Engine!$C$2:$C$1960,0)),"",INDEX('Compliance Database'!$I$2:$I$1960,MATCH(1272,Engine!$C$2:$C$1960,0)))</f>
        <v/>
      </c>
      <c r="J1285" s="8">
        <f>IF(ISNA(MATCH(1272,Engine!$C$2:$C$1960,0)),"",INDEX('Compliance Database'!$J$2:$J$1960,MATCH(1272,Engine!$C$2:$C$1960,0)))</f>
        <v/>
      </c>
      <c r="K1285" s="9">
        <f>IF(ISNA(MATCH(1272,Engine!$C$2:$C$1960,0)),"",INDEX('Compliance Database'!$K$2:$K$1960,MATCH(1272,Engine!$C$2:$C$1960,0)))</f>
        <v/>
      </c>
      <c r="L1285" s="9">
        <f>IF(ISNA(MATCH(1272,Engine!$C$2:$C$1960,0)),"",INDEX('Compliance Database'!$L$2:$L$1960,MATCH(1272,Engine!$C$2:$C$1960,0)))</f>
        <v/>
      </c>
      <c r="M1285" s="9">
        <f>IF(ISNA(MATCH(1272,Engine!$C$2:$C$1960,0)),"",INDEX('Compliance Database'!$M$2:$M$1960,MATCH(1272,Engine!$C$2:$C$1960,0)))</f>
        <v/>
      </c>
      <c r="N1285" s="9">
        <f>IF(ISNA(MATCH(1272,Engine!$C$2:$C$1960,0)),"",INDEX('Compliance Database'!$N$2:$N$1960,MATCH(1272,Engine!$C$2:$C$1960,0)))</f>
        <v/>
      </c>
      <c r="O1285" s="9">
        <f>IF(ISNA(MATCH(1272,Engine!$C$2:$C$1960,0)),"",INDEX('Compliance Database'!$O$2:$O$1960,MATCH(1272,Engine!$C$2:$C$1960,0)))</f>
        <v/>
      </c>
      <c r="P1285" s="8">
        <f>IF(ISNA(MATCH(1272,Engine!$C$2:$C$1960,0)),"",HYPERLINK("#Acts!A"&amp;INDEX('Compliance Database'!$P$2:$P$1960,MATCH(1272,Engine!$C$2:$C$1960,0)),"Go to Act"))</f>
        <v/>
      </c>
    </row>
    <row r="1286" ht="158" customHeight="1">
      <c r="A1286" s="8">
        <f>IF(ISNA(MATCH(1273,Engine!$C$2:$C$1960,0)),"",INDEX('Compliance Database'!$A$2:$A$1960,MATCH(1273,Engine!$C$2:$C$1960,0)))</f>
        <v/>
      </c>
      <c r="B1286" s="8">
        <f>IF(ISNA(MATCH(1273,Engine!$C$2:$C$1960,0)),"",INDEX('Compliance Database'!$B$2:$B$1960,MATCH(1273,Engine!$C$2:$C$1960,0)))</f>
        <v/>
      </c>
      <c r="C1286" s="8">
        <f>IF(ISNA(MATCH(1273,Engine!$C$2:$C$1960,0)),"",INDEX('Compliance Database'!$C$2:$C$1960,MATCH(1273,Engine!$C$2:$C$1960,0)))</f>
        <v/>
      </c>
      <c r="D1286" s="9">
        <f>IF(ISNA(MATCH(1273,Engine!$C$2:$C$1960,0)),"",INDEX('Compliance Database'!$D$2:$D$1960,MATCH(1273,Engine!$C$2:$C$1960,0)))</f>
        <v/>
      </c>
      <c r="E1286" s="8">
        <f>IF(ISNA(MATCH(1273,Engine!$C$2:$C$1960,0)),"",INDEX('Compliance Database'!$E$2:$E$1960,MATCH(1273,Engine!$C$2:$C$1960,0)))</f>
        <v/>
      </c>
      <c r="F1286" s="8">
        <f>IF(ISNA(MATCH(1273,Engine!$C$2:$C$1960,0)),"",INDEX('Compliance Database'!$F$2:$F$1960,MATCH(1273,Engine!$C$2:$C$1960,0)))</f>
        <v/>
      </c>
      <c r="G1286" s="8">
        <f>IF(ISNA(MATCH(1273,Engine!$C$2:$C$1960,0)),"",INDEX('Compliance Database'!$G$2:$G$1960,MATCH(1273,Engine!$C$2:$C$1960,0)))</f>
        <v/>
      </c>
      <c r="H1286" s="9">
        <f>IF(ISNA(MATCH(1273,Engine!$C$2:$C$1960,0)),"",INDEX('Compliance Database'!$H$2:$H$1960,MATCH(1273,Engine!$C$2:$C$1960,0)))</f>
        <v/>
      </c>
      <c r="I1286" s="9">
        <f>IF(ISNA(MATCH(1273,Engine!$C$2:$C$1960,0)),"",INDEX('Compliance Database'!$I$2:$I$1960,MATCH(1273,Engine!$C$2:$C$1960,0)))</f>
        <v/>
      </c>
      <c r="J1286" s="8">
        <f>IF(ISNA(MATCH(1273,Engine!$C$2:$C$1960,0)),"",INDEX('Compliance Database'!$J$2:$J$1960,MATCH(1273,Engine!$C$2:$C$1960,0)))</f>
        <v/>
      </c>
      <c r="K1286" s="9">
        <f>IF(ISNA(MATCH(1273,Engine!$C$2:$C$1960,0)),"",INDEX('Compliance Database'!$K$2:$K$1960,MATCH(1273,Engine!$C$2:$C$1960,0)))</f>
        <v/>
      </c>
      <c r="L1286" s="9">
        <f>IF(ISNA(MATCH(1273,Engine!$C$2:$C$1960,0)),"",INDEX('Compliance Database'!$L$2:$L$1960,MATCH(1273,Engine!$C$2:$C$1960,0)))</f>
        <v/>
      </c>
      <c r="M1286" s="9">
        <f>IF(ISNA(MATCH(1273,Engine!$C$2:$C$1960,0)),"",INDEX('Compliance Database'!$M$2:$M$1960,MATCH(1273,Engine!$C$2:$C$1960,0)))</f>
        <v/>
      </c>
      <c r="N1286" s="9">
        <f>IF(ISNA(MATCH(1273,Engine!$C$2:$C$1960,0)),"",INDEX('Compliance Database'!$N$2:$N$1960,MATCH(1273,Engine!$C$2:$C$1960,0)))</f>
        <v/>
      </c>
      <c r="O1286" s="9">
        <f>IF(ISNA(MATCH(1273,Engine!$C$2:$C$1960,0)),"",INDEX('Compliance Database'!$O$2:$O$1960,MATCH(1273,Engine!$C$2:$C$1960,0)))</f>
        <v/>
      </c>
      <c r="P1286" s="8">
        <f>IF(ISNA(MATCH(1273,Engine!$C$2:$C$1960,0)),"",HYPERLINK("#Acts!A"&amp;INDEX('Compliance Database'!$P$2:$P$1960,MATCH(1273,Engine!$C$2:$C$1960,0)),"Go to Act"))</f>
        <v/>
      </c>
    </row>
    <row r="1287" ht="158" customHeight="1">
      <c r="A1287" s="8">
        <f>IF(ISNA(MATCH(1274,Engine!$C$2:$C$1960,0)),"",INDEX('Compliance Database'!$A$2:$A$1960,MATCH(1274,Engine!$C$2:$C$1960,0)))</f>
        <v/>
      </c>
      <c r="B1287" s="8">
        <f>IF(ISNA(MATCH(1274,Engine!$C$2:$C$1960,0)),"",INDEX('Compliance Database'!$B$2:$B$1960,MATCH(1274,Engine!$C$2:$C$1960,0)))</f>
        <v/>
      </c>
      <c r="C1287" s="8">
        <f>IF(ISNA(MATCH(1274,Engine!$C$2:$C$1960,0)),"",INDEX('Compliance Database'!$C$2:$C$1960,MATCH(1274,Engine!$C$2:$C$1960,0)))</f>
        <v/>
      </c>
      <c r="D1287" s="9">
        <f>IF(ISNA(MATCH(1274,Engine!$C$2:$C$1960,0)),"",INDEX('Compliance Database'!$D$2:$D$1960,MATCH(1274,Engine!$C$2:$C$1960,0)))</f>
        <v/>
      </c>
      <c r="E1287" s="8">
        <f>IF(ISNA(MATCH(1274,Engine!$C$2:$C$1960,0)),"",INDEX('Compliance Database'!$E$2:$E$1960,MATCH(1274,Engine!$C$2:$C$1960,0)))</f>
        <v/>
      </c>
      <c r="F1287" s="8">
        <f>IF(ISNA(MATCH(1274,Engine!$C$2:$C$1960,0)),"",INDEX('Compliance Database'!$F$2:$F$1960,MATCH(1274,Engine!$C$2:$C$1960,0)))</f>
        <v/>
      </c>
      <c r="G1287" s="8">
        <f>IF(ISNA(MATCH(1274,Engine!$C$2:$C$1960,0)),"",INDEX('Compliance Database'!$G$2:$G$1960,MATCH(1274,Engine!$C$2:$C$1960,0)))</f>
        <v/>
      </c>
      <c r="H1287" s="9">
        <f>IF(ISNA(MATCH(1274,Engine!$C$2:$C$1960,0)),"",INDEX('Compliance Database'!$H$2:$H$1960,MATCH(1274,Engine!$C$2:$C$1960,0)))</f>
        <v/>
      </c>
      <c r="I1287" s="9">
        <f>IF(ISNA(MATCH(1274,Engine!$C$2:$C$1960,0)),"",INDEX('Compliance Database'!$I$2:$I$1960,MATCH(1274,Engine!$C$2:$C$1960,0)))</f>
        <v/>
      </c>
      <c r="J1287" s="8">
        <f>IF(ISNA(MATCH(1274,Engine!$C$2:$C$1960,0)),"",INDEX('Compliance Database'!$J$2:$J$1960,MATCH(1274,Engine!$C$2:$C$1960,0)))</f>
        <v/>
      </c>
      <c r="K1287" s="9">
        <f>IF(ISNA(MATCH(1274,Engine!$C$2:$C$1960,0)),"",INDEX('Compliance Database'!$K$2:$K$1960,MATCH(1274,Engine!$C$2:$C$1960,0)))</f>
        <v/>
      </c>
      <c r="L1287" s="9">
        <f>IF(ISNA(MATCH(1274,Engine!$C$2:$C$1960,0)),"",INDEX('Compliance Database'!$L$2:$L$1960,MATCH(1274,Engine!$C$2:$C$1960,0)))</f>
        <v/>
      </c>
      <c r="M1287" s="9">
        <f>IF(ISNA(MATCH(1274,Engine!$C$2:$C$1960,0)),"",INDEX('Compliance Database'!$M$2:$M$1960,MATCH(1274,Engine!$C$2:$C$1960,0)))</f>
        <v/>
      </c>
      <c r="N1287" s="9">
        <f>IF(ISNA(MATCH(1274,Engine!$C$2:$C$1960,0)),"",INDEX('Compliance Database'!$N$2:$N$1960,MATCH(1274,Engine!$C$2:$C$1960,0)))</f>
        <v/>
      </c>
      <c r="O1287" s="9">
        <f>IF(ISNA(MATCH(1274,Engine!$C$2:$C$1960,0)),"",INDEX('Compliance Database'!$O$2:$O$1960,MATCH(1274,Engine!$C$2:$C$1960,0)))</f>
        <v/>
      </c>
      <c r="P1287" s="8">
        <f>IF(ISNA(MATCH(1274,Engine!$C$2:$C$1960,0)),"",HYPERLINK("#Acts!A"&amp;INDEX('Compliance Database'!$P$2:$P$1960,MATCH(1274,Engine!$C$2:$C$1960,0)),"Go to Act"))</f>
        <v/>
      </c>
    </row>
    <row r="1288" ht="158" customHeight="1">
      <c r="A1288" s="8">
        <f>IF(ISNA(MATCH(1275,Engine!$C$2:$C$1960,0)),"",INDEX('Compliance Database'!$A$2:$A$1960,MATCH(1275,Engine!$C$2:$C$1960,0)))</f>
        <v/>
      </c>
      <c r="B1288" s="8">
        <f>IF(ISNA(MATCH(1275,Engine!$C$2:$C$1960,0)),"",INDEX('Compliance Database'!$B$2:$B$1960,MATCH(1275,Engine!$C$2:$C$1960,0)))</f>
        <v/>
      </c>
      <c r="C1288" s="8">
        <f>IF(ISNA(MATCH(1275,Engine!$C$2:$C$1960,0)),"",INDEX('Compliance Database'!$C$2:$C$1960,MATCH(1275,Engine!$C$2:$C$1960,0)))</f>
        <v/>
      </c>
      <c r="D1288" s="9">
        <f>IF(ISNA(MATCH(1275,Engine!$C$2:$C$1960,0)),"",INDEX('Compliance Database'!$D$2:$D$1960,MATCH(1275,Engine!$C$2:$C$1960,0)))</f>
        <v/>
      </c>
      <c r="E1288" s="8">
        <f>IF(ISNA(MATCH(1275,Engine!$C$2:$C$1960,0)),"",INDEX('Compliance Database'!$E$2:$E$1960,MATCH(1275,Engine!$C$2:$C$1960,0)))</f>
        <v/>
      </c>
      <c r="F1288" s="8">
        <f>IF(ISNA(MATCH(1275,Engine!$C$2:$C$1960,0)),"",INDEX('Compliance Database'!$F$2:$F$1960,MATCH(1275,Engine!$C$2:$C$1960,0)))</f>
        <v/>
      </c>
      <c r="G1288" s="8">
        <f>IF(ISNA(MATCH(1275,Engine!$C$2:$C$1960,0)),"",INDEX('Compliance Database'!$G$2:$G$1960,MATCH(1275,Engine!$C$2:$C$1960,0)))</f>
        <v/>
      </c>
      <c r="H1288" s="9">
        <f>IF(ISNA(MATCH(1275,Engine!$C$2:$C$1960,0)),"",INDEX('Compliance Database'!$H$2:$H$1960,MATCH(1275,Engine!$C$2:$C$1960,0)))</f>
        <v/>
      </c>
      <c r="I1288" s="9">
        <f>IF(ISNA(MATCH(1275,Engine!$C$2:$C$1960,0)),"",INDEX('Compliance Database'!$I$2:$I$1960,MATCH(1275,Engine!$C$2:$C$1960,0)))</f>
        <v/>
      </c>
      <c r="J1288" s="8">
        <f>IF(ISNA(MATCH(1275,Engine!$C$2:$C$1960,0)),"",INDEX('Compliance Database'!$J$2:$J$1960,MATCH(1275,Engine!$C$2:$C$1960,0)))</f>
        <v/>
      </c>
      <c r="K1288" s="9">
        <f>IF(ISNA(MATCH(1275,Engine!$C$2:$C$1960,0)),"",INDEX('Compliance Database'!$K$2:$K$1960,MATCH(1275,Engine!$C$2:$C$1960,0)))</f>
        <v/>
      </c>
      <c r="L1288" s="9">
        <f>IF(ISNA(MATCH(1275,Engine!$C$2:$C$1960,0)),"",INDEX('Compliance Database'!$L$2:$L$1960,MATCH(1275,Engine!$C$2:$C$1960,0)))</f>
        <v/>
      </c>
      <c r="M1288" s="9">
        <f>IF(ISNA(MATCH(1275,Engine!$C$2:$C$1960,0)),"",INDEX('Compliance Database'!$M$2:$M$1960,MATCH(1275,Engine!$C$2:$C$1960,0)))</f>
        <v/>
      </c>
      <c r="N1288" s="9">
        <f>IF(ISNA(MATCH(1275,Engine!$C$2:$C$1960,0)),"",INDEX('Compliance Database'!$N$2:$N$1960,MATCH(1275,Engine!$C$2:$C$1960,0)))</f>
        <v/>
      </c>
      <c r="O1288" s="9">
        <f>IF(ISNA(MATCH(1275,Engine!$C$2:$C$1960,0)),"",INDEX('Compliance Database'!$O$2:$O$1960,MATCH(1275,Engine!$C$2:$C$1960,0)))</f>
        <v/>
      </c>
      <c r="P1288" s="8">
        <f>IF(ISNA(MATCH(1275,Engine!$C$2:$C$1960,0)),"",HYPERLINK("#Acts!A"&amp;INDEX('Compliance Database'!$P$2:$P$1960,MATCH(1275,Engine!$C$2:$C$1960,0)),"Go to Act"))</f>
        <v/>
      </c>
    </row>
    <row r="1289" ht="158" customHeight="1">
      <c r="A1289" s="8">
        <f>IF(ISNA(MATCH(1276,Engine!$C$2:$C$1960,0)),"",INDEX('Compliance Database'!$A$2:$A$1960,MATCH(1276,Engine!$C$2:$C$1960,0)))</f>
        <v/>
      </c>
      <c r="B1289" s="8">
        <f>IF(ISNA(MATCH(1276,Engine!$C$2:$C$1960,0)),"",INDEX('Compliance Database'!$B$2:$B$1960,MATCH(1276,Engine!$C$2:$C$1960,0)))</f>
        <v/>
      </c>
      <c r="C1289" s="8">
        <f>IF(ISNA(MATCH(1276,Engine!$C$2:$C$1960,0)),"",INDEX('Compliance Database'!$C$2:$C$1960,MATCH(1276,Engine!$C$2:$C$1960,0)))</f>
        <v/>
      </c>
      <c r="D1289" s="9">
        <f>IF(ISNA(MATCH(1276,Engine!$C$2:$C$1960,0)),"",INDEX('Compliance Database'!$D$2:$D$1960,MATCH(1276,Engine!$C$2:$C$1960,0)))</f>
        <v/>
      </c>
      <c r="E1289" s="8">
        <f>IF(ISNA(MATCH(1276,Engine!$C$2:$C$1960,0)),"",INDEX('Compliance Database'!$E$2:$E$1960,MATCH(1276,Engine!$C$2:$C$1960,0)))</f>
        <v/>
      </c>
      <c r="F1289" s="8">
        <f>IF(ISNA(MATCH(1276,Engine!$C$2:$C$1960,0)),"",INDEX('Compliance Database'!$F$2:$F$1960,MATCH(1276,Engine!$C$2:$C$1960,0)))</f>
        <v/>
      </c>
      <c r="G1289" s="8">
        <f>IF(ISNA(MATCH(1276,Engine!$C$2:$C$1960,0)),"",INDEX('Compliance Database'!$G$2:$G$1960,MATCH(1276,Engine!$C$2:$C$1960,0)))</f>
        <v/>
      </c>
      <c r="H1289" s="9">
        <f>IF(ISNA(MATCH(1276,Engine!$C$2:$C$1960,0)),"",INDEX('Compliance Database'!$H$2:$H$1960,MATCH(1276,Engine!$C$2:$C$1960,0)))</f>
        <v/>
      </c>
      <c r="I1289" s="9">
        <f>IF(ISNA(MATCH(1276,Engine!$C$2:$C$1960,0)),"",INDEX('Compliance Database'!$I$2:$I$1960,MATCH(1276,Engine!$C$2:$C$1960,0)))</f>
        <v/>
      </c>
      <c r="J1289" s="8">
        <f>IF(ISNA(MATCH(1276,Engine!$C$2:$C$1960,0)),"",INDEX('Compliance Database'!$J$2:$J$1960,MATCH(1276,Engine!$C$2:$C$1960,0)))</f>
        <v/>
      </c>
      <c r="K1289" s="9">
        <f>IF(ISNA(MATCH(1276,Engine!$C$2:$C$1960,0)),"",INDEX('Compliance Database'!$K$2:$K$1960,MATCH(1276,Engine!$C$2:$C$1960,0)))</f>
        <v/>
      </c>
      <c r="L1289" s="9">
        <f>IF(ISNA(MATCH(1276,Engine!$C$2:$C$1960,0)),"",INDEX('Compliance Database'!$L$2:$L$1960,MATCH(1276,Engine!$C$2:$C$1960,0)))</f>
        <v/>
      </c>
      <c r="M1289" s="9">
        <f>IF(ISNA(MATCH(1276,Engine!$C$2:$C$1960,0)),"",INDEX('Compliance Database'!$M$2:$M$1960,MATCH(1276,Engine!$C$2:$C$1960,0)))</f>
        <v/>
      </c>
      <c r="N1289" s="9">
        <f>IF(ISNA(MATCH(1276,Engine!$C$2:$C$1960,0)),"",INDEX('Compliance Database'!$N$2:$N$1960,MATCH(1276,Engine!$C$2:$C$1960,0)))</f>
        <v/>
      </c>
      <c r="O1289" s="9">
        <f>IF(ISNA(MATCH(1276,Engine!$C$2:$C$1960,0)),"",INDEX('Compliance Database'!$O$2:$O$1960,MATCH(1276,Engine!$C$2:$C$1960,0)))</f>
        <v/>
      </c>
      <c r="P1289" s="8">
        <f>IF(ISNA(MATCH(1276,Engine!$C$2:$C$1960,0)),"",HYPERLINK("#Acts!A"&amp;INDEX('Compliance Database'!$P$2:$P$1960,MATCH(1276,Engine!$C$2:$C$1960,0)),"Go to Act"))</f>
        <v/>
      </c>
    </row>
    <row r="1290" ht="158" customHeight="1">
      <c r="A1290" s="8">
        <f>IF(ISNA(MATCH(1277,Engine!$C$2:$C$1960,0)),"",INDEX('Compliance Database'!$A$2:$A$1960,MATCH(1277,Engine!$C$2:$C$1960,0)))</f>
        <v/>
      </c>
      <c r="B1290" s="8">
        <f>IF(ISNA(MATCH(1277,Engine!$C$2:$C$1960,0)),"",INDEX('Compliance Database'!$B$2:$B$1960,MATCH(1277,Engine!$C$2:$C$1960,0)))</f>
        <v/>
      </c>
      <c r="C1290" s="8">
        <f>IF(ISNA(MATCH(1277,Engine!$C$2:$C$1960,0)),"",INDEX('Compliance Database'!$C$2:$C$1960,MATCH(1277,Engine!$C$2:$C$1960,0)))</f>
        <v/>
      </c>
      <c r="D1290" s="9">
        <f>IF(ISNA(MATCH(1277,Engine!$C$2:$C$1960,0)),"",INDEX('Compliance Database'!$D$2:$D$1960,MATCH(1277,Engine!$C$2:$C$1960,0)))</f>
        <v/>
      </c>
      <c r="E1290" s="8">
        <f>IF(ISNA(MATCH(1277,Engine!$C$2:$C$1960,0)),"",INDEX('Compliance Database'!$E$2:$E$1960,MATCH(1277,Engine!$C$2:$C$1960,0)))</f>
        <v/>
      </c>
      <c r="F1290" s="8">
        <f>IF(ISNA(MATCH(1277,Engine!$C$2:$C$1960,0)),"",INDEX('Compliance Database'!$F$2:$F$1960,MATCH(1277,Engine!$C$2:$C$1960,0)))</f>
        <v/>
      </c>
      <c r="G1290" s="8">
        <f>IF(ISNA(MATCH(1277,Engine!$C$2:$C$1960,0)),"",INDEX('Compliance Database'!$G$2:$G$1960,MATCH(1277,Engine!$C$2:$C$1960,0)))</f>
        <v/>
      </c>
      <c r="H1290" s="9">
        <f>IF(ISNA(MATCH(1277,Engine!$C$2:$C$1960,0)),"",INDEX('Compliance Database'!$H$2:$H$1960,MATCH(1277,Engine!$C$2:$C$1960,0)))</f>
        <v/>
      </c>
      <c r="I1290" s="9">
        <f>IF(ISNA(MATCH(1277,Engine!$C$2:$C$1960,0)),"",INDEX('Compliance Database'!$I$2:$I$1960,MATCH(1277,Engine!$C$2:$C$1960,0)))</f>
        <v/>
      </c>
      <c r="J1290" s="8">
        <f>IF(ISNA(MATCH(1277,Engine!$C$2:$C$1960,0)),"",INDEX('Compliance Database'!$J$2:$J$1960,MATCH(1277,Engine!$C$2:$C$1960,0)))</f>
        <v/>
      </c>
      <c r="K1290" s="9">
        <f>IF(ISNA(MATCH(1277,Engine!$C$2:$C$1960,0)),"",INDEX('Compliance Database'!$K$2:$K$1960,MATCH(1277,Engine!$C$2:$C$1960,0)))</f>
        <v/>
      </c>
      <c r="L1290" s="9">
        <f>IF(ISNA(MATCH(1277,Engine!$C$2:$C$1960,0)),"",INDEX('Compliance Database'!$L$2:$L$1960,MATCH(1277,Engine!$C$2:$C$1960,0)))</f>
        <v/>
      </c>
      <c r="M1290" s="9">
        <f>IF(ISNA(MATCH(1277,Engine!$C$2:$C$1960,0)),"",INDEX('Compliance Database'!$M$2:$M$1960,MATCH(1277,Engine!$C$2:$C$1960,0)))</f>
        <v/>
      </c>
      <c r="N1290" s="9">
        <f>IF(ISNA(MATCH(1277,Engine!$C$2:$C$1960,0)),"",INDEX('Compliance Database'!$N$2:$N$1960,MATCH(1277,Engine!$C$2:$C$1960,0)))</f>
        <v/>
      </c>
      <c r="O1290" s="9">
        <f>IF(ISNA(MATCH(1277,Engine!$C$2:$C$1960,0)),"",INDEX('Compliance Database'!$O$2:$O$1960,MATCH(1277,Engine!$C$2:$C$1960,0)))</f>
        <v/>
      </c>
      <c r="P1290" s="8">
        <f>IF(ISNA(MATCH(1277,Engine!$C$2:$C$1960,0)),"",HYPERLINK("#Acts!A"&amp;INDEX('Compliance Database'!$P$2:$P$1960,MATCH(1277,Engine!$C$2:$C$1960,0)),"Go to Act"))</f>
        <v/>
      </c>
    </row>
    <row r="1291" ht="158" customHeight="1">
      <c r="A1291" s="8">
        <f>IF(ISNA(MATCH(1278,Engine!$C$2:$C$1960,0)),"",INDEX('Compliance Database'!$A$2:$A$1960,MATCH(1278,Engine!$C$2:$C$1960,0)))</f>
        <v/>
      </c>
      <c r="B1291" s="8">
        <f>IF(ISNA(MATCH(1278,Engine!$C$2:$C$1960,0)),"",INDEX('Compliance Database'!$B$2:$B$1960,MATCH(1278,Engine!$C$2:$C$1960,0)))</f>
        <v/>
      </c>
      <c r="C1291" s="8">
        <f>IF(ISNA(MATCH(1278,Engine!$C$2:$C$1960,0)),"",INDEX('Compliance Database'!$C$2:$C$1960,MATCH(1278,Engine!$C$2:$C$1960,0)))</f>
        <v/>
      </c>
      <c r="D1291" s="9">
        <f>IF(ISNA(MATCH(1278,Engine!$C$2:$C$1960,0)),"",INDEX('Compliance Database'!$D$2:$D$1960,MATCH(1278,Engine!$C$2:$C$1960,0)))</f>
        <v/>
      </c>
      <c r="E1291" s="8">
        <f>IF(ISNA(MATCH(1278,Engine!$C$2:$C$1960,0)),"",INDEX('Compliance Database'!$E$2:$E$1960,MATCH(1278,Engine!$C$2:$C$1960,0)))</f>
        <v/>
      </c>
      <c r="F1291" s="8">
        <f>IF(ISNA(MATCH(1278,Engine!$C$2:$C$1960,0)),"",INDEX('Compliance Database'!$F$2:$F$1960,MATCH(1278,Engine!$C$2:$C$1960,0)))</f>
        <v/>
      </c>
      <c r="G1291" s="8">
        <f>IF(ISNA(MATCH(1278,Engine!$C$2:$C$1960,0)),"",INDEX('Compliance Database'!$G$2:$G$1960,MATCH(1278,Engine!$C$2:$C$1960,0)))</f>
        <v/>
      </c>
      <c r="H1291" s="9">
        <f>IF(ISNA(MATCH(1278,Engine!$C$2:$C$1960,0)),"",INDEX('Compliance Database'!$H$2:$H$1960,MATCH(1278,Engine!$C$2:$C$1960,0)))</f>
        <v/>
      </c>
      <c r="I1291" s="9">
        <f>IF(ISNA(MATCH(1278,Engine!$C$2:$C$1960,0)),"",INDEX('Compliance Database'!$I$2:$I$1960,MATCH(1278,Engine!$C$2:$C$1960,0)))</f>
        <v/>
      </c>
      <c r="J1291" s="8">
        <f>IF(ISNA(MATCH(1278,Engine!$C$2:$C$1960,0)),"",INDEX('Compliance Database'!$J$2:$J$1960,MATCH(1278,Engine!$C$2:$C$1960,0)))</f>
        <v/>
      </c>
      <c r="K1291" s="9">
        <f>IF(ISNA(MATCH(1278,Engine!$C$2:$C$1960,0)),"",INDEX('Compliance Database'!$K$2:$K$1960,MATCH(1278,Engine!$C$2:$C$1960,0)))</f>
        <v/>
      </c>
      <c r="L1291" s="9">
        <f>IF(ISNA(MATCH(1278,Engine!$C$2:$C$1960,0)),"",INDEX('Compliance Database'!$L$2:$L$1960,MATCH(1278,Engine!$C$2:$C$1960,0)))</f>
        <v/>
      </c>
      <c r="M1291" s="9">
        <f>IF(ISNA(MATCH(1278,Engine!$C$2:$C$1960,0)),"",INDEX('Compliance Database'!$M$2:$M$1960,MATCH(1278,Engine!$C$2:$C$1960,0)))</f>
        <v/>
      </c>
      <c r="N1291" s="9">
        <f>IF(ISNA(MATCH(1278,Engine!$C$2:$C$1960,0)),"",INDEX('Compliance Database'!$N$2:$N$1960,MATCH(1278,Engine!$C$2:$C$1960,0)))</f>
        <v/>
      </c>
      <c r="O1291" s="9">
        <f>IF(ISNA(MATCH(1278,Engine!$C$2:$C$1960,0)),"",INDEX('Compliance Database'!$O$2:$O$1960,MATCH(1278,Engine!$C$2:$C$1960,0)))</f>
        <v/>
      </c>
      <c r="P1291" s="8">
        <f>IF(ISNA(MATCH(1278,Engine!$C$2:$C$1960,0)),"",HYPERLINK("#Acts!A"&amp;INDEX('Compliance Database'!$P$2:$P$1960,MATCH(1278,Engine!$C$2:$C$1960,0)),"Go to Act"))</f>
        <v/>
      </c>
    </row>
    <row r="1292" ht="158" customHeight="1">
      <c r="A1292" s="8">
        <f>IF(ISNA(MATCH(1279,Engine!$C$2:$C$1960,0)),"",INDEX('Compliance Database'!$A$2:$A$1960,MATCH(1279,Engine!$C$2:$C$1960,0)))</f>
        <v/>
      </c>
      <c r="B1292" s="8">
        <f>IF(ISNA(MATCH(1279,Engine!$C$2:$C$1960,0)),"",INDEX('Compliance Database'!$B$2:$B$1960,MATCH(1279,Engine!$C$2:$C$1960,0)))</f>
        <v/>
      </c>
      <c r="C1292" s="8">
        <f>IF(ISNA(MATCH(1279,Engine!$C$2:$C$1960,0)),"",INDEX('Compliance Database'!$C$2:$C$1960,MATCH(1279,Engine!$C$2:$C$1960,0)))</f>
        <v/>
      </c>
      <c r="D1292" s="9">
        <f>IF(ISNA(MATCH(1279,Engine!$C$2:$C$1960,0)),"",INDEX('Compliance Database'!$D$2:$D$1960,MATCH(1279,Engine!$C$2:$C$1960,0)))</f>
        <v/>
      </c>
      <c r="E1292" s="8">
        <f>IF(ISNA(MATCH(1279,Engine!$C$2:$C$1960,0)),"",INDEX('Compliance Database'!$E$2:$E$1960,MATCH(1279,Engine!$C$2:$C$1960,0)))</f>
        <v/>
      </c>
      <c r="F1292" s="8">
        <f>IF(ISNA(MATCH(1279,Engine!$C$2:$C$1960,0)),"",INDEX('Compliance Database'!$F$2:$F$1960,MATCH(1279,Engine!$C$2:$C$1960,0)))</f>
        <v/>
      </c>
      <c r="G1292" s="8">
        <f>IF(ISNA(MATCH(1279,Engine!$C$2:$C$1960,0)),"",INDEX('Compliance Database'!$G$2:$G$1960,MATCH(1279,Engine!$C$2:$C$1960,0)))</f>
        <v/>
      </c>
      <c r="H1292" s="9">
        <f>IF(ISNA(MATCH(1279,Engine!$C$2:$C$1960,0)),"",INDEX('Compliance Database'!$H$2:$H$1960,MATCH(1279,Engine!$C$2:$C$1960,0)))</f>
        <v/>
      </c>
      <c r="I1292" s="9">
        <f>IF(ISNA(MATCH(1279,Engine!$C$2:$C$1960,0)),"",INDEX('Compliance Database'!$I$2:$I$1960,MATCH(1279,Engine!$C$2:$C$1960,0)))</f>
        <v/>
      </c>
      <c r="J1292" s="8">
        <f>IF(ISNA(MATCH(1279,Engine!$C$2:$C$1960,0)),"",INDEX('Compliance Database'!$J$2:$J$1960,MATCH(1279,Engine!$C$2:$C$1960,0)))</f>
        <v/>
      </c>
      <c r="K1292" s="9">
        <f>IF(ISNA(MATCH(1279,Engine!$C$2:$C$1960,0)),"",INDEX('Compliance Database'!$K$2:$K$1960,MATCH(1279,Engine!$C$2:$C$1960,0)))</f>
        <v/>
      </c>
      <c r="L1292" s="9">
        <f>IF(ISNA(MATCH(1279,Engine!$C$2:$C$1960,0)),"",INDEX('Compliance Database'!$L$2:$L$1960,MATCH(1279,Engine!$C$2:$C$1960,0)))</f>
        <v/>
      </c>
      <c r="M1292" s="9">
        <f>IF(ISNA(MATCH(1279,Engine!$C$2:$C$1960,0)),"",INDEX('Compliance Database'!$M$2:$M$1960,MATCH(1279,Engine!$C$2:$C$1960,0)))</f>
        <v/>
      </c>
      <c r="N1292" s="9">
        <f>IF(ISNA(MATCH(1279,Engine!$C$2:$C$1960,0)),"",INDEX('Compliance Database'!$N$2:$N$1960,MATCH(1279,Engine!$C$2:$C$1960,0)))</f>
        <v/>
      </c>
      <c r="O1292" s="9">
        <f>IF(ISNA(MATCH(1279,Engine!$C$2:$C$1960,0)),"",INDEX('Compliance Database'!$O$2:$O$1960,MATCH(1279,Engine!$C$2:$C$1960,0)))</f>
        <v/>
      </c>
      <c r="P1292" s="8">
        <f>IF(ISNA(MATCH(1279,Engine!$C$2:$C$1960,0)),"",HYPERLINK("#Acts!A"&amp;INDEX('Compliance Database'!$P$2:$P$1960,MATCH(1279,Engine!$C$2:$C$1960,0)),"Go to Act"))</f>
        <v/>
      </c>
    </row>
    <row r="1293" ht="158" customHeight="1">
      <c r="A1293" s="8">
        <f>IF(ISNA(MATCH(1280,Engine!$C$2:$C$1960,0)),"",INDEX('Compliance Database'!$A$2:$A$1960,MATCH(1280,Engine!$C$2:$C$1960,0)))</f>
        <v/>
      </c>
      <c r="B1293" s="8">
        <f>IF(ISNA(MATCH(1280,Engine!$C$2:$C$1960,0)),"",INDEX('Compliance Database'!$B$2:$B$1960,MATCH(1280,Engine!$C$2:$C$1960,0)))</f>
        <v/>
      </c>
      <c r="C1293" s="8">
        <f>IF(ISNA(MATCH(1280,Engine!$C$2:$C$1960,0)),"",INDEX('Compliance Database'!$C$2:$C$1960,MATCH(1280,Engine!$C$2:$C$1960,0)))</f>
        <v/>
      </c>
      <c r="D1293" s="9">
        <f>IF(ISNA(MATCH(1280,Engine!$C$2:$C$1960,0)),"",INDEX('Compliance Database'!$D$2:$D$1960,MATCH(1280,Engine!$C$2:$C$1960,0)))</f>
        <v/>
      </c>
      <c r="E1293" s="8">
        <f>IF(ISNA(MATCH(1280,Engine!$C$2:$C$1960,0)),"",INDEX('Compliance Database'!$E$2:$E$1960,MATCH(1280,Engine!$C$2:$C$1960,0)))</f>
        <v/>
      </c>
      <c r="F1293" s="8">
        <f>IF(ISNA(MATCH(1280,Engine!$C$2:$C$1960,0)),"",INDEX('Compliance Database'!$F$2:$F$1960,MATCH(1280,Engine!$C$2:$C$1960,0)))</f>
        <v/>
      </c>
      <c r="G1293" s="8">
        <f>IF(ISNA(MATCH(1280,Engine!$C$2:$C$1960,0)),"",INDEX('Compliance Database'!$G$2:$G$1960,MATCH(1280,Engine!$C$2:$C$1960,0)))</f>
        <v/>
      </c>
      <c r="H1293" s="9">
        <f>IF(ISNA(MATCH(1280,Engine!$C$2:$C$1960,0)),"",INDEX('Compliance Database'!$H$2:$H$1960,MATCH(1280,Engine!$C$2:$C$1960,0)))</f>
        <v/>
      </c>
      <c r="I1293" s="9">
        <f>IF(ISNA(MATCH(1280,Engine!$C$2:$C$1960,0)),"",INDEX('Compliance Database'!$I$2:$I$1960,MATCH(1280,Engine!$C$2:$C$1960,0)))</f>
        <v/>
      </c>
      <c r="J1293" s="8">
        <f>IF(ISNA(MATCH(1280,Engine!$C$2:$C$1960,0)),"",INDEX('Compliance Database'!$J$2:$J$1960,MATCH(1280,Engine!$C$2:$C$1960,0)))</f>
        <v/>
      </c>
      <c r="K1293" s="9">
        <f>IF(ISNA(MATCH(1280,Engine!$C$2:$C$1960,0)),"",INDEX('Compliance Database'!$K$2:$K$1960,MATCH(1280,Engine!$C$2:$C$1960,0)))</f>
        <v/>
      </c>
      <c r="L1293" s="9">
        <f>IF(ISNA(MATCH(1280,Engine!$C$2:$C$1960,0)),"",INDEX('Compliance Database'!$L$2:$L$1960,MATCH(1280,Engine!$C$2:$C$1960,0)))</f>
        <v/>
      </c>
      <c r="M1293" s="9">
        <f>IF(ISNA(MATCH(1280,Engine!$C$2:$C$1960,0)),"",INDEX('Compliance Database'!$M$2:$M$1960,MATCH(1280,Engine!$C$2:$C$1960,0)))</f>
        <v/>
      </c>
      <c r="N1293" s="9">
        <f>IF(ISNA(MATCH(1280,Engine!$C$2:$C$1960,0)),"",INDEX('Compliance Database'!$N$2:$N$1960,MATCH(1280,Engine!$C$2:$C$1960,0)))</f>
        <v/>
      </c>
      <c r="O1293" s="9">
        <f>IF(ISNA(MATCH(1280,Engine!$C$2:$C$1960,0)),"",INDEX('Compliance Database'!$O$2:$O$1960,MATCH(1280,Engine!$C$2:$C$1960,0)))</f>
        <v/>
      </c>
      <c r="P1293" s="8">
        <f>IF(ISNA(MATCH(1280,Engine!$C$2:$C$1960,0)),"",HYPERLINK("#Acts!A"&amp;INDEX('Compliance Database'!$P$2:$P$1960,MATCH(1280,Engine!$C$2:$C$1960,0)),"Go to Act"))</f>
        <v/>
      </c>
    </row>
    <row r="1294" ht="158" customHeight="1">
      <c r="A1294" s="8">
        <f>IF(ISNA(MATCH(1281,Engine!$C$2:$C$1960,0)),"",INDEX('Compliance Database'!$A$2:$A$1960,MATCH(1281,Engine!$C$2:$C$1960,0)))</f>
        <v/>
      </c>
      <c r="B1294" s="8">
        <f>IF(ISNA(MATCH(1281,Engine!$C$2:$C$1960,0)),"",INDEX('Compliance Database'!$B$2:$B$1960,MATCH(1281,Engine!$C$2:$C$1960,0)))</f>
        <v/>
      </c>
      <c r="C1294" s="8">
        <f>IF(ISNA(MATCH(1281,Engine!$C$2:$C$1960,0)),"",INDEX('Compliance Database'!$C$2:$C$1960,MATCH(1281,Engine!$C$2:$C$1960,0)))</f>
        <v/>
      </c>
      <c r="D1294" s="9">
        <f>IF(ISNA(MATCH(1281,Engine!$C$2:$C$1960,0)),"",INDEX('Compliance Database'!$D$2:$D$1960,MATCH(1281,Engine!$C$2:$C$1960,0)))</f>
        <v/>
      </c>
      <c r="E1294" s="8">
        <f>IF(ISNA(MATCH(1281,Engine!$C$2:$C$1960,0)),"",INDEX('Compliance Database'!$E$2:$E$1960,MATCH(1281,Engine!$C$2:$C$1960,0)))</f>
        <v/>
      </c>
      <c r="F1294" s="8">
        <f>IF(ISNA(MATCH(1281,Engine!$C$2:$C$1960,0)),"",INDEX('Compliance Database'!$F$2:$F$1960,MATCH(1281,Engine!$C$2:$C$1960,0)))</f>
        <v/>
      </c>
      <c r="G1294" s="8">
        <f>IF(ISNA(MATCH(1281,Engine!$C$2:$C$1960,0)),"",INDEX('Compliance Database'!$G$2:$G$1960,MATCH(1281,Engine!$C$2:$C$1960,0)))</f>
        <v/>
      </c>
      <c r="H1294" s="9">
        <f>IF(ISNA(MATCH(1281,Engine!$C$2:$C$1960,0)),"",INDEX('Compliance Database'!$H$2:$H$1960,MATCH(1281,Engine!$C$2:$C$1960,0)))</f>
        <v/>
      </c>
      <c r="I1294" s="9">
        <f>IF(ISNA(MATCH(1281,Engine!$C$2:$C$1960,0)),"",INDEX('Compliance Database'!$I$2:$I$1960,MATCH(1281,Engine!$C$2:$C$1960,0)))</f>
        <v/>
      </c>
      <c r="J1294" s="8">
        <f>IF(ISNA(MATCH(1281,Engine!$C$2:$C$1960,0)),"",INDEX('Compliance Database'!$J$2:$J$1960,MATCH(1281,Engine!$C$2:$C$1960,0)))</f>
        <v/>
      </c>
      <c r="K1294" s="9">
        <f>IF(ISNA(MATCH(1281,Engine!$C$2:$C$1960,0)),"",INDEX('Compliance Database'!$K$2:$K$1960,MATCH(1281,Engine!$C$2:$C$1960,0)))</f>
        <v/>
      </c>
      <c r="L1294" s="9">
        <f>IF(ISNA(MATCH(1281,Engine!$C$2:$C$1960,0)),"",INDEX('Compliance Database'!$L$2:$L$1960,MATCH(1281,Engine!$C$2:$C$1960,0)))</f>
        <v/>
      </c>
      <c r="M1294" s="9">
        <f>IF(ISNA(MATCH(1281,Engine!$C$2:$C$1960,0)),"",INDEX('Compliance Database'!$M$2:$M$1960,MATCH(1281,Engine!$C$2:$C$1960,0)))</f>
        <v/>
      </c>
      <c r="N1294" s="9">
        <f>IF(ISNA(MATCH(1281,Engine!$C$2:$C$1960,0)),"",INDEX('Compliance Database'!$N$2:$N$1960,MATCH(1281,Engine!$C$2:$C$1960,0)))</f>
        <v/>
      </c>
      <c r="O1294" s="9">
        <f>IF(ISNA(MATCH(1281,Engine!$C$2:$C$1960,0)),"",INDEX('Compliance Database'!$O$2:$O$1960,MATCH(1281,Engine!$C$2:$C$1960,0)))</f>
        <v/>
      </c>
      <c r="P1294" s="8">
        <f>IF(ISNA(MATCH(1281,Engine!$C$2:$C$1960,0)),"",HYPERLINK("#Acts!A"&amp;INDEX('Compliance Database'!$P$2:$P$1960,MATCH(1281,Engine!$C$2:$C$1960,0)),"Go to Act"))</f>
        <v/>
      </c>
    </row>
    <row r="1295" ht="158" customHeight="1">
      <c r="A1295" s="8">
        <f>IF(ISNA(MATCH(1282,Engine!$C$2:$C$1960,0)),"",INDEX('Compliance Database'!$A$2:$A$1960,MATCH(1282,Engine!$C$2:$C$1960,0)))</f>
        <v/>
      </c>
      <c r="B1295" s="8">
        <f>IF(ISNA(MATCH(1282,Engine!$C$2:$C$1960,0)),"",INDEX('Compliance Database'!$B$2:$B$1960,MATCH(1282,Engine!$C$2:$C$1960,0)))</f>
        <v/>
      </c>
      <c r="C1295" s="8">
        <f>IF(ISNA(MATCH(1282,Engine!$C$2:$C$1960,0)),"",INDEX('Compliance Database'!$C$2:$C$1960,MATCH(1282,Engine!$C$2:$C$1960,0)))</f>
        <v/>
      </c>
      <c r="D1295" s="9">
        <f>IF(ISNA(MATCH(1282,Engine!$C$2:$C$1960,0)),"",INDEX('Compliance Database'!$D$2:$D$1960,MATCH(1282,Engine!$C$2:$C$1960,0)))</f>
        <v/>
      </c>
      <c r="E1295" s="8">
        <f>IF(ISNA(MATCH(1282,Engine!$C$2:$C$1960,0)),"",INDEX('Compliance Database'!$E$2:$E$1960,MATCH(1282,Engine!$C$2:$C$1960,0)))</f>
        <v/>
      </c>
      <c r="F1295" s="8">
        <f>IF(ISNA(MATCH(1282,Engine!$C$2:$C$1960,0)),"",INDEX('Compliance Database'!$F$2:$F$1960,MATCH(1282,Engine!$C$2:$C$1960,0)))</f>
        <v/>
      </c>
      <c r="G1295" s="8">
        <f>IF(ISNA(MATCH(1282,Engine!$C$2:$C$1960,0)),"",INDEX('Compliance Database'!$G$2:$G$1960,MATCH(1282,Engine!$C$2:$C$1960,0)))</f>
        <v/>
      </c>
      <c r="H1295" s="9">
        <f>IF(ISNA(MATCH(1282,Engine!$C$2:$C$1960,0)),"",INDEX('Compliance Database'!$H$2:$H$1960,MATCH(1282,Engine!$C$2:$C$1960,0)))</f>
        <v/>
      </c>
      <c r="I1295" s="9">
        <f>IF(ISNA(MATCH(1282,Engine!$C$2:$C$1960,0)),"",INDEX('Compliance Database'!$I$2:$I$1960,MATCH(1282,Engine!$C$2:$C$1960,0)))</f>
        <v/>
      </c>
      <c r="J1295" s="8">
        <f>IF(ISNA(MATCH(1282,Engine!$C$2:$C$1960,0)),"",INDEX('Compliance Database'!$J$2:$J$1960,MATCH(1282,Engine!$C$2:$C$1960,0)))</f>
        <v/>
      </c>
      <c r="K1295" s="9">
        <f>IF(ISNA(MATCH(1282,Engine!$C$2:$C$1960,0)),"",INDEX('Compliance Database'!$K$2:$K$1960,MATCH(1282,Engine!$C$2:$C$1960,0)))</f>
        <v/>
      </c>
      <c r="L1295" s="9">
        <f>IF(ISNA(MATCH(1282,Engine!$C$2:$C$1960,0)),"",INDEX('Compliance Database'!$L$2:$L$1960,MATCH(1282,Engine!$C$2:$C$1960,0)))</f>
        <v/>
      </c>
      <c r="M1295" s="9">
        <f>IF(ISNA(MATCH(1282,Engine!$C$2:$C$1960,0)),"",INDEX('Compliance Database'!$M$2:$M$1960,MATCH(1282,Engine!$C$2:$C$1960,0)))</f>
        <v/>
      </c>
      <c r="N1295" s="9">
        <f>IF(ISNA(MATCH(1282,Engine!$C$2:$C$1960,0)),"",INDEX('Compliance Database'!$N$2:$N$1960,MATCH(1282,Engine!$C$2:$C$1960,0)))</f>
        <v/>
      </c>
      <c r="O1295" s="9">
        <f>IF(ISNA(MATCH(1282,Engine!$C$2:$C$1960,0)),"",INDEX('Compliance Database'!$O$2:$O$1960,MATCH(1282,Engine!$C$2:$C$1960,0)))</f>
        <v/>
      </c>
      <c r="P1295" s="8">
        <f>IF(ISNA(MATCH(1282,Engine!$C$2:$C$1960,0)),"",HYPERLINK("#Acts!A"&amp;INDEX('Compliance Database'!$P$2:$P$1960,MATCH(1282,Engine!$C$2:$C$1960,0)),"Go to Act"))</f>
        <v/>
      </c>
    </row>
    <row r="1296" ht="158" customHeight="1">
      <c r="A1296" s="8">
        <f>IF(ISNA(MATCH(1283,Engine!$C$2:$C$1960,0)),"",INDEX('Compliance Database'!$A$2:$A$1960,MATCH(1283,Engine!$C$2:$C$1960,0)))</f>
        <v/>
      </c>
      <c r="B1296" s="8">
        <f>IF(ISNA(MATCH(1283,Engine!$C$2:$C$1960,0)),"",INDEX('Compliance Database'!$B$2:$B$1960,MATCH(1283,Engine!$C$2:$C$1960,0)))</f>
        <v/>
      </c>
      <c r="C1296" s="8">
        <f>IF(ISNA(MATCH(1283,Engine!$C$2:$C$1960,0)),"",INDEX('Compliance Database'!$C$2:$C$1960,MATCH(1283,Engine!$C$2:$C$1960,0)))</f>
        <v/>
      </c>
      <c r="D1296" s="9">
        <f>IF(ISNA(MATCH(1283,Engine!$C$2:$C$1960,0)),"",INDEX('Compliance Database'!$D$2:$D$1960,MATCH(1283,Engine!$C$2:$C$1960,0)))</f>
        <v/>
      </c>
      <c r="E1296" s="8">
        <f>IF(ISNA(MATCH(1283,Engine!$C$2:$C$1960,0)),"",INDEX('Compliance Database'!$E$2:$E$1960,MATCH(1283,Engine!$C$2:$C$1960,0)))</f>
        <v/>
      </c>
      <c r="F1296" s="8">
        <f>IF(ISNA(MATCH(1283,Engine!$C$2:$C$1960,0)),"",INDEX('Compliance Database'!$F$2:$F$1960,MATCH(1283,Engine!$C$2:$C$1960,0)))</f>
        <v/>
      </c>
      <c r="G1296" s="8">
        <f>IF(ISNA(MATCH(1283,Engine!$C$2:$C$1960,0)),"",INDEX('Compliance Database'!$G$2:$G$1960,MATCH(1283,Engine!$C$2:$C$1960,0)))</f>
        <v/>
      </c>
      <c r="H1296" s="9">
        <f>IF(ISNA(MATCH(1283,Engine!$C$2:$C$1960,0)),"",INDEX('Compliance Database'!$H$2:$H$1960,MATCH(1283,Engine!$C$2:$C$1960,0)))</f>
        <v/>
      </c>
      <c r="I1296" s="9">
        <f>IF(ISNA(MATCH(1283,Engine!$C$2:$C$1960,0)),"",INDEX('Compliance Database'!$I$2:$I$1960,MATCH(1283,Engine!$C$2:$C$1960,0)))</f>
        <v/>
      </c>
      <c r="J1296" s="8">
        <f>IF(ISNA(MATCH(1283,Engine!$C$2:$C$1960,0)),"",INDEX('Compliance Database'!$J$2:$J$1960,MATCH(1283,Engine!$C$2:$C$1960,0)))</f>
        <v/>
      </c>
      <c r="K1296" s="9">
        <f>IF(ISNA(MATCH(1283,Engine!$C$2:$C$1960,0)),"",INDEX('Compliance Database'!$K$2:$K$1960,MATCH(1283,Engine!$C$2:$C$1960,0)))</f>
        <v/>
      </c>
      <c r="L1296" s="9">
        <f>IF(ISNA(MATCH(1283,Engine!$C$2:$C$1960,0)),"",INDEX('Compliance Database'!$L$2:$L$1960,MATCH(1283,Engine!$C$2:$C$1960,0)))</f>
        <v/>
      </c>
      <c r="M1296" s="9">
        <f>IF(ISNA(MATCH(1283,Engine!$C$2:$C$1960,0)),"",INDEX('Compliance Database'!$M$2:$M$1960,MATCH(1283,Engine!$C$2:$C$1960,0)))</f>
        <v/>
      </c>
      <c r="N1296" s="9">
        <f>IF(ISNA(MATCH(1283,Engine!$C$2:$C$1960,0)),"",INDEX('Compliance Database'!$N$2:$N$1960,MATCH(1283,Engine!$C$2:$C$1960,0)))</f>
        <v/>
      </c>
      <c r="O1296" s="9">
        <f>IF(ISNA(MATCH(1283,Engine!$C$2:$C$1960,0)),"",INDEX('Compliance Database'!$O$2:$O$1960,MATCH(1283,Engine!$C$2:$C$1960,0)))</f>
        <v/>
      </c>
      <c r="P1296" s="8">
        <f>IF(ISNA(MATCH(1283,Engine!$C$2:$C$1960,0)),"",HYPERLINK("#Acts!A"&amp;INDEX('Compliance Database'!$P$2:$P$1960,MATCH(1283,Engine!$C$2:$C$1960,0)),"Go to Act"))</f>
        <v/>
      </c>
    </row>
    <row r="1297" ht="158" customHeight="1">
      <c r="A1297" s="8">
        <f>IF(ISNA(MATCH(1284,Engine!$C$2:$C$1960,0)),"",INDEX('Compliance Database'!$A$2:$A$1960,MATCH(1284,Engine!$C$2:$C$1960,0)))</f>
        <v/>
      </c>
      <c r="B1297" s="8">
        <f>IF(ISNA(MATCH(1284,Engine!$C$2:$C$1960,0)),"",INDEX('Compliance Database'!$B$2:$B$1960,MATCH(1284,Engine!$C$2:$C$1960,0)))</f>
        <v/>
      </c>
      <c r="C1297" s="8">
        <f>IF(ISNA(MATCH(1284,Engine!$C$2:$C$1960,0)),"",INDEX('Compliance Database'!$C$2:$C$1960,MATCH(1284,Engine!$C$2:$C$1960,0)))</f>
        <v/>
      </c>
      <c r="D1297" s="9">
        <f>IF(ISNA(MATCH(1284,Engine!$C$2:$C$1960,0)),"",INDEX('Compliance Database'!$D$2:$D$1960,MATCH(1284,Engine!$C$2:$C$1960,0)))</f>
        <v/>
      </c>
      <c r="E1297" s="8">
        <f>IF(ISNA(MATCH(1284,Engine!$C$2:$C$1960,0)),"",INDEX('Compliance Database'!$E$2:$E$1960,MATCH(1284,Engine!$C$2:$C$1960,0)))</f>
        <v/>
      </c>
      <c r="F1297" s="8">
        <f>IF(ISNA(MATCH(1284,Engine!$C$2:$C$1960,0)),"",INDEX('Compliance Database'!$F$2:$F$1960,MATCH(1284,Engine!$C$2:$C$1960,0)))</f>
        <v/>
      </c>
      <c r="G1297" s="8">
        <f>IF(ISNA(MATCH(1284,Engine!$C$2:$C$1960,0)),"",INDEX('Compliance Database'!$G$2:$G$1960,MATCH(1284,Engine!$C$2:$C$1960,0)))</f>
        <v/>
      </c>
      <c r="H1297" s="9">
        <f>IF(ISNA(MATCH(1284,Engine!$C$2:$C$1960,0)),"",INDEX('Compliance Database'!$H$2:$H$1960,MATCH(1284,Engine!$C$2:$C$1960,0)))</f>
        <v/>
      </c>
      <c r="I1297" s="9">
        <f>IF(ISNA(MATCH(1284,Engine!$C$2:$C$1960,0)),"",INDEX('Compliance Database'!$I$2:$I$1960,MATCH(1284,Engine!$C$2:$C$1960,0)))</f>
        <v/>
      </c>
      <c r="J1297" s="8">
        <f>IF(ISNA(MATCH(1284,Engine!$C$2:$C$1960,0)),"",INDEX('Compliance Database'!$J$2:$J$1960,MATCH(1284,Engine!$C$2:$C$1960,0)))</f>
        <v/>
      </c>
      <c r="K1297" s="9">
        <f>IF(ISNA(MATCH(1284,Engine!$C$2:$C$1960,0)),"",INDEX('Compliance Database'!$K$2:$K$1960,MATCH(1284,Engine!$C$2:$C$1960,0)))</f>
        <v/>
      </c>
      <c r="L1297" s="9">
        <f>IF(ISNA(MATCH(1284,Engine!$C$2:$C$1960,0)),"",INDEX('Compliance Database'!$L$2:$L$1960,MATCH(1284,Engine!$C$2:$C$1960,0)))</f>
        <v/>
      </c>
      <c r="M1297" s="9">
        <f>IF(ISNA(MATCH(1284,Engine!$C$2:$C$1960,0)),"",INDEX('Compliance Database'!$M$2:$M$1960,MATCH(1284,Engine!$C$2:$C$1960,0)))</f>
        <v/>
      </c>
      <c r="N1297" s="9">
        <f>IF(ISNA(MATCH(1284,Engine!$C$2:$C$1960,0)),"",INDEX('Compliance Database'!$N$2:$N$1960,MATCH(1284,Engine!$C$2:$C$1960,0)))</f>
        <v/>
      </c>
      <c r="O1297" s="9">
        <f>IF(ISNA(MATCH(1284,Engine!$C$2:$C$1960,0)),"",INDEX('Compliance Database'!$O$2:$O$1960,MATCH(1284,Engine!$C$2:$C$1960,0)))</f>
        <v/>
      </c>
      <c r="P1297" s="8">
        <f>IF(ISNA(MATCH(1284,Engine!$C$2:$C$1960,0)),"",HYPERLINK("#Acts!A"&amp;INDEX('Compliance Database'!$P$2:$P$1960,MATCH(1284,Engine!$C$2:$C$1960,0)),"Go to Act"))</f>
        <v/>
      </c>
    </row>
    <row r="1298" ht="158" customHeight="1">
      <c r="A1298" s="8">
        <f>IF(ISNA(MATCH(1285,Engine!$C$2:$C$1960,0)),"",INDEX('Compliance Database'!$A$2:$A$1960,MATCH(1285,Engine!$C$2:$C$1960,0)))</f>
        <v/>
      </c>
      <c r="B1298" s="8">
        <f>IF(ISNA(MATCH(1285,Engine!$C$2:$C$1960,0)),"",INDEX('Compliance Database'!$B$2:$B$1960,MATCH(1285,Engine!$C$2:$C$1960,0)))</f>
        <v/>
      </c>
      <c r="C1298" s="8">
        <f>IF(ISNA(MATCH(1285,Engine!$C$2:$C$1960,0)),"",INDEX('Compliance Database'!$C$2:$C$1960,MATCH(1285,Engine!$C$2:$C$1960,0)))</f>
        <v/>
      </c>
      <c r="D1298" s="9">
        <f>IF(ISNA(MATCH(1285,Engine!$C$2:$C$1960,0)),"",INDEX('Compliance Database'!$D$2:$D$1960,MATCH(1285,Engine!$C$2:$C$1960,0)))</f>
        <v/>
      </c>
      <c r="E1298" s="8">
        <f>IF(ISNA(MATCH(1285,Engine!$C$2:$C$1960,0)),"",INDEX('Compliance Database'!$E$2:$E$1960,MATCH(1285,Engine!$C$2:$C$1960,0)))</f>
        <v/>
      </c>
      <c r="F1298" s="8">
        <f>IF(ISNA(MATCH(1285,Engine!$C$2:$C$1960,0)),"",INDEX('Compliance Database'!$F$2:$F$1960,MATCH(1285,Engine!$C$2:$C$1960,0)))</f>
        <v/>
      </c>
      <c r="G1298" s="8">
        <f>IF(ISNA(MATCH(1285,Engine!$C$2:$C$1960,0)),"",INDEX('Compliance Database'!$G$2:$G$1960,MATCH(1285,Engine!$C$2:$C$1960,0)))</f>
        <v/>
      </c>
      <c r="H1298" s="9">
        <f>IF(ISNA(MATCH(1285,Engine!$C$2:$C$1960,0)),"",INDEX('Compliance Database'!$H$2:$H$1960,MATCH(1285,Engine!$C$2:$C$1960,0)))</f>
        <v/>
      </c>
      <c r="I1298" s="9">
        <f>IF(ISNA(MATCH(1285,Engine!$C$2:$C$1960,0)),"",INDEX('Compliance Database'!$I$2:$I$1960,MATCH(1285,Engine!$C$2:$C$1960,0)))</f>
        <v/>
      </c>
      <c r="J1298" s="8">
        <f>IF(ISNA(MATCH(1285,Engine!$C$2:$C$1960,0)),"",INDEX('Compliance Database'!$J$2:$J$1960,MATCH(1285,Engine!$C$2:$C$1960,0)))</f>
        <v/>
      </c>
      <c r="K1298" s="9">
        <f>IF(ISNA(MATCH(1285,Engine!$C$2:$C$1960,0)),"",INDEX('Compliance Database'!$K$2:$K$1960,MATCH(1285,Engine!$C$2:$C$1960,0)))</f>
        <v/>
      </c>
      <c r="L1298" s="9">
        <f>IF(ISNA(MATCH(1285,Engine!$C$2:$C$1960,0)),"",INDEX('Compliance Database'!$L$2:$L$1960,MATCH(1285,Engine!$C$2:$C$1960,0)))</f>
        <v/>
      </c>
      <c r="M1298" s="9">
        <f>IF(ISNA(MATCH(1285,Engine!$C$2:$C$1960,0)),"",INDEX('Compliance Database'!$M$2:$M$1960,MATCH(1285,Engine!$C$2:$C$1960,0)))</f>
        <v/>
      </c>
      <c r="N1298" s="9">
        <f>IF(ISNA(MATCH(1285,Engine!$C$2:$C$1960,0)),"",INDEX('Compliance Database'!$N$2:$N$1960,MATCH(1285,Engine!$C$2:$C$1960,0)))</f>
        <v/>
      </c>
      <c r="O1298" s="9">
        <f>IF(ISNA(MATCH(1285,Engine!$C$2:$C$1960,0)),"",INDEX('Compliance Database'!$O$2:$O$1960,MATCH(1285,Engine!$C$2:$C$1960,0)))</f>
        <v/>
      </c>
      <c r="P1298" s="8">
        <f>IF(ISNA(MATCH(1285,Engine!$C$2:$C$1960,0)),"",HYPERLINK("#Acts!A"&amp;INDEX('Compliance Database'!$P$2:$P$1960,MATCH(1285,Engine!$C$2:$C$1960,0)),"Go to Act"))</f>
        <v/>
      </c>
    </row>
    <row r="1299" ht="158" customHeight="1">
      <c r="A1299" s="8">
        <f>IF(ISNA(MATCH(1286,Engine!$C$2:$C$1960,0)),"",INDEX('Compliance Database'!$A$2:$A$1960,MATCH(1286,Engine!$C$2:$C$1960,0)))</f>
        <v/>
      </c>
      <c r="B1299" s="8">
        <f>IF(ISNA(MATCH(1286,Engine!$C$2:$C$1960,0)),"",INDEX('Compliance Database'!$B$2:$B$1960,MATCH(1286,Engine!$C$2:$C$1960,0)))</f>
        <v/>
      </c>
      <c r="C1299" s="8">
        <f>IF(ISNA(MATCH(1286,Engine!$C$2:$C$1960,0)),"",INDEX('Compliance Database'!$C$2:$C$1960,MATCH(1286,Engine!$C$2:$C$1960,0)))</f>
        <v/>
      </c>
      <c r="D1299" s="9">
        <f>IF(ISNA(MATCH(1286,Engine!$C$2:$C$1960,0)),"",INDEX('Compliance Database'!$D$2:$D$1960,MATCH(1286,Engine!$C$2:$C$1960,0)))</f>
        <v/>
      </c>
      <c r="E1299" s="8">
        <f>IF(ISNA(MATCH(1286,Engine!$C$2:$C$1960,0)),"",INDEX('Compliance Database'!$E$2:$E$1960,MATCH(1286,Engine!$C$2:$C$1960,0)))</f>
        <v/>
      </c>
      <c r="F1299" s="8">
        <f>IF(ISNA(MATCH(1286,Engine!$C$2:$C$1960,0)),"",INDEX('Compliance Database'!$F$2:$F$1960,MATCH(1286,Engine!$C$2:$C$1960,0)))</f>
        <v/>
      </c>
      <c r="G1299" s="8">
        <f>IF(ISNA(MATCH(1286,Engine!$C$2:$C$1960,0)),"",INDEX('Compliance Database'!$G$2:$G$1960,MATCH(1286,Engine!$C$2:$C$1960,0)))</f>
        <v/>
      </c>
      <c r="H1299" s="9">
        <f>IF(ISNA(MATCH(1286,Engine!$C$2:$C$1960,0)),"",INDEX('Compliance Database'!$H$2:$H$1960,MATCH(1286,Engine!$C$2:$C$1960,0)))</f>
        <v/>
      </c>
      <c r="I1299" s="9">
        <f>IF(ISNA(MATCH(1286,Engine!$C$2:$C$1960,0)),"",INDEX('Compliance Database'!$I$2:$I$1960,MATCH(1286,Engine!$C$2:$C$1960,0)))</f>
        <v/>
      </c>
      <c r="J1299" s="8">
        <f>IF(ISNA(MATCH(1286,Engine!$C$2:$C$1960,0)),"",INDEX('Compliance Database'!$J$2:$J$1960,MATCH(1286,Engine!$C$2:$C$1960,0)))</f>
        <v/>
      </c>
      <c r="K1299" s="9">
        <f>IF(ISNA(MATCH(1286,Engine!$C$2:$C$1960,0)),"",INDEX('Compliance Database'!$K$2:$K$1960,MATCH(1286,Engine!$C$2:$C$1960,0)))</f>
        <v/>
      </c>
      <c r="L1299" s="9">
        <f>IF(ISNA(MATCH(1286,Engine!$C$2:$C$1960,0)),"",INDEX('Compliance Database'!$L$2:$L$1960,MATCH(1286,Engine!$C$2:$C$1960,0)))</f>
        <v/>
      </c>
      <c r="M1299" s="9">
        <f>IF(ISNA(MATCH(1286,Engine!$C$2:$C$1960,0)),"",INDEX('Compliance Database'!$M$2:$M$1960,MATCH(1286,Engine!$C$2:$C$1960,0)))</f>
        <v/>
      </c>
      <c r="N1299" s="9">
        <f>IF(ISNA(MATCH(1286,Engine!$C$2:$C$1960,0)),"",INDEX('Compliance Database'!$N$2:$N$1960,MATCH(1286,Engine!$C$2:$C$1960,0)))</f>
        <v/>
      </c>
      <c r="O1299" s="9">
        <f>IF(ISNA(MATCH(1286,Engine!$C$2:$C$1960,0)),"",INDEX('Compliance Database'!$O$2:$O$1960,MATCH(1286,Engine!$C$2:$C$1960,0)))</f>
        <v/>
      </c>
      <c r="P1299" s="8">
        <f>IF(ISNA(MATCH(1286,Engine!$C$2:$C$1960,0)),"",HYPERLINK("#Acts!A"&amp;INDEX('Compliance Database'!$P$2:$P$1960,MATCH(1286,Engine!$C$2:$C$1960,0)),"Go to Act"))</f>
        <v/>
      </c>
    </row>
    <row r="1300" ht="158" customHeight="1">
      <c r="A1300" s="8">
        <f>IF(ISNA(MATCH(1287,Engine!$C$2:$C$1960,0)),"",INDEX('Compliance Database'!$A$2:$A$1960,MATCH(1287,Engine!$C$2:$C$1960,0)))</f>
        <v/>
      </c>
      <c r="B1300" s="8">
        <f>IF(ISNA(MATCH(1287,Engine!$C$2:$C$1960,0)),"",INDEX('Compliance Database'!$B$2:$B$1960,MATCH(1287,Engine!$C$2:$C$1960,0)))</f>
        <v/>
      </c>
      <c r="C1300" s="8">
        <f>IF(ISNA(MATCH(1287,Engine!$C$2:$C$1960,0)),"",INDEX('Compliance Database'!$C$2:$C$1960,MATCH(1287,Engine!$C$2:$C$1960,0)))</f>
        <v/>
      </c>
      <c r="D1300" s="9">
        <f>IF(ISNA(MATCH(1287,Engine!$C$2:$C$1960,0)),"",INDEX('Compliance Database'!$D$2:$D$1960,MATCH(1287,Engine!$C$2:$C$1960,0)))</f>
        <v/>
      </c>
      <c r="E1300" s="8">
        <f>IF(ISNA(MATCH(1287,Engine!$C$2:$C$1960,0)),"",INDEX('Compliance Database'!$E$2:$E$1960,MATCH(1287,Engine!$C$2:$C$1960,0)))</f>
        <v/>
      </c>
      <c r="F1300" s="8">
        <f>IF(ISNA(MATCH(1287,Engine!$C$2:$C$1960,0)),"",INDEX('Compliance Database'!$F$2:$F$1960,MATCH(1287,Engine!$C$2:$C$1960,0)))</f>
        <v/>
      </c>
      <c r="G1300" s="8">
        <f>IF(ISNA(MATCH(1287,Engine!$C$2:$C$1960,0)),"",INDEX('Compliance Database'!$G$2:$G$1960,MATCH(1287,Engine!$C$2:$C$1960,0)))</f>
        <v/>
      </c>
      <c r="H1300" s="9">
        <f>IF(ISNA(MATCH(1287,Engine!$C$2:$C$1960,0)),"",INDEX('Compliance Database'!$H$2:$H$1960,MATCH(1287,Engine!$C$2:$C$1960,0)))</f>
        <v/>
      </c>
      <c r="I1300" s="9">
        <f>IF(ISNA(MATCH(1287,Engine!$C$2:$C$1960,0)),"",INDEX('Compliance Database'!$I$2:$I$1960,MATCH(1287,Engine!$C$2:$C$1960,0)))</f>
        <v/>
      </c>
      <c r="J1300" s="8">
        <f>IF(ISNA(MATCH(1287,Engine!$C$2:$C$1960,0)),"",INDEX('Compliance Database'!$J$2:$J$1960,MATCH(1287,Engine!$C$2:$C$1960,0)))</f>
        <v/>
      </c>
      <c r="K1300" s="9">
        <f>IF(ISNA(MATCH(1287,Engine!$C$2:$C$1960,0)),"",INDEX('Compliance Database'!$K$2:$K$1960,MATCH(1287,Engine!$C$2:$C$1960,0)))</f>
        <v/>
      </c>
      <c r="L1300" s="9">
        <f>IF(ISNA(MATCH(1287,Engine!$C$2:$C$1960,0)),"",INDEX('Compliance Database'!$L$2:$L$1960,MATCH(1287,Engine!$C$2:$C$1960,0)))</f>
        <v/>
      </c>
      <c r="M1300" s="9">
        <f>IF(ISNA(MATCH(1287,Engine!$C$2:$C$1960,0)),"",INDEX('Compliance Database'!$M$2:$M$1960,MATCH(1287,Engine!$C$2:$C$1960,0)))</f>
        <v/>
      </c>
      <c r="N1300" s="9">
        <f>IF(ISNA(MATCH(1287,Engine!$C$2:$C$1960,0)),"",INDEX('Compliance Database'!$N$2:$N$1960,MATCH(1287,Engine!$C$2:$C$1960,0)))</f>
        <v/>
      </c>
      <c r="O1300" s="9">
        <f>IF(ISNA(MATCH(1287,Engine!$C$2:$C$1960,0)),"",INDEX('Compliance Database'!$O$2:$O$1960,MATCH(1287,Engine!$C$2:$C$1960,0)))</f>
        <v/>
      </c>
      <c r="P1300" s="8">
        <f>IF(ISNA(MATCH(1287,Engine!$C$2:$C$1960,0)),"",HYPERLINK("#Acts!A"&amp;INDEX('Compliance Database'!$P$2:$P$1960,MATCH(1287,Engine!$C$2:$C$1960,0)),"Go to Act"))</f>
        <v/>
      </c>
    </row>
    <row r="1301" ht="158" customHeight="1">
      <c r="A1301" s="8">
        <f>IF(ISNA(MATCH(1288,Engine!$C$2:$C$1960,0)),"",INDEX('Compliance Database'!$A$2:$A$1960,MATCH(1288,Engine!$C$2:$C$1960,0)))</f>
        <v/>
      </c>
      <c r="B1301" s="8">
        <f>IF(ISNA(MATCH(1288,Engine!$C$2:$C$1960,0)),"",INDEX('Compliance Database'!$B$2:$B$1960,MATCH(1288,Engine!$C$2:$C$1960,0)))</f>
        <v/>
      </c>
      <c r="C1301" s="8">
        <f>IF(ISNA(MATCH(1288,Engine!$C$2:$C$1960,0)),"",INDEX('Compliance Database'!$C$2:$C$1960,MATCH(1288,Engine!$C$2:$C$1960,0)))</f>
        <v/>
      </c>
      <c r="D1301" s="9">
        <f>IF(ISNA(MATCH(1288,Engine!$C$2:$C$1960,0)),"",INDEX('Compliance Database'!$D$2:$D$1960,MATCH(1288,Engine!$C$2:$C$1960,0)))</f>
        <v/>
      </c>
      <c r="E1301" s="8">
        <f>IF(ISNA(MATCH(1288,Engine!$C$2:$C$1960,0)),"",INDEX('Compliance Database'!$E$2:$E$1960,MATCH(1288,Engine!$C$2:$C$1960,0)))</f>
        <v/>
      </c>
      <c r="F1301" s="8">
        <f>IF(ISNA(MATCH(1288,Engine!$C$2:$C$1960,0)),"",INDEX('Compliance Database'!$F$2:$F$1960,MATCH(1288,Engine!$C$2:$C$1960,0)))</f>
        <v/>
      </c>
      <c r="G1301" s="8">
        <f>IF(ISNA(MATCH(1288,Engine!$C$2:$C$1960,0)),"",INDEX('Compliance Database'!$G$2:$G$1960,MATCH(1288,Engine!$C$2:$C$1960,0)))</f>
        <v/>
      </c>
      <c r="H1301" s="9">
        <f>IF(ISNA(MATCH(1288,Engine!$C$2:$C$1960,0)),"",INDEX('Compliance Database'!$H$2:$H$1960,MATCH(1288,Engine!$C$2:$C$1960,0)))</f>
        <v/>
      </c>
      <c r="I1301" s="9">
        <f>IF(ISNA(MATCH(1288,Engine!$C$2:$C$1960,0)),"",INDEX('Compliance Database'!$I$2:$I$1960,MATCH(1288,Engine!$C$2:$C$1960,0)))</f>
        <v/>
      </c>
      <c r="J1301" s="8">
        <f>IF(ISNA(MATCH(1288,Engine!$C$2:$C$1960,0)),"",INDEX('Compliance Database'!$J$2:$J$1960,MATCH(1288,Engine!$C$2:$C$1960,0)))</f>
        <v/>
      </c>
      <c r="K1301" s="9">
        <f>IF(ISNA(MATCH(1288,Engine!$C$2:$C$1960,0)),"",INDEX('Compliance Database'!$K$2:$K$1960,MATCH(1288,Engine!$C$2:$C$1960,0)))</f>
        <v/>
      </c>
      <c r="L1301" s="9">
        <f>IF(ISNA(MATCH(1288,Engine!$C$2:$C$1960,0)),"",INDEX('Compliance Database'!$L$2:$L$1960,MATCH(1288,Engine!$C$2:$C$1960,0)))</f>
        <v/>
      </c>
      <c r="M1301" s="9">
        <f>IF(ISNA(MATCH(1288,Engine!$C$2:$C$1960,0)),"",INDEX('Compliance Database'!$M$2:$M$1960,MATCH(1288,Engine!$C$2:$C$1960,0)))</f>
        <v/>
      </c>
      <c r="N1301" s="9">
        <f>IF(ISNA(MATCH(1288,Engine!$C$2:$C$1960,0)),"",INDEX('Compliance Database'!$N$2:$N$1960,MATCH(1288,Engine!$C$2:$C$1960,0)))</f>
        <v/>
      </c>
      <c r="O1301" s="9">
        <f>IF(ISNA(MATCH(1288,Engine!$C$2:$C$1960,0)),"",INDEX('Compliance Database'!$O$2:$O$1960,MATCH(1288,Engine!$C$2:$C$1960,0)))</f>
        <v/>
      </c>
      <c r="P1301" s="8">
        <f>IF(ISNA(MATCH(1288,Engine!$C$2:$C$1960,0)),"",HYPERLINK("#Acts!A"&amp;INDEX('Compliance Database'!$P$2:$P$1960,MATCH(1288,Engine!$C$2:$C$1960,0)),"Go to Act"))</f>
        <v/>
      </c>
    </row>
    <row r="1302" ht="158" customHeight="1">
      <c r="A1302" s="8">
        <f>IF(ISNA(MATCH(1289,Engine!$C$2:$C$1960,0)),"",INDEX('Compliance Database'!$A$2:$A$1960,MATCH(1289,Engine!$C$2:$C$1960,0)))</f>
        <v/>
      </c>
      <c r="B1302" s="8">
        <f>IF(ISNA(MATCH(1289,Engine!$C$2:$C$1960,0)),"",INDEX('Compliance Database'!$B$2:$B$1960,MATCH(1289,Engine!$C$2:$C$1960,0)))</f>
        <v/>
      </c>
      <c r="C1302" s="8">
        <f>IF(ISNA(MATCH(1289,Engine!$C$2:$C$1960,0)),"",INDEX('Compliance Database'!$C$2:$C$1960,MATCH(1289,Engine!$C$2:$C$1960,0)))</f>
        <v/>
      </c>
      <c r="D1302" s="9">
        <f>IF(ISNA(MATCH(1289,Engine!$C$2:$C$1960,0)),"",INDEX('Compliance Database'!$D$2:$D$1960,MATCH(1289,Engine!$C$2:$C$1960,0)))</f>
        <v/>
      </c>
      <c r="E1302" s="8">
        <f>IF(ISNA(MATCH(1289,Engine!$C$2:$C$1960,0)),"",INDEX('Compliance Database'!$E$2:$E$1960,MATCH(1289,Engine!$C$2:$C$1960,0)))</f>
        <v/>
      </c>
      <c r="F1302" s="8">
        <f>IF(ISNA(MATCH(1289,Engine!$C$2:$C$1960,0)),"",INDEX('Compliance Database'!$F$2:$F$1960,MATCH(1289,Engine!$C$2:$C$1960,0)))</f>
        <v/>
      </c>
      <c r="G1302" s="8">
        <f>IF(ISNA(MATCH(1289,Engine!$C$2:$C$1960,0)),"",INDEX('Compliance Database'!$G$2:$G$1960,MATCH(1289,Engine!$C$2:$C$1960,0)))</f>
        <v/>
      </c>
      <c r="H1302" s="9">
        <f>IF(ISNA(MATCH(1289,Engine!$C$2:$C$1960,0)),"",INDEX('Compliance Database'!$H$2:$H$1960,MATCH(1289,Engine!$C$2:$C$1960,0)))</f>
        <v/>
      </c>
      <c r="I1302" s="9">
        <f>IF(ISNA(MATCH(1289,Engine!$C$2:$C$1960,0)),"",INDEX('Compliance Database'!$I$2:$I$1960,MATCH(1289,Engine!$C$2:$C$1960,0)))</f>
        <v/>
      </c>
      <c r="J1302" s="8">
        <f>IF(ISNA(MATCH(1289,Engine!$C$2:$C$1960,0)),"",INDEX('Compliance Database'!$J$2:$J$1960,MATCH(1289,Engine!$C$2:$C$1960,0)))</f>
        <v/>
      </c>
      <c r="K1302" s="9">
        <f>IF(ISNA(MATCH(1289,Engine!$C$2:$C$1960,0)),"",INDEX('Compliance Database'!$K$2:$K$1960,MATCH(1289,Engine!$C$2:$C$1960,0)))</f>
        <v/>
      </c>
      <c r="L1302" s="9">
        <f>IF(ISNA(MATCH(1289,Engine!$C$2:$C$1960,0)),"",INDEX('Compliance Database'!$L$2:$L$1960,MATCH(1289,Engine!$C$2:$C$1960,0)))</f>
        <v/>
      </c>
      <c r="M1302" s="9">
        <f>IF(ISNA(MATCH(1289,Engine!$C$2:$C$1960,0)),"",INDEX('Compliance Database'!$M$2:$M$1960,MATCH(1289,Engine!$C$2:$C$1960,0)))</f>
        <v/>
      </c>
      <c r="N1302" s="9">
        <f>IF(ISNA(MATCH(1289,Engine!$C$2:$C$1960,0)),"",INDEX('Compliance Database'!$N$2:$N$1960,MATCH(1289,Engine!$C$2:$C$1960,0)))</f>
        <v/>
      </c>
      <c r="O1302" s="9">
        <f>IF(ISNA(MATCH(1289,Engine!$C$2:$C$1960,0)),"",INDEX('Compliance Database'!$O$2:$O$1960,MATCH(1289,Engine!$C$2:$C$1960,0)))</f>
        <v/>
      </c>
      <c r="P1302" s="8">
        <f>IF(ISNA(MATCH(1289,Engine!$C$2:$C$1960,0)),"",HYPERLINK("#Acts!A"&amp;INDEX('Compliance Database'!$P$2:$P$1960,MATCH(1289,Engine!$C$2:$C$1960,0)),"Go to Act"))</f>
        <v/>
      </c>
    </row>
    <row r="1303" ht="158" customHeight="1">
      <c r="A1303" s="8">
        <f>IF(ISNA(MATCH(1290,Engine!$C$2:$C$1960,0)),"",INDEX('Compliance Database'!$A$2:$A$1960,MATCH(1290,Engine!$C$2:$C$1960,0)))</f>
        <v/>
      </c>
      <c r="B1303" s="8">
        <f>IF(ISNA(MATCH(1290,Engine!$C$2:$C$1960,0)),"",INDEX('Compliance Database'!$B$2:$B$1960,MATCH(1290,Engine!$C$2:$C$1960,0)))</f>
        <v/>
      </c>
      <c r="C1303" s="8">
        <f>IF(ISNA(MATCH(1290,Engine!$C$2:$C$1960,0)),"",INDEX('Compliance Database'!$C$2:$C$1960,MATCH(1290,Engine!$C$2:$C$1960,0)))</f>
        <v/>
      </c>
      <c r="D1303" s="9">
        <f>IF(ISNA(MATCH(1290,Engine!$C$2:$C$1960,0)),"",INDEX('Compliance Database'!$D$2:$D$1960,MATCH(1290,Engine!$C$2:$C$1960,0)))</f>
        <v/>
      </c>
      <c r="E1303" s="8">
        <f>IF(ISNA(MATCH(1290,Engine!$C$2:$C$1960,0)),"",INDEX('Compliance Database'!$E$2:$E$1960,MATCH(1290,Engine!$C$2:$C$1960,0)))</f>
        <v/>
      </c>
      <c r="F1303" s="8">
        <f>IF(ISNA(MATCH(1290,Engine!$C$2:$C$1960,0)),"",INDEX('Compliance Database'!$F$2:$F$1960,MATCH(1290,Engine!$C$2:$C$1960,0)))</f>
        <v/>
      </c>
      <c r="G1303" s="8">
        <f>IF(ISNA(MATCH(1290,Engine!$C$2:$C$1960,0)),"",INDEX('Compliance Database'!$G$2:$G$1960,MATCH(1290,Engine!$C$2:$C$1960,0)))</f>
        <v/>
      </c>
      <c r="H1303" s="9">
        <f>IF(ISNA(MATCH(1290,Engine!$C$2:$C$1960,0)),"",INDEX('Compliance Database'!$H$2:$H$1960,MATCH(1290,Engine!$C$2:$C$1960,0)))</f>
        <v/>
      </c>
      <c r="I1303" s="9">
        <f>IF(ISNA(MATCH(1290,Engine!$C$2:$C$1960,0)),"",INDEX('Compliance Database'!$I$2:$I$1960,MATCH(1290,Engine!$C$2:$C$1960,0)))</f>
        <v/>
      </c>
      <c r="J1303" s="8">
        <f>IF(ISNA(MATCH(1290,Engine!$C$2:$C$1960,0)),"",INDEX('Compliance Database'!$J$2:$J$1960,MATCH(1290,Engine!$C$2:$C$1960,0)))</f>
        <v/>
      </c>
      <c r="K1303" s="9">
        <f>IF(ISNA(MATCH(1290,Engine!$C$2:$C$1960,0)),"",INDEX('Compliance Database'!$K$2:$K$1960,MATCH(1290,Engine!$C$2:$C$1960,0)))</f>
        <v/>
      </c>
      <c r="L1303" s="9">
        <f>IF(ISNA(MATCH(1290,Engine!$C$2:$C$1960,0)),"",INDEX('Compliance Database'!$L$2:$L$1960,MATCH(1290,Engine!$C$2:$C$1960,0)))</f>
        <v/>
      </c>
      <c r="M1303" s="9">
        <f>IF(ISNA(MATCH(1290,Engine!$C$2:$C$1960,0)),"",INDEX('Compliance Database'!$M$2:$M$1960,MATCH(1290,Engine!$C$2:$C$1960,0)))</f>
        <v/>
      </c>
      <c r="N1303" s="9">
        <f>IF(ISNA(MATCH(1290,Engine!$C$2:$C$1960,0)),"",INDEX('Compliance Database'!$N$2:$N$1960,MATCH(1290,Engine!$C$2:$C$1960,0)))</f>
        <v/>
      </c>
      <c r="O1303" s="9">
        <f>IF(ISNA(MATCH(1290,Engine!$C$2:$C$1960,0)),"",INDEX('Compliance Database'!$O$2:$O$1960,MATCH(1290,Engine!$C$2:$C$1960,0)))</f>
        <v/>
      </c>
      <c r="P1303" s="8">
        <f>IF(ISNA(MATCH(1290,Engine!$C$2:$C$1960,0)),"",HYPERLINK("#Acts!A"&amp;INDEX('Compliance Database'!$P$2:$P$1960,MATCH(1290,Engine!$C$2:$C$1960,0)),"Go to Act"))</f>
        <v/>
      </c>
    </row>
    <row r="1304" ht="158" customHeight="1">
      <c r="A1304" s="8">
        <f>IF(ISNA(MATCH(1291,Engine!$C$2:$C$1960,0)),"",INDEX('Compliance Database'!$A$2:$A$1960,MATCH(1291,Engine!$C$2:$C$1960,0)))</f>
        <v/>
      </c>
      <c r="B1304" s="8">
        <f>IF(ISNA(MATCH(1291,Engine!$C$2:$C$1960,0)),"",INDEX('Compliance Database'!$B$2:$B$1960,MATCH(1291,Engine!$C$2:$C$1960,0)))</f>
        <v/>
      </c>
      <c r="C1304" s="8">
        <f>IF(ISNA(MATCH(1291,Engine!$C$2:$C$1960,0)),"",INDEX('Compliance Database'!$C$2:$C$1960,MATCH(1291,Engine!$C$2:$C$1960,0)))</f>
        <v/>
      </c>
      <c r="D1304" s="9">
        <f>IF(ISNA(MATCH(1291,Engine!$C$2:$C$1960,0)),"",INDEX('Compliance Database'!$D$2:$D$1960,MATCH(1291,Engine!$C$2:$C$1960,0)))</f>
        <v/>
      </c>
      <c r="E1304" s="8">
        <f>IF(ISNA(MATCH(1291,Engine!$C$2:$C$1960,0)),"",INDEX('Compliance Database'!$E$2:$E$1960,MATCH(1291,Engine!$C$2:$C$1960,0)))</f>
        <v/>
      </c>
      <c r="F1304" s="8">
        <f>IF(ISNA(MATCH(1291,Engine!$C$2:$C$1960,0)),"",INDEX('Compliance Database'!$F$2:$F$1960,MATCH(1291,Engine!$C$2:$C$1960,0)))</f>
        <v/>
      </c>
      <c r="G1304" s="8">
        <f>IF(ISNA(MATCH(1291,Engine!$C$2:$C$1960,0)),"",INDEX('Compliance Database'!$G$2:$G$1960,MATCH(1291,Engine!$C$2:$C$1960,0)))</f>
        <v/>
      </c>
      <c r="H1304" s="9">
        <f>IF(ISNA(MATCH(1291,Engine!$C$2:$C$1960,0)),"",INDEX('Compliance Database'!$H$2:$H$1960,MATCH(1291,Engine!$C$2:$C$1960,0)))</f>
        <v/>
      </c>
      <c r="I1304" s="9">
        <f>IF(ISNA(MATCH(1291,Engine!$C$2:$C$1960,0)),"",INDEX('Compliance Database'!$I$2:$I$1960,MATCH(1291,Engine!$C$2:$C$1960,0)))</f>
        <v/>
      </c>
      <c r="J1304" s="8">
        <f>IF(ISNA(MATCH(1291,Engine!$C$2:$C$1960,0)),"",INDEX('Compliance Database'!$J$2:$J$1960,MATCH(1291,Engine!$C$2:$C$1960,0)))</f>
        <v/>
      </c>
      <c r="K1304" s="9">
        <f>IF(ISNA(MATCH(1291,Engine!$C$2:$C$1960,0)),"",INDEX('Compliance Database'!$K$2:$K$1960,MATCH(1291,Engine!$C$2:$C$1960,0)))</f>
        <v/>
      </c>
      <c r="L1304" s="9">
        <f>IF(ISNA(MATCH(1291,Engine!$C$2:$C$1960,0)),"",INDEX('Compliance Database'!$L$2:$L$1960,MATCH(1291,Engine!$C$2:$C$1960,0)))</f>
        <v/>
      </c>
      <c r="M1304" s="9">
        <f>IF(ISNA(MATCH(1291,Engine!$C$2:$C$1960,0)),"",INDEX('Compliance Database'!$M$2:$M$1960,MATCH(1291,Engine!$C$2:$C$1960,0)))</f>
        <v/>
      </c>
      <c r="N1304" s="9">
        <f>IF(ISNA(MATCH(1291,Engine!$C$2:$C$1960,0)),"",INDEX('Compliance Database'!$N$2:$N$1960,MATCH(1291,Engine!$C$2:$C$1960,0)))</f>
        <v/>
      </c>
      <c r="O1304" s="9">
        <f>IF(ISNA(MATCH(1291,Engine!$C$2:$C$1960,0)),"",INDEX('Compliance Database'!$O$2:$O$1960,MATCH(1291,Engine!$C$2:$C$1960,0)))</f>
        <v/>
      </c>
      <c r="P1304" s="8">
        <f>IF(ISNA(MATCH(1291,Engine!$C$2:$C$1960,0)),"",HYPERLINK("#Acts!A"&amp;INDEX('Compliance Database'!$P$2:$P$1960,MATCH(1291,Engine!$C$2:$C$1960,0)),"Go to Act"))</f>
        <v/>
      </c>
    </row>
    <row r="1305" ht="158" customHeight="1">
      <c r="A1305" s="8">
        <f>IF(ISNA(MATCH(1292,Engine!$C$2:$C$1960,0)),"",INDEX('Compliance Database'!$A$2:$A$1960,MATCH(1292,Engine!$C$2:$C$1960,0)))</f>
        <v/>
      </c>
      <c r="B1305" s="8">
        <f>IF(ISNA(MATCH(1292,Engine!$C$2:$C$1960,0)),"",INDEX('Compliance Database'!$B$2:$B$1960,MATCH(1292,Engine!$C$2:$C$1960,0)))</f>
        <v/>
      </c>
      <c r="C1305" s="8">
        <f>IF(ISNA(MATCH(1292,Engine!$C$2:$C$1960,0)),"",INDEX('Compliance Database'!$C$2:$C$1960,MATCH(1292,Engine!$C$2:$C$1960,0)))</f>
        <v/>
      </c>
      <c r="D1305" s="9">
        <f>IF(ISNA(MATCH(1292,Engine!$C$2:$C$1960,0)),"",INDEX('Compliance Database'!$D$2:$D$1960,MATCH(1292,Engine!$C$2:$C$1960,0)))</f>
        <v/>
      </c>
      <c r="E1305" s="8">
        <f>IF(ISNA(MATCH(1292,Engine!$C$2:$C$1960,0)),"",INDEX('Compliance Database'!$E$2:$E$1960,MATCH(1292,Engine!$C$2:$C$1960,0)))</f>
        <v/>
      </c>
      <c r="F1305" s="8">
        <f>IF(ISNA(MATCH(1292,Engine!$C$2:$C$1960,0)),"",INDEX('Compliance Database'!$F$2:$F$1960,MATCH(1292,Engine!$C$2:$C$1960,0)))</f>
        <v/>
      </c>
      <c r="G1305" s="8">
        <f>IF(ISNA(MATCH(1292,Engine!$C$2:$C$1960,0)),"",INDEX('Compliance Database'!$G$2:$G$1960,MATCH(1292,Engine!$C$2:$C$1960,0)))</f>
        <v/>
      </c>
      <c r="H1305" s="9">
        <f>IF(ISNA(MATCH(1292,Engine!$C$2:$C$1960,0)),"",INDEX('Compliance Database'!$H$2:$H$1960,MATCH(1292,Engine!$C$2:$C$1960,0)))</f>
        <v/>
      </c>
      <c r="I1305" s="9">
        <f>IF(ISNA(MATCH(1292,Engine!$C$2:$C$1960,0)),"",INDEX('Compliance Database'!$I$2:$I$1960,MATCH(1292,Engine!$C$2:$C$1960,0)))</f>
        <v/>
      </c>
      <c r="J1305" s="8">
        <f>IF(ISNA(MATCH(1292,Engine!$C$2:$C$1960,0)),"",INDEX('Compliance Database'!$J$2:$J$1960,MATCH(1292,Engine!$C$2:$C$1960,0)))</f>
        <v/>
      </c>
      <c r="K1305" s="9">
        <f>IF(ISNA(MATCH(1292,Engine!$C$2:$C$1960,0)),"",INDEX('Compliance Database'!$K$2:$K$1960,MATCH(1292,Engine!$C$2:$C$1960,0)))</f>
        <v/>
      </c>
      <c r="L1305" s="9">
        <f>IF(ISNA(MATCH(1292,Engine!$C$2:$C$1960,0)),"",INDEX('Compliance Database'!$L$2:$L$1960,MATCH(1292,Engine!$C$2:$C$1960,0)))</f>
        <v/>
      </c>
      <c r="M1305" s="9">
        <f>IF(ISNA(MATCH(1292,Engine!$C$2:$C$1960,0)),"",INDEX('Compliance Database'!$M$2:$M$1960,MATCH(1292,Engine!$C$2:$C$1960,0)))</f>
        <v/>
      </c>
      <c r="N1305" s="9">
        <f>IF(ISNA(MATCH(1292,Engine!$C$2:$C$1960,0)),"",INDEX('Compliance Database'!$N$2:$N$1960,MATCH(1292,Engine!$C$2:$C$1960,0)))</f>
        <v/>
      </c>
      <c r="O1305" s="9">
        <f>IF(ISNA(MATCH(1292,Engine!$C$2:$C$1960,0)),"",INDEX('Compliance Database'!$O$2:$O$1960,MATCH(1292,Engine!$C$2:$C$1960,0)))</f>
        <v/>
      </c>
      <c r="P1305" s="8">
        <f>IF(ISNA(MATCH(1292,Engine!$C$2:$C$1960,0)),"",HYPERLINK("#Acts!A"&amp;INDEX('Compliance Database'!$P$2:$P$1960,MATCH(1292,Engine!$C$2:$C$1960,0)),"Go to Act"))</f>
        <v/>
      </c>
    </row>
    <row r="1306" ht="158" customHeight="1">
      <c r="A1306" s="8">
        <f>IF(ISNA(MATCH(1293,Engine!$C$2:$C$1960,0)),"",INDEX('Compliance Database'!$A$2:$A$1960,MATCH(1293,Engine!$C$2:$C$1960,0)))</f>
        <v/>
      </c>
      <c r="B1306" s="8">
        <f>IF(ISNA(MATCH(1293,Engine!$C$2:$C$1960,0)),"",INDEX('Compliance Database'!$B$2:$B$1960,MATCH(1293,Engine!$C$2:$C$1960,0)))</f>
        <v/>
      </c>
      <c r="C1306" s="8">
        <f>IF(ISNA(MATCH(1293,Engine!$C$2:$C$1960,0)),"",INDEX('Compliance Database'!$C$2:$C$1960,MATCH(1293,Engine!$C$2:$C$1960,0)))</f>
        <v/>
      </c>
      <c r="D1306" s="9">
        <f>IF(ISNA(MATCH(1293,Engine!$C$2:$C$1960,0)),"",INDEX('Compliance Database'!$D$2:$D$1960,MATCH(1293,Engine!$C$2:$C$1960,0)))</f>
        <v/>
      </c>
      <c r="E1306" s="8">
        <f>IF(ISNA(MATCH(1293,Engine!$C$2:$C$1960,0)),"",INDEX('Compliance Database'!$E$2:$E$1960,MATCH(1293,Engine!$C$2:$C$1960,0)))</f>
        <v/>
      </c>
      <c r="F1306" s="8">
        <f>IF(ISNA(MATCH(1293,Engine!$C$2:$C$1960,0)),"",INDEX('Compliance Database'!$F$2:$F$1960,MATCH(1293,Engine!$C$2:$C$1960,0)))</f>
        <v/>
      </c>
      <c r="G1306" s="8">
        <f>IF(ISNA(MATCH(1293,Engine!$C$2:$C$1960,0)),"",INDEX('Compliance Database'!$G$2:$G$1960,MATCH(1293,Engine!$C$2:$C$1960,0)))</f>
        <v/>
      </c>
      <c r="H1306" s="9">
        <f>IF(ISNA(MATCH(1293,Engine!$C$2:$C$1960,0)),"",INDEX('Compliance Database'!$H$2:$H$1960,MATCH(1293,Engine!$C$2:$C$1960,0)))</f>
        <v/>
      </c>
      <c r="I1306" s="9">
        <f>IF(ISNA(MATCH(1293,Engine!$C$2:$C$1960,0)),"",INDEX('Compliance Database'!$I$2:$I$1960,MATCH(1293,Engine!$C$2:$C$1960,0)))</f>
        <v/>
      </c>
      <c r="J1306" s="8">
        <f>IF(ISNA(MATCH(1293,Engine!$C$2:$C$1960,0)),"",INDEX('Compliance Database'!$J$2:$J$1960,MATCH(1293,Engine!$C$2:$C$1960,0)))</f>
        <v/>
      </c>
      <c r="K1306" s="9">
        <f>IF(ISNA(MATCH(1293,Engine!$C$2:$C$1960,0)),"",INDEX('Compliance Database'!$K$2:$K$1960,MATCH(1293,Engine!$C$2:$C$1960,0)))</f>
        <v/>
      </c>
      <c r="L1306" s="9">
        <f>IF(ISNA(MATCH(1293,Engine!$C$2:$C$1960,0)),"",INDEX('Compliance Database'!$L$2:$L$1960,MATCH(1293,Engine!$C$2:$C$1960,0)))</f>
        <v/>
      </c>
      <c r="M1306" s="9">
        <f>IF(ISNA(MATCH(1293,Engine!$C$2:$C$1960,0)),"",INDEX('Compliance Database'!$M$2:$M$1960,MATCH(1293,Engine!$C$2:$C$1960,0)))</f>
        <v/>
      </c>
      <c r="N1306" s="9">
        <f>IF(ISNA(MATCH(1293,Engine!$C$2:$C$1960,0)),"",INDEX('Compliance Database'!$N$2:$N$1960,MATCH(1293,Engine!$C$2:$C$1960,0)))</f>
        <v/>
      </c>
      <c r="O1306" s="9">
        <f>IF(ISNA(MATCH(1293,Engine!$C$2:$C$1960,0)),"",INDEX('Compliance Database'!$O$2:$O$1960,MATCH(1293,Engine!$C$2:$C$1960,0)))</f>
        <v/>
      </c>
      <c r="P1306" s="8">
        <f>IF(ISNA(MATCH(1293,Engine!$C$2:$C$1960,0)),"",HYPERLINK("#Acts!A"&amp;INDEX('Compliance Database'!$P$2:$P$1960,MATCH(1293,Engine!$C$2:$C$1960,0)),"Go to Act"))</f>
        <v/>
      </c>
    </row>
    <row r="1307" ht="158" customHeight="1">
      <c r="A1307" s="8">
        <f>IF(ISNA(MATCH(1294,Engine!$C$2:$C$1960,0)),"",INDEX('Compliance Database'!$A$2:$A$1960,MATCH(1294,Engine!$C$2:$C$1960,0)))</f>
        <v/>
      </c>
      <c r="B1307" s="8">
        <f>IF(ISNA(MATCH(1294,Engine!$C$2:$C$1960,0)),"",INDEX('Compliance Database'!$B$2:$B$1960,MATCH(1294,Engine!$C$2:$C$1960,0)))</f>
        <v/>
      </c>
      <c r="C1307" s="8">
        <f>IF(ISNA(MATCH(1294,Engine!$C$2:$C$1960,0)),"",INDEX('Compliance Database'!$C$2:$C$1960,MATCH(1294,Engine!$C$2:$C$1960,0)))</f>
        <v/>
      </c>
      <c r="D1307" s="9">
        <f>IF(ISNA(MATCH(1294,Engine!$C$2:$C$1960,0)),"",INDEX('Compliance Database'!$D$2:$D$1960,MATCH(1294,Engine!$C$2:$C$1960,0)))</f>
        <v/>
      </c>
      <c r="E1307" s="8">
        <f>IF(ISNA(MATCH(1294,Engine!$C$2:$C$1960,0)),"",INDEX('Compliance Database'!$E$2:$E$1960,MATCH(1294,Engine!$C$2:$C$1960,0)))</f>
        <v/>
      </c>
      <c r="F1307" s="8">
        <f>IF(ISNA(MATCH(1294,Engine!$C$2:$C$1960,0)),"",INDEX('Compliance Database'!$F$2:$F$1960,MATCH(1294,Engine!$C$2:$C$1960,0)))</f>
        <v/>
      </c>
      <c r="G1307" s="8">
        <f>IF(ISNA(MATCH(1294,Engine!$C$2:$C$1960,0)),"",INDEX('Compliance Database'!$G$2:$G$1960,MATCH(1294,Engine!$C$2:$C$1960,0)))</f>
        <v/>
      </c>
      <c r="H1307" s="9">
        <f>IF(ISNA(MATCH(1294,Engine!$C$2:$C$1960,0)),"",INDEX('Compliance Database'!$H$2:$H$1960,MATCH(1294,Engine!$C$2:$C$1960,0)))</f>
        <v/>
      </c>
      <c r="I1307" s="9">
        <f>IF(ISNA(MATCH(1294,Engine!$C$2:$C$1960,0)),"",INDEX('Compliance Database'!$I$2:$I$1960,MATCH(1294,Engine!$C$2:$C$1960,0)))</f>
        <v/>
      </c>
      <c r="J1307" s="8">
        <f>IF(ISNA(MATCH(1294,Engine!$C$2:$C$1960,0)),"",INDEX('Compliance Database'!$J$2:$J$1960,MATCH(1294,Engine!$C$2:$C$1960,0)))</f>
        <v/>
      </c>
      <c r="K1307" s="9">
        <f>IF(ISNA(MATCH(1294,Engine!$C$2:$C$1960,0)),"",INDEX('Compliance Database'!$K$2:$K$1960,MATCH(1294,Engine!$C$2:$C$1960,0)))</f>
        <v/>
      </c>
      <c r="L1307" s="9">
        <f>IF(ISNA(MATCH(1294,Engine!$C$2:$C$1960,0)),"",INDEX('Compliance Database'!$L$2:$L$1960,MATCH(1294,Engine!$C$2:$C$1960,0)))</f>
        <v/>
      </c>
      <c r="M1307" s="9">
        <f>IF(ISNA(MATCH(1294,Engine!$C$2:$C$1960,0)),"",INDEX('Compliance Database'!$M$2:$M$1960,MATCH(1294,Engine!$C$2:$C$1960,0)))</f>
        <v/>
      </c>
      <c r="N1307" s="9">
        <f>IF(ISNA(MATCH(1294,Engine!$C$2:$C$1960,0)),"",INDEX('Compliance Database'!$N$2:$N$1960,MATCH(1294,Engine!$C$2:$C$1960,0)))</f>
        <v/>
      </c>
      <c r="O1307" s="9">
        <f>IF(ISNA(MATCH(1294,Engine!$C$2:$C$1960,0)),"",INDEX('Compliance Database'!$O$2:$O$1960,MATCH(1294,Engine!$C$2:$C$1960,0)))</f>
        <v/>
      </c>
      <c r="P1307" s="8">
        <f>IF(ISNA(MATCH(1294,Engine!$C$2:$C$1960,0)),"",HYPERLINK("#Acts!A"&amp;INDEX('Compliance Database'!$P$2:$P$1960,MATCH(1294,Engine!$C$2:$C$1960,0)),"Go to Act"))</f>
        <v/>
      </c>
    </row>
    <row r="1308" ht="158" customHeight="1">
      <c r="A1308" s="8">
        <f>IF(ISNA(MATCH(1295,Engine!$C$2:$C$1960,0)),"",INDEX('Compliance Database'!$A$2:$A$1960,MATCH(1295,Engine!$C$2:$C$1960,0)))</f>
        <v/>
      </c>
      <c r="B1308" s="8">
        <f>IF(ISNA(MATCH(1295,Engine!$C$2:$C$1960,0)),"",INDEX('Compliance Database'!$B$2:$B$1960,MATCH(1295,Engine!$C$2:$C$1960,0)))</f>
        <v/>
      </c>
      <c r="C1308" s="8">
        <f>IF(ISNA(MATCH(1295,Engine!$C$2:$C$1960,0)),"",INDEX('Compliance Database'!$C$2:$C$1960,MATCH(1295,Engine!$C$2:$C$1960,0)))</f>
        <v/>
      </c>
      <c r="D1308" s="9">
        <f>IF(ISNA(MATCH(1295,Engine!$C$2:$C$1960,0)),"",INDEX('Compliance Database'!$D$2:$D$1960,MATCH(1295,Engine!$C$2:$C$1960,0)))</f>
        <v/>
      </c>
      <c r="E1308" s="8">
        <f>IF(ISNA(MATCH(1295,Engine!$C$2:$C$1960,0)),"",INDEX('Compliance Database'!$E$2:$E$1960,MATCH(1295,Engine!$C$2:$C$1960,0)))</f>
        <v/>
      </c>
      <c r="F1308" s="8">
        <f>IF(ISNA(MATCH(1295,Engine!$C$2:$C$1960,0)),"",INDEX('Compliance Database'!$F$2:$F$1960,MATCH(1295,Engine!$C$2:$C$1960,0)))</f>
        <v/>
      </c>
      <c r="G1308" s="8">
        <f>IF(ISNA(MATCH(1295,Engine!$C$2:$C$1960,0)),"",INDEX('Compliance Database'!$G$2:$G$1960,MATCH(1295,Engine!$C$2:$C$1960,0)))</f>
        <v/>
      </c>
      <c r="H1308" s="9">
        <f>IF(ISNA(MATCH(1295,Engine!$C$2:$C$1960,0)),"",INDEX('Compliance Database'!$H$2:$H$1960,MATCH(1295,Engine!$C$2:$C$1960,0)))</f>
        <v/>
      </c>
      <c r="I1308" s="9">
        <f>IF(ISNA(MATCH(1295,Engine!$C$2:$C$1960,0)),"",INDEX('Compliance Database'!$I$2:$I$1960,MATCH(1295,Engine!$C$2:$C$1960,0)))</f>
        <v/>
      </c>
      <c r="J1308" s="8">
        <f>IF(ISNA(MATCH(1295,Engine!$C$2:$C$1960,0)),"",INDEX('Compliance Database'!$J$2:$J$1960,MATCH(1295,Engine!$C$2:$C$1960,0)))</f>
        <v/>
      </c>
      <c r="K1308" s="9">
        <f>IF(ISNA(MATCH(1295,Engine!$C$2:$C$1960,0)),"",INDEX('Compliance Database'!$K$2:$K$1960,MATCH(1295,Engine!$C$2:$C$1960,0)))</f>
        <v/>
      </c>
      <c r="L1308" s="9">
        <f>IF(ISNA(MATCH(1295,Engine!$C$2:$C$1960,0)),"",INDEX('Compliance Database'!$L$2:$L$1960,MATCH(1295,Engine!$C$2:$C$1960,0)))</f>
        <v/>
      </c>
      <c r="M1308" s="9">
        <f>IF(ISNA(MATCH(1295,Engine!$C$2:$C$1960,0)),"",INDEX('Compliance Database'!$M$2:$M$1960,MATCH(1295,Engine!$C$2:$C$1960,0)))</f>
        <v/>
      </c>
      <c r="N1308" s="9">
        <f>IF(ISNA(MATCH(1295,Engine!$C$2:$C$1960,0)),"",INDEX('Compliance Database'!$N$2:$N$1960,MATCH(1295,Engine!$C$2:$C$1960,0)))</f>
        <v/>
      </c>
      <c r="O1308" s="9">
        <f>IF(ISNA(MATCH(1295,Engine!$C$2:$C$1960,0)),"",INDEX('Compliance Database'!$O$2:$O$1960,MATCH(1295,Engine!$C$2:$C$1960,0)))</f>
        <v/>
      </c>
      <c r="P1308" s="8">
        <f>IF(ISNA(MATCH(1295,Engine!$C$2:$C$1960,0)),"",HYPERLINK("#Acts!A"&amp;INDEX('Compliance Database'!$P$2:$P$1960,MATCH(1295,Engine!$C$2:$C$1960,0)),"Go to Act"))</f>
        <v/>
      </c>
    </row>
    <row r="1309" ht="158" customHeight="1">
      <c r="A1309" s="8">
        <f>IF(ISNA(MATCH(1296,Engine!$C$2:$C$1960,0)),"",INDEX('Compliance Database'!$A$2:$A$1960,MATCH(1296,Engine!$C$2:$C$1960,0)))</f>
        <v/>
      </c>
      <c r="B1309" s="8">
        <f>IF(ISNA(MATCH(1296,Engine!$C$2:$C$1960,0)),"",INDEX('Compliance Database'!$B$2:$B$1960,MATCH(1296,Engine!$C$2:$C$1960,0)))</f>
        <v/>
      </c>
      <c r="C1309" s="8">
        <f>IF(ISNA(MATCH(1296,Engine!$C$2:$C$1960,0)),"",INDEX('Compliance Database'!$C$2:$C$1960,MATCH(1296,Engine!$C$2:$C$1960,0)))</f>
        <v/>
      </c>
      <c r="D1309" s="9">
        <f>IF(ISNA(MATCH(1296,Engine!$C$2:$C$1960,0)),"",INDEX('Compliance Database'!$D$2:$D$1960,MATCH(1296,Engine!$C$2:$C$1960,0)))</f>
        <v/>
      </c>
      <c r="E1309" s="8">
        <f>IF(ISNA(MATCH(1296,Engine!$C$2:$C$1960,0)),"",INDEX('Compliance Database'!$E$2:$E$1960,MATCH(1296,Engine!$C$2:$C$1960,0)))</f>
        <v/>
      </c>
      <c r="F1309" s="8">
        <f>IF(ISNA(MATCH(1296,Engine!$C$2:$C$1960,0)),"",INDEX('Compliance Database'!$F$2:$F$1960,MATCH(1296,Engine!$C$2:$C$1960,0)))</f>
        <v/>
      </c>
      <c r="G1309" s="8">
        <f>IF(ISNA(MATCH(1296,Engine!$C$2:$C$1960,0)),"",INDEX('Compliance Database'!$G$2:$G$1960,MATCH(1296,Engine!$C$2:$C$1960,0)))</f>
        <v/>
      </c>
      <c r="H1309" s="9">
        <f>IF(ISNA(MATCH(1296,Engine!$C$2:$C$1960,0)),"",INDEX('Compliance Database'!$H$2:$H$1960,MATCH(1296,Engine!$C$2:$C$1960,0)))</f>
        <v/>
      </c>
      <c r="I1309" s="9">
        <f>IF(ISNA(MATCH(1296,Engine!$C$2:$C$1960,0)),"",INDEX('Compliance Database'!$I$2:$I$1960,MATCH(1296,Engine!$C$2:$C$1960,0)))</f>
        <v/>
      </c>
      <c r="J1309" s="8">
        <f>IF(ISNA(MATCH(1296,Engine!$C$2:$C$1960,0)),"",INDEX('Compliance Database'!$J$2:$J$1960,MATCH(1296,Engine!$C$2:$C$1960,0)))</f>
        <v/>
      </c>
      <c r="K1309" s="9">
        <f>IF(ISNA(MATCH(1296,Engine!$C$2:$C$1960,0)),"",INDEX('Compliance Database'!$K$2:$K$1960,MATCH(1296,Engine!$C$2:$C$1960,0)))</f>
        <v/>
      </c>
      <c r="L1309" s="9">
        <f>IF(ISNA(MATCH(1296,Engine!$C$2:$C$1960,0)),"",INDEX('Compliance Database'!$L$2:$L$1960,MATCH(1296,Engine!$C$2:$C$1960,0)))</f>
        <v/>
      </c>
      <c r="M1309" s="9">
        <f>IF(ISNA(MATCH(1296,Engine!$C$2:$C$1960,0)),"",INDEX('Compliance Database'!$M$2:$M$1960,MATCH(1296,Engine!$C$2:$C$1960,0)))</f>
        <v/>
      </c>
      <c r="N1309" s="9">
        <f>IF(ISNA(MATCH(1296,Engine!$C$2:$C$1960,0)),"",INDEX('Compliance Database'!$N$2:$N$1960,MATCH(1296,Engine!$C$2:$C$1960,0)))</f>
        <v/>
      </c>
      <c r="O1309" s="9">
        <f>IF(ISNA(MATCH(1296,Engine!$C$2:$C$1960,0)),"",INDEX('Compliance Database'!$O$2:$O$1960,MATCH(1296,Engine!$C$2:$C$1960,0)))</f>
        <v/>
      </c>
      <c r="P1309" s="8">
        <f>IF(ISNA(MATCH(1296,Engine!$C$2:$C$1960,0)),"",HYPERLINK("#Acts!A"&amp;INDEX('Compliance Database'!$P$2:$P$1960,MATCH(1296,Engine!$C$2:$C$1960,0)),"Go to Act"))</f>
        <v/>
      </c>
    </row>
    <row r="1310" ht="158" customHeight="1">
      <c r="A1310" s="8">
        <f>IF(ISNA(MATCH(1297,Engine!$C$2:$C$1960,0)),"",INDEX('Compliance Database'!$A$2:$A$1960,MATCH(1297,Engine!$C$2:$C$1960,0)))</f>
        <v/>
      </c>
      <c r="B1310" s="8">
        <f>IF(ISNA(MATCH(1297,Engine!$C$2:$C$1960,0)),"",INDEX('Compliance Database'!$B$2:$B$1960,MATCH(1297,Engine!$C$2:$C$1960,0)))</f>
        <v/>
      </c>
      <c r="C1310" s="8">
        <f>IF(ISNA(MATCH(1297,Engine!$C$2:$C$1960,0)),"",INDEX('Compliance Database'!$C$2:$C$1960,MATCH(1297,Engine!$C$2:$C$1960,0)))</f>
        <v/>
      </c>
      <c r="D1310" s="9">
        <f>IF(ISNA(MATCH(1297,Engine!$C$2:$C$1960,0)),"",INDEX('Compliance Database'!$D$2:$D$1960,MATCH(1297,Engine!$C$2:$C$1960,0)))</f>
        <v/>
      </c>
      <c r="E1310" s="8">
        <f>IF(ISNA(MATCH(1297,Engine!$C$2:$C$1960,0)),"",INDEX('Compliance Database'!$E$2:$E$1960,MATCH(1297,Engine!$C$2:$C$1960,0)))</f>
        <v/>
      </c>
      <c r="F1310" s="8">
        <f>IF(ISNA(MATCH(1297,Engine!$C$2:$C$1960,0)),"",INDEX('Compliance Database'!$F$2:$F$1960,MATCH(1297,Engine!$C$2:$C$1960,0)))</f>
        <v/>
      </c>
      <c r="G1310" s="8">
        <f>IF(ISNA(MATCH(1297,Engine!$C$2:$C$1960,0)),"",INDEX('Compliance Database'!$G$2:$G$1960,MATCH(1297,Engine!$C$2:$C$1960,0)))</f>
        <v/>
      </c>
      <c r="H1310" s="9">
        <f>IF(ISNA(MATCH(1297,Engine!$C$2:$C$1960,0)),"",INDEX('Compliance Database'!$H$2:$H$1960,MATCH(1297,Engine!$C$2:$C$1960,0)))</f>
        <v/>
      </c>
      <c r="I1310" s="9">
        <f>IF(ISNA(MATCH(1297,Engine!$C$2:$C$1960,0)),"",INDEX('Compliance Database'!$I$2:$I$1960,MATCH(1297,Engine!$C$2:$C$1960,0)))</f>
        <v/>
      </c>
      <c r="J1310" s="8">
        <f>IF(ISNA(MATCH(1297,Engine!$C$2:$C$1960,0)),"",INDEX('Compliance Database'!$J$2:$J$1960,MATCH(1297,Engine!$C$2:$C$1960,0)))</f>
        <v/>
      </c>
      <c r="K1310" s="9">
        <f>IF(ISNA(MATCH(1297,Engine!$C$2:$C$1960,0)),"",INDEX('Compliance Database'!$K$2:$K$1960,MATCH(1297,Engine!$C$2:$C$1960,0)))</f>
        <v/>
      </c>
      <c r="L1310" s="9">
        <f>IF(ISNA(MATCH(1297,Engine!$C$2:$C$1960,0)),"",INDEX('Compliance Database'!$L$2:$L$1960,MATCH(1297,Engine!$C$2:$C$1960,0)))</f>
        <v/>
      </c>
      <c r="M1310" s="9">
        <f>IF(ISNA(MATCH(1297,Engine!$C$2:$C$1960,0)),"",INDEX('Compliance Database'!$M$2:$M$1960,MATCH(1297,Engine!$C$2:$C$1960,0)))</f>
        <v/>
      </c>
      <c r="N1310" s="9">
        <f>IF(ISNA(MATCH(1297,Engine!$C$2:$C$1960,0)),"",INDEX('Compliance Database'!$N$2:$N$1960,MATCH(1297,Engine!$C$2:$C$1960,0)))</f>
        <v/>
      </c>
      <c r="O1310" s="9">
        <f>IF(ISNA(MATCH(1297,Engine!$C$2:$C$1960,0)),"",INDEX('Compliance Database'!$O$2:$O$1960,MATCH(1297,Engine!$C$2:$C$1960,0)))</f>
        <v/>
      </c>
      <c r="P1310" s="8">
        <f>IF(ISNA(MATCH(1297,Engine!$C$2:$C$1960,0)),"",HYPERLINK("#Acts!A"&amp;INDEX('Compliance Database'!$P$2:$P$1960,MATCH(1297,Engine!$C$2:$C$1960,0)),"Go to Act"))</f>
        <v/>
      </c>
    </row>
    <row r="1311" ht="158" customHeight="1">
      <c r="A1311" s="8">
        <f>IF(ISNA(MATCH(1298,Engine!$C$2:$C$1960,0)),"",INDEX('Compliance Database'!$A$2:$A$1960,MATCH(1298,Engine!$C$2:$C$1960,0)))</f>
        <v/>
      </c>
      <c r="B1311" s="8">
        <f>IF(ISNA(MATCH(1298,Engine!$C$2:$C$1960,0)),"",INDEX('Compliance Database'!$B$2:$B$1960,MATCH(1298,Engine!$C$2:$C$1960,0)))</f>
        <v/>
      </c>
      <c r="C1311" s="8">
        <f>IF(ISNA(MATCH(1298,Engine!$C$2:$C$1960,0)),"",INDEX('Compliance Database'!$C$2:$C$1960,MATCH(1298,Engine!$C$2:$C$1960,0)))</f>
        <v/>
      </c>
      <c r="D1311" s="9">
        <f>IF(ISNA(MATCH(1298,Engine!$C$2:$C$1960,0)),"",INDEX('Compliance Database'!$D$2:$D$1960,MATCH(1298,Engine!$C$2:$C$1960,0)))</f>
        <v/>
      </c>
      <c r="E1311" s="8">
        <f>IF(ISNA(MATCH(1298,Engine!$C$2:$C$1960,0)),"",INDEX('Compliance Database'!$E$2:$E$1960,MATCH(1298,Engine!$C$2:$C$1960,0)))</f>
        <v/>
      </c>
      <c r="F1311" s="8">
        <f>IF(ISNA(MATCH(1298,Engine!$C$2:$C$1960,0)),"",INDEX('Compliance Database'!$F$2:$F$1960,MATCH(1298,Engine!$C$2:$C$1960,0)))</f>
        <v/>
      </c>
      <c r="G1311" s="8">
        <f>IF(ISNA(MATCH(1298,Engine!$C$2:$C$1960,0)),"",INDEX('Compliance Database'!$G$2:$G$1960,MATCH(1298,Engine!$C$2:$C$1960,0)))</f>
        <v/>
      </c>
      <c r="H1311" s="9">
        <f>IF(ISNA(MATCH(1298,Engine!$C$2:$C$1960,0)),"",INDEX('Compliance Database'!$H$2:$H$1960,MATCH(1298,Engine!$C$2:$C$1960,0)))</f>
        <v/>
      </c>
      <c r="I1311" s="9">
        <f>IF(ISNA(MATCH(1298,Engine!$C$2:$C$1960,0)),"",INDEX('Compliance Database'!$I$2:$I$1960,MATCH(1298,Engine!$C$2:$C$1960,0)))</f>
        <v/>
      </c>
      <c r="J1311" s="8">
        <f>IF(ISNA(MATCH(1298,Engine!$C$2:$C$1960,0)),"",INDEX('Compliance Database'!$J$2:$J$1960,MATCH(1298,Engine!$C$2:$C$1960,0)))</f>
        <v/>
      </c>
      <c r="K1311" s="9">
        <f>IF(ISNA(MATCH(1298,Engine!$C$2:$C$1960,0)),"",INDEX('Compliance Database'!$K$2:$K$1960,MATCH(1298,Engine!$C$2:$C$1960,0)))</f>
        <v/>
      </c>
      <c r="L1311" s="9">
        <f>IF(ISNA(MATCH(1298,Engine!$C$2:$C$1960,0)),"",INDEX('Compliance Database'!$L$2:$L$1960,MATCH(1298,Engine!$C$2:$C$1960,0)))</f>
        <v/>
      </c>
      <c r="M1311" s="9">
        <f>IF(ISNA(MATCH(1298,Engine!$C$2:$C$1960,0)),"",INDEX('Compliance Database'!$M$2:$M$1960,MATCH(1298,Engine!$C$2:$C$1960,0)))</f>
        <v/>
      </c>
      <c r="N1311" s="9">
        <f>IF(ISNA(MATCH(1298,Engine!$C$2:$C$1960,0)),"",INDEX('Compliance Database'!$N$2:$N$1960,MATCH(1298,Engine!$C$2:$C$1960,0)))</f>
        <v/>
      </c>
      <c r="O1311" s="9">
        <f>IF(ISNA(MATCH(1298,Engine!$C$2:$C$1960,0)),"",INDEX('Compliance Database'!$O$2:$O$1960,MATCH(1298,Engine!$C$2:$C$1960,0)))</f>
        <v/>
      </c>
      <c r="P1311" s="8">
        <f>IF(ISNA(MATCH(1298,Engine!$C$2:$C$1960,0)),"",HYPERLINK("#Acts!A"&amp;INDEX('Compliance Database'!$P$2:$P$1960,MATCH(1298,Engine!$C$2:$C$1960,0)),"Go to Act"))</f>
        <v/>
      </c>
    </row>
    <row r="1312" ht="158" customHeight="1">
      <c r="A1312" s="8">
        <f>IF(ISNA(MATCH(1299,Engine!$C$2:$C$1960,0)),"",INDEX('Compliance Database'!$A$2:$A$1960,MATCH(1299,Engine!$C$2:$C$1960,0)))</f>
        <v/>
      </c>
      <c r="B1312" s="8">
        <f>IF(ISNA(MATCH(1299,Engine!$C$2:$C$1960,0)),"",INDEX('Compliance Database'!$B$2:$B$1960,MATCH(1299,Engine!$C$2:$C$1960,0)))</f>
        <v/>
      </c>
      <c r="C1312" s="8">
        <f>IF(ISNA(MATCH(1299,Engine!$C$2:$C$1960,0)),"",INDEX('Compliance Database'!$C$2:$C$1960,MATCH(1299,Engine!$C$2:$C$1960,0)))</f>
        <v/>
      </c>
      <c r="D1312" s="9">
        <f>IF(ISNA(MATCH(1299,Engine!$C$2:$C$1960,0)),"",INDEX('Compliance Database'!$D$2:$D$1960,MATCH(1299,Engine!$C$2:$C$1960,0)))</f>
        <v/>
      </c>
      <c r="E1312" s="8">
        <f>IF(ISNA(MATCH(1299,Engine!$C$2:$C$1960,0)),"",INDEX('Compliance Database'!$E$2:$E$1960,MATCH(1299,Engine!$C$2:$C$1960,0)))</f>
        <v/>
      </c>
      <c r="F1312" s="8">
        <f>IF(ISNA(MATCH(1299,Engine!$C$2:$C$1960,0)),"",INDEX('Compliance Database'!$F$2:$F$1960,MATCH(1299,Engine!$C$2:$C$1960,0)))</f>
        <v/>
      </c>
      <c r="G1312" s="8">
        <f>IF(ISNA(MATCH(1299,Engine!$C$2:$C$1960,0)),"",INDEX('Compliance Database'!$G$2:$G$1960,MATCH(1299,Engine!$C$2:$C$1960,0)))</f>
        <v/>
      </c>
      <c r="H1312" s="9">
        <f>IF(ISNA(MATCH(1299,Engine!$C$2:$C$1960,0)),"",INDEX('Compliance Database'!$H$2:$H$1960,MATCH(1299,Engine!$C$2:$C$1960,0)))</f>
        <v/>
      </c>
      <c r="I1312" s="9">
        <f>IF(ISNA(MATCH(1299,Engine!$C$2:$C$1960,0)),"",INDEX('Compliance Database'!$I$2:$I$1960,MATCH(1299,Engine!$C$2:$C$1960,0)))</f>
        <v/>
      </c>
      <c r="J1312" s="8">
        <f>IF(ISNA(MATCH(1299,Engine!$C$2:$C$1960,0)),"",INDEX('Compliance Database'!$J$2:$J$1960,MATCH(1299,Engine!$C$2:$C$1960,0)))</f>
        <v/>
      </c>
      <c r="K1312" s="9">
        <f>IF(ISNA(MATCH(1299,Engine!$C$2:$C$1960,0)),"",INDEX('Compliance Database'!$K$2:$K$1960,MATCH(1299,Engine!$C$2:$C$1960,0)))</f>
        <v/>
      </c>
      <c r="L1312" s="9">
        <f>IF(ISNA(MATCH(1299,Engine!$C$2:$C$1960,0)),"",INDEX('Compliance Database'!$L$2:$L$1960,MATCH(1299,Engine!$C$2:$C$1960,0)))</f>
        <v/>
      </c>
      <c r="M1312" s="9">
        <f>IF(ISNA(MATCH(1299,Engine!$C$2:$C$1960,0)),"",INDEX('Compliance Database'!$M$2:$M$1960,MATCH(1299,Engine!$C$2:$C$1960,0)))</f>
        <v/>
      </c>
      <c r="N1312" s="9">
        <f>IF(ISNA(MATCH(1299,Engine!$C$2:$C$1960,0)),"",INDEX('Compliance Database'!$N$2:$N$1960,MATCH(1299,Engine!$C$2:$C$1960,0)))</f>
        <v/>
      </c>
      <c r="O1312" s="9">
        <f>IF(ISNA(MATCH(1299,Engine!$C$2:$C$1960,0)),"",INDEX('Compliance Database'!$O$2:$O$1960,MATCH(1299,Engine!$C$2:$C$1960,0)))</f>
        <v/>
      </c>
      <c r="P1312" s="8">
        <f>IF(ISNA(MATCH(1299,Engine!$C$2:$C$1960,0)),"",HYPERLINK("#Acts!A"&amp;INDEX('Compliance Database'!$P$2:$P$1960,MATCH(1299,Engine!$C$2:$C$1960,0)),"Go to Act"))</f>
        <v/>
      </c>
    </row>
    <row r="1313" ht="158" customHeight="1">
      <c r="A1313" s="8">
        <f>IF(ISNA(MATCH(1300,Engine!$C$2:$C$1960,0)),"",INDEX('Compliance Database'!$A$2:$A$1960,MATCH(1300,Engine!$C$2:$C$1960,0)))</f>
        <v/>
      </c>
      <c r="B1313" s="8">
        <f>IF(ISNA(MATCH(1300,Engine!$C$2:$C$1960,0)),"",INDEX('Compliance Database'!$B$2:$B$1960,MATCH(1300,Engine!$C$2:$C$1960,0)))</f>
        <v/>
      </c>
      <c r="C1313" s="8">
        <f>IF(ISNA(MATCH(1300,Engine!$C$2:$C$1960,0)),"",INDEX('Compliance Database'!$C$2:$C$1960,MATCH(1300,Engine!$C$2:$C$1960,0)))</f>
        <v/>
      </c>
      <c r="D1313" s="9">
        <f>IF(ISNA(MATCH(1300,Engine!$C$2:$C$1960,0)),"",INDEX('Compliance Database'!$D$2:$D$1960,MATCH(1300,Engine!$C$2:$C$1960,0)))</f>
        <v/>
      </c>
      <c r="E1313" s="8">
        <f>IF(ISNA(MATCH(1300,Engine!$C$2:$C$1960,0)),"",INDEX('Compliance Database'!$E$2:$E$1960,MATCH(1300,Engine!$C$2:$C$1960,0)))</f>
        <v/>
      </c>
      <c r="F1313" s="8">
        <f>IF(ISNA(MATCH(1300,Engine!$C$2:$C$1960,0)),"",INDEX('Compliance Database'!$F$2:$F$1960,MATCH(1300,Engine!$C$2:$C$1960,0)))</f>
        <v/>
      </c>
      <c r="G1313" s="8">
        <f>IF(ISNA(MATCH(1300,Engine!$C$2:$C$1960,0)),"",INDEX('Compliance Database'!$G$2:$G$1960,MATCH(1300,Engine!$C$2:$C$1960,0)))</f>
        <v/>
      </c>
      <c r="H1313" s="9">
        <f>IF(ISNA(MATCH(1300,Engine!$C$2:$C$1960,0)),"",INDEX('Compliance Database'!$H$2:$H$1960,MATCH(1300,Engine!$C$2:$C$1960,0)))</f>
        <v/>
      </c>
      <c r="I1313" s="9">
        <f>IF(ISNA(MATCH(1300,Engine!$C$2:$C$1960,0)),"",INDEX('Compliance Database'!$I$2:$I$1960,MATCH(1300,Engine!$C$2:$C$1960,0)))</f>
        <v/>
      </c>
      <c r="J1313" s="8">
        <f>IF(ISNA(MATCH(1300,Engine!$C$2:$C$1960,0)),"",INDEX('Compliance Database'!$J$2:$J$1960,MATCH(1300,Engine!$C$2:$C$1960,0)))</f>
        <v/>
      </c>
      <c r="K1313" s="9">
        <f>IF(ISNA(MATCH(1300,Engine!$C$2:$C$1960,0)),"",INDEX('Compliance Database'!$K$2:$K$1960,MATCH(1300,Engine!$C$2:$C$1960,0)))</f>
        <v/>
      </c>
      <c r="L1313" s="9">
        <f>IF(ISNA(MATCH(1300,Engine!$C$2:$C$1960,0)),"",INDEX('Compliance Database'!$L$2:$L$1960,MATCH(1300,Engine!$C$2:$C$1960,0)))</f>
        <v/>
      </c>
      <c r="M1313" s="9">
        <f>IF(ISNA(MATCH(1300,Engine!$C$2:$C$1960,0)),"",INDEX('Compliance Database'!$M$2:$M$1960,MATCH(1300,Engine!$C$2:$C$1960,0)))</f>
        <v/>
      </c>
      <c r="N1313" s="9">
        <f>IF(ISNA(MATCH(1300,Engine!$C$2:$C$1960,0)),"",INDEX('Compliance Database'!$N$2:$N$1960,MATCH(1300,Engine!$C$2:$C$1960,0)))</f>
        <v/>
      </c>
      <c r="O1313" s="9">
        <f>IF(ISNA(MATCH(1300,Engine!$C$2:$C$1960,0)),"",INDEX('Compliance Database'!$O$2:$O$1960,MATCH(1300,Engine!$C$2:$C$1960,0)))</f>
        <v/>
      </c>
      <c r="P1313" s="8">
        <f>IF(ISNA(MATCH(1300,Engine!$C$2:$C$1960,0)),"",HYPERLINK("#Acts!A"&amp;INDEX('Compliance Database'!$P$2:$P$1960,MATCH(1300,Engine!$C$2:$C$1960,0)),"Go to Act"))</f>
        <v/>
      </c>
    </row>
    <row r="1314" ht="158" customHeight="1">
      <c r="A1314" s="8">
        <f>IF(ISNA(MATCH(1301,Engine!$C$2:$C$1960,0)),"",INDEX('Compliance Database'!$A$2:$A$1960,MATCH(1301,Engine!$C$2:$C$1960,0)))</f>
        <v/>
      </c>
      <c r="B1314" s="8">
        <f>IF(ISNA(MATCH(1301,Engine!$C$2:$C$1960,0)),"",INDEX('Compliance Database'!$B$2:$B$1960,MATCH(1301,Engine!$C$2:$C$1960,0)))</f>
        <v/>
      </c>
      <c r="C1314" s="8">
        <f>IF(ISNA(MATCH(1301,Engine!$C$2:$C$1960,0)),"",INDEX('Compliance Database'!$C$2:$C$1960,MATCH(1301,Engine!$C$2:$C$1960,0)))</f>
        <v/>
      </c>
      <c r="D1314" s="9">
        <f>IF(ISNA(MATCH(1301,Engine!$C$2:$C$1960,0)),"",INDEX('Compliance Database'!$D$2:$D$1960,MATCH(1301,Engine!$C$2:$C$1960,0)))</f>
        <v/>
      </c>
      <c r="E1314" s="8">
        <f>IF(ISNA(MATCH(1301,Engine!$C$2:$C$1960,0)),"",INDEX('Compliance Database'!$E$2:$E$1960,MATCH(1301,Engine!$C$2:$C$1960,0)))</f>
        <v/>
      </c>
      <c r="F1314" s="8">
        <f>IF(ISNA(MATCH(1301,Engine!$C$2:$C$1960,0)),"",INDEX('Compliance Database'!$F$2:$F$1960,MATCH(1301,Engine!$C$2:$C$1960,0)))</f>
        <v/>
      </c>
      <c r="G1314" s="8">
        <f>IF(ISNA(MATCH(1301,Engine!$C$2:$C$1960,0)),"",INDEX('Compliance Database'!$G$2:$G$1960,MATCH(1301,Engine!$C$2:$C$1960,0)))</f>
        <v/>
      </c>
      <c r="H1314" s="9">
        <f>IF(ISNA(MATCH(1301,Engine!$C$2:$C$1960,0)),"",INDEX('Compliance Database'!$H$2:$H$1960,MATCH(1301,Engine!$C$2:$C$1960,0)))</f>
        <v/>
      </c>
      <c r="I1314" s="9">
        <f>IF(ISNA(MATCH(1301,Engine!$C$2:$C$1960,0)),"",INDEX('Compliance Database'!$I$2:$I$1960,MATCH(1301,Engine!$C$2:$C$1960,0)))</f>
        <v/>
      </c>
      <c r="J1314" s="8">
        <f>IF(ISNA(MATCH(1301,Engine!$C$2:$C$1960,0)),"",INDEX('Compliance Database'!$J$2:$J$1960,MATCH(1301,Engine!$C$2:$C$1960,0)))</f>
        <v/>
      </c>
      <c r="K1314" s="9">
        <f>IF(ISNA(MATCH(1301,Engine!$C$2:$C$1960,0)),"",INDEX('Compliance Database'!$K$2:$K$1960,MATCH(1301,Engine!$C$2:$C$1960,0)))</f>
        <v/>
      </c>
      <c r="L1314" s="9">
        <f>IF(ISNA(MATCH(1301,Engine!$C$2:$C$1960,0)),"",INDEX('Compliance Database'!$L$2:$L$1960,MATCH(1301,Engine!$C$2:$C$1960,0)))</f>
        <v/>
      </c>
      <c r="M1314" s="9">
        <f>IF(ISNA(MATCH(1301,Engine!$C$2:$C$1960,0)),"",INDEX('Compliance Database'!$M$2:$M$1960,MATCH(1301,Engine!$C$2:$C$1960,0)))</f>
        <v/>
      </c>
      <c r="N1314" s="9">
        <f>IF(ISNA(MATCH(1301,Engine!$C$2:$C$1960,0)),"",INDEX('Compliance Database'!$N$2:$N$1960,MATCH(1301,Engine!$C$2:$C$1960,0)))</f>
        <v/>
      </c>
      <c r="O1314" s="9">
        <f>IF(ISNA(MATCH(1301,Engine!$C$2:$C$1960,0)),"",INDEX('Compliance Database'!$O$2:$O$1960,MATCH(1301,Engine!$C$2:$C$1960,0)))</f>
        <v/>
      </c>
      <c r="P1314" s="8">
        <f>IF(ISNA(MATCH(1301,Engine!$C$2:$C$1960,0)),"",HYPERLINK("#Acts!A"&amp;INDEX('Compliance Database'!$P$2:$P$1960,MATCH(1301,Engine!$C$2:$C$1960,0)),"Go to Act"))</f>
        <v/>
      </c>
    </row>
    <row r="1315" ht="158" customHeight="1">
      <c r="A1315" s="8">
        <f>IF(ISNA(MATCH(1302,Engine!$C$2:$C$1960,0)),"",INDEX('Compliance Database'!$A$2:$A$1960,MATCH(1302,Engine!$C$2:$C$1960,0)))</f>
        <v/>
      </c>
      <c r="B1315" s="8">
        <f>IF(ISNA(MATCH(1302,Engine!$C$2:$C$1960,0)),"",INDEX('Compliance Database'!$B$2:$B$1960,MATCH(1302,Engine!$C$2:$C$1960,0)))</f>
        <v/>
      </c>
      <c r="C1315" s="8">
        <f>IF(ISNA(MATCH(1302,Engine!$C$2:$C$1960,0)),"",INDEX('Compliance Database'!$C$2:$C$1960,MATCH(1302,Engine!$C$2:$C$1960,0)))</f>
        <v/>
      </c>
      <c r="D1315" s="9">
        <f>IF(ISNA(MATCH(1302,Engine!$C$2:$C$1960,0)),"",INDEX('Compliance Database'!$D$2:$D$1960,MATCH(1302,Engine!$C$2:$C$1960,0)))</f>
        <v/>
      </c>
      <c r="E1315" s="8">
        <f>IF(ISNA(MATCH(1302,Engine!$C$2:$C$1960,0)),"",INDEX('Compliance Database'!$E$2:$E$1960,MATCH(1302,Engine!$C$2:$C$1960,0)))</f>
        <v/>
      </c>
      <c r="F1315" s="8">
        <f>IF(ISNA(MATCH(1302,Engine!$C$2:$C$1960,0)),"",INDEX('Compliance Database'!$F$2:$F$1960,MATCH(1302,Engine!$C$2:$C$1960,0)))</f>
        <v/>
      </c>
      <c r="G1315" s="8">
        <f>IF(ISNA(MATCH(1302,Engine!$C$2:$C$1960,0)),"",INDEX('Compliance Database'!$G$2:$G$1960,MATCH(1302,Engine!$C$2:$C$1960,0)))</f>
        <v/>
      </c>
      <c r="H1315" s="9">
        <f>IF(ISNA(MATCH(1302,Engine!$C$2:$C$1960,0)),"",INDEX('Compliance Database'!$H$2:$H$1960,MATCH(1302,Engine!$C$2:$C$1960,0)))</f>
        <v/>
      </c>
      <c r="I1315" s="9">
        <f>IF(ISNA(MATCH(1302,Engine!$C$2:$C$1960,0)),"",INDEX('Compliance Database'!$I$2:$I$1960,MATCH(1302,Engine!$C$2:$C$1960,0)))</f>
        <v/>
      </c>
      <c r="J1315" s="8">
        <f>IF(ISNA(MATCH(1302,Engine!$C$2:$C$1960,0)),"",INDEX('Compliance Database'!$J$2:$J$1960,MATCH(1302,Engine!$C$2:$C$1960,0)))</f>
        <v/>
      </c>
      <c r="K1315" s="9">
        <f>IF(ISNA(MATCH(1302,Engine!$C$2:$C$1960,0)),"",INDEX('Compliance Database'!$K$2:$K$1960,MATCH(1302,Engine!$C$2:$C$1960,0)))</f>
        <v/>
      </c>
      <c r="L1315" s="9">
        <f>IF(ISNA(MATCH(1302,Engine!$C$2:$C$1960,0)),"",INDEX('Compliance Database'!$L$2:$L$1960,MATCH(1302,Engine!$C$2:$C$1960,0)))</f>
        <v/>
      </c>
      <c r="M1315" s="9">
        <f>IF(ISNA(MATCH(1302,Engine!$C$2:$C$1960,0)),"",INDEX('Compliance Database'!$M$2:$M$1960,MATCH(1302,Engine!$C$2:$C$1960,0)))</f>
        <v/>
      </c>
      <c r="N1315" s="9">
        <f>IF(ISNA(MATCH(1302,Engine!$C$2:$C$1960,0)),"",INDEX('Compliance Database'!$N$2:$N$1960,MATCH(1302,Engine!$C$2:$C$1960,0)))</f>
        <v/>
      </c>
      <c r="O1315" s="9">
        <f>IF(ISNA(MATCH(1302,Engine!$C$2:$C$1960,0)),"",INDEX('Compliance Database'!$O$2:$O$1960,MATCH(1302,Engine!$C$2:$C$1960,0)))</f>
        <v/>
      </c>
      <c r="P1315" s="8">
        <f>IF(ISNA(MATCH(1302,Engine!$C$2:$C$1960,0)),"",HYPERLINK("#Acts!A"&amp;INDEX('Compliance Database'!$P$2:$P$1960,MATCH(1302,Engine!$C$2:$C$1960,0)),"Go to Act"))</f>
        <v/>
      </c>
    </row>
    <row r="1316" ht="158" customHeight="1">
      <c r="A1316" s="8">
        <f>IF(ISNA(MATCH(1303,Engine!$C$2:$C$1960,0)),"",INDEX('Compliance Database'!$A$2:$A$1960,MATCH(1303,Engine!$C$2:$C$1960,0)))</f>
        <v/>
      </c>
      <c r="B1316" s="8">
        <f>IF(ISNA(MATCH(1303,Engine!$C$2:$C$1960,0)),"",INDEX('Compliance Database'!$B$2:$B$1960,MATCH(1303,Engine!$C$2:$C$1960,0)))</f>
        <v/>
      </c>
      <c r="C1316" s="8">
        <f>IF(ISNA(MATCH(1303,Engine!$C$2:$C$1960,0)),"",INDEX('Compliance Database'!$C$2:$C$1960,MATCH(1303,Engine!$C$2:$C$1960,0)))</f>
        <v/>
      </c>
      <c r="D1316" s="9">
        <f>IF(ISNA(MATCH(1303,Engine!$C$2:$C$1960,0)),"",INDEX('Compliance Database'!$D$2:$D$1960,MATCH(1303,Engine!$C$2:$C$1960,0)))</f>
        <v/>
      </c>
      <c r="E1316" s="8">
        <f>IF(ISNA(MATCH(1303,Engine!$C$2:$C$1960,0)),"",INDEX('Compliance Database'!$E$2:$E$1960,MATCH(1303,Engine!$C$2:$C$1960,0)))</f>
        <v/>
      </c>
      <c r="F1316" s="8">
        <f>IF(ISNA(MATCH(1303,Engine!$C$2:$C$1960,0)),"",INDEX('Compliance Database'!$F$2:$F$1960,MATCH(1303,Engine!$C$2:$C$1960,0)))</f>
        <v/>
      </c>
      <c r="G1316" s="8">
        <f>IF(ISNA(MATCH(1303,Engine!$C$2:$C$1960,0)),"",INDEX('Compliance Database'!$G$2:$G$1960,MATCH(1303,Engine!$C$2:$C$1960,0)))</f>
        <v/>
      </c>
      <c r="H1316" s="9">
        <f>IF(ISNA(MATCH(1303,Engine!$C$2:$C$1960,0)),"",INDEX('Compliance Database'!$H$2:$H$1960,MATCH(1303,Engine!$C$2:$C$1960,0)))</f>
        <v/>
      </c>
      <c r="I1316" s="9">
        <f>IF(ISNA(MATCH(1303,Engine!$C$2:$C$1960,0)),"",INDEX('Compliance Database'!$I$2:$I$1960,MATCH(1303,Engine!$C$2:$C$1960,0)))</f>
        <v/>
      </c>
      <c r="J1316" s="8">
        <f>IF(ISNA(MATCH(1303,Engine!$C$2:$C$1960,0)),"",INDEX('Compliance Database'!$J$2:$J$1960,MATCH(1303,Engine!$C$2:$C$1960,0)))</f>
        <v/>
      </c>
      <c r="K1316" s="9">
        <f>IF(ISNA(MATCH(1303,Engine!$C$2:$C$1960,0)),"",INDEX('Compliance Database'!$K$2:$K$1960,MATCH(1303,Engine!$C$2:$C$1960,0)))</f>
        <v/>
      </c>
      <c r="L1316" s="9">
        <f>IF(ISNA(MATCH(1303,Engine!$C$2:$C$1960,0)),"",INDEX('Compliance Database'!$L$2:$L$1960,MATCH(1303,Engine!$C$2:$C$1960,0)))</f>
        <v/>
      </c>
      <c r="M1316" s="9">
        <f>IF(ISNA(MATCH(1303,Engine!$C$2:$C$1960,0)),"",INDEX('Compliance Database'!$M$2:$M$1960,MATCH(1303,Engine!$C$2:$C$1960,0)))</f>
        <v/>
      </c>
      <c r="N1316" s="9">
        <f>IF(ISNA(MATCH(1303,Engine!$C$2:$C$1960,0)),"",INDEX('Compliance Database'!$N$2:$N$1960,MATCH(1303,Engine!$C$2:$C$1960,0)))</f>
        <v/>
      </c>
      <c r="O1316" s="9">
        <f>IF(ISNA(MATCH(1303,Engine!$C$2:$C$1960,0)),"",INDEX('Compliance Database'!$O$2:$O$1960,MATCH(1303,Engine!$C$2:$C$1960,0)))</f>
        <v/>
      </c>
      <c r="P1316" s="8">
        <f>IF(ISNA(MATCH(1303,Engine!$C$2:$C$1960,0)),"",HYPERLINK("#Acts!A"&amp;INDEX('Compliance Database'!$P$2:$P$1960,MATCH(1303,Engine!$C$2:$C$1960,0)),"Go to Act"))</f>
        <v/>
      </c>
    </row>
    <row r="1317" ht="158" customHeight="1">
      <c r="A1317" s="8">
        <f>IF(ISNA(MATCH(1304,Engine!$C$2:$C$1960,0)),"",INDEX('Compliance Database'!$A$2:$A$1960,MATCH(1304,Engine!$C$2:$C$1960,0)))</f>
        <v/>
      </c>
      <c r="B1317" s="8">
        <f>IF(ISNA(MATCH(1304,Engine!$C$2:$C$1960,0)),"",INDEX('Compliance Database'!$B$2:$B$1960,MATCH(1304,Engine!$C$2:$C$1960,0)))</f>
        <v/>
      </c>
      <c r="C1317" s="8">
        <f>IF(ISNA(MATCH(1304,Engine!$C$2:$C$1960,0)),"",INDEX('Compliance Database'!$C$2:$C$1960,MATCH(1304,Engine!$C$2:$C$1960,0)))</f>
        <v/>
      </c>
      <c r="D1317" s="9">
        <f>IF(ISNA(MATCH(1304,Engine!$C$2:$C$1960,0)),"",INDEX('Compliance Database'!$D$2:$D$1960,MATCH(1304,Engine!$C$2:$C$1960,0)))</f>
        <v/>
      </c>
      <c r="E1317" s="8">
        <f>IF(ISNA(MATCH(1304,Engine!$C$2:$C$1960,0)),"",INDEX('Compliance Database'!$E$2:$E$1960,MATCH(1304,Engine!$C$2:$C$1960,0)))</f>
        <v/>
      </c>
      <c r="F1317" s="8">
        <f>IF(ISNA(MATCH(1304,Engine!$C$2:$C$1960,0)),"",INDEX('Compliance Database'!$F$2:$F$1960,MATCH(1304,Engine!$C$2:$C$1960,0)))</f>
        <v/>
      </c>
      <c r="G1317" s="8">
        <f>IF(ISNA(MATCH(1304,Engine!$C$2:$C$1960,0)),"",INDEX('Compliance Database'!$G$2:$G$1960,MATCH(1304,Engine!$C$2:$C$1960,0)))</f>
        <v/>
      </c>
      <c r="H1317" s="9">
        <f>IF(ISNA(MATCH(1304,Engine!$C$2:$C$1960,0)),"",INDEX('Compliance Database'!$H$2:$H$1960,MATCH(1304,Engine!$C$2:$C$1960,0)))</f>
        <v/>
      </c>
      <c r="I1317" s="9">
        <f>IF(ISNA(MATCH(1304,Engine!$C$2:$C$1960,0)),"",INDEX('Compliance Database'!$I$2:$I$1960,MATCH(1304,Engine!$C$2:$C$1960,0)))</f>
        <v/>
      </c>
      <c r="J1317" s="8">
        <f>IF(ISNA(MATCH(1304,Engine!$C$2:$C$1960,0)),"",INDEX('Compliance Database'!$J$2:$J$1960,MATCH(1304,Engine!$C$2:$C$1960,0)))</f>
        <v/>
      </c>
      <c r="K1317" s="9">
        <f>IF(ISNA(MATCH(1304,Engine!$C$2:$C$1960,0)),"",INDEX('Compliance Database'!$K$2:$K$1960,MATCH(1304,Engine!$C$2:$C$1960,0)))</f>
        <v/>
      </c>
      <c r="L1317" s="9">
        <f>IF(ISNA(MATCH(1304,Engine!$C$2:$C$1960,0)),"",INDEX('Compliance Database'!$L$2:$L$1960,MATCH(1304,Engine!$C$2:$C$1960,0)))</f>
        <v/>
      </c>
      <c r="M1317" s="9">
        <f>IF(ISNA(MATCH(1304,Engine!$C$2:$C$1960,0)),"",INDEX('Compliance Database'!$M$2:$M$1960,MATCH(1304,Engine!$C$2:$C$1960,0)))</f>
        <v/>
      </c>
      <c r="N1317" s="9">
        <f>IF(ISNA(MATCH(1304,Engine!$C$2:$C$1960,0)),"",INDEX('Compliance Database'!$N$2:$N$1960,MATCH(1304,Engine!$C$2:$C$1960,0)))</f>
        <v/>
      </c>
      <c r="O1317" s="9">
        <f>IF(ISNA(MATCH(1304,Engine!$C$2:$C$1960,0)),"",INDEX('Compliance Database'!$O$2:$O$1960,MATCH(1304,Engine!$C$2:$C$1960,0)))</f>
        <v/>
      </c>
      <c r="P1317" s="8">
        <f>IF(ISNA(MATCH(1304,Engine!$C$2:$C$1960,0)),"",HYPERLINK("#Acts!A"&amp;INDEX('Compliance Database'!$P$2:$P$1960,MATCH(1304,Engine!$C$2:$C$1960,0)),"Go to Act"))</f>
        <v/>
      </c>
    </row>
    <row r="1318" ht="158" customHeight="1">
      <c r="A1318" s="8">
        <f>IF(ISNA(MATCH(1305,Engine!$C$2:$C$1960,0)),"",INDEX('Compliance Database'!$A$2:$A$1960,MATCH(1305,Engine!$C$2:$C$1960,0)))</f>
        <v/>
      </c>
      <c r="B1318" s="8">
        <f>IF(ISNA(MATCH(1305,Engine!$C$2:$C$1960,0)),"",INDEX('Compliance Database'!$B$2:$B$1960,MATCH(1305,Engine!$C$2:$C$1960,0)))</f>
        <v/>
      </c>
      <c r="C1318" s="8">
        <f>IF(ISNA(MATCH(1305,Engine!$C$2:$C$1960,0)),"",INDEX('Compliance Database'!$C$2:$C$1960,MATCH(1305,Engine!$C$2:$C$1960,0)))</f>
        <v/>
      </c>
      <c r="D1318" s="9">
        <f>IF(ISNA(MATCH(1305,Engine!$C$2:$C$1960,0)),"",INDEX('Compliance Database'!$D$2:$D$1960,MATCH(1305,Engine!$C$2:$C$1960,0)))</f>
        <v/>
      </c>
      <c r="E1318" s="8">
        <f>IF(ISNA(MATCH(1305,Engine!$C$2:$C$1960,0)),"",INDEX('Compliance Database'!$E$2:$E$1960,MATCH(1305,Engine!$C$2:$C$1960,0)))</f>
        <v/>
      </c>
      <c r="F1318" s="8">
        <f>IF(ISNA(MATCH(1305,Engine!$C$2:$C$1960,0)),"",INDEX('Compliance Database'!$F$2:$F$1960,MATCH(1305,Engine!$C$2:$C$1960,0)))</f>
        <v/>
      </c>
      <c r="G1318" s="8">
        <f>IF(ISNA(MATCH(1305,Engine!$C$2:$C$1960,0)),"",INDEX('Compliance Database'!$G$2:$G$1960,MATCH(1305,Engine!$C$2:$C$1960,0)))</f>
        <v/>
      </c>
      <c r="H1318" s="9">
        <f>IF(ISNA(MATCH(1305,Engine!$C$2:$C$1960,0)),"",INDEX('Compliance Database'!$H$2:$H$1960,MATCH(1305,Engine!$C$2:$C$1960,0)))</f>
        <v/>
      </c>
      <c r="I1318" s="9">
        <f>IF(ISNA(MATCH(1305,Engine!$C$2:$C$1960,0)),"",INDEX('Compliance Database'!$I$2:$I$1960,MATCH(1305,Engine!$C$2:$C$1960,0)))</f>
        <v/>
      </c>
      <c r="J1318" s="8">
        <f>IF(ISNA(MATCH(1305,Engine!$C$2:$C$1960,0)),"",INDEX('Compliance Database'!$J$2:$J$1960,MATCH(1305,Engine!$C$2:$C$1960,0)))</f>
        <v/>
      </c>
      <c r="K1318" s="9">
        <f>IF(ISNA(MATCH(1305,Engine!$C$2:$C$1960,0)),"",INDEX('Compliance Database'!$K$2:$K$1960,MATCH(1305,Engine!$C$2:$C$1960,0)))</f>
        <v/>
      </c>
      <c r="L1318" s="9">
        <f>IF(ISNA(MATCH(1305,Engine!$C$2:$C$1960,0)),"",INDEX('Compliance Database'!$L$2:$L$1960,MATCH(1305,Engine!$C$2:$C$1960,0)))</f>
        <v/>
      </c>
      <c r="M1318" s="9">
        <f>IF(ISNA(MATCH(1305,Engine!$C$2:$C$1960,0)),"",INDEX('Compliance Database'!$M$2:$M$1960,MATCH(1305,Engine!$C$2:$C$1960,0)))</f>
        <v/>
      </c>
      <c r="N1318" s="9">
        <f>IF(ISNA(MATCH(1305,Engine!$C$2:$C$1960,0)),"",INDEX('Compliance Database'!$N$2:$N$1960,MATCH(1305,Engine!$C$2:$C$1960,0)))</f>
        <v/>
      </c>
      <c r="O1318" s="9">
        <f>IF(ISNA(MATCH(1305,Engine!$C$2:$C$1960,0)),"",INDEX('Compliance Database'!$O$2:$O$1960,MATCH(1305,Engine!$C$2:$C$1960,0)))</f>
        <v/>
      </c>
      <c r="P1318" s="8">
        <f>IF(ISNA(MATCH(1305,Engine!$C$2:$C$1960,0)),"",HYPERLINK("#Acts!A"&amp;INDEX('Compliance Database'!$P$2:$P$1960,MATCH(1305,Engine!$C$2:$C$1960,0)),"Go to Act"))</f>
        <v/>
      </c>
    </row>
    <row r="1319" ht="158" customHeight="1">
      <c r="A1319" s="8">
        <f>IF(ISNA(MATCH(1306,Engine!$C$2:$C$1960,0)),"",INDEX('Compliance Database'!$A$2:$A$1960,MATCH(1306,Engine!$C$2:$C$1960,0)))</f>
        <v/>
      </c>
      <c r="B1319" s="8">
        <f>IF(ISNA(MATCH(1306,Engine!$C$2:$C$1960,0)),"",INDEX('Compliance Database'!$B$2:$B$1960,MATCH(1306,Engine!$C$2:$C$1960,0)))</f>
        <v/>
      </c>
      <c r="C1319" s="8">
        <f>IF(ISNA(MATCH(1306,Engine!$C$2:$C$1960,0)),"",INDEX('Compliance Database'!$C$2:$C$1960,MATCH(1306,Engine!$C$2:$C$1960,0)))</f>
        <v/>
      </c>
      <c r="D1319" s="9">
        <f>IF(ISNA(MATCH(1306,Engine!$C$2:$C$1960,0)),"",INDEX('Compliance Database'!$D$2:$D$1960,MATCH(1306,Engine!$C$2:$C$1960,0)))</f>
        <v/>
      </c>
      <c r="E1319" s="8">
        <f>IF(ISNA(MATCH(1306,Engine!$C$2:$C$1960,0)),"",INDEX('Compliance Database'!$E$2:$E$1960,MATCH(1306,Engine!$C$2:$C$1960,0)))</f>
        <v/>
      </c>
      <c r="F1319" s="8">
        <f>IF(ISNA(MATCH(1306,Engine!$C$2:$C$1960,0)),"",INDEX('Compliance Database'!$F$2:$F$1960,MATCH(1306,Engine!$C$2:$C$1960,0)))</f>
        <v/>
      </c>
      <c r="G1319" s="8">
        <f>IF(ISNA(MATCH(1306,Engine!$C$2:$C$1960,0)),"",INDEX('Compliance Database'!$G$2:$G$1960,MATCH(1306,Engine!$C$2:$C$1960,0)))</f>
        <v/>
      </c>
      <c r="H1319" s="9">
        <f>IF(ISNA(MATCH(1306,Engine!$C$2:$C$1960,0)),"",INDEX('Compliance Database'!$H$2:$H$1960,MATCH(1306,Engine!$C$2:$C$1960,0)))</f>
        <v/>
      </c>
      <c r="I1319" s="9">
        <f>IF(ISNA(MATCH(1306,Engine!$C$2:$C$1960,0)),"",INDEX('Compliance Database'!$I$2:$I$1960,MATCH(1306,Engine!$C$2:$C$1960,0)))</f>
        <v/>
      </c>
      <c r="J1319" s="8">
        <f>IF(ISNA(MATCH(1306,Engine!$C$2:$C$1960,0)),"",INDEX('Compliance Database'!$J$2:$J$1960,MATCH(1306,Engine!$C$2:$C$1960,0)))</f>
        <v/>
      </c>
      <c r="K1319" s="9">
        <f>IF(ISNA(MATCH(1306,Engine!$C$2:$C$1960,0)),"",INDEX('Compliance Database'!$K$2:$K$1960,MATCH(1306,Engine!$C$2:$C$1960,0)))</f>
        <v/>
      </c>
      <c r="L1319" s="9">
        <f>IF(ISNA(MATCH(1306,Engine!$C$2:$C$1960,0)),"",INDEX('Compliance Database'!$L$2:$L$1960,MATCH(1306,Engine!$C$2:$C$1960,0)))</f>
        <v/>
      </c>
      <c r="M1319" s="9">
        <f>IF(ISNA(MATCH(1306,Engine!$C$2:$C$1960,0)),"",INDEX('Compliance Database'!$M$2:$M$1960,MATCH(1306,Engine!$C$2:$C$1960,0)))</f>
        <v/>
      </c>
      <c r="N1319" s="9">
        <f>IF(ISNA(MATCH(1306,Engine!$C$2:$C$1960,0)),"",INDEX('Compliance Database'!$N$2:$N$1960,MATCH(1306,Engine!$C$2:$C$1960,0)))</f>
        <v/>
      </c>
      <c r="O1319" s="9">
        <f>IF(ISNA(MATCH(1306,Engine!$C$2:$C$1960,0)),"",INDEX('Compliance Database'!$O$2:$O$1960,MATCH(1306,Engine!$C$2:$C$1960,0)))</f>
        <v/>
      </c>
      <c r="P1319" s="8">
        <f>IF(ISNA(MATCH(1306,Engine!$C$2:$C$1960,0)),"",HYPERLINK("#Acts!A"&amp;INDEX('Compliance Database'!$P$2:$P$1960,MATCH(1306,Engine!$C$2:$C$1960,0)),"Go to Act"))</f>
        <v/>
      </c>
    </row>
    <row r="1320" ht="158" customHeight="1">
      <c r="A1320" s="8">
        <f>IF(ISNA(MATCH(1307,Engine!$C$2:$C$1960,0)),"",INDEX('Compliance Database'!$A$2:$A$1960,MATCH(1307,Engine!$C$2:$C$1960,0)))</f>
        <v/>
      </c>
      <c r="B1320" s="8">
        <f>IF(ISNA(MATCH(1307,Engine!$C$2:$C$1960,0)),"",INDEX('Compliance Database'!$B$2:$B$1960,MATCH(1307,Engine!$C$2:$C$1960,0)))</f>
        <v/>
      </c>
      <c r="C1320" s="8">
        <f>IF(ISNA(MATCH(1307,Engine!$C$2:$C$1960,0)),"",INDEX('Compliance Database'!$C$2:$C$1960,MATCH(1307,Engine!$C$2:$C$1960,0)))</f>
        <v/>
      </c>
      <c r="D1320" s="9">
        <f>IF(ISNA(MATCH(1307,Engine!$C$2:$C$1960,0)),"",INDEX('Compliance Database'!$D$2:$D$1960,MATCH(1307,Engine!$C$2:$C$1960,0)))</f>
        <v/>
      </c>
      <c r="E1320" s="8">
        <f>IF(ISNA(MATCH(1307,Engine!$C$2:$C$1960,0)),"",INDEX('Compliance Database'!$E$2:$E$1960,MATCH(1307,Engine!$C$2:$C$1960,0)))</f>
        <v/>
      </c>
      <c r="F1320" s="8">
        <f>IF(ISNA(MATCH(1307,Engine!$C$2:$C$1960,0)),"",INDEX('Compliance Database'!$F$2:$F$1960,MATCH(1307,Engine!$C$2:$C$1960,0)))</f>
        <v/>
      </c>
      <c r="G1320" s="8">
        <f>IF(ISNA(MATCH(1307,Engine!$C$2:$C$1960,0)),"",INDEX('Compliance Database'!$G$2:$G$1960,MATCH(1307,Engine!$C$2:$C$1960,0)))</f>
        <v/>
      </c>
      <c r="H1320" s="9">
        <f>IF(ISNA(MATCH(1307,Engine!$C$2:$C$1960,0)),"",INDEX('Compliance Database'!$H$2:$H$1960,MATCH(1307,Engine!$C$2:$C$1960,0)))</f>
        <v/>
      </c>
      <c r="I1320" s="9">
        <f>IF(ISNA(MATCH(1307,Engine!$C$2:$C$1960,0)),"",INDEX('Compliance Database'!$I$2:$I$1960,MATCH(1307,Engine!$C$2:$C$1960,0)))</f>
        <v/>
      </c>
      <c r="J1320" s="8">
        <f>IF(ISNA(MATCH(1307,Engine!$C$2:$C$1960,0)),"",INDEX('Compliance Database'!$J$2:$J$1960,MATCH(1307,Engine!$C$2:$C$1960,0)))</f>
        <v/>
      </c>
      <c r="K1320" s="9">
        <f>IF(ISNA(MATCH(1307,Engine!$C$2:$C$1960,0)),"",INDEX('Compliance Database'!$K$2:$K$1960,MATCH(1307,Engine!$C$2:$C$1960,0)))</f>
        <v/>
      </c>
      <c r="L1320" s="9">
        <f>IF(ISNA(MATCH(1307,Engine!$C$2:$C$1960,0)),"",INDEX('Compliance Database'!$L$2:$L$1960,MATCH(1307,Engine!$C$2:$C$1960,0)))</f>
        <v/>
      </c>
      <c r="M1320" s="9">
        <f>IF(ISNA(MATCH(1307,Engine!$C$2:$C$1960,0)),"",INDEX('Compliance Database'!$M$2:$M$1960,MATCH(1307,Engine!$C$2:$C$1960,0)))</f>
        <v/>
      </c>
      <c r="N1320" s="9">
        <f>IF(ISNA(MATCH(1307,Engine!$C$2:$C$1960,0)),"",INDEX('Compliance Database'!$N$2:$N$1960,MATCH(1307,Engine!$C$2:$C$1960,0)))</f>
        <v/>
      </c>
      <c r="O1320" s="9">
        <f>IF(ISNA(MATCH(1307,Engine!$C$2:$C$1960,0)),"",INDEX('Compliance Database'!$O$2:$O$1960,MATCH(1307,Engine!$C$2:$C$1960,0)))</f>
        <v/>
      </c>
      <c r="P1320" s="8">
        <f>IF(ISNA(MATCH(1307,Engine!$C$2:$C$1960,0)),"",HYPERLINK("#Acts!A"&amp;INDEX('Compliance Database'!$P$2:$P$1960,MATCH(1307,Engine!$C$2:$C$1960,0)),"Go to Act"))</f>
        <v/>
      </c>
    </row>
    <row r="1321" ht="158" customHeight="1">
      <c r="A1321" s="8">
        <f>IF(ISNA(MATCH(1308,Engine!$C$2:$C$1960,0)),"",INDEX('Compliance Database'!$A$2:$A$1960,MATCH(1308,Engine!$C$2:$C$1960,0)))</f>
        <v/>
      </c>
      <c r="B1321" s="8">
        <f>IF(ISNA(MATCH(1308,Engine!$C$2:$C$1960,0)),"",INDEX('Compliance Database'!$B$2:$B$1960,MATCH(1308,Engine!$C$2:$C$1960,0)))</f>
        <v/>
      </c>
      <c r="C1321" s="8">
        <f>IF(ISNA(MATCH(1308,Engine!$C$2:$C$1960,0)),"",INDEX('Compliance Database'!$C$2:$C$1960,MATCH(1308,Engine!$C$2:$C$1960,0)))</f>
        <v/>
      </c>
      <c r="D1321" s="9">
        <f>IF(ISNA(MATCH(1308,Engine!$C$2:$C$1960,0)),"",INDEX('Compliance Database'!$D$2:$D$1960,MATCH(1308,Engine!$C$2:$C$1960,0)))</f>
        <v/>
      </c>
      <c r="E1321" s="8">
        <f>IF(ISNA(MATCH(1308,Engine!$C$2:$C$1960,0)),"",INDEX('Compliance Database'!$E$2:$E$1960,MATCH(1308,Engine!$C$2:$C$1960,0)))</f>
        <v/>
      </c>
      <c r="F1321" s="8">
        <f>IF(ISNA(MATCH(1308,Engine!$C$2:$C$1960,0)),"",INDEX('Compliance Database'!$F$2:$F$1960,MATCH(1308,Engine!$C$2:$C$1960,0)))</f>
        <v/>
      </c>
      <c r="G1321" s="8">
        <f>IF(ISNA(MATCH(1308,Engine!$C$2:$C$1960,0)),"",INDEX('Compliance Database'!$G$2:$G$1960,MATCH(1308,Engine!$C$2:$C$1960,0)))</f>
        <v/>
      </c>
      <c r="H1321" s="9">
        <f>IF(ISNA(MATCH(1308,Engine!$C$2:$C$1960,0)),"",INDEX('Compliance Database'!$H$2:$H$1960,MATCH(1308,Engine!$C$2:$C$1960,0)))</f>
        <v/>
      </c>
      <c r="I1321" s="9">
        <f>IF(ISNA(MATCH(1308,Engine!$C$2:$C$1960,0)),"",INDEX('Compliance Database'!$I$2:$I$1960,MATCH(1308,Engine!$C$2:$C$1960,0)))</f>
        <v/>
      </c>
      <c r="J1321" s="8">
        <f>IF(ISNA(MATCH(1308,Engine!$C$2:$C$1960,0)),"",INDEX('Compliance Database'!$J$2:$J$1960,MATCH(1308,Engine!$C$2:$C$1960,0)))</f>
        <v/>
      </c>
      <c r="K1321" s="9">
        <f>IF(ISNA(MATCH(1308,Engine!$C$2:$C$1960,0)),"",INDEX('Compliance Database'!$K$2:$K$1960,MATCH(1308,Engine!$C$2:$C$1960,0)))</f>
        <v/>
      </c>
      <c r="L1321" s="9">
        <f>IF(ISNA(MATCH(1308,Engine!$C$2:$C$1960,0)),"",INDEX('Compliance Database'!$L$2:$L$1960,MATCH(1308,Engine!$C$2:$C$1960,0)))</f>
        <v/>
      </c>
      <c r="M1321" s="9">
        <f>IF(ISNA(MATCH(1308,Engine!$C$2:$C$1960,0)),"",INDEX('Compliance Database'!$M$2:$M$1960,MATCH(1308,Engine!$C$2:$C$1960,0)))</f>
        <v/>
      </c>
      <c r="N1321" s="9">
        <f>IF(ISNA(MATCH(1308,Engine!$C$2:$C$1960,0)),"",INDEX('Compliance Database'!$N$2:$N$1960,MATCH(1308,Engine!$C$2:$C$1960,0)))</f>
        <v/>
      </c>
      <c r="O1321" s="9">
        <f>IF(ISNA(MATCH(1308,Engine!$C$2:$C$1960,0)),"",INDEX('Compliance Database'!$O$2:$O$1960,MATCH(1308,Engine!$C$2:$C$1960,0)))</f>
        <v/>
      </c>
      <c r="P1321" s="8">
        <f>IF(ISNA(MATCH(1308,Engine!$C$2:$C$1960,0)),"",HYPERLINK("#Acts!A"&amp;INDEX('Compliance Database'!$P$2:$P$1960,MATCH(1308,Engine!$C$2:$C$1960,0)),"Go to Act"))</f>
        <v/>
      </c>
    </row>
    <row r="1322" ht="158" customHeight="1">
      <c r="A1322" s="8">
        <f>IF(ISNA(MATCH(1309,Engine!$C$2:$C$1960,0)),"",INDEX('Compliance Database'!$A$2:$A$1960,MATCH(1309,Engine!$C$2:$C$1960,0)))</f>
        <v/>
      </c>
      <c r="B1322" s="8">
        <f>IF(ISNA(MATCH(1309,Engine!$C$2:$C$1960,0)),"",INDEX('Compliance Database'!$B$2:$B$1960,MATCH(1309,Engine!$C$2:$C$1960,0)))</f>
        <v/>
      </c>
      <c r="C1322" s="8">
        <f>IF(ISNA(MATCH(1309,Engine!$C$2:$C$1960,0)),"",INDEX('Compliance Database'!$C$2:$C$1960,MATCH(1309,Engine!$C$2:$C$1960,0)))</f>
        <v/>
      </c>
      <c r="D1322" s="9">
        <f>IF(ISNA(MATCH(1309,Engine!$C$2:$C$1960,0)),"",INDEX('Compliance Database'!$D$2:$D$1960,MATCH(1309,Engine!$C$2:$C$1960,0)))</f>
        <v/>
      </c>
      <c r="E1322" s="8">
        <f>IF(ISNA(MATCH(1309,Engine!$C$2:$C$1960,0)),"",INDEX('Compliance Database'!$E$2:$E$1960,MATCH(1309,Engine!$C$2:$C$1960,0)))</f>
        <v/>
      </c>
      <c r="F1322" s="8">
        <f>IF(ISNA(MATCH(1309,Engine!$C$2:$C$1960,0)),"",INDEX('Compliance Database'!$F$2:$F$1960,MATCH(1309,Engine!$C$2:$C$1960,0)))</f>
        <v/>
      </c>
      <c r="G1322" s="8">
        <f>IF(ISNA(MATCH(1309,Engine!$C$2:$C$1960,0)),"",INDEX('Compliance Database'!$G$2:$G$1960,MATCH(1309,Engine!$C$2:$C$1960,0)))</f>
        <v/>
      </c>
      <c r="H1322" s="9">
        <f>IF(ISNA(MATCH(1309,Engine!$C$2:$C$1960,0)),"",INDEX('Compliance Database'!$H$2:$H$1960,MATCH(1309,Engine!$C$2:$C$1960,0)))</f>
        <v/>
      </c>
      <c r="I1322" s="9">
        <f>IF(ISNA(MATCH(1309,Engine!$C$2:$C$1960,0)),"",INDEX('Compliance Database'!$I$2:$I$1960,MATCH(1309,Engine!$C$2:$C$1960,0)))</f>
        <v/>
      </c>
      <c r="J1322" s="8">
        <f>IF(ISNA(MATCH(1309,Engine!$C$2:$C$1960,0)),"",INDEX('Compliance Database'!$J$2:$J$1960,MATCH(1309,Engine!$C$2:$C$1960,0)))</f>
        <v/>
      </c>
      <c r="K1322" s="9">
        <f>IF(ISNA(MATCH(1309,Engine!$C$2:$C$1960,0)),"",INDEX('Compliance Database'!$K$2:$K$1960,MATCH(1309,Engine!$C$2:$C$1960,0)))</f>
        <v/>
      </c>
      <c r="L1322" s="9">
        <f>IF(ISNA(MATCH(1309,Engine!$C$2:$C$1960,0)),"",INDEX('Compliance Database'!$L$2:$L$1960,MATCH(1309,Engine!$C$2:$C$1960,0)))</f>
        <v/>
      </c>
      <c r="M1322" s="9">
        <f>IF(ISNA(MATCH(1309,Engine!$C$2:$C$1960,0)),"",INDEX('Compliance Database'!$M$2:$M$1960,MATCH(1309,Engine!$C$2:$C$1960,0)))</f>
        <v/>
      </c>
      <c r="N1322" s="9">
        <f>IF(ISNA(MATCH(1309,Engine!$C$2:$C$1960,0)),"",INDEX('Compliance Database'!$N$2:$N$1960,MATCH(1309,Engine!$C$2:$C$1960,0)))</f>
        <v/>
      </c>
      <c r="O1322" s="9">
        <f>IF(ISNA(MATCH(1309,Engine!$C$2:$C$1960,0)),"",INDEX('Compliance Database'!$O$2:$O$1960,MATCH(1309,Engine!$C$2:$C$1960,0)))</f>
        <v/>
      </c>
      <c r="P1322" s="8">
        <f>IF(ISNA(MATCH(1309,Engine!$C$2:$C$1960,0)),"",HYPERLINK("#Acts!A"&amp;INDEX('Compliance Database'!$P$2:$P$1960,MATCH(1309,Engine!$C$2:$C$1960,0)),"Go to Act"))</f>
        <v/>
      </c>
    </row>
    <row r="1323" ht="158" customHeight="1">
      <c r="A1323" s="8">
        <f>IF(ISNA(MATCH(1310,Engine!$C$2:$C$1960,0)),"",INDEX('Compliance Database'!$A$2:$A$1960,MATCH(1310,Engine!$C$2:$C$1960,0)))</f>
        <v/>
      </c>
      <c r="B1323" s="8">
        <f>IF(ISNA(MATCH(1310,Engine!$C$2:$C$1960,0)),"",INDEX('Compliance Database'!$B$2:$B$1960,MATCH(1310,Engine!$C$2:$C$1960,0)))</f>
        <v/>
      </c>
      <c r="C1323" s="8">
        <f>IF(ISNA(MATCH(1310,Engine!$C$2:$C$1960,0)),"",INDEX('Compliance Database'!$C$2:$C$1960,MATCH(1310,Engine!$C$2:$C$1960,0)))</f>
        <v/>
      </c>
      <c r="D1323" s="9">
        <f>IF(ISNA(MATCH(1310,Engine!$C$2:$C$1960,0)),"",INDEX('Compliance Database'!$D$2:$D$1960,MATCH(1310,Engine!$C$2:$C$1960,0)))</f>
        <v/>
      </c>
      <c r="E1323" s="8">
        <f>IF(ISNA(MATCH(1310,Engine!$C$2:$C$1960,0)),"",INDEX('Compliance Database'!$E$2:$E$1960,MATCH(1310,Engine!$C$2:$C$1960,0)))</f>
        <v/>
      </c>
      <c r="F1323" s="8">
        <f>IF(ISNA(MATCH(1310,Engine!$C$2:$C$1960,0)),"",INDEX('Compliance Database'!$F$2:$F$1960,MATCH(1310,Engine!$C$2:$C$1960,0)))</f>
        <v/>
      </c>
      <c r="G1323" s="8">
        <f>IF(ISNA(MATCH(1310,Engine!$C$2:$C$1960,0)),"",INDEX('Compliance Database'!$G$2:$G$1960,MATCH(1310,Engine!$C$2:$C$1960,0)))</f>
        <v/>
      </c>
      <c r="H1323" s="9">
        <f>IF(ISNA(MATCH(1310,Engine!$C$2:$C$1960,0)),"",INDEX('Compliance Database'!$H$2:$H$1960,MATCH(1310,Engine!$C$2:$C$1960,0)))</f>
        <v/>
      </c>
      <c r="I1323" s="9">
        <f>IF(ISNA(MATCH(1310,Engine!$C$2:$C$1960,0)),"",INDEX('Compliance Database'!$I$2:$I$1960,MATCH(1310,Engine!$C$2:$C$1960,0)))</f>
        <v/>
      </c>
      <c r="J1323" s="8">
        <f>IF(ISNA(MATCH(1310,Engine!$C$2:$C$1960,0)),"",INDEX('Compliance Database'!$J$2:$J$1960,MATCH(1310,Engine!$C$2:$C$1960,0)))</f>
        <v/>
      </c>
      <c r="K1323" s="9">
        <f>IF(ISNA(MATCH(1310,Engine!$C$2:$C$1960,0)),"",INDEX('Compliance Database'!$K$2:$K$1960,MATCH(1310,Engine!$C$2:$C$1960,0)))</f>
        <v/>
      </c>
      <c r="L1323" s="9">
        <f>IF(ISNA(MATCH(1310,Engine!$C$2:$C$1960,0)),"",INDEX('Compliance Database'!$L$2:$L$1960,MATCH(1310,Engine!$C$2:$C$1960,0)))</f>
        <v/>
      </c>
      <c r="M1323" s="9">
        <f>IF(ISNA(MATCH(1310,Engine!$C$2:$C$1960,0)),"",INDEX('Compliance Database'!$M$2:$M$1960,MATCH(1310,Engine!$C$2:$C$1960,0)))</f>
        <v/>
      </c>
      <c r="N1323" s="9">
        <f>IF(ISNA(MATCH(1310,Engine!$C$2:$C$1960,0)),"",INDEX('Compliance Database'!$N$2:$N$1960,MATCH(1310,Engine!$C$2:$C$1960,0)))</f>
        <v/>
      </c>
      <c r="O1323" s="9">
        <f>IF(ISNA(MATCH(1310,Engine!$C$2:$C$1960,0)),"",INDEX('Compliance Database'!$O$2:$O$1960,MATCH(1310,Engine!$C$2:$C$1960,0)))</f>
        <v/>
      </c>
      <c r="P1323" s="8">
        <f>IF(ISNA(MATCH(1310,Engine!$C$2:$C$1960,0)),"",HYPERLINK("#Acts!A"&amp;INDEX('Compliance Database'!$P$2:$P$1960,MATCH(1310,Engine!$C$2:$C$1960,0)),"Go to Act"))</f>
        <v/>
      </c>
    </row>
    <row r="1324" ht="158" customHeight="1">
      <c r="A1324" s="8">
        <f>IF(ISNA(MATCH(1311,Engine!$C$2:$C$1960,0)),"",INDEX('Compliance Database'!$A$2:$A$1960,MATCH(1311,Engine!$C$2:$C$1960,0)))</f>
        <v/>
      </c>
      <c r="B1324" s="8">
        <f>IF(ISNA(MATCH(1311,Engine!$C$2:$C$1960,0)),"",INDEX('Compliance Database'!$B$2:$B$1960,MATCH(1311,Engine!$C$2:$C$1960,0)))</f>
        <v/>
      </c>
      <c r="C1324" s="8">
        <f>IF(ISNA(MATCH(1311,Engine!$C$2:$C$1960,0)),"",INDEX('Compliance Database'!$C$2:$C$1960,MATCH(1311,Engine!$C$2:$C$1960,0)))</f>
        <v/>
      </c>
      <c r="D1324" s="9">
        <f>IF(ISNA(MATCH(1311,Engine!$C$2:$C$1960,0)),"",INDEX('Compliance Database'!$D$2:$D$1960,MATCH(1311,Engine!$C$2:$C$1960,0)))</f>
        <v/>
      </c>
      <c r="E1324" s="8">
        <f>IF(ISNA(MATCH(1311,Engine!$C$2:$C$1960,0)),"",INDEX('Compliance Database'!$E$2:$E$1960,MATCH(1311,Engine!$C$2:$C$1960,0)))</f>
        <v/>
      </c>
      <c r="F1324" s="8">
        <f>IF(ISNA(MATCH(1311,Engine!$C$2:$C$1960,0)),"",INDEX('Compliance Database'!$F$2:$F$1960,MATCH(1311,Engine!$C$2:$C$1960,0)))</f>
        <v/>
      </c>
      <c r="G1324" s="8">
        <f>IF(ISNA(MATCH(1311,Engine!$C$2:$C$1960,0)),"",INDEX('Compliance Database'!$G$2:$G$1960,MATCH(1311,Engine!$C$2:$C$1960,0)))</f>
        <v/>
      </c>
      <c r="H1324" s="9">
        <f>IF(ISNA(MATCH(1311,Engine!$C$2:$C$1960,0)),"",INDEX('Compliance Database'!$H$2:$H$1960,MATCH(1311,Engine!$C$2:$C$1960,0)))</f>
        <v/>
      </c>
      <c r="I1324" s="9">
        <f>IF(ISNA(MATCH(1311,Engine!$C$2:$C$1960,0)),"",INDEX('Compliance Database'!$I$2:$I$1960,MATCH(1311,Engine!$C$2:$C$1960,0)))</f>
        <v/>
      </c>
      <c r="J1324" s="8">
        <f>IF(ISNA(MATCH(1311,Engine!$C$2:$C$1960,0)),"",INDEX('Compliance Database'!$J$2:$J$1960,MATCH(1311,Engine!$C$2:$C$1960,0)))</f>
        <v/>
      </c>
      <c r="K1324" s="9">
        <f>IF(ISNA(MATCH(1311,Engine!$C$2:$C$1960,0)),"",INDEX('Compliance Database'!$K$2:$K$1960,MATCH(1311,Engine!$C$2:$C$1960,0)))</f>
        <v/>
      </c>
      <c r="L1324" s="9">
        <f>IF(ISNA(MATCH(1311,Engine!$C$2:$C$1960,0)),"",INDEX('Compliance Database'!$L$2:$L$1960,MATCH(1311,Engine!$C$2:$C$1960,0)))</f>
        <v/>
      </c>
      <c r="M1324" s="9">
        <f>IF(ISNA(MATCH(1311,Engine!$C$2:$C$1960,0)),"",INDEX('Compliance Database'!$M$2:$M$1960,MATCH(1311,Engine!$C$2:$C$1960,0)))</f>
        <v/>
      </c>
      <c r="N1324" s="9">
        <f>IF(ISNA(MATCH(1311,Engine!$C$2:$C$1960,0)),"",INDEX('Compliance Database'!$N$2:$N$1960,MATCH(1311,Engine!$C$2:$C$1960,0)))</f>
        <v/>
      </c>
      <c r="O1324" s="9">
        <f>IF(ISNA(MATCH(1311,Engine!$C$2:$C$1960,0)),"",INDEX('Compliance Database'!$O$2:$O$1960,MATCH(1311,Engine!$C$2:$C$1960,0)))</f>
        <v/>
      </c>
      <c r="P1324" s="8">
        <f>IF(ISNA(MATCH(1311,Engine!$C$2:$C$1960,0)),"",HYPERLINK("#Acts!A"&amp;INDEX('Compliance Database'!$P$2:$P$1960,MATCH(1311,Engine!$C$2:$C$1960,0)),"Go to Act"))</f>
        <v/>
      </c>
    </row>
    <row r="1325" ht="158" customHeight="1">
      <c r="A1325" s="8">
        <f>IF(ISNA(MATCH(1312,Engine!$C$2:$C$1960,0)),"",INDEX('Compliance Database'!$A$2:$A$1960,MATCH(1312,Engine!$C$2:$C$1960,0)))</f>
        <v/>
      </c>
      <c r="B1325" s="8">
        <f>IF(ISNA(MATCH(1312,Engine!$C$2:$C$1960,0)),"",INDEX('Compliance Database'!$B$2:$B$1960,MATCH(1312,Engine!$C$2:$C$1960,0)))</f>
        <v/>
      </c>
      <c r="C1325" s="8">
        <f>IF(ISNA(MATCH(1312,Engine!$C$2:$C$1960,0)),"",INDEX('Compliance Database'!$C$2:$C$1960,MATCH(1312,Engine!$C$2:$C$1960,0)))</f>
        <v/>
      </c>
      <c r="D1325" s="9">
        <f>IF(ISNA(MATCH(1312,Engine!$C$2:$C$1960,0)),"",INDEX('Compliance Database'!$D$2:$D$1960,MATCH(1312,Engine!$C$2:$C$1960,0)))</f>
        <v/>
      </c>
      <c r="E1325" s="8">
        <f>IF(ISNA(MATCH(1312,Engine!$C$2:$C$1960,0)),"",INDEX('Compliance Database'!$E$2:$E$1960,MATCH(1312,Engine!$C$2:$C$1960,0)))</f>
        <v/>
      </c>
      <c r="F1325" s="8">
        <f>IF(ISNA(MATCH(1312,Engine!$C$2:$C$1960,0)),"",INDEX('Compliance Database'!$F$2:$F$1960,MATCH(1312,Engine!$C$2:$C$1960,0)))</f>
        <v/>
      </c>
      <c r="G1325" s="8">
        <f>IF(ISNA(MATCH(1312,Engine!$C$2:$C$1960,0)),"",INDEX('Compliance Database'!$G$2:$G$1960,MATCH(1312,Engine!$C$2:$C$1960,0)))</f>
        <v/>
      </c>
      <c r="H1325" s="9">
        <f>IF(ISNA(MATCH(1312,Engine!$C$2:$C$1960,0)),"",INDEX('Compliance Database'!$H$2:$H$1960,MATCH(1312,Engine!$C$2:$C$1960,0)))</f>
        <v/>
      </c>
      <c r="I1325" s="9">
        <f>IF(ISNA(MATCH(1312,Engine!$C$2:$C$1960,0)),"",INDEX('Compliance Database'!$I$2:$I$1960,MATCH(1312,Engine!$C$2:$C$1960,0)))</f>
        <v/>
      </c>
      <c r="J1325" s="8">
        <f>IF(ISNA(MATCH(1312,Engine!$C$2:$C$1960,0)),"",INDEX('Compliance Database'!$J$2:$J$1960,MATCH(1312,Engine!$C$2:$C$1960,0)))</f>
        <v/>
      </c>
      <c r="K1325" s="9">
        <f>IF(ISNA(MATCH(1312,Engine!$C$2:$C$1960,0)),"",INDEX('Compliance Database'!$K$2:$K$1960,MATCH(1312,Engine!$C$2:$C$1960,0)))</f>
        <v/>
      </c>
      <c r="L1325" s="9">
        <f>IF(ISNA(MATCH(1312,Engine!$C$2:$C$1960,0)),"",INDEX('Compliance Database'!$L$2:$L$1960,MATCH(1312,Engine!$C$2:$C$1960,0)))</f>
        <v/>
      </c>
      <c r="M1325" s="9">
        <f>IF(ISNA(MATCH(1312,Engine!$C$2:$C$1960,0)),"",INDEX('Compliance Database'!$M$2:$M$1960,MATCH(1312,Engine!$C$2:$C$1960,0)))</f>
        <v/>
      </c>
      <c r="N1325" s="9">
        <f>IF(ISNA(MATCH(1312,Engine!$C$2:$C$1960,0)),"",INDEX('Compliance Database'!$N$2:$N$1960,MATCH(1312,Engine!$C$2:$C$1960,0)))</f>
        <v/>
      </c>
      <c r="O1325" s="9">
        <f>IF(ISNA(MATCH(1312,Engine!$C$2:$C$1960,0)),"",INDEX('Compliance Database'!$O$2:$O$1960,MATCH(1312,Engine!$C$2:$C$1960,0)))</f>
        <v/>
      </c>
      <c r="P1325" s="8">
        <f>IF(ISNA(MATCH(1312,Engine!$C$2:$C$1960,0)),"",HYPERLINK("#Acts!A"&amp;INDEX('Compliance Database'!$P$2:$P$1960,MATCH(1312,Engine!$C$2:$C$1960,0)),"Go to Act"))</f>
        <v/>
      </c>
    </row>
    <row r="1326" ht="158" customHeight="1">
      <c r="A1326" s="8">
        <f>IF(ISNA(MATCH(1313,Engine!$C$2:$C$1960,0)),"",INDEX('Compliance Database'!$A$2:$A$1960,MATCH(1313,Engine!$C$2:$C$1960,0)))</f>
        <v/>
      </c>
      <c r="B1326" s="8">
        <f>IF(ISNA(MATCH(1313,Engine!$C$2:$C$1960,0)),"",INDEX('Compliance Database'!$B$2:$B$1960,MATCH(1313,Engine!$C$2:$C$1960,0)))</f>
        <v/>
      </c>
      <c r="C1326" s="8">
        <f>IF(ISNA(MATCH(1313,Engine!$C$2:$C$1960,0)),"",INDEX('Compliance Database'!$C$2:$C$1960,MATCH(1313,Engine!$C$2:$C$1960,0)))</f>
        <v/>
      </c>
      <c r="D1326" s="9">
        <f>IF(ISNA(MATCH(1313,Engine!$C$2:$C$1960,0)),"",INDEX('Compliance Database'!$D$2:$D$1960,MATCH(1313,Engine!$C$2:$C$1960,0)))</f>
        <v/>
      </c>
      <c r="E1326" s="8">
        <f>IF(ISNA(MATCH(1313,Engine!$C$2:$C$1960,0)),"",INDEX('Compliance Database'!$E$2:$E$1960,MATCH(1313,Engine!$C$2:$C$1960,0)))</f>
        <v/>
      </c>
      <c r="F1326" s="8">
        <f>IF(ISNA(MATCH(1313,Engine!$C$2:$C$1960,0)),"",INDEX('Compliance Database'!$F$2:$F$1960,MATCH(1313,Engine!$C$2:$C$1960,0)))</f>
        <v/>
      </c>
      <c r="G1326" s="8">
        <f>IF(ISNA(MATCH(1313,Engine!$C$2:$C$1960,0)),"",INDEX('Compliance Database'!$G$2:$G$1960,MATCH(1313,Engine!$C$2:$C$1960,0)))</f>
        <v/>
      </c>
      <c r="H1326" s="9">
        <f>IF(ISNA(MATCH(1313,Engine!$C$2:$C$1960,0)),"",INDEX('Compliance Database'!$H$2:$H$1960,MATCH(1313,Engine!$C$2:$C$1960,0)))</f>
        <v/>
      </c>
      <c r="I1326" s="9">
        <f>IF(ISNA(MATCH(1313,Engine!$C$2:$C$1960,0)),"",INDEX('Compliance Database'!$I$2:$I$1960,MATCH(1313,Engine!$C$2:$C$1960,0)))</f>
        <v/>
      </c>
      <c r="J1326" s="8">
        <f>IF(ISNA(MATCH(1313,Engine!$C$2:$C$1960,0)),"",INDEX('Compliance Database'!$J$2:$J$1960,MATCH(1313,Engine!$C$2:$C$1960,0)))</f>
        <v/>
      </c>
      <c r="K1326" s="9">
        <f>IF(ISNA(MATCH(1313,Engine!$C$2:$C$1960,0)),"",INDEX('Compliance Database'!$K$2:$K$1960,MATCH(1313,Engine!$C$2:$C$1960,0)))</f>
        <v/>
      </c>
      <c r="L1326" s="9">
        <f>IF(ISNA(MATCH(1313,Engine!$C$2:$C$1960,0)),"",INDEX('Compliance Database'!$L$2:$L$1960,MATCH(1313,Engine!$C$2:$C$1960,0)))</f>
        <v/>
      </c>
      <c r="M1326" s="9">
        <f>IF(ISNA(MATCH(1313,Engine!$C$2:$C$1960,0)),"",INDEX('Compliance Database'!$M$2:$M$1960,MATCH(1313,Engine!$C$2:$C$1960,0)))</f>
        <v/>
      </c>
      <c r="N1326" s="9">
        <f>IF(ISNA(MATCH(1313,Engine!$C$2:$C$1960,0)),"",INDEX('Compliance Database'!$N$2:$N$1960,MATCH(1313,Engine!$C$2:$C$1960,0)))</f>
        <v/>
      </c>
      <c r="O1326" s="9">
        <f>IF(ISNA(MATCH(1313,Engine!$C$2:$C$1960,0)),"",INDEX('Compliance Database'!$O$2:$O$1960,MATCH(1313,Engine!$C$2:$C$1960,0)))</f>
        <v/>
      </c>
      <c r="P1326" s="8">
        <f>IF(ISNA(MATCH(1313,Engine!$C$2:$C$1960,0)),"",HYPERLINK("#Acts!A"&amp;INDEX('Compliance Database'!$P$2:$P$1960,MATCH(1313,Engine!$C$2:$C$1960,0)),"Go to Act"))</f>
        <v/>
      </c>
    </row>
    <row r="1327" ht="158" customHeight="1">
      <c r="A1327" s="8">
        <f>IF(ISNA(MATCH(1314,Engine!$C$2:$C$1960,0)),"",INDEX('Compliance Database'!$A$2:$A$1960,MATCH(1314,Engine!$C$2:$C$1960,0)))</f>
        <v/>
      </c>
      <c r="B1327" s="8">
        <f>IF(ISNA(MATCH(1314,Engine!$C$2:$C$1960,0)),"",INDEX('Compliance Database'!$B$2:$B$1960,MATCH(1314,Engine!$C$2:$C$1960,0)))</f>
        <v/>
      </c>
      <c r="C1327" s="8">
        <f>IF(ISNA(MATCH(1314,Engine!$C$2:$C$1960,0)),"",INDEX('Compliance Database'!$C$2:$C$1960,MATCH(1314,Engine!$C$2:$C$1960,0)))</f>
        <v/>
      </c>
      <c r="D1327" s="9">
        <f>IF(ISNA(MATCH(1314,Engine!$C$2:$C$1960,0)),"",INDEX('Compliance Database'!$D$2:$D$1960,MATCH(1314,Engine!$C$2:$C$1960,0)))</f>
        <v/>
      </c>
      <c r="E1327" s="8">
        <f>IF(ISNA(MATCH(1314,Engine!$C$2:$C$1960,0)),"",INDEX('Compliance Database'!$E$2:$E$1960,MATCH(1314,Engine!$C$2:$C$1960,0)))</f>
        <v/>
      </c>
      <c r="F1327" s="8">
        <f>IF(ISNA(MATCH(1314,Engine!$C$2:$C$1960,0)),"",INDEX('Compliance Database'!$F$2:$F$1960,MATCH(1314,Engine!$C$2:$C$1960,0)))</f>
        <v/>
      </c>
      <c r="G1327" s="8">
        <f>IF(ISNA(MATCH(1314,Engine!$C$2:$C$1960,0)),"",INDEX('Compliance Database'!$G$2:$G$1960,MATCH(1314,Engine!$C$2:$C$1960,0)))</f>
        <v/>
      </c>
      <c r="H1327" s="9">
        <f>IF(ISNA(MATCH(1314,Engine!$C$2:$C$1960,0)),"",INDEX('Compliance Database'!$H$2:$H$1960,MATCH(1314,Engine!$C$2:$C$1960,0)))</f>
        <v/>
      </c>
      <c r="I1327" s="9">
        <f>IF(ISNA(MATCH(1314,Engine!$C$2:$C$1960,0)),"",INDEX('Compliance Database'!$I$2:$I$1960,MATCH(1314,Engine!$C$2:$C$1960,0)))</f>
        <v/>
      </c>
      <c r="J1327" s="8">
        <f>IF(ISNA(MATCH(1314,Engine!$C$2:$C$1960,0)),"",INDEX('Compliance Database'!$J$2:$J$1960,MATCH(1314,Engine!$C$2:$C$1960,0)))</f>
        <v/>
      </c>
      <c r="K1327" s="9">
        <f>IF(ISNA(MATCH(1314,Engine!$C$2:$C$1960,0)),"",INDEX('Compliance Database'!$K$2:$K$1960,MATCH(1314,Engine!$C$2:$C$1960,0)))</f>
        <v/>
      </c>
      <c r="L1327" s="9">
        <f>IF(ISNA(MATCH(1314,Engine!$C$2:$C$1960,0)),"",INDEX('Compliance Database'!$L$2:$L$1960,MATCH(1314,Engine!$C$2:$C$1960,0)))</f>
        <v/>
      </c>
      <c r="M1327" s="9">
        <f>IF(ISNA(MATCH(1314,Engine!$C$2:$C$1960,0)),"",INDEX('Compliance Database'!$M$2:$M$1960,MATCH(1314,Engine!$C$2:$C$1960,0)))</f>
        <v/>
      </c>
      <c r="N1327" s="9">
        <f>IF(ISNA(MATCH(1314,Engine!$C$2:$C$1960,0)),"",INDEX('Compliance Database'!$N$2:$N$1960,MATCH(1314,Engine!$C$2:$C$1960,0)))</f>
        <v/>
      </c>
      <c r="O1327" s="9">
        <f>IF(ISNA(MATCH(1314,Engine!$C$2:$C$1960,0)),"",INDEX('Compliance Database'!$O$2:$O$1960,MATCH(1314,Engine!$C$2:$C$1960,0)))</f>
        <v/>
      </c>
      <c r="P1327" s="8">
        <f>IF(ISNA(MATCH(1314,Engine!$C$2:$C$1960,0)),"",HYPERLINK("#Acts!A"&amp;INDEX('Compliance Database'!$P$2:$P$1960,MATCH(1314,Engine!$C$2:$C$1960,0)),"Go to Act"))</f>
        <v/>
      </c>
    </row>
    <row r="1328" ht="158" customHeight="1">
      <c r="A1328" s="8">
        <f>IF(ISNA(MATCH(1315,Engine!$C$2:$C$1960,0)),"",INDEX('Compliance Database'!$A$2:$A$1960,MATCH(1315,Engine!$C$2:$C$1960,0)))</f>
        <v/>
      </c>
      <c r="B1328" s="8">
        <f>IF(ISNA(MATCH(1315,Engine!$C$2:$C$1960,0)),"",INDEX('Compliance Database'!$B$2:$B$1960,MATCH(1315,Engine!$C$2:$C$1960,0)))</f>
        <v/>
      </c>
      <c r="C1328" s="8">
        <f>IF(ISNA(MATCH(1315,Engine!$C$2:$C$1960,0)),"",INDEX('Compliance Database'!$C$2:$C$1960,MATCH(1315,Engine!$C$2:$C$1960,0)))</f>
        <v/>
      </c>
      <c r="D1328" s="9">
        <f>IF(ISNA(MATCH(1315,Engine!$C$2:$C$1960,0)),"",INDEX('Compliance Database'!$D$2:$D$1960,MATCH(1315,Engine!$C$2:$C$1960,0)))</f>
        <v/>
      </c>
      <c r="E1328" s="8">
        <f>IF(ISNA(MATCH(1315,Engine!$C$2:$C$1960,0)),"",INDEX('Compliance Database'!$E$2:$E$1960,MATCH(1315,Engine!$C$2:$C$1960,0)))</f>
        <v/>
      </c>
      <c r="F1328" s="8">
        <f>IF(ISNA(MATCH(1315,Engine!$C$2:$C$1960,0)),"",INDEX('Compliance Database'!$F$2:$F$1960,MATCH(1315,Engine!$C$2:$C$1960,0)))</f>
        <v/>
      </c>
      <c r="G1328" s="8">
        <f>IF(ISNA(MATCH(1315,Engine!$C$2:$C$1960,0)),"",INDEX('Compliance Database'!$G$2:$G$1960,MATCH(1315,Engine!$C$2:$C$1960,0)))</f>
        <v/>
      </c>
      <c r="H1328" s="9">
        <f>IF(ISNA(MATCH(1315,Engine!$C$2:$C$1960,0)),"",INDEX('Compliance Database'!$H$2:$H$1960,MATCH(1315,Engine!$C$2:$C$1960,0)))</f>
        <v/>
      </c>
      <c r="I1328" s="9">
        <f>IF(ISNA(MATCH(1315,Engine!$C$2:$C$1960,0)),"",INDEX('Compliance Database'!$I$2:$I$1960,MATCH(1315,Engine!$C$2:$C$1960,0)))</f>
        <v/>
      </c>
      <c r="J1328" s="8">
        <f>IF(ISNA(MATCH(1315,Engine!$C$2:$C$1960,0)),"",INDEX('Compliance Database'!$J$2:$J$1960,MATCH(1315,Engine!$C$2:$C$1960,0)))</f>
        <v/>
      </c>
      <c r="K1328" s="9">
        <f>IF(ISNA(MATCH(1315,Engine!$C$2:$C$1960,0)),"",INDEX('Compliance Database'!$K$2:$K$1960,MATCH(1315,Engine!$C$2:$C$1960,0)))</f>
        <v/>
      </c>
      <c r="L1328" s="9">
        <f>IF(ISNA(MATCH(1315,Engine!$C$2:$C$1960,0)),"",INDEX('Compliance Database'!$L$2:$L$1960,MATCH(1315,Engine!$C$2:$C$1960,0)))</f>
        <v/>
      </c>
      <c r="M1328" s="9">
        <f>IF(ISNA(MATCH(1315,Engine!$C$2:$C$1960,0)),"",INDEX('Compliance Database'!$M$2:$M$1960,MATCH(1315,Engine!$C$2:$C$1960,0)))</f>
        <v/>
      </c>
      <c r="N1328" s="9">
        <f>IF(ISNA(MATCH(1315,Engine!$C$2:$C$1960,0)),"",INDEX('Compliance Database'!$N$2:$N$1960,MATCH(1315,Engine!$C$2:$C$1960,0)))</f>
        <v/>
      </c>
      <c r="O1328" s="9">
        <f>IF(ISNA(MATCH(1315,Engine!$C$2:$C$1960,0)),"",INDEX('Compliance Database'!$O$2:$O$1960,MATCH(1315,Engine!$C$2:$C$1960,0)))</f>
        <v/>
      </c>
      <c r="P1328" s="8">
        <f>IF(ISNA(MATCH(1315,Engine!$C$2:$C$1960,0)),"",HYPERLINK("#Acts!A"&amp;INDEX('Compliance Database'!$P$2:$P$1960,MATCH(1315,Engine!$C$2:$C$1960,0)),"Go to Act"))</f>
        <v/>
      </c>
    </row>
    <row r="1329" ht="158" customHeight="1">
      <c r="A1329" s="8">
        <f>IF(ISNA(MATCH(1316,Engine!$C$2:$C$1960,0)),"",INDEX('Compliance Database'!$A$2:$A$1960,MATCH(1316,Engine!$C$2:$C$1960,0)))</f>
        <v/>
      </c>
      <c r="B1329" s="8">
        <f>IF(ISNA(MATCH(1316,Engine!$C$2:$C$1960,0)),"",INDEX('Compliance Database'!$B$2:$B$1960,MATCH(1316,Engine!$C$2:$C$1960,0)))</f>
        <v/>
      </c>
      <c r="C1329" s="8">
        <f>IF(ISNA(MATCH(1316,Engine!$C$2:$C$1960,0)),"",INDEX('Compliance Database'!$C$2:$C$1960,MATCH(1316,Engine!$C$2:$C$1960,0)))</f>
        <v/>
      </c>
      <c r="D1329" s="9">
        <f>IF(ISNA(MATCH(1316,Engine!$C$2:$C$1960,0)),"",INDEX('Compliance Database'!$D$2:$D$1960,MATCH(1316,Engine!$C$2:$C$1960,0)))</f>
        <v/>
      </c>
      <c r="E1329" s="8">
        <f>IF(ISNA(MATCH(1316,Engine!$C$2:$C$1960,0)),"",INDEX('Compliance Database'!$E$2:$E$1960,MATCH(1316,Engine!$C$2:$C$1960,0)))</f>
        <v/>
      </c>
      <c r="F1329" s="8">
        <f>IF(ISNA(MATCH(1316,Engine!$C$2:$C$1960,0)),"",INDEX('Compliance Database'!$F$2:$F$1960,MATCH(1316,Engine!$C$2:$C$1960,0)))</f>
        <v/>
      </c>
      <c r="G1329" s="8">
        <f>IF(ISNA(MATCH(1316,Engine!$C$2:$C$1960,0)),"",INDEX('Compliance Database'!$G$2:$G$1960,MATCH(1316,Engine!$C$2:$C$1960,0)))</f>
        <v/>
      </c>
      <c r="H1329" s="9">
        <f>IF(ISNA(MATCH(1316,Engine!$C$2:$C$1960,0)),"",INDEX('Compliance Database'!$H$2:$H$1960,MATCH(1316,Engine!$C$2:$C$1960,0)))</f>
        <v/>
      </c>
      <c r="I1329" s="9">
        <f>IF(ISNA(MATCH(1316,Engine!$C$2:$C$1960,0)),"",INDEX('Compliance Database'!$I$2:$I$1960,MATCH(1316,Engine!$C$2:$C$1960,0)))</f>
        <v/>
      </c>
      <c r="J1329" s="8">
        <f>IF(ISNA(MATCH(1316,Engine!$C$2:$C$1960,0)),"",INDEX('Compliance Database'!$J$2:$J$1960,MATCH(1316,Engine!$C$2:$C$1960,0)))</f>
        <v/>
      </c>
      <c r="K1329" s="9">
        <f>IF(ISNA(MATCH(1316,Engine!$C$2:$C$1960,0)),"",INDEX('Compliance Database'!$K$2:$K$1960,MATCH(1316,Engine!$C$2:$C$1960,0)))</f>
        <v/>
      </c>
      <c r="L1329" s="9">
        <f>IF(ISNA(MATCH(1316,Engine!$C$2:$C$1960,0)),"",INDEX('Compliance Database'!$L$2:$L$1960,MATCH(1316,Engine!$C$2:$C$1960,0)))</f>
        <v/>
      </c>
      <c r="M1329" s="9">
        <f>IF(ISNA(MATCH(1316,Engine!$C$2:$C$1960,0)),"",INDEX('Compliance Database'!$M$2:$M$1960,MATCH(1316,Engine!$C$2:$C$1960,0)))</f>
        <v/>
      </c>
      <c r="N1329" s="9">
        <f>IF(ISNA(MATCH(1316,Engine!$C$2:$C$1960,0)),"",INDEX('Compliance Database'!$N$2:$N$1960,MATCH(1316,Engine!$C$2:$C$1960,0)))</f>
        <v/>
      </c>
      <c r="O1329" s="9">
        <f>IF(ISNA(MATCH(1316,Engine!$C$2:$C$1960,0)),"",INDEX('Compliance Database'!$O$2:$O$1960,MATCH(1316,Engine!$C$2:$C$1960,0)))</f>
        <v/>
      </c>
      <c r="P1329" s="8">
        <f>IF(ISNA(MATCH(1316,Engine!$C$2:$C$1960,0)),"",HYPERLINK("#Acts!A"&amp;INDEX('Compliance Database'!$P$2:$P$1960,MATCH(1316,Engine!$C$2:$C$1960,0)),"Go to Act"))</f>
        <v/>
      </c>
    </row>
    <row r="1330" ht="158" customHeight="1">
      <c r="A1330" s="8">
        <f>IF(ISNA(MATCH(1317,Engine!$C$2:$C$1960,0)),"",INDEX('Compliance Database'!$A$2:$A$1960,MATCH(1317,Engine!$C$2:$C$1960,0)))</f>
        <v/>
      </c>
      <c r="B1330" s="8">
        <f>IF(ISNA(MATCH(1317,Engine!$C$2:$C$1960,0)),"",INDEX('Compliance Database'!$B$2:$B$1960,MATCH(1317,Engine!$C$2:$C$1960,0)))</f>
        <v/>
      </c>
      <c r="C1330" s="8">
        <f>IF(ISNA(MATCH(1317,Engine!$C$2:$C$1960,0)),"",INDEX('Compliance Database'!$C$2:$C$1960,MATCH(1317,Engine!$C$2:$C$1960,0)))</f>
        <v/>
      </c>
      <c r="D1330" s="9">
        <f>IF(ISNA(MATCH(1317,Engine!$C$2:$C$1960,0)),"",INDEX('Compliance Database'!$D$2:$D$1960,MATCH(1317,Engine!$C$2:$C$1960,0)))</f>
        <v/>
      </c>
      <c r="E1330" s="8">
        <f>IF(ISNA(MATCH(1317,Engine!$C$2:$C$1960,0)),"",INDEX('Compliance Database'!$E$2:$E$1960,MATCH(1317,Engine!$C$2:$C$1960,0)))</f>
        <v/>
      </c>
      <c r="F1330" s="8">
        <f>IF(ISNA(MATCH(1317,Engine!$C$2:$C$1960,0)),"",INDEX('Compliance Database'!$F$2:$F$1960,MATCH(1317,Engine!$C$2:$C$1960,0)))</f>
        <v/>
      </c>
      <c r="G1330" s="8">
        <f>IF(ISNA(MATCH(1317,Engine!$C$2:$C$1960,0)),"",INDEX('Compliance Database'!$G$2:$G$1960,MATCH(1317,Engine!$C$2:$C$1960,0)))</f>
        <v/>
      </c>
      <c r="H1330" s="9">
        <f>IF(ISNA(MATCH(1317,Engine!$C$2:$C$1960,0)),"",INDEX('Compliance Database'!$H$2:$H$1960,MATCH(1317,Engine!$C$2:$C$1960,0)))</f>
        <v/>
      </c>
      <c r="I1330" s="9">
        <f>IF(ISNA(MATCH(1317,Engine!$C$2:$C$1960,0)),"",INDEX('Compliance Database'!$I$2:$I$1960,MATCH(1317,Engine!$C$2:$C$1960,0)))</f>
        <v/>
      </c>
      <c r="J1330" s="8">
        <f>IF(ISNA(MATCH(1317,Engine!$C$2:$C$1960,0)),"",INDEX('Compliance Database'!$J$2:$J$1960,MATCH(1317,Engine!$C$2:$C$1960,0)))</f>
        <v/>
      </c>
      <c r="K1330" s="9">
        <f>IF(ISNA(MATCH(1317,Engine!$C$2:$C$1960,0)),"",INDEX('Compliance Database'!$K$2:$K$1960,MATCH(1317,Engine!$C$2:$C$1960,0)))</f>
        <v/>
      </c>
      <c r="L1330" s="9">
        <f>IF(ISNA(MATCH(1317,Engine!$C$2:$C$1960,0)),"",INDEX('Compliance Database'!$L$2:$L$1960,MATCH(1317,Engine!$C$2:$C$1960,0)))</f>
        <v/>
      </c>
      <c r="M1330" s="9">
        <f>IF(ISNA(MATCH(1317,Engine!$C$2:$C$1960,0)),"",INDEX('Compliance Database'!$M$2:$M$1960,MATCH(1317,Engine!$C$2:$C$1960,0)))</f>
        <v/>
      </c>
      <c r="N1330" s="9">
        <f>IF(ISNA(MATCH(1317,Engine!$C$2:$C$1960,0)),"",INDEX('Compliance Database'!$N$2:$N$1960,MATCH(1317,Engine!$C$2:$C$1960,0)))</f>
        <v/>
      </c>
      <c r="O1330" s="9">
        <f>IF(ISNA(MATCH(1317,Engine!$C$2:$C$1960,0)),"",INDEX('Compliance Database'!$O$2:$O$1960,MATCH(1317,Engine!$C$2:$C$1960,0)))</f>
        <v/>
      </c>
      <c r="P1330" s="8">
        <f>IF(ISNA(MATCH(1317,Engine!$C$2:$C$1960,0)),"",HYPERLINK("#Acts!A"&amp;INDEX('Compliance Database'!$P$2:$P$1960,MATCH(1317,Engine!$C$2:$C$1960,0)),"Go to Act"))</f>
        <v/>
      </c>
    </row>
    <row r="1331" ht="158" customHeight="1">
      <c r="A1331" s="8">
        <f>IF(ISNA(MATCH(1318,Engine!$C$2:$C$1960,0)),"",INDEX('Compliance Database'!$A$2:$A$1960,MATCH(1318,Engine!$C$2:$C$1960,0)))</f>
        <v/>
      </c>
      <c r="B1331" s="8">
        <f>IF(ISNA(MATCH(1318,Engine!$C$2:$C$1960,0)),"",INDEX('Compliance Database'!$B$2:$B$1960,MATCH(1318,Engine!$C$2:$C$1960,0)))</f>
        <v/>
      </c>
      <c r="C1331" s="8">
        <f>IF(ISNA(MATCH(1318,Engine!$C$2:$C$1960,0)),"",INDEX('Compliance Database'!$C$2:$C$1960,MATCH(1318,Engine!$C$2:$C$1960,0)))</f>
        <v/>
      </c>
      <c r="D1331" s="9">
        <f>IF(ISNA(MATCH(1318,Engine!$C$2:$C$1960,0)),"",INDEX('Compliance Database'!$D$2:$D$1960,MATCH(1318,Engine!$C$2:$C$1960,0)))</f>
        <v/>
      </c>
      <c r="E1331" s="8">
        <f>IF(ISNA(MATCH(1318,Engine!$C$2:$C$1960,0)),"",INDEX('Compliance Database'!$E$2:$E$1960,MATCH(1318,Engine!$C$2:$C$1960,0)))</f>
        <v/>
      </c>
      <c r="F1331" s="8">
        <f>IF(ISNA(MATCH(1318,Engine!$C$2:$C$1960,0)),"",INDEX('Compliance Database'!$F$2:$F$1960,MATCH(1318,Engine!$C$2:$C$1960,0)))</f>
        <v/>
      </c>
      <c r="G1331" s="8">
        <f>IF(ISNA(MATCH(1318,Engine!$C$2:$C$1960,0)),"",INDEX('Compliance Database'!$G$2:$G$1960,MATCH(1318,Engine!$C$2:$C$1960,0)))</f>
        <v/>
      </c>
      <c r="H1331" s="9">
        <f>IF(ISNA(MATCH(1318,Engine!$C$2:$C$1960,0)),"",INDEX('Compliance Database'!$H$2:$H$1960,MATCH(1318,Engine!$C$2:$C$1960,0)))</f>
        <v/>
      </c>
      <c r="I1331" s="9">
        <f>IF(ISNA(MATCH(1318,Engine!$C$2:$C$1960,0)),"",INDEX('Compliance Database'!$I$2:$I$1960,MATCH(1318,Engine!$C$2:$C$1960,0)))</f>
        <v/>
      </c>
      <c r="J1331" s="8">
        <f>IF(ISNA(MATCH(1318,Engine!$C$2:$C$1960,0)),"",INDEX('Compliance Database'!$J$2:$J$1960,MATCH(1318,Engine!$C$2:$C$1960,0)))</f>
        <v/>
      </c>
      <c r="K1331" s="9">
        <f>IF(ISNA(MATCH(1318,Engine!$C$2:$C$1960,0)),"",INDEX('Compliance Database'!$K$2:$K$1960,MATCH(1318,Engine!$C$2:$C$1960,0)))</f>
        <v/>
      </c>
      <c r="L1331" s="9">
        <f>IF(ISNA(MATCH(1318,Engine!$C$2:$C$1960,0)),"",INDEX('Compliance Database'!$L$2:$L$1960,MATCH(1318,Engine!$C$2:$C$1960,0)))</f>
        <v/>
      </c>
      <c r="M1331" s="9">
        <f>IF(ISNA(MATCH(1318,Engine!$C$2:$C$1960,0)),"",INDEX('Compliance Database'!$M$2:$M$1960,MATCH(1318,Engine!$C$2:$C$1960,0)))</f>
        <v/>
      </c>
      <c r="N1331" s="9">
        <f>IF(ISNA(MATCH(1318,Engine!$C$2:$C$1960,0)),"",INDEX('Compliance Database'!$N$2:$N$1960,MATCH(1318,Engine!$C$2:$C$1960,0)))</f>
        <v/>
      </c>
      <c r="O1331" s="9">
        <f>IF(ISNA(MATCH(1318,Engine!$C$2:$C$1960,0)),"",INDEX('Compliance Database'!$O$2:$O$1960,MATCH(1318,Engine!$C$2:$C$1960,0)))</f>
        <v/>
      </c>
      <c r="P1331" s="8">
        <f>IF(ISNA(MATCH(1318,Engine!$C$2:$C$1960,0)),"",HYPERLINK("#Acts!A"&amp;INDEX('Compliance Database'!$P$2:$P$1960,MATCH(1318,Engine!$C$2:$C$1960,0)),"Go to Act"))</f>
        <v/>
      </c>
    </row>
    <row r="1332" ht="158" customHeight="1">
      <c r="A1332" s="8">
        <f>IF(ISNA(MATCH(1319,Engine!$C$2:$C$1960,0)),"",INDEX('Compliance Database'!$A$2:$A$1960,MATCH(1319,Engine!$C$2:$C$1960,0)))</f>
        <v/>
      </c>
      <c r="B1332" s="8">
        <f>IF(ISNA(MATCH(1319,Engine!$C$2:$C$1960,0)),"",INDEX('Compliance Database'!$B$2:$B$1960,MATCH(1319,Engine!$C$2:$C$1960,0)))</f>
        <v/>
      </c>
      <c r="C1332" s="8">
        <f>IF(ISNA(MATCH(1319,Engine!$C$2:$C$1960,0)),"",INDEX('Compliance Database'!$C$2:$C$1960,MATCH(1319,Engine!$C$2:$C$1960,0)))</f>
        <v/>
      </c>
      <c r="D1332" s="9">
        <f>IF(ISNA(MATCH(1319,Engine!$C$2:$C$1960,0)),"",INDEX('Compliance Database'!$D$2:$D$1960,MATCH(1319,Engine!$C$2:$C$1960,0)))</f>
        <v/>
      </c>
      <c r="E1332" s="8">
        <f>IF(ISNA(MATCH(1319,Engine!$C$2:$C$1960,0)),"",INDEX('Compliance Database'!$E$2:$E$1960,MATCH(1319,Engine!$C$2:$C$1960,0)))</f>
        <v/>
      </c>
      <c r="F1332" s="8">
        <f>IF(ISNA(MATCH(1319,Engine!$C$2:$C$1960,0)),"",INDEX('Compliance Database'!$F$2:$F$1960,MATCH(1319,Engine!$C$2:$C$1960,0)))</f>
        <v/>
      </c>
      <c r="G1332" s="8">
        <f>IF(ISNA(MATCH(1319,Engine!$C$2:$C$1960,0)),"",INDEX('Compliance Database'!$G$2:$G$1960,MATCH(1319,Engine!$C$2:$C$1960,0)))</f>
        <v/>
      </c>
      <c r="H1332" s="9">
        <f>IF(ISNA(MATCH(1319,Engine!$C$2:$C$1960,0)),"",INDEX('Compliance Database'!$H$2:$H$1960,MATCH(1319,Engine!$C$2:$C$1960,0)))</f>
        <v/>
      </c>
      <c r="I1332" s="9">
        <f>IF(ISNA(MATCH(1319,Engine!$C$2:$C$1960,0)),"",INDEX('Compliance Database'!$I$2:$I$1960,MATCH(1319,Engine!$C$2:$C$1960,0)))</f>
        <v/>
      </c>
      <c r="J1332" s="8">
        <f>IF(ISNA(MATCH(1319,Engine!$C$2:$C$1960,0)),"",INDEX('Compliance Database'!$J$2:$J$1960,MATCH(1319,Engine!$C$2:$C$1960,0)))</f>
        <v/>
      </c>
      <c r="K1332" s="9">
        <f>IF(ISNA(MATCH(1319,Engine!$C$2:$C$1960,0)),"",INDEX('Compliance Database'!$K$2:$K$1960,MATCH(1319,Engine!$C$2:$C$1960,0)))</f>
        <v/>
      </c>
      <c r="L1332" s="9">
        <f>IF(ISNA(MATCH(1319,Engine!$C$2:$C$1960,0)),"",INDEX('Compliance Database'!$L$2:$L$1960,MATCH(1319,Engine!$C$2:$C$1960,0)))</f>
        <v/>
      </c>
      <c r="M1332" s="9">
        <f>IF(ISNA(MATCH(1319,Engine!$C$2:$C$1960,0)),"",INDEX('Compliance Database'!$M$2:$M$1960,MATCH(1319,Engine!$C$2:$C$1960,0)))</f>
        <v/>
      </c>
      <c r="N1332" s="9">
        <f>IF(ISNA(MATCH(1319,Engine!$C$2:$C$1960,0)),"",INDEX('Compliance Database'!$N$2:$N$1960,MATCH(1319,Engine!$C$2:$C$1960,0)))</f>
        <v/>
      </c>
      <c r="O1332" s="9">
        <f>IF(ISNA(MATCH(1319,Engine!$C$2:$C$1960,0)),"",INDEX('Compliance Database'!$O$2:$O$1960,MATCH(1319,Engine!$C$2:$C$1960,0)))</f>
        <v/>
      </c>
      <c r="P1332" s="8">
        <f>IF(ISNA(MATCH(1319,Engine!$C$2:$C$1960,0)),"",HYPERLINK("#Acts!A"&amp;INDEX('Compliance Database'!$P$2:$P$1960,MATCH(1319,Engine!$C$2:$C$1960,0)),"Go to Act"))</f>
        <v/>
      </c>
    </row>
    <row r="1333" ht="158" customHeight="1">
      <c r="A1333" s="8">
        <f>IF(ISNA(MATCH(1320,Engine!$C$2:$C$1960,0)),"",INDEX('Compliance Database'!$A$2:$A$1960,MATCH(1320,Engine!$C$2:$C$1960,0)))</f>
        <v/>
      </c>
      <c r="B1333" s="8">
        <f>IF(ISNA(MATCH(1320,Engine!$C$2:$C$1960,0)),"",INDEX('Compliance Database'!$B$2:$B$1960,MATCH(1320,Engine!$C$2:$C$1960,0)))</f>
        <v/>
      </c>
      <c r="C1333" s="8">
        <f>IF(ISNA(MATCH(1320,Engine!$C$2:$C$1960,0)),"",INDEX('Compliance Database'!$C$2:$C$1960,MATCH(1320,Engine!$C$2:$C$1960,0)))</f>
        <v/>
      </c>
      <c r="D1333" s="9">
        <f>IF(ISNA(MATCH(1320,Engine!$C$2:$C$1960,0)),"",INDEX('Compliance Database'!$D$2:$D$1960,MATCH(1320,Engine!$C$2:$C$1960,0)))</f>
        <v/>
      </c>
      <c r="E1333" s="8">
        <f>IF(ISNA(MATCH(1320,Engine!$C$2:$C$1960,0)),"",INDEX('Compliance Database'!$E$2:$E$1960,MATCH(1320,Engine!$C$2:$C$1960,0)))</f>
        <v/>
      </c>
      <c r="F1333" s="8">
        <f>IF(ISNA(MATCH(1320,Engine!$C$2:$C$1960,0)),"",INDEX('Compliance Database'!$F$2:$F$1960,MATCH(1320,Engine!$C$2:$C$1960,0)))</f>
        <v/>
      </c>
      <c r="G1333" s="8">
        <f>IF(ISNA(MATCH(1320,Engine!$C$2:$C$1960,0)),"",INDEX('Compliance Database'!$G$2:$G$1960,MATCH(1320,Engine!$C$2:$C$1960,0)))</f>
        <v/>
      </c>
      <c r="H1333" s="9">
        <f>IF(ISNA(MATCH(1320,Engine!$C$2:$C$1960,0)),"",INDEX('Compliance Database'!$H$2:$H$1960,MATCH(1320,Engine!$C$2:$C$1960,0)))</f>
        <v/>
      </c>
      <c r="I1333" s="9">
        <f>IF(ISNA(MATCH(1320,Engine!$C$2:$C$1960,0)),"",INDEX('Compliance Database'!$I$2:$I$1960,MATCH(1320,Engine!$C$2:$C$1960,0)))</f>
        <v/>
      </c>
      <c r="J1333" s="8">
        <f>IF(ISNA(MATCH(1320,Engine!$C$2:$C$1960,0)),"",INDEX('Compliance Database'!$J$2:$J$1960,MATCH(1320,Engine!$C$2:$C$1960,0)))</f>
        <v/>
      </c>
      <c r="K1333" s="9">
        <f>IF(ISNA(MATCH(1320,Engine!$C$2:$C$1960,0)),"",INDEX('Compliance Database'!$K$2:$K$1960,MATCH(1320,Engine!$C$2:$C$1960,0)))</f>
        <v/>
      </c>
      <c r="L1333" s="9">
        <f>IF(ISNA(MATCH(1320,Engine!$C$2:$C$1960,0)),"",INDEX('Compliance Database'!$L$2:$L$1960,MATCH(1320,Engine!$C$2:$C$1960,0)))</f>
        <v/>
      </c>
      <c r="M1333" s="9">
        <f>IF(ISNA(MATCH(1320,Engine!$C$2:$C$1960,0)),"",INDEX('Compliance Database'!$M$2:$M$1960,MATCH(1320,Engine!$C$2:$C$1960,0)))</f>
        <v/>
      </c>
      <c r="N1333" s="9">
        <f>IF(ISNA(MATCH(1320,Engine!$C$2:$C$1960,0)),"",INDEX('Compliance Database'!$N$2:$N$1960,MATCH(1320,Engine!$C$2:$C$1960,0)))</f>
        <v/>
      </c>
      <c r="O1333" s="9">
        <f>IF(ISNA(MATCH(1320,Engine!$C$2:$C$1960,0)),"",INDEX('Compliance Database'!$O$2:$O$1960,MATCH(1320,Engine!$C$2:$C$1960,0)))</f>
        <v/>
      </c>
      <c r="P1333" s="8">
        <f>IF(ISNA(MATCH(1320,Engine!$C$2:$C$1960,0)),"",HYPERLINK("#Acts!A"&amp;INDEX('Compliance Database'!$P$2:$P$1960,MATCH(1320,Engine!$C$2:$C$1960,0)),"Go to Act"))</f>
        <v/>
      </c>
    </row>
    <row r="1334" ht="158" customHeight="1">
      <c r="A1334" s="8">
        <f>IF(ISNA(MATCH(1321,Engine!$C$2:$C$1960,0)),"",INDEX('Compliance Database'!$A$2:$A$1960,MATCH(1321,Engine!$C$2:$C$1960,0)))</f>
        <v/>
      </c>
      <c r="B1334" s="8">
        <f>IF(ISNA(MATCH(1321,Engine!$C$2:$C$1960,0)),"",INDEX('Compliance Database'!$B$2:$B$1960,MATCH(1321,Engine!$C$2:$C$1960,0)))</f>
        <v/>
      </c>
      <c r="C1334" s="8">
        <f>IF(ISNA(MATCH(1321,Engine!$C$2:$C$1960,0)),"",INDEX('Compliance Database'!$C$2:$C$1960,MATCH(1321,Engine!$C$2:$C$1960,0)))</f>
        <v/>
      </c>
      <c r="D1334" s="9">
        <f>IF(ISNA(MATCH(1321,Engine!$C$2:$C$1960,0)),"",INDEX('Compliance Database'!$D$2:$D$1960,MATCH(1321,Engine!$C$2:$C$1960,0)))</f>
        <v/>
      </c>
      <c r="E1334" s="8">
        <f>IF(ISNA(MATCH(1321,Engine!$C$2:$C$1960,0)),"",INDEX('Compliance Database'!$E$2:$E$1960,MATCH(1321,Engine!$C$2:$C$1960,0)))</f>
        <v/>
      </c>
      <c r="F1334" s="8">
        <f>IF(ISNA(MATCH(1321,Engine!$C$2:$C$1960,0)),"",INDEX('Compliance Database'!$F$2:$F$1960,MATCH(1321,Engine!$C$2:$C$1960,0)))</f>
        <v/>
      </c>
      <c r="G1334" s="8">
        <f>IF(ISNA(MATCH(1321,Engine!$C$2:$C$1960,0)),"",INDEX('Compliance Database'!$G$2:$G$1960,MATCH(1321,Engine!$C$2:$C$1960,0)))</f>
        <v/>
      </c>
      <c r="H1334" s="9">
        <f>IF(ISNA(MATCH(1321,Engine!$C$2:$C$1960,0)),"",INDEX('Compliance Database'!$H$2:$H$1960,MATCH(1321,Engine!$C$2:$C$1960,0)))</f>
        <v/>
      </c>
      <c r="I1334" s="9">
        <f>IF(ISNA(MATCH(1321,Engine!$C$2:$C$1960,0)),"",INDEX('Compliance Database'!$I$2:$I$1960,MATCH(1321,Engine!$C$2:$C$1960,0)))</f>
        <v/>
      </c>
      <c r="J1334" s="8">
        <f>IF(ISNA(MATCH(1321,Engine!$C$2:$C$1960,0)),"",INDEX('Compliance Database'!$J$2:$J$1960,MATCH(1321,Engine!$C$2:$C$1960,0)))</f>
        <v/>
      </c>
      <c r="K1334" s="9">
        <f>IF(ISNA(MATCH(1321,Engine!$C$2:$C$1960,0)),"",INDEX('Compliance Database'!$K$2:$K$1960,MATCH(1321,Engine!$C$2:$C$1960,0)))</f>
        <v/>
      </c>
      <c r="L1334" s="9">
        <f>IF(ISNA(MATCH(1321,Engine!$C$2:$C$1960,0)),"",INDEX('Compliance Database'!$L$2:$L$1960,MATCH(1321,Engine!$C$2:$C$1960,0)))</f>
        <v/>
      </c>
      <c r="M1334" s="9">
        <f>IF(ISNA(MATCH(1321,Engine!$C$2:$C$1960,0)),"",INDEX('Compliance Database'!$M$2:$M$1960,MATCH(1321,Engine!$C$2:$C$1960,0)))</f>
        <v/>
      </c>
      <c r="N1334" s="9">
        <f>IF(ISNA(MATCH(1321,Engine!$C$2:$C$1960,0)),"",INDEX('Compliance Database'!$N$2:$N$1960,MATCH(1321,Engine!$C$2:$C$1960,0)))</f>
        <v/>
      </c>
      <c r="O1334" s="9">
        <f>IF(ISNA(MATCH(1321,Engine!$C$2:$C$1960,0)),"",INDEX('Compliance Database'!$O$2:$O$1960,MATCH(1321,Engine!$C$2:$C$1960,0)))</f>
        <v/>
      </c>
      <c r="P1334" s="8">
        <f>IF(ISNA(MATCH(1321,Engine!$C$2:$C$1960,0)),"",HYPERLINK("#Acts!A"&amp;INDEX('Compliance Database'!$P$2:$P$1960,MATCH(1321,Engine!$C$2:$C$1960,0)),"Go to Act"))</f>
        <v/>
      </c>
    </row>
    <row r="1335" ht="158" customHeight="1">
      <c r="A1335" s="8">
        <f>IF(ISNA(MATCH(1322,Engine!$C$2:$C$1960,0)),"",INDEX('Compliance Database'!$A$2:$A$1960,MATCH(1322,Engine!$C$2:$C$1960,0)))</f>
        <v/>
      </c>
      <c r="B1335" s="8">
        <f>IF(ISNA(MATCH(1322,Engine!$C$2:$C$1960,0)),"",INDEX('Compliance Database'!$B$2:$B$1960,MATCH(1322,Engine!$C$2:$C$1960,0)))</f>
        <v/>
      </c>
      <c r="C1335" s="8">
        <f>IF(ISNA(MATCH(1322,Engine!$C$2:$C$1960,0)),"",INDEX('Compliance Database'!$C$2:$C$1960,MATCH(1322,Engine!$C$2:$C$1960,0)))</f>
        <v/>
      </c>
      <c r="D1335" s="9">
        <f>IF(ISNA(MATCH(1322,Engine!$C$2:$C$1960,0)),"",INDEX('Compliance Database'!$D$2:$D$1960,MATCH(1322,Engine!$C$2:$C$1960,0)))</f>
        <v/>
      </c>
      <c r="E1335" s="8">
        <f>IF(ISNA(MATCH(1322,Engine!$C$2:$C$1960,0)),"",INDEX('Compliance Database'!$E$2:$E$1960,MATCH(1322,Engine!$C$2:$C$1960,0)))</f>
        <v/>
      </c>
      <c r="F1335" s="8">
        <f>IF(ISNA(MATCH(1322,Engine!$C$2:$C$1960,0)),"",INDEX('Compliance Database'!$F$2:$F$1960,MATCH(1322,Engine!$C$2:$C$1960,0)))</f>
        <v/>
      </c>
      <c r="G1335" s="8">
        <f>IF(ISNA(MATCH(1322,Engine!$C$2:$C$1960,0)),"",INDEX('Compliance Database'!$G$2:$G$1960,MATCH(1322,Engine!$C$2:$C$1960,0)))</f>
        <v/>
      </c>
      <c r="H1335" s="9">
        <f>IF(ISNA(MATCH(1322,Engine!$C$2:$C$1960,0)),"",INDEX('Compliance Database'!$H$2:$H$1960,MATCH(1322,Engine!$C$2:$C$1960,0)))</f>
        <v/>
      </c>
      <c r="I1335" s="9">
        <f>IF(ISNA(MATCH(1322,Engine!$C$2:$C$1960,0)),"",INDEX('Compliance Database'!$I$2:$I$1960,MATCH(1322,Engine!$C$2:$C$1960,0)))</f>
        <v/>
      </c>
      <c r="J1335" s="8">
        <f>IF(ISNA(MATCH(1322,Engine!$C$2:$C$1960,0)),"",INDEX('Compliance Database'!$J$2:$J$1960,MATCH(1322,Engine!$C$2:$C$1960,0)))</f>
        <v/>
      </c>
      <c r="K1335" s="9">
        <f>IF(ISNA(MATCH(1322,Engine!$C$2:$C$1960,0)),"",INDEX('Compliance Database'!$K$2:$K$1960,MATCH(1322,Engine!$C$2:$C$1960,0)))</f>
        <v/>
      </c>
      <c r="L1335" s="9">
        <f>IF(ISNA(MATCH(1322,Engine!$C$2:$C$1960,0)),"",INDEX('Compliance Database'!$L$2:$L$1960,MATCH(1322,Engine!$C$2:$C$1960,0)))</f>
        <v/>
      </c>
      <c r="M1335" s="9">
        <f>IF(ISNA(MATCH(1322,Engine!$C$2:$C$1960,0)),"",INDEX('Compliance Database'!$M$2:$M$1960,MATCH(1322,Engine!$C$2:$C$1960,0)))</f>
        <v/>
      </c>
      <c r="N1335" s="9">
        <f>IF(ISNA(MATCH(1322,Engine!$C$2:$C$1960,0)),"",INDEX('Compliance Database'!$N$2:$N$1960,MATCH(1322,Engine!$C$2:$C$1960,0)))</f>
        <v/>
      </c>
      <c r="O1335" s="9">
        <f>IF(ISNA(MATCH(1322,Engine!$C$2:$C$1960,0)),"",INDEX('Compliance Database'!$O$2:$O$1960,MATCH(1322,Engine!$C$2:$C$1960,0)))</f>
        <v/>
      </c>
      <c r="P1335" s="8">
        <f>IF(ISNA(MATCH(1322,Engine!$C$2:$C$1960,0)),"",HYPERLINK("#Acts!A"&amp;INDEX('Compliance Database'!$P$2:$P$1960,MATCH(1322,Engine!$C$2:$C$1960,0)),"Go to Act"))</f>
        <v/>
      </c>
    </row>
    <row r="1336" ht="158" customHeight="1">
      <c r="A1336" s="8">
        <f>IF(ISNA(MATCH(1323,Engine!$C$2:$C$1960,0)),"",INDEX('Compliance Database'!$A$2:$A$1960,MATCH(1323,Engine!$C$2:$C$1960,0)))</f>
        <v/>
      </c>
      <c r="B1336" s="8">
        <f>IF(ISNA(MATCH(1323,Engine!$C$2:$C$1960,0)),"",INDEX('Compliance Database'!$B$2:$B$1960,MATCH(1323,Engine!$C$2:$C$1960,0)))</f>
        <v/>
      </c>
      <c r="C1336" s="8">
        <f>IF(ISNA(MATCH(1323,Engine!$C$2:$C$1960,0)),"",INDEX('Compliance Database'!$C$2:$C$1960,MATCH(1323,Engine!$C$2:$C$1960,0)))</f>
        <v/>
      </c>
      <c r="D1336" s="9">
        <f>IF(ISNA(MATCH(1323,Engine!$C$2:$C$1960,0)),"",INDEX('Compliance Database'!$D$2:$D$1960,MATCH(1323,Engine!$C$2:$C$1960,0)))</f>
        <v/>
      </c>
      <c r="E1336" s="8">
        <f>IF(ISNA(MATCH(1323,Engine!$C$2:$C$1960,0)),"",INDEX('Compliance Database'!$E$2:$E$1960,MATCH(1323,Engine!$C$2:$C$1960,0)))</f>
        <v/>
      </c>
      <c r="F1336" s="8">
        <f>IF(ISNA(MATCH(1323,Engine!$C$2:$C$1960,0)),"",INDEX('Compliance Database'!$F$2:$F$1960,MATCH(1323,Engine!$C$2:$C$1960,0)))</f>
        <v/>
      </c>
      <c r="G1336" s="8">
        <f>IF(ISNA(MATCH(1323,Engine!$C$2:$C$1960,0)),"",INDEX('Compliance Database'!$G$2:$G$1960,MATCH(1323,Engine!$C$2:$C$1960,0)))</f>
        <v/>
      </c>
      <c r="H1336" s="9">
        <f>IF(ISNA(MATCH(1323,Engine!$C$2:$C$1960,0)),"",INDEX('Compliance Database'!$H$2:$H$1960,MATCH(1323,Engine!$C$2:$C$1960,0)))</f>
        <v/>
      </c>
      <c r="I1336" s="9">
        <f>IF(ISNA(MATCH(1323,Engine!$C$2:$C$1960,0)),"",INDEX('Compliance Database'!$I$2:$I$1960,MATCH(1323,Engine!$C$2:$C$1960,0)))</f>
        <v/>
      </c>
      <c r="J1336" s="8">
        <f>IF(ISNA(MATCH(1323,Engine!$C$2:$C$1960,0)),"",INDEX('Compliance Database'!$J$2:$J$1960,MATCH(1323,Engine!$C$2:$C$1960,0)))</f>
        <v/>
      </c>
      <c r="K1336" s="9">
        <f>IF(ISNA(MATCH(1323,Engine!$C$2:$C$1960,0)),"",INDEX('Compliance Database'!$K$2:$K$1960,MATCH(1323,Engine!$C$2:$C$1960,0)))</f>
        <v/>
      </c>
      <c r="L1336" s="9">
        <f>IF(ISNA(MATCH(1323,Engine!$C$2:$C$1960,0)),"",INDEX('Compliance Database'!$L$2:$L$1960,MATCH(1323,Engine!$C$2:$C$1960,0)))</f>
        <v/>
      </c>
      <c r="M1336" s="9">
        <f>IF(ISNA(MATCH(1323,Engine!$C$2:$C$1960,0)),"",INDEX('Compliance Database'!$M$2:$M$1960,MATCH(1323,Engine!$C$2:$C$1960,0)))</f>
        <v/>
      </c>
      <c r="N1336" s="9">
        <f>IF(ISNA(MATCH(1323,Engine!$C$2:$C$1960,0)),"",INDEX('Compliance Database'!$N$2:$N$1960,MATCH(1323,Engine!$C$2:$C$1960,0)))</f>
        <v/>
      </c>
      <c r="O1336" s="9">
        <f>IF(ISNA(MATCH(1323,Engine!$C$2:$C$1960,0)),"",INDEX('Compliance Database'!$O$2:$O$1960,MATCH(1323,Engine!$C$2:$C$1960,0)))</f>
        <v/>
      </c>
      <c r="P1336" s="8">
        <f>IF(ISNA(MATCH(1323,Engine!$C$2:$C$1960,0)),"",HYPERLINK("#Acts!A"&amp;INDEX('Compliance Database'!$P$2:$P$1960,MATCH(1323,Engine!$C$2:$C$1960,0)),"Go to Act"))</f>
        <v/>
      </c>
    </row>
    <row r="1337" ht="158" customHeight="1">
      <c r="A1337" s="8">
        <f>IF(ISNA(MATCH(1324,Engine!$C$2:$C$1960,0)),"",INDEX('Compliance Database'!$A$2:$A$1960,MATCH(1324,Engine!$C$2:$C$1960,0)))</f>
        <v/>
      </c>
      <c r="B1337" s="8">
        <f>IF(ISNA(MATCH(1324,Engine!$C$2:$C$1960,0)),"",INDEX('Compliance Database'!$B$2:$B$1960,MATCH(1324,Engine!$C$2:$C$1960,0)))</f>
        <v/>
      </c>
      <c r="C1337" s="8">
        <f>IF(ISNA(MATCH(1324,Engine!$C$2:$C$1960,0)),"",INDEX('Compliance Database'!$C$2:$C$1960,MATCH(1324,Engine!$C$2:$C$1960,0)))</f>
        <v/>
      </c>
      <c r="D1337" s="9">
        <f>IF(ISNA(MATCH(1324,Engine!$C$2:$C$1960,0)),"",INDEX('Compliance Database'!$D$2:$D$1960,MATCH(1324,Engine!$C$2:$C$1960,0)))</f>
        <v/>
      </c>
      <c r="E1337" s="8">
        <f>IF(ISNA(MATCH(1324,Engine!$C$2:$C$1960,0)),"",INDEX('Compliance Database'!$E$2:$E$1960,MATCH(1324,Engine!$C$2:$C$1960,0)))</f>
        <v/>
      </c>
      <c r="F1337" s="8">
        <f>IF(ISNA(MATCH(1324,Engine!$C$2:$C$1960,0)),"",INDEX('Compliance Database'!$F$2:$F$1960,MATCH(1324,Engine!$C$2:$C$1960,0)))</f>
        <v/>
      </c>
      <c r="G1337" s="8">
        <f>IF(ISNA(MATCH(1324,Engine!$C$2:$C$1960,0)),"",INDEX('Compliance Database'!$G$2:$G$1960,MATCH(1324,Engine!$C$2:$C$1960,0)))</f>
        <v/>
      </c>
      <c r="H1337" s="9">
        <f>IF(ISNA(MATCH(1324,Engine!$C$2:$C$1960,0)),"",INDEX('Compliance Database'!$H$2:$H$1960,MATCH(1324,Engine!$C$2:$C$1960,0)))</f>
        <v/>
      </c>
      <c r="I1337" s="9">
        <f>IF(ISNA(MATCH(1324,Engine!$C$2:$C$1960,0)),"",INDEX('Compliance Database'!$I$2:$I$1960,MATCH(1324,Engine!$C$2:$C$1960,0)))</f>
        <v/>
      </c>
      <c r="J1337" s="8">
        <f>IF(ISNA(MATCH(1324,Engine!$C$2:$C$1960,0)),"",INDEX('Compliance Database'!$J$2:$J$1960,MATCH(1324,Engine!$C$2:$C$1960,0)))</f>
        <v/>
      </c>
      <c r="K1337" s="9">
        <f>IF(ISNA(MATCH(1324,Engine!$C$2:$C$1960,0)),"",INDEX('Compliance Database'!$K$2:$K$1960,MATCH(1324,Engine!$C$2:$C$1960,0)))</f>
        <v/>
      </c>
      <c r="L1337" s="9">
        <f>IF(ISNA(MATCH(1324,Engine!$C$2:$C$1960,0)),"",INDEX('Compliance Database'!$L$2:$L$1960,MATCH(1324,Engine!$C$2:$C$1960,0)))</f>
        <v/>
      </c>
      <c r="M1337" s="9">
        <f>IF(ISNA(MATCH(1324,Engine!$C$2:$C$1960,0)),"",INDEX('Compliance Database'!$M$2:$M$1960,MATCH(1324,Engine!$C$2:$C$1960,0)))</f>
        <v/>
      </c>
      <c r="N1337" s="9">
        <f>IF(ISNA(MATCH(1324,Engine!$C$2:$C$1960,0)),"",INDEX('Compliance Database'!$N$2:$N$1960,MATCH(1324,Engine!$C$2:$C$1960,0)))</f>
        <v/>
      </c>
      <c r="O1337" s="9">
        <f>IF(ISNA(MATCH(1324,Engine!$C$2:$C$1960,0)),"",INDEX('Compliance Database'!$O$2:$O$1960,MATCH(1324,Engine!$C$2:$C$1960,0)))</f>
        <v/>
      </c>
      <c r="P1337" s="8">
        <f>IF(ISNA(MATCH(1324,Engine!$C$2:$C$1960,0)),"",HYPERLINK("#Acts!A"&amp;INDEX('Compliance Database'!$P$2:$P$1960,MATCH(1324,Engine!$C$2:$C$1960,0)),"Go to Act"))</f>
        <v/>
      </c>
    </row>
    <row r="1338" ht="158" customHeight="1">
      <c r="A1338" s="8">
        <f>IF(ISNA(MATCH(1325,Engine!$C$2:$C$1960,0)),"",INDEX('Compliance Database'!$A$2:$A$1960,MATCH(1325,Engine!$C$2:$C$1960,0)))</f>
        <v/>
      </c>
      <c r="B1338" s="8">
        <f>IF(ISNA(MATCH(1325,Engine!$C$2:$C$1960,0)),"",INDEX('Compliance Database'!$B$2:$B$1960,MATCH(1325,Engine!$C$2:$C$1960,0)))</f>
        <v/>
      </c>
      <c r="C1338" s="8">
        <f>IF(ISNA(MATCH(1325,Engine!$C$2:$C$1960,0)),"",INDEX('Compliance Database'!$C$2:$C$1960,MATCH(1325,Engine!$C$2:$C$1960,0)))</f>
        <v/>
      </c>
      <c r="D1338" s="9">
        <f>IF(ISNA(MATCH(1325,Engine!$C$2:$C$1960,0)),"",INDEX('Compliance Database'!$D$2:$D$1960,MATCH(1325,Engine!$C$2:$C$1960,0)))</f>
        <v/>
      </c>
      <c r="E1338" s="8">
        <f>IF(ISNA(MATCH(1325,Engine!$C$2:$C$1960,0)),"",INDEX('Compliance Database'!$E$2:$E$1960,MATCH(1325,Engine!$C$2:$C$1960,0)))</f>
        <v/>
      </c>
      <c r="F1338" s="8">
        <f>IF(ISNA(MATCH(1325,Engine!$C$2:$C$1960,0)),"",INDEX('Compliance Database'!$F$2:$F$1960,MATCH(1325,Engine!$C$2:$C$1960,0)))</f>
        <v/>
      </c>
      <c r="G1338" s="8">
        <f>IF(ISNA(MATCH(1325,Engine!$C$2:$C$1960,0)),"",INDEX('Compliance Database'!$G$2:$G$1960,MATCH(1325,Engine!$C$2:$C$1960,0)))</f>
        <v/>
      </c>
      <c r="H1338" s="9">
        <f>IF(ISNA(MATCH(1325,Engine!$C$2:$C$1960,0)),"",INDEX('Compliance Database'!$H$2:$H$1960,MATCH(1325,Engine!$C$2:$C$1960,0)))</f>
        <v/>
      </c>
      <c r="I1338" s="9">
        <f>IF(ISNA(MATCH(1325,Engine!$C$2:$C$1960,0)),"",INDEX('Compliance Database'!$I$2:$I$1960,MATCH(1325,Engine!$C$2:$C$1960,0)))</f>
        <v/>
      </c>
      <c r="J1338" s="8">
        <f>IF(ISNA(MATCH(1325,Engine!$C$2:$C$1960,0)),"",INDEX('Compliance Database'!$J$2:$J$1960,MATCH(1325,Engine!$C$2:$C$1960,0)))</f>
        <v/>
      </c>
      <c r="K1338" s="9">
        <f>IF(ISNA(MATCH(1325,Engine!$C$2:$C$1960,0)),"",INDEX('Compliance Database'!$K$2:$K$1960,MATCH(1325,Engine!$C$2:$C$1960,0)))</f>
        <v/>
      </c>
      <c r="L1338" s="9">
        <f>IF(ISNA(MATCH(1325,Engine!$C$2:$C$1960,0)),"",INDEX('Compliance Database'!$L$2:$L$1960,MATCH(1325,Engine!$C$2:$C$1960,0)))</f>
        <v/>
      </c>
      <c r="M1338" s="9">
        <f>IF(ISNA(MATCH(1325,Engine!$C$2:$C$1960,0)),"",INDEX('Compliance Database'!$M$2:$M$1960,MATCH(1325,Engine!$C$2:$C$1960,0)))</f>
        <v/>
      </c>
      <c r="N1338" s="9">
        <f>IF(ISNA(MATCH(1325,Engine!$C$2:$C$1960,0)),"",INDEX('Compliance Database'!$N$2:$N$1960,MATCH(1325,Engine!$C$2:$C$1960,0)))</f>
        <v/>
      </c>
      <c r="O1338" s="9">
        <f>IF(ISNA(MATCH(1325,Engine!$C$2:$C$1960,0)),"",INDEX('Compliance Database'!$O$2:$O$1960,MATCH(1325,Engine!$C$2:$C$1960,0)))</f>
        <v/>
      </c>
      <c r="P1338" s="8">
        <f>IF(ISNA(MATCH(1325,Engine!$C$2:$C$1960,0)),"",HYPERLINK("#Acts!A"&amp;INDEX('Compliance Database'!$P$2:$P$1960,MATCH(1325,Engine!$C$2:$C$1960,0)),"Go to Act"))</f>
        <v/>
      </c>
    </row>
    <row r="1339" ht="158" customHeight="1">
      <c r="A1339" s="8">
        <f>IF(ISNA(MATCH(1326,Engine!$C$2:$C$1960,0)),"",INDEX('Compliance Database'!$A$2:$A$1960,MATCH(1326,Engine!$C$2:$C$1960,0)))</f>
        <v/>
      </c>
      <c r="B1339" s="8">
        <f>IF(ISNA(MATCH(1326,Engine!$C$2:$C$1960,0)),"",INDEX('Compliance Database'!$B$2:$B$1960,MATCH(1326,Engine!$C$2:$C$1960,0)))</f>
        <v/>
      </c>
      <c r="C1339" s="8">
        <f>IF(ISNA(MATCH(1326,Engine!$C$2:$C$1960,0)),"",INDEX('Compliance Database'!$C$2:$C$1960,MATCH(1326,Engine!$C$2:$C$1960,0)))</f>
        <v/>
      </c>
      <c r="D1339" s="9">
        <f>IF(ISNA(MATCH(1326,Engine!$C$2:$C$1960,0)),"",INDEX('Compliance Database'!$D$2:$D$1960,MATCH(1326,Engine!$C$2:$C$1960,0)))</f>
        <v/>
      </c>
      <c r="E1339" s="8">
        <f>IF(ISNA(MATCH(1326,Engine!$C$2:$C$1960,0)),"",INDEX('Compliance Database'!$E$2:$E$1960,MATCH(1326,Engine!$C$2:$C$1960,0)))</f>
        <v/>
      </c>
      <c r="F1339" s="8">
        <f>IF(ISNA(MATCH(1326,Engine!$C$2:$C$1960,0)),"",INDEX('Compliance Database'!$F$2:$F$1960,MATCH(1326,Engine!$C$2:$C$1960,0)))</f>
        <v/>
      </c>
      <c r="G1339" s="8">
        <f>IF(ISNA(MATCH(1326,Engine!$C$2:$C$1960,0)),"",INDEX('Compliance Database'!$G$2:$G$1960,MATCH(1326,Engine!$C$2:$C$1960,0)))</f>
        <v/>
      </c>
      <c r="H1339" s="9">
        <f>IF(ISNA(MATCH(1326,Engine!$C$2:$C$1960,0)),"",INDEX('Compliance Database'!$H$2:$H$1960,MATCH(1326,Engine!$C$2:$C$1960,0)))</f>
        <v/>
      </c>
      <c r="I1339" s="9">
        <f>IF(ISNA(MATCH(1326,Engine!$C$2:$C$1960,0)),"",INDEX('Compliance Database'!$I$2:$I$1960,MATCH(1326,Engine!$C$2:$C$1960,0)))</f>
        <v/>
      </c>
      <c r="J1339" s="8">
        <f>IF(ISNA(MATCH(1326,Engine!$C$2:$C$1960,0)),"",INDEX('Compliance Database'!$J$2:$J$1960,MATCH(1326,Engine!$C$2:$C$1960,0)))</f>
        <v/>
      </c>
      <c r="K1339" s="9">
        <f>IF(ISNA(MATCH(1326,Engine!$C$2:$C$1960,0)),"",INDEX('Compliance Database'!$K$2:$K$1960,MATCH(1326,Engine!$C$2:$C$1960,0)))</f>
        <v/>
      </c>
      <c r="L1339" s="9">
        <f>IF(ISNA(MATCH(1326,Engine!$C$2:$C$1960,0)),"",INDEX('Compliance Database'!$L$2:$L$1960,MATCH(1326,Engine!$C$2:$C$1960,0)))</f>
        <v/>
      </c>
      <c r="M1339" s="9">
        <f>IF(ISNA(MATCH(1326,Engine!$C$2:$C$1960,0)),"",INDEX('Compliance Database'!$M$2:$M$1960,MATCH(1326,Engine!$C$2:$C$1960,0)))</f>
        <v/>
      </c>
      <c r="N1339" s="9">
        <f>IF(ISNA(MATCH(1326,Engine!$C$2:$C$1960,0)),"",INDEX('Compliance Database'!$N$2:$N$1960,MATCH(1326,Engine!$C$2:$C$1960,0)))</f>
        <v/>
      </c>
      <c r="O1339" s="9">
        <f>IF(ISNA(MATCH(1326,Engine!$C$2:$C$1960,0)),"",INDEX('Compliance Database'!$O$2:$O$1960,MATCH(1326,Engine!$C$2:$C$1960,0)))</f>
        <v/>
      </c>
      <c r="P1339" s="8">
        <f>IF(ISNA(MATCH(1326,Engine!$C$2:$C$1960,0)),"",HYPERLINK("#Acts!A"&amp;INDEX('Compliance Database'!$P$2:$P$1960,MATCH(1326,Engine!$C$2:$C$1960,0)),"Go to Act"))</f>
        <v/>
      </c>
    </row>
    <row r="1340" ht="158" customHeight="1">
      <c r="A1340" s="8">
        <f>IF(ISNA(MATCH(1327,Engine!$C$2:$C$1960,0)),"",INDEX('Compliance Database'!$A$2:$A$1960,MATCH(1327,Engine!$C$2:$C$1960,0)))</f>
        <v/>
      </c>
      <c r="B1340" s="8">
        <f>IF(ISNA(MATCH(1327,Engine!$C$2:$C$1960,0)),"",INDEX('Compliance Database'!$B$2:$B$1960,MATCH(1327,Engine!$C$2:$C$1960,0)))</f>
        <v/>
      </c>
      <c r="C1340" s="8">
        <f>IF(ISNA(MATCH(1327,Engine!$C$2:$C$1960,0)),"",INDEX('Compliance Database'!$C$2:$C$1960,MATCH(1327,Engine!$C$2:$C$1960,0)))</f>
        <v/>
      </c>
      <c r="D1340" s="9">
        <f>IF(ISNA(MATCH(1327,Engine!$C$2:$C$1960,0)),"",INDEX('Compliance Database'!$D$2:$D$1960,MATCH(1327,Engine!$C$2:$C$1960,0)))</f>
        <v/>
      </c>
      <c r="E1340" s="8">
        <f>IF(ISNA(MATCH(1327,Engine!$C$2:$C$1960,0)),"",INDEX('Compliance Database'!$E$2:$E$1960,MATCH(1327,Engine!$C$2:$C$1960,0)))</f>
        <v/>
      </c>
      <c r="F1340" s="8">
        <f>IF(ISNA(MATCH(1327,Engine!$C$2:$C$1960,0)),"",INDEX('Compliance Database'!$F$2:$F$1960,MATCH(1327,Engine!$C$2:$C$1960,0)))</f>
        <v/>
      </c>
      <c r="G1340" s="8">
        <f>IF(ISNA(MATCH(1327,Engine!$C$2:$C$1960,0)),"",INDEX('Compliance Database'!$G$2:$G$1960,MATCH(1327,Engine!$C$2:$C$1960,0)))</f>
        <v/>
      </c>
      <c r="H1340" s="9">
        <f>IF(ISNA(MATCH(1327,Engine!$C$2:$C$1960,0)),"",INDEX('Compliance Database'!$H$2:$H$1960,MATCH(1327,Engine!$C$2:$C$1960,0)))</f>
        <v/>
      </c>
      <c r="I1340" s="9">
        <f>IF(ISNA(MATCH(1327,Engine!$C$2:$C$1960,0)),"",INDEX('Compliance Database'!$I$2:$I$1960,MATCH(1327,Engine!$C$2:$C$1960,0)))</f>
        <v/>
      </c>
      <c r="J1340" s="8">
        <f>IF(ISNA(MATCH(1327,Engine!$C$2:$C$1960,0)),"",INDEX('Compliance Database'!$J$2:$J$1960,MATCH(1327,Engine!$C$2:$C$1960,0)))</f>
        <v/>
      </c>
      <c r="K1340" s="9">
        <f>IF(ISNA(MATCH(1327,Engine!$C$2:$C$1960,0)),"",INDEX('Compliance Database'!$K$2:$K$1960,MATCH(1327,Engine!$C$2:$C$1960,0)))</f>
        <v/>
      </c>
      <c r="L1340" s="9">
        <f>IF(ISNA(MATCH(1327,Engine!$C$2:$C$1960,0)),"",INDEX('Compliance Database'!$L$2:$L$1960,MATCH(1327,Engine!$C$2:$C$1960,0)))</f>
        <v/>
      </c>
      <c r="M1340" s="9">
        <f>IF(ISNA(MATCH(1327,Engine!$C$2:$C$1960,0)),"",INDEX('Compliance Database'!$M$2:$M$1960,MATCH(1327,Engine!$C$2:$C$1960,0)))</f>
        <v/>
      </c>
      <c r="N1340" s="9">
        <f>IF(ISNA(MATCH(1327,Engine!$C$2:$C$1960,0)),"",INDEX('Compliance Database'!$N$2:$N$1960,MATCH(1327,Engine!$C$2:$C$1960,0)))</f>
        <v/>
      </c>
      <c r="O1340" s="9">
        <f>IF(ISNA(MATCH(1327,Engine!$C$2:$C$1960,0)),"",INDEX('Compliance Database'!$O$2:$O$1960,MATCH(1327,Engine!$C$2:$C$1960,0)))</f>
        <v/>
      </c>
      <c r="P1340" s="8">
        <f>IF(ISNA(MATCH(1327,Engine!$C$2:$C$1960,0)),"",HYPERLINK("#Acts!A"&amp;INDEX('Compliance Database'!$P$2:$P$1960,MATCH(1327,Engine!$C$2:$C$1960,0)),"Go to Act"))</f>
        <v/>
      </c>
    </row>
    <row r="1341" ht="158" customHeight="1">
      <c r="A1341" s="8">
        <f>IF(ISNA(MATCH(1328,Engine!$C$2:$C$1960,0)),"",INDEX('Compliance Database'!$A$2:$A$1960,MATCH(1328,Engine!$C$2:$C$1960,0)))</f>
        <v/>
      </c>
      <c r="B1341" s="8">
        <f>IF(ISNA(MATCH(1328,Engine!$C$2:$C$1960,0)),"",INDEX('Compliance Database'!$B$2:$B$1960,MATCH(1328,Engine!$C$2:$C$1960,0)))</f>
        <v/>
      </c>
      <c r="C1341" s="8">
        <f>IF(ISNA(MATCH(1328,Engine!$C$2:$C$1960,0)),"",INDEX('Compliance Database'!$C$2:$C$1960,MATCH(1328,Engine!$C$2:$C$1960,0)))</f>
        <v/>
      </c>
      <c r="D1341" s="9">
        <f>IF(ISNA(MATCH(1328,Engine!$C$2:$C$1960,0)),"",INDEX('Compliance Database'!$D$2:$D$1960,MATCH(1328,Engine!$C$2:$C$1960,0)))</f>
        <v/>
      </c>
      <c r="E1341" s="8">
        <f>IF(ISNA(MATCH(1328,Engine!$C$2:$C$1960,0)),"",INDEX('Compliance Database'!$E$2:$E$1960,MATCH(1328,Engine!$C$2:$C$1960,0)))</f>
        <v/>
      </c>
      <c r="F1341" s="8">
        <f>IF(ISNA(MATCH(1328,Engine!$C$2:$C$1960,0)),"",INDEX('Compliance Database'!$F$2:$F$1960,MATCH(1328,Engine!$C$2:$C$1960,0)))</f>
        <v/>
      </c>
      <c r="G1341" s="8">
        <f>IF(ISNA(MATCH(1328,Engine!$C$2:$C$1960,0)),"",INDEX('Compliance Database'!$G$2:$G$1960,MATCH(1328,Engine!$C$2:$C$1960,0)))</f>
        <v/>
      </c>
      <c r="H1341" s="9">
        <f>IF(ISNA(MATCH(1328,Engine!$C$2:$C$1960,0)),"",INDEX('Compliance Database'!$H$2:$H$1960,MATCH(1328,Engine!$C$2:$C$1960,0)))</f>
        <v/>
      </c>
      <c r="I1341" s="9">
        <f>IF(ISNA(MATCH(1328,Engine!$C$2:$C$1960,0)),"",INDEX('Compliance Database'!$I$2:$I$1960,MATCH(1328,Engine!$C$2:$C$1960,0)))</f>
        <v/>
      </c>
      <c r="J1341" s="8">
        <f>IF(ISNA(MATCH(1328,Engine!$C$2:$C$1960,0)),"",INDEX('Compliance Database'!$J$2:$J$1960,MATCH(1328,Engine!$C$2:$C$1960,0)))</f>
        <v/>
      </c>
      <c r="K1341" s="9">
        <f>IF(ISNA(MATCH(1328,Engine!$C$2:$C$1960,0)),"",INDEX('Compliance Database'!$K$2:$K$1960,MATCH(1328,Engine!$C$2:$C$1960,0)))</f>
        <v/>
      </c>
      <c r="L1341" s="9">
        <f>IF(ISNA(MATCH(1328,Engine!$C$2:$C$1960,0)),"",INDEX('Compliance Database'!$L$2:$L$1960,MATCH(1328,Engine!$C$2:$C$1960,0)))</f>
        <v/>
      </c>
      <c r="M1341" s="9">
        <f>IF(ISNA(MATCH(1328,Engine!$C$2:$C$1960,0)),"",INDEX('Compliance Database'!$M$2:$M$1960,MATCH(1328,Engine!$C$2:$C$1960,0)))</f>
        <v/>
      </c>
      <c r="N1341" s="9">
        <f>IF(ISNA(MATCH(1328,Engine!$C$2:$C$1960,0)),"",INDEX('Compliance Database'!$N$2:$N$1960,MATCH(1328,Engine!$C$2:$C$1960,0)))</f>
        <v/>
      </c>
      <c r="O1341" s="9">
        <f>IF(ISNA(MATCH(1328,Engine!$C$2:$C$1960,0)),"",INDEX('Compliance Database'!$O$2:$O$1960,MATCH(1328,Engine!$C$2:$C$1960,0)))</f>
        <v/>
      </c>
      <c r="P1341" s="8">
        <f>IF(ISNA(MATCH(1328,Engine!$C$2:$C$1960,0)),"",HYPERLINK("#Acts!A"&amp;INDEX('Compliance Database'!$P$2:$P$1960,MATCH(1328,Engine!$C$2:$C$1960,0)),"Go to Act"))</f>
        <v/>
      </c>
    </row>
    <row r="1342" ht="158" customHeight="1">
      <c r="A1342" s="8">
        <f>IF(ISNA(MATCH(1329,Engine!$C$2:$C$1960,0)),"",INDEX('Compliance Database'!$A$2:$A$1960,MATCH(1329,Engine!$C$2:$C$1960,0)))</f>
        <v/>
      </c>
      <c r="B1342" s="8">
        <f>IF(ISNA(MATCH(1329,Engine!$C$2:$C$1960,0)),"",INDEX('Compliance Database'!$B$2:$B$1960,MATCH(1329,Engine!$C$2:$C$1960,0)))</f>
        <v/>
      </c>
      <c r="C1342" s="8">
        <f>IF(ISNA(MATCH(1329,Engine!$C$2:$C$1960,0)),"",INDEX('Compliance Database'!$C$2:$C$1960,MATCH(1329,Engine!$C$2:$C$1960,0)))</f>
        <v/>
      </c>
      <c r="D1342" s="9">
        <f>IF(ISNA(MATCH(1329,Engine!$C$2:$C$1960,0)),"",INDEX('Compliance Database'!$D$2:$D$1960,MATCH(1329,Engine!$C$2:$C$1960,0)))</f>
        <v/>
      </c>
      <c r="E1342" s="8">
        <f>IF(ISNA(MATCH(1329,Engine!$C$2:$C$1960,0)),"",INDEX('Compliance Database'!$E$2:$E$1960,MATCH(1329,Engine!$C$2:$C$1960,0)))</f>
        <v/>
      </c>
      <c r="F1342" s="8">
        <f>IF(ISNA(MATCH(1329,Engine!$C$2:$C$1960,0)),"",INDEX('Compliance Database'!$F$2:$F$1960,MATCH(1329,Engine!$C$2:$C$1960,0)))</f>
        <v/>
      </c>
      <c r="G1342" s="8">
        <f>IF(ISNA(MATCH(1329,Engine!$C$2:$C$1960,0)),"",INDEX('Compliance Database'!$G$2:$G$1960,MATCH(1329,Engine!$C$2:$C$1960,0)))</f>
        <v/>
      </c>
      <c r="H1342" s="9">
        <f>IF(ISNA(MATCH(1329,Engine!$C$2:$C$1960,0)),"",INDEX('Compliance Database'!$H$2:$H$1960,MATCH(1329,Engine!$C$2:$C$1960,0)))</f>
        <v/>
      </c>
      <c r="I1342" s="9">
        <f>IF(ISNA(MATCH(1329,Engine!$C$2:$C$1960,0)),"",INDEX('Compliance Database'!$I$2:$I$1960,MATCH(1329,Engine!$C$2:$C$1960,0)))</f>
        <v/>
      </c>
      <c r="J1342" s="8">
        <f>IF(ISNA(MATCH(1329,Engine!$C$2:$C$1960,0)),"",INDEX('Compliance Database'!$J$2:$J$1960,MATCH(1329,Engine!$C$2:$C$1960,0)))</f>
        <v/>
      </c>
      <c r="K1342" s="9">
        <f>IF(ISNA(MATCH(1329,Engine!$C$2:$C$1960,0)),"",INDEX('Compliance Database'!$K$2:$K$1960,MATCH(1329,Engine!$C$2:$C$1960,0)))</f>
        <v/>
      </c>
      <c r="L1342" s="9">
        <f>IF(ISNA(MATCH(1329,Engine!$C$2:$C$1960,0)),"",INDEX('Compliance Database'!$L$2:$L$1960,MATCH(1329,Engine!$C$2:$C$1960,0)))</f>
        <v/>
      </c>
      <c r="M1342" s="9">
        <f>IF(ISNA(MATCH(1329,Engine!$C$2:$C$1960,0)),"",INDEX('Compliance Database'!$M$2:$M$1960,MATCH(1329,Engine!$C$2:$C$1960,0)))</f>
        <v/>
      </c>
      <c r="N1342" s="9">
        <f>IF(ISNA(MATCH(1329,Engine!$C$2:$C$1960,0)),"",INDEX('Compliance Database'!$N$2:$N$1960,MATCH(1329,Engine!$C$2:$C$1960,0)))</f>
        <v/>
      </c>
      <c r="O1342" s="9">
        <f>IF(ISNA(MATCH(1329,Engine!$C$2:$C$1960,0)),"",INDEX('Compliance Database'!$O$2:$O$1960,MATCH(1329,Engine!$C$2:$C$1960,0)))</f>
        <v/>
      </c>
      <c r="P1342" s="8">
        <f>IF(ISNA(MATCH(1329,Engine!$C$2:$C$1960,0)),"",HYPERLINK("#Acts!A"&amp;INDEX('Compliance Database'!$P$2:$P$1960,MATCH(1329,Engine!$C$2:$C$1960,0)),"Go to Act"))</f>
        <v/>
      </c>
    </row>
    <row r="1343" ht="158" customHeight="1">
      <c r="A1343" s="8">
        <f>IF(ISNA(MATCH(1330,Engine!$C$2:$C$1960,0)),"",INDEX('Compliance Database'!$A$2:$A$1960,MATCH(1330,Engine!$C$2:$C$1960,0)))</f>
        <v/>
      </c>
      <c r="B1343" s="8">
        <f>IF(ISNA(MATCH(1330,Engine!$C$2:$C$1960,0)),"",INDEX('Compliance Database'!$B$2:$B$1960,MATCH(1330,Engine!$C$2:$C$1960,0)))</f>
        <v/>
      </c>
      <c r="C1343" s="8">
        <f>IF(ISNA(MATCH(1330,Engine!$C$2:$C$1960,0)),"",INDEX('Compliance Database'!$C$2:$C$1960,MATCH(1330,Engine!$C$2:$C$1960,0)))</f>
        <v/>
      </c>
      <c r="D1343" s="9">
        <f>IF(ISNA(MATCH(1330,Engine!$C$2:$C$1960,0)),"",INDEX('Compliance Database'!$D$2:$D$1960,MATCH(1330,Engine!$C$2:$C$1960,0)))</f>
        <v/>
      </c>
      <c r="E1343" s="8">
        <f>IF(ISNA(MATCH(1330,Engine!$C$2:$C$1960,0)),"",INDEX('Compliance Database'!$E$2:$E$1960,MATCH(1330,Engine!$C$2:$C$1960,0)))</f>
        <v/>
      </c>
      <c r="F1343" s="8">
        <f>IF(ISNA(MATCH(1330,Engine!$C$2:$C$1960,0)),"",INDEX('Compliance Database'!$F$2:$F$1960,MATCH(1330,Engine!$C$2:$C$1960,0)))</f>
        <v/>
      </c>
      <c r="G1343" s="8">
        <f>IF(ISNA(MATCH(1330,Engine!$C$2:$C$1960,0)),"",INDEX('Compliance Database'!$G$2:$G$1960,MATCH(1330,Engine!$C$2:$C$1960,0)))</f>
        <v/>
      </c>
      <c r="H1343" s="9">
        <f>IF(ISNA(MATCH(1330,Engine!$C$2:$C$1960,0)),"",INDEX('Compliance Database'!$H$2:$H$1960,MATCH(1330,Engine!$C$2:$C$1960,0)))</f>
        <v/>
      </c>
      <c r="I1343" s="9">
        <f>IF(ISNA(MATCH(1330,Engine!$C$2:$C$1960,0)),"",INDEX('Compliance Database'!$I$2:$I$1960,MATCH(1330,Engine!$C$2:$C$1960,0)))</f>
        <v/>
      </c>
      <c r="J1343" s="8">
        <f>IF(ISNA(MATCH(1330,Engine!$C$2:$C$1960,0)),"",INDEX('Compliance Database'!$J$2:$J$1960,MATCH(1330,Engine!$C$2:$C$1960,0)))</f>
        <v/>
      </c>
      <c r="K1343" s="9">
        <f>IF(ISNA(MATCH(1330,Engine!$C$2:$C$1960,0)),"",INDEX('Compliance Database'!$K$2:$K$1960,MATCH(1330,Engine!$C$2:$C$1960,0)))</f>
        <v/>
      </c>
      <c r="L1343" s="9">
        <f>IF(ISNA(MATCH(1330,Engine!$C$2:$C$1960,0)),"",INDEX('Compliance Database'!$L$2:$L$1960,MATCH(1330,Engine!$C$2:$C$1960,0)))</f>
        <v/>
      </c>
      <c r="M1343" s="9">
        <f>IF(ISNA(MATCH(1330,Engine!$C$2:$C$1960,0)),"",INDEX('Compliance Database'!$M$2:$M$1960,MATCH(1330,Engine!$C$2:$C$1960,0)))</f>
        <v/>
      </c>
      <c r="N1343" s="9">
        <f>IF(ISNA(MATCH(1330,Engine!$C$2:$C$1960,0)),"",INDEX('Compliance Database'!$N$2:$N$1960,MATCH(1330,Engine!$C$2:$C$1960,0)))</f>
        <v/>
      </c>
      <c r="O1343" s="9">
        <f>IF(ISNA(MATCH(1330,Engine!$C$2:$C$1960,0)),"",INDEX('Compliance Database'!$O$2:$O$1960,MATCH(1330,Engine!$C$2:$C$1960,0)))</f>
        <v/>
      </c>
      <c r="P1343" s="8">
        <f>IF(ISNA(MATCH(1330,Engine!$C$2:$C$1960,0)),"",HYPERLINK("#Acts!A"&amp;INDEX('Compliance Database'!$P$2:$P$1960,MATCH(1330,Engine!$C$2:$C$1960,0)),"Go to Act"))</f>
        <v/>
      </c>
    </row>
    <row r="1344" ht="158" customHeight="1">
      <c r="A1344" s="8">
        <f>IF(ISNA(MATCH(1331,Engine!$C$2:$C$1960,0)),"",INDEX('Compliance Database'!$A$2:$A$1960,MATCH(1331,Engine!$C$2:$C$1960,0)))</f>
        <v/>
      </c>
      <c r="B1344" s="8">
        <f>IF(ISNA(MATCH(1331,Engine!$C$2:$C$1960,0)),"",INDEX('Compliance Database'!$B$2:$B$1960,MATCH(1331,Engine!$C$2:$C$1960,0)))</f>
        <v/>
      </c>
      <c r="C1344" s="8">
        <f>IF(ISNA(MATCH(1331,Engine!$C$2:$C$1960,0)),"",INDEX('Compliance Database'!$C$2:$C$1960,MATCH(1331,Engine!$C$2:$C$1960,0)))</f>
        <v/>
      </c>
      <c r="D1344" s="9">
        <f>IF(ISNA(MATCH(1331,Engine!$C$2:$C$1960,0)),"",INDEX('Compliance Database'!$D$2:$D$1960,MATCH(1331,Engine!$C$2:$C$1960,0)))</f>
        <v/>
      </c>
      <c r="E1344" s="8">
        <f>IF(ISNA(MATCH(1331,Engine!$C$2:$C$1960,0)),"",INDEX('Compliance Database'!$E$2:$E$1960,MATCH(1331,Engine!$C$2:$C$1960,0)))</f>
        <v/>
      </c>
      <c r="F1344" s="8">
        <f>IF(ISNA(MATCH(1331,Engine!$C$2:$C$1960,0)),"",INDEX('Compliance Database'!$F$2:$F$1960,MATCH(1331,Engine!$C$2:$C$1960,0)))</f>
        <v/>
      </c>
      <c r="G1344" s="8">
        <f>IF(ISNA(MATCH(1331,Engine!$C$2:$C$1960,0)),"",INDEX('Compliance Database'!$G$2:$G$1960,MATCH(1331,Engine!$C$2:$C$1960,0)))</f>
        <v/>
      </c>
      <c r="H1344" s="9">
        <f>IF(ISNA(MATCH(1331,Engine!$C$2:$C$1960,0)),"",INDEX('Compliance Database'!$H$2:$H$1960,MATCH(1331,Engine!$C$2:$C$1960,0)))</f>
        <v/>
      </c>
      <c r="I1344" s="9">
        <f>IF(ISNA(MATCH(1331,Engine!$C$2:$C$1960,0)),"",INDEX('Compliance Database'!$I$2:$I$1960,MATCH(1331,Engine!$C$2:$C$1960,0)))</f>
        <v/>
      </c>
      <c r="J1344" s="8">
        <f>IF(ISNA(MATCH(1331,Engine!$C$2:$C$1960,0)),"",INDEX('Compliance Database'!$J$2:$J$1960,MATCH(1331,Engine!$C$2:$C$1960,0)))</f>
        <v/>
      </c>
      <c r="K1344" s="9">
        <f>IF(ISNA(MATCH(1331,Engine!$C$2:$C$1960,0)),"",INDEX('Compliance Database'!$K$2:$K$1960,MATCH(1331,Engine!$C$2:$C$1960,0)))</f>
        <v/>
      </c>
      <c r="L1344" s="9">
        <f>IF(ISNA(MATCH(1331,Engine!$C$2:$C$1960,0)),"",INDEX('Compliance Database'!$L$2:$L$1960,MATCH(1331,Engine!$C$2:$C$1960,0)))</f>
        <v/>
      </c>
      <c r="M1344" s="9">
        <f>IF(ISNA(MATCH(1331,Engine!$C$2:$C$1960,0)),"",INDEX('Compliance Database'!$M$2:$M$1960,MATCH(1331,Engine!$C$2:$C$1960,0)))</f>
        <v/>
      </c>
      <c r="N1344" s="9">
        <f>IF(ISNA(MATCH(1331,Engine!$C$2:$C$1960,0)),"",INDEX('Compliance Database'!$N$2:$N$1960,MATCH(1331,Engine!$C$2:$C$1960,0)))</f>
        <v/>
      </c>
      <c r="O1344" s="9">
        <f>IF(ISNA(MATCH(1331,Engine!$C$2:$C$1960,0)),"",INDEX('Compliance Database'!$O$2:$O$1960,MATCH(1331,Engine!$C$2:$C$1960,0)))</f>
        <v/>
      </c>
      <c r="P1344" s="8">
        <f>IF(ISNA(MATCH(1331,Engine!$C$2:$C$1960,0)),"",HYPERLINK("#Acts!A"&amp;INDEX('Compliance Database'!$P$2:$P$1960,MATCH(1331,Engine!$C$2:$C$1960,0)),"Go to Act"))</f>
        <v/>
      </c>
    </row>
    <row r="1345" ht="158" customHeight="1">
      <c r="A1345" s="8">
        <f>IF(ISNA(MATCH(1332,Engine!$C$2:$C$1960,0)),"",INDEX('Compliance Database'!$A$2:$A$1960,MATCH(1332,Engine!$C$2:$C$1960,0)))</f>
        <v/>
      </c>
      <c r="B1345" s="8">
        <f>IF(ISNA(MATCH(1332,Engine!$C$2:$C$1960,0)),"",INDEX('Compliance Database'!$B$2:$B$1960,MATCH(1332,Engine!$C$2:$C$1960,0)))</f>
        <v/>
      </c>
      <c r="C1345" s="8">
        <f>IF(ISNA(MATCH(1332,Engine!$C$2:$C$1960,0)),"",INDEX('Compliance Database'!$C$2:$C$1960,MATCH(1332,Engine!$C$2:$C$1960,0)))</f>
        <v/>
      </c>
      <c r="D1345" s="9">
        <f>IF(ISNA(MATCH(1332,Engine!$C$2:$C$1960,0)),"",INDEX('Compliance Database'!$D$2:$D$1960,MATCH(1332,Engine!$C$2:$C$1960,0)))</f>
        <v/>
      </c>
      <c r="E1345" s="8">
        <f>IF(ISNA(MATCH(1332,Engine!$C$2:$C$1960,0)),"",INDEX('Compliance Database'!$E$2:$E$1960,MATCH(1332,Engine!$C$2:$C$1960,0)))</f>
        <v/>
      </c>
      <c r="F1345" s="8">
        <f>IF(ISNA(MATCH(1332,Engine!$C$2:$C$1960,0)),"",INDEX('Compliance Database'!$F$2:$F$1960,MATCH(1332,Engine!$C$2:$C$1960,0)))</f>
        <v/>
      </c>
      <c r="G1345" s="8">
        <f>IF(ISNA(MATCH(1332,Engine!$C$2:$C$1960,0)),"",INDEX('Compliance Database'!$G$2:$G$1960,MATCH(1332,Engine!$C$2:$C$1960,0)))</f>
        <v/>
      </c>
      <c r="H1345" s="9">
        <f>IF(ISNA(MATCH(1332,Engine!$C$2:$C$1960,0)),"",INDEX('Compliance Database'!$H$2:$H$1960,MATCH(1332,Engine!$C$2:$C$1960,0)))</f>
        <v/>
      </c>
      <c r="I1345" s="9">
        <f>IF(ISNA(MATCH(1332,Engine!$C$2:$C$1960,0)),"",INDEX('Compliance Database'!$I$2:$I$1960,MATCH(1332,Engine!$C$2:$C$1960,0)))</f>
        <v/>
      </c>
      <c r="J1345" s="8">
        <f>IF(ISNA(MATCH(1332,Engine!$C$2:$C$1960,0)),"",INDEX('Compliance Database'!$J$2:$J$1960,MATCH(1332,Engine!$C$2:$C$1960,0)))</f>
        <v/>
      </c>
      <c r="K1345" s="9">
        <f>IF(ISNA(MATCH(1332,Engine!$C$2:$C$1960,0)),"",INDEX('Compliance Database'!$K$2:$K$1960,MATCH(1332,Engine!$C$2:$C$1960,0)))</f>
        <v/>
      </c>
      <c r="L1345" s="9">
        <f>IF(ISNA(MATCH(1332,Engine!$C$2:$C$1960,0)),"",INDEX('Compliance Database'!$L$2:$L$1960,MATCH(1332,Engine!$C$2:$C$1960,0)))</f>
        <v/>
      </c>
      <c r="M1345" s="9">
        <f>IF(ISNA(MATCH(1332,Engine!$C$2:$C$1960,0)),"",INDEX('Compliance Database'!$M$2:$M$1960,MATCH(1332,Engine!$C$2:$C$1960,0)))</f>
        <v/>
      </c>
      <c r="N1345" s="9">
        <f>IF(ISNA(MATCH(1332,Engine!$C$2:$C$1960,0)),"",INDEX('Compliance Database'!$N$2:$N$1960,MATCH(1332,Engine!$C$2:$C$1960,0)))</f>
        <v/>
      </c>
      <c r="O1345" s="9">
        <f>IF(ISNA(MATCH(1332,Engine!$C$2:$C$1960,0)),"",INDEX('Compliance Database'!$O$2:$O$1960,MATCH(1332,Engine!$C$2:$C$1960,0)))</f>
        <v/>
      </c>
      <c r="P1345" s="8">
        <f>IF(ISNA(MATCH(1332,Engine!$C$2:$C$1960,0)),"",HYPERLINK("#Acts!A"&amp;INDEX('Compliance Database'!$P$2:$P$1960,MATCH(1332,Engine!$C$2:$C$1960,0)),"Go to Act"))</f>
        <v/>
      </c>
    </row>
    <row r="1346" ht="158" customHeight="1">
      <c r="A1346" s="8">
        <f>IF(ISNA(MATCH(1333,Engine!$C$2:$C$1960,0)),"",INDEX('Compliance Database'!$A$2:$A$1960,MATCH(1333,Engine!$C$2:$C$1960,0)))</f>
        <v/>
      </c>
      <c r="B1346" s="8">
        <f>IF(ISNA(MATCH(1333,Engine!$C$2:$C$1960,0)),"",INDEX('Compliance Database'!$B$2:$B$1960,MATCH(1333,Engine!$C$2:$C$1960,0)))</f>
        <v/>
      </c>
      <c r="C1346" s="8">
        <f>IF(ISNA(MATCH(1333,Engine!$C$2:$C$1960,0)),"",INDEX('Compliance Database'!$C$2:$C$1960,MATCH(1333,Engine!$C$2:$C$1960,0)))</f>
        <v/>
      </c>
      <c r="D1346" s="9">
        <f>IF(ISNA(MATCH(1333,Engine!$C$2:$C$1960,0)),"",INDEX('Compliance Database'!$D$2:$D$1960,MATCH(1333,Engine!$C$2:$C$1960,0)))</f>
        <v/>
      </c>
      <c r="E1346" s="8">
        <f>IF(ISNA(MATCH(1333,Engine!$C$2:$C$1960,0)),"",INDEX('Compliance Database'!$E$2:$E$1960,MATCH(1333,Engine!$C$2:$C$1960,0)))</f>
        <v/>
      </c>
      <c r="F1346" s="8">
        <f>IF(ISNA(MATCH(1333,Engine!$C$2:$C$1960,0)),"",INDEX('Compliance Database'!$F$2:$F$1960,MATCH(1333,Engine!$C$2:$C$1960,0)))</f>
        <v/>
      </c>
      <c r="G1346" s="8">
        <f>IF(ISNA(MATCH(1333,Engine!$C$2:$C$1960,0)),"",INDEX('Compliance Database'!$G$2:$G$1960,MATCH(1333,Engine!$C$2:$C$1960,0)))</f>
        <v/>
      </c>
      <c r="H1346" s="9">
        <f>IF(ISNA(MATCH(1333,Engine!$C$2:$C$1960,0)),"",INDEX('Compliance Database'!$H$2:$H$1960,MATCH(1333,Engine!$C$2:$C$1960,0)))</f>
        <v/>
      </c>
      <c r="I1346" s="9">
        <f>IF(ISNA(MATCH(1333,Engine!$C$2:$C$1960,0)),"",INDEX('Compliance Database'!$I$2:$I$1960,MATCH(1333,Engine!$C$2:$C$1960,0)))</f>
        <v/>
      </c>
      <c r="J1346" s="8">
        <f>IF(ISNA(MATCH(1333,Engine!$C$2:$C$1960,0)),"",INDEX('Compliance Database'!$J$2:$J$1960,MATCH(1333,Engine!$C$2:$C$1960,0)))</f>
        <v/>
      </c>
      <c r="K1346" s="9">
        <f>IF(ISNA(MATCH(1333,Engine!$C$2:$C$1960,0)),"",INDEX('Compliance Database'!$K$2:$K$1960,MATCH(1333,Engine!$C$2:$C$1960,0)))</f>
        <v/>
      </c>
      <c r="L1346" s="9">
        <f>IF(ISNA(MATCH(1333,Engine!$C$2:$C$1960,0)),"",INDEX('Compliance Database'!$L$2:$L$1960,MATCH(1333,Engine!$C$2:$C$1960,0)))</f>
        <v/>
      </c>
      <c r="M1346" s="9">
        <f>IF(ISNA(MATCH(1333,Engine!$C$2:$C$1960,0)),"",INDEX('Compliance Database'!$M$2:$M$1960,MATCH(1333,Engine!$C$2:$C$1960,0)))</f>
        <v/>
      </c>
      <c r="N1346" s="9">
        <f>IF(ISNA(MATCH(1333,Engine!$C$2:$C$1960,0)),"",INDEX('Compliance Database'!$N$2:$N$1960,MATCH(1333,Engine!$C$2:$C$1960,0)))</f>
        <v/>
      </c>
      <c r="O1346" s="9">
        <f>IF(ISNA(MATCH(1333,Engine!$C$2:$C$1960,0)),"",INDEX('Compliance Database'!$O$2:$O$1960,MATCH(1333,Engine!$C$2:$C$1960,0)))</f>
        <v/>
      </c>
      <c r="P1346" s="8">
        <f>IF(ISNA(MATCH(1333,Engine!$C$2:$C$1960,0)),"",HYPERLINK("#Acts!A"&amp;INDEX('Compliance Database'!$P$2:$P$1960,MATCH(1333,Engine!$C$2:$C$1960,0)),"Go to Act"))</f>
        <v/>
      </c>
    </row>
    <row r="1347" ht="158" customHeight="1">
      <c r="A1347" s="8">
        <f>IF(ISNA(MATCH(1334,Engine!$C$2:$C$1960,0)),"",INDEX('Compliance Database'!$A$2:$A$1960,MATCH(1334,Engine!$C$2:$C$1960,0)))</f>
        <v/>
      </c>
      <c r="B1347" s="8">
        <f>IF(ISNA(MATCH(1334,Engine!$C$2:$C$1960,0)),"",INDEX('Compliance Database'!$B$2:$B$1960,MATCH(1334,Engine!$C$2:$C$1960,0)))</f>
        <v/>
      </c>
      <c r="C1347" s="8">
        <f>IF(ISNA(MATCH(1334,Engine!$C$2:$C$1960,0)),"",INDEX('Compliance Database'!$C$2:$C$1960,MATCH(1334,Engine!$C$2:$C$1960,0)))</f>
        <v/>
      </c>
      <c r="D1347" s="9">
        <f>IF(ISNA(MATCH(1334,Engine!$C$2:$C$1960,0)),"",INDEX('Compliance Database'!$D$2:$D$1960,MATCH(1334,Engine!$C$2:$C$1960,0)))</f>
        <v/>
      </c>
      <c r="E1347" s="8">
        <f>IF(ISNA(MATCH(1334,Engine!$C$2:$C$1960,0)),"",INDEX('Compliance Database'!$E$2:$E$1960,MATCH(1334,Engine!$C$2:$C$1960,0)))</f>
        <v/>
      </c>
      <c r="F1347" s="8">
        <f>IF(ISNA(MATCH(1334,Engine!$C$2:$C$1960,0)),"",INDEX('Compliance Database'!$F$2:$F$1960,MATCH(1334,Engine!$C$2:$C$1960,0)))</f>
        <v/>
      </c>
      <c r="G1347" s="8">
        <f>IF(ISNA(MATCH(1334,Engine!$C$2:$C$1960,0)),"",INDEX('Compliance Database'!$G$2:$G$1960,MATCH(1334,Engine!$C$2:$C$1960,0)))</f>
        <v/>
      </c>
      <c r="H1347" s="9">
        <f>IF(ISNA(MATCH(1334,Engine!$C$2:$C$1960,0)),"",INDEX('Compliance Database'!$H$2:$H$1960,MATCH(1334,Engine!$C$2:$C$1960,0)))</f>
        <v/>
      </c>
      <c r="I1347" s="9">
        <f>IF(ISNA(MATCH(1334,Engine!$C$2:$C$1960,0)),"",INDEX('Compliance Database'!$I$2:$I$1960,MATCH(1334,Engine!$C$2:$C$1960,0)))</f>
        <v/>
      </c>
      <c r="J1347" s="8">
        <f>IF(ISNA(MATCH(1334,Engine!$C$2:$C$1960,0)),"",INDEX('Compliance Database'!$J$2:$J$1960,MATCH(1334,Engine!$C$2:$C$1960,0)))</f>
        <v/>
      </c>
      <c r="K1347" s="9">
        <f>IF(ISNA(MATCH(1334,Engine!$C$2:$C$1960,0)),"",INDEX('Compliance Database'!$K$2:$K$1960,MATCH(1334,Engine!$C$2:$C$1960,0)))</f>
        <v/>
      </c>
      <c r="L1347" s="9">
        <f>IF(ISNA(MATCH(1334,Engine!$C$2:$C$1960,0)),"",INDEX('Compliance Database'!$L$2:$L$1960,MATCH(1334,Engine!$C$2:$C$1960,0)))</f>
        <v/>
      </c>
      <c r="M1347" s="9">
        <f>IF(ISNA(MATCH(1334,Engine!$C$2:$C$1960,0)),"",INDEX('Compliance Database'!$M$2:$M$1960,MATCH(1334,Engine!$C$2:$C$1960,0)))</f>
        <v/>
      </c>
      <c r="N1347" s="9">
        <f>IF(ISNA(MATCH(1334,Engine!$C$2:$C$1960,0)),"",INDEX('Compliance Database'!$N$2:$N$1960,MATCH(1334,Engine!$C$2:$C$1960,0)))</f>
        <v/>
      </c>
      <c r="O1347" s="9">
        <f>IF(ISNA(MATCH(1334,Engine!$C$2:$C$1960,0)),"",INDEX('Compliance Database'!$O$2:$O$1960,MATCH(1334,Engine!$C$2:$C$1960,0)))</f>
        <v/>
      </c>
      <c r="P1347" s="8">
        <f>IF(ISNA(MATCH(1334,Engine!$C$2:$C$1960,0)),"",HYPERLINK("#Acts!A"&amp;INDEX('Compliance Database'!$P$2:$P$1960,MATCH(1334,Engine!$C$2:$C$1960,0)),"Go to Act"))</f>
        <v/>
      </c>
    </row>
    <row r="1348" ht="158" customHeight="1">
      <c r="A1348" s="8">
        <f>IF(ISNA(MATCH(1335,Engine!$C$2:$C$1960,0)),"",INDEX('Compliance Database'!$A$2:$A$1960,MATCH(1335,Engine!$C$2:$C$1960,0)))</f>
        <v/>
      </c>
      <c r="B1348" s="8">
        <f>IF(ISNA(MATCH(1335,Engine!$C$2:$C$1960,0)),"",INDEX('Compliance Database'!$B$2:$B$1960,MATCH(1335,Engine!$C$2:$C$1960,0)))</f>
        <v/>
      </c>
      <c r="C1348" s="8">
        <f>IF(ISNA(MATCH(1335,Engine!$C$2:$C$1960,0)),"",INDEX('Compliance Database'!$C$2:$C$1960,MATCH(1335,Engine!$C$2:$C$1960,0)))</f>
        <v/>
      </c>
      <c r="D1348" s="9">
        <f>IF(ISNA(MATCH(1335,Engine!$C$2:$C$1960,0)),"",INDEX('Compliance Database'!$D$2:$D$1960,MATCH(1335,Engine!$C$2:$C$1960,0)))</f>
        <v/>
      </c>
      <c r="E1348" s="8">
        <f>IF(ISNA(MATCH(1335,Engine!$C$2:$C$1960,0)),"",INDEX('Compliance Database'!$E$2:$E$1960,MATCH(1335,Engine!$C$2:$C$1960,0)))</f>
        <v/>
      </c>
      <c r="F1348" s="8">
        <f>IF(ISNA(MATCH(1335,Engine!$C$2:$C$1960,0)),"",INDEX('Compliance Database'!$F$2:$F$1960,MATCH(1335,Engine!$C$2:$C$1960,0)))</f>
        <v/>
      </c>
      <c r="G1348" s="8">
        <f>IF(ISNA(MATCH(1335,Engine!$C$2:$C$1960,0)),"",INDEX('Compliance Database'!$G$2:$G$1960,MATCH(1335,Engine!$C$2:$C$1960,0)))</f>
        <v/>
      </c>
      <c r="H1348" s="9">
        <f>IF(ISNA(MATCH(1335,Engine!$C$2:$C$1960,0)),"",INDEX('Compliance Database'!$H$2:$H$1960,MATCH(1335,Engine!$C$2:$C$1960,0)))</f>
        <v/>
      </c>
      <c r="I1348" s="9">
        <f>IF(ISNA(MATCH(1335,Engine!$C$2:$C$1960,0)),"",INDEX('Compliance Database'!$I$2:$I$1960,MATCH(1335,Engine!$C$2:$C$1960,0)))</f>
        <v/>
      </c>
      <c r="J1348" s="8">
        <f>IF(ISNA(MATCH(1335,Engine!$C$2:$C$1960,0)),"",INDEX('Compliance Database'!$J$2:$J$1960,MATCH(1335,Engine!$C$2:$C$1960,0)))</f>
        <v/>
      </c>
      <c r="K1348" s="9">
        <f>IF(ISNA(MATCH(1335,Engine!$C$2:$C$1960,0)),"",INDEX('Compliance Database'!$K$2:$K$1960,MATCH(1335,Engine!$C$2:$C$1960,0)))</f>
        <v/>
      </c>
      <c r="L1348" s="9">
        <f>IF(ISNA(MATCH(1335,Engine!$C$2:$C$1960,0)),"",INDEX('Compliance Database'!$L$2:$L$1960,MATCH(1335,Engine!$C$2:$C$1960,0)))</f>
        <v/>
      </c>
      <c r="M1348" s="9">
        <f>IF(ISNA(MATCH(1335,Engine!$C$2:$C$1960,0)),"",INDEX('Compliance Database'!$M$2:$M$1960,MATCH(1335,Engine!$C$2:$C$1960,0)))</f>
        <v/>
      </c>
      <c r="N1348" s="9">
        <f>IF(ISNA(MATCH(1335,Engine!$C$2:$C$1960,0)),"",INDEX('Compliance Database'!$N$2:$N$1960,MATCH(1335,Engine!$C$2:$C$1960,0)))</f>
        <v/>
      </c>
      <c r="O1348" s="9">
        <f>IF(ISNA(MATCH(1335,Engine!$C$2:$C$1960,0)),"",INDEX('Compliance Database'!$O$2:$O$1960,MATCH(1335,Engine!$C$2:$C$1960,0)))</f>
        <v/>
      </c>
      <c r="P1348" s="8">
        <f>IF(ISNA(MATCH(1335,Engine!$C$2:$C$1960,0)),"",HYPERLINK("#Acts!A"&amp;INDEX('Compliance Database'!$P$2:$P$1960,MATCH(1335,Engine!$C$2:$C$1960,0)),"Go to Act"))</f>
        <v/>
      </c>
    </row>
    <row r="1349" ht="158" customHeight="1">
      <c r="A1349" s="8">
        <f>IF(ISNA(MATCH(1336,Engine!$C$2:$C$1960,0)),"",INDEX('Compliance Database'!$A$2:$A$1960,MATCH(1336,Engine!$C$2:$C$1960,0)))</f>
        <v/>
      </c>
      <c r="B1349" s="8">
        <f>IF(ISNA(MATCH(1336,Engine!$C$2:$C$1960,0)),"",INDEX('Compliance Database'!$B$2:$B$1960,MATCH(1336,Engine!$C$2:$C$1960,0)))</f>
        <v/>
      </c>
      <c r="C1349" s="8">
        <f>IF(ISNA(MATCH(1336,Engine!$C$2:$C$1960,0)),"",INDEX('Compliance Database'!$C$2:$C$1960,MATCH(1336,Engine!$C$2:$C$1960,0)))</f>
        <v/>
      </c>
      <c r="D1349" s="9">
        <f>IF(ISNA(MATCH(1336,Engine!$C$2:$C$1960,0)),"",INDEX('Compliance Database'!$D$2:$D$1960,MATCH(1336,Engine!$C$2:$C$1960,0)))</f>
        <v/>
      </c>
      <c r="E1349" s="8">
        <f>IF(ISNA(MATCH(1336,Engine!$C$2:$C$1960,0)),"",INDEX('Compliance Database'!$E$2:$E$1960,MATCH(1336,Engine!$C$2:$C$1960,0)))</f>
        <v/>
      </c>
      <c r="F1349" s="8">
        <f>IF(ISNA(MATCH(1336,Engine!$C$2:$C$1960,0)),"",INDEX('Compliance Database'!$F$2:$F$1960,MATCH(1336,Engine!$C$2:$C$1960,0)))</f>
        <v/>
      </c>
      <c r="G1349" s="8">
        <f>IF(ISNA(MATCH(1336,Engine!$C$2:$C$1960,0)),"",INDEX('Compliance Database'!$G$2:$G$1960,MATCH(1336,Engine!$C$2:$C$1960,0)))</f>
        <v/>
      </c>
      <c r="H1349" s="9">
        <f>IF(ISNA(MATCH(1336,Engine!$C$2:$C$1960,0)),"",INDEX('Compliance Database'!$H$2:$H$1960,MATCH(1336,Engine!$C$2:$C$1960,0)))</f>
        <v/>
      </c>
      <c r="I1349" s="9">
        <f>IF(ISNA(MATCH(1336,Engine!$C$2:$C$1960,0)),"",INDEX('Compliance Database'!$I$2:$I$1960,MATCH(1336,Engine!$C$2:$C$1960,0)))</f>
        <v/>
      </c>
      <c r="J1349" s="8">
        <f>IF(ISNA(MATCH(1336,Engine!$C$2:$C$1960,0)),"",INDEX('Compliance Database'!$J$2:$J$1960,MATCH(1336,Engine!$C$2:$C$1960,0)))</f>
        <v/>
      </c>
      <c r="K1349" s="9">
        <f>IF(ISNA(MATCH(1336,Engine!$C$2:$C$1960,0)),"",INDEX('Compliance Database'!$K$2:$K$1960,MATCH(1336,Engine!$C$2:$C$1960,0)))</f>
        <v/>
      </c>
      <c r="L1349" s="9">
        <f>IF(ISNA(MATCH(1336,Engine!$C$2:$C$1960,0)),"",INDEX('Compliance Database'!$L$2:$L$1960,MATCH(1336,Engine!$C$2:$C$1960,0)))</f>
        <v/>
      </c>
      <c r="M1349" s="9">
        <f>IF(ISNA(MATCH(1336,Engine!$C$2:$C$1960,0)),"",INDEX('Compliance Database'!$M$2:$M$1960,MATCH(1336,Engine!$C$2:$C$1960,0)))</f>
        <v/>
      </c>
      <c r="N1349" s="9">
        <f>IF(ISNA(MATCH(1336,Engine!$C$2:$C$1960,0)),"",INDEX('Compliance Database'!$N$2:$N$1960,MATCH(1336,Engine!$C$2:$C$1960,0)))</f>
        <v/>
      </c>
      <c r="O1349" s="9">
        <f>IF(ISNA(MATCH(1336,Engine!$C$2:$C$1960,0)),"",INDEX('Compliance Database'!$O$2:$O$1960,MATCH(1336,Engine!$C$2:$C$1960,0)))</f>
        <v/>
      </c>
      <c r="P1349" s="8">
        <f>IF(ISNA(MATCH(1336,Engine!$C$2:$C$1960,0)),"",HYPERLINK("#Acts!A"&amp;INDEX('Compliance Database'!$P$2:$P$1960,MATCH(1336,Engine!$C$2:$C$1960,0)),"Go to Act"))</f>
        <v/>
      </c>
    </row>
    <row r="1350" ht="158" customHeight="1">
      <c r="A1350" s="8">
        <f>IF(ISNA(MATCH(1337,Engine!$C$2:$C$1960,0)),"",INDEX('Compliance Database'!$A$2:$A$1960,MATCH(1337,Engine!$C$2:$C$1960,0)))</f>
        <v/>
      </c>
      <c r="B1350" s="8">
        <f>IF(ISNA(MATCH(1337,Engine!$C$2:$C$1960,0)),"",INDEX('Compliance Database'!$B$2:$B$1960,MATCH(1337,Engine!$C$2:$C$1960,0)))</f>
        <v/>
      </c>
      <c r="C1350" s="8">
        <f>IF(ISNA(MATCH(1337,Engine!$C$2:$C$1960,0)),"",INDEX('Compliance Database'!$C$2:$C$1960,MATCH(1337,Engine!$C$2:$C$1960,0)))</f>
        <v/>
      </c>
      <c r="D1350" s="9">
        <f>IF(ISNA(MATCH(1337,Engine!$C$2:$C$1960,0)),"",INDEX('Compliance Database'!$D$2:$D$1960,MATCH(1337,Engine!$C$2:$C$1960,0)))</f>
        <v/>
      </c>
      <c r="E1350" s="8">
        <f>IF(ISNA(MATCH(1337,Engine!$C$2:$C$1960,0)),"",INDEX('Compliance Database'!$E$2:$E$1960,MATCH(1337,Engine!$C$2:$C$1960,0)))</f>
        <v/>
      </c>
      <c r="F1350" s="8">
        <f>IF(ISNA(MATCH(1337,Engine!$C$2:$C$1960,0)),"",INDEX('Compliance Database'!$F$2:$F$1960,MATCH(1337,Engine!$C$2:$C$1960,0)))</f>
        <v/>
      </c>
      <c r="G1350" s="8">
        <f>IF(ISNA(MATCH(1337,Engine!$C$2:$C$1960,0)),"",INDEX('Compliance Database'!$G$2:$G$1960,MATCH(1337,Engine!$C$2:$C$1960,0)))</f>
        <v/>
      </c>
      <c r="H1350" s="9">
        <f>IF(ISNA(MATCH(1337,Engine!$C$2:$C$1960,0)),"",INDEX('Compliance Database'!$H$2:$H$1960,MATCH(1337,Engine!$C$2:$C$1960,0)))</f>
        <v/>
      </c>
      <c r="I1350" s="9">
        <f>IF(ISNA(MATCH(1337,Engine!$C$2:$C$1960,0)),"",INDEX('Compliance Database'!$I$2:$I$1960,MATCH(1337,Engine!$C$2:$C$1960,0)))</f>
        <v/>
      </c>
      <c r="J1350" s="8">
        <f>IF(ISNA(MATCH(1337,Engine!$C$2:$C$1960,0)),"",INDEX('Compliance Database'!$J$2:$J$1960,MATCH(1337,Engine!$C$2:$C$1960,0)))</f>
        <v/>
      </c>
      <c r="K1350" s="9">
        <f>IF(ISNA(MATCH(1337,Engine!$C$2:$C$1960,0)),"",INDEX('Compliance Database'!$K$2:$K$1960,MATCH(1337,Engine!$C$2:$C$1960,0)))</f>
        <v/>
      </c>
      <c r="L1350" s="9">
        <f>IF(ISNA(MATCH(1337,Engine!$C$2:$C$1960,0)),"",INDEX('Compliance Database'!$L$2:$L$1960,MATCH(1337,Engine!$C$2:$C$1960,0)))</f>
        <v/>
      </c>
      <c r="M1350" s="9">
        <f>IF(ISNA(MATCH(1337,Engine!$C$2:$C$1960,0)),"",INDEX('Compliance Database'!$M$2:$M$1960,MATCH(1337,Engine!$C$2:$C$1960,0)))</f>
        <v/>
      </c>
      <c r="N1350" s="9">
        <f>IF(ISNA(MATCH(1337,Engine!$C$2:$C$1960,0)),"",INDEX('Compliance Database'!$N$2:$N$1960,MATCH(1337,Engine!$C$2:$C$1960,0)))</f>
        <v/>
      </c>
      <c r="O1350" s="9">
        <f>IF(ISNA(MATCH(1337,Engine!$C$2:$C$1960,0)),"",INDEX('Compliance Database'!$O$2:$O$1960,MATCH(1337,Engine!$C$2:$C$1960,0)))</f>
        <v/>
      </c>
      <c r="P1350" s="8">
        <f>IF(ISNA(MATCH(1337,Engine!$C$2:$C$1960,0)),"",HYPERLINK("#Acts!A"&amp;INDEX('Compliance Database'!$P$2:$P$1960,MATCH(1337,Engine!$C$2:$C$1960,0)),"Go to Act"))</f>
        <v/>
      </c>
    </row>
    <row r="1351" ht="158" customHeight="1">
      <c r="A1351" s="8">
        <f>IF(ISNA(MATCH(1338,Engine!$C$2:$C$1960,0)),"",INDEX('Compliance Database'!$A$2:$A$1960,MATCH(1338,Engine!$C$2:$C$1960,0)))</f>
        <v/>
      </c>
      <c r="B1351" s="8">
        <f>IF(ISNA(MATCH(1338,Engine!$C$2:$C$1960,0)),"",INDEX('Compliance Database'!$B$2:$B$1960,MATCH(1338,Engine!$C$2:$C$1960,0)))</f>
        <v/>
      </c>
      <c r="C1351" s="8">
        <f>IF(ISNA(MATCH(1338,Engine!$C$2:$C$1960,0)),"",INDEX('Compliance Database'!$C$2:$C$1960,MATCH(1338,Engine!$C$2:$C$1960,0)))</f>
        <v/>
      </c>
      <c r="D1351" s="9">
        <f>IF(ISNA(MATCH(1338,Engine!$C$2:$C$1960,0)),"",INDEX('Compliance Database'!$D$2:$D$1960,MATCH(1338,Engine!$C$2:$C$1960,0)))</f>
        <v/>
      </c>
      <c r="E1351" s="8">
        <f>IF(ISNA(MATCH(1338,Engine!$C$2:$C$1960,0)),"",INDEX('Compliance Database'!$E$2:$E$1960,MATCH(1338,Engine!$C$2:$C$1960,0)))</f>
        <v/>
      </c>
      <c r="F1351" s="8">
        <f>IF(ISNA(MATCH(1338,Engine!$C$2:$C$1960,0)),"",INDEX('Compliance Database'!$F$2:$F$1960,MATCH(1338,Engine!$C$2:$C$1960,0)))</f>
        <v/>
      </c>
      <c r="G1351" s="8">
        <f>IF(ISNA(MATCH(1338,Engine!$C$2:$C$1960,0)),"",INDEX('Compliance Database'!$G$2:$G$1960,MATCH(1338,Engine!$C$2:$C$1960,0)))</f>
        <v/>
      </c>
      <c r="H1351" s="9">
        <f>IF(ISNA(MATCH(1338,Engine!$C$2:$C$1960,0)),"",INDEX('Compliance Database'!$H$2:$H$1960,MATCH(1338,Engine!$C$2:$C$1960,0)))</f>
        <v/>
      </c>
      <c r="I1351" s="9">
        <f>IF(ISNA(MATCH(1338,Engine!$C$2:$C$1960,0)),"",INDEX('Compliance Database'!$I$2:$I$1960,MATCH(1338,Engine!$C$2:$C$1960,0)))</f>
        <v/>
      </c>
      <c r="J1351" s="8">
        <f>IF(ISNA(MATCH(1338,Engine!$C$2:$C$1960,0)),"",INDEX('Compliance Database'!$J$2:$J$1960,MATCH(1338,Engine!$C$2:$C$1960,0)))</f>
        <v/>
      </c>
      <c r="K1351" s="9">
        <f>IF(ISNA(MATCH(1338,Engine!$C$2:$C$1960,0)),"",INDEX('Compliance Database'!$K$2:$K$1960,MATCH(1338,Engine!$C$2:$C$1960,0)))</f>
        <v/>
      </c>
      <c r="L1351" s="9">
        <f>IF(ISNA(MATCH(1338,Engine!$C$2:$C$1960,0)),"",INDEX('Compliance Database'!$L$2:$L$1960,MATCH(1338,Engine!$C$2:$C$1960,0)))</f>
        <v/>
      </c>
      <c r="M1351" s="9">
        <f>IF(ISNA(MATCH(1338,Engine!$C$2:$C$1960,0)),"",INDEX('Compliance Database'!$M$2:$M$1960,MATCH(1338,Engine!$C$2:$C$1960,0)))</f>
        <v/>
      </c>
      <c r="N1351" s="9">
        <f>IF(ISNA(MATCH(1338,Engine!$C$2:$C$1960,0)),"",INDEX('Compliance Database'!$N$2:$N$1960,MATCH(1338,Engine!$C$2:$C$1960,0)))</f>
        <v/>
      </c>
      <c r="O1351" s="9">
        <f>IF(ISNA(MATCH(1338,Engine!$C$2:$C$1960,0)),"",INDEX('Compliance Database'!$O$2:$O$1960,MATCH(1338,Engine!$C$2:$C$1960,0)))</f>
        <v/>
      </c>
      <c r="P1351" s="8">
        <f>IF(ISNA(MATCH(1338,Engine!$C$2:$C$1960,0)),"",HYPERLINK("#Acts!A"&amp;INDEX('Compliance Database'!$P$2:$P$1960,MATCH(1338,Engine!$C$2:$C$1960,0)),"Go to Act"))</f>
        <v/>
      </c>
    </row>
    <row r="1352" ht="158" customHeight="1">
      <c r="A1352" s="8">
        <f>IF(ISNA(MATCH(1339,Engine!$C$2:$C$1960,0)),"",INDEX('Compliance Database'!$A$2:$A$1960,MATCH(1339,Engine!$C$2:$C$1960,0)))</f>
        <v/>
      </c>
      <c r="B1352" s="8">
        <f>IF(ISNA(MATCH(1339,Engine!$C$2:$C$1960,0)),"",INDEX('Compliance Database'!$B$2:$B$1960,MATCH(1339,Engine!$C$2:$C$1960,0)))</f>
        <v/>
      </c>
      <c r="C1352" s="8">
        <f>IF(ISNA(MATCH(1339,Engine!$C$2:$C$1960,0)),"",INDEX('Compliance Database'!$C$2:$C$1960,MATCH(1339,Engine!$C$2:$C$1960,0)))</f>
        <v/>
      </c>
      <c r="D1352" s="9">
        <f>IF(ISNA(MATCH(1339,Engine!$C$2:$C$1960,0)),"",INDEX('Compliance Database'!$D$2:$D$1960,MATCH(1339,Engine!$C$2:$C$1960,0)))</f>
        <v/>
      </c>
      <c r="E1352" s="8">
        <f>IF(ISNA(MATCH(1339,Engine!$C$2:$C$1960,0)),"",INDEX('Compliance Database'!$E$2:$E$1960,MATCH(1339,Engine!$C$2:$C$1960,0)))</f>
        <v/>
      </c>
      <c r="F1352" s="8">
        <f>IF(ISNA(MATCH(1339,Engine!$C$2:$C$1960,0)),"",INDEX('Compliance Database'!$F$2:$F$1960,MATCH(1339,Engine!$C$2:$C$1960,0)))</f>
        <v/>
      </c>
      <c r="G1352" s="8">
        <f>IF(ISNA(MATCH(1339,Engine!$C$2:$C$1960,0)),"",INDEX('Compliance Database'!$G$2:$G$1960,MATCH(1339,Engine!$C$2:$C$1960,0)))</f>
        <v/>
      </c>
      <c r="H1352" s="9">
        <f>IF(ISNA(MATCH(1339,Engine!$C$2:$C$1960,0)),"",INDEX('Compliance Database'!$H$2:$H$1960,MATCH(1339,Engine!$C$2:$C$1960,0)))</f>
        <v/>
      </c>
      <c r="I1352" s="9">
        <f>IF(ISNA(MATCH(1339,Engine!$C$2:$C$1960,0)),"",INDEX('Compliance Database'!$I$2:$I$1960,MATCH(1339,Engine!$C$2:$C$1960,0)))</f>
        <v/>
      </c>
      <c r="J1352" s="8">
        <f>IF(ISNA(MATCH(1339,Engine!$C$2:$C$1960,0)),"",INDEX('Compliance Database'!$J$2:$J$1960,MATCH(1339,Engine!$C$2:$C$1960,0)))</f>
        <v/>
      </c>
      <c r="K1352" s="9">
        <f>IF(ISNA(MATCH(1339,Engine!$C$2:$C$1960,0)),"",INDEX('Compliance Database'!$K$2:$K$1960,MATCH(1339,Engine!$C$2:$C$1960,0)))</f>
        <v/>
      </c>
      <c r="L1352" s="9">
        <f>IF(ISNA(MATCH(1339,Engine!$C$2:$C$1960,0)),"",INDEX('Compliance Database'!$L$2:$L$1960,MATCH(1339,Engine!$C$2:$C$1960,0)))</f>
        <v/>
      </c>
      <c r="M1352" s="9">
        <f>IF(ISNA(MATCH(1339,Engine!$C$2:$C$1960,0)),"",INDEX('Compliance Database'!$M$2:$M$1960,MATCH(1339,Engine!$C$2:$C$1960,0)))</f>
        <v/>
      </c>
      <c r="N1352" s="9">
        <f>IF(ISNA(MATCH(1339,Engine!$C$2:$C$1960,0)),"",INDEX('Compliance Database'!$N$2:$N$1960,MATCH(1339,Engine!$C$2:$C$1960,0)))</f>
        <v/>
      </c>
      <c r="O1352" s="9">
        <f>IF(ISNA(MATCH(1339,Engine!$C$2:$C$1960,0)),"",INDEX('Compliance Database'!$O$2:$O$1960,MATCH(1339,Engine!$C$2:$C$1960,0)))</f>
        <v/>
      </c>
      <c r="P1352" s="8">
        <f>IF(ISNA(MATCH(1339,Engine!$C$2:$C$1960,0)),"",HYPERLINK("#Acts!A"&amp;INDEX('Compliance Database'!$P$2:$P$1960,MATCH(1339,Engine!$C$2:$C$1960,0)),"Go to Act"))</f>
        <v/>
      </c>
    </row>
    <row r="1353" ht="158" customHeight="1">
      <c r="A1353" s="8">
        <f>IF(ISNA(MATCH(1340,Engine!$C$2:$C$1960,0)),"",INDEX('Compliance Database'!$A$2:$A$1960,MATCH(1340,Engine!$C$2:$C$1960,0)))</f>
        <v/>
      </c>
      <c r="B1353" s="8">
        <f>IF(ISNA(MATCH(1340,Engine!$C$2:$C$1960,0)),"",INDEX('Compliance Database'!$B$2:$B$1960,MATCH(1340,Engine!$C$2:$C$1960,0)))</f>
        <v/>
      </c>
      <c r="C1353" s="8">
        <f>IF(ISNA(MATCH(1340,Engine!$C$2:$C$1960,0)),"",INDEX('Compliance Database'!$C$2:$C$1960,MATCH(1340,Engine!$C$2:$C$1960,0)))</f>
        <v/>
      </c>
      <c r="D1353" s="9">
        <f>IF(ISNA(MATCH(1340,Engine!$C$2:$C$1960,0)),"",INDEX('Compliance Database'!$D$2:$D$1960,MATCH(1340,Engine!$C$2:$C$1960,0)))</f>
        <v/>
      </c>
      <c r="E1353" s="8">
        <f>IF(ISNA(MATCH(1340,Engine!$C$2:$C$1960,0)),"",INDEX('Compliance Database'!$E$2:$E$1960,MATCH(1340,Engine!$C$2:$C$1960,0)))</f>
        <v/>
      </c>
      <c r="F1353" s="8">
        <f>IF(ISNA(MATCH(1340,Engine!$C$2:$C$1960,0)),"",INDEX('Compliance Database'!$F$2:$F$1960,MATCH(1340,Engine!$C$2:$C$1960,0)))</f>
        <v/>
      </c>
      <c r="G1353" s="8">
        <f>IF(ISNA(MATCH(1340,Engine!$C$2:$C$1960,0)),"",INDEX('Compliance Database'!$G$2:$G$1960,MATCH(1340,Engine!$C$2:$C$1960,0)))</f>
        <v/>
      </c>
      <c r="H1353" s="9">
        <f>IF(ISNA(MATCH(1340,Engine!$C$2:$C$1960,0)),"",INDEX('Compliance Database'!$H$2:$H$1960,MATCH(1340,Engine!$C$2:$C$1960,0)))</f>
        <v/>
      </c>
      <c r="I1353" s="9">
        <f>IF(ISNA(MATCH(1340,Engine!$C$2:$C$1960,0)),"",INDEX('Compliance Database'!$I$2:$I$1960,MATCH(1340,Engine!$C$2:$C$1960,0)))</f>
        <v/>
      </c>
      <c r="J1353" s="8">
        <f>IF(ISNA(MATCH(1340,Engine!$C$2:$C$1960,0)),"",INDEX('Compliance Database'!$J$2:$J$1960,MATCH(1340,Engine!$C$2:$C$1960,0)))</f>
        <v/>
      </c>
      <c r="K1353" s="9">
        <f>IF(ISNA(MATCH(1340,Engine!$C$2:$C$1960,0)),"",INDEX('Compliance Database'!$K$2:$K$1960,MATCH(1340,Engine!$C$2:$C$1960,0)))</f>
        <v/>
      </c>
      <c r="L1353" s="9">
        <f>IF(ISNA(MATCH(1340,Engine!$C$2:$C$1960,0)),"",INDEX('Compliance Database'!$L$2:$L$1960,MATCH(1340,Engine!$C$2:$C$1960,0)))</f>
        <v/>
      </c>
      <c r="M1353" s="9">
        <f>IF(ISNA(MATCH(1340,Engine!$C$2:$C$1960,0)),"",INDEX('Compliance Database'!$M$2:$M$1960,MATCH(1340,Engine!$C$2:$C$1960,0)))</f>
        <v/>
      </c>
      <c r="N1353" s="9">
        <f>IF(ISNA(MATCH(1340,Engine!$C$2:$C$1960,0)),"",INDEX('Compliance Database'!$N$2:$N$1960,MATCH(1340,Engine!$C$2:$C$1960,0)))</f>
        <v/>
      </c>
      <c r="O1353" s="9">
        <f>IF(ISNA(MATCH(1340,Engine!$C$2:$C$1960,0)),"",INDEX('Compliance Database'!$O$2:$O$1960,MATCH(1340,Engine!$C$2:$C$1960,0)))</f>
        <v/>
      </c>
      <c r="P1353" s="8">
        <f>IF(ISNA(MATCH(1340,Engine!$C$2:$C$1960,0)),"",HYPERLINK("#Acts!A"&amp;INDEX('Compliance Database'!$P$2:$P$1960,MATCH(1340,Engine!$C$2:$C$1960,0)),"Go to Act"))</f>
        <v/>
      </c>
    </row>
    <row r="1354" ht="158" customHeight="1">
      <c r="A1354" s="8">
        <f>IF(ISNA(MATCH(1341,Engine!$C$2:$C$1960,0)),"",INDEX('Compliance Database'!$A$2:$A$1960,MATCH(1341,Engine!$C$2:$C$1960,0)))</f>
        <v/>
      </c>
      <c r="B1354" s="8">
        <f>IF(ISNA(MATCH(1341,Engine!$C$2:$C$1960,0)),"",INDEX('Compliance Database'!$B$2:$B$1960,MATCH(1341,Engine!$C$2:$C$1960,0)))</f>
        <v/>
      </c>
      <c r="C1354" s="8">
        <f>IF(ISNA(MATCH(1341,Engine!$C$2:$C$1960,0)),"",INDEX('Compliance Database'!$C$2:$C$1960,MATCH(1341,Engine!$C$2:$C$1960,0)))</f>
        <v/>
      </c>
      <c r="D1354" s="9">
        <f>IF(ISNA(MATCH(1341,Engine!$C$2:$C$1960,0)),"",INDEX('Compliance Database'!$D$2:$D$1960,MATCH(1341,Engine!$C$2:$C$1960,0)))</f>
        <v/>
      </c>
      <c r="E1354" s="8">
        <f>IF(ISNA(MATCH(1341,Engine!$C$2:$C$1960,0)),"",INDEX('Compliance Database'!$E$2:$E$1960,MATCH(1341,Engine!$C$2:$C$1960,0)))</f>
        <v/>
      </c>
      <c r="F1354" s="8">
        <f>IF(ISNA(MATCH(1341,Engine!$C$2:$C$1960,0)),"",INDEX('Compliance Database'!$F$2:$F$1960,MATCH(1341,Engine!$C$2:$C$1960,0)))</f>
        <v/>
      </c>
      <c r="G1354" s="8">
        <f>IF(ISNA(MATCH(1341,Engine!$C$2:$C$1960,0)),"",INDEX('Compliance Database'!$G$2:$G$1960,MATCH(1341,Engine!$C$2:$C$1960,0)))</f>
        <v/>
      </c>
      <c r="H1354" s="9">
        <f>IF(ISNA(MATCH(1341,Engine!$C$2:$C$1960,0)),"",INDEX('Compliance Database'!$H$2:$H$1960,MATCH(1341,Engine!$C$2:$C$1960,0)))</f>
        <v/>
      </c>
      <c r="I1354" s="9">
        <f>IF(ISNA(MATCH(1341,Engine!$C$2:$C$1960,0)),"",INDEX('Compliance Database'!$I$2:$I$1960,MATCH(1341,Engine!$C$2:$C$1960,0)))</f>
        <v/>
      </c>
      <c r="J1354" s="8">
        <f>IF(ISNA(MATCH(1341,Engine!$C$2:$C$1960,0)),"",INDEX('Compliance Database'!$J$2:$J$1960,MATCH(1341,Engine!$C$2:$C$1960,0)))</f>
        <v/>
      </c>
      <c r="K1354" s="9">
        <f>IF(ISNA(MATCH(1341,Engine!$C$2:$C$1960,0)),"",INDEX('Compliance Database'!$K$2:$K$1960,MATCH(1341,Engine!$C$2:$C$1960,0)))</f>
        <v/>
      </c>
      <c r="L1354" s="9">
        <f>IF(ISNA(MATCH(1341,Engine!$C$2:$C$1960,0)),"",INDEX('Compliance Database'!$L$2:$L$1960,MATCH(1341,Engine!$C$2:$C$1960,0)))</f>
        <v/>
      </c>
      <c r="M1354" s="9">
        <f>IF(ISNA(MATCH(1341,Engine!$C$2:$C$1960,0)),"",INDEX('Compliance Database'!$M$2:$M$1960,MATCH(1341,Engine!$C$2:$C$1960,0)))</f>
        <v/>
      </c>
      <c r="N1354" s="9">
        <f>IF(ISNA(MATCH(1341,Engine!$C$2:$C$1960,0)),"",INDEX('Compliance Database'!$N$2:$N$1960,MATCH(1341,Engine!$C$2:$C$1960,0)))</f>
        <v/>
      </c>
      <c r="O1354" s="9">
        <f>IF(ISNA(MATCH(1341,Engine!$C$2:$C$1960,0)),"",INDEX('Compliance Database'!$O$2:$O$1960,MATCH(1341,Engine!$C$2:$C$1960,0)))</f>
        <v/>
      </c>
      <c r="P1354" s="8">
        <f>IF(ISNA(MATCH(1341,Engine!$C$2:$C$1960,0)),"",HYPERLINK("#Acts!A"&amp;INDEX('Compliance Database'!$P$2:$P$1960,MATCH(1341,Engine!$C$2:$C$1960,0)),"Go to Act"))</f>
        <v/>
      </c>
    </row>
    <row r="1355" ht="158" customHeight="1">
      <c r="A1355" s="8">
        <f>IF(ISNA(MATCH(1342,Engine!$C$2:$C$1960,0)),"",INDEX('Compliance Database'!$A$2:$A$1960,MATCH(1342,Engine!$C$2:$C$1960,0)))</f>
        <v/>
      </c>
      <c r="B1355" s="8">
        <f>IF(ISNA(MATCH(1342,Engine!$C$2:$C$1960,0)),"",INDEX('Compliance Database'!$B$2:$B$1960,MATCH(1342,Engine!$C$2:$C$1960,0)))</f>
        <v/>
      </c>
      <c r="C1355" s="8">
        <f>IF(ISNA(MATCH(1342,Engine!$C$2:$C$1960,0)),"",INDEX('Compliance Database'!$C$2:$C$1960,MATCH(1342,Engine!$C$2:$C$1960,0)))</f>
        <v/>
      </c>
      <c r="D1355" s="9">
        <f>IF(ISNA(MATCH(1342,Engine!$C$2:$C$1960,0)),"",INDEX('Compliance Database'!$D$2:$D$1960,MATCH(1342,Engine!$C$2:$C$1960,0)))</f>
        <v/>
      </c>
      <c r="E1355" s="8">
        <f>IF(ISNA(MATCH(1342,Engine!$C$2:$C$1960,0)),"",INDEX('Compliance Database'!$E$2:$E$1960,MATCH(1342,Engine!$C$2:$C$1960,0)))</f>
        <v/>
      </c>
      <c r="F1355" s="8">
        <f>IF(ISNA(MATCH(1342,Engine!$C$2:$C$1960,0)),"",INDEX('Compliance Database'!$F$2:$F$1960,MATCH(1342,Engine!$C$2:$C$1960,0)))</f>
        <v/>
      </c>
      <c r="G1355" s="8">
        <f>IF(ISNA(MATCH(1342,Engine!$C$2:$C$1960,0)),"",INDEX('Compliance Database'!$G$2:$G$1960,MATCH(1342,Engine!$C$2:$C$1960,0)))</f>
        <v/>
      </c>
      <c r="H1355" s="9">
        <f>IF(ISNA(MATCH(1342,Engine!$C$2:$C$1960,0)),"",INDEX('Compliance Database'!$H$2:$H$1960,MATCH(1342,Engine!$C$2:$C$1960,0)))</f>
        <v/>
      </c>
      <c r="I1355" s="9">
        <f>IF(ISNA(MATCH(1342,Engine!$C$2:$C$1960,0)),"",INDEX('Compliance Database'!$I$2:$I$1960,MATCH(1342,Engine!$C$2:$C$1960,0)))</f>
        <v/>
      </c>
      <c r="J1355" s="8">
        <f>IF(ISNA(MATCH(1342,Engine!$C$2:$C$1960,0)),"",INDEX('Compliance Database'!$J$2:$J$1960,MATCH(1342,Engine!$C$2:$C$1960,0)))</f>
        <v/>
      </c>
      <c r="K1355" s="9">
        <f>IF(ISNA(MATCH(1342,Engine!$C$2:$C$1960,0)),"",INDEX('Compliance Database'!$K$2:$K$1960,MATCH(1342,Engine!$C$2:$C$1960,0)))</f>
        <v/>
      </c>
      <c r="L1355" s="9">
        <f>IF(ISNA(MATCH(1342,Engine!$C$2:$C$1960,0)),"",INDEX('Compliance Database'!$L$2:$L$1960,MATCH(1342,Engine!$C$2:$C$1960,0)))</f>
        <v/>
      </c>
      <c r="M1355" s="9">
        <f>IF(ISNA(MATCH(1342,Engine!$C$2:$C$1960,0)),"",INDEX('Compliance Database'!$M$2:$M$1960,MATCH(1342,Engine!$C$2:$C$1960,0)))</f>
        <v/>
      </c>
      <c r="N1355" s="9">
        <f>IF(ISNA(MATCH(1342,Engine!$C$2:$C$1960,0)),"",INDEX('Compliance Database'!$N$2:$N$1960,MATCH(1342,Engine!$C$2:$C$1960,0)))</f>
        <v/>
      </c>
      <c r="O1355" s="9">
        <f>IF(ISNA(MATCH(1342,Engine!$C$2:$C$1960,0)),"",INDEX('Compliance Database'!$O$2:$O$1960,MATCH(1342,Engine!$C$2:$C$1960,0)))</f>
        <v/>
      </c>
      <c r="P1355" s="8">
        <f>IF(ISNA(MATCH(1342,Engine!$C$2:$C$1960,0)),"",HYPERLINK("#Acts!A"&amp;INDEX('Compliance Database'!$P$2:$P$1960,MATCH(1342,Engine!$C$2:$C$1960,0)),"Go to Act"))</f>
        <v/>
      </c>
    </row>
    <row r="1356" ht="158" customHeight="1">
      <c r="A1356" s="8">
        <f>IF(ISNA(MATCH(1343,Engine!$C$2:$C$1960,0)),"",INDEX('Compliance Database'!$A$2:$A$1960,MATCH(1343,Engine!$C$2:$C$1960,0)))</f>
        <v/>
      </c>
      <c r="B1356" s="8">
        <f>IF(ISNA(MATCH(1343,Engine!$C$2:$C$1960,0)),"",INDEX('Compliance Database'!$B$2:$B$1960,MATCH(1343,Engine!$C$2:$C$1960,0)))</f>
        <v/>
      </c>
      <c r="C1356" s="8">
        <f>IF(ISNA(MATCH(1343,Engine!$C$2:$C$1960,0)),"",INDEX('Compliance Database'!$C$2:$C$1960,MATCH(1343,Engine!$C$2:$C$1960,0)))</f>
        <v/>
      </c>
      <c r="D1356" s="9">
        <f>IF(ISNA(MATCH(1343,Engine!$C$2:$C$1960,0)),"",INDEX('Compliance Database'!$D$2:$D$1960,MATCH(1343,Engine!$C$2:$C$1960,0)))</f>
        <v/>
      </c>
      <c r="E1356" s="8">
        <f>IF(ISNA(MATCH(1343,Engine!$C$2:$C$1960,0)),"",INDEX('Compliance Database'!$E$2:$E$1960,MATCH(1343,Engine!$C$2:$C$1960,0)))</f>
        <v/>
      </c>
      <c r="F1356" s="8">
        <f>IF(ISNA(MATCH(1343,Engine!$C$2:$C$1960,0)),"",INDEX('Compliance Database'!$F$2:$F$1960,MATCH(1343,Engine!$C$2:$C$1960,0)))</f>
        <v/>
      </c>
      <c r="G1356" s="8">
        <f>IF(ISNA(MATCH(1343,Engine!$C$2:$C$1960,0)),"",INDEX('Compliance Database'!$G$2:$G$1960,MATCH(1343,Engine!$C$2:$C$1960,0)))</f>
        <v/>
      </c>
      <c r="H1356" s="9">
        <f>IF(ISNA(MATCH(1343,Engine!$C$2:$C$1960,0)),"",INDEX('Compliance Database'!$H$2:$H$1960,MATCH(1343,Engine!$C$2:$C$1960,0)))</f>
        <v/>
      </c>
      <c r="I1356" s="9">
        <f>IF(ISNA(MATCH(1343,Engine!$C$2:$C$1960,0)),"",INDEX('Compliance Database'!$I$2:$I$1960,MATCH(1343,Engine!$C$2:$C$1960,0)))</f>
        <v/>
      </c>
      <c r="J1356" s="8">
        <f>IF(ISNA(MATCH(1343,Engine!$C$2:$C$1960,0)),"",INDEX('Compliance Database'!$J$2:$J$1960,MATCH(1343,Engine!$C$2:$C$1960,0)))</f>
        <v/>
      </c>
      <c r="K1356" s="9">
        <f>IF(ISNA(MATCH(1343,Engine!$C$2:$C$1960,0)),"",INDEX('Compliance Database'!$K$2:$K$1960,MATCH(1343,Engine!$C$2:$C$1960,0)))</f>
        <v/>
      </c>
      <c r="L1356" s="9">
        <f>IF(ISNA(MATCH(1343,Engine!$C$2:$C$1960,0)),"",INDEX('Compliance Database'!$L$2:$L$1960,MATCH(1343,Engine!$C$2:$C$1960,0)))</f>
        <v/>
      </c>
      <c r="M1356" s="9">
        <f>IF(ISNA(MATCH(1343,Engine!$C$2:$C$1960,0)),"",INDEX('Compliance Database'!$M$2:$M$1960,MATCH(1343,Engine!$C$2:$C$1960,0)))</f>
        <v/>
      </c>
      <c r="N1356" s="9">
        <f>IF(ISNA(MATCH(1343,Engine!$C$2:$C$1960,0)),"",INDEX('Compliance Database'!$N$2:$N$1960,MATCH(1343,Engine!$C$2:$C$1960,0)))</f>
        <v/>
      </c>
      <c r="O1356" s="9">
        <f>IF(ISNA(MATCH(1343,Engine!$C$2:$C$1960,0)),"",INDEX('Compliance Database'!$O$2:$O$1960,MATCH(1343,Engine!$C$2:$C$1960,0)))</f>
        <v/>
      </c>
      <c r="P1356" s="8">
        <f>IF(ISNA(MATCH(1343,Engine!$C$2:$C$1960,0)),"",HYPERLINK("#Acts!A"&amp;INDEX('Compliance Database'!$P$2:$P$1960,MATCH(1343,Engine!$C$2:$C$1960,0)),"Go to Act"))</f>
        <v/>
      </c>
    </row>
    <row r="1357" ht="158" customHeight="1">
      <c r="A1357" s="8">
        <f>IF(ISNA(MATCH(1344,Engine!$C$2:$C$1960,0)),"",INDEX('Compliance Database'!$A$2:$A$1960,MATCH(1344,Engine!$C$2:$C$1960,0)))</f>
        <v/>
      </c>
      <c r="B1357" s="8">
        <f>IF(ISNA(MATCH(1344,Engine!$C$2:$C$1960,0)),"",INDEX('Compliance Database'!$B$2:$B$1960,MATCH(1344,Engine!$C$2:$C$1960,0)))</f>
        <v/>
      </c>
      <c r="C1357" s="8">
        <f>IF(ISNA(MATCH(1344,Engine!$C$2:$C$1960,0)),"",INDEX('Compliance Database'!$C$2:$C$1960,MATCH(1344,Engine!$C$2:$C$1960,0)))</f>
        <v/>
      </c>
      <c r="D1357" s="9">
        <f>IF(ISNA(MATCH(1344,Engine!$C$2:$C$1960,0)),"",INDEX('Compliance Database'!$D$2:$D$1960,MATCH(1344,Engine!$C$2:$C$1960,0)))</f>
        <v/>
      </c>
      <c r="E1357" s="8">
        <f>IF(ISNA(MATCH(1344,Engine!$C$2:$C$1960,0)),"",INDEX('Compliance Database'!$E$2:$E$1960,MATCH(1344,Engine!$C$2:$C$1960,0)))</f>
        <v/>
      </c>
      <c r="F1357" s="8">
        <f>IF(ISNA(MATCH(1344,Engine!$C$2:$C$1960,0)),"",INDEX('Compliance Database'!$F$2:$F$1960,MATCH(1344,Engine!$C$2:$C$1960,0)))</f>
        <v/>
      </c>
      <c r="G1357" s="8">
        <f>IF(ISNA(MATCH(1344,Engine!$C$2:$C$1960,0)),"",INDEX('Compliance Database'!$G$2:$G$1960,MATCH(1344,Engine!$C$2:$C$1960,0)))</f>
        <v/>
      </c>
      <c r="H1357" s="9">
        <f>IF(ISNA(MATCH(1344,Engine!$C$2:$C$1960,0)),"",INDEX('Compliance Database'!$H$2:$H$1960,MATCH(1344,Engine!$C$2:$C$1960,0)))</f>
        <v/>
      </c>
      <c r="I1357" s="9">
        <f>IF(ISNA(MATCH(1344,Engine!$C$2:$C$1960,0)),"",INDEX('Compliance Database'!$I$2:$I$1960,MATCH(1344,Engine!$C$2:$C$1960,0)))</f>
        <v/>
      </c>
      <c r="J1357" s="8">
        <f>IF(ISNA(MATCH(1344,Engine!$C$2:$C$1960,0)),"",INDEX('Compliance Database'!$J$2:$J$1960,MATCH(1344,Engine!$C$2:$C$1960,0)))</f>
        <v/>
      </c>
      <c r="K1357" s="9">
        <f>IF(ISNA(MATCH(1344,Engine!$C$2:$C$1960,0)),"",INDEX('Compliance Database'!$K$2:$K$1960,MATCH(1344,Engine!$C$2:$C$1960,0)))</f>
        <v/>
      </c>
      <c r="L1357" s="9">
        <f>IF(ISNA(MATCH(1344,Engine!$C$2:$C$1960,0)),"",INDEX('Compliance Database'!$L$2:$L$1960,MATCH(1344,Engine!$C$2:$C$1960,0)))</f>
        <v/>
      </c>
      <c r="M1357" s="9">
        <f>IF(ISNA(MATCH(1344,Engine!$C$2:$C$1960,0)),"",INDEX('Compliance Database'!$M$2:$M$1960,MATCH(1344,Engine!$C$2:$C$1960,0)))</f>
        <v/>
      </c>
      <c r="N1357" s="9">
        <f>IF(ISNA(MATCH(1344,Engine!$C$2:$C$1960,0)),"",INDEX('Compliance Database'!$N$2:$N$1960,MATCH(1344,Engine!$C$2:$C$1960,0)))</f>
        <v/>
      </c>
      <c r="O1357" s="9">
        <f>IF(ISNA(MATCH(1344,Engine!$C$2:$C$1960,0)),"",INDEX('Compliance Database'!$O$2:$O$1960,MATCH(1344,Engine!$C$2:$C$1960,0)))</f>
        <v/>
      </c>
      <c r="P1357" s="8">
        <f>IF(ISNA(MATCH(1344,Engine!$C$2:$C$1960,0)),"",HYPERLINK("#Acts!A"&amp;INDEX('Compliance Database'!$P$2:$P$1960,MATCH(1344,Engine!$C$2:$C$1960,0)),"Go to Act"))</f>
        <v/>
      </c>
    </row>
    <row r="1358" ht="158" customHeight="1">
      <c r="A1358" s="8">
        <f>IF(ISNA(MATCH(1345,Engine!$C$2:$C$1960,0)),"",INDEX('Compliance Database'!$A$2:$A$1960,MATCH(1345,Engine!$C$2:$C$1960,0)))</f>
        <v/>
      </c>
      <c r="B1358" s="8">
        <f>IF(ISNA(MATCH(1345,Engine!$C$2:$C$1960,0)),"",INDEX('Compliance Database'!$B$2:$B$1960,MATCH(1345,Engine!$C$2:$C$1960,0)))</f>
        <v/>
      </c>
      <c r="C1358" s="8">
        <f>IF(ISNA(MATCH(1345,Engine!$C$2:$C$1960,0)),"",INDEX('Compliance Database'!$C$2:$C$1960,MATCH(1345,Engine!$C$2:$C$1960,0)))</f>
        <v/>
      </c>
      <c r="D1358" s="9">
        <f>IF(ISNA(MATCH(1345,Engine!$C$2:$C$1960,0)),"",INDEX('Compliance Database'!$D$2:$D$1960,MATCH(1345,Engine!$C$2:$C$1960,0)))</f>
        <v/>
      </c>
      <c r="E1358" s="8">
        <f>IF(ISNA(MATCH(1345,Engine!$C$2:$C$1960,0)),"",INDEX('Compliance Database'!$E$2:$E$1960,MATCH(1345,Engine!$C$2:$C$1960,0)))</f>
        <v/>
      </c>
      <c r="F1358" s="8">
        <f>IF(ISNA(MATCH(1345,Engine!$C$2:$C$1960,0)),"",INDEX('Compliance Database'!$F$2:$F$1960,MATCH(1345,Engine!$C$2:$C$1960,0)))</f>
        <v/>
      </c>
      <c r="G1358" s="8">
        <f>IF(ISNA(MATCH(1345,Engine!$C$2:$C$1960,0)),"",INDEX('Compliance Database'!$G$2:$G$1960,MATCH(1345,Engine!$C$2:$C$1960,0)))</f>
        <v/>
      </c>
      <c r="H1358" s="9">
        <f>IF(ISNA(MATCH(1345,Engine!$C$2:$C$1960,0)),"",INDEX('Compliance Database'!$H$2:$H$1960,MATCH(1345,Engine!$C$2:$C$1960,0)))</f>
        <v/>
      </c>
      <c r="I1358" s="9">
        <f>IF(ISNA(MATCH(1345,Engine!$C$2:$C$1960,0)),"",INDEX('Compliance Database'!$I$2:$I$1960,MATCH(1345,Engine!$C$2:$C$1960,0)))</f>
        <v/>
      </c>
      <c r="J1358" s="8">
        <f>IF(ISNA(MATCH(1345,Engine!$C$2:$C$1960,0)),"",INDEX('Compliance Database'!$J$2:$J$1960,MATCH(1345,Engine!$C$2:$C$1960,0)))</f>
        <v/>
      </c>
      <c r="K1358" s="9">
        <f>IF(ISNA(MATCH(1345,Engine!$C$2:$C$1960,0)),"",INDEX('Compliance Database'!$K$2:$K$1960,MATCH(1345,Engine!$C$2:$C$1960,0)))</f>
        <v/>
      </c>
      <c r="L1358" s="9">
        <f>IF(ISNA(MATCH(1345,Engine!$C$2:$C$1960,0)),"",INDEX('Compliance Database'!$L$2:$L$1960,MATCH(1345,Engine!$C$2:$C$1960,0)))</f>
        <v/>
      </c>
      <c r="M1358" s="9">
        <f>IF(ISNA(MATCH(1345,Engine!$C$2:$C$1960,0)),"",INDEX('Compliance Database'!$M$2:$M$1960,MATCH(1345,Engine!$C$2:$C$1960,0)))</f>
        <v/>
      </c>
      <c r="N1358" s="9">
        <f>IF(ISNA(MATCH(1345,Engine!$C$2:$C$1960,0)),"",INDEX('Compliance Database'!$N$2:$N$1960,MATCH(1345,Engine!$C$2:$C$1960,0)))</f>
        <v/>
      </c>
      <c r="O1358" s="9">
        <f>IF(ISNA(MATCH(1345,Engine!$C$2:$C$1960,0)),"",INDEX('Compliance Database'!$O$2:$O$1960,MATCH(1345,Engine!$C$2:$C$1960,0)))</f>
        <v/>
      </c>
      <c r="P1358" s="8">
        <f>IF(ISNA(MATCH(1345,Engine!$C$2:$C$1960,0)),"",HYPERLINK("#Acts!A"&amp;INDEX('Compliance Database'!$P$2:$P$1960,MATCH(1345,Engine!$C$2:$C$1960,0)),"Go to Act"))</f>
        <v/>
      </c>
    </row>
    <row r="1359" ht="158" customHeight="1">
      <c r="A1359" s="8">
        <f>IF(ISNA(MATCH(1346,Engine!$C$2:$C$1960,0)),"",INDEX('Compliance Database'!$A$2:$A$1960,MATCH(1346,Engine!$C$2:$C$1960,0)))</f>
        <v/>
      </c>
      <c r="B1359" s="8">
        <f>IF(ISNA(MATCH(1346,Engine!$C$2:$C$1960,0)),"",INDEX('Compliance Database'!$B$2:$B$1960,MATCH(1346,Engine!$C$2:$C$1960,0)))</f>
        <v/>
      </c>
      <c r="C1359" s="8">
        <f>IF(ISNA(MATCH(1346,Engine!$C$2:$C$1960,0)),"",INDEX('Compliance Database'!$C$2:$C$1960,MATCH(1346,Engine!$C$2:$C$1960,0)))</f>
        <v/>
      </c>
      <c r="D1359" s="9">
        <f>IF(ISNA(MATCH(1346,Engine!$C$2:$C$1960,0)),"",INDEX('Compliance Database'!$D$2:$D$1960,MATCH(1346,Engine!$C$2:$C$1960,0)))</f>
        <v/>
      </c>
      <c r="E1359" s="8">
        <f>IF(ISNA(MATCH(1346,Engine!$C$2:$C$1960,0)),"",INDEX('Compliance Database'!$E$2:$E$1960,MATCH(1346,Engine!$C$2:$C$1960,0)))</f>
        <v/>
      </c>
      <c r="F1359" s="8">
        <f>IF(ISNA(MATCH(1346,Engine!$C$2:$C$1960,0)),"",INDEX('Compliance Database'!$F$2:$F$1960,MATCH(1346,Engine!$C$2:$C$1960,0)))</f>
        <v/>
      </c>
      <c r="G1359" s="8">
        <f>IF(ISNA(MATCH(1346,Engine!$C$2:$C$1960,0)),"",INDEX('Compliance Database'!$G$2:$G$1960,MATCH(1346,Engine!$C$2:$C$1960,0)))</f>
        <v/>
      </c>
      <c r="H1359" s="9">
        <f>IF(ISNA(MATCH(1346,Engine!$C$2:$C$1960,0)),"",INDEX('Compliance Database'!$H$2:$H$1960,MATCH(1346,Engine!$C$2:$C$1960,0)))</f>
        <v/>
      </c>
      <c r="I1359" s="9">
        <f>IF(ISNA(MATCH(1346,Engine!$C$2:$C$1960,0)),"",INDEX('Compliance Database'!$I$2:$I$1960,MATCH(1346,Engine!$C$2:$C$1960,0)))</f>
        <v/>
      </c>
      <c r="J1359" s="8">
        <f>IF(ISNA(MATCH(1346,Engine!$C$2:$C$1960,0)),"",INDEX('Compliance Database'!$J$2:$J$1960,MATCH(1346,Engine!$C$2:$C$1960,0)))</f>
        <v/>
      </c>
      <c r="K1359" s="9">
        <f>IF(ISNA(MATCH(1346,Engine!$C$2:$C$1960,0)),"",INDEX('Compliance Database'!$K$2:$K$1960,MATCH(1346,Engine!$C$2:$C$1960,0)))</f>
        <v/>
      </c>
      <c r="L1359" s="9">
        <f>IF(ISNA(MATCH(1346,Engine!$C$2:$C$1960,0)),"",INDEX('Compliance Database'!$L$2:$L$1960,MATCH(1346,Engine!$C$2:$C$1960,0)))</f>
        <v/>
      </c>
      <c r="M1359" s="9">
        <f>IF(ISNA(MATCH(1346,Engine!$C$2:$C$1960,0)),"",INDEX('Compliance Database'!$M$2:$M$1960,MATCH(1346,Engine!$C$2:$C$1960,0)))</f>
        <v/>
      </c>
      <c r="N1359" s="9">
        <f>IF(ISNA(MATCH(1346,Engine!$C$2:$C$1960,0)),"",INDEX('Compliance Database'!$N$2:$N$1960,MATCH(1346,Engine!$C$2:$C$1960,0)))</f>
        <v/>
      </c>
      <c r="O1359" s="9">
        <f>IF(ISNA(MATCH(1346,Engine!$C$2:$C$1960,0)),"",INDEX('Compliance Database'!$O$2:$O$1960,MATCH(1346,Engine!$C$2:$C$1960,0)))</f>
        <v/>
      </c>
      <c r="P1359" s="8">
        <f>IF(ISNA(MATCH(1346,Engine!$C$2:$C$1960,0)),"",HYPERLINK("#Acts!A"&amp;INDEX('Compliance Database'!$P$2:$P$1960,MATCH(1346,Engine!$C$2:$C$1960,0)),"Go to Act"))</f>
        <v/>
      </c>
    </row>
    <row r="1360" ht="158" customHeight="1">
      <c r="A1360" s="8">
        <f>IF(ISNA(MATCH(1347,Engine!$C$2:$C$1960,0)),"",INDEX('Compliance Database'!$A$2:$A$1960,MATCH(1347,Engine!$C$2:$C$1960,0)))</f>
        <v/>
      </c>
      <c r="B1360" s="8">
        <f>IF(ISNA(MATCH(1347,Engine!$C$2:$C$1960,0)),"",INDEX('Compliance Database'!$B$2:$B$1960,MATCH(1347,Engine!$C$2:$C$1960,0)))</f>
        <v/>
      </c>
      <c r="C1360" s="8">
        <f>IF(ISNA(MATCH(1347,Engine!$C$2:$C$1960,0)),"",INDEX('Compliance Database'!$C$2:$C$1960,MATCH(1347,Engine!$C$2:$C$1960,0)))</f>
        <v/>
      </c>
      <c r="D1360" s="9">
        <f>IF(ISNA(MATCH(1347,Engine!$C$2:$C$1960,0)),"",INDEX('Compliance Database'!$D$2:$D$1960,MATCH(1347,Engine!$C$2:$C$1960,0)))</f>
        <v/>
      </c>
      <c r="E1360" s="8">
        <f>IF(ISNA(MATCH(1347,Engine!$C$2:$C$1960,0)),"",INDEX('Compliance Database'!$E$2:$E$1960,MATCH(1347,Engine!$C$2:$C$1960,0)))</f>
        <v/>
      </c>
      <c r="F1360" s="8">
        <f>IF(ISNA(MATCH(1347,Engine!$C$2:$C$1960,0)),"",INDEX('Compliance Database'!$F$2:$F$1960,MATCH(1347,Engine!$C$2:$C$1960,0)))</f>
        <v/>
      </c>
      <c r="G1360" s="8">
        <f>IF(ISNA(MATCH(1347,Engine!$C$2:$C$1960,0)),"",INDEX('Compliance Database'!$G$2:$G$1960,MATCH(1347,Engine!$C$2:$C$1960,0)))</f>
        <v/>
      </c>
      <c r="H1360" s="9">
        <f>IF(ISNA(MATCH(1347,Engine!$C$2:$C$1960,0)),"",INDEX('Compliance Database'!$H$2:$H$1960,MATCH(1347,Engine!$C$2:$C$1960,0)))</f>
        <v/>
      </c>
      <c r="I1360" s="9">
        <f>IF(ISNA(MATCH(1347,Engine!$C$2:$C$1960,0)),"",INDEX('Compliance Database'!$I$2:$I$1960,MATCH(1347,Engine!$C$2:$C$1960,0)))</f>
        <v/>
      </c>
      <c r="J1360" s="8">
        <f>IF(ISNA(MATCH(1347,Engine!$C$2:$C$1960,0)),"",INDEX('Compliance Database'!$J$2:$J$1960,MATCH(1347,Engine!$C$2:$C$1960,0)))</f>
        <v/>
      </c>
      <c r="K1360" s="9">
        <f>IF(ISNA(MATCH(1347,Engine!$C$2:$C$1960,0)),"",INDEX('Compliance Database'!$K$2:$K$1960,MATCH(1347,Engine!$C$2:$C$1960,0)))</f>
        <v/>
      </c>
      <c r="L1360" s="9">
        <f>IF(ISNA(MATCH(1347,Engine!$C$2:$C$1960,0)),"",INDEX('Compliance Database'!$L$2:$L$1960,MATCH(1347,Engine!$C$2:$C$1960,0)))</f>
        <v/>
      </c>
      <c r="M1360" s="9">
        <f>IF(ISNA(MATCH(1347,Engine!$C$2:$C$1960,0)),"",INDEX('Compliance Database'!$M$2:$M$1960,MATCH(1347,Engine!$C$2:$C$1960,0)))</f>
        <v/>
      </c>
      <c r="N1360" s="9">
        <f>IF(ISNA(MATCH(1347,Engine!$C$2:$C$1960,0)),"",INDEX('Compliance Database'!$N$2:$N$1960,MATCH(1347,Engine!$C$2:$C$1960,0)))</f>
        <v/>
      </c>
      <c r="O1360" s="9">
        <f>IF(ISNA(MATCH(1347,Engine!$C$2:$C$1960,0)),"",INDEX('Compliance Database'!$O$2:$O$1960,MATCH(1347,Engine!$C$2:$C$1960,0)))</f>
        <v/>
      </c>
      <c r="P1360" s="8">
        <f>IF(ISNA(MATCH(1347,Engine!$C$2:$C$1960,0)),"",HYPERLINK("#Acts!A"&amp;INDEX('Compliance Database'!$P$2:$P$1960,MATCH(1347,Engine!$C$2:$C$1960,0)),"Go to Act"))</f>
        <v/>
      </c>
    </row>
    <row r="1361" ht="158" customHeight="1">
      <c r="A1361" s="8">
        <f>IF(ISNA(MATCH(1348,Engine!$C$2:$C$1960,0)),"",INDEX('Compliance Database'!$A$2:$A$1960,MATCH(1348,Engine!$C$2:$C$1960,0)))</f>
        <v/>
      </c>
      <c r="B1361" s="8">
        <f>IF(ISNA(MATCH(1348,Engine!$C$2:$C$1960,0)),"",INDEX('Compliance Database'!$B$2:$B$1960,MATCH(1348,Engine!$C$2:$C$1960,0)))</f>
        <v/>
      </c>
      <c r="C1361" s="8">
        <f>IF(ISNA(MATCH(1348,Engine!$C$2:$C$1960,0)),"",INDEX('Compliance Database'!$C$2:$C$1960,MATCH(1348,Engine!$C$2:$C$1960,0)))</f>
        <v/>
      </c>
      <c r="D1361" s="9">
        <f>IF(ISNA(MATCH(1348,Engine!$C$2:$C$1960,0)),"",INDEX('Compliance Database'!$D$2:$D$1960,MATCH(1348,Engine!$C$2:$C$1960,0)))</f>
        <v/>
      </c>
      <c r="E1361" s="8">
        <f>IF(ISNA(MATCH(1348,Engine!$C$2:$C$1960,0)),"",INDEX('Compliance Database'!$E$2:$E$1960,MATCH(1348,Engine!$C$2:$C$1960,0)))</f>
        <v/>
      </c>
      <c r="F1361" s="8">
        <f>IF(ISNA(MATCH(1348,Engine!$C$2:$C$1960,0)),"",INDEX('Compliance Database'!$F$2:$F$1960,MATCH(1348,Engine!$C$2:$C$1960,0)))</f>
        <v/>
      </c>
      <c r="G1361" s="8">
        <f>IF(ISNA(MATCH(1348,Engine!$C$2:$C$1960,0)),"",INDEX('Compliance Database'!$G$2:$G$1960,MATCH(1348,Engine!$C$2:$C$1960,0)))</f>
        <v/>
      </c>
      <c r="H1361" s="9">
        <f>IF(ISNA(MATCH(1348,Engine!$C$2:$C$1960,0)),"",INDEX('Compliance Database'!$H$2:$H$1960,MATCH(1348,Engine!$C$2:$C$1960,0)))</f>
        <v/>
      </c>
      <c r="I1361" s="9">
        <f>IF(ISNA(MATCH(1348,Engine!$C$2:$C$1960,0)),"",INDEX('Compliance Database'!$I$2:$I$1960,MATCH(1348,Engine!$C$2:$C$1960,0)))</f>
        <v/>
      </c>
      <c r="J1361" s="8">
        <f>IF(ISNA(MATCH(1348,Engine!$C$2:$C$1960,0)),"",INDEX('Compliance Database'!$J$2:$J$1960,MATCH(1348,Engine!$C$2:$C$1960,0)))</f>
        <v/>
      </c>
      <c r="K1361" s="9">
        <f>IF(ISNA(MATCH(1348,Engine!$C$2:$C$1960,0)),"",INDEX('Compliance Database'!$K$2:$K$1960,MATCH(1348,Engine!$C$2:$C$1960,0)))</f>
        <v/>
      </c>
      <c r="L1361" s="9">
        <f>IF(ISNA(MATCH(1348,Engine!$C$2:$C$1960,0)),"",INDEX('Compliance Database'!$L$2:$L$1960,MATCH(1348,Engine!$C$2:$C$1960,0)))</f>
        <v/>
      </c>
      <c r="M1361" s="9">
        <f>IF(ISNA(MATCH(1348,Engine!$C$2:$C$1960,0)),"",INDEX('Compliance Database'!$M$2:$M$1960,MATCH(1348,Engine!$C$2:$C$1960,0)))</f>
        <v/>
      </c>
      <c r="N1361" s="9">
        <f>IF(ISNA(MATCH(1348,Engine!$C$2:$C$1960,0)),"",INDEX('Compliance Database'!$N$2:$N$1960,MATCH(1348,Engine!$C$2:$C$1960,0)))</f>
        <v/>
      </c>
      <c r="O1361" s="9">
        <f>IF(ISNA(MATCH(1348,Engine!$C$2:$C$1960,0)),"",INDEX('Compliance Database'!$O$2:$O$1960,MATCH(1348,Engine!$C$2:$C$1960,0)))</f>
        <v/>
      </c>
      <c r="P1361" s="8">
        <f>IF(ISNA(MATCH(1348,Engine!$C$2:$C$1960,0)),"",HYPERLINK("#Acts!A"&amp;INDEX('Compliance Database'!$P$2:$P$1960,MATCH(1348,Engine!$C$2:$C$1960,0)),"Go to Act"))</f>
        <v/>
      </c>
    </row>
    <row r="1362" ht="158" customHeight="1">
      <c r="A1362" s="8">
        <f>IF(ISNA(MATCH(1349,Engine!$C$2:$C$1960,0)),"",INDEX('Compliance Database'!$A$2:$A$1960,MATCH(1349,Engine!$C$2:$C$1960,0)))</f>
        <v/>
      </c>
      <c r="B1362" s="8">
        <f>IF(ISNA(MATCH(1349,Engine!$C$2:$C$1960,0)),"",INDEX('Compliance Database'!$B$2:$B$1960,MATCH(1349,Engine!$C$2:$C$1960,0)))</f>
        <v/>
      </c>
      <c r="C1362" s="8">
        <f>IF(ISNA(MATCH(1349,Engine!$C$2:$C$1960,0)),"",INDEX('Compliance Database'!$C$2:$C$1960,MATCH(1349,Engine!$C$2:$C$1960,0)))</f>
        <v/>
      </c>
      <c r="D1362" s="9">
        <f>IF(ISNA(MATCH(1349,Engine!$C$2:$C$1960,0)),"",INDEX('Compliance Database'!$D$2:$D$1960,MATCH(1349,Engine!$C$2:$C$1960,0)))</f>
        <v/>
      </c>
      <c r="E1362" s="8">
        <f>IF(ISNA(MATCH(1349,Engine!$C$2:$C$1960,0)),"",INDEX('Compliance Database'!$E$2:$E$1960,MATCH(1349,Engine!$C$2:$C$1960,0)))</f>
        <v/>
      </c>
      <c r="F1362" s="8">
        <f>IF(ISNA(MATCH(1349,Engine!$C$2:$C$1960,0)),"",INDEX('Compliance Database'!$F$2:$F$1960,MATCH(1349,Engine!$C$2:$C$1960,0)))</f>
        <v/>
      </c>
      <c r="G1362" s="8">
        <f>IF(ISNA(MATCH(1349,Engine!$C$2:$C$1960,0)),"",INDEX('Compliance Database'!$G$2:$G$1960,MATCH(1349,Engine!$C$2:$C$1960,0)))</f>
        <v/>
      </c>
      <c r="H1362" s="9">
        <f>IF(ISNA(MATCH(1349,Engine!$C$2:$C$1960,0)),"",INDEX('Compliance Database'!$H$2:$H$1960,MATCH(1349,Engine!$C$2:$C$1960,0)))</f>
        <v/>
      </c>
      <c r="I1362" s="9">
        <f>IF(ISNA(MATCH(1349,Engine!$C$2:$C$1960,0)),"",INDEX('Compliance Database'!$I$2:$I$1960,MATCH(1349,Engine!$C$2:$C$1960,0)))</f>
        <v/>
      </c>
      <c r="J1362" s="8">
        <f>IF(ISNA(MATCH(1349,Engine!$C$2:$C$1960,0)),"",INDEX('Compliance Database'!$J$2:$J$1960,MATCH(1349,Engine!$C$2:$C$1960,0)))</f>
        <v/>
      </c>
      <c r="K1362" s="9">
        <f>IF(ISNA(MATCH(1349,Engine!$C$2:$C$1960,0)),"",INDEX('Compliance Database'!$K$2:$K$1960,MATCH(1349,Engine!$C$2:$C$1960,0)))</f>
        <v/>
      </c>
      <c r="L1362" s="9">
        <f>IF(ISNA(MATCH(1349,Engine!$C$2:$C$1960,0)),"",INDEX('Compliance Database'!$L$2:$L$1960,MATCH(1349,Engine!$C$2:$C$1960,0)))</f>
        <v/>
      </c>
      <c r="M1362" s="9">
        <f>IF(ISNA(MATCH(1349,Engine!$C$2:$C$1960,0)),"",INDEX('Compliance Database'!$M$2:$M$1960,MATCH(1349,Engine!$C$2:$C$1960,0)))</f>
        <v/>
      </c>
      <c r="N1362" s="9">
        <f>IF(ISNA(MATCH(1349,Engine!$C$2:$C$1960,0)),"",INDEX('Compliance Database'!$N$2:$N$1960,MATCH(1349,Engine!$C$2:$C$1960,0)))</f>
        <v/>
      </c>
      <c r="O1362" s="9">
        <f>IF(ISNA(MATCH(1349,Engine!$C$2:$C$1960,0)),"",INDEX('Compliance Database'!$O$2:$O$1960,MATCH(1349,Engine!$C$2:$C$1960,0)))</f>
        <v/>
      </c>
      <c r="P1362" s="8">
        <f>IF(ISNA(MATCH(1349,Engine!$C$2:$C$1960,0)),"",HYPERLINK("#Acts!A"&amp;INDEX('Compliance Database'!$P$2:$P$1960,MATCH(1349,Engine!$C$2:$C$1960,0)),"Go to Act"))</f>
        <v/>
      </c>
    </row>
    <row r="1363" ht="158" customHeight="1">
      <c r="A1363" s="8">
        <f>IF(ISNA(MATCH(1350,Engine!$C$2:$C$1960,0)),"",INDEX('Compliance Database'!$A$2:$A$1960,MATCH(1350,Engine!$C$2:$C$1960,0)))</f>
        <v/>
      </c>
      <c r="B1363" s="8">
        <f>IF(ISNA(MATCH(1350,Engine!$C$2:$C$1960,0)),"",INDEX('Compliance Database'!$B$2:$B$1960,MATCH(1350,Engine!$C$2:$C$1960,0)))</f>
        <v/>
      </c>
      <c r="C1363" s="8">
        <f>IF(ISNA(MATCH(1350,Engine!$C$2:$C$1960,0)),"",INDEX('Compliance Database'!$C$2:$C$1960,MATCH(1350,Engine!$C$2:$C$1960,0)))</f>
        <v/>
      </c>
      <c r="D1363" s="9">
        <f>IF(ISNA(MATCH(1350,Engine!$C$2:$C$1960,0)),"",INDEX('Compliance Database'!$D$2:$D$1960,MATCH(1350,Engine!$C$2:$C$1960,0)))</f>
        <v/>
      </c>
      <c r="E1363" s="8">
        <f>IF(ISNA(MATCH(1350,Engine!$C$2:$C$1960,0)),"",INDEX('Compliance Database'!$E$2:$E$1960,MATCH(1350,Engine!$C$2:$C$1960,0)))</f>
        <v/>
      </c>
      <c r="F1363" s="8">
        <f>IF(ISNA(MATCH(1350,Engine!$C$2:$C$1960,0)),"",INDEX('Compliance Database'!$F$2:$F$1960,MATCH(1350,Engine!$C$2:$C$1960,0)))</f>
        <v/>
      </c>
      <c r="G1363" s="8">
        <f>IF(ISNA(MATCH(1350,Engine!$C$2:$C$1960,0)),"",INDEX('Compliance Database'!$G$2:$G$1960,MATCH(1350,Engine!$C$2:$C$1960,0)))</f>
        <v/>
      </c>
      <c r="H1363" s="9">
        <f>IF(ISNA(MATCH(1350,Engine!$C$2:$C$1960,0)),"",INDEX('Compliance Database'!$H$2:$H$1960,MATCH(1350,Engine!$C$2:$C$1960,0)))</f>
        <v/>
      </c>
      <c r="I1363" s="9">
        <f>IF(ISNA(MATCH(1350,Engine!$C$2:$C$1960,0)),"",INDEX('Compliance Database'!$I$2:$I$1960,MATCH(1350,Engine!$C$2:$C$1960,0)))</f>
        <v/>
      </c>
      <c r="J1363" s="8">
        <f>IF(ISNA(MATCH(1350,Engine!$C$2:$C$1960,0)),"",INDEX('Compliance Database'!$J$2:$J$1960,MATCH(1350,Engine!$C$2:$C$1960,0)))</f>
        <v/>
      </c>
      <c r="K1363" s="9">
        <f>IF(ISNA(MATCH(1350,Engine!$C$2:$C$1960,0)),"",INDEX('Compliance Database'!$K$2:$K$1960,MATCH(1350,Engine!$C$2:$C$1960,0)))</f>
        <v/>
      </c>
      <c r="L1363" s="9">
        <f>IF(ISNA(MATCH(1350,Engine!$C$2:$C$1960,0)),"",INDEX('Compliance Database'!$L$2:$L$1960,MATCH(1350,Engine!$C$2:$C$1960,0)))</f>
        <v/>
      </c>
      <c r="M1363" s="9">
        <f>IF(ISNA(MATCH(1350,Engine!$C$2:$C$1960,0)),"",INDEX('Compliance Database'!$M$2:$M$1960,MATCH(1350,Engine!$C$2:$C$1960,0)))</f>
        <v/>
      </c>
      <c r="N1363" s="9">
        <f>IF(ISNA(MATCH(1350,Engine!$C$2:$C$1960,0)),"",INDEX('Compliance Database'!$N$2:$N$1960,MATCH(1350,Engine!$C$2:$C$1960,0)))</f>
        <v/>
      </c>
      <c r="O1363" s="9">
        <f>IF(ISNA(MATCH(1350,Engine!$C$2:$C$1960,0)),"",INDEX('Compliance Database'!$O$2:$O$1960,MATCH(1350,Engine!$C$2:$C$1960,0)))</f>
        <v/>
      </c>
      <c r="P1363" s="8">
        <f>IF(ISNA(MATCH(1350,Engine!$C$2:$C$1960,0)),"",HYPERLINK("#Acts!A"&amp;INDEX('Compliance Database'!$P$2:$P$1960,MATCH(1350,Engine!$C$2:$C$1960,0)),"Go to Act"))</f>
        <v/>
      </c>
    </row>
    <row r="1364" ht="158" customHeight="1">
      <c r="A1364" s="8">
        <f>IF(ISNA(MATCH(1351,Engine!$C$2:$C$1960,0)),"",INDEX('Compliance Database'!$A$2:$A$1960,MATCH(1351,Engine!$C$2:$C$1960,0)))</f>
        <v/>
      </c>
      <c r="B1364" s="8">
        <f>IF(ISNA(MATCH(1351,Engine!$C$2:$C$1960,0)),"",INDEX('Compliance Database'!$B$2:$B$1960,MATCH(1351,Engine!$C$2:$C$1960,0)))</f>
        <v/>
      </c>
      <c r="C1364" s="8">
        <f>IF(ISNA(MATCH(1351,Engine!$C$2:$C$1960,0)),"",INDEX('Compliance Database'!$C$2:$C$1960,MATCH(1351,Engine!$C$2:$C$1960,0)))</f>
        <v/>
      </c>
      <c r="D1364" s="9">
        <f>IF(ISNA(MATCH(1351,Engine!$C$2:$C$1960,0)),"",INDEX('Compliance Database'!$D$2:$D$1960,MATCH(1351,Engine!$C$2:$C$1960,0)))</f>
        <v/>
      </c>
      <c r="E1364" s="8">
        <f>IF(ISNA(MATCH(1351,Engine!$C$2:$C$1960,0)),"",INDEX('Compliance Database'!$E$2:$E$1960,MATCH(1351,Engine!$C$2:$C$1960,0)))</f>
        <v/>
      </c>
      <c r="F1364" s="8">
        <f>IF(ISNA(MATCH(1351,Engine!$C$2:$C$1960,0)),"",INDEX('Compliance Database'!$F$2:$F$1960,MATCH(1351,Engine!$C$2:$C$1960,0)))</f>
        <v/>
      </c>
      <c r="G1364" s="8">
        <f>IF(ISNA(MATCH(1351,Engine!$C$2:$C$1960,0)),"",INDEX('Compliance Database'!$G$2:$G$1960,MATCH(1351,Engine!$C$2:$C$1960,0)))</f>
        <v/>
      </c>
      <c r="H1364" s="9">
        <f>IF(ISNA(MATCH(1351,Engine!$C$2:$C$1960,0)),"",INDEX('Compliance Database'!$H$2:$H$1960,MATCH(1351,Engine!$C$2:$C$1960,0)))</f>
        <v/>
      </c>
      <c r="I1364" s="9">
        <f>IF(ISNA(MATCH(1351,Engine!$C$2:$C$1960,0)),"",INDEX('Compliance Database'!$I$2:$I$1960,MATCH(1351,Engine!$C$2:$C$1960,0)))</f>
        <v/>
      </c>
      <c r="J1364" s="8">
        <f>IF(ISNA(MATCH(1351,Engine!$C$2:$C$1960,0)),"",INDEX('Compliance Database'!$J$2:$J$1960,MATCH(1351,Engine!$C$2:$C$1960,0)))</f>
        <v/>
      </c>
      <c r="K1364" s="9">
        <f>IF(ISNA(MATCH(1351,Engine!$C$2:$C$1960,0)),"",INDEX('Compliance Database'!$K$2:$K$1960,MATCH(1351,Engine!$C$2:$C$1960,0)))</f>
        <v/>
      </c>
      <c r="L1364" s="9">
        <f>IF(ISNA(MATCH(1351,Engine!$C$2:$C$1960,0)),"",INDEX('Compliance Database'!$L$2:$L$1960,MATCH(1351,Engine!$C$2:$C$1960,0)))</f>
        <v/>
      </c>
      <c r="M1364" s="9">
        <f>IF(ISNA(MATCH(1351,Engine!$C$2:$C$1960,0)),"",INDEX('Compliance Database'!$M$2:$M$1960,MATCH(1351,Engine!$C$2:$C$1960,0)))</f>
        <v/>
      </c>
      <c r="N1364" s="9">
        <f>IF(ISNA(MATCH(1351,Engine!$C$2:$C$1960,0)),"",INDEX('Compliance Database'!$N$2:$N$1960,MATCH(1351,Engine!$C$2:$C$1960,0)))</f>
        <v/>
      </c>
      <c r="O1364" s="9">
        <f>IF(ISNA(MATCH(1351,Engine!$C$2:$C$1960,0)),"",INDEX('Compliance Database'!$O$2:$O$1960,MATCH(1351,Engine!$C$2:$C$1960,0)))</f>
        <v/>
      </c>
      <c r="P1364" s="8">
        <f>IF(ISNA(MATCH(1351,Engine!$C$2:$C$1960,0)),"",HYPERLINK("#Acts!A"&amp;INDEX('Compliance Database'!$P$2:$P$1960,MATCH(1351,Engine!$C$2:$C$1960,0)),"Go to Act"))</f>
        <v/>
      </c>
    </row>
    <row r="1365" ht="158" customHeight="1">
      <c r="A1365" s="8">
        <f>IF(ISNA(MATCH(1352,Engine!$C$2:$C$1960,0)),"",INDEX('Compliance Database'!$A$2:$A$1960,MATCH(1352,Engine!$C$2:$C$1960,0)))</f>
        <v/>
      </c>
      <c r="B1365" s="8">
        <f>IF(ISNA(MATCH(1352,Engine!$C$2:$C$1960,0)),"",INDEX('Compliance Database'!$B$2:$B$1960,MATCH(1352,Engine!$C$2:$C$1960,0)))</f>
        <v/>
      </c>
      <c r="C1365" s="8">
        <f>IF(ISNA(MATCH(1352,Engine!$C$2:$C$1960,0)),"",INDEX('Compliance Database'!$C$2:$C$1960,MATCH(1352,Engine!$C$2:$C$1960,0)))</f>
        <v/>
      </c>
      <c r="D1365" s="9">
        <f>IF(ISNA(MATCH(1352,Engine!$C$2:$C$1960,0)),"",INDEX('Compliance Database'!$D$2:$D$1960,MATCH(1352,Engine!$C$2:$C$1960,0)))</f>
        <v/>
      </c>
      <c r="E1365" s="8">
        <f>IF(ISNA(MATCH(1352,Engine!$C$2:$C$1960,0)),"",INDEX('Compliance Database'!$E$2:$E$1960,MATCH(1352,Engine!$C$2:$C$1960,0)))</f>
        <v/>
      </c>
      <c r="F1365" s="8">
        <f>IF(ISNA(MATCH(1352,Engine!$C$2:$C$1960,0)),"",INDEX('Compliance Database'!$F$2:$F$1960,MATCH(1352,Engine!$C$2:$C$1960,0)))</f>
        <v/>
      </c>
      <c r="G1365" s="8">
        <f>IF(ISNA(MATCH(1352,Engine!$C$2:$C$1960,0)),"",INDEX('Compliance Database'!$G$2:$G$1960,MATCH(1352,Engine!$C$2:$C$1960,0)))</f>
        <v/>
      </c>
      <c r="H1365" s="9">
        <f>IF(ISNA(MATCH(1352,Engine!$C$2:$C$1960,0)),"",INDEX('Compliance Database'!$H$2:$H$1960,MATCH(1352,Engine!$C$2:$C$1960,0)))</f>
        <v/>
      </c>
      <c r="I1365" s="9">
        <f>IF(ISNA(MATCH(1352,Engine!$C$2:$C$1960,0)),"",INDEX('Compliance Database'!$I$2:$I$1960,MATCH(1352,Engine!$C$2:$C$1960,0)))</f>
        <v/>
      </c>
      <c r="J1365" s="8">
        <f>IF(ISNA(MATCH(1352,Engine!$C$2:$C$1960,0)),"",INDEX('Compliance Database'!$J$2:$J$1960,MATCH(1352,Engine!$C$2:$C$1960,0)))</f>
        <v/>
      </c>
      <c r="K1365" s="9">
        <f>IF(ISNA(MATCH(1352,Engine!$C$2:$C$1960,0)),"",INDEX('Compliance Database'!$K$2:$K$1960,MATCH(1352,Engine!$C$2:$C$1960,0)))</f>
        <v/>
      </c>
      <c r="L1365" s="9">
        <f>IF(ISNA(MATCH(1352,Engine!$C$2:$C$1960,0)),"",INDEX('Compliance Database'!$L$2:$L$1960,MATCH(1352,Engine!$C$2:$C$1960,0)))</f>
        <v/>
      </c>
      <c r="M1365" s="9">
        <f>IF(ISNA(MATCH(1352,Engine!$C$2:$C$1960,0)),"",INDEX('Compliance Database'!$M$2:$M$1960,MATCH(1352,Engine!$C$2:$C$1960,0)))</f>
        <v/>
      </c>
      <c r="N1365" s="9">
        <f>IF(ISNA(MATCH(1352,Engine!$C$2:$C$1960,0)),"",INDEX('Compliance Database'!$N$2:$N$1960,MATCH(1352,Engine!$C$2:$C$1960,0)))</f>
        <v/>
      </c>
      <c r="O1365" s="9">
        <f>IF(ISNA(MATCH(1352,Engine!$C$2:$C$1960,0)),"",INDEX('Compliance Database'!$O$2:$O$1960,MATCH(1352,Engine!$C$2:$C$1960,0)))</f>
        <v/>
      </c>
      <c r="P1365" s="8">
        <f>IF(ISNA(MATCH(1352,Engine!$C$2:$C$1960,0)),"",HYPERLINK("#Acts!A"&amp;INDEX('Compliance Database'!$P$2:$P$1960,MATCH(1352,Engine!$C$2:$C$1960,0)),"Go to Act"))</f>
        <v/>
      </c>
    </row>
    <row r="1366" ht="158" customHeight="1">
      <c r="A1366" s="8">
        <f>IF(ISNA(MATCH(1353,Engine!$C$2:$C$1960,0)),"",INDEX('Compliance Database'!$A$2:$A$1960,MATCH(1353,Engine!$C$2:$C$1960,0)))</f>
        <v/>
      </c>
      <c r="B1366" s="8">
        <f>IF(ISNA(MATCH(1353,Engine!$C$2:$C$1960,0)),"",INDEX('Compliance Database'!$B$2:$B$1960,MATCH(1353,Engine!$C$2:$C$1960,0)))</f>
        <v/>
      </c>
      <c r="C1366" s="8">
        <f>IF(ISNA(MATCH(1353,Engine!$C$2:$C$1960,0)),"",INDEX('Compliance Database'!$C$2:$C$1960,MATCH(1353,Engine!$C$2:$C$1960,0)))</f>
        <v/>
      </c>
      <c r="D1366" s="9">
        <f>IF(ISNA(MATCH(1353,Engine!$C$2:$C$1960,0)),"",INDEX('Compliance Database'!$D$2:$D$1960,MATCH(1353,Engine!$C$2:$C$1960,0)))</f>
        <v/>
      </c>
      <c r="E1366" s="8">
        <f>IF(ISNA(MATCH(1353,Engine!$C$2:$C$1960,0)),"",INDEX('Compliance Database'!$E$2:$E$1960,MATCH(1353,Engine!$C$2:$C$1960,0)))</f>
        <v/>
      </c>
      <c r="F1366" s="8">
        <f>IF(ISNA(MATCH(1353,Engine!$C$2:$C$1960,0)),"",INDEX('Compliance Database'!$F$2:$F$1960,MATCH(1353,Engine!$C$2:$C$1960,0)))</f>
        <v/>
      </c>
      <c r="G1366" s="8">
        <f>IF(ISNA(MATCH(1353,Engine!$C$2:$C$1960,0)),"",INDEX('Compliance Database'!$G$2:$G$1960,MATCH(1353,Engine!$C$2:$C$1960,0)))</f>
        <v/>
      </c>
      <c r="H1366" s="9">
        <f>IF(ISNA(MATCH(1353,Engine!$C$2:$C$1960,0)),"",INDEX('Compliance Database'!$H$2:$H$1960,MATCH(1353,Engine!$C$2:$C$1960,0)))</f>
        <v/>
      </c>
      <c r="I1366" s="9">
        <f>IF(ISNA(MATCH(1353,Engine!$C$2:$C$1960,0)),"",INDEX('Compliance Database'!$I$2:$I$1960,MATCH(1353,Engine!$C$2:$C$1960,0)))</f>
        <v/>
      </c>
      <c r="J1366" s="8">
        <f>IF(ISNA(MATCH(1353,Engine!$C$2:$C$1960,0)),"",INDEX('Compliance Database'!$J$2:$J$1960,MATCH(1353,Engine!$C$2:$C$1960,0)))</f>
        <v/>
      </c>
      <c r="K1366" s="9">
        <f>IF(ISNA(MATCH(1353,Engine!$C$2:$C$1960,0)),"",INDEX('Compliance Database'!$K$2:$K$1960,MATCH(1353,Engine!$C$2:$C$1960,0)))</f>
        <v/>
      </c>
      <c r="L1366" s="9">
        <f>IF(ISNA(MATCH(1353,Engine!$C$2:$C$1960,0)),"",INDEX('Compliance Database'!$L$2:$L$1960,MATCH(1353,Engine!$C$2:$C$1960,0)))</f>
        <v/>
      </c>
      <c r="M1366" s="9">
        <f>IF(ISNA(MATCH(1353,Engine!$C$2:$C$1960,0)),"",INDEX('Compliance Database'!$M$2:$M$1960,MATCH(1353,Engine!$C$2:$C$1960,0)))</f>
        <v/>
      </c>
      <c r="N1366" s="9">
        <f>IF(ISNA(MATCH(1353,Engine!$C$2:$C$1960,0)),"",INDEX('Compliance Database'!$N$2:$N$1960,MATCH(1353,Engine!$C$2:$C$1960,0)))</f>
        <v/>
      </c>
      <c r="O1366" s="9">
        <f>IF(ISNA(MATCH(1353,Engine!$C$2:$C$1960,0)),"",INDEX('Compliance Database'!$O$2:$O$1960,MATCH(1353,Engine!$C$2:$C$1960,0)))</f>
        <v/>
      </c>
      <c r="P1366" s="8">
        <f>IF(ISNA(MATCH(1353,Engine!$C$2:$C$1960,0)),"",HYPERLINK("#Acts!A"&amp;INDEX('Compliance Database'!$P$2:$P$1960,MATCH(1353,Engine!$C$2:$C$1960,0)),"Go to Act"))</f>
        <v/>
      </c>
    </row>
    <row r="1367" ht="158" customHeight="1">
      <c r="A1367" s="8">
        <f>IF(ISNA(MATCH(1354,Engine!$C$2:$C$1960,0)),"",INDEX('Compliance Database'!$A$2:$A$1960,MATCH(1354,Engine!$C$2:$C$1960,0)))</f>
        <v/>
      </c>
      <c r="B1367" s="8">
        <f>IF(ISNA(MATCH(1354,Engine!$C$2:$C$1960,0)),"",INDEX('Compliance Database'!$B$2:$B$1960,MATCH(1354,Engine!$C$2:$C$1960,0)))</f>
        <v/>
      </c>
      <c r="C1367" s="8">
        <f>IF(ISNA(MATCH(1354,Engine!$C$2:$C$1960,0)),"",INDEX('Compliance Database'!$C$2:$C$1960,MATCH(1354,Engine!$C$2:$C$1960,0)))</f>
        <v/>
      </c>
      <c r="D1367" s="9">
        <f>IF(ISNA(MATCH(1354,Engine!$C$2:$C$1960,0)),"",INDEX('Compliance Database'!$D$2:$D$1960,MATCH(1354,Engine!$C$2:$C$1960,0)))</f>
        <v/>
      </c>
      <c r="E1367" s="8">
        <f>IF(ISNA(MATCH(1354,Engine!$C$2:$C$1960,0)),"",INDEX('Compliance Database'!$E$2:$E$1960,MATCH(1354,Engine!$C$2:$C$1960,0)))</f>
        <v/>
      </c>
      <c r="F1367" s="8">
        <f>IF(ISNA(MATCH(1354,Engine!$C$2:$C$1960,0)),"",INDEX('Compliance Database'!$F$2:$F$1960,MATCH(1354,Engine!$C$2:$C$1960,0)))</f>
        <v/>
      </c>
      <c r="G1367" s="8">
        <f>IF(ISNA(MATCH(1354,Engine!$C$2:$C$1960,0)),"",INDEX('Compliance Database'!$G$2:$G$1960,MATCH(1354,Engine!$C$2:$C$1960,0)))</f>
        <v/>
      </c>
      <c r="H1367" s="9">
        <f>IF(ISNA(MATCH(1354,Engine!$C$2:$C$1960,0)),"",INDEX('Compliance Database'!$H$2:$H$1960,MATCH(1354,Engine!$C$2:$C$1960,0)))</f>
        <v/>
      </c>
      <c r="I1367" s="9">
        <f>IF(ISNA(MATCH(1354,Engine!$C$2:$C$1960,0)),"",INDEX('Compliance Database'!$I$2:$I$1960,MATCH(1354,Engine!$C$2:$C$1960,0)))</f>
        <v/>
      </c>
      <c r="J1367" s="8">
        <f>IF(ISNA(MATCH(1354,Engine!$C$2:$C$1960,0)),"",INDEX('Compliance Database'!$J$2:$J$1960,MATCH(1354,Engine!$C$2:$C$1960,0)))</f>
        <v/>
      </c>
      <c r="K1367" s="9">
        <f>IF(ISNA(MATCH(1354,Engine!$C$2:$C$1960,0)),"",INDEX('Compliance Database'!$K$2:$K$1960,MATCH(1354,Engine!$C$2:$C$1960,0)))</f>
        <v/>
      </c>
      <c r="L1367" s="9">
        <f>IF(ISNA(MATCH(1354,Engine!$C$2:$C$1960,0)),"",INDEX('Compliance Database'!$L$2:$L$1960,MATCH(1354,Engine!$C$2:$C$1960,0)))</f>
        <v/>
      </c>
      <c r="M1367" s="9">
        <f>IF(ISNA(MATCH(1354,Engine!$C$2:$C$1960,0)),"",INDEX('Compliance Database'!$M$2:$M$1960,MATCH(1354,Engine!$C$2:$C$1960,0)))</f>
        <v/>
      </c>
      <c r="N1367" s="9">
        <f>IF(ISNA(MATCH(1354,Engine!$C$2:$C$1960,0)),"",INDEX('Compliance Database'!$N$2:$N$1960,MATCH(1354,Engine!$C$2:$C$1960,0)))</f>
        <v/>
      </c>
      <c r="O1367" s="9">
        <f>IF(ISNA(MATCH(1354,Engine!$C$2:$C$1960,0)),"",INDEX('Compliance Database'!$O$2:$O$1960,MATCH(1354,Engine!$C$2:$C$1960,0)))</f>
        <v/>
      </c>
      <c r="P1367" s="8">
        <f>IF(ISNA(MATCH(1354,Engine!$C$2:$C$1960,0)),"",HYPERLINK("#Acts!A"&amp;INDEX('Compliance Database'!$P$2:$P$1960,MATCH(1354,Engine!$C$2:$C$1960,0)),"Go to Act"))</f>
        <v/>
      </c>
    </row>
    <row r="1368" ht="158" customHeight="1">
      <c r="A1368" s="8">
        <f>IF(ISNA(MATCH(1355,Engine!$C$2:$C$1960,0)),"",INDEX('Compliance Database'!$A$2:$A$1960,MATCH(1355,Engine!$C$2:$C$1960,0)))</f>
        <v/>
      </c>
      <c r="B1368" s="8">
        <f>IF(ISNA(MATCH(1355,Engine!$C$2:$C$1960,0)),"",INDEX('Compliance Database'!$B$2:$B$1960,MATCH(1355,Engine!$C$2:$C$1960,0)))</f>
        <v/>
      </c>
      <c r="C1368" s="8">
        <f>IF(ISNA(MATCH(1355,Engine!$C$2:$C$1960,0)),"",INDEX('Compliance Database'!$C$2:$C$1960,MATCH(1355,Engine!$C$2:$C$1960,0)))</f>
        <v/>
      </c>
      <c r="D1368" s="9">
        <f>IF(ISNA(MATCH(1355,Engine!$C$2:$C$1960,0)),"",INDEX('Compliance Database'!$D$2:$D$1960,MATCH(1355,Engine!$C$2:$C$1960,0)))</f>
        <v/>
      </c>
      <c r="E1368" s="8">
        <f>IF(ISNA(MATCH(1355,Engine!$C$2:$C$1960,0)),"",INDEX('Compliance Database'!$E$2:$E$1960,MATCH(1355,Engine!$C$2:$C$1960,0)))</f>
        <v/>
      </c>
      <c r="F1368" s="8">
        <f>IF(ISNA(MATCH(1355,Engine!$C$2:$C$1960,0)),"",INDEX('Compliance Database'!$F$2:$F$1960,MATCH(1355,Engine!$C$2:$C$1960,0)))</f>
        <v/>
      </c>
      <c r="G1368" s="8">
        <f>IF(ISNA(MATCH(1355,Engine!$C$2:$C$1960,0)),"",INDEX('Compliance Database'!$G$2:$G$1960,MATCH(1355,Engine!$C$2:$C$1960,0)))</f>
        <v/>
      </c>
      <c r="H1368" s="9">
        <f>IF(ISNA(MATCH(1355,Engine!$C$2:$C$1960,0)),"",INDEX('Compliance Database'!$H$2:$H$1960,MATCH(1355,Engine!$C$2:$C$1960,0)))</f>
        <v/>
      </c>
      <c r="I1368" s="9">
        <f>IF(ISNA(MATCH(1355,Engine!$C$2:$C$1960,0)),"",INDEX('Compliance Database'!$I$2:$I$1960,MATCH(1355,Engine!$C$2:$C$1960,0)))</f>
        <v/>
      </c>
      <c r="J1368" s="8">
        <f>IF(ISNA(MATCH(1355,Engine!$C$2:$C$1960,0)),"",INDEX('Compliance Database'!$J$2:$J$1960,MATCH(1355,Engine!$C$2:$C$1960,0)))</f>
        <v/>
      </c>
      <c r="K1368" s="9">
        <f>IF(ISNA(MATCH(1355,Engine!$C$2:$C$1960,0)),"",INDEX('Compliance Database'!$K$2:$K$1960,MATCH(1355,Engine!$C$2:$C$1960,0)))</f>
        <v/>
      </c>
      <c r="L1368" s="9">
        <f>IF(ISNA(MATCH(1355,Engine!$C$2:$C$1960,0)),"",INDEX('Compliance Database'!$L$2:$L$1960,MATCH(1355,Engine!$C$2:$C$1960,0)))</f>
        <v/>
      </c>
      <c r="M1368" s="9">
        <f>IF(ISNA(MATCH(1355,Engine!$C$2:$C$1960,0)),"",INDEX('Compliance Database'!$M$2:$M$1960,MATCH(1355,Engine!$C$2:$C$1960,0)))</f>
        <v/>
      </c>
      <c r="N1368" s="9">
        <f>IF(ISNA(MATCH(1355,Engine!$C$2:$C$1960,0)),"",INDEX('Compliance Database'!$N$2:$N$1960,MATCH(1355,Engine!$C$2:$C$1960,0)))</f>
        <v/>
      </c>
      <c r="O1368" s="9">
        <f>IF(ISNA(MATCH(1355,Engine!$C$2:$C$1960,0)),"",INDEX('Compliance Database'!$O$2:$O$1960,MATCH(1355,Engine!$C$2:$C$1960,0)))</f>
        <v/>
      </c>
      <c r="P1368" s="8">
        <f>IF(ISNA(MATCH(1355,Engine!$C$2:$C$1960,0)),"",HYPERLINK("#Acts!A"&amp;INDEX('Compliance Database'!$P$2:$P$1960,MATCH(1355,Engine!$C$2:$C$1960,0)),"Go to Act"))</f>
        <v/>
      </c>
    </row>
    <row r="1369" ht="158" customHeight="1">
      <c r="A1369" s="8">
        <f>IF(ISNA(MATCH(1356,Engine!$C$2:$C$1960,0)),"",INDEX('Compliance Database'!$A$2:$A$1960,MATCH(1356,Engine!$C$2:$C$1960,0)))</f>
        <v/>
      </c>
      <c r="B1369" s="8">
        <f>IF(ISNA(MATCH(1356,Engine!$C$2:$C$1960,0)),"",INDEX('Compliance Database'!$B$2:$B$1960,MATCH(1356,Engine!$C$2:$C$1960,0)))</f>
        <v/>
      </c>
      <c r="C1369" s="8">
        <f>IF(ISNA(MATCH(1356,Engine!$C$2:$C$1960,0)),"",INDEX('Compliance Database'!$C$2:$C$1960,MATCH(1356,Engine!$C$2:$C$1960,0)))</f>
        <v/>
      </c>
      <c r="D1369" s="9">
        <f>IF(ISNA(MATCH(1356,Engine!$C$2:$C$1960,0)),"",INDEX('Compliance Database'!$D$2:$D$1960,MATCH(1356,Engine!$C$2:$C$1960,0)))</f>
        <v/>
      </c>
      <c r="E1369" s="8">
        <f>IF(ISNA(MATCH(1356,Engine!$C$2:$C$1960,0)),"",INDEX('Compliance Database'!$E$2:$E$1960,MATCH(1356,Engine!$C$2:$C$1960,0)))</f>
        <v/>
      </c>
      <c r="F1369" s="8">
        <f>IF(ISNA(MATCH(1356,Engine!$C$2:$C$1960,0)),"",INDEX('Compliance Database'!$F$2:$F$1960,MATCH(1356,Engine!$C$2:$C$1960,0)))</f>
        <v/>
      </c>
      <c r="G1369" s="8">
        <f>IF(ISNA(MATCH(1356,Engine!$C$2:$C$1960,0)),"",INDEX('Compliance Database'!$G$2:$G$1960,MATCH(1356,Engine!$C$2:$C$1960,0)))</f>
        <v/>
      </c>
      <c r="H1369" s="9">
        <f>IF(ISNA(MATCH(1356,Engine!$C$2:$C$1960,0)),"",INDEX('Compliance Database'!$H$2:$H$1960,MATCH(1356,Engine!$C$2:$C$1960,0)))</f>
        <v/>
      </c>
      <c r="I1369" s="9">
        <f>IF(ISNA(MATCH(1356,Engine!$C$2:$C$1960,0)),"",INDEX('Compliance Database'!$I$2:$I$1960,MATCH(1356,Engine!$C$2:$C$1960,0)))</f>
        <v/>
      </c>
      <c r="J1369" s="8">
        <f>IF(ISNA(MATCH(1356,Engine!$C$2:$C$1960,0)),"",INDEX('Compliance Database'!$J$2:$J$1960,MATCH(1356,Engine!$C$2:$C$1960,0)))</f>
        <v/>
      </c>
      <c r="K1369" s="9">
        <f>IF(ISNA(MATCH(1356,Engine!$C$2:$C$1960,0)),"",INDEX('Compliance Database'!$K$2:$K$1960,MATCH(1356,Engine!$C$2:$C$1960,0)))</f>
        <v/>
      </c>
      <c r="L1369" s="9">
        <f>IF(ISNA(MATCH(1356,Engine!$C$2:$C$1960,0)),"",INDEX('Compliance Database'!$L$2:$L$1960,MATCH(1356,Engine!$C$2:$C$1960,0)))</f>
        <v/>
      </c>
      <c r="M1369" s="9">
        <f>IF(ISNA(MATCH(1356,Engine!$C$2:$C$1960,0)),"",INDEX('Compliance Database'!$M$2:$M$1960,MATCH(1356,Engine!$C$2:$C$1960,0)))</f>
        <v/>
      </c>
      <c r="N1369" s="9">
        <f>IF(ISNA(MATCH(1356,Engine!$C$2:$C$1960,0)),"",INDEX('Compliance Database'!$N$2:$N$1960,MATCH(1356,Engine!$C$2:$C$1960,0)))</f>
        <v/>
      </c>
      <c r="O1369" s="9">
        <f>IF(ISNA(MATCH(1356,Engine!$C$2:$C$1960,0)),"",INDEX('Compliance Database'!$O$2:$O$1960,MATCH(1356,Engine!$C$2:$C$1960,0)))</f>
        <v/>
      </c>
      <c r="P1369" s="8">
        <f>IF(ISNA(MATCH(1356,Engine!$C$2:$C$1960,0)),"",HYPERLINK("#Acts!A"&amp;INDEX('Compliance Database'!$P$2:$P$1960,MATCH(1356,Engine!$C$2:$C$1960,0)),"Go to Act"))</f>
        <v/>
      </c>
    </row>
    <row r="1370" ht="158" customHeight="1">
      <c r="A1370" s="8">
        <f>IF(ISNA(MATCH(1357,Engine!$C$2:$C$1960,0)),"",INDEX('Compliance Database'!$A$2:$A$1960,MATCH(1357,Engine!$C$2:$C$1960,0)))</f>
        <v/>
      </c>
      <c r="B1370" s="8">
        <f>IF(ISNA(MATCH(1357,Engine!$C$2:$C$1960,0)),"",INDEX('Compliance Database'!$B$2:$B$1960,MATCH(1357,Engine!$C$2:$C$1960,0)))</f>
        <v/>
      </c>
      <c r="C1370" s="8">
        <f>IF(ISNA(MATCH(1357,Engine!$C$2:$C$1960,0)),"",INDEX('Compliance Database'!$C$2:$C$1960,MATCH(1357,Engine!$C$2:$C$1960,0)))</f>
        <v/>
      </c>
      <c r="D1370" s="9">
        <f>IF(ISNA(MATCH(1357,Engine!$C$2:$C$1960,0)),"",INDEX('Compliance Database'!$D$2:$D$1960,MATCH(1357,Engine!$C$2:$C$1960,0)))</f>
        <v/>
      </c>
      <c r="E1370" s="8">
        <f>IF(ISNA(MATCH(1357,Engine!$C$2:$C$1960,0)),"",INDEX('Compliance Database'!$E$2:$E$1960,MATCH(1357,Engine!$C$2:$C$1960,0)))</f>
        <v/>
      </c>
      <c r="F1370" s="8">
        <f>IF(ISNA(MATCH(1357,Engine!$C$2:$C$1960,0)),"",INDEX('Compliance Database'!$F$2:$F$1960,MATCH(1357,Engine!$C$2:$C$1960,0)))</f>
        <v/>
      </c>
      <c r="G1370" s="8">
        <f>IF(ISNA(MATCH(1357,Engine!$C$2:$C$1960,0)),"",INDEX('Compliance Database'!$G$2:$G$1960,MATCH(1357,Engine!$C$2:$C$1960,0)))</f>
        <v/>
      </c>
      <c r="H1370" s="9">
        <f>IF(ISNA(MATCH(1357,Engine!$C$2:$C$1960,0)),"",INDEX('Compliance Database'!$H$2:$H$1960,MATCH(1357,Engine!$C$2:$C$1960,0)))</f>
        <v/>
      </c>
      <c r="I1370" s="9">
        <f>IF(ISNA(MATCH(1357,Engine!$C$2:$C$1960,0)),"",INDEX('Compliance Database'!$I$2:$I$1960,MATCH(1357,Engine!$C$2:$C$1960,0)))</f>
        <v/>
      </c>
      <c r="J1370" s="8">
        <f>IF(ISNA(MATCH(1357,Engine!$C$2:$C$1960,0)),"",INDEX('Compliance Database'!$J$2:$J$1960,MATCH(1357,Engine!$C$2:$C$1960,0)))</f>
        <v/>
      </c>
      <c r="K1370" s="9">
        <f>IF(ISNA(MATCH(1357,Engine!$C$2:$C$1960,0)),"",INDEX('Compliance Database'!$K$2:$K$1960,MATCH(1357,Engine!$C$2:$C$1960,0)))</f>
        <v/>
      </c>
      <c r="L1370" s="9">
        <f>IF(ISNA(MATCH(1357,Engine!$C$2:$C$1960,0)),"",INDEX('Compliance Database'!$L$2:$L$1960,MATCH(1357,Engine!$C$2:$C$1960,0)))</f>
        <v/>
      </c>
      <c r="M1370" s="9">
        <f>IF(ISNA(MATCH(1357,Engine!$C$2:$C$1960,0)),"",INDEX('Compliance Database'!$M$2:$M$1960,MATCH(1357,Engine!$C$2:$C$1960,0)))</f>
        <v/>
      </c>
      <c r="N1370" s="9">
        <f>IF(ISNA(MATCH(1357,Engine!$C$2:$C$1960,0)),"",INDEX('Compliance Database'!$N$2:$N$1960,MATCH(1357,Engine!$C$2:$C$1960,0)))</f>
        <v/>
      </c>
      <c r="O1370" s="9">
        <f>IF(ISNA(MATCH(1357,Engine!$C$2:$C$1960,0)),"",INDEX('Compliance Database'!$O$2:$O$1960,MATCH(1357,Engine!$C$2:$C$1960,0)))</f>
        <v/>
      </c>
      <c r="P1370" s="8">
        <f>IF(ISNA(MATCH(1357,Engine!$C$2:$C$1960,0)),"",HYPERLINK("#Acts!A"&amp;INDEX('Compliance Database'!$P$2:$P$1960,MATCH(1357,Engine!$C$2:$C$1960,0)),"Go to Act"))</f>
        <v/>
      </c>
    </row>
    <row r="1371" ht="158" customHeight="1">
      <c r="A1371" s="8">
        <f>IF(ISNA(MATCH(1358,Engine!$C$2:$C$1960,0)),"",INDEX('Compliance Database'!$A$2:$A$1960,MATCH(1358,Engine!$C$2:$C$1960,0)))</f>
        <v/>
      </c>
      <c r="B1371" s="8">
        <f>IF(ISNA(MATCH(1358,Engine!$C$2:$C$1960,0)),"",INDEX('Compliance Database'!$B$2:$B$1960,MATCH(1358,Engine!$C$2:$C$1960,0)))</f>
        <v/>
      </c>
      <c r="C1371" s="8">
        <f>IF(ISNA(MATCH(1358,Engine!$C$2:$C$1960,0)),"",INDEX('Compliance Database'!$C$2:$C$1960,MATCH(1358,Engine!$C$2:$C$1960,0)))</f>
        <v/>
      </c>
      <c r="D1371" s="9">
        <f>IF(ISNA(MATCH(1358,Engine!$C$2:$C$1960,0)),"",INDEX('Compliance Database'!$D$2:$D$1960,MATCH(1358,Engine!$C$2:$C$1960,0)))</f>
        <v/>
      </c>
      <c r="E1371" s="8">
        <f>IF(ISNA(MATCH(1358,Engine!$C$2:$C$1960,0)),"",INDEX('Compliance Database'!$E$2:$E$1960,MATCH(1358,Engine!$C$2:$C$1960,0)))</f>
        <v/>
      </c>
      <c r="F1371" s="8">
        <f>IF(ISNA(MATCH(1358,Engine!$C$2:$C$1960,0)),"",INDEX('Compliance Database'!$F$2:$F$1960,MATCH(1358,Engine!$C$2:$C$1960,0)))</f>
        <v/>
      </c>
      <c r="G1371" s="8">
        <f>IF(ISNA(MATCH(1358,Engine!$C$2:$C$1960,0)),"",INDEX('Compliance Database'!$G$2:$G$1960,MATCH(1358,Engine!$C$2:$C$1960,0)))</f>
        <v/>
      </c>
      <c r="H1371" s="9">
        <f>IF(ISNA(MATCH(1358,Engine!$C$2:$C$1960,0)),"",INDEX('Compliance Database'!$H$2:$H$1960,MATCH(1358,Engine!$C$2:$C$1960,0)))</f>
        <v/>
      </c>
      <c r="I1371" s="9">
        <f>IF(ISNA(MATCH(1358,Engine!$C$2:$C$1960,0)),"",INDEX('Compliance Database'!$I$2:$I$1960,MATCH(1358,Engine!$C$2:$C$1960,0)))</f>
        <v/>
      </c>
      <c r="J1371" s="8">
        <f>IF(ISNA(MATCH(1358,Engine!$C$2:$C$1960,0)),"",INDEX('Compliance Database'!$J$2:$J$1960,MATCH(1358,Engine!$C$2:$C$1960,0)))</f>
        <v/>
      </c>
      <c r="K1371" s="9">
        <f>IF(ISNA(MATCH(1358,Engine!$C$2:$C$1960,0)),"",INDEX('Compliance Database'!$K$2:$K$1960,MATCH(1358,Engine!$C$2:$C$1960,0)))</f>
        <v/>
      </c>
      <c r="L1371" s="9">
        <f>IF(ISNA(MATCH(1358,Engine!$C$2:$C$1960,0)),"",INDEX('Compliance Database'!$L$2:$L$1960,MATCH(1358,Engine!$C$2:$C$1960,0)))</f>
        <v/>
      </c>
      <c r="M1371" s="9">
        <f>IF(ISNA(MATCH(1358,Engine!$C$2:$C$1960,0)),"",INDEX('Compliance Database'!$M$2:$M$1960,MATCH(1358,Engine!$C$2:$C$1960,0)))</f>
        <v/>
      </c>
      <c r="N1371" s="9">
        <f>IF(ISNA(MATCH(1358,Engine!$C$2:$C$1960,0)),"",INDEX('Compliance Database'!$N$2:$N$1960,MATCH(1358,Engine!$C$2:$C$1960,0)))</f>
        <v/>
      </c>
      <c r="O1371" s="9">
        <f>IF(ISNA(MATCH(1358,Engine!$C$2:$C$1960,0)),"",INDEX('Compliance Database'!$O$2:$O$1960,MATCH(1358,Engine!$C$2:$C$1960,0)))</f>
        <v/>
      </c>
      <c r="P1371" s="8">
        <f>IF(ISNA(MATCH(1358,Engine!$C$2:$C$1960,0)),"",HYPERLINK("#Acts!A"&amp;INDEX('Compliance Database'!$P$2:$P$1960,MATCH(1358,Engine!$C$2:$C$1960,0)),"Go to Act"))</f>
        <v/>
      </c>
    </row>
    <row r="1372" ht="158" customHeight="1">
      <c r="A1372" s="8">
        <f>IF(ISNA(MATCH(1359,Engine!$C$2:$C$1960,0)),"",INDEX('Compliance Database'!$A$2:$A$1960,MATCH(1359,Engine!$C$2:$C$1960,0)))</f>
        <v/>
      </c>
      <c r="B1372" s="8">
        <f>IF(ISNA(MATCH(1359,Engine!$C$2:$C$1960,0)),"",INDEX('Compliance Database'!$B$2:$B$1960,MATCH(1359,Engine!$C$2:$C$1960,0)))</f>
        <v/>
      </c>
      <c r="C1372" s="8">
        <f>IF(ISNA(MATCH(1359,Engine!$C$2:$C$1960,0)),"",INDEX('Compliance Database'!$C$2:$C$1960,MATCH(1359,Engine!$C$2:$C$1960,0)))</f>
        <v/>
      </c>
      <c r="D1372" s="9">
        <f>IF(ISNA(MATCH(1359,Engine!$C$2:$C$1960,0)),"",INDEX('Compliance Database'!$D$2:$D$1960,MATCH(1359,Engine!$C$2:$C$1960,0)))</f>
        <v/>
      </c>
      <c r="E1372" s="8">
        <f>IF(ISNA(MATCH(1359,Engine!$C$2:$C$1960,0)),"",INDEX('Compliance Database'!$E$2:$E$1960,MATCH(1359,Engine!$C$2:$C$1960,0)))</f>
        <v/>
      </c>
      <c r="F1372" s="8">
        <f>IF(ISNA(MATCH(1359,Engine!$C$2:$C$1960,0)),"",INDEX('Compliance Database'!$F$2:$F$1960,MATCH(1359,Engine!$C$2:$C$1960,0)))</f>
        <v/>
      </c>
      <c r="G1372" s="8">
        <f>IF(ISNA(MATCH(1359,Engine!$C$2:$C$1960,0)),"",INDEX('Compliance Database'!$G$2:$G$1960,MATCH(1359,Engine!$C$2:$C$1960,0)))</f>
        <v/>
      </c>
      <c r="H1372" s="9">
        <f>IF(ISNA(MATCH(1359,Engine!$C$2:$C$1960,0)),"",INDEX('Compliance Database'!$H$2:$H$1960,MATCH(1359,Engine!$C$2:$C$1960,0)))</f>
        <v/>
      </c>
      <c r="I1372" s="9">
        <f>IF(ISNA(MATCH(1359,Engine!$C$2:$C$1960,0)),"",INDEX('Compliance Database'!$I$2:$I$1960,MATCH(1359,Engine!$C$2:$C$1960,0)))</f>
        <v/>
      </c>
      <c r="J1372" s="8">
        <f>IF(ISNA(MATCH(1359,Engine!$C$2:$C$1960,0)),"",INDEX('Compliance Database'!$J$2:$J$1960,MATCH(1359,Engine!$C$2:$C$1960,0)))</f>
        <v/>
      </c>
      <c r="K1372" s="9">
        <f>IF(ISNA(MATCH(1359,Engine!$C$2:$C$1960,0)),"",INDEX('Compliance Database'!$K$2:$K$1960,MATCH(1359,Engine!$C$2:$C$1960,0)))</f>
        <v/>
      </c>
      <c r="L1372" s="9">
        <f>IF(ISNA(MATCH(1359,Engine!$C$2:$C$1960,0)),"",INDEX('Compliance Database'!$L$2:$L$1960,MATCH(1359,Engine!$C$2:$C$1960,0)))</f>
        <v/>
      </c>
      <c r="M1372" s="9">
        <f>IF(ISNA(MATCH(1359,Engine!$C$2:$C$1960,0)),"",INDEX('Compliance Database'!$M$2:$M$1960,MATCH(1359,Engine!$C$2:$C$1960,0)))</f>
        <v/>
      </c>
      <c r="N1372" s="9">
        <f>IF(ISNA(MATCH(1359,Engine!$C$2:$C$1960,0)),"",INDEX('Compliance Database'!$N$2:$N$1960,MATCH(1359,Engine!$C$2:$C$1960,0)))</f>
        <v/>
      </c>
      <c r="O1372" s="9">
        <f>IF(ISNA(MATCH(1359,Engine!$C$2:$C$1960,0)),"",INDEX('Compliance Database'!$O$2:$O$1960,MATCH(1359,Engine!$C$2:$C$1960,0)))</f>
        <v/>
      </c>
      <c r="P1372" s="8">
        <f>IF(ISNA(MATCH(1359,Engine!$C$2:$C$1960,0)),"",HYPERLINK("#Acts!A"&amp;INDEX('Compliance Database'!$P$2:$P$1960,MATCH(1359,Engine!$C$2:$C$1960,0)),"Go to Act"))</f>
        <v/>
      </c>
    </row>
    <row r="1373" ht="158" customHeight="1">
      <c r="A1373" s="8">
        <f>IF(ISNA(MATCH(1360,Engine!$C$2:$C$1960,0)),"",INDEX('Compliance Database'!$A$2:$A$1960,MATCH(1360,Engine!$C$2:$C$1960,0)))</f>
        <v/>
      </c>
      <c r="B1373" s="8">
        <f>IF(ISNA(MATCH(1360,Engine!$C$2:$C$1960,0)),"",INDEX('Compliance Database'!$B$2:$B$1960,MATCH(1360,Engine!$C$2:$C$1960,0)))</f>
        <v/>
      </c>
      <c r="C1373" s="8">
        <f>IF(ISNA(MATCH(1360,Engine!$C$2:$C$1960,0)),"",INDEX('Compliance Database'!$C$2:$C$1960,MATCH(1360,Engine!$C$2:$C$1960,0)))</f>
        <v/>
      </c>
      <c r="D1373" s="9">
        <f>IF(ISNA(MATCH(1360,Engine!$C$2:$C$1960,0)),"",INDEX('Compliance Database'!$D$2:$D$1960,MATCH(1360,Engine!$C$2:$C$1960,0)))</f>
        <v/>
      </c>
      <c r="E1373" s="8">
        <f>IF(ISNA(MATCH(1360,Engine!$C$2:$C$1960,0)),"",INDEX('Compliance Database'!$E$2:$E$1960,MATCH(1360,Engine!$C$2:$C$1960,0)))</f>
        <v/>
      </c>
      <c r="F1373" s="8">
        <f>IF(ISNA(MATCH(1360,Engine!$C$2:$C$1960,0)),"",INDEX('Compliance Database'!$F$2:$F$1960,MATCH(1360,Engine!$C$2:$C$1960,0)))</f>
        <v/>
      </c>
      <c r="G1373" s="8">
        <f>IF(ISNA(MATCH(1360,Engine!$C$2:$C$1960,0)),"",INDEX('Compliance Database'!$G$2:$G$1960,MATCH(1360,Engine!$C$2:$C$1960,0)))</f>
        <v/>
      </c>
      <c r="H1373" s="9">
        <f>IF(ISNA(MATCH(1360,Engine!$C$2:$C$1960,0)),"",INDEX('Compliance Database'!$H$2:$H$1960,MATCH(1360,Engine!$C$2:$C$1960,0)))</f>
        <v/>
      </c>
      <c r="I1373" s="9">
        <f>IF(ISNA(MATCH(1360,Engine!$C$2:$C$1960,0)),"",INDEX('Compliance Database'!$I$2:$I$1960,MATCH(1360,Engine!$C$2:$C$1960,0)))</f>
        <v/>
      </c>
      <c r="J1373" s="8">
        <f>IF(ISNA(MATCH(1360,Engine!$C$2:$C$1960,0)),"",INDEX('Compliance Database'!$J$2:$J$1960,MATCH(1360,Engine!$C$2:$C$1960,0)))</f>
        <v/>
      </c>
      <c r="K1373" s="9">
        <f>IF(ISNA(MATCH(1360,Engine!$C$2:$C$1960,0)),"",INDEX('Compliance Database'!$K$2:$K$1960,MATCH(1360,Engine!$C$2:$C$1960,0)))</f>
        <v/>
      </c>
      <c r="L1373" s="9">
        <f>IF(ISNA(MATCH(1360,Engine!$C$2:$C$1960,0)),"",INDEX('Compliance Database'!$L$2:$L$1960,MATCH(1360,Engine!$C$2:$C$1960,0)))</f>
        <v/>
      </c>
      <c r="M1373" s="9">
        <f>IF(ISNA(MATCH(1360,Engine!$C$2:$C$1960,0)),"",INDEX('Compliance Database'!$M$2:$M$1960,MATCH(1360,Engine!$C$2:$C$1960,0)))</f>
        <v/>
      </c>
      <c r="N1373" s="9">
        <f>IF(ISNA(MATCH(1360,Engine!$C$2:$C$1960,0)),"",INDEX('Compliance Database'!$N$2:$N$1960,MATCH(1360,Engine!$C$2:$C$1960,0)))</f>
        <v/>
      </c>
      <c r="O1373" s="9">
        <f>IF(ISNA(MATCH(1360,Engine!$C$2:$C$1960,0)),"",INDEX('Compliance Database'!$O$2:$O$1960,MATCH(1360,Engine!$C$2:$C$1960,0)))</f>
        <v/>
      </c>
      <c r="P1373" s="8">
        <f>IF(ISNA(MATCH(1360,Engine!$C$2:$C$1960,0)),"",HYPERLINK("#Acts!A"&amp;INDEX('Compliance Database'!$P$2:$P$1960,MATCH(1360,Engine!$C$2:$C$1960,0)),"Go to Act"))</f>
        <v/>
      </c>
    </row>
    <row r="1374" ht="158" customHeight="1">
      <c r="A1374" s="8">
        <f>IF(ISNA(MATCH(1361,Engine!$C$2:$C$1960,0)),"",INDEX('Compliance Database'!$A$2:$A$1960,MATCH(1361,Engine!$C$2:$C$1960,0)))</f>
        <v/>
      </c>
      <c r="B1374" s="8">
        <f>IF(ISNA(MATCH(1361,Engine!$C$2:$C$1960,0)),"",INDEX('Compliance Database'!$B$2:$B$1960,MATCH(1361,Engine!$C$2:$C$1960,0)))</f>
        <v/>
      </c>
      <c r="C1374" s="8">
        <f>IF(ISNA(MATCH(1361,Engine!$C$2:$C$1960,0)),"",INDEX('Compliance Database'!$C$2:$C$1960,MATCH(1361,Engine!$C$2:$C$1960,0)))</f>
        <v/>
      </c>
      <c r="D1374" s="9">
        <f>IF(ISNA(MATCH(1361,Engine!$C$2:$C$1960,0)),"",INDEX('Compliance Database'!$D$2:$D$1960,MATCH(1361,Engine!$C$2:$C$1960,0)))</f>
        <v/>
      </c>
      <c r="E1374" s="8">
        <f>IF(ISNA(MATCH(1361,Engine!$C$2:$C$1960,0)),"",INDEX('Compliance Database'!$E$2:$E$1960,MATCH(1361,Engine!$C$2:$C$1960,0)))</f>
        <v/>
      </c>
      <c r="F1374" s="8">
        <f>IF(ISNA(MATCH(1361,Engine!$C$2:$C$1960,0)),"",INDEX('Compliance Database'!$F$2:$F$1960,MATCH(1361,Engine!$C$2:$C$1960,0)))</f>
        <v/>
      </c>
      <c r="G1374" s="8">
        <f>IF(ISNA(MATCH(1361,Engine!$C$2:$C$1960,0)),"",INDEX('Compliance Database'!$G$2:$G$1960,MATCH(1361,Engine!$C$2:$C$1960,0)))</f>
        <v/>
      </c>
      <c r="H1374" s="9">
        <f>IF(ISNA(MATCH(1361,Engine!$C$2:$C$1960,0)),"",INDEX('Compliance Database'!$H$2:$H$1960,MATCH(1361,Engine!$C$2:$C$1960,0)))</f>
        <v/>
      </c>
      <c r="I1374" s="9">
        <f>IF(ISNA(MATCH(1361,Engine!$C$2:$C$1960,0)),"",INDEX('Compliance Database'!$I$2:$I$1960,MATCH(1361,Engine!$C$2:$C$1960,0)))</f>
        <v/>
      </c>
      <c r="J1374" s="8">
        <f>IF(ISNA(MATCH(1361,Engine!$C$2:$C$1960,0)),"",INDEX('Compliance Database'!$J$2:$J$1960,MATCH(1361,Engine!$C$2:$C$1960,0)))</f>
        <v/>
      </c>
      <c r="K1374" s="9">
        <f>IF(ISNA(MATCH(1361,Engine!$C$2:$C$1960,0)),"",INDEX('Compliance Database'!$K$2:$K$1960,MATCH(1361,Engine!$C$2:$C$1960,0)))</f>
        <v/>
      </c>
      <c r="L1374" s="9">
        <f>IF(ISNA(MATCH(1361,Engine!$C$2:$C$1960,0)),"",INDEX('Compliance Database'!$L$2:$L$1960,MATCH(1361,Engine!$C$2:$C$1960,0)))</f>
        <v/>
      </c>
      <c r="M1374" s="9">
        <f>IF(ISNA(MATCH(1361,Engine!$C$2:$C$1960,0)),"",INDEX('Compliance Database'!$M$2:$M$1960,MATCH(1361,Engine!$C$2:$C$1960,0)))</f>
        <v/>
      </c>
      <c r="N1374" s="9">
        <f>IF(ISNA(MATCH(1361,Engine!$C$2:$C$1960,0)),"",INDEX('Compliance Database'!$N$2:$N$1960,MATCH(1361,Engine!$C$2:$C$1960,0)))</f>
        <v/>
      </c>
      <c r="O1374" s="9">
        <f>IF(ISNA(MATCH(1361,Engine!$C$2:$C$1960,0)),"",INDEX('Compliance Database'!$O$2:$O$1960,MATCH(1361,Engine!$C$2:$C$1960,0)))</f>
        <v/>
      </c>
      <c r="P1374" s="8">
        <f>IF(ISNA(MATCH(1361,Engine!$C$2:$C$1960,0)),"",HYPERLINK("#Acts!A"&amp;INDEX('Compliance Database'!$P$2:$P$1960,MATCH(1361,Engine!$C$2:$C$1960,0)),"Go to Act"))</f>
        <v/>
      </c>
    </row>
    <row r="1375" ht="158" customHeight="1">
      <c r="A1375" s="8">
        <f>IF(ISNA(MATCH(1362,Engine!$C$2:$C$1960,0)),"",INDEX('Compliance Database'!$A$2:$A$1960,MATCH(1362,Engine!$C$2:$C$1960,0)))</f>
        <v/>
      </c>
      <c r="B1375" s="8">
        <f>IF(ISNA(MATCH(1362,Engine!$C$2:$C$1960,0)),"",INDEX('Compliance Database'!$B$2:$B$1960,MATCH(1362,Engine!$C$2:$C$1960,0)))</f>
        <v/>
      </c>
      <c r="C1375" s="8">
        <f>IF(ISNA(MATCH(1362,Engine!$C$2:$C$1960,0)),"",INDEX('Compliance Database'!$C$2:$C$1960,MATCH(1362,Engine!$C$2:$C$1960,0)))</f>
        <v/>
      </c>
      <c r="D1375" s="9">
        <f>IF(ISNA(MATCH(1362,Engine!$C$2:$C$1960,0)),"",INDEX('Compliance Database'!$D$2:$D$1960,MATCH(1362,Engine!$C$2:$C$1960,0)))</f>
        <v/>
      </c>
      <c r="E1375" s="8">
        <f>IF(ISNA(MATCH(1362,Engine!$C$2:$C$1960,0)),"",INDEX('Compliance Database'!$E$2:$E$1960,MATCH(1362,Engine!$C$2:$C$1960,0)))</f>
        <v/>
      </c>
      <c r="F1375" s="8">
        <f>IF(ISNA(MATCH(1362,Engine!$C$2:$C$1960,0)),"",INDEX('Compliance Database'!$F$2:$F$1960,MATCH(1362,Engine!$C$2:$C$1960,0)))</f>
        <v/>
      </c>
      <c r="G1375" s="8">
        <f>IF(ISNA(MATCH(1362,Engine!$C$2:$C$1960,0)),"",INDEX('Compliance Database'!$G$2:$G$1960,MATCH(1362,Engine!$C$2:$C$1960,0)))</f>
        <v/>
      </c>
      <c r="H1375" s="9">
        <f>IF(ISNA(MATCH(1362,Engine!$C$2:$C$1960,0)),"",INDEX('Compliance Database'!$H$2:$H$1960,MATCH(1362,Engine!$C$2:$C$1960,0)))</f>
        <v/>
      </c>
      <c r="I1375" s="9">
        <f>IF(ISNA(MATCH(1362,Engine!$C$2:$C$1960,0)),"",INDEX('Compliance Database'!$I$2:$I$1960,MATCH(1362,Engine!$C$2:$C$1960,0)))</f>
        <v/>
      </c>
      <c r="J1375" s="8">
        <f>IF(ISNA(MATCH(1362,Engine!$C$2:$C$1960,0)),"",INDEX('Compliance Database'!$J$2:$J$1960,MATCH(1362,Engine!$C$2:$C$1960,0)))</f>
        <v/>
      </c>
      <c r="K1375" s="9">
        <f>IF(ISNA(MATCH(1362,Engine!$C$2:$C$1960,0)),"",INDEX('Compliance Database'!$K$2:$K$1960,MATCH(1362,Engine!$C$2:$C$1960,0)))</f>
        <v/>
      </c>
      <c r="L1375" s="9">
        <f>IF(ISNA(MATCH(1362,Engine!$C$2:$C$1960,0)),"",INDEX('Compliance Database'!$L$2:$L$1960,MATCH(1362,Engine!$C$2:$C$1960,0)))</f>
        <v/>
      </c>
      <c r="M1375" s="9">
        <f>IF(ISNA(MATCH(1362,Engine!$C$2:$C$1960,0)),"",INDEX('Compliance Database'!$M$2:$M$1960,MATCH(1362,Engine!$C$2:$C$1960,0)))</f>
        <v/>
      </c>
      <c r="N1375" s="9">
        <f>IF(ISNA(MATCH(1362,Engine!$C$2:$C$1960,0)),"",INDEX('Compliance Database'!$N$2:$N$1960,MATCH(1362,Engine!$C$2:$C$1960,0)))</f>
        <v/>
      </c>
      <c r="O1375" s="9">
        <f>IF(ISNA(MATCH(1362,Engine!$C$2:$C$1960,0)),"",INDEX('Compliance Database'!$O$2:$O$1960,MATCH(1362,Engine!$C$2:$C$1960,0)))</f>
        <v/>
      </c>
      <c r="P1375" s="8">
        <f>IF(ISNA(MATCH(1362,Engine!$C$2:$C$1960,0)),"",HYPERLINK("#Acts!A"&amp;INDEX('Compliance Database'!$P$2:$P$1960,MATCH(1362,Engine!$C$2:$C$1960,0)),"Go to Act"))</f>
        <v/>
      </c>
    </row>
    <row r="1376" ht="158" customHeight="1">
      <c r="A1376" s="8">
        <f>IF(ISNA(MATCH(1363,Engine!$C$2:$C$1960,0)),"",INDEX('Compliance Database'!$A$2:$A$1960,MATCH(1363,Engine!$C$2:$C$1960,0)))</f>
        <v/>
      </c>
      <c r="B1376" s="8">
        <f>IF(ISNA(MATCH(1363,Engine!$C$2:$C$1960,0)),"",INDEX('Compliance Database'!$B$2:$B$1960,MATCH(1363,Engine!$C$2:$C$1960,0)))</f>
        <v/>
      </c>
      <c r="C1376" s="8">
        <f>IF(ISNA(MATCH(1363,Engine!$C$2:$C$1960,0)),"",INDEX('Compliance Database'!$C$2:$C$1960,MATCH(1363,Engine!$C$2:$C$1960,0)))</f>
        <v/>
      </c>
      <c r="D1376" s="9">
        <f>IF(ISNA(MATCH(1363,Engine!$C$2:$C$1960,0)),"",INDEX('Compliance Database'!$D$2:$D$1960,MATCH(1363,Engine!$C$2:$C$1960,0)))</f>
        <v/>
      </c>
      <c r="E1376" s="8">
        <f>IF(ISNA(MATCH(1363,Engine!$C$2:$C$1960,0)),"",INDEX('Compliance Database'!$E$2:$E$1960,MATCH(1363,Engine!$C$2:$C$1960,0)))</f>
        <v/>
      </c>
      <c r="F1376" s="8">
        <f>IF(ISNA(MATCH(1363,Engine!$C$2:$C$1960,0)),"",INDEX('Compliance Database'!$F$2:$F$1960,MATCH(1363,Engine!$C$2:$C$1960,0)))</f>
        <v/>
      </c>
      <c r="G1376" s="8">
        <f>IF(ISNA(MATCH(1363,Engine!$C$2:$C$1960,0)),"",INDEX('Compliance Database'!$G$2:$G$1960,MATCH(1363,Engine!$C$2:$C$1960,0)))</f>
        <v/>
      </c>
      <c r="H1376" s="9">
        <f>IF(ISNA(MATCH(1363,Engine!$C$2:$C$1960,0)),"",INDEX('Compliance Database'!$H$2:$H$1960,MATCH(1363,Engine!$C$2:$C$1960,0)))</f>
        <v/>
      </c>
      <c r="I1376" s="9">
        <f>IF(ISNA(MATCH(1363,Engine!$C$2:$C$1960,0)),"",INDEX('Compliance Database'!$I$2:$I$1960,MATCH(1363,Engine!$C$2:$C$1960,0)))</f>
        <v/>
      </c>
      <c r="J1376" s="8">
        <f>IF(ISNA(MATCH(1363,Engine!$C$2:$C$1960,0)),"",INDEX('Compliance Database'!$J$2:$J$1960,MATCH(1363,Engine!$C$2:$C$1960,0)))</f>
        <v/>
      </c>
      <c r="K1376" s="9">
        <f>IF(ISNA(MATCH(1363,Engine!$C$2:$C$1960,0)),"",INDEX('Compliance Database'!$K$2:$K$1960,MATCH(1363,Engine!$C$2:$C$1960,0)))</f>
        <v/>
      </c>
      <c r="L1376" s="9">
        <f>IF(ISNA(MATCH(1363,Engine!$C$2:$C$1960,0)),"",INDEX('Compliance Database'!$L$2:$L$1960,MATCH(1363,Engine!$C$2:$C$1960,0)))</f>
        <v/>
      </c>
      <c r="M1376" s="9">
        <f>IF(ISNA(MATCH(1363,Engine!$C$2:$C$1960,0)),"",INDEX('Compliance Database'!$M$2:$M$1960,MATCH(1363,Engine!$C$2:$C$1960,0)))</f>
        <v/>
      </c>
      <c r="N1376" s="9">
        <f>IF(ISNA(MATCH(1363,Engine!$C$2:$C$1960,0)),"",INDEX('Compliance Database'!$N$2:$N$1960,MATCH(1363,Engine!$C$2:$C$1960,0)))</f>
        <v/>
      </c>
      <c r="O1376" s="9">
        <f>IF(ISNA(MATCH(1363,Engine!$C$2:$C$1960,0)),"",INDEX('Compliance Database'!$O$2:$O$1960,MATCH(1363,Engine!$C$2:$C$1960,0)))</f>
        <v/>
      </c>
      <c r="P1376" s="8">
        <f>IF(ISNA(MATCH(1363,Engine!$C$2:$C$1960,0)),"",HYPERLINK("#Acts!A"&amp;INDEX('Compliance Database'!$P$2:$P$1960,MATCH(1363,Engine!$C$2:$C$1960,0)),"Go to Act"))</f>
        <v/>
      </c>
    </row>
    <row r="1377" ht="158" customHeight="1">
      <c r="A1377" s="8">
        <f>IF(ISNA(MATCH(1364,Engine!$C$2:$C$1960,0)),"",INDEX('Compliance Database'!$A$2:$A$1960,MATCH(1364,Engine!$C$2:$C$1960,0)))</f>
        <v/>
      </c>
      <c r="B1377" s="8">
        <f>IF(ISNA(MATCH(1364,Engine!$C$2:$C$1960,0)),"",INDEX('Compliance Database'!$B$2:$B$1960,MATCH(1364,Engine!$C$2:$C$1960,0)))</f>
        <v/>
      </c>
      <c r="C1377" s="8">
        <f>IF(ISNA(MATCH(1364,Engine!$C$2:$C$1960,0)),"",INDEX('Compliance Database'!$C$2:$C$1960,MATCH(1364,Engine!$C$2:$C$1960,0)))</f>
        <v/>
      </c>
      <c r="D1377" s="9">
        <f>IF(ISNA(MATCH(1364,Engine!$C$2:$C$1960,0)),"",INDEX('Compliance Database'!$D$2:$D$1960,MATCH(1364,Engine!$C$2:$C$1960,0)))</f>
        <v/>
      </c>
      <c r="E1377" s="8">
        <f>IF(ISNA(MATCH(1364,Engine!$C$2:$C$1960,0)),"",INDEX('Compliance Database'!$E$2:$E$1960,MATCH(1364,Engine!$C$2:$C$1960,0)))</f>
        <v/>
      </c>
      <c r="F1377" s="8">
        <f>IF(ISNA(MATCH(1364,Engine!$C$2:$C$1960,0)),"",INDEX('Compliance Database'!$F$2:$F$1960,MATCH(1364,Engine!$C$2:$C$1960,0)))</f>
        <v/>
      </c>
      <c r="G1377" s="8">
        <f>IF(ISNA(MATCH(1364,Engine!$C$2:$C$1960,0)),"",INDEX('Compliance Database'!$G$2:$G$1960,MATCH(1364,Engine!$C$2:$C$1960,0)))</f>
        <v/>
      </c>
      <c r="H1377" s="9">
        <f>IF(ISNA(MATCH(1364,Engine!$C$2:$C$1960,0)),"",INDEX('Compliance Database'!$H$2:$H$1960,MATCH(1364,Engine!$C$2:$C$1960,0)))</f>
        <v/>
      </c>
      <c r="I1377" s="9">
        <f>IF(ISNA(MATCH(1364,Engine!$C$2:$C$1960,0)),"",INDEX('Compliance Database'!$I$2:$I$1960,MATCH(1364,Engine!$C$2:$C$1960,0)))</f>
        <v/>
      </c>
      <c r="J1377" s="8">
        <f>IF(ISNA(MATCH(1364,Engine!$C$2:$C$1960,0)),"",INDEX('Compliance Database'!$J$2:$J$1960,MATCH(1364,Engine!$C$2:$C$1960,0)))</f>
        <v/>
      </c>
      <c r="K1377" s="9">
        <f>IF(ISNA(MATCH(1364,Engine!$C$2:$C$1960,0)),"",INDEX('Compliance Database'!$K$2:$K$1960,MATCH(1364,Engine!$C$2:$C$1960,0)))</f>
        <v/>
      </c>
      <c r="L1377" s="9">
        <f>IF(ISNA(MATCH(1364,Engine!$C$2:$C$1960,0)),"",INDEX('Compliance Database'!$L$2:$L$1960,MATCH(1364,Engine!$C$2:$C$1960,0)))</f>
        <v/>
      </c>
      <c r="M1377" s="9">
        <f>IF(ISNA(MATCH(1364,Engine!$C$2:$C$1960,0)),"",INDEX('Compliance Database'!$M$2:$M$1960,MATCH(1364,Engine!$C$2:$C$1960,0)))</f>
        <v/>
      </c>
      <c r="N1377" s="9">
        <f>IF(ISNA(MATCH(1364,Engine!$C$2:$C$1960,0)),"",INDEX('Compliance Database'!$N$2:$N$1960,MATCH(1364,Engine!$C$2:$C$1960,0)))</f>
        <v/>
      </c>
      <c r="O1377" s="9">
        <f>IF(ISNA(MATCH(1364,Engine!$C$2:$C$1960,0)),"",INDEX('Compliance Database'!$O$2:$O$1960,MATCH(1364,Engine!$C$2:$C$1960,0)))</f>
        <v/>
      </c>
      <c r="P1377" s="8">
        <f>IF(ISNA(MATCH(1364,Engine!$C$2:$C$1960,0)),"",HYPERLINK("#Acts!A"&amp;INDEX('Compliance Database'!$P$2:$P$1960,MATCH(1364,Engine!$C$2:$C$1960,0)),"Go to Act"))</f>
        <v/>
      </c>
    </row>
    <row r="1378" ht="158" customHeight="1">
      <c r="A1378" s="8">
        <f>IF(ISNA(MATCH(1365,Engine!$C$2:$C$1960,0)),"",INDEX('Compliance Database'!$A$2:$A$1960,MATCH(1365,Engine!$C$2:$C$1960,0)))</f>
        <v/>
      </c>
      <c r="B1378" s="8">
        <f>IF(ISNA(MATCH(1365,Engine!$C$2:$C$1960,0)),"",INDEX('Compliance Database'!$B$2:$B$1960,MATCH(1365,Engine!$C$2:$C$1960,0)))</f>
        <v/>
      </c>
      <c r="C1378" s="8">
        <f>IF(ISNA(MATCH(1365,Engine!$C$2:$C$1960,0)),"",INDEX('Compliance Database'!$C$2:$C$1960,MATCH(1365,Engine!$C$2:$C$1960,0)))</f>
        <v/>
      </c>
      <c r="D1378" s="9">
        <f>IF(ISNA(MATCH(1365,Engine!$C$2:$C$1960,0)),"",INDEX('Compliance Database'!$D$2:$D$1960,MATCH(1365,Engine!$C$2:$C$1960,0)))</f>
        <v/>
      </c>
      <c r="E1378" s="8">
        <f>IF(ISNA(MATCH(1365,Engine!$C$2:$C$1960,0)),"",INDEX('Compliance Database'!$E$2:$E$1960,MATCH(1365,Engine!$C$2:$C$1960,0)))</f>
        <v/>
      </c>
      <c r="F1378" s="8">
        <f>IF(ISNA(MATCH(1365,Engine!$C$2:$C$1960,0)),"",INDEX('Compliance Database'!$F$2:$F$1960,MATCH(1365,Engine!$C$2:$C$1960,0)))</f>
        <v/>
      </c>
      <c r="G1378" s="8">
        <f>IF(ISNA(MATCH(1365,Engine!$C$2:$C$1960,0)),"",INDEX('Compliance Database'!$G$2:$G$1960,MATCH(1365,Engine!$C$2:$C$1960,0)))</f>
        <v/>
      </c>
      <c r="H1378" s="9">
        <f>IF(ISNA(MATCH(1365,Engine!$C$2:$C$1960,0)),"",INDEX('Compliance Database'!$H$2:$H$1960,MATCH(1365,Engine!$C$2:$C$1960,0)))</f>
        <v/>
      </c>
      <c r="I1378" s="9">
        <f>IF(ISNA(MATCH(1365,Engine!$C$2:$C$1960,0)),"",INDEX('Compliance Database'!$I$2:$I$1960,MATCH(1365,Engine!$C$2:$C$1960,0)))</f>
        <v/>
      </c>
      <c r="J1378" s="8">
        <f>IF(ISNA(MATCH(1365,Engine!$C$2:$C$1960,0)),"",INDEX('Compliance Database'!$J$2:$J$1960,MATCH(1365,Engine!$C$2:$C$1960,0)))</f>
        <v/>
      </c>
      <c r="K1378" s="9">
        <f>IF(ISNA(MATCH(1365,Engine!$C$2:$C$1960,0)),"",INDEX('Compliance Database'!$K$2:$K$1960,MATCH(1365,Engine!$C$2:$C$1960,0)))</f>
        <v/>
      </c>
      <c r="L1378" s="9">
        <f>IF(ISNA(MATCH(1365,Engine!$C$2:$C$1960,0)),"",INDEX('Compliance Database'!$L$2:$L$1960,MATCH(1365,Engine!$C$2:$C$1960,0)))</f>
        <v/>
      </c>
      <c r="M1378" s="9">
        <f>IF(ISNA(MATCH(1365,Engine!$C$2:$C$1960,0)),"",INDEX('Compliance Database'!$M$2:$M$1960,MATCH(1365,Engine!$C$2:$C$1960,0)))</f>
        <v/>
      </c>
      <c r="N1378" s="9">
        <f>IF(ISNA(MATCH(1365,Engine!$C$2:$C$1960,0)),"",INDEX('Compliance Database'!$N$2:$N$1960,MATCH(1365,Engine!$C$2:$C$1960,0)))</f>
        <v/>
      </c>
      <c r="O1378" s="9">
        <f>IF(ISNA(MATCH(1365,Engine!$C$2:$C$1960,0)),"",INDEX('Compliance Database'!$O$2:$O$1960,MATCH(1365,Engine!$C$2:$C$1960,0)))</f>
        <v/>
      </c>
      <c r="P1378" s="8">
        <f>IF(ISNA(MATCH(1365,Engine!$C$2:$C$1960,0)),"",HYPERLINK("#Acts!A"&amp;INDEX('Compliance Database'!$P$2:$P$1960,MATCH(1365,Engine!$C$2:$C$1960,0)),"Go to Act"))</f>
        <v/>
      </c>
    </row>
    <row r="1379" ht="158" customHeight="1">
      <c r="A1379" s="8">
        <f>IF(ISNA(MATCH(1366,Engine!$C$2:$C$1960,0)),"",INDEX('Compliance Database'!$A$2:$A$1960,MATCH(1366,Engine!$C$2:$C$1960,0)))</f>
        <v/>
      </c>
      <c r="B1379" s="8">
        <f>IF(ISNA(MATCH(1366,Engine!$C$2:$C$1960,0)),"",INDEX('Compliance Database'!$B$2:$B$1960,MATCH(1366,Engine!$C$2:$C$1960,0)))</f>
        <v/>
      </c>
      <c r="C1379" s="8">
        <f>IF(ISNA(MATCH(1366,Engine!$C$2:$C$1960,0)),"",INDEX('Compliance Database'!$C$2:$C$1960,MATCH(1366,Engine!$C$2:$C$1960,0)))</f>
        <v/>
      </c>
      <c r="D1379" s="9">
        <f>IF(ISNA(MATCH(1366,Engine!$C$2:$C$1960,0)),"",INDEX('Compliance Database'!$D$2:$D$1960,MATCH(1366,Engine!$C$2:$C$1960,0)))</f>
        <v/>
      </c>
      <c r="E1379" s="8">
        <f>IF(ISNA(MATCH(1366,Engine!$C$2:$C$1960,0)),"",INDEX('Compliance Database'!$E$2:$E$1960,MATCH(1366,Engine!$C$2:$C$1960,0)))</f>
        <v/>
      </c>
      <c r="F1379" s="8">
        <f>IF(ISNA(MATCH(1366,Engine!$C$2:$C$1960,0)),"",INDEX('Compliance Database'!$F$2:$F$1960,MATCH(1366,Engine!$C$2:$C$1960,0)))</f>
        <v/>
      </c>
      <c r="G1379" s="8">
        <f>IF(ISNA(MATCH(1366,Engine!$C$2:$C$1960,0)),"",INDEX('Compliance Database'!$G$2:$G$1960,MATCH(1366,Engine!$C$2:$C$1960,0)))</f>
        <v/>
      </c>
      <c r="H1379" s="9">
        <f>IF(ISNA(MATCH(1366,Engine!$C$2:$C$1960,0)),"",INDEX('Compliance Database'!$H$2:$H$1960,MATCH(1366,Engine!$C$2:$C$1960,0)))</f>
        <v/>
      </c>
      <c r="I1379" s="9">
        <f>IF(ISNA(MATCH(1366,Engine!$C$2:$C$1960,0)),"",INDEX('Compliance Database'!$I$2:$I$1960,MATCH(1366,Engine!$C$2:$C$1960,0)))</f>
        <v/>
      </c>
      <c r="J1379" s="8">
        <f>IF(ISNA(MATCH(1366,Engine!$C$2:$C$1960,0)),"",INDEX('Compliance Database'!$J$2:$J$1960,MATCH(1366,Engine!$C$2:$C$1960,0)))</f>
        <v/>
      </c>
      <c r="K1379" s="9">
        <f>IF(ISNA(MATCH(1366,Engine!$C$2:$C$1960,0)),"",INDEX('Compliance Database'!$K$2:$K$1960,MATCH(1366,Engine!$C$2:$C$1960,0)))</f>
        <v/>
      </c>
      <c r="L1379" s="9">
        <f>IF(ISNA(MATCH(1366,Engine!$C$2:$C$1960,0)),"",INDEX('Compliance Database'!$L$2:$L$1960,MATCH(1366,Engine!$C$2:$C$1960,0)))</f>
        <v/>
      </c>
      <c r="M1379" s="9">
        <f>IF(ISNA(MATCH(1366,Engine!$C$2:$C$1960,0)),"",INDEX('Compliance Database'!$M$2:$M$1960,MATCH(1366,Engine!$C$2:$C$1960,0)))</f>
        <v/>
      </c>
      <c r="N1379" s="9">
        <f>IF(ISNA(MATCH(1366,Engine!$C$2:$C$1960,0)),"",INDEX('Compliance Database'!$N$2:$N$1960,MATCH(1366,Engine!$C$2:$C$1960,0)))</f>
        <v/>
      </c>
      <c r="O1379" s="9">
        <f>IF(ISNA(MATCH(1366,Engine!$C$2:$C$1960,0)),"",INDEX('Compliance Database'!$O$2:$O$1960,MATCH(1366,Engine!$C$2:$C$1960,0)))</f>
        <v/>
      </c>
      <c r="P1379" s="8">
        <f>IF(ISNA(MATCH(1366,Engine!$C$2:$C$1960,0)),"",HYPERLINK("#Acts!A"&amp;INDEX('Compliance Database'!$P$2:$P$1960,MATCH(1366,Engine!$C$2:$C$1960,0)),"Go to Act"))</f>
        <v/>
      </c>
    </row>
    <row r="1380" ht="158" customHeight="1">
      <c r="A1380" s="8">
        <f>IF(ISNA(MATCH(1367,Engine!$C$2:$C$1960,0)),"",INDEX('Compliance Database'!$A$2:$A$1960,MATCH(1367,Engine!$C$2:$C$1960,0)))</f>
        <v/>
      </c>
      <c r="B1380" s="8">
        <f>IF(ISNA(MATCH(1367,Engine!$C$2:$C$1960,0)),"",INDEX('Compliance Database'!$B$2:$B$1960,MATCH(1367,Engine!$C$2:$C$1960,0)))</f>
        <v/>
      </c>
      <c r="C1380" s="8">
        <f>IF(ISNA(MATCH(1367,Engine!$C$2:$C$1960,0)),"",INDEX('Compliance Database'!$C$2:$C$1960,MATCH(1367,Engine!$C$2:$C$1960,0)))</f>
        <v/>
      </c>
      <c r="D1380" s="9">
        <f>IF(ISNA(MATCH(1367,Engine!$C$2:$C$1960,0)),"",INDEX('Compliance Database'!$D$2:$D$1960,MATCH(1367,Engine!$C$2:$C$1960,0)))</f>
        <v/>
      </c>
      <c r="E1380" s="8">
        <f>IF(ISNA(MATCH(1367,Engine!$C$2:$C$1960,0)),"",INDEX('Compliance Database'!$E$2:$E$1960,MATCH(1367,Engine!$C$2:$C$1960,0)))</f>
        <v/>
      </c>
      <c r="F1380" s="8">
        <f>IF(ISNA(MATCH(1367,Engine!$C$2:$C$1960,0)),"",INDEX('Compliance Database'!$F$2:$F$1960,MATCH(1367,Engine!$C$2:$C$1960,0)))</f>
        <v/>
      </c>
      <c r="G1380" s="8">
        <f>IF(ISNA(MATCH(1367,Engine!$C$2:$C$1960,0)),"",INDEX('Compliance Database'!$G$2:$G$1960,MATCH(1367,Engine!$C$2:$C$1960,0)))</f>
        <v/>
      </c>
      <c r="H1380" s="9">
        <f>IF(ISNA(MATCH(1367,Engine!$C$2:$C$1960,0)),"",INDEX('Compliance Database'!$H$2:$H$1960,MATCH(1367,Engine!$C$2:$C$1960,0)))</f>
        <v/>
      </c>
      <c r="I1380" s="9">
        <f>IF(ISNA(MATCH(1367,Engine!$C$2:$C$1960,0)),"",INDEX('Compliance Database'!$I$2:$I$1960,MATCH(1367,Engine!$C$2:$C$1960,0)))</f>
        <v/>
      </c>
      <c r="J1380" s="8">
        <f>IF(ISNA(MATCH(1367,Engine!$C$2:$C$1960,0)),"",INDEX('Compliance Database'!$J$2:$J$1960,MATCH(1367,Engine!$C$2:$C$1960,0)))</f>
        <v/>
      </c>
      <c r="K1380" s="9">
        <f>IF(ISNA(MATCH(1367,Engine!$C$2:$C$1960,0)),"",INDEX('Compliance Database'!$K$2:$K$1960,MATCH(1367,Engine!$C$2:$C$1960,0)))</f>
        <v/>
      </c>
      <c r="L1380" s="9">
        <f>IF(ISNA(MATCH(1367,Engine!$C$2:$C$1960,0)),"",INDEX('Compliance Database'!$L$2:$L$1960,MATCH(1367,Engine!$C$2:$C$1960,0)))</f>
        <v/>
      </c>
      <c r="M1380" s="9">
        <f>IF(ISNA(MATCH(1367,Engine!$C$2:$C$1960,0)),"",INDEX('Compliance Database'!$M$2:$M$1960,MATCH(1367,Engine!$C$2:$C$1960,0)))</f>
        <v/>
      </c>
      <c r="N1380" s="9">
        <f>IF(ISNA(MATCH(1367,Engine!$C$2:$C$1960,0)),"",INDEX('Compliance Database'!$N$2:$N$1960,MATCH(1367,Engine!$C$2:$C$1960,0)))</f>
        <v/>
      </c>
      <c r="O1380" s="9">
        <f>IF(ISNA(MATCH(1367,Engine!$C$2:$C$1960,0)),"",INDEX('Compliance Database'!$O$2:$O$1960,MATCH(1367,Engine!$C$2:$C$1960,0)))</f>
        <v/>
      </c>
      <c r="P1380" s="8">
        <f>IF(ISNA(MATCH(1367,Engine!$C$2:$C$1960,0)),"",HYPERLINK("#Acts!A"&amp;INDEX('Compliance Database'!$P$2:$P$1960,MATCH(1367,Engine!$C$2:$C$1960,0)),"Go to Act"))</f>
        <v/>
      </c>
    </row>
    <row r="1381" ht="158" customHeight="1">
      <c r="A1381" s="8">
        <f>IF(ISNA(MATCH(1368,Engine!$C$2:$C$1960,0)),"",INDEX('Compliance Database'!$A$2:$A$1960,MATCH(1368,Engine!$C$2:$C$1960,0)))</f>
        <v/>
      </c>
      <c r="B1381" s="8">
        <f>IF(ISNA(MATCH(1368,Engine!$C$2:$C$1960,0)),"",INDEX('Compliance Database'!$B$2:$B$1960,MATCH(1368,Engine!$C$2:$C$1960,0)))</f>
        <v/>
      </c>
      <c r="C1381" s="8">
        <f>IF(ISNA(MATCH(1368,Engine!$C$2:$C$1960,0)),"",INDEX('Compliance Database'!$C$2:$C$1960,MATCH(1368,Engine!$C$2:$C$1960,0)))</f>
        <v/>
      </c>
      <c r="D1381" s="9">
        <f>IF(ISNA(MATCH(1368,Engine!$C$2:$C$1960,0)),"",INDEX('Compliance Database'!$D$2:$D$1960,MATCH(1368,Engine!$C$2:$C$1960,0)))</f>
        <v/>
      </c>
      <c r="E1381" s="8">
        <f>IF(ISNA(MATCH(1368,Engine!$C$2:$C$1960,0)),"",INDEX('Compliance Database'!$E$2:$E$1960,MATCH(1368,Engine!$C$2:$C$1960,0)))</f>
        <v/>
      </c>
      <c r="F1381" s="8">
        <f>IF(ISNA(MATCH(1368,Engine!$C$2:$C$1960,0)),"",INDEX('Compliance Database'!$F$2:$F$1960,MATCH(1368,Engine!$C$2:$C$1960,0)))</f>
        <v/>
      </c>
      <c r="G1381" s="8">
        <f>IF(ISNA(MATCH(1368,Engine!$C$2:$C$1960,0)),"",INDEX('Compliance Database'!$G$2:$G$1960,MATCH(1368,Engine!$C$2:$C$1960,0)))</f>
        <v/>
      </c>
      <c r="H1381" s="9">
        <f>IF(ISNA(MATCH(1368,Engine!$C$2:$C$1960,0)),"",INDEX('Compliance Database'!$H$2:$H$1960,MATCH(1368,Engine!$C$2:$C$1960,0)))</f>
        <v/>
      </c>
      <c r="I1381" s="9">
        <f>IF(ISNA(MATCH(1368,Engine!$C$2:$C$1960,0)),"",INDEX('Compliance Database'!$I$2:$I$1960,MATCH(1368,Engine!$C$2:$C$1960,0)))</f>
        <v/>
      </c>
      <c r="J1381" s="8">
        <f>IF(ISNA(MATCH(1368,Engine!$C$2:$C$1960,0)),"",INDEX('Compliance Database'!$J$2:$J$1960,MATCH(1368,Engine!$C$2:$C$1960,0)))</f>
        <v/>
      </c>
      <c r="K1381" s="9">
        <f>IF(ISNA(MATCH(1368,Engine!$C$2:$C$1960,0)),"",INDEX('Compliance Database'!$K$2:$K$1960,MATCH(1368,Engine!$C$2:$C$1960,0)))</f>
        <v/>
      </c>
      <c r="L1381" s="9">
        <f>IF(ISNA(MATCH(1368,Engine!$C$2:$C$1960,0)),"",INDEX('Compliance Database'!$L$2:$L$1960,MATCH(1368,Engine!$C$2:$C$1960,0)))</f>
        <v/>
      </c>
      <c r="M1381" s="9">
        <f>IF(ISNA(MATCH(1368,Engine!$C$2:$C$1960,0)),"",INDEX('Compliance Database'!$M$2:$M$1960,MATCH(1368,Engine!$C$2:$C$1960,0)))</f>
        <v/>
      </c>
      <c r="N1381" s="9">
        <f>IF(ISNA(MATCH(1368,Engine!$C$2:$C$1960,0)),"",INDEX('Compliance Database'!$N$2:$N$1960,MATCH(1368,Engine!$C$2:$C$1960,0)))</f>
        <v/>
      </c>
      <c r="O1381" s="9">
        <f>IF(ISNA(MATCH(1368,Engine!$C$2:$C$1960,0)),"",INDEX('Compliance Database'!$O$2:$O$1960,MATCH(1368,Engine!$C$2:$C$1960,0)))</f>
        <v/>
      </c>
      <c r="P1381" s="8">
        <f>IF(ISNA(MATCH(1368,Engine!$C$2:$C$1960,0)),"",HYPERLINK("#Acts!A"&amp;INDEX('Compliance Database'!$P$2:$P$1960,MATCH(1368,Engine!$C$2:$C$1960,0)),"Go to Act"))</f>
        <v/>
      </c>
    </row>
    <row r="1382" ht="158" customHeight="1">
      <c r="A1382" s="8">
        <f>IF(ISNA(MATCH(1369,Engine!$C$2:$C$1960,0)),"",INDEX('Compliance Database'!$A$2:$A$1960,MATCH(1369,Engine!$C$2:$C$1960,0)))</f>
        <v/>
      </c>
      <c r="B1382" s="8">
        <f>IF(ISNA(MATCH(1369,Engine!$C$2:$C$1960,0)),"",INDEX('Compliance Database'!$B$2:$B$1960,MATCH(1369,Engine!$C$2:$C$1960,0)))</f>
        <v/>
      </c>
      <c r="C1382" s="8">
        <f>IF(ISNA(MATCH(1369,Engine!$C$2:$C$1960,0)),"",INDEX('Compliance Database'!$C$2:$C$1960,MATCH(1369,Engine!$C$2:$C$1960,0)))</f>
        <v/>
      </c>
      <c r="D1382" s="9">
        <f>IF(ISNA(MATCH(1369,Engine!$C$2:$C$1960,0)),"",INDEX('Compliance Database'!$D$2:$D$1960,MATCH(1369,Engine!$C$2:$C$1960,0)))</f>
        <v/>
      </c>
      <c r="E1382" s="8">
        <f>IF(ISNA(MATCH(1369,Engine!$C$2:$C$1960,0)),"",INDEX('Compliance Database'!$E$2:$E$1960,MATCH(1369,Engine!$C$2:$C$1960,0)))</f>
        <v/>
      </c>
      <c r="F1382" s="8">
        <f>IF(ISNA(MATCH(1369,Engine!$C$2:$C$1960,0)),"",INDEX('Compliance Database'!$F$2:$F$1960,MATCH(1369,Engine!$C$2:$C$1960,0)))</f>
        <v/>
      </c>
      <c r="G1382" s="8">
        <f>IF(ISNA(MATCH(1369,Engine!$C$2:$C$1960,0)),"",INDEX('Compliance Database'!$G$2:$G$1960,MATCH(1369,Engine!$C$2:$C$1960,0)))</f>
        <v/>
      </c>
      <c r="H1382" s="9">
        <f>IF(ISNA(MATCH(1369,Engine!$C$2:$C$1960,0)),"",INDEX('Compliance Database'!$H$2:$H$1960,MATCH(1369,Engine!$C$2:$C$1960,0)))</f>
        <v/>
      </c>
      <c r="I1382" s="9">
        <f>IF(ISNA(MATCH(1369,Engine!$C$2:$C$1960,0)),"",INDEX('Compliance Database'!$I$2:$I$1960,MATCH(1369,Engine!$C$2:$C$1960,0)))</f>
        <v/>
      </c>
      <c r="J1382" s="8">
        <f>IF(ISNA(MATCH(1369,Engine!$C$2:$C$1960,0)),"",INDEX('Compliance Database'!$J$2:$J$1960,MATCH(1369,Engine!$C$2:$C$1960,0)))</f>
        <v/>
      </c>
      <c r="K1382" s="9">
        <f>IF(ISNA(MATCH(1369,Engine!$C$2:$C$1960,0)),"",INDEX('Compliance Database'!$K$2:$K$1960,MATCH(1369,Engine!$C$2:$C$1960,0)))</f>
        <v/>
      </c>
      <c r="L1382" s="9">
        <f>IF(ISNA(MATCH(1369,Engine!$C$2:$C$1960,0)),"",INDEX('Compliance Database'!$L$2:$L$1960,MATCH(1369,Engine!$C$2:$C$1960,0)))</f>
        <v/>
      </c>
      <c r="M1382" s="9">
        <f>IF(ISNA(MATCH(1369,Engine!$C$2:$C$1960,0)),"",INDEX('Compliance Database'!$M$2:$M$1960,MATCH(1369,Engine!$C$2:$C$1960,0)))</f>
        <v/>
      </c>
      <c r="N1382" s="9">
        <f>IF(ISNA(MATCH(1369,Engine!$C$2:$C$1960,0)),"",INDEX('Compliance Database'!$N$2:$N$1960,MATCH(1369,Engine!$C$2:$C$1960,0)))</f>
        <v/>
      </c>
      <c r="O1382" s="9">
        <f>IF(ISNA(MATCH(1369,Engine!$C$2:$C$1960,0)),"",INDEX('Compliance Database'!$O$2:$O$1960,MATCH(1369,Engine!$C$2:$C$1960,0)))</f>
        <v/>
      </c>
      <c r="P1382" s="8">
        <f>IF(ISNA(MATCH(1369,Engine!$C$2:$C$1960,0)),"",HYPERLINK("#Acts!A"&amp;INDEX('Compliance Database'!$P$2:$P$1960,MATCH(1369,Engine!$C$2:$C$1960,0)),"Go to Act"))</f>
        <v/>
      </c>
    </row>
    <row r="1383" ht="158" customHeight="1">
      <c r="A1383" s="8">
        <f>IF(ISNA(MATCH(1370,Engine!$C$2:$C$1960,0)),"",INDEX('Compliance Database'!$A$2:$A$1960,MATCH(1370,Engine!$C$2:$C$1960,0)))</f>
        <v/>
      </c>
      <c r="B1383" s="8">
        <f>IF(ISNA(MATCH(1370,Engine!$C$2:$C$1960,0)),"",INDEX('Compliance Database'!$B$2:$B$1960,MATCH(1370,Engine!$C$2:$C$1960,0)))</f>
        <v/>
      </c>
      <c r="C1383" s="8">
        <f>IF(ISNA(MATCH(1370,Engine!$C$2:$C$1960,0)),"",INDEX('Compliance Database'!$C$2:$C$1960,MATCH(1370,Engine!$C$2:$C$1960,0)))</f>
        <v/>
      </c>
      <c r="D1383" s="9">
        <f>IF(ISNA(MATCH(1370,Engine!$C$2:$C$1960,0)),"",INDEX('Compliance Database'!$D$2:$D$1960,MATCH(1370,Engine!$C$2:$C$1960,0)))</f>
        <v/>
      </c>
      <c r="E1383" s="8">
        <f>IF(ISNA(MATCH(1370,Engine!$C$2:$C$1960,0)),"",INDEX('Compliance Database'!$E$2:$E$1960,MATCH(1370,Engine!$C$2:$C$1960,0)))</f>
        <v/>
      </c>
      <c r="F1383" s="8">
        <f>IF(ISNA(MATCH(1370,Engine!$C$2:$C$1960,0)),"",INDEX('Compliance Database'!$F$2:$F$1960,MATCH(1370,Engine!$C$2:$C$1960,0)))</f>
        <v/>
      </c>
      <c r="G1383" s="8">
        <f>IF(ISNA(MATCH(1370,Engine!$C$2:$C$1960,0)),"",INDEX('Compliance Database'!$G$2:$G$1960,MATCH(1370,Engine!$C$2:$C$1960,0)))</f>
        <v/>
      </c>
      <c r="H1383" s="9">
        <f>IF(ISNA(MATCH(1370,Engine!$C$2:$C$1960,0)),"",INDEX('Compliance Database'!$H$2:$H$1960,MATCH(1370,Engine!$C$2:$C$1960,0)))</f>
        <v/>
      </c>
      <c r="I1383" s="9">
        <f>IF(ISNA(MATCH(1370,Engine!$C$2:$C$1960,0)),"",INDEX('Compliance Database'!$I$2:$I$1960,MATCH(1370,Engine!$C$2:$C$1960,0)))</f>
        <v/>
      </c>
      <c r="J1383" s="8">
        <f>IF(ISNA(MATCH(1370,Engine!$C$2:$C$1960,0)),"",INDEX('Compliance Database'!$J$2:$J$1960,MATCH(1370,Engine!$C$2:$C$1960,0)))</f>
        <v/>
      </c>
      <c r="K1383" s="9">
        <f>IF(ISNA(MATCH(1370,Engine!$C$2:$C$1960,0)),"",INDEX('Compliance Database'!$K$2:$K$1960,MATCH(1370,Engine!$C$2:$C$1960,0)))</f>
        <v/>
      </c>
      <c r="L1383" s="9">
        <f>IF(ISNA(MATCH(1370,Engine!$C$2:$C$1960,0)),"",INDEX('Compliance Database'!$L$2:$L$1960,MATCH(1370,Engine!$C$2:$C$1960,0)))</f>
        <v/>
      </c>
      <c r="M1383" s="9">
        <f>IF(ISNA(MATCH(1370,Engine!$C$2:$C$1960,0)),"",INDEX('Compliance Database'!$M$2:$M$1960,MATCH(1370,Engine!$C$2:$C$1960,0)))</f>
        <v/>
      </c>
      <c r="N1383" s="9">
        <f>IF(ISNA(MATCH(1370,Engine!$C$2:$C$1960,0)),"",INDEX('Compliance Database'!$N$2:$N$1960,MATCH(1370,Engine!$C$2:$C$1960,0)))</f>
        <v/>
      </c>
      <c r="O1383" s="9">
        <f>IF(ISNA(MATCH(1370,Engine!$C$2:$C$1960,0)),"",INDEX('Compliance Database'!$O$2:$O$1960,MATCH(1370,Engine!$C$2:$C$1960,0)))</f>
        <v/>
      </c>
      <c r="P1383" s="8">
        <f>IF(ISNA(MATCH(1370,Engine!$C$2:$C$1960,0)),"",HYPERLINK("#Acts!A"&amp;INDEX('Compliance Database'!$P$2:$P$1960,MATCH(1370,Engine!$C$2:$C$1960,0)),"Go to Act"))</f>
        <v/>
      </c>
    </row>
    <row r="1384" ht="158" customHeight="1">
      <c r="A1384" s="8">
        <f>IF(ISNA(MATCH(1371,Engine!$C$2:$C$1960,0)),"",INDEX('Compliance Database'!$A$2:$A$1960,MATCH(1371,Engine!$C$2:$C$1960,0)))</f>
        <v/>
      </c>
      <c r="B1384" s="8">
        <f>IF(ISNA(MATCH(1371,Engine!$C$2:$C$1960,0)),"",INDEX('Compliance Database'!$B$2:$B$1960,MATCH(1371,Engine!$C$2:$C$1960,0)))</f>
        <v/>
      </c>
      <c r="C1384" s="8">
        <f>IF(ISNA(MATCH(1371,Engine!$C$2:$C$1960,0)),"",INDEX('Compliance Database'!$C$2:$C$1960,MATCH(1371,Engine!$C$2:$C$1960,0)))</f>
        <v/>
      </c>
      <c r="D1384" s="9">
        <f>IF(ISNA(MATCH(1371,Engine!$C$2:$C$1960,0)),"",INDEX('Compliance Database'!$D$2:$D$1960,MATCH(1371,Engine!$C$2:$C$1960,0)))</f>
        <v/>
      </c>
      <c r="E1384" s="8">
        <f>IF(ISNA(MATCH(1371,Engine!$C$2:$C$1960,0)),"",INDEX('Compliance Database'!$E$2:$E$1960,MATCH(1371,Engine!$C$2:$C$1960,0)))</f>
        <v/>
      </c>
      <c r="F1384" s="8">
        <f>IF(ISNA(MATCH(1371,Engine!$C$2:$C$1960,0)),"",INDEX('Compliance Database'!$F$2:$F$1960,MATCH(1371,Engine!$C$2:$C$1960,0)))</f>
        <v/>
      </c>
      <c r="G1384" s="8">
        <f>IF(ISNA(MATCH(1371,Engine!$C$2:$C$1960,0)),"",INDEX('Compliance Database'!$G$2:$G$1960,MATCH(1371,Engine!$C$2:$C$1960,0)))</f>
        <v/>
      </c>
      <c r="H1384" s="9">
        <f>IF(ISNA(MATCH(1371,Engine!$C$2:$C$1960,0)),"",INDEX('Compliance Database'!$H$2:$H$1960,MATCH(1371,Engine!$C$2:$C$1960,0)))</f>
        <v/>
      </c>
      <c r="I1384" s="9">
        <f>IF(ISNA(MATCH(1371,Engine!$C$2:$C$1960,0)),"",INDEX('Compliance Database'!$I$2:$I$1960,MATCH(1371,Engine!$C$2:$C$1960,0)))</f>
        <v/>
      </c>
      <c r="J1384" s="8">
        <f>IF(ISNA(MATCH(1371,Engine!$C$2:$C$1960,0)),"",INDEX('Compliance Database'!$J$2:$J$1960,MATCH(1371,Engine!$C$2:$C$1960,0)))</f>
        <v/>
      </c>
      <c r="K1384" s="9">
        <f>IF(ISNA(MATCH(1371,Engine!$C$2:$C$1960,0)),"",INDEX('Compliance Database'!$K$2:$K$1960,MATCH(1371,Engine!$C$2:$C$1960,0)))</f>
        <v/>
      </c>
      <c r="L1384" s="9">
        <f>IF(ISNA(MATCH(1371,Engine!$C$2:$C$1960,0)),"",INDEX('Compliance Database'!$L$2:$L$1960,MATCH(1371,Engine!$C$2:$C$1960,0)))</f>
        <v/>
      </c>
      <c r="M1384" s="9">
        <f>IF(ISNA(MATCH(1371,Engine!$C$2:$C$1960,0)),"",INDEX('Compliance Database'!$M$2:$M$1960,MATCH(1371,Engine!$C$2:$C$1960,0)))</f>
        <v/>
      </c>
      <c r="N1384" s="9">
        <f>IF(ISNA(MATCH(1371,Engine!$C$2:$C$1960,0)),"",INDEX('Compliance Database'!$N$2:$N$1960,MATCH(1371,Engine!$C$2:$C$1960,0)))</f>
        <v/>
      </c>
      <c r="O1384" s="9">
        <f>IF(ISNA(MATCH(1371,Engine!$C$2:$C$1960,0)),"",INDEX('Compliance Database'!$O$2:$O$1960,MATCH(1371,Engine!$C$2:$C$1960,0)))</f>
        <v/>
      </c>
      <c r="P1384" s="8">
        <f>IF(ISNA(MATCH(1371,Engine!$C$2:$C$1960,0)),"",HYPERLINK("#Acts!A"&amp;INDEX('Compliance Database'!$P$2:$P$1960,MATCH(1371,Engine!$C$2:$C$1960,0)),"Go to Act"))</f>
        <v/>
      </c>
    </row>
    <row r="1385" ht="158" customHeight="1">
      <c r="A1385" s="8">
        <f>IF(ISNA(MATCH(1372,Engine!$C$2:$C$1960,0)),"",INDEX('Compliance Database'!$A$2:$A$1960,MATCH(1372,Engine!$C$2:$C$1960,0)))</f>
        <v/>
      </c>
      <c r="B1385" s="8">
        <f>IF(ISNA(MATCH(1372,Engine!$C$2:$C$1960,0)),"",INDEX('Compliance Database'!$B$2:$B$1960,MATCH(1372,Engine!$C$2:$C$1960,0)))</f>
        <v/>
      </c>
      <c r="C1385" s="8">
        <f>IF(ISNA(MATCH(1372,Engine!$C$2:$C$1960,0)),"",INDEX('Compliance Database'!$C$2:$C$1960,MATCH(1372,Engine!$C$2:$C$1960,0)))</f>
        <v/>
      </c>
      <c r="D1385" s="9">
        <f>IF(ISNA(MATCH(1372,Engine!$C$2:$C$1960,0)),"",INDEX('Compliance Database'!$D$2:$D$1960,MATCH(1372,Engine!$C$2:$C$1960,0)))</f>
        <v/>
      </c>
      <c r="E1385" s="8">
        <f>IF(ISNA(MATCH(1372,Engine!$C$2:$C$1960,0)),"",INDEX('Compliance Database'!$E$2:$E$1960,MATCH(1372,Engine!$C$2:$C$1960,0)))</f>
        <v/>
      </c>
      <c r="F1385" s="8">
        <f>IF(ISNA(MATCH(1372,Engine!$C$2:$C$1960,0)),"",INDEX('Compliance Database'!$F$2:$F$1960,MATCH(1372,Engine!$C$2:$C$1960,0)))</f>
        <v/>
      </c>
      <c r="G1385" s="8">
        <f>IF(ISNA(MATCH(1372,Engine!$C$2:$C$1960,0)),"",INDEX('Compliance Database'!$G$2:$G$1960,MATCH(1372,Engine!$C$2:$C$1960,0)))</f>
        <v/>
      </c>
      <c r="H1385" s="9">
        <f>IF(ISNA(MATCH(1372,Engine!$C$2:$C$1960,0)),"",INDEX('Compliance Database'!$H$2:$H$1960,MATCH(1372,Engine!$C$2:$C$1960,0)))</f>
        <v/>
      </c>
      <c r="I1385" s="9">
        <f>IF(ISNA(MATCH(1372,Engine!$C$2:$C$1960,0)),"",INDEX('Compliance Database'!$I$2:$I$1960,MATCH(1372,Engine!$C$2:$C$1960,0)))</f>
        <v/>
      </c>
      <c r="J1385" s="8">
        <f>IF(ISNA(MATCH(1372,Engine!$C$2:$C$1960,0)),"",INDEX('Compliance Database'!$J$2:$J$1960,MATCH(1372,Engine!$C$2:$C$1960,0)))</f>
        <v/>
      </c>
      <c r="K1385" s="9">
        <f>IF(ISNA(MATCH(1372,Engine!$C$2:$C$1960,0)),"",INDEX('Compliance Database'!$K$2:$K$1960,MATCH(1372,Engine!$C$2:$C$1960,0)))</f>
        <v/>
      </c>
      <c r="L1385" s="9">
        <f>IF(ISNA(MATCH(1372,Engine!$C$2:$C$1960,0)),"",INDEX('Compliance Database'!$L$2:$L$1960,MATCH(1372,Engine!$C$2:$C$1960,0)))</f>
        <v/>
      </c>
      <c r="M1385" s="9">
        <f>IF(ISNA(MATCH(1372,Engine!$C$2:$C$1960,0)),"",INDEX('Compliance Database'!$M$2:$M$1960,MATCH(1372,Engine!$C$2:$C$1960,0)))</f>
        <v/>
      </c>
      <c r="N1385" s="9">
        <f>IF(ISNA(MATCH(1372,Engine!$C$2:$C$1960,0)),"",INDEX('Compliance Database'!$N$2:$N$1960,MATCH(1372,Engine!$C$2:$C$1960,0)))</f>
        <v/>
      </c>
      <c r="O1385" s="9">
        <f>IF(ISNA(MATCH(1372,Engine!$C$2:$C$1960,0)),"",INDEX('Compliance Database'!$O$2:$O$1960,MATCH(1372,Engine!$C$2:$C$1960,0)))</f>
        <v/>
      </c>
      <c r="P1385" s="8">
        <f>IF(ISNA(MATCH(1372,Engine!$C$2:$C$1960,0)),"",HYPERLINK("#Acts!A"&amp;INDEX('Compliance Database'!$P$2:$P$1960,MATCH(1372,Engine!$C$2:$C$1960,0)),"Go to Act"))</f>
        <v/>
      </c>
    </row>
    <row r="1386" ht="158" customHeight="1">
      <c r="A1386" s="8">
        <f>IF(ISNA(MATCH(1373,Engine!$C$2:$C$1960,0)),"",INDEX('Compliance Database'!$A$2:$A$1960,MATCH(1373,Engine!$C$2:$C$1960,0)))</f>
        <v/>
      </c>
      <c r="B1386" s="8">
        <f>IF(ISNA(MATCH(1373,Engine!$C$2:$C$1960,0)),"",INDEX('Compliance Database'!$B$2:$B$1960,MATCH(1373,Engine!$C$2:$C$1960,0)))</f>
        <v/>
      </c>
      <c r="C1386" s="8">
        <f>IF(ISNA(MATCH(1373,Engine!$C$2:$C$1960,0)),"",INDEX('Compliance Database'!$C$2:$C$1960,MATCH(1373,Engine!$C$2:$C$1960,0)))</f>
        <v/>
      </c>
      <c r="D1386" s="9">
        <f>IF(ISNA(MATCH(1373,Engine!$C$2:$C$1960,0)),"",INDEX('Compliance Database'!$D$2:$D$1960,MATCH(1373,Engine!$C$2:$C$1960,0)))</f>
        <v/>
      </c>
      <c r="E1386" s="8">
        <f>IF(ISNA(MATCH(1373,Engine!$C$2:$C$1960,0)),"",INDEX('Compliance Database'!$E$2:$E$1960,MATCH(1373,Engine!$C$2:$C$1960,0)))</f>
        <v/>
      </c>
      <c r="F1386" s="8">
        <f>IF(ISNA(MATCH(1373,Engine!$C$2:$C$1960,0)),"",INDEX('Compliance Database'!$F$2:$F$1960,MATCH(1373,Engine!$C$2:$C$1960,0)))</f>
        <v/>
      </c>
      <c r="G1386" s="8">
        <f>IF(ISNA(MATCH(1373,Engine!$C$2:$C$1960,0)),"",INDEX('Compliance Database'!$G$2:$G$1960,MATCH(1373,Engine!$C$2:$C$1960,0)))</f>
        <v/>
      </c>
      <c r="H1386" s="9">
        <f>IF(ISNA(MATCH(1373,Engine!$C$2:$C$1960,0)),"",INDEX('Compliance Database'!$H$2:$H$1960,MATCH(1373,Engine!$C$2:$C$1960,0)))</f>
        <v/>
      </c>
      <c r="I1386" s="9">
        <f>IF(ISNA(MATCH(1373,Engine!$C$2:$C$1960,0)),"",INDEX('Compliance Database'!$I$2:$I$1960,MATCH(1373,Engine!$C$2:$C$1960,0)))</f>
        <v/>
      </c>
      <c r="J1386" s="8">
        <f>IF(ISNA(MATCH(1373,Engine!$C$2:$C$1960,0)),"",INDEX('Compliance Database'!$J$2:$J$1960,MATCH(1373,Engine!$C$2:$C$1960,0)))</f>
        <v/>
      </c>
      <c r="K1386" s="9">
        <f>IF(ISNA(MATCH(1373,Engine!$C$2:$C$1960,0)),"",INDEX('Compliance Database'!$K$2:$K$1960,MATCH(1373,Engine!$C$2:$C$1960,0)))</f>
        <v/>
      </c>
      <c r="L1386" s="9">
        <f>IF(ISNA(MATCH(1373,Engine!$C$2:$C$1960,0)),"",INDEX('Compliance Database'!$L$2:$L$1960,MATCH(1373,Engine!$C$2:$C$1960,0)))</f>
        <v/>
      </c>
      <c r="M1386" s="9">
        <f>IF(ISNA(MATCH(1373,Engine!$C$2:$C$1960,0)),"",INDEX('Compliance Database'!$M$2:$M$1960,MATCH(1373,Engine!$C$2:$C$1960,0)))</f>
        <v/>
      </c>
      <c r="N1386" s="9">
        <f>IF(ISNA(MATCH(1373,Engine!$C$2:$C$1960,0)),"",INDEX('Compliance Database'!$N$2:$N$1960,MATCH(1373,Engine!$C$2:$C$1960,0)))</f>
        <v/>
      </c>
      <c r="O1386" s="9">
        <f>IF(ISNA(MATCH(1373,Engine!$C$2:$C$1960,0)),"",INDEX('Compliance Database'!$O$2:$O$1960,MATCH(1373,Engine!$C$2:$C$1960,0)))</f>
        <v/>
      </c>
      <c r="P1386" s="8">
        <f>IF(ISNA(MATCH(1373,Engine!$C$2:$C$1960,0)),"",HYPERLINK("#Acts!A"&amp;INDEX('Compliance Database'!$P$2:$P$1960,MATCH(1373,Engine!$C$2:$C$1960,0)),"Go to Act"))</f>
        <v/>
      </c>
    </row>
    <row r="1387" ht="158" customHeight="1">
      <c r="A1387" s="8">
        <f>IF(ISNA(MATCH(1374,Engine!$C$2:$C$1960,0)),"",INDEX('Compliance Database'!$A$2:$A$1960,MATCH(1374,Engine!$C$2:$C$1960,0)))</f>
        <v/>
      </c>
      <c r="B1387" s="8">
        <f>IF(ISNA(MATCH(1374,Engine!$C$2:$C$1960,0)),"",INDEX('Compliance Database'!$B$2:$B$1960,MATCH(1374,Engine!$C$2:$C$1960,0)))</f>
        <v/>
      </c>
      <c r="C1387" s="8">
        <f>IF(ISNA(MATCH(1374,Engine!$C$2:$C$1960,0)),"",INDEX('Compliance Database'!$C$2:$C$1960,MATCH(1374,Engine!$C$2:$C$1960,0)))</f>
        <v/>
      </c>
      <c r="D1387" s="9">
        <f>IF(ISNA(MATCH(1374,Engine!$C$2:$C$1960,0)),"",INDEX('Compliance Database'!$D$2:$D$1960,MATCH(1374,Engine!$C$2:$C$1960,0)))</f>
        <v/>
      </c>
      <c r="E1387" s="8">
        <f>IF(ISNA(MATCH(1374,Engine!$C$2:$C$1960,0)),"",INDEX('Compliance Database'!$E$2:$E$1960,MATCH(1374,Engine!$C$2:$C$1960,0)))</f>
        <v/>
      </c>
      <c r="F1387" s="8">
        <f>IF(ISNA(MATCH(1374,Engine!$C$2:$C$1960,0)),"",INDEX('Compliance Database'!$F$2:$F$1960,MATCH(1374,Engine!$C$2:$C$1960,0)))</f>
        <v/>
      </c>
      <c r="G1387" s="8">
        <f>IF(ISNA(MATCH(1374,Engine!$C$2:$C$1960,0)),"",INDEX('Compliance Database'!$G$2:$G$1960,MATCH(1374,Engine!$C$2:$C$1960,0)))</f>
        <v/>
      </c>
      <c r="H1387" s="9">
        <f>IF(ISNA(MATCH(1374,Engine!$C$2:$C$1960,0)),"",INDEX('Compliance Database'!$H$2:$H$1960,MATCH(1374,Engine!$C$2:$C$1960,0)))</f>
        <v/>
      </c>
      <c r="I1387" s="9">
        <f>IF(ISNA(MATCH(1374,Engine!$C$2:$C$1960,0)),"",INDEX('Compliance Database'!$I$2:$I$1960,MATCH(1374,Engine!$C$2:$C$1960,0)))</f>
        <v/>
      </c>
      <c r="J1387" s="8">
        <f>IF(ISNA(MATCH(1374,Engine!$C$2:$C$1960,0)),"",INDEX('Compliance Database'!$J$2:$J$1960,MATCH(1374,Engine!$C$2:$C$1960,0)))</f>
        <v/>
      </c>
      <c r="K1387" s="9">
        <f>IF(ISNA(MATCH(1374,Engine!$C$2:$C$1960,0)),"",INDEX('Compliance Database'!$K$2:$K$1960,MATCH(1374,Engine!$C$2:$C$1960,0)))</f>
        <v/>
      </c>
      <c r="L1387" s="9">
        <f>IF(ISNA(MATCH(1374,Engine!$C$2:$C$1960,0)),"",INDEX('Compliance Database'!$L$2:$L$1960,MATCH(1374,Engine!$C$2:$C$1960,0)))</f>
        <v/>
      </c>
      <c r="M1387" s="9">
        <f>IF(ISNA(MATCH(1374,Engine!$C$2:$C$1960,0)),"",INDEX('Compliance Database'!$M$2:$M$1960,MATCH(1374,Engine!$C$2:$C$1960,0)))</f>
        <v/>
      </c>
      <c r="N1387" s="9">
        <f>IF(ISNA(MATCH(1374,Engine!$C$2:$C$1960,0)),"",INDEX('Compliance Database'!$N$2:$N$1960,MATCH(1374,Engine!$C$2:$C$1960,0)))</f>
        <v/>
      </c>
      <c r="O1387" s="9">
        <f>IF(ISNA(MATCH(1374,Engine!$C$2:$C$1960,0)),"",INDEX('Compliance Database'!$O$2:$O$1960,MATCH(1374,Engine!$C$2:$C$1960,0)))</f>
        <v/>
      </c>
      <c r="P1387" s="8">
        <f>IF(ISNA(MATCH(1374,Engine!$C$2:$C$1960,0)),"",HYPERLINK("#Acts!A"&amp;INDEX('Compliance Database'!$P$2:$P$1960,MATCH(1374,Engine!$C$2:$C$1960,0)),"Go to Act"))</f>
        <v/>
      </c>
    </row>
    <row r="1388" ht="158" customHeight="1">
      <c r="A1388" s="8">
        <f>IF(ISNA(MATCH(1375,Engine!$C$2:$C$1960,0)),"",INDEX('Compliance Database'!$A$2:$A$1960,MATCH(1375,Engine!$C$2:$C$1960,0)))</f>
        <v/>
      </c>
      <c r="B1388" s="8">
        <f>IF(ISNA(MATCH(1375,Engine!$C$2:$C$1960,0)),"",INDEX('Compliance Database'!$B$2:$B$1960,MATCH(1375,Engine!$C$2:$C$1960,0)))</f>
        <v/>
      </c>
      <c r="C1388" s="8">
        <f>IF(ISNA(MATCH(1375,Engine!$C$2:$C$1960,0)),"",INDEX('Compliance Database'!$C$2:$C$1960,MATCH(1375,Engine!$C$2:$C$1960,0)))</f>
        <v/>
      </c>
      <c r="D1388" s="9">
        <f>IF(ISNA(MATCH(1375,Engine!$C$2:$C$1960,0)),"",INDEX('Compliance Database'!$D$2:$D$1960,MATCH(1375,Engine!$C$2:$C$1960,0)))</f>
        <v/>
      </c>
      <c r="E1388" s="8">
        <f>IF(ISNA(MATCH(1375,Engine!$C$2:$C$1960,0)),"",INDEX('Compliance Database'!$E$2:$E$1960,MATCH(1375,Engine!$C$2:$C$1960,0)))</f>
        <v/>
      </c>
      <c r="F1388" s="8">
        <f>IF(ISNA(MATCH(1375,Engine!$C$2:$C$1960,0)),"",INDEX('Compliance Database'!$F$2:$F$1960,MATCH(1375,Engine!$C$2:$C$1960,0)))</f>
        <v/>
      </c>
      <c r="G1388" s="8">
        <f>IF(ISNA(MATCH(1375,Engine!$C$2:$C$1960,0)),"",INDEX('Compliance Database'!$G$2:$G$1960,MATCH(1375,Engine!$C$2:$C$1960,0)))</f>
        <v/>
      </c>
      <c r="H1388" s="9">
        <f>IF(ISNA(MATCH(1375,Engine!$C$2:$C$1960,0)),"",INDEX('Compliance Database'!$H$2:$H$1960,MATCH(1375,Engine!$C$2:$C$1960,0)))</f>
        <v/>
      </c>
      <c r="I1388" s="9">
        <f>IF(ISNA(MATCH(1375,Engine!$C$2:$C$1960,0)),"",INDEX('Compliance Database'!$I$2:$I$1960,MATCH(1375,Engine!$C$2:$C$1960,0)))</f>
        <v/>
      </c>
      <c r="J1388" s="8">
        <f>IF(ISNA(MATCH(1375,Engine!$C$2:$C$1960,0)),"",INDEX('Compliance Database'!$J$2:$J$1960,MATCH(1375,Engine!$C$2:$C$1960,0)))</f>
        <v/>
      </c>
      <c r="K1388" s="9">
        <f>IF(ISNA(MATCH(1375,Engine!$C$2:$C$1960,0)),"",INDEX('Compliance Database'!$K$2:$K$1960,MATCH(1375,Engine!$C$2:$C$1960,0)))</f>
        <v/>
      </c>
      <c r="L1388" s="9">
        <f>IF(ISNA(MATCH(1375,Engine!$C$2:$C$1960,0)),"",INDEX('Compliance Database'!$L$2:$L$1960,MATCH(1375,Engine!$C$2:$C$1960,0)))</f>
        <v/>
      </c>
      <c r="M1388" s="9">
        <f>IF(ISNA(MATCH(1375,Engine!$C$2:$C$1960,0)),"",INDEX('Compliance Database'!$M$2:$M$1960,MATCH(1375,Engine!$C$2:$C$1960,0)))</f>
        <v/>
      </c>
      <c r="N1388" s="9">
        <f>IF(ISNA(MATCH(1375,Engine!$C$2:$C$1960,0)),"",INDEX('Compliance Database'!$N$2:$N$1960,MATCH(1375,Engine!$C$2:$C$1960,0)))</f>
        <v/>
      </c>
      <c r="O1388" s="9">
        <f>IF(ISNA(MATCH(1375,Engine!$C$2:$C$1960,0)),"",INDEX('Compliance Database'!$O$2:$O$1960,MATCH(1375,Engine!$C$2:$C$1960,0)))</f>
        <v/>
      </c>
      <c r="P1388" s="8">
        <f>IF(ISNA(MATCH(1375,Engine!$C$2:$C$1960,0)),"",HYPERLINK("#Acts!A"&amp;INDEX('Compliance Database'!$P$2:$P$1960,MATCH(1375,Engine!$C$2:$C$1960,0)),"Go to Act"))</f>
        <v/>
      </c>
    </row>
    <row r="1389" ht="158" customHeight="1">
      <c r="A1389" s="8">
        <f>IF(ISNA(MATCH(1376,Engine!$C$2:$C$1960,0)),"",INDEX('Compliance Database'!$A$2:$A$1960,MATCH(1376,Engine!$C$2:$C$1960,0)))</f>
        <v/>
      </c>
      <c r="B1389" s="8">
        <f>IF(ISNA(MATCH(1376,Engine!$C$2:$C$1960,0)),"",INDEX('Compliance Database'!$B$2:$B$1960,MATCH(1376,Engine!$C$2:$C$1960,0)))</f>
        <v/>
      </c>
      <c r="C1389" s="8">
        <f>IF(ISNA(MATCH(1376,Engine!$C$2:$C$1960,0)),"",INDEX('Compliance Database'!$C$2:$C$1960,MATCH(1376,Engine!$C$2:$C$1960,0)))</f>
        <v/>
      </c>
      <c r="D1389" s="9">
        <f>IF(ISNA(MATCH(1376,Engine!$C$2:$C$1960,0)),"",INDEX('Compliance Database'!$D$2:$D$1960,MATCH(1376,Engine!$C$2:$C$1960,0)))</f>
        <v/>
      </c>
      <c r="E1389" s="8">
        <f>IF(ISNA(MATCH(1376,Engine!$C$2:$C$1960,0)),"",INDEX('Compliance Database'!$E$2:$E$1960,MATCH(1376,Engine!$C$2:$C$1960,0)))</f>
        <v/>
      </c>
      <c r="F1389" s="8">
        <f>IF(ISNA(MATCH(1376,Engine!$C$2:$C$1960,0)),"",INDEX('Compliance Database'!$F$2:$F$1960,MATCH(1376,Engine!$C$2:$C$1960,0)))</f>
        <v/>
      </c>
      <c r="G1389" s="8">
        <f>IF(ISNA(MATCH(1376,Engine!$C$2:$C$1960,0)),"",INDEX('Compliance Database'!$G$2:$G$1960,MATCH(1376,Engine!$C$2:$C$1960,0)))</f>
        <v/>
      </c>
      <c r="H1389" s="9">
        <f>IF(ISNA(MATCH(1376,Engine!$C$2:$C$1960,0)),"",INDEX('Compliance Database'!$H$2:$H$1960,MATCH(1376,Engine!$C$2:$C$1960,0)))</f>
        <v/>
      </c>
      <c r="I1389" s="9">
        <f>IF(ISNA(MATCH(1376,Engine!$C$2:$C$1960,0)),"",INDEX('Compliance Database'!$I$2:$I$1960,MATCH(1376,Engine!$C$2:$C$1960,0)))</f>
        <v/>
      </c>
      <c r="J1389" s="8">
        <f>IF(ISNA(MATCH(1376,Engine!$C$2:$C$1960,0)),"",INDEX('Compliance Database'!$J$2:$J$1960,MATCH(1376,Engine!$C$2:$C$1960,0)))</f>
        <v/>
      </c>
      <c r="K1389" s="9">
        <f>IF(ISNA(MATCH(1376,Engine!$C$2:$C$1960,0)),"",INDEX('Compliance Database'!$K$2:$K$1960,MATCH(1376,Engine!$C$2:$C$1960,0)))</f>
        <v/>
      </c>
      <c r="L1389" s="9">
        <f>IF(ISNA(MATCH(1376,Engine!$C$2:$C$1960,0)),"",INDEX('Compliance Database'!$L$2:$L$1960,MATCH(1376,Engine!$C$2:$C$1960,0)))</f>
        <v/>
      </c>
      <c r="M1389" s="9">
        <f>IF(ISNA(MATCH(1376,Engine!$C$2:$C$1960,0)),"",INDEX('Compliance Database'!$M$2:$M$1960,MATCH(1376,Engine!$C$2:$C$1960,0)))</f>
        <v/>
      </c>
      <c r="N1389" s="9">
        <f>IF(ISNA(MATCH(1376,Engine!$C$2:$C$1960,0)),"",INDEX('Compliance Database'!$N$2:$N$1960,MATCH(1376,Engine!$C$2:$C$1960,0)))</f>
        <v/>
      </c>
      <c r="O1389" s="9">
        <f>IF(ISNA(MATCH(1376,Engine!$C$2:$C$1960,0)),"",INDEX('Compliance Database'!$O$2:$O$1960,MATCH(1376,Engine!$C$2:$C$1960,0)))</f>
        <v/>
      </c>
      <c r="P1389" s="8">
        <f>IF(ISNA(MATCH(1376,Engine!$C$2:$C$1960,0)),"",HYPERLINK("#Acts!A"&amp;INDEX('Compliance Database'!$P$2:$P$1960,MATCH(1376,Engine!$C$2:$C$1960,0)),"Go to Act"))</f>
        <v/>
      </c>
    </row>
    <row r="1390" ht="158" customHeight="1">
      <c r="A1390" s="8">
        <f>IF(ISNA(MATCH(1377,Engine!$C$2:$C$1960,0)),"",INDEX('Compliance Database'!$A$2:$A$1960,MATCH(1377,Engine!$C$2:$C$1960,0)))</f>
        <v/>
      </c>
      <c r="B1390" s="8">
        <f>IF(ISNA(MATCH(1377,Engine!$C$2:$C$1960,0)),"",INDEX('Compliance Database'!$B$2:$B$1960,MATCH(1377,Engine!$C$2:$C$1960,0)))</f>
        <v/>
      </c>
      <c r="C1390" s="8">
        <f>IF(ISNA(MATCH(1377,Engine!$C$2:$C$1960,0)),"",INDEX('Compliance Database'!$C$2:$C$1960,MATCH(1377,Engine!$C$2:$C$1960,0)))</f>
        <v/>
      </c>
      <c r="D1390" s="9">
        <f>IF(ISNA(MATCH(1377,Engine!$C$2:$C$1960,0)),"",INDEX('Compliance Database'!$D$2:$D$1960,MATCH(1377,Engine!$C$2:$C$1960,0)))</f>
        <v/>
      </c>
      <c r="E1390" s="8">
        <f>IF(ISNA(MATCH(1377,Engine!$C$2:$C$1960,0)),"",INDEX('Compliance Database'!$E$2:$E$1960,MATCH(1377,Engine!$C$2:$C$1960,0)))</f>
        <v/>
      </c>
      <c r="F1390" s="8">
        <f>IF(ISNA(MATCH(1377,Engine!$C$2:$C$1960,0)),"",INDEX('Compliance Database'!$F$2:$F$1960,MATCH(1377,Engine!$C$2:$C$1960,0)))</f>
        <v/>
      </c>
      <c r="G1390" s="8">
        <f>IF(ISNA(MATCH(1377,Engine!$C$2:$C$1960,0)),"",INDEX('Compliance Database'!$G$2:$G$1960,MATCH(1377,Engine!$C$2:$C$1960,0)))</f>
        <v/>
      </c>
      <c r="H1390" s="9">
        <f>IF(ISNA(MATCH(1377,Engine!$C$2:$C$1960,0)),"",INDEX('Compliance Database'!$H$2:$H$1960,MATCH(1377,Engine!$C$2:$C$1960,0)))</f>
        <v/>
      </c>
      <c r="I1390" s="9">
        <f>IF(ISNA(MATCH(1377,Engine!$C$2:$C$1960,0)),"",INDEX('Compliance Database'!$I$2:$I$1960,MATCH(1377,Engine!$C$2:$C$1960,0)))</f>
        <v/>
      </c>
      <c r="J1390" s="8">
        <f>IF(ISNA(MATCH(1377,Engine!$C$2:$C$1960,0)),"",INDEX('Compliance Database'!$J$2:$J$1960,MATCH(1377,Engine!$C$2:$C$1960,0)))</f>
        <v/>
      </c>
      <c r="K1390" s="9">
        <f>IF(ISNA(MATCH(1377,Engine!$C$2:$C$1960,0)),"",INDEX('Compliance Database'!$K$2:$K$1960,MATCH(1377,Engine!$C$2:$C$1960,0)))</f>
        <v/>
      </c>
      <c r="L1390" s="9">
        <f>IF(ISNA(MATCH(1377,Engine!$C$2:$C$1960,0)),"",INDEX('Compliance Database'!$L$2:$L$1960,MATCH(1377,Engine!$C$2:$C$1960,0)))</f>
        <v/>
      </c>
      <c r="M1390" s="9">
        <f>IF(ISNA(MATCH(1377,Engine!$C$2:$C$1960,0)),"",INDEX('Compliance Database'!$M$2:$M$1960,MATCH(1377,Engine!$C$2:$C$1960,0)))</f>
        <v/>
      </c>
      <c r="N1390" s="9">
        <f>IF(ISNA(MATCH(1377,Engine!$C$2:$C$1960,0)),"",INDEX('Compliance Database'!$N$2:$N$1960,MATCH(1377,Engine!$C$2:$C$1960,0)))</f>
        <v/>
      </c>
      <c r="O1390" s="9">
        <f>IF(ISNA(MATCH(1377,Engine!$C$2:$C$1960,0)),"",INDEX('Compliance Database'!$O$2:$O$1960,MATCH(1377,Engine!$C$2:$C$1960,0)))</f>
        <v/>
      </c>
      <c r="P1390" s="8">
        <f>IF(ISNA(MATCH(1377,Engine!$C$2:$C$1960,0)),"",HYPERLINK("#Acts!A"&amp;INDEX('Compliance Database'!$P$2:$P$1960,MATCH(1377,Engine!$C$2:$C$1960,0)),"Go to Act"))</f>
        <v/>
      </c>
    </row>
    <row r="1391" ht="158" customHeight="1">
      <c r="A1391" s="8">
        <f>IF(ISNA(MATCH(1378,Engine!$C$2:$C$1960,0)),"",INDEX('Compliance Database'!$A$2:$A$1960,MATCH(1378,Engine!$C$2:$C$1960,0)))</f>
        <v/>
      </c>
      <c r="B1391" s="8">
        <f>IF(ISNA(MATCH(1378,Engine!$C$2:$C$1960,0)),"",INDEX('Compliance Database'!$B$2:$B$1960,MATCH(1378,Engine!$C$2:$C$1960,0)))</f>
        <v/>
      </c>
      <c r="C1391" s="8">
        <f>IF(ISNA(MATCH(1378,Engine!$C$2:$C$1960,0)),"",INDEX('Compliance Database'!$C$2:$C$1960,MATCH(1378,Engine!$C$2:$C$1960,0)))</f>
        <v/>
      </c>
      <c r="D1391" s="9">
        <f>IF(ISNA(MATCH(1378,Engine!$C$2:$C$1960,0)),"",INDEX('Compliance Database'!$D$2:$D$1960,MATCH(1378,Engine!$C$2:$C$1960,0)))</f>
        <v/>
      </c>
      <c r="E1391" s="8">
        <f>IF(ISNA(MATCH(1378,Engine!$C$2:$C$1960,0)),"",INDEX('Compliance Database'!$E$2:$E$1960,MATCH(1378,Engine!$C$2:$C$1960,0)))</f>
        <v/>
      </c>
      <c r="F1391" s="8">
        <f>IF(ISNA(MATCH(1378,Engine!$C$2:$C$1960,0)),"",INDEX('Compliance Database'!$F$2:$F$1960,MATCH(1378,Engine!$C$2:$C$1960,0)))</f>
        <v/>
      </c>
      <c r="G1391" s="8">
        <f>IF(ISNA(MATCH(1378,Engine!$C$2:$C$1960,0)),"",INDEX('Compliance Database'!$G$2:$G$1960,MATCH(1378,Engine!$C$2:$C$1960,0)))</f>
        <v/>
      </c>
      <c r="H1391" s="9">
        <f>IF(ISNA(MATCH(1378,Engine!$C$2:$C$1960,0)),"",INDEX('Compliance Database'!$H$2:$H$1960,MATCH(1378,Engine!$C$2:$C$1960,0)))</f>
        <v/>
      </c>
      <c r="I1391" s="9">
        <f>IF(ISNA(MATCH(1378,Engine!$C$2:$C$1960,0)),"",INDEX('Compliance Database'!$I$2:$I$1960,MATCH(1378,Engine!$C$2:$C$1960,0)))</f>
        <v/>
      </c>
      <c r="J1391" s="8">
        <f>IF(ISNA(MATCH(1378,Engine!$C$2:$C$1960,0)),"",INDEX('Compliance Database'!$J$2:$J$1960,MATCH(1378,Engine!$C$2:$C$1960,0)))</f>
        <v/>
      </c>
      <c r="K1391" s="9">
        <f>IF(ISNA(MATCH(1378,Engine!$C$2:$C$1960,0)),"",INDEX('Compliance Database'!$K$2:$K$1960,MATCH(1378,Engine!$C$2:$C$1960,0)))</f>
        <v/>
      </c>
      <c r="L1391" s="9">
        <f>IF(ISNA(MATCH(1378,Engine!$C$2:$C$1960,0)),"",INDEX('Compliance Database'!$L$2:$L$1960,MATCH(1378,Engine!$C$2:$C$1960,0)))</f>
        <v/>
      </c>
      <c r="M1391" s="9">
        <f>IF(ISNA(MATCH(1378,Engine!$C$2:$C$1960,0)),"",INDEX('Compliance Database'!$M$2:$M$1960,MATCH(1378,Engine!$C$2:$C$1960,0)))</f>
        <v/>
      </c>
      <c r="N1391" s="9">
        <f>IF(ISNA(MATCH(1378,Engine!$C$2:$C$1960,0)),"",INDEX('Compliance Database'!$N$2:$N$1960,MATCH(1378,Engine!$C$2:$C$1960,0)))</f>
        <v/>
      </c>
      <c r="O1391" s="9">
        <f>IF(ISNA(MATCH(1378,Engine!$C$2:$C$1960,0)),"",INDEX('Compliance Database'!$O$2:$O$1960,MATCH(1378,Engine!$C$2:$C$1960,0)))</f>
        <v/>
      </c>
      <c r="P1391" s="8">
        <f>IF(ISNA(MATCH(1378,Engine!$C$2:$C$1960,0)),"",HYPERLINK("#Acts!A"&amp;INDEX('Compliance Database'!$P$2:$P$1960,MATCH(1378,Engine!$C$2:$C$1960,0)),"Go to Act"))</f>
        <v/>
      </c>
    </row>
    <row r="1392" ht="158" customHeight="1">
      <c r="A1392" s="8">
        <f>IF(ISNA(MATCH(1379,Engine!$C$2:$C$1960,0)),"",INDEX('Compliance Database'!$A$2:$A$1960,MATCH(1379,Engine!$C$2:$C$1960,0)))</f>
        <v/>
      </c>
      <c r="B1392" s="8">
        <f>IF(ISNA(MATCH(1379,Engine!$C$2:$C$1960,0)),"",INDEX('Compliance Database'!$B$2:$B$1960,MATCH(1379,Engine!$C$2:$C$1960,0)))</f>
        <v/>
      </c>
      <c r="C1392" s="8">
        <f>IF(ISNA(MATCH(1379,Engine!$C$2:$C$1960,0)),"",INDEX('Compliance Database'!$C$2:$C$1960,MATCH(1379,Engine!$C$2:$C$1960,0)))</f>
        <v/>
      </c>
      <c r="D1392" s="9">
        <f>IF(ISNA(MATCH(1379,Engine!$C$2:$C$1960,0)),"",INDEX('Compliance Database'!$D$2:$D$1960,MATCH(1379,Engine!$C$2:$C$1960,0)))</f>
        <v/>
      </c>
      <c r="E1392" s="8">
        <f>IF(ISNA(MATCH(1379,Engine!$C$2:$C$1960,0)),"",INDEX('Compliance Database'!$E$2:$E$1960,MATCH(1379,Engine!$C$2:$C$1960,0)))</f>
        <v/>
      </c>
      <c r="F1392" s="8">
        <f>IF(ISNA(MATCH(1379,Engine!$C$2:$C$1960,0)),"",INDEX('Compliance Database'!$F$2:$F$1960,MATCH(1379,Engine!$C$2:$C$1960,0)))</f>
        <v/>
      </c>
      <c r="G1392" s="8">
        <f>IF(ISNA(MATCH(1379,Engine!$C$2:$C$1960,0)),"",INDEX('Compliance Database'!$G$2:$G$1960,MATCH(1379,Engine!$C$2:$C$1960,0)))</f>
        <v/>
      </c>
      <c r="H1392" s="9">
        <f>IF(ISNA(MATCH(1379,Engine!$C$2:$C$1960,0)),"",INDEX('Compliance Database'!$H$2:$H$1960,MATCH(1379,Engine!$C$2:$C$1960,0)))</f>
        <v/>
      </c>
      <c r="I1392" s="9">
        <f>IF(ISNA(MATCH(1379,Engine!$C$2:$C$1960,0)),"",INDEX('Compliance Database'!$I$2:$I$1960,MATCH(1379,Engine!$C$2:$C$1960,0)))</f>
        <v/>
      </c>
      <c r="J1392" s="8">
        <f>IF(ISNA(MATCH(1379,Engine!$C$2:$C$1960,0)),"",INDEX('Compliance Database'!$J$2:$J$1960,MATCH(1379,Engine!$C$2:$C$1960,0)))</f>
        <v/>
      </c>
      <c r="K1392" s="9">
        <f>IF(ISNA(MATCH(1379,Engine!$C$2:$C$1960,0)),"",INDEX('Compliance Database'!$K$2:$K$1960,MATCH(1379,Engine!$C$2:$C$1960,0)))</f>
        <v/>
      </c>
      <c r="L1392" s="9">
        <f>IF(ISNA(MATCH(1379,Engine!$C$2:$C$1960,0)),"",INDEX('Compliance Database'!$L$2:$L$1960,MATCH(1379,Engine!$C$2:$C$1960,0)))</f>
        <v/>
      </c>
      <c r="M1392" s="9">
        <f>IF(ISNA(MATCH(1379,Engine!$C$2:$C$1960,0)),"",INDEX('Compliance Database'!$M$2:$M$1960,MATCH(1379,Engine!$C$2:$C$1960,0)))</f>
        <v/>
      </c>
      <c r="N1392" s="9">
        <f>IF(ISNA(MATCH(1379,Engine!$C$2:$C$1960,0)),"",INDEX('Compliance Database'!$N$2:$N$1960,MATCH(1379,Engine!$C$2:$C$1960,0)))</f>
        <v/>
      </c>
      <c r="O1392" s="9">
        <f>IF(ISNA(MATCH(1379,Engine!$C$2:$C$1960,0)),"",INDEX('Compliance Database'!$O$2:$O$1960,MATCH(1379,Engine!$C$2:$C$1960,0)))</f>
        <v/>
      </c>
      <c r="P1392" s="8">
        <f>IF(ISNA(MATCH(1379,Engine!$C$2:$C$1960,0)),"",HYPERLINK("#Acts!A"&amp;INDEX('Compliance Database'!$P$2:$P$1960,MATCH(1379,Engine!$C$2:$C$1960,0)),"Go to Act"))</f>
        <v/>
      </c>
    </row>
    <row r="1393" ht="158" customHeight="1">
      <c r="A1393" s="8">
        <f>IF(ISNA(MATCH(1380,Engine!$C$2:$C$1960,0)),"",INDEX('Compliance Database'!$A$2:$A$1960,MATCH(1380,Engine!$C$2:$C$1960,0)))</f>
        <v/>
      </c>
      <c r="B1393" s="8">
        <f>IF(ISNA(MATCH(1380,Engine!$C$2:$C$1960,0)),"",INDEX('Compliance Database'!$B$2:$B$1960,MATCH(1380,Engine!$C$2:$C$1960,0)))</f>
        <v/>
      </c>
      <c r="C1393" s="8">
        <f>IF(ISNA(MATCH(1380,Engine!$C$2:$C$1960,0)),"",INDEX('Compliance Database'!$C$2:$C$1960,MATCH(1380,Engine!$C$2:$C$1960,0)))</f>
        <v/>
      </c>
      <c r="D1393" s="9">
        <f>IF(ISNA(MATCH(1380,Engine!$C$2:$C$1960,0)),"",INDEX('Compliance Database'!$D$2:$D$1960,MATCH(1380,Engine!$C$2:$C$1960,0)))</f>
        <v/>
      </c>
      <c r="E1393" s="8">
        <f>IF(ISNA(MATCH(1380,Engine!$C$2:$C$1960,0)),"",INDEX('Compliance Database'!$E$2:$E$1960,MATCH(1380,Engine!$C$2:$C$1960,0)))</f>
        <v/>
      </c>
      <c r="F1393" s="8">
        <f>IF(ISNA(MATCH(1380,Engine!$C$2:$C$1960,0)),"",INDEX('Compliance Database'!$F$2:$F$1960,MATCH(1380,Engine!$C$2:$C$1960,0)))</f>
        <v/>
      </c>
      <c r="G1393" s="8">
        <f>IF(ISNA(MATCH(1380,Engine!$C$2:$C$1960,0)),"",INDEX('Compliance Database'!$G$2:$G$1960,MATCH(1380,Engine!$C$2:$C$1960,0)))</f>
        <v/>
      </c>
      <c r="H1393" s="9">
        <f>IF(ISNA(MATCH(1380,Engine!$C$2:$C$1960,0)),"",INDEX('Compliance Database'!$H$2:$H$1960,MATCH(1380,Engine!$C$2:$C$1960,0)))</f>
        <v/>
      </c>
      <c r="I1393" s="9">
        <f>IF(ISNA(MATCH(1380,Engine!$C$2:$C$1960,0)),"",INDEX('Compliance Database'!$I$2:$I$1960,MATCH(1380,Engine!$C$2:$C$1960,0)))</f>
        <v/>
      </c>
      <c r="J1393" s="8">
        <f>IF(ISNA(MATCH(1380,Engine!$C$2:$C$1960,0)),"",INDEX('Compliance Database'!$J$2:$J$1960,MATCH(1380,Engine!$C$2:$C$1960,0)))</f>
        <v/>
      </c>
      <c r="K1393" s="9">
        <f>IF(ISNA(MATCH(1380,Engine!$C$2:$C$1960,0)),"",INDEX('Compliance Database'!$K$2:$K$1960,MATCH(1380,Engine!$C$2:$C$1960,0)))</f>
        <v/>
      </c>
      <c r="L1393" s="9">
        <f>IF(ISNA(MATCH(1380,Engine!$C$2:$C$1960,0)),"",INDEX('Compliance Database'!$L$2:$L$1960,MATCH(1380,Engine!$C$2:$C$1960,0)))</f>
        <v/>
      </c>
      <c r="M1393" s="9">
        <f>IF(ISNA(MATCH(1380,Engine!$C$2:$C$1960,0)),"",INDEX('Compliance Database'!$M$2:$M$1960,MATCH(1380,Engine!$C$2:$C$1960,0)))</f>
        <v/>
      </c>
      <c r="N1393" s="9">
        <f>IF(ISNA(MATCH(1380,Engine!$C$2:$C$1960,0)),"",INDEX('Compliance Database'!$N$2:$N$1960,MATCH(1380,Engine!$C$2:$C$1960,0)))</f>
        <v/>
      </c>
      <c r="O1393" s="9">
        <f>IF(ISNA(MATCH(1380,Engine!$C$2:$C$1960,0)),"",INDEX('Compliance Database'!$O$2:$O$1960,MATCH(1380,Engine!$C$2:$C$1960,0)))</f>
        <v/>
      </c>
      <c r="P1393" s="8">
        <f>IF(ISNA(MATCH(1380,Engine!$C$2:$C$1960,0)),"",HYPERLINK("#Acts!A"&amp;INDEX('Compliance Database'!$P$2:$P$1960,MATCH(1380,Engine!$C$2:$C$1960,0)),"Go to Act"))</f>
        <v/>
      </c>
    </row>
    <row r="1394" ht="158" customHeight="1">
      <c r="A1394" s="8">
        <f>IF(ISNA(MATCH(1381,Engine!$C$2:$C$1960,0)),"",INDEX('Compliance Database'!$A$2:$A$1960,MATCH(1381,Engine!$C$2:$C$1960,0)))</f>
        <v/>
      </c>
      <c r="B1394" s="8">
        <f>IF(ISNA(MATCH(1381,Engine!$C$2:$C$1960,0)),"",INDEX('Compliance Database'!$B$2:$B$1960,MATCH(1381,Engine!$C$2:$C$1960,0)))</f>
        <v/>
      </c>
      <c r="C1394" s="8">
        <f>IF(ISNA(MATCH(1381,Engine!$C$2:$C$1960,0)),"",INDEX('Compliance Database'!$C$2:$C$1960,MATCH(1381,Engine!$C$2:$C$1960,0)))</f>
        <v/>
      </c>
      <c r="D1394" s="9">
        <f>IF(ISNA(MATCH(1381,Engine!$C$2:$C$1960,0)),"",INDEX('Compliance Database'!$D$2:$D$1960,MATCH(1381,Engine!$C$2:$C$1960,0)))</f>
        <v/>
      </c>
      <c r="E1394" s="8">
        <f>IF(ISNA(MATCH(1381,Engine!$C$2:$C$1960,0)),"",INDEX('Compliance Database'!$E$2:$E$1960,MATCH(1381,Engine!$C$2:$C$1960,0)))</f>
        <v/>
      </c>
      <c r="F1394" s="8">
        <f>IF(ISNA(MATCH(1381,Engine!$C$2:$C$1960,0)),"",INDEX('Compliance Database'!$F$2:$F$1960,MATCH(1381,Engine!$C$2:$C$1960,0)))</f>
        <v/>
      </c>
      <c r="G1394" s="8">
        <f>IF(ISNA(MATCH(1381,Engine!$C$2:$C$1960,0)),"",INDEX('Compliance Database'!$G$2:$G$1960,MATCH(1381,Engine!$C$2:$C$1960,0)))</f>
        <v/>
      </c>
      <c r="H1394" s="9">
        <f>IF(ISNA(MATCH(1381,Engine!$C$2:$C$1960,0)),"",INDEX('Compliance Database'!$H$2:$H$1960,MATCH(1381,Engine!$C$2:$C$1960,0)))</f>
        <v/>
      </c>
      <c r="I1394" s="9">
        <f>IF(ISNA(MATCH(1381,Engine!$C$2:$C$1960,0)),"",INDEX('Compliance Database'!$I$2:$I$1960,MATCH(1381,Engine!$C$2:$C$1960,0)))</f>
        <v/>
      </c>
      <c r="J1394" s="8">
        <f>IF(ISNA(MATCH(1381,Engine!$C$2:$C$1960,0)),"",INDEX('Compliance Database'!$J$2:$J$1960,MATCH(1381,Engine!$C$2:$C$1960,0)))</f>
        <v/>
      </c>
      <c r="K1394" s="9">
        <f>IF(ISNA(MATCH(1381,Engine!$C$2:$C$1960,0)),"",INDEX('Compliance Database'!$K$2:$K$1960,MATCH(1381,Engine!$C$2:$C$1960,0)))</f>
        <v/>
      </c>
      <c r="L1394" s="9">
        <f>IF(ISNA(MATCH(1381,Engine!$C$2:$C$1960,0)),"",INDEX('Compliance Database'!$L$2:$L$1960,MATCH(1381,Engine!$C$2:$C$1960,0)))</f>
        <v/>
      </c>
      <c r="M1394" s="9">
        <f>IF(ISNA(MATCH(1381,Engine!$C$2:$C$1960,0)),"",INDEX('Compliance Database'!$M$2:$M$1960,MATCH(1381,Engine!$C$2:$C$1960,0)))</f>
        <v/>
      </c>
      <c r="N1394" s="9">
        <f>IF(ISNA(MATCH(1381,Engine!$C$2:$C$1960,0)),"",INDEX('Compliance Database'!$N$2:$N$1960,MATCH(1381,Engine!$C$2:$C$1960,0)))</f>
        <v/>
      </c>
      <c r="O1394" s="9">
        <f>IF(ISNA(MATCH(1381,Engine!$C$2:$C$1960,0)),"",INDEX('Compliance Database'!$O$2:$O$1960,MATCH(1381,Engine!$C$2:$C$1960,0)))</f>
        <v/>
      </c>
      <c r="P1394" s="8">
        <f>IF(ISNA(MATCH(1381,Engine!$C$2:$C$1960,0)),"",HYPERLINK("#Acts!A"&amp;INDEX('Compliance Database'!$P$2:$P$1960,MATCH(1381,Engine!$C$2:$C$1960,0)),"Go to Act"))</f>
        <v/>
      </c>
    </row>
    <row r="1395" ht="158" customHeight="1">
      <c r="A1395" s="8">
        <f>IF(ISNA(MATCH(1382,Engine!$C$2:$C$1960,0)),"",INDEX('Compliance Database'!$A$2:$A$1960,MATCH(1382,Engine!$C$2:$C$1960,0)))</f>
        <v/>
      </c>
      <c r="B1395" s="8">
        <f>IF(ISNA(MATCH(1382,Engine!$C$2:$C$1960,0)),"",INDEX('Compliance Database'!$B$2:$B$1960,MATCH(1382,Engine!$C$2:$C$1960,0)))</f>
        <v/>
      </c>
      <c r="C1395" s="8">
        <f>IF(ISNA(MATCH(1382,Engine!$C$2:$C$1960,0)),"",INDEX('Compliance Database'!$C$2:$C$1960,MATCH(1382,Engine!$C$2:$C$1960,0)))</f>
        <v/>
      </c>
      <c r="D1395" s="9">
        <f>IF(ISNA(MATCH(1382,Engine!$C$2:$C$1960,0)),"",INDEX('Compliance Database'!$D$2:$D$1960,MATCH(1382,Engine!$C$2:$C$1960,0)))</f>
        <v/>
      </c>
      <c r="E1395" s="8">
        <f>IF(ISNA(MATCH(1382,Engine!$C$2:$C$1960,0)),"",INDEX('Compliance Database'!$E$2:$E$1960,MATCH(1382,Engine!$C$2:$C$1960,0)))</f>
        <v/>
      </c>
      <c r="F1395" s="8">
        <f>IF(ISNA(MATCH(1382,Engine!$C$2:$C$1960,0)),"",INDEX('Compliance Database'!$F$2:$F$1960,MATCH(1382,Engine!$C$2:$C$1960,0)))</f>
        <v/>
      </c>
      <c r="G1395" s="8">
        <f>IF(ISNA(MATCH(1382,Engine!$C$2:$C$1960,0)),"",INDEX('Compliance Database'!$G$2:$G$1960,MATCH(1382,Engine!$C$2:$C$1960,0)))</f>
        <v/>
      </c>
      <c r="H1395" s="9">
        <f>IF(ISNA(MATCH(1382,Engine!$C$2:$C$1960,0)),"",INDEX('Compliance Database'!$H$2:$H$1960,MATCH(1382,Engine!$C$2:$C$1960,0)))</f>
        <v/>
      </c>
      <c r="I1395" s="9">
        <f>IF(ISNA(MATCH(1382,Engine!$C$2:$C$1960,0)),"",INDEX('Compliance Database'!$I$2:$I$1960,MATCH(1382,Engine!$C$2:$C$1960,0)))</f>
        <v/>
      </c>
      <c r="J1395" s="8">
        <f>IF(ISNA(MATCH(1382,Engine!$C$2:$C$1960,0)),"",INDEX('Compliance Database'!$J$2:$J$1960,MATCH(1382,Engine!$C$2:$C$1960,0)))</f>
        <v/>
      </c>
      <c r="K1395" s="9">
        <f>IF(ISNA(MATCH(1382,Engine!$C$2:$C$1960,0)),"",INDEX('Compliance Database'!$K$2:$K$1960,MATCH(1382,Engine!$C$2:$C$1960,0)))</f>
        <v/>
      </c>
      <c r="L1395" s="9">
        <f>IF(ISNA(MATCH(1382,Engine!$C$2:$C$1960,0)),"",INDEX('Compliance Database'!$L$2:$L$1960,MATCH(1382,Engine!$C$2:$C$1960,0)))</f>
        <v/>
      </c>
      <c r="M1395" s="9">
        <f>IF(ISNA(MATCH(1382,Engine!$C$2:$C$1960,0)),"",INDEX('Compliance Database'!$M$2:$M$1960,MATCH(1382,Engine!$C$2:$C$1960,0)))</f>
        <v/>
      </c>
      <c r="N1395" s="9">
        <f>IF(ISNA(MATCH(1382,Engine!$C$2:$C$1960,0)),"",INDEX('Compliance Database'!$N$2:$N$1960,MATCH(1382,Engine!$C$2:$C$1960,0)))</f>
        <v/>
      </c>
      <c r="O1395" s="9">
        <f>IF(ISNA(MATCH(1382,Engine!$C$2:$C$1960,0)),"",INDEX('Compliance Database'!$O$2:$O$1960,MATCH(1382,Engine!$C$2:$C$1960,0)))</f>
        <v/>
      </c>
      <c r="P1395" s="8">
        <f>IF(ISNA(MATCH(1382,Engine!$C$2:$C$1960,0)),"",HYPERLINK("#Acts!A"&amp;INDEX('Compliance Database'!$P$2:$P$1960,MATCH(1382,Engine!$C$2:$C$1960,0)),"Go to Act"))</f>
        <v/>
      </c>
    </row>
    <row r="1396" ht="158" customHeight="1">
      <c r="A1396" s="8">
        <f>IF(ISNA(MATCH(1383,Engine!$C$2:$C$1960,0)),"",INDEX('Compliance Database'!$A$2:$A$1960,MATCH(1383,Engine!$C$2:$C$1960,0)))</f>
        <v/>
      </c>
      <c r="B1396" s="8">
        <f>IF(ISNA(MATCH(1383,Engine!$C$2:$C$1960,0)),"",INDEX('Compliance Database'!$B$2:$B$1960,MATCH(1383,Engine!$C$2:$C$1960,0)))</f>
        <v/>
      </c>
      <c r="C1396" s="8">
        <f>IF(ISNA(MATCH(1383,Engine!$C$2:$C$1960,0)),"",INDEX('Compliance Database'!$C$2:$C$1960,MATCH(1383,Engine!$C$2:$C$1960,0)))</f>
        <v/>
      </c>
      <c r="D1396" s="9">
        <f>IF(ISNA(MATCH(1383,Engine!$C$2:$C$1960,0)),"",INDEX('Compliance Database'!$D$2:$D$1960,MATCH(1383,Engine!$C$2:$C$1960,0)))</f>
        <v/>
      </c>
      <c r="E1396" s="8">
        <f>IF(ISNA(MATCH(1383,Engine!$C$2:$C$1960,0)),"",INDEX('Compliance Database'!$E$2:$E$1960,MATCH(1383,Engine!$C$2:$C$1960,0)))</f>
        <v/>
      </c>
      <c r="F1396" s="8">
        <f>IF(ISNA(MATCH(1383,Engine!$C$2:$C$1960,0)),"",INDEX('Compliance Database'!$F$2:$F$1960,MATCH(1383,Engine!$C$2:$C$1960,0)))</f>
        <v/>
      </c>
      <c r="G1396" s="8">
        <f>IF(ISNA(MATCH(1383,Engine!$C$2:$C$1960,0)),"",INDEX('Compliance Database'!$G$2:$G$1960,MATCH(1383,Engine!$C$2:$C$1960,0)))</f>
        <v/>
      </c>
      <c r="H1396" s="9">
        <f>IF(ISNA(MATCH(1383,Engine!$C$2:$C$1960,0)),"",INDEX('Compliance Database'!$H$2:$H$1960,MATCH(1383,Engine!$C$2:$C$1960,0)))</f>
        <v/>
      </c>
      <c r="I1396" s="9">
        <f>IF(ISNA(MATCH(1383,Engine!$C$2:$C$1960,0)),"",INDEX('Compliance Database'!$I$2:$I$1960,MATCH(1383,Engine!$C$2:$C$1960,0)))</f>
        <v/>
      </c>
      <c r="J1396" s="8">
        <f>IF(ISNA(MATCH(1383,Engine!$C$2:$C$1960,0)),"",INDEX('Compliance Database'!$J$2:$J$1960,MATCH(1383,Engine!$C$2:$C$1960,0)))</f>
        <v/>
      </c>
      <c r="K1396" s="9">
        <f>IF(ISNA(MATCH(1383,Engine!$C$2:$C$1960,0)),"",INDEX('Compliance Database'!$K$2:$K$1960,MATCH(1383,Engine!$C$2:$C$1960,0)))</f>
        <v/>
      </c>
      <c r="L1396" s="9">
        <f>IF(ISNA(MATCH(1383,Engine!$C$2:$C$1960,0)),"",INDEX('Compliance Database'!$L$2:$L$1960,MATCH(1383,Engine!$C$2:$C$1960,0)))</f>
        <v/>
      </c>
      <c r="M1396" s="9">
        <f>IF(ISNA(MATCH(1383,Engine!$C$2:$C$1960,0)),"",INDEX('Compliance Database'!$M$2:$M$1960,MATCH(1383,Engine!$C$2:$C$1960,0)))</f>
        <v/>
      </c>
      <c r="N1396" s="9">
        <f>IF(ISNA(MATCH(1383,Engine!$C$2:$C$1960,0)),"",INDEX('Compliance Database'!$N$2:$N$1960,MATCH(1383,Engine!$C$2:$C$1960,0)))</f>
        <v/>
      </c>
      <c r="O1396" s="9">
        <f>IF(ISNA(MATCH(1383,Engine!$C$2:$C$1960,0)),"",INDEX('Compliance Database'!$O$2:$O$1960,MATCH(1383,Engine!$C$2:$C$1960,0)))</f>
        <v/>
      </c>
      <c r="P1396" s="8">
        <f>IF(ISNA(MATCH(1383,Engine!$C$2:$C$1960,0)),"",HYPERLINK("#Acts!A"&amp;INDEX('Compliance Database'!$P$2:$P$1960,MATCH(1383,Engine!$C$2:$C$1960,0)),"Go to Act"))</f>
        <v/>
      </c>
    </row>
    <row r="1397" ht="158" customHeight="1">
      <c r="A1397" s="8">
        <f>IF(ISNA(MATCH(1384,Engine!$C$2:$C$1960,0)),"",INDEX('Compliance Database'!$A$2:$A$1960,MATCH(1384,Engine!$C$2:$C$1960,0)))</f>
        <v/>
      </c>
      <c r="B1397" s="8">
        <f>IF(ISNA(MATCH(1384,Engine!$C$2:$C$1960,0)),"",INDEX('Compliance Database'!$B$2:$B$1960,MATCH(1384,Engine!$C$2:$C$1960,0)))</f>
        <v/>
      </c>
      <c r="C1397" s="8">
        <f>IF(ISNA(MATCH(1384,Engine!$C$2:$C$1960,0)),"",INDEX('Compliance Database'!$C$2:$C$1960,MATCH(1384,Engine!$C$2:$C$1960,0)))</f>
        <v/>
      </c>
      <c r="D1397" s="9">
        <f>IF(ISNA(MATCH(1384,Engine!$C$2:$C$1960,0)),"",INDEX('Compliance Database'!$D$2:$D$1960,MATCH(1384,Engine!$C$2:$C$1960,0)))</f>
        <v/>
      </c>
      <c r="E1397" s="8">
        <f>IF(ISNA(MATCH(1384,Engine!$C$2:$C$1960,0)),"",INDEX('Compliance Database'!$E$2:$E$1960,MATCH(1384,Engine!$C$2:$C$1960,0)))</f>
        <v/>
      </c>
      <c r="F1397" s="8">
        <f>IF(ISNA(MATCH(1384,Engine!$C$2:$C$1960,0)),"",INDEX('Compliance Database'!$F$2:$F$1960,MATCH(1384,Engine!$C$2:$C$1960,0)))</f>
        <v/>
      </c>
      <c r="G1397" s="8">
        <f>IF(ISNA(MATCH(1384,Engine!$C$2:$C$1960,0)),"",INDEX('Compliance Database'!$G$2:$G$1960,MATCH(1384,Engine!$C$2:$C$1960,0)))</f>
        <v/>
      </c>
      <c r="H1397" s="9">
        <f>IF(ISNA(MATCH(1384,Engine!$C$2:$C$1960,0)),"",INDEX('Compliance Database'!$H$2:$H$1960,MATCH(1384,Engine!$C$2:$C$1960,0)))</f>
        <v/>
      </c>
      <c r="I1397" s="9">
        <f>IF(ISNA(MATCH(1384,Engine!$C$2:$C$1960,0)),"",INDEX('Compliance Database'!$I$2:$I$1960,MATCH(1384,Engine!$C$2:$C$1960,0)))</f>
        <v/>
      </c>
      <c r="J1397" s="8">
        <f>IF(ISNA(MATCH(1384,Engine!$C$2:$C$1960,0)),"",INDEX('Compliance Database'!$J$2:$J$1960,MATCH(1384,Engine!$C$2:$C$1960,0)))</f>
        <v/>
      </c>
      <c r="K1397" s="9">
        <f>IF(ISNA(MATCH(1384,Engine!$C$2:$C$1960,0)),"",INDEX('Compliance Database'!$K$2:$K$1960,MATCH(1384,Engine!$C$2:$C$1960,0)))</f>
        <v/>
      </c>
      <c r="L1397" s="9">
        <f>IF(ISNA(MATCH(1384,Engine!$C$2:$C$1960,0)),"",INDEX('Compliance Database'!$L$2:$L$1960,MATCH(1384,Engine!$C$2:$C$1960,0)))</f>
        <v/>
      </c>
      <c r="M1397" s="9">
        <f>IF(ISNA(MATCH(1384,Engine!$C$2:$C$1960,0)),"",INDEX('Compliance Database'!$M$2:$M$1960,MATCH(1384,Engine!$C$2:$C$1960,0)))</f>
        <v/>
      </c>
      <c r="N1397" s="9">
        <f>IF(ISNA(MATCH(1384,Engine!$C$2:$C$1960,0)),"",INDEX('Compliance Database'!$N$2:$N$1960,MATCH(1384,Engine!$C$2:$C$1960,0)))</f>
        <v/>
      </c>
      <c r="O1397" s="9">
        <f>IF(ISNA(MATCH(1384,Engine!$C$2:$C$1960,0)),"",INDEX('Compliance Database'!$O$2:$O$1960,MATCH(1384,Engine!$C$2:$C$1960,0)))</f>
        <v/>
      </c>
      <c r="P1397" s="8">
        <f>IF(ISNA(MATCH(1384,Engine!$C$2:$C$1960,0)),"",HYPERLINK("#Acts!A"&amp;INDEX('Compliance Database'!$P$2:$P$1960,MATCH(1384,Engine!$C$2:$C$1960,0)),"Go to Act"))</f>
        <v/>
      </c>
    </row>
    <row r="1398" ht="158" customHeight="1">
      <c r="A1398" s="8">
        <f>IF(ISNA(MATCH(1385,Engine!$C$2:$C$1960,0)),"",INDEX('Compliance Database'!$A$2:$A$1960,MATCH(1385,Engine!$C$2:$C$1960,0)))</f>
        <v/>
      </c>
      <c r="B1398" s="8">
        <f>IF(ISNA(MATCH(1385,Engine!$C$2:$C$1960,0)),"",INDEX('Compliance Database'!$B$2:$B$1960,MATCH(1385,Engine!$C$2:$C$1960,0)))</f>
        <v/>
      </c>
      <c r="C1398" s="8">
        <f>IF(ISNA(MATCH(1385,Engine!$C$2:$C$1960,0)),"",INDEX('Compliance Database'!$C$2:$C$1960,MATCH(1385,Engine!$C$2:$C$1960,0)))</f>
        <v/>
      </c>
      <c r="D1398" s="9">
        <f>IF(ISNA(MATCH(1385,Engine!$C$2:$C$1960,0)),"",INDEX('Compliance Database'!$D$2:$D$1960,MATCH(1385,Engine!$C$2:$C$1960,0)))</f>
        <v/>
      </c>
      <c r="E1398" s="8">
        <f>IF(ISNA(MATCH(1385,Engine!$C$2:$C$1960,0)),"",INDEX('Compliance Database'!$E$2:$E$1960,MATCH(1385,Engine!$C$2:$C$1960,0)))</f>
        <v/>
      </c>
      <c r="F1398" s="8">
        <f>IF(ISNA(MATCH(1385,Engine!$C$2:$C$1960,0)),"",INDEX('Compliance Database'!$F$2:$F$1960,MATCH(1385,Engine!$C$2:$C$1960,0)))</f>
        <v/>
      </c>
      <c r="G1398" s="8">
        <f>IF(ISNA(MATCH(1385,Engine!$C$2:$C$1960,0)),"",INDEX('Compliance Database'!$G$2:$G$1960,MATCH(1385,Engine!$C$2:$C$1960,0)))</f>
        <v/>
      </c>
      <c r="H1398" s="9">
        <f>IF(ISNA(MATCH(1385,Engine!$C$2:$C$1960,0)),"",INDEX('Compliance Database'!$H$2:$H$1960,MATCH(1385,Engine!$C$2:$C$1960,0)))</f>
        <v/>
      </c>
      <c r="I1398" s="9">
        <f>IF(ISNA(MATCH(1385,Engine!$C$2:$C$1960,0)),"",INDEX('Compliance Database'!$I$2:$I$1960,MATCH(1385,Engine!$C$2:$C$1960,0)))</f>
        <v/>
      </c>
      <c r="J1398" s="8">
        <f>IF(ISNA(MATCH(1385,Engine!$C$2:$C$1960,0)),"",INDEX('Compliance Database'!$J$2:$J$1960,MATCH(1385,Engine!$C$2:$C$1960,0)))</f>
        <v/>
      </c>
      <c r="K1398" s="9">
        <f>IF(ISNA(MATCH(1385,Engine!$C$2:$C$1960,0)),"",INDEX('Compliance Database'!$K$2:$K$1960,MATCH(1385,Engine!$C$2:$C$1960,0)))</f>
        <v/>
      </c>
      <c r="L1398" s="9">
        <f>IF(ISNA(MATCH(1385,Engine!$C$2:$C$1960,0)),"",INDEX('Compliance Database'!$L$2:$L$1960,MATCH(1385,Engine!$C$2:$C$1960,0)))</f>
        <v/>
      </c>
      <c r="M1398" s="9">
        <f>IF(ISNA(MATCH(1385,Engine!$C$2:$C$1960,0)),"",INDEX('Compliance Database'!$M$2:$M$1960,MATCH(1385,Engine!$C$2:$C$1960,0)))</f>
        <v/>
      </c>
      <c r="N1398" s="9">
        <f>IF(ISNA(MATCH(1385,Engine!$C$2:$C$1960,0)),"",INDEX('Compliance Database'!$N$2:$N$1960,MATCH(1385,Engine!$C$2:$C$1960,0)))</f>
        <v/>
      </c>
      <c r="O1398" s="9">
        <f>IF(ISNA(MATCH(1385,Engine!$C$2:$C$1960,0)),"",INDEX('Compliance Database'!$O$2:$O$1960,MATCH(1385,Engine!$C$2:$C$1960,0)))</f>
        <v/>
      </c>
      <c r="P1398" s="8">
        <f>IF(ISNA(MATCH(1385,Engine!$C$2:$C$1960,0)),"",HYPERLINK("#Acts!A"&amp;INDEX('Compliance Database'!$P$2:$P$1960,MATCH(1385,Engine!$C$2:$C$1960,0)),"Go to Act"))</f>
        <v/>
      </c>
    </row>
    <row r="1399" ht="158" customHeight="1">
      <c r="A1399" s="8">
        <f>IF(ISNA(MATCH(1386,Engine!$C$2:$C$1960,0)),"",INDEX('Compliance Database'!$A$2:$A$1960,MATCH(1386,Engine!$C$2:$C$1960,0)))</f>
        <v/>
      </c>
      <c r="B1399" s="8">
        <f>IF(ISNA(MATCH(1386,Engine!$C$2:$C$1960,0)),"",INDEX('Compliance Database'!$B$2:$B$1960,MATCH(1386,Engine!$C$2:$C$1960,0)))</f>
        <v/>
      </c>
      <c r="C1399" s="8">
        <f>IF(ISNA(MATCH(1386,Engine!$C$2:$C$1960,0)),"",INDEX('Compliance Database'!$C$2:$C$1960,MATCH(1386,Engine!$C$2:$C$1960,0)))</f>
        <v/>
      </c>
      <c r="D1399" s="9">
        <f>IF(ISNA(MATCH(1386,Engine!$C$2:$C$1960,0)),"",INDEX('Compliance Database'!$D$2:$D$1960,MATCH(1386,Engine!$C$2:$C$1960,0)))</f>
        <v/>
      </c>
      <c r="E1399" s="8">
        <f>IF(ISNA(MATCH(1386,Engine!$C$2:$C$1960,0)),"",INDEX('Compliance Database'!$E$2:$E$1960,MATCH(1386,Engine!$C$2:$C$1960,0)))</f>
        <v/>
      </c>
      <c r="F1399" s="8">
        <f>IF(ISNA(MATCH(1386,Engine!$C$2:$C$1960,0)),"",INDEX('Compliance Database'!$F$2:$F$1960,MATCH(1386,Engine!$C$2:$C$1960,0)))</f>
        <v/>
      </c>
      <c r="G1399" s="8">
        <f>IF(ISNA(MATCH(1386,Engine!$C$2:$C$1960,0)),"",INDEX('Compliance Database'!$G$2:$G$1960,MATCH(1386,Engine!$C$2:$C$1960,0)))</f>
        <v/>
      </c>
      <c r="H1399" s="9">
        <f>IF(ISNA(MATCH(1386,Engine!$C$2:$C$1960,0)),"",INDEX('Compliance Database'!$H$2:$H$1960,MATCH(1386,Engine!$C$2:$C$1960,0)))</f>
        <v/>
      </c>
      <c r="I1399" s="9">
        <f>IF(ISNA(MATCH(1386,Engine!$C$2:$C$1960,0)),"",INDEX('Compliance Database'!$I$2:$I$1960,MATCH(1386,Engine!$C$2:$C$1960,0)))</f>
        <v/>
      </c>
      <c r="J1399" s="8">
        <f>IF(ISNA(MATCH(1386,Engine!$C$2:$C$1960,0)),"",INDEX('Compliance Database'!$J$2:$J$1960,MATCH(1386,Engine!$C$2:$C$1960,0)))</f>
        <v/>
      </c>
      <c r="K1399" s="9">
        <f>IF(ISNA(MATCH(1386,Engine!$C$2:$C$1960,0)),"",INDEX('Compliance Database'!$K$2:$K$1960,MATCH(1386,Engine!$C$2:$C$1960,0)))</f>
        <v/>
      </c>
      <c r="L1399" s="9">
        <f>IF(ISNA(MATCH(1386,Engine!$C$2:$C$1960,0)),"",INDEX('Compliance Database'!$L$2:$L$1960,MATCH(1386,Engine!$C$2:$C$1960,0)))</f>
        <v/>
      </c>
      <c r="M1399" s="9">
        <f>IF(ISNA(MATCH(1386,Engine!$C$2:$C$1960,0)),"",INDEX('Compliance Database'!$M$2:$M$1960,MATCH(1386,Engine!$C$2:$C$1960,0)))</f>
        <v/>
      </c>
      <c r="N1399" s="9">
        <f>IF(ISNA(MATCH(1386,Engine!$C$2:$C$1960,0)),"",INDEX('Compliance Database'!$N$2:$N$1960,MATCH(1386,Engine!$C$2:$C$1960,0)))</f>
        <v/>
      </c>
      <c r="O1399" s="9">
        <f>IF(ISNA(MATCH(1386,Engine!$C$2:$C$1960,0)),"",INDEX('Compliance Database'!$O$2:$O$1960,MATCH(1386,Engine!$C$2:$C$1960,0)))</f>
        <v/>
      </c>
      <c r="P1399" s="8">
        <f>IF(ISNA(MATCH(1386,Engine!$C$2:$C$1960,0)),"",HYPERLINK("#Acts!A"&amp;INDEX('Compliance Database'!$P$2:$P$1960,MATCH(1386,Engine!$C$2:$C$1960,0)),"Go to Act"))</f>
        <v/>
      </c>
    </row>
    <row r="1400" ht="158" customHeight="1">
      <c r="A1400" s="8">
        <f>IF(ISNA(MATCH(1387,Engine!$C$2:$C$1960,0)),"",INDEX('Compliance Database'!$A$2:$A$1960,MATCH(1387,Engine!$C$2:$C$1960,0)))</f>
        <v/>
      </c>
      <c r="B1400" s="8">
        <f>IF(ISNA(MATCH(1387,Engine!$C$2:$C$1960,0)),"",INDEX('Compliance Database'!$B$2:$B$1960,MATCH(1387,Engine!$C$2:$C$1960,0)))</f>
        <v/>
      </c>
      <c r="C1400" s="8">
        <f>IF(ISNA(MATCH(1387,Engine!$C$2:$C$1960,0)),"",INDEX('Compliance Database'!$C$2:$C$1960,MATCH(1387,Engine!$C$2:$C$1960,0)))</f>
        <v/>
      </c>
      <c r="D1400" s="9">
        <f>IF(ISNA(MATCH(1387,Engine!$C$2:$C$1960,0)),"",INDEX('Compliance Database'!$D$2:$D$1960,MATCH(1387,Engine!$C$2:$C$1960,0)))</f>
        <v/>
      </c>
      <c r="E1400" s="8">
        <f>IF(ISNA(MATCH(1387,Engine!$C$2:$C$1960,0)),"",INDEX('Compliance Database'!$E$2:$E$1960,MATCH(1387,Engine!$C$2:$C$1960,0)))</f>
        <v/>
      </c>
      <c r="F1400" s="8">
        <f>IF(ISNA(MATCH(1387,Engine!$C$2:$C$1960,0)),"",INDEX('Compliance Database'!$F$2:$F$1960,MATCH(1387,Engine!$C$2:$C$1960,0)))</f>
        <v/>
      </c>
      <c r="G1400" s="8">
        <f>IF(ISNA(MATCH(1387,Engine!$C$2:$C$1960,0)),"",INDEX('Compliance Database'!$G$2:$G$1960,MATCH(1387,Engine!$C$2:$C$1960,0)))</f>
        <v/>
      </c>
      <c r="H1400" s="9">
        <f>IF(ISNA(MATCH(1387,Engine!$C$2:$C$1960,0)),"",INDEX('Compliance Database'!$H$2:$H$1960,MATCH(1387,Engine!$C$2:$C$1960,0)))</f>
        <v/>
      </c>
      <c r="I1400" s="9">
        <f>IF(ISNA(MATCH(1387,Engine!$C$2:$C$1960,0)),"",INDEX('Compliance Database'!$I$2:$I$1960,MATCH(1387,Engine!$C$2:$C$1960,0)))</f>
        <v/>
      </c>
      <c r="J1400" s="8">
        <f>IF(ISNA(MATCH(1387,Engine!$C$2:$C$1960,0)),"",INDEX('Compliance Database'!$J$2:$J$1960,MATCH(1387,Engine!$C$2:$C$1960,0)))</f>
        <v/>
      </c>
      <c r="K1400" s="9">
        <f>IF(ISNA(MATCH(1387,Engine!$C$2:$C$1960,0)),"",INDEX('Compliance Database'!$K$2:$K$1960,MATCH(1387,Engine!$C$2:$C$1960,0)))</f>
        <v/>
      </c>
      <c r="L1400" s="9">
        <f>IF(ISNA(MATCH(1387,Engine!$C$2:$C$1960,0)),"",INDEX('Compliance Database'!$L$2:$L$1960,MATCH(1387,Engine!$C$2:$C$1960,0)))</f>
        <v/>
      </c>
      <c r="M1400" s="9">
        <f>IF(ISNA(MATCH(1387,Engine!$C$2:$C$1960,0)),"",INDEX('Compliance Database'!$M$2:$M$1960,MATCH(1387,Engine!$C$2:$C$1960,0)))</f>
        <v/>
      </c>
      <c r="N1400" s="9">
        <f>IF(ISNA(MATCH(1387,Engine!$C$2:$C$1960,0)),"",INDEX('Compliance Database'!$N$2:$N$1960,MATCH(1387,Engine!$C$2:$C$1960,0)))</f>
        <v/>
      </c>
      <c r="O1400" s="9">
        <f>IF(ISNA(MATCH(1387,Engine!$C$2:$C$1960,0)),"",INDEX('Compliance Database'!$O$2:$O$1960,MATCH(1387,Engine!$C$2:$C$1960,0)))</f>
        <v/>
      </c>
      <c r="P1400" s="8">
        <f>IF(ISNA(MATCH(1387,Engine!$C$2:$C$1960,0)),"",HYPERLINK("#Acts!A"&amp;INDEX('Compliance Database'!$P$2:$P$1960,MATCH(1387,Engine!$C$2:$C$1960,0)),"Go to Act"))</f>
        <v/>
      </c>
    </row>
    <row r="1401" ht="158" customHeight="1">
      <c r="A1401" s="8">
        <f>IF(ISNA(MATCH(1388,Engine!$C$2:$C$1960,0)),"",INDEX('Compliance Database'!$A$2:$A$1960,MATCH(1388,Engine!$C$2:$C$1960,0)))</f>
        <v/>
      </c>
      <c r="B1401" s="8">
        <f>IF(ISNA(MATCH(1388,Engine!$C$2:$C$1960,0)),"",INDEX('Compliance Database'!$B$2:$B$1960,MATCH(1388,Engine!$C$2:$C$1960,0)))</f>
        <v/>
      </c>
      <c r="C1401" s="8">
        <f>IF(ISNA(MATCH(1388,Engine!$C$2:$C$1960,0)),"",INDEX('Compliance Database'!$C$2:$C$1960,MATCH(1388,Engine!$C$2:$C$1960,0)))</f>
        <v/>
      </c>
      <c r="D1401" s="9">
        <f>IF(ISNA(MATCH(1388,Engine!$C$2:$C$1960,0)),"",INDEX('Compliance Database'!$D$2:$D$1960,MATCH(1388,Engine!$C$2:$C$1960,0)))</f>
        <v/>
      </c>
      <c r="E1401" s="8">
        <f>IF(ISNA(MATCH(1388,Engine!$C$2:$C$1960,0)),"",INDEX('Compliance Database'!$E$2:$E$1960,MATCH(1388,Engine!$C$2:$C$1960,0)))</f>
        <v/>
      </c>
      <c r="F1401" s="8">
        <f>IF(ISNA(MATCH(1388,Engine!$C$2:$C$1960,0)),"",INDEX('Compliance Database'!$F$2:$F$1960,MATCH(1388,Engine!$C$2:$C$1960,0)))</f>
        <v/>
      </c>
      <c r="G1401" s="8">
        <f>IF(ISNA(MATCH(1388,Engine!$C$2:$C$1960,0)),"",INDEX('Compliance Database'!$G$2:$G$1960,MATCH(1388,Engine!$C$2:$C$1960,0)))</f>
        <v/>
      </c>
      <c r="H1401" s="9">
        <f>IF(ISNA(MATCH(1388,Engine!$C$2:$C$1960,0)),"",INDEX('Compliance Database'!$H$2:$H$1960,MATCH(1388,Engine!$C$2:$C$1960,0)))</f>
        <v/>
      </c>
      <c r="I1401" s="9">
        <f>IF(ISNA(MATCH(1388,Engine!$C$2:$C$1960,0)),"",INDEX('Compliance Database'!$I$2:$I$1960,MATCH(1388,Engine!$C$2:$C$1960,0)))</f>
        <v/>
      </c>
      <c r="J1401" s="8">
        <f>IF(ISNA(MATCH(1388,Engine!$C$2:$C$1960,0)),"",INDEX('Compliance Database'!$J$2:$J$1960,MATCH(1388,Engine!$C$2:$C$1960,0)))</f>
        <v/>
      </c>
      <c r="K1401" s="9">
        <f>IF(ISNA(MATCH(1388,Engine!$C$2:$C$1960,0)),"",INDEX('Compliance Database'!$K$2:$K$1960,MATCH(1388,Engine!$C$2:$C$1960,0)))</f>
        <v/>
      </c>
      <c r="L1401" s="9">
        <f>IF(ISNA(MATCH(1388,Engine!$C$2:$C$1960,0)),"",INDEX('Compliance Database'!$L$2:$L$1960,MATCH(1388,Engine!$C$2:$C$1960,0)))</f>
        <v/>
      </c>
      <c r="M1401" s="9">
        <f>IF(ISNA(MATCH(1388,Engine!$C$2:$C$1960,0)),"",INDEX('Compliance Database'!$M$2:$M$1960,MATCH(1388,Engine!$C$2:$C$1960,0)))</f>
        <v/>
      </c>
      <c r="N1401" s="9">
        <f>IF(ISNA(MATCH(1388,Engine!$C$2:$C$1960,0)),"",INDEX('Compliance Database'!$N$2:$N$1960,MATCH(1388,Engine!$C$2:$C$1960,0)))</f>
        <v/>
      </c>
      <c r="O1401" s="9">
        <f>IF(ISNA(MATCH(1388,Engine!$C$2:$C$1960,0)),"",INDEX('Compliance Database'!$O$2:$O$1960,MATCH(1388,Engine!$C$2:$C$1960,0)))</f>
        <v/>
      </c>
      <c r="P1401" s="8">
        <f>IF(ISNA(MATCH(1388,Engine!$C$2:$C$1960,0)),"",HYPERLINK("#Acts!A"&amp;INDEX('Compliance Database'!$P$2:$P$1960,MATCH(1388,Engine!$C$2:$C$1960,0)),"Go to Act"))</f>
        <v/>
      </c>
    </row>
    <row r="1402" ht="158" customHeight="1">
      <c r="A1402" s="8">
        <f>IF(ISNA(MATCH(1389,Engine!$C$2:$C$1960,0)),"",INDEX('Compliance Database'!$A$2:$A$1960,MATCH(1389,Engine!$C$2:$C$1960,0)))</f>
        <v/>
      </c>
      <c r="B1402" s="8">
        <f>IF(ISNA(MATCH(1389,Engine!$C$2:$C$1960,0)),"",INDEX('Compliance Database'!$B$2:$B$1960,MATCH(1389,Engine!$C$2:$C$1960,0)))</f>
        <v/>
      </c>
      <c r="C1402" s="8">
        <f>IF(ISNA(MATCH(1389,Engine!$C$2:$C$1960,0)),"",INDEX('Compliance Database'!$C$2:$C$1960,MATCH(1389,Engine!$C$2:$C$1960,0)))</f>
        <v/>
      </c>
      <c r="D1402" s="9">
        <f>IF(ISNA(MATCH(1389,Engine!$C$2:$C$1960,0)),"",INDEX('Compliance Database'!$D$2:$D$1960,MATCH(1389,Engine!$C$2:$C$1960,0)))</f>
        <v/>
      </c>
      <c r="E1402" s="8">
        <f>IF(ISNA(MATCH(1389,Engine!$C$2:$C$1960,0)),"",INDEX('Compliance Database'!$E$2:$E$1960,MATCH(1389,Engine!$C$2:$C$1960,0)))</f>
        <v/>
      </c>
      <c r="F1402" s="8">
        <f>IF(ISNA(MATCH(1389,Engine!$C$2:$C$1960,0)),"",INDEX('Compliance Database'!$F$2:$F$1960,MATCH(1389,Engine!$C$2:$C$1960,0)))</f>
        <v/>
      </c>
      <c r="G1402" s="8">
        <f>IF(ISNA(MATCH(1389,Engine!$C$2:$C$1960,0)),"",INDEX('Compliance Database'!$G$2:$G$1960,MATCH(1389,Engine!$C$2:$C$1960,0)))</f>
        <v/>
      </c>
      <c r="H1402" s="9">
        <f>IF(ISNA(MATCH(1389,Engine!$C$2:$C$1960,0)),"",INDEX('Compliance Database'!$H$2:$H$1960,MATCH(1389,Engine!$C$2:$C$1960,0)))</f>
        <v/>
      </c>
      <c r="I1402" s="9">
        <f>IF(ISNA(MATCH(1389,Engine!$C$2:$C$1960,0)),"",INDEX('Compliance Database'!$I$2:$I$1960,MATCH(1389,Engine!$C$2:$C$1960,0)))</f>
        <v/>
      </c>
      <c r="J1402" s="8">
        <f>IF(ISNA(MATCH(1389,Engine!$C$2:$C$1960,0)),"",INDEX('Compliance Database'!$J$2:$J$1960,MATCH(1389,Engine!$C$2:$C$1960,0)))</f>
        <v/>
      </c>
      <c r="K1402" s="9">
        <f>IF(ISNA(MATCH(1389,Engine!$C$2:$C$1960,0)),"",INDEX('Compliance Database'!$K$2:$K$1960,MATCH(1389,Engine!$C$2:$C$1960,0)))</f>
        <v/>
      </c>
      <c r="L1402" s="9">
        <f>IF(ISNA(MATCH(1389,Engine!$C$2:$C$1960,0)),"",INDEX('Compliance Database'!$L$2:$L$1960,MATCH(1389,Engine!$C$2:$C$1960,0)))</f>
        <v/>
      </c>
      <c r="M1402" s="9">
        <f>IF(ISNA(MATCH(1389,Engine!$C$2:$C$1960,0)),"",INDEX('Compliance Database'!$M$2:$M$1960,MATCH(1389,Engine!$C$2:$C$1960,0)))</f>
        <v/>
      </c>
      <c r="N1402" s="9">
        <f>IF(ISNA(MATCH(1389,Engine!$C$2:$C$1960,0)),"",INDEX('Compliance Database'!$N$2:$N$1960,MATCH(1389,Engine!$C$2:$C$1960,0)))</f>
        <v/>
      </c>
      <c r="O1402" s="9">
        <f>IF(ISNA(MATCH(1389,Engine!$C$2:$C$1960,0)),"",INDEX('Compliance Database'!$O$2:$O$1960,MATCH(1389,Engine!$C$2:$C$1960,0)))</f>
        <v/>
      </c>
      <c r="P1402" s="8">
        <f>IF(ISNA(MATCH(1389,Engine!$C$2:$C$1960,0)),"",HYPERLINK("#Acts!A"&amp;INDEX('Compliance Database'!$P$2:$P$1960,MATCH(1389,Engine!$C$2:$C$1960,0)),"Go to Act"))</f>
        <v/>
      </c>
    </row>
    <row r="1403" ht="158" customHeight="1">
      <c r="A1403" s="8">
        <f>IF(ISNA(MATCH(1390,Engine!$C$2:$C$1960,0)),"",INDEX('Compliance Database'!$A$2:$A$1960,MATCH(1390,Engine!$C$2:$C$1960,0)))</f>
        <v/>
      </c>
      <c r="B1403" s="8">
        <f>IF(ISNA(MATCH(1390,Engine!$C$2:$C$1960,0)),"",INDEX('Compliance Database'!$B$2:$B$1960,MATCH(1390,Engine!$C$2:$C$1960,0)))</f>
        <v/>
      </c>
      <c r="C1403" s="8">
        <f>IF(ISNA(MATCH(1390,Engine!$C$2:$C$1960,0)),"",INDEX('Compliance Database'!$C$2:$C$1960,MATCH(1390,Engine!$C$2:$C$1960,0)))</f>
        <v/>
      </c>
      <c r="D1403" s="9">
        <f>IF(ISNA(MATCH(1390,Engine!$C$2:$C$1960,0)),"",INDEX('Compliance Database'!$D$2:$D$1960,MATCH(1390,Engine!$C$2:$C$1960,0)))</f>
        <v/>
      </c>
      <c r="E1403" s="8">
        <f>IF(ISNA(MATCH(1390,Engine!$C$2:$C$1960,0)),"",INDEX('Compliance Database'!$E$2:$E$1960,MATCH(1390,Engine!$C$2:$C$1960,0)))</f>
        <v/>
      </c>
      <c r="F1403" s="8">
        <f>IF(ISNA(MATCH(1390,Engine!$C$2:$C$1960,0)),"",INDEX('Compliance Database'!$F$2:$F$1960,MATCH(1390,Engine!$C$2:$C$1960,0)))</f>
        <v/>
      </c>
      <c r="G1403" s="8">
        <f>IF(ISNA(MATCH(1390,Engine!$C$2:$C$1960,0)),"",INDEX('Compliance Database'!$G$2:$G$1960,MATCH(1390,Engine!$C$2:$C$1960,0)))</f>
        <v/>
      </c>
      <c r="H1403" s="9">
        <f>IF(ISNA(MATCH(1390,Engine!$C$2:$C$1960,0)),"",INDEX('Compliance Database'!$H$2:$H$1960,MATCH(1390,Engine!$C$2:$C$1960,0)))</f>
        <v/>
      </c>
      <c r="I1403" s="9">
        <f>IF(ISNA(MATCH(1390,Engine!$C$2:$C$1960,0)),"",INDEX('Compliance Database'!$I$2:$I$1960,MATCH(1390,Engine!$C$2:$C$1960,0)))</f>
        <v/>
      </c>
      <c r="J1403" s="8">
        <f>IF(ISNA(MATCH(1390,Engine!$C$2:$C$1960,0)),"",INDEX('Compliance Database'!$J$2:$J$1960,MATCH(1390,Engine!$C$2:$C$1960,0)))</f>
        <v/>
      </c>
      <c r="K1403" s="9">
        <f>IF(ISNA(MATCH(1390,Engine!$C$2:$C$1960,0)),"",INDEX('Compliance Database'!$K$2:$K$1960,MATCH(1390,Engine!$C$2:$C$1960,0)))</f>
        <v/>
      </c>
      <c r="L1403" s="9">
        <f>IF(ISNA(MATCH(1390,Engine!$C$2:$C$1960,0)),"",INDEX('Compliance Database'!$L$2:$L$1960,MATCH(1390,Engine!$C$2:$C$1960,0)))</f>
        <v/>
      </c>
      <c r="M1403" s="9">
        <f>IF(ISNA(MATCH(1390,Engine!$C$2:$C$1960,0)),"",INDEX('Compliance Database'!$M$2:$M$1960,MATCH(1390,Engine!$C$2:$C$1960,0)))</f>
        <v/>
      </c>
      <c r="N1403" s="9">
        <f>IF(ISNA(MATCH(1390,Engine!$C$2:$C$1960,0)),"",INDEX('Compliance Database'!$N$2:$N$1960,MATCH(1390,Engine!$C$2:$C$1960,0)))</f>
        <v/>
      </c>
      <c r="O1403" s="9">
        <f>IF(ISNA(MATCH(1390,Engine!$C$2:$C$1960,0)),"",INDEX('Compliance Database'!$O$2:$O$1960,MATCH(1390,Engine!$C$2:$C$1960,0)))</f>
        <v/>
      </c>
      <c r="P1403" s="8">
        <f>IF(ISNA(MATCH(1390,Engine!$C$2:$C$1960,0)),"",HYPERLINK("#Acts!A"&amp;INDEX('Compliance Database'!$P$2:$P$1960,MATCH(1390,Engine!$C$2:$C$1960,0)),"Go to Act"))</f>
        <v/>
      </c>
    </row>
    <row r="1404" ht="158" customHeight="1">
      <c r="A1404" s="8">
        <f>IF(ISNA(MATCH(1391,Engine!$C$2:$C$1960,0)),"",INDEX('Compliance Database'!$A$2:$A$1960,MATCH(1391,Engine!$C$2:$C$1960,0)))</f>
        <v/>
      </c>
      <c r="B1404" s="8">
        <f>IF(ISNA(MATCH(1391,Engine!$C$2:$C$1960,0)),"",INDEX('Compliance Database'!$B$2:$B$1960,MATCH(1391,Engine!$C$2:$C$1960,0)))</f>
        <v/>
      </c>
      <c r="C1404" s="8">
        <f>IF(ISNA(MATCH(1391,Engine!$C$2:$C$1960,0)),"",INDEX('Compliance Database'!$C$2:$C$1960,MATCH(1391,Engine!$C$2:$C$1960,0)))</f>
        <v/>
      </c>
      <c r="D1404" s="9">
        <f>IF(ISNA(MATCH(1391,Engine!$C$2:$C$1960,0)),"",INDEX('Compliance Database'!$D$2:$D$1960,MATCH(1391,Engine!$C$2:$C$1960,0)))</f>
        <v/>
      </c>
      <c r="E1404" s="8">
        <f>IF(ISNA(MATCH(1391,Engine!$C$2:$C$1960,0)),"",INDEX('Compliance Database'!$E$2:$E$1960,MATCH(1391,Engine!$C$2:$C$1960,0)))</f>
        <v/>
      </c>
      <c r="F1404" s="8">
        <f>IF(ISNA(MATCH(1391,Engine!$C$2:$C$1960,0)),"",INDEX('Compliance Database'!$F$2:$F$1960,MATCH(1391,Engine!$C$2:$C$1960,0)))</f>
        <v/>
      </c>
      <c r="G1404" s="8">
        <f>IF(ISNA(MATCH(1391,Engine!$C$2:$C$1960,0)),"",INDEX('Compliance Database'!$G$2:$G$1960,MATCH(1391,Engine!$C$2:$C$1960,0)))</f>
        <v/>
      </c>
      <c r="H1404" s="9">
        <f>IF(ISNA(MATCH(1391,Engine!$C$2:$C$1960,0)),"",INDEX('Compliance Database'!$H$2:$H$1960,MATCH(1391,Engine!$C$2:$C$1960,0)))</f>
        <v/>
      </c>
      <c r="I1404" s="9">
        <f>IF(ISNA(MATCH(1391,Engine!$C$2:$C$1960,0)),"",INDEX('Compliance Database'!$I$2:$I$1960,MATCH(1391,Engine!$C$2:$C$1960,0)))</f>
        <v/>
      </c>
      <c r="J1404" s="8">
        <f>IF(ISNA(MATCH(1391,Engine!$C$2:$C$1960,0)),"",INDEX('Compliance Database'!$J$2:$J$1960,MATCH(1391,Engine!$C$2:$C$1960,0)))</f>
        <v/>
      </c>
      <c r="K1404" s="9">
        <f>IF(ISNA(MATCH(1391,Engine!$C$2:$C$1960,0)),"",INDEX('Compliance Database'!$K$2:$K$1960,MATCH(1391,Engine!$C$2:$C$1960,0)))</f>
        <v/>
      </c>
      <c r="L1404" s="9">
        <f>IF(ISNA(MATCH(1391,Engine!$C$2:$C$1960,0)),"",INDEX('Compliance Database'!$L$2:$L$1960,MATCH(1391,Engine!$C$2:$C$1960,0)))</f>
        <v/>
      </c>
      <c r="M1404" s="9">
        <f>IF(ISNA(MATCH(1391,Engine!$C$2:$C$1960,0)),"",INDEX('Compliance Database'!$M$2:$M$1960,MATCH(1391,Engine!$C$2:$C$1960,0)))</f>
        <v/>
      </c>
      <c r="N1404" s="9">
        <f>IF(ISNA(MATCH(1391,Engine!$C$2:$C$1960,0)),"",INDEX('Compliance Database'!$N$2:$N$1960,MATCH(1391,Engine!$C$2:$C$1960,0)))</f>
        <v/>
      </c>
      <c r="O1404" s="9">
        <f>IF(ISNA(MATCH(1391,Engine!$C$2:$C$1960,0)),"",INDEX('Compliance Database'!$O$2:$O$1960,MATCH(1391,Engine!$C$2:$C$1960,0)))</f>
        <v/>
      </c>
      <c r="P1404" s="8">
        <f>IF(ISNA(MATCH(1391,Engine!$C$2:$C$1960,0)),"",HYPERLINK("#Acts!A"&amp;INDEX('Compliance Database'!$P$2:$P$1960,MATCH(1391,Engine!$C$2:$C$1960,0)),"Go to Act"))</f>
        <v/>
      </c>
    </row>
    <row r="1405" ht="158" customHeight="1">
      <c r="A1405" s="8">
        <f>IF(ISNA(MATCH(1392,Engine!$C$2:$C$1960,0)),"",INDEX('Compliance Database'!$A$2:$A$1960,MATCH(1392,Engine!$C$2:$C$1960,0)))</f>
        <v/>
      </c>
      <c r="B1405" s="8">
        <f>IF(ISNA(MATCH(1392,Engine!$C$2:$C$1960,0)),"",INDEX('Compliance Database'!$B$2:$B$1960,MATCH(1392,Engine!$C$2:$C$1960,0)))</f>
        <v/>
      </c>
      <c r="C1405" s="8">
        <f>IF(ISNA(MATCH(1392,Engine!$C$2:$C$1960,0)),"",INDEX('Compliance Database'!$C$2:$C$1960,MATCH(1392,Engine!$C$2:$C$1960,0)))</f>
        <v/>
      </c>
      <c r="D1405" s="9">
        <f>IF(ISNA(MATCH(1392,Engine!$C$2:$C$1960,0)),"",INDEX('Compliance Database'!$D$2:$D$1960,MATCH(1392,Engine!$C$2:$C$1960,0)))</f>
        <v/>
      </c>
      <c r="E1405" s="8">
        <f>IF(ISNA(MATCH(1392,Engine!$C$2:$C$1960,0)),"",INDEX('Compliance Database'!$E$2:$E$1960,MATCH(1392,Engine!$C$2:$C$1960,0)))</f>
        <v/>
      </c>
      <c r="F1405" s="8">
        <f>IF(ISNA(MATCH(1392,Engine!$C$2:$C$1960,0)),"",INDEX('Compliance Database'!$F$2:$F$1960,MATCH(1392,Engine!$C$2:$C$1960,0)))</f>
        <v/>
      </c>
      <c r="G1405" s="8">
        <f>IF(ISNA(MATCH(1392,Engine!$C$2:$C$1960,0)),"",INDEX('Compliance Database'!$G$2:$G$1960,MATCH(1392,Engine!$C$2:$C$1960,0)))</f>
        <v/>
      </c>
      <c r="H1405" s="9">
        <f>IF(ISNA(MATCH(1392,Engine!$C$2:$C$1960,0)),"",INDEX('Compliance Database'!$H$2:$H$1960,MATCH(1392,Engine!$C$2:$C$1960,0)))</f>
        <v/>
      </c>
      <c r="I1405" s="9">
        <f>IF(ISNA(MATCH(1392,Engine!$C$2:$C$1960,0)),"",INDEX('Compliance Database'!$I$2:$I$1960,MATCH(1392,Engine!$C$2:$C$1960,0)))</f>
        <v/>
      </c>
      <c r="J1405" s="8">
        <f>IF(ISNA(MATCH(1392,Engine!$C$2:$C$1960,0)),"",INDEX('Compliance Database'!$J$2:$J$1960,MATCH(1392,Engine!$C$2:$C$1960,0)))</f>
        <v/>
      </c>
      <c r="K1405" s="9">
        <f>IF(ISNA(MATCH(1392,Engine!$C$2:$C$1960,0)),"",INDEX('Compliance Database'!$K$2:$K$1960,MATCH(1392,Engine!$C$2:$C$1960,0)))</f>
        <v/>
      </c>
      <c r="L1405" s="9">
        <f>IF(ISNA(MATCH(1392,Engine!$C$2:$C$1960,0)),"",INDEX('Compliance Database'!$L$2:$L$1960,MATCH(1392,Engine!$C$2:$C$1960,0)))</f>
        <v/>
      </c>
      <c r="M1405" s="9">
        <f>IF(ISNA(MATCH(1392,Engine!$C$2:$C$1960,0)),"",INDEX('Compliance Database'!$M$2:$M$1960,MATCH(1392,Engine!$C$2:$C$1960,0)))</f>
        <v/>
      </c>
      <c r="N1405" s="9">
        <f>IF(ISNA(MATCH(1392,Engine!$C$2:$C$1960,0)),"",INDEX('Compliance Database'!$N$2:$N$1960,MATCH(1392,Engine!$C$2:$C$1960,0)))</f>
        <v/>
      </c>
      <c r="O1405" s="9">
        <f>IF(ISNA(MATCH(1392,Engine!$C$2:$C$1960,0)),"",INDEX('Compliance Database'!$O$2:$O$1960,MATCH(1392,Engine!$C$2:$C$1960,0)))</f>
        <v/>
      </c>
      <c r="P1405" s="8">
        <f>IF(ISNA(MATCH(1392,Engine!$C$2:$C$1960,0)),"",HYPERLINK("#Acts!A"&amp;INDEX('Compliance Database'!$P$2:$P$1960,MATCH(1392,Engine!$C$2:$C$1960,0)),"Go to Act"))</f>
        <v/>
      </c>
    </row>
    <row r="1406" ht="158" customHeight="1">
      <c r="A1406" s="8">
        <f>IF(ISNA(MATCH(1393,Engine!$C$2:$C$1960,0)),"",INDEX('Compliance Database'!$A$2:$A$1960,MATCH(1393,Engine!$C$2:$C$1960,0)))</f>
        <v/>
      </c>
      <c r="B1406" s="8">
        <f>IF(ISNA(MATCH(1393,Engine!$C$2:$C$1960,0)),"",INDEX('Compliance Database'!$B$2:$B$1960,MATCH(1393,Engine!$C$2:$C$1960,0)))</f>
        <v/>
      </c>
      <c r="C1406" s="8">
        <f>IF(ISNA(MATCH(1393,Engine!$C$2:$C$1960,0)),"",INDEX('Compliance Database'!$C$2:$C$1960,MATCH(1393,Engine!$C$2:$C$1960,0)))</f>
        <v/>
      </c>
      <c r="D1406" s="9">
        <f>IF(ISNA(MATCH(1393,Engine!$C$2:$C$1960,0)),"",INDEX('Compliance Database'!$D$2:$D$1960,MATCH(1393,Engine!$C$2:$C$1960,0)))</f>
        <v/>
      </c>
      <c r="E1406" s="8">
        <f>IF(ISNA(MATCH(1393,Engine!$C$2:$C$1960,0)),"",INDEX('Compliance Database'!$E$2:$E$1960,MATCH(1393,Engine!$C$2:$C$1960,0)))</f>
        <v/>
      </c>
      <c r="F1406" s="8">
        <f>IF(ISNA(MATCH(1393,Engine!$C$2:$C$1960,0)),"",INDEX('Compliance Database'!$F$2:$F$1960,MATCH(1393,Engine!$C$2:$C$1960,0)))</f>
        <v/>
      </c>
      <c r="G1406" s="8">
        <f>IF(ISNA(MATCH(1393,Engine!$C$2:$C$1960,0)),"",INDEX('Compliance Database'!$G$2:$G$1960,MATCH(1393,Engine!$C$2:$C$1960,0)))</f>
        <v/>
      </c>
      <c r="H1406" s="9">
        <f>IF(ISNA(MATCH(1393,Engine!$C$2:$C$1960,0)),"",INDEX('Compliance Database'!$H$2:$H$1960,MATCH(1393,Engine!$C$2:$C$1960,0)))</f>
        <v/>
      </c>
      <c r="I1406" s="9">
        <f>IF(ISNA(MATCH(1393,Engine!$C$2:$C$1960,0)),"",INDEX('Compliance Database'!$I$2:$I$1960,MATCH(1393,Engine!$C$2:$C$1960,0)))</f>
        <v/>
      </c>
      <c r="J1406" s="8">
        <f>IF(ISNA(MATCH(1393,Engine!$C$2:$C$1960,0)),"",INDEX('Compliance Database'!$J$2:$J$1960,MATCH(1393,Engine!$C$2:$C$1960,0)))</f>
        <v/>
      </c>
      <c r="K1406" s="9">
        <f>IF(ISNA(MATCH(1393,Engine!$C$2:$C$1960,0)),"",INDEX('Compliance Database'!$K$2:$K$1960,MATCH(1393,Engine!$C$2:$C$1960,0)))</f>
        <v/>
      </c>
      <c r="L1406" s="9">
        <f>IF(ISNA(MATCH(1393,Engine!$C$2:$C$1960,0)),"",INDEX('Compliance Database'!$L$2:$L$1960,MATCH(1393,Engine!$C$2:$C$1960,0)))</f>
        <v/>
      </c>
      <c r="M1406" s="9">
        <f>IF(ISNA(MATCH(1393,Engine!$C$2:$C$1960,0)),"",INDEX('Compliance Database'!$M$2:$M$1960,MATCH(1393,Engine!$C$2:$C$1960,0)))</f>
        <v/>
      </c>
      <c r="N1406" s="9">
        <f>IF(ISNA(MATCH(1393,Engine!$C$2:$C$1960,0)),"",INDEX('Compliance Database'!$N$2:$N$1960,MATCH(1393,Engine!$C$2:$C$1960,0)))</f>
        <v/>
      </c>
      <c r="O1406" s="9">
        <f>IF(ISNA(MATCH(1393,Engine!$C$2:$C$1960,0)),"",INDEX('Compliance Database'!$O$2:$O$1960,MATCH(1393,Engine!$C$2:$C$1960,0)))</f>
        <v/>
      </c>
      <c r="P1406" s="8">
        <f>IF(ISNA(MATCH(1393,Engine!$C$2:$C$1960,0)),"",HYPERLINK("#Acts!A"&amp;INDEX('Compliance Database'!$P$2:$P$1960,MATCH(1393,Engine!$C$2:$C$1960,0)),"Go to Act"))</f>
        <v/>
      </c>
    </row>
    <row r="1407" ht="158" customHeight="1">
      <c r="A1407" s="8">
        <f>IF(ISNA(MATCH(1394,Engine!$C$2:$C$1960,0)),"",INDEX('Compliance Database'!$A$2:$A$1960,MATCH(1394,Engine!$C$2:$C$1960,0)))</f>
        <v/>
      </c>
      <c r="B1407" s="8">
        <f>IF(ISNA(MATCH(1394,Engine!$C$2:$C$1960,0)),"",INDEX('Compliance Database'!$B$2:$B$1960,MATCH(1394,Engine!$C$2:$C$1960,0)))</f>
        <v/>
      </c>
      <c r="C1407" s="8">
        <f>IF(ISNA(MATCH(1394,Engine!$C$2:$C$1960,0)),"",INDEX('Compliance Database'!$C$2:$C$1960,MATCH(1394,Engine!$C$2:$C$1960,0)))</f>
        <v/>
      </c>
      <c r="D1407" s="9">
        <f>IF(ISNA(MATCH(1394,Engine!$C$2:$C$1960,0)),"",INDEX('Compliance Database'!$D$2:$D$1960,MATCH(1394,Engine!$C$2:$C$1960,0)))</f>
        <v/>
      </c>
      <c r="E1407" s="8">
        <f>IF(ISNA(MATCH(1394,Engine!$C$2:$C$1960,0)),"",INDEX('Compliance Database'!$E$2:$E$1960,MATCH(1394,Engine!$C$2:$C$1960,0)))</f>
        <v/>
      </c>
      <c r="F1407" s="8">
        <f>IF(ISNA(MATCH(1394,Engine!$C$2:$C$1960,0)),"",INDEX('Compliance Database'!$F$2:$F$1960,MATCH(1394,Engine!$C$2:$C$1960,0)))</f>
        <v/>
      </c>
      <c r="G1407" s="8">
        <f>IF(ISNA(MATCH(1394,Engine!$C$2:$C$1960,0)),"",INDEX('Compliance Database'!$G$2:$G$1960,MATCH(1394,Engine!$C$2:$C$1960,0)))</f>
        <v/>
      </c>
      <c r="H1407" s="9">
        <f>IF(ISNA(MATCH(1394,Engine!$C$2:$C$1960,0)),"",INDEX('Compliance Database'!$H$2:$H$1960,MATCH(1394,Engine!$C$2:$C$1960,0)))</f>
        <v/>
      </c>
      <c r="I1407" s="9">
        <f>IF(ISNA(MATCH(1394,Engine!$C$2:$C$1960,0)),"",INDEX('Compliance Database'!$I$2:$I$1960,MATCH(1394,Engine!$C$2:$C$1960,0)))</f>
        <v/>
      </c>
      <c r="J1407" s="8">
        <f>IF(ISNA(MATCH(1394,Engine!$C$2:$C$1960,0)),"",INDEX('Compliance Database'!$J$2:$J$1960,MATCH(1394,Engine!$C$2:$C$1960,0)))</f>
        <v/>
      </c>
      <c r="K1407" s="9">
        <f>IF(ISNA(MATCH(1394,Engine!$C$2:$C$1960,0)),"",INDEX('Compliance Database'!$K$2:$K$1960,MATCH(1394,Engine!$C$2:$C$1960,0)))</f>
        <v/>
      </c>
      <c r="L1407" s="9">
        <f>IF(ISNA(MATCH(1394,Engine!$C$2:$C$1960,0)),"",INDEX('Compliance Database'!$L$2:$L$1960,MATCH(1394,Engine!$C$2:$C$1960,0)))</f>
        <v/>
      </c>
      <c r="M1407" s="9">
        <f>IF(ISNA(MATCH(1394,Engine!$C$2:$C$1960,0)),"",INDEX('Compliance Database'!$M$2:$M$1960,MATCH(1394,Engine!$C$2:$C$1960,0)))</f>
        <v/>
      </c>
      <c r="N1407" s="9">
        <f>IF(ISNA(MATCH(1394,Engine!$C$2:$C$1960,0)),"",INDEX('Compliance Database'!$N$2:$N$1960,MATCH(1394,Engine!$C$2:$C$1960,0)))</f>
        <v/>
      </c>
      <c r="O1407" s="9">
        <f>IF(ISNA(MATCH(1394,Engine!$C$2:$C$1960,0)),"",INDEX('Compliance Database'!$O$2:$O$1960,MATCH(1394,Engine!$C$2:$C$1960,0)))</f>
        <v/>
      </c>
      <c r="P1407" s="8">
        <f>IF(ISNA(MATCH(1394,Engine!$C$2:$C$1960,0)),"",HYPERLINK("#Acts!A"&amp;INDEX('Compliance Database'!$P$2:$P$1960,MATCH(1394,Engine!$C$2:$C$1960,0)),"Go to Act"))</f>
        <v/>
      </c>
    </row>
    <row r="1408" ht="158" customHeight="1">
      <c r="A1408" s="8">
        <f>IF(ISNA(MATCH(1395,Engine!$C$2:$C$1960,0)),"",INDEX('Compliance Database'!$A$2:$A$1960,MATCH(1395,Engine!$C$2:$C$1960,0)))</f>
        <v/>
      </c>
      <c r="B1408" s="8">
        <f>IF(ISNA(MATCH(1395,Engine!$C$2:$C$1960,0)),"",INDEX('Compliance Database'!$B$2:$B$1960,MATCH(1395,Engine!$C$2:$C$1960,0)))</f>
        <v/>
      </c>
      <c r="C1408" s="8">
        <f>IF(ISNA(MATCH(1395,Engine!$C$2:$C$1960,0)),"",INDEX('Compliance Database'!$C$2:$C$1960,MATCH(1395,Engine!$C$2:$C$1960,0)))</f>
        <v/>
      </c>
      <c r="D1408" s="9">
        <f>IF(ISNA(MATCH(1395,Engine!$C$2:$C$1960,0)),"",INDEX('Compliance Database'!$D$2:$D$1960,MATCH(1395,Engine!$C$2:$C$1960,0)))</f>
        <v/>
      </c>
      <c r="E1408" s="8">
        <f>IF(ISNA(MATCH(1395,Engine!$C$2:$C$1960,0)),"",INDEX('Compliance Database'!$E$2:$E$1960,MATCH(1395,Engine!$C$2:$C$1960,0)))</f>
        <v/>
      </c>
      <c r="F1408" s="8">
        <f>IF(ISNA(MATCH(1395,Engine!$C$2:$C$1960,0)),"",INDEX('Compliance Database'!$F$2:$F$1960,MATCH(1395,Engine!$C$2:$C$1960,0)))</f>
        <v/>
      </c>
      <c r="G1408" s="8">
        <f>IF(ISNA(MATCH(1395,Engine!$C$2:$C$1960,0)),"",INDEX('Compliance Database'!$G$2:$G$1960,MATCH(1395,Engine!$C$2:$C$1960,0)))</f>
        <v/>
      </c>
      <c r="H1408" s="9">
        <f>IF(ISNA(MATCH(1395,Engine!$C$2:$C$1960,0)),"",INDEX('Compliance Database'!$H$2:$H$1960,MATCH(1395,Engine!$C$2:$C$1960,0)))</f>
        <v/>
      </c>
      <c r="I1408" s="9">
        <f>IF(ISNA(MATCH(1395,Engine!$C$2:$C$1960,0)),"",INDEX('Compliance Database'!$I$2:$I$1960,MATCH(1395,Engine!$C$2:$C$1960,0)))</f>
        <v/>
      </c>
      <c r="J1408" s="8">
        <f>IF(ISNA(MATCH(1395,Engine!$C$2:$C$1960,0)),"",INDEX('Compliance Database'!$J$2:$J$1960,MATCH(1395,Engine!$C$2:$C$1960,0)))</f>
        <v/>
      </c>
      <c r="K1408" s="9">
        <f>IF(ISNA(MATCH(1395,Engine!$C$2:$C$1960,0)),"",INDEX('Compliance Database'!$K$2:$K$1960,MATCH(1395,Engine!$C$2:$C$1960,0)))</f>
        <v/>
      </c>
      <c r="L1408" s="9">
        <f>IF(ISNA(MATCH(1395,Engine!$C$2:$C$1960,0)),"",INDEX('Compliance Database'!$L$2:$L$1960,MATCH(1395,Engine!$C$2:$C$1960,0)))</f>
        <v/>
      </c>
      <c r="M1408" s="9">
        <f>IF(ISNA(MATCH(1395,Engine!$C$2:$C$1960,0)),"",INDEX('Compliance Database'!$M$2:$M$1960,MATCH(1395,Engine!$C$2:$C$1960,0)))</f>
        <v/>
      </c>
      <c r="N1408" s="9">
        <f>IF(ISNA(MATCH(1395,Engine!$C$2:$C$1960,0)),"",INDEX('Compliance Database'!$N$2:$N$1960,MATCH(1395,Engine!$C$2:$C$1960,0)))</f>
        <v/>
      </c>
      <c r="O1408" s="9">
        <f>IF(ISNA(MATCH(1395,Engine!$C$2:$C$1960,0)),"",INDEX('Compliance Database'!$O$2:$O$1960,MATCH(1395,Engine!$C$2:$C$1960,0)))</f>
        <v/>
      </c>
      <c r="P1408" s="8">
        <f>IF(ISNA(MATCH(1395,Engine!$C$2:$C$1960,0)),"",HYPERLINK("#Acts!A"&amp;INDEX('Compliance Database'!$P$2:$P$1960,MATCH(1395,Engine!$C$2:$C$1960,0)),"Go to Act"))</f>
        <v/>
      </c>
    </row>
    <row r="1409" ht="158" customHeight="1">
      <c r="A1409" s="8">
        <f>IF(ISNA(MATCH(1396,Engine!$C$2:$C$1960,0)),"",INDEX('Compliance Database'!$A$2:$A$1960,MATCH(1396,Engine!$C$2:$C$1960,0)))</f>
        <v/>
      </c>
      <c r="B1409" s="8">
        <f>IF(ISNA(MATCH(1396,Engine!$C$2:$C$1960,0)),"",INDEX('Compliance Database'!$B$2:$B$1960,MATCH(1396,Engine!$C$2:$C$1960,0)))</f>
        <v/>
      </c>
      <c r="C1409" s="8">
        <f>IF(ISNA(MATCH(1396,Engine!$C$2:$C$1960,0)),"",INDEX('Compliance Database'!$C$2:$C$1960,MATCH(1396,Engine!$C$2:$C$1960,0)))</f>
        <v/>
      </c>
      <c r="D1409" s="9">
        <f>IF(ISNA(MATCH(1396,Engine!$C$2:$C$1960,0)),"",INDEX('Compliance Database'!$D$2:$D$1960,MATCH(1396,Engine!$C$2:$C$1960,0)))</f>
        <v/>
      </c>
      <c r="E1409" s="8">
        <f>IF(ISNA(MATCH(1396,Engine!$C$2:$C$1960,0)),"",INDEX('Compliance Database'!$E$2:$E$1960,MATCH(1396,Engine!$C$2:$C$1960,0)))</f>
        <v/>
      </c>
      <c r="F1409" s="8">
        <f>IF(ISNA(MATCH(1396,Engine!$C$2:$C$1960,0)),"",INDEX('Compliance Database'!$F$2:$F$1960,MATCH(1396,Engine!$C$2:$C$1960,0)))</f>
        <v/>
      </c>
      <c r="G1409" s="8">
        <f>IF(ISNA(MATCH(1396,Engine!$C$2:$C$1960,0)),"",INDEX('Compliance Database'!$G$2:$G$1960,MATCH(1396,Engine!$C$2:$C$1960,0)))</f>
        <v/>
      </c>
      <c r="H1409" s="9">
        <f>IF(ISNA(MATCH(1396,Engine!$C$2:$C$1960,0)),"",INDEX('Compliance Database'!$H$2:$H$1960,MATCH(1396,Engine!$C$2:$C$1960,0)))</f>
        <v/>
      </c>
      <c r="I1409" s="9">
        <f>IF(ISNA(MATCH(1396,Engine!$C$2:$C$1960,0)),"",INDEX('Compliance Database'!$I$2:$I$1960,MATCH(1396,Engine!$C$2:$C$1960,0)))</f>
        <v/>
      </c>
      <c r="J1409" s="8">
        <f>IF(ISNA(MATCH(1396,Engine!$C$2:$C$1960,0)),"",INDEX('Compliance Database'!$J$2:$J$1960,MATCH(1396,Engine!$C$2:$C$1960,0)))</f>
        <v/>
      </c>
      <c r="K1409" s="9">
        <f>IF(ISNA(MATCH(1396,Engine!$C$2:$C$1960,0)),"",INDEX('Compliance Database'!$K$2:$K$1960,MATCH(1396,Engine!$C$2:$C$1960,0)))</f>
        <v/>
      </c>
      <c r="L1409" s="9">
        <f>IF(ISNA(MATCH(1396,Engine!$C$2:$C$1960,0)),"",INDEX('Compliance Database'!$L$2:$L$1960,MATCH(1396,Engine!$C$2:$C$1960,0)))</f>
        <v/>
      </c>
      <c r="M1409" s="9">
        <f>IF(ISNA(MATCH(1396,Engine!$C$2:$C$1960,0)),"",INDEX('Compliance Database'!$M$2:$M$1960,MATCH(1396,Engine!$C$2:$C$1960,0)))</f>
        <v/>
      </c>
      <c r="N1409" s="9">
        <f>IF(ISNA(MATCH(1396,Engine!$C$2:$C$1960,0)),"",INDEX('Compliance Database'!$N$2:$N$1960,MATCH(1396,Engine!$C$2:$C$1960,0)))</f>
        <v/>
      </c>
      <c r="O1409" s="9">
        <f>IF(ISNA(MATCH(1396,Engine!$C$2:$C$1960,0)),"",INDEX('Compliance Database'!$O$2:$O$1960,MATCH(1396,Engine!$C$2:$C$1960,0)))</f>
        <v/>
      </c>
      <c r="P1409" s="8">
        <f>IF(ISNA(MATCH(1396,Engine!$C$2:$C$1960,0)),"",HYPERLINK("#Acts!A"&amp;INDEX('Compliance Database'!$P$2:$P$1960,MATCH(1396,Engine!$C$2:$C$1960,0)),"Go to Act"))</f>
        <v/>
      </c>
    </row>
    <row r="1410" ht="158" customHeight="1">
      <c r="A1410" s="8">
        <f>IF(ISNA(MATCH(1397,Engine!$C$2:$C$1960,0)),"",INDEX('Compliance Database'!$A$2:$A$1960,MATCH(1397,Engine!$C$2:$C$1960,0)))</f>
        <v/>
      </c>
      <c r="B1410" s="8">
        <f>IF(ISNA(MATCH(1397,Engine!$C$2:$C$1960,0)),"",INDEX('Compliance Database'!$B$2:$B$1960,MATCH(1397,Engine!$C$2:$C$1960,0)))</f>
        <v/>
      </c>
      <c r="C1410" s="8">
        <f>IF(ISNA(MATCH(1397,Engine!$C$2:$C$1960,0)),"",INDEX('Compliance Database'!$C$2:$C$1960,MATCH(1397,Engine!$C$2:$C$1960,0)))</f>
        <v/>
      </c>
      <c r="D1410" s="9">
        <f>IF(ISNA(MATCH(1397,Engine!$C$2:$C$1960,0)),"",INDEX('Compliance Database'!$D$2:$D$1960,MATCH(1397,Engine!$C$2:$C$1960,0)))</f>
        <v/>
      </c>
      <c r="E1410" s="8">
        <f>IF(ISNA(MATCH(1397,Engine!$C$2:$C$1960,0)),"",INDEX('Compliance Database'!$E$2:$E$1960,MATCH(1397,Engine!$C$2:$C$1960,0)))</f>
        <v/>
      </c>
      <c r="F1410" s="8">
        <f>IF(ISNA(MATCH(1397,Engine!$C$2:$C$1960,0)),"",INDEX('Compliance Database'!$F$2:$F$1960,MATCH(1397,Engine!$C$2:$C$1960,0)))</f>
        <v/>
      </c>
      <c r="G1410" s="8">
        <f>IF(ISNA(MATCH(1397,Engine!$C$2:$C$1960,0)),"",INDEX('Compliance Database'!$G$2:$G$1960,MATCH(1397,Engine!$C$2:$C$1960,0)))</f>
        <v/>
      </c>
      <c r="H1410" s="9">
        <f>IF(ISNA(MATCH(1397,Engine!$C$2:$C$1960,0)),"",INDEX('Compliance Database'!$H$2:$H$1960,MATCH(1397,Engine!$C$2:$C$1960,0)))</f>
        <v/>
      </c>
      <c r="I1410" s="9">
        <f>IF(ISNA(MATCH(1397,Engine!$C$2:$C$1960,0)),"",INDEX('Compliance Database'!$I$2:$I$1960,MATCH(1397,Engine!$C$2:$C$1960,0)))</f>
        <v/>
      </c>
      <c r="J1410" s="8">
        <f>IF(ISNA(MATCH(1397,Engine!$C$2:$C$1960,0)),"",INDEX('Compliance Database'!$J$2:$J$1960,MATCH(1397,Engine!$C$2:$C$1960,0)))</f>
        <v/>
      </c>
      <c r="K1410" s="9">
        <f>IF(ISNA(MATCH(1397,Engine!$C$2:$C$1960,0)),"",INDEX('Compliance Database'!$K$2:$K$1960,MATCH(1397,Engine!$C$2:$C$1960,0)))</f>
        <v/>
      </c>
      <c r="L1410" s="9">
        <f>IF(ISNA(MATCH(1397,Engine!$C$2:$C$1960,0)),"",INDEX('Compliance Database'!$L$2:$L$1960,MATCH(1397,Engine!$C$2:$C$1960,0)))</f>
        <v/>
      </c>
      <c r="M1410" s="9">
        <f>IF(ISNA(MATCH(1397,Engine!$C$2:$C$1960,0)),"",INDEX('Compliance Database'!$M$2:$M$1960,MATCH(1397,Engine!$C$2:$C$1960,0)))</f>
        <v/>
      </c>
      <c r="N1410" s="9">
        <f>IF(ISNA(MATCH(1397,Engine!$C$2:$C$1960,0)),"",INDEX('Compliance Database'!$N$2:$N$1960,MATCH(1397,Engine!$C$2:$C$1960,0)))</f>
        <v/>
      </c>
      <c r="O1410" s="9">
        <f>IF(ISNA(MATCH(1397,Engine!$C$2:$C$1960,0)),"",INDEX('Compliance Database'!$O$2:$O$1960,MATCH(1397,Engine!$C$2:$C$1960,0)))</f>
        <v/>
      </c>
      <c r="P1410" s="8">
        <f>IF(ISNA(MATCH(1397,Engine!$C$2:$C$1960,0)),"",HYPERLINK("#Acts!A"&amp;INDEX('Compliance Database'!$P$2:$P$1960,MATCH(1397,Engine!$C$2:$C$1960,0)),"Go to Act"))</f>
        <v/>
      </c>
    </row>
    <row r="1411" ht="158" customHeight="1">
      <c r="A1411" s="8">
        <f>IF(ISNA(MATCH(1398,Engine!$C$2:$C$1960,0)),"",INDEX('Compliance Database'!$A$2:$A$1960,MATCH(1398,Engine!$C$2:$C$1960,0)))</f>
        <v/>
      </c>
      <c r="B1411" s="8">
        <f>IF(ISNA(MATCH(1398,Engine!$C$2:$C$1960,0)),"",INDEX('Compliance Database'!$B$2:$B$1960,MATCH(1398,Engine!$C$2:$C$1960,0)))</f>
        <v/>
      </c>
      <c r="C1411" s="8">
        <f>IF(ISNA(MATCH(1398,Engine!$C$2:$C$1960,0)),"",INDEX('Compliance Database'!$C$2:$C$1960,MATCH(1398,Engine!$C$2:$C$1960,0)))</f>
        <v/>
      </c>
      <c r="D1411" s="9">
        <f>IF(ISNA(MATCH(1398,Engine!$C$2:$C$1960,0)),"",INDEX('Compliance Database'!$D$2:$D$1960,MATCH(1398,Engine!$C$2:$C$1960,0)))</f>
        <v/>
      </c>
      <c r="E1411" s="8">
        <f>IF(ISNA(MATCH(1398,Engine!$C$2:$C$1960,0)),"",INDEX('Compliance Database'!$E$2:$E$1960,MATCH(1398,Engine!$C$2:$C$1960,0)))</f>
        <v/>
      </c>
      <c r="F1411" s="8">
        <f>IF(ISNA(MATCH(1398,Engine!$C$2:$C$1960,0)),"",INDEX('Compliance Database'!$F$2:$F$1960,MATCH(1398,Engine!$C$2:$C$1960,0)))</f>
        <v/>
      </c>
      <c r="G1411" s="8">
        <f>IF(ISNA(MATCH(1398,Engine!$C$2:$C$1960,0)),"",INDEX('Compliance Database'!$G$2:$G$1960,MATCH(1398,Engine!$C$2:$C$1960,0)))</f>
        <v/>
      </c>
      <c r="H1411" s="9">
        <f>IF(ISNA(MATCH(1398,Engine!$C$2:$C$1960,0)),"",INDEX('Compliance Database'!$H$2:$H$1960,MATCH(1398,Engine!$C$2:$C$1960,0)))</f>
        <v/>
      </c>
      <c r="I1411" s="9">
        <f>IF(ISNA(MATCH(1398,Engine!$C$2:$C$1960,0)),"",INDEX('Compliance Database'!$I$2:$I$1960,MATCH(1398,Engine!$C$2:$C$1960,0)))</f>
        <v/>
      </c>
      <c r="J1411" s="8">
        <f>IF(ISNA(MATCH(1398,Engine!$C$2:$C$1960,0)),"",INDEX('Compliance Database'!$J$2:$J$1960,MATCH(1398,Engine!$C$2:$C$1960,0)))</f>
        <v/>
      </c>
      <c r="K1411" s="9">
        <f>IF(ISNA(MATCH(1398,Engine!$C$2:$C$1960,0)),"",INDEX('Compliance Database'!$K$2:$K$1960,MATCH(1398,Engine!$C$2:$C$1960,0)))</f>
        <v/>
      </c>
      <c r="L1411" s="9">
        <f>IF(ISNA(MATCH(1398,Engine!$C$2:$C$1960,0)),"",INDEX('Compliance Database'!$L$2:$L$1960,MATCH(1398,Engine!$C$2:$C$1960,0)))</f>
        <v/>
      </c>
      <c r="M1411" s="9">
        <f>IF(ISNA(MATCH(1398,Engine!$C$2:$C$1960,0)),"",INDEX('Compliance Database'!$M$2:$M$1960,MATCH(1398,Engine!$C$2:$C$1960,0)))</f>
        <v/>
      </c>
      <c r="N1411" s="9">
        <f>IF(ISNA(MATCH(1398,Engine!$C$2:$C$1960,0)),"",INDEX('Compliance Database'!$N$2:$N$1960,MATCH(1398,Engine!$C$2:$C$1960,0)))</f>
        <v/>
      </c>
      <c r="O1411" s="9">
        <f>IF(ISNA(MATCH(1398,Engine!$C$2:$C$1960,0)),"",INDEX('Compliance Database'!$O$2:$O$1960,MATCH(1398,Engine!$C$2:$C$1960,0)))</f>
        <v/>
      </c>
      <c r="P1411" s="8">
        <f>IF(ISNA(MATCH(1398,Engine!$C$2:$C$1960,0)),"",HYPERLINK("#Acts!A"&amp;INDEX('Compliance Database'!$P$2:$P$1960,MATCH(1398,Engine!$C$2:$C$1960,0)),"Go to Act"))</f>
        <v/>
      </c>
    </row>
    <row r="1412" ht="158" customHeight="1">
      <c r="A1412" s="8">
        <f>IF(ISNA(MATCH(1399,Engine!$C$2:$C$1960,0)),"",INDEX('Compliance Database'!$A$2:$A$1960,MATCH(1399,Engine!$C$2:$C$1960,0)))</f>
        <v/>
      </c>
      <c r="B1412" s="8">
        <f>IF(ISNA(MATCH(1399,Engine!$C$2:$C$1960,0)),"",INDEX('Compliance Database'!$B$2:$B$1960,MATCH(1399,Engine!$C$2:$C$1960,0)))</f>
        <v/>
      </c>
      <c r="C1412" s="8">
        <f>IF(ISNA(MATCH(1399,Engine!$C$2:$C$1960,0)),"",INDEX('Compliance Database'!$C$2:$C$1960,MATCH(1399,Engine!$C$2:$C$1960,0)))</f>
        <v/>
      </c>
      <c r="D1412" s="9">
        <f>IF(ISNA(MATCH(1399,Engine!$C$2:$C$1960,0)),"",INDEX('Compliance Database'!$D$2:$D$1960,MATCH(1399,Engine!$C$2:$C$1960,0)))</f>
        <v/>
      </c>
      <c r="E1412" s="8">
        <f>IF(ISNA(MATCH(1399,Engine!$C$2:$C$1960,0)),"",INDEX('Compliance Database'!$E$2:$E$1960,MATCH(1399,Engine!$C$2:$C$1960,0)))</f>
        <v/>
      </c>
      <c r="F1412" s="8">
        <f>IF(ISNA(MATCH(1399,Engine!$C$2:$C$1960,0)),"",INDEX('Compliance Database'!$F$2:$F$1960,MATCH(1399,Engine!$C$2:$C$1960,0)))</f>
        <v/>
      </c>
      <c r="G1412" s="8">
        <f>IF(ISNA(MATCH(1399,Engine!$C$2:$C$1960,0)),"",INDEX('Compliance Database'!$G$2:$G$1960,MATCH(1399,Engine!$C$2:$C$1960,0)))</f>
        <v/>
      </c>
      <c r="H1412" s="9">
        <f>IF(ISNA(MATCH(1399,Engine!$C$2:$C$1960,0)),"",INDEX('Compliance Database'!$H$2:$H$1960,MATCH(1399,Engine!$C$2:$C$1960,0)))</f>
        <v/>
      </c>
      <c r="I1412" s="9">
        <f>IF(ISNA(MATCH(1399,Engine!$C$2:$C$1960,0)),"",INDEX('Compliance Database'!$I$2:$I$1960,MATCH(1399,Engine!$C$2:$C$1960,0)))</f>
        <v/>
      </c>
      <c r="J1412" s="8">
        <f>IF(ISNA(MATCH(1399,Engine!$C$2:$C$1960,0)),"",INDEX('Compliance Database'!$J$2:$J$1960,MATCH(1399,Engine!$C$2:$C$1960,0)))</f>
        <v/>
      </c>
      <c r="K1412" s="9">
        <f>IF(ISNA(MATCH(1399,Engine!$C$2:$C$1960,0)),"",INDEX('Compliance Database'!$K$2:$K$1960,MATCH(1399,Engine!$C$2:$C$1960,0)))</f>
        <v/>
      </c>
      <c r="L1412" s="9">
        <f>IF(ISNA(MATCH(1399,Engine!$C$2:$C$1960,0)),"",INDEX('Compliance Database'!$L$2:$L$1960,MATCH(1399,Engine!$C$2:$C$1960,0)))</f>
        <v/>
      </c>
      <c r="M1412" s="9">
        <f>IF(ISNA(MATCH(1399,Engine!$C$2:$C$1960,0)),"",INDEX('Compliance Database'!$M$2:$M$1960,MATCH(1399,Engine!$C$2:$C$1960,0)))</f>
        <v/>
      </c>
      <c r="N1412" s="9">
        <f>IF(ISNA(MATCH(1399,Engine!$C$2:$C$1960,0)),"",INDEX('Compliance Database'!$N$2:$N$1960,MATCH(1399,Engine!$C$2:$C$1960,0)))</f>
        <v/>
      </c>
      <c r="O1412" s="9">
        <f>IF(ISNA(MATCH(1399,Engine!$C$2:$C$1960,0)),"",INDEX('Compliance Database'!$O$2:$O$1960,MATCH(1399,Engine!$C$2:$C$1960,0)))</f>
        <v/>
      </c>
      <c r="P1412" s="8">
        <f>IF(ISNA(MATCH(1399,Engine!$C$2:$C$1960,0)),"",HYPERLINK("#Acts!A"&amp;INDEX('Compliance Database'!$P$2:$P$1960,MATCH(1399,Engine!$C$2:$C$1960,0)),"Go to Act"))</f>
        <v/>
      </c>
    </row>
    <row r="1413" ht="158" customHeight="1">
      <c r="A1413" s="8">
        <f>IF(ISNA(MATCH(1400,Engine!$C$2:$C$1960,0)),"",INDEX('Compliance Database'!$A$2:$A$1960,MATCH(1400,Engine!$C$2:$C$1960,0)))</f>
        <v/>
      </c>
      <c r="B1413" s="8">
        <f>IF(ISNA(MATCH(1400,Engine!$C$2:$C$1960,0)),"",INDEX('Compliance Database'!$B$2:$B$1960,MATCH(1400,Engine!$C$2:$C$1960,0)))</f>
        <v/>
      </c>
      <c r="C1413" s="8">
        <f>IF(ISNA(MATCH(1400,Engine!$C$2:$C$1960,0)),"",INDEX('Compliance Database'!$C$2:$C$1960,MATCH(1400,Engine!$C$2:$C$1960,0)))</f>
        <v/>
      </c>
      <c r="D1413" s="9">
        <f>IF(ISNA(MATCH(1400,Engine!$C$2:$C$1960,0)),"",INDEX('Compliance Database'!$D$2:$D$1960,MATCH(1400,Engine!$C$2:$C$1960,0)))</f>
        <v/>
      </c>
      <c r="E1413" s="8">
        <f>IF(ISNA(MATCH(1400,Engine!$C$2:$C$1960,0)),"",INDEX('Compliance Database'!$E$2:$E$1960,MATCH(1400,Engine!$C$2:$C$1960,0)))</f>
        <v/>
      </c>
      <c r="F1413" s="8">
        <f>IF(ISNA(MATCH(1400,Engine!$C$2:$C$1960,0)),"",INDEX('Compliance Database'!$F$2:$F$1960,MATCH(1400,Engine!$C$2:$C$1960,0)))</f>
        <v/>
      </c>
      <c r="G1413" s="8">
        <f>IF(ISNA(MATCH(1400,Engine!$C$2:$C$1960,0)),"",INDEX('Compliance Database'!$G$2:$G$1960,MATCH(1400,Engine!$C$2:$C$1960,0)))</f>
        <v/>
      </c>
      <c r="H1413" s="9">
        <f>IF(ISNA(MATCH(1400,Engine!$C$2:$C$1960,0)),"",INDEX('Compliance Database'!$H$2:$H$1960,MATCH(1400,Engine!$C$2:$C$1960,0)))</f>
        <v/>
      </c>
      <c r="I1413" s="9">
        <f>IF(ISNA(MATCH(1400,Engine!$C$2:$C$1960,0)),"",INDEX('Compliance Database'!$I$2:$I$1960,MATCH(1400,Engine!$C$2:$C$1960,0)))</f>
        <v/>
      </c>
      <c r="J1413" s="8">
        <f>IF(ISNA(MATCH(1400,Engine!$C$2:$C$1960,0)),"",INDEX('Compliance Database'!$J$2:$J$1960,MATCH(1400,Engine!$C$2:$C$1960,0)))</f>
        <v/>
      </c>
      <c r="K1413" s="9">
        <f>IF(ISNA(MATCH(1400,Engine!$C$2:$C$1960,0)),"",INDEX('Compliance Database'!$K$2:$K$1960,MATCH(1400,Engine!$C$2:$C$1960,0)))</f>
        <v/>
      </c>
      <c r="L1413" s="9">
        <f>IF(ISNA(MATCH(1400,Engine!$C$2:$C$1960,0)),"",INDEX('Compliance Database'!$L$2:$L$1960,MATCH(1400,Engine!$C$2:$C$1960,0)))</f>
        <v/>
      </c>
      <c r="M1413" s="9">
        <f>IF(ISNA(MATCH(1400,Engine!$C$2:$C$1960,0)),"",INDEX('Compliance Database'!$M$2:$M$1960,MATCH(1400,Engine!$C$2:$C$1960,0)))</f>
        <v/>
      </c>
      <c r="N1413" s="9">
        <f>IF(ISNA(MATCH(1400,Engine!$C$2:$C$1960,0)),"",INDEX('Compliance Database'!$N$2:$N$1960,MATCH(1400,Engine!$C$2:$C$1960,0)))</f>
        <v/>
      </c>
      <c r="O1413" s="9">
        <f>IF(ISNA(MATCH(1400,Engine!$C$2:$C$1960,0)),"",INDEX('Compliance Database'!$O$2:$O$1960,MATCH(1400,Engine!$C$2:$C$1960,0)))</f>
        <v/>
      </c>
      <c r="P1413" s="8">
        <f>IF(ISNA(MATCH(1400,Engine!$C$2:$C$1960,0)),"",HYPERLINK("#Acts!A"&amp;INDEX('Compliance Database'!$P$2:$P$1960,MATCH(1400,Engine!$C$2:$C$1960,0)),"Go to Act"))</f>
        <v/>
      </c>
    </row>
    <row r="1414" ht="158" customHeight="1">
      <c r="A1414" s="8">
        <f>IF(ISNA(MATCH(1401,Engine!$C$2:$C$1960,0)),"",INDEX('Compliance Database'!$A$2:$A$1960,MATCH(1401,Engine!$C$2:$C$1960,0)))</f>
        <v/>
      </c>
      <c r="B1414" s="8">
        <f>IF(ISNA(MATCH(1401,Engine!$C$2:$C$1960,0)),"",INDEX('Compliance Database'!$B$2:$B$1960,MATCH(1401,Engine!$C$2:$C$1960,0)))</f>
        <v/>
      </c>
      <c r="C1414" s="8">
        <f>IF(ISNA(MATCH(1401,Engine!$C$2:$C$1960,0)),"",INDEX('Compliance Database'!$C$2:$C$1960,MATCH(1401,Engine!$C$2:$C$1960,0)))</f>
        <v/>
      </c>
      <c r="D1414" s="9">
        <f>IF(ISNA(MATCH(1401,Engine!$C$2:$C$1960,0)),"",INDEX('Compliance Database'!$D$2:$D$1960,MATCH(1401,Engine!$C$2:$C$1960,0)))</f>
        <v/>
      </c>
      <c r="E1414" s="8">
        <f>IF(ISNA(MATCH(1401,Engine!$C$2:$C$1960,0)),"",INDEX('Compliance Database'!$E$2:$E$1960,MATCH(1401,Engine!$C$2:$C$1960,0)))</f>
        <v/>
      </c>
      <c r="F1414" s="8">
        <f>IF(ISNA(MATCH(1401,Engine!$C$2:$C$1960,0)),"",INDEX('Compliance Database'!$F$2:$F$1960,MATCH(1401,Engine!$C$2:$C$1960,0)))</f>
        <v/>
      </c>
      <c r="G1414" s="8">
        <f>IF(ISNA(MATCH(1401,Engine!$C$2:$C$1960,0)),"",INDEX('Compliance Database'!$G$2:$G$1960,MATCH(1401,Engine!$C$2:$C$1960,0)))</f>
        <v/>
      </c>
      <c r="H1414" s="9">
        <f>IF(ISNA(MATCH(1401,Engine!$C$2:$C$1960,0)),"",INDEX('Compliance Database'!$H$2:$H$1960,MATCH(1401,Engine!$C$2:$C$1960,0)))</f>
        <v/>
      </c>
      <c r="I1414" s="9">
        <f>IF(ISNA(MATCH(1401,Engine!$C$2:$C$1960,0)),"",INDEX('Compliance Database'!$I$2:$I$1960,MATCH(1401,Engine!$C$2:$C$1960,0)))</f>
        <v/>
      </c>
      <c r="J1414" s="8">
        <f>IF(ISNA(MATCH(1401,Engine!$C$2:$C$1960,0)),"",INDEX('Compliance Database'!$J$2:$J$1960,MATCH(1401,Engine!$C$2:$C$1960,0)))</f>
        <v/>
      </c>
      <c r="K1414" s="9">
        <f>IF(ISNA(MATCH(1401,Engine!$C$2:$C$1960,0)),"",INDEX('Compliance Database'!$K$2:$K$1960,MATCH(1401,Engine!$C$2:$C$1960,0)))</f>
        <v/>
      </c>
      <c r="L1414" s="9">
        <f>IF(ISNA(MATCH(1401,Engine!$C$2:$C$1960,0)),"",INDEX('Compliance Database'!$L$2:$L$1960,MATCH(1401,Engine!$C$2:$C$1960,0)))</f>
        <v/>
      </c>
      <c r="M1414" s="9">
        <f>IF(ISNA(MATCH(1401,Engine!$C$2:$C$1960,0)),"",INDEX('Compliance Database'!$M$2:$M$1960,MATCH(1401,Engine!$C$2:$C$1960,0)))</f>
        <v/>
      </c>
      <c r="N1414" s="9">
        <f>IF(ISNA(MATCH(1401,Engine!$C$2:$C$1960,0)),"",INDEX('Compliance Database'!$N$2:$N$1960,MATCH(1401,Engine!$C$2:$C$1960,0)))</f>
        <v/>
      </c>
      <c r="O1414" s="9">
        <f>IF(ISNA(MATCH(1401,Engine!$C$2:$C$1960,0)),"",INDEX('Compliance Database'!$O$2:$O$1960,MATCH(1401,Engine!$C$2:$C$1960,0)))</f>
        <v/>
      </c>
      <c r="P1414" s="8">
        <f>IF(ISNA(MATCH(1401,Engine!$C$2:$C$1960,0)),"",HYPERLINK("#Acts!A"&amp;INDEX('Compliance Database'!$P$2:$P$1960,MATCH(1401,Engine!$C$2:$C$1960,0)),"Go to Act"))</f>
        <v/>
      </c>
    </row>
    <row r="1415" ht="158" customHeight="1">
      <c r="A1415" s="8">
        <f>IF(ISNA(MATCH(1402,Engine!$C$2:$C$1960,0)),"",INDEX('Compliance Database'!$A$2:$A$1960,MATCH(1402,Engine!$C$2:$C$1960,0)))</f>
        <v/>
      </c>
      <c r="B1415" s="8">
        <f>IF(ISNA(MATCH(1402,Engine!$C$2:$C$1960,0)),"",INDEX('Compliance Database'!$B$2:$B$1960,MATCH(1402,Engine!$C$2:$C$1960,0)))</f>
        <v/>
      </c>
      <c r="C1415" s="8">
        <f>IF(ISNA(MATCH(1402,Engine!$C$2:$C$1960,0)),"",INDEX('Compliance Database'!$C$2:$C$1960,MATCH(1402,Engine!$C$2:$C$1960,0)))</f>
        <v/>
      </c>
      <c r="D1415" s="9">
        <f>IF(ISNA(MATCH(1402,Engine!$C$2:$C$1960,0)),"",INDEX('Compliance Database'!$D$2:$D$1960,MATCH(1402,Engine!$C$2:$C$1960,0)))</f>
        <v/>
      </c>
      <c r="E1415" s="8">
        <f>IF(ISNA(MATCH(1402,Engine!$C$2:$C$1960,0)),"",INDEX('Compliance Database'!$E$2:$E$1960,MATCH(1402,Engine!$C$2:$C$1960,0)))</f>
        <v/>
      </c>
      <c r="F1415" s="8">
        <f>IF(ISNA(MATCH(1402,Engine!$C$2:$C$1960,0)),"",INDEX('Compliance Database'!$F$2:$F$1960,MATCH(1402,Engine!$C$2:$C$1960,0)))</f>
        <v/>
      </c>
      <c r="G1415" s="8">
        <f>IF(ISNA(MATCH(1402,Engine!$C$2:$C$1960,0)),"",INDEX('Compliance Database'!$G$2:$G$1960,MATCH(1402,Engine!$C$2:$C$1960,0)))</f>
        <v/>
      </c>
      <c r="H1415" s="9">
        <f>IF(ISNA(MATCH(1402,Engine!$C$2:$C$1960,0)),"",INDEX('Compliance Database'!$H$2:$H$1960,MATCH(1402,Engine!$C$2:$C$1960,0)))</f>
        <v/>
      </c>
      <c r="I1415" s="9">
        <f>IF(ISNA(MATCH(1402,Engine!$C$2:$C$1960,0)),"",INDEX('Compliance Database'!$I$2:$I$1960,MATCH(1402,Engine!$C$2:$C$1960,0)))</f>
        <v/>
      </c>
      <c r="J1415" s="8">
        <f>IF(ISNA(MATCH(1402,Engine!$C$2:$C$1960,0)),"",INDEX('Compliance Database'!$J$2:$J$1960,MATCH(1402,Engine!$C$2:$C$1960,0)))</f>
        <v/>
      </c>
      <c r="K1415" s="9">
        <f>IF(ISNA(MATCH(1402,Engine!$C$2:$C$1960,0)),"",INDEX('Compliance Database'!$K$2:$K$1960,MATCH(1402,Engine!$C$2:$C$1960,0)))</f>
        <v/>
      </c>
      <c r="L1415" s="9">
        <f>IF(ISNA(MATCH(1402,Engine!$C$2:$C$1960,0)),"",INDEX('Compliance Database'!$L$2:$L$1960,MATCH(1402,Engine!$C$2:$C$1960,0)))</f>
        <v/>
      </c>
      <c r="M1415" s="9">
        <f>IF(ISNA(MATCH(1402,Engine!$C$2:$C$1960,0)),"",INDEX('Compliance Database'!$M$2:$M$1960,MATCH(1402,Engine!$C$2:$C$1960,0)))</f>
        <v/>
      </c>
      <c r="N1415" s="9">
        <f>IF(ISNA(MATCH(1402,Engine!$C$2:$C$1960,0)),"",INDEX('Compliance Database'!$N$2:$N$1960,MATCH(1402,Engine!$C$2:$C$1960,0)))</f>
        <v/>
      </c>
      <c r="O1415" s="9">
        <f>IF(ISNA(MATCH(1402,Engine!$C$2:$C$1960,0)),"",INDEX('Compliance Database'!$O$2:$O$1960,MATCH(1402,Engine!$C$2:$C$1960,0)))</f>
        <v/>
      </c>
      <c r="P1415" s="8">
        <f>IF(ISNA(MATCH(1402,Engine!$C$2:$C$1960,0)),"",HYPERLINK("#Acts!A"&amp;INDEX('Compliance Database'!$P$2:$P$1960,MATCH(1402,Engine!$C$2:$C$1960,0)),"Go to Act"))</f>
        <v/>
      </c>
    </row>
    <row r="1416" ht="158" customHeight="1">
      <c r="A1416" s="8">
        <f>IF(ISNA(MATCH(1403,Engine!$C$2:$C$1960,0)),"",INDEX('Compliance Database'!$A$2:$A$1960,MATCH(1403,Engine!$C$2:$C$1960,0)))</f>
        <v/>
      </c>
      <c r="B1416" s="8">
        <f>IF(ISNA(MATCH(1403,Engine!$C$2:$C$1960,0)),"",INDEX('Compliance Database'!$B$2:$B$1960,MATCH(1403,Engine!$C$2:$C$1960,0)))</f>
        <v/>
      </c>
      <c r="C1416" s="8">
        <f>IF(ISNA(MATCH(1403,Engine!$C$2:$C$1960,0)),"",INDEX('Compliance Database'!$C$2:$C$1960,MATCH(1403,Engine!$C$2:$C$1960,0)))</f>
        <v/>
      </c>
      <c r="D1416" s="9">
        <f>IF(ISNA(MATCH(1403,Engine!$C$2:$C$1960,0)),"",INDEX('Compliance Database'!$D$2:$D$1960,MATCH(1403,Engine!$C$2:$C$1960,0)))</f>
        <v/>
      </c>
      <c r="E1416" s="8">
        <f>IF(ISNA(MATCH(1403,Engine!$C$2:$C$1960,0)),"",INDEX('Compliance Database'!$E$2:$E$1960,MATCH(1403,Engine!$C$2:$C$1960,0)))</f>
        <v/>
      </c>
      <c r="F1416" s="8">
        <f>IF(ISNA(MATCH(1403,Engine!$C$2:$C$1960,0)),"",INDEX('Compliance Database'!$F$2:$F$1960,MATCH(1403,Engine!$C$2:$C$1960,0)))</f>
        <v/>
      </c>
      <c r="G1416" s="8">
        <f>IF(ISNA(MATCH(1403,Engine!$C$2:$C$1960,0)),"",INDEX('Compliance Database'!$G$2:$G$1960,MATCH(1403,Engine!$C$2:$C$1960,0)))</f>
        <v/>
      </c>
      <c r="H1416" s="9">
        <f>IF(ISNA(MATCH(1403,Engine!$C$2:$C$1960,0)),"",INDEX('Compliance Database'!$H$2:$H$1960,MATCH(1403,Engine!$C$2:$C$1960,0)))</f>
        <v/>
      </c>
      <c r="I1416" s="9">
        <f>IF(ISNA(MATCH(1403,Engine!$C$2:$C$1960,0)),"",INDEX('Compliance Database'!$I$2:$I$1960,MATCH(1403,Engine!$C$2:$C$1960,0)))</f>
        <v/>
      </c>
      <c r="J1416" s="8">
        <f>IF(ISNA(MATCH(1403,Engine!$C$2:$C$1960,0)),"",INDEX('Compliance Database'!$J$2:$J$1960,MATCH(1403,Engine!$C$2:$C$1960,0)))</f>
        <v/>
      </c>
      <c r="K1416" s="9">
        <f>IF(ISNA(MATCH(1403,Engine!$C$2:$C$1960,0)),"",INDEX('Compliance Database'!$K$2:$K$1960,MATCH(1403,Engine!$C$2:$C$1960,0)))</f>
        <v/>
      </c>
      <c r="L1416" s="9">
        <f>IF(ISNA(MATCH(1403,Engine!$C$2:$C$1960,0)),"",INDEX('Compliance Database'!$L$2:$L$1960,MATCH(1403,Engine!$C$2:$C$1960,0)))</f>
        <v/>
      </c>
      <c r="M1416" s="9">
        <f>IF(ISNA(MATCH(1403,Engine!$C$2:$C$1960,0)),"",INDEX('Compliance Database'!$M$2:$M$1960,MATCH(1403,Engine!$C$2:$C$1960,0)))</f>
        <v/>
      </c>
      <c r="N1416" s="9">
        <f>IF(ISNA(MATCH(1403,Engine!$C$2:$C$1960,0)),"",INDEX('Compliance Database'!$N$2:$N$1960,MATCH(1403,Engine!$C$2:$C$1960,0)))</f>
        <v/>
      </c>
      <c r="O1416" s="9">
        <f>IF(ISNA(MATCH(1403,Engine!$C$2:$C$1960,0)),"",INDEX('Compliance Database'!$O$2:$O$1960,MATCH(1403,Engine!$C$2:$C$1960,0)))</f>
        <v/>
      </c>
      <c r="P1416" s="8">
        <f>IF(ISNA(MATCH(1403,Engine!$C$2:$C$1960,0)),"",HYPERLINK("#Acts!A"&amp;INDEX('Compliance Database'!$P$2:$P$1960,MATCH(1403,Engine!$C$2:$C$1960,0)),"Go to Act"))</f>
        <v/>
      </c>
    </row>
    <row r="1417" ht="158" customHeight="1">
      <c r="A1417" s="8">
        <f>IF(ISNA(MATCH(1404,Engine!$C$2:$C$1960,0)),"",INDEX('Compliance Database'!$A$2:$A$1960,MATCH(1404,Engine!$C$2:$C$1960,0)))</f>
        <v/>
      </c>
      <c r="B1417" s="8">
        <f>IF(ISNA(MATCH(1404,Engine!$C$2:$C$1960,0)),"",INDEX('Compliance Database'!$B$2:$B$1960,MATCH(1404,Engine!$C$2:$C$1960,0)))</f>
        <v/>
      </c>
      <c r="C1417" s="8">
        <f>IF(ISNA(MATCH(1404,Engine!$C$2:$C$1960,0)),"",INDEX('Compliance Database'!$C$2:$C$1960,MATCH(1404,Engine!$C$2:$C$1960,0)))</f>
        <v/>
      </c>
      <c r="D1417" s="9">
        <f>IF(ISNA(MATCH(1404,Engine!$C$2:$C$1960,0)),"",INDEX('Compliance Database'!$D$2:$D$1960,MATCH(1404,Engine!$C$2:$C$1960,0)))</f>
        <v/>
      </c>
      <c r="E1417" s="8">
        <f>IF(ISNA(MATCH(1404,Engine!$C$2:$C$1960,0)),"",INDEX('Compliance Database'!$E$2:$E$1960,MATCH(1404,Engine!$C$2:$C$1960,0)))</f>
        <v/>
      </c>
      <c r="F1417" s="8">
        <f>IF(ISNA(MATCH(1404,Engine!$C$2:$C$1960,0)),"",INDEX('Compliance Database'!$F$2:$F$1960,MATCH(1404,Engine!$C$2:$C$1960,0)))</f>
        <v/>
      </c>
      <c r="G1417" s="8">
        <f>IF(ISNA(MATCH(1404,Engine!$C$2:$C$1960,0)),"",INDEX('Compliance Database'!$G$2:$G$1960,MATCH(1404,Engine!$C$2:$C$1960,0)))</f>
        <v/>
      </c>
      <c r="H1417" s="9">
        <f>IF(ISNA(MATCH(1404,Engine!$C$2:$C$1960,0)),"",INDEX('Compliance Database'!$H$2:$H$1960,MATCH(1404,Engine!$C$2:$C$1960,0)))</f>
        <v/>
      </c>
      <c r="I1417" s="9">
        <f>IF(ISNA(MATCH(1404,Engine!$C$2:$C$1960,0)),"",INDEX('Compliance Database'!$I$2:$I$1960,MATCH(1404,Engine!$C$2:$C$1960,0)))</f>
        <v/>
      </c>
      <c r="J1417" s="8">
        <f>IF(ISNA(MATCH(1404,Engine!$C$2:$C$1960,0)),"",INDEX('Compliance Database'!$J$2:$J$1960,MATCH(1404,Engine!$C$2:$C$1960,0)))</f>
        <v/>
      </c>
      <c r="K1417" s="9">
        <f>IF(ISNA(MATCH(1404,Engine!$C$2:$C$1960,0)),"",INDEX('Compliance Database'!$K$2:$K$1960,MATCH(1404,Engine!$C$2:$C$1960,0)))</f>
        <v/>
      </c>
      <c r="L1417" s="9">
        <f>IF(ISNA(MATCH(1404,Engine!$C$2:$C$1960,0)),"",INDEX('Compliance Database'!$L$2:$L$1960,MATCH(1404,Engine!$C$2:$C$1960,0)))</f>
        <v/>
      </c>
      <c r="M1417" s="9">
        <f>IF(ISNA(MATCH(1404,Engine!$C$2:$C$1960,0)),"",INDEX('Compliance Database'!$M$2:$M$1960,MATCH(1404,Engine!$C$2:$C$1960,0)))</f>
        <v/>
      </c>
      <c r="N1417" s="9">
        <f>IF(ISNA(MATCH(1404,Engine!$C$2:$C$1960,0)),"",INDEX('Compliance Database'!$N$2:$N$1960,MATCH(1404,Engine!$C$2:$C$1960,0)))</f>
        <v/>
      </c>
      <c r="O1417" s="9">
        <f>IF(ISNA(MATCH(1404,Engine!$C$2:$C$1960,0)),"",INDEX('Compliance Database'!$O$2:$O$1960,MATCH(1404,Engine!$C$2:$C$1960,0)))</f>
        <v/>
      </c>
      <c r="P1417" s="8">
        <f>IF(ISNA(MATCH(1404,Engine!$C$2:$C$1960,0)),"",HYPERLINK("#Acts!A"&amp;INDEX('Compliance Database'!$P$2:$P$1960,MATCH(1404,Engine!$C$2:$C$1960,0)),"Go to Act"))</f>
        <v/>
      </c>
    </row>
    <row r="1418" ht="158" customHeight="1">
      <c r="A1418" s="8">
        <f>IF(ISNA(MATCH(1405,Engine!$C$2:$C$1960,0)),"",INDEX('Compliance Database'!$A$2:$A$1960,MATCH(1405,Engine!$C$2:$C$1960,0)))</f>
        <v/>
      </c>
      <c r="B1418" s="8">
        <f>IF(ISNA(MATCH(1405,Engine!$C$2:$C$1960,0)),"",INDEX('Compliance Database'!$B$2:$B$1960,MATCH(1405,Engine!$C$2:$C$1960,0)))</f>
        <v/>
      </c>
      <c r="C1418" s="8">
        <f>IF(ISNA(MATCH(1405,Engine!$C$2:$C$1960,0)),"",INDEX('Compliance Database'!$C$2:$C$1960,MATCH(1405,Engine!$C$2:$C$1960,0)))</f>
        <v/>
      </c>
      <c r="D1418" s="9">
        <f>IF(ISNA(MATCH(1405,Engine!$C$2:$C$1960,0)),"",INDEX('Compliance Database'!$D$2:$D$1960,MATCH(1405,Engine!$C$2:$C$1960,0)))</f>
        <v/>
      </c>
      <c r="E1418" s="8">
        <f>IF(ISNA(MATCH(1405,Engine!$C$2:$C$1960,0)),"",INDEX('Compliance Database'!$E$2:$E$1960,MATCH(1405,Engine!$C$2:$C$1960,0)))</f>
        <v/>
      </c>
      <c r="F1418" s="8">
        <f>IF(ISNA(MATCH(1405,Engine!$C$2:$C$1960,0)),"",INDEX('Compliance Database'!$F$2:$F$1960,MATCH(1405,Engine!$C$2:$C$1960,0)))</f>
        <v/>
      </c>
      <c r="G1418" s="8">
        <f>IF(ISNA(MATCH(1405,Engine!$C$2:$C$1960,0)),"",INDEX('Compliance Database'!$G$2:$G$1960,MATCH(1405,Engine!$C$2:$C$1960,0)))</f>
        <v/>
      </c>
      <c r="H1418" s="9">
        <f>IF(ISNA(MATCH(1405,Engine!$C$2:$C$1960,0)),"",INDEX('Compliance Database'!$H$2:$H$1960,MATCH(1405,Engine!$C$2:$C$1960,0)))</f>
        <v/>
      </c>
      <c r="I1418" s="9">
        <f>IF(ISNA(MATCH(1405,Engine!$C$2:$C$1960,0)),"",INDEX('Compliance Database'!$I$2:$I$1960,MATCH(1405,Engine!$C$2:$C$1960,0)))</f>
        <v/>
      </c>
      <c r="J1418" s="8">
        <f>IF(ISNA(MATCH(1405,Engine!$C$2:$C$1960,0)),"",INDEX('Compliance Database'!$J$2:$J$1960,MATCH(1405,Engine!$C$2:$C$1960,0)))</f>
        <v/>
      </c>
      <c r="K1418" s="9">
        <f>IF(ISNA(MATCH(1405,Engine!$C$2:$C$1960,0)),"",INDEX('Compliance Database'!$K$2:$K$1960,MATCH(1405,Engine!$C$2:$C$1960,0)))</f>
        <v/>
      </c>
      <c r="L1418" s="9">
        <f>IF(ISNA(MATCH(1405,Engine!$C$2:$C$1960,0)),"",INDEX('Compliance Database'!$L$2:$L$1960,MATCH(1405,Engine!$C$2:$C$1960,0)))</f>
        <v/>
      </c>
      <c r="M1418" s="9">
        <f>IF(ISNA(MATCH(1405,Engine!$C$2:$C$1960,0)),"",INDEX('Compliance Database'!$M$2:$M$1960,MATCH(1405,Engine!$C$2:$C$1960,0)))</f>
        <v/>
      </c>
      <c r="N1418" s="9">
        <f>IF(ISNA(MATCH(1405,Engine!$C$2:$C$1960,0)),"",INDEX('Compliance Database'!$N$2:$N$1960,MATCH(1405,Engine!$C$2:$C$1960,0)))</f>
        <v/>
      </c>
      <c r="O1418" s="9">
        <f>IF(ISNA(MATCH(1405,Engine!$C$2:$C$1960,0)),"",INDEX('Compliance Database'!$O$2:$O$1960,MATCH(1405,Engine!$C$2:$C$1960,0)))</f>
        <v/>
      </c>
      <c r="P1418" s="8">
        <f>IF(ISNA(MATCH(1405,Engine!$C$2:$C$1960,0)),"",HYPERLINK("#Acts!A"&amp;INDEX('Compliance Database'!$P$2:$P$1960,MATCH(1405,Engine!$C$2:$C$1960,0)),"Go to Act"))</f>
        <v/>
      </c>
    </row>
    <row r="1419" ht="158" customHeight="1">
      <c r="A1419" s="8">
        <f>IF(ISNA(MATCH(1406,Engine!$C$2:$C$1960,0)),"",INDEX('Compliance Database'!$A$2:$A$1960,MATCH(1406,Engine!$C$2:$C$1960,0)))</f>
        <v/>
      </c>
      <c r="B1419" s="8">
        <f>IF(ISNA(MATCH(1406,Engine!$C$2:$C$1960,0)),"",INDEX('Compliance Database'!$B$2:$B$1960,MATCH(1406,Engine!$C$2:$C$1960,0)))</f>
        <v/>
      </c>
      <c r="C1419" s="8">
        <f>IF(ISNA(MATCH(1406,Engine!$C$2:$C$1960,0)),"",INDEX('Compliance Database'!$C$2:$C$1960,MATCH(1406,Engine!$C$2:$C$1960,0)))</f>
        <v/>
      </c>
      <c r="D1419" s="9">
        <f>IF(ISNA(MATCH(1406,Engine!$C$2:$C$1960,0)),"",INDEX('Compliance Database'!$D$2:$D$1960,MATCH(1406,Engine!$C$2:$C$1960,0)))</f>
        <v/>
      </c>
      <c r="E1419" s="8">
        <f>IF(ISNA(MATCH(1406,Engine!$C$2:$C$1960,0)),"",INDEX('Compliance Database'!$E$2:$E$1960,MATCH(1406,Engine!$C$2:$C$1960,0)))</f>
        <v/>
      </c>
      <c r="F1419" s="8">
        <f>IF(ISNA(MATCH(1406,Engine!$C$2:$C$1960,0)),"",INDEX('Compliance Database'!$F$2:$F$1960,MATCH(1406,Engine!$C$2:$C$1960,0)))</f>
        <v/>
      </c>
      <c r="G1419" s="8">
        <f>IF(ISNA(MATCH(1406,Engine!$C$2:$C$1960,0)),"",INDEX('Compliance Database'!$G$2:$G$1960,MATCH(1406,Engine!$C$2:$C$1960,0)))</f>
        <v/>
      </c>
      <c r="H1419" s="9">
        <f>IF(ISNA(MATCH(1406,Engine!$C$2:$C$1960,0)),"",INDEX('Compliance Database'!$H$2:$H$1960,MATCH(1406,Engine!$C$2:$C$1960,0)))</f>
        <v/>
      </c>
      <c r="I1419" s="9">
        <f>IF(ISNA(MATCH(1406,Engine!$C$2:$C$1960,0)),"",INDEX('Compliance Database'!$I$2:$I$1960,MATCH(1406,Engine!$C$2:$C$1960,0)))</f>
        <v/>
      </c>
      <c r="J1419" s="8">
        <f>IF(ISNA(MATCH(1406,Engine!$C$2:$C$1960,0)),"",INDEX('Compliance Database'!$J$2:$J$1960,MATCH(1406,Engine!$C$2:$C$1960,0)))</f>
        <v/>
      </c>
      <c r="K1419" s="9">
        <f>IF(ISNA(MATCH(1406,Engine!$C$2:$C$1960,0)),"",INDEX('Compliance Database'!$K$2:$K$1960,MATCH(1406,Engine!$C$2:$C$1960,0)))</f>
        <v/>
      </c>
      <c r="L1419" s="9">
        <f>IF(ISNA(MATCH(1406,Engine!$C$2:$C$1960,0)),"",INDEX('Compliance Database'!$L$2:$L$1960,MATCH(1406,Engine!$C$2:$C$1960,0)))</f>
        <v/>
      </c>
      <c r="M1419" s="9">
        <f>IF(ISNA(MATCH(1406,Engine!$C$2:$C$1960,0)),"",INDEX('Compliance Database'!$M$2:$M$1960,MATCH(1406,Engine!$C$2:$C$1960,0)))</f>
        <v/>
      </c>
      <c r="N1419" s="9">
        <f>IF(ISNA(MATCH(1406,Engine!$C$2:$C$1960,0)),"",INDEX('Compliance Database'!$N$2:$N$1960,MATCH(1406,Engine!$C$2:$C$1960,0)))</f>
        <v/>
      </c>
      <c r="O1419" s="9">
        <f>IF(ISNA(MATCH(1406,Engine!$C$2:$C$1960,0)),"",INDEX('Compliance Database'!$O$2:$O$1960,MATCH(1406,Engine!$C$2:$C$1960,0)))</f>
        <v/>
      </c>
      <c r="P1419" s="8">
        <f>IF(ISNA(MATCH(1406,Engine!$C$2:$C$1960,0)),"",HYPERLINK("#Acts!A"&amp;INDEX('Compliance Database'!$P$2:$P$1960,MATCH(1406,Engine!$C$2:$C$1960,0)),"Go to Act"))</f>
        <v/>
      </c>
    </row>
    <row r="1420" ht="158" customHeight="1">
      <c r="A1420" s="8">
        <f>IF(ISNA(MATCH(1407,Engine!$C$2:$C$1960,0)),"",INDEX('Compliance Database'!$A$2:$A$1960,MATCH(1407,Engine!$C$2:$C$1960,0)))</f>
        <v/>
      </c>
      <c r="B1420" s="8">
        <f>IF(ISNA(MATCH(1407,Engine!$C$2:$C$1960,0)),"",INDEX('Compliance Database'!$B$2:$B$1960,MATCH(1407,Engine!$C$2:$C$1960,0)))</f>
        <v/>
      </c>
      <c r="C1420" s="8">
        <f>IF(ISNA(MATCH(1407,Engine!$C$2:$C$1960,0)),"",INDEX('Compliance Database'!$C$2:$C$1960,MATCH(1407,Engine!$C$2:$C$1960,0)))</f>
        <v/>
      </c>
      <c r="D1420" s="9">
        <f>IF(ISNA(MATCH(1407,Engine!$C$2:$C$1960,0)),"",INDEX('Compliance Database'!$D$2:$D$1960,MATCH(1407,Engine!$C$2:$C$1960,0)))</f>
        <v/>
      </c>
      <c r="E1420" s="8">
        <f>IF(ISNA(MATCH(1407,Engine!$C$2:$C$1960,0)),"",INDEX('Compliance Database'!$E$2:$E$1960,MATCH(1407,Engine!$C$2:$C$1960,0)))</f>
        <v/>
      </c>
      <c r="F1420" s="8">
        <f>IF(ISNA(MATCH(1407,Engine!$C$2:$C$1960,0)),"",INDEX('Compliance Database'!$F$2:$F$1960,MATCH(1407,Engine!$C$2:$C$1960,0)))</f>
        <v/>
      </c>
      <c r="G1420" s="8">
        <f>IF(ISNA(MATCH(1407,Engine!$C$2:$C$1960,0)),"",INDEX('Compliance Database'!$G$2:$G$1960,MATCH(1407,Engine!$C$2:$C$1960,0)))</f>
        <v/>
      </c>
      <c r="H1420" s="9">
        <f>IF(ISNA(MATCH(1407,Engine!$C$2:$C$1960,0)),"",INDEX('Compliance Database'!$H$2:$H$1960,MATCH(1407,Engine!$C$2:$C$1960,0)))</f>
        <v/>
      </c>
      <c r="I1420" s="9">
        <f>IF(ISNA(MATCH(1407,Engine!$C$2:$C$1960,0)),"",INDEX('Compliance Database'!$I$2:$I$1960,MATCH(1407,Engine!$C$2:$C$1960,0)))</f>
        <v/>
      </c>
      <c r="J1420" s="8">
        <f>IF(ISNA(MATCH(1407,Engine!$C$2:$C$1960,0)),"",INDEX('Compliance Database'!$J$2:$J$1960,MATCH(1407,Engine!$C$2:$C$1960,0)))</f>
        <v/>
      </c>
      <c r="K1420" s="9">
        <f>IF(ISNA(MATCH(1407,Engine!$C$2:$C$1960,0)),"",INDEX('Compliance Database'!$K$2:$K$1960,MATCH(1407,Engine!$C$2:$C$1960,0)))</f>
        <v/>
      </c>
      <c r="L1420" s="9">
        <f>IF(ISNA(MATCH(1407,Engine!$C$2:$C$1960,0)),"",INDEX('Compliance Database'!$L$2:$L$1960,MATCH(1407,Engine!$C$2:$C$1960,0)))</f>
        <v/>
      </c>
      <c r="M1420" s="9">
        <f>IF(ISNA(MATCH(1407,Engine!$C$2:$C$1960,0)),"",INDEX('Compliance Database'!$M$2:$M$1960,MATCH(1407,Engine!$C$2:$C$1960,0)))</f>
        <v/>
      </c>
      <c r="N1420" s="9">
        <f>IF(ISNA(MATCH(1407,Engine!$C$2:$C$1960,0)),"",INDEX('Compliance Database'!$N$2:$N$1960,MATCH(1407,Engine!$C$2:$C$1960,0)))</f>
        <v/>
      </c>
      <c r="O1420" s="9">
        <f>IF(ISNA(MATCH(1407,Engine!$C$2:$C$1960,0)),"",INDEX('Compliance Database'!$O$2:$O$1960,MATCH(1407,Engine!$C$2:$C$1960,0)))</f>
        <v/>
      </c>
      <c r="P1420" s="8">
        <f>IF(ISNA(MATCH(1407,Engine!$C$2:$C$1960,0)),"",HYPERLINK("#Acts!A"&amp;INDEX('Compliance Database'!$P$2:$P$1960,MATCH(1407,Engine!$C$2:$C$1960,0)),"Go to Act"))</f>
        <v/>
      </c>
    </row>
    <row r="1421" ht="158" customHeight="1">
      <c r="A1421" s="8">
        <f>IF(ISNA(MATCH(1408,Engine!$C$2:$C$1960,0)),"",INDEX('Compliance Database'!$A$2:$A$1960,MATCH(1408,Engine!$C$2:$C$1960,0)))</f>
        <v/>
      </c>
      <c r="B1421" s="8">
        <f>IF(ISNA(MATCH(1408,Engine!$C$2:$C$1960,0)),"",INDEX('Compliance Database'!$B$2:$B$1960,MATCH(1408,Engine!$C$2:$C$1960,0)))</f>
        <v/>
      </c>
      <c r="C1421" s="8">
        <f>IF(ISNA(MATCH(1408,Engine!$C$2:$C$1960,0)),"",INDEX('Compliance Database'!$C$2:$C$1960,MATCH(1408,Engine!$C$2:$C$1960,0)))</f>
        <v/>
      </c>
      <c r="D1421" s="9">
        <f>IF(ISNA(MATCH(1408,Engine!$C$2:$C$1960,0)),"",INDEX('Compliance Database'!$D$2:$D$1960,MATCH(1408,Engine!$C$2:$C$1960,0)))</f>
        <v/>
      </c>
      <c r="E1421" s="8">
        <f>IF(ISNA(MATCH(1408,Engine!$C$2:$C$1960,0)),"",INDEX('Compliance Database'!$E$2:$E$1960,MATCH(1408,Engine!$C$2:$C$1960,0)))</f>
        <v/>
      </c>
      <c r="F1421" s="8">
        <f>IF(ISNA(MATCH(1408,Engine!$C$2:$C$1960,0)),"",INDEX('Compliance Database'!$F$2:$F$1960,MATCH(1408,Engine!$C$2:$C$1960,0)))</f>
        <v/>
      </c>
      <c r="G1421" s="8">
        <f>IF(ISNA(MATCH(1408,Engine!$C$2:$C$1960,0)),"",INDEX('Compliance Database'!$G$2:$G$1960,MATCH(1408,Engine!$C$2:$C$1960,0)))</f>
        <v/>
      </c>
      <c r="H1421" s="9">
        <f>IF(ISNA(MATCH(1408,Engine!$C$2:$C$1960,0)),"",INDEX('Compliance Database'!$H$2:$H$1960,MATCH(1408,Engine!$C$2:$C$1960,0)))</f>
        <v/>
      </c>
      <c r="I1421" s="9">
        <f>IF(ISNA(MATCH(1408,Engine!$C$2:$C$1960,0)),"",INDEX('Compliance Database'!$I$2:$I$1960,MATCH(1408,Engine!$C$2:$C$1960,0)))</f>
        <v/>
      </c>
      <c r="J1421" s="8">
        <f>IF(ISNA(MATCH(1408,Engine!$C$2:$C$1960,0)),"",INDEX('Compliance Database'!$J$2:$J$1960,MATCH(1408,Engine!$C$2:$C$1960,0)))</f>
        <v/>
      </c>
      <c r="K1421" s="9">
        <f>IF(ISNA(MATCH(1408,Engine!$C$2:$C$1960,0)),"",INDEX('Compliance Database'!$K$2:$K$1960,MATCH(1408,Engine!$C$2:$C$1960,0)))</f>
        <v/>
      </c>
      <c r="L1421" s="9">
        <f>IF(ISNA(MATCH(1408,Engine!$C$2:$C$1960,0)),"",INDEX('Compliance Database'!$L$2:$L$1960,MATCH(1408,Engine!$C$2:$C$1960,0)))</f>
        <v/>
      </c>
      <c r="M1421" s="9">
        <f>IF(ISNA(MATCH(1408,Engine!$C$2:$C$1960,0)),"",INDEX('Compliance Database'!$M$2:$M$1960,MATCH(1408,Engine!$C$2:$C$1960,0)))</f>
        <v/>
      </c>
      <c r="N1421" s="9">
        <f>IF(ISNA(MATCH(1408,Engine!$C$2:$C$1960,0)),"",INDEX('Compliance Database'!$N$2:$N$1960,MATCH(1408,Engine!$C$2:$C$1960,0)))</f>
        <v/>
      </c>
      <c r="O1421" s="9">
        <f>IF(ISNA(MATCH(1408,Engine!$C$2:$C$1960,0)),"",INDEX('Compliance Database'!$O$2:$O$1960,MATCH(1408,Engine!$C$2:$C$1960,0)))</f>
        <v/>
      </c>
      <c r="P1421" s="8">
        <f>IF(ISNA(MATCH(1408,Engine!$C$2:$C$1960,0)),"",HYPERLINK("#Acts!A"&amp;INDEX('Compliance Database'!$P$2:$P$1960,MATCH(1408,Engine!$C$2:$C$1960,0)),"Go to Act"))</f>
        <v/>
      </c>
    </row>
    <row r="1422" ht="158" customHeight="1">
      <c r="A1422" s="8">
        <f>IF(ISNA(MATCH(1409,Engine!$C$2:$C$1960,0)),"",INDEX('Compliance Database'!$A$2:$A$1960,MATCH(1409,Engine!$C$2:$C$1960,0)))</f>
        <v/>
      </c>
      <c r="B1422" s="8">
        <f>IF(ISNA(MATCH(1409,Engine!$C$2:$C$1960,0)),"",INDEX('Compliance Database'!$B$2:$B$1960,MATCH(1409,Engine!$C$2:$C$1960,0)))</f>
        <v/>
      </c>
      <c r="C1422" s="8">
        <f>IF(ISNA(MATCH(1409,Engine!$C$2:$C$1960,0)),"",INDEX('Compliance Database'!$C$2:$C$1960,MATCH(1409,Engine!$C$2:$C$1960,0)))</f>
        <v/>
      </c>
      <c r="D1422" s="9">
        <f>IF(ISNA(MATCH(1409,Engine!$C$2:$C$1960,0)),"",INDEX('Compliance Database'!$D$2:$D$1960,MATCH(1409,Engine!$C$2:$C$1960,0)))</f>
        <v/>
      </c>
      <c r="E1422" s="8">
        <f>IF(ISNA(MATCH(1409,Engine!$C$2:$C$1960,0)),"",INDEX('Compliance Database'!$E$2:$E$1960,MATCH(1409,Engine!$C$2:$C$1960,0)))</f>
        <v/>
      </c>
      <c r="F1422" s="8">
        <f>IF(ISNA(MATCH(1409,Engine!$C$2:$C$1960,0)),"",INDEX('Compliance Database'!$F$2:$F$1960,MATCH(1409,Engine!$C$2:$C$1960,0)))</f>
        <v/>
      </c>
      <c r="G1422" s="8">
        <f>IF(ISNA(MATCH(1409,Engine!$C$2:$C$1960,0)),"",INDEX('Compliance Database'!$G$2:$G$1960,MATCH(1409,Engine!$C$2:$C$1960,0)))</f>
        <v/>
      </c>
      <c r="H1422" s="9">
        <f>IF(ISNA(MATCH(1409,Engine!$C$2:$C$1960,0)),"",INDEX('Compliance Database'!$H$2:$H$1960,MATCH(1409,Engine!$C$2:$C$1960,0)))</f>
        <v/>
      </c>
      <c r="I1422" s="9">
        <f>IF(ISNA(MATCH(1409,Engine!$C$2:$C$1960,0)),"",INDEX('Compliance Database'!$I$2:$I$1960,MATCH(1409,Engine!$C$2:$C$1960,0)))</f>
        <v/>
      </c>
      <c r="J1422" s="8">
        <f>IF(ISNA(MATCH(1409,Engine!$C$2:$C$1960,0)),"",INDEX('Compliance Database'!$J$2:$J$1960,MATCH(1409,Engine!$C$2:$C$1960,0)))</f>
        <v/>
      </c>
      <c r="K1422" s="9">
        <f>IF(ISNA(MATCH(1409,Engine!$C$2:$C$1960,0)),"",INDEX('Compliance Database'!$K$2:$K$1960,MATCH(1409,Engine!$C$2:$C$1960,0)))</f>
        <v/>
      </c>
      <c r="L1422" s="9">
        <f>IF(ISNA(MATCH(1409,Engine!$C$2:$C$1960,0)),"",INDEX('Compliance Database'!$L$2:$L$1960,MATCH(1409,Engine!$C$2:$C$1960,0)))</f>
        <v/>
      </c>
      <c r="M1422" s="9">
        <f>IF(ISNA(MATCH(1409,Engine!$C$2:$C$1960,0)),"",INDEX('Compliance Database'!$M$2:$M$1960,MATCH(1409,Engine!$C$2:$C$1960,0)))</f>
        <v/>
      </c>
      <c r="N1422" s="9">
        <f>IF(ISNA(MATCH(1409,Engine!$C$2:$C$1960,0)),"",INDEX('Compliance Database'!$N$2:$N$1960,MATCH(1409,Engine!$C$2:$C$1960,0)))</f>
        <v/>
      </c>
      <c r="O1422" s="9">
        <f>IF(ISNA(MATCH(1409,Engine!$C$2:$C$1960,0)),"",INDEX('Compliance Database'!$O$2:$O$1960,MATCH(1409,Engine!$C$2:$C$1960,0)))</f>
        <v/>
      </c>
      <c r="P1422" s="8">
        <f>IF(ISNA(MATCH(1409,Engine!$C$2:$C$1960,0)),"",HYPERLINK("#Acts!A"&amp;INDEX('Compliance Database'!$P$2:$P$1960,MATCH(1409,Engine!$C$2:$C$1960,0)),"Go to Act"))</f>
        <v/>
      </c>
    </row>
    <row r="1423" ht="158" customHeight="1">
      <c r="A1423" s="8">
        <f>IF(ISNA(MATCH(1410,Engine!$C$2:$C$1960,0)),"",INDEX('Compliance Database'!$A$2:$A$1960,MATCH(1410,Engine!$C$2:$C$1960,0)))</f>
        <v/>
      </c>
      <c r="B1423" s="8">
        <f>IF(ISNA(MATCH(1410,Engine!$C$2:$C$1960,0)),"",INDEX('Compliance Database'!$B$2:$B$1960,MATCH(1410,Engine!$C$2:$C$1960,0)))</f>
        <v/>
      </c>
      <c r="C1423" s="8">
        <f>IF(ISNA(MATCH(1410,Engine!$C$2:$C$1960,0)),"",INDEX('Compliance Database'!$C$2:$C$1960,MATCH(1410,Engine!$C$2:$C$1960,0)))</f>
        <v/>
      </c>
      <c r="D1423" s="9">
        <f>IF(ISNA(MATCH(1410,Engine!$C$2:$C$1960,0)),"",INDEX('Compliance Database'!$D$2:$D$1960,MATCH(1410,Engine!$C$2:$C$1960,0)))</f>
        <v/>
      </c>
      <c r="E1423" s="8">
        <f>IF(ISNA(MATCH(1410,Engine!$C$2:$C$1960,0)),"",INDEX('Compliance Database'!$E$2:$E$1960,MATCH(1410,Engine!$C$2:$C$1960,0)))</f>
        <v/>
      </c>
      <c r="F1423" s="8">
        <f>IF(ISNA(MATCH(1410,Engine!$C$2:$C$1960,0)),"",INDEX('Compliance Database'!$F$2:$F$1960,MATCH(1410,Engine!$C$2:$C$1960,0)))</f>
        <v/>
      </c>
      <c r="G1423" s="8">
        <f>IF(ISNA(MATCH(1410,Engine!$C$2:$C$1960,0)),"",INDEX('Compliance Database'!$G$2:$G$1960,MATCH(1410,Engine!$C$2:$C$1960,0)))</f>
        <v/>
      </c>
      <c r="H1423" s="9">
        <f>IF(ISNA(MATCH(1410,Engine!$C$2:$C$1960,0)),"",INDEX('Compliance Database'!$H$2:$H$1960,MATCH(1410,Engine!$C$2:$C$1960,0)))</f>
        <v/>
      </c>
      <c r="I1423" s="9">
        <f>IF(ISNA(MATCH(1410,Engine!$C$2:$C$1960,0)),"",INDEX('Compliance Database'!$I$2:$I$1960,MATCH(1410,Engine!$C$2:$C$1960,0)))</f>
        <v/>
      </c>
      <c r="J1423" s="8">
        <f>IF(ISNA(MATCH(1410,Engine!$C$2:$C$1960,0)),"",INDEX('Compliance Database'!$J$2:$J$1960,MATCH(1410,Engine!$C$2:$C$1960,0)))</f>
        <v/>
      </c>
      <c r="K1423" s="9">
        <f>IF(ISNA(MATCH(1410,Engine!$C$2:$C$1960,0)),"",INDEX('Compliance Database'!$K$2:$K$1960,MATCH(1410,Engine!$C$2:$C$1960,0)))</f>
        <v/>
      </c>
      <c r="L1423" s="9">
        <f>IF(ISNA(MATCH(1410,Engine!$C$2:$C$1960,0)),"",INDEX('Compliance Database'!$L$2:$L$1960,MATCH(1410,Engine!$C$2:$C$1960,0)))</f>
        <v/>
      </c>
      <c r="M1423" s="9">
        <f>IF(ISNA(MATCH(1410,Engine!$C$2:$C$1960,0)),"",INDEX('Compliance Database'!$M$2:$M$1960,MATCH(1410,Engine!$C$2:$C$1960,0)))</f>
        <v/>
      </c>
      <c r="N1423" s="9">
        <f>IF(ISNA(MATCH(1410,Engine!$C$2:$C$1960,0)),"",INDEX('Compliance Database'!$N$2:$N$1960,MATCH(1410,Engine!$C$2:$C$1960,0)))</f>
        <v/>
      </c>
      <c r="O1423" s="9">
        <f>IF(ISNA(MATCH(1410,Engine!$C$2:$C$1960,0)),"",INDEX('Compliance Database'!$O$2:$O$1960,MATCH(1410,Engine!$C$2:$C$1960,0)))</f>
        <v/>
      </c>
      <c r="P1423" s="8">
        <f>IF(ISNA(MATCH(1410,Engine!$C$2:$C$1960,0)),"",HYPERLINK("#Acts!A"&amp;INDEX('Compliance Database'!$P$2:$P$1960,MATCH(1410,Engine!$C$2:$C$1960,0)),"Go to Act"))</f>
        <v/>
      </c>
    </row>
    <row r="1424" ht="158" customHeight="1">
      <c r="A1424" s="8">
        <f>IF(ISNA(MATCH(1411,Engine!$C$2:$C$1960,0)),"",INDEX('Compliance Database'!$A$2:$A$1960,MATCH(1411,Engine!$C$2:$C$1960,0)))</f>
        <v/>
      </c>
      <c r="B1424" s="8">
        <f>IF(ISNA(MATCH(1411,Engine!$C$2:$C$1960,0)),"",INDEX('Compliance Database'!$B$2:$B$1960,MATCH(1411,Engine!$C$2:$C$1960,0)))</f>
        <v/>
      </c>
      <c r="C1424" s="8">
        <f>IF(ISNA(MATCH(1411,Engine!$C$2:$C$1960,0)),"",INDEX('Compliance Database'!$C$2:$C$1960,MATCH(1411,Engine!$C$2:$C$1960,0)))</f>
        <v/>
      </c>
      <c r="D1424" s="9">
        <f>IF(ISNA(MATCH(1411,Engine!$C$2:$C$1960,0)),"",INDEX('Compliance Database'!$D$2:$D$1960,MATCH(1411,Engine!$C$2:$C$1960,0)))</f>
        <v/>
      </c>
      <c r="E1424" s="8">
        <f>IF(ISNA(MATCH(1411,Engine!$C$2:$C$1960,0)),"",INDEX('Compliance Database'!$E$2:$E$1960,MATCH(1411,Engine!$C$2:$C$1960,0)))</f>
        <v/>
      </c>
      <c r="F1424" s="8">
        <f>IF(ISNA(MATCH(1411,Engine!$C$2:$C$1960,0)),"",INDEX('Compliance Database'!$F$2:$F$1960,MATCH(1411,Engine!$C$2:$C$1960,0)))</f>
        <v/>
      </c>
      <c r="G1424" s="8">
        <f>IF(ISNA(MATCH(1411,Engine!$C$2:$C$1960,0)),"",INDEX('Compliance Database'!$G$2:$G$1960,MATCH(1411,Engine!$C$2:$C$1960,0)))</f>
        <v/>
      </c>
      <c r="H1424" s="9">
        <f>IF(ISNA(MATCH(1411,Engine!$C$2:$C$1960,0)),"",INDEX('Compliance Database'!$H$2:$H$1960,MATCH(1411,Engine!$C$2:$C$1960,0)))</f>
        <v/>
      </c>
      <c r="I1424" s="9">
        <f>IF(ISNA(MATCH(1411,Engine!$C$2:$C$1960,0)),"",INDEX('Compliance Database'!$I$2:$I$1960,MATCH(1411,Engine!$C$2:$C$1960,0)))</f>
        <v/>
      </c>
      <c r="J1424" s="8">
        <f>IF(ISNA(MATCH(1411,Engine!$C$2:$C$1960,0)),"",INDEX('Compliance Database'!$J$2:$J$1960,MATCH(1411,Engine!$C$2:$C$1960,0)))</f>
        <v/>
      </c>
      <c r="K1424" s="9">
        <f>IF(ISNA(MATCH(1411,Engine!$C$2:$C$1960,0)),"",INDEX('Compliance Database'!$K$2:$K$1960,MATCH(1411,Engine!$C$2:$C$1960,0)))</f>
        <v/>
      </c>
      <c r="L1424" s="9">
        <f>IF(ISNA(MATCH(1411,Engine!$C$2:$C$1960,0)),"",INDEX('Compliance Database'!$L$2:$L$1960,MATCH(1411,Engine!$C$2:$C$1960,0)))</f>
        <v/>
      </c>
      <c r="M1424" s="9">
        <f>IF(ISNA(MATCH(1411,Engine!$C$2:$C$1960,0)),"",INDEX('Compliance Database'!$M$2:$M$1960,MATCH(1411,Engine!$C$2:$C$1960,0)))</f>
        <v/>
      </c>
      <c r="N1424" s="9">
        <f>IF(ISNA(MATCH(1411,Engine!$C$2:$C$1960,0)),"",INDEX('Compliance Database'!$N$2:$N$1960,MATCH(1411,Engine!$C$2:$C$1960,0)))</f>
        <v/>
      </c>
      <c r="O1424" s="9">
        <f>IF(ISNA(MATCH(1411,Engine!$C$2:$C$1960,0)),"",INDEX('Compliance Database'!$O$2:$O$1960,MATCH(1411,Engine!$C$2:$C$1960,0)))</f>
        <v/>
      </c>
      <c r="P1424" s="8">
        <f>IF(ISNA(MATCH(1411,Engine!$C$2:$C$1960,0)),"",HYPERLINK("#Acts!A"&amp;INDEX('Compliance Database'!$P$2:$P$1960,MATCH(1411,Engine!$C$2:$C$1960,0)),"Go to Act"))</f>
        <v/>
      </c>
    </row>
    <row r="1425" ht="158" customHeight="1">
      <c r="A1425" s="8">
        <f>IF(ISNA(MATCH(1412,Engine!$C$2:$C$1960,0)),"",INDEX('Compliance Database'!$A$2:$A$1960,MATCH(1412,Engine!$C$2:$C$1960,0)))</f>
        <v/>
      </c>
      <c r="B1425" s="8">
        <f>IF(ISNA(MATCH(1412,Engine!$C$2:$C$1960,0)),"",INDEX('Compliance Database'!$B$2:$B$1960,MATCH(1412,Engine!$C$2:$C$1960,0)))</f>
        <v/>
      </c>
      <c r="C1425" s="8">
        <f>IF(ISNA(MATCH(1412,Engine!$C$2:$C$1960,0)),"",INDEX('Compliance Database'!$C$2:$C$1960,MATCH(1412,Engine!$C$2:$C$1960,0)))</f>
        <v/>
      </c>
      <c r="D1425" s="9">
        <f>IF(ISNA(MATCH(1412,Engine!$C$2:$C$1960,0)),"",INDEX('Compliance Database'!$D$2:$D$1960,MATCH(1412,Engine!$C$2:$C$1960,0)))</f>
        <v/>
      </c>
      <c r="E1425" s="8">
        <f>IF(ISNA(MATCH(1412,Engine!$C$2:$C$1960,0)),"",INDEX('Compliance Database'!$E$2:$E$1960,MATCH(1412,Engine!$C$2:$C$1960,0)))</f>
        <v/>
      </c>
      <c r="F1425" s="8">
        <f>IF(ISNA(MATCH(1412,Engine!$C$2:$C$1960,0)),"",INDEX('Compliance Database'!$F$2:$F$1960,MATCH(1412,Engine!$C$2:$C$1960,0)))</f>
        <v/>
      </c>
      <c r="G1425" s="8">
        <f>IF(ISNA(MATCH(1412,Engine!$C$2:$C$1960,0)),"",INDEX('Compliance Database'!$G$2:$G$1960,MATCH(1412,Engine!$C$2:$C$1960,0)))</f>
        <v/>
      </c>
      <c r="H1425" s="9">
        <f>IF(ISNA(MATCH(1412,Engine!$C$2:$C$1960,0)),"",INDEX('Compliance Database'!$H$2:$H$1960,MATCH(1412,Engine!$C$2:$C$1960,0)))</f>
        <v/>
      </c>
      <c r="I1425" s="9">
        <f>IF(ISNA(MATCH(1412,Engine!$C$2:$C$1960,0)),"",INDEX('Compliance Database'!$I$2:$I$1960,MATCH(1412,Engine!$C$2:$C$1960,0)))</f>
        <v/>
      </c>
      <c r="J1425" s="8">
        <f>IF(ISNA(MATCH(1412,Engine!$C$2:$C$1960,0)),"",INDEX('Compliance Database'!$J$2:$J$1960,MATCH(1412,Engine!$C$2:$C$1960,0)))</f>
        <v/>
      </c>
      <c r="K1425" s="9">
        <f>IF(ISNA(MATCH(1412,Engine!$C$2:$C$1960,0)),"",INDEX('Compliance Database'!$K$2:$K$1960,MATCH(1412,Engine!$C$2:$C$1960,0)))</f>
        <v/>
      </c>
      <c r="L1425" s="9">
        <f>IF(ISNA(MATCH(1412,Engine!$C$2:$C$1960,0)),"",INDEX('Compliance Database'!$L$2:$L$1960,MATCH(1412,Engine!$C$2:$C$1960,0)))</f>
        <v/>
      </c>
      <c r="M1425" s="9">
        <f>IF(ISNA(MATCH(1412,Engine!$C$2:$C$1960,0)),"",INDEX('Compliance Database'!$M$2:$M$1960,MATCH(1412,Engine!$C$2:$C$1960,0)))</f>
        <v/>
      </c>
      <c r="N1425" s="9">
        <f>IF(ISNA(MATCH(1412,Engine!$C$2:$C$1960,0)),"",INDEX('Compliance Database'!$N$2:$N$1960,MATCH(1412,Engine!$C$2:$C$1960,0)))</f>
        <v/>
      </c>
      <c r="O1425" s="9">
        <f>IF(ISNA(MATCH(1412,Engine!$C$2:$C$1960,0)),"",INDEX('Compliance Database'!$O$2:$O$1960,MATCH(1412,Engine!$C$2:$C$1960,0)))</f>
        <v/>
      </c>
      <c r="P1425" s="8">
        <f>IF(ISNA(MATCH(1412,Engine!$C$2:$C$1960,0)),"",HYPERLINK("#Acts!A"&amp;INDEX('Compliance Database'!$P$2:$P$1960,MATCH(1412,Engine!$C$2:$C$1960,0)),"Go to Act"))</f>
        <v/>
      </c>
    </row>
    <row r="1426" ht="158" customHeight="1">
      <c r="A1426" s="8">
        <f>IF(ISNA(MATCH(1413,Engine!$C$2:$C$1960,0)),"",INDEX('Compliance Database'!$A$2:$A$1960,MATCH(1413,Engine!$C$2:$C$1960,0)))</f>
        <v/>
      </c>
      <c r="B1426" s="8">
        <f>IF(ISNA(MATCH(1413,Engine!$C$2:$C$1960,0)),"",INDEX('Compliance Database'!$B$2:$B$1960,MATCH(1413,Engine!$C$2:$C$1960,0)))</f>
        <v/>
      </c>
      <c r="C1426" s="8">
        <f>IF(ISNA(MATCH(1413,Engine!$C$2:$C$1960,0)),"",INDEX('Compliance Database'!$C$2:$C$1960,MATCH(1413,Engine!$C$2:$C$1960,0)))</f>
        <v/>
      </c>
      <c r="D1426" s="9">
        <f>IF(ISNA(MATCH(1413,Engine!$C$2:$C$1960,0)),"",INDEX('Compliance Database'!$D$2:$D$1960,MATCH(1413,Engine!$C$2:$C$1960,0)))</f>
        <v/>
      </c>
      <c r="E1426" s="8">
        <f>IF(ISNA(MATCH(1413,Engine!$C$2:$C$1960,0)),"",INDEX('Compliance Database'!$E$2:$E$1960,MATCH(1413,Engine!$C$2:$C$1960,0)))</f>
        <v/>
      </c>
      <c r="F1426" s="8">
        <f>IF(ISNA(MATCH(1413,Engine!$C$2:$C$1960,0)),"",INDEX('Compliance Database'!$F$2:$F$1960,MATCH(1413,Engine!$C$2:$C$1960,0)))</f>
        <v/>
      </c>
      <c r="G1426" s="8">
        <f>IF(ISNA(MATCH(1413,Engine!$C$2:$C$1960,0)),"",INDEX('Compliance Database'!$G$2:$G$1960,MATCH(1413,Engine!$C$2:$C$1960,0)))</f>
        <v/>
      </c>
      <c r="H1426" s="9">
        <f>IF(ISNA(MATCH(1413,Engine!$C$2:$C$1960,0)),"",INDEX('Compliance Database'!$H$2:$H$1960,MATCH(1413,Engine!$C$2:$C$1960,0)))</f>
        <v/>
      </c>
      <c r="I1426" s="9">
        <f>IF(ISNA(MATCH(1413,Engine!$C$2:$C$1960,0)),"",INDEX('Compliance Database'!$I$2:$I$1960,MATCH(1413,Engine!$C$2:$C$1960,0)))</f>
        <v/>
      </c>
      <c r="J1426" s="8">
        <f>IF(ISNA(MATCH(1413,Engine!$C$2:$C$1960,0)),"",INDEX('Compliance Database'!$J$2:$J$1960,MATCH(1413,Engine!$C$2:$C$1960,0)))</f>
        <v/>
      </c>
      <c r="K1426" s="9">
        <f>IF(ISNA(MATCH(1413,Engine!$C$2:$C$1960,0)),"",INDEX('Compliance Database'!$K$2:$K$1960,MATCH(1413,Engine!$C$2:$C$1960,0)))</f>
        <v/>
      </c>
      <c r="L1426" s="9">
        <f>IF(ISNA(MATCH(1413,Engine!$C$2:$C$1960,0)),"",INDEX('Compliance Database'!$L$2:$L$1960,MATCH(1413,Engine!$C$2:$C$1960,0)))</f>
        <v/>
      </c>
      <c r="M1426" s="9">
        <f>IF(ISNA(MATCH(1413,Engine!$C$2:$C$1960,0)),"",INDEX('Compliance Database'!$M$2:$M$1960,MATCH(1413,Engine!$C$2:$C$1960,0)))</f>
        <v/>
      </c>
      <c r="N1426" s="9">
        <f>IF(ISNA(MATCH(1413,Engine!$C$2:$C$1960,0)),"",INDEX('Compliance Database'!$N$2:$N$1960,MATCH(1413,Engine!$C$2:$C$1960,0)))</f>
        <v/>
      </c>
      <c r="O1426" s="9">
        <f>IF(ISNA(MATCH(1413,Engine!$C$2:$C$1960,0)),"",INDEX('Compliance Database'!$O$2:$O$1960,MATCH(1413,Engine!$C$2:$C$1960,0)))</f>
        <v/>
      </c>
      <c r="P1426" s="8">
        <f>IF(ISNA(MATCH(1413,Engine!$C$2:$C$1960,0)),"",HYPERLINK("#Acts!A"&amp;INDEX('Compliance Database'!$P$2:$P$1960,MATCH(1413,Engine!$C$2:$C$1960,0)),"Go to Act"))</f>
        <v/>
      </c>
    </row>
    <row r="1427" ht="158" customHeight="1">
      <c r="A1427" s="8">
        <f>IF(ISNA(MATCH(1414,Engine!$C$2:$C$1960,0)),"",INDEX('Compliance Database'!$A$2:$A$1960,MATCH(1414,Engine!$C$2:$C$1960,0)))</f>
        <v/>
      </c>
      <c r="B1427" s="8">
        <f>IF(ISNA(MATCH(1414,Engine!$C$2:$C$1960,0)),"",INDEX('Compliance Database'!$B$2:$B$1960,MATCH(1414,Engine!$C$2:$C$1960,0)))</f>
        <v/>
      </c>
      <c r="C1427" s="8">
        <f>IF(ISNA(MATCH(1414,Engine!$C$2:$C$1960,0)),"",INDEX('Compliance Database'!$C$2:$C$1960,MATCH(1414,Engine!$C$2:$C$1960,0)))</f>
        <v/>
      </c>
      <c r="D1427" s="9">
        <f>IF(ISNA(MATCH(1414,Engine!$C$2:$C$1960,0)),"",INDEX('Compliance Database'!$D$2:$D$1960,MATCH(1414,Engine!$C$2:$C$1960,0)))</f>
        <v/>
      </c>
      <c r="E1427" s="8">
        <f>IF(ISNA(MATCH(1414,Engine!$C$2:$C$1960,0)),"",INDEX('Compliance Database'!$E$2:$E$1960,MATCH(1414,Engine!$C$2:$C$1960,0)))</f>
        <v/>
      </c>
      <c r="F1427" s="8">
        <f>IF(ISNA(MATCH(1414,Engine!$C$2:$C$1960,0)),"",INDEX('Compliance Database'!$F$2:$F$1960,MATCH(1414,Engine!$C$2:$C$1960,0)))</f>
        <v/>
      </c>
      <c r="G1427" s="8">
        <f>IF(ISNA(MATCH(1414,Engine!$C$2:$C$1960,0)),"",INDEX('Compliance Database'!$G$2:$G$1960,MATCH(1414,Engine!$C$2:$C$1960,0)))</f>
        <v/>
      </c>
      <c r="H1427" s="9">
        <f>IF(ISNA(MATCH(1414,Engine!$C$2:$C$1960,0)),"",INDEX('Compliance Database'!$H$2:$H$1960,MATCH(1414,Engine!$C$2:$C$1960,0)))</f>
        <v/>
      </c>
      <c r="I1427" s="9">
        <f>IF(ISNA(MATCH(1414,Engine!$C$2:$C$1960,0)),"",INDEX('Compliance Database'!$I$2:$I$1960,MATCH(1414,Engine!$C$2:$C$1960,0)))</f>
        <v/>
      </c>
      <c r="J1427" s="8">
        <f>IF(ISNA(MATCH(1414,Engine!$C$2:$C$1960,0)),"",INDEX('Compliance Database'!$J$2:$J$1960,MATCH(1414,Engine!$C$2:$C$1960,0)))</f>
        <v/>
      </c>
      <c r="K1427" s="9">
        <f>IF(ISNA(MATCH(1414,Engine!$C$2:$C$1960,0)),"",INDEX('Compliance Database'!$K$2:$K$1960,MATCH(1414,Engine!$C$2:$C$1960,0)))</f>
        <v/>
      </c>
      <c r="L1427" s="9">
        <f>IF(ISNA(MATCH(1414,Engine!$C$2:$C$1960,0)),"",INDEX('Compliance Database'!$L$2:$L$1960,MATCH(1414,Engine!$C$2:$C$1960,0)))</f>
        <v/>
      </c>
      <c r="M1427" s="9">
        <f>IF(ISNA(MATCH(1414,Engine!$C$2:$C$1960,0)),"",INDEX('Compliance Database'!$M$2:$M$1960,MATCH(1414,Engine!$C$2:$C$1960,0)))</f>
        <v/>
      </c>
      <c r="N1427" s="9">
        <f>IF(ISNA(MATCH(1414,Engine!$C$2:$C$1960,0)),"",INDEX('Compliance Database'!$N$2:$N$1960,MATCH(1414,Engine!$C$2:$C$1960,0)))</f>
        <v/>
      </c>
      <c r="O1427" s="9">
        <f>IF(ISNA(MATCH(1414,Engine!$C$2:$C$1960,0)),"",INDEX('Compliance Database'!$O$2:$O$1960,MATCH(1414,Engine!$C$2:$C$1960,0)))</f>
        <v/>
      </c>
      <c r="P1427" s="8">
        <f>IF(ISNA(MATCH(1414,Engine!$C$2:$C$1960,0)),"",HYPERLINK("#Acts!A"&amp;INDEX('Compliance Database'!$P$2:$P$1960,MATCH(1414,Engine!$C$2:$C$1960,0)),"Go to Act"))</f>
        <v/>
      </c>
    </row>
    <row r="1428" ht="158" customHeight="1">
      <c r="A1428" s="8">
        <f>IF(ISNA(MATCH(1415,Engine!$C$2:$C$1960,0)),"",INDEX('Compliance Database'!$A$2:$A$1960,MATCH(1415,Engine!$C$2:$C$1960,0)))</f>
        <v/>
      </c>
      <c r="B1428" s="8">
        <f>IF(ISNA(MATCH(1415,Engine!$C$2:$C$1960,0)),"",INDEX('Compliance Database'!$B$2:$B$1960,MATCH(1415,Engine!$C$2:$C$1960,0)))</f>
        <v/>
      </c>
      <c r="C1428" s="8">
        <f>IF(ISNA(MATCH(1415,Engine!$C$2:$C$1960,0)),"",INDEX('Compliance Database'!$C$2:$C$1960,MATCH(1415,Engine!$C$2:$C$1960,0)))</f>
        <v/>
      </c>
      <c r="D1428" s="9">
        <f>IF(ISNA(MATCH(1415,Engine!$C$2:$C$1960,0)),"",INDEX('Compliance Database'!$D$2:$D$1960,MATCH(1415,Engine!$C$2:$C$1960,0)))</f>
        <v/>
      </c>
      <c r="E1428" s="8">
        <f>IF(ISNA(MATCH(1415,Engine!$C$2:$C$1960,0)),"",INDEX('Compliance Database'!$E$2:$E$1960,MATCH(1415,Engine!$C$2:$C$1960,0)))</f>
        <v/>
      </c>
      <c r="F1428" s="8">
        <f>IF(ISNA(MATCH(1415,Engine!$C$2:$C$1960,0)),"",INDEX('Compliance Database'!$F$2:$F$1960,MATCH(1415,Engine!$C$2:$C$1960,0)))</f>
        <v/>
      </c>
      <c r="G1428" s="8">
        <f>IF(ISNA(MATCH(1415,Engine!$C$2:$C$1960,0)),"",INDEX('Compliance Database'!$G$2:$G$1960,MATCH(1415,Engine!$C$2:$C$1960,0)))</f>
        <v/>
      </c>
      <c r="H1428" s="9">
        <f>IF(ISNA(MATCH(1415,Engine!$C$2:$C$1960,0)),"",INDEX('Compliance Database'!$H$2:$H$1960,MATCH(1415,Engine!$C$2:$C$1960,0)))</f>
        <v/>
      </c>
      <c r="I1428" s="9">
        <f>IF(ISNA(MATCH(1415,Engine!$C$2:$C$1960,0)),"",INDEX('Compliance Database'!$I$2:$I$1960,MATCH(1415,Engine!$C$2:$C$1960,0)))</f>
        <v/>
      </c>
      <c r="J1428" s="8">
        <f>IF(ISNA(MATCH(1415,Engine!$C$2:$C$1960,0)),"",INDEX('Compliance Database'!$J$2:$J$1960,MATCH(1415,Engine!$C$2:$C$1960,0)))</f>
        <v/>
      </c>
      <c r="K1428" s="9">
        <f>IF(ISNA(MATCH(1415,Engine!$C$2:$C$1960,0)),"",INDEX('Compliance Database'!$K$2:$K$1960,MATCH(1415,Engine!$C$2:$C$1960,0)))</f>
        <v/>
      </c>
      <c r="L1428" s="9">
        <f>IF(ISNA(MATCH(1415,Engine!$C$2:$C$1960,0)),"",INDEX('Compliance Database'!$L$2:$L$1960,MATCH(1415,Engine!$C$2:$C$1960,0)))</f>
        <v/>
      </c>
      <c r="M1428" s="9">
        <f>IF(ISNA(MATCH(1415,Engine!$C$2:$C$1960,0)),"",INDEX('Compliance Database'!$M$2:$M$1960,MATCH(1415,Engine!$C$2:$C$1960,0)))</f>
        <v/>
      </c>
      <c r="N1428" s="9">
        <f>IF(ISNA(MATCH(1415,Engine!$C$2:$C$1960,0)),"",INDEX('Compliance Database'!$N$2:$N$1960,MATCH(1415,Engine!$C$2:$C$1960,0)))</f>
        <v/>
      </c>
      <c r="O1428" s="9">
        <f>IF(ISNA(MATCH(1415,Engine!$C$2:$C$1960,0)),"",INDEX('Compliance Database'!$O$2:$O$1960,MATCH(1415,Engine!$C$2:$C$1960,0)))</f>
        <v/>
      </c>
      <c r="P1428" s="8">
        <f>IF(ISNA(MATCH(1415,Engine!$C$2:$C$1960,0)),"",HYPERLINK("#Acts!A"&amp;INDEX('Compliance Database'!$P$2:$P$1960,MATCH(1415,Engine!$C$2:$C$1960,0)),"Go to Act"))</f>
        <v/>
      </c>
    </row>
    <row r="1429" ht="158" customHeight="1">
      <c r="A1429" s="8">
        <f>IF(ISNA(MATCH(1416,Engine!$C$2:$C$1960,0)),"",INDEX('Compliance Database'!$A$2:$A$1960,MATCH(1416,Engine!$C$2:$C$1960,0)))</f>
        <v/>
      </c>
      <c r="B1429" s="8">
        <f>IF(ISNA(MATCH(1416,Engine!$C$2:$C$1960,0)),"",INDEX('Compliance Database'!$B$2:$B$1960,MATCH(1416,Engine!$C$2:$C$1960,0)))</f>
        <v/>
      </c>
      <c r="C1429" s="8">
        <f>IF(ISNA(MATCH(1416,Engine!$C$2:$C$1960,0)),"",INDEX('Compliance Database'!$C$2:$C$1960,MATCH(1416,Engine!$C$2:$C$1960,0)))</f>
        <v/>
      </c>
      <c r="D1429" s="9">
        <f>IF(ISNA(MATCH(1416,Engine!$C$2:$C$1960,0)),"",INDEX('Compliance Database'!$D$2:$D$1960,MATCH(1416,Engine!$C$2:$C$1960,0)))</f>
        <v/>
      </c>
      <c r="E1429" s="8">
        <f>IF(ISNA(MATCH(1416,Engine!$C$2:$C$1960,0)),"",INDEX('Compliance Database'!$E$2:$E$1960,MATCH(1416,Engine!$C$2:$C$1960,0)))</f>
        <v/>
      </c>
      <c r="F1429" s="8">
        <f>IF(ISNA(MATCH(1416,Engine!$C$2:$C$1960,0)),"",INDEX('Compliance Database'!$F$2:$F$1960,MATCH(1416,Engine!$C$2:$C$1960,0)))</f>
        <v/>
      </c>
      <c r="G1429" s="8">
        <f>IF(ISNA(MATCH(1416,Engine!$C$2:$C$1960,0)),"",INDEX('Compliance Database'!$G$2:$G$1960,MATCH(1416,Engine!$C$2:$C$1960,0)))</f>
        <v/>
      </c>
      <c r="H1429" s="9">
        <f>IF(ISNA(MATCH(1416,Engine!$C$2:$C$1960,0)),"",INDEX('Compliance Database'!$H$2:$H$1960,MATCH(1416,Engine!$C$2:$C$1960,0)))</f>
        <v/>
      </c>
      <c r="I1429" s="9">
        <f>IF(ISNA(MATCH(1416,Engine!$C$2:$C$1960,0)),"",INDEX('Compliance Database'!$I$2:$I$1960,MATCH(1416,Engine!$C$2:$C$1960,0)))</f>
        <v/>
      </c>
      <c r="J1429" s="8">
        <f>IF(ISNA(MATCH(1416,Engine!$C$2:$C$1960,0)),"",INDEX('Compliance Database'!$J$2:$J$1960,MATCH(1416,Engine!$C$2:$C$1960,0)))</f>
        <v/>
      </c>
      <c r="K1429" s="9">
        <f>IF(ISNA(MATCH(1416,Engine!$C$2:$C$1960,0)),"",INDEX('Compliance Database'!$K$2:$K$1960,MATCH(1416,Engine!$C$2:$C$1960,0)))</f>
        <v/>
      </c>
      <c r="L1429" s="9">
        <f>IF(ISNA(MATCH(1416,Engine!$C$2:$C$1960,0)),"",INDEX('Compliance Database'!$L$2:$L$1960,MATCH(1416,Engine!$C$2:$C$1960,0)))</f>
        <v/>
      </c>
      <c r="M1429" s="9">
        <f>IF(ISNA(MATCH(1416,Engine!$C$2:$C$1960,0)),"",INDEX('Compliance Database'!$M$2:$M$1960,MATCH(1416,Engine!$C$2:$C$1960,0)))</f>
        <v/>
      </c>
      <c r="N1429" s="9">
        <f>IF(ISNA(MATCH(1416,Engine!$C$2:$C$1960,0)),"",INDEX('Compliance Database'!$N$2:$N$1960,MATCH(1416,Engine!$C$2:$C$1960,0)))</f>
        <v/>
      </c>
      <c r="O1429" s="9">
        <f>IF(ISNA(MATCH(1416,Engine!$C$2:$C$1960,0)),"",INDEX('Compliance Database'!$O$2:$O$1960,MATCH(1416,Engine!$C$2:$C$1960,0)))</f>
        <v/>
      </c>
      <c r="P1429" s="8">
        <f>IF(ISNA(MATCH(1416,Engine!$C$2:$C$1960,0)),"",HYPERLINK("#Acts!A"&amp;INDEX('Compliance Database'!$P$2:$P$1960,MATCH(1416,Engine!$C$2:$C$1960,0)),"Go to Act"))</f>
        <v/>
      </c>
    </row>
    <row r="1430" ht="158" customHeight="1">
      <c r="A1430" s="8">
        <f>IF(ISNA(MATCH(1417,Engine!$C$2:$C$1960,0)),"",INDEX('Compliance Database'!$A$2:$A$1960,MATCH(1417,Engine!$C$2:$C$1960,0)))</f>
        <v/>
      </c>
      <c r="B1430" s="8">
        <f>IF(ISNA(MATCH(1417,Engine!$C$2:$C$1960,0)),"",INDEX('Compliance Database'!$B$2:$B$1960,MATCH(1417,Engine!$C$2:$C$1960,0)))</f>
        <v/>
      </c>
      <c r="C1430" s="8">
        <f>IF(ISNA(MATCH(1417,Engine!$C$2:$C$1960,0)),"",INDEX('Compliance Database'!$C$2:$C$1960,MATCH(1417,Engine!$C$2:$C$1960,0)))</f>
        <v/>
      </c>
      <c r="D1430" s="9">
        <f>IF(ISNA(MATCH(1417,Engine!$C$2:$C$1960,0)),"",INDEX('Compliance Database'!$D$2:$D$1960,MATCH(1417,Engine!$C$2:$C$1960,0)))</f>
        <v/>
      </c>
      <c r="E1430" s="8">
        <f>IF(ISNA(MATCH(1417,Engine!$C$2:$C$1960,0)),"",INDEX('Compliance Database'!$E$2:$E$1960,MATCH(1417,Engine!$C$2:$C$1960,0)))</f>
        <v/>
      </c>
      <c r="F1430" s="8">
        <f>IF(ISNA(MATCH(1417,Engine!$C$2:$C$1960,0)),"",INDEX('Compliance Database'!$F$2:$F$1960,MATCH(1417,Engine!$C$2:$C$1960,0)))</f>
        <v/>
      </c>
      <c r="G1430" s="8">
        <f>IF(ISNA(MATCH(1417,Engine!$C$2:$C$1960,0)),"",INDEX('Compliance Database'!$G$2:$G$1960,MATCH(1417,Engine!$C$2:$C$1960,0)))</f>
        <v/>
      </c>
      <c r="H1430" s="9">
        <f>IF(ISNA(MATCH(1417,Engine!$C$2:$C$1960,0)),"",INDEX('Compliance Database'!$H$2:$H$1960,MATCH(1417,Engine!$C$2:$C$1960,0)))</f>
        <v/>
      </c>
      <c r="I1430" s="9">
        <f>IF(ISNA(MATCH(1417,Engine!$C$2:$C$1960,0)),"",INDEX('Compliance Database'!$I$2:$I$1960,MATCH(1417,Engine!$C$2:$C$1960,0)))</f>
        <v/>
      </c>
      <c r="J1430" s="8">
        <f>IF(ISNA(MATCH(1417,Engine!$C$2:$C$1960,0)),"",INDEX('Compliance Database'!$J$2:$J$1960,MATCH(1417,Engine!$C$2:$C$1960,0)))</f>
        <v/>
      </c>
      <c r="K1430" s="9">
        <f>IF(ISNA(MATCH(1417,Engine!$C$2:$C$1960,0)),"",INDEX('Compliance Database'!$K$2:$K$1960,MATCH(1417,Engine!$C$2:$C$1960,0)))</f>
        <v/>
      </c>
      <c r="L1430" s="9">
        <f>IF(ISNA(MATCH(1417,Engine!$C$2:$C$1960,0)),"",INDEX('Compliance Database'!$L$2:$L$1960,MATCH(1417,Engine!$C$2:$C$1960,0)))</f>
        <v/>
      </c>
      <c r="M1430" s="9">
        <f>IF(ISNA(MATCH(1417,Engine!$C$2:$C$1960,0)),"",INDEX('Compliance Database'!$M$2:$M$1960,MATCH(1417,Engine!$C$2:$C$1960,0)))</f>
        <v/>
      </c>
      <c r="N1430" s="9">
        <f>IF(ISNA(MATCH(1417,Engine!$C$2:$C$1960,0)),"",INDEX('Compliance Database'!$N$2:$N$1960,MATCH(1417,Engine!$C$2:$C$1960,0)))</f>
        <v/>
      </c>
      <c r="O1430" s="9">
        <f>IF(ISNA(MATCH(1417,Engine!$C$2:$C$1960,0)),"",INDEX('Compliance Database'!$O$2:$O$1960,MATCH(1417,Engine!$C$2:$C$1960,0)))</f>
        <v/>
      </c>
      <c r="P1430" s="8">
        <f>IF(ISNA(MATCH(1417,Engine!$C$2:$C$1960,0)),"",HYPERLINK("#Acts!A"&amp;INDEX('Compliance Database'!$P$2:$P$1960,MATCH(1417,Engine!$C$2:$C$1960,0)),"Go to Act"))</f>
        <v/>
      </c>
    </row>
    <row r="1431" ht="158" customHeight="1">
      <c r="A1431" s="8">
        <f>IF(ISNA(MATCH(1418,Engine!$C$2:$C$1960,0)),"",INDEX('Compliance Database'!$A$2:$A$1960,MATCH(1418,Engine!$C$2:$C$1960,0)))</f>
        <v/>
      </c>
      <c r="B1431" s="8">
        <f>IF(ISNA(MATCH(1418,Engine!$C$2:$C$1960,0)),"",INDEX('Compliance Database'!$B$2:$B$1960,MATCH(1418,Engine!$C$2:$C$1960,0)))</f>
        <v/>
      </c>
      <c r="C1431" s="8">
        <f>IF(ISNA(MATCH(1418,Engine!$C$2:$C$1960,0)),"",INDEX('Compliance Database'!$C$2:$C$1960,MATCH(1418,Engine!$C$2:$C$1960,0)))</f>
        <v/>
      </c>
      <c r="D1431" s="9">
        <f>IF(ISNA(MATCH(1418,Engine!$C$2:$C$1960,0)),"",INDEX('Compliance Database'!$D$2:$D$1960,MATCH(1418,Engine!$C$2:$C$1960,0)))</f>
        <v/>
      </c>
      <c r="E1431" s="8">
        <f>IF(ISNA(MATCH(1418,Engine!$C$2:$C$1960,0)),"",INDEX('Compliance Database'!$E$2:$E$1960,MATCH(1418,Engine!$C$2:$C$1960,0)))</f>
        <v/>
      </c>
      <c r="F1431" s="8">
        <f>IF(ISNA(MATCH(1418,Engine!$C$2:$C$1960,0)),"",INDEX('Compliance Database'!$F$2:$F$1960,MATCH(1418,Engine!$C$2:$C$1960,0)))</f>
        <v/>
      </c>
      <c r="G1431" s="8">
        <f>IF(ISNA(MATCH(1418,Engine!$C$2:$C$1960,0)),"",INDEX('Compliance Database'!$G$2:$G$1960,MATCH(1418,Engine!$C$2:$C$1960,0)))</f>
        <v/>
      </c>
      <c r="H1431" s="9">
        <f>IF(ISNA(MATCH(1418,Engine!$C$2:$C$1960,0)),"",INDEX('Compliance Database'!$H$2:$H$1960,MATCH(1418,Engine!$C$2:$C$1960,0)))</f>
        <v/>
      </c>
      <c r="I1431" s="9">
        <f>IF(ISNA(MATCH(1418,Engine!$C$2:$C$1960,0)),"",INDEX('Compliance Database'!$I$2:$I$1960,MATCH(1418,Engine!$C$2:$C$1960,0)))</f>
        <v/>
      </c>
      <c r="J1431" s="8">
        <f>IF(ISNA(MATCH(1418,Engine!$C$2:$C$1960,0)),"",INDEX('Compliance Database'!$J$2:$J$1960,MATCH(1418,Engine!$C$2:$C$1960,0)))</f>
        <v/>
      </c>
      <c r="K1431" s="9">
        <f>IF(ISNA(MATCH(1418,Engine!$C$2:$C$1960,0)),"",INDEX('Compliance Database'!$K$2:$K$1960,MATCH(1418,Engine!$C$2:$C$1960,0)))</f>
        <v/>
      </c>
      <c r="L1431" s="9">
        <f>IF(ISNA(MATCH(1418,Engine!$C$2:$C$1960,0)),"",INDEX('Compliance Database'!$L$2:$L$1960,MATCH(1418,Engine!$C$2:$C$1960,0)))</f>
        <v/>
      </c>
      <c r="M1431" s="9">
        <f>IF(ISNA(MATCH(1418,Engine!$C$2:$C$1960,0)),"",INDEX('Compliance Database'!$M$2:$M$1960,MATCH(1418,Engine!$C$2:$C$1960,0)))</f>
        <v/>
      </c>
      <c r="N1431" s="9">
        <f>IF(ISNA(MATCH(1418,Engine!$C$2:$C$1960,0)),"",INDEX('Compliance Database'!$N$2:$N$1960,MATCH(1418,Engine!$C$2:$C$1960,0)))</f>
        <v/>
      </c>
      <c r="O1431" s="9">
        <f>IF(ISNA(MATCH(1418,Engine!$C$2:$C$1960,0)),"",INDEX('Compliance Database'!$O$2:$O$1960,MATCH(1418,Engine!$C$2:$C$1960,0)))</f>
        <v/>
      </c>
      <c r="P1431" s="8">
        <f>IF(ISNA(MATCH(1418,Engine!$C$2:$C$1960,0)),"",HYPERLINK("#Acts!A"&amp;INDEX('Compliance Database'!$P$2:$P$1960,MATCH(1418,Engine!$C$2:$C$1960,0)),"Go to Act"))</f>
        <v/>
      </c>
    </row>
    <row r="1432" ht="158" customHeight="1">
      <c r="A1432" s="8">
        <f>IF(ISNA(MATCH(1419,Engine!$C$2:$C$1960,0)),"",INDEX('Compliance Database'!$A$2:$A$1960,MATCH(1419,Engine!$C$2:$C$1960,0)))</f>
        <v/>
      </c>
      <c r="B1432" s="8">
        <f>IF(ISNA(MATCH(1419,Engine!$C$2:$C$1960,0)),"",INDEX('Compliance Database'!$B$2:$B$1960,MATCH(1419,Engine!$C$2:$C$1960,0)))</f>
        <v/>
      </c>
      <c r="C1432" s="8">
        <f>IF(ISNA(MATCH(1419,Engine!$C$2:$C$1960,0)),"",INDEX('Compliance Database'!$C$2:$C$1960,MATCH(1419,Engine!$C$2:$C$1960,0)))</f>
        <v/>
      </c>
      <c r="D1432" s="9">
        <f>IF(ISNA(MATCH(1419,Engine!$C$2:$C$1960,0)),"",INDEX('Compliance Database'!$D$2:$D$1960,MATCH(1419,Engine!$C$2:$C$1960,0)))</f>
        <v/>
      </c>
      <c r="E1432" s="8">
        <f>IF(ISNA(MATCH(1419,Engine!$C$2:$C$1960,0)),"",INDEX('Compliance Database'!$E$2:$E$1960,MATCH(1419,Engine!$C$2:$C$1960,0)))</f>
        <v/>
      </c>
      <c r="F1432" s="8">
        <f>IF(ISNA(MATCH(1419,Engine!$C$2:$C$1960,0)),"",INDEX('Compliance Database'!$F$2:$F$1960,MATCH(1419,Engine!$C$2:$C$1960,0)))</f>
        <v/>
      </c>
      <c r="G1432" s="8">
        <f>IF(ISNA(MATCH(1419,Engine!$C$2:$C$1960,0)),"",INDEX('Compliance Database'!$G$2:$G$1960,MATCH(1419,Engine!$C$2:$C$1960,0)))</f>
        <v/>
      </c>
      <c r="H1432" s="9">
        <f>IF(ISNA(MATCH(1419,Engine!$C$2:$C$1960,0)),"",INDEX('Compliance Database'!$H$2:$H$1960,MATCH(1419,Engine!$C$2:$C$1960,0)))</f>
        <v/>
      </c>
      <c r="I1432" s="9">
        <f>IF(ISNA(MATCH(1419,Engine!$C$2:$C$1960,0)),"",INDEX('Compliance Database'!$I$2:$I$1960,MATCH(1419,Engine!$C$2:$C$1960,0)))</f>
        <v/>
      </c>
      <c r="J1432" s="8">
        <f>IF(ISNA(MATCH(1419,Engine!$C$2:$C$1960,0)),"",INDEX('Compliance Database'!$J$2:$J$1960,MATCH(1419,Engine!$C$2:$C$1960,0)))</f>
        <v/>
      </c>
      <c r="K1432" s="9">
        <f>IF(ISNA(MATCH(1419,Engine!$C$2:$C$1960,0)),"",INDEX('Compliance Database'!$K$2:$K$1960,MATCH(1419,Engine!$C$2:$C$1960,0)))</f>
        <v/>
      </c>
      <c r="L1432" s="9">
        <f>IF(ISNA(MATCH(1419,Engine!$C$2:$C$1960,0)),"",INDEX('Compliance Database'!$L$2:$L$1960,MATCH(1419,Engine!$C$2:$C$1960,0)))</f>
        <v/>
      </c>
      <c r="M1432" s="9">
        <f>IF(ISNA(MATCH(1419,Engine!$C$2:$C$1960,0)),"",INDEX('Compliance Database'!$M$2:$M$1960,MATCH(1419,Engine!$C$2:$C$1960,0)))</f>
        <v/>
      </c>
      <c r="N1432" s="9">
        <f>IF(ISNA(MATCH(1419,Engine!$C$2:$C$1960,0)),"",INDEX('Compliance Database'!$N$2:$N$1960,MATCH(1419,Engine!$C$2:$C$1960,0)))</f>
        <v/>
      </c>
      <c r="O1432" s="9">
        <f>IF(ISNA(MATCH(1419,Engine!$C$2:$C$1960,0)),"",INDEX('Compliance Database'!$O$2:$O$1960,MATCH(1419,Engine!$C$2:$C$1960,0)))</f>
        <v/>
      </c>
      <c r="P1432" s="8">
        <f>IF(ISNA(MATCH(1419,Engine!$C$2:$C$1960,0)),"",HYPERLINK("#Acts!A"&amp;INDEX('Compliance Database'!$P$2:$P$1960,MATCH(1419,Engine!$C$2:$C$1960,0)),"Go to Act"))</f>
        <v/>
      </c>
    </row>
    <row r="1433" ht="158" customHeight="1">
      <c r="A1433" s="8">
        <f>IF(ISNA(MATCH(1420,Engine!$C$2:$C$1960,0)),"",INDEX('Compliance Database'!$A$2:$A$1960,MATCH(1420,Engine!$C$2:$C$1960,0)))</f>
        <v/>
      </c>
      <c r="B1433" s="8">
        <f>IF(ISNA(MATCH(1420,Engine!$C$2:$C$1960,0)),"",INDEX('Compliance Database'!$B$2:$B$1960,MATCH(1420,Engine!$C$2:$C$1960,0)))</f>
        <v/>
      </c>
      <c r="C1433" s="8">
        <f>IF(ISNA(MATCH(1420,Engine!$C$2:$C$1960,0)),"",INDEX('Compliance Database'!$C$2:$C$1960,MATCH(1420,Engine!$C$2:$C$1960,0)))</f>
        <v/>
      </c>
      <c r="D1433" s="9">
        <f>IF(ISNA(MATCH(1420,Engine!$C$2:$C$1960,0)),"",INDEX('Compliance Database'!$D$2:$D$1960,MATCH(1420,Engine!$C$2:$C$1960,0)))</f>
        <v/>
      </c>
      <c r="E1433" s="8">
        <f>IF(ISNA(MATCH(1420,Engine!$C$2:$C$1960,0)),"",INDEX('Compliance Database'!$E$2:$E$1960,MATCH(1420,Engine!$C$2:$C$1960,0)))</f>
        <v/>
      </c>
      <c r="F1433" s="8">
        <f>IF(ISNA(MATCH(1420,Engine!$C$2:$C$1960,0)),"",INDEX('Compliance Database'!$F$2:$F$1960,MATCH(1420,Engine!$C$2:$C$1960,0)))</f>
        <v/>
      </c>
      <c r="G1433" s="8">
        <f>IF(ISNA(MATCH(1420,Engine!$C$2:$C$1960,0)),"",INDEX('Compliance Database'!$G$2:$G$1960,MATCH(1420,Engine!$C$2:$C$1960,0)))</f>
        <v/>
      </c>
      <c r="H1433" s="9">
        <f>IF(ISNA(MATCH(1420,Engine!$C$2:$C$1960,0)),"",INDEX('Compliance Database'!$H$2:$H$1960,MATCH(1420,Engine!$C$2:$C$1960,0)))</f>
        <v/>
      </c>
      <c r="I1433" s="9">
        <f>IF(ISNA(MATCH(1420,Engine!$C$2:$C$1960,0)),"",INDEX('Compliance Database'!$I$2:$I$1960,MATCH(1420,Engine!$C$2:$C$1960,0)))</f>
        <v/>
      </c>
      <c r="J1433" s="8">
        <f>IF(ISNA(MATCH(1420,Engine!$C$2:$C$1960,0)),"",INDEX('Compliance Database'!$J$2:$J$1960,MATCH(1420,Engine!$C$2:$C$1960,0)))</f>
        <v/>
      </c>
      <c r="K1433" s="9">
        <f>IF(ISNA(MATCH(1420,Engine!$C$2:$C$1960,0)),"",INDEX('Compliance Database'!$K$2:$K$1960,MATCH(1420,Engine!$C$2:$C$1960,0)))</f>
        <v/>
      </c>
      <c r="L1433" s="9">
        <f>IF(ISNA(MATCH(1420,Engine!$C$2:$C$1960,0)),"",INDEX('Compliance Database'!$L$2:$L$1960,MATCH(1420,Engine!$C$2:$C$1960,0)))</f>
        <v/>
      </c>
      <c r="M1433" s="9">
        <f>IF(ISNA(MATCH(1420,Engine!$C$2:$C$1960,0)),"",INDEX('Compliance Database'!$M$2:$M$1960,MATCH(1420,Engine!$C$2:$C$1960,0)))</f>
        <v/>
      </c>
      <c r="N1433" s="9">
        <f>IF(ISNA(MATCH(1420,Engine!$C$2:$C$1960,0)),"",INDEX('Compliance Database'!$N$2:$N$1960,MATCH(1420,Engine!$C$2:$C$1960,0)))</f>
        <v/>
      </c>
      <c r="O1433" s="9">
        <f>IF(ISNA(MATCH(1420,Engine!$C$2:$C$1960,0)),"",INDEX('Compliance Database'!$O$2:$O$1960,MATCH(1420,Engine!$C$2:$C$1960,0)))</f>
        <v/>
      </c>
      <c r="P1433" s="8">
        <f>IF(ISNA(MATCH(1420,Engine!$C$2:$C$1960,0)),"",HYPERLINK("#Acts!A"&amp;INDEX('Compliance Database'!$P$2:$P$1960,MATCH(1420,Engine!$C$2:$C$1960,0)),"Go to Act"))</f>
        <v/>
      </c>
    </row>
    <row r="1434" ht="158" customHeight="1">
      <c r="A1434" s="8">
        <f>IF(ISNA(MATCH(1421,Engine!$C$2:$C$1960,0)),"",INDEX('Compliance Database'!$A$2:$A$1960,MATCH(1421,Engine!$C$2:$C$1960,0)))</f>
        <v/>
      </c>
      <c r="B1434" s="8">
        <f>IF(ISNA(MATCH(1421,Engine!$C$2:$C$1960,0)),"",INDEX('Compliance Database'!$B$2:$B$1960,MATCH(1421,Engine!$C$2:$C$1960,0)))</f>
        <v/>
      </c>
      <c r="C1434" s="8">
        <f>IF(ISNA(MATCH(1421,Engine!$C$2:$C$1960,0)),"",INDEX('Compliance Database'!$C$2:$C$1960,MATCH(1421,Engine!$C$2:$C$1960,0)))</f>
        <v/>
      </c>
      <c r="D1434" s="9">
        <f>IF(ISNA(MATCH(1421,Engine!$C$2:$C$1960,0)),"",INDEX('Compliance Database'!$D$2:$D$1960,MATCH(1421,Engine!$C$2:$C$1960,0)))</f>
        <v/>
      </c>
      <c r="E1434" s="8">
        <f>IF(ISNA(MATCH(1421,Engine!$C$2:$C$1960,0)),"",INDEX('Compliance Database'!$E$2:$E$1960,MATCH(1421,Engine!$C$2:$C$1960,0)))</f>
        <v/>
      </c>
      <c r="F1434" s="8">
        <f>IF(ISNA(MATCH(1421,Engine!$C$2:$C$1960,0)),"",INDEX('Compliance Database'!$F$2:$F$1960,MATCH(1421,Engine!$C$2:$C$1960,0)))</f>
        <v/>
      </c>
      <c r="G1434" s="8">
        <f>IF(ISNA(MATCH(1421,Engine!$C$2:$C$1960,0)),"",INDEX('Compliance Database'!$G$2:$G$1960,MATCH(1421,Engine!$C$2:$C$1960,0)))</f>
        <v/>
      </c>
      <c r="H1434" s="9">
        <f>IF(ISNA(MATCH(1421,Engine!$C$2:$C$1960,0)),"",INDEX('Compliance Database'!$H$2:$H$1960,MATCH(1421,Engine!$C$2:$C$1960,0)))</f>
        <v/>
      </c>
      <c r="I1434" s="9">
        <f>IF(ISNA(MATCH(1421,Engine!$C$2:$C$1960,0)),"",INDEX('Compliance Database'!$I$2:$I$1960,MATCH(1421,Engine!$C$2:$C$1960,0)))</f>
        <v/>
      </c>
      <c r="J1434" s="8">
        <f>IF(ISNA(MATCH(1421,Engine!$C$2:$C$1960,0)),"",INDEX('Compliance Database'!$J$2:$J$1960,MATCH(1421,Engine!$C$2:$C$1960,0)))</f>
        <v/>
      </c>
      <c r="K1434" s="9">
        <f>IF(ISNA(MATCH(1421,Engine!$C$2:$C$1960,0)),"",INDEX('Compliance Database'!$K$2:$K$1960,MATCH(1421,Engine!$C$2:$C$1960,0)))</f>
        <v/>
      </c>
      <c r="L1434" s="9">
        <f>IF(ISNA(MATCH(1421,Engine!$C$2:$C$1960,0)),"",INDEX('Compliance Database'!$L$2:$L$1960,MATCH(1421,Engine!$C$2:$C$1960,0)))</f>
        <v/>
      </c>
      <c r="M1434" s="9">
        <f>IF(ISNA(MATCH(1421,Engine!$C$2:$C$1960,0)),"",INDEX('Compliance Database'!$M$2:$M$1960,MATCH(1421,Engine!$C$2:$C$1960,0)))</f>
        <v/>
      </c>
      <c r="N1434" s="9">
        <f>IF(ISNA(MATCH(1421,Engine!$C$2:$C$1960,0)),"",INDEX('Compliance Database'!$N$2:$N$1960,MATCH(1421,Engine!$C$2:$C$1960,0)))</f>
        <v/>
      </c>
      <c r="O1434" s="9">
        <f>IF(ISNA(MATCH(1421,Engine!$C$2:$C$1960,0)),"",INDEX('Compliance Database'!$O$2:$O$1960,MATCH(1421,Engine!$C$2:$C$1960,0)))</f>
        <v/>
      </c>
      <c r="P1434" s="8">
        <f>IF(ISNA(MATCH(1421,Engine!$C$2:$C$1960,0)),"",HYPERLINK("#Acts!A"&amp;INDEX('Compliance Database'!$P$2:$P$1960,MATCH(1421,Engine!$C$2:$C$1960,0)),"Go to Act"))</f>
        <v/>
      </c>
    </row>
    <row r="1435" ht="158" customHeight="1">
      <c r="A1435" s="8">
        <f>IF(ISNA(MATCH(1422,Engine!$C$2:$C$1960,0)),"",INDEX('Compliance Database'!$A$2:$A$1960,MATCH(1422,Engine!$C$2:$C$1960,0)))</f>
        <v/>
      </c>
      <c r="B1435" s="8">
        <f>IF(ISNA(MATCH(1422,Engine!$C$2:$C$1960,0)),"",INDEX('Compliance Database'!$B$2:$B$1960,MATCH(1422,Engine!$C$2:$C$1960,0)))</f>
        <v/>
      </c>
      <c r="C1435" s="8">
        <f>IF(ISNA(MATCH(1422,Engine!$C$2:$C$1960,0)),"",INDEX('Compliance Database'!$C$2:$C$1960,MATCH(1422,Engine!$C$2:$C$1960,0)))</f>
        <v/>
      </c>
      <c r="D1435" s="9">
        <f>IF(ISNA(MATCH(1422,Engine!$C$2:$C$1960,0)),"",INDEX('Compliance Database'!$D$2:$D$1960,MATCH(1422,Engine!$C$2:$C$1960,0)))</f>
        <v/>
      </c>
      <c r="E1435" s="8">
        <f>IF(ISNA(MATCH(1422,Engine!$C$2:$C$1960,0)),"",INDEX('Compliance Database'!$E$2:$E$1960,MATCH(1422,Engine!$C$2:$C$1960,0)))</f>
        <v/>
      </c>
      <c r="F1435" s="8">
        <f>IF(ISNA(MATCH(1422,Engine!$C$2:$C$1960,0)),"",INDEX('Compliance Database'!$F$2:$F$1960,MATCH(1422,Engine!$C$2:$C$1960,0)))</f>
        <v/>
      </c>
      <c r="G1435" s="8">
        <f>IF(ISNA(MATCH(1422,Engine!$C$2:$C$1960,0)),"",INDEX('Compliance Database'!$G$2:$G$1960,MATCH(1422,Engine!$C$2:$C$1960,0)))</f>
        <v/>
      </c>
      <c r="H1435" s="9">
        <f>IF(ISNA(MATCH(1422,Engine!$C$2:$C$1960,0)),"",INDEX('Compliance Database'!$H$2:$H$1960,MATCH(1422,Engine!$C$2:$C$1960,0)))</f>
        <v/>
      </c>
      <c r="I1435" s="9">
        <f>IF(ISNA(MATCH(1422,Engine!$C$2:$C$1960,0)),"",INDEX('Compliance Database'!$I$2:$I$1960,MATCH(1422,Engine!$C$2:$C$1960,0)))</f>
        <v/>
      </c>
      <c r="J1435" s="8">
        <f>IF(ISNA(MATCH(1422,Engine!$C$2:$C$1960,0)),"",INDEX('Compliance Database'!$J$2:$J$1960,MATCH(1422,Engine!$C$2:$C$1960,0)))</f>
        <v/>
      </c>
      <c r="K1435" s="9">
        <f>IF(ISNA(MATCH(1422,Engine!$C$2:$C$1960,0)),"",INDEX('Compliance Database'!$K$2:$K$1960,MATCH(1422,Engine!$C$2:$C$1960,0)))</f>
        <v/>
      </c>
      <c r="L1435" s="9">
        <f>IF(ISNA(MATCH(1422,Engine!$C$2:$C$1960,0)),"",INDEX('Compliance Database'!$L$2:$L$1960,MATCH(1422,Engine!$C$2:$C$1960,0)))</f>
        <v/>
      </c>
      <c r="M1435" s="9">
        <f>IF(ISNA(MATCH(1422,Engine!$C$2:$C$1960,0)),"",INDEX('Compliance Database'!$M$2:$M$1960,MATCH(1422,Engine!$C$2:$C$1960,0)))</f>
        <v/>
      </c>
      <c r="N1435" s="9">
        <f>IF(ISNA(MATCH(1422,Engine!$C$2:$C$1960,0)),"",INDEX('Compliance Database'!$N$2:$N$1960,MATCH(1422,Engine!$C$2:$C$1960,0)))</f>
        <v/>
      </c>
      <c r="O1435" s="9">
        <f>IF(ISNA(MATCH(1422,Engine!$C$2:$C$1960,0)),"",INDEX('Compliance Database'!$O$2:$O$1960,MATCH(1422,Engine!$C$2:$C$1960,0)))</f>
        <v/>
      </c>
      <c r="P1435" s="8">
        <f>IF(ISNA(MATCH(1422,Engine!$C$2:$C$1960,0)),"",HYPERLINK("#Acts!A"&amp;INDEX('Compliance Database'!$P$2:$P$1960,MATCH(1422,Engine!$C$2:$C$1960,0)),"Go to Act"))</f>
        <v/>
      </c>
    </row>
    <row r="1436" ht="158" customHeight="1">
      <c r="A1436" s="8">
        <f>IF(ISNA(MATCH(1423,Engine!$C$2:$C$1960,0)),"",INDEX('Compliance Database'!$A$2:$A$1960,MATCH(1423,Engine!$C$2:$C$1960,0)))</f>
        <v/>
      </c>
      <c r="B1436" s="8">
        <f>IF(ISNA(MATCH(1423,Engine!$C$2:$C$1960,0)),"",INDEX('Compliance Database'!$B$2:$B$1960,MATCH(1423,Engine!$C$2:$C$1960,0)))</f>
        <v/>
      </c>
      <c r="C1436" s="8">
        <f>IF(ISNA(MATCH(1423,Engine!$C$2:$C$1960,0)),"",INDEX('Compliance Database'!$C$2:$C$1960,MATCH(1423,Engine!$C$2:$C$1960,0)))</f>
        <v/>
      </c>
      <c r="D1436" s="9">
        <f>IF(ISNA(MATCH(1423,Engine!$C$2:$C$1960,0)),"",INDEX('Compliance Database'!$D$2:$D$1960,MATCH(1423,Engine!$C$2:$C$1960,0)))</f>
        <v/>
      </c>
      <c r="E1436" s="8">
        <f>IF(ISNA(MATCH(1423,Engine!$C$2:$C$1960,0)),"",INDEX('Compliance Database'!$E$2:$E$1960,MATCH(1423,Engine!$C$2:$C$1960,0)))</f>
        <v/>
      </c>
      <c r="F1436" s="8">
        <f>IF(ISNA(MATCH(1423,Engine!$C$2:$C$1960,0)),"",INDEX('Compliance Database'!$F$2:$F$1960,MATCH(1423,Engine!$C$2:$C$1960,0)))</f>
        <v/>
      </c>
      <c r="G1436" s="8">
        <f>IF(ISNA(MATCH(1423,Engine!$C$2:$C$1960,0)),"",INDEX('Compliance Database'!$G$2:$G$1960,MATCH(1423,Engine!$C$2:$C$1960,0)))</f>
        <v/>
      </c>
      <c r="H1436" s="9">
        <f>IF(ISNA(MATCH(1423,Engine!$C$2:$C$1960,0)),"",INDEX('Compliance Database'!$H$2:$H$1960,MATCH(1423,Engine!$C$2:$C$1960,0)))</f>
        <v/>
      </c>
      <c r="I1436" s="9">
        <f>IF(ISNA(MATCH(1423,Engine!$C$2:$C$1960,0)),"",INDEX('Compliance Database'!$I$2:$I$1960,MATCH(1423,Engine!$C$2:$C$1960,0)))</f>
        <v/>
      </c>
      <c r="J1436" s="8">
        <f>IF(ISNA(MATCH(1423,Engine!$C$2:$C$1960,0)),"",INDEX('Compliance Database'!$J$2:$J$1960,MATCH(1423,Engine!$C$2:$C$1960,0)))</f>
        <v/>
      </c>
      <c r="K1436" s="9">
        <f>IF(ISNA(MATCH(1423,Engine!$C$2:$C$1960,0)),"",INDEX('Compliance Database'!$K$2:$K$1960,MATCH(1423,Engine!$C$2:$C$1960,0)))</f>
        <v/>
      </c>
      <c r="L1436" s="9">
        <f>IF(ISNA(MATCH(1423,Engine!$C$2:$C$1960,0)),"",INDEX('Compliance Database'!$L$2:$L$1960,MATCH(1423,Engine!$C$2:$C$1960,0)))</f>
        <v/>
      </c>
      <c r="M1436" s="9">
        <f>IF(ISNA(MATCH(1423,Engine!$C$2:$C$1960,0)),"",INDEX('Compliance Database'!$M$2:$M$1960,MATCH(1423,Engine!$C$2:$C$1960,0)))</f>
        <v/>
      </c>
      <c r="N1436" s="9">
        <f>IF(ISNA(MATCH(1423,Engine!$C$2:$C$1960,0)),"",INDEX('Compliance Database'!$N$2:$N$1960,MATCH(1423,Engine!$C$2:$C$1960,0)))</f>
        <v/>
      </c>
      <c r="O1436" s="9">
        <f>IF(ISNA(MATCH(1423,Engine!$C$2:$C$1960,0)),"",INDEX('Compliance Database'!$O$2:$O$1960,MATCH(1423,Engine!$C$2:$C$1960,0)))</f>
        <v/>
      </c>
      <c r="P1436" s="8">
        <f>IF(ISNA(MATCH(1423,Engine!$C$2:$C$1960,0)),"",HYPERLINK("#Acts!A"&amp;INDEX('Compliance Database'!$P$2:$P$1960,MATCH(1423,Engine!$C$2:$C$1960,0)),"Go to Act"))</f>
        <v/>
      </c>
    </row>
    <row r="1437" ht="158" customHeight="1">
      <c r="A1437" s="8">
        <f>IF(ISNA(MATCH(1424,Engine!$C$2:$C$1960,0)),"",INDEX('Compliance Database'!$A$2:$A$1960,MATCH(1424,Engine!$C$2:$C$1960,0)))</f>
        <v/>
      </c>
      <c r="B1437" s="8">
        <f>IF(ISNA(MATCH(1424,Engine!$C$2:$C$1960,0)),"",INDEX('Compliance Database'!$B$2:$B$1960,MATCH(1424,Engine!$C$2:$C$1960,0)))</f>
        <v/>
      </c>
      <c r="C1437" s="8">
        <f>IF(ISNA(MATCH(1424,Engine!$C$2:$C$1960,0)),"",INDEX('Compliance Database'!$C$2:$C$1960,MATCH(1424,Engine!$C$2:$C$1960,0)))</f>
        <v/>
      </c>
      <c r="D1437" s="9">
        <f>IF(ISNA(MATCH(1424,Engine!$C$2:$C$1960,0)),"",INDEX('Compliance Database'!$D$2:$D$1960,MATCH(1424,Engine!$C$2:$C$1960,0)))</f>
        <v/>
      </c>
      <c r="E1437" s="8">
        <f>IF(ISNA(MATCH(1424,Engine!$C$2:$C$1960,0)),"",INDEX('Compliance Database'!$E$2:$E$1960,MATCH(1424,Engine!$C$2:$C$1960,0)))</f>
        <v/>
      </c>
      <c r="F1437" s="8">
        <f>IF(ISNA(MATCH(1424,Engine!$C$2:$C$1960,0)),"",INDEX('Compliance Database'!$F$2:$F$1960,MATCH(1424,Engine!$C$2:$C$1960,0)))</f>
        <v/>
      </c>
      <c r="G1437" s="8">
        <f>IF(ISNA(MATCH(1424,Engine!$C$2:$C$1960,0)),"",INDEX('Compliance Database'!$G$2:$G$1960,MATCH(1424,Engine!$C$2:$C$1960,0)))</f>
        <v/>
      </c>
      <c r="H1437" s="9">
        <f>IF(ISNA(MATCH(1424,Engine!$C$2:$C$1960,0)),"",INDEX('Compliance Database'!$H$2:$H$1960,MATCH(1424,Engine!$C$2:$C$1960,0)))</f>
        <v/>
      </c>
      <c r="I1437" s="9">
        <f>IF(ISNA(MATCH(1424,Engine!$C$2:$C$1960,0)),"",INDEX('Compliance Database'!$I$2:$I$1960,MATCH(1424,Engine!$C$2:$C$1960,0)))</f>
        <v/>
      </c>
      <c r="J1437" s="8">
        <f>IF(ISNA(MATCH(1424,Engine!$C$2:$C$1960,0)),"",INDEX('Compliance Database'!$J$2:$J$1960,MATCH(1424,Engine!$C$2:$C$1960,0)))</f>
        <v/>
      </c>
      <c r="K1437" s="9">
        <f>IF(ISNA(MATCH(1424,Engine!$C$2:$C$1960,0)),"",INDEX('Compliance Database'!$K$2:$K$1960,MATCH(1424,Engine!$C$2:$C$1960,0)))</f>
        <v/>
      </c>
      <c r="L1437" s="9">
        <f>IF(ISNA(MATCH(1424,Engine!$C$2:$C$1960,0)),"",INDEX('Compliance Database'!$L$2:$L$1960,MATCH(1424,Engine!$C$2:$C$1960,0)))</f>
        <v/>
      </c>
      <c r="M1437" s="9">
        <f>IF(ISNA(MATCH(1424,Engine!$C$2:$C$1960,0)),"",INDEX('Compliance Database'!$M$2:$M$1960,MATCH(1424,Engine!$C$2:$C$1960,0)))</f>
        <v/>
      </c>
      <c r="N1437" s="9">
        <f>IF(ISNA(MATCH(1424,Engine!$C$2:$C$1960,0)),"",INDEX('Compliance Database'!$N$2:$N$1960,MATCH(1424,Engine!$C$2:$C$1960,0)))</f>
        <v/>
      </c>
      <c r="O1437" s="9">
        <f>IF(ISNA(MATCH(1424,Engine!$C$2:$C$1960,0)),"",INDEX('Compliance Database'!$O$2:$O$1960,MATCH(1424,Engine!$C$2:$C$1960,0)))</f>
        <v/>
      </c>
      <c r="P1437" s="8">
        <f>IF(ISNA(MATCH(1424,Engine!$C$2:$C$1960,0)),"",HYPERLINK("#Acts!A"&amp;INDEX('Compliance Database'!$P$2:$P$1960,MATCH(1424,Engine!$C$2:$C$1960,0)),"Go to Act"))</f>
        <v/>
      </c>
    </row>
    <row r="1438" ht="158" customHeight="1">
      <c r="A1438" s="8">
        <f>IF(ISNA(MATCH(1425,Engine!$C$2:$C$1960,0)),"",INDEX('Compliance Database'!$A$2:$A$1960,MATCH(1425,Engine!$C$2:$C$1960,0)))</f>
        <v/>
      </c>
      <c r="B1438" s="8">
        <f>IF(ISNA(MATCH(1425,Engine!$C$2:$C$1960,0)),"",INDEX('Compliance Database'!$B$2:$B$1960,MATCH(1425,Engine!$C$2:$C$1960,0)))</f>
        <v/>
      </c>
      <c r="C1438" s="8">
        <f>IF(ISNA(MATCH(1425,Engine!$C$2:$C$1960,0)),"",INDEX('Compliance Database'!$C$2:$C$1960,MATCH(1425,Engine!$C$2:$C$1960,0)))</f>
        <v/>
      </c>
      <c r="D1438" s="9">
        <f>IF(ISNA(MATCH(1425,Engine!$C$2:$C$1960,0)),"",INDEX('Compliance Database'!$D$2:$D$1960,MATCH(1425,Engine!$C$2:$C$1960,0)))</f>
        <v/>
      </c>
      <c r="E1438" s="8">
        <f>IF(ISNA(MATCH(1425,Engine!$C$2:$C$1960,0)),"",INDEX('Compliance Database'!$E$2:$E$1960,MATCH(1425,Engine!$C$2:$C$1960,0)))</f>
        <v/>
      </c>
      <c r="F1438" s="8">
        <f>IF(ISNA(MATCH(1425,Engine!$C$2:$C$1960,0)),"",INDEX('Compliance Database'!$F$2:$F$1960,MATCH(1425,Engine!$C$2:$C$1960,0)))</f>
        <v/>
      </c>
      <c r="G1438" s="8">
        <f>IF(ISNA(MATCH(1425,Engine!$C$2:$C$1960,0)),"",INDEX('Compliance Database'!$G$2:$G$1960,MATCH(1425,Engine!$C$2:$C$1960,0)))</f>
        <v/>
      </c>
      <c r="H1438" s="9">
        <f>IF(ISNA(MATCH(1425,Engine!$C$2:$C$1960,0)),"",INDEX('Compliance Database'!$H$2:$H$1960,MATCH(1425,Engine!$C$2:$C$1960,0)))</f>
        <v/>
      </c>
      <c r="I1438" s="9">
        <f>IF(ISNA(MATCH(1425,Engine!$C$2:$C$1960,0)),"",INDEX('Compliance Database'!$I$2:$I$1960,MATCH(1425,Engine!$C$2:$C$1960,0)))</f>
        <v/>
      </c>
      <c r="J1438" s="8">
        <f>IF(ISNA(MATCH(1425,Engine!$C$2:$C$1960,0)),"",INDEX('Compliance Database'!$J$2:$J$1960,MATCH(1425,Engine!$C$2:$C$1960,0)))</f>
        <v/>
      </c>
      <c r="K1438" s="9">
        <f>IF(ISNA(MATCH(1425,Engine!$C$2:$C$1960,0)),"",INDEX('Compliance Database'!$K$2:$K$1960,MATCH(1425,Engine!$C$2:$C$1960,0)))</f>
        <v/>
      </c>
      <c r="L1438" s="9">
        <f>IF(ISNA(MATCH(1425,Engine!$C$2:$C$1960,0)),"",INDEX('Compliance Database'!$L$2:$L$1960,MATCH(1425,Engine!$C$2:$C$1960,0)))</f>
        <v/>
      </c>
      <c r="M1438" s="9">
        <f>IF(ISNA(MATCH(1425,Engine!$C$2:$C$1960,0)),"",INDEX('Compliance Database'!$M$2:$M$1960,MATCH(1425,Engine!$C$2:$C$1960,0)))</f>
        <v/>
      </c>
      <c r="N1438" s="9">
        <f>IF(ISNA(MATCH(1425,Engine!$C$2:$C$1960,0)),"",INDEX('Compliance Database'!$N$2:$N$1960,MATCH(1425,Engine!$C$2:$C$1960,0)))</f>
        <v/>
      </c>
      <c r="O1438" s="9">
        <f>IF(ISNA(MATCH(1425,Engine!$C$2:$C$1960,0)),"",INDEX('Compliance Database'!$O$2:$O$1960,MATCH(1425,Engine!$C$2:$C$1960,0)))</f>
        <v/>
      </c>
      <c r="P1438" s="8">
        <f>IF(ISNA(MATCH(1425,Engine!$C$2:$C$1960,0)),"",HYPERLINK("#Acts!A"&amp;INDEX('Compliance Database'!$P$2:$P$1960,MATCH(1425,Engine!$C$2:$C$1960,0)),"Go to Act"))</f>
        <v/>
      </c>
    </row>
    <row r="1439" ht="158" customHeight="1">
      <c r="A1439" s="8">
        <f>IF(ISNA(MATCH(1426,Engine!$C$2:$C$1960,0)),"",INDEX('Compliance Database'!$A$2:$A$1960,MATCH(1426,Engine!$C$2:$C$1960,0)))</f>
        <v/>
      </c>
      <c r="B1439" s="8">
        <f>IF(ISNA(MATCH(1426,Engine!$C$2:$C$1960,0)),"",INDEX('Compliance Database'!$B$2:$B$1960,MATCH(1426,Engine!$C$2:$C$1960,0)))</f>
        <v/>
      </c>
      <c r="C1439" s="8">
        <f>IF(ISNA(MATCH(1426,Engine!$C$2:$C$1960,0)),"",INDEX('Compliance Database'!$C$2:$C$1960,MATCH(1426,Engine!$C$2:$C$1960,0)))</f>
        <v/>
      </c>
      <c r="D1439" s="9">
        <f>IF(ISNA(MATCH(1426,Engine!$C$2:$C$1960,0)),"",INDEX('Compliance Database'!$D$2:$D$1960,MATCH(1426,Engine!$C$2:$C$1960,0)))</f>
        <v/>
      </c>
      <c r="E1439" s="8">
        <f>IF(ISNA(MATCH(1426,Engine!$C$2:$C$1960,0)),"",INDEX('Compliance Database'!$E$2:$E$1960,MATCH(1426,Engine!$C$2:$C$1960,0)))</f>
        <v/>
      </c>
      <c r="F1439" s="8">
        <f>IF(ISNA(MATCH(1426,Engine!$C$2:$C$1960,0)),"",INDEX('Compliance Database'!$F$2:$F$1960,MATCH(1426,Engine!$C$2:$C$1960,0)))</f>
        <v/>
      </c>
      <c r="G1439" s="8">
        <f>IF(ISNA(MATCH(1426,Engine!$C$2:$C$1960,0)),"",INDEX('Compliance Database'!$G$2:$G$1960,MATCH(1426,Engine!$C$2:$C$1960,0)))</f>
        <v/>
      </c>
      <c r="H1439" s="9">
        <f>IF(ISNA(MATCH(1426,Engine!$C$2:$C$1960,0)),"",INDEX('Compliance Database'!$H$2:$H$1960,MATCH(1426,Engine!$C$2:$C$1960,0)))</f>
        <v/>
      </c>
      <c r="I1439" s="9">
        <f>IF(ISNA(MATCH(1426,Engine!$C$2:$C$1960,0)),"",INDEX('Compliance Database'!$I$2:$I$1960,MATCH(1426,Engine!$C$2:$C$1960,0)))</f>
        <v/>
      </c>
      <c r="J1439" s="8">
        <f>IF(ISNA(MATCH(1426,Engine!$C$2:$C$1960,0)),"",INDEX('Compliance Database'!$J$2:$J$1960,MATCH(1426,Engine!$C$2:$C$1960,0)))</f>
        <v/>
      </c>
      <c r="K1439" s="9">
        <f>IF(ISNA(MATCH(1426,Engine!$C$2:$C$1960,0)),"",INDEX('Compliance Database'!$K$2:$K$1960,MATCH(1426,Engine!$C$2:$C$1960,0)))</f>
        <v/>
      </c>
      <c r="L1439" s="9">
        <f>IF(ISNA(MATCH(1426,Engine!$C$2:$C$1960,0)),"",INDEX('Compliance Database'!$L$2:$L$1960,MATCH(1426,Engine!$C$2:$C$1960,0)))</f>
        <v/>
      </c>
      <c r="M1439" s="9">
        <f>IF(ISNA(MATCH(1426,Engine!$C$2:$C$1960,0)),"",INDEX('Compliance Database'!$M$2:$M$1960,MATCH(1426,Engine!$C$2:$C$1960,0)))</f>
        <v/>
      </c>
      <c r="N1439" s="9">
        <f>IF(ISNA(MATCH(1426,Engine!$C$2:$C$1960,0)),"",INDEX('Compliance Database'!$N$2:$N$1960,MATCH(1426,Engine!$C$2:$C$1960,0)))</f>
        <v/>
      </c>
      <c r="O1439" s="9">
        <f>IF(ISNA(MATCH(1426,Engine!$C$2:$C$1960,0)),"",INDEX('Compliance Database'!$O$2:$O$1960,MATCH(1426,Engine!$C$2:$C$1960,0)))</f>
        <v/>
      </c>
      <c r="P1439" s="8">
        <f>IF(ISNA(MATCH(1426,Engine!$C$2:$C$1960,0)),"",HYPERLINK("#Acts!A"&amp;INDEX('Compliance Database'!$P$2:$P$1960,MATCH(1426,Engine!$C$2:$C$1960,0)),"Go to Act"))</f>
        <v/>
      </c>
    </row>
    <row r="1440" ht="158" customHeight="1">
      <c r="A1440" s="8">
        <f>IF(ISNA(MATCH(1427,Engine!$C$2:$C$1960,0)),"",INDEX('Compliance Database'!$A$2:$A$1960,MATCH(1427,Engine!$C$2:$C$1960,0)))</f>
        <v/>
      </c>
      <c r="B1440" s="8">
        <f>IF(ISNA(MATCH(1427,Engine!$C$2:$C$1960,0)),"",INDEX('Compliance Database'!$B$2:$B$1960,MATCH(1427,Engine!$C$2:$C$1960,0)))</f>
        <v/>
      </c>
      <c r="C1440" s="8">
        <f>IF(ISNA(MATCH(1427,Engine!$C$2:$C$1960,0)),"",INDEX('Compliance Database'!$C$2:$C$1960,MATCH(1427,Engine!$C$2:$C$1960,0)))</f>
        <v/>
      </c>
      <c r="D1440" s="9">
        <f>IF(ISNA(MATCH(1427,Engine!$C$2:$C$1960,0)),"",INDEX('Compliance Database'!$D$2:$D$1960,MATCH(1427,Engine!$C$2:$C$1960,0)))</f>
        <v/>
      </c>
      <c r="E1440" s="8">
        <f>IF(ISNA(MATCH(1427,Engine!$C$2:$C$1960,0)),"",INDEX('Compliance Database'!$E$2:$E$1960,MATCH(1427,Engine!$C$2:$C$1960,0)))</f>
        <v/>
      </c>
      <c r="F1440" s="8">
        <f>IF(ISNA(MATCH(1427,Engine!$C$2:$C$1960,0)),"",INDEX('Compliance Database'!$F$2:$F$1960,MATCH(1427,Engine!$C$2:$C$1960,0)))</f>
        <v/>
      </c>
      <c r="G1440" s="8">
        <f>IF(ISNA(MATCH(1427,Engine!$C$2:$C$1960,0)),"",INDEX('Compliance Database'!$G$2:$G$1960,MATCH(1427,Engine!$C$2:$C$1960,0)))</f>
        <v/>
      </c>
      <c r="H1440" s="9">
        <f>IF(ISNA(MATCH(1427,Engine!$C$2:$C$1960,0)),"",INDEX('Compliance Database'!$H$2:$H$1960,MATCH(1427,Engine!$C$2:$C$1960,0)))</f>
        <v/>
      </c>
      <c r="I1440" s="9">
        <f>IF(ISNA(MATCH(1427,Engine!$C$2:$C$1960,0)),"",INDEX('Compliance Database'!$I$2:$I$1960,MATCH(1427,Engine!$C$2:$C$1960,0)))</f>
        <v/>
      </c>
      <c r="J1440" s="8">
        <f>IF(ISNA(MATCH(1427,Engine!$C$2:$C$1960,0)),"",INDEX('Compliance Database'!$J$2:$J$1960,MATCH(1427,Engine!$C$2:$C$1960,0)))</f>
        <v/>
      </c>
      <c r="K1440" s="9">
        <f>IF(ISNA(MATCH(1427,Engine!$C$2:$C$1960,0)),"",INDEX('Compliance Database'!$K$2:$K$1960,MATCH(1427,Engine!$C$2:$C$1960,0)))</f>
        <v/>
      </c>
      <c r="L1440" s="9">
        <f>IF(ISNA(MATCH(1427,Engine!$C$2:$C$1960,0)),"",INDEX('Compliance Database'!$L$2:$L$1960,MATCH(1427,Engine!$C$2:$C$1960,0)))</f>
        <v/>
      </c>
      <c r="M1440" s="9">
        <f>IF(ISNA(MATCH(1427,Engine!$C$2:$C$1960,0)),"",INDEX('Compliance Database'!$M$2:$M$1960,MATCH(1427,Engine!$C$2:$C$1960,0)))</f>
        <v/>
      </c>
      <c r="N1440" s="9">
        <f>IF(ISNA(MATCH(1427,Engine!$C$2:$C$1960,0)),"",INDEX('Compliance Database'!$N$2:$N$1960,MATCH(1427,Engine!$C$2:$C$1960,0)))</f>
        <v/>
      </c>
      <c r="O1440" s="9">
        <f>IF(ISNA(MATCH(1427,Engine!$C$2:$C$1960,0)),"",INDEX('Compliance Database'!$O$2:$O$1960,MATCH(1427,Engine!$C$2:$C$1960,0)))</f>
        <v/>
      </c>
      <c r="P1440" s="8">
        <f>IF(ISNA(MATCH(1427,Engine!$C$2:$C$1960,0)),"",HYPERLINK("#Acts!A"&amp;INDEX('Compliance Database'!$P$2:$P$1960,MATCH(1427,Engine!$C$2:$C$1960,0)),"Go to Act"))</f>
        <v/>
      </c>
    </row>
    <row r="1441" ht="158" customHeight="1">
      <c r="A1441" s="8">
        <f>IF(ISNA(MATCH(1428,Engine!$C$2:$C$1960,0)),"",INDEX('Compliance Database'!$A$2:$A$1960,MATCH(1428,Engine!$C$2:$C$1960,0)))</f>
        <v/>
      </c>
      <c r="B1441" s="8">
        <f>IF(ISNA(MATCH(1428,Engine!$C$2:$C$1960,0)),"",INDEX('Compliance Database'!$B$2:$B$1960,MATCH(1428,Engine!$C$2:$C$1960,0)))</f>
        <v/>
      </c>
      <c r="C1441" s="8">
        <f>IF(ISNA(MATCH(1428,Engine!$C$2:$C$1960,0)),"",INDEX('Compliance Database'!$C$2:$C$1960,MATCH(1428,Engine!$C$2:$C$1960,0)))</f>
        <v/>
      </c>
      <c r="D1441" s="9">
        <f>IF(ISNA(MATCH(1428,Engine!$C$2:$C$1960,0)),"",INDEX('Compliance Database'!$D$2:$D$1960,MATCH(1428,Engine!$C$2:$C$1960,0)))</f>
        <v/>
      </c>
      <c r="E1441" s="8">
        <f>IF(ISNA(MATCH(1428,Engine!$C$2:$C$1960,0)),"",INDEX('Compliance Database'!$E$2:$E$1960,MATCH(1428,Engine!$C$2:$C$1960,0)))</f>
        <v/>
      </c>
      <c r="F1441" s="8">
        <f>IF(ISNA(MATCH(1428,Engine!$C$2:$C$1960,0)),"",INDEX('Compliance Database'!$F$2:$F$1960,MATCH(1428,Engine!$C$2:$C$1960,0)))</f>
        <v/>
      </c>
      <c r="G1441" s="8">
        <f>IF(ISNA(MATCH(1428,Engine!$C$2:$C$1960,0)),"",INDEX('Compliance Database'!$G$2:$G$1960,MATCH(1428,Engine!$C$2:$C$1960,0)))</f>
        <v/>
      </c>
      <c r="H1441" s="9">
        <f>IF(ISNA(MATCH(1428,Engine!$C$2:$C$1960,0)),"",INDEX('Compliance Database'!$H$2:$H$1960,MATCH(1428,Engine!$C$2:$C$1960,0)))</f>
        <v/>
      </c>
      <c r="I1441" s="9">
        <f>IF(ISNA(MATCH(1428,Engine!$C$2:$C$1960,0)),"",INDEX('Compliance Database'!$I$2:$I$1960,MATCH(1428,Engine!$C$2:$C$1960,0)))</f>
        <v/>
      </c>
      <c r="J1441" s="8">
        <f>IF(ISNA(MATCH(1428,Engine!$C$2:$C$1960,0)),"",INDEX('Compliance Database'!$J$2:$J$1960,MATCH(1428,Engine!$C$2:$C$1960,0)))</f>
        <v/>
      </c>
      <c r="K1441" s="9">
        <f>IF(ISNA(MATCH(1428,Engine!$C$2:$C$1960,0)),"",INDEX('Compliance Database'!$K$2:$K$1960,MATCH(1428,Engine!$C$2:$C$1960,0)))</f>
        <v/>
      </c>
      <c r="L1441" s="9">
        <f>IF(ISNA(MATCH(1428,Engine!$C$2:$C$1960,0)),"",INDEX('Compliance Database'!$L$2:$L$1960,MATCH(1428,Engine!$C$2:$C$1960,0)))</f>
        <v/>
      </c>
      <c r="M1441" s="9">
        <f>IF(ISNA(MATCH(1428,Engine!$C$2:$C$1960,0)),"",INDEX('Compliance Database'!$M$2:$M$1960,MATCH(1428,Engine!$C$2:$C$1960,0)))</f>
        <v/>
      </c>
      <c r="N1441" s="9">
        <f>IF(ISNA(MATCH(1428,Engine!$C$2:$C$1960,0)),"",INDEX('Compliance Database'!$N$2:$N$1960,MATCH(1428,Engine!$C$2:$C$1960,0)))</f>
        <v/>
      </c>
      <c r="O1441" s="9">
        <f>IF(ISNA(MATCH(1428,Engine!$C$2:$C$1960,0)),"",INDEX('Compliance Database'!$O$2:$O$1960,MATCH(1428,Engine!$C$2:$C$1960,0)))</f>
        <v/>
      </c>
      <c r="P1441" s="8">
        <f>IF(ISNA(MATCH(1428,Engine!$C$2:$C$1960,0)),"",HYPERLINK("#Acts!A"&amp;INDEX('Compliance Database'!$P$2:$P$1960,MATCH(1428,Engine!$C$2:$C$1960,0)),"Go to Act"))</f>
        <v/>
      </c>
    </row>
    <row r="1442" ht="158" customHeight="1">
      <c r="A1442" s="8">
        <f>IF(ISNA(MATCH(1429,Engine!$C$2:$C$1960,0)),"",INDEX('Compliance Database'!$A$2:$A$1960,MATCH(1429,Engine!$C$2:$C$1960,0)))</f>
        <v/>
      </c>
      <c r="B1442" s="8">
        <f>IF(ISNA(MATCH(1429,Engine!$C$2:$C$1960,0)),"",INDEX('Compliance Database'!$B$2:$B$1960,MATCH(1429,Engine!$C$2:$C$1960,0)))</f>
        <v/>
      </c>
      <c r="C1442" s="8">
        <f>IF(ISNA(MATCH(1429,Engine!$C$2:$C$1960,0)),"",INDEX('Compliance Database'!$C$2:$C$1960,MATCH(1429,Engine!$C$2:$C$1960,0)))</f>
        <v/>
      </c>
      <c r="D1442" s="9">
        <f>IF(ISNA(MATCH(1429,Engine!$C$2:$C$1960,0)),"",INDEX('Compliance Database'!$D$2:$D$1960,MATCH(1429,Engine!$C$2:$C$1960,0)))</f>
        <v/>
      </c>
      <c r="E1442" s="8">
        <f>IF(ISNA(MATCH(1429,Engine!$C$2:$C$1960,0)),"",INDEX('Compliance Database'!$E$2:$E$1960,MATCH(1429,Engine!$C$2:$C$1960,0)))</f>
        <v/>
      </c>
      <c r="F1442" s="8">
        <f>IF(ISNA(MATCH(1429,Engine!$C$2:$C$1960,0)),"",INDEX('Compliance Database'!$F$2:$F$1960,MATCH(1429,Engine!$C$2:$C$1960,0)))</f>
        <v/>
      </c>
      <c r="G1442" s="8">
        <f>IF(ISNA(MATCH(1429,Engine!$C$2:$C$1960,0)),"",INDEX('Compliance Database'!$G$2:$G$1960,MATCH(1429,Engine!$C$2:$C$1960,0)))</f>
        <v/>
      </c>
      <c r="H1442" s="9">
        <f>IF(ISNA(MATCH(1429,Engine!$C$2:$C$1960,0)),"",INDEX('Compliance Database'!$H$2:$H$1960,MATCH(1429,Engine!$C$2:$C$1960,0)))</f>
        <v/>
      </c>
      <c r="I1442" s="9">
        <f>IF(ISNA(MATCH(1429,Engine!$C$2:$C$1960,0)),"",INDEX('Compliance Database'!$I$2:$I$1960,MATCH(1429,Engine!$C$2:$C$1960,0)))</f>
        <v/>
      </c>
      <c r="J1442" s="8">
        <f>IF(ISNA(MATCH(1429,Engine!$C$2:$C$1960,0)),"",INDEX('Compliance Database'!$J$2:$J$1960,MATCH(1429,Engine!$C$2:$C$1960,0)))</f>
        <v/>
      </c>
      <c r="K1442" s="9">
        <f>IF(ISNA(MATCH(1429,Engine!$C$2:$C$1960,0)),"",INDEX('Compliance Database'!$K$2:$K$1960,MATCH(1429,Engine!$C$2:$C$1960,0)))</f>
        <v/>
      </c>
      <c r="L1442" s="9">
        <f>IF(ISNA(MATCH(1429,Engine!$C$2:$C$1960,0)),"",INDEX('Compliance Database'!$L$2:$L$1960,MATCH(1429,Engine!$C$2:$C$1960,0)))</f>
        <v/>
      </c>
      <c r="M1442" s="9">
        <f>IF(ISNA(MATCH(1429,Engine!$C$2:$C$1960,0)),"",INDEX('Compliance Database'!$M$2:$M$1960,MATCH(1429,Engine!$C$2:$C$1960,0)))</f>
        <v/>
      </c>
      <c r="N1442" s="9">
        <f>IF(ISNA(MATCH(1429,Engine!$C$2:$C$1960,0)),"",INDEX('Compliance Database'!$N$2:$N$1960,MATCH(1429,Engine!$C$2:$C$1960,0)))</f>
        <v/>
      </c>
      <c r="O1442" s="9">
        <f>IF(ISNA(MATCH(1429,Engine!$C$2:$C$1960,0)),"",INDEX('Compliance Database'!$O$2:$O$1960,MATCH(1429,Engine!$C$2:$C$1960,0)))</f>
        <v/>
      </c>
      <c r="P1442" s="8">
        <f>IF(ISNA(MATCH(1429,Engine!$C$2:$C$1960,0)),"",HYPERLINK("#Acts!A"&amp;INDEX('Compliance Database'!$P$2:$P$1960,MATCH(1429,Engine!$C$2:$C$1960,0)),"Go to Act"))</f>
        <v/>
      </c>
    </row>
    <row r="1443" ht="158" customHeight="1">
      <c r="A1443" s="8">
        <f>IF(ISNA(MATCH(1430,Engine!$C$2:$C$1960,0)),"",INDEX('Compliance Database'!$A$2:$A$1960,MATCH(1430,Engine!$C$2:$C$1960,0)))</f>
        <v/>
      </c>
      <c r="B1443" s="8">
        <f>IF(ISNA(MATCH(1430,Engine!$C$2:$C$1960,0)),"",INDEX('Compliance Database'!$B$2:$B$1960,MATCH(1430,Engine!$C$2:$C$1960,0)))</f>
        <v/>
      </c>
      <c r="C1443" s="8">
        <f>IF(ISNA(MATCH(1430,Engine!$C$2:$C$1960,0)),"",INDEX('Compliance Database'!$C$2:$C$1960,MATCH(1430,Engine!$C$2:$C$1960,0)))</f>
        <v/>
      </c>
      <c r="D1443" s="9">
        <f>IF(ISNA(MATCH(1430,Engine!$C$2:$C$1960,0)),"",INDEX('Compliance Database'!$D$2:$D$1960,MATCH(1430,Engine!$C$2:$C$1960,0)))</f>
        <v/>
      </c>
      <c r="E1443" s="8">
        <f>IF(ISNA(MATCH(1430,Engine!$C$2:$C$1960,0)),"",INDEX('Compliance Database'!$E$2:$E$1960,MATCH(1430,Engine!$C$2:$C$1960,0)))</f>
        <v/>
      </c>
      <c r="F1443" s="8">
        <f>IF(ISNA(MATCH(1430,Engine!$C$2:$C$1960,0)),"",INDEX('Compliance Database'!$F$2:$F$1960,MATCH(1430,Engine!$C$2:$C$1960,0)))</f>
        <v/>
      </c>
      <c r="G1443" s="8">
        <f>IF(ISNA(MATCH(1430,Engine!$C$2:$C$1960,0)),"",INDEX('Compliance Database'!$G$2:$G$1960,MATCH(1430,Engine!$C$2:$C$1960,0)))</f>
        <v/>
      </c>
      <c r="H1443" s="9">
        <f>IF(ISNA(MATCH(1430,Engine!$C$2:$C$1960,0)),"",INDEX('Compliance Database'!$H$2:$H$1960,MATCH(1430,Engine!$C$2:$C$1960,0)))</f>
        <v/>
      </c>
      <c r="I1443" s="9">
        <f>IF(ISNA(MATCH(1430,Engine!$C$2:$C$1960,0)),"",INDEX('Compliance Database'!$I$2:$I$1960,MATCH(1430,Engine!$C$2:$C$1960,0)))</f>
        <v/>
      </c>
      <c r="J1443" s="8">
        <f>IF(ISNA(MATCH(1430,Engine!$C$2:$C$1960,0)),"",INDEX('Compliance Database'!$J$2:$J$1960,MATCH(1430,Engine!$C$2:$C$1960,0)))</f>
        <v/>
      </c>
      <c r="K1443" s="9">
        <f>IF(ISNA(MATCH(1430,Engine!$C$2:$C$1960,0)),"",INDEX('Compliance Database'!$K$2:$K$1960,MATCH(1430,Engine!$C$2:$C$1960,0)))</f>
        <v/>
      </c>
      <c r="L1443" s="9">
        <f>IF(ISNA(MATCH(1430,Engine!$C$2:$C$1960,0)),"",INDEX('Compliance Database'!$L$2:$L$1960,MATCH(1430,Engine!$C$2:$C$1960,0)))</f>
        <v/>
      </c>
      <c r="M1443" s="9">
        <f>IF(ISNA(MATCH(1430,Engine!$C$2:$C$1960,0)),"",INDEX('Compliance Database'!$M$2:$M$1960,MATCH(1430,Engine!$C$2:$C$1960,0)))</f>
        <v/>
      </c>
      <c r="N1443" s="9">
        <f>IF(ISNA(MATCH(1430,Engine!$C$2:$C$1960,0)),"",INDEX('Compliance Database'!$N$2:$N$1960,MATCH(1430,Engine!$C$2:$C$1960,0)))</f>
        <v/>
      </c>
      <c r="O1443" s="9">
        <f>IF(ISNA(MATCH(1430,Engine!$C$2:$C$1960,0)),"",INDEX('Compliance Database'!$O$2:$O$1960,MATCH(1430,Engine!$C$2:$C$1960,0)))</f>
        <v/>
      </c>
      <c r="P1443" s="8">
        <f>IF(ISNA(MATCH(1430,Engine!$C$2:$C$1960,0)),"",HYPERLINK("#Acts!A"&amp;INDEX('Compliance Database'!$P$2:$P$1960,MATCH(1430,Engine!$C$2:$C$1960,0)),"Go to Act"))</f>
        <v/>
      </c>
    </row>
    <row r="1444" ht="158" customHeight="1">
      <c r="A1444" s="8">
        <f>IF(ISNA(MATCH(1431,Engine!$C$2:$C$1960,0)),"",INDEX('Compliance Database'!$A$2:$A$1960,MATCH(1431,Engine!$C$2:$C$1960,0)))</f>
        <v/>
      </c>
      <c r="B1444" s="8">
        <f>IF(ISNA(MATCH(1431,Engine!$C$2:$C$1960,0)),"",INDEX('Compliance Database'!$B$2:$B$1960,MATCH(1431,Engine!$C$2:$C$1960,0)))</f>
        <v/>
      </c>
      <c r="C1444" s="8">
        <f>IF(ISNA(MATCH(1431,Engine!$C$2:$C$1960,0)),"",INDEX('Compliance Database'!$C$2:$C$1960,MATCH(1431,Engine!$C$2:$C$1960,0)))</f>
        <v/>
      </c>
      <c r="D1444" s="9">
        <f>IF(ISNA(MATCH(1431,Engine!$C$2:$C$1960,0)),"",INDEX('Compliance Database'!$D$2:$D$1960,MATCH(1431,Engine!$C$2:$C$1960,0)))</f>
        <v/>
      </c>
      <c r="E1444" s="8">
        <f>IF(ISNA(MATCH(1431,Engine!$C$2:$C$1960,0)),"",INDEX('Compliance Database'!$E$2:$E$1960,MATCH(1431,Engine!$C$2:$C$1960,0)))</f>
        <v/>
      </c>
      <c r="F1444" s="8">
        <f>IF(ISNA(MATCH(1431,Engine!$C$2:$C$1960,0)),"",INDEX('Compliance Database'!$F$2:$F$1960,MATCH(1431,Engine!$C$2:$C$1960,0)))</f>
        <v/>
      </c>
      <c r="G1444" s="8">
        <f>IF(ISNA(MATCH(1431,Engine!$C$2:$C$1960,0)),"",INDEX('Compliance Database'!$G$2:$G$1960,MATCH(1431,Engine!$C$2:$C$1960,0)))</f>
        <v/>
      </c>
      <c r="H1444" s="9">
        <f>IF(ISNA(MATCH(1431,Engine!$C$2:$C$1960,0)),"",INDEX('Compliance Database'!$H$2:$H$1960,MATCH(1431,Engine!$C$2:$C$1960,0)))</f>
        <v/>
      </c>
      <c r="I1444" s="9">
        <f>IF(ISNA(MATCH(1431,Engine!$C$2:$C$1960,0)),"",INDEX('Compliance Database'!$I$2:$I$1960,MATCH(1431,Engine!$C$2:$C$1960,0)))</f>
        <v/>
      </c>
      <c r="J1444" s="8">
        <f>IF(ISNA(MATCH(1431,Engine!$C$2:$C$1960,0)),"",INDEX('Compliance Database'!$J$2:$J$1960,MATCH(1431,Engine!$C$2:$C$1960,0)))</f>
        <v/>
      </c>
      <c r="K1444" s="9">
        <f>IF(ISNA(MATCH(1431,Engine!$C$2:$C$1960,0)),"",INDEX('Compliance Database'!$K$2:$K$1960,MATCH(1431,Engine!$C$2:$C$1960,0)))</f>
        <v/>
      </c>
      <c r="L1444" s="9">
        <f>IF(ISNA(MATCH(1431,Engine!$C$2:$C$1960,0)),"",INDEX('Compliance Database'!$L$2:$L$1960,MATCH(1431,Engine!$C$2:$C$1960,0)))</f>
        <v/>
      </c>
      <c r="M1444" s="9">
        <f>IF(ISNA(MATCH(1431,Engine!$C$2:$C$1960,0)),"",INDEX('Compliance Database'!$M$2:$M$1960,MATCH(1431,Engine!$C$2:$C$1960,0)))</f>
        <v/>
      </c>
      <c r="N1444" s="9">
        <f>IF(ISNA(MATCH(1431,Engine!$C$2:$C$1960,0)),"",INDEX('Compliance Database'!$N$2:$N$1960,MATCH(1431,Engine!$C$2:$C$1960,0)))</f>
        <v/>
      </c>
      <c r="O1444" s="9">
        <f>IF(ISNA(MATCH(1431,Engine!$C$2:$C$1960,0)),"",INDEX('Compliance Database'!$O$2:$O$1960,MATCH(1431,Engine!$C$2:$C$1960,0)))</f>
        <v/>
      </c>
      <c r="P1444" s="8">
        <f>IF(ISNA(MATCH(1431,Engine!$C$2:$C$1960,0)),"",HYPERLINK("#Acts!A"&amp;INDEX('Compliance Database'!$P$2:$P$1960,MATCH(1431,Engine!$C$2:$C$1960,0)),"Go to Act"))</f>
        <v/>
      </c>
    </row>
    <row r="1445" ht="158" customHeight="1">
      <c r="A1445" s="8">
        <f>IF(ISNA(MATCH(1432,Engine!$C$2:$C$1960,0)),"",INDEX('Compliance Database'!$A$2:$A$1960,MATCH(1432,Engine!$C$2:$C$1960,0)))</f>
        <v/>
      </c>
      <c r="B1445" s="8">
        <f>IF(ISNA(MATCH(1432,Engine!$C$2:$C$1960,0)),"",INDEX('Compliance Database'!$B$2:$B$1960,MATCH(1432,Engine!$C$2:$C$1960,0)))</f>
        <v/>
      </c>
      <c r="C1445" s="8">
        <f>IF(ISNA(MATCH(1432,Engine!$C$2:$C$1960,0)),"",INDEX('Compliance Database'!$C$2:$C$1960,MATCH(1432,Engine!$C$2:$C$1960,0)))</f>
        <v/>
      </c>
      <c r="D1445" s="9">
        <f>IF(ISNA(MATCH(1432,Engine!$C$2:$C$1960,0)),"",INDEX('Compliance Database'!$D$2:$D$1960,MATCH(1432,Engine!$C$2:$C$1960,0)))</f>
        <v/>
      </c>
      <c r="E1445" s="8">
        <f>IF(ISNA(MATCH(1432,Engine!$C$2:$C$1960,0)),"",INDEX('Compliance Database'!$E$2:$E$1960,MATCH(1432,Engine!$C$2:$C$1960,0)))</f>
        <v/>
      </c>
      <c r="F1445" s="8">
        <f>IF(ISNA(MATCH(1432,Engine!$C$2:$C$1960,0)),"",INDEX('Compliance Database'!$F$2:$F$1960,MATCH(1432,Engine!$C$2:$C$1960,0)))</f>
        <v/>
      </c>
      <c r="G1445" s="8">
        <f>IF(ISNA(MATCH(1432,Engine!$C$2:$C$1960,0)),"",INDEX('Compliance Database'!$G$2:$G$1960,MATCH(1432,Engine!$C$2:$C$1960,0)))</f>
        <v/>
      </c>
      <c r="H1445" s="9">
        <f>IF(ISNA(MATCH(1432,Engine!$C$2:$C$1960,0)),"",INDEX('Compliance Database'!$H$2:$H$1960,MATCH(1432,Engine!$C$2:$C$1960,0)))</f>
        <v/>
      </c>
      <c r="I1445" s="9">
        <f>IF(ISNA(MATCH(1432,Engine!$C$2:$C$1960,0)),"",INDEX('Compliance Database'!$I$2:$I$1960,MATCH(1432,Engine!$C$2:$C$1960,0)))</f>
        <v/>
      </c>
      <c r="J1445" s="8">
        <f>IF(ISNA(MATCH(1432,Engine!$C$2:$C$1960,0)),"",INDEX('Compliance Database'!$J$2:$J$1960,MATCH(1432,Engine!$C$2:$C$1960,0)))</f>
        <v/>
      </c>
      <c r="K1445" s="9">
        <f>IF(ISNA(MATCH(1432,Engine!$C$2:$C$1960,0)),"",INDEX('Compliance Database'!$K$2:$K$1960,MATCH(1432,Engine!$C$2:$C$1960,0)))</f>
        <v/>
      </c>
      <c r="L1445" s="9">
        <f>IF(ISNA(MATCH(1432,Engine!$C$2:$C$1960,0)),"",INDEX('Compliance Database'!$L$2:$L$1960,MATCH(1432,Engine!$C$2:$C$1960,0)))</f>
        <v/>
      </c>
      <c r="M1445" s="9">
        <f>IF(ISNA(MATCH(1432,Engine!$C$2:$C$1960,0)),"",INDEX('Compliance Database'!$M$2:$M$1960,MATCH(1432,Engine!$C$2:$C$1960,0)))</f>
        <v/>
      </c>
      <c r="N1445" s="9">
        <f>IF(ISNA(MATCH(1432,Engine!$C$2:$C$1960,0)),"",INDEX('Compliance Database'!$N$2:$N$1960,MATCH(1432,Engine!$C$2:$C$1960,0)))</f>
        <v/>
      </c>
      <c r="O1445" s="9">
        <f>IF(ISNA(MATCH(1432,Engine!$C$2:$C$1960,0)),"",INDEX('Compliance Database'!$O$2:$O$1960,MATCH(1432,Engine!$C$2:$C$1960,0)))</f>
        <v/>
      </c>
      <c r="P1445" s="8">
        <f>IF(ISNA(MATCH(1432,Engine!$C$2:$C$1960,0)),"",HYPERLINK("#Acts!A"&amp;INDEX('Compliance Database'!$P$2:$P$1960,MATCH(1432,Engine!$C$2:$C$1960,0)),"Go to Act"))</f>
        <v/>
      </c>
    </row>
    <row r="1446" ht="158" customHeight="1">
      <c r="A1446" s="8">
        <f>IF(ISNA(MATCH(1433,Engine!$C$2:$C$1960,0)),"",INDEX('Compliance Database'!$A$2:$A$1960,MATCH(1433,Engine!$C$2:$C$1960,0)))</f>
        <v/>
      </c>
      <c r="B1446" s="8">
        <f>IF(ISNA(MATCH(1433,Engine!$C$2:$C$1960,0)),"",INDEX('Compliance Database'!$B$2:$B$1960,MATCH(1433,Engine!$C$2:$C$1960,0)))</f>
        <v/>
      </c>
      <c r="C1446" s="8">
        <f>IF(ISNA(MATCH(1433,Engine!$C$2:$C$1960,0)),"",INDEX('Compliance Database'!$C$2:$C$1960,MATCH(1433,Engine!$C$2:$C$1960,0)))</f>
        <v/>
      </c>
      <c r="D1446" s="9">
        <f>IF(ISNA(MATCH(1433,Engine!$C$2:$C$1960,0)),"",INDEX('Compliance Database'!$D$2:$D$1960,MATCH(1433,Engine!$C$2:$C$1960,0)))</f>
        <v/>
      </c>
      <c r="E1446" s="8">
        <f>IF(ISNA(MATCH(1433,Engine!$C$2:$C$1960,0)),"",INDEX('Compliance Database'!$E$2:$E$1960,MATCH(1433,Engine!$C$2:$C$1960,0)))</f>
        <v/>
      </c>
      <c r="F1446" s="8">
        <f>IF(ISNA(MATCH(1433,Engine!$C$2:$C$1960,0)),"",INDEX('Compliance Database'!$F$2:$F$1960,MATCH(1433,Engine!$C$2:$C$1960,0)))</f>
        <v/>
      </c>
      <c r="G1446" s="8">
        <f>IF(ISNA(MATCH(1433,Engine!$C$2:$C$1960,0)),"",INDEX('Compliance Database'!$G$2:$G$1960,MATCH(1433,Engine!$C$2:$C$1960,0)))</f>
        <v/>
      </c>
      <c r="H1446" s="9">
        <f>IF(ISNA(MATCH(1433,Engine!$C$2:$C$1960,0)),"",INDEX('Compliance Database'!$H$2:$H$1960,MATCH(1433,Engine!$C$2:$C$1960,0)))</f>
        <v/>
      </c>
      <c r="I1446" s="9">
        <f>IF(ISNA(MATCH(1433,Engine!$C$2:$C$1960,0)),"",INDEX('Compliance Database'!$I$2:$I$1960,MATCH(1433,Engine!$C$2:$C$1960,0)))</f>
        <v/>
      </c>
      <c r="J1446" s="8">
        <f>IF(ISNA(MATCH(1433,Engine!$C$2:$C$1960,0)),"",INDEX('Compliance Database'!$J$2:$J$1960,MATCH(1433,Engine!$C$2:$C$1960,0)))</f>
        <v/>
      </c>
      <c r="K1446" s="9">
        <f>IF(ISNA(MATCH(1433,Engine!$C$2:$C$1960,0)),"",INDEX('Compliance Database'!$K$2:$K$1960,MATCH(1433,Engine!$C$2:$C$1960,0)))</f>
        <v/>
      </c>
      <c r="L1446" s="9">
        <f>IF(ISNA(MATCH(1433,Engine!$C$2:$C$1960,0)),"",INDEX('Compliance Database'!$L$2:$L$1960,MATCH(1433,Engine!$C$2:$C$1960,0)))</f>
        <v/>
      </c>
      <c r="M1446" s="9">
        <f>IF(ISNA(MATCH(1433,Engine!$C$2:$C$1960,0)),"",INDEX('Compliance Database'!$M$2:$M$1960,MATCH(1433,Engine!$C$2:$C$1960,0)))</f>
        <v/>
      </c>
      <c r="N1446" s="9">
        <f>IF(ISNA(MATCH(1433,Engine!$C$2:$C$1960,0)),"",INDEX('Compliance Database'!$N$2:$N$1960,MATCH(1433,Engine!$C$2:$C$1960,0)))</f>
        <v/>
      </c>
      <c r="O1446" s="9">
        <f>IF(ISNA(MATCH(1433,Engine!$C$2:$C$1960,0)),"",INDEX('Compliance Database'!$O$2:$O$1960,MATCH(1433,Engine!$C$2:$C$1960,0)))</f>
        <v/>
      </c>
      <c r="P1446" s="8">
        <f>IF(ISNA(MATCH(1433,Engine!$C$2:$C$1960,0)),"",HYPERLINK("#Acts!A"&amp;INDEX('Compliance Database'!$P$2:$P$1960,MATCH(1433,Engine!$C$2:$C$1960,0)),"Go to Act"))</f>
        <v/>
      </c>
    </row>
    <row r="1447" ht="158" customHeight="1">
      <c r="A1447" s="8">
        <f>IF(ISNA(MATCH(1434,Engine!$C$2:$C$1960,0)),"",INDEX('Compliance Database'!$A$2:$A$1960,MATCH(1434,Engine!$C$2:$C$1960,0)))</f>
        <v/>
      </c>
      <c r="B1447" s="8">
        <f>IF(ISNA(MATCH(1434,Engine!$C$2:$C$1960,0)),"",INDEX('Compliance Database'!$B$2:$B$1960,MATCH(1434,Engine!$C$2:$C$1960,0)))</f>
        <v/>
      </c>
      <c r="C1447" s="8">
        <f>IF(ISNA(MATCH(1434,Engine!$C$2:$C$1960,0)),"",INDEX('Compliance Database'!$C$2:$C$1960,MATCH(1434,Engine!$C$2:$C$1960,0)))</f>
        <v/>
      </c>
      <c r="D1447" s="9">
        <f>IF(ISNA(MATCH(1434,Engine!$C$2:$C$1960,0)),"",INDEX('Compliance Database'!$D$2:$D$1960,MATCH(1434,Engine!$C$2:$C$1960,0)))</f>
        <v/>
      </c>
      <c r="E1447" s="8">
        <f>IF(ISNA(MATCH(1434,Engine!$C$2:$C$1960,0)),"",INDEX('Compliance Database'!$E$2:$E$1960,MATCH(1434,Engine!$C$2:$C$1960,0)))</f>
        <v/>
      </c>
      <c r="F1447" s="8">
        <f>IF(ISNA(MATCH(1434,Engine!$C$2:$C$1960,0)),"",INDEX('Compliance Database'!$F$2:$F$1960,MATCH(1434,Engine!$C$2:$C$1960,0)))</f>
        <v/>
      </c>
      <c r="G1447" s="8">
        <f>IF(ISNA(MATCH(1434,Engine!$C$2:$C$1960,0)),"",INDEX('Compliance Database'!$G$2:$G$1960,MATCH(1434,Engine!$C$2:$C$1960,0)))</f>
        <v/>
      </c>
      <c r="H1447" s="9">
        <f>IF(ISNA(MATCH(1434,Engine!$C$2:$C$1960,0)),"",INDEX('Compliance Database'!$H$2:$H$1960,MATCH(1434,Engine!$C$2:$C$1960,0)))</f>
        <v/>
      </c>
      <c r="I1447" s="9">
        <f>IF(ISNA(MATCH(1434,Engine!$C$2:$C$1960,0)),"",INDEX('Compliance Database'!$I$2:$I$1960,MATCH(1434,Engine!$C$2:$C$1960,0)))</f>
        <v/>
      </c>
      <c r="J1447" s="8">
        <f>IF(ISNA(MATCH(1434,Engine!$C$2:$C$1960,0)),"",INDEX('Compliance Database'!$J$2:$J$1960,MATCH(1434,Engine!$C$2:$C$1960,0)))</f>
        <v/>
      </c>
      <c r="K1447" s="9">
        <f>IF(ISNA(MATCH(1434,Engine!$C$2:$C$1960,0)),"",INDEX('Compliance Database'!$K$2:$K$1960,MATCH(1434,Engine!$C$2:$C$1960,0)))</f>
        <v/>
      </c>
      <c r="L1447" s="9">
        <f>IF(ISNA(MATCH(1434,Engine!$C$2:$C$1960,0)),"",INDEX('Compliance Database'!$L$2:$L$1960,MATCH(1434,Engine!$C$2:$C$1960,0)))</f>
        <v/>
      </c>
      <c r="M1447" s="9">
        <f>IF(ISNA(MATCH(1434,Engine!$C$2:$C$1960,0)),"",INDEX('Compliance Database'!$M$2:$M$1960,MATCH(1434,Engine!$C$2:$C$1960,0)))</f>
        <v/>
      </c>
      <c r="N1447" s="9">
        <f>IF(ISNA(MATCH(1434,Engine!$C$2:$C$1960,0)),"",INDEX('Compliance Database'!$N$2:$N$1960,MATCH(1434,Engine!$C$2:$C$1960,0)))</f>
        <v/>
      </c>
      <c r="O1447" s="9">
        <f>IF(ISNA(MATCH(1434,Engine!$C$2:$C$1960,0)),"",INDEX('Compliance Database'!$O$2:$O$1960,MATCH(1434,Engine!$C$2:$C$1960,0)))</f>
        <v/>
      </c>
      <c r="P1447" s="8">
        <f>IF(ISNA(MATCH(1434,Engine!$C$2:$C$1960,0)),"",HYPERLINK("#Acts!A"&amp;INDEX('Compliance Database'!$P$2:$P$1960,MATCH(1434,Engine!$C$2:$C$1960,0)),"Go to Act"))</f>
        <v/>
      </c>
    </row>
    <row r="1448" ht="158" customHeight="1">
      <c r="A1448" s="8">
        <f>IF(ISNA(MATCH(1435,Engine!$C$2:$C$1960,0)),"",INDEX('Compliance Database'!$A$2:$A$1960,MATCH(1435,Engine!$C$2:$C$1960,0)))</f>
        <v/>
      </c>
      <c r="B1448" s="8">
        <f>IF(ISNA(MATCH(1435,Engine!$C$2:$C$1960,0)),"",INDEX('Compliance Database'!$B$2:$B$1960,MATCH(1435,Engine!$C$2:$C$1960,0)))</f>
        <v/>
      </c>
      <c r="C1448" s="8">
        <f>IF(ISNA(MATCH(1435,Engine!$C$2:$C$1960,0)),"",INDEX('Compliance Database'!$C$2:$C$1960,MATCH(1435,Engine!$C$2:$C$1960,0)))</f>
        <v/>
      </c>
      <c r="D1448" s="9">
        <f>IF(ISNA(MATCH(1435,Engine!$C$2:$C$1960,0)),"",INDEX('Compliance Database'!$D$2:$D$1960,MATCH(1435,Engine!$C$2:$C$1960,0)))</f>
        <v/>
      </c>
      <c r="E1448" s="8">
        <f>IF(ISNA(MATCH(1435,Engine!$C$2:$C$1960,0)),"",INDEX('Compliance Database'!$E$2:$E$1960,MATCH(1435,Engine!$C$2:$C$1960,0)))</f>
        <v/>
      </c>
      <c r="F1448" s="8">
        <f>IF(ISNA(MATCH(1435,Engine!$C$2:$C$1960,0)),"",INDEX('Compliance Database'!$F$2:$F$1960,MATCH(1435,Engine!$C$2:$C$1960,0)))</f>
        <v/>
      </c>
      <c r="G1448" s="8">
        <f>IF(ISNA(MATCH(1435,Engine!$C$2:$C$1960,0)),"",INDEX('Compliance Database'!$G$2:$G$1960,MATCH(1435,Engine!$C$2:$C$1960,0)))</f>
        <v/>
      </c>
      <c r="H1448" s="9">
        <f>IF(ISNA(MATCH(1435,Engine!$C$2:$C$1960,0)),"",INDEX('Compliance Database'!$H$2:$H$1960,MATCH(1435,Engine!$C$2:$C$1960,0)))</f>
        <v/>
      </c>
      <c r="I1448" s="9">
        <f>IF(ISNA(MATCH(1435,Engine!$C$2:$C$1960,0)),"",INDEX('Compliance Database'!$I$2:$I$1960,MATCH(1435,Engine!$C$2:$C$1960,0)))</f>
        <v/>
      </c>
      <c r="J1448" s="8">
        <f>IF(ISNA(MATCH(1435,Engine!$C$2:$C$1960,0)),"",INDEX('Compliance Database'!$J$2:$J$1960,MATCH(1435,Engine!$C$2:$C$1960,0)))</f>
        <v/>
      </c>
      <c r="K1448" s="9">
        <f>IF(ISNA(MATCH(1435,Engine!$C$2:$C$1960,0)),"",INDEX('Compliance Database'!$K$2:$K$1960,MATCH(1435,Engine!$C$2:$C$1960,0)))</f>
        <v/>
      </c>
      <c r="L1448" s="9">
        <f>IF(ISNA(MATCH(1435,Engine!$C$2:$C$1960,0)),"",INDEX('Compliance Database'!$L$2:$L$1960,MATCH(1435,Engine!$C$2:$C$1960,0)))</f>
        <v/>
      </c>
      <c r="M1448" s="9">
        <f>IF(ISNA(MATCH(1435,Engine!$C$2:$C$1960,0)),"",INDEX('Compliance Database'!$M$2:$M$1960,MATCH(1435,Engine!$C$2:$C$1960,0)))</f>
        <v/>
      </c>
      <c r="N1448" s="9">
        <f>IF(ISNA(MATCH(1435,Engine!$C$2:$C$1960,0)),"",INDEX('Compliance Database'!$N$2:$N$1960,MATCH(1435,Engine!$C$2:$C$1960,0)))</f>
        <v/>
      </c>
      <c r="O1448" s="9">
        <f>IF(ISNA(MATCH(1435,Engine!$C$2:$C$1960,0)),"",INDEX('Compliance Database'!$O$2:$O$1960,MATCH(1435,Engine!$C$2:$C$1960,0)))</f>
        <v/>
      </c>
      <c r="P1448" s="8">
        <f>IF(ISNA(MATCH(1435,Engine!$C$2:$C$1960,0)),"",HYPERLINK("#Acts!A"&amp;INDEX('Compliance Database'!$P$2:$P$1960,MATCH(1435,Engine!$C$2:$C$1960,0)),"Go to Act"))</f>
        <v/>
      </c>
    </row>
    <row r="1449" ht="158" customHeight="1">
      <c r="A1449" s="8">
        <f>IF(ISNA(MATCH(1436,Engine!$C$2:$C$1960,0)),"",INDEX('Compliance Database'!$A$2:$A$1960,MATCH(1436,Engine!$C$2:$C$1960,0)))</f>
        <v/>
      </c>
      <c r="B1449" s="8">
        <f>IF(ISNA(MATCH(1436,Engine!$C$2:$C$1960,0)),"",INDEX('Compliance Database'!$B$2:$B$1960,MATCH(1436,Engine!$C$2:$C$1960,0)))</f>
        <v/>
      </c>
      <c r="C1449" s="8">
        <f>IF(ISNA(MATCH(1436,Engine!$C$2:$C$1960,0)),"",INDEX('Compliance Database'!$C$2:$C$1960,MATCH(1436,Engine!$C$2:$C$1960,0)))</f>
        <v/>
      </c>
      <c r="D1449" s="9">
        <f>IF(ISNA(MATCH(1436,Engine!$C$2:$C$1960,0)),"",INDEX('Compliance Database'!$D$2:$D$1960,MATCH(1436,Engine!$C$2:$C$1960,0)))</f>
        <v/>
      </c>
      <c r="E1449" s="8">
        <f>IF(ISNA(MATCH(1436,Engine!$C$2:$C$1960,0)),"",INDEX('Compliance Database'!$E$2:$E$1960,MATCH(1436,Engine!$C$2:$C$1960,0)))</f>
        <v/>
      </c>
      <c r="F1449" s="8">
        <f>IF(ISNA(MATCH(1436,Engine!$C$2:$C$1960,0)),"",INDEX('Compliance Database'!$F$2:$F$1960,MATCH(1436,Engine!$C$2:$C$1960,0)))</f>
        <v/>
      </c>
      <c r="G1449" s="8">
        <f>IF(ISNA(MATCH(1436,Engine!$C$2:$C$1960,0)),"",INDEX('Compliance Database'!$G$2:$G$1960,MATCH(1436,Engine!$C$2:$C$1960,0)))</f>
        <v/>
      </c>
      <c r="H1449" s="9">
        <f>IF(ISNA(MATCH(1436,Engine!$C$2:$C$1960,0)),"",INDEX('Compliance Database'!$H$2:$H$1960,MATCH(1436,Engine!$C$2:$C$1960,0)))</f>
        <v/>
      </c>
      <c r="I1449" s="9">
        <f>IF(ISNA(MATCH(1436,Engine!$C$2:$C$1960,0)),"",INDEX('Compliance Database'!$I$2:$I$1960,MATCH(1436,Engine!$C$2:$C$1960,0)))</f>
        <v/>
      </c>
      <c r="J1449" s="8">
        <f>IF(ISNA(MATCH(1436,Engine!$C$2:$C$1960,0)),"",INDEX('Compliance Database'!$J$2:$J$1960,MATCH(1436,Engine!$C$2:$C$1960,0)))</f>
        <v/>
      </c>
      <c r="K1449" s="9">
        <f>IF(ISNA(MATCH(1436,Engine!$C$2:$C$1960,0)),"",INDEX('Compliance Database'!$K$2:$K$1960,MATCH(1436,Engine!$C$2:$C$1960,0)))</f>
        <v/>
      </c>
      <c r="L1449" s="9">
        <f>IF(ISNA(MATCH(1436,Engine!$C$2:$C$1960,0)),"",INDEX('Compliance Database'!$L$2:$L$1960,MATCH(1436,Engine!$C$2:$C$1960,0)))</f>
        <v/>
      </c>
      <c r="M1449" s="9">
        <f>IF(ISNA(MATCH(1436,Engine!$C$2:$C$1960,0)),"",INDEX('Compliance Database'!$M$2:$M$1960,MATCH(1436,Engine!$C$2:$C$1960,0)))</f>
        <v/>
      </c>
      <c r="N1449" s="9">
        <f>IF(ISNA(MATCH(1436,Engine!$C$2:$C$1960,0)),"",INDEX('Compliance Database'!$N$2:$N$1960,MATCH(1436,Engine!$C$2:$C$1960,0)))</f>
        <v/>
      </c>
      <c r="O1449" s="9">
        <f>IF(ISNA(MATCH(1436,Engine!$C$2:$C$1960,0)),"",INDEX('Compliance Database'!$O$2:$O$1960,MATCH(1436,Engine!$C$2:$C$1960,0)))</f>
        <v/>
      </c>
      <c r="P1449" s="8">
        <f>IF(ISNA(MATCH(1436,Engine!$C$2:$C$1960,0)),"",HYPERLINK("#Acts!A"&amp;INDEX('Compliance Database'!$P$2:$P$1960,MATCH(1436,Engine!$C$2:$C$1960,0)),"Go to Act"))</f>
        <v/>
      </c>
    </row>
    <row r="1450" ht="158" customHeight="1">
      <c r="A1450" s="8">
        <f>IF(ISNA(MATCH(1437,Engine!$C$2:$C$1960,0)),"",INDEX('Compliance Database'!$A$2:$A$1960,MATCH(1437,Engine!$C$2:$C$1960,0)))</f>
        <v/>
      </c>
      <c r="B1450" s="8">
        <f>IF(ISNA(MATCH(1437,Engine!$C$2:$C$1960,0)),"",INDEX('Compliance Database'!$B$2:$B$1960,MATCH(1437,Engine!$C$2:$C$1960,0)))</f>
        <v/>
      </c>
      <c r="C1450" s="8">
        <f>IF(ISNA(MATCH(1437,Engine!$C$2:$C$1960,0)),"",INDEX('Compliance Database'!$C$2:$C$1960,MATCH(1437,Engine!$C$2:$C$1960,0)))</f>
        <v/>
      </c>
      <c r="D1450" s="9">
        <f>IF(ISNA(MATCH(1437,Engine!$C$2:$C$1960,0)),"",INDEX('Compliance Database'!$D$2:$D$1960,MATCH(1437,Engine!$C$2:$C$1960,0)))</f>
        <v/>
      </c>
      <c r="E1450" s="8">
        <f>IF(ISNA(MATCH(1437,Engine!$C$2:$C$1960,0)),"",INDEX('Compliance Database'!$E$2:$E$1960,MATCH(1437,Engine!$C$2:$C$1960,0)))</f>
        <v/>
      </c>
      <c r="F1450" s="8">
        <f>IF(ISNA(MATCH(1437,Engine!$C$2:$C$1960,0)),"",INDEX('Compliance Database'!$F$2:$F$1960,MATCH(1437,Engine!$C$2:$C$1960,0)))</f>
        <v/>
      </c>
      <c r="G1450" s="8">
        <f>IF(ISNA(MATCH(1437,Engine!$C$2:$C$1960,0)),"",INDEX('Compliance Database'!$G$2:$G$1960,MATCH(1437,Engine!$C$2:$C$1960,0)))</f>
        <v/>
      </c>
      <c r="H1450" s="9">
        <f>IF(ISNA(MATCH(1437,Engine!$C$2:$C$1960,0)),"",INDEX('Compliance Database'!$H$2:$H$1960,MATCH(1437,Engine!$C$2:$C$1960,0)))</f>
        <v/>
      </c>
      <c r="I1450" s="9">
        <f>IF(ISNA(MATCH(1437,Engine!$C$2:$C$1960,0)),"",INDEX('Compliance Database'!$I$2:$I$1960,MATCH(1437,Engine!$C$2:$C$1960,0)))</f>
        <v/>
      </c>
      <c r="J1450" s="8">
        <f>IF(ISNA(MATCH(1437,Engine!$C$2:$C$1960,0)),"",INDEX('Compliance Database'!$J$2:$J$1960,MATCH(1437,Engine!$C$2:$C$1960,0)))</f>
        <v/>
      </c>
      <c r="K1450" s="9">
        <f>IF(ISNA(MATCH(1437,Engine!$C$2:$C$1960,0)),"",INDEX('Compliance Database'!$K$2:$K$1960,MATCH(1437,Engine!$C$2:$C$1960,0)))</f>
        <v/>
      </c>
      <c r="L1450" s="9">
        <f>IF(ISNA(MATCH(1437,Engine!$C$2:$C$1960,0)),"",INDEX('Compliance Database'!$L$2:$L$1960,MATCH(1437,Engine!$C$2:$C$1960,0)))</f>
        <v/>
      </c>
      <c r="M1450" s="9">
        <f>IF(ISNA(MATCH(1437,Engine!$C$2:$C$1960,0)),"",INDEX('Compliance Database'!$M$2:$M$1960,MATCH(1437,Engine!$C$2:$C$1960,0)))</f>
        <v/>
      </c>
      <c r="N1450" s="9">
        <f>IF(ISNA(MATCH(1437,Engine!$C$2:$C$1960,0)),"",INDEX('Compliance Database'!$N$2:$N$1960,MATCH(1437,Engine!$C$2:$C$1960,0)))</f>
        <v/>
      </c>
      <c r="O1450" s="9">
        <f>IF(ISNA(MATCH(1437,Engine!$C$2:$C$1960,0)),"",INDEX('Compliance Database'!$O$2:$O$1960,MATCH(1437,Engine!$C$2:$C$1960,0)))</f>
        <v/>
      </c>
      <c r="P1450" s="8">
        <f>IF(ISNA(MATCH(1437,Engine!$C$2:$C$1960,0)),"",HYPERLINK("#Acts!A"&amp;INDEX('Compliance Database'!$P$2:$P$1960,MATCH(1437,Engine!$C$2:$C$1960,0)),"Go to Act"))</f>
        <v/>
      </c>
    </row>
    <row r="1451" ht="158" customHeight="1">
      <c r="A1451" s="8">
        <f>IF(ISNA(MATCH(1438,Engine!$C$2:$C$1960,0)),"",INDEX('Compliance Database'!$A$2:$A$1960,MATCH(1438,Engine!$C$2:$C$1960,0)))</f>
        <v/>
      </c>
      <c r="B1451" s="8">
        <f>IF(ISNA(MATCH(1438,Engine!$C$2:$C$1960,0)),"",INDEX('Compliance Database'!$B$2:$B$1960,MATCH(1438,Engine!$C$2:$C$1960,0)))</f>
        <v/>
      </c>
      <c r="C1451" s="8">
        <f>IF(ISNA(MATCH(1438,Engine!$C$2:$C$1960,0)),"",INDEX('Compliance Database'!$C$2:$C$1960,MATCH(1438,Engine!$C$2:$C$1960,0)))</f>
        <v/>
      </c>
      <c r="D1451" s="9">
        <f>IF(ISNA(MATCH(1438,Engine!$C$2:$C$1960,0)),"",INDEX('Compliance Database'!$D$2:$D$1960,MATCH(1438,Engine!$C$2:$C$1960,0)))</f>
        <v/>
      </c>
      <c r="E1451" s="8">
        <f>IF(ISNA(MATCH(1438,Engine!$C$2:$C$1960,0)),"",INDEX('Compliance Database'!$E$2:$E$1960,MATCH(1438,Engine!$C$2:$C$1960,0)))</f>
        <v/>
      </c>
      <c r="F1451" s="8">
        <f>IF(ISNA(MATCH(1438,Engine!$C$2:$C$1960,0)),"",INDEX('Compliance Database'!$F$2:$F$1960,MATCH(1438,Engine!$C$2:$C$1960,0)))</f>
        <v/>
      </c>
      <c r="G1451" s="8">
        <f>IF(ISNA(MATCH(1438,Engine!$C$2:$C$1960,0)),"",INDEX('Compliance Database'!$G$2:$G$1960,MATCH(1438,Engine!$C$2:$C$1960,0)))</f>
        <v/>
      </c>
      <c r="H1451" s="9">
        <f>IF(ISNA(MATCH(1438,Engine!$C$2:$C$1960,0)),"",INDEX('Compliance Database'!$H$2:$H$1960,MATCH(1438,Engine!$C$2:$C$1960,0)))</f>
        <v/>
      </c>
      <c r="I1451" s="9">
        <f>IF(ISNA(MATCH(1438,Engine!$C$2:$C$1960,0)),"",INDEX('Compliance Database'!$I$2:$I$1960,MATCH(1438,Engine!$C$2:$C$1960,0)))</f>
        <v/>
      </c>
      <c r="J1451" s="8">
        <f>IF(ISNA(MATCH(1438,Engine!$C$2:$C$1960,0)),"",INDEX('Compliance Database'!$J$2:$J$1960,MATCH(1438,Engine!$C$2:$C$1960,0)))</f>
        <v/>
      </c>
      <c r="K1451" s="9">
        <f>IF(ISNA(MATCH(1438,Engine!$C$2:$C$1960,0)),"",INDEX('Compliance Database'!$K$2:$K$1960,MATCH(1438,Engine!$C$2:$C$1960,0)))</f>
        <v/>
      </c>
      <c r="L1451" s="9">
        <f>IF(ISNA(MATCH(1438,Engine!$C$2:$C$1960,0)),"",INDEX('Compliance Database'!$L$2:$L$1960,MATCH(1438,Engine!$C$2:$C$1960,0)))</f>
        <v/>
      </c>
      <c r="M1451" s="9">
        <f>IF(ISNA(MATCH(1438,Engine!$C$2:$C$1960,0)),"",INDEX('Compliance Database'!$M$2:$M$1960,MATCH(1438,Engine!$C$2:$C$1960,0)))</f>
        <v/>
      </c>
      <c r="N1451" s="9">
        <f>IF(ISNA(MATCH(1438,Engine!$C$2:$C$1960,0)),"",INDEX('Compliance Database'!$N$2:$N$1960,MATCH(1438,Engine!$C$2:$C$1960,0)))</f>
        <v/>
      </c>
      <c r="O1451" s="9">
        <f>IF(ISNA(MATCH(1438,Engine!$C$2:$C$1960,0)),"",INDEX('Compliance Database'!$O$2:$O$1960,MATCH(1438,Engine!$C$2:$C$1960,0)))</f>
        <v/>
      </c>
      <c r="P1451" s="8">
        <f>IF(ISNA(MATCH(1438,Engine!$C$2:$C$1960,0)),"",HYPERLINK("#Acts!A"&amp;INDEX('Compliance Database'!$P$2:$P$1960,MATCH(1438,Engine!$C$2:$C$1960,0)),"Go to Act"))</f>
        <v/>
      </c>
    </row>
    <row r="1452" ht="158" customHeight="1">
      <c r="A1452" s="8">
        <f>IF(ISNA(MATCH(1439,Engine!$C$2:$C$1960,0)),"",INDEX('Compliance Database'!$A$2:$A$1960,MATCH(1439,Engine!$C$2:$C$1960,0)))</f>
        <v/>
      </c>
      <c r="B1452" s="8">
        <f>IF(ISNA(MATCH(1439,Engine!$C$2:$C$1960,0)),"",INDEX('Compliance Database'!$B$2:$B$1960,MATCH(1439,Engine!$C$2:$C$1960,0)))</f>
        <v/>
      </c>
      <c r="C1452" s="8">
        <f>IF(ISNA(MATCH(1439,Engine!$C$2:$C$1960,0)),"",INDEX('Compliance Database'!$C$2:$C$1960,MATCH(1439,Engine!$C$2:$C$1960,0)))</f>
        <v/>
      </c>
      <c r="D1452" s="9">
        <f>IF(ISNA(MATCH(1439,Engine!$C$2:$C$1960,0)),"",INDEX('Compliance Database'!$D$2:$D$1960,MATCH(1439,Engine!$C$2:$C$1960,0)))</f>
        <v/>
      </c>
      <c r="E1452" s="8">
        <f>IF(ISNA(MATCH(1439,Engine!$C$2:$C$1960,0)),"",INDEX('Compliance Database'!$E$2:$E$1960,MATCH(1439,Engine!$C$2:$C$1960,0)))</f>
        <v/>
      </c>
      <c r="F1452" s="8">
        <f>IF(ISNA(MATCH(1439,Engine!$C$2:$C$1960,0)),"",INDEX('Compliance Database'!$F$2:$F$1960,MATCH(1439,Engine!$C$2:$C$1960,0)))</f>
        <v/>
      </c>
      <c r="G1452" s="8">
        <f>IF(ISNA(MATCH(1439,Engine!$C$2:$C$1960,0)),"",INDEX('Compliance Database'!$G$2:$G$1960,MATCH(1439,Engine!$C$2:$C$1960,0)))</f>
        <v/>
      </c>
      <c r="H1452" s="9">
        <f>IF(ISNA(MATCH(1439,Engine!$C$2:$C$1960,0)),"",INDEX('Compliance Database'!$H$2:$H$1960,MATCH(1439,Engine!$C$2:$C$1960,0)))</f>
        <v/>
      </c>
      <c r="I1452" s="9">
        <f>IF(ISNA(MATCH(1439,Engine!$C$2:$C$1960,0)),"",INDEX('Compliance Database'!$I$2:$I$1960,MATCH(1439,Engine!$C$2:$C$1960,0)))</f>
        <v/>
      </c>
      <c r="J1452" s="8">
        <f>IF(ISNA(MATCH(1439,Engine!$C$2:$C$1960,0)),"",INDEX('Compliance Database'!$J$2:$J$1960,MATCH(1439,Engine!$C$2:$C$1960,0)))</f>
        <v/>
      </c>
      <c r="K1452" s="9">
        <f>IF(ISNA(MATCH(1439,Engine!$C$2:$C$1960,0)),"",INDEX('Compliance Database'!$K$2:$K$1960,MATCH(1439,Engine!$C$2:$C$1960,0)))</f>
        <v/>
      </c>
      <c r="L1452" s="9">
        <f>IF(ISNA(MATCH(1439,Engine!$C$2:$C$1960,0)),"",INDEX('Compliance Database'!$L$2:$L$1960,MATCH(1439,Engine!$C$2:$C$1960,0)))</f>
        <v/>
      </c>
      <c r="M1452" s="9">
        <f>IF(ISNA(MATCH(1439,Engine!$C$2:$C$1960,0)),"",INDEX('Compliance Database'!$M$2:$M$1960,MATCH(1439,Engine!$C$2:$C$1960,0)))</f>
        <v/>
      </c>
      <c r="N1452" s="9">
        <f>IF(ISNA(MATCH(1439,Engine!$C$2:$C$1960,0)),"",INDEX('Compliance Database'!$N$2:$N$1960,MATCH(1439,Engine!$C$2:$C$1960,0)))</f>
        <v/>
      </c>
      <c r="O1452" s="9">
        <f>IF(ISNA(MATCH(1439,Engine!$C$2:$C$1960,0)),"",INDEX('Compliance Database'!$O$2:$O$1960,MATCH(1439,Engine!$C$2:$C$1960,0)))</f>
        <v/>
      </c>
      <c r="P1452" s="8">
        <f>IF(ISNA(MATCH(1439,Engine!$C$2:$C$1960,0)),"",HYPERLINK("#Acts!A"&amp;INDEX('Compliance Database'!$P$2:$P$1960,MATCH(1439,Engine!$C$2:$C$1960,0)),"Go to Act"))</f>
        <v/>
      </c>
    </row>
    <row r="1453" ht="158" customHeight="1">
      <c r="A1453" s="8">
        <f>IF(ISNA(MATCH(1440,Engine!$C$2:$C$1960,0)),"",INDEX('Compliance Database'!$A$2:$A$1960,MATCH(1440,Engine!$C$2:$C$1960,0)))</f>
        <v/>
      </c>
      <c r="B1453" s="8">
        <f>IF(ISNA(MATCH(1440,Engine!$C$2:$C$1960,0)),"",INDEX('Compliance Database'!$B$2:$B$1960,MATCH(1440,Engine!$C$2:$C$1960,0)))</f>
        <v/>
      </c>
      <c r="C1453" s="8">
        <f>IF(ISNA(MATCH(1440,Engine!$C$2:$C$1960,0)),"",INDEX('Compliance Database'!$C$2:$C$1960,MATCH(1440,Engine!$C$2:$C$1960,0)))</f>
        <v/>
      </c>
      <c r="D1453" s="9">
        <f>IF(ISNA(MATCH(1440,Engine!$C$2:$C$1960,0)),"",INDEX('Compliance Database'!$D$2:$D$1960,MATCH(1440,Engine!$C$2:$C$1960,0)))</f>
        <v/>
      </c>
      <c r="E1453" s="8">
        <f>IF(ISNA(MATCH(1440,Engine!$C$2:$C$1960,0)),"",INDEX('Compliance Database'!$E$2:$E$1960,MATCH(1440,Engine!$C$2:$C$1960,0)))</f>
        <v/>
      </c>
      <c r="F1453" s="8">
        <f>IF(ISNA(MATCH(1440,Engine!$C$2:$C$1960,0)),"",INDEX('Compliance Database'!$F$2:$F$1960,MATCH(1440,Engine!$C$2:$C$1960,0)))</f>
        <v/>
      </c>
      <c r="G1453" s="8">
        <f>IF(ISNA(MATCH(1440,Engine!$C$2:$C$1960,0)),"",INDEX('Compliance Database'!$G$2:$G$1960,MATCH(1440,Engine!$C$2:$C$1960,0)))</f>
        <v/>
      </c>
      <c r="H1453" s="9">
        <f>IF(ISNA(MATCH(1440,Engine!$C$2:$C$1960,0)),"",INDEX('Compliance Database'!$H$2:$H$1960,MATCH(1440,Engine!$C$2:$C$1960,0)))</f>
        <v/>
      </c>
      <c r="I1453" s="9">
        <f>IF(ISNA(MATCH(1440,Engine!$C$2:$C$1960,0)),"",INDEX('Compliance Database'!$I$2:$I$1960,MATCH(1440,Engine!$C$2:$C$1960,0)))</f>
        <v/>
      </c>
      <c r="J1453" s="8">
        <f>IF(ISNA(MATCH(1440,Engine!$C$2:$C$1960,0)),"",INDEX('Compliance Database'!$J$2:$J$1960,MATCH(1440,Engine!$C$2:$C$1960,0)))</f>
        <v/>
      </c>
      <c r="K1453" s="9">
        <f>IF(ISNA(MATCH(1440,Engine!$C$2:$C$1960,0)),"",INDEX('Compliance Database'!$K$2:$K$1960,MATCH(1440,Engine!$C$2:$C$1960,0)))</f>
        <v/>
      </c>
      <c r="L1453" s="9">
        <f>IF(ISNA(MATCH(1440,Engine!$C$2:$C$1960,0)),"",INDEX('Compliance Database'!$L$2:$L$1960,MATCH(1440,Engine!$C$2:$C$1960,0)))</f>
        <v/>
      </c>
      <c r="M1453" s="9">
        <f>IF(ISNA(MATCH(1440,Engine!$C$2:$C$1960,0)),"",INDEX('Compliance Database'!$M$2:$M$1960,MATCH(1440,Engine!$C$2:$C$1960,0)))</f>
        <v/>
      </c>
      <c r="N1453" s="9">
        <f>IF(ISNA(MATCH(1440,Engine!$C$2:$C$1960,0)),"",INDEX('Compliance Database'!$N$2:$N$1960,MATCH(1440,Engine!$C$2:$C$1960,0)))</f>
        <v/>
      </c>
      <c r="O1453" s="9">
        <f>IF(ISNA(MATCH(1440,Engine!$C$2:$C$1960,0)),"",INDEX('Compliance Database'!$O$2:$O$1960,MATCH(1440,Engine!$C$2:$C$1960,0)))</f>
        <v/>
      </c>
      <c r="P1453" s="8">
        <f>IF(ISNA(MATCH(1440,Engine!$C$2:$C$1960,0)),"",HYPERLINK("#Acts!A"&amp;INDEX('Compliance Database'!$P$2:$P$1960,MATCH(1440,Engine!$C$2:$C$1960,0)),"Go to Act"))</f>
        <v/>
      </c>
    </row>
    <row r="1454" ht="158" customHeight="1">
      <c r="A1454" s="8">
        <f>IF(ISNA(MATCH(1441,Engine!$C$2:$C$1960,0)),"",INDEX('Compliance Database'!$A$2:$A$1960,MATCH(1441,Engine!$C$2:$C$1960,0)))</f>
        <v/>
      </c>
      <c r="B1454" s="8">
        <f>IF(ISNA(MATCH(1441,Engine!$C$2:$C$1960,0)),"",INDEX('Compliance Database'!$B$2:$B$1960,MATCH(1441,Engine!$C$2:$C$1960,0)))</f>
        <v/>
      </c>
      <c r="C1454" s="8">
        <f>IF(ISNA(MATCH(1441,Engine!$C$2:$C$1960,0)),"",INDEX('Compliance Database'!$C$2:$C$1960,MATCH(1441,Engine!$C$2:$C$1960,0)))</f>
        <v/>
      </c>
      <c r="D1454" s="9">
        <f>IF(ISNA(MATCH(1441,Engine!$C$2:$C$1960,0)),"",INDEX('Compliance Database'!$D$2:$D$1960,MATCH(1441,Engine!$C$2:$C$1960,0)))</f>
        <v/>
      </c>
      <c r="E1454" s="8">
        <f>IF(ISNA(MATCH(1441,Engine!$C$2:$C$1960,0)),"",INDEX('Compliance Database'!$E$2:$E$1960,MATCH(1441,Engine!$C$2:$C$1960,0)))</f>
        <v/>
      </c>
      <c r="F1454" s="8">
        <f>IF(ISNA(MATCH(1441,Engine!$C$2:$C$1960,0)),"",INDEX('Compliance Database'!$F$2:$F$1960,MATCH(1441,Engine!$C$2:$C$1960,0)))</f>
        <v/>
      </c>
      <c r="G1454" s="8">
        <f>IF(ISNA(MATCH(1441,Engine!$C$2:$C$1960,0)),"",INDEX('Compliance Database'!$G$2:$G$1960,MATCH(1441,Engine!$C$2:$C$1960,0)))</f>
        <v/>
      </c>
      <c r="H1454" s="9">
        <f>IF(ISNA(MATCH(1441,Engine!$C$2:$C$1960,0)),"",INDEX('Compliance Database'!$H$2:$H$1960,MATCH(1441,Engine!$C$2:$C$1960,0)))</f>
        <v/>
      </c>
      <c r="I1454" s="9">
        <f>IF(ISNA(MATCH(1441,Engine!$C$2:$C$1960,0)),"",INDEX('Compliance Database'!$I$2:$I$1960,MATCH(1441,Engine!$C$2:$C$1960,0)))</f>
        <v/>
      </c>
      <c r="J1454" s="8">
        <f>IF(ISNA(MATCH(1441,Engine!$C$2:$C$1960,0)),"",INDEX('Compliance Database'!$J$2:$J$1960,MATCH(1441,Engine!$C$2:$C$1960,0)))</f>
        <v/>
      </c>
      <c r="K1454" s="9">
        <f>IF(ISNA(MATCH(1441,Engine!$C$2:$C$1960,0)),"",INDEX('Compliance Database'!$K$2:$K$1960,MATCH(1441,Engine!$C$2:$C$1960,0)))</f>
        <v/>
      </c>
      <c r="L1454" s="9">
        <f>IF(ISNA(MATCH(1441,Engine!$C$2:$C$1960,0)),"",INDEX('Compliance Database'!$L$2:$L$1960,MATCH(1441,Engine!$C$2:$C$1960,0)))</f>
        <v/>
      </c>
      <c r="M1454" s="9">
        <f>IF(ISNA(MATCH(1441,Engine!$C$2:$C$1960,0)),"",INDEX('Compliance Database'!$M$2:$M$1960,MATCH(1441,Engine!$C$2:$C$1960,0)))</f>
        <v/>
      </c>
      <c r="N1454" s="9">
        <f>IF(ISNA(MATCH(1441,Engine!$C$2:$C$1960,0)),"",INDEX('Compliance Database'!$N$2:$N$1960,MATCH(1441,Engine!$C$2:$C$1960,0)))</f>
        <v/>
      </c>
      <c r="O1454" s="9">
        <f>IF(ISNA(MATCH(1441,Engine!$C$2:$C$1960,0)),"",INDEX('Compliance Database'!$O$2:$O$1960,MATCH(1441,Engine!$C$2:$C$1960,0)))</f>
        <v/>
      </c>
      <c r="P1454" s="8">
        <f>IF(ISNA(MATCH(1441,Engine!$C$2:$C$1960,0)),"",HYPERLINK("#Acts!A"&amp;INDEX('Compliance Database'!$P$2:$P$1960,MATCH(1441,Engine!$C$2:$C$1960,0)),"Go to Act"))</f>
        <v/>
      </c>
    </row>
    <row r="1455" ht="158" customHeight="1">
      <c r="A1455" s="8">
        <f>IF(ISNA(MATCH(1442,Engine!$C$2:$C$1960,0)),"",INDEX('Compliance Database'!$A$2:$A$1960,MATCH(1442,Engine!$C$2:$C$1960,0)))</f>
        <v/>
      </c>
      <c r="B1455" s="8">
        <f>IF(ISNA(MATCH(1442,Engine!$C$2:$C$1960,0)),"",INDEX('Compliance Database'!$B$2:$B$1960,MATCH(1442,Engine!$C$2:$C$1960,0)))</f>
        <v/>
      </c>
      <c r="C1455" s="8">
        <f>IF(ISNA(MATCH(1442,Engine!$C$2:$C$1960,0)),"",INDEX('Compliance Database'!$C$2:$C$1960,MATCH(1442,Engine!$C$2:$C$1960,0)))</f>
        <v/>
      </c>
      <c r="D1455" s="9">
        <f>IF(ISNA(MATCH(1442,Engine!$C$2:$C$1960,0)),"",INDEX('Compliance Database'!$D$2:$D$1960,MATCH(1442,Engine!$C$2:$C$1960,0)))</f>
        <v/>
      </c>
      <c r="E1455" s="8">
        <f>IF(ISNA(MATCH(1442,Engine!$C$2:$C$1960,0)),"",INDEX('Compliance Database'!$E$2:$E$1960,MATCH(1442,Engine!$C$2:$C$1960,0)))</f>
        <v/>
      </c>
      <c r="F1455" s="8">
        <f>IF(ISNA(MATCH(1442,Engine!$C$2:$C$1960,0)),"",INDEX('Compliance Database'!$F$2:$F$1960,MATCH(1442,Engine!$C$2:$C$1960,0)))</f>
        <v/>
      </c>
      <c r="G1455" s="8">
        <f>IF(ISNA(MATCH(1442,Engine!$C$2:$C$1960,0)),"",INDEX('Compliance Database'!$G$2:$G$1960,MATCH(1442,Engine!$C$2:$C$1960,0)))</f>
        <v/>
      </c>
      <c r="H1455" s="9">
        <f>IF(ISNA(MATCH(1442,Engine!$C$2:$C$1960,0)),"",INDEX('Compliance Database'!$H$2:$H$1960,MATCH(1442,Engine!$C$2:$C$1960,0)))</f>
        <v/>
      </c>
      <c r="I1455" s="9">
        <f>IF(ISNA(MATCH(1442,Engine!$C$2:$C$1960,0)),"",INDEX('Compliance Database'!$I$2:$I$1960,MATCH(1442,Engine!$C$2:$C$1960,0)))</f>
        <v/>
      </c>
      <c r="J1455" s="8">
        <f>IF(ISNA(MATCH(1442,Engine!$C$2:$C$1960,0)),"",INDEX('Compliance Database'!$J$2:$J$1960,MATCH(1442,Engine!$C$2:$C$1960,0)))</f>
        <v/>
      </c>
      <c r="K1455" s="9">
        <f>IF(ISNA(MATCH(1442,Engine!$C$2:$C$1960,0)),"",INDEX('Compliance Database'!$K$2:$K$1960,MATCH(1442,Engine!$C$2:$C$1960,0)))</f>
        <v/>
      </c>
      <c r="L1455" s="9">
        <f>IF(ISNA(MATCH(1442,Engine!$C$2:$C$1960,0)),"",INDEX('Compliance Database'!$L$2:$L$1960,MATCH(1442,Engine!$C$2:$C$1960,0)))</f>
        <v/>
      </c>
      <c r="M1455" s="9">
        <f>IF(ISNA(MATCH(1442,Engine!$C$2:$C$1960,0)),"",INDEX('Compliance Database'!$M$2:$M$1960,MATCH(1442,Engine!$C$2:$C$1960,0)))</f>
        <v/>
      </c>
      <c r="N1455" s="9">
        <f>IF(ISNA(MATCH(1442,Engine!$C$2:$C$1960,0)),"",INDEX('Compliance Database'!$N$2:$N$1960,MATCH(1442,Engine!$C$2:$C$1960,0)))</f>
        <v/>
      </c>
      <c r="O1455" s="9">
        <f>IF(ISNA(MATCH(1442,Engine!$C$2:$C$1960,0)),"",INDEX('Compliance Database'!$O$2:$O$1960,MATCH(1442,Engine!$C$2:$C$1960,0)))</f>
        <v/>
      </c>
      <c r="P1455" s="8">
        <f>IF(ISNA(MATCH(1442,Engine!$C$2:$C$1960,0)),"",HYPERLINK("#Acts!A"&amp;INDEX('Compliance Database'!$P$2:$P$1960,MATCH(1442,Engine!$C$2:$C$1960,0)),"Go to Act"))</f>
        <v/>
      </c>
    </row>
    <row r="1456" ht="158" customHeight="1">
      <c r="A1456" s="8">
        <f>IF(ISNA(MATCH(1443,Engine!$C$2:$C$1960,0)),"",INDEX('Compliance Database'!$A$2:$A$1960,MATCH(1443,Engine!$C$2:$C$1960,0)))</f>
        <v/>
      </c>
      <c r="B1456" s="8">
        <f>IF(ISNA(MATCH(1443,Engine!$C$2:$C$1960,0)),"",INDEX('Compliance Database'!$B$2:$B$1960,MATCH(1443,Engine!$C$2:$C$1960,0)))</f>
        <v/>
      </c>
      <c r="C1456" s="8">
        <f>IF(ISNA(MATCH(1443,Engine!$C$2:$C$1960,0)),"",INDEX('Compliance Database'!$C$2:$C$1960,MATCH(1443,Engine!$C$2:$C$1960,0)))</f>
        <v/>
      </c>
      <c r="D1456" s="9">
        <f>IF(ISNA(MATCH(1443,Engine!$C$2:$C$1960,0)),"",INDEX('Compliance Database'!$D$2:$D$1960,MATCH(1443,Engine!$C$2:$C$1960,0)))</f>
        <v/>
      </c>
      <c r="E1456" s="8">
        <f>IF(ISNA(MATCH(1443,Engine!$C$2:$C$1960,0)),"",INDEX('Compliance Database'!$E$2:$E$1960,MATCH(1443,Engine!$C$2:$C$1960,0)))</f>
        <v/>
      </c>
      <c r="F1456" s="8">
        <f>IF(ISNA(MATCH(1443,Engine!$C$2:$C$1960,0)),"",INDEX('Compliance Database'!$F$2:$F$1960,MATCH(1443,Engine!$C$2:$C$1960,0)))</f>
        <v/>
      </c>
      <c r="G1456" s="8">
        <f>IF(ISNA(MATCH(1443,Engine!$C$2:$C$1960,0)),"",INDEX('Compliance Database'!$G$2:$G$1960,MATCH(1443,Engine!$C$2:$C$1960,0)))</f>
        <v/>
      </c>
      <c r="H1456" s="9">
        <f>IF(ISNA(MATCH(1443,Engine!$C$2:$C$1960,0)),"",INDEX('Compliance Database'!$H$2:$H$1960,MATCH(1443,Engine!$C$2:$C$1960,0)))</f>
        <v/>
      </c>
      <c r="I1456" s="9">
        <f>IF(ISNA(MATCH(1443,Engine!$C$2:$C$1960,0)),"",INDEX('Compliance Database'!$I$2:$I$1960,MATCH(1443,Engine!$C$2:$C$1960,0)))</f>
        <v/>
      </c>
      <c r="J1456" s="8">
        <f>IF(ISNA(MATCH(1443,Engine!$C$2:$C$1960,0)),"",INDEX('Compliance Database'!$J$2:$J$1960,MATCH(1443,Engine!$C$2:$C$1960,0)))</f>
        <v/>
      </c>
      <c r="K1456" s="9">
        <f>IF(ISNA(MATCH(1443,Engine!$C$2:$C$1960,0)),"",INDEX('Compliance Database'!$K$2:$K$1960,MATCH(1443,Engine!$C$2:$C$1960,0)))</f>
        <v/>
      </c>
      <c r="L1456" s="9">
        <f>IF(ISNA(MATCH(1443,Engine!$C$2:$C$1960,0)),"",INDEX('Compliance Database'!$L$2:$L$1960,MATCH(1443,Engine!$C$2:$C$1960,0)))</f>
        <v/>
      </c>
      <c r="M1456" s="9">
        <f>IF(ISNA(MATCH(1443,Engine!$C$2:$C$1960,0)),"",INDEX('Compliance Database'!$M$2:$M$1960,MATCH(1443,Engine!$C$2:$C$1960,0)))</f>
        <v/>
      </c>
      <c r="N1456" s="9">
        <f>IF(ISNA(MATCH(1443,Engine!$C$2:$C$1960,0)),"",INDEX('Compliance Database'!$N$2:$N$1960,MATCH(1443,Engine!$C$2:$C$1960,0)))</f>
        <v/>
      </c>
      <c r="O1456" s="9">
        <f>IF(ISNA(MATCH(1443,Engine!$C$2:$C$1960,0)),"",INDEX('Compliance Database'!$O$2:$O$1960,MATCH(1443,Engine!$C$2:$C$1960,0)))</f>
        <v/>
      </c>
      <c r="P1456" s="8">
        <f>IF(ISNA(MATCH(1443,Engine!$C$2:$C$1960,0)),"",HYPERLINK("#Acts!A"&amp;INDEX('Compliance Database'!$P$2:$P$1960,MATCH(1443,Engine!$C$2:$C$1960,0)),"Go to Act"))</f>
        <v/>
      </c>
    </row>
    <row r="1457" ht="158" customHeight="1">
      <c r="A1457" s="8">
        <f>IF(ISNA(MATCH(1444,Engine!$C$2:$C$1960,0)),"",INDEX('Compliance Database'!$A$2:$A$1960,MATCH(1444,Engine!$C$2:$C$1960,0)))</f>
        <v/>
      </c>
      <c r="B1457" s="8">
        <f>IF(ISNA(MATCH(1444,Engine!$C$2:$C$1960,0)),"",INDEX('Compliance Database'!$B$2:$B$1960,MATCH(1444,Engine!$C$2:$C$1960,0)))</f>
        <v/>
      </c>
      <c r="C1457" s="8">
        <f>IF(ISNA(MATCH(1444,Engine!$C$2:$C$1960,0)),"",INDEX('Compliance Database'!$C$2:$C$1960,MATCH(1444,Engine!$C$2:$C$1960,0)))</f>
        <v/>
      </c>
      <c r="D1457" s="9">
        <f>IF(ISNA(MATCH(1444,Engine!$C$2:$C$1960,0)),"",INDEX('Compliance Database'!$D$2:$D$1960,MATCH(1444,Engine!$C$2:$C$1960,0)))</f>
        <v/>
      </c>
      <c r="E1457" s="8">
        <f>IF(ISNA(MATCH(1444,Engine!$C$2:$C$1960,0)),"",INDEX('Compliance Database'!$E$2:$E$1960,MATCH(1444,Engine!$C$2:$C$1960,0)))</f>
        <v/>
      </c>
      <c r="F1457" s="8">
        <f>IF(ISNA(MATCH(1444,Engine!$C$2:$C$1960,0)),"",INDEX('Compliance Database'!$F$2:$F$1960,MATCH(1444,Engine!$C$2:$C$1960,0)))</f>
        <v/>
      </c>
      <c r="G1457" s="8">
        <f>IF(ISNA(MATCH(1444,Engine!$C$2:$C$1960,0)),"",INDEX('Compliance Database'!$G$2:$G$1960,MATCH(1444,Engine!$C$2:$C$1960,0)))</f>
        <v/>
      </c>
      <c r="H1457" s="9">
        <f>IF(ISNA(MATCH(1444,Engine!$C$2:$C$1960,0)),"",INDEX('Compliance Database'!$H$2:$H$1960,MATCH(1444,Engine!$C$2:$C$1960,0)))</f>
        <v/>
      </c>
      <c r="I1457" s="9">
        <f>IF(ISNA(MATCH(1444,Engine!$C$2:$C$1960,0)),"",INDEX('Compliance Database'!$I$2:$I$1960,MATCH(1444,Engine!$C$2:$C$1960,0)))</f>
        <v/>
      </c>
      <c r="J1457" s="8">
        <f>IF(ISNA(MATCH(1444,Engine!$C$2:$C$1960,0)),"",INDEX('Compliance Database'!$J$2:$J$1960,MATCH(1444,Engine!$C$2:$C$1960,0)))</f>
        <v/>
      </c>
      <c r="K1457" s="9">
        <f>IF(ISNA(MATCH(1444,Engine!$C$2:$C$1960,0)),"",INDEX('Compliance Database'!$K$2:$K$1960,MATCH(1444,Engine!$C$2:$C$1960,0)))</f>
        <v/>
      </c>
      <c r="L1457" s="9">
        <f>IF(ISNA(MATCH(1444,Engine!$C$2:$C$1960,0)),"",INDEX('Compliance Database'!$L$2:$L$1960,MATCH(1444,Engine!$C$2:$C$1960,0)))</f>
        <v/>
      </c>
      <c r="M1457" s="9">
        <f>IF(ISNA(MATCH(1444,Engine!$C$2:$C$1960,0)),"",INDEX('Compliance Database'!$M$2:$M$1960,MATCH(1444,Engine!$C$2:$C$1960,0)))</f>
        <v/>
      </c>
      <c r="N1457" s="9">
        <f>IF(ISNA(MATCH(1444,Engine!$C$2:$C$1960,0)),"",INDEX('Compliance Database'!$N$2:$N$1960,MATCH(1444,Engine!$C$2:$C$1960,0)))</f>
        <v/>
      </c>
      <c r="O1457" s="9">
        <f>IF(ISNA(MATCH(1444,Engine!$C$2:$C$1960,0)),"",INDEX('Compliance Database'!$O$2:$O$1960,MATCH(1444,Engine!$C$2:$C$1960,0)))</f>
        <v/>
      </c>
      <c r="P1457" s="8">
        <f>IF(ISNA(MATCH(1444,Engine!$C$2:$C$1960,0)),"",HYPERLINK("#Acts!A"&amp;INDEX('Compliance Database'!$P$2:$P$1960,MATCH(1444,Engine!$C$2:$C$1960,0)),"Go to Act"))</f>
        <v/>
      </c>
    </row>
    <row r="1458" ht="158" customHeight="1">
      <c r="A1458" s="8">
        <f>IF(ISNA(MATCH(1445,Engine!$C$2:$C$1960,0)),"",INDEX('Compliance Database'!$A$2:$A$1960,MATCH(1445,Engine!$C$2:$C$1960,0)))</f>
        <v/>
      </c>
      <c r="B1458" s="8">
        <f>IF(ISNA(MATCH(1445,Engine!$C$2:$C$1960,0)),"",INDEX('Compliance Database'!$B$2:$B$1960,MATCH(1445,Engine!$C$2:$C$1960,0)))</f>
        <v/>
      </c>
      <c r="C1458" s="8">
        <f>IF(ISNA(MATCH(1445,Engine!$C$2:$C$1960,0)),"",INDEX('Compliance Database'!$C$2:$C$1960,MATCH(1445,Engine!$C$2:$C$1960,0)))</f>
        <v/>
      </c>
      <c r="D1458" s="9">
        <f>IF(ISNA(MATCH(1445,Engine!$C$2:$C$1960,0)),"",INDEX('Compliance Database'!$D$2:$D$1960,MATCH(1445,Engine!$C$2:$C$1960,0)))</f>
        <v/>
      </c>
      <c r="E1458" s="8">
        <f>IF(ISNA(MATCH(1445,Engine!$C$2:$C$1960,0)),"",INDEX('Compliance Database'!$E$2:$E$1960,MATCH(1445,Engine!$C$2:$C$1960,0)))</f>
        <v/>
      </c>
      <c r="F1458" s="8">
        <f>IF(ISNA(MATCH(1445,Engine!$C$2:$C$1960,0)),"",INDEX('Compliance Database'!$F$2:$F$1960,MATCH(1445,Engine!$C$2:$C$1960,0)))</f>
        <v/>
      </c>
      <c r="G1458" s="8">
        <f>IF(ISNA(MATCH(1445,Engine!$C$2:$C$1960,0)),"",INDEX('Compliance Database'!$G$2:$G$1960,MATCH(1445,Engine!$C$2:$C$1960,0)))</f>
        <v/>
      </c>
      <c r="H1458" s="9">
        <f>IF(ISNA(MATCH(1445,Engine!$C$2:$C$1960,0)),"",INDEX('Compliance Database'!$H$2:$H$1960,MATCH(1445,Engine!$C$2:$C$1960,0)))</f>
        <v/>
      </c>
      <c r="I1458" s="9">
        <f>IF(ISNA(MATCH(1445,Engine!$C$2:$C$1960,0)),"",INDEX('Compliance Database'!$I$2:$I$1960,MATCH(1445,Engine!$C$2:$C$1960,0)))</f>
        <v/>
      </c>
      <c r="J1458" s="8">
        <f>IF(ISNA(MATCH(1445,Engine!$C$2:$C$1960,0)),"",INDEX('Compliance Database'!$J$2:$J$1960,MATCH(1445,Engine!$C$2:$C$1960,0)))</f>
        <v/>
      </c>
      <c r="K1458" s="9">
        <f>IF(ISNA(MATCH(1445,Engine!$C$2:$C$1960,0)),"",INDEX('Compliance Database'!$K$2:$K$1960,MATCH(1445,Engine!$C$2:$C$1960,0)))</f>
        <v/>
      </c>
      <c r="L1458" s="9">
        <f>IF(ISNA(MATCH(1445,Engine!$C$2:$C$1960,0)),"",INDEX('Compliance Database'!$L$2:$L$1960,MATCH(1445,Engine!$C$2:$C$1960,0)))</f>
        <v/>
      </c>
      <c r="M1458" s="9">
        <f>IF(ISNA(MATCH(1445,Engine!$C$2:$C$1960,0)),"",INDEX('Compliance Database'!$M$2:$M$1960,MATCH(1445,Engine!$C$2:$C$1960,0)))</f>
        <v/>
      </c>
      <c r="N1458" s="9">
        <f>IF(ISNA(MATCH(1445,Engine!$C$2:$C$1960,0)),"",INDEX('Compliance Database'!$N$2:$N$1960,MATCH(1445,Engine!$C$2:$C$1960,0)))</f>
        <v/>
      </c>
      <c r="O1458" s="9">
        <f>IF(ISNA(MATCH(1445,Engine!$C$2:$C$1960,0)),"",INDEX('Compliance Database'!$O$2:$O$1960,MATCH(1445,Engine!$C$2:$C$1960,0)))</f>
        <v/>
      </c>
      <c r="P1458" s="8">
        <f>IF(ISNA(MATCH(1445,Engine!$C$2:$C$1960,0)),"",HYPERLINK("#Acts!A"&amp;INDEX('Compliance Database'!$P$2:$P$1960,MATCH(1445,Engine!$C$2:$C$1960,0)),"Go to Act"))</f>
        <v/>
      </c>
    </row>
    <row r="1459" ht="158" customHeight="1">
      <c r="A1459" s="8">
        <f>IF(ISNA(MATCH(1446,Engine!$C$2:$C$1960,0)),"",INDEX('Compliance Database'!$A$2:$A$1960,MATCH(1446,Engine!$C$2:$C$1960,0)))</f>
        <v/>
      </c>
      <c r="B1459" s="8">
        <f>IF(ISNA(MATCH(1446,Engine!$C$2:$C$1960,0)),"",INDEX('Compliance Database'!$B$2:$B$1960,MATCH(1446,Engine!$C$2:$C$1960,0)))</f>
        <v/>
      </c>
      <c r="C1459" s="8">
        <f>IF(ISNA(MATCH(1446,Engine!$C$2:$C$1960,0)),"",INDEX('Compliance Database'!$C$2:$C$1960,MATCH(1446,Engine!$C$2:$C$1960,0)))</f>
        <v/>
      </c>
      <c r="D1459" s="9">
        <f>IF(ISNA(MATCH(1446,Engine!$C$2:$C$1960,0)),"",INDEX('Compliance Database'!$D$2:$D$1960,MATCH(1446,Engine!$C$2:$C$1960,0)))</f>
        <v/>
      </c>
      <c r="E1459" s="8">
        <f>IF(ISNA(MATCH(1446,Engine!$C$2:$C$1960,0)),"",INDEX('Compliance Database'!$E$2:$E$1960,MATCH(1446,Engine!$C$2:$C$1960,0)))</f>
        <v/>
      </c>
      <c r="F1459" s="8">
        <f>IF(ISNA(MATCH(1446,Engine!$C$2:$C$1960,0)),"",INDEX('Compliance Database'!$F$2:$F$1960,MATCH(1446,Engine!$C$2:$C$1960,0)))</f>
        <v/>
      </c>
      <c r="G1459" s="8">
        <f>IF(ISNA(MATCH(1446,Engine!$C$2:$C$1960,0)),"",INDEX('Compliance Database'!$G$2:$G$1960,MATCH(1446,Engine!$C$2:$C$1960,0)))</f>
        <v/>
      </c>
      <c r="H1459" s="9">
        <f>IF(ISNA(MATCH(1446,Engine!$C$2:$C$1960,0)),"",INDEX('Compliance Database'!$H$2:$H$1960,MATCH(1446,Engine!$C$2:$C$1960,0)))</f>
        <v/>
      </c>
      <c r="I1459" s="9">
        <f>IF(ISNA(MATCH(1446,Engine!$C$2:$C$1960,0)),"",INDEX('Compliance Database'!$I$2:$I$1960,MATCH(1446,Engine!$C$2:$C$1960,0)))</f>
        <v/>
      </c>
      <c r="J1459" s="8">
        <f>IF(ISNA(MATCH(1446,Engine!$C$2:$C$1960,0)),"",INDEX('Compliance Database'!$J$2:$J$1960,MATCH(1446,Engine!$C$2:$C$1960,0)))</f>
        <v/>
      </c>
      <c r="K1459" s="9">
        <f>IF(ISNA(MATCH(1446,Engine!$C$2:$C$1960,0)),"",INDEX('Compliance Database'!$K$2:$K$1960,MATCH(1446,Engine!$C$2:$C$1960,0)))</f>
        <v/>
      </c>
      <c r="L1459" s="9">
        <f>IF(ISNA(MATCH(1446,Engine!$C$2:$C$1960,0)),"",INDEX('Compliance Database'!$L$2:$L$1960,MATCH(1446,Engine!$C$2:$C$1960,0)))</f>
        <v/>
      </c>
      <c r="M1459" s="9">
        <f>IF(ISNA(MATCH(1446,Engine!$C$2:$C$1960,0)),"",INDEX('Compliance Database'!$M$2:$M$1960,MATCH(1446,Engine!$C$2:$C$1960,0)))</f>
        <v/>
      </c>
      <c r="N1459" s="9">
        <f>IF(ISNA(MATCH(1446,Engine!$C$2:$C$1960,0)),"",INDEX('Compliance Database'!$N$2:$N$1960,MATCH(1446,Engine!$C$2:$C$1960,0)))</f>
        <v/>
      </c>
      <c r="O1459" s="9">
        <f>IF(ISNA(MATCH(1446,Engine!$C$2:$C$1960,0)),"",INDEX('Compliance Database'!$O$2:$O$1960,MATCH(1446,Engine!$C$2:$C$1960,0)))</f>
        <v/>
      </c>
      <c r="P1459" s="8">
        <f>IF(ISNA(MATCH(1446,Engine!$C$2:$C$1960,0)),"",HYPERLINK("#Acts!A"&amp;INDEX('Compliance Database'!$P$2:$P$1960,MATCH(1446,Engine!$C$2:$C$1960,0)),"Go to Act"))</f>
        <v/>
      </c>
    </row>
    <row r="1460" ht="158" customHeight="1">
      <c r="A1460" s="8">
        <f>IF(ISNA(MATCH(1447,Engine!$C$2:$C$1960,0)),"",INDEX('Compliance Database'!$A$2:$A$1960,MATCH(1447,Engine!$C$2:$C$1960,0)))</f>
        <v/>
      </c>
      <c r="B1460" s="8">
        <f>IF(ISNA(MATCH(1447,Engine!$C$2:$C$1960,0)),"",INDEX('Compliance Database'!$B$2:$B$1960,MATCH(1447,Engine!$C$2:$C$1960,0)))</f>
        <v/>
      </c>
      <c r="C1460" s="8">
        <f>IF(ISNA(MATCH(1447,Engine!$C$2:$C$1960,0)),"",INDEX('Compliance Database'!$C$2:$C$1960,MATCH(1447,Engine!$C$2:$C$1960,0)))</f>
        <v/>
      </c>
      <c r="D1460" s="9">
        <f>IF(ISNA(MATCH(1447,Engine!$C$2:$C$1960,0)),"",INDEX('Compliance Database'!$D$2:$D$1960,MATCH(1447,Engine!$C$2:$C$1960,0)))</f>
        <v/>
      </c>
      <c r="E1460" s="8">
        <f>IF(ISNA(MATCH(1447,Engine!$C$2:$C$1960,0)),"",INDEX('Compliance Database'!$E$2:$E$1960,MATCH(1447,Engine!$C$2:$C$1960,0)))</f>
        <v/>
      </c>
      <c r="F1460" s="8">
        <f>IF(ISNA(MATCH(1447,Engine!$C$2:$C$1960,0)),"",INDEX('Compliance Database'!$F$2:$F$1960,MATCH(1447,Engine!$C$2:$C$1960,0)))</f>
        <v/>
      </c>
      <c r="G1460" s="8">
        <f>IF(ISNA(MATCH(1447,Engine!$C$2:$C$1960,0)),"",INDEX('Compliance Database'!$G$2:$G$1960,MATCH(1447,Engine!$C$2:$C$1960,0)))</f>
        <v/>
      </c>
      <c r="H1460" s="9">
        <f>IF(ISNA(MATCH(1447,Engine!$C$2:$C$1960,0)),"",INDEX('Compliance Database'!$H$2:$H$1960,MATCH(1447,Engine!$C$2:$C$1960,0)))</f>
        <v/>
      </c>
      <c r="I1460" s="9">
        <f>IF(ISNA(MATCH(1447,Engine!$C$2:$C$1960,0)),"",INDEX('Compliance Database'!$I$2:$I$1960,MATCH(1447,Engine!$C$2:$C$1960,0)))</f>
        <v/>
      </c>
      <c r="J1460" s="8">
        <f>IF(ISNA(MATCH(1447,Engine!$C$2:$C$1960,0)),"",INDEX('Compliance Database'!$J$2:$J$1960,MATCH(1447,Engine!$C$2:$C$1960,0)))</f>
        <v/>
      </c>
      <c r="K1460" s="9">
        <f>IF(ISNA(MATCH(1447,Engine!$C$2:$C$1960,0)),"",INDEX('Compliance Database'!$K$2:$K$1960,MATCH(1447,Engine!$C$2:$C$1960,0)))</f>
        <v/>
      </c>
      <c r="L1460" s="9">
        <f>IF(ISNA(MATCH(1447,Engine!$C$2:$C$1960,0)),"",INDEX('Compliance Database'!$L$2:$L$1960,MATCH(1447,Engine!$C$2:$C$1960,0)))</f>
        <v/>
      </c>
      <c r="M1460" s="9">
        <f>IF(ISNA(MATCH(1447,Engine!$C$2:$C$1960,0)),"",INDEX('Compliance Database'!$M$2:$M$1960,MATCH(1447,Engine!$C$2:$C$1960,0)))</f>
        <v/>
      </c>
      <c r="N1460" s="9">
        <f>IF(ISNA(MATCH(1447,Engine!$C$2:$C$1960,0)),"",INDEX('Compliance Database'!$N$2:$N$1960,MATCH(1447,Engine!$C$2:$C$1960,0)))</f>
        <v/>
      </c>
      <c r="O1460" s="9">
        <f>IF(ISNA(MATCH(1447,Engine!$C$2:$C$1960,0)),"",INDEX('Compliance Database'!$O$2:$O$1960,MATCH(1447,Engine!$C$2:$C$1960,0)))</f>
        <v/>
      </c>
      <c r="P1460" s="8">
        <f>IF(ISNA(MATCH(1447,Engine!$C$2:$C$1960,0)),"",HYPERLINK("#Acts!A"&amp;INDEX('Compliance Database'!$P$2:$P$1960,MATCH(1447,Engine!$C$2:$C$1960,0)),"Go to Act"))</f>
        <v/>
      </c>
    </row>
    <row r="1461" ht="158" customHeight="1">
      <c r="A1461" s="8">
        <f>IF(ISNA(MATCH(1448,Engine!$C$2:$C$1960,0)),"",INDEX('Compliance Database'!$A$2:$A$1960,MATCH(1448,Engine!$C$2:$C$1960,0)))</f>
        <v/>
      </c>
      <c r="B1461" s="8">
        <f>IF(ISNA(MATCH(1448,Engine!$C$2:$C$1960,0)),"",INDEX('Compliance Database'!$B$2:$B$1960,MATCH(1448,Engine!$C$2:$C$1960,0)))</f>
        <v/>
      </c>
      <c r="C1461" s="8">
        <f>IF(ISNA(MATCH(1448,Engine!$C$2:$C$1960,0)),"",INDEX('Compliance Database'!$C$2:$C$1960,MATCH(1448,Engine!$C$2:$C$1960,0)))</f>
        <v/>
      </c>
      <c r="D1461" s="9">
        <f>IF(ISNA(MATCH(1448,Engine!$C$2:$C$1960,0)),"",INDEX('Compliance Database'!$D$2:$D$1960,MATCH(1448,Engine!$C$2:$C$1960,0)))</f>
        <v/>
      </c>
      <c r="E1461" s="8">
        <f>IF(ISNA(MATCH(1448,Engine!$C$2:$C$1960,0)),"",INDEX('Compliance Database'!$E$2:$E$1960,MATCH(1448,Engine!$C$2:$C$1960,0)))</f>
        <v/>
      </c>
      <c r="F1461" s="8">
        <f>IF(ISNA(MATCH(1448,Engine!$C$2:$C$1960,0)),"",INDEX('Compliance Database'!$F$2:$F$1960,MATCH(1448,Engine!$C$2:$C$1960,0)))</f>
        <v/>
      </c>
      <c r="G1461" s="8">
        <f>IF(ISNA(MATCH(1448,Engine!$C$2:$C$1960,0)),"",INDEX('Compliance Database'!$G$2:$G$1960,MATCH(1448,Engine!$C$2:$C$1960,0)))</f>
        <v/>
      </c>
      <c r="H1461" s="9">
        <f>IF(ISNA(MATCH(1448,Engine!$C$2:$C$1960,0)),"",INDEX('Compliance Database'!$H$2:$H$1960,MATCH(1448,Engine!$C$2:$C$1960,0)))</f>
        <v/>
      </c>
      <c r="I1461" s="9">
        <f>IF(ISNA(MATCH(1448,Engine!$C$2:$C$1960,0)),"",INDEX('Compliance Database'!$I$2:$I$1960,MATCH(1448,Engine!$C$2:$C$1960,0)))</f>
        <v/>
      </c>
      <c r="J1461" s="8">
        <f>IF(ISNA(MATCH(1448,Engine!$C$2:$C$1960,0)),"",INDEX('Compliance Database'!$J$2:$J$1960,MATCH(1448,Engine!$C$2:$C$1960,0)))</f>
        <v/>
      </c>
      <c r="K1461" s="9">
        <f>IF(ISNA(MATCH(1448,Engine!$C$2:$C$1960,0)),"",INDEX('Compliance Database'!$K$2:$K$1960,MATCH(1448,Engine!$C$2:$C$1960,0)))</f>
        <v/>
      </c>
      <c r="L1461" s="9">
        <f>IF(ISNA(MATCH(1448,Engine!$C$2:$C$1960,0)),"",INDEX('Compliance Database'!$L$2:$L$1960,MATCH(1448,Engine!$C$2:$C$1960,0)))</f>
        <v/>
      </c>
      <c r="M1461" s="9">
        <f>IF(ISNA(MATCH(1448,Engine!$C$2:$C$1960,0)),"",INDEX('Compliance Database'!$M$2:$M$1960,MATCH(1448,Engine!$C$2:$C$1960,0)))</f>
        <v/>
      </c>
      <c r="N1461" s="9">
        <f>IF(ISNA(MATCH(1448,Engine!$C$2:$C$1960,0)),"",INDEX('Compliance Database'!$N$2:$N$1960,MATCH(1448,Engine!$C$2:$C$1960,0)))</f>
        <v/>
      </c>
      <c r="O1461" s="9">
        <f>IF(ISNA(MATCH(1448,Engine!$C$2:$C$1960,0)),"",INDEX('Compliance Database'!$O$2:$O$1960,MATCH(1448,Engine!$C$2:$C$1960,0)))</f>
        <v/>
      </c>
      <c r="P1461" s="8">
        <f>IF(ISNA(MATCH(1448,Engine!$C$2:$C$1960,0)),"",HYPERLINK("#Acts!A"&amp;INDEX('Compliance Database'!$P$2:$P$1960,MATCH(1448,Engine!$C$2:$C$1960,0)),"Go to Act"))</f>
        <v/>
      </c>
    </row>
    <row r="1462" ht="158" customHeight="1">
      <c r="A1462" s="8">
        <f>IF(ISNA(MATCH(1449,Engine!$C$2:$C$1960,0)),"",INDEX('Compliance Database'!$A$2:$A$1960,MATCH(1449,Engine!$C$2:$C$1960,0)))</f>
        <v/>
      </c>
      <c r="B1462" s="8">
        <f>IF(ISNA(MATCH(1449,Engine!$C$2:$C$1960,0)),"",INDEX('Compliance Database'!$B$2:$B$1960,MATCH(1449,Engine!$C$2:$C$1960,0)))</f>
        <v/>
      </c>
      <c r="C1462" s="8">
        <f>IF(ISNA(MATCH(1449,Engine!$C$2:$C$1960,0)),"",INDEX('Compliance Database'!$C$2:$C$1960,MATCH(1449,Engine!$C$2:$C$1960,0)))</f>
        <v/>
      </c>
      <c r="D1462" s="9">
        <f>IF(ISNA(MATCH(1449,Engine!$C$2:$C$1960,0)),"",INDEX('Compliance Database'!$D$2:$D$1960,MATCH(1449,Engine!$C$2:$C$1960,0)))</f>
        <v/>
      </c>
      <c r="E1462" s="8">
        <f>IF(ISNA(MATCH(1449,Engine!$C$2:$C$1960,0)),"",INDEX('Compliance Database'!$E$2:$E$1960,MATCH(1449,Engine!$C$2:$C$1960,0)))</f>
        <v/>
      </c>
      <c r="F1462" s="8">
        <f>IF(ISNA(MATCH(1449,Engine!$C$2:$C$1960,0)),"",INDEX('Compliance Database'!$F$2:$F$1960,MATCH(1449,Engine!$C$2:$C$1960,0)))</f>
        <v/>
      </c>
      <c r="G1462" s="8">
        <f>IF(ISNA(MATCH(1449,Engine!$C$2:$C$1960,0)),"",INDEX('Compliance Database'!$G$2:$G$1960,MATCH(1449,Engine!$C$2:$C$1960,0)))</f>
        <v/>
      </c>
      <c r="H1462" s="9">
        <f>IF(ISNA(MATCH(1449,Engine!$C$2:$C$1960,0)),"",INDEX('Compliance Database'!$H$2:$H$1960,MATCH(1449,Engine!$C$2:$C$1960,0)))</f>
        <v/>
      </c>
      <c r="I1462" s="9">
        <f>IF(ISNA(MATCH(1449,Engine!$C$2:$C$1960,0)),"",INDEX('Compliance Database'!$I$2:$I$1960,MATCH(1449,Engine!$C$2:$C$1960,0)))</f>
        <v/>
      </c>
      <c r="J1462" s="8">
        <f>IF(ISNA(MATCH(1449,Engine!$C$2:$C$1960,0)),"",INDEX('Compliance Database'!$J$2:$J$1960,MATCH(1449,Engine!$C$2:$C$1960,0)))</f>
        <v/>
      </c>
      <c r="K1462" s="9">
        <f>IF(ISNA(MATCH(1449,Engine!$C$2:$C$1960,0)),"",INDEX('Compliance Database'!$K$2:$K$1960,MATCH(1449,Engine!$C$2:$C$1960,0)))</f>
        <v/>
      </c>
      <c r="L1462" s="9">
        <f>IF(ISNA(MATCH(1449,Engine!$C$2:$C$1960,0)),"",INDEX('Compliance Database'!$L$2:$L$1960,MATCH(1449,Engine!$C$2:$C$1960,0)))</f>
        <v/>
      </c>
      <c r="M1462" s="9">
        <f>IF(ISNA(MATCH(1449,Engine!$C$2:$C$1960,0)),"",INDEX('Compliance Database'!$M$2:$M$1960,MATCH(1449,Engine!$C$2:$C$1960,0)))</f>
        <v/>
      </c>
      <c r="N1462" s="9">
        <f>IF(ISNA(MATCH(1449,Engine!$C$2:$C$1960,0)),"",INDEX('Compliance Database'!$N$2:$N$1960,MATCH(1449,Engine!$C$2:$C$1960,0)))</f>
        <v/>
      </c>
      <c r="O1462" s="9">
        <f>IF(ISNA(MATCH(1449,Engine!$C$2:$C$1960,0)),"",INDEX('Compliance Database'!$O$2:$O$1960,MATCH(1449,Engine!$C$2:$C$1960,0)))</f>
        <v/>
      </c>
      <c r="P1462" s="8">
        <f>IF(ISNA(MATCH(1449,Engine!$C$2:$C$1960,0)),"",HYPERLINK("#Acts!A"&amp;INDEX('Compliance Database'!$P$2:$P$1960,MATCH(1449,Engine!$C$2:$C$1960,0)),"Go to Act"))</f>
        <v/>
      </c>
    </row>
    <row r="1463" ht="158" customHeight="1">
      <c r="A1463" s="8">
        <f>IF(ISNA(MATCH(1450,Engine!$C$2:$C$1960,0)),"",INDEX('Compliance Database'!$A$2:$A$1960,MATCH(1450,Engine!$C$2:$C$1960,0)))</f>
        <v/>
      </c>
      <c r="B1463" s="8">
        <f>IF(ISNA(MATCH(1450,Engine!$C$2:$C$1960,0)),"",INDEX('Compliance Database'!$B$2:$B$1960,MATCH(1450,Engine!$C$2:$C$1960,0)))</f>
        <v/>
      </c>
      <c r="C1463" s="8">
        <f>IF(ISNA(MATCH(1450,Engine!$C$2:$C$1960,0)),"",INDEX('Compliance Database'!$C$2:$C$1960,MATCH(1450,Engine!$C$2:$C$1960,0)))</f>
        <v/>
      </c>
      <c r="D1463" s="9">
        <f>IF(ISNA(MATCH(1450,Engine!$C$2:$C$1960,0)),"",INDEX('Compliance Database'!$D$2:$D$1960,MATCH(1450,Engine!$C$2:$C$1960,0)))</f>
        <v/>
      </c>
      <c r="E1463" s="8">
        <f>IF(ISNA(MATCH(1450,Engine!$C$2:$C$1960,0)),"",INDEX('Compliance Database'!$E$2:$E$1960,MATCH(1450,Engine!$C$2:$C$1960,0)))</f>
        <v/>
      </c>
      <c r="F1463" s="8">
        <f>IF(ISNA(MATCH(1450,Engine!$C$2:$C$1960,0)),"",INDEX('Compliance Database'!$F$2:$F$1960,MATCH(1450,Engine!$C$2:$C$1960,0)))</f>
        <v/>
      </c>
      <c r="G1463" s="8">
        <f>IF(ISNA(MATCH(1450,Engine!$C$2:$C$1960,0)),"",INDEX('Compliance Database'!$G$2:$G$1960,MATCH(1450,Engine!$C$2:$C$1960,0)))</f>
        <v/>
      </c>
      <c r="H1463" s="9">
        <f>IF(ISNA(MATCH(1450,Engine!$C$2:$C$1960,0)),"",INDEX('Compliance Database'!$H$2:$H$1960,MATCH(1450,Engine!$C$2:$C$1960,0)))</f>
        <v/>
      </c>
      <c r="I1463" s="9">
        <f>IF(ISNA(MATCH(1450,Engine!$C$2:$C$1960,0)),"",INDEX('Compliance Database'!$I$2:$I$1960,MATCH(1450,Engine!$C$2:$C$1960,0)))</f>
        <v/>
      </c>
      <c r="J1463" s="8">
        <f>IF(ISNA(MATCH(1450,Engine!$C$2:$C$1960,0)),"",INDEX('Compliance Database'!$J$2:$J$1960,MATCH(1450,Engine!$C$2:$C$1960,0)))</f>
        <v/>
      </c>
      <c r="K1463" s="9">
        <f>IF(ISNA(MATCH(1450,Engine!$C$2:$C$1960,0)),"",INDEX('Compliance Database'!$K$2:$K$1960,MATCH(1450,Engine!$C$2:$C$1960,0)))</f>
        <v/>
      </c>
      <c r="L1463" s="9">
        <f>IF(ISNA(MATCH(1450,Engine!$C$2:$C$1960,0)),"",INDEX('Compliance Database'!$L$2:$L$1960,MATCH(1450,Engine!$C$2:$C$1960,0)))</f>
        <v/>
      </c>
      <c r="M1463" s="9">
        <f>IF(ISNA(MATCH(1450,Engine!$C$2:$C$1960,0)),"",INDEX('Compliance Database'!$M$2:$M$1960,MATCH(1450,Engine!$C$2:$C$1960,0)))</f>
        <v/>
      </c>
      <c r="N1463" s="9">
        <f>IF(ISNA(MATCH(1450,Engine!$C$2:$C$1960,0)),"",INDEX('Compliance Database'!$N$2:$N$1960,MATCH(1450,Engine!$C$2:$C$1960,0)))</f>
        <v/>
      </c>
      <c r="O1463" s="9">
        <f>IF(ISNA(MATCH(1450,Engine!$C$2:$C$1960,0)),"",INDEX('Compliance Database'!$O$2:$O$1960,MATCH(1450,Engine!$C$2:$C$1960,0)))</f>
        <v/>
      </c>
      <c r="P1463" s="8">
        <f>IF(ISNA(MATCH(1450,Engine!$C$2:$C$1960,0)),"",HYPERLINK("#Acts!A"&amp;INDEX('Compliance Database'!$P$2:$P$1960,MATCH(1450,Engine!$C$2:$C$1960,0)),"Go to Act"))</f>
        <v/>
      </c>
    </row>
    <row r="1464" ht="158" customHeight="1">
      <c r="A1464" s="8">
        <f>IF(ISNA(MATCH(1451,Engine!$C$2:$C$1960,0)),"",INDEX('Compliance Database'!$A$2:$A$1960,MATCH(1451,Engine!$C$2:$C$1960,0)))</f>
        <v/>
      </c>
      <c r="B1464" s="8">
        <f>IF(ISNA(MATCH(1451,Engine!$C$2:$C$1960,0)),"",INDEX('Compliance Database'!$B$2:$B$1960,MATCH(1451,Engine!$C$2:$C$1960,0)))</f>
        <v/>
      </c>
      <c r="C1464" s="8">
        <f>IF(ISNA(MATCH(1451,Engine!$C$2:$C$1960,0)),"",INDEX('Compliance Database'!$C$2:$C$1960,MATCH(1451,Engine!$C$2:$C$1960,0)))</f>
        <v/>
      </c>
      <c r="D1464" s="9">
        <f>IF(ISNA(MATCH(1451,Engine!$C$2:$C$1960,0)),"",INDEX('Compliance Database'!$D$2:$D$1960,MATCH(1451,Engine!$C$2:$C$1960,0)))</f>
        <v/>
      </c>
      <c r="E1464" s="8">
        <f>IF(ISNA(MATCH(1451,Engine!$C$2:$C$1960,0)),"",INDEX('Compliance Database'!$E$2:$E$1960,MATCH(1451,Engine!$C$2:$C$1960,0)))</f>
        <v/>
      </c>
      <c r="F1464" s="8">
        <f>IF(ISNA(MATCH(1451,Engine!$C$2:$C$1960,0)),"",INDEX('Compliance Database'!$F$2:$F$1960,MATCH(1451,Engine!$C$2:$C$1960,0)))</f>
        <v/>
      </c>
      <c r="G1464" s="8">
        <f>IF(ISNA(MATCH(1451,Engine!$C$2:$C$1960,0)),"",INDEX('Compliance Database'!$G$2:$G$1960,MATCH(1451,Engine!$C$2:$C$1960,0)))</f>
        <v/>
      </c>
      <c r="H1464" s="9">
        <f>IF(ISNA(MATCH(1451,Engine!$C$2:$C$1960,0)),"",INDEX('Compliance Database'!$H$2:$H$1960,MATCH(1451,Engine!$C$2:$C$1960,0)))</f>
        <v/>
      </c>
      <c r="I1464" s="9">
        <f>IF(ISNA(MATCH(1451,Engine!$C$2:$C$1960,0)),"",INDEX('Compliance Database'!$I$2:$I$1960,MATCH(1451,Engine!$C$2:$C$1960,0)))</f>
        <v/>
      </c>
      <c r="J1464" s="8">
        <f>IF(ISNA(MATCH(1451,Engine!$C$2:$C$1960,0)),"",INDEX('Compliance Database'!$J$2:$J$1960,MATCH(1451,Engine!$C$2:$C$1960,0)))</f>
        <v/>
      </c>
      <c r="K1464" s="9">
        <f>IF(ISNA(MATCH(1451,Engine!$C$2:$C$1960,0)),"",INDEX('Compliance Database'!$K$2:$K$1960,MATCH(1451,Engine!$C$2:$C$1960,0)))</f>
        <v/>
      </c>
      <c r="L1464" s="9">
        <f>IF(ISNA(MATCH(1451,Engine!$C$2:$C$1960,0)),"",INDEX('Compliance Database'!$L$2:$L$1960,MATCH(1451,Engine!$C$2:$C$1960,0)))</f>
        <v/>
      </c>
      <c r="M1464" s="9">
        <f>IF(ISNA(MATCH(1451,Engine!$C$2:$C$1960,0)),"",INDEX('Compliance Database'!$M$2:$M$1960,MATCH(1451,Engine!$C$2:$C$1960,0)))</f>
        <v/>
      </c>
      <c r="N1464" s="9">
        <f>IF(ISNA(MATCH(1451,Engine!$C$2:$C$1960,0)),"",INDEX('Compliance Database'!$N$2:$N$1960,MATCH(1451,Engine!$C$2:$C$1960,0)))</f>
        <v/>
      </c>
      <c r="O1464" s="9">
        <f>IF(ISNA(MATCH(1451,Engine!$C$2:$C$1960,0)),"",INDEX('Compliance Database'!$O$2:$O$1960,MATCH(1451,Engine!$C$2:$C$1960,0)))</f>
        <v/>
      </c>
      <c r="P1464" s="8">
        <f>IF(ISNA(MATCH(1451,Engine!$C$2:$C$1960,0)),"",HYPERLINK("#Acts!A"&amp;INDEX('Compliance Database'!$P$2:$P$1960,MATCH(1451,Engine!$C$2:$C$1960,0)),"Go to Act"))</f>
        <v/>
      </c>
    </row>
    <row r="1465" ht="158" customHeight="1">
      <c r="A1465" s="8">
        <f>IF(ISNA(MATCH(1452,Engine!$C$2:$C$1960,0)),"",INDEX('Compliance Database'!$A$2:$A$1960,MATCH(1452,Engine!$C$2:$C$1960,0)))</f>
        <v/>
      </c>
      <c r="B1465" s="8">
        <f>IF(ISNA(MATCH(1452,Engine!$C$2:$C$1960,0)),"",INDEX('Compliance Database'!$B$2:$B$1960,MATCH(1452,Engine!$C$2:$C$1960,0)))</f>
        <v/>
      </c>
      <c r="C1465" s="8">
        <f>IF(ISNA(MATCH(1452,Engine!$C$2:$C$1960,0)),"",INDEX('Compliance Database'!$C$2:$C$1960,MATCH(1452,Engine!$C$2:$C$1960,0)))</f>
        <v/>
      </c>
      <c r="D1465" s="9">
        <f>IF(ISNA(MATCH(1452,Engine!$C$2:$C$1960,0)),"",INDEX('Compliance Database'!$D$2:$D$1960,MATCH(1452,Engine!$C$2:$C$1960,0)))</f>
        <v/>
      </c>
      <c r="E1465" s="8">
        <f>IF(ISNA(MATCH(1452,Engine!$C$2:$C$1960,0)),"",INDEX('Compliance Database'!$E$2:$E$1960,MATCH(1452,Engine!$C$2:$C$1960,0)))</f>
        <v/>
      </c>
      <c r="F1465" s="8">
        <f>IF(ISNA(MATCH(1452,Engine!$C$2:$C$1960,0)),"",INDEX('Compliance Database'!$F$2:$F$1960,MATCH(1452,Engine!$C$2:$C$1960,0)))</f>
        <v/>
      </c>
      <c r="G1465" s="8">
        <f>IF(ISNA(MATCH(1452,Engine!$C$2:$C$1960,0)),"",INDEX('Compliance Database'!$G$2:$G$1960,MATCH(1452,Engine!$C$2:$C$1960,0)))</f>
        <v/>
      </c>
      <c r="H1465" s="9">
        <f>IF(ISNA(MATCH(1452,Engine!$C$2:$C$1960,0)),"",INDEX('Compliance Database'!$H$2:$H$1960,MATCH(1452,Engine!$C$2:$C$1960,0)))</f>
        <v/>
      </c>
      <c r="I1465" s="9">
        <f>IF(ISNA(MATCH(1452,Engine!$C$2:$C$1960,0)),"",INDEX('Compliance Database'!$I$2:$I$1960,MATCH(1452,Engine!$C$2:$C$1960,0)))</f>
        <v/>
      </c>
      <c r="J1465" s="8">
        <f>IF(ISNA(MATCH(1452,Engine!$C$2:$C$1960,0)),"",INDEX('Compliance Database'!$J$2:$J$1960,MATCH(1452,Engine!$C$2:$C$1960,0)))</f>
        <v/>
      </c>
      <c r="K1465" s="9">
        <f>IF(ISNA(MATCH(1452,Engine!$C$2:$C$1960,0)),"",INDEX('Compliance Database'!$K$2:$K$1960,MATCH(1452,Engine!$C$2:$C$1960,0)))</f>
        <v/>
      </c>
      <c r="L1465" s="9">
        <f>IF(ISNA(MATCH(1452,Engine!$C$2:$C$1960,0)),"",INDEX('Compliance Database'!$L$2:$L$1960,MATCH(1452,Engine!$C$2:$C$1960,0)))</f>
        <v/>
      </c>
      <c r="M1465" s="9">
        <f>IF(ISNA(MATCH(1452,Engine!$C$2:$C$1960,0)),"",INDEX('Compliance Database'!$M$2:$M$1960,MATCH(1452,Engine!$C$2:$C$1960,0)))</f>
        <v/>
      </c>
      <c r="N1465" s="9">
        <f>IF(ISNA(MATCH(1452,Engine!$C$2:$C$1960,0)),"",INDEX('Compliance Database'!$N$2:$N$1960,MATCH(1452,Engine!$C$2:$C$1960,0)))</f>
        <v/>
      </c>
      <c r="O1465" s="9">
        <f>IF(ISNA(MATCH(1452,Engine!$C$2:$C$1960,0)),"",INDEX('Compliance Database'!$O$2:$O$1960,MATCH(1452,Engine!$C$2:$C$1960,0)))</f>
        <v/>
      </c>
      <c r="P1465" s="8">
        <f>IF(ISNA(MATCH(1452,Engine!$C$2:$C$1960,0)),"",HYPERLINK("#Acts!A"&amp;INDEX('Compliance Database'!$P$2:$P$1960,MATCH(1452,Engine!$C$2:$C$1960,0)),"Go to Act"))</f>
        <v/>
      </c>
    </row>
    <row r="1466" ht="158" customHeight="1">
      <c r="A1466" s="8">
        <f>IF(ISNA(MATCH(1453,Engine!$C$2:$C$1960,0)),"",INDEX('Compliance Database'!$A$2:$A$1960,MATCH(1453,Engine!$C$2:$C$1960,0)))</f>
        <v/>
      </c>
      <c r="B1466" s="8">
        <f>IF(ISNA(MATCH(1453,Engine!$C$2:$C$1960,0)),"",INDEX('Compliance Database'!$B$2:$B$1960,MATCH(1453,Engine!$C$2:$C$1960,0)))</f>
        <v/>
      </c>
      <c r="C1466" s="8">
        <f>IF(ISNA(MATCH(1453,Engine!$C$2:$C$1960,0)),"",INDEX('Compliance Database'!$C$2:$C$1960,MATCH(1453,Engine!$C$2:$C$1960,0)))</f>
        <v/>
      </c>
      <c r="D1466" s="9">
        <f>IF(ISNA(MATCH(1453,Engine!$C$2:$C$1960,0)),"",INDEX('Compliance Database'!$D$2:$D$1960,MATCH(1453,Engine!$C$2:$C$1960,0)))</f>
        <v/>
      </c>
      <c r="E1466" s="8">
        <f>IF(ISNA(MATCH(1453,Engine!$C$2:$C$1960,0)),"",INDEX('Compliance Database'!$E$2:$E$1960,MATCH(1453,Engine!$C$2:$C$1960,0)))</f>
        <v/>
      </c>
      <c r="F1466" s="8">
        <f>IF(ISNA(MATCH(1453,Engine!$C$2:$C$1960,0)),"",INDEX('Compliance Database'!$F$2:$F$1960,MATCH(1453,Engine!$C$2:$C$1960,0)))</f>
        <v/>
      </c>
      <c r="G1466" s="8">
        <f>IF(ISNA(MATCH(1453,Engine!$C$2:$C$1960,0)),"",INDEX('Compliance Database'!$G$2:$G$1960,MATCH(1453,Engine!$C$2:$C$1960,0)))</f>
        <v/>
      </c>
      <c r="H1466" s="9">
        <f>IF(ISNA(MATCH(1453,Engine!$C$2:$C$1960,0)),"",INDEX('Compliance Database'!$H$2:$H$1960,MATCH(1453,Engine!$C$2:$C$1960,0)))</f>
        <v/>
      </c>
      <c r="I1466" s="9">
        <f>IF(ISNA(MATCH(1453,Engine!$C$2:$C$1960,0)),"",INDEX('Compliance Database'!$I$2:$I$1960,MATCH(1453,Engine!$C$2:$C$1960,0)))</f>
        <v/>
      </c>
      <c r="J1466" s="8">
        <f>IF(ISNA(MATCH(1453,Engine!$C$2:$C$1960,0)),"",INDEX('Compliance Database'!$J$2:$J$1960,MATCH(1453,Engine!$C$2:$C$1960,0)))</f>
        <v/>
      </c>
      <c r="K1466" s="9">
        <f>IF(ISNA(MATCH(1453,Engine!$C$2:$C$1960,0)),"",INDEX('Compliance Database'!$K$2:$K$1960,MATCH(1453,Engine!$C$2:$C$1960,0)))</f>
        <v/>
      </c>
      <c r="L1466" s="9">
        <f>IF(ISNA(MATCH(1453,Engine!$C$2:$C$1960,0)),"",INDEX('Compliance Database'!$L$2:$L$1960,MATCH(1453,Engine!$C$2:$C$1960,0)))</f>
        <v/>
      </c>
      <c r="M1466" s="9">
        <f>IF(ISNA(MATCH(1453,Engine!$C$2:$C$1960,0)),"",INDEX('Compliance Database'!$M$2:$M$1960,MATCH(1453,Engine!$C$2:$C$1960,0)))</f>
        <v/>
      </c>
      <c r="N1466" s="9">
        <f>IF(ISNA(MATCH(1453,Engine!$C$2:$C$1960,0)),"",INDEX('Compliance Database'!$N$2:$N$1960,MATCH(1453,Engine!$C$2:$C$1960,0)))</f>
        <v/>
      </c>
      <c r="O1466" s="9">
        <f>IF(ISNA(MATCH(1453,Engine!$C$2:$C$1960,0)),"",INDEX('Compliance Database'!$O$2:$O$1960,MATCH(1453,Engine!$C$2:$C$1960,0)))</f>
        <v/>
      </c>
      <c r="P1466" s="8">
        <f>IF(ISNA(MATCH(1453,Engine!$C$2:$C$1960,0)),"",HYPERLINK("#Acts!A"&amp;INDEX('Compliance Database'!$P$2:$P$1960,MATCH(1453,Engine!$C$2:$C$1960,0)),"Go to Act"))</f>
        <v/>
      </c>
    </row>
    <row r="1467" ht="158" customHeight="1">
      <c r="A1467" s="8">
        <f>IF(ISNA(MATCH(1454,Engine!$C$2:$C$1960,0)),"",INDEX('Compliance Database'!$A$2:$A$1960,MATCH(1454,Engine!$C$2:$C$1960,0)))</f>
        <v/>
      </c>
      <c r="B1467" s="8">
        <f>IF(ISNA(MATCH(1454,Engine!$C$2:$C$1960,0)),"",INDEX('Compliance Database'!$B$2:$B$1960,MATCH(1454,Engine!$C$2:$C$1960,0)))</f>
        <v/>
      </c>
      <c r="C1467" s="8">
        <f>IF(ISNA(MATCH(1454,Engine!$C$2:$C$1960,0)),"",INDEX('Compliance Database'!$C$2:$C$1960,MATCH(1454,Engine!$C$2:$C$1960,0)))</f>
        <v/>
      </c>
      <c r="D1467" s="9">
        <f>IF(ISNA(MATCH(1454,Engine!$C$2:$C$1960,0)),"",INDEX('Compliance Database'!$D$2:$D$1960,MATCH(1454,Engine!$C$2:$C$1960,0)))</f>
        <v/>
      </c>
      <c r="E1467" s="8">
        <f>IF(ISNA(MATCH(1454,Engine!$C$2:$C$1960,0)),"",INDEX('Compliance Database'!$E$2:$E$1960,MATCH(1454,Engine!$C$2:$C$1960,0)))</f>
        <v/>
      </c>
      <c r="F1467" s="8">
        <f>IF(ISNA(MATCH(1454,Engine!$C$2:$C$1960,0)),"",INDEX('Compliance Database'!$F$2:$F$1960,MATCH(1454,Engine!$C$2:$C$1960,0)))</f>
        <v/>
      </c>
      <c r="G1467" s="8">
        <f>IF(ISNA(MATCH(1454,Engine!$C$2:$C$1960,0)),"",INDEX('Compliance Database'!$G$2:$G$1960,MATCH(1454,Engine!$C$2:$C$1960,0)))</f>
        <v/>
      </c>
      <c r="H1467" s="9">
        <f>IF(ISNA(MATCH(1454,Engine!$C$2:$C$1960,0)),"",INDEX('Compliance Database'!$H$2:$H$1960,MATCH(1454,Engine!$C$2:$C$1960,0)))</f>
        <v/>
      </c>
      <c r="I1467" s="9">
        <f>IF(ISNA(MATCH(1454,Engine!$C$2:$C$1960,0)),"",INDEX('Compliance Database'!$I$2:$I$1960,MATCH(1454,Engine!$C$2:$C$1960,0)))</f>
        <v/>
      </c>
      <c r="J1467" s="8">
        <f>IF(ISNA(MATCH(1454,Engine!$C$2:$C$1960,0)),"",INDEX('Compliance Database'!$J$2:$J$1960,MATCH(1454,Engine!$C$2:$C$1960,0)))</f>
        <v/>
      </c>
      <c r="K1467" s="9">
        <f>IF(ISNA(MATCH(1454,Engine!$C$2:$C$1960,0)),"",INDEX('Compliance Database'!$K$2:$K$1960,MATCH(1454,Engine!$C$2:$C$1960,0)))</f>
        <v/>
      </c>
      <c r="L1467" s="9">
        <f>IF(ISNA(MATCH(1454,Engine!$C$2:$C$1960,0)),"",INDEX('Compliance Database'!$L$2:$L$1960,MATCH(1454,Engine!$C$2:$C$1960,0)))</f>
        <v/>
      </c>
      <c r="M1467" s="9">
        <f>IF(ISNA(MATCH(1454,Engine!$C$2:$C$1960,0)),"",INDEX('Compliance Database'!$M$2:$M$1960,MATCH(1454,Engine!$C$2:$C$1960,0)))</f>
        <v/>
      </c>
      <c r="N1467" s="9">
        <f>IF(ISNA(MATCH(1454,Engine!$C$2:$C$1960,0)),"",INDEX('Compliance Database'!$N$2:$N$1960,MATCH(1454,Engine!$C$2:$C$1960,0)))</f>
        <v/>
      </c>
      <c r="O1467" s="9">
        <f>IF(ISNA(MATCH(1454,Engine!$C$2:$C$1960,0)),"",INDEX('Compliance Database'!$O$2:$O$1960,MATCH(1454,Engine!$C$2:$C$1960,0)))</f>
        <v/>
      </c>
      <c r="P1467" s="8">
        <f>IF(ISNA(MATCH(1454,Engine!$C$2:$C$1960,0)),"",HYPERLINK("#Acts!A"&amp;INDEX('Compliance Database'!$P$2:$P$1960,MATCH(1454,Engine!$C$2:$C$1960,0)),"Go to Act"))</f>
        <v/>
      </c>
    </row>
    <row r="1468" ht="158" customHeight="1">
      <c r="A1468" s="8">
        <f>IF(ISNA(MATCH(1455,Engine!$C$2:$C$1960,0)),"",INDEX('Compliance Database'!$A$2:$A$1960,MATCH(1455,Engine!$C$2:$C$1960,0)))</f>
        <v/>
      </c>
      <c r="B1468" s="8">
        <f>IF(ISNA(MATCH(1455,Engine!$C$2:$C$1960,0)),"",INDEX('Compliance Database'!$B$2:$B$1960,MATCH(1455,Engine!$C$2:$C$1960,0)))</f>
        <v/>
      </c>
      <c r="C1468" s="8">
        <f>IF(ISNA(MATCH(1455,Engine!$C$2:$C$1960,0)),"",INDEX('Compliance Database'!$C$2:$C$1960,MATCH(1455,Engine!$C$2:$C$1960,0)))</f>
        <v/>
      </c>
      <c r="D1468" s="9">
        <f>IF(ISNA(MATCH(1455,Engine!$C$2:$C$1960,0)),"",INDEX('Compliance Database'!$D$2:$D$1960,MATCH(1455,Engine!$C$2:$C$1960,0)))</f>
        <v/>
      </c>
      <c r="E1468" s="8">
        <f>IF(ISNA(MATCH(1455,Engine!$C$2:$C$1960,0)),"",INDEX('Compliance Database'!$E$2:$E$1960,MATCH(1455,Engine!$C$2:$C$1960,0)))</f>
        <v/>
      </c>
      <c r="F1468" s="8">
        <f>IF(ISNA(MATCH(1455,Engine!$C$2:$C$1960,0)),"",INDEX('Compliance Database'!$F$2:$F$1960,MATCH(1455,Engine!$C$2:$C$1960,0)))</f>
        <v/>
      </c>
      <c r="G1468" s="8">
        <f>IF(ISNA(MATCH(1455,Engine!$C$2:$C$1960,0)),"",INDEX('Compliance Database'!$G$2:$G$1960,MATCH(1455,Engine!$C$2:$C$1960,0)))</f>
        <v/>
      </c>
      <c r="H1468" s="9">
        <f>IF(ISNA(MATCH(1455,Engine!$C$2:$C$1960,0)),"",INDEX('Compliance Database'!$H$2:$H$1960,MATCH(1455,Engine!$C$2:$C$1960,0)))</f>
        <v/>
      </c>
      <c r="I1468" s="9">
        <f>IF(ISNA(MATCH(1455,Engine!$C$2:$C$1960,0)),"",INDEX('Compliance Database'!$I$2:$I$1960,MATCH(1455,Engine!$C$2:$C$1960,0)))</f>
        <v/>
      </c>
      <c r="J1468" s="8">
        <f>IF(ISNA(MATCH(1455,Engine!$C$2:$C$1960,0)),"",INDEX('Compliance Database'!$J$2:$J$1960,MATCH(1455,Engine!$C$2:$C$1960,0)))</f>
        <v/>
      </c>
      <c r="K1468" s="9">
        <f>IF(ISNA(MATCH(1455,Engine!$C$2:$C$1960,0)),"",INDEX('Compliance Database'!$K$2:$K$1960,MATCH(1455,Engine!$C$2:$C$1960,0)))</f>
        <v/>
      </c>
      <c r="L1468" s="9">
        <f>IF(ISNA(MATCH(1455,Engine!$C$2:$C$1960,0)),"",INDEX('Compliance Database'!$L$2:$L$1960,MATCH(1455,Engine!$C$2:$C$1960,0)))</f>
        <v/>
      </c>
      <c r="M1468" s="9">
        <f>IF(ISNA(MATCH(1455,Engine!$C$2:$C$1960,0)),"",INDEX('Compliance Database'!$M$2:$M$1960,MATCH(1455,Engine!$C$2:$C$1960,0)))</f>
        <v/>
      </c>
      <c r="N1468" s="9">
        <f>IF(ISNA(MATCH(1455,Engine!$C$2:$C$1960,0)),"",INDEX('Compliance Database'!$N$2:$N$1960,MATCH(1455,Engine!$C$2:$C$1960,0)))</f>
        <v/>
      </c>
      <c r="O1468" s="9">
        <f>IF(ISNA(MATCH(1455,Engine!$C$2:$C$1960,0)),"",INDEX('Compliance Database'!$O$2:$O$1960,MATCH(1455,Engine!$C$2:$C$1960,0)))</f>
        <v/>
      </c>
      <c r="P1468" s="8">
        <f>IF(ISNA(MATCH(1455,Engine!$C$2:$C$1960,0)),"",HYPERLINK("#Acts!A"&amp;INDEX('Compliance Database'!$P$2:$P$1960,MATCH(1455,Engine!$C$2:$C$1960,0)),"Go to Act"))</f>
        <v/>
      </c>
    </row>
    <row r="1469" ht="158" customHeight="1">
      <c r="A1469" s="8">
        <f>IF(ISNA(MATCH(1456,Engine!$C$2:$C$1960,0)),"",INDEX('Compliance Database'!$A$2:$A$1960,MATCH(1456,Engine!$C$2:$C$1960,0)))</f>
        <v/>
      </c>
      <c r="B1469" s="8">
        <f>IF(ISNA(MATCH(1456,Engine!$C$2:$C$1960,0)),"",INDEX('Compliance Database'!$B$2:$B$1960,MATCH(1456,Engine!$C$2:$C$1960,0)))</f>
        <v/>
      </c>
      <c r="C1469" s="8">
        <f>IF(ISNA(MATCH(1456,Engine!$C$2:$C$1960,0)),"",INDEX('Compliance Database'!$C$2:$C$1960,MATCH(1456,Engine!$C$2:$C$1960,0)))</f>
        <v/>
      </c>
      <c r="D1469" s="9">
        <f>IF(ISNA(MATCH(1456,Engine!$C$2:$C$1960,0)),"",INDEX('Compliance Database'!$D$2:$D$1960,MATCH(1456,Engine!$C$2:$C$1960,0)))</f>
        <v/>
      </c>
      <c r="E1469" s="8">
        <f>IF(ISNA(MATCH(1456,Engine!$C$2:$C$1960,0)),"",INDEX('Compliance Database'!$E$2:$E$1960,MATCH(1456,Engine!$C$2:$C$1960,0)))</f>
        <v/>
      </c>
      <c r="F1469" s="8">
        <f>IF(ISNA(MATCH(1456,Engine!$C$2:$C$1960,0)),"",INDEX('Compliance Database'!$F$2:$F$1960,MATCH(1456,Engine!$C$2:$C$1960,0)))</f>
        <v/>
      </c>
      <c r="G1469" s="8">
        <f>IF(ISNA(MATCH(1456,Engine!$C$2:$C$1960,0)),"",INDEX('Compliance Database'!$G$2:$G$1960,MATCH(1456,Engine!$C$2:$C$1960,0)))</f>
        <v/>
      </c>
      <c r="H1469" s="9">
        <f>IF(ISNA(MATCH(1456,Engine!$C$2:$C$1960,0)),"",INDEX('Compliance Database'!$H$2:$H$1960,MATCH(1456,Engine!$C$2:$C$1960,0)))</f>
        <v/>
      </c>
      <c r="I1469" s="9">
        <f>IF(ISNA(MATCH(1456,Engine!$C$2:$C$1960,0)),"",INDEX('Compliance Database'!$I$2:$I$1960,MATCH(1456,Engine!$C$2:$C$1960,0)))</f>
        <v/>
      </c>
      <c r="J1469" s="8">
        <f>IF(ISNA(MATCH(1456,Engine!$C$2:$C$1960,0)),"",INDEX('Compliance Database'!$J$2:$J$1960,MATCH(1456,Engine!$C$2:$C$1960,0)))</f>
        <v/>
      </c>
      <c r="K1469" s="9">
        <f>IF(ISNA(MATCH(1456,Engine!$C$2:$C$1960,0)),"",INDEX('Compliance Database'!$K$2:$K$1960,MATCH(1456,Engine!$C$2:$C$1960,0)))</f>
        <v/>
      </c>
      <c r="L1469" s="9">
        <f>IF(ISNA(MATCH(1456,Engine!$C$2:$C$1960,0)),"",INDEX('Compliance Database'!$L$2:$L$1960,MATCH(1456,Engine!$C$2:$C$1960,0)))</f>
        <v/>
      </c>
      <c r="M1469" s="9">
        <f>IF(ISNA(MATCH(1456,Engine!$C$2:$C$1960,0)),"",INDEX('Compliance Database'!$M$2:$M$1960,MATCH(1456,Engine!$C$2:$C$1960,0)))</f>
        <v/>
      </c>
      <c r="N1469" s="9">
        <f>IF(ISNA(MATCH(1456,Engine!$C$2:$C$1960,0)),"",INDEX('Compliance Database'!$N$2:$N$1960,MATCH(1456,Engine!$C$2:$C$1960,0)))</f>
        <v/>
      </c>
      <c r="O1469" s="9">
        <f>IF(ISNA(MATCH(1456,Engine!$C$2:$C$1960,0)),"",INDEX('Compliance Database'!$O$2:$O$1960,MATCH(1456,Engine!$C$2:$C$1960,0)))</f>
        <v/>
      </c>
      <c r="P1469" s="8">
        <f>IF(ISNA(MATCH(1456,Engine!$C$2:$C$1960,0)),"",HYPERLINK("#Acts!A"&amp;INDEX('Compliance Database'!$P$2:$P$1960,MATCH(1456,Engine!$C$2:$C$1960,0)),"Go to Act"))</f>
        <v/>
      </c>
    </row>
    <row r="1470" ht="158" customHeight="1">
      <c r="A1470" s="8">
        <f>IF(ISNA(MATCH(1457,Engine!$C$2:$C$1960,0)),"",INDEX('Compliance Database'!$A$2:$A$1960,MATCH(1457,Engine!$C$2:$C$1960,0)))</f>
        <v/>
      </c>
      <c r="B1470" s="8">
        <f>IF(ISNA(MATCH(1457,Engine!$C$2:$C$1960,0)),"",INDEX('Compliance Database'!$B$2:$B$1960,MATCH(1457,Engine!$C$2:$C$1960,0)))</f>
        <v/>
      </c>
      <c r="C1470" s="8">
        <f>IF(ISNA(MATCH(1457,Engine!$C$2:$C$1960,0)),"",INDEX('Compliance Database'!$C$2:$C$1960,MATCH(1457,Engine!$C$2:$C$1960,0)))</f>
        <v/>
      </c>
      <c r="D1470" s="9">
        <f>IF(ISNA(MATCH(1457,Engine!$C$2:$C$1960,0)),"",INDEX('Compliance Database'!$D$2:$D$1960,MATCH(1457,Engine!$C$2:$C$1960,0)))</f>
        <v/>
      </c>
      <c r="E1470" s="8">
        <f>IF(ISNA(MATCH(1457,Engine!$C$2:$C$1960,0)),"",INDEX('Compliance Database'!$E$2:$E$1960,MATCH(1457,Engine!$C$2:$C$1960,0)))</f>
        <v/>
      </c>
      <c r="F1470" s="8">
        <f>IF(ISNA(MATCH(1457,Engine!$C$2:$C$1960,0)),"",INDEX('Compliance Database'!$F$2:$F$1960,MATCH(1457,Engine!$C$2:$C$1960,0)))</f>
        <v/>
      </c>
      <c r="G1470" s="8">
        <f>IF(ISNA(MATCH(1457,Engine!$C$2:$C$1960,0)),"",INDEX('Compliance Database'!$G$2:$G$1960,MATCH(1457,Engine!$C$2:$C$1960,0)))</f>
        <v/>
      </c>
      <c r="H1470" s="9">
        <f>IF(ISNA(MATCH(1457,Engine!$C$2:$C$1960,0)),"",INDEX('Compliance Database'!$H$2:$H$1960,MATCH(1457,Engine!$C$2:$C$1960,0)))</f>
        <v/>
      </c>
      <c r="I1470" s="9">
        <f>IF(ISNA(MATCH(1457,Engine!$C$2:$C$1960,0)),"",INDEX('Compliance Database'!$I$2:$I$1960,MATCH(1457,Engine!$C$2:$C$1960,0)))</f>
        <v/>
      </c>
      <c r="J1470" s="8">
        <f>IF(ISNA(MATCH(1457,Engine!$C$2:$C$1960,0)),"",INDEX('Compliance Database'!$J$2:$J$1960,MATCH(1457,Engine!$C$2:$C$1960,0)))</f>
        <v/>
      </c>
      <c r="K1470" s="9">
        <f>IF(ISNA(MATCH(1457,Engine!$C$2:$C$1960,0)),"",INDEX('Compliance Database'!$K$2:$K$1960,MATCH(1457,Engine!$C$2:$C$1960,0)))</f>
        <v/>
      </c>
      <c r="L1470" s="9">
        <f>IF(ISNA(MATCH(1457,Engine!$C$2:$C$1960,0)),"",INDEX('Compliance Database'!$L$2:$L$1960,MATCH(1457,Engine!$C$2:$C$1960,0)))</f>
        <v/>
      </c>
      <c r="M1470" s="9">
        <f>IF(ISNA(MATCH(1457,Engine!$C$2:$C$1960,0)),"",INDEX('Compliance Database'!$M$2:$M$1960,MATCH(1457,Engine!$C$2:$C$1960,0)))</f>
        <v/>
      </c>
      <c r="N1470" s="9">
        <f>IF(ISNA(MATCH(1457,Engine!$C$2:$C$1960,0)),"",INDEX('Compliance Database'!$N$2:$N$1960,MATCH(1457,Engine!$C$2:$C$1960,0)))</f>
        <v/>
      </c>
      <c r="O1470" s="9">
        <f>IF(ISNA(MATCH(1457,Engine!$C$2:$C$1960,0)),"",INDEX('Compliance Database'!$O$2:$O$1960,MATCH(1457,Engine!$C$2:$C$1960,0)))</f>
        <v/>
      </c>
      <c r="P1470" s="8">
        <f>IF(ISNA(MATCH(1457,Engine!$C$2:$C$1960,0)),"",HYPERLINK("#Acts!A"&amp;INDEX('Compliance Database'!$P$2:$P$1960,MATCH(1457,Engine!$C$2:$C$1960,0)),"Go to Act"))</f>
        <v/>
      </c>
    </row>
    <row r="1471" ht="158" customHeight="1">
      <c r="A1471" s="8">
        <f>IF(ISNA(MATCH(1458,Engine!$C$2:$C$1960,0)),"",INDEX('Compliance Database'!$A$2:$A$1960,MATCH(1458,Engine!$C$2:$C$1960,0)))</f>
        <v/>
      </c>
      <c r="B1471" s="8">
        <f>IF(ISNA(MATCH(1458,Engine!$C$2:$C$1960,0)),"",INDEX('Compliance Database'!$B$2:$B$1960,MATCH(1458,Engine!$C$2:$C$1960,0)))</f>
        <v/>
      </c>
      <c r="C1471" s="8">
        <f>IF(ISNA(MATCH(1458,Engine!$C$2:$C$1960,0)),"",INDEX('Compliance Database'!$C$2:$C$1960,MATCH(1458,Engine!$C$2:$C$1960,0)))</f>
        <v/>
      </c>
      <c r="D1471" s="9">
        <f>IF(ISNA(MATCH(1458,Engine!$C$2:$C$1960,0)),"",INDEX('Compliance Database'!$D$2:$D$1960,MATCH(1458,Engine!$C$2:$C$1960,0)))</f>
        <v/>
      </c>
      <c r="E1471" s="8">
        <f>IF(ISNA(MATCH(1458,Engine!$C$2:$C$1960,0)),"",INDEX('Compliance Database'!$E$2:$E$1960,MATCH(1458,Engine!$C$2:$C$1960,0)))</f>
        <v/>
      </c>
      <c r="F1471" s="8">
        <f>IF(ISNA(MATCH(1458,Engine!$C$2:$C$1960,0)),"",INDEX('Compliance Database'!$F$2:$F$1960,MATCH(1458,Engine!$C$2:$C$1960,0)))</f>
        <v/>
      </c>
      <c r="G1471" s="8">
        <f>IF(ISNA(MATCH(1458,Engine!$C$2:$C$1960,0)),"",INDEX('Compliance Database'!$G$2:$G$1960,MATCH(1458,Engine!$C$2:$C$1960,0)))</f>
        <v/>
      </c>
      <c r="H1471" s="9">
        <f>IF(ISNA(MATCH(1458,Engine!$C$2:$C$1960,0)),"",INDEX('Compliance Database'!$H$2:$H$1960,MATCH(1458,Engine!$C$2:$C$1960,0)))</f>
        <v/>
      </c>
      <c r="I1471" s="9">
        <f>IF(ISNA(MATCH(1458,Engine!$C$2:$C$1960,0)),"",INDEX('Compliance Database'!$I$2:$I$1960,MATCH(1458,Engine!$C$2:$C$1960,0)))</f>
        <v/>
      </c>
      <c r="J1471" s="8">
        <f>IF(ISNA(MATCH(1458,Engine!$C$2:$C$1960,0)),"",INDEX('Compliance Database'!$J$2:$J$1960,MATCH(1458,Engine!$C$2:$C$1960,0)))</f>
        <v/>
      </c>
      <c r="K1471" s="9">
        <f>IF(ISNA(MATCH(1458,Engine!$C$2:$C$1960,0)),"",INDEX('Compliance Database'!$K$2:$K$1960,MATCH(1458,Engine!$C$2:$C$1960,0)))</f>
        <v/>
      </c>
      <c r="L1471" s="9">
        <f>IF(ISNA(MATCH(1458,Engine!$C$2:$C$1960,0)),"",INDEX('Compliance Database'!$L$2:$L$1960,MATCH(1458,Engine!$C$2:$C$1960,0)))</f>
        <v/>
      </c>
      <c r="M1471" s="9">
        <f>IF(ISNA(MATCH(1458,Engine!$C$2:$C$1960,0)),"",INDEX('Compliance Database'!$M$2:$M$1960,MATCH(1458,Engine!$C$2:$C$1960,0)))</f>
        <v/>
      </c>
      <c r="N1471" s="9">
        <f>IF(ISNA(MATCH(1458,Engine!$C$2:$C$1960,0)),"",INDEX('Compliance Database'!$N$2:$N$1960,MATCH(1458,Engine!$C$2:$C$1960,0)))</f>
        <v/>
      </c>
      <c r="O1471" s="9">
        <f>IF(ISNA(MATCH(1458,Engine!$C$2:$C$1960,0)),"",INDEX('Compliance Database'!$O$2:$O$1960,MATCH(1458,Engine!$C$2:$C$1960,0)))</f>
        <v/>
      </c>
      <c r="P1471" s="8">
        <f>IF(ISNA(MATCH(1458,Engine!$C$2:$C$1960,0)),"",HYPERLINK("#Acts!A"&amp;INDEX('Compliance Database'!$P$2:$P$1960,MATCH(1458,Engine!$C$2:$C$1960,0)),"Go to Act"))</f>
        <v/>
      </c>
    </row>
    <row r="1472" ht="158" customHeight="1">
      <c r="A1472" s="8">
        <f>IF(ISNA(MATCH(1459,Engine!$C$2:$C$1960,0)),"",INDEX('Compliance Database'!$A$2:$A$1960,MATCH(1459,Engine!$C$2:$C$1960,0)))</f>
        <v/>
      </c>
      <c r="B1472" s="8">
        <f>IF(ISNA(MATCH(1459,Engine!$C$2:$C$1960,0)),"",INDEX('Compliance Database'!$B$2:$B$1960,MATCH(1459,Engine!$C$2:$C$1960,0)))</f>
        <v/>
      </c>
      <c r="C1472" s="8">
        <f>IF(ISNA(MATCH(1459,Engine!$C$2:$C$1960,0)),"",INDEX('Compliance Database'!$C$2:$C$1960,MATCH(1459,Engine!$C$2:$C$1960,0)))</f>
        <v/>
      </c>
      <c r="D1472" s="9">
        <f>IF(ISNA(MATCH(1459,Engine!$C$2:$C$1960,0)),"",INDEX('Compliance Database'!$D$2:$D$1960,MATCH(1459,Engine!$C$2:$C$1960,0)))</f>
        <v/>
      </c>
      <c r="E1472" s="8">
        <f>IF(ISNA(MATCH(1459,Engine!$C$2:$C$1960,0)),"",INDEX('Compliance Database'!$E$2:$E$1960,MATCH(1459,Engine!$C$2:$C$1960,0)))</f>
        <v/>
      </c>
      <c r="F1472" s="8">
        <f>IF(ISNA(MATCH(1459,Engine!$C$2:$C$1960,0)),"",INDEX('Compliance Database'!$F$2:$F$1960,MATCH(1459,Engine!$C$2:$C$1960,0)))</f>
        <v/>
      </c>
      <c r="G1472" s="8">
        <f>IF(ISNA(MATCH(1459,Engine!$C$2:$C$1960,0)),"",INDEX('Compliance Database'!$G$2:$G$1960,MATCH(1459,Engine!$C$2:$C$1960,0)))</f>
        <v/>
      </c>
      <c r="H1472" s="9">
        <f>IF(ISNA(MATCH(1459,Engine!$C$2:$C$1960,0)),"",INDEX('Compliance Database'!$H$2:$H$1960,MATCH(1459,Engine!$C$2:$C$1960,0)))</f>
        <v/>
      </c>
      <c r="I1472" s="9">
        <f>IF(ISNA(MATCH(1459,Engine!$C$2:$C$1960,0)),"",INDEX('Compliance Database'!$I$2:$I$1960,MATCH(1459,Engine!$C$2:$C$1960,0)))</f>
        <v/>
      </c>
      <c r="J1472" s="8">
        <f>IF(ISNA(MATCH(1459,Engine!$C$2:$C$1960,0)),"",INDEX('Compliance Database'!$J$2:$J$1960,MATCH(1459,Engine!$C$2:$C$1960,0)))</f>
        <v/>
      </c>
      <c r="K1472" s="9">
        <f>IF(ISNA(MATCH(1459,Engine!$C$2:$C$1960,0)),"",INDEX('Compliance Database'!$K$2:$K$1960,MATCH(1459,Engine!$C$2:$C$1960,0)))</f>
        <v/>
      </c>
      <c r="L1472" s="9">
        <f>IF(ISNA(MATCH(1459,Engine!$C$2:$C$1960,0)),"",INDEX('Compliance Database'!$L$2:$L$1960,MATCH(1459,Engine!$C$2:$C$1960,0)))</f>
        <v/>
      </c>
      <c r="M1472" s="9">
        <f>IF(ISNA(MATCH(1459,Engine!$C$2:$C$1960,0)),"",INDEX('Compliance Database'!$M$2:$M$1960,MATCH(1459,Engine!$C$2:$C$1960,0)))</f>
        <v/>
      </c>
      <c r="N1472" s="9">
        <f>IF(ISNA(MATCH(1459,Engine!$C$2:$C$1960,0)),"",INDEX('Compliance Database'!$N$2:$N$1960,MATCH(1459,Engine!$C$2:$C$1960,0)))</f>
        <v/>
      </c>
      <c r="O1472" s="9">
        <f>IF(ISNA(MATCH(1459,Engine!$C$2:$C$1960,0)),"",INDEX('Compliance Database'!$O$2:$O$1960,MATCH(1459,Engine!$C$2:$C$1960,0)))</f>
        <v/>
      </c>
      <c r="P1472" s="8">
        <f>IF(ISNA(MATCH(1459,Engine!$C$2:$C$1960,0)),"",HYPERLINK("#Acts!A"&amp;INDEX('Compliance Database'!$P$2:$P$1960,MATCH(1459,Engine!$C$2:$C$1960,0)),"Go to Act"))</f>
        <v/>
      </c>
    </row>
    <row r="1473" ht="158" customHeight="1">
      <c r="A1473" s="8">
        <f>IF(ISNA(MATCH(1460,Engine!$C$2:$C$1960,0)),"",INDEX('Compliance Database'!$A$2:$A$1960,MATCH(1460,Engine!$C$2:$C$1960,0)))</f>
        <v/>
      </c>
      <c r="B1473" s="8">
        <f>IF(ISNA(MATCH(1460,Engine!$C$2:$C$1960,0)),"",INDEX('Compliance Database'!$B$2:$B$1960,MATCH(1460,Engine!$C$2:$C$1960,0)))</f>
        <v/>
      </c>
      <c r="C1473" s="8">
        <f>IF(ISNA(MATCH(1460,Engine!$C$2:$C$1960,0)),"",INDEX('Compliance Database'!$C$2:$C$1960,MATCH(1460,Engine!$C$2:$C$1960,0)))</f>
        <v/>
      </c>
      <c r="D1473" s="9">
        <f>IF(ISNA(MATCH(1460,Engine!$C$2:$C$1960,0)),"",INDEX('Compliance Database'!$D$2:$D$1960,MATCH(1460,Engine!$C$2:$C$1960,0)))</f>
        <v/>
      </c>
      <c r="E1473" s="8">
        <f>IF(ISNA(MATCH(1460,Engine!$C$2:$C$1960,0)),"",INDEX('Compliance Database'!$E$2:$E$1960,MATCH(1460,Engine!$C$2:$C$1960,0)))</f>
        <v/>
      </c>
      <c r="F1473" s="8">
        <f>IF(ISNA(MATCH(1460,Engine!$C$2:$C$1960,0)),"",INDEX('Compliance Database'!$F$2:$F$1960,MATCH(1460,Engine!$C$2:$C$1960,0)))</f>
        <v/>
      </c>
      <c r="G1473" s="8">
        <f>IF(ISNA(MATCH(1460,Engine!$C$2:$C$1960,0)),"",INDEX('Compliance Database'!$G$2:$G$1960,MATCH(1460,Engine!$C$2:$C$1960,0)))</f>
        <v/>
      </c>
      <c r="H1473" s="9">
        <f>IF(ISNA(MATCH(1460,Engine!$C$2:$C$1960,0)),"",INDEX('Compliance Database'!$H$2:$H$1960,MATCH(1460,Engine!$C$2:$C$1960,0)))</f>
        <v/>
      </c>
      <c r="I1473" s="9">
        <f>IF(ISNA(MATCH(1460,Engine!$C$2:$C$1960,0)),"",INDEX('Compliance Database'!$I$2:$I$1960,MATCH(1460,Engine!$C$2:$C$1960,0)))</f>
        <v/>
      </c>
      <c r="J1473" s="8">
        <f>IF(ISNA(MATCH(1460,Engine!$C$2:$C$1960,0)),"",INDEX('Compliance Database'!$J$2:$J$1960,MATCH(1460,Engine!$C$2:$C$1960,0)))</f>
        <v/>
      </c>
      <c r="K1473" s="9">
        <f>IF(ISNA(MATCH(1460,Engine!$C$2:$C$1960,0)),"",INDEX('Compliance Database'!$K$2:$K$1960,MATCH(1460,Engine!$C$2:$C$1960,0)))</f>
        <v/>
      </c>
      <c r="L1473" s="9">
        <f>IF(ISNA(MATCH(1460,Engine!$C$2:$C$1960,0)),"",INDEX('Compliance Database'!$L$2:$L$1960,MATCH(1460,Engine!$C$2:$C$1960,0)))</f>
        <v/>
      </c>
      <c r="M1473" s="9">
        <f>IF(ISNA(MATCH(1460,Engine!$C$2:$C$1960,0)),"",INDEX('Compliance Database'!$M$2:$M$1960,MATCH(1460,Engine!$C$2:$C$1960,0)))</f>
        <v/>
      </c>
      <c r="N1473" s="9">
        <f>IF(ISNA(MATCH(1460,Engine!$C$2:$C$1960,0)),"",INDEX('Compliance Database'!$N$2:$N$1960,MATCH(1460,Engine!$C$2:$C$1960,0)))</f>
        <v/>
      </c>
      <c r="O1473" s="9">
        <f>IF(ISNA(MATCH(1460,Engine!$C$2:$C$1960,0)),"",INDEX('Compliance Database'!$O$2:$O$1960,MATCH(1460,Engine!$C$2:$C$1960,0)))</f>
        <v/>
      </c>
      <c r="P1473" s="8">
        <f>IF(ISNA(MATCH(1460,Engine!$C$2:$C$1960,0)),"",HYPERLINK("#Acts!A"&amp;INDEX('Compliance Database'!$P$2:$P$1960,MATCH(1460,Engine!$C$2:$C$1960,0)),"Go to Act"))</f>
        <v/>
      </c>
    </row>
    <row r="1474" ht="158" customHeight="1">
      <c r="A1474" s="8">
        <f>IF(ISNA(MATCH(1461,Engine!$C$2:$C$1960,0)),"",INDEX('Compliance Database'!$A$2:$A$1960,MATCH(1461,Engine!$C$2:$C$1960,0)))</f>
        <v/>
      </c>
      <c r="B1474" s="8">
        <f>IF(ISNA(MATCH(1461,Engine!$C$2:$C$1960,0)),"",INDEX('Compliance Database'!$B$2:$B$1960,MATCH(1461,Engine!$C$2:$C$1960,0)))</f>
        <v/>
      </c>
      <c r="C1474" s="8">
        <f>IF(ISNA(MATCH(1461,Engine!$C$2:$C$1960,0)),"",INDEX('Compliance Database'!$C$2:$C$1960,MATCH(1461,Engine!$C$2:$C$1960,0)))</f>
        <v/>
      </c>
      <c r="D1474" s="9">
        <f>IF(ISNA(MATCH(1461,Engine!$C$2:$C$1960,0)),"",INDEX('Compliance Database'!$D$2:$D$1960,MATCH(1461,Engine!$C$2:$C$1960,0)))</f>
        <v/>
      </c>
      <c r="E1474" s="8">
        <f>IF(ISNA(MATCH(1461,Engine!$C$2:$C$1960,0)),"",INDEX('Compliance Database'!$E$2:$E$1960,MATCH(1461,Engine!$C$2:$C$1960,0)))</f>
        <v/>
      </c>
      <c r="F1474" s="8">
        <f>IF(ISNA(MATCH(1461,Engine!$C$2:$C$1960,0)),"",INDEX('Compliance Database'!$F$2:$F$1960,MATCH(1461,Engine!$C$2:$C$1960,0)))</f>
        <v/>
      </c>
      <c r="G1474" s="8">
        <f>IF(ISNA(MATCH(1461,Engine!$C$2:$C$1960,0)),"",INDEX('Compliance Database'!$G$2:$G$1960,MATCH(1461,Engine!$C$2:$C$1960,0)))</f>
        <v/>
      </c>
      <c r="H1474" s="9">
        <f>IF(ISNA(MATCH(1461,Engine!$C$2:$C$1960,0)),"",INDEX('Compliance Database'!$H$2:$H$1960,MATCH(1461,Engine!$C$2:$C$1960,0)))</f>
        <v/>
      </c>
      <c r="I1474" s="9">
        <f>IF(ISNA(MATCH(1461,Engine!$C$2:$C$1960,0)),"",INDEX('Compliance Database'!$I$2:$I$1960,MATCH(1461,Engine!$C$2:$C$1960,0)))</f>
        <v/>
      </c>
      <c r="J1474" s="8">
        <f>IF(ISNA(MATCH(1461,Engine!$C$2:$C$1960,0)),"",INDEX('Compliance Database'!$J$2:$J$1960,MATCH(1461,Engine!$C$2:$C$1960,0)))</f>
        <v/>
      </c>
      <c r="K1474" s="9">
        <f>IF(ISNA(MATCH(1461,Engine!$C$2:$C$1960,0)),"",INDEX('Compliance Database'!$K$2:$K$1960,MATCH(1461,Engine!$C$2:$C$1960,0)))</f>
        <v/>
      </c>
      <c r="L1474" s="9">
        <f>IF(ISNA(MATCH(1461,Engine!$C$2:$C$1960,0)),"",INDEX('Compliance Database'!$L$2:$L$1960,MATCH(1461,Engine!$C$2:$C$1960,0)))</f>
        <v/>
      </c>
      <c r="M1474" s="9">
        <f>IF(ISNA(MATCH(1461,Engine!$C$2:$C$1960,0)),"",INDEX('Compliance Database'!$M$2:$M$1960,MATCH(1461,Engine!$C$2:$C$1960,0)))</f>
        <v/>
      </c>
      <c r="N1474" s="9">
        <f>IF(ISNA(MATCH(1461,Engine!$C$2:$C$1960,0)),"",INDEX('Compliance Database'!$N$2:$N$1960,MATCH(1461,Engine!$C$2:$C$1960,0)))</f>
        <v/>
      </c>
      <c r="O1474" s="9">
        <f>IF(ISNA(MATCH(1461,Engine!$C$2:$C$1960,0)),"",INDEX('Compliance Database'!$O$2:$O$1960,MATCH(1461,Engine!$C$2:$C$1960,0)))</f>
        <v/>
      </c>
      <c r="P1474" s="8">
        <f>IF(ISNA(MATCH(1461,Engine!$C$2:$C$1960,0)),"",HYPERLINK("#Acts!A"&amp;INDEX('Compliance Database'!$P$2:$P$1960,MATCH(1461,Engine!$C$2:$C$1960,0)),"Go to Act"))</f>
        <v/>
      </c>
    </row>
    <row r="1475" ht="158" customHeight="1">
      <c r="A1475" s="8">
        <f>IF(ISNA(MATCH(1462,Engine!$C$2:$C$1960,0)),"",INDEX('Compliance Database'!$A$2:$A$1960,MATCH(1462,Engine!$C$2:$C$1960,0)))</f>
        <v/>
      </c>
      <c r="B1475" s="8">
        <f>IF(ISNA(MATCH(1462,Engine!$C$2:$C$1960,0)),"",INDEX('Compliance Database'!$B$2:$B$1960,MATCH(1462,Engine!$C$2:$C$1960,0)))</f>
        <v/>
      </c>
      <c r="C1475" s="8">
        <f>IF(ISNA(MATCH(1462,Engine!$C$2:$C$1960,0)),"",INDEX('Compliance Database'!$C$2:$C$1960,MATCH(1462,Engine!$C$2:$C$1960,0)))</f>
        <v/>
      </c>
      <c r="D1475" s="9">
        <f>IF(ISNA(MATCH(1462,Engine!$C$2:$C$1960,0)),"",INDEX('Compliance Database'!$D$2:$D$1960,MATCH(1462,Engine!$C$2:$C$1960,0)))</f>
        <v/>
      </c>
      <c r="E1475" s="8">
        <f>IF(ISNA(MATCH(1462,Engine!$C$2:$C$1960,0)),"",INDEX('Compliance Database'!$E$2:$E$1960,MATCH(1462,Engine!$C$2:$C$1960,0)))</f>
        <v/>
      </c>
      <c r="F1475" s="8">
        <f>IF(ISNA(MATCH(1462,Engine!$C$2:$C$1960,0)),"",INDEX('Compliance Database'!$F$2:$F$1960,MATCH(1462,Engine!$C$2:$C$1960,0)))</f>
        <v/>
      </c>
      <c r="G1475" s="8">
        <f>IF(ISNA(MATCH(1462,Engine!$C$2:$C$1960,0)),"",INDEX('Compliance Database'!$G$2:$G$1960,MATCH(1462,Engine!$C$2:$C$1960,0)))</f>
        <v/>
      </c>
      <c r="H1475" s="9">
        <f>IF(ISNA(MATCH(1462,Engine!$C$2:$C$1960,0)),"",INDEX('Compliance Database'!$H$2:$H$1960,MATCH(1462,Engine!$C$2:$C$1960,0)))</f>
        <v/>
      </c>
      <c r="I1475" s="9">
        <f>IF(ISNA(MATCH(1462,Engine!$C$2:$C$1960,0)),"",INDEX('Compliance Database'!$I$2:$I$1960,MATCH(1462,Engine!$C$2:$C$1960,0)))</f>
        <v/>
      </c>
      <c r="J1475" s="8">
        <f>IF(ISNA(MATCH(1462,Engine!$C$2:$C$1960,0)),"",INDEX('Compliance Database'!$J$2:$J$1960,MATCH(1462,Engine!$C$2:$C$1960,0)))</f>
        <v/>
      </c>
      <c r="K1475" s="9">
        <f>IF(ISNA(MATCH(1462,Engine!$C$2:$C$1960,0)),"",INDEX('Compliance Database'!$K$2:$K$1960,MATCH(1462,Engine!$C$2:$C$1960,0)))</f>
        <v/>
      </c>
      <c r="L1475" s="9">
        <f>IF(ISNA(MATCH(1462,Engine!$C$2:$C$1960,0)),"",INDEX('Compliance Database'!$L$2:$L$1960,MATCH(1462,Engine!$C$2:$C$1960,0)))</f>
        <v/>
      </c>
      <c r="M1475" s="9">
        <f>IF(ISNA(MATCH(1462,Engine!$C$2:$C$1960,0)),"",INDEX('Compliance Database'!$M$2:$M$1960,MATCH(1462,Engine!$C$2:$C$1960,0)))</f>
        <v/>
      </c>
      <c r="N1475" s="9">
        <f>IF(ISNA(MATCH(1462,Engine!$C$2:$C$1960,0)),"",INDEX('Compliance Database'!$N$2:$N$1960,MATCH(1462,Engine!$C$2:$C$1960,0)))</f>
        <v/>
      </c>
      <c r="O1475" s="9">
        <f>IF(ISNA(MATCH(1462,Engine!$C$2:$C$1960,0)),"",INDEX('Compliance Database'!$O$2:$O$1960,MATCH(1462,Engine!$C$2:$C$1960,0)))</f>
        <v/>
      </c>
      <c r="P1475" s="8">
        <f>IF(ISNA(MATCH(1462,Engine!$C$2:$C$1960,0)),"",HYPERLINK("#Acts!A"&amp;INDEX('Compliance Database'!$P$2:$P$1960,MATCH(1462,Engine!$C$2:$C$1960,0)),"Go to Act"))</f>
        <v/>
      </c>
    </row>
    <row r="1476" ht="158" customHeight="1">
      <c r="A1476" s="8">
        <f>IF(ISNA(MATCH(1463,Engine!$C$2:$C$1960,0)),"",INDEX('Compliance Database'!$A$2:$A$1960,MATCH(1463,Engine!$C$2:$C$1960,0)))</f>
        <v/>
      </c>
      <c r="B1476" s="8">
        <f>IF(ISNA(MATCH(1463,Engine!$C$2:$C$1960,0)),"",INDEX('Compliance Database'!$B$2:$B$1960,MATCH(1463,Engine!$C$2:$C$1960,0)))</f>
        <v/>
      </c>
      <c r="C1476" s="8">
        <f>IF(ISNA(MATCH(1463,Engine!$C$2:$C$1960,0)),"",INDEX('Compliance Database'!$C$2:$C$1960,MATCH(1463,Engine!$C$2:$C$1960,0)))</f>
        <v/>
      </c>
      <c r="D1476" s="9">
        <f>IF(ISNA(MATCH(1463,Engine!$C$2:$C$1960,0)),"",INDEX('Compliance Database'!$D$2:$D$1960,MATCH(1463,Engine!$C$2:$C$1960,0)))</f>
        <v/>
      </c>
      <c r="E1476" s="8">
        <f>IF(ISNA(MATCH(1463,Engine!$C$2:$C$1960,0)),"",INDEX('Compliance Database'!$E$2:$E$1960,MATCH(1463,Engine!$C$2:$C$1960,0)))</f>
        <v/>
      </c>
      <c r="F1476" s="8">
        <f>IF(ISNA(MATCH(1463,Engine!$C$2:$C$1960,0)),"",INDEX('Compliance Database'!$F$2:$F$1960,MATCH(1463,Engine!$C$2:$C$1960,0)))</f>
        <v/>
      </c>
      <c r="G1476" s="8">
        <f>IF(ISNA(MATCH(1463,Engine!$C$2:$C$1960,0)),"",INDEX('Compliance Database'!$G$2:$G$1960,MATCH(1463,Engine!$C$2:$C$1960,0)))</f>
        <v/>
      </c>
      <c r="H1476" s="9">
        <f>IF(ISNA(MATCH(1463,Engine!$C$2:$C$1960,0)),"",INDEX('Compliance Database'!$H$2:$H$1960,MATCH(1463,Engine!$C$2:$C$1960,0)))</f>
        <v/>
      </c>
      <c r="I1476" s="9">
        <f>IF(ISNA(MATCH(1463,Engine!$C$2:$C$1960,0)),"",INDEX('Compliance Database'!$I$2:$I$1960,MATCH(1463,Engine!$C$2:$C$1960,0)))</f>
        <v/>
      </c>
      <c r="J1476" s="8">
        <f>IF(ISNA(MATCH(1463,Engine!$C$2:$C$1960,0)),"",INDEX('Compliance Database'!$J$2:$J$1960,MATCH(1463,Engine!$C$2:$C$1960,0)))</f>
        <v/>
      </c>
      <c r="K1476" s="9">
        <f>IF(ISNA(MATCH(1463,Engine!$C$2:$C$1960,0)),"",INDEX('Compliance Database'!$K$2:$K$1960,MATCH(1463,Engine!$C$2:$C$1960,0)))</f>
        <v/>
      </c>
      <c r="L1476" s="9">
        <f>IF(ISNA(MATCH(1463,Engine!$C$2:$C$1960,0)),"",INDEX('Compliance Database'!$L$2:$L$1960,MATCH(1463,Engine!$C$2:$C$1960,0)))</f>
        <v/>
      </c>
      <c r="M1476" s="9">
        <f>IF(ISNA(MATCH(1463,Engine!$C$2:$C$1960,0)),"",INDEX('Compliance Database'!$M$2:$M$1960,MATCH(1463,Engine!$C$2:$C$1960,0)))</f>
        <v/>
      </c>
      <c r="N1476" s="9">
        <f>IF(ISNA(MATCH(1463,Engine!$C$2:$C$1960,0)),"",INDEX('Compliance Database'!$N$2:$N$1960,MATCH(1463,Engine!$C$2:$C$1960,0)))</f>
        <v/>
      </c>
      <c r="O1476" s="9">
        <f>IF(ISNA(MATCH(1463,Engine!$C$2:$C$1960,0)),"",INDEX('Compliance Database'!$O$2:$O$1960,MATCH(1463,Engine!$C$2:$C$1960,0)))</f>
        <v/>
      </c>
      <c r="P1476" s="8">
        <f>IF(ISNA(MATCH(1463,Engine!$C$2:$C$1960,0)),"",HYPERLINK("#Acts!A"&amp;INDEX('Compliance Database'!$P$2:$P$1960,MATCH(1463,Engine!$C$2:$C$1960,0)),"Go to Act"))</f>
        <v/>
      </c>
    </row>
    <row r="1477" ht="158" customHeight="1">
      <c r="A1477" s="8">
        <f>IF(ISNA(MATCH(1464,Engine!$C$2:$C$1960,0)),"",INDEX('Compliance Database'!$A$2:$A$1960,MATCH(1464,Engine!$C$2:$C$1960,0)))</f>
        <v/>
      </c>
      <c r="B1477" s="8">
        <f>IF(ISNA(MATCH(1464,Engine!$C$2:$C$1960,0)),"",INDEX('Compliance Database'!$B$2:$B$1960,MATCH(1464,Engine!$C$2:$C$1960,0)))</f>
        <v/>
      </c>
      <c r="C1477" s="8">
        <f>IF(ISNA(MATCH(1464,Engine!$C$2:$C$1960,0)),"",INDEX('Compliance Database'!$C$2:$C$1960,MATCH(1464,Engine!$C$2:$C$1960,0)))</f>
        <v/>
      </c>
      <c r="D1477" s="9">
        <f>IF(ISNA(MATCH(1464,Engine!$C$2:$C$1960,0)),"",INDEX('Compliance Database'!$D$2:$D$1960,MATCH(1464,Engine!$C$2:$C$1960,0)))</f>
        <v/>
      </c>
      <c r="E1477" s="8">
        <f>IF(ISNA(MATCH(1464,Engine!$C$2:$C$1960,0)),"",INDEX('Compliance Database'!$E$2:$E$1960,MATCH(1464,Engine!$C$2:$C$1960,0)))</f>
        <v/>
      </c>
      <c r="F1477" s="8">
        <f>IF(ISNA(MATCH(1464,Engine!$C$2:$C$1960,0)),"",INDEX('Compliance Database'!$F$2:$F$1960,MATCH(1464,Engine!$C$2:$C$1960,0)))</f>
        <v/>
      </c>
      <c r="G1477" s="8">
        <f>IF(ISNA(MATCH(1464,Engine!$C$2:$C$1960,0)),"",INDEX('Compliance Database'!$G$2:$G$1960,MATCH(1464,Engine!$C$2:$C$1960,0)))</f>
        <v/>
      </c>
      <c r="H1477" s="9">
        <f>IF(ISNA(MATCH(1464,Engine!$C$2:$C$1960,0)),"",INDEX('Compliance Database'!$H$2:$H$1960,MATCH(1464,Engine!$C$2:$C$1960,0)))</f>
        <v/>
      </c>
      <c r="I1477" s="9">
        <f>IF(ISNA(MATCH(1464,Engine!$C$2:$C$1960,0)),"",INDEX('Compliance Database'!$I$2:$I$1960,MATCH(1464,Engine!$C$2:$C$1960,0)))</f>
        <v/>
      </c>
      <c r="J1477" s="8">
        <f>IF(ISNA(MATCH(1464,Engine!$C$2:$C$1960,0)),"",INDEX('Compliance Database'!$J$2:$J$1960,MATCH(1464,Engine!$C$2:$C$1960,0)))</f>
        <v/>
      </c>
      <c r="K1477" s="9">
        <f>IF(ISNA(MATCH(1464,Engine!$C$2:$C$1960,0)),"",INDEX('Compliance Database'!$K$2:$K$1960,MATCH(1464,Engine!$C$2:$C$1960,0)))</f>
        <v/>
      </c>
      <c r="L1477" s="9">
        <f>IF(ISNA(MATCH(1464,Engine!$C$2:$C$1960,0)),"",INDEX('Compliance Database'!$L$2:$L$1960,MATCH(1464,Engine!$C$2:$C$1960,0)))</f>
        <v/>
      </c>
      <c r="M1477" s="9">
        <f>IF(ISNA(MATCH(1464,Engine!$C$2:$C$1960,0)),"",INDEX('Compliance Database'!$M$2:$M$1960,MATCH(1464,Engine!$C$2:$C$1960,0)))</f>
        <v/>
      </c>
      <c r="N1477" s="9">
        <f>IF(ISNA(MATCH(1464,Engine!$C$2:$C$1960,0)),"",INDEX('Compliance Database'!$N$2:$N$1960,MATCH(1464,Engine!$C$2:$C$1960,0)))</f>
        <v/>
      </c>
      <c r="O1477" s="9">
        <f>IF(ISNA(MATCH(1464,Engine!$C$2:$C$1960,0)),"",INDEX('Compliance Database'!$O$2:$O$1960,MATCH(1464,Engine!$C$2:$C$1960,0)))</f>
        <v/>
      </c>
      <c r="P1477" s="8">
        <f>IF(ISNA(MATCH(1464,Engine!$C$2:$C$1960,0)),"",HYPERLINK("#Acts!A"&amp;INDEX('Compliance Database'!$P$2:$P$1960,MATCH(1464,Engine!$C$2:$C$1960,0)),"Go to Act"))</f>
        <v/>
      </c>
    </row>
    <row r="1478" ht="158" customHeight="1">
      <c r="A1478" s="8">
        <f>IF(ISNA(MATCH(1465,Engine!$C$2:$C$1960,0)),"",INDEX('Compliance Database'!$A$2:$A$1960,MATCH(1465,Engine!$C$2:$C$1960,0)))</f>
        <v/>
      </c>
      <c r="B1478" s="8">
        <f>IF(ISNA(MATCH(1465,Engine!$C$2:$C$1960,0)),"",INDEX('Compliance Database'!$B$2:$B$1960,MATCH(1465,Engine!$C$2:$C$1960,0)))</f>
        <v/>
      </c>
      <c r="C1478" s="8">
        <f>IF(ISNA(MATCH(1465,Engine!$C$2:$C$1960,0)),"",INDEX('Compliance Database'!$C$2:$C$1960,MATCH(1465,Engine!$C$2:$C$1960,0)))</f>
        <v/>
      </c>
      <c r="D1478" s="9">
        <f>IF(ISNA(MATCH(1465,Engine!$C$2:$C$1960,0)),"",INDEX('Compliance Database'!$D$2:$D$1960,MATCH(1465,Engine!$C$2:$C$1960,0)))</f>
        <v/>
      </c>
      <c r="E1478" s="8">
        <f>IF(ISNA(MATCH(1465,Engine!$C$2:$C$1960,0)),"",INDEX('Compliance Database'!$E$2:$E$1960,MATCH(1465,Engine!$C$2:$C$1960,0)))</f>
        <v/>
      </c>
      <c r="F1478" s="8">
        <f>IF(ISNA(MATCH(1465,Engine!$C$2:$C$1960,0)),"",INDEX('Compliance Database'!$F$2:$F$1960,MATCH(1465,Engine!$C$2:$C$1960,0)))</f>
        <v/>
      </c>
      <c r="G1478" s="8">
        <f>IF(ISNA(MATCH(1465,Engine!$C$2:$C$1960,0)),"",INDEX('Compliance Database'!$G$2:$G$1960,MATCH(1465,Engine!$C$2:$C$1960,0)))</f>
        <v/>
      </c>
      <c r="H1478" s="9">
        <f>IF(ISNA(MATCH(1465,Engine!$C$2:$C$1960,0)),"",INDEX('Compliance Database'!$H$2:$H$1960,MATCH(1465,Engine!$C$2:$C$1960,0)))</f>
        <v/>
      </c>
      <c r="I1478" s="9">
        <f>IF(ISNA(MATCH(1465,Engine!$C$2:$C$1960,0)),"",INDEX('Compliance Database'!$I$2:$I$1960,MATCH(1465,Engine!$C$2:$C$1960,0)))</f>
        <v/>
      </c>
      <c r="J1478" s="8">
        <f>IF(ISNA(MATCH(1465,Engine!$C$2:$C$1960,0)),"",INDEX('Compliance Database'!$J$2:$J$1960,MATCH(1465,Engine!$C$2:$C$1960,0)))</f>
        <v/>
      </c>
      <c r="K1478" s="9">
        <f>IF(ISNA(MATCH(1465,Engine!$C$2:$C$1960,0)),"",INDEX('Compliance Database'!$K$2:$K$1960,MATCH(1465,Engine!$C$2:$C$1960,0)))</f>
        <v/>
      </c>
      <c r="L1478" s="9">
        <f>IF(ISNA(MATCH(1465,Engine!$C$2:$C$1960,0)),"",INDEX('Compliance Database'!$L$2:$L$1960,MATCH(1465,Engine!$C$2:$C$1960,0)))</f>
        <v/>
      </c>
      <c r="M1478" s="9">
        <f>IF(ISNA(MATCH(1465,Engine!$C$2:$C$1960,0)),"",INDEX('Compliance Database'!$M$2:$M$1960,MATCH(1465,Engine!$C$2:$C$1960,0)))</f>
        <v/>
      </c>
      <c r="N1478" s="9">
        <f>IF(ISNA(MATCH(1465,Engine!$C$2:$C$1960,0)),"",INDEX('Compliance Database'!$N$2:$N$1960,MATCH(1465,Engine!$C$2:$C$1960,0)))</f>
        <v/>
      </c>
      <c r="O1478" s="9">
        <f>IF(ISNA(MATCH(1465,Engine!$C$2:$C$1960,0)),"",INDEX('Compliance Database'!$O$2:$O$1960,MATCH(1465,Engine!$C$2:$C$1960,0)))</f>
        <v/>
      </c>
      <c r="P1478" s="8">
        <f>IF(ISNA(MATCH(1465,Engine!$C$2:$C$1960,0)),"",HYPERLINK("#Acts!A"&amp;INDEX('Compliance Database'!$P$2:$P$1960,MATCH(1465,Engine!$C$2:$C$1960,0)),"Go to Act"))</f>
        <v/>
      </c>
    </row>
    <row r="1479" ht="158" customHeight="1">
      <c r="A1479" s="8">
        <f>IF(ISNA(MATCH(1466,Engine!$C$2:$C$1960,0)),"",INDEX('Compliance Database'!$A$2:$A$1960,MATCH(1466,Engine!$C$2:$C$1960,0)))</f>
        <v/>
      </c>
      <c r="B1479" s="8">
        <f>IF(ISNA(MATCH(1466,Engine!$C$2:$C$1960,0)),"",INDEX('Compliance Database'!$B$2:$B$1960,MATCH(1466,Engine!$C$2:$C$1960,0)))</f>
        <v/>
      </c>
      <c r="C1479" s="8">
        <f>IF(ISNA(MATCH(1466,Engine!$C$2:$C$1960,0)),"",INDEX('Compliance Database'!$C$2:$C$1960,MATCH(1466,Engine!$C$2:$C$1960,0)))</f>
        <v/>
      </c>
      <c r="D1479" s="9">
        <f>IF(ISNA(MATCH(1466,Engine!$C$2:$C$1960,0)),"",INDEX('Compliance Database'!$D$2:$D$1960,MATCH(1466,Engine!$C$2:$C$1960,0)))</f>
        <v/>
      </c>
      <c r="E1479" s="8">
        <f>IF(ISNA(MATCH(1466,Engine!$C$2:$C$1960,0)),"",INDEX('Compliance Database'!$E$2:$E$1960,MATCH(1466,Engine!$C$2:$C$1960,0)))</f>
        <v/>
      </c>
      <c r="F1479" s="8">
        <f>IF(ISNA(MATCH(1466,Engine!$C$2:$C$1960,0)),"",INDEX('Compliance Database'!$F$2:$F$1960,MATCH(1466,Engine!$C$2:$C$1960,0)))</f>
        <v/>
      </c>
      <c r="G1479" s="8">
        <f>IF(ISNA(MATCH(1466,Engine!$C$2:$C$1960,0)),"",INDEX('Compliance Database'!$G$2:$G$1960,MATCH(1466,Engine!$C$2:$C$1960,0)))</f>
        <v/>
      </c>
      <c r="H1479" s="9">
        <f>IF(ISNA(MATCH(1466,Engine!$C$2:$C$1960,0)),"",INDEX('Compliance Database'!$H$2:$H$1960,MATCH(1466,Engine!$C$2:$C$1960,0)))</f>
        <v/>
      </c>
      <c r="I1479" s="9">
        <f>IF(ISNA(MATCH(1466,Engine!$C$2:$C$1960,0)),"",INDEX('Compliance Database'!$I$2:$I$1960,MATCH(1466,Engine!$C$2:$C$1960,0)))</f>
        <v/>
      </c>
      <c r="J1479" s="8">
        <f>IF(ISNA(MATCH(1466,Engine!$C$2:$C$1960,0)),"",INDEX('Compliance Database'!$J$2:$J$1960,MATCH(1466,Engine!$C$2:$C$1960,0)))</f>
        <v/>
      </c>
      <c r="K1479" s="9">
        <f>IF(ISNA(MATCH(1466,Engine!$C$2:$C$1960,0)),"",INDEX('Compliance Database'!$K$2:$K$1960,MATCH(1466,Engine!$C$2:$C$1960,0)))</f>
        <v/>
      </c>
      <c r="L1479" s="9">
        <f>IF(ISNA(MATCH(1466,Engine!$C$2:$C$1960,0)),"",INDEX('Compliance Database'!$L$2:$L$1960,MATCH(1466,Engine!$C$2:$C$1960,0)))</f>
        <v/>
      </c>
      <c r="M1479" s="9">
        <f>IF(ISNA(MATCH(1466,Engine!$C$2:$C$1960,0)),"",INDEX('Compliance Database'!$M$2:$M$1960,MATCH(1466,Engine!$C$2:$C$1960,0)))</f>
        <v/>
      </c>
      <c r="N1479" s="9">
        <f>IF(ISNA(MATCH(1466,Engine!$C$2:$C$1960,0)),"",INDEX('Compliance Database'!$N$2:$N$1960,MATCH(1466,Engine!$C$2:$C$1960,0)))</f>
        <v/>
      </c>
      <c r="O1479" s="9">
        <f>IF(ISNA(MATCH(1466,Engine!$C$2:$C$1960,0)),"",INDEX('Compliance Database'!$O$2:$O$1960,MATCH(1466,Engine!$C$2:$C$1960,0)))</f>
        <v/>
      </c>
      <c r="P1479" s="8">
        <f>IF(ISNA(MATCH(1466,Engine!$C$2:$C$1960,0)),"",HYPERLINK("#Acts!A"&amp;INDEX('Compliance Database'!$P$2:$P$1960,MATCH(1466,Engine!$C$2:$C$1960,0)),"Go to Act"))</f>
        <v/>
      </c>
    </row>
    <row r="1480" ht="158" customHeight="1">
      <c r="A1480" s="8">
        <f>IF(ISNA(MATCH(1467,Engine!$C$2:$C$1960,0)),"",INDEX('Compliance Database'!$A$2:$A$1960,MATCH(1467,Engine!$C$2:$C$1960,0)))</f>
        <v/>
      </c>
      <c r="B1480" s="8">
        <f>IF(ISNA(MATCH(1467,Engine!$C$2:$C$1960,0)),"",INDEX('Compliance Database'!$B$2:$B$1960,MATCH(1467,Engine!$C$2:$C$1960,0)))</f>
        <v/>
      </c>
      <c r="C1480" s="8">
        <f>IF(ISNA(MATCH(1467,Engine!$C$2:$C$1960,0)),"",INDEX('Compliance Database'!$C$2:$C$1960,MATCH(1467,Engine!$C$2:$C$1960,0)))</f>
        <v/>
      </c>
      <c r="D1480" s="9">
        <f>IF(ISNA(MATCH(1467,Engine!$C$2:$C$1960,0)),"",INDEX('Compliance Database'!$D$2:$D$1960,MATCH(1467,Engine!$C$2:$C$1960,0)))</f>
        <v/>
      </c>
      <c r="E1480" s="8">
        <f>IF(ISNA(MATCH(1467,Engine!$C$2:$C$1960,0)),"",INDEX('Compliance Database'!$E$2:$E$1960,MATCH(1467,Engine!$C$2:$C$1960,0)))</f>
        <v/>
      </c>
      <c r="F1480" s="8">
        <f>IF(ISNA(MATCH(1467,Engine!$C$2:$C$1960,0)),"",INDEX('Compliance Database'!$F$2:$F$1960,MATCH(1467,Engine!$C$2:$C$1960,0)))</f>
        <v/>
      </c>
      <c r="G1480" s="8">
        <f>IF(ISNA(MATCH(1467,Engine!$C$2:$C$1960,0)),"",INDEX('Compliance Database'!$G$2:$G$1960,MATCH(1467,Engine!$C$2:$C$1960,0)))</f>
        <v/>
      </c>
      <c r="H1480" s="9">
        <f>IF(ISNA(MATCH(1467,Engine!$C$2:$C$1960,0)),"",INDEX('Compliance Database'!$H$2:$H$1960,MATCH(1467,Engine!$C$2:$C$1960,0)))</f>
        <v/>
      </c>
      <c r="I1480" s="9">
        <f>IF(ISNA(MATCH(1467,Engine!$C$2:$C$1960,0)),"",INDEX('Compliance Database'!$I$2:$I$1960,MATCH(1467,Engine!$C$2:$C$1960,0)))</f>
        <v/>
      </c>
      <c r="J1480" s="8">
        <f>IF(ISNA(MATCH(1467,Engine!$C$2:$C$1960,0)),"",INDEX('Compliance Database'!$J$2:$J$1960,MATCH(1467,Engine!$C$2:$C$1960,0)))</f>
        <v/>
      </c>
      <c r="K1480" s="9">
        <f>IF(ISNA(MATCH(1467,Engine!$C$2:$C$1960,0)),"",INDEX('Compliance Database'!$K$2:$K$1960,MATCH(1467,Engine!$C$2:$C$1960,0)))</f>
        <v/>
      </c>
      <c r="L1480" s="9">
        <f>IF(ISNA(MATCH(1467,Engine!$C$2:$C$1960,0)),"",INDEX('Compliance Database'!$L$2:$L$1960,MATCH(1467,Engine!$C$2:$C$1960,0)))</f>
        <v/>
      </c>
      <c r="M1480" s="9">
        <f>IF(ISNA(MATCH(1467,Engine!$C$2:$C$1960,0)),"",INDEX('Compliance Database'!$M$2:$M$1960,MATCH(1467,Engine!$C$2:$C$1960,0)))</f>
        <v/>
      </c>
      <c r="N1480" s="9">
        <f>IF(ISNA(MATCH(1467,Engine!$C$2:$C$1960,0)),"",INDEX('Compliance Database'!$N$2:$N$1960,MATCH(1467,Engine!$C$2:$C$1960,0)))</f>
        <v/>
      </c>
      <c r="O1480" s="9">
        <f>IF(ISNA(MATCH(1467,Engine!$C$2:$C$1960,0)),"",INDEX('Compliance Database'!$O$2:$O$1960,MATCH(1467,Engine!$C$2:$C$1960,0)))</f>
        <v/>
      </c>
      <c r="P1480" s="8">
        <f>IF(ISNA(MATCH(1467,Engine!$C$2:$C$1960,0)),"",HYPERLINK("#Acts!A"&amp;INDEX('Compliance Database'!$P$2:$P$1960,MATCH(1467,Engine!$C$2:$C$1960,0)),"Go to Act"))</f>
        <v/>
      </c>
    </row>
    <row r="1481" ht="158" customHeight="1">
      <c r="A1481" s="8">
        <f>IF(ISNA(MATCH(1468,Engine!$C$2:$C$1960,0)),"",INDEX('Compliance Database'!$A$2:$A$1960,MATCH(1468,Engine!$C$2:$C$1960,0)))</f>
        <v/>
      </c>
      <c r="B1481" s="8">
        <f>IF(ISNA(MATCH(1468,Engine!$C$2:$C$1960,0)),"",INDEX('Compliance Database'!$B$2:$B$1960,MATCH(1468,Engine!$C$2:$C$1960,0)))</f>
        <v/>
      </c>
      <c r="C1481" s="8">
        <f>IF(ISNA(MATCH(1468,Engine!$C$2:$C$1960,0)),"",INDEX('Compliance Database'!$C$2:$C$1960,MATCH(1468,Engine!$C$2:$C$1960,0)))</f>
        <v/>
      </c>
      <c r="D1481" s="9">
        <f>IF(ISNA(MATCH(1468,Engine!$C$2:$C$1960,0)),"",INDEX('Compliance Database'!$D$2:$D$1960,MATCH(1468,Engine!$C$2:$C$1960,0)))</f>
        <v/>
      </c>
      <c r="E1481" s="8">
        <f>IF(ISNA(MATCH(1468,Engine!$C$2:$C$1960,0)),"",INDEX('Compliance Database'!$E$2:$E$1960,MATCH(1468,Engine!$C$2:$C$1960,0)))</f>
        <v/>
      </c>
      <c r="F1481" s="8">
        <f>IF(ISNA(MATCH(1468,Engine!$C$2:$C$1960,0)),"",INDEX('Compliance Database'!$F$2:$F$1960,MATCH(1468,Engine!$C$2:$C$1960,0)))</f>
        <v/>
      </c>
      <c r="G1481" s="8">
        <f>IF(ISNA(MATCH(1468,Engine!$C$2:$C$1960,0)),"",INDEX('Compliance Database'!$G$2:$G$1960,MATCH(1468,Engine!$C$2:$C$1960,0)))</f>
        <v/>
      </c>
      <c r="H1481" s="9">
        <f>IF(ISNA(MATCH(1468,Engine!$C$2:$C$1960,0)),"",INDEX('Compliance Database'!$H$2:$H$1960,MATCH(1468,Engine!$C$2:$C$1960,0)))</f>
        <v/>
      </c>
      <c r="I1481" s="9">
        <f>IF(ISNA(MATCH(1468,Engine!$C$2:$C$1960,0)),"",INDEX('Compliance Database'!$I$2:$I$1960,MATCH(1468,Engine!$C$2:$C$1960,0)))</f>
        <v/>
      </c>
      <c r="J1481" s="8">
        <f>IF(ISNA(MATCH(1468,Engine!$C$2:$C$1960,0)),"",INDEX('Compliance Database'!$J$2:$J$1960,MATCH(1468,Engine!$C$2:$C$1960,0)))</f>
        <v/>
      </c>
      <c r="K1481" s="9">
        <f>IF(ISNA(MATCH(1468,Engine!$C$2:$C$1960,0)),"",INDEX('Compliance Database'!$K$2:$K$1960,MATCH(1468,Engine!$C$2:$C$1960,0)))</f>
        <v/>
      </c>
      <c r="L1481" s="9">
        <f>IF(ISNA(MATCH(1468,Engine!$C$2:$C$1960,0)),"",INDEX('Compliance Database'!$L$2:$L$1960,MATCH(1468,Engine!$C$2:$C$1960,0)))</f>
        <v/>
      </c>
      <c r="M1481" s="9">
        <f>IF(ISNA(MATCH(1468,Engine!$C$2:$C$1960,0)),"",INDEX('Compliance Database'!$M$2:$M$1960,MATCH(1468,Engine!$C$2:$C$1960,0)))</f>
        <v/>
      </c>
      <c r="N1481" s="9">
        <f>IF(ISNA(MATCH(1468,Engine!$C$2:$C$1960,0)),"",INDEX('Compliance Database'!$N$2:$N$1960,MATCH(1468,Engine!$C$2:$C$1960,0)))</f>
        <v/>
      </c>
      <c r="O1481" s="9">
        <f>IF(ISNA(MATCH(1468,Engine!$C$2:$C$1960,0)),"",INDEX('Compliance Database'!$O$2:$O$1960,MATCH(1468,Engine!$C$2:$C$1960,0)))</f>
        <v/>
      </c>
      <c r="P1481" s="8">
        <f>IF(ISNA(MATCH(1468,Engine!$C$2:$C$1960,0)),"",HYPERLINK("#Acts!A"&amp;INDEX('Compliance Database'!$P$2:$P$1960,MATCH(1468,Engine!$C$2:$C$1960,0)),"Go to Act"))</f>
        <v/>
      </c>
    </row>
    <row r="1482" ht="158" customHeight="1">
      <c r="A1482" s="8">
        <f>IF(ISNA(MATCH(1469,Engine!$C$2:$C$1960,0)),"",INDEX('Compliance Database'!$A$2:$A$1960,MATCH(1469,Engine!$C$2:$C$1960,0)))</f>
        <v/>
      </c>
      <c r="B1482" s="8">
        <f>IF(ISNA(MATCH(1469,Engine!$C$2:$C$1960,0)),"",INDEX('Compliance Database'!$B$2:$B$1960,MATCH(1469,Engine!$C$2:$C$1960,0)))</f>
        <v/>
      </c>
      <c r="C1482" s="8">
        <f>IF(ISNA(MATCH(1469,Engine!$C$2:$C$1960,0)),"",INDEX('Compliance Database'!$C$2:$C$1960,MATCH(1469,Engine!$C$2:$C$1960,0)))</f>
        <v/>
      </c>
      <c r="D1482" s="9">
        <f>IF(ISNA(MATCH(1469,Engine!$C$2:$C$1960,0)),"",INDEX('Compliance Database'!$D$2:$D$1960,MATCH(1469,Engine!$C$2:$C$1960,0)))</f>
        <v/>
      </c>
      <c r="E1482" s="8">
        <f>IF(ISNA(MATCH(1469,Engine!$C$2:$C$1960,0)),"",INDEX('Compliance Database'!$E$2:$E$1960,MATCH(1469,Engine!$C$2:$C$1960,0)))</f>
        <v/>
      </c>
      <c r="F1482" s="8">
        <f>IF(ISNA(MATCH(1469,Engine!$C$2:$C$1960,0)),"",INDEX('Compliance Database'!$F$2:$F$1960,MATCH(1469,Engine!$C$2:$C$1960,0)))</f>
        <v/>
      </c>
      <c r="G1482" s="8">
        <f>IF(ISNA(MATCH(1469,Engine!$C$2:$C$1960,0)),"",INDEX('Compliance Database'!$G$2:$G$1960,MATCH(1469,Engine!$C$2:$C$1960,0)))</f>
        <v/>
      </c>
      <c r="H1482" s="9">
        <f>IF(ISNA(MATCH(1469,Engine!$C$2:$C$1960,0)),"",INDEX('Compliance Database'!$H$2:$H$1960,MATCH(1469,Engine!$C$2:$C$1960,0)))</f>
        <v/>
      </c>
      <c r="I1482" s="9">
        <f>IF(ISNA(MATCH(1469,Engine!$C$2:$C$1960,0)),"",INDEX('Compliance Database'!$I$2:$I$1960,MATCH(1469,Engine!$C$2:$C$1960,0)))</f>
        <v/>
      </c>
      <c r="J1482" s="8">
        <f>IF(ISNA(MATCH(1469,Engine!$C$2:$C$1960,0)),"",INDEX('Compliance Database'!$J$2:$J$1960,MATCH(1469,Engine!$C$2:$C$1960,0)))</f>
        <v/>
      </c>
      <c r="K1482" s="9">
        <f>IF(ISNA(MATCH(1469,Engine!$C$2:$C$1960,0)),"",INDEX('Compliance Database'!$K$2:$K$1960,MATCH(1469,Engine!$C$2:$C$1960,0)))</f>
        <v/>
      </c>
      <c r="L1482" s="9">
        <f>IF(ISNA(MATCH(1469,Engine!$C$2:$C$1960,0)),"",INDEX('Compliance Database'!$L$2:$L$1960,MATCH(1469,Engine!$C$2:$C$1960,0)))</f>
        <v/>
      </c>
      <c r="M1482" s="9">
        <f>IF(ISNA(MATCH(1469,Engine!$C$2:$C$1960,0)),"",INDEX('Compliance Database'!$M$2:$M$1960,MATCH(1469,Engine!$C$2:$C$1960,0)))</f>
        <v/>
      </c>
      <c r="N1482" s="9">
        <f>IF(ISNA(MATCH(1469,Engine!$C$2:$C$1960,0)),"",INDEX('Compliance Database'!$N$2:$N$1960,MATCH(1469,Engine!$C$2:$C$1960,0)))</f>
        <v/>
      </c>
      <c r="O1482" s="9">
        <f>IF(ISNA(MATCH(1469,Engine!$C$2:$C$1960,0)),"",INDEX('Compliance Database'!$O$2:$O$1960,MATCH(1469,Engine!$C$2:$C$1960,0)))</f>
        <v/>
      </c>
      <c r="P1482" s="8">
        <f>IF(ISNA(MATCH(1469,Engine!$C$2:$C$1960,0)),"",HYPERLINK("#Acts!A"&amp;INDEX('Compliance Database'!$P$2:$P$1960,MATCH(1469,Engine!$C$2:$C$1960,0)),"Go to Act"))</f>
        <v/>
      </c>
    </row>
    <row r="1483" ht="158" customHeight="1">
      <c r="A1483" s="8">
        <f>IF(ISNA(MATCH(1470,Engine!$C$2:$C$1960,0)),"",INDEX('Compliance Database'!$A$2:$A$1960,MATCH(1470,Engine!$C$2:$C$1960,0)))</f>
        <v/>
      </c>
      <c r="B1483" s="8">
        <f>IF(ISNA(MATCH(1470,Engine!$C$2:$C$1960,0)),"",INDEX('Compliance Database'!$B$2:$B$1960,MATCH(1470,Engine!$C$2:$C$1960,0)))</f>
        <v/>
      </c>
      <c r="C1483" s="8">
        <f>IF(ISNA(MATCH(1470,Engine!$C$2:$C$1960,0)),"",INDEX('Compliance Database'!$C$2:$C$1960,MATCH(1470,Engine!$C$2:$C$1960,0)))</f>
        <v/>
      </c>
      <c r="D1483" s="9">
        <f>IF(ISNA(MATCH(1470,Engine!$C$2:$C$1960,0)),"",INDEX('Compliance Database'!$D$2:$D$1960,MATCH(1470,Engine!$C$2:$C$1960,0)))</f>
        <v/>
      </c>
      <c r="E1483" s="8">
        <f>IF(ISNA(MATCH(1470,Engine!$C$2:$C$1960,0)),"",INDEX('Compliance Database'!$E$2:$E$1960,MATCH(1470,Engine!$C$2:$C$1960,0)))</f>
        <v/>
      </c>
      <c r="F1483" s="8">
        <f>IF(ISNA(MATCH(1470,Engine!$C$2:$C$1960,0)),"",INDEX('Compliance Database'!$F$2:$F$1960,MATCH(1470,Engine!$C$2:$C$1960,0)))</f>
        <v/>
      </c>
      <c r="G1483" s="8">
        <f>IF(ISNA(MATCH(1470,Engine!$C$2:$C$1960,0)),"",INDEX('Compliance Database'!$G$2:$G$1960,MATCH(1470,Engine!$C$2:$C$1960,0)))</f>
        <v/>
      </c>
      <c r="H1483" s="9">
        <f>IF(ISNA(MATCH(1470,Engine!$C$2:$C$1960,0)),"",INDEX('Compliance Database'!$H$2:$H$1960,MATCH(1470,Engine!$C$2:$C$1960,0)))</f>
        <v/>
      </c>
      <c r="I1483" s="9">
        <f>IF(ISNA(MATCH(1470,Engine!$C$2:$C$1960,0)),"",INDEX('Compliance Database'!$I$2:$I$1960,MATCH(1470,Engine!$C$2:$C$1960,0)))</f>
        <v/>
      </c>
      <c r="J1483" s="8">
        <f>IF(ISNA(MATCH(1470,Engine!$C$2:$C$1960,0)),"",INDEX('Compliance Database'!$J$2:$J$1960,MATCH(1470,Engine!$C$2:$C$1960,0)))</f>
        <v/>
      </c>
      <c r="K1483" s="9">
        <f>IF(ISNA(MATCH(1470,Engine!$C$2:$C$1960,0)),"",INDEX('Compliance Database'!$K$2:$K$1960,MATCH(1470,Engine!$C$2:$C$1960,0)))</f>
        <v/>
      </c>
      <c r="L1483" s="9">
        <f>IF(ISNA(MATCH(1470,Engine!$C$2:$C$1960,0)),"",INDEX('Compliance Database'!$L$2:$L$1960,MATCH(1470,Engine!$C$2:$C$1960,0)))</f>
        <v/>
      </c>
      <c r="M1483" s="9">
        <f>IF(ISNA(MATCH(1470,Engine!$C$2:$C$1960,0)),"",INDEX('Compliance Database'!$M$2:$M$1960,MATCH(1470,Engine!$C$2:$C$1960,0)))</f>
        <v/>
      </c>
      <c r="N1483" s="9">
        <f>IF(ISNA(MATCH(1470,Engine!$C$2:$C$1960,0)),"",INDEX('Compliance Database'!$N$2:$N$1960,MATCH(1470,Engine!$C$2:$C$1960,0)))</f>
        <v/>
      </c>
      <c r="O1483" s="9">
        <f>IF(ISNA(MATCH(1470,Engine!$C$2:$C$1960,0)),"",INDEX('Compliance Database'!$O$2:$O$1960,MATCH(1470,Engine!$C$2:$C$1960,0)))</f>
        <v/>
      </c>
      <c r="P1483" s="8">
        <f>IF(ISNA(MATCH(1470,Engine!$C$2:$C$1960,0)),"",HYPERLINK("#Acts!A"&amp;INDEX('Compliance Database'!$P$2:$P$1960,MATCH(1470,Engine!$C$2:$C$1960,0)),"Go to Act"))</f>
        <v/>
      </c>
    </row>
    <row r="1484" ht="158" customHeight="1">
      <c r="A1484" s="8">
        <f>IF(ISNA(MATCH(1471,Engine!$C$2:$C$1960,0)),"",INDEX('Compliance Database'!$A$2:$A$1960,MATCH(1471,Engine!$C$2:$C$1960,0)))</f>
        <v/>
      </c>
      <c r="B1484" s="8">
        <f>IF(ISNA(MATCH(1471,Engine!$C$2:$C$1960,0)),"",INDEX('Compliance Database'!$B$2:$B$1960,MATCH(1471,Engine!$C$2:$C$1960,0)))</f>
        <v/>
      </c>
      <c r="C1484" s="8">
        <f>IF(ISNA(MATCH(1471,Engine!$C$2:$C$1960,0)),"",INDEX('Compliance Database'!$C$2:$C$1960,MATCH(1471,Engine!$C$2:$C$1960,0)))</f>
        <v/>
      </c>
      <c r="D1484" s="9">
        <f>IF(ISNA(MATCH(1471,Engine!$C$2:$C$1960,0)),"",INDEX('Compliance Database'!$D$2:$D$1960,MATCH(1471,Engine!$C$2:$C$1960,0)))</f>
        <v/>
      </c>
      <c r="E1484" s="8">
        <f>IF(ISNA(MATCH(1471,Engine!$C$2:$C$1960,0)),"",INDEX('Compliance Database'!$E$2:$E$1960,MATCH(1471,Engine!$C$2:$C$1960,0)))</f>
        <v/>
      </c>
      <c r="F1484" s="8">
        <f>IF(ISNA(MATCH(1471,Engine!$C$2:$C$1960,0)),"",INDEX('Compliance Database'!$F$2:$F$1960,MATCH(1471,Engine!$C$2:$C$1960,0)))</f>
        <v/>
      </c>
      <c r="G1484" s="8">
        <f>IF(ISNA(MATCH(1471,Engine!$C$2:$C$1960,0)),"",INDEX('Compliance Database'!$G$2:$G$1960,MATCH(1471,Engine!$C$2:$C$1960,0)))</f>
        <v/>
      </c>
      <c r="H1484" s="9">
        <f>IF(ISNA(MATCH(1471,Engine!$C$2:$C$1960,0)),"",INDEX('Compliance Database'!$H$2:$H$1960,MATCH(1471,Engine!$C$2:$C$1960,0)))</f>
        <v/>
      </c>
      <c r="I1484" s="9">
        <f>IF(ISNA(MATCH(1471,Engine!$C$2:$C$1960,0)),"",INDEX('Compliance Database'!$I$2:$I$1960,MATCH(1471,Engine!$C$2:$C$1960,0)))</f>
        <v/>
      </c>
      <c r="J1484" s="8">
        <f>IF(ISNA(MATCH(1471,Engine!$C$2:$C$1960,0)),"",INDEX('Compliance Database'!$J$2:$J$1960,MATCH(1471,Engine!$C$2:$C$1960,0)))</f>
        <v/>
      </c>
      <c r="K1484" s="9">
        <f>IF(ISNA(MATCH(1471,Engine!$C$2:$C$1960,0)),"",INDEX('Compliance Database'!$K$2:$K$1960,MATCH(1471,Engine!$C$2:$C$1960,0)))</f>
        <v/>
      </c>
      <c r="L1484" s="9">
        <f>IF(ISNA(MATCH(1471,Engine!$C$2:$C$1960,0)),"",INDEX('Compliance Database'!$L$2:$L$1960,MATCH(1471,Engine!$C$2:$C$1960,0)))</f>
        <v/>
      </c>
      <c r="M1484" s="9">
        <f>IF(ISNA(MATCH(1471,Engine!$C$2:$C$1960,0)),"",INDEX('Compliance Database'!$M$2:$M$1960,MATCH(1471,Engine!$C$2:$C$1960,0)))</f>
        <v/>
      </c>
      <c r="N1484" s="9">
        <f>IF(ISNA(MATCH(1471,Engine!$C$2:$C$1960,0)),"",INDEX('Compliance Database'!$N$2:$N$1960,MATCH(1471,Engine!$C$2:$C$1960,0)))</f>
        <v/>
      </c>
      <c r="O1484" s="9">
        <f>IF(ISNA(MATCH(1471,Engine!$C$2:$C$1960,0)),"",INDEX('Compliance Database'!$O$2:$O$1960,MATCH(1471,Engine!$C$2:$C$1960,0)))</f>
        <v/>
      </c>
      <c r="P1484" s="8">
        <f>IF(ISNA(MATCH(1471,Engine!$C$2:$C$1960,0)),"",HYPERLINK("#Acts!A"&amp;INDEX('Compliance Database'!$P$2:$P$1960,MATCH(1471,Engine!$C$2:$C$1960,0)),"Go to Act"))</f>
        <v/>
      </c>
    </row>
    <row r="1485" ht="158" customHeight="1">
      <c r="A1485" s="8">
        <f>IF(ISNA(MATCH(1472,Engine!$C$2:$C$1960,0)),"",INDEX('Compliance Database'!$A$2:$A$1960,MATCH(1472,Engine!$C$2:$C$1960,0)))</f>
        <v/>
      </c>
      <c r="B1485" s="8">
        <f>IF(ISNA(MATCH(1472,Engine!$C$2:$C$1960,0)),"",INDEX('Compliance Database'!$B$2:$B$1960,MATCH(1472,Engine!$C$2:$C$1960,0)))</f>
        <v/>
      </c>
      <c r="C1485" s="8">
        <f>IF(ISNA(MATCH(1472,Engine!$C$2:$C$1960,0)),"",INDEX('Compliance Database'!$C$2:$C$1960,MATCH(1472,Engine!$C$2:$C$1960,0)))</f>
        <v/>
      </c>
      <c r="D1485" s="9">
        <f>IF(ISNA(MATCH(1472,Engine!$C$2:$C$1960,0)),"",INDEX('Compliance Database'!$D$2:$D$1960,MATCH(1472,Engine!$C$2:$C$1960,0)))</f>
        <v/>
      </c>
      <c r="E1485" s="8">
        <f>IF(ISNA(MATCH(1472,Engine!$C$2:$C$1960,0)),"",INDEX('Compliance Database'!$E$2:$E$1960,MATCH(1472,Engine!$C$2:$C$1960,0)))</f>
        <v/>
      </c>
      <c r="F1485" s="8">
        <f>IF(ISNA(MATCH(1472,Engine!$C$2:$C$1960,0)),"",INDEX('Compliance Database'!$F$2:$F$1960,MATCH(1472,Engine!$C$2:$C$1960,0)))</f>
        <v/>
      </c>
      <c r="G1485" s="8">
        <f>IF(ISNA(MATCH(1472,Engine!$C$2:$C$1960,0)),"",INDEX('Compliance Database'!$G$2:$G$1960,MATCH(1472,Engine!$C$2:$C$1960,0)))</f>
        <v/>
      </c>
      <c r="H1485" s="9">
        <f>IF(ISNA(MATCH(1472,Engine!$C$2:$C$1960,0)),"",INDEX('Compliance Database'!$H$2:$H$1960,MATCH(1472,Engine!$C$2:$C$1960,0)))</f>
        <v/>
      </c>
      <c r="I1485" s="9">
        <f>IF(ISNA(MATCH(1472,Engine!$C$2:$C$1960,0)),"",INDEX('Compliance Database'!$I$2:$I$1960,MATCH(1472,Engine!$C$2:$C$1960,0)))</f>
        <v/>
      </c>
      <c r="J1485" s="8">
        <f>IF(ISNA(MATCH(1472,Engine!$C$2:$C$1960,0)),"",INDEX('Compliance Database'!$J$2:$J$1960,MATCH(1472,Engine!$C$2:$C$1960,0)))</f>
        <v/>
      </c>
      <c r="K1485" s="9">
        <f>IF(ISNA(MATCH(1472,Engine!$C$2:$C$1960,0)),"",INDEX('Compliance Database'!$K$2:$K$1960,MATCH(1472,Engine!$C$2:$C$1960,0)))</f>
        <v/>
      </c>
      <c r="L1485" s="9">
        <f>IF(ISNA(MATCH(1472,Engine!$C$2:$C$1960,0)),"",INDEX('Compliance Database'!$L$2:$L$1960,MATCH(1472,Engine!$C$2:$C$1960,0)))</f>
        <v/>
      </c>
      <c r="M1485" s="9">
        <f>IF(ISNA(MATCH(1472,Engine!$C$2:$C$1960,0)),"",INDEX('Compliance Database'!$M$2:$M$1960,MATCH(1472,Engine!$C$2:$C$1960,0)))</f>
        <v/>
      </c>
      <c r="N1485" s="9">
        <f>IF(ISNA(MATCH(1472,Engine!$C$2:$C$1960,0)),"",INDEX('Compliance Database'!$N$2:$N$1960,MATCH(1472,Engine!$C$2:$C$1960,0)))</f>
        <v/>
      </c>
      <c r="O1485" s="9">
        <f>IF(ISNA(MATCH(1472,Engine!$C$2:$C$1960,0)),"",INDEX('Compliance Database'!$O$2:$O$1960,MATCH(1472,Engine!$C$2:$C$1960,0)))</f>
        <v/>
      </c>
      <c r="P1485" s="8">
        <f>IF(ISNA(MATCH(1472,Engine!$C$2:$C$1960,0)),"",HYPERLINK("#Acts!A"&amp;INDEX('Compliance Database'!$P$2:$P$1960,MATCH(1472,Engine!$C$2:$C$1960,0)),"Go to Act"))</f>
        <v/>
      </c>
    </row>
    <row r="1486" ht="158" customHeight="1">
      <c r="A1486" s="8">
        <f>IF(ISNA(MATCH(1473,Engine!$C$2:$C$1960,0)),"",INDEX('Compliance Database'!$A$2:$A$1960,MATCH(1473,Engine!$C$2:$C$1960,0)))</f>
        <v/>
      </c>
      <c r="B1486" s="8">
        <f>IF(ISNA(MATCH(1473,Engine!$C$2:$C$1960,0)),"",INDEX('Compliance Database'!$B$2:$B$1960,MATCH(1473,Engine!$C$2:$C$1960,0)))</f>
        <v/>
      </c>
      <c r="C1486" s="8">
        <f>IF(ISNA(MATCH(1473,Engine!$C$2:$C$1960,0)),"",INDEX('Compliance Database'!$C$2:$C$1960,MATCH(1473,Engine!$C$2:$C$1960,0)))</f>
        <v/>
      </c>
      <c r="D1486" s="9">
        <f>IF(ISNA(MATCH(1473,Engine!$C$2:$C$1960,0)),"",INDEX('Compliance Database'!$D$2:$D$1960,MATCH(1473,Engine!$C$2:$C$1960,0)))</f>
        <v/>
      </c>
      <c r="E1486" s="8">
        <f>IF(ISNA(MATCH(1473,Engine!$C$2:$C$1960,0)),"",INDEX('Compliance Database'!$E$2:$E$1960,MATCH(1473,Engine!$C$2:$C$1960,0)))</f>
        <v/>
      </c>
      <c r="F1486" s="8">
        <f>IF(ISNA(MATCH(1473,Engine!$C$2:$C$1960,0)),"",INDEX('Compliance Database'!$F$2:$F$1960,MATCH(1473,Engine!$C$2:$C$1960,0)))</f>
        <v/>
      </c>
      <c r="G1486" s="8">
        <f>IF(ISNA(MATCH(1473,Engine!$C$2:$C$1960,0)),"",INDEX('Compliance Database'!$G$2:$G$1960,MATCH(1473,Engine!$C$2:$C$1960,0)))</f>
        <v/>
      </c>
      <c r="H1486" s="9">
        <f>IF(ISNA(MATCH(1473,Engine!$C$2:$C$1960,0)),"",INDEX('Compliance Database'!$H$2:$H$1960,MATCH(1473,Engine!$C$2:$C$1960,0)))</f>
        <v/>
      </c>
      <c r="I1486" s="9">
        <f>IF(ISNA(MATCH(1473,Engine!$C$2:$C$1960,0)),"",INDEX('Compliance Database'!$I$2:$I$1960,MATCH(1473,Engine!$C$2:$C$1960,0)))</f>
        <v/>
      </c>
      <c r="J1486" s="8">
        <f>IF(ISNA(MATCH(1473,Engine!$C$2:$C$1960,0)),"",INDEX('Compliance Database'!$J$2:$J$1960,MATCH(1473,Engine!$C$2:$C$1960,0)))</f>
        <v/>
      </c>
      <c r="K1486" s="9">
        <f>IF(ISNA(MATCH(1473,Engine!$C$2:$C$1960,0)),"",INDEX('Compliance Database'!$K$2:$K$1960,MATCH(1473,Engine!$C$2:$C$1960,0)))</f>
        <v/>
      </c>
      <c r="L1486" s="9">
        <f>IF(ISNA(MATCH(1473,Engine!$C$2:$C$1960,0)),"",INDEX('Compliance Database'!$L$2:$L$1960,MATCH(1473,Engine!$C$2:$C$1960,0)))</f>
        <v/>
      </c>
      <c r="M1486" s="9">
        <f>IF(ISNA(MATCH(1473,Engine!$C$2:$C$1960,0)),"",INDEX('Compliance Database'!$M$2:$M$1960,MATCH(1473,Engine!$C$2:$C$1960,0)))</f>
        <v/>
      </c>
      <c r="N1486" s="9">
        <f>IF(ISNA(MATCH(1473,Engine!$C$2:$C$1960,0)),"",INDEX('Compliance Database'!$N$2:$N$1960,MATCH(1473,Engine!$C$2:$C$1960,0)))</f>
        <v/>
      </c>
      <c r="O1486" s="9">
        <f>IF(ISNA(MATCH(1473,Engine!$C$2:$C$1960,0)),"",INDEX('Compliance Database'!$O$2:$O$1960,MATCH(1473,Engine!$C$2:$C$1960,0)))</f>
        <v/>
      </c>
      <c r="P1486" s="8">
        <f>IF(ISNA(MATCH(1473,Engine!$C$2:$C$1960,0)),"",HYPERLINK("#Acts!A"&amp;INDEX('Compliance Database'!$P$2:$P$1960,MATCH(1473,Engine!$C$2:$C$1960,0)),"Go to Act"))</f>
        <v/>
      </c>
    </row>
    <row r="1487" ht="158" customHeight="1">
      <c r="A1487" s="8">
        <f>IF(ISNA(MATCH(1474,Engine!$C$2:$C$1960,0)),"",INDEX('Compliance Database'!$A$2:$A$1960,MATCH(1474,Engine!$C$2:$C$1960,0)))</f>
        <v/>
      </c>
      <c r="B1487" s="8">
        <f>IF(ISNA(MATCH(1474,Engine!$C$2:$C$1960,0)),"",INDEX('Compliance Database'!$B$2:$B$1960,MATCH(1474,Engine!$C$2:$C$1960,0)))</f>
        <v/>
      </c>
      <c r="C1487" s="8">
        <f>IF(ISNA(MATCH(1474,Engine!$C$2:$C$1960,0)),"",INDEX('Compliance Database'!$C$2:$C$1960,MATCH(1474,Engine!$C$2:$C$1960,0)))</f>
        <v/>
      </c>
      <c r="D1487" s="9">
        <f>IF(ISNA(MATCH(1474,Engine!$C$2:$C$1960,0)),"",INDEX('Compliance Database'!$D$2:$D$1960,MATCH(1474,Engine!$C$2:$C$1960,0)))</f>
        <v/>
      </c>
      <c r="E1487" s="8">
        <f>IF(ISNA(MATCH(1474,Engine!$C$2:$C$1960,0)),"",INDEX('Compliance Database'!$E$2:$E$1960,MATCH(1474,Engine!$C$2:$C$1960,0)))</f>
        <v/>
      </c>
      <c r="F1487" s="8">
        <f>IF(ISNA(MATCH(1474,Engine!$C$2:$C$1960,0)),"",INDEX('Compliance Database'!$F$2:$F$1960,MATCH(1474,Engine!$C$2:$C$1960,0)))</f>
        <v/>
      </c>
      <c r="G1487" s="8">
        <f>IF(ISNA(MATCH(1474,Engine!$C$2:$C$1960,0)),"",INDEX('Compliance Database'!$G$2:$G$1960,MATCH(1474,Engine!$C$2:$C$1960,0)))</f>
        <v/>
      </c>
      <c r="H1487" s="9">
        <f>IF(ISNA(MATCH(1474,Engine!$C$2:$C$1960,0)),"",INDEX('Compliance Database'!$H$2:$H$1960,MATCH(1474,Engine!$C$2:$C$1960,0)))</f>
        <v/>
      </c>
      <c r="I1487" s="9">
        <f>IF(ISNA(MATCH(1474,Engine!$C$2:$C$1960,0)),"",INDEX('Compliance Database'!$I$2:$I$1960,MATCH(1474,Engine!$C$2:$C$1960,0)))</f>
        <v/>
      </c>
      <c r="J1487" s="8">
        <f>IF(ISNA(MATCH(1474,Engine!$C$2:$C$1960,0)),"",INDEX('Compliance Database'!$J$2:$J$1960,MATCH(1474,Engine!$C$2:$C$1960,0)))</f>
        <v/>
      </c>
      <c r="K1487" s="9">
        <f>IF(ISNA(MATCH(1474,Engine!$C$2:$C$1960,0)),"",INDEX('Compliance Database'!$K$2:$K$1960,MATCH(1474,Engine!$C$2:$C$1960,0)))</f>
        <v/>
      </c>
      <c r="L1487" s="9">
        <f>IF(ISNA(MATCH(1474,Engine!$C$2:$C$1960,0)),"",INDEX('Compliance Database'!$L$2:$L$1960,MATCH(1474,Engine!$C$2:$C$1960,0)))</f>
        <v/>
      </c>
      <c r="M1487" s="9">
        <f>IF(ISNA(MATCH(1474,Engine!$C$2:$C$1960,0)),"",INDEX('Compliance Database'!$M$2:$M$1960,MATCH(1474,Engine!$C$2:$C$1960,0)))</f>
        <v/>
      </c>
      <c r="N1487" s="9">
        <f>IF(ISNA(MATCH(1474,Engine!$C$2:$C$1960,0)),"",INDEX('Compliance Database'!$N$2:$N$1960,MATCH(1474,Engine!$C$2:$C$1960,0)))</f>
        <v/>
      </c>
      <c r="O1487" s="9">
        <f>IF(ISNA(MATCH(1474,Engine!$C$2:$C$1960,0)),"",INDEX('Compliance Database'!$O$2:$O$1960,MATCH(1474,Engine!$C$2:$C$1960,0)))</f>
        <v/>
      </c>
      <c r="P1487" s="8">
        <f>IF(ISNA(MATCH(1474,Engine!$C$2:$C$1960,0)),"",HYPERLINK("#Acts!A"&amp;INDEX('Compliance Database'!$P$2:$P$1960,MATCH(1474,Engine!$C$2:$C$1960,0)),"Go to Act"))</f>
        <v/>
      </c>
    </row>
    <row r="1488" ht="158" customHeight="1">
      <c r="A1488" s="8">
        <f>IF(ISNA(MATCH(1475,Engine!$C$2:$C$1960,0)),"",INDEX('Compliance Database'!$A$2:$A$1960,MATCH(1475,Engine!$C$2:$C$1960,0)))</f>
        <v/>
      </c>
      <c r="B1488" s="8">
        <f>IF(ISNA(MATCH(1475,Engine!$C$2:$C$1960,0)),"",INDEX('Compliance Database'!$B$2:$B$1960,MATCH(1475,Engine!$C$2:$C$1960,0)))</f>
        <v/>
      </c>
      <c r="C1488" s="8">
        <f>IF(ISNA(MATCH(1475,Engine!$C$2:$C$1960,0)),"",INDEX('Compliance Database'!$C$2:$C$1960,MATCH(1475,Engine!$C$2:$C$1960,0)))</f>
        <v/>
      </c>
      <c r="D1488" s="9">
        <f>IF(ISNA(MATCH(1475,Engine!$C$2:$C$1960,0)),"",INDEX('Compliance Database'!$D$2:$D$1960,MATCH(1475,Engine!$C$2:$C$1960,0)))</f>
        <v/>
      </c>
      <c r="E1488" s="8">
        <f>IF(ISNA(MATCH(1475,Engine!$C$2:$C$1960,0)),"",INDEX('Compliance Database'!$E$2:$E$1960,MATCH(1475,Engine!$C$2:$C$1960,0)))</f>
        <v/>
      </c>
      <c r="F1488" s="8">
        <f>IF(ISNA(MATCH(1475,Engine!$C$2:$C$1960,0)),"",INDEX('Compliance Database'!$F$2:$F$1960,MATCH(1475,Engine!$C$2:$C$1960,0)))</f>
        <v/>
      </c>
      <c r="G1488" s="8">
        <f>IF(ISNA(MATCH(1475,Engine!$C$2:$C$1960,0)),"",INDEX('Compliance Database'!$G$2:$G$1960,MATCH(1475,Engine!$C$2:$C$1960,0)))</f>
        <v/>
      </c>
      <c r="H1488" s="9">
        <f>IF(ISNA(MATCH(1475,Engine!$C$2:$C$1960,0)),"",INDEX('Compliance Database'!$H$2:$H$1960,MATCH(1475,Engine!$C$2:$C$1960,0)))</f>
        <v/>
      </c>
      <c r="I1488" s="9">
        <f>IF(ISNA(MATCH(1475,Engine!$C$2:$C$1960,0)),"",INDEX('Compliance Database'!$I$2:$I$1960,MATCH(1475,Engine!$C$2:$C$1960,0)))</f>
        <v/>
      </c>
      <c r="J1488" s="8">
        <f>IF(ISNA(MATCH(1475,Engine!$C$2:$C$1960,0)),"",INDEX('Compliance Database'!$J$2:$J$1960,MATCH(1475,Engine!$C$2:$C$1960,0)))</f>
        <v/>
      </c>
      <c r="K1488" s="9">
        <f>IF(ISNA(MATCH(1475,Engine!$C$2:$C$1960,0)),"",INDEX('Compliance Database'!$K$2:$K$1960,MATCH(1475,Engine!$C$2:$C$1960,0)))</f>
        <v/>
      </c>
      <c r="L1488" s="9">
        <f>IF(ISNA(MATCH(1475,Engine!$C$2:$C$1960,0)),"",INDEX('Compliance Database'!$L$2:$L$1960,MATCH(1475,Engine!$C$2:$C$1960,0)))</f>
        <v/>
      </c>
      <c r="M1488" s="9">
        <f>IF(ISNA(MATCH(1475,Engine!$C$2:$C$1960,0)),"",INDEX('Compliance Database'!$M$2:$M$1960,MATCH(1475,Engine!$C$2:$C$1960,0)))</f>
        <v/>
      </c>
      <c r="N1488" s="9">
        <f>IF(ISNA(MATCH(1475,Engine!$C$2:$C$1960,0)),"",INDEX('Compliance Database'!$N$2:$N$1960,MATCH(1475,Engine!$C$2:$C$1960,0)))</f>
        <v/>
      </c>
      <c r="O1488" s="9">
        <f>IF(ISNA(MATCH(1475,Engine!$C$2:$C$1960,0)),"",INDEX('Compliance Database'!$O$2:$O$1960,MATCH(1475,Engine!$C$2:$C$1960,0)))</f>
        <v/>
      </c>
      <c r="P1488" s="8">
        <f>IF(ISNA(MATCH(1475,Engine!$C$2:$C$1960,0)),"",HYPERLINK("#Acts!A"&amp;INDEX('Compliance Database'!$P$2:$P$1960,MATCH(1475,Engine!$C$2:$C$1960,0)),"Go to Act"))</f>
        <v/>
      </c>
    </row>
    <row r="1489" ht="158" customHeight="1">
      <c r="A1489" s="8">
        <f>IF(ISNA(MATCH(1476,Engine!$C$2:$C$1960,0)),"",INDEX('Compliance Database'!$A$2:$A$1960,MATCH(1476,Engine!$C$2:$C$1960,0)))</f>
        <v/>
      </c>
      <c r="B1489" s="8">
        <f>IF(ISNA(MATCH(1476,Engine!$C$2:$C$1960,0)),"",INDEX('Compliance Database'!$B$2:$B$1960,MATCH(1476,Engine!$C$2:$C$1960,0)))</f>
        <v/>
      </c>
      <c r="C1489" s="8">
        <f>IF(ISNA(MATCH(1476,Engine!$C$2:$C$1960,0)),"",INDEX('Compliance Database'!$C$2:$C$1960,MATCH(1476,Engine!$C$2:$C$1960,0)))</f>
        <v/>
      </c>
      <c r="D1489" s="9">
        <f>IF(ISNA(MATCH(1476,Engine!$C$2:$C$1960,0)),"",INDEX('Compliance Database'!$D$2:$D$1960,MATCH(1476,Engine!$C$2:$C$1960,0)))</f>
        <v/>
      </c>
      <c r="E1489" s="8">
        <f>IF(ISNA(MATCH(1476,Engine!$C$2:$C$1960,0)),"",INDEX('Compliance Database'!$E$2:$E$1960,MATCH(1476,Engine!$C$2:$C$1960,0)))</f>
        <v/>
      </c>
      <c r="F1489" s="8">
        <f>IF(ISNA(MATCH(1476,Engine!$C$2:$C$1960,0)),"",INDEX('Compliance Database'!$F$2:$F$1960,MATCH(1476,Engine!$C$2:$C$1960,0)))</f>
        <v/>
      </c>
      <c r="G1489" s="8">
        <f>IF(ISNA(MATCH(1476,Engine!$C$2:$C$1960,0)),"",INDEX('Compliance Database'!$G$2:$G$1960,MATCH(1476,Engine!$C$2:$C$1960,0)))</f>
        <v/>
      </c>
      <c r="H1489" s="9">
        <f>IF(ISNA(MATCH(1476,Engine!$C$2:$C$1960,0)),"",INDEX('Compliance Database'!$H$2:$H$1960,MATCH(1476,Engine!$C$2:$C$1960,0)))</f>
        <v/>
      </c>
      <c r="I1489" s="9">
        <f>IF(ISNA(MATCH(1476,Engine!$C$2:$C$1960,0)),"",INDEX('Compliance Database'!$I$2:$I$1960,MATCH(1476,Engine!$C$2:$C$1960,0)))</f>
        <v/>
      </c>
      <c r="J1489" s="8">
        <f>IF(ISNA(MATCH(1476,Engine!$C$2:$C$1960,0)),"",INDEX('Compliance Database'!$J$2:$J$1960,MATCH(1476,Engine!$C$2:$C$1960,0)))</f>
        <v/>
      </c>
      <c r="K1489" s="9">
        <f>IF(ISNA(MATCH(1476,Engine!$C$2:$C$1960,0)),"",INDEX('Compliance Database'!$K$2:$K$1960,MATCH(1476,Engine!$C$2:$C$1960,0)))</f>
        <v/>
      </c>
      <c r="L1489" s="9">
        <f>IF(ISNA(MATCH(1476,Engine!$C$2:$C$1960,0)),"",INDEX('Compliance Database'!$L$2:$L$1960,MATCH(1476,Engine!$C$2:$C$1960,0)))</f>
        <v/>
      </c>
      <c r="M1489" s="9">
        <f>IF(ISNA(MATCH(1476,Engine!$C$2:$C$1960,0)),"",INDEX('Compliance Database'!$M$2:$M$1960,MATCH(1476,Engine!$C$2:$C$1960,0)))</f>
        <v/>
      </c>
      <c r="N1489" s="9">
        <f>IF(ISNA(MATCH(1476,Engine!$C$2:$C$1960,0)),"",INDEX('Compliance Database'!$N$2:$N$1960,MATCH(1476,Engine!$C$2:$C$1960,0)))</f>
        <v/>
      </c>
      <c r="O1489" s="9">
        <f>IF(ISNA(MATCH(1476,Engine!$C$2:$C$1960,0)),"",INDEX('Compliance Database'!$O$2:$O$1960,MATCH(1476,Engine!$C$2:$C$1960,0)))</f>
        <v/>
      </c>
      <c r="P1489" s="8">
        <f>IF(ISNA(MATCH(1476,Engine!$C$2:$C$1960,0)),"",HYPERLINK("#Acts!A"&amp;INDEX('Compliance Database'!$P$2:$P$1960,MATCH(1476,Engine!$C$2:$C$1960,0)),"Go to Act"))</f>
        <v/>
      </c>
    </row>
    <row r="1490" ht="158" customHeight="1">
      <c r="A1490" s="8">
        <f>IF(ISNA(MATCH(1477,Engine!$C$2:$C$1960,0)),"",INDEX('Compliance Database'!$A$2:$A$1960,MATCH(1477,Engine!$C$2:$C$1960,0)))</f>
        <v/>
      </c>
      <c r="B1490" s="8">
        <f>IF(ISNA(MATCH(1477,Engine!$C$2:$C$1960,0)),"",INDEX('Compliance Database'!$B$2:$B$1960,MATCH(1477,Engine!$C$2:$C$1960,0)))</f>
        <v/>
      </c>
      <c r="C1490" s="8">
        <f>IF(ISNA(MATCH(1477,Engine!$C$2:$C$1960,0)),"",INDEX('Compliance Database'!$C$2:$C$1960,MATCH(1477,Engine!$C$2:$C$1960,0)))</f>
        <v/>
      </c>
      <c r="D1490" s="9">
        <f>IF(ISNA(MATCH(1477,Engine!$C$2:$C$1960,0)),"",INDEX('Compliance Database'!$D$2:$D$1960,MATCH(1477,Engine!$C$2:$C$1960,0)))</f>
        <v/>
      </c>
      <c r="E1490" s="8">
        <f>IF(ISNA(MATCH(1477,Engine!$C$2:$C$1960,0)),"",INDEX('Compliance Database'!$E$2:$E$1960,MATCH(1477,Engine!$C$2:$C$1960,0)))</f>
        <v/>
      </c>
      <c r="F1490" s="8">
        <f>IF(ISNA(MATCH(1477,Engine!$C$2:$C$1960,0)),"",INDEX('Compliance Database'!$F$2:$F$1960,MATCH(1477,Engine!$C$2:$C$1960,0)))</f>
        <v/>
      </c>
      <c r="G1490" s="8">
        <f>IF(ISNA(MATCH(1477,Engine!$C$2:$C$1960,0)),"",INDEX('Compliance Database'!$G$2:$G$1960,MATCH(1477,Engine!$C$2:$C$1960,0)))</f>
        <v/>
      </c>
      <c r="H1490" s="9">
        <f>IF(ISNA(MATCH(1477,Engine!$C$2:$C$1960,0)),"",INDEX('Compliance Database'!$H$2:$H$1960,MATCH(1477,Engine!$C$2:$C$1960,0)))</f>
        <v/>
      </c>
      <c r="I1490" s="9">
        <f>IF(ISNA(MATCH(1477,Engine!$C$2:$C$1960,0)),"",INDEX('Compliance Database'!$I$2:$I$1960,MATCH(1477,Engine!$C$2:$C$1960,0)))</f>
        <v/>
      </c>
      <c r="J1490" s="8">
        <f>IF(ISNA(MATCH(1477,Engine!$C$2:$C$1960,0)),"",INDEX('Compliance Database'!$J$2:$J$1960,MATCH(1477,Engine!$C$2:$C$1960,0)))</f>
        <v/>
      </c>
      <c r="K1490" s="9">
        <f>IF(ISNA(MATCH(1477,Engine!$C$2:$C$1960,0)),"",INDEX('Compliance Database'!$K$2:$K$1960,MATCH(1477,Engine!$C$2:$C$1960,0)))</f>
        <v/>
      </c>
      <c r="L1490" s="9">
        <f>IF(ISNA(MATCH(1477,Engine!$C$2:$C$1960,0)),"",INDEX('Compliance Database'!$L$2:$L$1960,MATCH(1477,Engine!$C$2:$C$1960,0)))</f>
        <v/>
      </c>
      <c r="M1490" s="9">
        <f>IF(ISNA(MATCH(1477,Engine!$C$2:$C$1960,0)),"",INDEX('Compliance Database'!$M$2:$M$1960,MATCH(1477,Engine!$C$2:$C$1960,0)))</f>
        <v/>
      </c>
      <c r="N1490" s="9">
        <f>IF(ISNA(MATCH(1477,Engine!$C$2:$C$1960,0)),"",INDEX('Compliance Database'!$N$2:$N$1960,MATCH(1477,Engine!$C$2:$C$1960,0)))</f>
        <v/>
      </c>
      <c r="O1490" s="9">
        <f>IF(ISNA(MATCH(1477,Engine!$C$2:$C$1960,0)),"",INDEX('Compliance Database'!$O$2:$O$1960,MATCH(1477,Engine!$C$2:$C$1960,0)))</f>
        <v/>
      </c>
      <c r="P1490" s="8">
        <f>IF(ISNA(MATCH(1477,Engine!$C$2:$C$1960,0)),"",HYPERLINK("#Acts!A"&amp;INDEX('Compliance Database'!$P$2:$P$1960,MATCH(1477,Engine!$C$2:$C$1960,0)),"Go to Act"))</f>
        <v/>
      </c>
    </row>
    <row r="1491" ht="158" customHeight="1">
      <c r="A1491" s="8">
        <f>IF(ISNA(MATCH(1478,Engine!$C$2:$C$1960,0)),"",INDEX('Compliance Database'!$A$2:$A$1960,MATCH(1478,Engine!$C$2:$C$1960,0)))</f>
        <v/>
      </c>
      <c r="B1491" s="8">
        <f>IF(ISNA(MATCH(1478,Engine!$C$2:$C$1960,0)),"",INDEX('Compliance Database'!$B$2:$B$1960,MATCH(1478,Engine!$C$2:$C$1960,0)))</f>
        <v/>
      </c>
      <c r="C1491" s="8">
        <f>IF(ISNA(MATCH(1478,Engine!$C$2:$C$1960,0)),"",INDEX('Compliance Database'!$C$2:$C$1960,MATCH(1478,Engine!$C$2:$C$1960,0)))</f>
        <v/>
      </c>
      <c r="D1491" s="9">
        <f>IF(ISNA(MATCH(1478,Engine!$C$2:$C$1960,0)),"",INDEX('Compliance Database'!$D$2:$D$1960,MATCH(1478,Engine!$C$2:$C$1960,0)))</f>
        <v/>
      </c>
      <c r="E1491" s="8">
        <f>IF(ISNA(MATCH(1478,Engine!$C$2:$C$1960,0)),"",INDEX('Compliance Database'!$E$2:$E$1960,MATCH(1478,Engine!$C$2:$C$1960,0)))</f>
        <v/>
      </c>
      <c r="F1491" s="8">
        <f>IF(ISNA(MATCH(1478,Engine!$C$2:$C$1960,0)),"",INDEX('Compliance Database'!$F$2:$F$1960,MATCH(1478,Engine!$C$2:$C$1960,0)))</f>
        <v/>
      </c>
      <c r="G1491" s="8">
        <f>IF(ISNA(MATCH(1478,Engine!$C$2:$C$1960,0)),"",INDEX('Compliance Database'!$G$2:$G$1960,MATCH(1478,Engine!$C$2:$C$1960,0)))</f>
        <v/>
      </c>
      <c r="H1491" s="9">
        <f>IF(ISNA(MATCH(1478,Engine!$C$2:$C$1960,0)),"",INDEX('Compliance Database'!$H$2:$H$1960,MATCH(1478,Engine!$C$2:$C$1960,0)))</f>
        <v/>
      </c>
      <c r="I1491" s="9">
        <f>IF(ISNA(MATCH(1478,Engine!$C$2:$C$1960,0)),"",INDEX('Compliance Database'!$I$2:$I$1960,MATCH(1478,Engine!$C$2:$C$1960,0)))</f>
        <v/>
      </c>
      <c r="J1491" s="8">
        <f>IF(ISNA(MATCH(1478,Engine!$C$2:$C$1960,0)),"",INDEX('Compliance Database'!$J$2:$J$1960,MATCH(1478,Engine!$C$2:$C$1960,0)))</f>
        <v/>
      </c>
      <c r="K1491" s="9">
        <f>IF(ISNA(MATCH(1478,Engine!$C$2:$C$1960,0)),"",INDEX('Compliance Database'!$K$2:$K$1960,MATCH(1478,Engine!$C$2:$C$1960,0)))</f>
        <v/>
      </c>
      <c r="L1491" s="9">
        <f>IF(ISNA(MATCH(1478,Engine!$C$2:$C$1960,0)),"",INDEX('Compliance Database'!$L$2:$L$1960,MATCH(1478,Engine!$C$2:$C$1960,0)))</f>
        <v/>
      </c>
      <c r="M1491" s="9">
        <f>IF(ISNA(MATCH(1478,Engine!$C$2:$C$1960,0)),"",INDEX('Compliance Database'!$M$2:$M$1960,MATCH(1478,Engine!$C$2:$C$1960,0)))</f>
        <v/>
      </c>
      <c r="N1491" s="9">
        <f>IF(ISNA(MATCH(1478,Engine!$C$2:$C$1960,0)),"",INDEX('Compliance Database'!$N$2:$N$1960,MATCH(1478,Engine!$C$2:$C$1960,0)))</f>
        <v/>
      </c>
      <c r="O1491" s="9">
        <f>IF(ISNA(MATCH(1478,Engine!$C$2:$C$1960,0)),"",INDEX('Compliance Database'!$O$2:$O$1960,MATCH(1478,Engine!$C$2:$C$1960,0)))</f>
        <v/>
      </c>
      <c r="P1491" s="8">
        <f>IF(ISNA(MATCH(1478,Engine!$C$2:$C$1960,0)),"",HYPERLINK("#Acts!A"&amp;INDEX('Compliance Database'!$P$2:$P$1960,MATCH(1478,Engine!$C$2:$C$1960,0)),"Go to Act"))</f>
        <v/>
      </c>
    </row>
    <row r="1492" ht="158" customHeight="1">
      <c r="A1492" s="8">
        <f>IF(ISNA(MATCH(1479,Engine!$C$2:$C$1960,0)),"",INDEX('Compliance Database'!$A$2:$A$1960,MATCH(1479,Engine!$C$2:$C$1960,0)))</f>
        <v/>
      </c>
      <c r="B1492" s="8">
        <f>IF(ISNA(MATCH(1479,Engine!$C$2:$C$1960,0)),"",INDEX('Compliance Database'!$B$2:$B$1960,MATCH(1479,Engine!$C$2:$C$1960,0)))</f>
        <v/>
      </c>
      <c r="C1492" s="8">
        <f>IF(ISNA(MATCH(1479,Engine!$C$2:$C$1960,0)),"",INDEX('Compliance Database'!$C$2:$C$1960,MATCH(1479,Engine!$C$2:$C$1960,0)))</f>
        <v/>
      </c>
      <c r="D1492" s="9">
        <f>IF(ISNA(MATCH(1479,Engine!$C$2:$C$1960,0)),"",INDEX('Compliance Database'!$D$2:$D$1960,MATCH(1479,Engine!$C$2:$C$1960,0)))</f>
        <v/>
      </c>
      <c r="E1492" s="8">
        <f>IF(ISNA(MATCH(1479,Engine!$C$2:$C$1960,0)),"",INDEX('Compliance Database'!$E$2:$E$1960,MATCH(1479,Engine!$C$2:$C$1960,0)))</f>
        <v/>
      </c>
      <c r="F1492" s="8">
        <f>IF(ISNA(MATCH(1479,Engine!$C$2:$C$1960,0)),"",INDEX('Compliance Database'!$F$2:$F$1960,MATCH(1479,Engine!$C$2:$C$1960,0)))</f>
        <v/>
      </c>
      <c r="G1492" s="8">
        <f>IF(ISNA(MATCH(1479,Engine!$C$2:$C$1960,0)),"",INDEX('Compliance Database'!$G$2:$G$1960,MATCH(1479,Engine!$C$2:$C$1960,0)))</f>
        <v/>
      </c>
      <c r="H1492" s="9">
        <f>IF(ISNA(MATCH(1479,Engine!$C$2:$C$1960,0)),"",INDEX('Compliance Database'!$H$2:$H$1960,MATCH(1479,Engine!$C$2:$C$1960,0)))</f>
        <v/>
      </c>
      <c r="I1492" s="9">
        <f>IF(ISNA(MATCH(1479,Engine!$C$2:$C$1960,0)),"",INDEX('Compliance Database'!$I$2:$I$1960,MATCH(1479,Engine!$C$2:$C$1960,0)))</f>
        <v/>
      </c>
      <c r="J1492" s="8">
        <f>IF(ISNA(MATCH(1479,Engine!$C$2:$C$1960,0)),"",INDEX('Compliance Database'!$J$2:$J$1960,MATCH(1479,Engine!$C$2:$C$1960,0)))</f>
        <v/>
      </c>
      <c r="K1492" s="9">
        <f>IF(ISNA(MATCH(1479,Engine!$C$2:$C$1960,0)),"",INDEX('Compliance Database'!$K$2:$K$1960,MATCH(1479,Engine!$C$2:$C$1960,0)))</f>
        <v/>
      </c>
      <c r="L1492" s="9">
        <f>IF(ISNA(MATCH(1479,Engine!$C$2:$C$1960,0)),"",INDEX('Compliance Database'!$L$2:$L$1960,MATCH(1479,Engine!$C$2:$C$1960,0)))</f>
        <v/>
      </c>
      <c r="M1492" s="9">
        <f>IF(ISNA(MATCH(1479,Engine!$C$2:$C$1960,0)),"",INDEX('Compliance Database'!$M$2:$M$1960,MATCH(1479,Engine!$C$2:$C$1960,0)))</f>
        <v/>
      </c>
      <c r="N1492" s="9">
        <f>IF(ISNA(MATCH(1479,Engine!$C$2:$C$1960,0)),"",INDEX('Compliance Database'!$N$2:$N$1960,MATCH(1479,Engine!$C$2:$C$1960,0)))</f>
        <v/>
      </c>
      <c r="O1492" s="9">
        <f>IF(ISNA(MATCH(1479,Engine!$C$2:$C$1960,0)),"",INDEX('Compliance Database'!$O$2:$O$1960,MATCH(1479,Engine!$C$2:$C$1960,0)))</f>
        <v/>
      </c>
      <c r="P1492" s="8">
        <f>IF(ISNA(MATCH(1479,Engine!$C$2:$C$1960,0)),"",HYPERLINK("#Acts!A"&amp;INDEX('Compliance Database'!$P$2:$P$1960,MATCH(1479,Engine!$C$2:$C$1960,0)),"Go to Act"))</f>
        <v/>
      </c>
    </row>
    <row r="1493" ht="158" customHeight="1">
      <c r="A1493" s="8">
        <f>IF(ISNA(MATCH(1480,Engine!$C$2:$C$1960,0)),"",INDEX('Compliance Database'!$A$2:$A$1960,MATCH(1480,Engine!$C$2:$C$1960,0)))</f>
        <v/>
      </c>
      <c r="B1493" s="8">
        <f>IF(ISNA(MATCH(1480,Engine!$C$2:$C$1960,0)),"",INDEX('Compliance Database'!$B$2:$B$1960,MATCH(1480,Engine!$C$2:$C$1960,0)))</f>
        <v/>
      </c>
      <c r="C1493" s="8">
        <f>IF(ISNA(MATCH(1480,Engine!$C$2:$C$1960,0)),"",INDEX('Compliance Database'!$C$2:$C$1960,MATCH(1480,Engine!$C$2:$C$1960,0)))</f>
        <v/>
      </c>
      <c r="D1493" s="9">
        <f>IF(ISNA(MATCH(1480,Engine!$C$2:$C$1960,0)),"",INDEX('Compliance Database'!$D$2:$D$1960,MATCH(1480,Engine!$C$2:$C$1960,0)))</f>
        <v/>
      </c>
      <c r="E1493" s="8">
        <f>IF(ISNA(MATCH(1480,Engine!$C$2:$C$1960,0)),"",INDEX('Compliance Database'!$E$2:$E$1960,MATCH(1480,Engine!$C$2:$C$1960,0)))</f>
        <v/>
      </c>
      <c r="F1493" s="8">
        <f>IF(ISNA(MATCH(1480,Engine!$C$2:$C$1960,0)),"",INDEX('Compliance Database'!$F$2:$F$1960,MATCH(1480,Engine!$C$2:$C$1960,0)))</f>
        <v/>
      </c>
      <c r="G1493" s="8">
        <f>IF(ISNA(MATCH(1480,Engine!$C$2:$C$1960,0)),"",INDEX('Compliance Database'!$G$2:$G$1960,MATCH(1480,Engine!$C$2:$C$1960,0)))</f>
        <v/>
      </c>
      <c r="H1493" s="9">
        <f>IF(ISNA(MATCH(1480,Engine!$C$2:$C$1960,0)),"",INDEX('Compliance Database'!$H$2:$H$1960,MATCH(1480,Engine!$C$2:$C$1960,0)))</f>
        <v/>
      </c>
      <c r="I1493" s="9">
        <f>IF(ISNA(MATCH(1480,Engine!$C$2:$C$1960,0)),"",INDEX('Compliance Database'!$I$2:$I$1960,MATCH(1480,Engine!$C$2:$C$1960,0)))</f>
        <v/>
      </c>
      <c r="J1493" s="8">
        <f>IF(ISNA(MATCH(1480,Engine!$C$2:$C$1960,0)),"",INDEX('Compliance Database'!$J$2:$J$1960,MATCH(1480,Engine!$C$2:$C$1960,0)))</f>
        <v/>
      </c>
      <c r="K1493" s="9">
        <f>IF(ISNA(MATCH(1480,Engine!$C$2:$C$1960,0)),"",INDEX('Compliance Database'!$K$2:$K$1960,MATCH(1480,Engine!$C$2:$C$1960,0)))</f>
        <v/>
      </c>
      <c r="L1493" s="9">
        <f>IF(ISNA(MATCH(1480,Engine!$C$2:$C$1960,0)),"",INDEX('Compliance Database'!$L$2:$L$1960,MATCH(1480,Engine!$C$2:$C$1960,0)))</f>
        <v/>
      </c>
      <c r="M1493" s="9">
        <f>IF(ISNA(MATCH(1480,Engine!$C$2:$C$1960,0)),"",INDEX('Compliance Database'!$M$2:$M$1960,MATCH(1480,Engine!$C$2:$C$1960,0)))</f>
        <v/>
      </c>
      <c r="N1493" s="9">
        <f>IF(ISNA(MATCH(1480,Engine!$C$2:$C$1960,0)),"",INDEX('Compliance Database'!$N$2:$N$1960,MATCH(1480,Engine!$C$2:$C$1960,0)))</f>
        <v/>
      </c>
      <c r="O1493" s="9">
        <f>IF(ISNA(MATCH(1480,Engine!$C$2:$C$1960,0)),"",INDEX('Compliance Database'!$O$2:$O$1960,MATCH(1480,Engine!$C$2:$C$1960,0)))</f>
        <v/>
      </c>
      <c r="P1493" s="8">
        <f>IF(ISNA(MATCH(1480,Engine!$C$2:$C$1960,0)),"",HYPERLINK("#Acts!A"&amp;INDEX('Compliance Database'!$P$2:$P$1960,MATCH(1480,Engine!$C$2:$C$1960,0)),"Go to Act"))</f>
        <v/>
      </c>
    </row>
    <row r="1494" ht="158" customHeight="1">
      <c r="A1494" s="8">
        <f>IF(ISNA(MATCH(1481,Engine!$C$2:$C$1960,0)),"",INDEX('Compliance Database'!$A$2:$A$1960,MATCH(1481,Engine!$C$2:$C$1960,0)))</f>
        <v/>
      </c>
      <c r="B1494" s="8">
        <f>IF(ISNA(MATCH(1481,Engine!$C$2:$C$1960,0)),"",INDEX('Compliance Database'!$B$2:$B$1960,MATCH(1481,Engine!$C$2:$C$1960,0)))</f>
        <v/>
      </c>
      <c r="C1494" s="8">
        <f>IF(ISNA(MATCH(1481,Engine!$C$2:$C$1960,0)),"",INDEX('Compliance Database'!$C$2:$C$1960,MATCH(1481,Engine!$C$2:$C$1960,0)))</f>
        <v/>
      </c>
      <c r="D1494" s="9">
        <f>IF(ISNA(MATCH(1481,Engine!$C$2:$C$1960,0)),"",INDEX('Compliance Database'!$D$2:$D$1960,MATCH(1481,Engine!$C$2:$C$1960,0)))</f>
        <v/>
      </c>
      <c r="E1494" s="8">
        <f>IF(ISNA(MATCH(1481,Engine!$C$2:$C$1960,0)),"",INDEX('Compliance Database'!$E$2:$E$1960,MATCH(1481,Engine!$C$2:$C$1960,0)))</f>
        <v/>
      </c>
      <c r="F1494" s="8">
        <f>IF(ISNA(MATCH(1481,Engine!$C$2:$C$1960,0)),"",INDEX('Compliance Database'!$F$2:$F$1960,MATCH(1481,Engine!$C$2:$C$1960,0)))</f>
        <v/>
      </c>
      <c r="G1494" s="8">
        <f>IF(ISNA(MATCH(1481,Engine!$C$2:$C$1960,0)),"",INDEX('Compliance Database'!$G$2:$G$1960,MATCH(1481,Engine!$C$2:$C$1960,0)))</f>
        <v/>
      </c>
      <c r="H1494" s="9">
        <f>IF(ISNA(MATCH(1481,Engine!$C$2:$C$1960,0)),"",INDEX('Compliance Database'!$H$2:$H$1960,MATCH(1481,Engine!$C$2:$C$1960,0)))</f>
        <v/>
      </c>
      <c r="I1494" s="9">
        <f>IF(ISNA(MATCH(1481,Engine!$C$2:$C$1960,0)),"",INDEX('Compliance Database'!$I$2:$I$1960,MATCH(1481,Engine!$C$2:$C$1960,0)))</f>
        <v/>
      </c>
      <c r="J1494" s="8">
        <f>IF(ISNA(MATCH(1481,Engine!$C$2:$C$1960,0)),"",INDEX('Compliance Database'!$J$2:$J$1960,MATCH(1481,Engine!$C$2:$C$1960,0)))</f>
        <v/>
      </c>
      <c r="K1494" s="9">
        <f>IF(ISNA(MATCH(1481,Engine!$C$2:$C$1960,0)),"",INDEX('Compliance Database'!$K$2:$K$1960,MATCH(1481,Engine!$C$2:$C$1960,0)))</f>
        <v/>
      </c>
      <c r="L1494" s="9">
        <f>IF(ISNA(MATCH(1481,Engine!$C$2:$C$1960,0)),"",INDEX('Compliance Database'!$L$2:$L$1960,MATCH(1481,Engine!$C$2:$C$1960,0)))</f>
        <v/>
      </c>
      <c r="M1494" s="9">
        <f>IF(ISNA(MATCH(1481,Engine!$C$2:$C$1960,0)),"",INDEX('Compliance Database'!$M$2:$M$1960,MATCH(1481,Engine!$C$2:$C$1960,0)))</f>
        <v/>
      </c>
      <c r="N1494" s="9">
        <f>IF(ISNA(MATCH(1481,Engine!$C$2:$C$1960,0)),"",INDEX('Compliance Database'!$N$2:$N$1960,MATCH(1481,Engine!$C$2:$C$1960,0)))</f>
        <v/>
      </c>
      <c r="O1494" s="9">
        <f>IF(ISNA(MATCH(1481,Engine!$C$2:$C$1960,0)),"",INDEX('Compliance Database'!$O$2:$O$1960,MATCH(1481,Engine!$C$2:$C$1960,0)))</f>
        <v/>
      </c>
      <c r="P1494" s="8">
        <f>IF(ISNA(MATCH(1481,Engine!$C$2:$C$1960,0)),"",HYPERLINK("#Acts!A"&amp;INDEX('Compliance Database'!$P$2:$P$1960,MATCH(1481,Engine!$C$2:$C$1960,0)),"Go to Act"))</f>
        <v/>
      </c>
    </row>
    <row r="1495" ht="158" customHeight="1">
      <c r="A1495" s="8">
        <f>IF(ISNA(MATCH(1482,Engine!$C$2:$C$1960,0)),"",INDEX('Compliance Database'!$A$2:$A$1960,MATCH(1482,Engine!$C$2:$C$1960,0)))</f>
        <v/>
      </c>
      <c r="B1495" s="8">
        <f>IF(ISNA(MATCH(1482,Engine!$C$2:$C$1960,0)),"",INDEX('Compliance Database'!$B$2:$B$1960,MATCH(1482,Engine!$C$2:$C$1960,0)))</f>
        <v/>
      </c>
      <c r="C1495" s="8">
        <f>IF(ISNA(MATCH(1482,Engine!$C$2:$C$1960,0)),"",INDEX('Compliance Database'!$C$2:$C$1960,MATCH(1482,Engine!$C$2:$C$1960,0)))</f>
        <v/>
      </c>
      <c r="D1495" s="9">
        <f>IF(ISNA(MATCH(1482,Engine!$C$2:$C$1960,0)),"",INDEX('Compliance Database'!$D$2:$D$1960,MATCH(1482,Engine!$C$2:$C$1960,0)))</f>
        <v/>
      </c>
      <c r="E1495" s="8">
        <f>IF(ISNA(MATCH(1482,Engine!$C$2:$C$1960,0)),"",INDEX('Compliance Database'!$E$2:$E$1960,MATCH(1482,Engine!$C$2:$C$1960,0)))</f>
        <v/>
      </c>
      <c r="F1495" s="8">
        <f>IF(ISNA(MATCH(1482,Engine!$C$2:$C$1960,0)),"",INDEX('Compliance Database'!$F$2:$F$1960,MATCH(1482,Engine!$C$2:$C$1960,0)))</f>
        <v/>
      </c>
      <c r="G1495" s="8">
        <f>IF(ISNA(MATCH(1482,Engine!$C$2:$C$1960,0)),"",INDEX('Compliance Database'!$G$2:$G$1960,MATCH(1482,Engine!$C$2:$C$1960,0)))</f>
        <v/>
      </c>
      <c r="H1495" s="9">
        <f>IF(ISNA(MATCH(1482,Engine!$C$2:$C$1960,0)),"",INDEX('Compliance Database'!$H$2:$H$1960,MATCH(1482,Engine!$C$2:$C$1960,0)))</f>
        <v/>
      </c>
      <c r="I1495" s="9">
        <f>IF(ISNA(MATCH(1482,Engine!$C$2:$C$1960,0)),"",INDEX('Compliance Database'!$I$2:$I$1960,MATCH(1482,Engine!$C$2:$C$1960,0)))</f>
        <v/>
      </c>
      <c r="J1495" s="8">
        <f>IF(ISNA(MATCH(1482,Engine!$C$2:$C$1960,0)),"",INDEX('Compliance Database'!$J$2:$J$1960,MATCH(1482,Engine!$C$2:$C$1960,0)))</f>
        <v/>
      </c>
      <c r="K1495" s="9">
        <f>IF(ISNA(MATCH(1482,Engine!$C$2:$C$1960,0)),"",INDEX('Compliance Database'!$K$2:$K$1960,MATCH(1482,Engine!$C$2:$C$1960,0)))</f>
        <v/>
      </c>
      <c r="L1495" s="9">
        <f>IF(ISNA(MATCH(1482,Engine!$C$2:$C$1960,0)),"",INDEX('Compliance Database'!$L$2:$L$1960,MATCH(1482,Engine!$C$2:$C$1960,0)))</f>
        <v/>
      </c>
      <c r="M1495" s="9">
        <f>IF(ISNA(MATCH(1482,Engine!$C$2:$C$1960,0)),"",INDEX('Compliance Database'!$M$2:$M$1960,MATCH(1482,Engine!$C$2:$C$1960,0)))</f>
        <v/>
      </c>
      <c r="N1495" s="9">
        <f>IF(ISNA(MATCH(1482,Engine!$C$2:$C$1960,0)),"",INDEX('Compliance Database'!$N$2:$N$1960,MATCH(1482,Engine!$C$2:$C$1960,0)))</f>
        <v/>
      </c>
      <c r="O1495" s="9">
        <f>IF(ISNA(MATCH(1482,Engine!$C$2:$C$1960,0)),"",INDEX('Compliance Database'!$O$2:$O$1960,MATCH(1482,Engine!$C$2:$C$1960,0)))</f>
        <v/>
      </c>
      <c r="P1495" s="8">
        <f>IF(ISNA(MATCH(1482,Engine!$C$2:$C$1960,0)),"",HYPERLINK("#Acts!A"&amp;INDEX('Compliance Database'!$P$2:$P$1960,MATCH(1482,Engine!$C$2:$C$1960,0)),"Go to Act"))</f>
        <v/>
      </c>
    </row>
    <row r="1496" ht="158" customHeight="1">
      <c r="A1496" s="8">
        <f>IF(ISNA(MATCH(1483,Engine!$C$2:$C$1960,0)),"",INDEX('Compliance Database'!$A$2:$A$1960,MATCH(1483,Engine!$C$2:$C$1960,0)))</f>
        <v/>
      </c>
      <c r="B1496" s="8">
        <f>IF(ISNA(MATCH(1483,Engine!$C$2:$C$1960,0)),"",INDEX('Compliance Database'!$B$2:$B$1960,MATCH(1483,Engine!$C$2:$C$1960,0)))</f>
        <v/>
      </c>
      <c r="C1496" s="8">
        <f>IF(ISNA(MATCH(1483,Engine!$C$2:$C$1960,0)),"",INDEX('Compliance Database'!$C$2:$C$1960,MATCH(1483,Engine!$C$2:$C$1960,0)))</f>
        <v/>
      </c>
      <c r="D1496" s="9">
        <f>IF(ISNA(MATCH(1483,Engine!$C$2:$C$1960,0)),"",INDEX('Compliance Database'!$D$2:$D$1960,MATCH(1483,Engine!$C$2:$C$1960,0)))</f>
        <v/>
      </c>
      <c r="E1496" s="8">
        <f>IF(ISNA(MATCH(1483,Engine!$C$2:$C$1960,0)),"",INDEX('Compliance Database'!$E$2:$E$1960,MATCH(1483,Engine!$C$2:$C$1960,0)))</f>
        <v/>
      </c>
      <c r="F1496" s="8">
        <f>IF(ISNA(MATCH(1483,Engine!$C$2:$C$1960,0)),"",INDEX('Compliance Database'!$F$2:$F$1960,MATCH(1483,Engine!$C$2:$C$1960,0)))</f>
        <v/>
      </c>
      <c r="G1496" s="8">
        <f>IF(ISNA(MATCH(1483,Engine!$C$2:$C$1960,0)),"",INDEX('Compliance Database'!$G$2:$G$1960,MATCH(1483,Engine!$C$2:$C$1960,0)))</f>
        <v/>
      </c>
      <c r="H1496" s="9">
        <f>IF(ISNA(MATCH(1483,Engine!$C$2:$C$1960,0)),"",INDEX('Compliance Database'!$H$2:$H$1960,MATCH(1483,Engine!$C$2:$C$1960,0)))</f>
        <v/>
      </c>
      <c r="I1496" s="9">
        <f>IF(ISNA(MATCH(1483,Engine!$C$2:$C$1960,0)),"",INDEX('Compliance Database'!$I$2:$I$1960,MATCH(1483,Engine!$C$2:$C$1960,0)))</f>
        <v/>
      </c>
      <c r="J1496" s="8">
        <f>IF(ISNA(MATCH(1483,Engine!$C$2:$C$1960,0)),"",INDEX('Compliance Database'!$J$2:$J$1960,MATCH(1483,Engine!$C$2:$C$1960,0)))</f>
        <v/>
      </c>
      <c r="K1496" s="9">
        <f>IF(ISNA(MATCH(1483,Engine!$C$2:$C$1960,0)),"",INDEX('Compliance Database'!$K$2:$K$1960,MATCH(1483,Engine!$C$2:$C$1960,0)))</f>
        <v/>
      </c>
      <c r="L1496" s="9">
        <f>IF(ISNA(MATCH(1483,Engine!$C$2:$C$1960,0)),"",INDEX('Compliance Database'!$L$2:$L$1960,MATCH(1483,Engine!$C$2:$C$1960,0)))</f>
        <v/>
      </c>
      <c r="M1496" s="9">
        <f>IF(ISNA(MATCH(1483,Engine!$C$2:$C$1960,0)),"",INDEX('Compliance Database'!$M$2:$M$1960,MATCH(1483,Engine!$C$2:$C$1960,0)))</f>
        <v/>
      </c>
      <c r="N1496" s="9">
        <f>IF(ISNA(MATCH(1483,Engine!$C$2:$C$1960,0)),"",INDEX('Compliance Database'!$N$2:$N$1960,MATCH(1483,Engine!$C$2:$C$1960,0)))</f>
        <v/>
      </c>
      <c r="O1496" s="9">
        <f>IF(ISNA(MATCH(1483,Engine!$C$2:$C$1960,0)),"",INDEX('Compliance Database'!$O$2:$O$1960,MATCH(1483,Engine!$C$2:$C$1960,0)))</f>
        <v/>
      </c>
      <c r="P1496" s="8">
        <f>IF(ISNA(MATCH(1483,Engine!$C$2:$C$1960,0)),"",HYPERLINK("#Acts!A"&amp;INDEX('Compliance Database'!$P$2:$P$1960,MATCH(1483,Engine!$C$2:$C$1960,0)),"Go to Act"))</f>
        <v/>
      </c>
    </row>
    <row r="1497" ht="158" customHeight="1">
      <c r="A1497" s="8">
        <f>IF(ISNA(MATCH(1484,Engine!$C$2:$C$1960,0)),"",INDEX('Compliance Database'!$A$2:$A$1960,MATCH(1484,Engine!$C$2:$C$1960,0)))</f>
        <v/>
      </c>
      <c r="B1497" s="8">
        <f>IF(ISNA(MATCH(1484,Engine!$C$2:$C$1960,0)),"",INDEX('Compliance Database'!$B$2:$B$1960,MATCH(1484,Engine!$C$2:$C$1960,0)))</f>
        <v/>
      </c>
      <c r="C1497" s="8">
        <f>IF(ISNA(MATCH(1484,Engine!$C$2:$C$1960,0)),"",INDEX('Compliance Database'!$C$2:$C$1960,MATCH(1484,Engine!$C$2:$C$1960,0)))</f>
        <v/>
      </c>
      <c r="D1497" s="9">
        <f>IF(ISNA(MATCH(1484,Engine!$C$2:$C$1960,0)),"",INDEX('Compliance Database'!$D$2:$D$1960,MATCH(1484,Engine!$C$2:$C$1960,0)))</f>
        <v/>
      </c>
      <c r="E1497" s="8">
        <f>IF(ISNA(MATCH(1484,Engine!$C$2:$C$1960,0)),"",INDEX('Compliance Database'!$E$2:$E$1960,MATCH(1484,Engine!$C$2:$C$1960,0)))</f>
        <v/>
      </c>
      <c r="F1497" s="8">
        <f>IF(ISNA(MATCH(1484,Engine!$C$2:$C$1960,0)),"",INDEX('Compliance Database'!$F$2:$F$1960,MATCH(1484,Engine!$C$2:$C$1960,0)))</f>
        <v/>
      </c>
      <c r="G1497" s="8">
        <f>IF(ISNA(MATCH(1484,Engine!$C$2:$C$1960,0)),"",INDEX('Compliance Database'!$G$2:$G$1960,MATCH(1484,Engine!$C$2:$C$1960,0)))</f>
        <v/>
      </c>
      <c r="H1497" s="9">
        <f>IF(ISNA(MATCH(1484,Engine!$C$2:$C$1960,0)),"",INDEX('Compliance Database'!$H$2:$H$1960,MATCH(1484,Engine!$C$2:$C$1960,0)))</f>
        <v/>
      </c>
      <c r="I1497" s="9">
        <f>IF(ISNA(MATCH(1484,Engine!$C$2:$C$1960,0)),"",INDEX('Compliance Database'!$I$2:$I$1960,MATCH(1484,Engine!$C$2:$C$1960,0)))</f>
        <v/>
      </c>
      <c r="J1497" s="8">
        <f>IF(ISNA(MATCH(1484,Engine!$C$2:$C$1960,0)),"",INDEX('Compliance Database'!$J$2:$J$1960,MATCH(1484,Engine!$C$2:$C$1960,0)))</f>
        <v/>
      </c>
      <c r="K1497" s="9">
        <f>IF(ISNA(MATCH(1484,Engine!$C$2:$C$1960,0)),"",INDEX('Compliance Database'!$K$2:$K$1960,MATCH(1484,Engine!$C$2:$C$1960,0)))</f>
        <v/>
      </c>
      <c r="L1497" s="9">
        <f>IF(ISNA(MATCH(1484,Engine!$C$2:$C$1960,0)),"",INDEX('Compliance Database'!$L$2:$L$1960,MATCH(1484,Engine!$C$2:$C$1960,0)))</f>
        <v/>
      </c>
      <c r="M1497" s="9">
        <f>IF(ISNA(MATCH(1484,Engine!$C$2:$C$1960,0)),"",INDEX('Compliance Database'!$M$2:$M$1960,MATCH(1484,Engine!$C$2:$C$1960,0)))</f>
        <v/>
      </c>
      <c r="N1497" s="9">
        <f>IF(ISNA(MATCH(1484,Engine!$C$2:$C$1960,0)),"",INDEX('Compliance Database'!$N$2:$N$1960,MATCH(1484,Engine!$C$2:$C$1960,0)))</f>
        <v/>
      </c>
      <c r="O1497" s="9">
        <f>IF(ISNA(MATCH(1484,Engine!$C$2:$C$1960,0)),"",INDEX('Compliance Database'!$O$2:$O$1960,MATCH(1484,Engine!$C$2:$C$1960,0)))</f>
        <v/>
      </c>
      <c r="P1497" s="8">
        <f>IF(ISNA(MATCH(1484,Engine!$C$2:$C$1960,0)),"",HYPERLINK("#Acts!A"&amp;INDEX('Compliance Database'!$P$2:$P$1960,MATCH(1484,Engine!$C$2:$C$1960,0)),"Go to Act"))</f>
        <v/>
      </c>
    </row>
    <row r="1498" ht="158" customHeight="1">
      <c r="A1498" s="8">
        <f>IF(ISNA(MATCH(1485,Engine!$C$2:$C$1960,0)),"",INDEX('Compliance Database'!$A$2:$A$1960,MATCH(1485,Engine!$C$2:$C$1960,0)))</f>
        <v/>
      </c>
      <c r="B1498" s="8">
        <f>IF(ISNA(MATCH(1485,Engine!$C$2:$C$1960,0)),"",INDEX('Compliance Database'!$B$2:$B$1960,MATCH(1485,Engine!$C$2:$C$1960,0)))</f>
        <v/>
      </c>
      <c r="C1498" s="8">
        <f>IF(ISNA(MATCH(1485,Engine!$C$2:$C$1960,0)),"",INDEX('Compliance Database'!$C$2:$C$1960,MATCH(1485,Engine!$C$2:$C$1960,0)))</f>
        <v/>
      </c>
      <c r="D1498" s="9">
        <f>IF(ISNA(MATCH(1485,Engine!$C$2:$C$1960,0)),"",INDEX('Compliance Database'!$D$2:$D$1960,MATCH(1485,Engine!$C$2:$C$1960,0)))</f>
        <v/>
      </c>
      <c r="E1498" s="8">
        <f>IF(ISNA(MATCH(1485,Engine!$C$2:$C$1960,0)),"",INDEX('Compliance Database'!$E$2:$E$1960,MATCH(1485,Engine!$C$2:$C$1960,0)))</f>
        <v/>
      </c>
      <c r="F1498" s="8">
        <f>IF(ISNA(MATCH(1485,Engine!$C$2:$C$1960,0)),"",INDEX('Compliance Database'!$F$2:$F$1960,MATCH(1485,Engine!$C$2:$C$1960,0)))</f>
        <v/>
      </c>
      <c r="G1498" s="8">
        <f>IF(ISNA(MATCH(1485,Engine!$C$2:$C$1960,0)),"",INDEX('Compliance Database'!$G$2:$G$1960,MATCH(1485,Engine!$C$2:$C$1960,0)))</f>
        <v/>
      </c>
      <c r="H1498" s="9">
        <f>IF(ISNA(MATCH(1485,Engine!$C$2:$C$1960,0)),"",INDEX('Compliance Database'!$H$2:$H$1960,MATCH(1485,Engine!$C$2:$C$1960,0)))</f>
        <v/>
      </c>
      <c r="I1498" s="9">
        <f>IF(ISNA(MATCH(1485,Engine!$C$2:$C$1960,0)),"",INDEX('Compliance Database'!$I$2:$I$1960,MATCH(1485,Engine!$C$2:$C$1960,0)))</f>
        <v/>
      </c>
      <c r="J1498" s="8">
        <f>IF(ISNA(MATCH(1485,Engine!$C$2:$C$1960,0)),"",INDEX('Compliance Database'!$J$2:$J$1960,MATCH(1485,Engine!$C$2:$C$1960,0)))</f>
        <v/>
      </c>
      <c r="K1498" s="9">
        <f>IF(ISNA(MATCH(1485,Engine!$C$2:$C$1960,0)),"",INDEX('Compliance Database'!$K$2:$K$1960,MATCH(1485,Engine!$C$2:$C$1960,0)))</f>
        <v/>
      </c>
      <c r="L1498" s="9">
        <f>IF(ISNA(MATCH(1485,Engine!$C$2:$C$1960,0)),"",INDEX('Compliance Database'!$L$2:$L$1960,MATCH(1485,Engine!$C$2:$C$1960,0)))</f>
        <v/>
      </c>
      <c r="M1498" s="9">
        <f>IF(ISNA(MATCH(1485,Engine!$C$2:$C$1960,0)),"",INDEX('Compliance Database'!$M$2:$M$1960,MATCH(1485,Engine!$C$2:$C$1960,0)))</f>
        <v/>
      </c>
      <c r="N1498" s="9">
        <f>IF(ISNA(MATCH(1485,Engine!$C$2:$C$1960,0)),"",INDEX('Compliance Database'!$N$2:$N$1960,MATCH(1485,Engine!$C$2:$C$1960,0)))</f>
        <v/>
      </c>
      <c r="O1498" s="9">
        <f>IF(ISNA(MATCH(1485,Engine!$C$2:$C$1960,0)),"",INDEX('Compliance Database'!$O$2:$O$1960,MATCH(1485,Engine!$C$2:$C$1960,0)))</f>
        <v/>
      </c>
      <c r="P1498" s="8">
        <f>IF(ISNA(MATCH(1485,Engine!$C$2:$C$1960,0)),"",HYPERLINK("#Acts!A"&amp;INDEX('Compliance Database'!$P$2:$P$1960,MATCH(1485,Engine!$C$2:$C$1960,0)),"Go to Act"))</f>
        <v/>
      </c>
    </row>
    <row r="1499" ht="158" customHeight="1">
      <c r="A1499" s="8">
        <f>IF(ISNA(MATCH(1486,Engine!$C$2:$C$1960,0)),"",INDEX('Compliance Database'!$A$2:$A$1960,MATCH(1486,Engine!$C$2:$C$1960,0)))</f>
        <v/>
      </c>
      <c r="B1499" s="8">
        <f>IF(ISNA(MATCH(1486,Engine!$C$2:$C$1960,0)),"",INDEX('Compliance Database'!$B$2:$B$1960,MATCH(1486,Engine!$C$2:$C$1960,0)))</f>
        <v/>
      </c>
      <c r="C1499" s="8">
        <f>IF(ISNA(MATCH(1486,Engine!$C$2:$C$1960,0)),"",INDEX('Compliance Database'!$C$2:$C$1960,MATCH(1486,Engine!$C$2:$C$1960,0)))</f>
        <v/>
      </c>
      <c r="D1499" s="9">
        <f>IF(ISNA(MATCH(1486,Engine!$C$2:$C$1960,0)),"",INDEX('Compliance Database'!$D$2:$D$1960,MATCH(1486,Engine!$C$2:$C$1960,0)))</f>
        <v/>
      </c>
      <c r="E1499" s="8">
        <f>IF(ISNA(MATCH(1486,Engine!$C$2:$C$1960,0)),"",INDEX('Compliance Database'!$E$2:$E$1960,MATCH(1486,Engine!$C$2:$C$1960,0)))</f>
        <v/>
      </c>
      <c r="F1499" s="8">
        <f>IF(ISNA(MATCH(1486,Engine!$C$2:$C$1960,0)),"",INDEX('Compliance Database'!$F$2:$F$1960,MATCH(1486,Engine!$C$2:$C$1960,0)))</f>
        <v/>
      </c>
      <c r="G1499" s="8">
        <f>IF(ISNA(MATCH(1486,Engine!$C$2:$C$1960,0)),"",INDEX('Compliance Database'!$G$2:$G$1960,MATCH(1486,Engine!$C$2:$C$1960,0)))</f>
        <v/>
      </c>
      <c r="H1499" s="9">
        <f>IF(ISNA(MATCH(1486,Engine!$C$2:$C$1960,0)),"",INDEX('Compliance Database'!$H$2:$H$1960,MATCH(1486,Engine!$C$2:$C$1960,0)))</f>
        <v/>
      </c>
      <c r="I1499" s="9">
        <f>IF(ISNA(MATCH(1486,Engine!$C$2:$C$1960,0)),"",INDEX('Compliance Database'!$I$2:$I$1960,MATCH(1486,Engine!$C$2:$C$1960,0)))</f>
        <v/>
      </c>
      <c r="J1499" s="8">
        <f>IF(ISNA(MATCH(1486,Engine!$C$2:$C$1960,0)),"",INDEX('Compliance Database'!$J$2:$J$1960,MATCH(1486,Engine!$C$2:$C$1960,0)))</f>
        <v/>
      </c>
      <c r="K1499" s="9">
        <f>IF(ISNA(MATCH(1486,Engine!$C$2:$C$1960,0)),"",INDEX('Compliance Database'!$K$2:$K$1960,MATCH(1486,Engine!$C$2:$C$1960,0)))</f>
        <v/>
      </c>
      <c r="L1499" s="9">
        <f>IF(ISNA(MATCH(1486,Engine!$C$2:$C$1960,0)),"",INDEX('Compliance Database'!$L$2:$L$1960,MATCH(1486,Engine!$C$2:$C$1960,0)))</f>
        <v/>
      </c>
      <c r="M1499" s="9">
        <f>IF(ISNA(MATCH(1486,Engine!$C$2:$C$1960,0)),"",INDEX('Compliance Database'!$M$2:$M$1960,MATCH(1486,Engine!$C$2:$C$1960,0)))</f>
        <v/>
      </c>
      <c r="N1499" s="9">
        <f>IF(ISNA(MATCH(1486,Engine!$C$2:$C$1960,0)),"",INDEX('Compliance Database'!$N$2:$N$1960,MATCH(1486,Engine!$C$2:$C$1960,0)))</f>
        <v/>
      </c>
      <c r="O1499" s="9">
        <f>IF(ISNA(MATCH(1486,Engine!$C$2:$C$1960,0)),"",INDEX('Compliance Database'!$O$2:$O$1960,MATCH(1486,Engine!$C$2:$C$1960,0)))</f>
        <v/>
      </c>
      <c r="P1499" s="8">
        <f>IF(ISNA(MATCH(1486,Engine!$C$2:$C$1960,0)),"",HYPERLINK("#Acts!A"&amp;INDEX('Compliance Database'!$P$2:$P$1960,MATCH(1486,Engine!$C$2:$C$1960,0)),"Go to Act"))</f>
        <v/>
      </c>
    </row>
    <row r="1500" ht="158" customHeight="1">
      <c r="A1500" s="8">
        <f>IF(ISNA(MATCH(1487,Engine!$C$2:$C$1960,0)),"",INDEX('Compliance Database'!$A$2:$A$1960,MATCH(1487,Engine!$C$2:$C$1960,0)))</f>
        <v/>
      </c>
      <c r="B1500" s="8">
        <f>IF(ISNA(MATCH(1487,Engine!$C$2:$C$1960,0)),"",INDEX('Compliance Database'!$B$2:$B$1960,MATCH(1487,Engine!$C$2:$C$1960,0)))</f>
        <v/>
      </c>
      <c r="C1500" s="8">
        <f>IF(ISNA(MATCH(1487,Engine!$C$2:$C$1960,0)),"",INDEX('Compliance Database'!$C$2:$C$1960,MATCH(1487,Engine!$C$2:$C$1960,0)))</f>
        <v/>
      </c>
      <c r="D1500" s="9">
        <f>IF(ISNA(MATCH(1487,Engine!$C$2:$C$1960,0)),"",INDEX('Compliance Database'!$D$2:$D$1960,MATCH(1487,Engine!$C$2:$C$1960,0)))</f>
        <v/>
      </c>
      <c r="E1500" s="8">
        <f>IF(ISNA(MATCH(1487,Engine!$C$2:$C$1960,0)),"",INDEX('Compliance Database'!$E$2:$E$1960,MATCH(1487,Engine!$C$2:$C$1960,0)))</f>
        <v/>
      </c>
      <c r="F1500" s="8">
        <f>IF(ISNA(MATCH(1487,Engine!$C$2:$C$1960,0)),"",INDEX('Compliance Database'!$F$2:$F$1960,MATCH(1487,Engine!$C$2:$C$1960,0)))</f>
        <v/>
      </c>
      <c r="G1500" s="8">
        <f>IF(ISNA(MATCH(1487,Engine!$C$2:$C$1960,0)),"",INDEX('Compliance Database'!$G$2:$G$1960,MATCH(1487,Engine!$C$2:$C$1960,0)))</f>
        <v/>
      </c>
      <c r="H1500" s="9">
        <f>IF(ISNA(MATCH(1487,Engine!$C$2:$C$1960,0)),"",INDEX('Compliance Database'!$H$2:$H$1960,MATCH(1487,Engine!$C$2:$C$1960,0)))</f>
        <v/>
      </c>
      <c r="I1500" s="9">
        <f>IF(ISNA(MATCH(1487,Engine!$C$2:$C$1960,0)),"",INDEX('Compliance Database'!$I$2:$I$1960,MATCH(1487,Engine!$C$2:$C$1960,0)))</f>
        <v/>
      </c>
      <c r="J1500" s="8">
        <f>IF(ISNA(MATCH(1487,Engine!$C$2:$C$1960,0)),"",INDEX('Compliance Database'!$J$2:$J$1960,MATCH(1487,Engine!$C$2:$C$1960,0)))</f>
        <v/>
      </c>
      <c r="K1500" s="9">
        <f>IF(ISNA(MATCH(1487,Engine!$C$2:$C$1960,0)),"",INDEX('Compliance Database'!$K$2:$K$1960,MATCH(1487,Engine!$C$2:$C$1960,0)))</f>
        <v/>
      </c>
      <c r="L1500" s="9">
        <f>IF(ISNA(MATCH(1487,Engine!$C$2:$C$1960,0)),"",INDEX('Compliance Database'!$L$2:$L$1960,MATCH(1487,Engine!$C$2:$C$1960,0)))</f>
        <v/>
      </c>
      <c r="M1500" s="9">
        <f>IF(ISNA(MATCH(1487,Engine!$C$2:$C$1960,0)),"",INDEX('Compliance Database'!$M$2:$M$1960,MATCH(1487,Engine!$C$2:$C$1960,0)))</f>
        <v/>
      </c>
      <c r="N1500" s="9">
        <f>IF(ISNA(MATCH(1487,Engine!$C$2:$C$1960,0)),"",INDEX('Compliance Database'!$N$2:$N$1960,MATCH(1487,Engine!$C$2:$C$1960,0)))</f>
        <v/>
      </c>
      <c r="O1500" s="9">
        <f>IF(ISNA(MATCH(1487,Engine!$C$2:$C$1960,0)),"",INDEX('Compliance Database'!$O$2:$O$1960,MATCH(1487,Engine!$C$2:$C$1960,0)))</f>
        <v/>
      </c>
      <c r="P1500" s="8">
        <f>IF(ISNA(MATCH(1487,Engine!$C$2:$C$1960,0)),"",HYPERLINK("#Acts!A"&amp;INDEX('Compliance Database'!$P$2:$P$1960,MATCH(1487,Engine!$C$2:$C$1960,0)),"Go to Act"))</f>
        <v/>
      </c>
    </row>
    <row r="1501" ht="158" customHeight="1">
      <c r="A1501" s="8">
        <f>IF(ISNA(MATCH(1488,Engine!$C$2:$C$1960,0)),"",INDEX('Compliance Database'!$A$2:$A$1960,MATCH(1488,Engine!$C$2:$C$1960,0)))</f>
        <v/>
      </c>
      <c r="B1501" s="8">
        <f>IF(ISNA(MATCH(1488,Engine!$C$2:$C$1960,0)),"",INDEX('Compliance Database'!$B$2:$B$1960,MATCH(1488,Engine!$C$2:$C$1960,0)))</f>
        <v/>
      </c>
      <c r="C1501" s="8">
        <f>IF(ISNA(MATCH(1488,Engine!$C$2:$C$1960,0)),"",INDEX('Compliance Database'!$C$2:$C$1960,MATCH(1488,Engine!$C$2:$C$1960,0)))</f>
        <v/>
      </c>
      <c r="D1501" s="9">
        <f>IF(ISNA(MATCH(1488,Engine!$C$2:$C$1960,0)),"",INDEX('Compliance Database'!$D$2:$D$1960,MATCH(1488,Engine!$C$2:$C$1960,0)))</f>
        <v/>
      </c>
      <c r="E1501" s="8">
        <f>IF(ISNA(MATCH(1488,Engine!$C$2:$C$1960,0)),"",INDEX('Compliance Database'!$E$2:$E$1960,MATCH(1488,Engine!$C$2:$C$1960,0)))</f>
        <v/>
      </c>
      <c r="F1501" s="8">
        <f>IF(ISNA(MATCH(1488,Engine!$C$2:$C$1960,0)),"",INDEX('Compliance Database'!$F$2:$F$1960,MATCH(1488,Engine!$C$2:$C$1960,0)))</f>
        <v/>
      </c>
      <c r="G1501" s="8">
        <f>IF(ISNA(MATCH(1488,Engine!$C$2:$C$1960,0)),"",INDEX('Compliance Database'!$G$2:$G$1960,MATCH(1488,Engine!$C$2:$C$1960,0)))</f>
        <v/>
      </c>
      <c r="H1501" s="9">
        <f>IF(ISNA(MATCH(1488,Engine!$C$2:$C$1960,0)),"",INDEX('Compliance Database'!$H$2:$H$1960,MATCH(1488,Engine!$C$2:$C$1960,0)))</f>
        <v/>
      </c>
      <c r="I1501" s="9">
        <f>IF(ISNA(MATCH(1488,Engine!$C$2:$C$1960,0)),"",INDEX('Compliance Database'!$I$2:$I$1960,MATCH(1488,Engine!$C$2:$C$1960,0)))</f>
        <v/>
      </c>
      <c r="J1501" s="8">
        <f>IF(ISNA(MATCH(1488,Engine!$C$2:$C$1960,0)),"",INDEX('Compliance Database'!$J$2:$J$1960,MATCH(1488,Engine!$C$2:$C$1960,0)))</f>
        <v/>
      </c>
      <c r="K1501" s="9">
        <f>IF(ISNA(MATCH(1488,Engine!$C$2:$C$1960,0)),"",INDEX('Compliance Database'!$K$2:$K$1960,MATCH(1488,Engine!$C$2:$C$1960,0)))</f>
        <v/>
      </c>
      <c r="L1501" s="9">
        <f>IF(ISNA(MATCH(1488,Engine!$C$2:$C$1960,0)),"",INDEX('Compliance Database'!$L$2:$L$1960,MATCH(1488,Engine!$C$2:$C$1960,0)))</f>
        <v/>
      </c>
      <c r="M1501" s="9">
        <f>IF(ISNA(MATCH(1488,Engine!$C$2:$C$1960,0)),"",INDEX('Compliance Database'!$M$2:$M$1960,MATCH(1488,Engine!$C$2:$C$1960,0)))</f>
        <v/>
      </c>
      <c r="N1501" s="9">
        <f>IF(ISNA(MATCH(1488,Engine!$C$2:$C$1960,0)),"",INDEX('Compliance Database'!$N$2:$N$1960,MATCH(1488,Engine!$C$2:$C$1960,0)))</f>
        <v/>
      </c>
      <c r="O1501" s="9">
        <f>IF(ISNA(MATCH(1488,Engine!$C$2:$C$1960,0)),"",INDEX('Compliance Database'!$O$2:$O$1960,MATCH(1488,Engine!$C$2:$C$1960,0)))</f>
        <v/>
      </c>
      <c r="P1501" s="8">
        <f>IF(ISNA(MATCH(1488,Engine!$C$2:$C$1960,0)),"",HYPERLINK("#Acts!A"&amp;INDEX('Compliance Database'!$P$2:$P$1960,MATCH(1488,Engine!$C$2:$C$1960,0)),"Go to Act"))</f>
        <v/>
      </c>
    </row>
    <row r="1502" ht="158" customHeight="1">
      <c r="A1502" s="8">
        <f>IF(ISNA(MATCH(1489,Engine!$C$2:$C$1960,0)),"",INDEX('Compliance Database'!$A$2:$A$1960,MATCH(1489,Engine!$C$2:$C$1960,0)))</f>
        <v/>
      </c>
      <c r="B1502" s="8">
        <f>IF(ISNA(MATCH(1489,Engine!$C$2:$C$1960,0)),"",INDEX('Compliance Database'!$B$2:$B$1960,MATCH(1489,Engine!$C$2:$C$1960,0)))</f>
        <v/>
      </c>
      <c r="C1502" s="8">
        <f>IF(ISNA(MATCH(1489,Engine!$C$2:$C$1960,0)),"",INDEX('Compliance Database'!$C$2:$C$1960,MATCH(1489,Engine!$C$2:$C$1960,0)))</f>
        <v/>
      </c>
      <c r="D1502" s="9">
        <f>IF(ISNA(MATCH(1489,Engine!$C$2:$C$1960,0)),"",INDEX('Compliance Database'!$D$2:$D$1960,MATCH(1489,Engine!$C$2:$C$1960,0)))</f>
        <v/>
      </c>
      <c r="E1502" s="8">
        <f>IF(ISNA(MATCH(1489,Engine!$C$2:$C$1960,0)),"",INDEX('Compliance Database'!$E$2:$E$1960,MATCH(1489,Engine!$C$2:$C$1960,0)))</f>
        <v/>
      </c>
      <c r="F1502" s="8">
        <f>IF(ISNA(MATCH(1489,Engine!$C$2:$C$1960,0)),"",INDEX('Compliance Database'!$F$2:$F$1960,MATCH(1489,Engine!$C$2:$C$1960,0)))</f>
        <v/>
      </c>
      <c r="G1502" s="8">
        <f>IF(ISNA(MATCH(1489,Engine!$C$2:$C$1960,0)),"",INDEX('Compliance Database'!$G$2:$G$1960,MATCH(1489,Engine!$C$2:$C$1960,0)))</f>
        <v/>
      </c>
      <c r="H1502" s="9">
        <f>IF(ISNA(MATCH(1489,Engine!$C$2:$C$1960,0)),"",INDEX('Compliance Database'!$H$2:$H$1960,MATCH(1489,Engine!$C$2:$C$1960,0)))</f>
        <v/>
      </c>
      <c r="I1502" s="9">
        <f>IF(ISNA(MATCH(1489,Engine!$C$2:$C$1960,0)),"",INDEX('Compliance Database'!$I$2:$I$1960,MATCH(1489,Engine!$C$2:$C$1960,0)))</f>
        <v/>
      </c>
      <c r="J1502" s="8">
        <f>IF(ISNA(MATCH(1489,Engine!$C$2:$C$1960,0)),"",INDEX('Compliance Database'!$J$2:$J$1960,MATCH(1489,Engine!$C$2:$C$1960,0)))</f>
        <v/>
      </c>
      <c r="K1502" s="9">
        <f>IF(ISNA(MATCH(1489,Engine!$C$2:$C$1960,0)),"",INDEX('Compliance Database'!$K$2:$K$1960,MATCH(1489,Engine!$C$2:$C$1960,0)))</f>
        <v/>
      </c>
      <c r="L1502" s="9">
        <f>IF(ISNA(MATCH(1489,Engine!$C$2:$C$1960,0)),"",INDEX('Compliance Database'!$L$2:$L$1960,MATCH(1489,Engine!$C$2:$C$1960,0)))</f>
        <v/>
      </c>
      <c r="M1502" s="9">
        <f>IF(ISNA(MATCH(1489,Engine!$C$2:$C$1960,0)),"",INDEX('Compliance Database'!$M$2:$M$1960,MATCH(1489,Engine!$C$2:$C$1960,0)))</f>
        <v/>
      </c>
      <c r="N1502" s="9">
        <f>IF(ISNA(MATCH(1489,Engine!$C$2:$C$1960,0)),"",INDEX('Compliance Database'!$N$2:$N$1960,MATCH(1489,Engine!$C$2:$C$1960,0)))</f>
        <v/>
      </c>
      <c r="O1502" s="9">
        <f>IF(ISNA(MATCH(1489,Engine!$C$2:$C$1960,0)),"",INDEX('Compliance Database'!$O$2:$O$1960,MATCH(1489,Engine!$C$2:$C$1960,0)))</f>
        <v/>
      </c>
      <c r="P1502" s="8">
        <f>IF(ISNA(MATCH(1489,Engine!$C$2:$C$1960,0)),"",HYPERLINK("#Acts!A"&amp;INDEX('Compliance Database'!$P$2:$P$1960,MATCH(1489,Engine!$C$2:$C$1960,0)),"Go to Act"))</f>
        <v/>
      </c>
    </row>
    <row r="1503" ht="158" customHeight="1">
      <c r="A1503" s="8">
        <f>IF(ISNA(MATCH(1490,Engine!$C$2:$C$1960,0)),"",INDEX('Compliance Database'!$A$2:$A$1960,MATCH(1490,Engine!$C$2:$C$1960,0)))</f>
        <v/>
      </c>
      <c r="B1503" s="8">
        <f>IF(ISNA(MATCH(1490,Engine!$C$2:$C$1960,0)),"",INDEX('Compliance Database'!$B$2:$B$1960,MATCH(1490,Engine!$C$2:$C$1960,0)))</f>
        <v/>
      </c>
      <c r="C1503" s="8">
        <f>IF(ISNA(MATCH(1490,Engine!$C$2:$C$1960,0)),"",INDEX('Compliance Database'!$C$2:$C$1960,MATCH(1490,Engine!$C$2:$C$1960,0)))</f>
        <v/>
      </c>
      <c r="D1503" s="9">
        <f>IF(ISNA(MATCH(1490,Engine!$C$2:$C$1960,0)),"",INDEX('Compliance Database'!$D$2:$D$1960,MATCH(1490,Engine!$C$2:$C$1960,0)))</f>
        <v/>
      </c>
      <c r="E1503" s="8">
        <f>IF(ISNA(MATCH(1490,Engine!$C$2:$C$1960,0)),"",INDEX('Compliance Database'!$E$2:$E$1960,MATCH(1490,Engine!$C$2:$C$1960,0)))</f>
        <v/>
      </c>
      <c r="F1503" s="8">
        <f>IF(ISNA(MATCH(1490,Engine!$C$2:$C$1960,0)),"",INDEX('Compliance Database'!$F$2:$F$1960,MATCH(1490,Engine!$C$2:$C$1960,0)))</f>
        <v/>
      </c>
      <c r="G1503" s="8">
        <f>IF(ISNA(MATCH(1490,Engine!$C$2:$C$1960,0)),"",INDEX('Compliance Database'!$G$2:$G$1960,MATCH(1490,Engine!$C$2:$C$1960,0)))</f>
        <v/>
      </c>
      <c r="H1503" s="9">
        <f>IF(ISNA(MATCH(1490,Engine!$C$2:$C$1960,0)),"",INDEX('Compliance Database'!$H$2:$H$1960,MATCH(1490,Engine!$C$2:$C$1960,0)))</f>
        <v/>
      </c>
      <c r="I1503" s="9">
        <f>IF(ISNA(MATCH(1490,Engine!$C$2:$C$1960,0)),"",INDEX('Compliance Database'!$I$2:$I$1960,MATCH(1490,Engine!$C$2:$C$1960,0)))</f>
        <v/>
      </c>
      <c r="J1503" s="8">
        <f>IF(ISNA(MATCH(1490,Engine!$C$2:$C$1960,0)),"",INDEX('Compliance Database'!$J$2:$J$1960,MATCH(1490,Engine!$C$2:$C$1960,0)))</f>
        <v/>
      </c>
      <c r="K1503" s="9">
        <f>IF(ISNA(MATCH(1490,Engine!$C$2:$C$1960,0)),"",INDEX('Compliance Database'!$K$2:$K$1960,MATCH(1490,Engine!$C$2:$C$1960,0)))</f>
        <v/>
      </c>
      <c r="L1503" s="9">
        <f>IF(ISNA(MATCH(1490,Engine!$C$2:$C$1960,0)),"",INDEX('Compliance Database'!$L$2:$L$1960,MATCH(1490,Engine!$C$2:$C$1960,0)))</f>
        <v/>
      </c>
      <c r="M1503" s="9">
        <f>IF(ISNA(MATCH(1490,Engine!$C$2:$C$1960,0)),"",INDEX('Compliance Database'!$M$2:$M$1960,MATCH(1490,Engine!$C$2:$C$1960,0)))</f>
        <v/>
      </c>
      <c r="N1503" s="9">
        <f>IF(ISNA(MATCH(1490,Engine!$C$2:$C$1960,0)),"",INDEX('Compliance Database'!$N$2:$N$1960,MATCH(1490,Engine!$C$2:$C$1960,0)))</f>
        <v/>
      </c>
      <c r="O1503" s="9">
        <f>IF(ISNA(MATCH(1490,Engine!$C$2:$C$1960,0)),"",INDEX('Compliance Database'!$O$2:$O$1960,MATCH(1490,Engine!$C$2:$C$1960,0)))</f>
        <v/>
      </c>
      <c r="P1503" s="8">
        <f>IF(ISNA(MATCH(1490,Engine!$C$2:$C$1960,0)),"",HYPERLINK("#Acts!A"&amp;INDEX('Compliance Database'!$P$2:$P$1960,MATCH(1490,Engine!$C$2:$C$1960,0)),"Go to Act"))</f>
        <v/>
      </c>
    </row>
    <row r="1504" ht="158" customHeight="1">
      <c r="A1504" s="8">
        <f>IF(ISNA(MATCH(1491,Engine!$C$2:$C$1960,0)),"",INDEX('Compliance Database'!$A$2:$A$1960,MATCH(1491,Engine!$C$2:$C$1960,0)))</f>
        <v/>
      </c>
      <c r="B1504" s="8">
        <f>IF(ISNA(MATCH(1491,Engine!$C$2:$C$1960,0)),"",INDEX('Compliance Database'!$B$2:$B$1960,MATCH(1491,Engine!$C$2:$C$1960,0)))</f>
        <v/>
      </c>
      <c r="C1504" s="8">
        <f>IF(ISNA(MATCH(1491,Engine!$C$2:$C$1960,0)),"",INDEX('Compliance Database'!$C$2:$C$1960,MATCH(1491,Engine!$C$2:$C$1960,0)))</f>
        <v/>
      </c>
      <c r="D1504" s="9">
        <f>IF(ISNA(MATCH(1491,Engine!$C$2:$C$1960,0)),"",INDEX('Compliance Database'!$D$2:$D$1960,MATCH(1491,Engine!$C$2:$C$1960,0)))</f>
        <v/>
      </c>
      <c r="E1504" s="8">
        <f>IF(ISNA(MATCH(1491,Engine!$C$2:$C$1960,0)),"",INDEX('Compliance Database'!$E$2:$E$1960,MATCH(1491,Engine!$C$2:$C$1960,0)))</f>
        <v/>
      </c>
      <c r="F1504" s="8">
        <f>IF(ISNA(MATCH(1491,Engine!$C$2:$C$1960,0)),"",INDEX('Compliance Database'!$F$2:$F$1960,MATCH(1491,Engine!$C$2:$C$1960,0)))</f>
        <v/>
      </c>
      <c r="G1504" s="8">
        <f>IF(ISNA(MATCH(1491,Engine!$C$2:$C$1960,0)),"",INDEX('Compliance Database'!$G$2:$G$1960,MATCH(1491,Engine!$C$2:$C$1960,0)))</f>
        <v/>
      </c>
      <c r="H1504" s="9">
        <f>IF(ISNA(MATCH(1491,Engine!$C$2:$C$1960,0)),"",INDEX('Compliance Database'!$H$2:$H$1960,MATCH(1491,Engine!$C$2:$C$1960,0)))</f>
        <v/>
      </c>
      <c r="I1504" s="9">
        <f>IF(ISNA(MATCH(1491,Engine!$C$2:$C$1960,0)),"",INDEX('Compliance Database'!$I$2:$I$1960,MATCH(1491,Engine!$C$2:$C$1960,0)))</f>
        <v/>
      </c>
      <c r="J1504" s="8">
        <f>IF(ISNA(MATCH(1491,Engine!$C$2:$C$1960,0)),"",INDEX('Compliance Database'!$J$2:$J$1960,MATCH(1491,Engine!$C$2:$C$1960,0)))</f>
        <v/>
      </c>
      <c r="K1504" s="9">
        <f>IF(ISNA(MATCH(1491,Engine!$C$2:$C$1960,0)),"",INDEX('Compliance Database'!$K$2:$K$1960,MATCH(1491,Engine!$C$2:$C$1960,0)))</f>
        <v/>
      </c>
      <c r="L1504" s="9">
        <f>IF(ISNA(MATCH(1491,Engine!$C$2:$C$1960,0)),"",INDEX('Compliance Database'!$L$2:$L$1960,MATCH(1491,Engine!$C$2:$C$1960,0)))</f>
        <v/>
      </c>
      <c r="M1504" s="9">
        <f>IF(ISNA(MATCH(1491,Engine!$C$2:$C$1960,0)),"",INDEX('Compliance Database'!$M$2:$M$1960,MATCH(1491,Engine!$C$2:$C$1960,0)))</f>
        <v/>
      </c>
      <c r="N1504" s="9">
        <f>IF(ISNA(MATCH(1491,Engine!$C$2:$C$1960,0)),"",INDEX('Compliance Database'!$N$2:$N$1960,MATCH(1491,Engine!$C$2:$C$1960,0)))</f>
        <v/>
      </c>
      <c r="O1504" s="9">
        <f>IF(ISNA(MATCH(1491,Engine!$C$2:$C$1960,0)),"",INDEX('Compliance Database'!$O$2:$O$1960,MATCH(1491,Engine!$C$2:$C$1960,0)))</f>
        <v/>
      </c>
      <c r="P1504" s="8">
        <f>IF(ISNA(MATCH(1491,Engine!$C$2:$C$1960,0)),"",HYPERLINK("#Acts!A"&amp;INDEX('Compliance Database'!$P$2:$P$1960,MATCH(1491,Engine!$C$2:$C$1960,0)),"Go to Act"))</f>
        <v/>
      </c>
    </row>
    <row r="1505" ht="158" customHeight="1">
      <c r="A1505" s="8">
        <f>IF(ISNA(MATCH(1492,Engine!$C$2:$C$1960,0)),"",INDEX('Compliance Database'!$A$2:$A$1960,MATCH(1492,Engine!$C$2:$C$1960,0)))</f>
        <v/>
      </c>
      <c r="B1505" s="8">
        <f>IF(ISNA(MATCH(1492,Engine!$C$2:$C$1960,0)),"",INDEX('Compliance Database'!$B$2:$B$1960,MATCH(1492,Engine!$C$2:$C$1960,0)))</f>
        <v/>
      </c>
      <c r="C1505" s="8">
        <f>IF(ISNA(MATCH(1492,Engine!$C$2:$C$1960,0)),"",INDEX('Compliance Database'!$C$2:$C$1960,MATCH(1492,Engine!$C$2:$C$1960,0)))</f>
        <v/>
      </c>
      <c r="D1505" s="9">
        <f>IF(ISNA(MATCH(1492,Engine!$C$2:$C$1960,0)),"",INDEX('Compliance Database'!$D$2:$D$1960,MATCH(1492,Engine!$C$2:$C$1960,0)))</f>
        <v/>
      </c>
      <c r="E1505" s="8">
        <f>IF(ISNA(MATCH(1492,Engine!$C$2:$C$1960,0)),"",INDEX('Compliance Database'!$E$2:$E$1960,MATCH(1492,Engine!$C$2:$C$1960,0)))</f>
        <v/>
      </c>
      <c r="F1505" s="8">
        <f>IF(ISNA(MATCH(1492,Engine!$C$2:$C$1960,0)),"",INDEX('Compliance Database'!$F$2:$F$1960,MATCH(1492,Engine!$C$2:$C$1960,0)))</f>
        <v/>
      </c>
      <c r="G1505" s="8">
        <f>IF(ISNA(MATCH(1492,Engine!$C$2:$C$1960,0)),"",INDEX('Compliance Database'!$G$2:$G$1960,MATCH(1492,Engine!$C$2:$C$1960,0)))</f>
        <v/>
      </c>
      <c r="H1505" s="9">
        <f>IF(ISNA(MATCH(1492,Engine!$C$2:$C$1960,0)),"",INDEX('Compliance Database'!$H$2:$H$1960,MATCH(1492,Engine!$C$2:$C$1960,0)))</f>
        <v/>
      </c>
      <c r="I1505" s="9">
        <f>IF(ISNA(MATCH(1492,Engine!$C$2:$C$1960,0)),"",INDEX('Compliance Database'!$I$2:$I$1960,MATCH(1492,Engine!$C$2:$C$1960,0)))</f>
        <v/>
      </c>
      <c r="J1505" s="8">
        <f>IF(ISNA(MATCH(1492,Engine!$C$2:$C$1960,0)),"",INDEX('Compliance Database'!$J$2:$J$1960,MATCH(1492,Engine!$C$2:$C$1960,0)))</f>
        <v/>
      </c>
      <c r="K1505" s="9">
        <f>IF(ISNA(MATCH(1492,Engine!$C$2:$C$1960,0)),"",INDEX('Compliance Database'!$K$2:$K$1960,MATCH(1492,Engine!$C$2:$C$1960,0)))</f>
        <v/>
      </c>
      <c r="L1505" s="9">
        <f>IF(ISNA(MATCH(1492,Engine!$C$2:$C$1960,0)),"",INDEX('Compliance Database'!$L$2:$L$1960,MATCH(1492,Engine!$C$2:$C$1960,0)))</f>
        <v/>
      </c>
      <c r="M1505" s="9">
        <f>IF(ISNA(MATCH(1492,Engine!$C$2:$C$1960,0)),"",INDEX('Compliance Database'!$M$2:$M$1960,MATCH(1492,Engine!$C$2:$C$1960,0)))</f>
        <v/>
      </c>
      <c r="N1505" s="9">
        <f>IF(ISNA(MATCH(1492,Engine!$C$2:$C$1960,0)),"",INDEX('Compliance Database'!$N$2:$N$1960,MATCH(1492,Engine!$C$2:$C$1960,0)))</f>
        <v/>
      </c>
      <c r="O1505" s="9">
        <f>IF(ISNA(MATCH(1492,Engine!$C$2:$C$1960,0)),"",INDEX('Compliance Database'!$O$2:$O$1960,MATCH(1492,Engine!$C$2:$C$1960,0)))</f>
        <v/>
      </c>
      <c r="P1505" s="8">
        <f>IF(ISNA(MATCH(1492,Engine!$C$2:$C$1960,0)),"",HYPERLINK("#Acts!A"&amp;INDEX('Compliance Database'!$P$2:$P$1960,MATCH(1492,Engine!$C$2:$C$1960,0)),"Go to Act"))</f>
        <v/>
      </c>
    </row>
    <row r="1506" ht="158" customHeight="1">
      <c r="A1506" s="8">
        <f>IF(ISNA(MATCH(1493,Engine!$C$2:$C$1960,0)),"",INDEX('Compliance Database'!$A$2:$A$1960,MATCH(1493,Engine!$C$2:$C$1960,0)))</f>
        <v/>
      </c>
      <c r="B1506" s="8">
        <f>IF(ISNA(MATCH(1493,Engine!$C$2:$C$1960,0)),"",INDEX('Compliance Database'!$B$2:$B$1960,MATCH(1493,Engine!$C$2:$C$1960,0)))</f>
        <v/>
      </c>
      <c r="C1506" s="8">
        <f>IF(ISNA(MATCH(1493,Engine!$C$2:$C$1960,0)),"",INDEX('Compliance Database'!$C$2:$C$1960,MATCH(1493,Engine!$C$2:$C$1960,0)))</f>
        <v/>
      </c>
      <c r="D1506" s="9">
        <f>IF(ISNA(MATCH(1493,Engine!$C$2:$C$1960,0)),"",INDEX('Compliance Database'!$D$2:$D$1960,MATCH(1493,Engine!$C$2:$C$1960,0)))</f>
        <v/>
      </c>
      <c r="E1506" s="8">
        <f>IF(ISNA(MATCH(1493,Engine!$C$2:$C$1960,0)),"",INDEX('Compliance Database'!$E$2:$E$1960,MATCH(1493,Engine!$C$2:$C$1960,0)))</f>
        <v/>
      </c>
      <c r="F1506" s="8">
        <f>IF(ISNA(MATCH(1493,Engine!$C$2:$C$1960,0)),"",INDEX('Compliance Database'!$F$2:$F$1960,MATCH(1493,Engine!$C$2:$C$1960,0)))</f>
        <v/>
      </c>
      <c r="G1506" s="8">
        <f>IF(ISNA(MATCH(1493,Engine!$C$2:$C$1960,0)),"",INDEX('Compliance Database'!$G$2:$G$1960,MATCH(1493,Engine!$C$2:$C$1960,0)))</f>
        <v/>
      </c>
      <c r="H1506" s="9">
        <f>IF(ISNA(MATCH(1493,Engine!$C$2:$C$1960,0)),"",INDEX('Compliance Database'!$H$2:$H$1960,MATCH(1493,Engine!$C$2:$C$1960,0)))</f>
        <v/>
      </c>
      <c r="I1506" s="9">
        <f>IF(ISNA(MATCH(1493,Engine!$C$2:$C$1960,0)),"",INDEX('Compliance Database'!$I$2:$I$1960,MATCH(1493,Engine!$C$2:$C$1960,0)))</f>
        <v/>
      </c>
      <c r="J1506" s="8">
        <f>IF(ISNA(MATCH(1493,Engine!$C$2:$C$1960,0)),"",INDEX('Compliance Database'!$J$2:$J$1960,MATCH(1493,Engine!$C$2:$C$1960,0)))</f>
        <v/>
      </c>
      <c r="K1506" s="9">
        <f>IF(ISNA(MATCH(1493,Engine!$C$2:$C$1960,0)),"",INDEX('Compliance Database'!$K$2:$K$1960,MATCH(1493,Engine!$C$2:$C$1960,0)))</f>
        <v/>
      </c>
      <c r="L1506" s="9">
        <f>IF(ISNA(MATCH(1493,Engine!$C$2:$C$1960,0)),"",INDEX('Compliance Database'!$L$2:$L$1960,MATCH(1493,Engine!$C$2:$C$1960,0)))</f>
        <v/>
      </c>
      <c r="M1506" s="9">
        <f>IF(ISNA(MATCH(1493,Engine!$C$2:$C$1960,0)),"",INDEX('Compliance Database'!$M$2:$M$1960,MATCH(1493,Engine!$C$2:$C$1960,0)))</f>
        <v/>
      </c>
      <c r="N1506" s="9">
        <f>IF(ISNA(MATCH(1493,Engine!$C$2:$C$1960,0)),"",INDEX('Compliance Database'!$N$2:$N$1960,MATCH(1493,Engine!$C$2:$C$1960,0)))</f>
        <v/>
      </c>
      <c r="O1506" s="9">
        <f>IF(ISNA(MATCH(1493,Engine!$C$2:$C$1960,0)),"",INDEX('Compliance Database'!$O$2:$O$1960,MATCH(1493,Engine!$C$2:$C$1960,0)))</f>
        <v/>
      </c>
      <c r="P1506" s="8">
        <f>IF(ISNA(MATCH(1493,Engine!$C$2:$C$1960,0)),"",HYPERLINK("#Acts!A"&amp;INDEX('Compliance Database'!$P$2:$P$1960,MATCH(1493,Engine!$C$2:$C$1960,0)),"Go to Act"))</f>
        <v/>
      </c>
    </row>
    <row r="1507" ht="158" customHeight="1">
      <c r="A1507" s="8">
        <f>IF(ISNA(MATCH(1494,Engine!$C$2:$C$1960,0)),"",INDEX('Compliance Database'!$A$2:$A$1960,MATCH(1494,Engine!$C$2:$C$1960,0)))</f>
        <v/>
      </c>
      <c r="B1507" s="8">
        <f>IF(ISNA(MATCH(1494,Engine!$C$2:$C$1960,0)),"",INDEX('Compliance Database'!$B$2:$B$1960,MATCH(1494,Engine!$C$2:$C$1960,0)))</f>
        <v/>
      </c>
      <c r="C1507" s="8">
        <f>IF(ISNA(MATCH(1494,Engine!$C$2:$C$1960,0)),"",INDEX('Compliance Database'!$C$2:$C$1960,MATCH(1494,Engine!$C$2:$C$1960,0)))</f>
        <v/>
      </c>
      <c r="D1507" s="9">
        <f>IF(ISNA(MATCH(1494,Engine!$C$2:$C$1960,0)),"",INDEX('Compliance Database'!$D$2:$D$1960,MATCH(1494,Engine!$C$2:$C$1960,0)))</f>
        <v/>
      </c>
      <c r="E1507" s="8">
        <f>IF(ISNA(MATCH(1494,Engine!$C$2:$C$1960,0)),"",INDEX('Compliance Database'!$E$2:$E$1960,MATCH(1494,Engine!$C$2:$C$1960,0)))</f>
        <v/>
      </c>
      <c r="F1507" s="8">
        <f>IF(ISNA(MATCH(1494,Engine!$C$2:$C$1960,0)),"",INDEX('Compliance Database'!$F$2:$F$1960,MATCH(1494,Engine!$C$2:$C$1960,0)))</f>
        <v/>
      </c>
      <c r="G1507" s="8">
        <f>IF(ISNA(MATCH(1494,Engine!$C$2:$C$1960,0)),"",INDEX('Compliance Database'!$G$2:$G$1960,MATCH(1494,Engine!$C$2:$C$1960,0)))</f>
        <v/>
      </c>
      <c r="H1507" s="9">
        <f>IF(ISNA(MATCH(1494,Engine!$C$2:$C$1960,0)),"",INDEX('Compliance Database'!$H$2:$H$1960,MATCH(1494,Engine!$C$2:$C$1960,0)))</f>
        <v/>
      </c>
      <c r="I1507" s="9">
        <f>IF(ISNA(MATCH(1494,Engine!$C$2:$C$1960,0)),"",INDEX('Compliance Database'!$I$2:$I$1960,MATCH(1494,Engine!$C$2:$C$1960,0)))</f>
        <v/>
      </c>
      <c r="J1507" s="8">
        <f>IF(ISNA(MATCH(1494,Engine!$C$2:$C$1960,0)),"",INDEX('Compliance Database'!$J$2:$J$1960,MATCH(1494,Engine!$C$2:$C$1960,0)))</f>
        <v/>
      </c>
      <c r="K1507" s="9">
        <f>IF(ISNA(MATCH(1494,Engine!$C$2:$C$1960,0)),"",INDEX('Compliance Database'!$K$2:$K$1960,MATCH(1494,Engine!$C$2:$C$1960,0)))</f>
        <v/>
      </c>
      <c r="L1507" s="9">
        <f>IF(ISNA(MATCH(1494,Engine!$C$2:$C$1960,0)),"",INDEX('Compliance Database'!$L$2:$L$1960,MATCH(1494,Engine!$C$2:$C$1960,0)))</f>
        <v/>
      </c>
      <c r="M1507" s="9">
        <f>IF(ISNA(MATCH(1494,Engine!$C$2:$C$1960,0)),"",INDEX('Compliance Database'!$M$2:$M$1960,MATCH(1494,Engine!$C$2:$C$1960,0)))</f>
        <v/>
      </c>
      <c r="N1507" s="9">
        <f>IF(ISNA(MATCH(1494,Engine!$C$2:$C$1960,0)),"",INDEX('Compliance Database'!$N$2:$N$1960,MATCH(1494,Engine!$C$2:$C$1960,0)))</f>
        <v/>
      </c>
      <c r="O1507" s="9">
        <f>IF(ISNA(MATCH(1494,Engine!$C$2:$C$1960,0)),"",INDEX('Compliance Database'!$O$2:$O$1960,MATCH(1494,Engine!$C$2:$C$1960,0)))</f>
        <v/>
      </c>
      <c r="P1507" s="8">
        <f>IF(ISNA(MATCH(1494,Engine!$C$2:$C$1960,0)),"",HYPERLINK("#Acts!A"&amp;INDEX('Compliance Database'!$P$2:$P$1960,MATCH(1494,Engine!$C$2:$C$1960,0)),"Go to Act"))</f>
        <v/>
      </c>
    </row>
    <row r="1508" ht="158" customHeight="1">
      <c r="A1508" s="8">
        <f>IF(ISNA(MATCH(1495,Engine!$C$2:$C$1960,0)),"",INDEX('Compliance Database'!$A$2:$A$1960,MATCH(1495,Engine!$C$2:$C$1960,0)))</f>
        <v/>
      </c>
      <c r="B1508" s="8">
        <f>IF(ISNA(MATCH(1495,Engine!$C$2:$C$1960,0)),"",INDEX('Compliance Database'!$B$2:$B$1960,MATCH(1495,Engine!$C$2:$C$1960,0)))</f>
        <v/>
      </c>
      <c r="C1508" s="8">
        <f>IF(ISNA(MATCH(1495,Engine!$C$2:$C$1960,0)),"",INDEX('Compliance Database'!$C$2:$C$1960,MATCH(1495,Engine!$C$2:$C$1960,0)))</f>
        <v/>
      </c>
      <c r="D1508" s="9">
        <f>IF(ISNA(MATCH(1495,Engine!$C$2:$C$1960,0)),"",INDEX('Compliance Database'!$D$2:$D$1960,MATCH(1495,Engine!$C$2:$C$1960,0)))</f>
        <v/>
      </c>
      <c r="E1508" s="8">
        <f>IF(ISNA(MATCH(1495,Engine!$C$2:$C$1960,0)),"",INDEX('Compliance Database'!$E$2:$E$1960,MATCH(1495,Engine!$C$2:$C$1960,0)))</f>
        <v/>
      </c>
      <c r="F1508" s="8">
        <f>IF(ISNA(MATCH(1495,Engine!$C$2:$C$1960,0)),"",INDEX('Compliance Database'!$F$2:$F$1960,MATCH(1495,Engine!$C$2:$C$1960,0)))</f>
        <v/>
      </c>
      <c r="G1508" s="8">
        <f>IF(ISNA(MATCH(1495,Engine!$C$2:$C$1960,0)),"",INDEX('Compliance Database'!$G$2:$G$1960,MATCH(1495,Engine!$C$2:$C$1960,0)))</f>
        <v/>
      </c>
      <c r="H1508" s="9">
        <f>IF(ISNA(MATCH(1495,Engine!$C$2:$C$1960,0)),"",INDEX('Compliance Database'!$H$2:$H$1960,MATCH(1495,Engine!$C$2:$C$1960,0)))</f>
        <v/>
      </c>
      <c r="I1508" s="9">
        <f>IF(ISNA(MATCH(1495,Engine!$C$2:$C$1960,0)),"",INDEX('Compliance Database'!$I$2:$I$1960,MATCH(1495,Engine!$C$2:$C$1960,0)))</f>
        <v/>
      </c>
      <c r="J1508" s="8">
        <f>IF(ISNA(MATCH(1495,Engine!$C$2:$C$1960,0)),"",INDEX('Compliance Database'!$J$2:$J$1960,MATCH(1495,Engine!$C$2:$C$1960,0)))</f>
        <v/>
      </c>
      <c r="K1508" s="9">
        <f>IF(ISNA(MATCH(1495,Engine!$C$2:$C$1960,0)),"",INDEX('Compliance Database'!$K$2:$K$1960,MATCH(1495,Engine!$C$2:$C$1960,0)))</f>
        <v/>
      </c>
      <c r="L1508" s="9">
        <f>IF(ISNA(MATCH(1495,Engine!$C$2:$C$1960,0)),"",INDEX('Compliance Database'!$L$2:$L$1960,MATCH(1495,Engine!$C$2:$C$1960,0)))</f>
        <v/>
      </c>
      <c r="M1508" s="9">
        <f>IF(ISNA(MATCH(1495,Engine!$C$2:$C$1960,0)),"",INDEX('Compliance Database'!$M$2:$M$1960,MATCH(1495,Engine!$C$2:$C$1960,0)))</f>
        <v/>
      </c>
      <c r="N1508" s="9">
        <f>IF(ISNA(MATCH(1495,Engine!$C$2:$C$1960,0)),"",INDEX('Compliance Database'!$N$2:$N$1960,MATCH(1495,Engine!$C$2:$C$1960,0)))</f>
        <v/>
      </c>
      <c r="O1508" s="9">
        <f>IF(ISNA(MATCH(1495,Engine!$C$2:$C$1960,0)),"",INDEX('Compliance Database'!$O$2:$O$1960,MATCH(1495,Engine!$C$2:$C$1960,0)))</f>
        <v/>
      </c>
      <c r="P1508" s="8">
        <f>IF(ISNA(MATCH(1495,Engine!$C$2:$C$1960,0)),"",HYPERLINK("#Acts!A"&amp;INDEX('Compliance Database'!$P$2:$P$1960,MATCH(1495,Engine!$C$2:$C$1960,0)),"Go to Act"))</f>
        <v/>
      </c>
    </row>
    <row r="1509" ht="158" customHeight="1">
      <c r="A1509" s="8">
        <f>IF(ISNA(MATCH(1496,Engine!$C$2:$C$1960,0)),"",INDEX('Compliance Database'!$A$2:$A$1960,MATCH(1496,Engine!$C$2:$C$1960,0)))</f>
        <v/>
      </c>
      <c r="B1509" s="8">
        <f>IF(ISNA(MATCH(1496,Engine!$C$2:$C$1960,0)),"",INDEX('Compliance Database'!$B$2:$B$1960,MATCH(1496,Engine!$C$2:$C$1960,0)))</f>
        <v/>
      </c>
      <c r="C1509" s="8">
        <f>IF(ISNA(MATCH(1496,Engine!$C$2:$C$1960,0)),"",INDEX('Compliance Database'!$C$2:$C$1960,MATCH(1496,Engine!$C$2:$C$1960,0)))</f>
        <v/>
      </c>
      <c r="D1509" s="9">
        <f>IF(ISNA(MATCH(1496,Engine!$C$2:$C$1960,0)),"",INDEX('Compliance Database'!$D$2:$D$1960,MATCH(1496,Engine!$C$2:$C$1960,0)))</f>
        <v/>
      </c>
      <c r="E1509" s="8">
        <f>IF(ISNA(MATCH(1496,Engine!$C$2:$C$1960,0)),"",INDEX('Compliance Database'!$E$2:$E$1960,MATCH(1496,Engine!$C$2:$C$1960,0)))</f>
        <v/>
      </c>
      <c r="F1509" s="8">
        <f>IF(ISNA(MATCH(1496,Engine!$C$2:$C$1960,0)),"",INDEX('Compliance Database'!$F$2:$F$1960,MATCH(1496,Engine!$C$2:$C$1960,0)))</f>
        <v/>
      </c>
      <c r="G1509" s="8">
        <f>IF(ISNA(MATCH(1496,Engine!$C$2:$C$1960,0)),"",INDEX('Compliance Database'!$G$2:$G$1960,MATCH(1496,Engine!$C$2:$C$1960,0)))</f>
        <v/>
      </c>
      <c r="H1509" s="9">
        <f>IF(ISNA(MATCH(1496,Engine!$C$2:$C$1960,0)),"",INDEX('Compliance Database'!$H$2:$H$1960,MATCH(1496,Engine!$C$2:$C$1960,0)))</f>
        <v/>
      </c>
      <c r="I1509" s="9">
        <f>IF(ISNA(MATCH(1496,Engine!$C$2:$C$1960,0)),"",INDEX('Compliance Database'!$I$2:$I$1960,MATCH(1496,Engine!$C$2:$C$1960,0)))</f>
        <v/>
      </c>
      <c r="J1509" s="8">
        <f>IF(ISNA(MATCH(1496,Engine!$C$2:$C$1960,0)),"",INDEX('Compliance Database'!$J$2:$J$1960,MATCH(1496,Engine!$C$2:$C$1960,0)))</f>
        <v/>
      </c>
      <c r="K1509" s="9">
        <f>IF(ISNA(MATCH(1496,Engine!$C$2:$C$1960,0)),"",INDEX('Compliance Database'!$K$2:$K$1960,MATCH(1496,Engine!$C$2:$C$1960,0)))</f>
        <v/>
      </c>
      <c r="L1509" s="9">
        <f>IF(ISNA(MATCH(1496,Engine!$C$2:$C$1960,0)),"",INDEX('Compliance Database'!$L$2:$L$1960,MATCH(1496,Engine!$C$2:$C$1960,0)))</f>
        <v/>
      </c>
      <c r="M1509" s="9">
        <f>IF(ISNA(MATCH(1496,Engine!$C$2:$C$1960,0)),"",INDEX('Compliance Database'!$M$2:$M$1960,MATCH(1496,Engine!$C$2:$C$1960,0)))</f>
        <v/>
      </c>
      <c r="N1509" s="9">
        <f>IF(ISNA(MATCH(1496,Engine!$C$2:$C$1960,0)),"",INDEX('Compliance Database'!$N$2:$N$1960,MATCH(1496,Engine!$C$2:$C$1960,0)))</f>
        <v/>
      </c>
      <c r="O1509" s="9">
        <f>IF(ISNA(MATCH(1496,Engine!$C$2:$C$1960,0)),"",INDEX('Compliance Database'!$O$2:$O$1960,MATCH(1496,Engine!$C$2:$C$1960,0)))</f>
        <v/>
      </c>
      <c r="P1509" s="8">
        <f>IF(ISNA(MATCH(1496,Engine!$C$2:$C$1960,0)),"",HYPERLINK("#Acts!A"&amp;INDEX('Compliance Database'!$P$2:$P$1960,MATCH(1496,Engine!$C$2:$C$1960,0)),"Go to Act"))</f>
        <v/>
      </c>
    </row>
    <row r="1510" ht="158" customHeight="1">
      <c r="A1510" s="8">
        <f>IF(ISNA(MATCH(1497,Engine!$C$2:$C$1960,0)),"",INDEX('Compliance Database'!$A$2:$A$1960,MATCH(1497,Engine!$C$2:$C$1960,0)))</f>
        <v/>
      </c>
      <c r="B1510" s="8">
        <f>IF(ISNA(MATCH(1497,Engine!$C$2:$C$1960,0)),"",INDEX('Compliance Database'!$B$2:$B$1960,MATCH(1497,Engine!$C$2:$C$1960,0)))</f>
        <v/>
      </c>
      <c r="C1510" s="8">
        <f>IF(ISNA(MATCH(1497,Engine!$C$2:$C$1960,0)),"",INDEX('Compliance Database'!$C$2:$C$1960,MATCH(1497,Engine!$C$2:$C$1960,0)))</f>
        <v/>
      </c>
      <c r="D1510" s="9">
        <f>IF(ISNA(MATCH(1497,Engine!$C$2:$C$1960,0)),"",INDEX('Compliance Database'!$D$2:$D$1960,MATCH(1497,Engine!$C$2:$C$1960,0)))</f>
        <v/>
      </c>
      <c r="E1510" s="8">
        <f>IF(ISNA(MATCH(1497,Engine!$C$2:$C$1960,0)),"",INDEX('Compliance Database'!$E$2:$E$1960,MATCH(1497,Engine!$C$2:$C$1960,0)))</f>
        <v/>
      </c>
      <c r="F1510" s="8">
        <f>IF(ISNA(MATCH(1497,Engine!$C$2:$C$1960,0)),"",INDEX('Compliance Database'!$F$2:$F$1960,MATCH(1497,Engine!$C$2:$C$1960,0)))</f>
        <v/>
      </c>
      <c r="G1510" s="8">
        <f>IF(ISNA(MATCH(1497,Engine!$C$2:$C$1960,0)),"",INDEX('Compliance Database'!$G$2:$G$1960,MATCH(1497,Engine!$C$2:$C$1960,0)))</f>
        <v/>
      </c>
      <c r="H1510" s="9">
        <f>IF(ISNA(MATCH(1497,Engine!$C$2:$C$1960,0)),"",INDEX('Compliance Database'!$H$2:$H$1960,MATCH(1497,Engine!$C$2:$C$1960,0)))</f>
        <v/>
      </c>
      <c r="I1510" s="9">
        <f>IF(ISNA(MATCH(1497,Engine!$C$2:$C$1960,0)),"",INDEX('Compliance Database'!$I$2:$I$1960,MATCH(1497,Engine!$C$2:$C$1960,0)))</f>
        <v/>
      </c>
      <c r="J1510" s="8">
        <f>IF(ISNA(MATCH(1497,Engine!$C$2:$C$1960,0)),"",INDEX('Compliance Database'!$J$2:$J$1960,MATCH(1497,Engine!$C$2:$C$1960,0)))</f>
        <v/>
      </c>
      <c r="K1510" s="9">
        <f>IF(ISNA(MATCH(1497,Engine!$C$2:$C$1960,0)),"",INDEX('Compliance Database'!$K$2:$K$1960,MATCH(1497,Engine!$C$2:$C$1960,0)))</f>
        <v/>
      </c>
      <c r="L1510" s="9">
        <f>IF(ISNA(MATCH(1497,Engine!$C$2:$C$1960,0)),"",INDEX('Compliance Database'!$L$2:$L$1960,MATCH(1497,Engine!$C$2:$C$1960,0)))</f>
        <v/>
      </c>
      <c r="M1510" s="9">
        <f>IF(ISNA(MATCH(1497,Engine!$C$2:$C$1960,0)),"",INDEX('Compliance Database'!$M$2:$M$1960,MATCH(1497,Engine!$C$2:$C$1960,0)))</f>
        <v/>
      </c>
      <c r="N1510" s="9">
        <f>IF(ISNA(MATCH(1497,Engine!$C$2:$C$1960,0)),"",INDEX('Compliance Database'!$N$2:$N$1960,MATCH(1497,Engine!$C$2:$C$1960,0)))</f>
        <v/>
      </c>
      <c r="O1510" s="9">
        <f>IF(ISNA(MATCH(1497,Engine!$C$2:$C$1960,0)),"",INDEX('Compliance Database'!$O$2:$O$1960,MATCH(1497,Engine!$C$2:$C$1960,0)))</f>
        <v/>
      </c>
      <c r="P1510" s="8">
        <f>IF(ISNA(MATCH(1497,Engine!$C$2:$C$1960,0)),"",HYPERLINK("#Acts!A"&amp;INDEX('Compliance Database'!$P$2:$P$1960,MATCH(1497,Engine!$C$2:$C$1960,0)),"Go to Act"))</f>
        <v/>
      </c>
    </row>
    <row r="1511" ht="158" customHeight="1">
      <c r="A1511" s="8">
        <f>IF(ISNA(MATCH(1498,Engine!$C$2:$C$1960,0)),"",INDEX('Compliance Database'!$A$2:$A$1960,MATCH(1498,Engine!$C$2:$C$1960,0)))</f>
        <v/>
      </c>
      <c r="B1511" s="8">
        <f>IF(ISNA(MATCH(1498,Engine!$C$2:$C$1960,0)),"",INDEX('Compliance Database'!$B$2:$B$1960,MATCH(1498,Engine!$C$2:$C$1960,0)))</f>
        <v/>
      </c>
      <c r="C1511" s="8">
        <f>IF(ISNA(MATCH(1498,Engine!$C$2:$C$1960,0)),"",INDEX('Compliance Database'!$C$2:$C$1960,MATCH(1498,Engine!$C$2:$C$1960,0)))</f>
        <v/>
      </c>
      <c r="D1511" s="9">
        <f>IF(ISNA(MATCH(1498,Engine!$C$2:$C$1960,0)),"",INDEX('Compliance Database'!$D$2:$D$1960,MATCH(1498,Engine!$C$2:$C$1960,0)))</f>
        <v/>
      </c>
      <c r="E1511" s="8">
        <f>IF(ISNA(MATCH(1498,Engine!$C$2:$C$1960,0)),"",INDEX('Compliance Database'!$E$2:$E$1960,MATCH(1498,Engine!$C$2:$C$1960,0)))</f>
        <v/>
      </c>
      <c r="F1511" s="8">
        <f>IF(ISNA(MATCH(1498,Engine!$C$2:$C$1960,0)),"",INDEX('Compliance Database'!$F$2:$F$1960,MATCH(1498,Engine!$C$2:$C$1960,0)))</f>
        <v/>
      </c>
      <c r="G1511" s="8">
        <f>IF(ISNA(MATCH(1498,Engine!$C$2:$C$1960,0)),"",INDEX('Compliance Database'!$G$2:$G$1960,MATCH(1498,Engine!$C$2:$C$1960,0)))</f>
        <v/>
      </c>
      <c r="H1511" s="9">
        <f>IF(ISNA(MATCH(1498,Engine!$C$2:$C$1960,0)),"",INDEX('Compliance Database'!$H$2:$H$1960,MATCH(1498,Engine!$C$2:$C$1960,0)))</f>
        <v/>
      </c>
      <c r="I1511" s="9">
        <f>IF(ISNA(MATCH(1498,Engine!$C$2:$C$1960,0)),"",INDEX('Compliance Database'!$I$2:$I$1960,MATCH(1498,Engine!$C$2:$C$1960,0)))</f>
        <v/>
      </c>
      <c r="J1511" s="8">
        <f>IF(ISNA(MATCH(1498,Engine!$C$2:$C$1960,0)),"",INDEX('Compliance Database'!$J$2:$J$1960,MATCH(1498,Engine!$C$2:$C$1960,0)))</f>
        <v/>
      </c>
      <c r="K1511" s="9">
        <f>IF(ISNA(MATCH(1498,Engine!$C$2:$C$1960,0)),"",INDEX('Compliance Database'!$K$2:$K$1960,MATCH(1498,Engine!$C$2:$C$1960,0)))</f>
        <v/>
      </c>
      <c r="L1511" s="9">
        <f>IF(ISNA(MATCH(1498,Engine!$C$2:$C$1960,0)),"",INDEX('Compliance Database'!$L$2:$L$1960,MATCH(1498,Engine!$C$2:$C$1960,0)))</f>
        <v/>
      </c>
      <c r="M1511" s="9">
        <f>IF(ISNA(MATCH(1498,Engine!$C$2:$C$1960,0)),"",INDEX('Compliance Database'!$M$2:$M$1960,MATCH(1498,Engine!$C$2:$C$1960,0)))</f>
        <v/>
      </c>
      <c r="N1511" s="9">
        <f>IF(ISNA(MATCH(1498,Engine!$C$2:$C$1960,0)),"",INDEX('Compliance Database'!$N$2:$N$1960,MATCH(1498,Engine!$C$2:$C$1960,0)))</f>
        <v/>
      </c>
      <c r="O1511" s="9">
        <f>IF(ISNA(MATCH(1498,Engine!$C$2:$C$1960,0)),"",INDEX('Compliance Database'!$O$2:$O$1960,MATCH(1498,Engine!$C$2:$C$1960,0)))</f>
        <v/>
      </c>
      <c r="P1511" s="8">
        <f>IF(ISNA(MATCH(1498,Engine!$C$2:$C$1960,0)),"",HYPERLINK("#Acts!A"&amp;INDEX('Compliance Database'!$P$2:$P$1960,MATCH(1498,Engine!$C$2:$C$1960,0)),"Go to Act"))</f>
        <v/>
      </c>
    </row>
    <row r="1512" ht="158" customHeight="1">
      <c r="A1512" s="8">
        <f>IF(ISNA(MATCH(1499,Engine!$C$2:$C$1960,0)),"",INDEX('Compliance Database'!$A$2:$A$1960,MATCH(1499,Engine!$C$2:$C$1960,0)))</f>
        <v/>
      </c>
      <c r="B1512" s="8">
        <f>IF(ISNA(MATCH(1499,Engine!$C$2:$C$1960,0)),"",INDEX('Compliance Database'!$B$2:$B$1960,MATCH(1499,Engine!$C$2:$C$1960,0)))</f>
        <v/>
      </c>
      <c r="C1512" s="8">
        <f>IF(ISNA(MATCH(1499,Engine!$C$2:$C$1960,0)),"",INDEX('Compliance Database'!$C$2:$C$1960,MATCH(1499,Engine!$C$2:$C$1960,0)))</f>
        <v/>
      </c>
      <c r="D1512" s="9">
        <f>IF(ISNA(MATCH(1499,Engine!$C$2:$C$1960,0)),"",INDEX('Compliance Database'!$D$2:$D$1960,MATCH(1499,Engine!$C$2:$C$1960,0)))</f>
        <v/>
      </c>
      <c r="E1512" s="8">
        <f>IF(ISNA(MATCH(1499,Engine!$C$2:$C$1960,0)),"",INDEX('Compliance Database'!$E$2:$E$1960,MATCH(1499,Engine!$C$2:$C$1960,0)))</f>
        <v/>
      </c>
      <c r="F1512" s="8">
        <f>IF(ISNA(MATCH(1499,Engine!$C$2:$C$1960,0)),"",INDEX('Compliance Database'!$F$2:$F$1960,MATCH(1499,Engine!$C$2:$C$1960,0)))</f>
        <v/>
      </c>
      <c r="G1512" s="8">
        <f>IF(ISNA(MATCH(1499,Engine!$C$2:$C$1960,0)),"",INDEX('Compliance Database'!$G$2:$G$1960,MATCH(1499,Engine!$C$2:$C$1960,0)))</f>
        <v/>
      </c>
      <c r="H1512" s="9">
        <f>IF(ISNA(MATCH(1499,Engine!$C$2:$C$1960,0)),"",INDEX('Compliance Database'!$H$2:$H$1960,MATCH(1499,Engine!$C$2:$C$1960,0)))</f>
        <v/>
      </c>
      <c r="I1512" s="9">
        <f>IF(ISNA(MATCH(1499,Engine!$C$2:$C$1960,0)),"",INDEX('Compliance Database'!$I$2:$I$1960,MATCH(1499,Engine!$C$2:$C$1960,0)))</f>
        <v/>
      </c>
      <c r="J1512" s="8">
        <f>IF(ISNA(MATCH(1499,Engine!$C$2:$C$1960,0)),"",INDEX('Compliance Database'!$J$2:$J$1960,MATCH(1499,Engine!$C$2:$C$1960,0)))</f>
        <v/>
      </c>
      <c r="K1512" s="9">
        <f>IF(ISNA(MATCH(1499,Engine!$C$2:$C$1960,0)),"",INDEX('Compliance Database'!$K$2:$K$1960,MATCH(1499,Engine!$C$2:$C$1960,0)))</f>
        <v/>
      </c>
      <c r="L1512" s="9">
        <f>IF(ISNA(MATCH(1499,Engine!$C$2:$C$1960,0)),"",INDEX('Compliance Database'!$L$2:$L$1960,MATCH(1499,Engine!$C$2:$C$1960,0)))</f>
        <v/>
      </c>
      <c r="M1512" s="9">
        <f>IF(ISNA(MATCH(1499,Engine!$C$2:$C$1960,0)),"",INDEX('Compliance Database'!$M$2:$M$1960,MATCH(1499,Engine!$C$2:$C$1960,0)))</f>
        <v/>
      </c>
      <c r="N1512" s="9">
        <f>IF(ISNA(MATCH(1499,Engine!$C$2:$C$1960,0)),"",INDEX('Compliance Database'!$N$2:$N$1960,MATCH(1499,Engine!$C$2:$C$1960,0)))</f>
        <v/>
      </c>
      <c r="O1512" s="9">
        <f>IF(ISNA(MATCH(1499,Engine!$C$2:$C$1960,0)),"",INDEX('Compliance Database'!$O$2:$O$1960,MATCH(1499,Engine!$C$2:$C$1960,0)))</f>
        <v/>
      </c>
      <c r="P1512" s="8">
        <f>IF(ISNA(MATCH(1499,Engine!$C$2:$C$1960,0)),"",HYPERLINK("#Acts!A"&amp;INDEX('Compliance Database'!$P$2:$P$1960,MATCH(1499,Engine!$C$2:$C$1960,0)),"Go to Act"))</f>
        <v/>
      </c>
    </row>
    <row r="1513" ht="158" customHeight="1">
      <c r="A1513" s="8">
        <f>IF(ISNA(MATCH(1500,Engine!$C$2:$C$1960,0)),"",INDEX('Compliance Database'!$A$2:$A$1960,MATCH(1500,Engine!$C$2:$C$1960,0)))</f>
        <v/>
      </c>
      <c r="B1513" s="8">
        <f>IF(ISNA(MATCH(1500,Engine!$C$2:$C$1960,0)),"",INDEX('Compliance Database'!$B$2:$B$1960,MATCH(1500,Engine!$C$2:$C$1960,0)))</f>
        <v/>
      </c>
      <c r="C1513" s="8">
        <f>IF(ISNA(MATCH(1500,Engine!$C$2:$C$1960,0)),"",INDEX('Compliance Database'!$C$2:$C$1960,MATCH(1500,Engine!$C$2:$C$1960,0)))</f>
        <v/>
      </c>
      <c r="D1513" s="9">
        <f>IF(ISNA(MATCH(1500,Engine!$C$2:$C$1960,0)),"",INDEX('Compliance Database'!$D$2:$D$1960,MATCH(1500,Engine!$C$2:$C$1960,0)))</f>
        <v/>
      </c>
      <c r="E1513" s="8">
        <f>IF(ISNA(MATCH(1500,Engine!$C$2:$C$1960,0)),"",INDEX('Compliance Database'!$E$2:$E$1960,MATCH(1500,Engine!$C$2:$C$1960,0)))</f>
        <v/>
      </c>
      <c r="F1513" s="8">
        <f>IF(ISNA(MATCH(1500,Engine!$C$2:$C$1960,0)),"",INDEX('Compliance Database'!$F$2:$F$1960,MATCH(1500,Engine!$C$2:$C$1960,0)))</f>
        <v/>
      </c>
      <c r="G1513" s="8">
        <f>IF(ISNA(MATCH(1500,Engine!$C$2:$C$1960,0)),"",INDEX('Compliance Database'!$G$2:$G$1960,MATCH(1500,Engine!$C$2:$C$1960,0)))</f>
        <v/>
      </c>
      <c r="H1513" s="9">
        <f>IF(ISNA(MATCH(1500,Engine!$C$2:$C$1960,0)),"",INDEX('Compliance Database'!$H$2:$H$1960,MATCH(1500,Engine!$C$2:$C$1960,0)))</f>
        <v/>
      </c>
      <c r="I1513" s="9">
        <f>IF(ISNA(MATCH(1500,Engine!$C$2:$C$1960,0)),"",INDEX('Compliance Database'!$I$2:$I$1960,MATCH(1500,Engine!$C$2:$C$1960,0)))</f>
        <v/>
      </c>
      <c r="J1513" s="8">
        <f>IF(ISNA(MATCH(1500,Engine!$C$2:$C$1960,0)),"",INDEX('Compliance Database'!$J$2:$J$1960,MATCH(1500,Engine!$C$2:$C$1960,0)))</f>
        <v/>
      </c>
      <c r="K1513" s="9">
        <f>IF(ISNA(MATCH(1500,Engine!$C$2:$C$1960,0)),"",INDEX('Compliance Database'!$K$2:$K$1960,MATCH(1500,Engine!$C$2:$C$1960,0)))</f>
        <v/>
      </c>
      <c r="L1513" s="9">
        <f>IF(ISNA(MATCH(1500,Engine!$C$2:$C$1960,0)),"",INDEX('Compliance Database'!$L$2:$L$1960,MATCH(1500,Engine!$C$2:$C$1960,0)))</f>
        <v/>
      </c>
      <c r="M1513" s="9">
        <f>IF(ISNA(MATCH(1500,Engine!$C$2:$C$1960,0)),"",INDEX('Compliance Database'!$M$2:$M$1960,MATCH(1500,Engine!$C$2:$C$1960,0)))</f>
        <v/>
      </c>
      <c r="N1513" s="9">
        <f>IF(ISNA(MATCH(1500,Engine!$C$2:$C$1960,0)),"",INDEX('Compliance Database'!$N$2:$N$1960,MATCH(1500,Engine!$C$2:$C$1960,0)))</f>
        <v/>
      </c>
      <c r="O1513" s="9">
        <f>IF(ISNA(MATCH(1500,Engine!$C$2:$C$1960,0)),"",INDEX('Compliance Database'!$O$2:$O$1960,MATCH(1500,Engine!$C$2:$C$1960,0)))</f>
        <v/>
      </c>
      <c r="P1513" s="8">
        <f>IF(ISNA(MATCH(1500,Engine!$C$2:$C$1960,0)),"",HYPERLINK("#Acts!A"&amp;INDEX('Compliance Database'!$P$2:$P$1960,MATCH(1500,Engine!$C$2:$C$1960,0)),"Go to Act"))</f>
        <v/>
      </c>
    </row>
    <row r="1514" ht="158" customHeight="1">
      <c r="A1514" s="8">
        <f>IF(ISNA(MATCH(1501,Engine!$C$2:$C$1960,0)),"",INDEX('Compliance Database'!$A$2:$A$1960,MATCH(1501,Engine!$C$2:$C$1960,0)))</f>
        <v/>
      </c>
      <c r="B1514" s="8">
        <f>IF(ISNA(MATCH(1501,Engine!$C$2:$C$1960,0)),"",INDEX('Compliance Database'!$B$2:$B$1960,MATCH(1501,Engine!$C$2:$C$1960,0)))</f>
        <v/>
      </c>
      <c r="C1514" s="8">
        <f>IF(ISNA(MATCH(1501,Engine!$C$2:$C$1960,0)),"",INDEX('Compliance Database'!$C$2:$C$1960,MATCH(1501,Engine!$C$2:$C$1960,0)))</f>
        <v/>
      </c>
      <c r="D1514" s="9">
        <f>IF(ISNA(MATCH(1501,Engine!$C$2:$C$1960,0)),"",INDEX('Compliance Database'!$D$2:$D$1960,MATCH(1501,Engine!$C$2:$C$1960,0)))</f>
        <v/>
      </c>
      <c r="E1514" s="8">
        <f>IF(ISNA(MATCH(1501,Engine!$C$2:$C$1960,0)),"",INDEX('Compliance Database'!$E$2:$E$1960,MATCH(1501,Engine!$C$2:$C$1960,0)))</f>
        <v/>
      </c>
      <c r="F1514" s="8">
        <f>IF(ISNA(MATCH(1501,Engine!$C$2:$C$1960,0)),"",INDEX('Compliance Database'!$F$2:$F$1960,MATCH(1501,Engine!$C$2:$C$1960,0)))</f>
        <v/>
      </c>
      <c r="G1514" s="8">
        <f>IF(ISNA(MATCH(1501,Engine!$C$2:$C$1960,0)),"",INDEX('Compliance Database'!$G$2:$G$1960,MATCH(1501,Engine!$C$2:$C$1960,0)))</f>
        <v/>
      </c>
      <c r="H1514" s="9">
        <f>IF(ISNA(MATCH(1501,Engine!$C$2:$C$1960,0)),"",INDEX('Compliance Database'!$H$2:$H$1960,MATCH(1501,Engine!$C$2:$C$1960,0)))</f>
        <v/>
      </c>
      <c r="I1514" s="9">
        <f>IF(ISNA(MATCH(1501,Engine!$C$2:$C$1960,0)),"",INDEX('Compliance Database'!$I$2:$I$1960,MATCH(1501,Engine!$C$2:$C$1960,0)))</f>
        <v/>
      </c>
      <c r="J1514" s="8">
        <f>IF(ISNA(MATCH(1501,Engine!$C$2:$C$1960,0)),"",INDEX('Compliance Database'!$J$2:$J$1960,MATCH(1501,Engine!$C$2:$C$1960,0)))</f>
        <v/>
      </c>
      <c r="K1514" s="9">
        <f>IF(ISNA(MATCH(1501,Engine!$C$2:$C$1960,0)),"",INDEX('Compliance Database'!$K$2:$K$1960,MATCH(1501,Engine!$C$2:$C$1960,0)))</f>
        <v/>
      </c>
      <c r="L1514" s="9">
        <f>IF(ISNA(MATCH(1501,Engine!$C$2:$C$1960,0)),"",INDEX('Compliance Database'!$L$2:$L$1960,MATCH(1501,Engine!$C$2:$C$1960,0)))</f>
        <v/>
      </c>
      <c r="M1514" s="9">
        <f>IF(ISNA(MATCH(1501,Engine!$C$2:$C$1960,0)),"",INDEX('Compliance Database'!$M$2:$M$1960,MATCH(1501,Engine!$C$2:$C$1960,0)))</f>
        <v/>
      </c>
      <c r="N1514" s="9">
        <f>IF(ISNA(MATCH(1501,Engine!$C$2:$C$1960,0)),"",INDEX('Compliance Database'!$N$2:$N$1960,MATCH(1501,Engine!$C$2:$C$1960,0)))</f>
        <v/>
      </c>
      <c r="O1514" s="9">
        <f>IF(ISNA(MATCH(1501,Engine!$C$2:$C$1960,0)),"",INDEX('Compliance Database'!$O$2:$O$1960,MATCH(1501,Engine!$C$2:$C$1960,0)))</f>
        <v/>
      </c>
      <c r="P1514" s="8">
        <f>IF(ISNA(MATCH(1501,Engine!$C$2:$C$1960,0)),"",HYPERLINK("#Acts!A"&amp;INDEX('Compliance Database'!$P$2:$P$1960,MATCH(1501,Engine!$C$2:$C$1960,0)),"Go to Act"))</f>
        <v/>
      </c>
    </row>
    <row r="1515" ht="158" customHeight="1">
      <c r="A1515" s="8">
        <f>IF(ISNA(MATCH(1502,Engine!$C$2:$C$1960,0)),"",INDEX('Compliance Database'!$A$2:$A$1960,MATCH(1502,Engine!$C$2:$C$1960,0)))</f>
        <v/>
      </c>
      <c r="B1515" s="8">
        <f>IF(ISNA(MATCH(1502,Engine!$C$2:$C$1960,0)),"",INDEX('Compliance Database'!$B$2:$B$1960,MATCH(1502,Engine!$C$2:$C$1960,0)))</f>
        <v/>
      </c>
      <c r="C1515" s="8">
        <f>IF(ISNA(MATCH(1502,Engine!$C$2:$C$1960,0)),"",INDEX('Compliance Database'!$C$2:$C$1960,MATCH(1502,Engine!$C$2:$C$1960,0)))</f>
        <v/>
      </c>
      <c r="D1515" s="9">
        <f>IF(ISNA(MATCH(1502,Engine!$C$2:$C$1960,0)),"",INDEX('Compliance Database'!$D$2:$D$1960,MATCH(1502,Engine!$C$2:$C$1960,0)))</f>
        <v/>
      </c>
      <c r="E1515" s="8">
        <f>IF(ISNA(MATCH(1502,Engine!$C$2:$C$1960,0)),"",INDEX('Compliance Database'!$E$2:$E$1960,MATCH(1502,Engine!$C$2:$C$1960,0)))</f>
        <v/>
      </c>
      <c r="F1515" s="8">
        <f>IF(ISNA(MATCH(1502,Engine!$C$2:$C$1960,0)),"",INDEX('Compliance Database'!$F$2:$F$1960,MATCH(1502,Engine!$C$2:$C$1960,0)))</f>
        <v/>
      </c>
      <c r="G1515" s="8">
        <f>IF(ISNA(MATCH(1502,Engine!$C$2:$C$1960,0)),"",INDEX('Compliance Database'!$G$2:$G$1960,MATCH(1502,Engine!$C$2:$C$1960,0)))</f>
        <v/>
      </c>
      <c r="H1515" s="9">
        <f>IF(ISNA(MATCH(1502,Engine!$C$2:$C$1960,0)),"",INDEX('Compliance Database'!$H$2:$H$1960,MATCH(1502,Engine!$C$2:$C$1960,0)))</f>
        <v/>
      </c>
      <c r="I1515" s="9">
        <f>IF(ISNA(MATCH(1502,Engine!$C$2:$C$1960,0)),"",INDEX('Compliance Database'!$I$2:$I$1960,MATCH(1502,Engine!$C$2:$C$1960,0)))</f>
        <v/>
      </c>
      <c r="J1515" s="8">
        <f>IF(ISNA(MATCH(1502,Engine!$C$2:$C$1960,0)),"",INDEX('Compliance Database'!$J$2:$J$1960,MATCH(1502,Engine!$C$2:$C$1960,0)))</f>
        <v/>
      </c>
      <c r="K1515" s="9">
        <f>IF(ISNA(MATCH(1502,Engine!$C$2:$C$1960,0)),"",INDEX('Compliance Database'!$K$2:$K$1960,MATCH(1502,Engine!$C$2:$C$1960,0)))</f>
        <v/>
      </c>
      <c r="L1515" s="9">
        <f>IF(ISNA(MATCH(1502,Engine!$C$2:$C$1960,0)),"",INDEX('Compliance Database'!$L$2:$L$1960,MATCH(1502,Engine!$C$2:$C$1960,0)))</f>
        <v/>
      </c>
      <c r="M1515" s="9">
        <f>IF(ISNA(MATCH(1502,Engine!$C$2:$C$1960,0)),"",INDEX('Compliance Database'!$M$2:$M$1960,MATCH(1502,Engine!$C$2:$C$1960,0)))</f>
        <v/>
      </c>
      <c r="N1515" s="9">
        <f>IF(ISNA(MATCH(1502,Engine!$C$2:$C$1960,0)),"",INDEX('Compliance Database'!$N$2:$N$1960,MATCH(1502,Engine!$C$2:$C$1960,0)))</f>
        <v/>
      </c>
      <c r="O1515" s="9">
        <f>IF(ISNA(MATCH(1502,Engine!$C$2:$C$1960,0)),"",INDEX('Compliance Database'!$O$2:$O$1960,MATCH(1502,Engine!$C$2:$C$1960,0)))</f>
        <v/>
      </c>
      <c r="P1515" s="8">
        <f>IF(ISNA(MATCH(1502,Engine!$C$2:$C$1960,0)),"",HYPERLINK("#Acts!A"&amp;INDEX('Compliance Database'!$P$2:$P$1960,MATCH(1502,Engine!$C$2:$C$1960,0)),"Go to Act"))</f>
        <v/>
      </c>
    </row>
    <row r="1516" ht="158" customHeight="1">
      <c r="A1516" s="8">
        <f>IF(ISNA(MATCH(1503,Engine!$C$2:$C$1960,0)),"",INDEX('Compliance Database'!$A$2:$A$1960,MATCH(1503,Engine!$C$2:$C$1960,0)))</f>
        <v/>
      </c>
      <c r="B1516" s="8">
        <f>IF(ISNA(MATCH(1503,Engine!$C$2:$C$1960,0)),"",INDEX('Compliance Database'!$B$2:$B$1960,MATCH(1503,Engine!$C$2:$C$1960,0)))</f>
        <v/>
      </c>
      <c r="C1516" s="8">
        <f>IF(ISNA(MATCH(1503,Engine!$C$2:$C$1960,0)),"",INDEX('Compliance Database'!$C$2:$C$1960,MATCH(1503,Engine!$C$2:$C$1960,0)))</f>
        <v/>
      </c>
      <c r="D1516" s="9">
        <f>IF(ISNA(MATCH(1503,Engine!$C$2:$C$1960,0)),"",INDEX('Compliance Database'!$D$2:$D$1960,MATCH(1503,Engine!$C$2:$C$1960,0)))</f>
        <v/>
      </c>
      <c r="E1516" s="8">
        <f>IF(ISNA(MATCH(1503,Engine!$C$2:$C$1960,0)),"",INDEX('Compliance Database'!$E$2:$E$1960,MATCH(1503,Engine!$C$2:$C$1960,0)))</f>
        <v/>
      </c>
      <c r="F1516" s="8">
        <f>IF(ISNA(MATCH(1503,Engine!$C$2:$C$1960,0)),"",INDEX('Compliance Database'!$F$2:$F$1960,MATCH(1503,Engine!$C$2:$C$1960,0)))</f>
        <v/>
      </c>
      <c r="G1516" s="8">
        <f>IF(ISNA(MATCH(1503,Engine!$C$2:$C$1960,0)),"",INDEX('Compliance Database'!$G$2:$G$1960,MATCH(1503,Engine!$C$2:$C$1960,0)))</f>
        <v/>
      </c>
      <c r="H1516" s="9">
        <f>IF(ISNA(MATCH(1503,Engine!$C$2:$C$1960,0)),"",INDEX('Compliance Database'!$H$2:$H$1960,MATCH(1503,Engine!$C$2:$C$1960,0)))</f>
        <v/>
      </c>
      <c r="I1516" s="9">
        <f>IF(ISNA(MATCH(1503,Engine!$C$2:$C$1960,0)),"",INDEX('Compliance Database'!$I$2:$I$1960,MATCH(1503,Engine!$C$2:$C$1960,0)))</f>
        <v/>
      </c>
      <c r="J1516" s="8">
        <f>IF(ISNA(MATCH(1503,Engine!$C$2:$C$1960,0)),"",INDEX('Compliance Database'!$J$2:$J$1960,MATCH(1503,Engine!$C$2:$C$1960,0)))</f>
        <v/>
      </c>
      <c r="K1516" s="9">
        <f>IF(ISNA(MATCH(1503,Engine!$C$2:$C$1960,0)),"",INDEX('Compliance Database'!$K$2:$K$1960,MATCH(1503,Engine!$C$2:$C$1960,0)))</f>
        <v/>
      </c>
      <c r="L1516" s="9">
        <f>IF(ISNA(MATCH(1503,Engine!$C$2:$C$1960,0)),"",INDEX('Compliance Database'!$L$2:$L$1960,MATCH(1503,Engine!$C$2:$C$1960,0)))</f>
        <v/>
      </c>
      <c r="M1516" s="9">
        <f>IF(ISNA(MATCH(1503,Engine!$C$2:$C$1960,0)),"",INDEX('Compliance Database'!$M$2:$M$1960,MATCH(1503,Engine!$C$2:$C$1960,0)))</f>
        <v/>
      </c>
      <c r="N1516" s="9">
        <f>IF(ISNA(MATCH(1503,Engine!$C$2:$C$1960,0)),"",INDEX('Compliance Database'!$N$2:$N$1960,MATCH(1503,Engine!$C$2:$C$1960,0)))</f>
        <v/>
      </c>
      <c r="O1516" s="9">
        <f>IF(ISNA(MATCH(1503,Engine!$C$2:$C$1960,0)),"",INDEX('Compliance Database'!$O$2:$O$1960,MATCH(1503,Engine!$C$2:$C$1960,0)))</f>
        <v/>
      </c>
      <c r="P1516" s="8">
        <f>IF(ISNA(MATCH(1503,Engine!$C$2:$C$1960,0)),"",HYPERLINK("#Acts!A"&amp;INDEX('Compliance Database'!$P$2:$P$1960,MATCH(1503,Engine!$C$2:$C$1960,0)),"Go to Act"))</f>
        <v/>
      </c>
    </row>
    <row r="1517" ht="158" customHeight="1">
      <c r="A1517" s="8">
        <f>IF(ISNA(MATCH(1504,Engine!$C$2:$C$1960,0)),"",INDEX('Compliance Database'!$A$2:$A$1960,MATCH(1504,Engine!$C$2:$C$1960,0)))</f>
        <v/>
      </c>
      <c r="B1517" s="8">
        <f>IF(ISNA(MATCH(1504,Engine!$C$2:$C$1960,0)),"",INDEX('Compliance Database'!$B$2:$B$1960,MATCH(1504,Engine!$C$2:$C$1960,0)))</f>
        <v/>
      </c>
      <c r="C1517" s="8">
        <f>IF(ISNA(MATCH(1504,Engine!$C$2:$C$1960,0)),"",INDEX('Compliance Database'!$C$2:$C$1960,MATCH(1504,Engine!$C$2:$C$1960,0)))</f>
        <v/>
      </c>
      <c r="D1517" s="9">
        <f>IF(ISNA(MATCH(1504,Engine!$C$2:$C$1960,0)),"",INDEX('Compliance Database'!$D$2:$D$1960,MATCH(1504,Engine!$C$2:$C$1960,0)))</f>
        <v/>
      </c>
      <c r="E1517" s="8">
        <f>IF(ISNA(MATCH(1504,Engine!$C$2:$C$1960,0)),"",INDEX('Compliance Database'!$E$2:$E$1960,MATCH(1504,Engine!$C$2:$C$1960,0)))</f>
        <v/>
      </c>
      <c r="F1517" s="8">
        <f>IF(ISNA(MATCH(1504,Engine!$C$2:$C$1960,0)),"",INDEX('Compliance Database'!$F$2:$F$1960,MATCH(1504,Engine!$C$2:$C$1960,0)))</f>
        <v/>
      </c>
      <c r="G1517" s="8">
        <f>IF(ISNA(MATCH(1504,Engine!$C$2:$C$1960,0)),"",INDEX('Compliance Database'!$G$2:$G$1960,MATCH(1504,Engine!$C$2:$C$1960,0)))</f>
        <v/>
      </c>
      <c r="H1517" s="9">
        <f>IF(ISNA(MATCH(1504,Engine!$C$2:$C$1960,0)),"",INDEX('Compliance Database'!$H$2:$H$1960,MATCH(1504,Engine!$C$2:$C$1960,0)))</f>
        <v/>
      </c>
      <c r="I1517" s="9">
        <f>IF(ISNA(MATCH(1504,Engine!$C$2:$C$1960,0)),"",INDEX('Compliance Database'!$I$2:$I$1960,MATCH(1504,Engine!$C$2:$C$1960,0)))</f>
        <v/>
      </c>
      <c r="J1517" s="8">
        <f>IF(ISNA(MATCH(1504,Engine!$C$2:$C$1960,0)),"",INDEX('Compliance Database'!$J$2:$J$1960,MATCH(1504,Engine!$C$2:$C$1960,0)))</f>
        <v/>
      </c>
      <c r="K1517" s="9">
        <f>IF(ISNA(MATCH(1504,Engine!$C$2:$C$1960,0)),"",INDEX('Compliance Database'!$K$2:$K$1960,MATCH(1504,Engine!$C$2:$C$1960,0)))</f>
        <v/>
      </c>
      <c r="L1517" s="9">
        <f>IF(ISNA(MATCH(1504,Engine!$C$2:$C$1960,0)),"",INDEX('Compliance Database'!$L$2:$L$1960,MATCH(1504,Engine!$C$2:$C$1960,0)))</f>
        <v/>
      </c>
      <c r="M1517" s="9">
        <f>IF(ISNA(MATCH(1504,Engine!$C$2:$C$1960,0)),"",INDEX('Compliance Database'!$M$2:$M$1960,MATCH(1504,Engine!$C$2:$C$1960,0)))</f>
        <v/>
      </c>
      <c r="N1517" s="9">
        <f>IF(ISNA(MATCH(1504,Engine!$C$2:$C$1960,0)),"",INDEX('Compliance Database'!$N$2:$N$1960,MATCH(1504,Engine!$C$2:$C$1960,0)))</f>
        <v/>
      </c>
      <c r="O1517" s="9">
        <f>IF(ISNA(MATCH(1504,Engine!$C$2:$C$1960,0)),"",INDEX('Compliance Database'!$O$2:$O$1960,MATCH(1504,Engine!$C$2:$C$1960,0)))</f>
        <v/>
      </c>
      <c r="P1517" s="8">
        <f>IF(ISNA(MATCH(1504,Engine!$C$2:$C$1960,0)),"",HYPERLINK("#Acts!A"&amp;INDEX('Compliance Database'!$P$2:$P$1960,MATCH(1504,Engine!$C$2:$C$1960,0)),"Go to Act"))</f>
        <v/>
      </c>
    </row>
    <row r="1518" ht="158" customHeight="1">
      <c r="A1518" s="8">
        <f>IF(ISNA(MATCH(1505,Engine!$C$2:$C$1960,0)),"",INDEX('Compliance Database'!$A$2:$A$1960,MATCH(1505,Engine!$C$2:$C$1960,0)))</f>
        <v/>
      </c>
      <c r="B1518" s="8">
        <f>IF(ISNA(MATCH(1505,Engine!$C$2:$C$1960,0)),"",INDEX('Compliance Database'!$B$2:$B$1960,MATCH(1505,Engine!$C$2:$C$1960,0)))</f>
        <v/>
      </c>
      <c r="C1518" s="8">
        <f>IF(ISNA(MATCH(1505,Engine!$C$2:$C$1960,0)),"",INDEX('Compliance Database'!$C$2:$C$1960,MATCH(1505,Engine!$C$2:$C$1960,0)))</f>
        <v/>
      </c>
      <c r="D1518" s="9">
        <f>IF(ISNA(MATCH(1505,Engine!$C$2:$C$1960,0)),"",INDEX('Compliance Database'!$D$2:$D$1960,MATCH(1505,Engine!$C$2:$C$1960,0)))</f>
        <v/>
      </c>
      <c r="E1518" s="8">
        <f>IF(ISNA(MATCH(1505,Engine!$C$2:$C$1960,0)),"",INDEX('Compliance Database'!$E$2:$E$1960,MATCH(1505,Engine!$C$2:$C$1960,0)))</f>
        <v/>
      </c>
      <c r="F1518" s="8">
        <f>IF(ISNA(MATCH(1505,Engine!$C$2:$C$1960,0)),"",INDEX('Compliance Database'!$F$2:$F$1960,MATCH(1505,Engine!$C$2:$C$1960,0)))</f>
        <v/>
      </c>
      <c r="G1518" s="8">
        <f>IF(ISNA(MATCH(1505,Engine!$C$2:$C$1960,0)),"",INDEX('Compliance Database'!$G$2:$G$1960,MATCH(1505,Engine!$C$2:$C$1960,0)))</f>
        <v/>
      </c>
      <c r="H1518" s="9">
        <f>IF(ISNA(MATCH(1505,Engine!$C$2:$C$1960,0)),"",INDEX('Compliance Database'!$H$2:$H$1960,MATCH(1505,Engine!$C$2:$C$1960,0)))</f>
        <v/>
      </c>
      <c r="I1518" s="9">
        <f>IF(ISNA(MATCH(1505,Engine!$C$2:$C$1960,0)),"",INDEX('Compliance Database'!$I$2:$I$1960,MATCH(1505,Engine!$C$2:$C$1960,0)))</f>
        <v/>
      </c>
      <c r="J1518" s="8">
        <f>IF(ISNA(MATCH(1505,Engine!$C$2:$C$1960,0)),"",INDEX('Compliance Database'!$J$2:$J$1960,MATCH(1505,Engine!$C$2:$C$1960,0)))</f>
        <v/>
      </c>
      <c r="K1518" s="9">
        <f>IF(ISNA(MATCH(1505,Engine!$C$2:$C$1960,0)),"",INDEX('Compliance Database'!$K$2:$K$1960,MATCH(1505,Engine!$C$2:$C$1960,0)))</f>
        <v/>
      </c>
      <c r="L1518" s="9">
        <f>IF(ISNA(MATCH(1505,Engine!$C$2:$C$1960,0)),"",INDEX('Compliance Database'!$L$2:$L$1960,MATCH(1505,Engine!$C$2:$C$1960,0)))</f>
        <v/>
      </c>
      <c r="M1518" s="9">
        <f>IF(ISNA(MATCH(1505,Engine!$C$2:$C$1960,0)),"",INDEX('Compliance Database'!$M$2:$M$1960,MATCH(1505,Engine!$C$2:$C$1960,0)))</f>
        <v/>
      </c>
      <c r="N1518" s="9">
        <f>IF(ISNA(MATCH(1505,Engine!$C$2:$C$1960,0)),"",INDEX('Compliance Database'!$N$2:$N$1960,MATCH(1505,Engine!$C$2:$C$1960,0)))</f>
        <v/>
      </c>
      <c r="O1518" s="9">
        <f>IF(ISNA(MATCH(1505,Engine!$C$2:$C$1960,0)),"",INDEX('Compliance Database'!$O$2:$O$1960,MATCH(1505,Engine!$C$2:$C$1960,0)))</f>
        <v/>
      </c>
      <c r="P1518" s="8">
        <f>IF(ISNA(MATCH(1505,Engine!$C$2:$C$1960,0)),"",HYPERLINK("#Acts!A"&amp;INDEX('Compliance Database'!$P$2:$P$1960,MATCH(1505,Engine!$C$2:$C$1960,0)),"Go to Act"))</f>
        <v/>
      </c>
    </row>
    <row r="1519" ht="158" customHeight="1">
      <c r="A1519" s="8">
        <f>IF(ISNA(MATCH(1506,Engine!$C$2:$C$1960,0)),"",INDEX('Compliance Database'!$A$2:$A$1960,MATCH(1506,Engine!$C$2:$C$1960,0)))</f>
        <v/>
      </c>
      <c r="B1519" s="8">
        <f>IF(ISNA(MATCH(1506,Engine!$C$2:$C$1960,0)),"",INDEX('Compliance Database'!$B$2:$B$1960,MATCH(1506,Engine!$C$2:$C$1960,0)))</f>
        <v/>
      </c>
      <c r="C1519" s="8">
        <f>IF(ISNA(MATCH(1506,Engine!$C$2:$C$1960,0)),"",INDEX('Compliance Database'!$C$2:$C$1960,MATCH(1506,Engine!$C$2:$C$1960,0)))</f>
        <v/>
      </c>
      <c r="D1519" s="9">
        <f>IF(ISNA(MATCH(1506,Engine!$C$2:$C$1960,0)),"",INDEX('Compliance Database'!$D$2:$D$1960,MATCH(1506,Engine!$C$2:$C$1960,0)))</f>
        <v/>
      </c>
      <c r="E1519" s="8">
        <f>IF(ISNA(MATCH(1506,Engine!$C$2:$C$1960,0)),"",INDEX('Compliance Database'!$E$2:$E$1960,MATCH(1506,Engine!$C$2:$C$1960,0)))</f>
        <v/>
      </c>
      <c r="F1519" s="8">
        <f>IF(ISNA(MATCH(1506,Engine!$C$2:$C$1960,0)),"",INDEX('Compliance Database'!$F$2:$F$1960,MATCH(1506,Engine!$C$2:$C$1960,0)))</f>
        <v/>
      </c>
      <c r="G1519" s="8">
        <f>IF(ISNA(MATCH(1506,Engine!$C$2:$C$1960,0)),"",INDEX('Compliance Database'!$G$2:$G$1960,MATCH(1506,Engine!$C$2:$C$1960,0)))</f>
        <v/>
      </c>
      <c r="H1519" s="9">
        <f>IF(ISNA(MATCH(1506,Engine!$C$2:$C$1960,0)),"",INDEX('Compliance Database'!$H$2:$H$1960,MATCH(1506,Engine!$C$2:$C$1960,0)))</f>
        <v/>
      </c>
      <c r="I1519" s="9">
        <f>IF(ISNA(MATCH(1506,Engine!$C$2:$C$1960,0)),"",INDEX('Compliance Database'!$I$2:$I$1960,MATCH(1506,Engine!$C$2:$C$1960,0)))</f>
        <v/>
      </c>
      <c r="J1519" s="8">
        <f>IF(ISNA(MATCH(1506,Engine!$C$2:$C$1960,0)),"",INDEX('Compliance Database'!$J$2:$J$1960,MATCH(1506,Engine!$C$2:$C$1960,0)))</f>
        <v/>
      </c>
      <c r="K1519" s="9">
        <f>IF(ISNA(MATCH(1506,Engine!$C$2:$C$1960,0)),"",INDEX('Compliance Database'!$K$2:$K$1960,MATCH(1506,Engine!$C$2:$C$1960,0)))</f>
        <v/>
      </c>
      <c r="L1519" s="9">
        <f>IF(ISNA(MATCH(1506,Engine!$C$2:$C$1960,0)),"",INDEX('Compliance Database'!$L$2:$L$1960,MATCH(1506,Engine!$C$2:$C$1960,0)))</f>
        <v/>
      </c>
      <c r="M1519" s="9">
        <f>IF(ISNA(MATCH(1506,Engine!$C$2:$C$1960,0)),"",INDEX('Compliance Database'!$M$2:$M$1960,MATCH(1506,Engine!$C$2:$C$1960,0)))</f>
        <v/>
      </c>
      <c r="N1519" s="9">
        <f>IF(ISNA(MATCH(1506,Engine!$C$2:$C$1960,0)),"",INDEX('Compliance Database'!$N$2:$N$1960,MATCH(1506,Engine!$C$2:$C$1960,0)))</f>
        <v/>
      </c>
      <c r="O1519" s="9">
        <f>IF(ISNA(MATCH(1506,Engine!$C$2:$C$1960,0)),"",INDEX('Compliance Database'!$O$2:$O$1960,MATCH(1506,Engine!$C$2:$C$1960,0)))</f>
        <v/>
      </c>
      <c r="P1519" s="8">
        <f>IF(ISNA(MATCH(1506,Engine!$C$2:$C$1960,0)),"",HYPERLINK("#Acts!A"&amp;INDEX('Compliance Database'!$P$2:$P$1960,MATCH(1506,Engine!$C$2:$C$1960,0)),"Go to Act"))</f>
        <v/>
      </c>
    </row>
    <row r="1520" ht="158" customHeight="1">
      <c r="A1520" s="8">
        <f>IF(ISNA(MATCH(1507,Engine!$C$2:$C$1960,0)),"",INDEX('Compliance Database'!$A$2:$A$1960,MATCH(1507,Engine!$C$2:$C$1960,0)))</f>
        <v/>
      </c>
      <c r="B1520" s="8">
        <f>IF(ISNA(MATCH(1507,Engine!$C$2:$C$1960,0)),"",INDEX('Compliance Database'!$B$2:$B$1960,MATCH(1507,Engine!$C$2:$C$1960,0)))</f>
        <v/>
      </c>
      <c r="C1520" s="8">
        <f>IF(ISNA(MATCH(1507,Engine!$C$2:$C$1960,0)),"",INDEX('Compliance Database'!$C$2:$C$1960,MATCH(1507,Engine!$C$2:$C$1960,0)))</f>
        <v/>
      </c>
      <c r="D1520" s="9">
        <f>IF(ISNA(MATCH(1507,Engine!$C$2:$C$1960,0)),"",INDEX('Compliance Database'!$D$2:$D$1960,MATCH(1507,Engine!$C$2:$C$1960,0)))</f>
        <v/>
      </c>
      <c r="E1520" s="8">
        <f>IF(ISNA(MATCH(1507,Engine!$C$2:$C$1960,0)),"",INDEX('Compliance Database'!$E$2:$E$1960,MATCH(1507,Engine!$C$2:$C$1960,0)))</f>
        <v/>
      </c>
      <c r="F1520" s="8">
        <f>IF(ISNA(MATCH(1507,Engine!$C$2:$C$1960,0)),"",INDEX('Compliance Database'!$F$2:$F$1960,MATCH(1507,Engine!$C$2:$C$1960,0)))</f>
        <v/>
      </c>
      <c r="G1520" s="8">
        <f>IF(ISNA(MATCH(1507,Engine!$C$2:$C$1960,0)),"",INDEX('Compliance Database'!$G$2:$G$1960,MATCH(1507,Engine!$C$2:$C$1960,0)))</f>
        <v/>
      </c>
      <c r="H1520" s="9">
        <f>IF(ISNA(MATCH(1507,Engine!$C$2:$C$1960,0)),"",INDEX('Compliance Database'!$H$2:$H$1960,MATCH(1507,Engine!$C$2:$C$1960,0)))</f>
        <v/>
      </c>
      <c r="I1520" s="9">
        <f>IF(ISNA(MATCH(1507,Engine!$C$2:$C$1960,0)),"",INDEX('Compliance Database'!$I$2:$I$1960,MATCH(1507,Engine!$C$2:$C$1960,0)))</f>
        <v/>
      </c>
      <c r="J1520" s="8">
        <f>IF(ISNA(MATCH(1507,Engine!$C$2:$C$1960,0)),"",INDEX('Compliance Database'!$J$2:$J$1960,MATCH(1507,Engine!$C$2:$C$1960,0)))</f>
        <v/>
      </c>
      <c r="K1520" s="9">
        <f>IF(ISNA(MATCH(1507,Engine!$C$2:$C$1960,0)),"",INDEX('Compliance Database'!$K$2:$K$1960,MATCH(1507,Engine!$C$2:$C$1960,0)))</f>
        <v/>
      </c>
      <c r="L1520" s="9">
        <f>IF(ISNA(MATCH(1507,Engine!$C$2:$C$1960,0)),"",INDEX('Compliance Database'!$L$2:$L$1960,MATCH(1507,Engine!$C$2:$C$1960,0)))</f>
        <v/>
      </c>
      <c r="M1520" s="9">
        <f>IF(ISNA(MATCH(1507,Engine!$C$2:$C$1960,0)),"",INDEX('Compliance Database'!$M$2:$M$1960,MATCH(1507,Engine!$C$2:$C$1960,0)))</f>
        <v/>
      </c>
      <c r="N1520" s="9">
        <f>IF(ISNA(MATCH(1507,Engine!$C$2:$C$1960,0)),"",INDEX('Compliance Database'!$N$2:$N$1960,MATCH(1507,Engine!$C$2:$C$1960,0)))</f>
        <v/>
      </c>
      <c r="O1520" s="9">
        <f>IF(ISNA(MATCH(1507,Engine!$C$2:$C$1960,0)),"",INDEX('Compliance Database'!$O$2:$O$1960,MATCH(1507,Engine!$C$2:$C$1960,0)))</f>
        <v/>
      </c>
      <c r="P1520" s="8">
        <f>IF(ISNA(MATCH(1507,Engine!$C$2:$C$1960,0)),"",HYPERLINK("#Acts!A"&amp;INDEX('Compliance Database'!$P$2:$P$1960,MATCH(1507,Engine!$C$2:$C$1960,0)),"Go to Act"))</f>
        <v/>
      </c>
    </row>
    <row r="1521" ht="158" customHeight="1">
      <c r="A1521" s="8">
        <f>IF(ISNA(MATCH(1508,Engine!$C$2:$C$1960,0)),"",INDEX('Compliance Database'!$A$2:$A$1960,MATCH(1508,Engine!$C$2:$C$1960,0)))</f>
        <v/>
      </c>
      <c r="B1521" s="8">
        <f>IF(ISNA(MATCH(1508,Engine!$C$2:$C$1960,0)),"",INDEX('Compliance Database'!$B$2:$B$1960,MATCH(1508,Engine!$C$2:$C$1960,0)))</f>
        <v/>
      </c>
      <c r="C1521" s="8">
        <f>IF(ISNA(MATCH(1508,Engine!$C$2:$C$1960,0)),"",INDEX('Compliance Database'!$C$2:$C$1960,MATCH(1508,Engine!$C$2:$C$1960,0)))</f>
        <v/>
      </c>
      <c r="D1521" s="9">
        <f>IF(ISNA(MATCH(1508,Engine!$C$2:$C$1960,0)),"",INDEX('Compliance Database'!$D$2:$D$1960,MATCH(1508,Engine!$C$2:$C$1960,0)))</f>
        <v/>
      </c>
      <c r="E1521" s="8">
        <f>IF(ISNA(MATCH(1508,Engine!$C$2:$C$1960,0)),"",INDEX('Compliance Database'!$E$2:$E$1960,MATCH(1508,Engine!$C$2:$C$1960,0)))</f>
        <v/>
      </c>
      <c r="F1521" s="8">
        <f>IF(ISNA(MATCH(1508,Engine!$C$2:$C$1960,0)),"",INDEX('Compliance Database'!$F$2:$F$1960,MATCH(1508,Engine!$C$2:$C$1960,0)))</f>
        <v/>
      </c>
      <c r="G1521" s="8">
        <f>IF(ISNA(MATCH(1508,Engine!$C$2:$C$1960,0)),"",INDEX('Compliance Database'!$G$2:$G$1960,MATCH(1508,Engine!$C$2:$C$1960,0)))</f>
        <v/>
      </c>
      <c r="H1521" s="9">
        <f>IF(ISNA(MATCH(1508,Engine!$C$2:$C$1960,0)),"",INDEX('Compliance Database'!$H$2:$H$1960,MATCH(1508,Engine!$C$2:$C$1960,0)))</f>
        <v/>
      </c>
      <c r="I1521" s="9">
        <f>IF(ISNA(MATCH(1508,Engine!$C$2:$C$1960,0)),"",INDEX('Compliance Database'!$I$2:$I$1960,MATCH(1508,Engine!$C$2:$C$1960,0)))</f>
        <v/>
      </c>
      <c r="J1521" s="8">
        <f>IF(ISNA(MATCH(1508,Engine!$C$2:$C$1960,0)),"",INDEX('Compliance Database'!$J$2:$J$1960,MATCH(1508,Engine!$C$2:$C$1960,0)))</f>
        <v/>
      </c>
      <c r="K1521" s="9">
        <f>IF(ISNA(MATCH(1508,Engine!$C$2:$C$1960,0)),"",INDEX('Compliance Database'!$K$2:$K$1960,MATCH(1508,Engine!$C$2:$C$1960,0)))</f>
        <v/>
      </c>
      <c r="L1521" s="9">
        <f>IF(ISNA(MATCH(1508,Engine!$C$2:$C$1960,0)),"",INDEX('Compliance Database'!$L$2:$L$1960,MATCH(1508,Engine!$C$2:$C$1960,0)))</f>
        <v/>
      </c>
      <c r="M1521" s="9">
        <f>IF(ISNA(MATCH(1508,Engine!$C$2:$C$1960,0)),"",INDEX('Compliance Database'!$M$2:$M$1960,MATCH(1508,Engine!$C$2:$C$1960,0)))</f>
        <v/>
      </c>
      <c r="N1521" s="9">
        <f>IF(ISNA(MATCH(1508,Engine!$C$2:$C$1960,0)),"",INDEX('Compliance Database'!$N$2:$N$1960,MATCH(1508,Engine!$C$2:$C$1960,0)))</f>
        <v/>
      </c>
      <c r="O1521" s="9">
        <f>IF(ISNA(MATCH(1508,Engine!$C$2:$C$1960,0)),"",INDEX('Compliance Database'!$O$2:$O$1960,MATCH(1508,Engine!$C$2:$C$1960,0)))</f>
        <v/>
      </c>
      <c r="P1521" s="8">
        <f>IF(ISNA(MATCH(1508,Engine!$C$2:$C$1960,0)),"",HYPERLINK("#Acts!A"&amp;INDEX('Compliance Database'!$P$2:$P$1960,MATCH(1508,Engine!$C$2:$C$1960,0)),"Go to Act"))</f>
        <v/>
      </c>
    </row>
    <row r="1522" ht="158" customHeight="1">
      <c r="A1522" s="8">
        <f>IF(ISNA(MATCH(1509,Engine!$C$2:$C$1960,0)),"",INDEX('Compliance Database'!$A$2:$A$1960,MATCH(1509,Engine!$C$2:$C$1960,0)))</f>
        <v/>
      </c>
      <c r="B1522" s="8">
        <f>IF(ISNA(MATCH(1509,Engine!$C$2:$C$1960,0)),"",INDEX('Compliance Database'!$B$2:$B$1960,MATCH(1509,Engine!$C$2:$C$1960,0)))</f>
        <v/>
      </c>
      <c r="C1522" s="8">
        <f>IF(ISNA(MATCH(1509,Engine!$C$2:$C$1960,0)),"",INDEX('Compliance Database'!$C$2:$C$1960,MATCH(1509,Engine!$C$2:$C$1960,0)))</f>
        <v/>
      </c>
      <c r="D1522" s="9">
        <f>IF(ISNA(MATCH(1509,Engine!$C$2:$C$1960,0)),"",INDEX('Compliance Database'!$D$2:$D$1960,MATCH(1509,Engine!$C$2:$C$1960,0)))</f>
        <v/>
      </c>
      <c r="E1522" s="8">
        <f>IF(ISNA(MATCH(1509,Engine!$C$2:$C$1960,0)),"",INDEX('Compliance Database'!$E$2:$E$1960,MATCH(1509,Engine!$C$2:$C$1960,0)))</f>
        <v/>
      </c>
      <c r="F1522" s="8">
        <f>IF(ISNA(MATCH(1509,Engine!$C$2:$C$1960,0)),"",INDEX('Compliance Database'!$F$2:$F$1960,MATCH(1509,Engine!$C$2:$C$1960,0)))</f>
        <v/>
      </c>
      <c r="G1522" s="8">
        <f>IF(ISNA(MATCH(1509,Engine!$C$2:$C$1960,0)),"",INDEX('Compliance Database'!$G$2:$G$1960,MATCH(1509,Engine!$C$2:$C$1960,0)))</f>
        <v/>
      </c>
      <c r="H1522" s="9">
        <f>IF(ISNA(MATCH(1509,Engine!$C$2:$C$1960,0)),"",INDEX('Compliance Database'!$H$2:$H$1960,MATCH(1509,Engine!$C$2:$C$1960,0)))</f>
        <v/>
      </c>
      <c r="I1522" s="9">
        <f>IF(ISNA(MATCH(1509,Engine!$C$2:$C$1960,0)),"",INDEX('Compliance Database'!$I$2:$I$1960,MATCH(1509,Engine!$C$2:$C$1960,0)))</f>
        <v/>
      </c>
      <c r="J1522" s="8">
        <f>IF(ISNA(MATCH(1509,Engine!$C$2:$C$1960,0)),"",INDEX('Compliance Database'!$J$2:$J$1960,MATCH(1509,Engine!$C$2:$C$1960,0)))</f>
        <v/>
      </c>
      <c r="K1522" s="9">
        <f>IF(ISNA(MATCH(1509,Engine!$C$2:$C$1960,0)),"",INDEX('Compliance Database'!$K$2:$K$1960,MATCH(1509,Engine!$C$2:$C$1960,0)))</f>
        <v/>
      </c>
      <c r="L1522" s="9">
        <f>IF(ISNA(MATCH(1509,Engine!$C$2:$C$1960,0)),"",INDEX('Compliance Database'!$L$2:$L$1960,MATCH(1509,Engine!$C$2:$C$1960,0)))</f>
        <v/>
      </c>
      <c r="M1522" s="9">
        <f>IF(ISNA(MATCH(1509,Engine!$C$2:$C$1960,0)),"",INDEX('Compliance Database'!$M$2:$M$1960,MATCH(1509,Engine!$C$2:$C$1960,0)))</f>
        <v/>
      </c>
      <c r="N1522" s="9">
        <f>IF(ISNA(MATCH(1509,Engine!$C$2:$C$1960,0)),"",INDEX('Compliance Database'!$N$2:$N$1960,MATCH(1509,Engine!$C$2:$C$1960,0)))</f>
        <v/>
      </c>
      <c r="O1522" s="9">
        <f>IF(ISNA(MATCH(1509,Engine!$C$2:$C$1960,0)),"",INDEX('Compliance Database'!$O$2:$O$1960,MATCH(1509,Engine!$C$2:$C$1960,0)))</f>
        <v/>
      </c>
      <c r="P1522" s="8">
        <f>IF(ISNA(MATCH(1509,Engine!$C$2:$C$1960,0)),"",HYPERLINK("#Acts!A"&amp;INDEX('Compliance Database'!$P$2:$P$1960,MATCH(1509,Engine!$C$2:$C$1960,0)),"Go to Act"))</f>
        <v/>
      </c>
    </row>
    <row r="1523" ht="158" customHeight="1">
      <c r="A1523" s="8">
        <f>IF(ISNA(MATCH(1510,Engine!$C$2:$C$1960,0)),"",INDEX('Compliance Database'!$A$2:$A$1960,MATCH(1510,Engine!$C$2:$C$1960,0)))</f>
        <v/>
      </c>
      <c r="B1523" s="8">
        <f>IF(ISNA(MATCH(1510,Engine!$C$2:$C$1960,0)),"",INDEX('Compliance Database'!$B$2:$B$1960,MATCH(1510,Engine!$C$2:$C$1960,0)))</f>
        <v/>
      </c>
      <c r="C1523" s="8">
        <f>IF(ISNA(MATCH(1510,Engine!$C$2:$C$1960,0)),"",INDEX('Compliance Database'!$C$2:$C$1960,MATCH(1510,Engine!$C$2:$C$1960,0)))</f>
        <v/>
      </c>
      <c r="D1523" s="9">
        <f>IF(ISNA(MATCH(1510,Engine!$C$2:$C$1960,0)),"",INDEX('Compliance Database'!$D$2:$D$1960,MATCH(1510,Engine!$C$2:$C$1960,0)))</f>
        <v/>
      </c>
      <c r="E1523" s="8">
        <f>IF(ISNA(MATCH(1510,Engine!$C$2:$C$1960,0)),"",INDEX('Compliance Database'!$E$2:$E$1960,MATCH(1510,Engine!$C$2:$C$1960,0)))</f>
        <v/>
      </c>
      <c r="F1523" s="8">
        <f>IF(ISNA(MATCH(1510,Engine!$C$2:$C$1960,0)),"",INDEX('Compliance Database'!$F$2:$F$1960,MATCH(1510,Engine!$C$2:$C$1960,0)))</f>
        <v/>
      </c>
      <c r="G1523" s="8">
        <f>IF(ISNA(MATCH(1510,Engine!$C$2:$C$1960,0)),"",INDEX('Compliance Database'!$G$2:$G$1960,MATCH(1510,Engine!$C$2:$C$1960,0)))</f>
        <v/>
      </c>
      <c r="H1523" s="9">
        <f>IF(ISNA(MATCH(1510,Engine!$C$2:$C$1960,0)),"",INDEX('Compliance Database'!$H$2:$H$1960,MATCH(1510,Engine!$C$2:$C$1960,0)))</f>
        <v/>
      </c>
      <c r="I1523" s="9">
        <f>IF(ISNA(MATCH(1510,Engine!$C$2:$C$1960,0)),"",INDEX('Compliance Database'!$I$2:$I$1960,MATCH(1510,Engine!$C$2:$C$1960,0)))</f>
        <v/>
      </c>
      <c r="J1523" s="8">
        <f>IF(ISNA(MATCH(1510,Engine!$C$2:$C$1960,0)),"",INDEX('Compliance Database'!$J$2:$J$1960,MATCH(1510,Engine!$C$2:$C$1960,0)))</f>
        <v/>
      </c>
      <c r="K1523" s="9">
        <f>IF(ISNA(MATCH(1510,Engine!$C$2:$C$1960,0)),"",INDEX('Compliance Database'!$K$2:$K$1960,MATCH(1510,Engine!$C$2:$C$1960,0)))</f>
        <v/>
      </c>
      <c r="L1523" s="9">
        <f>IF(ISNA(MATCH(1510,Engine!$C$2:$C$1960,0)),"",INDEX('Compliance Database'!$L$2:$L$1960,MATCH(1510,Engine!$C$2:$C$1960,0)))</f>
        <v/>
      </c>
      <c r="M1523" s="9">
        <f>IF(ISNA(MATCH(1510,Engine!$C$2:$C$1960,0)),"",INDEX('Compliance Database'!$M$2:$M$1960,MATCH(1510,Engine!$C$2:$C$1960,0)))</f>
        <v/>
      </c>
      <c r="N1523" s="9">
        <f>IF(ISNA(MATCH(1510,Engine!$C$2:$C$1960,0)),"",INDEX('Compliance Database'!$N$2:$N$1960,MATCH(1510,Engine!$C$2:$C$1960,0)))</f>
        <v/>
      </c>
      <c r="O1523" s="9">
        <f>IF(ISNA(MATCH(1510,Engine!$C$2:$C$1960,0)),"",INDEX('Compliance Database'!$O$2:$O$1960,MATCH(1510,Engine!$C$2:$C$1960,0)))</f>
        <v/>
      </c>
      <c r="P1523" s="8">
        <f>IF(ISNA(MATCH(1510,Engine!$C$2:$C$1960,0)),"",HYPERLINK("#Acts!A"&amp;INDEX('Compliance Database'!$P$2:$P$1960,MATCH(1510,Engine!$C$2:$C$1960,0)),"Go to Act"))</f>
        <v/>
      </c>
    </row>
    <row r="1524" ht="158" customHeight="1">
      <c r="A1524" s="8">
        <f>IF(ISNA(MATCH(1511,Engine!$C$2:$C$1960,0)),"",INDEX('Compliance Database'!$A$2:$A$1960,MATCH(1511,Engine!$C$2:$C$1960,0)))</f>
        <v/>
      </c>
      <c r="B1524" s="8">
        <f>IF(ISNA(MATCH(1511,Engine!$C$2:$C$1960,0)),"",INDEX('Compliance Database'!$B$2:$B$1960,MATCH(1511,Engine!$C$2:$C$1960,0)))</f>
        <v/>
      </c>
      <c r="C1524" s="8">
        <f>IF(ISNA(MATCH(1511,Engine!$C$2:$C$1960,0)),"",INDEX('Compliance Database'!$C$2:$C$1960,MATCH(1511,Engine!$C$2:$C$1960,0)))</f>
        <v/>
      </c>
      <c r="D1524" s="9">
        <f>IF(ISNA(MATCH(1511,Engine!$C$2:$C$1960,0)),"",INDEX('Compliance Database'!$D$2:$D$1960,MATCH(1511,Engine!$C$2:$C$1960,0)))</f>
        <v/>
      </c>
      <c r="E1524" s="8">
        <f>IF(ISNA(MATCH(1511,Engine!$C$2:$C$1960,0)),"",INDEX('Compliance Database'!$E$2:$E$1960,MATCH(1511,Engine!$C$2:$C$1960,0)))</f>
        <v/>
      </c>
      <c r="F1524" s="8">
        <f>IF(ISNA(MATCH(1511,Engine!$C$2:$C$1960,0)),"",INDEX('Compliance Database'!$F$2:$F$1960,MATCH(1511,Engine!$C$2:$C$1960,0)))</f>
        <v/>
      </c>
      <c r="G1524" s="8">
        <f>IF(ISNA(MATCH(1511,Engine!$C$2:$C$1960,0)),"",INDEX('Compliance Database'!$G$2:$G$1960,MATCH(1511,Engine!$C$2:$C$1960,0)))</f>
        <v/>
      </c>
      <c r="H1524" s="9">
        <f>IF(ISNA(MATCH(1511,Engine!$C$2:$C$1960,0)),"",INDEX('Compliance Database'!$H$2:$H$1960,MATCH(1511,Engine!$C$2:$C$1960,0)))</f>
        <v/>
      </c>
      <c r="I1524" s="9">
        <f>IF(ISNA(MATCH(1511,Engine!$C$2:$C$1960,0)),"",INDEX('Compliance Database'!$I$2:$I$1960,MATCH(1511,Engine!$C$2:$C$1960,0)))</f>
        <v/>
      </c>
      <c r="J1524" s="8">
        <f>IF(ISNA(MATCH(1511,Engine!$C$2:$C$1960,0)),"",INDEX('Compliance Database'!$J$2:$J$1960,MATCH(1511,Engine!$C$2:$C$1960,0)))</f>
        <v/>
      </c>
      <c r="K1524" s="9">
        <f>IF(ISNA(MATCH(1511,Engine!$C$2:$C$1960,0)),"",INDEX('Compliance Database'!$K$2:$K$1960,MATCH(1511,Engine!$C$2:$C$1960,0)))</f>
        <v/>
      </c>
      <c r="L1524" s="9">
        <f>IF(ISNA(MATCH(1511,Engine!$C$2:$C$1960,0)),"",INDEX('Compliance Database'!$L$2:$L$1960,MATCH(1511,Engine!$C$2:$C$1960,0)))</f>
        <v/>
      </c>
      <c r="M1524" s="9">
        <f>IF(ISNA(MATCH(1511,Engine!$C$2:$C$1960,0)),"",INDEX('Compliance Database'!$M$2:$M$1960,MATCH(1511,Engine!$C$2:$C$1960,0)))</f>
        <v/>
      </c>
      <c r="N1524" s="9">
        <f>IF(ISNA(MATCH(1511,Engine!$C$2:$C$1960,0)),"",INDEX('Compliance Database'!$N$2:$N$1960,MATCH(1511,Engine!$C$2:$C$1960,0)))</f>
        <v/>
      </c>
      <c r="O1524" s="9">
        <f>IF(ISNA(MATCH(1511,Engine!$C$2:$C$1960,0)),"",INDEX('Compliance Database'!$O$2:$O$1960,MATCH(1511,Engine!$C$2:$C$1960,0)))</f>
        <v/>
      </c>
      <c r="P1524" s="8">
        <f>IF(ISNA(MATCH(1511,Engine!$C$2:$C$1960,0)),"",HYPERLINK("#Acts!A"&amp;INDEX('Compliance Database'!$P$2:$P$1960,MATCH(1511,Engine!$C$2:$C$1960,0)),"Go to Act"))</f>
        <v/>
      </c>
    </row>
    <row r="1525" ht="158" customHeight="1">
      <c r="A1525" s="8">
        <f>IF(ISNA(MATCH(1512,Engine!$C$2:$C$1960,0)),"",INDEX('Compliance Database'!$A$2:$A$1960,MATCH(1512,Engine!$C$2:$C$1960,0)))</f>
        <v/>
      </c>
      <c r="B1525" s="8">
        <f>IF(ISNA(MATCH(1512,Engine!$C$2:$C$1960,0)),"",INDEX('Compliance Database'!$B$2:$B$1960,MATCH(1512,Engine!$C$2:$C$1960,0)))</f>
        <v/>
      </c>
      <c r="C1525" s="8">
        <f>IF(ISNA(MATCH(1512,Engine!$C$2:$C$1960,0)),"",INDEX('Compliance Database'!$C$2:$C$1960,MATCH(1512,Engine!$C$2:$C$1960,0)))</f>
        <v/>
      </c>
      <c r="D1525" s="9">
        <f>IF(ISNA(MATCH(1512,Engine!$C$2:$C$1960,0)),"",INDEX('Compliance Database'!$D$2:$D$1960,MATCH(1512,Engine!$C$2:$C$1960,0)))</f>
        <v/>
      </c>
      <c r="E1525" s="8">
        <f>IF(ISNA(MATCH(1512,Engine!$C$2:$C$1960,0)),"",INDEX('Compliance Database'!$E$2:$E$1960,MATCH(1512,Engine!$C$2:$C$1960,0)))</f>
        <v/>
      </c>
      <c r="F1525" s="8">
        <f>IF(ISNA(MATCH(1512,Engine!$C$2:$C$1960,0)),"",INDEX('Compliance Database'!$F$2:$F$1960,MATCH(1512,Engine!$C$2:$C$1960,0)))</f>
        <v/>
      </c>
      <c r="G1525" s="8">
        <f>IF(ISNA(MATCH(1512,Engine!$C$2:$C$1960,0)),"",INDEX('Compliance Database'!$G$2:$G$1960,MATCH(1512,Engine!$C$2:$C$1960,0)))</f>
        <v/>
      </c>
      <c r="H1525" s="9">
        <f>IF(ISNA(MATCH(1512,Engine!$C$2:$C$1960,0)),"",INDEX('Compliance Database'!$H$2:$H$1960,MATCH(1512,Engine!$C$2:$C$1960,0)))</f>
        <v/>
      </c>
      <c r="I1525" s="9">
        <f>IF(ISNA(MATCH(1512,Engine!$C$2:$C$1960,0)),"",INDEX('Compliance Database'!$I$2:$I$1960,MATCH(1512,Engine!$C$2:$C$1960,0)))</f>
        <v/>
      </c>
      <c r="J1525" s="8">
        <f>IF(ISNA(MATCH(1512,Engine!$C$2:$C$1960,0)),"",INDEX('Compliance Database'!$J$2:$J$1960,MATCH(1512,Engine!$C$2:$C$1960,0)))</f>
        <v/>
      </c>
      <c r="K1525" s="9">
        <f>IF(ISNA(MATCH(1512,Engine!$C$2:$C$1960,0)),"",INDEX('Compliance Database'!$K$2:$K$1960,MATCH(1512,Engine!$C$2:$C$1960,0)))</f>
        <v/>
      </c>
      <c r="L1525" s="9">
        <f>IF(ISNA(MATCH(1512,Engine!$C$2:$C$1960,0)),"",INDEX('Compliance Database'!$L$2:$L$1960,MATCH(1512,Engine!$C$2:$C$1960,0)))</f>
        <v/>
      </c>
      <c r="M1525" s="9">
        <f>IF(ISNA(MATCH(1512,Engine!$C$2:$C$1960,0)),"",INDEX('Compliance Database'!$M$2:$M$1960,MATCH(1512,Engine!$C$2:$C$1960,0)))</f>
        <v/>
      </c>
      <c r="N1525" s="9">
        <f>IF(ISNA(MATCH(1512,Engine!$C$2:$C$1960,0)),"",INDEX('Compliance Database'!$N$2:$N$1960,MATCH(1512,Engine!$C$2:$C$1960,0)))</f>
        <v/>
      </c>
      <c r="O1525" s="9">
        <f>IF(ISNA(MATCH(1512,Engine!$C$2:$C$1960,0)),"",INDEX('Compliance Database'!$O$2:$O$1960,MATCH(1512,Engine!$C$2:$C$1960,0)))</f>
        <v/>
      </c>
      <c r="P1525" s="8">
        <f>IF(ISNA(MATCH(1512,Engine!$C$2:$C$1960,0)),"",HYPERLINK("#Acts!A"&amp;INDEX('Compliance Database'!$P$2:$P$1960,MATCH(1512,Engine!$C$2:$C$1960,0)),"Go to Act"))</f>
        <v/>
      </c>
    </row>
    <row r="1526" ht="158" customHeight="1">
      <c r="A1526" s="8">
        <f>IF(ISNA(MATCH(1513,Engine!$C$2:$C$1960,0)),"",INDEX('Compliance Database'!$A$2:$A$1960,MATCH(1513,Engine!$C$2:$C$1960,0)))</f>
        <v/>
      </c>
      <c r="B1526" s="8">
        <f>IF(ISNA(MATCH(1513,Engine!$C$2:$C$1960,0)),"",INDEX('Compliance Database'!$B$2:$B$1960,MATCH(1513,Engine!$C$2:$C$1960,0)))</f>
        <v/>
      </c>
      <c r="C1526" s="8">
        <f>IF(ISNA(MATCH(1513,Engine!$C$2:$C$1960,0)),"",INDEX('Compliance Database'!$C$2:$C$1960,MATCH(1513,Engine!$C$2:$C$1960,0)))</f>
        <v/>
      </c>
      <c r="D1526" s="9">
        <f>IF(ISNA(MATCH(1513,Engine!$C$2:$C$1960,0)),"",INDEX('Compliance Database'!$D$2:$D$1960,MATCH(1513,Engine!$C$2:$C$1960,0)))</f>
        <v/>
      </c>
      <c r="E1526" s="8">
        <f>IF(ISNA(MATCH(1513,Engine!$C$2:$C$1960,0)),"",INDEX('Compliance Database'!$E$2:$E$1960,MATCH(1513,Engine!$C$2:$C$1960,0)))</f>
        <v/>
      </c>
      <c r="F1526" s="8">
        <f>IF(ISNA(MATCH(1513,Engine!$C$2:$C$1960,0)),"",INDEX('Compliance Database'!$F$2:$F$1960,MATCH(1513,Engine!$C$2:$C$1960,0)))</f>
        <v/>
      </c>
      <c r="G1526" s="8">
        <f>IF(ISNA(MATCH(1513,Engine!$C$2:$C$1960,0)),"",INDEX('Compliance Database'!$G$2:$G$1960,MATCH(1513,Engine!$C$2:$C$1960,0)))</f>
        <v/>
      </c>
      <c r="H1526" s="9">
        <f>IF(ISNA(MATCH(1513,Engine!$C$2:$C$1960,0)),"",INDEX('Compliance Database'!$H$2:$H$1960,MATCH(1513,Engine!$C$2:$C$1960,0)))</f>
        <v/>
      </c>
      <c r="I1526" s="9">
        <f>IF(ISNA(MATCH(1513,Engine!$C$2:$C$1960,0)),"",INDEX('Compliance Database'!$I$2:$I$1960,MATCH(1513,Engine!$C$2:$C$1960,0)))</f>
        <v/>
      </c>
      <c r="J1526" s="8">
        <f>IF(ISNA(MATCH(1513,Engine!$C$2:$C$1960,0)),"",INDEX('Compliance Database'!$J$2:$J$1960,MATCH(1513,Engine!$C$2:$C$1960,0)))</f>
        <v/>
      </c>
      <c r="K1526" s="9">
        <f>IF(ISNA(MATCH(1513,Engine!$C$2:$C$1960,0)),"",INDEX('Compliance Database'!$K$2:$K$1960,MATCH(1513,Engine!$C$2:$C$1960,0)))</f>
        <v/>
      </c>
      <c r="L1526" s="9">
        <f>IF(ISNA(MATCH(1513,Engine!$C$2:$C$1960,0)),"",INDEX('Compliance Database'!$L$2:$L$1960,MATCH(1513,Engine!$C$2:$C$1960,0)))</f>
        <v/>
      </c>
      <c r="M1526" s="9">
        <f>IF(ISNA(MATCH(1513,Engine!$C$2:$C$1960,0)),"",INDEX('Compliance Database'!$M$2:$M$1960,MATCH(1513,Engine!$C$2:$C$1960,0)))</f>
        <v/>
      </c>
      <c r="N1526" s="9">
        <f>IF(ISNA(MATCH(1513,Engine!$C$2:$C$1960,0)),"",INDEX('Compliance Database'!$N$2:$N$1960,MATCH(1513,Engine!$C$2:$C$1960,0)))</f>
        <v/>
      </c>
      <c r="O1526" s="9">
        <f>IF(ISNA(MATCH(1513,Engine!$C$2:$C$1960,0)),"",INDEX('Compliance Database'!$O$2:$O$1960,MATCH(1513,Engine!$C$2:$C$1960,0)))</f>
        <v/>
      </c>
      <c r="P1526" s="8">
        <f>IF(ISNA(MATCH(1513,Engine!$C$2:$C$1960,0)),"",HYPERLINK("#Acts!A"&amp;INDEX('Compliance Database'!$P$2:$P$1960,MATCH(1513,Engine!$C$2:$C$1960,0)),"Go to Act"))</f>
        <v/>
      </c>
    </row>
    <row r="1527" ht="158" customHeight="1">
      <c r="A1527" s="8">
        <f>IF(ISNA(MATCH(1514,Engine!$C$2:$C$1960,0)),"",INDEX('Compliance Database'!$A$2:$A$1960,MATCH(1514,Engine!$C$2:$C$1960,0)))</f>
        <v/>
      </c>
      <c r="B1527" s="8">
        <f>IF(ISNA(MATCH(1514,Engine!$C$2:$C$1960,0)),"",INDEX('Compliance Database'!$B$2:$B$1960,MATCH(1514,Engine!$C$2:$C$1960,0)))</f>
        <v/>
      </c>
      <c r="C1527" s="8">
        <f>IF(ISNA(MATCH(1514,Engine!$C$2:$C$1960,0)),"",INDEX('Compliance Database'!$C$2:$C$1960,MATCH(1514,Engine!$C$2:$C$1960,0)))</f>
        <v/>
      </c>
      <c r="D1527" s="9">
        <f>IF(ISNA(MATCH(1514,Engine!$C$2:$C$1960,0)),"",INDEX('Compliance Database'!$D$2:$D$1960,MATCH(1514,Engine!$C$2:$C$1960,0)))</f>
        <v/>
      </c>
      <c r="E1527" s="8">
        <f>IF(ISNA(MATCH(1514,Engine!$C$2:$C$1960,0)),"",INDEX('Compliance Database'!$E$2:$E$1960,MATCH(1514,Engine!$C$2:$C$1960,0)))</f>
        <v/>
      </c>
      <c r="F1527" s="8">
        <f>IF(ISNA(MATCH(1514,Engine!$C$2:$C$1960,0)),"",INDEX('Compliance Database'!$F$2:$F$1960,MATCH(1514,Engine!$C$2:$C$1960,0)))</f>
        <v/>
      </c>
      <c r="G1527" s="8">
        <f>IF(ISNA(MATCH(1514,Engine!$C$2:$C$1960,0)),"",INDEX('Compliance Database'!$G$2:$G$1960,MATCH(1514,Engine!$C$2:$C$1960,0)))</f>
        <v/>
      </c>
      <c r="H1527" s="9">
        <f>IF(ISNA(MATCH(1514,Engine!$C$2:$C$1960,0)),"",INDEX('Compliance Database'!$H$2:$H$1960,MATCH(1514,Engine!$C$2:$C$1960,0)))</f>
        <v/>
      </c>
      <c r="I1527" s="9">
        <f>IF(ISNA(MATCH(1514,Engine!$C$2:$C$1960,0)),"",INDEX('Compliance Database'!$I$2:$I$1960,MATCH(1514,Engine!$C$2:$C$1960,0)))</f>
        <v/>
      </c>
      <c r="J1527" s="8">
        <f>IF(ISNA(MATCH(1514,Engine!$C$2:$C$1960,0)),"",INDEX('Compliance Database'!$J$2:$J$1960,MATCH(1514,Engine!$C$2:$C$1960,0)))</f>
        <v/>
      </c>
      <c r="K1527" s="9">
        <f>IF(ISNA(MATCH(1514,Engine!$C$2:$C$1960,0)),"",INDEX('Compliance Database'!$K$2:$K$1960,MATCH(1514,Engine!$C$2:$C$1960,0)))</f>
        <v/>
      </c>
      <c r="L1527" s="9">
        <f>IF(ISNA(MATCH(1514,Engine!$C$2:$C$1960,0)),"",INDEX('Compliance Database'!$L$2:$L$1960,MATCH(1514,Engine!$C$2:$C$1960,0)))</f>
        <v/>
      </c>
      <c r="M1527" s="9">
        <f>IF(ISNA(MATCH(1514,Engine!$C$2:$C$1960,0)),"",INDEX('Compliance Database'!$M$2:$M$1960,MATCH(1514,Engine!$C$2:$C$1960,0)))</f>
        <v/>
      </c>
      <c r="N1527" s="9">
        <f>IF(ISNA(MATCH(1514,Engine!$C$2:$C$1960,0)),"",INDEX('Compliance Database'!$N$2:$N$1960,MATCH(1514,Engine!$C$2:$C$1960,0)))</f>
        <v/>
      </c>
      <c r="O1527" s="9">
        <f>IF(ISNA(MATCH(1514,Engine!$C$2:$C$1960,0)),"",INDEX('Compliance Database'!$O$2:$O$1960,MATCH(1514,Engine!$C$2:$C$1960,0)))</f>
        <v/>
      </c>
      <c r="P1527" s="8">
        <f>IF(ISNA(MATCH(1514,Engine!$C$2:$C$1960,0)),"",HYPERLINK("#Acts!A"&amp;INDEX('Compliance Database'!$P$2:$P$1960,MATCH(1514,Engine!$C$2:$C$1960,0)),"Go to Act"))</f>
        <v/>
      </c>
    </row>
    <row r="1528" ht="158" customHeight="1">
      <c r="A1528" s="8">
        <f>IF(ISNA(MATCH(1515,Engine!$C$2:$C$1960,0)),"",INDEX('Compliance Database'!$A$2:$A$1960,MATCH(1515,Engine!$C$2:$C$1960,0)))</f>
        <v/>
      </c>
      <c r="B1528" s="8">
        <f>IF(ISNA(MATCH(1515,Engine!$C$2:$C$1960,0)),"",INDEX('Compliance Database'!$B$2:$B$1960,MATCH(1515,Engine!$C$2:$C$1960,0)))</f>
        <v/>
      </c>
      <c r="C1528" s="8">
        <f>IF(ISNA(MATCH(1515,Engine!$C$2:$C$1960,0)),"",INDEX('Compliance Database'!$C$2:$C$1960,MATCH(1515,Engine!$C$2:$C$1960,0)))</f>
        <v/>
      </c>
      <c r="D1528" s="9">
        <f>IF(ISNA(MATCH(1515,Engine!$C$2:$C$1960,0)),"",INDEX('Compliance Database'!$D$2:$D$1960,MATCH(1515,Engine!$C$2:$C$1960,0)))</f>
        <v/>
      </c>
      <c r="E1528" s="8">
        <f>IF(ISNA(MATCH(1515,Engine!$C$2:$C$1960,0)),"",INDEX('Compliance Database'!$E$2:$E$1960,MATCH(1515,Engine!$C$2:$C$1960,0)))</f>
        <v/>
      </c>
      <c r="F1528" s="8">
        <f>IF(ISNA(MATCH(1515,Engine!$C$2:$C$1960,0)),"",INDEX('Compliance Database'!$F$2:$F$1960,MATCH(1515,Engine!$C$2:$C$1960,0)))</f>
        <v/>
      </c>
      <c r="G1528" s="8">
        <f>IF(ISNA(MATCH(1515,Engine!$C$2:$C$1960,0)),"",INDEX('Compliance Database'!$G$2:$G$1960,MATCH(1515,Engine!$C$2:$C$1960,0)))</f>
        <v/>
      </c>
      <c r="H1528" s="9">
        <f>IF(ISNA(MATCH(1515,Engine!$C$2:$C$1960,0)),"",INDEX('Compliance Database'!$H$2:$H$1960,MATCH(1515,Engine!$C$2:$C$1960,0)))</f>
        <v/>
      </c>
      <c r="I1528" s="9">
        <f>IF(ISNA(MATCH(1515,Engine!$C$2:$C$1960,0)),"",INDEX('Compliance Database'!$I$2:$I$1960,MATCH(1515,Engine!$C$2:$C$1960,0)))</f>
        <v/>
      </c>
      <c r="J1528" s="8">
        <f>IF(ISNA(MATCH(1515,Engine!$C$2:$C$1960,0)),"",INDEX('Compliance Database'!$J$2:$J$1960,MATCH(1515,Engine!$C$2:$C$1960,0)))</f>
        <v/>
      </c>
      <c r="K1528" s="9">
        <f>IF(ISNA(MATCH(1515,Engine!$C$2:$C$1960,0)),"",INDEX('Compliance Database'!$K$2:$K$1960,MATCH(1515,Engine!$C$2:$C$1960,0)))</f>
        <v/>
      </c>
      <c r="L1528" s="9">
        <f>IF(ISNA(MATCH(1515,Engine!$C$2:$C$1960,0)),"",INDEX('Compliance Database'!$L$2:$L$1960,MATCH(1515,Engine!$C$2:$C$1960,0)))</f>
        <v/>
      </c>
      <c r="M1528" s="9">
        <f>IF(ISNA(MATCH(1515,Engine!$C$2:$C$1960,0)),"",INDEX('Compliance Database'!$M$2:$M$1960,MATCH(1515,Engine!$C$2:$C$1960,0)))</f>
        <v/>
      </c>
      <c r="N1528" s="9">
        <f>IF(ISNA(MATCH(1515,Engine!$C$2:$C$1960,0)),"",INDEX('Compliance Database'!$N$2:$N$1960,MATCH(1515,Engine!$C$2:$C$1960,0)))</f>
        <v/>
      </c>
      <c r="O1528" s="9">
        <f>IF(ISNA(MATCH(1515,Engine!$C$2:$C$1960,0)),"",INDEX('Compliance Database'!$O$2:$O$1960,MATCH(1515,Engine!$C$2:$C$1960,0)))</f>
        <v/>
      </c>
      <c r="P1528" s="8">
        <f>IF(ISNA(MATCH(1515,Engine!$C$2:$C$1960,0)),"",HYPERLINK("#Acts!A"&amp;INDEX('Compliance Database'!$P$2:$P$1960,MATCH(1515,Engine!$C$2:$C$1960,0)),"Go to Act"))</f>
        <v/>
      </c>
    </row>
    <row r="1529" ht="158" customHeight="1">
      <c r="A1529" s="8">
        <f>IF(ISNA(MATCH(1516,Engine!$C$2:$C$1960,0)),"",INDEX('Compliance Database'!$A$2:$A$1960,MATCH(1516,Engine!$C$2:$C$1960,0)))</f>
        <v/>
      </c>
      <c r="B1529" s="8">
        <f>IF(ISNA(MATCH(1516,Engine!$C$2:$C$1960,0)),"",INDEX('Compliance Database'!$B$2:$B$1960,MATCH(1516,Engine!$C$2:$C$1960,0)))</f>
        <v/>
      </c>
      <c r="C1529" s="8">
        <f>IF(ISNA(MATCH(1516,Engine!$C$2:$C$1960,0)),"",INDEX('Compliance Database'!$C$2:$C$1960,MATCH(1516,Engine!$C$2:$C$1960,0)))</f>
        <v/>
      </c>
      <c r="D1529" s="9">
        <f>IF(ISNA(MATCH(1516,Engine!$C$2:$C$1960,0)),"",INDEX('Compliance Database'!$D$2:$D$1960,MATCH(1516,Engine!$C$2:$C$1960,0)))</f>
        <v/>
      </c>
      <c r="E1529" s="8">
        <f>IF(ISNA(MATCH(1516,Engine!$C$2:$C$1960,0)),"",INDEX('Compliance Database'!$E$2:$E$1960,MATCH(1516,Engine!$C$2:$C$1960,0)))</f>
        <v/>
      </c>
      <c r="F1529" s="8">
        <f>IF(ISNA(MATCH(1516,Engine!$C$2:$C$1960,0)),"",INDEX('Compliance Database'!$F$2:$F$1960,MATCH(1516,Engine!$C$2:$C$1960,0)))</f>
        <v/>
      </c>
      <c r="G1529" s="8">
        <f>IF(ISNA(MATCH(1516,Engine!$C$2:$C$1960,0)),"",INDEX('Compliance Database'!$G$2:$G$1960,MATCH(1516,Engine!$C$2:$C$1960,0)))</f>
        <v/>
      </c>
      <c r="H1529" s="9">
        <f>IF(ISNA(MATCH(1516,Engine!$C$2:$C$1960,0)),"",INDEX('Compliance Database'!$H$2:$H$1960,MATCH(1516,Engine!$C$2:$C$1960,0)))</f>
        <v/>
      </c>
      <c r="I1529" s="9">
        <f>IF(ISNA(MATCH(1516,Engine!$C$2:$C$1960,0)),"",INDEX('Compliance Database'!$I$2:$I$1960,MATCH(1516,Engine!$C$2:$C$1960,0)))</f>
        <v/>
      </c>
      <c r="J1529" s="8">
        <f>IF(ISNA(MATCH(1516,Engine!$C$2:$C$1960,0)),"",INDEX('Compliance Database'!$J$2:$J$1960,MATCH(1516,Engine!$C$2:$C$1960,0)))</f>
        <v/>
      </c>
      <c r="K1529" s="9">
        <f>IF(ISNA(MATCH(1516,Engine!$C$2:$C$1960,0)),"",INDEX('Compliance Database'!$K$2:$K$1960,MATCH(1516,Engine!$C$2:$C$1960,0)))</f>
        <v/>
      </c>
      <c r="L1529" s="9">
        <f>IF(ISNA(MATCH(1516,Engine!$C$2:$C$1960,0)),"",INDEX('Compliance Database'!$L$2:$L$1960,MATCH(1516,Engine!$C$2:$C$1960,0)))</f>
        <v/>
      </c>
      <c r="M1529" s="9">
        <f>IF(ISNA(MATCH(1516,Engine!$C$2:$C$1960,0)),"",INDEX('Compliance Database'!$M$2:$M$1960,MATCH(1516,Engine!$C$2:$C$1960,0)))</f>
        <v/>
      </c>
      <c r="N1529" s="9">
        <f>IF(ISNA(MATCH(1516,Engine!$C$2:$C$1960,0)),"",INDEX('Compliance Database'!$N$2:$N$1960,MATCH(1516,Engine!$C$2:$C$1960,0)))</f>
        <v/>
      </c>
      <c r="O1529" s="9">
        <f>IF(ISNA(MATCH(1516,Engine!$C$2:$C$1960,0)),"",INDEX('Compliance Database'!$O$2:$O$1960,MATCH(1516,Engine!$C$2:$C$1960,0)))</f>
        <v/>
      </c>
      <c r="P1529" s="8">
        <f>IF(ISNA(MATCH(1516,Engine!$C$2:$C$1960,0)),"",HYPERLINK("#Acts!A"&amp;INDEX('Compliance Database'!$P$2:$P$1960,MATCH(1516,Engine!$C$2:$C$1960,0)),"Go to Act"))</f>
        <v/>
      </c>
    </row>
    <row r="1530" ht="158" customHeight="1">
      <c r="A1530" s="8">
        <f>IF(ISNA(MATCH(1517,Engine!$C$2:$C$1960,0)),"",INDEX('Compliance Database'!$A$2:$A$1960,MATCH(1517,Engine!$C$2:$C$1960,0)))</f>
        <v/>
      </c>
      <c r="B1530" s="8">
        <f>IF(ISNA(MATCH(1517,Engine!$C$2:$C$1960,0)),"",INDEX('Compliance Database'!$B$2:$B$1960,MATCH(1517,Engine!$C$2:$C$1960,0)))</f>
        <v/>
      </c>
      <c r="C1530" s="8">
        <f>IF(ISNA(MATCH(1517,Engine!$C$2:$C$1960,0)),"",INDEX('Compliance Database'!$C$2:$C$1960,MATCH(1517,Engine!$C$2:$C$1960,0)))</f>
        <v/>
      </c>
      <c r="D1530" s="9">
        <f>IF(ISNA(MATCH(1517,Engine!$C$2:$C$1960,0)),"",INDEX('Compliance Database'!$D$2:$D$1960,MATCH(1517,Engine!$C$2:$C$1960,0)))</f>
        <v/>
      </c>
      <c r="E1530" s="8">
        <f>IF(ISNA(MATCH(1517,Engine!$C$2:$C$1960,0)),"",INDEX('Compliance Database'!$E$2:$E$1960,MATCH(1517,Engine!$C$2:$C$1960,0)))</f>
        <v/>
      </c>
      <c r="F1530" s="8">
        <f>IF(ISNA(MATCH(1517,Engine!$C$2:$C$1960,0)),"",INDEX('Compliance Database'!$F$2:$F$1960,MATCH(1517,Engine!$C$2:$C$1960,0)))</f>
        <v/>
      </c>
      <c r="G1530" s="8">
        <f>IF(ISNA(MATCH(1517,Engine!$C$2:$C$1960,0)),"",INDEX('Compliance Database'!$G$2:$G$1960,MATCH(1517,Engine!$C$2:$C$1960,0)))</f>
        <v/>
      </c>
      <c r="H1530" s="9">
        <f>IF(ISNA(MATCH(1517,Engine!$C$2:$C$1960,0)),"",INDEX('Compliance Database'!$H$2:$H$1960,MATCH(1517,Engine!$C$2:$C$1960,0)))</f>
        <v/>
      </c>
      <c r="I1530" s="9">
        <f>IF(ISNA(MATCH(1517,Engine!$C$2:$C$1960,0)),"",INDEX('Compliance Database'!$I$2:$I$1960,MATCH(1517,Engine!$C$2:$C$1960,0)))</f>
        <v/>
      </c>
      <c r="J1530" s="8">
        <f>IF(ISNA(MATCH(1517,Engine!$C$2:$C$1960,0)),"",INDEX('Compliance Database'!$J$2:$J$1960,MATCH(1517,Engine!$C$2:$C$1960,0)))</f>
        <v/>
      </c>
      <c r="K1530" s="9">
        <f>IF(ISNA(MATCH(1517,Engine!$C$2:$C$1960,0)),"",INDEX('Compliance Database'!$K$2:$K$1960,MATCH(1517,Engine!$C$2:$C$1960,0)))</f>
        <v/>
      </c>
      <c r="L1530" s="9">
        <f>IF(ISNA(MATCH(1517,Engine!$C$2:$C$1960,0)),"",INDEX('Compliance Database'!$L$2:$L$1960,MATCH(1517,Engine!$C$2:$C$1960,0)))</f>
        <v/>
      </c>
      <c r="M1530" s="9">
        <f>IF(ISNA(MATCH(1517,Engine!$C$2:$C$1960,0)),"",INDEX('Compliance Database'!$M$2:$M$1960,MATCH(1517,Engine!$C$2:$C$1960,0)))</f>
        <v/>
      </c>
      <c r="N1530" s="9">
        <f>IF(ISNA(MATCH(1517,Engine!$C$2:$C$1960,0)),"",INDEX('Compliance Database'!$N$2:$N$1960,MATCH(1517,Engine!$C$2:$C$1960,0)))</f>
        <v/>
      </c>
      <c r="O1530" s="9">
        <f>IF(ISNA(MATCH(1517,Engine!$C$2:$C$1960,0)),"",INDEX('Compliance Database'!$O$2:$O$1960,MATCH(1517,Engine!$C$2:$C$1960,0)))</f>
        <v/>
      </c>
      <c r="P1530" s="8">
        <f>IF(ISNA(MATCH(1517,Engine!$C$2:$C$1960,0)),"",HYPERLINK("#Acts!A"&amp;INDEX('Compliance Database'!$P$2:$P$1960,MATCH(1517,Engine!$C$2:$C$1960,0)),"Go to Act"))</f>
        <v/>
      </c>
    </row>
    <row r="1531" ht="158" customHeight="1">
      <c r="A1531" s="8">
        <f>IF(ISNA(MATCH(1518,Engine!$C$2:$C$1960,0)),"",INDEX('Compliance Database'!$A$2:$A$1960,MATCH(1518,Engine!$C$2:$C$1960,0)))</f>
        <v/>
      </c>
      <c r="B1531" s="8">
        <f>IF(ISNA(MATCH(1518,Engine!$C$2:$C$1960,0)),"",INDEX('Compliance Database'!$B$2:$B$1960,MATCH(1518,Engine!$C$2:$C$1960,0)))</f>
        <v/>
      </c>
      <c r="C1531" s="8">
        <f>IF(ISNA(MATCH(1518,Engine!$C$2:$C$1960,0)),"",INDEX('Compliance Database'!$C$2:$C$1960,MATCH(1518,Engine!$C$2:$C$1960,0)))</f>
        <v/>
      </c>
      <c r="D1531" s="9">
        <f>IF(ISNA(MATCH(1518,Engine!$C$2:$C$1960,0)),"",INDEX('Compliance Database'!$D$2:$D$1960,MATCH(1518,Engine!$C$2:$C$1960,0)))</f>
        <v/>
      </c>
      <c r="E1531" s="8">
        <f>IF(ISNA(MATCH(1518,Engine!$C$2:$C$1960,0)),"",INDEX('Compliance Database'!$E$2:$E$1960,MATCH(1518,Engine!$C$2:$C$1960,0)))</f>
        <v/>
      </c>
      <c r="F1531" s="8">
        <f>IF(ISNA(MATCH(1518,Engine!$C$2:$C$1960,0)),"",INDEX('Compliance Database'!$F$2:$F$1960,MATCH(1518,Engine!$C$2:$C$1960,0)))</f>
        <v/>
      </c>
      <c r="G1531" s="8">
        <f>IF(ISNA(MATCH(1518,Engine!$C$2:$C$1960,0)),"",INDEX('Compliance Database'!$G$2:$G$1960,MATCH(1518,Engine!$C$2:$C$1960,0)))</f>
        <v/>
      </c>
      <c r="H1531" s="9">
        <f>IF(ISNA(MATCH(1518,Engine!$C$2:$C$1960,0)),"",INDEX('Compliance Database'!$H$2:$H$1960,MATCH(1518,Engine!$C$2:$C$1960,0)))</f>
        <v/>
      </c>
      <c r="I1531" s="9">
        <f>IF(ISNA(MATCH(1518,Engine!$C$2:$C$1960,0)),"",INDEX('Compliance Database'!$I$2:$I$1960,MATCH(1518,Engine!$C$2:$C$1960,0)))</f>
        <v/>
      </c>
      <c r="J1531" s="8">
        <f>IF(ISNA(MATCH(1518,Engine!$C$2:$C$1960,0)),"",INDEX('Compliance Database'!$J$2:$J$1960,MATCH(1518,Engine!$C$2:$C$1960,0)))</f>
        <v/>
      </c>
      <c r="K1531" s="9">
        <f>IF(ISNA(MATCH(1518,Engine!$C$2:$C$1960,0)),"",INDEX('Compliance Database'!$K$2:$K$1960,MATCH(1518,Engine!$C$2:$C$1960,0)))</f>
        <v/>
      </c>
      <c r="L1531" s="9">
        <f>IF(ISNA(MATCH(1518,Engine!$C$2:$C$1960,0)),"",INDEX('Compliance Database'!$L$2:$L$1960,MATCH(1518,Engine!$C$2:$C$1960,0)))</f>
        <v/>
      </c>
      <c r="M1531" s="9">
        <f>IF(ISNA(MATCH(1518,Engine!$C$2:$C$1960,0)),"",INDEX('Compliance Database'!$M$2:$M$1960,MATCH(1518,Engine!$C$2:$C$1960,0)))</f>
        <v/>
      </c>
      <c r="N1531" s="9">
        <f>IF(ISNA(MATCH(1518,Engine!$C$2:$C$1960,0)),"",INDEX('Compliance Database'!$N$2:$N$1960,MATCH(1518,Engine!$C$2:$C$1960,0)))</f>
        <v/>
      </c>
      <c r="O1531" s="9">
        <f>IF(ISNA(MATCH(1518,Engine!$C$2:$C$1960,0)),"",INDEX('Compliance Database'!$O$2:$O$1960,MATCH(1518,Engine!$C$2:$C$1960,0)))</f>
        <v/>
      </c>
      <c r="P1531" s="8">
        <f>IF(ISNA(MATCH(1518,Engine!$C$2:$C$1960,0)),"",HYPERLINK("#Acts!A"&amp;INDEX('Compliance Database'!$P$2:$P$1960,MATCH(1518,Engine!$C$2:$C$1960,0)),"Go to Act"))</f>
        <v/>
      </c>
    </row>
    <row r="1532" ht="158" customHeight="1">
      <c r="A1532" s="8">
        <f>IF(ISNA(MATCH(1519,Engine!$C$2:$C$1960,0)),"",INDEX('Compliance Database'!$A$2:$A$1960,MATCH(1519,Engine!$C$2:$C$1960,0)))</f>
        <v/>
      </c>
      <c r="B1532" s="8">
        <f>IF(ISNA(MATCH(1519,Engine!$C$2:$C$1960,0)),"",INDEX('Compliance Database'!$B$2:$B$1960,MATCH(1519,Engine!$C$2:$C$1960,0)))</f>
        <v/>
      </c>
      <c r="C1532" s="8">
        <f>IF(ISNA(MATCH(1519,Engine!$C$2:$C$1960,0)),"",INDEX('Compliance Database'!$C$2:$C$1960,MATCH(1519,Engine!$C$2:$C$1960,0)))</f>
        <v/>
      </c>
      <c r="D1532" s="9">
        <f>IF(ISNA(MATCH(1519,Engine!$C$2:$C$1960,0)),"",INDEX('Compliance Database'!$D$2:$D$1960,MATCH(1519,Engine!$C$2:$C$1960,0)))</f>
        <v/>
      </c>
      <c r="E1532" s="8">
        <f>IF(ISNA(MATCH(1519,Engine!$C$2:$C$1960,0)),"",INDEX('Compliance Database'!$E$2:$E$1960,MATCH(1519,Engine!$C$2:$C$1960,0)))</f>
        <v/>
      </c>
      <c r="F1532" s="8">
        <f>IF(ISNA(MATCH(1519,Engine!$C$2:$C$1960,0)),"",INDEX('Compliance Database'!$F$2:$F$1960,MATCH(1519,Engine!$C$2:$C$1960,0)))</f>
        <v/>
      </c>
      <c r="G1532" s="8">
        <f>IF(ISNA(MATCH(1519,Engine!$C$2:$C$1960,0)),"",INDEX('Compliance Database'!$G$2:$G$1960,MATCH(1519,Engine!$C$2:$C$1960,0)))</f>
        <v/>
      </c>
      <c r="H1532" s="9">
        <f>IF(ISNA(MATCH(1519,Engine!$C$2:$C$1960,0)),"",INDEX('Compliance Database'!$H$2:$H$1960,MATCH(1519,Engine!$C$2:$C$1960,0)))</f>
        <v/>
      </c>
      <c r="I1532" s="9">
        <f>IF(ISNA(MATCH(1519,Engine!$C$2:$C$1960,0)),"",INDEX('Compliance Database'!$I$2:$I$1960,MATCH(1519,Engine!$C$2:$C$1960,0)))</f>
        <v/>
      </c>
      <c r="J1532" s="8">
        <f>IF(ISNA(MATCH(1519,Engine!$C$2:$C$1960,0)),"",INDEX('Compliance Database'!$J$2:$J$1960,MATCH(1519,Engine!$C$2:$C$1960,0)))</f>
        <v/>
      </c>
      <c r="K1532" s="9">
        <f>IF(ISNA(MATCH(1519,Engine!$C$2:$C$1960,0)),"",INDEX('Compliance Database'!$K$2:$K$1960,MATCH(1519,Engine!$C$2:$C$1960,0)))</f>
        <v/>
      </c>
      <c r="L1532" s="9">
        <f>IF(ISNA(MATCH(1519,Engine!$C$2:$C$1960,0)),"",INDEX('Compliance Database'!$L$2:$L$1960,MATCH(1519,Engine!$C$2:$C$1960,0)))</f>
        <v/>
      </c>
      <c r="M1532" s="9">
        <f>IF(ISNA(MATCH(1519,Engine!$C$2:$C$1960,0)),"",INDEX('Compliance Database'!$M$2:$M$1960,MATCH(1519,Engine!$C$2:$C$1960,0)))</f>
        <v/>
      </c>
      <c r="N1532" s="9">
        <f>IF(ISNA(MATCH(1519,Engine!$C$2:$C$1960,0)),"",INDEX('Compliance Database'!$N$2:$N$1960,MATCH(1519,Engine!$C$2:$C$1960,0)))</f>
        <v/>
      </c>
      <c r="O1532" s="9">
        <f>IF(ISNA(MATCH(1519,Engine!$C$2:$C$1960,0)),"",INDEX('Compliance Database'!$O$2:$O$1960,MATCH(1519,Engine!$C$2:$C$1960,0)))</f>
        <v/>
      </c>
      <c r="P1532" s="8">
        <f>IF(ISNA(MATCH(1519,Engine!$C$2:$C$1960,0)),"",HYPERLINK("#Acts!A"&amp;INDEX('Compliance Database'!$P$2:$P$1960,MATCH(1519,Engine!$C$2:$C$1960,0)),"Go to Act"))</f>
        <v/>
      </c>
    </row>
    <row r="1533" ht="158" customHeight="1">
      <c r="A1533" s="8">
        <f>IF(ISNA(MATCH(1520,Engine!$C$2:$C$1960,0)),"",INDEX('Compliance Database'!$A$2:$A$1960,MATCH(1520,Engine!$C$2:$C$1960,0)))</f>
        <v/>
      </c>
      <c r="B1533" s="8">
        <f>IF(ISNA(MATCH(1520,Engine!$C$2:$C$1960,0)),"",INDEX('Compliance Database'!$B$2:$B$1960,MATCH(1520,Engine!$C$2:$C$1960,0)))</f>
        <v/>
      </c>
      <c r="C1533" s="8">
        <f>IF(ISNA(MATCH(1520,Engine!$C$2:$C$1960,0)),"",INDEX('Compliance Database'!$C$2:$C$1960,MATCH(1520,Engine!$C$2:$C$1960,0)))</f>
        <v/>
      </c>
      <c r="D1533" s="9">
        <f>IF(ISNA(MATCH(1520,Engine!$C$2:$C$1960,0)),"",INDEX('Compliance Database'!$D$2:$D$1960,MATCH(1520,Engine!$C$2:$C$1960,0)))</f>
        <v/>
      </c>
      <c r="E1533" s="8">
        <f>IF(ISNA(MATCH(1520,Engine!$C$2:$C$1960,0)),"",INDEX('Compliance Database'!$E$2:$E$1960,MATCH(1520,Engine!$C$2:$C$1960,0)))</f>
        <v/>
      </c>
      <c r="F1533" s="8">
        <f>IF(ISNA(MATCH(1520,Engine!$C$2:$C$1960,0)),"",INDEX('Compliance Database'!$F$2:$F$1960,MATCH(1520,Engine!$C$2:$C$1960,0)))</f>
        <v/>
      </c>
      <c r="G1533" s="8">
        <f>IF(ISNA(MATCH(1520,Engine!$C$2:$C$1960,0)),"",INDEX('Compliance Database'!$G$2:$G$1960,MATCH(1520,Engine!$C$2:$C$1960,0)))</f>
        <v/>
      </c>
      <c r="H1533" s="9">
        <f>IF(ISNA(MATCH(1520,Engine!$C$2:$C$1960,0)),"",INDEX('Compliance Database'!$H$2:$H$1960,MATCH(1520,Engine!$C$2:$C$1960,0)))</f>
        <v/>
      </c>
      <c r="I1533" s="9">
        <f>IF(ISNA(MATCH(1520,Engine!$C$2:$C$1960,0)),"",INDEX('Compliance Database'!$I$2:$I$1960,MATCH(1520,Engine!$C$2:$C$1960,0)))</f>
        <v/>
      </c>
      <c r="J1533" s="8">
        <f>IF(ISNA(MATCH(1520,Engine!$C$2:$C$1960,0)),"",INDEX('Compliance Database'!$J$2:$J$1960,MATCH(1520,Engine!$C$2:$C$1960,0)))</f>
        <v/>
      </c>
      <c r="K1533" s="9">
        <f>IF(ISNA(MATCH(1520,Engine!$C$2:$C$1960,0)),"",INDEX('Compliance Database'!$K$2:$K$1960,MATCH(1520,Engine!$C$2:$C$1960,0)))</f>
        <v/>
      </c>
      <c r="L1533" s="9">
        <f>IF(ISNA(MATCH(1520,Engine!$C$2:$C$1960,0)),"",INDEX('Compliance Database'!$L$2:$L$1960,MATCH(1520,Engine!$C$2:$C$1960,0)))</f>
        <v/>
      </c>
      <c r="M1533" s="9">
        <f>IF(ISNA(MATCH(1520,Engine!$C$2:$C$1960,0)),"",INDEX('Compliance Database'!$M$2:$M$1960,MATCH(1520,Engine!$C$2:$C$1960,0)))</f>
        <v/>
      </c>
      <c r="N1533" s="9">
        <f>IF(ISNA(MATCH(1520,Engine!$C$2:$C$1960,0)),"",INDEX('Compliance Database'!$N$2:$N$1960,MATCH(1520,Engine!$C$2:$C$1960,0)))</f>
        <v/>
      </c>
      <c r="O1533" s="9">
        <f>IF(ISNA(MATCH(1520,Engine!$C$2:$C$1960,0)),"",INDEX('Compliance Database'!$O$2:$O$1960,MATCH(1520,Engine!$C$2:$C$1960,0)))</f>
        <v/>
      </c>
      <c r="P1533" s="8">
        <f>IF(ISNA(MATCH(1520,Engine!$C$2:$C$1960,0)),"",HYPERLINK("#Acts!A"&amp;INDEX('Compliance Database'!$P$2:$P$1960,MATCH(1520,Engine!$C$2:$C$1960,0)),"Go to Act"))</f>
        <v/>
      </c>
    </row>
    <row r="1534" ht="158" customHeight="1">
      <c r="A1534" s="8">
        <f>IF(ISNA(MATCH(1521,Engine!$C$2:$C$1960,0)),"",INDEX('Compliance Database'!$A$2:$A$1960,MATCH(1521,Engine!$C$2:$C$1960,0)))</f>
        <v/>
      </c>
      <c r="B1534" s="8">
        <f>IF(ISNA(MATCH(1521,Engine!$C$2:$C$1960,0)),"",INDEX('Compliance Database'!$B$2:$B$1960,MATCH(1521,Engine!$C$2:$C$1960,0)))</f>
        <v/>
      </c>
      <c r="C1534" s="8">
        <f>IF(ISNA(MATCH(1521,Engine!$C$2:$C$1960,0)),"",INDEX('Compliance Database'!$C$2:$C$1960,MATCH(1521,Engine!$C$2:$C$1960,0)))</f>
        <v/>
      </c>
      <c r="D1534" s="9">
        <f>IF(ISNA(MATCH(1521,Engine!$C$2:$C$1960,0)),"",INDEX('Compliance Database'!$D$2:$D$1960,MATCH(1521,Engine!$C$2:$C$1960,0)))</f>
        <v/>
      </c>
      <c r="E1534" s="8">
        <f>IF(ISNA(MATCH(1521,Engine!$C$2:$C$1960,0)),"",INDEX('Compliance Database'!$E$2:$E$1960,MATCH(1521,Engine!$C$2:$C$1960,0)))</f>
        <v/>
      </c>
      <c r="F1534" s="8">
        <f>IF(ISNA(MATCH(1521,Engine!$C$2:$C$1960,0)),"",INDEX('Compliance Database'!$F$2:$F$1960,MATCH(1521,Engine!$C$2:$C$1960,0)))</f>
        <v/>
      </c>
      <c r="G1534" s="8">
        <f>IF(ISNA(MATCH(1521,Engine!$C$2:$C$1960,0)),"",INDEX('Compliance Database'!$G$2:$G$1960,MATCH(1521,Engine!$C$2:$C$1960,0)))</f>
        <v/>
      </c>
      <c r="H1534" s="9">
        <f>IF(ISNA(MATCH(1521,Engine!$C$2:$C$1960,0)),"",INDEX('Compliance Database'!$H$2:$H$1960,MATCH(1521,Engine!$C$2:$C$1960,0)))</f>
        <v/>
      </c>
      <c r="I1534" s="9">
        <f>IF(ISNA(MATCH(1521,Engine!$C$2:$C$1960,0)),"",INDEX('Compliance Database'!$I$2:$I$1960,MATCH(1521,Engine!$C$2:$C$1960,0)))</f>
        <v/>
      </c>
      <c r="J1534" s="8">
        <f>IF(ISNA(MATCH(1521,Engine!$C$2:$C$1960,0)),"",INDEX('Compliance Database'!$J$2:$J$1960,MATCH(1521,Engine!$C$2:$C$1960,0)))</f>
        <v/>
      </c>
      <c r="K1534" s="9">
        <f>IF(ISNA(MATCH(1521,Engine!$C$2:$C$1960,0)),"",INDEX('Compliance Database'!$K$2:$K$1960,MATCH(1521,Engine!$C$2:$C$1960,0)))</f>
        <v/>
      </c>
      <c r="L1534" s="9">
        <f>IF(ISNA(MATCH(1521,Engine!$C$2:$C$1960,0)),"",INDEX('Compliance Database'!$L$2:$L$1960,MATCH(1521,Engine!$C$2:$C$1960,0)))</f>
        <v/>
      </c>
      <c r="M1534" s="9">
        <f>IF(ISNA(MATCH(1521,Engine!$C$2:$C$1960,0)),"",INDEX('Compliance Database'!$M$2:$M$1960,MATCH(1521,Engine!$C$2:$C$1960,0)))</f>
        <v/>
      </c>
      <c r="N1534" s="9">
        <f>IF(ISNA(MATCH(1521,Engine!$C$2:$C$1960,0)),"",INDEX('Compliance Database'!$N$2:$N$1960,MATCH(1521,Engine!$C$2:$C$1960,0)))</f>
        <v/>
      </c>
      <c r="O1534" s="9">
        <f>IF(ISNA(MATCH(1521,Engine!$C$2:$C$1960,0)),"",INDEX('Compliance Database'!$O$2:$O$1960,MATCH(1521,Engine!$C$2:$C$1960,0)))</f>
        <v/>
      </c>
      <c r="P1534" s="8">
        <f>IF(ISNA(MATCH(1521,Engine!$C$2:$C$1960,0)),"",HYPERLINK("#Acts!A"&amp;INDEX('Compliance Database'!$P$2:$P$1960,MATCH(1521,Engine!$C$2:$C$1960,0)),"Go to Act"))</f>
        <v/>
      </c>
    </row>
    <row r="1535" ht="158" customHeight="1">
      <c r="A1535" s="8">
        <f>IF(ISNA(MATCH(1522,Engine!$C$2:$C$1960,0)),"",INDEX('Compliance Database'!$A$2:$A$1960,MATCH(1522,Engine!$C$2:$C$1960,0)))</f>
        <v/>
      </c>
      <c r="B1535" s="8">
        <f>IF(ISNA(MATCH(1522,Engine!$C$2:$C$1960,0)),"",INDEX('Compliance Database'!$B$2:$B$1960,MATCH(1522,Engine!$C$2:$C$1960,0)))</f>
        <v/>
      </c>
      <c r="C1535" s="8">
        <f>IF(ISNA(MATCH(1522,Engine!$C$2:$C$1960,0)),"",INDEX('Compliance Database'!$C$2:$C$1960,MATCH(1522,Engine!$C$2:$C$1960,0)))</f>
        <v/>
      </c>
      <c r="D1535" s="9">
        <f>IF(ISNA(MATCH(1522,Engine!$C$2:$C$1960,0)),"",INDEX('Compliance Database'!$D$2:$D$1960,MATCH(1522,Engine!$C$2:$C$1960,0)))</f>
        <v/>
      </c>
      <c r="E1535" s="8">
        <f>IF(ISNA(MATCH(1522,Engine!$C$2:$C$1960,0)),"",INDEX('Compliance Database'!$E$2:$E$1960,MATCH(1522,Engine!$C$2:$C$1960,0)))</f>
        <v/>
      </c>
      <c r="F1535" s="8">
        <f>IF(ISNA(MATCH(1522,Engine!$C$2:$C$1960,0)),"",INDEX('Compliance Database'!$F$2:$F$1960,MATCH(1522,Engine!$C$2:$C$1960,0)))</f>
        <v/>
      </c>
      <c r="G1535" s="8">
        <f>IF(ISNA(MATCH(1522,Engine!$C$2:$C$1960,0)),"",INDEX('Compliance Database'!$G$2:$G$1960,MATCH(1522,Engine!$C$2:$C$1960,0)))</f>
        <v/>
      </c>
      <c r="H1535" s="9">
        <f>IF(ISNA(MATCH(1522,Engine!$C$2:$C$1960,0)),"",INDEX('Compliance Database'!$H$2:$H$1960,MATCH(1522,Engine!$C$2:$C$1960,0)))</f>
        <v/>
      </c>
      <c r="I1535" s="9">
        <f>IF(ISNA(MATCH(1522,Engine!$C$2:$C$1960,0)),"",INDEX('Compliance Database'!$I$2:$I$1960,MATCH(1522,Engine!$C$2:$C$1960,0)))</f>
        <v/>
      </c>
      <c r="J1535" s="8">
        <f>IF(ISNA(MATCH(1522,Engine!$C$2:$C$1960,0)),"",INDEX('Compliance Database'!$J$2:$J$1960,MATCH(1522,Engine!$C$2:$C$1960,0)))</f>
        <v/>
      </c>
      <c r="K1535" s="9">
        <f>IF(ISNA(MATCH(1522,Engine!$C$2:$C$1960,0)),"",INDEX('Compliance Database'!$K$2:$K$1960,MATCH(1522,Engine!$C$2:$C$1960,0)))</f>
        <v/>
      </c>
      <c r="L1535" s="9">
        <f>IF(ISNA(MATCH(1522,Engine!$C$2:$C$1960,0)),"",INDEX('Compliance Database'!$L$2:$L$1960,MATCH(1522,Engine!$C$2:$C$1960,0)))</f>
        <v/>
      </c>
      <c r="M1535" s="9">
        <f>IF(ISNA(MATCH(1522,Engine!$C$2:$C$1960,0)),"",INDEX('Compliance Database'!$M$2:$M$1960,MATCH(1522,Engine!$C$2:$C$1960,0)))</f>
        <v/>
      </c>
      <c r="N1535" s="9">
        <f>IF(ISNA(MATCH(1522,Engine!$C$2:$C$1960,0)),"",INDEX('Compliance Database'!$N$2:$N$1960,MATCH(1522,Engine!$C$2:$C$1960,0)))</f>
        <v/>
      </c>
      <c r="O1535" s="9">
        <f>IF(ISNA(MATCH(1522,Engine!$C$2:$C$1960,0)),"",INDEX('Compliance Database'!$O$2:$O$1960,MATCH(1522,Engine!$C$2:$C$1960,0)))</f>
        <v/>
      </c>
      <c r="P1535" s="8">
        <f>IF(ISNA(MATCH(1522,Engine!$C$2:$C$1960,0)),"",HYPERLINK("#Acts!A"&amp;INDEX('Compliance Database'!$P$2:$P$1960,MATCH(1522,Engine!$C$2:$C$1960,0)),"Go to Act"))</f>
        <v/>
      </c>
    </row>
    <row r="1536" ht="158" customHeight="1">
      <c r="A1536" s="8">
        <f>IF(ISNA(MATCH(1523,Engine!$C$2:$C$1960,0)),"",INDEX('Compliance Database'!$A$2:$A$1960,MATCH(1523,Engine!$C$2:$C$1960,0)))</f>
        <v/>
      </c>
      <c r="B1536" s="8">
        <f>IF(ISNA(MATCH(1523,Engine!$C$2:$C$1960,0)),"",INDEX('Compliance Database'!$B$2:$B$1960,MATCH(1523,Engine!$C$2:$C$1960,0)))</f>
        <v/>
      </c>
      <c r="C1536" s="8">
        <f>IF(ISNA(MATCH(1523,Engine!$C$2:$C$1960,0)),"",INDEX('Compliance Database'!$C$2:$C$1960,MATCH(1523,Engine!$C$2:$C$1960,0)))</f>
        <v/>
      </c>
      <c r="D1536" s="9">
        <f>IF(ISNA(MATCH(1523,Engine!$C$2:$C$1960,0)),"",INDEX('Compliance Database'!$D$2:$D$1960,MATCH(1523,Engine!$C$2:$C$1960,0)))</f>
        <v/>
      </c>
      <c r="E1536" s="8">
        <f>IF(ISNA(MATCH(1523,Engine!$C$2:$C$1960,0)),"",INDEX('Compliance Database'!$E$2:$E$1960,MATCH(1523,Engine!$C$2:$C$1960,0)))</f>
        <v/>
      </c>
      <c r="F1536" s="8">
        <f>IF(ISNA(MATCH(1523,Engine!$C$2:$C$1960,0)),"",INDEX('Compliance Database'!$F$2:$F$1960,MATCH(1523,Engine!$C$2:$C$1960,0)))</f>
        <v/>
      </c>
      <c r="G1536" s="8">
        <f>IF(ISNA(MATCH(1523,Engine!$C$2:$C$1960,0)),"",INDEX('Compliance Database'!$G$2:$G$1960,MATCH(1523,Engine!$C$2:$C$1960,0)))</f>
        <v/>
      </c>
      <c r="H1536" s="9">
        <f>IF(ISNA(MATCH(1523,Engine!$C$2:$C$1960,0)),"",INDEX('Compliance Database'!$H$2:$H$1960,MATCH(1523,Engine!$C$2:$C$1960,0)))</f>
        <v/>
      </c>
      <c r="I1536" s="9">
        <f>IF(ISNA(MATCH(1523,Engine!$C$2:$C$1960,0)),"",INDEX('Compliance Database'!$I$2:$I$1960,MATCH(1523,Engine!$C$2:$C$1960,0)))</f>
        <v/>
      </c>
      <c r="J1536" s="8">
        <f>IF(ISNA(MATCH(1523,Engine!$C$2:$C$1960,0)),"",INDEX('Compliance Database'!$J$2:$J$1960,MATCH(1523,Engine!$C$2:$C$1960,0)))</f>
        <v/>
      </c>
      <c r="K1536" s="9">
        <f>IF(ISNA(MATCH(1523,Engine!$C$2:$C$1960,0)),"",INDEX('Compliance Database'!$K$2:$K$1960,MATCH(1523,Engine!$C$2:$C$1960,0)))</f>
        <v/>
      </c>
      <c r="L1536" s="9">
        <f>IF(ISNA(MATCH(1523,Engine!$C$2:$C$1960,0)),"",INDEX('Compliance Database'!$L$2:$L$1960,MATCH(1523,Engine!$C$2:$C$1960,0)))</f>
        <v/>
      </c>
      <c r="M1536" s="9">
        <f>IF(ISNA(MATCH(1523,Engine!$C$2:$C$1960,0)),"",INDEX('Compliance Database'!$M$2:$M$1960,MATCH(1523,Engine!$C$2:$C$1960,0)))</f>
        <v/>
      </c>
      <c r="N1536" s="9">
        <f>IF(ISNA(MATCH(1523,Engine!$C$2:$C$1960,0)),"",INDEX('Compliance Database'!$N$2:$N$1960,MATCH(1523,Engine!$C$2:$C$1960,0)))</f>
        <v/>
      </c>
      <c r="O1536" s="9">
        <f>IF(ISNA(MATCH(1523,Engine!$C$2:$C$1960,0)),"",INDEX('Compliance Database'!$O$2:$O$1960,MATCH(1523,Engine!$C$2:$C$1960,0)))</f>
        <v/>
      </c>
      <c r="P1536" s="8">
        <f>IF(ISNA(MATCH(1523,Engine!$C$2:$C$1960,0)),"",HYPERLINK("#Acts!A"&amp;INDEX('Compliance Database'!$P$2:$P$1960,MATCH(1523,Engine!$C$2:$C$1960,0)),"Go to Act"))</f>
        <v/>
      </c>
    </row>
    <row r="1537" ht="158" customHeight="1">
      <c r="A1537" s="8">
        <f>IF(ISNA(MATCH(1524,Engine!$C$2:$C$1960,0)),"",INDEX('Compliance Database'!$A$2:$A$1960,MATCH(1524,Engine!$C$2:$C$1960,0)))</f>
        <v/>
      </c>
      <c r="B1537" s="8">
        <f>IF(ISNA(MATCH(1524,Engine!$C$2:$C$1960,0)),"",INDEX('Compliance Database'!$B$2:$B$1960,MATCH(1524,Engine!$C$2:$C$1960,0)))</f>
        <v/>
      </c>
      <c r="C1537" s="8">
        <f>IF(ISNA(MATCH(1524,Engine!$C$2:$C$1960,0)),"",INDEX('Compliance Database'!$C$2:$C$1960,MATCH(1524,Engine!$C$2:$C$1960,0)))</f>
        <v/>
      </c>
      <c r="D1537" s="9">
        <f>IF(ISNA(MATCH(1524,Engine!$C$2:$C$1960,0)),"",INDEX('Compliance Database'!$D$2:$D$1960,MATCH(1524,Engine!$C$2:$C$1960,0)))</f>
        <v/>
      </c>
      <c r="E1537" s="8">
        <f>IF(ISNA(MATCH(1524,Engine!$C$2:$C$1960,0)),"",INDEX('Compliance Database'!$E$2:$E$1960,MATCH(1524,Engine!$C$2:$C$1960,0)))</f>
        <v/>
      </c>
      <c r="F1537" s="8">
        <f>IF(ISNA(MATCH(1524,Engine!$C$2:$C$1960,0)),"",INDEX('Compliance Database'!$F$2:$F$1960,MATCH(1524,Engine!$C$2:$C$1960,0)))</f>
        <v/>
      </c>
      <c r="G1537" s="8">
        <f>IF(ISNA(MATCH(1524,Engine!$C$2:$C$1960,0)),"",INDEX('Compliance Database'!$G$2:$G$1960,MATCH(1524,Engine!$C$2:$C$1960,0)))</f>
        <v/>
      </c>
      <c r="H1537" s="9">
        <f>IF(ISNA(MATCH(1524,Engine!$C$2:$C$1960,0)),"",INDEX('Compliance Database'!$H$2:$H$1960,MATCH(1524,Engine!$C$2:$C$1960,0)))</f>
        <v/>
      </c>
      <c r="I1537" s="9">
        <f>IF(ISNA(MATCH(1524,Engine!$C$2:$C$1960,0)),"",INDEX('Compliance Database'!$I$2:$I$1960,MATCH(1524,Engine!$C$2:$C$1960,0)))</f>
        <v/>
      </c>
      <c r="J1537" s="8">
        <f>IF(ISNA(MATCH(1524,Engine!$C$2:$C$1960,0)),"",INDEX('Compliance Database'!$J$2:$J$1960,MATCH(1524,Engine!$C$2:$C$1960,0)))</f>
        <v/>
      </c>
      <c r="K1537" s="9">
        <f>IF(ISNA(MATCH(1524,Engine!$C$2:$C$1960,0)),"",INDEX('Compliance Database'!$K$2:$K$1960,MATCH(1524,Engine!$C$2:$C$1960,0)))</f>
        <v/>
      </c>
      <c r="L1537" s="9">
        <f>IF(ISNA(MATCH(1524,Engine!$C$2:$C$1960,0)),"",INDEX('Compliance Database'!$L$2:$L$1960,MATCH(1524,Engine!$C$2:$C$1960,0)))</f>
        <v/>
      </c>
      <c r="M1537" s="9">
        <f>IF(ISNA(MATCH(1524,Engine!$C$2:$C$1960,0)),"",INDEX('Compliance Database'!$M$2:$M$1960,MATCH(1524,Engine!$C$2:$C$1960,0)))</f>
        <v/>
      </c>
      <c r="N1537" s="9">
        <f>IF(ISNA(MATCH(1524,Engine!$C$2:$C$1960,0)),"",INDEX('Compliance Database'!$N$2:$N$1960,MATCH(1524,Engine!$C$2:$C$1960,0)))</f>
        <v/>
      </c>
      <c r="O1537" s="9">
        <f>IF(ISNA(MATCH(1524,Engine!$C$2:$C$1960,0)),"",INDEX('Compliance Database'!$O$2:$O$1960,MATCH(1524,Engine!$C$2:$C$1960,0)))</f>
        <v/>
      </c>
      <c r="P1537" s="8">
        <f>IF(ISNA(MATCH(1524,Engine!$C$2:$C$1960,0)),"",HYPERLINK("#Acts!A"&amp;INDEX('Compliance Database'!$P$2:$P$1960,MATCH(1524,Engine!$C$2:$C$1960,0)),"Go to Act"))</f>
        <v/>
      </c>
    </row>
    <row r="1538" ht="158" customHeight="1">
      <c r="A1538" s="8">
        <f>IF(ISNA(MATCH(1525,Engine!$C$2:$C$1960,0)),"",INDEX('Compliance Database'!$A$2:$A$1960,MATCH(1525,Engine!$C$2:$C$1960,0)))</f>
        <v/>
      </c>
      <c r="B1538" s="8">
        <f>IF(ISNA(MATCH(1525,Engine!$C$2:$C$1960,0)),"",INDEX('Compliance Database'!$B$2:$B$1960,MATCH(1525,Engine!$C$2:$C$1960,0)))</f>
        <v/>
      </c>
      <c r="C1538" s="8">
        <f>IF(ISNA(MATCH(1525,Engine!$C$2:$C$1960,0)),"",INDEX('Compliance Database'!$C$2:$C$1960,MATCH(1525,Engine!$C$2:$C$1960,0)))</f>
        <v/>
      </c>
      <c r="D1538" s="9">
        <f>IF(ISNA(MATCH(1525,Engine!$C$2:$C$1960,0)),"",INDEX('Compliance Database'!$D$2:$D$1960,MATCH(1525,Engine!$C$2:$C$1960,0)))</f>
        <v/>
      </c>
      <c r="E1538" s="8">
        <f>IF(ISNA(MATCH(1525,Engine!$C$2:$C$1960,0)),"",INDEX('Compliance Database'!$E$2:$E$1960,MATCH(1525,Engine!$C$2:$C$1960,0)))</f>
        <v/>
      </c>
      <c r="F1538" s="8">
        <f>IF(ISNA(MATCH(1525,Engine!$C$2:$C$1960,0)),"",INDEX('Compliance Database'!$F$2:$F$1960,MATCH(1525,Engine!$C$2:$C$1960,0)))</f>
        <v/>
      </c>
      <c r="G1538" s="8">
        <f>IF(ISNA(MATCH(1525,Engine!$C$2:$C$1960,0)),"",INDEX('Compliance Database'!$G$2:$G$1960,MATCH(1525,Engine!$C$2:$C$1960,0)))</f>
        <v/>
      </c>
      <c r="H1538" s="9">
        <f>IF(ISNA(MATCH(1525,Engine!$C$2:$C$1960,0)),"",INDEX('Compliance Database'!$H$2:$H$1960,MATCH(1525,Engine!$C$2:$C$1960,0)))</f>
        <v/>
      </c>
      <c r="I1538" s="9">
        <f>IF(ISNA(MATCH(1525,Engine!$C$2:$C$1960,0)),"",INDEX('Compliance Database'!$I$2:$I$1960,MATCH(1525,Engine!$C$2:$C$1960,0)))</f>
        <v/>
      </c>
      <c r="J1538" s="8">
        <f>IF(ISNA(MATCH(1525,Engine!$C$2:$C$1960,0)),"",INDEX('Compliance Database'!$J$2:$J$1960,MATCH(1525,Engine!$C$2:$C$1960,0)))</f>
        <v/>
      </c>
      <c r="K1538" s="9">
        <f>IF(ISNA(MATCH(1525,Engine!$C$2:$C$1960,0)),"",INDEX('Compliance Database'!$K$2:$K$1960,MATCH(1525,Engine!$C$2:$C$1960,0)))</f>
        <v/>
      </c>
      <c r="L1538" s="9">
        <f>IF(ISNA(MATCH(1525,Engine!$C$2:$C$1960,0)),"",INDEX('Compliance Database'!$L$2:$L$1960,MATCH(1525,Engine!$C$2:$C$1960,0)))</f>
        <v/>
      </c>
      <c r="M1538" s="9">
        <f>IF(ISNA(MATCH(1525,Engine!$C$2:$C$1960,0)),"",INDEX('Compliance Database'!$M$2:$M$1960,MATCH(1525,Engine!$C$2:$C$1960,0)))</f>
        <v/>
      </c>
      <c r="N1538" s="9">
        <f>IF(ISNA(MATCH(1525,Engine!$C$2:$C$1960,0)),"",INDEX('Compliance Database'!$N$2:$N$1960,MATCH(1525,Engine!$C$2:$C$1960,0)))</f>
        <v/>
      </c>
      <c r="O1538" s="9">
        <f>IF(ISNA(MATCH(1525,Engine!$C$2:$C$1960,0)),"",INDEX('Compliance Database'!$O$2:$O$1960,MATCH(1525,Engine!$C$2:$C$1960,0)))</f>
        <v/>
      </c>
      <c r="P1538" s="8">
        <f>IF(ISNA(MATCH(1525,Engine!$C$2:$C$1960,0)),"",HYPERLINK("#Acts!A"&amp;INDEX('Compliance Database'!$P$2:$P$1960,MATCH(1525,Engine!$C$2:$C$1960,0)),"Go to Act"))</f>
        <v/>
      </c>
    </row>
    <row r="1539" ht="158" customHeight="1">
      <c r="A1539" s="8">
        <f>IF(ISNA(MATCH(1526,Engine!$C$2:$C$1960,0)),"",INDEX('Compliance Database'!$A$2:$A$1960,MATCH(1526,Engine!$C$2:$C$1960,0)))</f>
        <v/>
      </c>
      <c r="B1539" s="8">
        <f>IF(ISNA(MATCH(1526,Engine!$C$2:$C$1960,0)),"",INDEX('Compliance Database'!$B$2:$B$1960,MATCH(1526,Engine!$C$2:$C$1960,0)))</f>
        <v/>
      </c>
      <c r="C1539" s="8">
        <f>IF(ISNA(MATCH(1526,Engine!$C$2:$C$1960,0)),"",INDEX('Compliance Database'!$C$2:$C$1960,MATCH(1526,Engine!$C$2:$C$1960,0)))</f>
        <v/>
      </c>
      <c r="D1539" s="9">
        <f>IF(ISNA(MATCH(1526,Engine!$C$2:$C$1960,0)),"",INDEX('Compliance Database'!$D$2:$D$1960,MATCH(1526,Engine!$C$2:$C$1960,0)))</f>
        <v/>
      </c>
      <c r="E1539" s="8">
        <f>IF(ISNA(MATCH(1526,Engine!$C$2:$C$1960,0)),"",INDEX('Compliance Database'!$E$2:$E$1960,MATCH(1526,Engine!$C$2:$C$1960,0)))</f>
        <v/>
      </c>
      <c r="F1539" s="8">
        <f>IF(ISNA(MATCH(1526,Engine!$C$2:$C$1960,0)),"",INDEX('Compliance Database'!$F$2:$F$1960,MATCH(1526,Engine!$C$2:$C$1960,0)))</f>
        <v/>
      </c>
      <c r="G1539" s="8">
        <f>IF(ISNA(MATCH(1526,Engine!$C$2:$C$1960,0)),"",INDEX('Compliance Database'!$G$2:$G$1960,MATCH(1526,Engine!$C$2:$C$1960,0)))</f>
        <v/>
      </c>
      <c r="H1539" s="9">
        <f>IF(ISNA(MATCH(1526,Engine!$C$2:$C$1960,0)),"",INDEX('Compliance Database'!$H$2:$H$1960,MATCH(1526,Engine!$C$2:$C$1960,0)))</f>
        <v/>
      </c>
      <c r="I1539" s="9">
        <f>IF(ISNA(MATCH(1526,Engine!$C$2:$C$1960,0)),"",INDEX('Compliance Database'!$I$2:$I$1960,MATCH(1526,Engine!$C$2:$C$1960,0)))</f>
        <v/>
      </c>
      <c r="J1539" s="8">
        <f>IF(ISNA(MATCH(1526,Engine!$C$2:$C$1960,0)),"",INDEX('Compliance Database'!$J$2:$J$1960,MATCH(1526,Engine!$C$2:$C$1960,0)))</f>
        <v/>
      </c>
      <c r="K1539" s="9">
        <f>IF(ISNA(MATCH(1526,Engine!$C$2:$C$1960,0)),"",INDEX('Compliance Database'!$K$2:$K$1960,MATCH(1526,Engine!$C$2:$C$1960,0)))</f>
        <v/>
      </c>
      <c r="L1539" s="9">
        <f>IF(ISNA(MATCH(1526,Engine!$C$2:$C$1960,0)),"",INDEX('Compliance Database'!$L$2:$L$1960,MATCH(1526,Engine!$C$2:$C$1960,0)))</f>
        <v/>
      </c>
      <c r="M1539" s="9">
        <f>IF(ISNA(MATCH(1526,Engine!$C$2:$C$1960,0)),"",INDEX('Compliance Database'!$M$2:$M$1960,MATCH(1526,Engine!$C$2:$C$1960,0)))</f>
        <v/>
      </c>
      <c r="N1539" s="9">
        <f>IF(ISNA(MATCH(1526,Engine!$C$2:$C$1960,0)),"",INDEX('Compliance Database'!$N$2:$N$1960,MATCH(1526,Engine!$C$2:$C$1960,0)))</f>
        <v/>
      </c>
      <c r="O1539" s="9">
        <f>IF(ISNA(MATCH(1526,Engine!$C$2:$C$1960,0)),"",INDEX('Compliance Database'!$O$2:$O$1960,MATCH(1526,Engine!$C$2:$C$1960,0)))</f>
        <v/>
      </c>
      <c r="P1539" s="8">
        <f>IF(ISNA(MATCH(1526,Engine!$C$2:$C$1960,0)),"",HYPERLINK("#Acts!A"&amp;INDEX('Compliance Database'!$P$2:$P$1960,MATCH(1526,Engine!$C$2:$C$1960,0)),"Go to Act"))</f>
        <v/>
      </c>
    </row>
    <row r="1540" ht="158" customHeight="1">
      <c r="A1540" s="8">
        <f>IF(ISNA(MATCH(1527,Engine!$C$2:$C$1960,0)),"",INDEX('Compliance Database'!$A$2:$A$1960,MATCH(1527,Engine!$C$2:$C$1960,0)))</f>
        <v/>
      </c>
      <c r="B1540" s="8">
        <f>IF(ISNA(MATCH(1527,Engine!$C$2:$C$1960,0)),"",INDEX('Compliance Database'!$B$2:$B$1960,MATCH(1527,Engine!$C$2:$C$1960,0)))</f>
        <v/>
      </c>
      <c r="C1540" s="8">
        <f>IF(ISNA(MATCH(1527,Engine!$C$2:$C$1960,0)),"",INDEX('Compliance Database'!$C$2:$C$1960,MATCH(1527,Engine!$C$2:$C$1960,0)))</f>
        <v/>
      </c>
      <c r="D1540" s="9">
        <f>IF(ISNA(MATCH(1527,Engine!$C$2:$C$1960,0)),"",INDEX('Compliance Database'!$D$2:$D$1960,MATCH(1527,Engine!$C$2:$C$1960,0)))</f>
        <v/>
      </c>
      <c r="E1540" s="8">
        <f>IF(ISNA(MATCH(1527,Engine!$C$2:$C$1960,0)),"",INDEX('Compliance Database'!$E$2:$E$1960,MATCH(1527,Engine!$C$2:$C$1960,0)))</f>
        <v/>
      </c>
      <c r="F1540" s="8">
        <f>IF(ISNA(MATCH(1527,Engine!$C$2:$C$1960,0)),"",INDEX('Compliance Database'!$F$2:$F$1960,MATCH(1527,Engine!$C$2:$C$1960,0)))</f>
        <v/>
      </c>
      <c r="G1540" s="8">
        <f>IF(ISNA(MATCH(1527,Engine!$C$2:$C$1960,0)),"",INDEX('Compliance Database'!$G$2:$G$1960,MATCH(1527,Engine!$C$2:$C$1960,0)))</f>
        <v/>
      </c>
      <c r="H1540" s="9">
        <f>IF(ISNA(MATCH(1527,Engine!$C$2:$C$1960,0)),"",INDEX('Compliance Database'!$H$2:$H$1960,MATCH(1527,Engine!$C$2:$C$1960,0)))</f>
        <v/>
      </c>
      <c r="I1540" s="9">
        <f>IF(ISNA(MATCH(1527,Engine!$C$2:$C$1960,0)),"",INDEX('Compliance Database'!$I$2:$I$1960,MATCH(1527,Engine!$C$2:$C$1960,0)))</f>
        <v/>
      </c>
      <c r="J1540" s="8">
        <f>IF(ISNA(MATCH(1527,Engine!$C$2:$C$1960,0)),"",INDEX('Compliance Database'!$J$2:$J$1960,MATCH(1527,Engine!$C$2:$C$1960,0)))</f>
        <v/>
      </c>
      <c r="K1540" s="9">
        <f>IF(ISNA(MATCH(1527,Engine!$C$2:$C$1960,0)),"",INDEX('Compliance Database'!$K$2:$K$1960,MATCH(1527,Engine!$C$2:$C$1960,0)))</f>
        <v/>
      </c>
      <c r="L1540" s="9">
        <f>IF(ISNA(MATCH(1527,Engine!$C$2:$C$1960,0)),"",INDEX('Compliance Database'!$L$2:$L$1960,MATCH(1527,Engine!$C$2:$C$1960,0)))</f>
        <v/>
      </c>
      <c r="M1540" s="9">
        <f>IF(ISNA(MATCH(1527,Engine!$C$2:$C$1960,0)),"",INDEX('Compliance Database'!$M$2:$M$1960,MATCH(1527,Engine!$C$2:$C$1960,0)))</f>
        <v/>
      </c>
      <c r="N1540" s="9">
        <f>IF(ISNA(MATCH(1527,Engine!$C$2:$C$1960,0)),"",INDEX('Compliance Database'!$N$2:$N$1960,MATCH(1527,Engine!$C$2:$C$1960,0)))</f>
        <v/>
      </c>
      <c r="O1540" s="9">
        <f>IF(ISNA(MATCH(1527,Engine!$C$2:$C$1960,0)),"",INDEX('Compliance Database'!$O$2:$O$1960,MATCH(1527,Engine!$C$2:$C$1960,0)))</f>
        <v/>
      </c>
      <c r="P1540" s="8">
        <f>IF(ISNA(MATCH(1527,Engine!$C$2:$C$1960,0)),"",HYPERLINK("#Acts!A"&amp;INDEX('Compliance Database'!$P$2:$P$1960,MATCH(1527,Engine!$C$2:$C$1960,0)),"Go to Act"))</f>
        <v/>
      </c>
    </row>
    <row r="1541" ht="158" customHeight="1">
      <c r="A1541" s="8">
        <f>IF(ISNA(MATCH(1528,Engine!$C$2:$C$1960,0)),"",INDEX('Compliance Database'!$A$2:$A$1960,MATCH(1528,Engine!$C$2:$C$1960,0)))</f>
        <v/>
      </c>
      <c r="B1541" s="8">
        <f>IF(ISNA(MATCH(1528,Engine!$C$2:$C$1960,0)),"",INDEX('Compliance Database'!$B$2:$B$1960,MATCH(1528,Engine!$C$2:$C$1960,0)))</f>
        <v/>
      </c>
      <c r="C1541" s="8">
        <f>IF(ISNA(MATCH(1528,Engine!$C$2:$C$1960,0)),"",INDEX('Compliance Database'!$C$2:$C$1960,MATCH(1528,Engine!$C$2:$C$1960,0)))</f>
        <v/>
      </c>
      <c r="D1541" s="9">
        <f>IF(ISNA(MATCH(1528,Engine!$C$2:$C$1960,0)),"",INDEX('Compliance Database'!$D$2:$D$1960,MATCH(1528,Engine!$C$2:$C$1960,0)))</f>
        <v/>
      </c>
      <c r="E1541" s="8">
        <f>IF(ISNA(MATCH(1528,Engine!$C$2:$C$1960,0)),"",INDEX('Compliance Database'!$E$2:$E$1960,MATCH(1528,Engine!$C$2:$C$1960,0)))</f>
        <v/>
      </c>
      <c r="F1541" s="8">
        <f>IF(ISNA(MATCH(1528,Engine!$C$2:$C$1960,0)),"",INDEX('Compliance Database'!$F$2:$F$1960,MATCH(1528,Engine!$C$2:$C$1960,0)))</f>
        <v/>
      </c>
      <c r="G1541" s="8">
        <f>IF(ISNA(MATCH(1528,Engine!$C$2:$C$1960,0)),"",INDEX('Compliance Database'!$G$2:$G$1960,MATCH(1528,Engine!$C$2:$C$1960,0)))</f>
        <v/>
      </c>
      <c r="H1541" s="9">
        <f>IF(ISNA(MATCH(1528,Engine!$C$2:$C$1960,0)),"",INDEX('Compliance Database'!$H$2:$H$1960,MATCH(1528,Engine!$C$2:$C$1960,0)))</f>
        <v/>
      </c>
      <c r="I1541" s="9">
        <f>IF(ISNA(MATCH(1528,Engine!$C$2:$C$1960,0)),"",INDEX('Compliance Database'!$I$2:$I$1960,MATCH(1528,Engine!$C$2:$C$1960,0)))</f>
        <v/>
      </c>
      <c r="J1541" s="8">
        <f>IF(ISNA(MATCH(1528,Engine!$C$2:$C$1960,0)),"",INDEX('Compliance Database'!$J$2:$J$1960,MATCH(1528,Engine!$C$2:$C$1960,0)))</f>
        <v/>
      </c>
      <c r="K1541" s="9">
        <f>IF(ISNA(MATCH(1528,Engine!$C$2:$C$1960,0)),"",INDEX('Compliance Database'!$K$2:$K$1960,MATCH(1528,Engine!$C$2:$C$1960,0)))</f>
        <v/>
      </c>
      <c r="L1541" s="9">
        <f>IF(ISNA(MATCH(1528,Engine!$C$2:$C$1960,0)),"",INDEX('Compliance Database'!$L$2:$L$1960,MATCH(1528,Engine!$C$2:$C$1960,0)))</f>
        <v/>
      </c>
      <c r="M1541" s="9">
        <f>IF(ISNA(MATCH(1528,Engine!$C$2:$C$1960,0)),"",INDEX('Compliance Database'!$M$2:$M$1960,MATCH(1528,Engine!$C$2:$C$1960,0)))</f>
        <v/>
      </c>
      <c r="N1541" s="9">
        <f>IF(ISNA(MATCH(1528,Engine!$C$2:$C$1960,0)),"",INDEX('Compliance Database'!$N$2:$N$1960,MATCH(1528,Engine!$C$2:$C$1960,0)))</f>
        <v/>
      </c>
      <c r="O1541" s="9">
        <f>IF(ISNA(MATCH(1528,Engine!$C$2:$C$1960,0)),"",INDEX('Compliance Database'!$O$2:$O$1960,MATCH(1528,Engine!$C$2:$C$1960,0)))</f>
        <v/>
      </c>
      <c r="P1541" s="8">
        <f>IF(ISNA(MATCH(1528,Engine!$C$2:$C$1960,0)),"",HYPERLINK("#Acts!A"&amp;INDEX('Compliance Database'!$P$2:$P$1960,MATCH(1528,Engine!$C$2:$C$1960,0)),"Go to Act"))</f>
        <v/>
      </c>
    </row>
    <row r="1542" ht="158" customHeight="1">
      <c r="A1542" s="8">
        <f>IF(ISNA(MATCH(1529,Engine!$C$2:$C$1960,0)),"",INDEX('Compliance Database'!$A$2:$A$1960,MATCH(1529,Engine!$C$2:$C$1960,0)))</f>
        <v/>
      </c>
      <c r="B1542" s="8">
        <f>IF(ISNA(MATCH(1529,Engine!$C$2:$C$1960,0)),"",INDEX('Compliance Database'!$B$2:$B$1960,MATCH(1529,Engine!$C$2:$C$1960,0)))</f>
        <v/>
      </c>
      <c r="C1542" s="8">
        <f>IF(ISNA(MATCH(1529,Engine!$C$2:$C$1960,0)),"",INDEX('Compliance Database'!$C$2:$C$1960,MATCH(1529,Engine!$C$2:$C$1960,0)))</f>
        <v/>
      </c>
      <c r="D1542" s="9">
        <f>IF(ISNA(MATCH(1529,Engine!$C$2:$C$1960,0)),"",INDEX('Compliance Database'!$D$2:$D$1960,MATCH(1529,Engine!$C$2:$C$1960,0)))</f>
        <v/>
      </c>
      <c r="E1542" s="8">
        <f>IF(ISNA(MATCH(1529,Engine!$C$2:$C$1960,0)),"",INDEX('Compliance Database'!$E$2:$E$1960,MATCH(1529,Engine!$C$2:$C$1960,0)))</f>
        <v/>
      </c>
      <c r="F1542" s="8">
        <f>IF(ISNA(MATCH(1529,Engine!$C$2:$C$1960,0)),"",INDEX('Compliance Database'!$F$2:$F$1960,MATCH(1529,Engine!$C$2:$C$1960,0)))</f>
        <v/>
      </c>
      <c r="G1542" s="8">
        <f>IF(ISNA(MATCH(1529,Engine!$C$2:$C$1960,0)),"",INDEX('Compliance Database'!$G$2:$G$1960,MATCH(1529,Engine!$C$2:$C$1960,0)))</f>
        <v/>
      </c>
      <c r="H1542" s="9">
        <f>IF(ISNA(MATCH(1529,Engine!$C$2:$C$1960,0)),"",INDEX('Compliance Database'!$H$2:$H$1960,MATCH(1529,Engine!$C$2:$C$1960,0)))</f>
        <v/>
      </c>
      <c r="I1542" s="9">
        <f>IF(ISNA(MATCH(1529,Engine!$C$2:$C$1960,0)),"",INDEX('Compliance Database'!$I$2:$I$1960,MATCH(1529,Engine!$C$2:$C$1960,0)))</f>
        <v/>
      </c>
      <c r="J1542" s="8">
        <f>IF(ISNA(MATCH(1529,Engine!$C$2:$C$1960,0)),"",INDEX('Compliance Database'!$J$2:$J$1960,MATCH(1529,Engine!$C$2:$C$1960,0)))</f>
        <v/>
      </c>
      <c r="K1542" s="9">
        <f>IF(ISNA(MATCH(1529,Engine!$C$2:$C$1960,0)),"",INDEX('Compliance Database'!$K$2:$K$1960,MATCH(1529,Engine!$C$2:$C$1960,0)))</f>
        <v/>
      </c>
      <c r="L1542" s="9">
        <f>IF(ISNA(MATCH(1529,Engine!$C$2:$C$1960,0)),"",INDEX('Compliance Database'!$L$2:$L$1960,MATCH(1529,Engine!$C$2:$C$1960,0)))</f>
        <v/>
      </c>
      <c r="M1542" s="9">
        <f>IF(ISNA(MATCH(1529,Engine!$C$2:$C$1960,0)),"",INDEX('Compliance Database'!$M$2:$M$1960,MATCH(1529,Engine!$C$2:$C$1960,0)))</f>
        <v/>
      </c>
      <c r="N1542" s="9">
        <f>IF(ISNA(MATCH(1529,Engine!$C$2:$C$1960,0)),"",INDEX('Compliance Database'!$N$2:$N$1960,MATCH(1529,Engine!$C$2:$C$1960,0)))</f>
        <v/>
      </c>
      <c r="O1542" s="9">
        <f>IF(ISNA(MATCH(1529,Engine!$C$2:$C$1960,0)),"",INDEX('Compliance Database'!$O$2:$O$1960,MATCH(1529,Engine!$C$2:$C$1960,0)))</f>
        <v/>
      </c>
      <c r="P1542" s="8">
        <f>IF(ISNA(MATCH(1529,Engine!$C$2:$C$1960,0)),"",HYPERLINK("#Acts!A"&amp;INDEX('Compliance Database'!$P$2:$P$1960,MATCH(1529,Engine!$C$2:$C$1960,0)),"Go to Act"))</f>
        <v/>
      </c>
    </row>
    <row r="1543" ht="158" customHeight="1">
      <c r="A1543" s="8">
        <f>IF(ISNA(MATCH(1530,Engine!$C$2:$C$1960,0)),"",INDEX('Compliance Database'!$A$2:$A$1960,MATCH(1530,Engine!$C$2:$C$1960,0)))</f>
        <v/>
      </c>
      <c r="B1543" s="8">
        <f>IF(ISNA(MATCH(1530,Engine!$C$2:$C$1960,0)),"",INDEX('Compliance Database'!$B$2:$B$1960,MATCH(1530,Engine!$C$2:$C$1960,0)))</f>
        <v/>
      </c>
      <c r="C1543" s="8">
        <f>IF(ISNA(MATCH(1530,Engine!$C$2:$C$1960,0)),"",INDEX('Compliance Database'!$C$2:$C$1960,MATCH(1530,Engine!$C$2:$C$1960,0)))</f>
        <v/>
      </c>
      <c r="D1543" s="9">
        <f>IF(ISNA(MATCH(1530,Engine!$C$2:$C$1960,0)),"",INDEX('Compliance Database'!$D$2:$D$1960,MATCH(1530,Engine!$C$2:$C$1960,0)))</f>
        <v/>
      </c>
      <c r="E1543" s="8">
        <f>IF(ISNA(MATCH(1530,Engine!$C$2:$C$1960,0)),"",INDEX('Compliance Database'!$E$2:$E$1960,MATCH(1530,Engine!$C$2:$C$1960,0)))</f>
        <v/>
      </c>
      <c r="F1543" s="8">
        <f>IF(ISNA(MATCH(1530,Engine!$C$2:$C$1960,0)),"",INDEX('Compliance Database'!$F$2:$F$1960,MATCH(1530,Engine!$C$2:$C$1960,0)))</f>
        <v/>
      </c>
      <c r="G1543" s="8">
        <f>IF(ISNA(MATCH(1530,Engine!$C$2:$C$1960,0)),"",INDEX('Compliance Database'!$G$2:$G$1960,MATCH(1530,Engine!$C$2:$C$1960,0)))</f>
        <v/>
      </c>
      <c r="H1543" s="9">
        <f>IF(ISNA(MATCH(1530,Engine!$C$2:$C$1960,0)),"",INDEX('Compliance Database'!$H$2:$H$1960,MATCH(1530,Engine!$C$2:$C$1960,0)))</f>
        <v/>
      </c>
      <c r="I1543" s="9">
        <f>IF(ISNA(MATCH(1530,Engine!$C$2:$C$1960,0)),"",INDEX('Compliance Database'!$I$2:$I$1960,MATCH(1530,Engine!$C$2:$C$1960,0)))</f>
        <v/>
      </c>
      <c r="J1543" s="8">
        <f>IF(ISNA(MATCH(1530,Engine!$C$2:$C$1960,0)),"",INDEX('Compliance Database'!$J$2:$J$1960,MATCH(1530,Engine!$C$2:$C$1960,0)))</f>
        <v/>
      </c>
      <c r="K1543" s="9">
        <f>IF(ISNA(MATCH(1530,Engine!$C$2:$C$1960,0)),"",INDEX('Compliance Database'!$K$2:$K$1960,MATCH(1530,Engine!$C$2:$C$1960,0)))</f>
        <v/>
      </c>
      <c r="L1543" s="9">
        <f>IF(ISNA(MATCH(1530,Engine!$C$2:$C$1960,0)),"",INDEX('Compliance Database'!$L$2:$L$1960,MATCH(1530,Engine!$C$2:$C$1960,0)))</f>
        <v/>
      </c>
      <c r="M1543" s="9">
        <f>IF(ISNA(MATCH(1530,Engine!$C$2:$C$1960,0)),"",INDEX('Compliance Database'!$M$2:$M$1960,MATCH(1530,Engine!$C$2:$C$1960,0)))</f>
        <v/>
      </c>
      <c r="N1543" s="9">
        <f>IF(ISNA(MATCH(1530,Engine!$C$2:$C$1960,0)),"",INDEX('Compliance Database'!$N$2:$N$1960,MATCH(1530,Engine!$C$2:$C$1960,0)))</f>
        <v/>
      </c>
      <c r="O1543" s="9">
        <f>IF(ISNA(MATCH(1530,Engine!$C$2:$C$1960,0)),"",INDEX('Compliance Database'!$O$2:$O$1960,MATCH(1530,Engine!$C$2:$C$1960,0)))</f>
        <v/>
      </c>
      <c r="P1543" s="8">
        <f>IF(ISNA(MATCH(1530,Engine!$C$2:$C$1960,0)),"",HYPERLINK("#Acts!A"&amp;INDEX('Compliance Database'!$P$2:$P$1960,MATCH(1530,Engine!$C$2:$C$1960,0)),"Go to Act"))</f>
        <v/>
      </c>
    </row>
    <row r="1544" ht="158" customHeight="1">
      <c r="A1544" s="8">
        <f>IF(ISNA(MATCH(1531,Engine!$C$2:$C$1960,0)),"",INDEX('Compliance Database'!$A$2:$A$1960,MATCH(1531,Engine!$C$2:$C$1960,0)))</f>
        <v/>
      </c>
      <c r="B1544" s="8">
        <f>IF(ISNA(MATCH(1531,Engine!$C$2:$C$1960,0)),"",INDEX('Compliance Database'!$B$2:$B$1960,MATCH(1531,Engine!$C$2:$C$1960,0)))</f>
        <v/>
      </c>
      <c r="C1544" s="8">
        <f>IF(ISNA(MATCH(1531,Engine!$C$2:$C$1960,0)),"",INDEX('Compliance Database'!$C$2:$C$1960,MATCH(1531,Engine!$C$2:$C$1960,0)))</f>
        <v/>
      </c>
      <c r="D1544" s="9">
        <f>IF(ISNA(MATCH(1531,Engine!$C$2:$C$1960,0)),"",INDEX('Compliance Database'!$D$2:$D$1960,MATCH(1531,Engine!$C$2:$C$1960,0)))</f>
        <v/>
      </c>
      <c r="E1544" s="8">
        <f>IF(ISNA(MATCH(1531,Engine!$C$2:$C$1960,0)),"",INDEX('Compliance Database'!$E$2:$E$1960,MATCH(1531,Engine!$C$2:$C$1960,0)))</f>
        <v/>
      </c>
      <c r="F1544" s="8">
        <f>IF(ISNA(MATCH(1531,Engine!$C$2:$C$1960,0)),"",INDEX('Compliance Database'!$F$2:$F$1960,MATCH(1531,Engine!$C$2:$C$1960,0)))</f>
        <v/>
      </c>
      <c r="G1544" s="8">
        <f>IF(ISNA(MATCH(1531,Engine!$C$2:$C$1960,0)),"",INDEX('Compliance Database'!$G$2:$G$1960,MATCH(1531,Engine!$C$2:$C$1960,0)))</f>
        <v/>
      </c>
      <c r="H1544" s="9">
        <f>IF(ISNA(MATCH(1531,Engine!$C$2:$C$1960,0)),"",INDEX('Compliance Database'!$H$2:$H$1960,MATCH(1531,Engine!$C$2:$C$1960,0)))</f>
        <v/>
      </c>
      <c r="I1544" s="9">
        <f>IF(ISNA(MATCH(1531,Engine!$C$2:$C$1960,0)),"",INDEX('Compliance Database'!$I$2:$I$1960,MATCH(1531,Engine!$C$2:$C$1960,0)))</f>
        <v/>
      </c>
      <c r="J1544" s="8">
        <f>IF(ISNA(MATCH(1531,Engine!$C$2:$C$1960,0)),"",INDEX('Compliance Database'!$J$2:$J$1960,MATCH(1531,Engine!$C$2:$C$1960,0)))</f>
        <v/>
      </c>
      <c r="K1544" s="9">
        <f>IF(ISNA(MATCH(1531,Engine!$C$2:$C$1960,0)),"",INDEX('Compliance Database'!$K$2:$K$1960,MATCH(1531,Engine!$C$2:$C$1960,0)))</f>
        <v/>
      </c>
      <c r="L1544" s="9">
        <f>IF(ISNA(MATCH(1531,Engine!$C$2:$C$1960,0)),"",INDEX('Compliance Database'!$L$2:$L$1960,MATCH(1531,Engine!$C$2:$C$1960,0)))</f>
        <v/>
      </c>
      <c r="M1544" s="9">
        <f>IF(ISNA(MATCH(1531,Engine!$C$2:$C$1960,0)),"",INDEX('Compliance Database'!$M$2:$M$1960,MATCH(1531,Engine!$C$2:$C$1960,0)))</f>
        <v/>
      </c>
      <c r="N1544" s="9">
        <f>IF(ISNA(MATCH(1531,Engine!$C$2:$C$1960,0)),"",INDEX('Compliance Database'!$N$2:$N$1960,MATCH(1531,Engine!$C$2:$C$1960,0)))</f>
        <v/>
      </c>
      <c r="O1544" s="9">
        <f>IF(ISNA(MATCH(1531,Engine!$C$2:$C$1960,0)),"",INDEX('Compliance Database'!$O$2:$O$1960,MATCH(1531,Engine!$C$2:$C$1960,0)))</f>
        <v/>
      </c>
      <c r="P1544" s="8">
        <f>IF(ISNA(MATCH(1531,Engine!$C$2:$C$1960,0)),"",HYPERLINK("#Acts!A"&amp;INDEX('Compliance Database'!$P$2:$P$1960,MATCH(1531,Engine!$C$2:$C$1960,0)),"Go to Act"))</f>
        <v/>
      </c>
    </row>
    <row r="1545" ht="158" customHeight="1">
      <c r="A1545" s="8">
        <f>IF(ISNA(MATCH(1532,Engine!$C$2:$C$1960,0)),"",INDEX('Compliance Database'!$A$2:$A$1960,MATCH(1532,Engine!$C$2:$C$1960,0)))</f>
        <v/>
      </c>
      <c r="B1545" s="8">
        <f>IF(ISNA(MATCH(1532,Engine!$C$2:$C$1960,0)),"",INDEX('Compliance Database'!$B$2:$B$1960,MATCH(1532,Engine!$C$2:$C$1960,0)))</f>
        <v/>
      </c>
      <c r="C1545" s="8">
        <f>IF(ISNA(MATCH(1532,Engine!$C$2:$C$1960,0)),"",INDEX('Compliance Database'!$C$2:$C$1960,MATCH(1532,Engine!$C$2:$C$1960,0)))</f>
        <v/>
      </c>
      <c r="D1545" s="9">
        <f>IF(ISNA(MATCH(1532,Engine!$C$2:$C$1960,0)),"",INDEX('Compliance Database'!$D$2:$D$1960,MATCH(1532,Engine!$C$2:$C$1960,0)))</f>
        <v/>
      </c>
      <c r="E1545" s="8">
        <f>IF(ISNA(MATCH(1532,Engine!$C$2:$C$1960,0)),"",INDEX('Compliance Database'!$E$2:$E$1960,MATCH(1532,Engine!$C$2:$C$1960,0)))</f>
        <v/>
      </c>
      <c r="F1545" s="8">
        <f>IF(ISNA(MATCH(1532,Engine!$C$2:$C$1960,0)),"",INDEX('Compliance Database'!$F$2:$F$1960,MATCH(1532,Engine!$C$2:$C$1960,0)))</f>
        <v/>
      </c>
      <c r="G1545" s="8">
        <f>IF(ISNA(MATCH(1532,Engine!$C$2:$C$1960,0)),"",INDEX('Compliance Database'!$G$2:$G$1960,MATCH(1532,Engine!$C$2:$C$1960,0)))</f>
        <v/>
      </c>
      <c r="H1545" s="9">
        <f>IF(ISNA(MATCH(1532,Engine!$C$2:$C$1960,0)),"",INDEX('Compliance Database'!$H$2:$H$1960,MATCH(1532,Engine!$C$2:$C$1960,0)))</f>
        <v/>
      </c>
      <c r="I1545" s="9">
        <f>IF(ISNA(MATCH(1532,Engine!$C$2:$C$1960,0)),"",INDEX('Compliance Database'!$I$2:$I$1960,MATCH(1532,Engine!$C$2:$C$1960,0)))</f>
        <v/>
      </c>
      <c r="J1545" s="8">
        <f>IF(ISNA(MATCH(1532,Engine!$C$2:$C$1960,0)),"",INDEX('Compliance Database'!$J$2:$J$1960,MATCH(1532,Engine!$C$2:$C$1960,0)))</f>
        <v/>
      </c>
      <c r="K1545" s="9">
        <f>IF(ISNA(MATCH(1532,Engine!$C$2:$C$1960,0)),"",INDEX('Compliance Database'!$K$2:$K$1960,MATCH(1532,Engine!$C$2:$C$1960,0)))</f>
        <v/>
      </c>
      <c r="L1545" s="9">
        <f>IF(ISNA(MATCH(1532,Engine!$C$2:$C$1960,0)),"",INDEX('Compliance Database'!$L$2:$L$1960,MATCH(1532,Engine!$C$2:$C$1960,0)))</f>
        <v/>
      </c>
      <c r="M1545" s="9">
        <f>IF(ISNA(MATCH(1532,Engine!$C$2:$C$1960,0)),"",INDEX('Compliance Database'!$M$2:$M$1960,MATCH(1532,Engine!$C$2:$C$1960,0)))</f>
        <v/>
      </c>
      <c r="N1545" s="9">
        <f>IF(ISNA(MATCH(1532,Engine!$C$2:$C$1960,0)),"",INDEX('Compliance Database'!$N$2:$N$1960,MATCH(1532,Engine!$C$2:$C$1960,0)))</f>
        <v/>
      </c>
      <c r="O1545" s="9">
        <f>IF(ISNA(MATCH(1532,Engine!$C$2:$C$1960,0)),"",INDEX('Compliance Database'!$O$2:$O$1960,MATCH(1532,Engine!$C$2:$C$1960,0)))</f>
        <v/>
      </c>
      <c r="P1545" s="8">
        <f>IF(ISNA(MATCH(1532,Engine!$C$2:$C$1960,0)),"",HYPERLINK("#Acts!A"&amp;INDEX('Compliance Database'!$P$2:$P$1960,MATCH(1532,Engine!$C$2:$C$1960,0)),"Go to Act"))</f>
        <v/>
      </c>
    </row>
    <row r="1546" ht="158" customHeight="1">
      <c r="A1546" s="8">
        <f>IF(ISNA(MATCH(1533,Engine!$C$2:$C$1960,0)),"",INDEX('Compliance Database'!$A$2:$A$1960,MATCH(1533,Engine!$C$2:$C$1960,0)))</f>
        <v/>
      </c>
      <c r="B1546" s="8">
        <f>IF(ISNA(MATCH(1533,Engine!$C$2:$C$1960,0)),"",INDEX('Compliance Database'!$B$2:$B$1960,MATCH(1533,Engine!$C$2:$C$1960,0)))</f>
        <v/>
      </c>
      <c r="C1546" s="8">
        <f>IF(ISNA(MATCH(1533,Engine!$C$2:$C$1960,0)),"",INDEX('Compliance Database'!$C$2:$C$1960,MATCH(1533,Engine!$C$2:$C$1960,0)))</f>
        <v/>
      </c>
      <c r="D1546" s="9">
        <f>IF(ISNA(MATCH(1533,Engine!$C$2:$C$1960,0)),"",INDEX('Compliance Database'!$D$2:$D$1960,MATCH(1533,Engine!$C$2:$C$1960,0)))</f>
        <v/>
      </c>
      <c r="E1546" s="8">
        <f>IF(ISNA(MATCH(1533,Engine!$C$2:$C$1960,0)),"",INDEX('Compliance Database'!$E$2:$E$1960,MATCH(1533,Engine!$C$2:$C$1960,0)))</f>
        <v/>
      </c>
      <c r="F1546" s="8">
        <f>IF(ISNA(MATCH(1533,Engine!$C$2:$C$1960,0)),"",INDEX('Compliance Database'!$F$2:$F$1960,MATCH(1533,Engine!$C$2:$C$1960,0)))</f>
        <v/>
      </c>
      <c r="G1546" s="8">
        <f>IF(ISNA(MATCH(1533,Engine!$C$2:$C$1960,0)),"",INDEX('Compliance Database'!$G$2:$G$1960,MATCH(1533,Engine!$C$2:$C$1960,0)))</f>
        <v/>
      </c>
      <c r="H1546" s="9">
        <f>IF(ISNA(MATCH(1533,Engine!$C$2:$C$1960,0)),"",INDEX('Compliance Database'!$H$2:$H$1960,MATCH(1533,Engine!$C$2:$C$1960,0)))</f>
        <v/>
      </c>
      <c r="I1546" s="9">
        <f>IF(ISNA(MATCH(1533,Engine!$C$2:$C$1960,0)),"",INDEX('Compliance Database'!$I$2:$I$1960,MATCH(1533,Engine!$C$2:$C$1960,0)))</f>
        <v/>
      </c>
      <c r="J1546" s="8">
        <f>IF(ISNA(MATCH(1533,Engine!$C$2:$C$1960,0)),"",INDEX('Compliance Database'!$J$2:$J$1960,MATCH(1533,Engine!$C$2:$C$1960,0)))</f>
        <v/>
      </c>
      <c r="K1546" s="9">
        <f>IF(ISNA(MATCH(1533,Engine!$C$2:$C$1960,0)),"",INDEX('Compliance Database'!$K$2:$K$1960,MATCH(1533,Engine!$C$2:$C$1960,0)))</f>
        <v/>
      </c>
      <c r="L1546" s="9">
        <f>IF(ISNA(MATCH(1533,Engine!$C$2:$C$1960,0)),"",INDEX('Compliance Database'!$L$2:$L$1960,MATCH(1533,Engine!$C$2:$C$1960,0)))</f>
        <v/>
      </c>
      <c r="M1546" s="9">
        <f>IF(ISNA(MATCH(1533,Engine!$C$2:$C$1960,0)),"",INDEX('Compliance Database'!$M$2:$M$1960,MATCH(1533,Engine!$C$2:$C$1960,0)))</f>
        <v/>
      </c>
      <c r="N1546" s="9">
        <f>IF(ISNA(MATCH(1533,Engine!$C$2:$C$1960,0)),"",INDEX('Compliance Database'!$N$2:$N$1960,MATCH(1533,Engine!$C$2:$C$1960,0)))</f>
        <v/>
      </c>
      <c r="O1546" s="9">
        <f>IF(ISNA(MATCH(1533,Engine!$C$2:$C$1960,0)),"",INDEX('Compliance Database'!$O$2:$O$1960,MATCH(1533,Engine!$C$2:$C$1960,0)))</f>
        <v/>
      </c>
      <c r="P1546" s="8">
        <f>IF(ISNA(MATCH(1533,Engine!$C$2:$C$1960,0)),"",HYPERLINK("#Acts!A"&amp;INDEX('Compliance Database'!$P$2:$P$1960,MATCH(1533,Engine!$C$2:$C$1960,0)),"Go to Act"))</f>
        <v/>
      </c>
    </row>
    <row r="1547" ht="158" customHeight="1">
      <c r="A1547" s="8">
        <f>IF(ISNA(MATCH(1534,Engine!$C$2:$C$1960,0)),"",INDEX('Compliance Database'!$A$2:$A$1960,MATCH(1534,Engine!$C$2:$C$1960,0)))</f>
        <v/>
      </c>
      <c r="B1547" s="8">
        <f>IF(ISNA(MATCH(1534,Engine!$C$2:$C$1960,0)),"",INDEX('Compliance Database'!$B$2:$B$1960,MATCH(1534,Engine!$C$2:$C$1960,0)))</f>
        <v/>
      </c>
      <c r="C1547" s="8">
        <f>IF(ISNA(MATCH(1534,Engine!$C$2:$C$1960,0)),"",INDEX('Compliance Database'!$C$2:$C$1960,MATCH(1534,Engine!$C$2:$C$1960,0)))</f>
        <v/>
      </c>
      <c r="D1547" s="9">
        <f>IF(ISNA(MATCH(1534,Engine!$C$2:$C$1960,0)),"",INDEX('Compliance Database'!$D$2:$D$1960,MATCH(1534,Engine!$C$2:$C$1960,0)))</f>
        <v/>
      </c>
      <c r="E1547" s="8">
        <f>IF(ISNA(MATCH(1534,Engine!$C$2:$C$1960,0)),"",INDEX('Compliance Database'!$E$2:$E$1960,MATCH(1534,Engine!$C$2:$C$1960,0)))</f>
        <v/>
      </c>
      <c r="F1547" s="8">
        <f>IF(ISNA(MATCH(1534,Engine!$C$2:$C$1960,0)),"",INDEX('Compliance Database'!$F$2:$F$1960,MATCH(1534,Engine!$C$2:$C$1960,0)))</f>
        <v/>
      </c>
      <c r="G1547" s="8">
        <f>IF(ISNA(MATCH(1534,Engine!$C$2:$C$1960,0)),"",INDEX('Compliance Database'!$G$2:$G$1960,MATCH(1534,Engine!$C$2:$C$1960,0)))</f>
        <v/>
      </c>
      <c r="H1547" s="9">
        <f>IF(ISNA(MATCH(1534,Engine!$C$2:$C$1960,0)),"",INDEX('Compliance Database'!$H$2:$H$1960,MATCH(1534,Engine!$C$2:$C$1960,0)))</f>
        <v/>
      </c>
      <c r="I1547" s="9">
        <f>IF(ISNA(MATCH(1534,Engine!$C$2:$C$1960,0)),"",INDEX('Compliance Database'!$I$2:$I$1960,MATCH(1534,Engine!$C$2:$C$1960,0)))</f>
        <v/>
      </c>
      <c r="J1547" s="8">
        <f>IF(ISNA(MATCH(1534,Engine!$C$2:$C$1960,0)),"",INDEX('Compliance Database'!$J$2:$J$1960,MATCH(1534,Engine!$C$2:$C$1960,0)))</f>
        <v/>
      </c>
      <c r="K1547" s="9">
        <f>IF(ISNA(MATCH(1534,Engine!$C$2:$C$1960,0)),"",INDEX('Compliance Database'!$K$2:$K$1960,MATCH(1534,Engine!$C$2:$C$1960,0)))</f>
        <v/>
      </c>
      <c r="L1547" s="9">
        <f>IF(ISNA(MATCH(1534,Engine!$C$2:$C$1960,0)),"",INDEX('Compliance Database'!$L$2:$L$1960,MATCH(1534,Engine!$C$2:$C$1960,0)))</f>
        <v/>
      </c>
      <c r="M1547" s="9">
        <f>IF(ISNA(MATCH(1534,Engine!$C$2:$C$1960,0)),"",INDEX('Compliance Database'!$M$2:$M$1960,MATCH(1534,Engine!$C$2:$C$1960,0)))</f>
        <v/>
      </c>
      <c r="N1547" s="9">
        <f>IF(ISNA(MATCH(1534,Engine!$C$2:$C$1960,0)),"",INDEX('Compliance Database'!$N$2:$N$1960,MATCH(1534,Engine!$C$2:$C$1960,0)))</f>
        <v/>
      </c>
      <c r="O1547" s="9">
        <f>IF(ISNA(MATCH(1534,Engine!$C$2:$C$1960,0)),"",INDEX('Compliance Database'!$O$2:$O$1960,MATCH(1534,Engine!$C$2:$C$1960,0)))</f>
        <v/>
      </c>
      <c r="P1547" s="8">
        <f>IF(ISNA(MATCH(1534,Engine!$C$2:$C$1960,0)),"",HYPERLINK("#Acts!A"&amp;INDEX('Compliance Database'!$P$2:$P$1960,MATCH(1534,Engine!$C$2:$C$1960,0)),"Go to Act"))</f>
        <v/>
      </c>
    </row>
    <row r="1548" ht="158" customHeight="1">
      <c r="A1548" s="8">
        <f>IF(ISNA(MATCH(1535,Engine!$C$2:$C$1960,0)),"",INDEX('Compliance Database'!$A$2:$A$1960,MATCH(1535,Engine!$C$2:$C$1960,0)))</f>
        <v/>
      </c>
      <c r="B1548" s="8">
        <f>IF(ISNA(MATCH(1535,Engine!$C$2:$C$1960,0)),"",INDEX('Compliance Database'!$B$2:$B$1960,MATCH(1535,Engine!$C$2:$C$1960,0)))</f>
        <v/>
      </c>
      <c r="C1548" s="8">
        <f>IF(ISNA(MATCH(1535,Engine!$C$2:$C$1960,0)),"",INDEX('Compliance Database'!$C$2:$C$1960,MATCH(1535,Engine!$C$2:$C$1960,0)))</f>
        <v/>
      </c>
      <c r="D1548" s="9">
        <f>IF(ISNA(MATCH(1535,Engine!$C$2:$C$1960,0)),"",INDEX('Compliance Database'!$D$2:$D$1960,MATCH(1535,Engine!$C$2:$C$1960,0)))</f>
        <v/>
      </c>
      <c r="E1548" s="8">
        <f>IF(ISNA(MATCH(1535,Engine!$C$2:$C$1960,0)),"",INDEX('Compliance Database'!$E$2:$E$1960,MATCH(1535,Engine!$C$2:$C$1960,0)))</f>
        <v/>
      </c>
      <c r="F1548" s="8">
        <f>IF(ISNA(MATCH(1535,Engine!$C$2:$C$1960,0)),"",INDEX('Compliance Database'!$F$2:$F$1960,MATCH(1535,Engine!$C$2:$C$1960,0)))</f>
        <v/>
      </c>
      <c r="G1548" s="8">
        <f>IF(ISNA(MATCH(1535,Engine!$C$2:$C$1960,0)),"",INDEX('Compliance Database'!$G$2:$G$1960,MATCH(1535,Engine!$C$2:$C$1960,0)))</f>
        <v/>
      </c>
      <c r="H1548" s="9">
        <f>IF(ISNA(MATCH(1535,Engine!$C$2:$C$1960,0)),"",INDEX('Compliance Database'!$H$2:$H$1960,MATCH(1535,Engine!$C$2:$C$1960,0)))</f>
        <v/>
      </c>
      <c r="I1548" s="9">
        <f>IF(ISNA(MATCH(1535,Engine!$C$2:$C$1960,0)),"",INDEX('Compliance Database'!$I$2:$I$1960,MATCH(1535,Engine!$C$2:$C$1960,0)))</f>
        <v/>
      </c>
      <c r="J1548" s="8">
        <f>IF(ISNA(MATCH(1535,Engine!$C$2:$C$1960,0)),"",INDEX('Compliance Database'!$J$2:$J$1960,MATCH(1535,Engine!$C$2:$C$1960,0)))</f>
        <v/>
      </c>
      <c r="K1548" s="9">
        <f>IF(ISNA(MATCH(1535,Engine!$C$2:$C$1960,0)),"",INDEX('Compliance Database'!$K$2:$K$1960,MATCH(1535,Engine!$C$2:$C$1960,0)))</f>
        <v/>
      </c>
      <c r="L1548" s="9">
        <f>IF(ISNA(MATCH(1535,Engine!$C$2:$C$1960,0)),"",INDEX('Compliance Database'!$L$2:$L$1960,MATCH(1535,Engine!$C$2:$C$1960,0)))</f>
        <v/>
      </c>
      <c r="M1548" s="9">
        <f>IF(ISNA(MATCH(1535,Engine!$C$2:$C$1960,0)),"",INDEX('Compliance Database'!$M$2:$M$1960,MATCH(1535,Engine!$C$2:$C$1960,0)))</f>
        <v/>
      </c>
      <c r="N1548" s="9">
        <f>IF(ISNA(MATCH(1535,Engine!$C$2:$C$1960,0)),"",INDEX('Compliance Database'!$N$2:$N$1960,MATCH(1535,Engine!$C$2:$C$1960,0)))</f>
        <v/>
      </c>
      <c r="O1548" s="9">
        <f>IF(ISNA(MATCH(1535,Engine!$C$2:$C$1960,0)),"",INDEX('Compliance Database'!$O$2:$O$1960,MATCH(1535,Engine!$C$2:$C$1960,0)))</f>
        <v/>
      </c>
      <c r="P1548" s="8">
        <f>IF(ISNA(MATCH(1535,Engine!$C$2:$C$1960,0)),"",HYPERLINK("#Acts!A"&amp;INDEX('Compliance Database'!$P$2:$P$1960,MATCH(1535,Engine!$C$2:$C$1960,0)),"Go to Act"))</f>
        <v/>
      </c>
    </row>
    <row r="1549" ht="158" customHeight="1">
      <c r="A1549" s="8">
        <f>IF(ISNA(MATCH(1536,Engine!$C$2:$C$1960,0)),"",INDEX('Compliance Database'!$A$2:$A$1960,MATCH(1536,Engine!$C$2:$C$1960,0)))</f>
        <v/>
      </c>
      <c r="B1549" s="8">
        <f>IF(ISNA(MATCH(1536,Engine!$C$2:$C$1960,0)),"",INDEX('Compliance Database'!$B$2:$B$1960,MATCH(1536,Engine!$C$2:$C$1960,0)))</f>
        <v/>
      </c>
      <c r="C1549" s="8">
        <f>IF(ISNA(MATCH(1536,Engine!$C$2:$C$1960,0)),"",INDEX('Compliance Database'!$C$2:$C$1960,MATCH(1536,Engine!$C$2:$C$1960,0)))</f>
        <v/>
      </c>
      <c r="D1549" s="9">
        <f>IF(ISNA(MATCH(1536,Engine!$C$2:$C$1960,0)),"",INDEX('Compliance Database'!$D$2:$D$1960,MATCH(1536,Engine!$C$2:$C$1960,0)))</f>
        <v/>
      </c>
      <c r="E1549" s="8">
        <f>IF(ISNA(MATCH(1536,Engine!$C$2:$C$1960,0)),"",INDEX('Compliance Database'!$E$2:$E$1960,MATCH(1536,Engine!$C$2:$C$1960,0)))</f>
        <v/>
      </c>
      <c r="F1549" s="8">
        <f>IF(ISNA(MATCH(1536,Engine!$C$2:$C$1960,0)),"",INDEX('Compliance Database'!$F$2:$F$1960,MATCH(1536,Engine!$C$2:$C$1960,0)))</f>
        <v/>
      </c>
      <c r="G1549" s="8">
        <f>IF(ISNA(MATCH(1536,Engine!$C$2:$C$1960,0)),"",INDEX('Compliance Database'!$G$2:$G$1960,MATCH(1536,Engine!$C$2:$C$1960,0)))</f>
        <v/>
      </c>
      <c r="H1549" s="9">
        <f>IF(ISNA(MATCH(1536,Engine!$C$2:$C$1960,0)),"",INDEX('Compliance Database'!$H$2:$H$1960,MATCH(1536,Engine!$C$2:$C$1960,0)))</f>
        <v/>
      </c>
      <c r="I1549" s="9">
        <f>IF(ISNA(MATCH(1536,Engine!$C$2:$C$1960,0)),"",INDEX('Compliance Database'!$I$2:$I$1960,MATCH(1536,Engine!$C$2:$C$1960,0)))</f>
        <v/>
      </c>
      <c r="J1549" s="8">
        <f>IF(ISNA(MATCH(1536,Engine!$C$2:$C$1960,0)),"",INDEX('Compliance Database'!$J$2:$J$1960,MATCH(1536,Engine!$C$2:$C$1960,0)))</f>
        <v/>
      </c>
      <c r="K1549" s="9">
        <f>IF(ISNA(MATCH(1536,Engine!$C$2:$C$1960,0)),"",INDEX('Compliance Database'!$K$2:$K$1960,MATCH(1536,Engine!$C$2:$C$1960,0)))</f>
        <v/>
      </c>
      <c r="L1549" s="9">
        <f>IF(ISNA(MATCH(1536,Engine!$C$2:$C$1960,0)),"",INDEX('Compliance Database'!$L$2:$L$1960,MATCH(1536,Engine!$C$2:$C$1960,0)))</f>
        <v/>
      </c>
      <c r="M1549" s="9">
        <f>IF(ISNA(MATCH(1536,Engine!$C$2:$C$1960,0)),"",INDEX('Compliance Database'!$M$2:$M$1960,MATCH(1536,Engine!$C$2:$C$1960,0)))</f>
        <v/>
      </c>
      <c r="N1549" s="9">
        <f>IF(ISNA(MATCH(1536,Engine!$C$2:$C$1960,0)),"",INDEX('Compliance Database'!$N$2:$N$1960,MATCH(1536,Engine!$C$2:$C$1960,0)))</f>
        <v/>
      </c>
      <c r="O1549" s="9">
        <f>IF(ISNA(MATCH(1536,Engine!$C$2:$C$1960,0)),"",INDEX('Compliance Database'!$O$2:$O$1960,MATCH(1536,Engine!$C$2:$C$1960,0)))</f>
        <v/>
      </c>
      <c r="P1549" s="8">
        <f>IF(ISNA(MATCH(1536,Engine!$C$2:$C$1960,0)),"",HYPERLINK("#Acts!A"&amp;INDEX('Compliance Database'!$P$2:$P$1960,MATCH(1536,Engine!$C$2:$C$1960,0)),"Go to Act"))</f>
        <v/>
      </c>
    </row>
    <row r="1550" ht="158" customHeight="1">
      <c r="A1550" s="8">
        <f>IF(ISNA(MATCH(1537,Engine!$C$2:$C$1960,0)),"",INDEX('Compliance Database'!$A$2:$A$1960,MATCH(1537,Engine!$C$2:$C$1960,0)))</f>
        <v/>
      </c>
      <c r="B1550" s="8">
        <f>IF(ISNA(MATCH(1537,Engine!$C$2:$C$1960,0)),"",INDEX('Compliance Database'!$B$2:$B$1960,MATCH(1537,Engine!$C$2:$C$1960,0)))</f>
        <v/>
      </c>
      <c r="C1550" s="8">
        <f>IF(ISNA(MATCH(1537,Engine!$C$2:$C$1960,0)),"",INDEX('Compliance Database'!$C$2:$C$1960,MATCH(1537,Engine!$C$2:$C$1960,0)))</f>
        <v/>
      </c>
      <c r="D1550" s="9">
        <f>IF(ISNA(MATCH(1537,Engine!$C$2:$C$1960,0)),"",INDEX('Compliance Database'!$D$2:$D$1960,MATCH(1537,Engine!$C$2:$C$1960,0)))</f>
        <v/>
      </c>
      <c r="E1550" s="8">
        <f>IF(ISNA(MATCH(1537,Engine!$C$2:$C$1960,0)),"",INDEX('Compliance Database'!$E$2:$E$1960,MATCH(1537,Engine!$C$2:$C$1960,0)))</f>
        <v/>
      </c>
      <c r="F1550" s="8">
        <f>IF(ISNA(MATCH(1537,Engine!$C$2:$C$1960,0)),"",INDEX('Compliance Database'!$F$2:$F$1960,MATCH(1537,Engine!$C$2:$C$1960,0)))</f>
        <v/>
      </c>
      <c r="G1550" s="8">
        <f>IF(ISNA(MATCH(1537,Engine!$C$2:$C$1960,0)),"",INDEX('Compliance Database'!$G$2:$G$1960,MATCH(1537,Engine!$C$2:$C$1960,0)))</f>
        <v/>
      </c>
      <c r="H1550" s="9">
        <f>IF(ISNA(MATCH(1537,Engine!$C$2:$C$1960,0)),"",INDEX('Compliance Database'!$H$2:$H$1960,MATCH(1537,Engine!$C$2:$C$1960,0)))</f>
        <v/>
      </c>
      <c r="I1550" s="9">
        <f>IF(ISNA(MATCH(1537,Engine!$C$2:$C$1960,0)),"",INDEX('Compliance Database'!$I$2:$I$1960,MATCH(1537,Engine!$C$2:$C$1960,0)))</f>
        <v/>
      </c>
      <c r="J1550" s="8">
        <f>IF(ISNA(MATCH(1537,Engine!$C$2:$C$1960,0)),"",INDEX('Compliance Database'!$J$2:$J$1960,MATCH(1537,Engine!$C$2:$C$1960,0)))</f>
        <v/>
      </c>
      <c r="K1550" s="9">
        <f>IF(ISNA(MATCH(1537,Engine!$C$2:$C$1960,0)),"",INDEX('Compliance Database'!$K$2:$K$1960,MATCH(1537,Engine!$C$2:$C$1960,0)))</f>
        <v/>
      </c>
      <c r="L1550" s="9">
        <f>IF(ISNA(MATCH(1537,Engine!$C$2:$C$1960,0)),"",INDEX('Compliance Database'!$L$2:$L$1960,MATCH(1537,Engine!$C$2:$C$1960,0)))</f>
        <v/>
      </c>
      <c r="M1550" s="9">
        <f>IF(ISNA(MATCH(1537,Engine!$C$2:$C$1960,0)),"",INDEX('Compliance Database'!$M$2:$M$1960,MATCH(1537,Engine!$C$2:$C$1960,0)))</f>
        <v/>
      </c>
      <c r="N1550" s="9">
        <f>IF(ISNA(MATCH(1537,Engine!$C$2:$C$1960,0)),"",INDEX('Compliance Database'!$N$2:$N$1960,MATCH(1537,Engine!$C$2:$C$1960,0)))</f>
        <v/>
      </c>
      <c r="O1550" s="9">
        <f>IF(ISNA(MATCH(1537,Engine!$C$2:$C$1960,0)),"",INDEX('Compliance Database'!$O$2:$O$1960,MATCH(1537,Engine!$C$2:$C$1960,0)))</f>
        <v/>
      </c>
      <c r="P1550" s="8">
        <f>IF(ISNA(MATCH(1537,Engine!$C$2:$C$1960,0)),"",HYPERLINK("#Acts!A"&amp;INDEX('Compliance Database'!$P$2:$P$1960,MATCH(1537,Engine!$C$2:$C$1960,0)),"Go to Act"))</f>
        <v/>
      </c>
    </row>
    <row r="1551" ht="158" customHeight="1">
      <c r="A1551" s="8">
        <f>IF(ISNA(MATCH(1538,Engine!$C$2:$C$1960,0)),"",INDEX('Compliance Database'!$A$2:$A$1960,MATCH(1538,Engine!$C$2:$C$1960,0)))</f>
        <v/>
      </c>
      <c r="B1551" s="8">
        <f>IF(ISNA(MATCH(1538,Engine!$C$2:$C$1960,0)),"",INDEX('Compliance Database'!$B$2:$B$1960,MATCH(1538,Engine!$C$2:$C$1960,0)))</f>
        <v/>
      </c>
      <c r="C1551" s="8">
        <f>IF(ISNA(MATCH(1538,Engine!$C$2:$C$1960,0)),"",INDEX('Compliance Database'!$C$2:$C$1960,MATCH(1538,Engine!$C$2:$C$1960,0)))</f>
        <v/>
      </c>
      <c r="D1551" s="9">
        <f>IF(ISNA(MATCH(1538,Engine!$C$2:$C$1960,0)),"",INDEX('Compliance Database'!$D$2:$D$1960,MATCH(1538,Engine!$C$2:$C$1960,0)))</f>
        <v/>
      </c>
      <c r="E1551" s="8">
        <f>IF(ISNA(MATCH(1538,Engine!$C$2:$C$1960,0)),"",INDEX('Compliance Database'!$E$2:$E$1960,MATCH(1538,Engine!$C$2:$C$1960,0)))</f>
        <v/>
      </c>
      <c r="F1551" s="8">
        <f>IF(ISNA(MATCH(1538,Engine!$C$2:$C$1960,0)),"",INDEX('Compliance Database'!$F$2:$F$1960,MATCH(1538,Engine!$C$2:$C$1960,0)))</f>
        <v/>
      </c>
      <c r="G1551" s="8">
        <f>IF(ISNA(MATCH(1538,Engine!$C$2:$C$1960,0)),"",INDEX('Compliance Database'!$G$2:$G$1960,MATCH(1538,Engine!$C$2:$C$1960,0)))</f>
        <v/>
      </c>
      <c r="H1551" s="9">
        <f>IF(ISNA(MATCH(1538,Engine!$C$2:$C$1960,0)),"",INDEX('Compliance Database'!$H$2:$H$1960,MATCH(1538,Engine!$C$2:$C$1960,0)))</f>
        <v/>
      </c>
      <c r="I1551" s="9">
        <f>IF(ISNA(MATCH(1538,Engine!$C$2:$C$1960,0)),"",INDEX('Compliance Database'!$I$2:$I$1960,MATCH(1538,Engine!$C$2:$C$1960,0)))</f>
        <v/>
      </c>
      <c r="J1551" s="8">
        <f>IF(ISNA(MATCH(1538,Engine!$C$2:$C$1960,0)),"",INDEX('Compliance Database'!$J$2:$J$1960,MATCH(1538,Engine!$C$2:$C$1960,0)))</f>
        <v/>
      </c>
      <c r="K1551" s="9">
        <f>IF(ISNA(MATCH(1538,Engine!$C$2:$C$1960,0)),"",INDEX('Compliance Database'!$K$2:$K$1960,MATCH(1538,Engine!$C$2:$C$1960,0)))</f>
        <v/>
      </c>
      <c r="L1551" s="9">
        <f>IF(ISNA(MATCH(1538,Engine!$C$2:$C$1960,0)),"",INDEX('Compliance Database'!$L$2:$L$1960,MATCH(1538,Engine!$C$2:$C$1960,0)))</f>
        <v/>
      </c>
      <c r="M1551" s="9">
        <f>IF(ISNA(MATCH(1538,Engine!$C$2:$C$1960,0)),"",INDEX('Compliance Database'!$M$2:$M$1960,MATCH(1538,Engine!$C$2:$C$1960,0)))</f>
        <v/>
      </c>
      <c r="N1551" s="9">
        <f>IF(ISNA(MATCH(1538,Engine!$C$2:$C$1960,0)),"",INDEX('Compliance Database'!$N$2:$N$1960,MATCH(1538,Engine!$C$2:$C$1960,0)))</f>
        <v/>
      </c>
      <c r="O1551" s="9">
        <f>IF(ISNA(MATCH(1538,Engine!$C$2:$C$1960,0)),"",INDEX('Compliance Database'!$O$2:$O$1960,MATCH(1538,Engine!$C$2:$C$1960,0)))</f>
        <v/>
      </c>
      <c r="P1551" s="8">
        <f>IF(ISNA(MATCH(1538,Engine!$C$2:$C$1960,0)),"",HYPERLINK("#Acts!A"&amp;INDEX('Compliance Database'!$P$2:$P$1960,MATCH(1538,Engine!$C$2:$C$1960,0)),"Go to Act"))</f>
        <v/>
      </c>
    </row>
    <row r="1552" ht="158" customHeight="1">
      <c r="A1552" s="8">
        <f>IF(ISNA(MATCH(1539,Engine!$C$2:$C$1960,0)),"",INDEX('Compliance Database'!$A$2:$A$1960,MATCH(1539,Engine!$C$2:$C$1960,0)))</f>
        <v/>
      </c>
      <c r="B1552" s="8">
        <f>IF(ISNA(MATCH(1539,Engine!$C$2:$C$1960,0)),"",INDEX('Compliance Database'!$B$2:$B$1960,MATCH(1539,Engine!$C$2:$C$1960,0)))</f>
        <v/>
      </c>
      <c r="C1552" s="8">
        <f>IF(ISNA(MATCH(1539,Engine!$C$2:$C$1960,0)),"",INDEX('Compliance Database'!$C$2:$C$1960,MATCH(1539,Engine!$C$2:$C$1960,0)))</f>
        <v/>
      </c>
      <c r="D1552" s="9">
        <f>IF(ISNA(MATCH(1539,Engine!$C$2:$C$1960,0)),"",INDEX('Compliance Database'!$D$2:$D$1960,MATCH(1539,Engine!$C$2:$C$1960,0)))</f>
        <v/>
      </c>
      <c r="E1552" s="8">
        <f>IF(ISNA(MATCH(1539,Engine!$C$2:$C$1960,0)),"",INDEX('Compliance Database'!$E$2:$E$1960,MATCH(1539,Engine!$C$2:$C$1960,0)))</f>
        <v/>
      </c>
      <c r="F1552" s="8">
        <f>IF(ISNA(MATCH(1539,Engine!$C$2:$C$1960,0)),"",INDEX('Compliance Database'!$F$2:$F$1960,MATCH(1539,Engine!$C$2:$C$1960,0)))</f>
        <v/>
      </c>
      <c r="G1552" s="8">
        <f>IF(ISNA(MATCH(1539,Engine!$C$2:$C$1960,0)),"",INDEX('Compliance Database'!$G$2:$G$1960,MATCH(1539,Engine!$C$2:$C$1960,0)))</f>
        <v/>
      </c>
      <c r="H1552" s="9">
        <f>IF(ISNA(MATCH(1539,Engine!$C$2:$C$1960,0)),"",INDEX('Compliance Database'!$H$2:$H$1960,MATCH(1539,Engine!$C$2:$C$1960,0)))</f>
        <v/>
      </c>
      <c r="I1552" s="9">
        <f>IF(ISNA(MATCH(1539,Engine!$C$2:$C$1960,0)),"",INDEX('Compliance Database'!$I$2:$I$1960,MATCH(1539,Engine!$C$2:$C$1960,0)))</f>
        <v/>
      </c>
      <c r="J1552" s="8">
        <f>IF(ISNA(MATCH(1539,Engine!$C$2:$C$1960,0)),"",INDEX('Compliance Database'!$J$2:$J$1960,MATCH(1539,Engine!$C$2:$C$1960,0)))</f>
        <v/>
      </c>
      <c r="K1552" s="9">
        <f>IF(ISNA(MATCH(1539,Engine!$C$2:$C$1960,0)),"",INDEX('Compliance Database'!$K$2:$K$1960,MATCH(1539,Engine!$C$2:$C$1960,0)))</f>
        <v/>
      </c>
      <c r="L1552" s="9">
        <f>IF(ISNA(MATCH(1539,Engine!$C$2:$C$1960,0)),"",INDEX('Compliance Database'!$L$2:$L$1960,MATCH(1539,Engine!$C$2:$C$1960,0)))</f>
        <v/>
      </c>
      <c r="M1552" s="9">
        <f>IF(ISNA(MATCH(1539,Engine!$C$2:$C$1960,0)),"",INDEX('Compliance Database'!$M$2:$M$1960,MATCH(1539,Engine!$C$2:$C$1960,0)))</f>
        <v/>
      </c>
      <c r="N1552" s="9">
        <f>IF(ISNA(MATCH(1539,Engine!$C$2:$C$1960,0)),"",INDEX('Compliance Database'!$N$2:$N$1960,MATCH(1539,Engine!$C$2:$C$1960,0)))</f>
        <v/>
      </c>
      <c r="O1552" s="9">
        <f>IF(ISNA(MATCH(1539,Engine!$C$2:$C$1960,0)),"",INDEX('Compliance Database'!$O$2:$O$1960,MATCH(1539,Engine!$C$2:$C$1960,0)))</f>
        <v/>
      </c>
      <c r="P1552" s="8">
        <f>IF(ISNA(MATCH(1539,Engine!$C$2:$C$1960,0)),"",HYPERLINK("#Acts!A"&amp;INDEX('Compliance Database'!$P$2:$P$1960,MATCH(1539,Engine!$C$2:$C$1960,0)),"Go to Act"))</f>
        <v/>
      </c>
    </row>
    <row r="1553" ht="158" customHeight="1">
      <c r="A1553" s="8">
        <f>IF(ISNA(MATCH(1540,Engine!$C$2:$C$1960,0)),"",INDEX('Compliance Database'!$A$2:$A$1960,MATCH(1540,Engine!$C$2:$C$1960,0)))</f>
        <v/>
      </c>
      <c r="B1553" s="8">
        <f>IF(ISNA(MATCH(1540,Engine!$C$2:$C$1960,0)),"",INDEX('Compliance Database'!$B$2:$B$1960,MATCH(1540,Engine!$C$2:$C$1960,0)))</f>
        <v/>
      </c>
      <c r="C1553" s="8">
        <f>IF(ISNA(MATCH(1540,Engine!$C$2:$C$1960,0)),"",INDEX('Compliance Database'!$C$2:$C$1960,MATCH(1540,Engine!$C$2:$C$1960,0)))</f>
        <v/>
      </c>
      <c r="D1553" s="9">
        <f>IF(ISNA(MATCH(1540,Engine!$C$2:$C$1960,0)),"",INDEX('Compliance Database'!$D$2:$D$1960,MATCH(1540,Engine!$C$2:$C$1960,0)))</f>
        <v/>
      </c>
      <c r="E1553" s="8">
        <f>IF(ISNA(MATCH(1540,Engine!$C$2:$C$1960,0)),"",INDEX('Compliance Database'!$E$2:$E$1960,MATCH(1540,Engine!$C$2:$C$1960,0)))</f>
        <v/>
      </c>
      <c r="F1553" s="8">
        <f>IF(ISNA(MATCH(1540,Engine!$C$2:$C$1960,0)),"",INDEX('Compliance Database'!$F$2:$F$1960,MATCH(1540,Engine!$C$2:$C$1960,0)))</f>
        <v/>
      </c>
      <c r="G1553" s="8">
        <f>IF(ISNA(MATCH(1540,Engine!$C$2:$C$1960,0)),"",INDEX('Compliance Database'!$G$2:$G$1960,MATCH(1540,Engine!$C$2:$C$1960,0)))</f>
        <v/>
      </c>
      <c r="H1553" s="9">
        <f>IF(ISNA(MATCH(1540,Engine!$C$2:$C$1960,0)),"",INDEX('Compliance Database'!$H$2:$H$1960,MATCH(1540,Engine!$C$2:$C$1960,0)))</f>
        <v/>
      </c>
      <c r="I1553" s="9">
        <f>IF(ISNA(MATCH(1540,Engine!$C$2:$C$1960,0)),"",INDEX('Compliance Database'!$I$2:$I$1960,MATCH(1540,Engine!$C$2:$C$1960,0)))</f>
        <v/>
      </c>
      <c r="J1553" s="8">
        <f>IF(ISNA(MATCH(1540,Engine!$C$2:$C$1960,0)),"",INDEX('Compliance Database'!$J$2:$J$1960,MATCH(1540,Engine!$C$2:$C$1960,0)))</f>
        <v/>
      </c>
      <c r="K1553" s="9">
        <f>IF(ISNA(MATCH(1540,Engine!$C$2:$C$1960,0)),"",INDEX('Compliance Database'!$K$2:$K$1960,MATCH(1540,Engine!$C$2:$C$1960,0)))</f>
        <v/>
      </c>
      <c r="L1553" s="9">
        <f>IF(ISNA(MATCH(1540,Engine!$C$2:$C$1960,0)),"",INDEX('Compliance Database'!$L$2:$L$1960,MATCH(1540,Engine!$C$2:$C$1960,0)))</f>
        <v/>
      </c>
      <c r="M1553" s="9">
        <f>IF(ISNA(MATCH(1540,Engine!$C$2:$C$1960,0)),"",INDEX('Compliance Database'!$M$2:$M$1960,MATCH(1540,Engine!$C$2:$C$1960,0)))</f>
        <v/>
      </c>
      <c r="N1553" s="9">
        <f>IF(ISNA(MATCH(1540,Engine!$C$2:$C$1960,0)),"",INDEX('Compliance Database'!$N$2:$N$1960,MATCH(1540,Engine!$C$2:$C$1960,0)))</f>
        <v/>
      </c>
      <c r="O1553" s="9">
        <f>IF(ISNA(MATCH(1540,Engine!$C$2:$C$1960,0)),"",INDEX('Compliance Database'!$O$2:$O$1960,MATCH(1540,Engine!$C$2:$C$1960,0)))</f>
        <v/>
      </c>
      <c r="P1553" s="8">
        <f>IF(ISNA(MATCH(1540,Engine!$C$2:$C$1960,0)),"",HYPERLINK("#Acts!A"&amp;INDEX('Compliance Database'!$P$2:$P$1960,MATCH(1540,Engine!$C$2:$C$1960,0)),"Go to Act"))</f>
        <v/>
      </c>
    </row>
    <row r="1554" ht="158" customHeight="1">
      <c r="A1554" s="8">
        <f>IF(ISNA(MATCH(1541,Engine!$C$2:$C$1960,0)),"",INDEX('Compliance Database'!$A$2:$A$1960,MATCH(1541,Engine!$C$2:$C$1960,0)))</f>
        <v/>
      </c>
      <c r="B1554" s="8">
        <f>IF(ISNA(MATCH(1541,Engine!$C$2:$C$1960,0)),"",INDEX('Compliance Database'!$B$2:$B$1960,MATCH(1541,Engine!$C$2:$C$1960,0)))</f>
        <v/>
      </c>
      <c r="C1554" s="8">
        <f>IF(ISNA(MATCH(1541,Engine!$C$2:$C$1960,0)),"",INDEX('Compliance Database'!$C$2:$C$1960,MATCH(1541,Engine!$C$2:$C$1960,0)))</f>
        <v/>
      </c>
      <c r="D1554" s="9">
        <f>IF(ISNA(MATCH(1541,Engine!$C$2:$C$1960,0)),"",INDEX('Compliance Database'!$D$2:$D$1960,MATCH(1541,Engine!$C$2:$C$1960,0)))</f>
        <v/>
      </c>
      <c r="E1554" s="8">
        <f>IF(ISNA(MATCH(1541,Engine!$C$2:$C$1960,0)),"",INDEX('Compliance Database'!$E$2:$E$1960,MATCH(1541,Engine!$C$2:$C$1960,0)))</f>
        <v/>
      </c>
      <c r="F1554" s="8">
        <f>IF(ISNA(MATCH(1541,Engine!$C$2:$C$1960,0)),"",INDEX('Compliance Database'!$F$2:$F$1960,MATCH(1541,Engine!$C$2:$C$1960,0)))</f>
        <v/>
      </c>
      <c r="G1554" s="8">
        <f>IF(ISNA(MATCH(1541,Engine!$C$2:$C$1960,0)),"",INDEX('Compliance Database'!$G$2:$G$1960,MATCH(1541,Engine!$C$2:$C$1960,0)))</f>
        <v/>
      </c>
      <c r="H1554" s="9">
        <f>IF(ISNA(MATCH(1541,Engine!$C$2:$C$1960,0)),"",INDEX('Compliance Database'!$H$2:$H$1960,MATCH(1541,Engine!$C$2:$C$1960,0)))</f>
        <v/>
      </c>
      <c r="I1554" s="9">
        <f>IF(ISNA(MATCH(1541,Engine!$C$2:$C$1960,0)),"",INDEX('Compliance Database'!$I$2:$I$1960,MATCH(1541,Engine!$C$2:$C$1960,0)))</f>
        <v/>
      </c>
      <c r="J1554" s="8">
        <f>IF(ISNA(MATCH(1541,Engine!$C$2:$C$1960,0)),"",INDEX('Compliance Database'!$J$2:$J$1960,MATCH(1541,Engine!$C$2:$C$1960,0)))</f>
        <v/>
      </c>
      <c r="K1554" s="9">
        <f>IF(ISNA(MATCH(1541,Engine!$C$2:$C$1960,0)),"",INDEX('Compliance Database'!$K$2:$K$1960,MATCH(1541,Engine!$C$2:$C$1960,0)))</f>
        <v/>
      </c>
      <c r="L1554" s="9">
        <f>IF(ISNA(MATCH(1541,Engine!$C$2:$C$1960,0)),"",INDEX('Compliance Database'!$L$2:$L$1960,MATCH(1541,Engine!$C$2:$C$1960,0)))</f>
        <v/>
      </c>
      <c r="M1554" s="9">
        <f>IF(ISNA(MATCH(1541,Engine!$C$2:$C$1960,0)),"",INDEX('Compliance Database'!$M$2:$M$1960,MATCH(1541,Engine!$C$2:$C$1960,0)))</f>
        <v/>
      </c>
      <c r="N1554" s="9">
        <f>IF(ISNA(MATCH(1541,Engine!$C$2:$C$1960,0)),"",INDEX('Compliance Database'!$N$2:$N$1960,MATCH(1541,Engine!$C$2:$C$1960,0)))</f>
        <v/>
      </c>
      <c r="O1554" s="9">
        <f>IF(ISNA(MATCH(1541,Engine!$C$2:$C$1960,0)),"",INDEX('Compliance Database'!$O$2:$O$1960,MATCH(1541,Engine!$C$2:$C$1960,0)))</f>
        <v/>
      </c>
      <c r="P1554" s="8">
        <f>IF(ISNA(MATCH(1541,Engine!$C$2:$C$1960,0)),"",HYPERLINK("#Acts!A"&amp;INDEX('Compliance Database'!$P$2:$P$1960,MATCH(1541,Engine!$C$2:$C$1960,0)),"Go to Act"))</f>
        <v/>
      </c>
    </row>
    <row r="1555" ht="158" customHeight="1">
      <c r="A1555" s="8">
        <f>IF(ISNA(MATCH(1542,Engine!$C$2:$C$1960,0)),"",INDEX('Compliance Database'!$A$2:$A$1960,MATCH(1542,Engine!$C$2:$C$1960,0)))</f>
        <v/>
      </c>
      <c r="B1555" s="8">
        <f>IF(ISNA(MATCH(1542,Engine!$C$2:$C$1960,0)),"",INDEX('Compliance Database'!$B$2:$B$1960,MATCH(1542,Engine!$C$2:$C$1960,0)))</f>
        <v/>
      </c>
      <c r="C1555" s="8">
        <f>IF(ISNA(MATCH(1542,Engine!$C$2:$C$1960,0)),"",INDEX('Compliance Database'!$C$2:$C$1960,MATCH(1542,Engine!$C$2:$C$1960,0)))</f>
        <v/>
      </c>
      <c r="D1555" s="9">
        <f>IF(ISNA(MATCH(1542,Engine!$C$2:$C$1960,0)),"",INDEX('Compliance Database'!$D$2:$D$1960,MATCH(1542,Engine!$C$2:$C$1960,0)))</f>
        <v/>
      </c>
      <c r="E1555" s="8">
        <f>IF(ISNA(MATCH(1542,Engine!$C$2:$C$1960,0)),"",INDEX('Compliance Database'!$E$2:$E$1960,MATCH(1542,Engine!$C$2:$C$1960,0)))</f>
        <v/>
      </c>
      <c r="F1555" s="8">
        <f>IF(ISNA(MATCH(1542,Engine!$C$2:$C$1960,0)),"",INDEX('Compliance Database'!$F$2:$F$1960,MATCH(1542,Engine!$C$2:$C$1960,0)))</f>
        <v/>
      </c>
      <c r="G1555" s="8">
        <f>IF(ISNA(MATCH(1542,Engine!$C$2:$C$1960,0)),"",INDEX('Compliance Database'!$G$2:$G$1960,MATCH(1542,Engine!$C$2:$C$1960,0)))</f>
        <v/>
      </c>
      <c r="H1555" s="9">
        <f>IF(ISNA(MATCH(1542,Engine!$C$2:$C$1960,0)),"",INDEX('Compliance Database'!$H$2:$H$1960,MATCH(1542,Engine!$C$2:$C$1960,0)))</f>
        <v/>
      </c>
      <c r="I1555" s="9">
        <f>IF(ISNA(MATCH(1542,Engine!$C$2:$C$1960,0)),"",INDEX('Compliance Database'!$I$2:$I$1960,MATCH(1542,Engine!$C$2:$C$1960,0)))</f>
        <v/>
      </c>
      <c r="J1555" s="8">
        <f>IF(ISNA(MATCH(1542,Engine!$C$2:$C$1960,0)),"",INDEX('Compliance Database'!$J$2:$J$1960,MATCH(1542,Engine!$C$2:$C$1960,0)))</f>
        <v/>
      </c>
      <c r="K1555" s="9">
        <f>IF(ISNA(MATCH(1542,Engine!$C$2:$C$1960,0)),"",INDEX('Compliance Database'!$K$2:$K$1960,MATCH(1542,Engine!$C$2:$C$1960,0)))</f>
        <v/>
      </c>
      <c r="L1555" s="9">
        <f>IF(ISNA(MATCH(1542,Engine!$C$2:$C$1960,0)),"",INDEX('Compliance Database'!$L$2:$L$1960,MATCH(1542,Engine!$C$2:$C$1960,0)))</f>
        <v/>
      </c>
      <c r="M1555" s="9">
        <f>IF(ISNA(MATCH(1542,Engine!$C$2:$C$1960,0)),"",INDEX('Compliance Database'!$M$2:$M$1960,MATCH(1542,Engine!$C$2:$C$1960,0)))</f>
        <v/>
      </c>
      <c r="N1555" s="9">
        <f>IF(ISNA(MATCH(1542,Engine!$C$2:$C$1960,0)),"",INDEX('Compliance Database'!$N$2:$N$1960,MATCH(1542,Engine!$C$2:$C$1960,0)))</f>
        <v/>
      </c>
      <c r="O1555" s="9">
        <f>IF(ISNA(MATCH(1542,Engine!$C$2:$C$1960,0)),"",INDEX('Compliance Database'!$O$2:$O$1960,MATCH(1542,Engine!$C$2:$C$1960,0)))</f>
        <v/>
      </c>
      <c r="P1555" s="8">
        <f>IF(ISNA(MATCH(1542,Engine!$C$2:$C$1960,0)),"",HYPERLINK("#Acts!A"&amp;INDEX('Compliance Database'!$P$2:$P$1960,MATCH(1542,Engine!$C$2:$C$1960,0)),"Go to Act"))</f>
        <v/>
      </c>
    </row>
    <row r="1556" ht="158" customHeight="1">
      <c r="A1556" s="8">
        <f>IF(ISNA(MATCH(1543,Engine!$C$2:$C$1960,0)),"",INDEX('Compliance Database'!$A$2:$A$1960,MATCH(1543,Engine!$C$2:$C$1960,0)))</f>
        <v/>
      </c>
      <c r="B1556" s="8">
        <f>IF(ISNA(MATCH(1543,Engine!$C$2:$C$1960,0)),"",INDEX('Compliance Database'!$B$2:$B$1960,MATCH(1543,Engine!$C$2:$C$1960,0)))</f>
        <v/>
      </c>
      <c r="C1556" s="8">
        <f>IF(ISNA(MATCH(1543,Engine!$C$2:$C$1960,0)),"",INDEX('Compliance Database'!$C$2:$C$1960,MATCH(1543,Engine!$C$2:$C$1960,0)))</f>
        <v/>
      </c>
      <c r="D1556" s="9">
        <f>IF(ISNA(MATCH(1543,Engine!$C$2:$C$1960,0)),"",INDEX('Compliance Database'!$D$2:$D$1960,MATCH(1543,Engine!$C$2:$C$1960,0)))</f>
        <v/>
      </c>
      <c r="E1556" s="8">
        <f>IF(ISNA(MATCH(1543,Engine!$C$2:$C$1960,0)),"",INDEX('Compliance Database'!$E$2:$E$1960,MATCH(1543,Engine!$C$2:$C$1960,0)))</f>
        <v/>
      </c>
      <c r="F1556" s="8">
        <f>IF(ISNA(MATCH(1543,Engine!$C$2:$C$1960,0)),"",INDEX('Compliance Database'!$F$2:$F$1960,MATCH(1543,Engine!$C$2:$C$1960,0)))</f>
        <v/>
      </c>
      <c r="G1556" s="8">
        <f>IF(ISNA(MATCH(1543,Engine!$C$2:$C$1960,0)),"",INDEX('Compliance Database'!$G$2:$G$1960,MATCH(1543,Engine!$C$2:$C$1960,0)))</f>
        <v/>
      </c>
      <c r="H1556" s="9">
        <f>IF(ISNA(MATCH(1543,Engine!$C$2:$C$1960,0)),"",INDEX('Compliance Database'!$H$2:$H$1960,MATCH(1543,Engine!$C$2:$C$1960,0)))</f>
        <v/>
      </c>
      <c r="I1556" s="9">
        <f>IF(ISNA(MATCH(1543,Engine!$C$2:$C$1960,0)),"",INDEX('Compliance Database'!$I$2:$I$1960,MATCH(1543,Engine!$C$2:$C$1960,0)))</f>
        <v/>
      </c>
      <c r="J1556" s="8">
        <f>IF(ISNA(MATCH(1543,Engine!$C$2:$C$1960,0)),"",INDEX('Compliance Database'!$J$2:$J$1960,MATCH(1543,Engine!$C$2:$C$1960,0)))</f>
        <v/>
      </c>
      <c r="K1556" s="9">
        <f>IF(ISNA(MATCH(1543,Engine!$C$2:$C$1960,0)),"",INDEX('Compliance Database'!$K$2:$K$1960,MATCH(1543,Engine!$C$2:$C$1960,0)))</f>
        <v/>
      </c>
      <c r="L1556" s="9">
        <f>IF(ISNA(MATCH(1543,Engine!$C$2:$C$1960,0)),"",INDEX('Compliance Database'!$L$2:$L$1960,MATCH(1543,Engine!$C$2:$C$1960,0)))</f>
        <v/>
      </c>
      <c r="M1556" s="9">
        <f>IF(ISNA(MATCH(1543,Engine!$C$2:$C$1960,0)),"",INDEX('Compliance Database'!$M$2:$M$1960,MATCH(1543,Engine!$C$2:$C$1960,0)))</f>
        <v/>
      </c>
      <c r="N1556" s="9">
        <f>IF(ISNA(MATCH(1543,Engine!$C$2:$C$1960,0)),"",INDEX('Compliance Database'!$N$2:$N$1960,MATCH(1543,Engine!$C$2:$C$1960,0)))</f>
        <v/>
      </c>
      <c r="O1556" s="9">
        <f>IF(ISNA(MATCH(1543,Engine!$C$2:$C$1960,0)),"",INDEX('Compliance Database'!$O$2:$O$1960,MATCH(1543,Engine!$C$2:$C$1960,0)))</f>
        <v/>
      </c>
      <c r="P1556" s="8">
        <f>IF(ISNA(MATCH(1543,Engine!$C$2:$C$1960,0)),"",HYPERLINK("#Acts!A"&amp;INDEX('Compliance Database'!$P$2:$P$1960,MATCH(1543,Engine!$C$2:$C$1960,0)),"Go to Act"))</f>
        <v/>
      </c>
    </row>
    <row r="1557" ht="158" customHeight="1">
      <c r="A1557" s="8">
        <f>IF(ISNA(MATCH(1544,Engine!$C$2:$C$1960,0)),"",INDEX('Compliance Database'!$A$2:$A$1960,MATCH(1544,Engine!$C$2:$C$1960,0)))</f>
        <v/>
      </c>
      <c r="B1557" s="8">
        <f>IF(ISNA(MATCH(1544,Engine!$C$2:$C$1960,0)),"",INDEX('Compliance Database'!$B$2:$B$1960,MATCH(1544,Engine!$C$2:$C$1960,0)))</f>
        <v/>
      </c>
      <c r="C1557" s="8">
        <f>IF(ISNA(MATCH(1544,Engine!$C$2:$C$1960,0)),"",INDEX('Compliance Database'!$C$2:$C$1960,MATCH(1544,Engine!$C$2:$C$1960,0)))</f>
        <v/>
      </c>
      <c r="D1557" s="9">
        <f>IF(ISNA(MATCH(1544,Engine!$C$2:$C$1960,0)),"",INDEX('Compliance Database'!$D$2:$D$1960,MATCH(1544,Engine!$C$2:$C$1960,0)))</f>
        <v/>
      </c>
      <c r="E1557" s="8">
        <f>IF(ISNA(MATCH(1544,Engine!$C$2:$C$1960,0)),"",INDEX('Compliance Database'!$E$2:$E$1960,MATCH(1544,Engine!$C$2:$C$1960,0)))</f>
        <v/>
      </c>
      <c r="F1557" s="8">
        <f>IF(ISNA(MATCH(1544,Engine!$C$2:$C$1960,0)),"",INDEX('Compliance Database'!$F$2:$F$1960,MATCH(1544,Engine!$C$2:$C$1960,0)))</f>
        <v/>
      </c>
      <c r="G1557" s="8">
        <f>IF(ISNA(MATCH(1544,Engine!$C$2:$C$1960,0)),"",INDEX('Compliance Database'!$G$2:$G$1960,MATCH(1544,Engine!$C$2:$C$1960,0)))</f>
        <v/>
      </c>
      <c r="H1557" s="9">
        <f>IF(ISNA(MATCH(1544,Engine!$C$2:$C$1960,0)),"",INDEX('Compliance Database'!$H$2:$H$1960,MATCH(1544,Engine!$C$2:$C$1960,0)))</f>
        <v/>
      </c>
      <c r="I1557" s="9">
        <f>IF(ISNA(MATCH(1544,Engine!$C$2:$C$1960,0)),"",INDEX('Compliance Database'!$I$2:$I$1960,MATCH(1544,Engine!$C$2:$C$1960,0)))</f>
        <v/>
      </c>
      <c r="J1557" s="8">
        <f>IF(ISNA(MATCH(1544,Engine!$C$2:$C$1960,0)),"",INDEX('Compliance Database'!$J$2:$J$1960,MATCH(1544,Engine!$C$2:$C$1960,0)))</f>
        <v/>
      </c>
      <c r="K1557" s="9">
        <f>IF(ISNA(MATCH(1544,Engine!$C$2:$C$1960,0)),"",INDEX('Compliance Database'!$K$2:$K$1960,MATCH(1544,Engine!$C$2:$C$1960,0)))</f>
        <v/>
      </c>
      <c r="L1557" s="9">
        <f>IF(ISNA(MATCH(1544,Engine!$C$2:$C$1960,0)),"",INDEX('Compliance Database'!$L$2:$L$1960,MATCH(1544,Engine!$C$2:$C$1960,0)))</f>
        <v/>
      </c>
      <c r="M1557" s="9">
        <f>IF(ISNA(MATCH(1544,Engine!$C$2:$C$1960,0)),"",INDEX('Compliance Database'!$M$2:$M$1960,MATCH(1544,Engine!$C$2:$C$1960,0)))</f>
        <v/>
      </c>
      <c r="N1557" s="9">
        <f>IF(ISNA(MATCH(1544,Engine!$C$2:$C$1960,0)),"",INDEX('Compliance Database'!$N$2:$N$1960,MATCH(1544,Engine!$C$2:$C$1960,0)))</f>
        <v/>
      </c>
      <c r="O1557" s="9">
        <f>IF(ISNA(MATCH(1544,Engine!$C$2:$C$1960,0)),"",INDEX('Compliance Database'!$O$2:$O$1960,MATCH(1544,Engine!$C$2:$C$1960,0)))</f>
        <v/>
      </c>
      <c r="P1557" s="8">
        <f>IF(ISNA(MATCH(1544,Engine!$C$2:$C$1960,0)),"",HYPERLINK("#Acts!A"&amp;INDEX('Compliance Database'!$P$2:$P$1960,MATCH(1544,Engine!$C$2:$C$1960,0)),"Go to Act"))</f>
        <v/>
      </c>
    </row>
    <row r="1558" ht="158" customHeight="1">
      <c r="A1558" s="8">
        <f>IF(ISNA(MATCH(1545,Engine!$C$2:$C$1960,0)),"",INDEX('Compliance Database'!$A$2:$A$1960,MATCH(1545,Engine!$C$2:$C$1960,0)))</f>
        <v/>
      </c>
      <c r="B1558" s="8">
        <f>IF(ISNA(MATCH(1545,Engine!$C$2:$C$1960,0)),"",INDEX('Compliance Database'!$B$2:$B$1960,MATCH(1545,Engine!$C$2:$C$1960,0)))</f>
        <v/>
      </c>
      <c r="C1558" s="8">
        <f>IF(ISNA(MATCH(1545,Engine!$C$2:$C$1960,0)),"",INDEX('Compliance Database'!$C$2:$C$1960,MATCH(1545,Engine!$C$2:$C$1960,0)))</f>
        <v/>
      </c>
      <c r="D1558" s="9">
        <f>IF(ISNA(MATCH(1545,Engine!$C$2:$C$1960,0)),"",INDEX('Compliance Database'!$D$2:$D$1960,MATCH(1545,Engine!$C$2:$C$1960,0)))</f>
        <v/>
      </c>
      <c r="E1558" s="8">
        <f>IF(ISNA(MATCH(1545,Engine!$C$2:$C$1960,0)),"",INDEX('Compliance Database'!$E$2:$E$1960,MATCH(1545,Engine!$C$2:$C$1960,0)))</f>
        <v/>
      </c>
      <c r="F1558" s="8">
        <f>IF(ISNA(MATCH(1545,Engine!$C$2:$C$1960,0)),"",INDEX('Compliance Database'!$F$2:$F$1960,MATCH(1545,Engine!$C$2:$C$1960,0)))</f>
        <v/>
      </c>
      <c r="G1558" s="8">
        <f>IF(ISNA(MATCH(1545,Engine!$C$2:$C$1960,0)),"",INDEX('Compliance Database'!$G$2:$G$1960,MATCH(1545,Engine!$C$2:$C$1960,0)))</f>
        <v/>
      </c>
      <c r="H1558" s="9">
        <f>IF(ISNA(MATCH(1545,Engine!$C$2:$C$1960,0)),"",INDEX('Compliance Database'!$H$2:$H$1960,MATCH(1545,Engine!$C$2:$C$1960,0)))</f>
        <v/>
      </c>
      <c r="I1558" s="9">
        <f>IF(ISNA(MATCH(1545,Engine!$C$2:$C$1960,0)),"",INDEX('Compliance Database'!$I$2:$I$1960,MATCH(1545,Engine!$C$2:$C$1960,0)))</f>
        <v/>
      </c>
      <c r="J1558" s="8">
        <f>IF(ISNA(MATCH(1545,Engine!$C$2:$C$1960,0)),"",INDEX('Compliance Database'!$J$2:$J$1960,MATCH(1545,Engine!$C$2:$C$1960,0)))</f>
        <v/>
      </c>
      <c r="K1558" s="9">
        <f>IF(ISNA(MATCH(1545,Engine!$C$2:$C$1960,0)),"",INDEX('Compliance Database'!$K$2:$K$1960,MATCH(1545,Engine!$C$2:$C$1960,0)))</f>
        <v/>
      </c>
      <c r="L1558" s="9">
        <f>IF(ISNA(MATCH(1545,Engine!$C$2:$C$1960,0)),"",INDEX('Compliance Database'!$L$2:$L$1960,MATCH(1545,Engine!$C$2:$C$1960,0)))</f>
        <v/>
      </c>
      <c r="M1558" s="9">
        <f>IF(ISNA(MATCH(1545,Engine!$C$2:$C$1960,0)),"",INDEX('Compliance Database'!$M$2:$M$1960,MATCH(1545,Engine!$C$2:$C$1960,0)))</f>
        <v/>
      </c>
      <c r="N1558" s="9">
        <f>IF(ISNA(MATCH(1545,Engine!$C$2:$C$1960,0)),"",INDEX('Compliance Database'!$N$2:$N$1960,MATCH(1545,Engine!$C$2:$C$1960,0)))</f>
        <v/>
      </c>
      <c r="O1558" s="9">
        <f>IF(ISNA(MATCH(1545,Engine!$C$2:$C$1960,0)),"",INDEX('Compliance Database'!$O$2:$O$1960,MATCH(1545,Engine!$C$2:$C$1960,0)))</f>
        <v/>
      </c>
      <c r="P1558" s="8">
        <f>IF(ISNA(MATCH(1545,Engine!$C$2:$C$1960,0)),"",HYPERLINK("#Acts!A"&amp;INDEX('Compliance Database'!$P$2:$P$1960,MATCH(1545,Engine!$C$2:$C$1960,0)),"Go to Act"))</f>
        <v/>
      </c>
    </row>
    <row r="1559" ht="158" customHeight="1">
      <c r="A1559" s="8">
        <f>IF(ISNA(MATCH(1546,Engine!$C$2:$C$1960,0)),"",INDEX('Compliance Database'!$A$2:$A$1960,MATCH(1546,Engine!$C$2:$C$1960,0)))</f>
        <v/>
      </c>
      <c r="B1559" s="8">
        <f>IF(ISNA(MATCH(1546,Engine!$C$2:$C$1960,0)),"",INDEX('Compliance Database'!$B$2:$B$1960,MATCH(1546,Engine!$C$2:$C$1960,0)))</f>
        <v/>
      </c>
      <c r="C1559" s="8">
        <f>IF(ISNA(MATCH(1546,Engine!$C$2:$C$1960,0)),"",INDEX('Compliance Database'!$C$2:$C$1960,MATCH(1546,Engine!$C$2:$C$1960,0)))</f>
        <v/>
      </c>
      <c r="D1559" s="9">
        <f>IF(ISNA(MATCH(1546,Engine!$C$2:$C$1960,0)),"",INDEX('Compliance Database'!$D$2:$D$1960,MATCH(1546,Engine!$C$2:$C$1960,0)))</f>
        <v/>
      </c>
      <c r="E1559" s="8">
        <f>IF(ISNA(MATCH(1546,Engine!$C$2:$C$1960,0)),"",INDEX('Compliance Database'!$E$2:$E$1960,MATCH(1546,Engine!$C$2:$C$1960,0)))</f>
        <v/>
      </c>
      <c r="F1559" s="8">
        <f>IF(ISNA(MATCH(1546,Engine!$C$2:$C$1960,0)),"",INDEX('Compliance Database'!$F$2:$F$1960,MATCH(1546,Engine!$C$2:$C$1960,0)))</f>
        <v/>
      </c>
      <c r="G1559" s="8">
        <f>IF(ISNA(MATCH(1546,Engine!$C$2:$C$1960,0)),"",INDEX('Compliance Database'!$G$2:$G$1960,MATCH(1546,Engine!$C$2:$C$1960,0)))</f>
        <v/>
      </c>
      <c r="H1559" s="9">
        <f>IF(ISNA(MATCH(1546,Engine!$C$2:$C$1960,0)),"",INDEX('Compliance Database'!$H$2:$H$1960,MATCH(1546,Engine!$C$2:$C$1960,0)))</f>
        <v/>
      </c>
      <c r="I1559" s="9">
        <f>IF(ISNA(MATCH(1546,Engine!$C$2:$C$1960,0)),"",INDEX('Compliance Database'!$I$2:$I$1960,MATCH(1546,Engine!$C$2:$C$1960,0)))</f>
        <v/>
      </c>
      <c r="J1559" s="8">
        <f>IF(ISNA(MATCH(1546,Engine!$C$2:$C$1960,0)),"",INDEX('Compliance Database'!$J$2:$J$1960,MATCH(1546,Engine!$C$2:$C$1960,0)))</f>
        <v/>
      </c>
      <c r="K1559" s="9">
        <f>IF(ISNA(MATCH(1546,Engine!$C$2:$C$1960,0)),"",INDEX('Compliance Database'!$K$2:$K$1960,MATCH(1546,Engine!$C$2:$C$1960,0)))</f>
        <v/>
      </c>
      <c r="L1559" s="9">
        <f>IF(ISNA(MATCH(1546,Engine!$C$2:$C$1960,0)),"",INDEX('Compliance Database'!$L$2:$L$1960,MATCH(1546,Engine!$C$2:$C$1960,0)))</f>
        <v/>
      </c>
      <c r="M1559" s="9">
        <f>IF(ISNA(MATCH(1546,Engine!$C$2:$C$1960,0)),"",INDEX('Compliance Database'!$M$2:$M$1960,MATCH(1546,Engine!$C$2:$C$1960,0)))</f>
        <v/>
      </c>
      <c r="N1559" s="9">
        <f>IF(ISNA(MATCH(1546,Engine!$C$2:$C$1960,0)),"",INDEX('Compliance Database'!$N$2:$N$1960,MATCH(1546,Engine!$C$2:$C$1960,0)))</f>
        <v/>
      </c>
      <c r="O1559" s="9">
        <f>IF(ISNA(MATCH(1546,Engine!$C$2:$C$1960,0)),"",INDEX('Compliance Database'!$O$2:$O$1960,MATCH(1546,Engine!$C$2:$C$1960,0)))</f>
        <v/>
      </c>
      <c r="P1559" s="8">
        <f>IF(ISNA(MATCH(1546,Engine!$C$2:$C$1960,0)),"",HYPERLINK("#Acts!A"&amp;INDEX('Compliance Database'!$P$2:$P$1960,MATCH(1546,Engine!$C$2:$C$1960,0)),"Go to Act"))</f>
        <v/>
      </c>
    </row>
    <row r="1560" ht="158" customHeight="1">
      <c r="A1560" s="8">
        <f>IF(ISNA(MATCH(1547,Engine!$C$2:$C$1960,0)),"",INDEX('Compliance Database'!$A$2:$A$1960,MATCH(1547,Engine!$C$2:$C$1960,0)))</f>
        <v/>
      </c>
      <c r="B1560" s="8">
        <f>IF(ISNA(MATCH(1547,Engine!$C$2:$C$1960,0)),"",INDEX('Compliance Database'!$B$2:$B$1960,MATCH(1547,Engine!$C$2:$C$1960,0)))</f>
        <v/>
      </c>
      <c r="C1560" s="8">
        <f>IF(ISNA(MATCH(1547,Engine!$C$2:$C$1960,0)),"",INDEX('Compliance Database'!$C$2:$C$1960,MATCH(1547,Engine!$C$2:$C$1960,0)))</f>
        <v/>
      </c>
      <c r="D1560" s="9">
        <f>IF(ISNA(MATCH(1547,Engine!$C$2:$C$1960,0)),"",INDEX('Compliance Database'!$D$2:$D$1960,MATCH(1547,Engine!$C$2:$C$1960,0)))</f>
        <v/>
      </c>
      <c r="E1560" s="8">
        <f>IF(ISNA(MATCH(1547,Engine!$C$2:$C$1960,0)),"",INDEX('Compliance Database'!$E$2:$E$1960,MATCH(1547,Engine!$C$2:$C$1960,0)))</f>
        <v/>
      </c>
      <c r="F1560" s="8">
        <f>IF(ISNA(MATCH(1547,Engine!$C$2:$C$1960,0)),"",INDEX('Compliance Database'!$F$2:$F$1960,MATCH(1547,Engine!$C$2:$C$1960,0)))</f>
        <v/>
      </c>
      <c r="G1560" s="8">
        <f>IF(ISNA(MATCH(1547,Engine!$C$2:$C$1960,0)),"",INDEX('Compliance Database'!$G$2:$G$1960,MATCH(1547,Engine!$C$2:$C$1960,0)))</f>
        <v/>
      </c>
      <c r="H1560" s="9">
        <f>IF(ISNA(MATCH(1547,Engine!$C$2:$C$1960,0)),"",INDEX('Compliance Database'!$H$2:$H$1960,MATCH(1547,Engine!$C$2:$C$1960,0)))</f>
        <v/>
      </c>
      <c r="I1560" s="9">
        <f>IF(ISNA(MATCH(1547,Engine!$C$2:$C$1960,0)),"",INDEX('Compliance Database'!$I$2:$I$1960,MATCH(1547,Engine!$C$2:$C$1960,0)))</f>
        <v/>
      </c>
      <c r="J1560" s="8">
        <f>IF(ISNA(MATCH(1547,Engine!$C$2:$C$1960,0)),"",INDEX('Compliance Database'!$J$2:$J$1960,MATCH(1547,Engine!$C$2:$C$1960,0)))</f>
        <v/>
      </c>
      <c r="K1560" s="9">
        <f>IF(ISNA(MATCH(1547,Engine!$C$2:$C$1960,0)),"",INDEX('Compliance Database'!$K$2:$K$1960,MATCH(1547,Engine!$C$2:$C$1960,0)))</f>
        <v/>
      </c>
      <c r="L1560" s="9">
        <f>IF(ISNA(MATCH(1547,Engine!$C$2:$C$1960,0)),"",INDEX('Compliance Database'!$L$2:$L$1960,MATCH(1547,Engine!$C$2:$C$1960,0)))</f>
        <v/>
      </c>
      <c r="M1560" s="9">
        <f>IF(ISNA(MATCH(1547,Engine!$C$2:$C$1960,0)),"",INDEX('Compliance Database'!$M$2:$M$1960,MATCH(1547,Engine!$C$2:$C$1960,0)))</f>
        <v/>
      </c>
      <c r="N1560" s="9">
        <f>IF(ISNA(MATCH(1547,Engine!$C$2:$C$1960,0)),"",INDEX('Compliance Database'!$N$2:$N$1960,MATCH(1547,Engine!$C$2:$C$1960,0)))</f>
        <v/>
      </c>
      <c r="O1560" s="9">
        <f>IF(ISNA(MATCH(1547,Engine!$C$2:$C$1960,0)),"",INDEX('Compliance Database'!$O$2:$O$1960,MATCH(1547,Engine!$C$2:$C$1960,0)))</f>
        <v/>
      </c>
      <c r="P1560" s="8">
        <f>IF(ISNA(MATCH(1547,Engine!$C$2:$C$1960,0)),"",HYPERLINK("#Acts!A"&amp;INDEX('Compliance Database'!$P$2:$P$1960,MATCH(1547,Engine!$C$2:$C$1960,0)),"Go to Act"))</f>
        <v/>
      </c>
    </row>
    <row r="1561" ht="158" customHeight="1">
      <c r="A1561" s="8">
        <f>IF(ISNA(MATCH(1548,Engine!$C$2:$C$1960,0)),"",INDEX('Compliance Database'!$A$2:$A$1960,MATCH(1548,Engine!$C$2:$C$1960,0)))</f>
        <v/>
      </c>
      <c r="B1561" s="8">
        <f>IF(ISNA(MATCH(1548,Engine!$C$2:$C$1960,0)),"",INDEX('Compliance Database'!$B$2:$B$1960,MATCH(1548,Engine!$C$2:$C$1960,0)))</f>
        <v/>
      </c>
      <c r="C1561" s="8">
        <f>IF(ISNA(MATCH(1548,Engine!$C$2:$C$1960,0)),"",INDEX('Compliance Database'!$C$2:$C$1960,MATCH(1548,Engine!$C$2:$C$1960,0)))</f>
        <v/>
      </c>
      <c r="D1561" s="9">
        <f>IF(ISNA(MATCH(1548,Engine!$C$2:$C$1960,0)),"",INDEX('Compliance Database'!$D$2:$D$1960,MATCH(1548,Engine!$C$2:$C$1960,0)))</f>
        <v/>
      </c>
      <c r="E1561" s="8">
        <f>IF(ISNA(MATCH(1548,Engine!$C$2:$C$1960,0)),"",INDEX('Compliance Database'!$E$2:$E$1960,MATCH(1548,Engine!$C$2:$C$1960,0)))</f>
        <v/>
      </c>
      <c r="F1561" s="8">
        <f>IF(ISNA(MATCH(1548,Engine!$C$2:$C$1960,0)),"",INDEX('Compliance Database'!$F$2:$F$1960,MATCH(1548,Engine!$C$2:$C$1960,0)))</f>
        <v/>
      </c>
      <c r="G1561" s="8">
        <f>IF(ISNA(MATCH(1548,Engine!$C$2:$C$1960,0)),"",INDEX('Compliance Database'!$G$2:$G$1960,MATCH(1548,Engine!$C$2:$C$1960,0)))</f>
        <v/>
      </c>
      <c r="H1561" s="9">
        <f>IF(ISNA(MATCH(1548,Engine!$C$2:$C$1960,0)),"",INDEX('Compliance Database'!$H$2:$H$1960,MATCH(1548,Engine!$C$2:$C$1960,0)))</f>
        <v/>
      </c>
      <c r="I1561" s="9">
        <f>IF(ISNA(MATCH(1548,Engine!$C$2:$C$1960,0)),"",INDEX('Compliance Database'!$I$2:$I$1960,MATCH(1548,Engine!$C$2:$C$1960,0)))</f>
        <v/>
      </c>
      <c r="J1561" s="8">
        <f>IF(ISNA(MATCH(1548,Engine!$C$2:$C$1960,0)),"",INDEX('Compliance Database'!$J$2:$J$1960,MATCH(1548,Engine!$C$2:$C$1960,0)))</f>
        <v/>
      </c>
      <c r="K1561" s="9">
        <f>IF(ISNA(MATCH(1548,Engine!$C$2:$C$1960,0)),"",INDEX('Compliance Database'!$K$2:$K$1960,MATCH(1548,Engine!$C$2:$C$1960,0)))</f>
        <v/>
      </c>
      <c r="L1561" s="9">
        <f>IF(ISNA(MATCH(1548,Engine!$C$2:$C$1960,0)),"",INDEX('Compliance Database'!$L$2:$L$1960,MATCH(1548,Engine!$C$2:$C$1960,0)))</f>
        <v/>
      </c>
      <c r="M1561" s="9">
        <f>IF(ISNA(MATCH(1548,Engine!$C$2:$C$1960,0)),"",INDEX('Compliance Database'!$M$2:$M$1960,MATCH(1548,Engine!$C$2:$C$1960,0)))</f>
        <v/>
      </c>
      <c r="N1561" s="9">
        <f>IF(ISNA(MATCH(1548,Engine!$C$2:$C$1960,0)),"",INDEX('Compliance Database'!$N$2:$N$1960,MATCH(1548,Engine!$C$2:$C$1960,0)))</f>
        <v/>
      </c>
      <c r="O1561" s="9">
        <f>IF(ISNA(MATCH(1548,Engine!$C$2:$C$1960,0)),"",INDEX('Compliance Database'!$O$2:$O$1960,MATCH(1548,Engine!$C$2:$C$1960,0)))</f>
        <v/>
      </c>
      <c r="P1561" s="8">
        <f>IF(ISNA(MATCH(1548,Engine!$C$2:$C$1960,0)),"",HYPERLINK("#Acts!A"&amp;INDEX('Compliance Database'!$P$2:$P$1960,MATCH(1548,Engine!$C$2:$C$1960,0)),"Go to Act"))</f>
        <v/>
      </c>
    </row>
    <row r="1562" ht="158" customHeight="1">
      <c r="A1562" s="8">
        <f>IF(ISNA(MATCH(1549,Engine!$C$2:$C$1960,0)),"",INDEX('Compliance Database'!$A$2:$A$1960,MATCH(1549,Engine!$C$2:$C$1960,0)))</f>
        <v/>
      </c>
      <c r="B1562" s="8">
        <f>IF(ISNA(MATCH(1549,Engine!$C$2:$C$1960,0)),"",INDEX('Compliance Database'!$B$2:$B$1960,MATCH(1549,Engine!$C$2:$C$1960,0)))</f>
        <v/>
      </c>
      <c r="C1562" s="8">
        <f>IF(ISNA(MATCH(1549,Engine!$C$2:$C$1960,0)),"",INDEX('Compliance Database'!$C$2:$C$1960,MATCH(1549,Engine!$C$2:$C$1960,0)))</f>
        <v/>
      </c>
      <c r="D1562" s="9">
        <f>IF(ISNA(MATCH(1549,Engine!$C$2:$C$1960,0)),"",INDEX('Compliance Database'!$D$2:$D$1960,MATCH(1549,Engine!$C$2:$C$1960,0)))</f>
        <v/>
      </c>
      <c r="E1562" s="8">
        <f>IF(ISNA(MATCH(1549,Engine!$C$2:$C$1960,0)),"",INDEX('Compliance Database'!$E$2:$E$1960,MATCH(1549,Engine!$C$2:$C$1960,0)))</f>
        <v/>
      </c>
      <c r="F1562" s="8">
        <f>IF(ISNA(MATCH(1549,Engine!$C$2:$C$1960,0)),"",INDEX('Compliance Database'!$F$2:$F$1960,MATCH(1549,Engine!$C$2:$C$1960,0)))</f>
        <v/>
      </c>
      <c r="G1562" s="8">
        <f>IF(ISNA(MATCH(1549,Engine!$C$2:$C$1960,0)),"",INDEX('Compliance Database'!$G$2:$G$1960,MATCH(1549,Engine!$C$2:$C$1960,0)))</f>
        <v/>
      </c>
      <c r="H1562" s="9">
        <f>IF(ISNA(MATCH(1549,Engine!$C$2:$C$1960,0)),"",INDEX('Compliance Database'!$H$2:$H$1960,MATCH(1549,Engine!$C$2:$C$1960,0)))</f>
        <v/>
      </c>
      <c r="I1562" s="9">
        <f>IF(ISNA(MATCH(1549,Engine!$C$2:$C$1960,0)),"",INDEX('Compliance Database'!$I$2:$I$1960,MATCH(1549,Engine!$C$2:$C$1960,0)))</f>
        <v/>
      </c>
      <c r="J1562" s="8">
        <f>IF(ISNA(MATCH(1549,Engine!$C$2:$C$1960,0)),"",INDEX('Compliance Database'!$J$2:$J$1960,MATCH(1549,Engine!$C$2:$C$1960,0)))</f>
        <v/>
      </c>
      <c r="K1562" s="9">
        <f>IF(ISNA(MATCH(1549,Engine!$C$2:$C$1960,0)),"",INDEX('Compliance Database'!$K$2:$K$1960,MATCH(1549,Engine!$C$2:$C$1960,0)))</f>
        <v/>
      </c>
      <c r="L1562" s="9">
        <f>IF(ISNA(MATCH(1549,Engine!$C$2:$C$1960,0)),"",INDEX('Compliance Database'!$L$2:$L$1960,MATCH(1549,Engine!$C$2:$C$1960,0)))</f>
        <v/>
      </c>
      <c r="M1562" s="9">
        <f>IF(ISNA(MATCH(1549,Engine!$C$2:$C$1960,0)),"",INDEX('Compliance Database'!$M$2:$M$1960,MATCH(1549,Engine!$C$2:$C$1960,0)))</f>
        <v/>
      </c>
      <c r="N1562" s="9">
        <f>IF(ISNA(MATCH(1549,Engine!$C$2:$C$1960,0)),"",INDEX('Compliance Database'!$N$2:$N$1960,MATCH(1549,Engine!$C$2:$C$1960,0)))</f>
        <v/>
      </c>
      <c r="O1562" s="9">
        <f>IF(ISNA(MATCH(1549,Engine!$C$2:$C$1960,0)),"",INDEX('Compliance Database'!$O$2:$O$1960,MATCH(1549,Engine!$C$2:$C$1960,0)))</f>
        <v/>
      </c>
      <c r="P1562" s="8">
        <f>IF(ISNA(MATCH(1549,Engine!$C$2:$C$1960,0)),"",HYPERLINK("#Acts!A"&amp;INDEX('Compliance Database'!$P$2:$P$1960,MATCH(1549,Engine!$C$2:$C$1960,0)),"Go to Act"))</f>
        <v/>
      </c>
    </row>
    <row r="1563" ht="158" customHeight="1">
      <c r="A1563" s="8">
        <f>IF(ISNA(MATCH(1550,Engine!$C$2:$C$1960,0)),"",INDEX('Compliance Database'!$A$2:$A$1960,MATCH(1550,Engine!$C$2:$C$1960,0)))</f>
        <v/>
      </c>
      <c r="B1563" s="8">
        <f>IF(ISNA(MATCH(1550,Engine!$C$2:$C$1960,0)),"",INDEX('Compliance Database'!$B$2:$B$1960,MATCH(1550,Engine!$C$2:$C$1960,0)))</f>
        <v/>
      </c>
      <c r="C1563" s="8">
        <f>IF(ISNA(MATCH(1550,Engine!$C$2:$C$1960,0)),"",INDEX('Compliance Database'!$C$2:$C$1960,MATCH(1550,Engine!$C$2:$C$1960,0)))</f>
        <v/>
      </c>
      <c r="D1563" s="9">
        <f>IF(ISNA(MATCH(1550,Engine!$C$2:$C$1960,0)),"",INDEX('Compliance Database'!$D$2:$D$1960,MATCH(1550,Engine!$C$2:$C$1960,0)))</f>
        <v/>
      </c>
      <c r="E1563" s="8">
        <f>IF(ISNA(MATCH(1550,Engine!$C$2:$C$1960,0)),"",INDEX('Compliance Database'!$E$2:$E$1960,MATCH(1550,Engine!$C$2:$C$1960,0)))</f>
        <v/>
      </c>
      <c r="F1563" s="8">
        <f>IF(ISNA(MATCH(1550,Engine!$C$2:$C$1960,0)),"",INDEX('Compliance Database'!$F$2:$F$1960,MATCH(1550,Engine!$C$2:$C$1960,0)))</f>
        <v/>
      </c>
      <c r="G1563" s="8">
        <f>IF(ISNA(MATCH(1550,Engine!$C$2:$C$1960,0)),"",INDEX('Compliance Database'!$G$2:$G$1960,MATCH(1550,Engine!$C$2:$C$1960,0)))</f>
        <v/>
      </c>
      <c r="H1563" s="9">
        <f>IF(ISNA(MATCH(1550,Engine!$C$2:$C$1960,0)),"",INDEX('Compliance Database'!$H$2:$H$1960,MATCH(1550,Engine!$C$2:$C$1960,0)))</f>
        <v/>
      </c>
      <c r="I1563" s="9">
        <f>IF(ISNA(MATCH(1550,Engine!$C$2:$C$1960,0)),"",INDEX('Compliance Database'!$I$2:$I$1960,MATCH(1550,Engine!$C$2:$C$1960,0)))</f>
        <v/>
      </c>
      <c r="J1563" s="8">
        <f>IF(ISNA(MATCH(1550,Engine!$C$2:$C$1960,0)),"",INDEX('Compliance Database'!$J$2:$J$1960,MATCH(1550,Engine!$C$2:$C$1960,0)))</f>
        <v/>
      </c>
      <c r="K1563" s="9">
        <f>IF(ISNA(MATCH(1550,Engine!$C$2:$C$1960,0)),"",INDEX('Compliance Database'!$K$2:$K$1960,MATCH(1550,Engine!$C$2:$C$1960,0)))</f>
        <v/>
      </c>
      <c r="L1563" s="9">
        <f>IF(ISNA(MATCH(1550,Engine!$C$2:$C$1960,0)),"",INDEX('Compliance Database'!$L$2:$L$1960,MATCH(1550,Engine!$C$2:$C$1960,0)))</f>
        <v/>
      </c>
      <c r="M1563" s="9">
        <f>IF(ISNA(MATCH(1550,Engine!$C$2:$C$1960,0)),"",INDEX('Compliance Database'!$M$2:$M$1960,MATCH(1550,Engine!$C$2:$C$1960,0)))</f>
        <v/>
      </c>
      <c r="N1563" s="9">
        <f>IF(ISNA(MATCH(1550,Engine!$C$2:$C$1960,0)),"",INDEX('Compliance Database'!$N$2:$N$1960,MATCH(1550,Engine!$C$2:$C$1960,0)))</f>
        <v/>
      </c>
      <c r="O1563" s="9">
        <f>IF(ISNA(MATCH(1550,Engine!$C$2:$C$1960,0)),"",INDEX('Compliance Database'!$O$2:$O$1960,MATCH(1550,Engine!$C$2:$C$1960,0)))</f>
        <v/>
      </c>
      <c r="P1563" s="8">
        <f>IF(ISNA(MATCH(1550,Engine!$C$2:$C$1960,0)),"",HYPERLINK("#Acts!A"&amp;INDEX('Compliance Database'!$P$2:$P$1960,MATCH(1550,Engine!$C$2:$C$1960,0)),"Go to Act"))</f>
        <v/>
      </c>
    </row>
    <row r="1564" ht="158" customHeight="1">
      <c r="A1564" s="8">
        <f>IF(ISNA(MATCH(1551,Engine!$C$2:$C$1960,0)),"",INDEX('Compliance Database'!$A$2:$A$1960,MATCH(1551,Engine!$C$2:$C$1960,0)))</f>
        <v/>
      </c>
      <c r="B1564" s="8">
        <f>IF(ISNA(MATCH(1551,Engine!$C$2:$C$1960,0)),"",INDEX('Compliance Database'!$B$2:$B$1960,MATCH(1551,Engine!$C$2:$C$1960,0)))</f>
        <v/>
      </c>
      <c r="C1564" s="8">
        <f>IF(ISNA(MATCH(1551,Engine!$C$2:$C$1960,0)),"",INDEX('Compliance Database'!$C$2:$C$1960,MATCH(1551,Engine!$C$2:$C$1960,0)))</f>
        <v/>
      </c>
      <c r="D1564" s="9">
        <f>IF(ISNA(MATCH(1551,Engine!$C$2:$C$1960,0)),"",INDEX('Compliance Database'!$D$2:$D$1960,MATCH(1551,Engine!$C$2:$C$1960,0)))</f>
        <v/>
      </c>
      <c r="E1564" s="8">
        <f>IF(ISNA(MATCH(1551,Engine!$C$2:$C$1960,0)),"",INDEX('Compliance Database'!$E$2:$E$1960,MATCH(1551,Engine!$C$2:$C$1960,0)))</f>
        <v/>
      </c>
      <c r="F1564" s="8">
        <f>IF(ISNA(MATCH(1551,Engine!$C$2:$C$1960,0)),"",INDEX('Compliance Database'!$F$2:$F$1960,MATCH(1551,Engine!$C$2:$C$1960,0)))</f>
        <v/>
      </c>
      <c r="G1564" s="8">
        <f>IF(ISNA(MATCH(1551,Engine!$C$2:$C$1960,0)),"",INDEX('Compliance Database'!$G$2:$G$1960,MATCH(1551,Engine!$C$2:$C$1960,0)))</f>
        <v/>
      </c>
      <c r="H1564" s="9">
        <f>IF(ISNA(MATCH(1551,Engine!$C$2:$C$1960,0)),"",INDEX('Compliance Database'!$H$2:$H$1960,MATCH(1551,Engine!$C$2:$C$1960,0)))</f>
        <v/>
      </c>
      <c r="I1564" s="9">
        <f>IF(ISNA(MATCH(1551,Engine!$C$2:$C$1960,0)),"",INDEX('Compliance Database'!$I$2:$I$1960,MATCH(1551,Engine!$C$2:$C$1960,0)))</f>
        <v/>
      </c>
      <c r="J1564" s="8">
        <f>IF(ISNA(MATCH(1551,Engine!$C$2:$C$1960,0)),"",INDEX('Compliance Database'!$J$2:$J$1960,MATCH(1551,Engine!$C$2:$C$1960,0)))</f>
        <v/>
      </c>
      <c r="K1564" s="9">
        <f>IF(ISNA(MATCH(1551,Engine!$C$2:$C$1960,0)),"",INDEX('Compliance Database'!$K$2:$K$1960,MATCH(1551,Engine!$C$2:$C$1960,0)))</f>
        <v/>
      </c>
      <c r="L1564" s="9">
        <f>IF(ISNA(MATCH(1551,Engine!$C$2:$C$1960,0)),"",INDEX('Compliance Database'!$L$2:$L$1960,MATCH(1551,Engine!$C$2:$C$1960,0)))</f>
        <v/>
      </c>
      <c r="M1564" s="9">
        <f>IF(ISNA(MATCH(1551,Engine!$C$2:$C$1960,0)),"",INDEX('Compliance Database'!$M$2:$M$1960,MATCH(1551,Engine!$C$2:$C$1960,0)))</f>
        <v/>
      </c>
      <c r="N1564" s="9">
        <f>IF(ISNA(MATCH(1551,Engine!$C$2:$C$1960,0)),"",INDEX('Compliance Database'!$N$2:$N$1960,MATCH(1551,Engine!$C$2:$C$1960,0)))</f>
        <v/>
      </c>
      <c r="O1564" s="9">
        <f>IF(ISNA(MATCH(1551,Engine!$C$2:$C$1960,0)),"",INDEX('Compliance Database'!$O$2:$O$1960,MATCH(1551,Engine!$C$2:$C$1960,0)))</f>
        <v/>
      </c>
      <c r="P1564" s="8">
        <f>IF(ISNA(MATCH(1551,Engine!$C$2:$C$1960,0)),"",HYPERLINK("#Acts!A"&amp;INDEX('Compliance Database'!$P$2:$P$1960,MATCH(1551,Engine!$C$2:$C$1960,0)),"Go to Act"))</f>
        <v/>
      </c>
    </row>
    <row r="1565" ht="158" customHeight="1">
      <c r="A1565" s="8">
        <f>IF(ISNA(MATCH(1552,Engine!$C$2:$C$1960,0)),"",INDEX('Compliance Database'!$A$2:$A$1960,MATCH(1552,Engine!$C$2:$C$1960,0)))</f>
        <v/>
      </c>
      <c r="B1565" s="8">
        <f>IF(ISNA(MATCH(1552,Engine!$C$2:$C$1960,0)),"",INDEX('Compliance Database'!$B$2:$B$1960,MATCH(1552,Engine!$C$2:$C$1960,0)))</f>
        <v/>
      </c>
      <c r="C1565" s="8">
        <f>IF(ISNA(MATCH(1552,Engine!$C$2:$C$1960,0)),"",INDEX('Compliance Database'!$C$2:$C$1960,MATCH(1552,Engine!$C$2:$C$1960,0)))</f>
        <v/>
      </c>
      <c r="D1565" s="9">
        <f>IF(ISNA(MATCH(1552,Engine!$C$2:$C$1960,0)),"",INDEX('Compliance Database'!$D$2:$D$1960,MATCH(1552,Engine!$C$2:$C$1960,0)))</f>
        <v/>
      </c>
      <c r="E1565" s="8">
        <f>IF(ISNA(MATCH(1552,Engine!$C$2:$C$1960,0)),"",INDEX('Compliance Database'!$E$2:$E$1960,MATCH(1552,Engine!$C$2:$C$1960,0)))</f>
        <v/>
      </c>
      <c r="F1565" s="8">
        <f>IF(ISNA(MATCH(1552,Engine!$C$2:$C$1960,0)),"",INDEX('Compliance Database'!$F$2:$F$1960,MATCH(1552,Engine!$C$2:$C$1960,0)))</f>
        <v/>
      </c>
      <c r="G1565" s="8">
        <f>IF(ISNA(MATCH(1552,Engine!$C$2:$C$1960,0)),"",INDEX('Compliance Database'!$G$2:$G$1960,MATCH(1552,Engine!$C$2:$C$1960,0)))</f>
        <v/>
      </c>
      <c r="H1565" s="9">
        <f>IF(ISNA(MATCH(1552,Engine!$C$2:$C$1960,0)),"",INDEX('Compliance Database'!$H$2:$H$1960,MATCH(1552,Engine!$C$2:$C$1960,0)))</f>
        <v/>
      </c>
      <c r="I1565" s="9">
        <f>IF(ISNA(MATCH(1552,Engine!$C$2:$C$1960,0)),"",INDEX('Compliance Database'!$I$2:$I$1960,MATCH(1552,Engine!$C$2:$C$1960,0)))</f>
        <v/>
      </c>
      <c r="J1565" s="8">
        <f>IF(ISNA(MATCH(1552,Engine!$C$2:$C$1960,0)),"",INDEX('Compliance Database'!$J$2:$J$1960,MATCH(1552,Engine!$C$2:$C$1960,0)))</f>
        <v/>
      </c>
      <c r="K1565" s="9">
        <f>IF(ISNA(MATCH(1552,Engine!$C$2:$C$1960,0)),"",INDEX('Compliance Database'!$K$2:$K$1960,MATCH(1552,Engine!$C$2:$C$1960,0)))</f>
        <v/>
      </c>
      <c r="L1565" s="9">
        <f>IF(ISNA(MATCH(1552,Engine!$C$2:$C$1960,0)),"",INDEX('Compliance Database'!$L$2:$L$1960,MATCH(1552,Engine!$C$2:$C$1960,0)))</f>
        <v/>
      </c>
      <c r="M1565" s="9">
        <f>IF(ISNA(MATCH(1552,Engine!$C$2:$C$1960,0)),"",INDEX('Compliance Database'!$M$2:$M$1960,MATCH(1552,Engine!$C$2:$C$1960,0)))</f>
        <v/>
      </c>
      <c r="N1565" s="9">
        <f>IF(ISNA(MATCH(1552,Engine!$C$2:$C$1960,0)),"",INDEX('Compliance Database'!$N$2:$N$1960,MATCH(1552,Engine!$C$2:$C$1960,0)))</f>
        <v/>
      </c>
      <c r="O1565" s="9">
        <f>IF(ISNA(MATCH(1552,Engine!$C$2:$C$1960,0)),"",INDEX('Compliance Database'!$O$2:$O$1960,MATCH(1552,Engine!$C$2:$C$1960,0)))</f>
        <v/>
      </c>
      <c r="P1565" s="8">
        <f>IF(ISNA(MATCH(1552,Engine!$C$2:$C$1960,0)),"",HYPERLINK("#Acts!A"&amp;INDEX('Compliance Database'!$P$2:$P$1960,MATCH(1552,Engine!$C$2:$C$1960,0)),"Go to Act"))</f>
        <v/>
      </c>
    </row>
    <row r="1566" ht="158" customHeight="1">
      <c r="A1566" s="8">
        <f>IF(ISNA(MATCH(1553,Engine!$C$2:$C$1960,0)),"",INDEX('Compliance Database'!$A$2:$A$1960,MATCH(1553,Engine!$C$2:$C$1960,0)))</f>
        <v/>
      </c>
      <c r="B1566" s="8">
        <f>IF(ISNA(MATCH(1553,Engine!$C$2:$C$1960,0)),"",INDEX('Compliance Database'!$B$2:$B$1960,MATCH(1553,Engine!$C$2:$C$1960,0)))</f>
        <v/>
      </c>
      <c r="C1566" s="8">
        <f>IF(ISNA(MATCH(1553,Engine!$C$2:$C$1960,0)),"",INDEX('Compliance Database'!$C$2:$C$1960,MATCH(1553,Engine!$C$2:$C$1960,0)))</f>
        <v/>
      </c>
      <c r="D1566" s="9">
        <f>IF(ISNA(MATCH(1553,Engine!$C$2:$C$1960,0)),"",INDEX('Compliance Database'!$D$2:$D$1960,MATCH(1553,Engine!$C$2:$C$1960,0)))</f>
        <v/>
      </c>
      <c r="E1566" s="8">
        <f>IF(ISNA(MATCH(1553,Engine!$C$2:$C$1960,0)),"",INDEX('Compliance Database'!$E$2:$E$1960,MATCH(1553,Engine!$C$2:$C$1960,0)))</f>
        <v/>
      </c>
      <c r="F1566" s="8">
        <f>IF(ISNA(MATCH(1553,Engine!$C$2:$C$1960,0)),"",INDEX('Compliance Database'!$F$2:$F$1960,MATCH(1553,Engine!$C$2:$C$1960,0)))</f>
        <v/>
      </c>
      <c r="G1566" s="8">
        <f>IF(ISNA(MATCH(1553,Engine!$C$2:$C$1960,0)),"",INDEX('Compliance Database'!$G$2:$G$1960,MATCH(1553,Engine!$C$2:$C$1960,0)))</f>
        <v/>
      </c>
      <c r="H1566" s="9">
        <f>IF(ISNA(MATCH(1553,Engine!$C$2:$C$1960,0)),"",INDEX('Compliance Database'!$H$2:$H$1960,MATCH(1553,Engine!$C$2:$C$1960,0)))</f>
        <v/>
      </c>
      <c r="I1566" s="9">
        <f>IF(ISNA(MATCH(1553,Engine!$C$2:$C$1960,0)),"",INDEX('Compliance Database'!$I$2:$I$1960,MATCH(1553,Engine!$C$2:$C$1960,0)))</f>
        <v/>
      </c>
      <c r="J1566" s="8">
        <f>IF(ISNA(MATCH(1553,Engine!$C$2:$C$1960,0)),"",INDEX('Compliance Database'!$J$2:$J$1960,MATCH(1553,Engine!$C$2:$C$1960,0)))</f>
        <v/>
      </c>
      <c r="K1566" s="9">
        <f>IF(ISNA(MATCH(1553,Engine!$C$2:$C$1960,0)),"",INDEX('Compliance Database'!$K$2:$K$1960,MATCH(1553,Engine!$C$2:$C$1960,0)))</f>
        <v/>
      </c>
      <c r="L1566" s="9">
        <f>IF(ISNA(MATCH(1553,Engine!$C$2:$C$1960,0)),"",INDEX('Compliance Database'!$L$2:$L$1960,MATCH(1553,Engine!$C$2:$C$1960,0)))</f>
        <v/>
      </c>
      <c r="M1566" s="9">
        <f>IF(ISNA(MATCH(1553,Engine!$C$2:$C$1960,0)),"",INDEX('Compliance Database'!$M$2:$M$1960,MATCH(1553,Engine!$C$2:$C$1960,0)))</f>
        <v/>
      </c>
      <c r="N1566" s="9">
        <f>IF(ISNA(MATCH(1553,Engine!$C$2:$C$1960,0)),"",INDEX('Compliance Database'!$N$2:$N$1960,MATCH(1553,Engine!$C$2:$C$1960,0)))</f>
        <v/>
      </c>
      <c r="O1566" s="9">
        <f>IF(ISNA(MATCH(1553,Engine!$C$2:$C$1960,0)),"",INDEX('Compliance Database'!$O$2:$O$1960,MATCH(1553,Engine!$C$2:$C$1960,0)))</f>
        <v/>
      </c>
      <c r="P1566" s="8">
        <f>IF(ISNA(MATCH(1553,Engine!$C$2:$C$1960,0)),"",HYPERLINK("#Acts!A"&amp;INDEX('Compliance Database'!$P$2:$P$1960,MATCH(1553,Engine!$C$2:$C$1960,0)),"Go to Act"))</f>
        <v/>
      </c>
    </row>
    <row r="1567" ht="158" customHeight="1">
      <c r="A1567" s="8">
        <f>IF(ISNA(MATCH(1554,Engine!$C$2:$C$1960,0)),"",INDEX('Compliance Database'!$A$2:$A$1960,MATCH(1554,Engine!$C$2:$C$1960,0)))</f>
        <v/>
      </c>
      <c r="B1567" s="8">
        <f>IF(ISNA(MATCH(1554,Engine!$C$2:$C$1960,0)),"",INDEX('Compliance Database'!$B$2:$B$1960,MATCH(1554,Engine!$C$2:$C$1960,0)))</f>
        <v/>
      </c>
      <c r="C1567" s="8">
        <f>IF(ISNA(MATCH(1554,Engine!$C$2:$C$1960,0)),"",INDEX('Compliance Database'!$C$2:$C$1960,MATCH(1554,Engine!$C$2:$C$1960,0)))</f>
        <v/>
      </c>
      <c r="D1567" s="9">
        <f>IF(ISNA(MATCH(1554,Engine!$C$2:$C$1960,0)),"",INDEX('Compliance Database'!$D$2:$D$1960,MATCH(1554,Engine!$C$2:$C$1960,0)))</f>
        <v/>
      </c>
      <c r="E1567" s="8">
        <f>IF(ISNA(MATCH(1554,Engine!$C$2:$C$1960,0)),"",INDEX('Compliance Database'!$E$2:$E$1960,MATCH(1554,Engine!$C$2:$C$1960,0)))</f>
        <v/>
      </c>
      <c r="F1567" s="8">
        <f>IF(ISNA(MATCH(1554,Engine!$C$2:$C$1960,0)),"",INDEX('Compliance Database'!$F$2:$F$1960,MATCH(1554,Engine!$C$2:$C$1960,0)))</f>
        <v/>
      </c>
      <c r="G1567" s="8">
        <f>IF(ISNA(MATCH(1554,Engine!$C$2:$C$1960,0)),"",INDEX('Compliance Database'!$G$2:$G$1960,MATCH(1554,Engine!$C$2:$C$1960,0)))</f>
        <v/>
      </c>
      <c r="H1567" s="9">
        <f>IF(ISNA(MATCH(1554,Engine!$C$2:$C$1960,0)),"",INDEX('Compliance Database'!$H$2:$H$1960,MATCH(1554,Engine!$C$2:$C$1960,0)))</f>
        <v/>
      </c>
      <c r="I1567" s="9">
        <f>IF(ISNA(MATCH(1554,Engine!$C$2:$C$1960,0)),"",INDEX('Compliance Database'!$I$2:$I$1960,MATCH(1554,Engine!$C$2:$C$1960,0)))</f>
        <v/>
      </c>
      <c r="J1567" s="8">
        <f>IF(ISNA(MATCH(1554,Engine!$C$2:$C$1960,0)),"",INDEX('Compliance Database'!$J$2:$J$1960,MATCH(1554,Engine!$C$2:$C$1960,0)))</f>
        <v/>
      </c>
      <c r="K1567" s="9">
        <f>IF(ISNA(MATCH(1554,Engine!$C$2:$C$1960,0)),"",INDEX('Compliance Database'!$K$2:$K$1960,MATCH(1554,Engine!$C$2:$C$1960,0)))</f>
        <v/>
      </c>
      <c r="L1567" s="9">
        <f>IF(ISNA(MATCH(1554,Engine!$C$2:$C$1960,0)),"",INDEX('Compliance Database'!$L$2:$L$1960,MATCH(1554,Engine!$C$2:$C$1960,0)))</f>
        <v/>
      </c>
      <c r="M1567" s="9">
        <f>IF(ISNA(MATCH(1554,Engine!$C$2:$C$1960,0)),"",INDEX('Compliance Database'!$M$2:$M$1960,MATCH(1554,Engine!$C$2:$C$1960,0)))</f>
        <v/>
      </c>
      <c r="N1567" s="9">
        <f>IF(ISNA(MATCH(1554,Engine!$C$2:$C$1960,0)),"",INDEX('Compliance Database'!$N$2:$N$1960,MATCH(1554,Engine!$C$2:$C$1960,0)))</f>
        <v/>
      </c>
      <c r="O1567" s="9">
        <f>IF(ISNA(MATCH(1554,Engine!$C$2:$C$1960,0)),"",INDEX('Compliance Database'!$O$2:$O$1960,MATCH(1554,Engine!$C$2:$C$1960,0)))</f>
        <v/>
      </c>
      <c r="P1567" s="8">
        <f>IF(ISNA(MATCH(1554,Engine!$C$2:$C$1960,0)),"",HYPERLINK("#Acts!A"&amp;INDEX('Compliance Database'!$P$2:$P$1960,MATCH(1554,Engine!$C$2:$C$1960,0)),"Go to Act"))</f>
        <v/>
      </c>
    </row>
    <row r="1568" ht="158" customHeight="1">
      <c r="A1568" s="8">
        <f>IF(ISNA(MATCH(1555,Engine!$C$2:$C$1960,0)),"",INDEX('Compliance Database'!$A$2:$A$1960,MATCH(1555,Engine!$C$2:$C$1960,0)))</f>
        <v/>
      </c>
      <c r="B1568" s="8">
        <f>IF(ISNA(MATCH(1555,Engine!$C$2:$C$1960,0)),"",INDEX('Compliance Database'!$B$2:$B$1960,MATCH(1555,Engine!$C$2:$C$1960,0)))</f>
        <v/>
      </c>
      <c r="C1568" s="8">
        <f>IF(ISNA(MATCH(1555,Engine!$C$2:$C$1960,0)),"",INDEX('Compliance Database'!$C$2:$C$1960,MATCH(1555,Engine!$C$2:$C$1960,0)))</f>
        <v/>
      </c>
      <c r="D1568" s="9">
        <f>IF(ISNA(MATCH(1555,Engine!$C$2:$C$1960,0)),"",INDEX('Compliance Database'!$D$2:$D$1960,MATCH(1555,Engine!$C$2:$C$1960,0)))</f>
        <v/>
      </c>
      <c r="E1568" s="8">
        <f>IF(ISNA(MATCH(1555,Engine!$C$2:$C$1960,0)),"",INDEX('Compliance Database'!$E$2:$E$1960,MATCH(1555,Engine!$C$2:$C$1960,0)))</f>
        <v/>
      </c>
      <c r="F1568" s="8">
        <f>IF(ISNA(MATCH(1555,Engine!$C$2:$C$1960,0)),"",INDEX('Compliance Database'!$F$2:$F$1960,MATCH(1555,Engine!$C$2:$C$1960,0)))</f>
        <v/>
      </c>
      <c r="G1568" s="8">
        <f>IF(ISNA(MATCH(1555,Engine!$C$2:$C$1960,0)),"",INDEX('Compliance Database'!$G$2:$G$1960,MATCH(1555,Engine!$C$2:$C$1960,0)))</f>
        <v/>
      </c>
      <c r="H1568" s="9">
        <f>IF(ISNA(MATCH(1555,Engine!$C$2:$C$1960,0)),"",INDEX('Compliance Database'!$H$2:$H$1960,MATCH(1555,Engine!$C$2:$C$1960,0)))</f>
        <v/>
      </c>
      <c r="I1568" s="9">
        <f>IF(ISNA(MATCH(1555,Engine!$C$2:$C$1960,0)),"",INDEX('Compliance Database'!$I$2:$I$1960,MATCH(1555,Engine!$C$2:$C$1960,0)))</f>
        <v/>
      </c>
      <c r="J1568" s="8">
        <f>IF(ISNA(MATCH(1555,Engine!$C$2:$C$1960,0)),"",INDEX('Compliance Database'!$J$2:$J$1960,MATCH(1555,Engine!$C$2:$C$1960,0)))</f>
        <v/>
      </c>
      <c r="K1568" s="9">
        <f>IF(ISNA(MATCH(1555,Engine!$C$2:$C$1960,0)),"",INDEX('Compliance Database'!$K$2:$K$1960,MATCH(1555,Engine!$C$2:$C$1960,0)))</f>
        <v/>
      </c>
      <c r="L1568" s="9">
        <f>IF(ISNA(MATCH(1555,Engine!$C$2:$C$1960,0)),"",INDEX('Compliance Database'!$L$2:$L$1960,MATCH(1555,Engine!$C$2:$C$1960,0)))</f>
        <v/>
      </c>
      <c r="M1568" s="9">
        <f>IF(ISNA(MATCH(1555,Engine!$C$2:$C$1960,0)),"",INDEX('Compliance Database'!$M$2:$M$1960,MATCH(1555,Engine!$C$2:$C$1960,0)))</f>
        <v/>
      </c>
      <c r="N1568" s="9">
        <f>IF(ISNA(MATCH(1555,Engine!$C$2:$C$1960,0)),"",INDEX('Compliance Database'!$N$2:$N$1960,MATCH(1555,Engine!$C$2:$C$1960,0)))</f>
        <v/>
      </c>
      <c r="O1568" s="9">
        <f>IF(ISNA(MATCH(1555,Engine!$C$2:$C$1960,0)),"",INDEX('Compliance Database'!$O$2:$O$1960,MATCH(1555,Engine!$C$2:$C$1960,0)))</f>
        <v/>
      </c>
      <c r="P1568" s="8">
        <f>IF(ISNA(MATCH(1555,Engine!$C$2:$C$1960,0)),"",HYPERLINK("#Acts!A"&amp;INDEX('Compliance Database'!$P$2:$P$1960,MATCH(1555,Engine!$C$2:$C$1960,0)),"Go to Act"))</f>
        <v/>
      </c>
    </row>
    <row r="1569" ht="158" customHeight="1">
      <c r="A1569" s="8">
        <f>IF(ISNA(MATCH(1556,Engine!$C$2:$C$1960,0)),"",INDEX('Compliance Database'!$A$2:$A$1960,MATCH(1556,Engine!$C$2:$C$1960,0)))</f>
        <v/>
      </c>
      <c r="B1569" s="8">
        <f>IF(ISNA(MATCH(1556,Engine!$C$2:$C$1960,0)),"",INDEX('Compliance Database'!$B$2:$B$1960,MATCH(1556,Engine!$C$2:$C$1960,0)))</f>
        <v/>
      </c>
      <c r="C1569" s="8">
        <f>IF(ISNA(MATCH(1556,Engine!$C$2:$C$1960,0)),"",INDEX('Compliance Database'!$C$2:$C$1960,MATCH(1556,Engine!$C$2:$C$1960,0)))</f>
        <v/>
      </c>
      <c r="D1569" s="9">
        <f>IF(ISNA(MATCH(1556,Engine!$C$2:$C$1960,0)),"",INDEX('Compliance Database'!$D$2:$D$1960,MATCH(1556,Engine!$C$2:$C$1960,0)))</f>
        <v/>
      </c>
      <c r="E1569" s="8">
        <f>IF(ISNA(MATCH(1556,Engine!$C$2:$C$1960,0)),"",INDEX('Compliance Database'!$E$2:$E$1960,MATCH(1556,Engine!$C$2:$C$1960,0)))</f>
        <v/>
      </c>
      <c r="F1569" s="8">
        <f>IF(ISNA(MATCH(1556,Engine!$C$2:$C$1960,0)),"",INDEX('Compliance Database'!$F$2:$F$1960,MATCH(1556,Engine!$C$2:$C$1960,0)))</f>
        <v/>
      </c>
      <c r="G1569" s="8">
        <f>IF(ISNA(MATCH(1556,Engine!$C$2:$C$1960,0)),"",INDEX('Compliance Database'!$G$2:$G$1960,MATCH(1556,Engine!$C$2:$C$1960,0)))</f>
        <v/>
      </c>
      <c r="H1569" s="9">
        <f>IF(ISNA(MATCH(1556,Engine!$C$2:$C$1960,0)),"",INDEX('Compliance Database'!$H$2:$H$1960,MATCH(1556,Engine!$C$2:$C$1960,0)))</f>
        <v/>
      </c>
      <c r="I1569" s="9">
        <f>IF(ISNA(MATCH(1556,Engine!$C$2:$C$1960,0)),"",INDEX('Compliance Database'!$I$2:$I$1960,MATCH(1556,Engine!$C$2:$C$1960,0)))</f>
        <v/>
      </c>
      <c r="J1569" s="8">
        <f>IF(ISNA(MATCH(1556,Engine!$C$2:$C$1960,0)),"",INDEX('Compliance Database'!$J$2:$J$1960,MATCH(1556,Engine!$C$2:$C$1960,0)))</f>
        <v/>
      </c>
      <c r="K1569" s="9">
        <f>IF(ISNA(MATCH(1556,Engine!$C$2:$C$1960,0)),"",INDEX('Compliance Database'!$K$2:$K$1960,MATCH(1556,Engine!$C$2:$C$1960,0)))</f>
        <v/>
      </c>
      <c r="L1569" s="9">
        <f>IF(ISNA(MATCH(1556,Engine!$C$2:$C$1960,0)),"",INDEX('Compliance Database'!$L$2:$L$1960,MATCH(1556,Engine!$C$2:$C$1960,0)))</f>
        <v/>
      </c>
      <c r="M1569" s="9">
        <f>IF(ISNA(MATCH(1556,Engine!$C$2:$C$1960,0)),"",INDEX('Compliance Database'!$M$2:$M$1960,MATCH(1556,Engine!$C$2:$C$1960,0)))</f>
        <v/>
      </c>
      <c r="N1569" s="9">
        <f>IF(ISNA(MATCH(1556,Engine!$C$2:$C$1960,0)),"",INDEX('Compliance Database'!$N$2:$N$1960,MATCH(1556,Engine!$C$2:$C$1960,0)))</f>
        <v/>
      </c>
      <c r="O1569" s="9">
        <f>IF(ISNA(MATCH(1556,Engine!$C$2:$C$1960,0)),"",INDEX('Compliance Database'!$O$2:$O$1960,MATCH(1556,Engine!$C$2:$C$1960,0)))</f>
        <v/>
      </c>
      <c r="P1569" s="8">
        <f>IF(ISNA(MATCH(1556,Engine!$C$2:$C$1960,0)),"",HYPERLINK("#Acts!A"&amp;INDEX('Compliance Database'!$P$2:$P$1960,MATCH(1556,Engine!$C$2:$C$1960,0)),"Go to Act"))</f>
        <v/>
      </c>
    </row>
    <row r="1570" ht="158" customHeight="1">
      <c r="A1570" s="8">
        <f>IF(ISNA(MATCH(1557,Engine!$C$2:$C$1960,0)),"",INDEX('Compliance Database'!$A$2:$A$1960,MATCH(1557,Engine!$C$2:$C$1960,0)))</f>
        <v/>
      </c>
      <c r="B1570" s="8">
        <f>IF(ISNA(MATCH(1557,Engine!$C$2:$C$1960,0)),"",INDEX('Compliance Database'!$B$2:$B$1960,MATCH(1557,Engine!$C$2:$C$1960,0)))</f>
        <v/>
      </c>
      <c r="C1570" s="8">
        <f>IF(ISNA(MATCH(1557,Engine!$C$2:$C$1960,0)),"",INDEX('Compliance Database'!$C$2:$C$1960,MATCH(1557,Engine!$C$2:$C$1960,0)))</f>
        <v/>
      </c>
      <c r="D1570" s="9">
        <f>IF(ISNA(MATCH(1557,Engine!$C$2:$C$1960,0)),"",INDEX('Compliance Database'!$D$2:$D$1960,MATCH(1557,Engine!$C$2:$C$1960,0)))</f>
        <v/>
      </c>
      <c r="E1570" s="8">
        <f>IF(ISNA(MATCH(1557,Engine!$C$2:$C$1960,0)),"",INDEX('Compliance Database'!$E$2:$E$1960,MATCH(1557,Engine!$C$2:$C$1960,0)))</f>
        <v/>
      </c>
      <c r="F1570" s="8">
        <f>IF(ISNA(MATCH(1557,Engine!$C$2:$C$1960,0)),"",INDEX('Compliance Database'!$F$2:$F$1960,MATCH(1557,Engine!$C$2:$C$1960,0)))</f>
        <v/>
      </c>
      <c r="G1570" s="8">
        <f>IF(ISNA(MATCH(1557,Engine!$C$2:$C$1960,0)),"",INDEX('Compliance Database'!$G$2:$G$1960,MATCH(1557,Engine!$C$2:$C$1960,0)))</f>
        <v/>
      </c>
      <c r="H1570" s="9">
        <f>IF(ISNA(MATCH(1557,Engine!$C$2:$C$1960,0)),"",INDEX('Compliance Database'!$H$2:$H$1960,MATCH(1557,Engine!$C$2:$C$1960,0)))</f>
        <v/>
      </c>
      <c r="I1570" s="9">
        <f>IF(ISNA(MATCH(1557,Engine!$C$2:$C$1960,0)),"",INDEX('Compliance Database'!$I$2:$I$1960,MATCH(1557,Engine!$C$2:$C$1960,0)))</f>
        <v/>
      </c>
      <c r="J1570" s="8">
        <f>IF(ISNA(MATCH(1557,Engine!$C$2:$C$1960,0)),"",INDEX('Compliance Database'!$J$2:$J$1960,MATCH(1557,Engine!$C$2:$C$1960,0)))</f>
        <v/>
      </c>
      <c r="K1570" s="9">
        <f>IF(ISNA(MATCH(1557,Engine!$C$2:$C$1960,0)),"",INDEX('Compliance Database'!$K$2:$K$1960,MATCH(1557,Engine!$C$2:$C$1960,0)))</f>
        <v/>
      </c>
      <c r="L1570" s="9">
        <f>IF(ISNA(MATCH(1557,Engine!$C$2:$C$1960,0)),"",INDEX('Compliance Database'!$L$2:$L$1960,MATCH(1557,Engine!$C$2:$C$1960,0)))</f>
        <v/>
      </c>
      <c r="M1570" s="9">
        <f>IF(ISNA(MATCH(1557,Engine!$C$2:$C$1960,0)),"",INDEX('Compliance Database'!$M$2:$M$1960,MATCH(1557,Engine!$C$2:$C$1960,0)))</f>
        <v/>
      </c>
      <c r="N1570" s="9">
        <f>IF(ISNA(MATCH(1557,Engine!$C$2:$C$1960,0)),"",INDEX('Compliance Database'!$N$2:$N$1960,MATCH(1557,Engine!$C$2:$C$1960,0)))</f>
        <v/>
      </c>
      <c r="O1570" s="9">
        <f>IF(ISNA(MATCH(1557,Engine!$C$2:$C$1960,0)),"",INDEX('Compliance Database'!$O$2:$O$1960,MATCH(1557,Engine!$C$2:$C$1960,0)))</f>
        <v/>
      </c>
      <c r="P1570" s="8">
        <f>IF(ISNA(MATCH(1557,Engine!$C$2:$C$1960,0)),"",HYPERLINK("#Acts!A"&amp;INDEX('Compliance Database'!$P$2:$P$1960,MATCH(1557,Engine!$C$2:$C$1960,0)),"Go to Act"))</f>
        <v/>
      </c>
    </row>
    <row r="1571" ht="158" customHeight="1">
      <c r="A1571" s="8">
        <f>IF(ISNA(MATCH(1558,Engine!$C$2:$C$1960,0)),"",INDEX('Compliance Database'!$A$2:$A$1960,MATCH(1558,Engine!$C$2:$C$1960,0)))</f>
        <v/>
      </c>
      <c r="B1571" s="8">
        <f>IF(ISNA(MATCH(1558,Engine!$C$2:$C$1960,0)),"",INDEX('Compliance Database'!$B$2:$B$1960,MATCH(1558,Engine!$C$2:$C$1960,0)))</f>
        <v/>
      </c>
      <c r="C1571" s="8">
        <f>IF(ISNA(MATCH(1558,Engine!$C$2:$C$1960,0)),"",INDEX('Compliance Database'!$C$2:$C$1960,MATCH(1558,Engine!$C$2:$C$1960,0)))</f>
        <v/>
      </c>
      <c r="D1571" s="9">
        <f>IF(ISNA(MATCH(1558,Engine!$C$2:$C$1960,0)),"",INDEX('Compliance Database'!$D$2:$D$1960,MATCH(1558,Engine!$C$2:$C$1960,0)))</f>
        <v/>
      </c>
      <c r="E1571" s="8">
        <f>IF(ISNA(MATCH(1558,Engine!$C$2:$C$1960,0)),"",INDEX('Compliance Database'!$E$2:$E$1960,MATCH(1558,Engine!$C$2:$C$1960,0)))</f>
        <v/>
      </c>
      <c r="F1571" s="8">
        <f>IF(ISNA(MATCH(1558,Engine!$C$2:$C$1960,0)),"",INDEX('Compliance Database'!$F$2:$F$1960,MATCH(1558,Engine!$C$2:$C$1960,0)))</f>
        <v/>
      </c>
      <c r="G1571" s="8">
        <f>IF(ISNA(MATCH(1558,Engine!$C$2:$C$1960,0)),"",INDEX('Compliance Database'!$G$2:$G$1960,MATCH(1558,Engine!$C$2:$C$1960,0)))</f>
        <v/>
      </c>
      <c r="H1571" s="9">
        <f>IF(ISNA(MATCH(1558,Engine!$C$2:$C$1960,0)),"",INDEX('Compliance Database'!$H$2:$H$1960,MATCH(1558,Engine!$C$2:$C$1960,0)))</f>
        <v/>
      </c>
      <c r="I1571" s="9">
        <f>IF(ISNA(MATCH(1558,Engine!$C$2:$C$1960,0)),"",INDEX('Compliance Database'!$I$2:$I$1960,MATCH(1558,Engine!$C$2:$C$1960,0)))</f>
        <v/>
      </c>
      <c r="J1571" s="8">
        <f>IF(ISNA(MATCH(1558,Engine!$C$2:$C$1960,0)),"",INDEX('Compliance Database'!$J$2:$J$1960,MATCH(1558,Engine!$C$2:$C$1960,0)))</f>
        <v/>
      </c>
      <c r="K1571" s="9">
        <f>IF(ISNA(MATCH(1558,Engine!$C$2:$C$1960,0)),"",INDEX('Compliance Database'!$K$2:$K$1960,MATCH(1558,Engine!$C$2:$C$1960,0)))</f>
        <v/>
      </c>
      <c r="L1571" s="9">
        <f>IF(ISNA(MATCH(1558,Engine!$C$2:$C$1960,0)),"",INDEX('Compliance Database'!$L$2:$L$1960,MATCH(1558,Engine!$C$2:$C$1960,0)))</f>
        <v/>
      </c>
      <c r="M1571" s="9">
        <f>IF(ISNA(MATCH(1558,Engine!$C$2:$C$1960,0)),"",INDEX('Compliance Database'!$M$2:$M$1960,MATCH(1558,Engine!$C$2:$C$1960,0)))</f>
        <v/>
      </c>
      <c r="N1571" s="9">
        <f>IF(ISNA(MATCH(1558,Engine!$C$2:$C$1960,0)),"",INDEX('Compliance Database'!$N$2:$N$1960,MATCH(1558,Engine!$C$2:$C$1960,0)))</f>
        <v/>
      </c>
      <c r="O1571" s="9">
        <f>IF(ISNA(MATCH(1558,Engine!$C$2:$C$1960,0)),"",INDEX('Compliance Database'!$O$2:$O$1960,MATCH(1558,Engine!$C$2:$C$1960,0)))</f>
        <v/>
      </c>
      <c r="P1571" s="8">
        <f>IF(ISNA(MATCH(1558,Engine!$C$2:$C$1960,0)),"",HYPERLINK("#Acts!A"&amp;INDEX('Compliance Database'!$P$2:$P$1960,MATCH(1558,Engine!$C$2:$C$1960,0)),"Go to Act"))</f>
        <v/>
      </c>
    </row>
    <row r="1572" ht="158" customHeight="1">
      <c r="A1572" s="8">
        <f>IF(ISNA(MATCH(1559,Engine!$C$2:$C$1960,0)),"",INDEX('Compliance Database'!$A$2:$A$1960,MATCH(1559,Engine!$C$2:$C$1960,0)))</f>
        <v/>
      </c>
      <c r="B1572" s="8">
        <f>IF(ISNA(MATCH(1559,Engine!$C$2:$C$1960,0)),"",INDEX('Compliance Database'!$B$2:$B$1960,MATCH(1559,Engine!$C$2:$C$1960,0)))</f>
        <v/>
      </c>
      <c r="C1572" s="8">
        <f>IF(ISNA(MATCH(1559,Engine!$C$2:$C$1960,0)),"",INDEX('Compliance Database'!$C$2:$C$1960,MATCH(1559,Engine!$C$2:$C$1960,0)))</f>
        <v/>
      </c>
      <c r="D1572" s="9">
        <f>IF(ISNA(MATCH(1559,Engine!$C$2:$C$1960,0)),"",INDEX('Compliance Database'!$D$2:$D$1960,MATCH(1559,Engine!$C$2:$C$1960,0)))</f>
        <v/>
      </c>
      <c r="E1572" s="8">
        <f>IF(ISNA(MATCH(1559,Engine!$C$2:$C$1960,0)),"",INDEX('Compliance Database'!$E$2:$E$1960,MATCH(1559,Engine!$C$2:$C$1960,0)))</f>
        <v/>
      </c>
      <c r="F1572" s="8">
        <f>IF(ISNA(MATCH(1559,Engine!$C$2:$C$1960,0)),"",INDEX('Compliance Database'!$F$2:$F$1960,MATCH(1559,Engine!$C$2:$C$1960,0)))</f>
        <v/>
      </c>
      <c r="G1572" s="8">
        <f>IF(ISNA(MATCH(1559,Engine!$C$2:$C$1960,0)),"",INDEX('Compliance Database'!$G$2:$G$1960,MATCH(1559,Engine!$C$2:$C$1960,0)))</f>
        <v/>
      </c>
      <c r="H1572" s="9">
        <f>IF(ISNA(MATCH(1559,Engine!$C$2:$C$1960,0)),"",INDEX('Compliance Database'!$H$2:$H$1960,MATCH(1559,Engine!$C$2:$C$1960,0)))</f>
        <v/>
      </c>
      <c r="I1572" s="9">
        <f>IF(ISNA(MATCH(1559,Engine!$C$2:$C$1960,0)),"",INDEX('Compliance Database'!$I$2:$I$1960,MATCH(1559,Engine!$C$2:$C$1960,0)))</f>
        <v/>
      </c>
      <c r="J1572" s="8">
        <f>IF(ISNA(MATCH(1559,Engine!$C$2:$C$1960,0)),"",INDEX('Compliance Database'!$J$2:$J$1960,MATCH(1559,Engine!$C$2:$C$1960,0)))</f>
        <v/>
      </c>
      <c r="K1572" s="9">
        <f>IF(ISNA(MATCH(1559,Engine!$C$2:$C$1960,0)),"",INDEX('Compliance Database'!$K$2:$K$1960,MATCH(1559,Engine!$C$2:$C$1960,0)))</f>
        <v/>
      </c>
      <c r="L1572" s="9">
        <f>IF(ISNA(MATCH(1559,Engine!$C$2:$C$1960,0)),"",INDEX('Compliance Database'!$L$2:$L$1960,MATCH(1559,Engine!$C$2:$C$1960,0)))</f>
        <v/>
      </c>
      <c r="M1572" s="9">
        <f>IF(ISNA(MATCH(1559,Engine!$C$2:$C$1960,0)),"",INDEX('Compliance Database'!$M$2:$M$1960,MATCH(1559,Engine!$C$2:$C$1960,0)))</f>
        <v/>
      </c>
      <c r="N1572" s="9">
        <f>IF(ISNA(MATCH(1559,Engine!$C$2:$C$1960,0)),"",INDEX('Compliance Database'!$N$2:$N$1960,MATCH(1559,Engine!$C$2:$C$1960,0)))</f>
        <v/>
      </c>
      <c r="O1572" s="9">
        <f>IF(ISNA(MATCH(1559,Engine!$C$2:$C$1960,0)),"",INDEX('Compliance Database'!$O$2:$O$1960,MATCH(1559,Engine!$C$2:$C$1960,0)))</f>
        <v/>
      </c>
      <c r="P1572" s="8">
        <f>IF(ISNA(MATCH(1559,Engine!$C$2:$C$1960,0)),"",HYPERLINK("#Acts!A"&amp;INDEX('Compliance Database'!$P$2:$P$1960,MATCH(1559,Engine!$C$2:$C$1960,0)),"Go to Act"))</f>
        <v/>
      </c>
    </row>
    <row r="1573" ht="158" customHeight="1">
      <c r="A1573" s="8">
        <f>IF(ISNA(MATCH(1560,Engine!$C$2:$C$1960,0)),"",INDEX('Compliance Database'!$A$2:$A$1960,MATCH(1560,Engine!$C$2:$C$1960,0)))</f>
        <v/>
      </c>
      <c r="B1573" s="8">
        <f>IF(ISNA(MATCH(1560,Engine!$C$2:$C$1960,0)),"",INDEX('Compliance Database'!$B$2:$B$1960,MATCH(1560,Engine!$C$2:$C$1960,0)))</f>
        <v/>
      </c>
      <c r="C1573" s="8">
        <f>IF(ISNA(MATCH(1560,Engine!$C$2:$C$1960,0)),"",INDEX('Compliance Database'!$C$2:$C$1960,MATCH(1560,Engine!$C$2:$C$1960,0)))</f>
        <v/>
      </c>
      <c r="D1573" s="9">
        <f>IF(ISNA(MATCH(1560,Engine!$C$2:$C$1960,0)),"",INDEX('Compliance Database'!$D$2:$D$1960,MATCH(1560,Engine!$C$2:$C$1960,0)))</f>
        <v/>
      </c>
      <c r="E1573" s="8">
        <f>IF(ISNA(MATCH(1560,Engine!$C$2:$C$1960,0)),"",INDEX('Compliance Database'!$E$2:$E$1960,MATCH(1560,Engine!$C$2:$C$1960,0)))</f>
        <v/>
      </c>
      <c r="F1573" s="8">
        <f>IF(ISNA(MATCH(1560,Engine!$C$2:$C$1960,0)),"",INDEX('Compliance Database'!$F$2:$F$1960,MATCH(1560,Engine!$C$2:$C$1960,0)))</f>
        <v/>
      </c>
      <c r="G1573" s="8">
        <f>IF(ISNA(MATCH(1560,Engine!$C$2:$C$1960,0)),"",INDEX('Compliance Database'!$G$2:$G$1960,MATCH(1560,Engine!$C$2:$C$1960,0)))</f>
        <v/>
      </c>
      <c r="H1573" s="9">
        <f>IF(ISNA(MATCH(1560,Engine!$C$2:$C$1960,0)),"",INDEX('Compliance Database'!$H$2:$H$1960,MATCH(1560,Engine!$C$2:$C$1960,0)))</f>
        <v/>
      </c>
      <c r="I1573" s="9">
        <f>IF(ISNA(MATCH(1560,Engine!$C$2:$C$1960,0)),"",INDEX('Compliance Database'!$I$2:$I$1960,MATCH(1560,Engine!$C$2:$C$1960,0)))</f>
        <v/>
      </c>
      <c r="J1573" s="8">
        <f>IF(ISNA(MATCH(1560,Engine!$C$2:$C$1960,0)),"",INDEX('Compliance Database'!$J$2:$J$1960,MATCH(1560,Engine!$C$2:$C$1960,0)))</f>
        <v/>
      </c>
      <c r="K1573" s="9">
        <f>IF(ISNA(MATCH(1560,Engine!$C$2:$C$1960,0)),"",INDEX('Compliance Database'!$K$2:$K$1960,MATCH(1560,Engine!$C$2:$C$1960,0)))</f>
        <v/>
      </c>
      <c r="L1573" s="9">
        <f>IF(ISNA(MATCH(1560,Engine!$C$2:$C$1960,0)),"",INDEX('Compliance Database'!$L$2:$L$1960,MATCH(1560,Engine!$C$2:$C$1960,0)))</f>
        <v/>
      </c>
      <c r="M1573" s="9">
        <f>IF(ISNA(MATCH(1560,Engine!$C$2:$C$1960,0)),"",INDEX('Compliance Database'!$M$2:$M$1960,MATCH(1560,Engine!$C$2:$C$1960,0)))</f>
        <v/>
      </c>
      <c r="N1573" s="9">
        <f>IF(ISNA(MATCH(1560,Engine!$C$2:$C$1960,0)),"",INDEX('Compliance Database'!$N$2:$N$1960,MATCH(1560,Engine!$C$2:$C$1960,0)))</f>
        <v/>
      </c>
      <c r="O1573" s="9">
        <f>IF(ISNA(MATCH(1560,Engine!$C$2:$C$1960,0)),"",INDEX('Compliance Database'!$O$2:$O$1960,MATCH(1560,Engine!$C$2:$C$1960,0)))</f>
        <v/>
      </c>
      <c r="P1573" s="8">
        <f>IF(ISNA(MATCH(1560,Engine!$C$2:$C$1960,0)),"",HYPERLINK("#Acts!A"&amp;INDEX('Compliance Database'!$P$2:$P$1960,MATCH(1560,Engine!$C$2:$C$1960,0)),"Go to Act"))</f>
        <v/>
      </c>
    </row>
    <row r="1574" ht="158" customHeight="1">
      <c r="A1574" s="8">
        <f>IF(ISNA(MATCH(1561,Engine!$C$2:$C$1960,0)),"",INDEX('Compliance Database'!$A$2:$A$1960,MATCH(1561,Engine!$C$2:$C$1960,0)))</f>
        <v/>
      </c>
      <c r="B1574" s="8">
        <f>IF(ISNA(MATCH(1561,Engine!$C$2:$C$1960,0)),"",INDEX('Compliance Database'!$B$2:$B$1960,MATCH(1561,Engine!$C$2:$C$1960,0)))</f>
        <v/>
      </c>
      <c r="C1574" s="8">
        <f>IF(ISNA(MATCH(1561,Engine!$C$2:$C$1960,0)),"",INDEX('Compliance Database'!$C$2:$C$1960,MATCH(1561,Engine!$C$2:$C$1960,0)))</f>
        <v/>
      </c>
      <c r="D1574" s="9">
        <f>IF(ISNA(MATCH(1561,Engine!$C$2:$C$1960,0)),"",INDEX('Compliance Database'!$D$2:$D$1960,MATCH(1561,Engine!$C$2:$C$1960,0)))</f>
        <v/>
      </c>
      <c r="E1574" s="8">
        <f>IF(ISNA(MATCH(1561,Engine!$C$2:$C$1960,0)),"",INDEX('Compliance Database'!$E$2:$E$1960,MATCH(1561,Engine!$C$2:$C$1960,0)))</f>
        <v/>
      </c>
      <c r="F1574" s="8">
        <f>IF(ISNA(MATCH(1561,Engine!$C$2:$C$1960,0)),"",INDEX('Compliance Database'!$F$2:$F$1960,MATCH(1561,Engine!$C$2:$C$1960,0)))</f>
        <v/>
      </c>
      <c r="G1574" s="8">
        <f>IF(ISNA(MATCH(1561,Engine!$C$2:$C$1960,0)),"",INDEX('Compliance Database'!$G$2:$G$1960,MATCH(1561,Engine!$C$2:$C$1960,0)))</f>
        <v/>
      </c>
      <c r="H1574" s="9">
        <f>IF(ISNA(MATCH(1561,Engine!$C$2:$C$1960,0)),"",INDEX('Compliance Database'!$H$2:$H$1960,MATCH(1561,Engine!$C$2:$C$1960,0)))</f>
        <v/>
      </c>
      <c r="I1574" s="9">
        <f>IF(ISNA(MATCH(1561,Engine!$C$2:$C$1960,0)),"",INDEX('Compliance Database'!$I$2:$I$1960,MATCH(1561,Engine!$C$2:$C$1960,0)))</f>
        <v/>
      </c>
      <c r="J1574" s="8">
        <f>IF(ISNA(MATCH(1561,Engine!$C$2:$C$1960,0)),"",INDEX('Compliance Database'!$J$2:$J$1960,MATCH(1561,Engine!$C$2:$C$1960,0)))</f>
        <v/>
      </c>
      <c r="K1574" s="9">
        <f>IF(ISNA(MATCH(1561,Engine!$C$2:$C$1960,0)),"",INDEX('Compliance Database'!$K$2:$K$1960,MATCH(1561,Engine!$C$2:$C$1960,0)))</f>
        <v/>
      </c>
      <c r="L1574" s="9">
        <f>IF(ISNA(MATCH(1561,Engine!$C$2:$C$1960,0)),"",INDEX('Compliance Database'!$L$2:$L$1960,MATCH(1561,Engine!$C$2:$C$1960,0)))</f>
        <v/>
      </c>
      <c r="M1574" s="9">
        <f>IF(ISNA(MATCH(1561,Engine!$C$2:$C$1960,0)),"",INDEX('Compliance Database'!$M$2:$M$1960,MATCH(1561,Engine!$C$2:$C$1960,0)))</f>
        <v/>
      </c>
      <c r="N1574" s="9">
        <f>IF(ISNA(MATCH(1561,Engine!$C$2:$C$1960,0)),"",INDEX('Compliance Database'!$N$2:$N$1960,MATCH(1561,Engine!$C$2:$C$1960,0)))</f>
        <v/>
      </c>
      <c r="O1574" s="9">
        <f>IF(ISNA(MATCH(1561,Engine!$C$2:$C$1960,0)),"",INDEX('Compliance Database'!$O$2:$O$1960,MATCH(1561,Engine!$C$2:$C$1960,0)))</f>
        <v/>
      </c>
      <c r="P1574" s="8">
        <f>IF(ISNA(MATCH(1561,Engine!$C$2:$C$1960,0)),"",HYPERLINK("#Acts!A"&amp;INDEX('Compliance Database'!$P$2:$P$1960,MATCH(1561,Engine!$C$2:$C$1960,0)),"Go to Act"))</f>
        <v/>
      </c>
    </row>
    <row r="1575" ht="158" customHeight="1">
      <c r="A1575" s="8">
        <f>IF(ISNA(MATCH(1562,Engine!$C$2:$C$1960,0)),"",INDEX('Compliance Database'!$A$2:$A$1960,MATCH(1562,Engine!$C$2:$C$1960,0)))</f>
        <v/>
      </c>
      <c r="B1575" s="8">
        <f>IF(ISNA(MATCH(1562,Engine!$C$2:$C$1960,0)),"",INDEX('Compliance Database'!$B$2:$B$1960,MATCH(1562,Engine!$C$2:$C$1960,0)))</f>
        <v/>
      </c>
      <c r="C1575" s="8">
        <f>IF(ISNA(MATCH(1562,Engine!$C$2:$C$1960,0)),"",INDEX('Compliance Database'!$C$2:$C$1960,MATCH(1562,Engine!$C$2:$C$1960,0)))</f>
        <v/>
      </c>
      <c r="D1575" s="9">
        <f>IF(ISNA(MATCH(1562,Engine!$C$2:$C$1960,0)),"",INDEX('Compliance Database'!$D$2:$D$1960,MATCH(1562,Engine!$C$2:$C$1960,0)))</f>
        <v/>
      </c>
      <c r="E1575" s="8">
        <f>IF(ISNA(MATCH(1562,Engine!$C$2:$C$1960,0)),"",INDEX('Compliance Database'!$E$2:$E$1960,MATCH(1562,Engine!$C$2:$C$1960,0)))</f>
        <v/>
      </c>
      <c r="F1575" s="8">
        <f>IF(ISNA(MATCH(1562,Engine!$C$2:$C$1960,0)),"",INDEX('Compliance Database'!$F$2:$F$1960,MATCH(1562,Engine!$C$2:$C$1960,0)))</f>
        <v/>
      </c>
      <c r="G1575" s="8">
        <f>IF(ISNA(MATCH(1562,Engine!$C$2:$C$1960,0)),"",INDEX('Compliance Database'!$G$2:$G$1960,MATCH(1562,Engine!$C$2:$C$1960,0)))</f>
        <v/>
      </c>
      <c r="H1575" s="9">
        <f>IF(ISNA(MATCH(1562,Engine!$C$2:$C$1960,0)),"",INDEX('Compliance Database'!$H$2:$H$1960,MATCH(1562,Engine!$C$2:$C$1960,0)))</f>
        <v/>
      </c>
      <c r="I1575" s="9">
        <f>IF(ISNA(MATCH(1562,Engine!$C$2:$C$1960,0)),"",INDEX('Compliance Database'!$I$2:$I$1960,MATCH(1562,Engine!$C$2:$C$1960,0)))</f>
        <v/>
      </c>
      <c r="J1575" s="8">
        <f>IF(ISNA(MATCH(1562,Engine!$C$2:$C$1960,0)),"",INDEX('Compliance Database'!$J$2:$J$1960,MATCH(1562,Engine!$C$2:$C$1960,0)))</f>
        <v/>
      </c>
      <c r="K1575" s="9">
        <f>IF(ISNA(MATCH(1562,Engine!$C$2:$C$1960,0)),"",INDEX('Compliance Database'!$K$2:$K$1960,MATCH(1562,Engine!$C$2:$C$1960,0)))</f>
        <v/>
      </c>
      <c r="L1575" s="9">
        <f>IF(ISNA(MATCH(1562,Engine!$C$2:$C$1960,0)),"",INDEX('Compliance Database'!$L$2:$L$1960,MATCH(1562,Engine!$C$2:$C$1960,0)))</f>
        <v/>
      </c>
      <c r="M1575" s="9">
        <f>IF(ISNA(MATCH(1562,Engine!$C$2:$C$1960,0)),"",INDEX('Compliance Database'!$M$2:$M$1960,MATCH(1562,Engine!$C$2:$C$1960,0)))</f>
        <v/>
      </c>
      <c r="N1575" s="9">
        <f>IF(ISNA(MATCH(1562,Engine!$C$2:$C$1960,0)),"",INDEX('Compliance Database'!$N$2:$N$1960,MATCH(1562,Engine!$C$2:$C$1960,0)))</f>
        <v/>
      </c>
      <c r="O1575" s="9">
        <f>IF(ISNA(MATCH(1562,Engine!$C$2:$C$1960,0)),"",INDEX('Compliance Database'!$O$2:$O$1960,MATCH(1562,Engine!$C$2:$C$1960,0)))</f>
        <v/>
      </c>
      <c r="P1575" s="8">
        <f>IF(ISNA(MATCH(1562,Engine!$C$2:$C$1960,0)),"",HYPERLINK("#Acts!A"&amp;INDEX('Compliance Database'!$P$2:$P$1960,MATCH(1562,Engine!$C$2:$C$1960,0)),"Go to Act"))</f>
        <v/>
      </c>
    </row>
    <row r="1576" ht="158" customHeight="1">
      <c r="A1576" s="8">
        <f>IF(ISNA(MATCH(1563,Engine!$C$2:$C$1960,0)),"",INDEX('Compliance Database'!$A$2:$A$1960,MATCH(1563,Engine!$C$2:$C$1960,0)))</f>
        <v/>
      </c>
      <c r="B1576" s="8">
        <f>IF(ISNA(MATCH(1563,Engine!$C$2:$C$1960,0)),"",INDEX('Compliance Database'!$B$2:$B$1960,MATCH(1563,Engine!$C$2:$C$1960,0)))</f>
        <v/>
      </c>
      <c r="C1576" s="8">
        <f>IF(ISNA(MATCH(1563,Engine!$C$2:$C$1960,0)),"",INDEX('Compliance Database'!$C$2:$C$1960,MATCH(1563,Engine!$C$2:$C$1960,0)))</f>
        <v/>
      </c>
      <c r="D1576" s="9">
        <f>IF(ISNA(MATCH(1563,Engine!$C$2:$C$1960,0)),"",INDEX('Compliance Database'!$D$2:$D$1960,MATCH(1563,Engine!$C$2:$C$1960,0)))</f>
        <v/>
      </c>
      <c r="E1576" s="8">
        <f>IF(ISNA(MATCH(1563,Engine!$C$2:$C$1960,0)),"",INDEX('Compliance Database'!$E$2:$E$1960,MATCH(1563,Engine!$C$2:$C$1960,0)))</f>
        <v/>
      </c>
      <c r="F1576" s="8">
        <f>IF(ISNA(MATCH(1563,Engine!$C$2:$C$1960,0)),"",INDEX('Compliance Database'!$F$2:$F$1960,MATCH(1563,Engine!$C$2:$C$1960,0)))</f>
        <v/>
      </c>
      <c r="G1576" s="8">
        <f>IF(ISNA(MATCH(1563,Engine!$C$2:$C$1960,0)),"",INDEX('Compliance Database'!$G$2:$G$1960,MATCH(1563,Engine!$C$2:$C$1960,0)))</f>
        <v/>
      </c>
      <c r="H1576" s="9">
        <f>IF(ISNA(MATCH(1563,Engine!$C$2:$C$1960,0)),"",INDEX('Compliance Database'!$H$2:$H$1960,MATCH(1563,Engine!$C$2:$C$1960,0)))</f>
        <v/>
      </c>
      <c r="I1576" s="9">
        <f>IF(ISNA(MATCH(1563,Engine!$C$2:$C$1960,0)),"",INDEX('Compliance Database'!$I$2:$I$1960,MATCH(1563,Engine!$C$2:$C$1960,0)))</f>
        <v/>
      </c>
      <c r="J1576" s="8">
        <f>IF(ISNA(MATCH(1563,Engine!$C$2:$C$1960,0)),"",INDEX('Compliance Database'!$J$2:$J$1960,MATCH(1563,Engine!$C$2:$C$1960,0)))</f>
        <v/>
      </c>
      <c r="K1576" s="9">
        <f>IF(ISNA(MATCH(1563,Engine!$C$2:$C$1960,0)),"",INDEX('Compliance Database'!$K$2:$K$1960,MATCH(1563,Engine!$C$2:$C$1960,0)))</f>
        <v/>
      </c>
      <c r="L1576" s="9">
        <f>IF(ISNA(MATCH(1563,Engine!$C$2:$C$1960,0)),"",INDEX('Compliance Database'!$L$2:$L$1960,MATCH(1563,Engine!$C$2:$C$1960,0)))</f>
        <v/>
      </c>
      <c r="M1576" s="9">
        <f>IF(ISNA(MATCH(1563,Engine!$C$2:$C$1960,0)),"",INDEX('Compliance Database'!$M$2:$M$1960,MATCH(1563,Engine!$C$2:$C$1960,0)))</f>
        <v/>
      </c>
      <c r="N1576" s="9">
        <f>IF(ISNA(MATCH(1563,Engine!$C$2:$C$1960,0)),"",INDEX('Compliance Database'!$N$2:$N$1960,MATCH(1563,Engine!$C$2:$C$1960,0)))</f>
        <v/>
      </c>
      <c r="O1576" s="9">
        <f>IF(ISNA(MATCH(1563,Engine!$C$2:$C$1960,0)),"",INDEX('Compliance Database'!$O$2:$O$1960,MATCH(1563,Engine!$C$2:$C$1960,0)))</f>
        <v/>
      </c>
      <c r="P1576" s="8">
        <f>IF(ISNA(MATCH(1563,Engine!$C$2:$C$1960,0)),"",HYPERLINK("#Acts!A"&amp;INDEX('Compliance Database'!$P$2:$P$1960,MATCH(1563,Engine!$C$2:$C$1960,0)),"Go to Act"))</f>
        <v/>
      </c>
    </row>
    <row r="1577" ht="158" customHeight="1">
      <c r="A1577" s="8">
        <f>IF(ISNA(MATCH(1564,Engine!$C$2:$C$1960,0)),"",INDEX('Compliance Database'!$A$2:$A$1960,MATCH(1564,Engine!$C$2:$C$1960,0)))</f>
        <v/>
      </c>
      <c r="B1577" s="8">
        <f>IF(ISNA(MATCH(1564,Engine!$C$2:$C$1960,0)),"",INDEX('Compliance Database'!$B$2:$B$1960,MATCH(1564,Engine!$C$2:$C$1960,0)))</f>
        <v/>
      </c>
      <c r="C1577" s="8">
        <f>IF(ISNA(MATCH(1564,Engine!$C$2:$C$1960,0)),"",INDEX('Compliance Database'!$C$2:$C$1960,MATCH(1564,Engine!$C$2:$C$1960,0)))</f>
        <v/>
      </c>
      <c r="D1577" s="9">
        <f>IF(ISNA(MATCH(1564,Engine!$C$2:$C$1960,0)),"",INDEX('Compliance Database'!$D$2:$D$1960,MATCH(1564,Engine!$C$2:$C$1960,0)))</f>
        <v/>
      </c>
      <c r="E1577" s="8">
        <f>IF(ISNA(MATCH(1564,Engine!$C$2:$C$1960,0)),"",INDEX('Compliance Database'!$E$2:$E$1960,MATCH(1564,Engine!$C$2:$C$1960,0)))</f>
        <v/>
      </c>
      <c r="F1577" s="8">
        <f>IF(ISNA(MATCH(1564,Engine!$C$2:$C$1960,0)),"",INDEX('Compliance Database'!$F$2:$F$1960,MATCH(1564,Engine!$C$2:$C$1960,0)))</f>
        <v/>
      </c>
      <c r="G1577" s="8">
        <f>IF(ISNA(MATCH(1564,Engine!$C$2:$C$1960,0)),"",INDEX('Compliance Database'!$G$2:$G$1960,MATCH(1564,Engine!$C$2:$C$1960,0)))</f>
        <v/>
      </c>
      <c r="H1577" s="9">
        <f>IF(ISNA(MATCH(1564,Engine!$C$2:$C$1960,0)),"",INDEX('Compliance Database'!$H$2:$H$1960,MATCH(1564,Engine!$C$2:$C$1960,0)))</f>
        <v/>
      </c>
      <c r="I1577" s="9">
        <f>IF(ISNA(MATCH(1564,Engine!$C$2:$C$1960,0)),"",INDEX('Compliance Database'!$I$2:$I$1960,MATCH(1564,Engine!$C$2:$C$1960,0)))</f>
        <v/>
      </c>
      <c r="J1577" s="8">
        <f>IF(ISNA(MATCH(1564,Engine!$C$2:$C$1960,0)),"",INDEX('Compliance Database'!$J$2:$J$1960,MATCH(1564,Engine!$C$2:$C$1960,0)))</f>
        <v/>
      </c>
      <c r="K1577" s="9">
        <f>IF(ISNA(MATCH(1564,Engine!$C$2:$C$1960,0)),"",INDEX('Compliance Database'!$K$2:$K$1960,MATCH(1564,Engine!$C$2:$C$1960,0)))</f>
        <v/>
      </c>
      <c r="L1577" s="9">
        <f>IF(ISNA(MATCH(1564,Engine!$C$2:$C$1960,0)),"",INDEX('Compliance Database'!$L$2:$L$1960,MATCH(1564,Engine!$C$2:$C$1960,0)))</f>
        <v/>
      </c>
      <c r="M1577" s="9">
        <f>IF(ISNA(MATCH(1564,Engine!$C$2:$C$1960,0)),"",INDEX('Compliance Database'!$M$2:$M$1960,MATCH(1564,Engine!$C$2:$C$1960,0)))</f>
        <v/>
      </c>
      <c r="N1577" s="9">
        <f>IF(ISNA(MATCH(1564,Engine!$C$2:$C$1960,0)),"",INDEX('Compliance Database'!$N$2:$N$1960,MATCH(1564,Engine!$C$2:$C$1960,0)))</f>
        <v/>
      </c>
      <c r="O1577" s="9">
        <f>IF(ISNA(MATCH(1564,Engine!$C$2:$C$1960,0)),"",INDEX('Compliance Database'!$O$2:$O$1960,MATCH(1564,Engine!$C$2:$C$1960,0)))</f>
        <v/>
      </c>
      <c r="P1577" s="8">
        <f>IF(ISNA(MATCH(1564,Engine!$C$2:$C$1960,0)),"",HYPERLINK("#Acts!A"&amp;INDEX('Compliance Database'!$P$2:$P$1960,MATCH(1564,Engine!$C$2:$C$1960,0)),"Go to Act"))</f>
        <v/>
      </c>
    </row>
    <row r="1578" ht="158" customHeight="1">
      <c r="A1578" s="8">
        <f>IF(ISNA(MATCH(1565,Engine!$C$2:$C$1960,0)),"",INDEX('Compliance Database'!$A$2:$A$1960,MATCH(1565,Engine!$C$2:$C$1960,0)))</f>
        <v/>
      </c>
      <c r="B1578" s="8">
        <f>IF(ISNA(MATCH(1565,Engine!$C$2:$C$1960,0)),"",INDEX('Compliance Database'!$B$2:$B$1960,MATCH(1565,Engine!$C$2:$C$1960,0)))</f>
        <v/>
      </c>
      <c r="C1578" s="8">
        <f>IF(ISNA(MATCH(1565,Engine!$C$2:$C$1960,0)),"",INDEX('Compliance Database'!$C$2:$C$1960,MATCH(1565,Engine!$C$2:$C$1960,0)))</f>
        <v/>
      </c>
      <c r="D1578" s="9">
        <f>IF(ISNA(MATCH(1565,Engine!$C$2:$C$1960,0)),"",INDEX('Compliance Database'!$D$2:$D$1960,MATCH(1565,Engine!$C$2:$C$1960,0)))</f>
        <v/>
      </c>
      <c r="E1578" s="8">
        <f>IF(ISNA(MATCH(1565,Engine!$C$2:$C$1960,0)),"",INDEX('Compliance Database'!$E$2:$E$1960,MATCH(1565,Engine!$C$2:$C$1960,0)))</f>
        <v/>
      </c>
      <c r="F1578" s="8">
        <f>IF(ISNA(MATCH(1565,Engine!$C$2:$C$1960,0)),"",INDEX('Compliance Database'!$F$2:$F$1960,MATCH(1565,Engine!$C$2:$C$1960,0)))</f>
        <v/>
      </c>
      <c r="G1578" s="8">
        <f>IF(ISNA(MATCH(1565,Engine!$C$2:$C$1960,0)),"",INDEX('Compliance Database'!$G$2:$G$1960,MATCH(1565,Engine!$C$2:$C$1960,0)))</f>
        <v/>
      </c>
      <c r="H1578" s="9">
        <f>IF(ISNA(MATCH(1565,Engine!$C$2:$C$1960,0)),"",INDEX('Compliance Database'!$H$2:$H$1960,MATCH(1565,Engine!$C$2:$C$1960,0)))</f>
        <v/>
      </c>
      <c r="I1578" s="9">
        <f>IF(ISNA(MATCH(1565,Engine!$C$2:$C$1960,0)),"",INDEX('Compliance Database'!$I$2:$I$1960,MATCH(1565,Engine!$C$2:$C$1960,0)))</f>
        <v/>
      </c>
      <c r="J1578" s="8">
        <f>IF(ISNA(MATCH(1565,Engine!$C$2:$C$1960,0)),"",INDEX('Compliance Database'!$J$2:$J$1960,MATCH(1565,Engine!$C$2:$C$1960,0)))</f>
        <v/>
      </c>
      <c r="K1578" s="9">
        <f>IF(ISNA(MATCH(1565,Engine!$C$2:$C$1960,0)),"",INDEX('Compliance Database'!$K$2:$K$1960,MATCH(1565,Engine!$C$2:$C$1960,0)))</f>
        <v/>
      </c>
      <c r="L1578" s="9">
        <f>IF(ISNA(MATCH(1565,Engine!$C$2:$C$1960,0)),"",INDEX('Compliance Database'!$L$2:$L$1960,MATCH(1565,Engine!$C$2:$C$1960,0)))</f>
        <v/>
      </c>
      <c r="M1578" s="9">
        <f>IF(ISNA(MATCH(1565,Engine!$C$2:$C$1960,0)),"",INDEX('Compliance Database'!$M$2:$M$1960,MATCH(1565,Engine!$C$2:$C$1960,0)))</f>
        <v/>
      </c>
      <c r="N1578" s="9">
        <f>IF(ISNA(MATCH(1565,Engine!$C$2:$C$1960,0)),"",INDEX('Compliance Database'!$N$2:$N$1960,MATCH(1565,Engine!$C$2:$C$1960,0)))</f>
        <v/>
      </c>
      <c r="O1578" s="9">
        <f>IF(ISNA(MATCH(1565,Engine!$C$2:$C$1960,0)),"",INDEX('Compliance Database'!$O$2:$O$1960,MATCH(1565,Engine!$C$2:$C$1960,0)))</f>
        <v/>
      </c>
      <c r="P1578" s="8">
        <f>IF(ISNA(MATCH(1565,Engine!$C$2:$C$1960,0)),"",HYPERLINK("#Acts!A"&amp;INDEX('Compliance Database'!$P$2:$P$1960,MATCH(1565,Engine!$C$2:$C$1960,0)),"Go to Act"))</f>
        <v/>
      </c>
    </row>
    <row r="1579" ht="158" customHeight="1">
      <c r="A1579" s="8">
        <f>IF(ISNA(MATCH(1566,Engine!$C$2:$C$1960,0)),"",INDEX('Compliance Database'!$A$2:$A$1960,MATCH(1566,Engine!$C$2:$C$1960,0)))</f>
        <v/>
      </c>
      <c r="B1579" s="8">
        <f>IF(ISNA(MATCH(1566,Engine!$C$2:$C$1960,0)),"",INDEX('Compliance Database'!$B$2:$B$1960,MATCH(1566,Engine!$C$2:$C$1960,0)))</f>
        <v/>
      </c>
      <c r="C1579" s="8">
        <f>IF(ISNA(MATCH(1566,Engine!$C$2:$C$1960,0)),"",INDEX('Compliance Database'!$C$2:$C$1960,MATCH(1566,Engine!$C$2:$C$1960,0)))</f>
        <v/>
      </c>
      <c r="D1579" s="9">
        <f>IF(ISNA(MATCH(1566,Engine!$C$2:$C$1960,0)),"",INDEX('Compliance Database'!$D$2:$D$1960,MATCH(1566,Engine!$C$2:$C$1960,0)))</f>
        <v/>
      </c>
      <c r="E1579" s="8">
        <f>IF(ISNA(MATCH(1566,Engine!$C$2:$C$1960,0)),"",INDEX('Compliance Database'!$E$2:$E$1960,MATCH(1566,Engine!$C$2:$C$1960,0)))</f>
        <v/>
      </c>
      <c r="F1579" s="8">
        <f>IF(ISNA(MATCH(1566,Engine!$C$2:$C$1960,0)),"",INDEX('Compliance Database'!$F$2:$F$1960,MATCH(1566,Engine!$C$2:$C$1960,0)))</f>
        <v/>
      </c>
      <c r="G1579" s="8">
        <f>IF(ISNA(MATCH(1566,Engine!$C$2:$C$1960,0)),"",INDEX('Compliance Database'!$G$2:$G$1960,MATCH(1566,Engine!$C$2:$C$1960,0)))</f>
        <v/>
      </c>
      <c r="H1579" s="9">
        <f>IF(ISNA(MATCH(1566,Engine!$C$2:$C$1960,0)),"",INDEX('Compliance Database'!$H$2:$H$1960,MATCH(1566,Engine!$C$2:$C$1960,0)))</f>
        <v/>
      </c>
      <c r="I1579" s="9">
        <f>IF(ISNA(MATCH(1566,Engine!$C$2:$C$1960,0)),"",INDEX('Compliance Database'!$I$2:$I$1960,MATCH(1566,Engine!$C$2:$C$1960,0)))</f>
        <v/>
      </c>
      <c r="J1579" s="8">
        <f>IF(ISNA(MATCH(1566,Engine!$C$2:$C$1960,0)),"",INDEX('Compliance Database'!$J$2:$J$1960,MATCH(1566,Engine!$C$2:$C$1960,0)))</f>
        <v/>
      </c>
      <c r="K1579" s="9">
        <f>IF(ISNA(MATCH(1566,Engine!$C$2:$C$1960,0)),"",INDEX('Compliance Database'!$K$2:$K$1960,MATCH(1566,Engine!$C$2:$C$1960,0)))</f>
        <v/>
      </c>
      <c r="L1579" s="9">
        <f>IF(ISNA(MATCH(1566,Engine!$C$2:$C$1960,0)),"",INDEX('Compliance Database'!$L$2:$L$1960,MATCH(1566,Engine!$C$2:$C$1960,0)))</f>
        <v/>
      </c>
      <c r="M1579" s="9">
        <f>IF(ISNA(MATCH(1566,Engine!$C$2:$C$1960,0)),"",INDEX('Compliance Database'!$M$2:$M$1960,MATCH(1566,Engine!$C$2:$C$1960,0)))</f>
        <v/>
      </c>
      <c r="N1579" s="9">
        <f>IF(ISNA(MATCH(1566,Engine!$C$2:$C$1960,0)),"",INDEX('Compliance Database'!$N$2:$N$1960,MATCH(1566,Engine!$C$2:$C$1960,0)))</f>
        <v/>
      </c>
      <c r="O1579" s="9">
        <f>IF(ISNA(MATCH(1566,Engine!$C$2:$C$1960,0)),"",INDEX('Compliance Database'!$O$2:$O$1960,MATCH(1566,Engine!$C$2:$C$1960,0)))</f>
        <v/>
      </c>
      <c r="P1579" s="8">
        <f>IF(ISNA(MATCH(1566,Engine!$C$2:$C$1960,0)),"",HYPERLINK("#Acts!A"&amp;INDEX('Compliance Database'!$P$2:$P$1960,MATCH(1566,Engine!$C$2:$C$1960,0)),"Go to Act"))</f>
        <v/>
      </c>
    </row>
    <row r="1580" ht="158" customHeight="1">
      <c r="A1580" s="8">
        <f>IF(ISNA(MATCH(1567,Engine!$C$2:$C$1960,0)),"",INDEX('Compliance Database'!$A$2:$A$1960,MATCH(1567,Engine!$C$2:$C$1960,0)))</f>
        <v/>
      </c>
      <c r="B1580" s="8">
        <f>IF(ISNA(MATCH(1567,Engine!$C$2:$C$1960,0)),"",INDEX('Compliance Database'!$B$2:$B$1960,MATCH(1567,Engine!$C$2:$C$1960,0)))</f>
        <v/>
      </c>
      <c r="C1580" s="8">
        <f>IF(ISNA(MATCH(1567,Engine!$C$2:$C$1960,0)),"",INDEX('Compliance Database'!$C$2:$C$1960,MATCH(1567,Engine!$C$2:$C$1960,0)))</f>
        <v/>
      </c>
      <c r="D1580" s="9">
        <f>IF(ISNA(MATCH(1567,Engine!$C$2:$C$1960,0)),"",INDEX('Compliance Database'!$D$2:$D$1960,MATCH(1567,Engine!$C$2:$C$1960,0)))</f>
        <v/>
      </c>
      <c r="E1580" s="8">
        <f>IF(ISNA(MATCH(1567,Engine!$C$2:$C$1960,0)),"",INDEX('Compliance Database'!$E$2:$E$1960,MATCH(1567,Engine!$C$2:$C$1960,0)))</f>
        <v/>
      </c>
      <c r="F1580" s="8">
        <f>IF(ISNA(MATCH(1567,Engine!$C$2:$C$1960,0)),"",INDEX('Compliance Database'!$F$2:$F$1960,MATCH(1567,Engine!$C$2:$C$1960,0)))</f>
        <v/>
      </c>
      <c r="G1580" s="8">
        <f>IF(ISNA(MATCH(1567,Engine!$C$2:$C$1960,0)),"",INDEX('Compliance Database'!$G$2:$G$1960,MATCH(1567,Engine!$C$2:$C$1960,0)))</f>
        <v/>
      </c>
      <c r="H1580" s="9">
        <f>IF(ISNA(MATCH(1567,Engine!$C$2:$C$1960,0)),"",INDEX('Compliance Database'!$H$2:$H$1960,MATCH(1567,Engine!$C$2:$C$1960,0)))</f>
        <v/>
      </c>
      <c r="I1580" s="9">
        <f>IF(ISNA(MATCH(1567,Engine!$C$2:$C$1960,0)),"",INDEX('Compliance Database'!$I$2:$I$1960,MATCH(1567,Engine!$C$2:$C$1960,0)))</f>
        <v/>
      </c>
      <c r="J1580" s="8">
        <f>IF(ISNA(MATCH(1567,Engine!$C$2:$C$1960,0)),"",INDEX('Compliance Database'!$J$2:$J$1960,MATCH(1567,Engine!$C$2:$C$1960,0)))</f>
        <v/>
      </c>
      <c r="K1580" s="9">
        <f>IF(ISNA(MATCH(1567,Engine!$C$2:$C$1960,0)),"",INDEX('Compliance Database'!$K$2:$K$1960,MATCH(1567,Engine!$C$2:$C$1960,0)))</f>
        <v/>
      </c>
      <c r="L1580" s="9">
        <f>IF(ISNA(MATCH(1567,Engine!$C$2:$C$1960,0)),"",INDEX('Compliance Database'!$L$2:$L$1960,MATCH(1567,Engine!$C$2:$C$1960,0)))</f>
        <v/>
      </c>
      <c r="M1580" s="9">
        <f>IF(ISNA(MATCH(1567,Engine!$C$2:$C$1960,0)),"",INDEX('Compliance Database'!$M$2:$M$1960,MATCH(1567,Engine!$C$2:$C$1960,0)))</f>
        <v/>
      </c>
      <c r="N1580" s="9">
        <f>IF(ISNA(MATCH(1567,Engine!$C$2:$C$1960,0)),"",INDEX('Compliance Database'!$N$2:$N$1960,MATCH(1567,Engine!$C$2:$C$1960,0)))</f>
        <v/>
      </c>
      <c r="O1580" s="9">
        <f>IF(ISNA(MATCH(1567,Engine!$C$2:$C$1960,0)),"",INDEX('Compliance Database'!$O$2:$O$1960,MATCH(1567,Engine!$C$2:$C$1960,0)))</f>
        <v/>
      </c>
      <c r="P1580" s="8">
        <f>IF(ISNA(MATCH(1567,Engine!$C$2:$C$1960,0)),"",HYPERLINK("#Acts!A"&amp;INDEX('Compliance Database'!$P$2:$P$1960,MATCH(1567,Engine!$C$2:$C$1960,0)),"Go to Act"))</f>
        <v/>
      </c>
    </row>
    <row r="1581" ht="158" customHeight="1">
      <c r="A1581" s="8">
        <f>IF(ISNA(MATCH(1568,Engine!$C$2:$C$1960,0)),"",INDEX('Compliance Database'!$A$2:$A$1960,MATCH(1568,Engine!$C$2:$C$1960,0)))</f>
        <v/>
      </c>
      <c r="B1581" s="8">
        <f>IF(ISNA(MATCH(1568,Engine!$C$2:$C$1960,0)),"",INDEX('Compliance Database'!$B$2:$B$1960,MATCH(1568,Engine!$C$2:$C$1960,0)))</f>
        <v/>
      </c>
      <c r="C1581" s="8">
        <f>IF(ISNA(MATCH(1568,Engine!$C$2:$C$1960,0)),"",INDEX('Compliance Database'!$C$2:$C$1960,MATCH(1568,Engine!$C$2:$C$1960,0)))</f>
        <v/>
      </c>
      <c r="D1581" s="9">
        <f>IF(ISNA(MATCH(1568,Engine!$C$2:$C$1960,0)),"",INDEX('Compliance Database'!$D$2:$D$1960,MATCH(1568,Engine!$C$2:$C$1960,0)))</f>
        <v/>
      </c>
      <c r="E1581" s="8">
        <f>IF(ISNA(MATCH(1568,Engine!$C$2:$C$1960,0)),"",INDEX('Compliance Database'!$E$2:$E$1960,MATCH(1568,Engine!$C$2:$C$1960,0)))</f>
        <v/>
      </c>
      <c r="F1581" s="8">
        <f>IF(ISNA(MATCH(1568,Engine!$C$2:$C$1960,0)),"",INDEX('Compliance Database'!$F$2:$F$1960,MATCH(1568,Engine!$C$2:$C$1960,0)))</f>
        <v/>
      </c>
      <c r="G1581" s="8">
        <f>IF(ISNA(MATCH(1568,Engine!$C$2:$C$1960,0)),"",INDEX('Compliance Database'!$G$2:$G$1960,MATCH(1568,Engine!$C$2:$C$1960,0)))</f>
        <v/>
      </c>
      <c r="H1581" s="9">
        <f>IF(ISNA(MATCH(1568,Engine!$C$2:$C$1960,0)),"",INDEX('Compliance Database'!$H$2:$H$1960,MATCH(1568,Engine!$C$2:$C$1960,0)))</f>
        <v/>
      </c>
      <c r="I1581" s="9">
        <f>IF(ISNA(MATCH(1568,Engine!$C$2:$C$1960,0)),"",INDEX('Compliance Database'!$I$2:$I$1960,MATCH(1568,Engine!$C$2:$C$1960,0)))</f>
        <v/>
      </c>
      <c r="J1581" s="8">
        <f>IF(ISNA(MATCH(1568,Engine!$C$2:$C$1960,0)),"",INDEX('Compliance Database'!$J$2:$J$1960,MATCH(1568,Engine!$C$2:$C$1960,0)))</f>
        <v/>
      </c>
      <c r="K1581" s="9">
        <f>IF(ISNA(MATCH(1568,Engine!$C$2:$C$1960,0)),"",INDEX('Compliance Database'!$K$2:$K$1960,MATCH(1568,Engine!$C$2:$C$1960,0)))</f>
        <v/>
      </c>
      <c r="L1581" s="9">
        <f>IF(ISNA(MATCH(1568,Engine!$C$2:$C$1960,0)),"",INDEX('Compliance Database'!$L$2:$L$1960,MATCH(1568,Engine!$C$2:$C$1960,0)))</f>
        <v/>
      </c>
      <c r="M1581" s="9">
        <f>IF(ISNA(MATCH(1568,Engine!$C$2:$C$1960,0)),"",INDEX('Compliance Database'!$M$2:$M$1960,MATCH(1568,Engine!$C$2:$C$1960,0)))</f>
        <v/>
      </c>
      <c r="N1581" s="9">
        <f>IF(ISNA(MATCH(1568,Engine!$C$2:$C$1960,0)),"",INDEX('Compliance Database'!$N$2:$N$1960,MATCH(1568,Engine!$C$2:$C$1960,0)))</f>
        <v/>
      </c>
      <c r="O1581" s="9">
        <f>IF(ISNA(MATCH(1568,Engine!$C$2:$C$1960,0)),"",INDEX('Compliance Database'!$O$2:$O$1960,MATCH(1568,Engine!$C$2:$C$1960,0)))</f>
        <v/>
      </c>
      <c r="P1581" s="8">
        <f>IF(ISNA(MATCH(1568,Engine!$C$2:$C$1960,0)),"",HYPERLINK("#Acts!A"&amp;INDEX('Compliance Database'!$P$2:$P$1960,MATCH(1568,Engine!$C$2:$C$1960,0)),"Go to Act"))</f>
        <v/>
      </c>
    </row>
    <row r="1582" ht="158" customHeight="1">
      <c r="A1582" s="8">
        <f>IF(ISNA(MATCH(1569,Engine!$C$2:$C$1960,0)),"",INDEX('Compliance Database'!$A$2:$A$1960,MATCH(1569,Engine!$C$2:$C$1960,0)))</f>
        <v/>
      </c>
      <c r="B1582" s="8">
        <f>IF(ISNA(MATCH(1569,Engine!$C$2:$C$1960,0)),"",INDEX('Compliance Database'!$B$2:$B$1960,MATCH(1569,Engine!$C$2:$C$1960,0)))</f>
        <v/>
      </c>
      <c r="C1582" s="8">
        <f>IF(ISNA(MATCH(1569,Engine!$C$2:$C$1960,0)),"",INDEX('Compliance Database'!$C$2:$C$1960,MATCH(1569,Engine!$C$2:$C$1960,0)))</f>
        <v/>
      </c>
      <c r="D1582" s="9">
        <f>IF(ISNA(MATCH(1569,Engine!$C$2:$C$1960,0)),"",INDEX('Compliance Database'!$D$2:$D$1960,MATCH(1569,Engine!$C$2:$C$1960,0)))</f>
        <v/>
      </c>
      <c r="E1582" s="8">
        <f>IF(ISNA(MATCH(1569,Engine!$C$2:$C$1960,0)),"",INDEX('Compliance Database'!$E$2:$E$1960,MATCH(1569,Engine!$C$2:$C$1960,0)))</f>
        <v/>
      </c>
      <c r="F1582" s="8">
        <f>IF(ISNA(MATCH(1569,Engine!$C$2:$C$1960,0)),"",INDEX('Compliance Database'!$F$2:$F$1960,MATCH(1569,Engine!$C$2:$C$1960,0)))</f>
        <v/>
      </c>
      <c r="G1582" s="8">
        <f>IF(ISNA(MATCH(1569,Engine!$C$2:$C$1960,0)),"",INDEX('Compliance Database'!$G$2:$G$1960,MATCH(1569,Engine!$C$2:$C$1960,0)))</f>
        <v/>
      </c>
      <c r="H1582" s="9">
        <f>IF(ISNA(MATCH(1569,Engine!$C$2:$C$1960,0)),"",INDEX('Compliance Database'!$H$2:$H$1960,MATCH(1569,Engine!$C$2:$C$1960,0)))</f>
        <v/>
      </c>
      <c r="I1582" s="9">
        <f>IF(ISNA(MATCH(1569,Engine!$C$2:$C$1960,0)),"",INDEX('Compliance Database'!$I$2:$I$1960,MATCH(1569,Engine!$C$2:$C$1960,0)))</f>
        <v/>
      </c>
      <c r="J1582" s="8">
        <f>IF(ISNA(MATCH(1569,Engine!$C$2:$C$1960,0)),"",INDEX('Compliance Database'!$J$2:$J$1960,MATCH(1569,Engine!$C$2:$C$1960,0)))</f>
        <v/>
      </c>
      <c r="K1582" s="9">
        <f>IF(ISNA(MATCH(1569,Engine!$C$2:$C$1960,0)),"",INDEX('Compliance Database'!$K$2:$K$1960,MATCH(1569,Engine!$C$2:$C$1960,0)))</f>
        <v/>
      </c>
      <c r="L1582" s="9">
        <f>IF(ISNA(MATCH(1569,Engine!$C$2:$C$1960,0)),"",INDEX('Compliance Database'!$L$2:$L$1960,MATCH(1569,Engine!$C$2:$C$1960,0)))</f>
        <v/>
      </c>
      <c r="M1582" s="9">
        <f>IF(ISNA(MATCH(1569,Engine!$C$2:$C$1960,0)),"",INDEX('Compliance Database'!$M$2:$M$1960,MATCH(1569,Engine!$C$2:$C$1960,0)))</f>
        <v/>
      </c>
      <c r="N1582" s="9">
        <f>IF(ISNA(MATCH(1569,Engine!$C$2:$C$1960,0)),"",INDEX('Compliance Database'!$N$2:$N$1960,MATCH(1569,Engine!$C$2:$C$1960,0)))</f>
        <v/>
      </c>
      <c r="O1582" s="9">
        <f>IF(ISNA(MATCH(1569,Engine!$C$2:$C$1960,0)),"",INDEX('Compliance Database'!$O$2:$O$1960,MATCH(1569,Engine!$C$2:$C$1960,0)))</f>
        <v/>
      </c>
      <c r="P1582" s="8">
        <f>IF(ISNA(MATCH(1569,Engine!$C$2:$C$1960,0)),"",HYPERLINK("#Acts!A"&amp;INDEX('Compliance Database'!$P$2:$P$1960,MATCH(1569,Engine!$C$2:$C$1960,0)),"Go to Act"))</f>
        <v/>
      </c>
    </row>
    <row r="1583" ht="158" customHeight="1">
      <c r="A1583" s="8">
        <f>IF(ISNA(MATCH(1570,Engine!$C$2:$C$1960,0)),"",INDEX('Compliance Database'!$A$2:$A$1960,MATCH(1570,Engine!$C$2:$C$1960,0)))</f>
        <v/>
      </c>
      <c r="B1583" s="8">
        <f>IF(ISNA(MATCH(1570,Engine!$C$2:$C$1960,0)),"",INDEX('Compliance Database'!$B$2:$B$1960,MATCH(1570,Engine!$C$2:$C$1960,0)))</f>
        <v/>
      </c>
      <c r="C1583" s="8">
        <f>IF(ISNA(MATCH(1570,Engine!$C$2:$C$1960,0)),"",INDEX('Compliance Database'!$C$2:$C$1960,MATCH(1570,Engine!$C$2:$C$1960,0)))</f>
        <v/>
      </c>
      <c r="D1583" s="9">
        <f>IF(ISNA(MATCH(1570,Engine!$C$2:$C$1960,0)),"",INDEX('Compliance Database'!$D$2:$D$1960,MATCH(1570,Engine!$C$2:$C$1960,0)))</f>
        <v/>
      </c>
      <c r="E1583" s="8">
        <f>IF(ISNA(MATCH(1570,Engine!$C$2:$C$1960,0)),"",INDEX('Compliance Database'!$E$2:$E$1960,MATCH(1570,Engine!$C$2:$C$1960,0)))</f>
        <v/>
      </c>
      <c r="F1583" s="8">
        <f>IF(ISNA(MATCH(1570,Engine!$C$2:$C$1960,0)),"",INDEX('Compliance Database'!$F$2:$F$1960,MATCH(1570,Engine!$C$2:$C$1960,0)))</f>
        <v/>
      </c>
      <c r="G1583" s="8">
        <f>IF(ISNA(MATCH(1570,Engine!$C$2:$C$1960,0)),"",INDEX('Compliance Database'!$G$2:$G$1960,MATCH(1570,Engine!$C$2:$C$1960,0)))</f>
        <v/>
      </c>
      <c r="H1583" s="9">
        <f>IF(ISNA(MATCH(1570,Engine!$C$2:$C$1960,0)),"",INDEX('Compliance Database'!$H$2:$H$1960,MATCH(1570,Engine!$C$2:$C$1960,0)))</f>
        <v/>
      </c>
      <c r="I1583" s="9">
        <f>IF(ISNA(MATCH(1570,Engine!$C$2:$C$1960,0)),"",INDEX('Compliance Database'!$I$2:$I$1960,MATCH(1570,Engine!$C$2:$C$1960,0)))</f>
        <v/>
      </c>
      <c r="J1583" s="8">
        <f>IF(ISNA(MATCH(1570,Engine!$C$2:$C$1960,0)),"",INDEX('Compliance Database'!$J$2:$J$1960,MATCH(1570,Engine!$C$2:$C$1960,0)))</f>
        <v/>
      </c>
      <c r="K1583" s="9">
        <f>IF(ISNA(MATCH(1570,Engine!$C$2:$C$1960,0)),"",INDEX('Compliance Database'!$K$2:$K$1960,MATCH(1570,Engine!$C$2:$C$1960,0)))</f>
        <v/>
      </c>
      <c r="L1583" s="9">
        <f>IF(ISNA(MATCH(1570,Engine!$C$2:$C$1960,0)),"",INDEX('Compliance Database'!$L$2:$L$1960,MATCH(1570,Engine!$C$2:$C$1960,0)))</f>
        <v/>
      </c>
      <c r="M1583" s="9">
        <f>IF(ISNA(MATCH(1570,Engine!$C$2:$C$1960,0)),"",INDEX('Compliance Database'!$M$2:$M$1960,MATCH(1570,Engine!$C$2:$C$1960,0)))</f>
        <v/>
      </c>
      <c r="N1583" s="9">
        <f>IF(ISNA(MATCH(1570,Engine!$C$2:$C$1960,0)),"",INDEX('Compliance Database'!$N$2:$N$1960,MATCH(1570,Engine!$C$2:$C$1960,0)))</f>
        <v/>
      </c>
      <c r="O1583" s="9">
        <f>IF(ISNA(MATCH(1570,Engine!$C$2:$C$1960,0)),"",INDEX('Compliance Database'!$O$2:$O$1960,MATCH(1570,Engine!$C$2:$C$1960,0)))</f>
        <v/>
      </c>
      <c r="P1583" s="8">
        <f>IF(ISNA(MATCH(1570,Engine!$C$2:$C$1960,0)),"",HYPERLINK("#Acts!A"&amp;INDEX('Compliance Database'!$P$2:$P$1960,MATCH(1570,Engine!$C$2:$C$1960,0)),"Go to Act"))</f>
        <v/>
      </c>
    </row>
    <row r="1584" ht="158" customHeight="1">
      <c r="A1584" s="8">
        <f>IF(ISNA(MATCH(1571,Engine!$C$2:$C$1960,0)),"",INDEX('Compliance Database'!$A$2:$A$1960,MATCH(1571,Engine!$C$2:$C$1960,0)))</f>
        <v/>
      </c>
      <c r="B1584" s="8">
        <f>IF(ISNA(MATCH(1571,Engine!$C$2:$C$1960,0)),"",INDEX('Compliance Database'!$B$2:$B$1960,MATCH(1571,Engine!$C$2:$C$1960,0)))</f>
        <v/>
      </c>
      <c r="C1584" s="8">
        <f>IF(ISNA(MATCH(1571,Engine!$C$2:$C$1960,0)),"",INDEX('Compliance Database'!$C$2:$C$1960,MATCH(1571,Engine!$C$2:$C$1960,0)))</f>
        <v/>
      </c>
      <c r="D1584" s="9">
        <f>IF(ISNA(MATCH(1571,Engine!$C$2:$C$1960,0)),"",INDEX('Compliance Database'!$D$2:$D$1960,MATCH(1571,Engine!$C$2:$C$1960,0)))</f>
        <v/>
      </c>
      <c r="E1584" s="8">
        <f>IF(ISNA(MATCH(1571,Engine!$C$2:$C$1960,0)),"",INDEX('Compliance Database'!$E$2:$E$1960,MATCH(1571,Engine!$C$2:$C$1960,0)))</f>
        <v/>
      </c>
      <c r="F1584" s="8">
        <f>IF(ISNA(MATCH(1571,Engine!$C$2:$C$1960,0)),"",INDEX('Compliance Database'!$F$2:$F$1960,MATCH(1571,Engine!$C$2:$C$1960,0)))</f>
        <v/>
      </c>
      <c r="G1584" s="8">
        <f>IF(ISNA(MATCH(1571,Engine!$C$2:$C$1960,0)),"",INDEX('Compliance Database'!$G$2:$G$1960,MATCH(1571,Engine!$C$2:$C$1960,0)))</f>
        <v/>
      </c>
      <c r="H1584" s="9">
        <f>IF(ISNA(MATCH(1571,Engine!$C$2:$C$1960,0)),"",INDEX('Compliance Database'!$H$2:$H$1960,MATCH(1571,Engine!$C$2:$C$1960,0)))</f>
        <v/>
      </c>
      <c r="I1584" s="9">
        <f>IF(ISNA(MATCH(1571,Engine!$C$2:$C$1960,0)),"",INDEX('Compliance Database'!$I$2:$I$1960,MATCH(1571,Engine!$C$2:$C$1960,0)))</f>
        <v/>
      </c>
      <c r="J1584" s="8">
        <f>IF(ISNA(MATCH(1571,Engine!$C$2:$C$1960,0)),"",INDEX('Compliance Database'!$J$2:$J$1960,MATCH(1571,Engine!$C$2:$C$1960,0)))</f>
        <v/>
      </c>
      <c r="K1584" s="9">
        <f>IF(ISNA(MATCH(1571,Engine!$C$2:$C$1960,0)),"",INDEX('Compliance Database'!$K$2:$K$1960,MATCH(1571,Engine!$C$2:$C$1960,0)))</f>
        <v/>
      </c>
      <c r="L1584" s="9">
        <f>IF(ISNA(MATCH(1571,Engine!$C$2:$C$1960,0)),"",INDEX('Compliance Database'!$L$2:$L$1960,MATCH(1571,Engine!$C$2:$C$1960,0)))</f>
        <v/>
      </c>
      <c r="M1584" s="9">
        <f>IF(ISNA(MATCH(1571,Engine!$C$2:$C$1960,0)),"",INDEX('Compliance Database'!$M$2:$M$1960,MATCH(1571,Engine!$C$2:$C$1960,0)))</f>
        <v/>
      </c>
      <c r="N1584" s="9">
        <f>IF(ISNA(MATCH(1571,Engine!$C$2:$C$1960,0)),"",INDEX('Compliance Database'!$N$2:$N$1960,MATCH(1571,Engine!$C$2:$C$1960,0)))</f>
        <v/>
      </c>
      <c r="O1584" s="9">
        <f>IF(ISNA(MATCH(1571,Engine!$C$2:$C$1960,0)),"",INDEX('Compliance Database'!$O$2:$O$1960,MATCH(1571,Engine!$C$2:$C$1960,0)))</f>
        <v/>
      </c>
      <c r="P1584" s="8">
        <f>IF(ISNA(MATCH(1571,Engine!$C$2:$C$1960,0)),"",HYPERLINK("#Acts!A"&amp;INDEX('Compliance Database'!$P$2:$P$1960,MATCH(1571,Engine!$C$2:$C$1960,0)),"Go to Act"))</f>
        <v/>
      </c>
    </row>
    <row r="1585" ht="158" customHeight="1">
      <c r="A1585" s="8">
        <f>IF(ISNA(MATCH(1572,Engine!$C$2:$C$1960,0)),"",INDEX('Compliance Database'!$A$2:$A$1960,MATCH(1572,Engine!$C$2:$C$1960,0)))</f>
        <v/>
      </c>
      <c r="B1585" s="8">
        <f>IF(ISNA(MATCH(1572,Engine!$C$2:$C$1960,0)),"",INDEX('Compliance Database'!$B$2:$B$1960,MATCH(1572,Engine!$C$2:$C$1960,0)))</f>
        <v/>
      </c>
      <c r="C1585" s="8">
        <f>IF(ISNA(MATCH(1572,Engine!$C$2:$C$1960,0)),"",INDEX('Compliance Database'!$C$2:$C$1960,MATCH(1572,Engine!$C$2:$C$1960,0)))</f>
        <v/>
      </c>
      <c r="D1585" s="9">
        <f>IF(ISNA(MATCH(1572,Engine!$C$2:$C$1960,0)),"",INDEX('Compliance Database'!$D$2:$D$1960,MATCH(1572,Engine!$C$2:$C$1960,0)))</f>
        <v/>
      </c>
      <c r="E1585" s="8">
        <f>IF(ISNA(MATCH(1572,Engine!$C$2:$C$1960,0)),"",INDEX('Compliance Database'!$E$2:$E$1960,MATCH(1572,Engine!$C$2:$C$1960,0)))</f>
        <v/>
      </c>
      <c r="F1585" s="8">
        <f>IF(ISNA(MATCH(1572,Engine!$C$2:$C$1960,0)),"",INDEX('Compliance Database'!$F$2:$F$1960,MATCH(1572,Engine!$C$2:$C$1960,0)))</f>
        <v/>
      </c>
      <c r="G1585" s="8">
        <f>IF(ISNA(MATCH(1572,Engine!$C$2:$C$1960,0)),"",INDEX('Compliance Database'!$G$2:$G$1960,MATCH(1572,Engine!$C$2:$C$1960,0)))</f>
        <v/>
      </c>
      <c r="H1585" s="9">
        <f>IF(ISNA(MATCH(1572,Engine!$C$2:$C$1960,0)),"",INDEX('Compliance Database'!$H$2:$H$1960,MATCH(1572,Engine!$C$2:$C$1960,0)))</f>
        <v/>
      </c>
      <c r="I1585" s="9">
        <f>IF(ISNA(MATCH(1572,Engine!$C$2:$C$1960,0)),"",INDEX('Compliance Database'!$I$2:$I$1960,MATCH(1572,Engine!$C$2:$C$1960,0)))</f>
        <v/>
      </c>
      <c r="J1585" s="8">
        <f>IF(ISNA(MATCH(1572,Engine!$C$2:$C$1960,0)),"",INDEX('Compliance Database'!$J$2:$J$1960,MATCH(1572,Engine!$C$2:$C$1960,0)))</f>
        <v/>
      </c>
      <c r="K1585" s="9">
        <f>IF(ISNA(MATCH(1572,Engine!$C$2:$C$1960,0)),"",INDEX('Compliance Database'!$K$2:$K$1960,MATCH(1572,Engine!$C$2:$C$1960,0)))</f>
        <v/>
      </c>
      <c r="L1585" s="9">
        <f>IF(ISNA(MATCH(1572,Engine!$C$2:$C$1960,0)),"",INDEX('Compliance Database'!$L$2:$L$1960,MATCH(1572,Engine!$C$2:$C$1960,0)))</f>
        <v/>
      </c>
      <c r="M1585" s="9">
        <f>IF(ISNA(MATCH(1572,Engine!$C$2:$C$1960,0)),"",INDEX('Compliance Database'!$M$2:$M$1960,MATCH(1572,Engine!$C$2:$C$1960,0)))</f>
        <v/>
      </c>
      <c r="N1585" s="9">
        <f>IF(ISNA(MATCH(1572,Engine!$C$2:$C$1960,0)),"",INDEX('Compliance Database'!$N$2:$N$1960,MATCH(1572,Engine!$C$2:$C$1960,0)))</f>
        <v/>
      </c>
      <c r="O1585" s="9">
        <f>IF(ISNA(MATCH(1572,Engine!$C$2:$C$1960,0)),"",INDEX('Compliance Database'!$O$2:$O$1960,MATCH(1572,Engine!$C$2:$C$1960,0)))</f>
        <v/>
      </c>
      <c r="P1585" s="8">
        <f>IF(ISNA(MATCH(1572,Engine!$C$2:$C$1960,0)),"",HYPERLINK("#Acts!A"&amp;INDEX('Compliance Database'!$P$2:$P$1960,MATCH(1572,Engine!$C$2:$C$1960,0)),"Go to Act"))</f>
        <v/>
      </c>
    </row>
    <row r="1586" ht="158" customHeight="1">
      <c r="A1586" s="8">
        <f>IF(ISNA(MATCH(1573,Engine!$C$2:$C$1960,0)),"",INDEX('Compliance Database'!$A$2:$A$1960,MATCH(1573,Engine!$C$2:$C$1960,0)))</f>
        <v/>
      </c>
      <c r="B1586" s="8">
        <f>IF(ISNA(MATCH(1573,Engine!$C$2:$C$1960,0)),"",INDEX('Compliance Database'!$B$2:$B$1960,MATCH(1573,Engine!$C$2:$C$1960,0)))</f>
        <v/>
      </c>
      <c r="C1586" s="8">
        <f>IF(ISNA(MATCH(1573,Engine!$C$2:$C$1960,0)),"",INDEX('Compliance Database'!$C$2:$C$1960,MATCH(1573,Engine!$C$2:$C$1960,0)))</f>
        <v/>
      </c>
      <c r="D1586" s="9">
        <f>IF(ISNA(MATCH(1573,Engine!$C$2:$C$1960,0)),"",INDEX('Compliance Database'!$D$2:$D$1960,MATCH(1573,Engine!$C$2:$C$1960,0)))</f>
        <v/>
      </c>
      <c r="E1586" s="8">
        <f>IF(ISNA(MATCH(1573,Engine!$C$2:$C$1960,0)),"",INDEX('Compliance Database'!$E$2:$E$1960,MATCH(1573,Engine!$C$2:$C$1960,0)))</f>
        <v/>
      </c>
      <c r="F1586" s="8">
        <f>IF(ISNA(MATCH(1573,Engine!$C$2:$C$1960,0)),"",INDEX('Compliance Database'!$F$2:$F$1960,MATCH(1573,Engine!$C$2:$C$1960,0)))</f>
        <v/>
      </c>
      <c r="G1586" s="8">
        <f>IF(ISNA(MATCH(1573,Engine!$C$2:$C$1960,0)),"",INDEX('Compliance Database'!$G$2:$G$1960,MATCH(1573,Engine!$C$2:$C$1960,0)))</f>
        <v/>
      </c>
      <c r="H1586" s="9">
        <f>IF(ISNA(MATCH(1573,Engine!$C$2:$C$1960,0)),"",INDEX('Compliance Database'!$H$2:$H$1960,MATCH(1573,Engine!$C$2:$C$1960,0)))</f>
        <v/>
      </c>
      <c r="I1586" s="9">
        <f>IF(ISNA(MATCH(1573,Engine!$C$2:$C$1960,0)),"",INDEX('Compliance Database'!$I$2:$I$1960,MATCH(1573,Engine!$C$2:$C$1960,0)))</f>
        <v/>
      </c>
      <c r="J1586" s="8">
        <f>IF(ISNA(MATCH(1573,Engine!$C$2:$C$1960,0)),"",INDEX('Compliance Database'!$J$2:$J$1960,MATCH(1573,Engine!$C$2:$C$1960,0)))</f>
        <v/>
      </c>
      <c r="K1586" s="9">
        <f>IF(ISNA(MATCH(1573,Engine!$C$2:$C$1960,0)),"",INDEX('Compliance Database'!$K$2:$K$1960,MATCH(1573,Engine!$C$2:$C$1960,0)))</f>
        <v/>
      </c>
      <c r="L1586" s="9">
        <f>IF(ISNA(MATCH(1573,Engine!$C$2:$C$1960,0)),"",INDEX('Compliance Database'!$L$2:$L$1960,MATCH(1573,Engine!$C$2:$C$1960,0)))</f>
        <v/>
      </c>
      <c r="M1586" s="9">
        <f>IF(ISNA(MATCH(1573,Engine!$C$2:$C$1960,0)),"",INDEX('Compliance Database'!$M$2:$M$1960,MATCH(1573,Engine!$C$2:$C$1960,0)))</f>
        <v/>
      </c>
      <c r="N1586" s="9">
        <f>IF(ISNA(MATCH(1573,Engine!$C$2:$C$1960,0)),"",INDEX('Compliance Database'!$N$2:$N$1960,MATCH(1573,Engine!$C$2:$C$1960,0)))</f>
        <v/>
      </c>
      <c r="O1586" s="9">
        <f>IF(ISNA(MATCH(1573,Engine!$C$2:$C$1960,0)),"",INDEX('Compliance Database'!$O$2:$O$1960,MATCH(1573,Engine!$C$2:$C$1960,0)))</f>
        <v/>
      </c>
      <c r="P1586" s="8">
        <f>IF(ISNA(MATCH(1573,Engine!$C$2:$C$1960,0)),"",HYPERLINK("#Acts!A"&amp;INDEX('Compliance Database'!$P$2:$P$1960,MATCH(1573,Engine!$C$2:$C$1960,0)),"Go to Act"))</f>
        <v/>
      </c>
    </row>
    <row r="1587" ht="158" customHeight="1">
      <c r="A1587" s="8">
        <f>IF(ISNA(MATCH(1574,Engine!$C$2:$C$1960,0)),"",INDEX('Compliance Database'!$A$2:$A$1960,MATCH(1574,Engine!$C$2:$C$1960,0)))</f>
        <v/>
      </c>
      <c r="B1587" s="8">
        <f>IF(ISNA(MATCH(1574,Engine!$C$2:$C$1960,0)),"",INDEX('Compliance Database'!$B$2:$B$1960,MATCH(1574,Engine!$C$2:$C$1960,0)))</f>
        <v/>
      </c>
      <c r="C1587" s="8">
        <f>IF(ISNA(MATCH(1574,Engine!$C$2:$C$1960,0)),"",INDEX('Compliance Database'!$C$2:$C$1960,MATCH(1574,Engine!$C$2:$C$1960,0)))</f>
        <v/>
      </c>
      <c r="D1587" s="9">
        <f>IF(ISNA(MATCH(1574,Engine!$C$2:$C$1960,0)),"",INDEX('Compliance Database'!$D$2:$D$1960,MATCH(1574,Engine!$C$2:$C$1960,0)))</f>
        <v/>
      </c>
      <c r="E1587" s="8">
        <f>IF(ISNA(MATCH(1574,Engine!$C$2:$C$1960,0)),"",INDEX('Compliance Database'!$E$2:$E$1960,MATCH(1574,Engine!$C$2:$C$1960,0)))</f>
        <v/>
      </c>
      <c r="F1587" s="8">
        <f>IF(ISNA(MATCH(1574,Engine!$C$2:$C$1960,0)),"",INDEX('Compliance Database'!$F$2:$F$1960,MATCH(1574,Engine!$C$2:$C$1960,0)))</f>
        <v/>
      </c>
      <c r="G1587" s="8">
        <f>IF(ISNA(MATCH(1574,Engine!$C$2:$C$1960,0)),"",INDEX('Compliance Database'!$G$2:$G$1960,MATCH(1574,Engine!$C$2:$C$1960,0)))</f>
        <v/>
      </c>
      <c r="H1587" s="9">
        <f>IF(ISNA(MATCH(1574,Engine!$C$2:$C$1960,0)),"",INDEX('Compliance Database'!$H$2:$H$1960,MATCH(1574,Engine!$C$2:$C$1960,0)))</f>
        <v/>
      </c>
      <c r="I1587" s="9">
        <f>IF(ISNA(MATCH(1574,Engine!$C$2:$C$1960,0)),"",INDEX('Compliance Database'!$I$2:$I$1960,MATCH(1574,Engine!$C$2:$C$1960,0)))</f>
        <v/>
      </c>
      <c r="J1587" s="8">
        <f>IF(ISNA(MATCH(1574,Engine!$C$2:$C$1960,0)),"",INDEX('Compliance Database'!$J$2:$J$1960,MATCH(1574,Engine!$C$2:$C$1960,0)))</f>
        <v/>
      </c>
      <c r="K1587" s="9">
        <f>IF(ISNA(MATCH(1574,Engine!$C$2:$C$1960,0)),"",INDEX('Compliance Database'!$K$2:$K$1960,MATCH(1574,Engine!$C$2:$C$1960,0)))</f>
        <v/>
      </c>
      <c r="L1587" s="9">
        <f>IF(ISNA(MATCH(1574,Engine!$C$2:$C$1960,0)),"",INDEX('Compliance Database'!$L$2:$L$1960,MATCH(1574,Engine!$C$2:$C$1960,0)))</f>
        <v/>
      </c>
      <c r="M1587" s="9">
        <f>IF(ISNA(MATCH(1574,Engine!$C$2:$C$1960,0)),"",INDEX('Compliance Database'!$M$2:$M$1960,MATCH(1574,Engine!$C$2:$C$1960,0)))</f>
        <v/>
      </c>
      <c r="N1587" s="9">
        <f>IF(ISNA(MATCH(1574,Engine!$C$2:$C$1960,0)),"",INDEX('Compliance Database'!$N$2:$N$1960,MATCH(1574,Engine!$C$2:$C$1960,0)))</f>
        <v/>
      </c>
      <c r="O1587" s="9">
        <f>IF(ISNA(MATCH(1574,Engine!$C$2:$C$1960,0)),"",INDEX('Compliance Database'!$O$2:$O$1960,MATCH(1574,Engine!$C$2:$C$1960,0)))</f>
        <v/>
      </c>
      <c r="P1587" s="8">
        <f>IF(ISNA(MATCH(1574,Engine!$C$2:$C$1960,0)),"",HYPERLINK("#Acts!A"&amp;INDEX('Compliance Database'!$P$2:$P$1960,MATCH(1574,Engine!$C$2:$C$1960,0)),"Go to Act"))</f>
        <v/>
      </c>
    </row>
    <row r="1588" ht="158" customHeight="1">
      <c r="A1588" s="8">
        <f>IF(ISNA(MATCH(1575,Engine!$C$2:$C$1960,0)),"",INDEX('Compliance Database'!$A$2:$A$1960,MATCH(1575,Engine!$C$2:$C$1960,0)))</f>
        <v/>
      </c>
      <c r="B1588" s="8">
        <f>IF(ISNA(MATCH(1575,Engine!$C$2:$C$1960,0)),"",INDEX('Compliance Database'!$B$2:$B$1960,MATCH(1575,Engine!$C$2:$C$1960,0)))</f>
        <v/>
      </c>
      <c r="C1588" s="8">
        <f>IF(ISNA(MATCH(1575,Engine!$C$2:$C$1960,0)),"",INDEX('Compliance Database'!$C$2:$C$1960,MATCH(1575,Engine!$C$2:$C$1960,0)))</f>
        <v/>
      </c>
      <c r="D1588" s="9">
        <f>IF(ISNA(MATCH(1575,Engine!$C$2:$C$1960,0)),"",INDEX('Compliance Database'!$D$2:$D$1960,MATCH(1575,Engine!$C$2:$C$1960,0)))</f>
        <v/>
      </c>
      <c r="E1588" s="8">
        <f>IF(ISNA(MATCH(1575,Engine!$C$2:$C$1960,0)),"",INDEX('Compliance Database'!$E$2:$E$1960,MATCH(1575,Engine!$C$2:$C$1960,0)))</f>
        <v/>
      </c>
      <c r="F1588" s="8">
        <f>IF(ISNA(MATCH(1575,Engine!$C$2:$C$1960,0)),"",INDEX('Compliance Database'!$F$2:$F$1960,MATCH(1575,Engine!$C$2:$C$1960,0)))</f>
        <v/>
      </c>
      <c r="G1588" s="8">
        <f>IF(ISNA(MATCH(1575,Engine!$C$2:$C$1960,0)),"",INDEX('Compliance Database'!$G$2:$G$1960,MATCH(1575,Engine!$C$2:$C$1960,0)))</f>
        <v/>
      </c>
      <c r="H1588" s="9">
        <f>IF(ISNA(MATCH(1575,Engine!$C$2:$C$1960,0)),"",INDEX('Compliance Database'!$H$2:$H$1960,MATCH(1575,Engine!$C$2:$C$1960,0)))</f>
        <v/>
      </c>
      <c r="I1588" s="9">
        <f>IF(ISNA(MATCH(1575,Engine!$C$2:$C$1960,0)),"",INDEX('Compliance Database'!$I$2:$I$1960,MATCH(1575,Engine!$C$2:$C$1960,0)))</f>
        <v/>
      </c>
      <c r="J1588" s="8">
        <f>IF(ISNA(MATCH(1575,Engine!$C$2:$C$1960,0)),"",INDEX('Compliance Database'!$J$2:$J$1960,MATCH(1575,Engine!$C$2:$C$1960,0)))</f>
        <v/>
      </c>
      <c r="K1588" s="9">
        <f>IF(ISNA(MATCH(1575,Engine!$C$2:$C$1960,0)),"",INDEX('Compliance Database'!$K$2:$K$1960,MATCH(1575,Engine!$C$2:$C$1960,0)))</f>
        <v/>
      </c>
      <c r="L1588" s="9">
        <f>IF(ISNA(MATCH(1575,Engine!$C$2:$C$1960,0)),"",INDEX('Compliance Database'!$L$2:$L$1960,MATCH(1575,Engine!$C$2:$C$1960,0)))</f>
        <v/>
      </c>
      <c r="M1588" s="9">
        <f>IF(ISNA(MATCH(1575,Engine!$C$2:$C$1960,0)),"",INDEX('Compliance Database'!$M$2:$M$1960,MATCH(1575,Engine!$C$2:$C$1960,0)))</f>
        <v/>
      </c>
      <c r="N1588" s="9">
        <f>IF(ISNA(MATCH(1575,Engine!$C$2:$C$1960,0)),"",INDEX('Compliance Database'!$N$2:$N$1960,MATCH(1575,Engine!$C$2:$C$1960,0)))</f>
        <v/>
      </c>
      <c r="O1588" s="9">
        <f>IF(ISNA(MATCH(1575,Engine!$C$2:$C$1960,0)),"",INDEX('Compliance Database'!$O$2:$O$1960,MATCH(1575,Engine!$C$2:$C$1960,0)))</f>
        <v/>
      </c>
      <c r="P1588" s="8">
        <f>IF(ISNA(MATCH(1575,Engine!$C$2:$C$1960,0)),"",HYPERLINK("#Acts!A"&amp;INDEX('Compliance Database'!$P$2:$P$1960,MATCH(1575,Engine!$C$2:$C$1960,0)),"Go to Act"))</f>
        <v/>
      </c>
    </row>
    <row r="1589" ht="158" customHeight="1">
      <c r="A1589" s="8">
        <f>IF(ISNA(MATCH(1576,Engine!$C$2:$C$1960,0)),"",INDEX('Compliance Database'!$A$2:$A$1960,MATCH(1576,Engine!$C$2:$C$1960,0)))</f>
        <v/>
      </c>
      <c r="B1589" s="8">
        <f>IF(ISNA(MATCH(1576,Engine!$C$2:$C$1960,0)),"",INDEX('Compliance Database'!$B$2:$B$1960,MATCH(1576,Engine!$C$2:$C$1960,0)))</f>
        <v/>
      </c>
      <c r="C1589" s="8">
        <f>IF(ISNA(MATCH(1576,Engine!$C$2:$C$1960,0)),"",INDEX('Compliance Database'!$C$2:$C$1960,MATCH(1576,Engine!$C$2:$C$1960,0)))</f>
        <v/>
      </c>
      <c r="D1589" s="9">
        <f>IF(ISNA(MATCH(1576,Engine!$C$2:$C$1960,0)),"",INDEX('Compliance Database'!$D$2:$D$1960,MATCH(1576,Engine!$C$2:$C$1960,0)))</f>
        <v/>
      </c>
      <c r="E1589" s="8">
        <f>IF(ISNA(MATCH(1576,Engine!$C$2:$C$1960,0)),"",INDEX('Compliance Database'!$E$2:$E$1960,MATCH(1576,Engine!$C$2:$C$1960,0)))</f>
        <v/>
      </c>
      <c r="F1589" s="8">
        <f>IF(ISNA(MATCH(1576,Engine!$C$2:$C$1960,0)),"",INDEX('Compliance Database'!$F$2:$F$1960,MATCH(1576,Engine!$C$2:$C$1960,0)))</f>
        <v/>
      </c>
      <c r="G1589" s="8">
        <f>IF(ISNA(MATCH(1576,Engine!$C$2:$C$1960,0)),"",INDEX('Compliance Database'!$G$2:$G$1960,MATCH(1576,Engine!$C$2:$C$1960,0)))</f>
        <v/>
      </c>
      <c r="H1589" s="9">
        <f>IF(ISNA(MATCH(1576,Engine!$C$2:$C$1960,0)),"",INDEX('Compliance Database'!$H$2:$H$1960,MATCH(1576,Engine!$C$2:$C$1960,0)))</f>
        <v/>
      </c>
      <c r="I1589" s="9">
        <f>IF(ISNA(MATCH(1576,Engine!$C$2:$C$1960,0)),"",INDEX('Compliance Database'!$I$2:$I$1960,MATCH(1576,Engine!$C$2:$C$1960,0)))</f>
        <v/>
      </c>
      <c r="J1589" s="8">
        <f>IF(ISNA(MATCH(1576,Engine!$C$2:$C$1960,0)),"",INDEX('Compliance Database'!$J$2:$J$1960,MATCH(1576,Engine!$C$2:$C$1960,0)))</f>
        <v/>
      </c>
      <c r="K1589" s="9">
        <f>IF(ISNA(MATCH(1576,Engine!$C$2:$C$1960,0)),"",INDEX('Compliance Database'!$K$2:$K$1960,MATCH(1576,Engine!$C$2:$C$1960,0)))</f>
        <v/>
      </c>
      <c r="L1589" s="9">
        <f>IF(ISNA(MATCH(1576,Engine!$C$2:$C$1960,0)),"",INDEX('Compliance Database'!$L$2:$L$1960,MATCH(1576,Engine!$C$2:$C$1960,0)))</f>
        <v/>
      </c>
      <c r="M1589" s="9">
        <f>IF(ISNA(MATCH(1576,Engine!$C$2:$C$1960,0)),"",INDEX('Compliance Database'!$M$2:$M$1960,MATCH(1576,Engine!$C$2:$C$1960,0)))</f>
        <v/>
      </c>
      <c r="N1589" s="9">
        <f>IF(ISNA(MATCH(1576,Engine!$C$2:$C$1960,0)),"",INDEX('Compliance Database'!$N$2:$N$1960,MATCH(1576,Engine!$C$2:$C$1960,0)))</f>
        <v/>
      </c>
      <c r="O1589" s="9">
        <f>IF(ISNA(MATCH(1576,Engine!$C$2:$C$1960,0)),"",INDEX('Compliance Database'!$O$2:$O$1960,MATCH(1576,Engine!$C$2:$C$1960,0)))</f>
        <v/>
      </c>
      <c r="P1589" s="8">
        <f>IF(ISNA(MATCH(1576,Engine!$C$2:$C$1960,0)),"",HYPERLINK("#Acts!A"&amp;INDEX('Compliance Database'!$P$2:$P$1960,MATCH(1576,Engine!$C$2:$C$1960,0)),"Go to Act"))</f>
        <v/>
      </c>
    </row>
    <row r="1590" ht="158" customHeight="1">
      <c r="A1590" s="8">
        <f>IF(ISNA(MATCH(1577,Engine!$C$2:$C$1960,0)),"",INDEX('Compliance Database'!$A$2:$A$1960,MATCH(1577,Engine!$C$2:$C$1960,0)))</f>
        <v/>
      </c>
      <c r="B1590" s="8">
        <f>IF(ISNA(MATCH(1577,Engine!$C$2:$C$1960,0)),"",INDEX('Compliance Database'!$B$2:$B$1960,MATCH(1577,Engine!$C$2:$C$1960,0)))</f>
        <v/>
      </c>
      <c r="C1590" s="8">
        <f>IF(ISNA(MATCH(1577,Engine!$C$2:$C$1960,0)),"",INDEX('Compliance Database'!$C$2:$C$1960,MATCH(1577,Engine!$C$2:$C$1960,0)))</f>
        <v/>
      </c>
      <c r="D1590" s="9">
        <f>IF(ISNA(MATCH(1577,Engine!$C$2:$C$1960,0)),"",INDEX('Compliance Database'!$D$2:$D$1960,MATCH(1577,Engine!$C$2:$C$1960,0)))</f>
        <v/>
      </c>
      <c r="E1590" s="8">
        <f>IF(ISNA(MATCH(1577,Engine!$C$2:$C$1960,0)),"",INDEX('Compliance Database'!$E$2:$E$1960,MATCH(1577,Engine!$C$2:$C$1960,0)))</f>
        <v/>
      </c>
      <c r="F1590" s="8">
        <f>IF(ISNA(MATCH(1577,Engine!$C$2:$C$1960,0)),"",INDEX('Compliance Database'!$F$2:$F$1960,MATCH(1577,Engine!$C$2:$C$1960,0)))</f>
        <v/>
      </c>
      <c r="G1590" s="8">
        <f>IF(ISNA(MATCH(1577,Engine!$C$2:$C$1960,0)),"",INDEX('Compliance Database'!$G$2:$G$1960,MATCH(1577,Engine!$C$2:$C$1960,0)))</f>
        <v/>
      </c>
      <c r="H1590" s="9">
        <f>IF(ISNA(MATCH(1577,Engine!$C$2:$C$1960,0)),"",INDEX('Compliance Database'!$H$2:$H$1960,MATCH(1577,Engine!$C$2:$C$1960,0)))</f>
        <v/>
      </c>
      <c r="I1590" s="9">
        <f>IF(ISNA(MATCH(1577,Engine!$C$2:$C$1960,0)),"",INDEX('Compliance Database'!$I$2:$I$1960,MATCH(1577,Engine!$C$2:$C$1960,0)))</f>
        <v/>
      </c>
      <c r="J1590" s="8">
        <f>IF(ISNA(MATCH(1577,Engine!$C$2:$C$1960,0)),"",INDEX('Compliance Database'!$J$2:$J$1960,MATCH(1577,Engine!$C$2:$C$1960,0)))</f>
        <v/>
      </c>
      <c r="K1590" s="9">
        <f>IF(ISNA(MATCH(1577,Engine!$C$2:$C$1960,0)),"",INDEX('Compliance Database'!$K$2:$K$1960,MATCH(1577,Engine!$C$2:$C$1960,0)))</f>
        <v/>
      </c>
      <c r="L1590" s="9">
        <f>IF(ISNA(MATCH(1577,Engine!$C$2:$C$1960,0)),"",INDEX('Compliance Database'!$L$2:$L$1960,MATCH(1577,Engine!$C$2:$C$1960,0)))</f>
        <v/>
      </c>
      <c r="M1590" s="9">
        <f>IF(ISNA(MATCH(1577,Engine!$C$2:$C$1960,0)),"",INDEX('Compliance Database'!$M$2:$M$1960,MATCH(1577,Engine!$C$2:$C$1960,0)))</f>
        <v/>
      </c>
      <c r="N1590" s="9">
        <f>IF(ISNA(MATCH(1577,Engine!$C$2:$C$1960,0)),"",INDEX('Compliance Database'!$N$2:$N$1960,MATCH(1577,Engine!$C$2:$C$1960,0)))</f>
        <v/>
      </c>
      <c r="O1590" s="9">
        <f>IF(ISNA(MATCH(1577,Engine!$C$2:$C$1960,0)),"",INDEX('Compliance Database'!$O$2:$O$1960,MATCH(1577,Engine!$C$2:$C$1960,0)))</f>
        <v/>
      </c>
      <c r="P1590" s="8">
        <f>IF(ISNA(MATCH(1577,Engine!$C$2:$C$1960,0)),"",HYPERLINK("#Acts!A"&amp;INDEX('Compliance Database'!$P$2:$P$1960,MATCH(1577,Engine!$C$2:$C$1960,0)),"Go to Act"))</f>
        <v/>
      </c>
    </row>
    <row r="1591" ht="158" customHeight="1">
      <c r="A1591" s="8">
        <f>IF(ISNA(MATCH(1578,Engine!$C$2:$C$1960,0)),"",INDEX('Compliance Database'!$A$2:$A$1960,MATCH(1578,Engine!$C$2:$C$1960,0)))</f>
        <v/>
      </c>
      <c r="B1591" s="8">
        <f>IF(ISNA(MATCH(1578,Engine!$C$2:$C$1960,0)),"",INDEX('Compliance Database'!$B$2:$B$1960,MATCH(1578,Engine!$C$2:$C$1960,0)))</f>
        <v/>
      </c>
      <c r="C1591" s="8">
        <f>IF(ISNA(MATCH(1578,Engine!$C$2:$C$1960,0)),"",INDEX('Compliance Database'!$C$2:$C$1960,MATCH(1578,Engine!$C$2:$C$1960,0)))</f>
        <v/>
      </c>
      <c r="D1591" s="9">
        <f>IF(ISNA(MATCH(1578,Engine!$C$2:$C$1960,0)),"",INDEX('Compliance Database'!$D$2:$D$1960,MATCH(1578,Engine!$C$2:$C$1960,0)))</f>
        <v/>
      </c>
      <c r="E1591" s="8">
        <f>IF(ISNA(MATCH(1578,Engine!$C$2:$C$1960,0)),"",INDEX('Compliance Database'!$E$2:$E$1960,MATCH(1578,Engine!$C$2:$C$1960,0)))</f>
        <v/>
      </c>
      <c r="F1591" s="8">
        <f>IF(ISNA(MATCH(1578,Engine!$C$2:$C$1960,0)),"",INDEX('Compliance Database'!$F$2:$F$1960,MATCH(1578,Engine!$C$2:$C$1960,0)))</f>
        <v/>
      </c>
      <c r="G1591" s="8">
        <f>IF(ISNA(MATCH(1578,Engine!$C$2:$C$1960,0)),"",INDEX('Compliance Database'!$G$2:$G$1960,MATCH(1578,Engine!$C$2:$C$1960,0)))</f>
        <v/>
      </c>
      <c r="H1591" s="9">
        <f>IF(ISNA(MATCH(1578,Engine!$C$2:$C$1960,0)),"",INDEX('Compliance Database'!$H$2:$H$1960,MATCH(1578,Engine!$C$2:$C$1960,0)))</f>
        <v/>
      </c>
      <c r="I1591" s="9">
        <f>IF(ISNA(MATCH(1578,Engine!$C$2:$C$1960,0)),"",INDEX('Compliance Database'!$I$2:$I$1960,MATCH(1578,Engine!$C$2:$C$1960,0)))</f>
        <v/>
      </c>
      <c r="J1591" s="8">
        <f>IF(ISNA(MATCH(1578,Engine!$C$2:$C$1960,0)),"",INDEX('Compliance Database'!$J$2:$J$1960,MATCH(1578,Engine!$C$2:$C$1960,0)))</f>
        <v/>
      </c>
      <c r="K1591" s="9">
        <f>IF(ISNA(MATCH(1578,Engine!$C$2:$C$1960,0)),"",INDEX('Compliance Database'!$K$2:$K$1960,MATCH(1578,Engine!$C$2:$C$1960,0)))</f>
        <v/>
      </c>
      <c r="L1591" s="9">
        <f>IF(ISNA(MATCH(1578,Engine!$C$2:$C$1960,0)),"",INDEX('Compliance Database'!$L$2:$L$1960,MATCH(1578,Engine!$C$2:$C$1960,0)))</f>
        <v/>
      </c>
      <c r="M1591" s="9">
        <f>IF(ISNA(MATCH(1578,Engine!$C$2:$C$1960,0)),"",INDEX('Compliance Database'!$M$2:$M$1960,MATCH(1578,Engine!$C$2:$C$1960,0)))</f>
        <v/>
      </c>
      <c r="N1591" s="9">
        <f>IF(ISNA(MATCH(1578,Engine!$C$2:$C$1960,0)),"",INDEX('Compliance Database'!$N$2:$N$1960,MATCH(1578,Engine!$C$2:$C$1960,0)))</f>
        <v/>
      </c>
      <c r="O1591" s="9">
        <f>IF(ISNA(MATCH(1578,Engine!$C$2:$C$1960,0)),"",INDEX('Compliance Database'!$O$2:$O$1960,MATCH(1578,Engine!$C$2:$C$1960,0)))</f>
        <v/>
      </c>
      <c r="P1591" s="8">
        <f>IF(ISNA(MATCH(1578,Engine!$C$2:$C$1960,0)),"",HYPERLINK("#Acts!A"&amp;INDEX('Compliance Database'!$P$2:$P$1960,MATCH(1578,Engine!$C$2:$C$1960,0)),"Go to Act"))</f>
        <v/>
      </c>
    </row>
    <row r="1592" ht="158" customHeight="1">
      <c r="A1592" s="8">
        <f>IF(ISNA(MATCH(1579,Engine!$C$2:$C$1960,0)),"",INDEX('Compliance Database'!$A$2:$A$1960,MATCH(1579,Engine!$C$2:$C$1960,0)))</f>
        <v/>
      </c>
      <c r="B1592" s="8">
        <f>IF(ISNA(MATCH(1579,Engine!$C$2:$C$1960,0)),"",INDEX('Compliance Database'!$B$2:$B$1960,MATCH(1579,Engine!$C$2:$C$1960,0)))</f>
        <v/>
      </c>
      <c r="C1592" s="8">
        <f>IF(ISNA(MATCH(1579,Engine!$C$2:$C$1960,0)),"",INDEX('Compliance Database'!$C$2:$C$1960,MATCH(1579,Engine!$C$2:$C$1960,0)))</f>
        <v/>
      </c>
      <c r="D1592" s="9">
        <f>IF(ISNA(MATCH(1579,Engine!$C$2:$C$1960,0)),"",INDEX('Compliance Database'!$D$2:$D$1960,MATCH(1579,Engine!$C$2:$C$1960,0)))</f>
        <v/>
      </c>
      <c r="E1592" s="8">
        <f>IF(ISNA(MATCH(1579,Engine!$C$2:$C$1960,0)),"",INDEX('Compliance Database'!$E$2:$E$1960,MATCH(1579,Engine!$C$2:$C$1960,0)))</f>
        <v/>
      </c>
      <c r="F1592" s="8">
        <f>IF(ISNA(MATCH(1579,Engine!$C$2:$C$1960,0)),"",INDEX('Compliance Database'!$F$2:$F$1960,MATCH(1579,Engine!$C$2:$C$1960,0)))</f>
        <v/>
      </c>
      <c r="G1592" s="8">
        <f>IF(ISNA(MATCH(1579,Engine!$C$2:$C$1960,0)),"",INDEX('Compliance Database'!$G$2:$G$1960,MATCH(1579,Engine!$C$2:$C$1960,0)))</f>
        <v/>
      </c>
      <c r="H1592" s="9">
        <f>IF(ISNA(MATCH(1579,Engine!$C$2:$C$1960,0)),"",INDEX('Compliance Database'!$H$2:$H$1960,MATCH(1579,Engine!$C$2:$C$1960,0)))</f>
        <v/>
      </c>
      <c r="I1592" s="9">
        <f>IF(ISNA(MATCH(1579,Engine!$C$2:$C$1960,0)),"",INDEX('Compliance Database'!$I$2:$I$1960,MATCH(1579,Engine!$C$2:$C$1960,0)))</f>
        <v/>
      </c>
      <c r="J1592" s="8">
        <f>IF(ISNA(MATCH(1579,Engine!$C$2:$C$1960,0)),"",INDEX('Compliance Database'!$J$2:$J$1960,MATCH(1579,Engine!$C$2:$C$1960,0)))</f>
        <v/>
      </c>
      <c r="K1592" s="9">
        <f>IF(ISNA(MATCH(1579,Engine!$C$2:$C$1960,0)),"",INDEX('Compliance Database'!$K$2:$K$1960,MATCH(1579,Engine!$C$2:$C$1960,0)))</f>
        <v/>
      </c>
      <c r="L1592" s="9">
        <f>IF(ISNA(MATCH(1579,Engine!$C$2:$C$1960,0)),"",INDEX('Compliance Database'!$L$2:$L$1960,MATCH(1579,Engine!$C$2:$C$1960,0)))</f>
        <v/>
      </c>
      <c r="M1592" s="9">
        <f>IF(ISNA(MATCH(1579,Engine!$C$2:$C$1960,0)),"",INDEX('Compliance Database'!$M$2:$M$1960,MATCH(1579,Engine!$C$2:$C$1960,0)))</f>
        <v/>
      </c>
      <c r="N1592" s="9">
        <f>IF(ISNA(MATCH(1579,Engine!$C$2:$C$1960,0)),"",INDEX('Compliance Database'!$N$2:$N$1960,MATCH(1579,Engine!$C$2:$C$1960,0)))</f>
        <v/>
      </c>
      <c r="O1592" s="9">
        <f>IF(ISNA(MATCH(1579,Engine!$C$2:$C$1960,0)),"",INDEX('Compliance Database'!$O$2:$O$1960,MATCH(1579,Engine!$C$2:$C$1960,0)))</f>
        <v/>
      </c>
      <c r="P1592" s="8">
        <f>IF(ISNA(MATCH(1579,Engine!$C$2:$C$1960,0)),"",HYPERLINK("#Acts!A"&amp;INDEX('Compliance Database'!$P$2:$P$1960,MATCH(1579,Engine!$C$2:$C$1960,0)),"Go to Act"))</f>
        <v/>
      </c>
    </row>
    <row r="1593" ht="158" customHeight="1">
      <c r="A1593" s="8">
        <f>IF(ISNA(MATCH(1580,Engine!$C$2:$C$1960,0)),"",INDEX('Compliance Database'!$A$2:$A$1960,MATCH(1580,Engine!$C$2:$C$1960,0)))</f>
        <v/>
      </c>
      <c r="B1593" s="8">
        <f>IF(ISNA(MATCH(1580,Engine!$C$2:$C$1960,0)),"",INDEX('Compliance Database'!$B$2:$B$1960,MATCH(1580,Engine!$C$2:$C$1960,0)))</f>
        <v/>
      </c>
      <c r="C1593" s="8">
        <f>IF(ISNA(MATCH(1580,Engine!$C$2:$C$1960,0)),"",INDEX('Compliance Database'!$C$2:$C$1960,MATCH(1580,Engine!$C$2:$C$1960,0)))</f>
        <v/>
      </c>
      <c r="D1593" s="9">
        <f>IF(ISNA(MATCH(1580,Engine!$C$2:$C$1960,0)),"",INDEX('Compliance Database'!$D$2:$D$1960,MATCH(1580,Engine!$C$2:$C$1960,0)))</f>
        <v/>
      </c>
      <c r="E1593" s="8">
        <f>IF(ISNA(MATCH(1580,Engine!$C$2:$C$1960,0)),"",INDEX('Compliance Database'!$E$2:$E$1960,MATCH(1580,Engine!$C$2:$C$1960,0)))</f>
        <v/>
      </c>
      <c r="F1593" s="8">
        <f>IF(ISNA(MATCH(1580,Engine!$C$2:$C$1960,0)),"",INDEX('Compliance Database'!$F$2:$F$1960,MATCH(1580,Engine!$C$2:$C$1960,0)))</f>
        <v/>
      </c>
      <c r="G1593" s="8">
        <f>IF(ISNA(MATCH(1580,Engine!$C$2:$C$1960,0)),"",INDEX('Compliance Database'!$G$2:$G$1960,MATCH(1580,Engine!$C$2:$C$1960,0)))</f>
        <v/>
      </c>
      <c r="H1593" s="9">
        <f>IF(ISNA(MATCH(1580,Engine!$C$2:$C$1960,0)),"",INDEX('Compliance Database'!$H$2:$H$1960,MATCH(1580,Engine!$C$2:$C$1960,0)))</f>
        <v/>
      </c>
      <c r="I1593" s="9">
        <f>IF(ISNA(MATCH(1580,Engine!$C$2:$C$1960,0)),"",INDEX('Compliance Database'!$I$2:$I$1960,MATCH(1580,Engine!$C$2:$C$1960,0)))</f>
        <v/>
      </c>
      <c r="J1593" s="8">
        <f>IF(ISNA(MATCH(1580,Engine!$C$2:$C$1960,0)),"",INDEX('Compliance Database'!$J$2:$J$1960,MATCH(1580,Engine!$C$2:$C$1960,0)))</f>
        <v/>
      </c>
      <c r="K1593" s="9">
        <f>IF(ISNA(MATCH(1580,Engine!$C$2:$C$1960,0)),"",INDEX('Compliance Database'!$K$2:$K$1960,MATCH(1580,Engine!$C$2:$C$1960,0)))</f>
        <v/>
      </c>
      <c r="L1593" s="9">
        <f>IF(ISNA(MATCH(1580,Engine!$C$2:$C$1960,0)),"",INDEX('Compliance Database'!$L$2:$L$1960,MATCH(1580,Engine!$C$2:$C$1960,0)))</f>
        <v/>
      </c>
      <c r="M1593" s="9">
        <f>IF(ISNA(MATCH(1580,Engine!$C$2:$C$1960,0)),"",INDEX('Compliance Database'!$M$2:$M$1960,MATCH(1580,Engine!$C$2:$C$1960,0)))</f>
        <v/>
      </c>
      <c r="N1593" s="9">
        <f>IF(ISNA(MATCH(1580,Engine!$C$2:$C$1960,0)),"",INDEX('Compliance Database'!$N$2:$N$1960,MATCH(1580,Engine!$C$2:$C$1960,0)))</f>
        <v/>
      </c>
      <c r="O1593" s="9">
        <f>IF(ISNA(MATCH(1580,Engine!$C$2:$C$1960,0)),"",INDEX('Compliance Database'!$O$2:$O$1960,MATCH(1580,Engine!$C$2:$C$1960,0)))</f>
        <v/>
      </c>
      <c r="P1593" s="8">
        <f>IF(ISNA(MATCH(1580,Engine!$C$2:$C$1960,0)),"",HYPERLINK("#Acts!A"&amp;INDEX('Compliance Database'!$P$2:$P$1960,MATCH(1580,Engine!$C$2:$C$1960,0)),"Go to Act"))</f>
        <v/>
      </c>
    </row>
    <row r="1594" ht="158" customHeight="1">
      <c r="A1594" s="8">
        <f>IF(ISNA(MATCH(1581,Engine!$C$2:$C$1960,0)),"",INDEX('Compliance Database'!$A$2:$A$1960,MATCH(1581,Engine!$C$2:$C$1960,0)))</f>
        <v/>
      </c>
      <c r="B1594" s="8">
        <f>IF(ISNA(MATCH(1581,Engine!$C$2:$C$1960,0)),"",INDEX('Compliance Database'!$B$2:$B$1960,MATCH(1581,Engine!$C$2:$C$1960,0)))</f>
        <v/>
      </c>
      <c r="C1594" s="8">
        <f>IF(ISNA(MATCH(1581,Engine!$C$2:$C$1960,0)),"",INDEX('Compliance Database'!$C$2:$C$1960,MATCH(1581,Engine!$C$2:$C$1960,0)))</f>
        <v/>
      </c>
      <c r="D1594" s="9">
        <f>IF(ISNA(MATCH(1581,Engine!$C$2:$C$1960,0)),"",INDEX('Compliance Database'!$D$2:$D$1960,MATCH(1581,Engine!$C$2:$C$1960,0)))</f>
        <v/>
      </c>
      <c r="E1594" s="8">
        <f>IF(ISNA(MATCH(1581,Engine!$C$2:$C$1960,0)),"",INDEX('Compliance Database'!$E$2:$E$1960,MATCH(1581,Engine!$C$2:$C$1960,0)))</f>
        <v/>
      </c>
      <c r="F1594" s="8">
        <f>IF(ISNA(MATCH(1581,Engine!$C$2:$C$1960,0)),"",INDEX('Compliance Database'!$F$2:$F$1960,MATCH(1581,Engine!$C$2:$C$1960,0)))</f>
        <v/>
      </c>
      <c r="G1594" s="8">
        <f>IF(ISNA(MATCH(1581,Engine!$C$2:$C$1960,0)),"",INDEX('Compliance Database'!$G$2:$G$1960,MATCH(1581,Engine!$C$2:$C$1960,0)))</f>
        <v/>
      </c>
      <c r="H1594" s="9">
        <f>IF(ISNA(MATCH(1581,Engine!$C$2:$C$1960,0)),"",INDEX('Compliance Database'!$H$2:$H$1960,MATCH(1581,Engine!$C$2:$C$1960,0)))</f>
        <v/>
      </c>
      <c r="I1594" s="9">
        <f>IF(ISNA(MATCH(1581,Engine!$C$2:$C$1960,0)),"",INDEX('Compliance Database'!$I$2:$I$1960,MATCH(1581,Engine!$C$2:$C$1960,0)))</f>
        <v/>
      </c>
      <c r="J1594" s="8">
        <f>IF(ISNA(MATCH(1581,Engine!$C$2:$C$1960,0)),"",INDEX('Compliance Database'!$J$2:$J$1960,MATCH(1581,Engine!$C$2:$C$1960,0)))</f>
        <v/>
      </c>
      <c r="K1594" s="9">
        <f>IF(ISNA(MATCH(1581,Engine!$C$2:$C$1960,0)),"",INDEX('Compliance Database'!$K$2:$K$1960,MATCH(1581,Engine!$C$2:$C$1960,0)))</f>
        <v/>
      </c>
      <c r="L1594" s="9">
        <f>IF(ISNA(MATCH(1581,Engine!$C$2:$C$1960,0)),"",INDEX('Compliance Database'!$L$2:$L$1960,MATCH(1581,Engine!$C$2:$C$1960,0)))</f>
        <v/>
      </c>
      <c r="M1594" s="9">
        <f>IF(ISNA(MATCH(1581,Engine!$C$2:$C$1960,0)),"",INDEX('Compliance Database'!$M$2:$M$1960,MATCH(1581,Engine!$C$2:$C$1960,0)))</f>
        <v/>
      </c>
      <c r="N1594" s="9">
        <f>IF(ISNA(MATCH(1581,Engine!$C$2:$C$1960,0)),"",INDEX('Compliance Database'!$N$2:$N$1960,MATCH(1581,Engine!$C$2:$C$1960,0)))</f>
        <v/>
      </c>
      <c r="O1594" s="9">
        <f>IF(ISNA(MATCH(1581,Engine!$C$2:$C$1960,0)),"",INDEX('Compliance Database'!$O$2:$O$1960,MATCH(1581,Engine!$C$2:$C$1960,0)))</f>
        <v/>
      </c>
      <c r="P1594" s="8">
        <f>IF(ISNA(MATCH(1581,Engine!$C$2:$C$1960,0)),"",HYPERLINK("#Acts!A"&amp;INDEX('Compliance Database'!$P$2:$P$1960,MATCH(1581,Engine!$C$2:$C$1960,0)),"Go to Act"))</f>
        <v/>
      </c>
    </row>
    <row r="1595" ht="158" customHeight="1">
      <c r="A1595" s="8">
        <f>IF(ISNA(MATCH(1582,Engine!$C$2:$C$1960,0)),"",INDEX('Compliance Database'!$A$2:$A$1960,MATCH(1582,Engine!$C$2:$C$1960,0)))</f>
        <v/>
      </c>
      <c r="B1595" s="8">
        <f>IF(ISNA(MATCH(1582,Engine!$C$2:$C$1960,0)),"",INDEX('Compliance Database'!$B$2:$B$1960,MATCH(1582,Engine!$C$2:$C$1960,0)))</f>
        <v/>
      </c>
      <c r="C1595" s="8">
        <f>IF(ISNA(MATCH(1582,Engine!$C$2:$C$1960,0)),"",INDEX('Compliance Database'!$C$2:$C$1960,MATCH(1582,Engine!$C$2:$C$1960,0)))</f>
        <v/>
      </c>
      <c r="D1595" s="9">
        <f>IF(ISNA(MATCH(1582,Engine!$C$2:$C$1960,0)),"",INDEX('Compliance Database'!$D$2:$D$1960,MATCH(1582,Engine!$C$2:$C$1960,0)))</f>
        <v/>
      </c>
      <c r="E1595" s="8">
        <f>IF(ISNA(MATCH(1582,Engine!$C$2:$C$1960,0)),"",INDEX('Compliance Database'!$E$2:$E$1960,MATCH(1582,Engine!$C$2:$C$1960,0)))</f>
        <v/>
      </c>
      <c r="F1595" s="8">
        <f>IF(ISNA(MATCH(1582,Engine!$C$2:$C$1960,0)),"",INDEX('Compliance Database'!$F$2:$F$1960,MATCH(1582,Engine!$C$2:$C$1960,0)))</f>
        <v/>
      </c>
      <c r="G1595" s="8">
        <f>IF(ISNA(MATCH(1582,Engine!$C$2:$C$1960,0)),"",INDEX('Compliance Database'!$G$2:$G$1960,MATCH(1582,Engine!$C$2:$C$1960,0)))</f>
        <v/>
      </c>
      <c r="H1595" s="9">
        <f>IF(ISNA(MATCH(1582,Engine!$C$2:$C$1960,0)),"",INDEX('Compliance Database'!$H$2:$H$1960,MATCH(1582,Engine!$C$2:$C$1960,0)))</f>
        <v/>
      </c>
      <c r="I1595" s="9">
        <f>IF(ISNA(MATCH(1582,Engine!$C$2:$C$1960,0)),"",INDEX('Compliance Database'!$I$2:$I$1960,MATCH(1582,Engine!$C$2:$C$1960,0)))</f>
        <v/>
      </c>
      <c r="J1595" s="8">
        <f>IF(ISNA(MATCH(1582,Engine!$C$2:$C$1960,0)),"",INDEX('Compliance Database'!$J$2:$J$1960,MATCH(1582,Engine!$C$2:$C$1960,0)))</f>
        <v/>
      </c>
      <c r="K1595" s="9">
        <f>IF(ISNA(MATCH(1582,Engine!$C$2:$C$1960,0)),"",INDEX('Compliance Database'!$K$2:$K$1960,MATCH(1582,Engine!$C$2:$C$1960,0)))</f>
        <v/>
      </c>
      <c r="L1595" s="9">
        <f>IF(ISNA(MATCH(1582,Engine!$C$2:$C$1960,0)),"",INDEX('Compliance Database'!$L$2:$L$1960,MATCH(1582,Engine!$C$2:$C$1960,0)))</f>
        <v/>
      </c>
      <c r="M1595" s="9">
        <f>IF(ISNA(MATCH(1582,Engine!$C$2:$C$1960,0)),"",INDEX('Compliance Database'!$M$2:$M$1960,MATCH(1582,Engine!$C$2:$C$1960,0)))</f>
        <v/>
      </c>
      <c r="N1595" s="9">
        <f>IF(ISNA(MATCH(1582,Engine!$C$2:$C$1960,0)),"",INDEX('Compliance Database'!$N$2:$N$1960,MATCH(1582,Engine!$C$2:$C$1960,0)))</f>
        <v/>
      </c>
      <c r="O1595" s="9">
        <f>IF(ISNA(MATCH(1582,Engine!$C$2:$C$1960,0)),"",INDEX('Compliance Database'!$O$2:$O$1960,MATCH(1582,Engine!$C$2:$C$1960,0)))</f>
        <v/>
      </c>
      <c r="P1595" s="8">
        <f>IF(ISNA(MATCH(1582,Engine!$C$2:$C$1960,0)),"",HYPERLINK("#Acts!A"&amp;INDEX('Compliance Database'!$P$2:$P$1960,MATCH(1582,Engine!$C$2:$C$1960,0)),"Go to Act"))</f>
        <v/>
      </c>
    </row>
    <row r="1596" ht="158" customHeight="1">
      <c r="A1596" s="8">
        <f>IF(ISNA(MATCH(1583,Engine!$C$2:$C$1960,0)),"",INDEX('Compliance Database'!$A$2:$A$1960,MATCH(1583,Engine!$C$2:$C$1960,0)))</f>
        <v/>
      </c>
      <c r="B1596" s="8">
        <f>IF(ISNA(MATCH(1583,Engine!$C$2:$C$1960,0)),"",INDEX('Compliance Database'!$B$2:$B$1960,MATCH(1583,Engine!$C$2:$C$1960,0)))</f>
        <v/>
      </c>
      <c r="C1596" s="8">
        <f>IF(ISNA(MATCH(1583,Engine!$C$2:$C$1960,0)),"",INDEX('Compliance Database'!$C$2:$C$1960,MATCH(1583,Engine!$C$2:$C$1960,0)))</f>
        <v/>
      </c>
      <c r="D1596" s="9">
        <f>IF(ISNA(MATCH(1583,Engine!$C$2:$C$1960,0)),"",INDEX('Compliance Database'!$D$2:$D$1960,MATCH(1583,Engine!$C$2:$C$1960,0)))</f>
        <v/>
      </c>
      <c r="E1596" s="8">
        <f>IF(ISNA(MATCH(1583,Engine!$C$2:$C$1960,0)),"",INDEX('Compliance Database'!$E$2:$E$1960,MATCH(1583,Engine!$C$2:$C$1960,0)))</f>
        <v/>
      </c>
      <c r="F1596" s="8">
        <f>IF(ISNA(MATCH(1583,Engine!$C$2:$C$1960,0)),"",INDEX('Compliance Database'!$F$2:$F$1960,MATCH(1583,Engine!$C$2:$C$1960,0)))</f>
        <v/>
      </c>
      <c r="G1596" s="8">
        <f>IF(ISNA(MATCH(1583,Engine!$C$2:$C$1960,0)),"",INDEX('Compliance Database'!$G$2:$G$1960,MATCH(1583,Engine!$C$2:$C$1960,0)))</f>
        <v/>
      </c>
      <c r="H1596" s="9">
        <f>IF(ISNA(MATCH(1583,Engine!$C$2:$C$1960,0)),"",INDEX('Compliance Database'!$H$2:$H$1960,MATCH(1583,Engine!$C$2:$C$1960,0)))</f>
        <v/>
      </c>
      <c r="I1596" s="9">
        <f>IF(ISNA(MATCH(1583,Engine!$C$2:$C$1960,0)),"",INDEX('Compliance Database'!$I$2:$I$1960,MATCH(1583,Engine!$C$2:$C$1960,0)))</f>
        <v/>
      </c>
      <c r="J1596" s="8">
        <f>IF(ISNA(MATCH(1583,Engine!$C$2:$C$1960,0)),"",INDEX('Compliance Database'!$J$2:$J$1960,MATCH(1583,Engine!$C$2:$C$1960,0)))</f>
        <v/>
      </c>
      <c r="K1596" s="9">
        <f>IF(ISNA(MATCH(1583,Engine!$C$2:$C$1960,0)),"",INDEX('Compliance Database'!$K$2:$K$1960,MATCH(1583,Engine!$C$2:$C$1960,0)))</f>
        <v/>
      </c>
      <c r="L1596" s="9">
        <f>IF(ISNA(MATCH(1583,Engine!$C$2:$C$1960,0)),"",INDEX('Compliance Database'!$L$2:$L$1960,MATCH(1583,Engine!$C$2:$C$1960,0)))</f>
        <v/>
      </c>
      <c r="M1596" s="9">
        <f>IF(ISNA(MATCH(1583,Engine!$C$2:$C$1960,0)),"",INDEX('Compliance Database'!$M$2:$M$1960,MATCH(1583,Engine!$C$2:$C$1960,0)))</f>
        <v/>
      </c>
      <c r="N1596" s="9">
        <f>IF(ISNA(MATCH(1583,Engine!$C$2:$C$1960,0)),"",INDEX('Compliance Database'!$N$2:$N$1960,MATCH(1583,Engine!$C$2:$C$1960,0)))</f>
        <v/>
      </c>
      <c r="O1596" s="9">
        <f>IF(ISNA(MATCH(1583,Engine!$C$2:$C$1960,0)),"",INDEX('Compliance Database'!$O$2:$O$1960,MATCH(1583,Engine!$C$2:$C$1960,0)))</f>
        <v/>
      </c>
      <c r="P1596" s="8">
        <f>IF(ISNA(MATCH(1583,Engine!$C$2:$C$1960,0)),"",HYPERLINK("#Acts!A"&amp;INDEX('Compliance Database'!$P$2:$P$1960,MATCH(1583,Engine!$C$2:$C$1960,0)),"Go to Act"))</f>
        <v/>
      </c>
    </row>
    <row r="1597" ht="158" customHeight="1">
      <c r="A1597" s="8">
        <f>IF(ISNA(MATCH(1584,Engine!$C$2:$C$1960,0)),"",INDEX('Compliance Database'!$A$2:$A$1960,MATCH(1584,Engine!$C$2:$C$1960,0)))</f>
        <v/>
      </c>
      <c r="B1597" s="8">
        <f>IF(ISNA(MATCH(1584,Engine!$C$2:$C$1960,0)),"",INDEX('Compliance Database'!$B$2:$B$1960,MATCH(1584,Engine!$C$2:$C$1960,0)))</f>
        <v/>
      </c>
      <c r="C1597" s="8">
        <f>IF(ISNA(MATCH(1584,Engine!$C$2:$C$1960,0)),"",INDEX('Compliance Database'!$C$2:$C$1960,MATCH(1584,Engine!$C$2:$C$1960,0)))</f>
        <v/>
      </c>
      <c r="D1597" s="9">
        <f>IF(ISNA(MATCH(1584,Engine!$C$2:$C$1960,0)),"",INDEX('Compliance Database'!$D$2:$D$1960,MATCH(1584,Engine!$C$2:$C$1960,0)))</f>
        <v/>
      </c>
      <c r="E1597" s="8">
        <f>IF(ISNA(MATCH(1584,Engine!$C$2:$C$1960,0)),"",INDEX('Compliance Database'!$E$2:$E$1960,MATCH(1584,Engine!$C$2:$C$1960,0)))</f>
        <v/>
      </c>
      <c r="F1597" s="8">
        <f>IF(ISNA(MATCH(1584,Engine!$C$2:$C$1960,0)),"",INDEX('Compliance Database'!$F$2:$F$1960,MATCH(1584,Engine!$C$2:$C$1960,0)))</f>
        <v/>
      </c>
      <c r="G1597" s="8">
        <f>IF(ISNA(MATCH(1584,Engine!$C$2:$C$1960,0)),"",INDEX('Compliance Database'!$G$2:$G$1960,MATCH(1584,Engine!$C$2:$C$1960,0)))</f>
        <v/>
      </c>
      <c r="H1597" s="9">
        <f>IF(ISNA(MATCH(1584,Engine!$C$2:$C$1960,0)),"",INDEX('Compliance Database'!$H$2:$H$1960,MATCH(1584,Engine!$C$2:$C$1960,0)))</f>
        <v/>
      </c>
      <c r="I1597" s="9">
        <f>IF(ISNA(MATCH(1584,Engine!$C$2:$C$1960,0)),"",INDEX('Compliance Database'!$I$2:$I$1960,MATCH(1584,Engine!$C$2:$C$1960,0)))</f>
        <v/>
      </c>
      <c r="J1597" s="8">
        <f>IF(ISNA(MATCH(1584,Engine!$C$2:$C$1960,0)),"",INDEX('Compliance Database'!$J$2:$J$1960,MATCH(1584,Engine!$C$2:$C$1960,0)))</f>
        <v/>
      </c>
      <c r="K1597" s="9">
        <f>IF(ISNA(MATCH(1584,Engine!$C$2:$C$1960,0)),"",INDEX('Compliance Database'!$K$2:$K$1960,MATCH(1584,Engine!$C$2:$C$1960,0)))</f>
        <v/>
      </c>
      <c r="L1597" s="9">
        <f>IF(ISNA(MATCH(1584,Engine!$C$2:$C$1960,0)),"",INDEX('Compliance Database'!$L$2:$L$1960,MATCH(1584,Engine!$C$2:$C$1960,0)))</f>
        <v/>
      </c>
      <c r="M1597" s="9">
        <f>IF(ISNA(MATCH(1584,Engine!$C$2:$C$1960,0)),"",INDEX('Compliance Database'!$M$2:$M$1960,MATCH(1584,Engine!$C$2:$C$1960,0)))</f>
        <v/>
      </c>
      <c r="N1597" s="9">
        <f>IF(ISNA(MATCH(1584,Engine!$C$2:$C$1960,0)),"",INDEX('Compliance Database'!$N$2:$N$1960,MATCH(1584,Engine!$C$2:$C$1960,0)))</f>
        <v/>
      </c>
      <c r="O1597" s="9">
        <f>IF(ISNA(MATCH(1584,Engine!$C$2:$C$1960,0)),"",INDEX('Compliance Database'!$O$2:$O$1960,MATCH(1584,Engine!$C$2:$C$1960,0)))</f>
        <v/>
      </c>
      <c r="P1597" s="8">
        <f>IF(ISNA(MATCH(1584,Engine!$C$2:$C$1960,0)),"",HYPERLINK("#Acts!A"&amp;INDEX('Compliance Database'!$P$2:$P$1960,MATCH(1584,Engine!$C$2:$C$1960,0)),"Go to Act"))</f>
        <v/>
      </c>
    </row>
    <row r="1598" ht="158" customHeight="1">
      <c r="A1598" s="8">
        <f>IF(ISNA(MATCH(1585,Engine!$C$2:$C$1960,0)),"",INDEX('Compliance Database'!$A$2:$A$1960,MATCH(1585,Engine!$C$2:$C$1960,0)))</f>
        <v/>
      </c>
      <c r="B1598" s="8">
        <f>IF(ISNA(MATCH(1585,Engine!$C$2:$C$1960,0)),"",INDEX('Compliance Database'!$B$2:$B$1960,MATCH(1585,Engine!$C$2:$C$1960,0)))</f>
        <v/>
      </c>
      <c r="C1598" s="8">
        <f>IF(ISNA(MATCH(1585,Engine!$C$2:$C$1960,0)),"",INDEX('Compliance Database'!$C$2:$C$1960,MATCH(1585,Engine!$C$2:$C$1960,0)))</f>
        <v/>
      </c>
      <c r="D1598" s="9">
        <f>IF(ISNA(MATCH(1585,Engine!$C$2:$C$1960,0)),"",INDEX('Compliance Database'!$D$2:$D$1960,MATCH(1585,Engine!$C$2:$C$1960,0)))</f>
        <v/>
      </c>
      <c r="E1598" s="8">
        <f>IF(ISNA(MATCH(1585,Engine!$C$2:$C$1960,0)),"",INDEX('Compliance Database'!$E$2:$E$1960,MATCH(1585,Engine!$C$2:$C$1960,0)))</f>
        <v/>
      </c>
      <c r="F1598" s="8">
        <f>IF(ISNA(MATCH(1585,Engine!$C$2:$C$1960,0)),"",INDEX('Compliance Database'!$F$2:$F$1960,MATCH(1585,Engine!$C$2:$C$1960,0)))</f>
        <v/>
      </c>
      <c r="G1598" s="8">
        <f>IF(ISNA(MATCH(1585,Engine!$C$2:$C$1960,0)),"",INDEX('Compliance Database'!$G$2:$G$1960,MATCH(1585,Engine!$C$2:$C$1960,0)))</f>
        <v/>
      </c>
      <c r="H1598" s="9">
        <f>IF(ISNA(MATCH(1585,Engine!$C$2:$C$1960,0)),"",INDEX('Compliance Database'!$H$2:$H$1960,MATCH(1585,Engine!$C$2:$C$1960,0)))</f>
        <v/>
      </c>
      <c r="I1598" s="9">
        <f>IF(ISNA(MATCH(1585,Engine!$C$2:$C$1960,0)),"",INDEX('Compliance Database'!$I$2:$I$1960,MATCH(1585,Engine!$C$2:$C$1960,0)))</f>
        <v/>
      </c>
      <c r="J1598" s="8">
        <f>IF(ISNA(MATCH(1585,Engine!$C$2:$C$1960,0)),"",INDEX('Compliance Database'!$J$2:$J$1960,MATCH(1585,Engine!$C$2:$C$1960,0)))</f>
        <v/>
      </c>
      <c r="K1598" s="9">
        <f>IF(ISNA(MATCH(1585,Engine!$C$2:$C$1960,0)),"",INDEX('Compliance Database'!$K$2:$K$1960,MATCH(1585,Engine!$C$2:$C$1960,0)))</f>
        <v/>
      </c>
      <c r="L1598" s="9">
        <f>IF(ISNA(MATCH(1585,Engine!$C$2:$C$1960,0)),"",INDEX('Compliance Database'!$L$2:$L$1960,MATCH(1585,Engine!$C$2:$C$1960,0)))</f>
        <v/>
      </c>
      <c r="M1598" s="9">
        <f>IF(ISNA(MATCH(1585,Engine!$C$2:$C$1960,0)),"",INDEX('Compliance Database'!$M$2:$M$1960,MATCH(1585,Engine!$C$2:$C$1960,0)))</f>
        <v/>
      </c>
      <c r="N1598" s="9">
        <f>IF(ISNA(MATCH(1585,Engine!$C$2:$C$1960,0)),"",INDEX('Compliance Database'!$N$2:$N$1960,MATCH(1585,Engine!$C$2:$C$1960,0)))</f>
        <v/>
      </c>
      <c r="O1598" s="9">
        <f>IF(ISNA(MATCH(1585,Engine!$C$2:$C$1960,0)),"",INDEX('Compliance Database'!$O$2:$O$1960,MATCH(1585,Engine!$C$2:$C$1960,0)))</f>
        <v/>
      </c>
      <c r="P1598" s="8">
        <f>IF(ISNA(MATCH(1585,Engine!$C$2:$C$1960,0)),"",HYPERLINK("#Acts!A"&amp;INDEX('Compliance Database'!$P$2:$P$1960,MATCH(1585,Engine!$C$2:$C$1960,0)),"Go to Act"))</f>
        <v/>
      </c>
    </row>
    <row r="1599" ht="158" customHeight="1">
      <c r="A1599" s="8">
        <f>IF(ISNA(MATCH(1586,Engine!$C$2:$C$1960,0)),"",INDEX('Compliance Database'!$A$2:$A$1960,MATCH(1586,Engine!$C$2:$C$1960,0)))</f>
        <v/>
      </c>
      <c r="B1599" s="8">
        <f>IF(ISNA(MATCH(1586,Engine!$C$2:$C$1960,0)),"",INDEX('Compliance Database'!$B$2:$B$1960,MATCH(1586,Engine!$C$2:$C$1960,0)))</f>
        <v/>
      </c>
      <c r="C1599" s="8">
        <f>IF(ISNA(MATCH(1586,Engine!$C$2:$C$1960,0)),"",INDEX('Compliance Database'!$C$2:$C$1960,MATCH(1586,Engine!$C$2:$C$1960,0)))</f>
        <v/>
      </c>
      <c r="D1599" s="9">
        <f>IF(ISNA(MATCH(1586,Engine!$C$2:$C$1960,0)),"",INDEX('Compliance Database'!$D$2:$D$1960,MATCH(1586,Engine!$C$2:$C$1960,0)))</f>
        <v/>
      </c>
      <c r="E1599" s="8">
        <f>IF(ISNA(MATCH(1586,Engine!$C$2:$C$1960,0)),"",INDEX('Compliance Database'!$E$2:$E$1960,MATCH(1586,Engine!$C$2:$C$1960,0)))</f>
        <v/>
      </c>
      <c r="F1599" s="8">
        <f>IF(ISNA(MATCH(1586,Engine!$C$2:$C$1960,0)),"",INDEX('Compliance Database'!$F$2:$F$1960,MATCH(1586,Engine!$C$2:$C$1960,0)))</f>
        <v/>
      </c>
      <c r="G1599" s="8">
        <f>IF(ISNA(MATCH(1586,Engine!$C$2:$C$1960,0)),"",INDEX('Compliance Database'!$G$2:$G$1960,MATCH(1586,Engine!$C$2:$C$1960,0)))</f>
        <v/>
      </c>
      <c r="H1599" s="9">
        <f>IF(ISNA(MATCH(1586,Engine!$C$2:$C$1960,0)),"",INDEX('Compliance Database'!$H$2:$H$1960,MATCH(1586,Engine!$C$2:$C$1960,0)))</f>
        <v/>
      </c>
      <c r="I1599" s="9">
        <f>IF(ISNA(MATCH(1586,Engine!$C$2:$C$1960,0)),"",INDEX('Compliance Database'!$I$2:$I$1960,MATCH(1586,Engine!$C$2:$C$1960,0)))</f>
        <v/>
      </c>
      <c r="J1599" s="8">
        <f>IF(ISNA(MATCH(1586,Engine!$C$2:$C$1960,0)),"",INDEX('Compliance Database'!$J$2:$J$1960,MATCH(1586,Engine!$C$2:$C$1960,0)))</f>
        <v/>
      </c>
      <c r="K1599" s="9">
        <f>IF(ISNA(MATCH(1586,Engine!$C$2:$C$1960,0)),"",INDEX('Compliance Database'!$K$2:$K$1960,MATCH(1586,Engine!$C$2:$C$1960,0)))</f>
        <v/>
      </c>
      <c r="L1599" s="9">
        <f>IF(ISNA(MATCH(1586,Engine!$C$2:$C$1960,0)),"",INDEX('Compliance Database'!$L$2:$L$1960,MATCH(1586,Engine!$C$2:$C$1960,0)))</f>
        <v/>
      </c>
      <c r="M1599" s="9">
        <f>IF(ISNA(MATCH(1586,Engine!$C$2:$C$1960,0)),"",INDEX('Compliance Database'!$M$2:$M$1960,MATCH(1586,Engine!$C$2:$C$1960,0)))</f>
        <v/>
      </c>
      <c r="N1599" s="9">
        <f>IF(ISNA(MATCH(1586,Engine!$C$2:$C$1960,0)),"",INDEX('Compliance Database'!$N$2:$N$1960,MATCH(1586,Engine!$C$2:$C$1960,0)))</f>
        <v/>
      </c>
      <c r="O1599" s="9">
        <f>IF(ISNA(MATCH(1586,Engine!$C$2:$C$1960,0)),"",INDEX('Compliance Database'!$O$2:$O$1960,MATCH(1586,Engine!$C$2:$C$1960,0)))</f>
        <v/>
      </c>
      <c r="P1599" s="8">
        <f>IF(ISNA(MATCH(1586,Engine!$C$2:$C$1960,0)),"",HYPERLINK("#Acts!A"&amp;INDEX('Compliance Database'!$P$2:$P$1960,MATCH(1586,Engine!$C$2:$C$1960,0)),"Go to Act"))</f>
        <v/>
      </c>
    </row>
    <row r="1600" ht="158" customHeight="1">
      <c r="A1600" s="8">
        <f>IF(ISNA(MATCH(1587,Engine!$C$2:$C$1960,0)),"",INDEX('Compliance Database'!$A$2:$A$1960,MATCH(1587,Engine!$C$2:$C$1960,0)))</f>
        <v/>
      </c>
      <c r="B1600" s="8">
        <f>IF(ISNA(MATCH(1587,Engine!$C$2:$C$1960,0)),"",INDEX('Compliance Database'!$B$2:$B$1960,MATCH(1587,Engine!$C$2:$C$1960,0)))</f>
        <v/>
      </c>
      <c r="C1600" s="8">
        <f>IF(ISNA(MATCH(1587,Engine!$C$2:$C$1960,0)),"",INDEX('Compliance Database'!$C$2:$C$1960,MATCH(1587,Engine!$C$2:$C$1960,0)))</f>
        <v/>
      </c>
      <c r="D1600" s="9">
        <f>IF(ISNA(MATCH(1587,Engine!$C$2:$C$1960,0)),"",INDEX('Compliance Database'!$D$2:$D$1960,MATCH(1587,Engine!$C$2:$C$1960,0)))</f>
        <v/>
      </c>
      <c r="E1600" s="8">
        <f>IF(ISNA(MATCH(1587,Engine!$C$2:$C$1960,0)),"",INDEX('Compliance Database'!$E$2:$E$1960,MATCH(1587,Engine!$C$2:$C$1960,0)))</f>
        <v/>
      </c>
      <c r="F1600" s="8">
        <f>IF(ISNA(MATCH(1587,Engine!$C$2:$C$1960,0)),"",INDEX('Compliance Database'!$F$2:$F$1960,MATCH(1587,Engine!$C$2:$C$1960,0)))</f>
        <v/>
      </c>
      <c r="G1600" s="8">
        <f>IF(ISNA(MATCH(1587,Engine!$C$2:$C$1960,0)),"",INDEX('Compliance Database'!$G$2:$G$1960,MATCH(1587,Engine!$C$2:$C$1960,0)))</f>
        <v/>
      </c>
      <c r="H1600" s="9">
        <f>IF(ISNA(MATCH(1587,Engine!$C$2:$C$1960,0)),"",INDEX('Compliance Database'!$H$2:$H$1960,MATCH(1587,Engine!$C$2:$C$1960,0)))</f>
        <v/>
      </c>
      <c r="I1600" s="9">
        <f>IF(ISNA(MATCH(1587,Engine!$C$2:$C$1960,0)),"",INDEX('Compliance Database'!$I$2:$I$1960,MATCH(1587,Engine!$C$2:$C$1960,0)))</f>
        <v/>
      </c>
      <c r="J1600" s="8">
        <f>IF(ISNA(MATCH(1587,Engine!$C$2:$C$1960,0)),"",INDEX('Compliance Database'!$J$2:$J$1960,MATCH(1587,Engine!$C$2:$C$1960,0)))</f>
        <v/>
      </c>
      <c r="K1600" s="9">
        <f>IF(ISNA(MATCH(1587,Engine!$C$2:$C$1960,0)),"",INDEX('Compliance Database'!$K$2:$K$1960,MATCH(1587,Engine!$C$2:$C$1960,0)))</f>
        <v/>
      </c>
      <c r="L1600" s="9">
        <f>IF(ISNA(MATCH(1587,Engine!$C$2:$C$1960,0)),"",INDEX('Compliance Database'!$L$2:$L$1960,MATCH(1587,Engine!$C$2:$C$1960,0)))</f>
        <v/>
      </c>
      <c r="M1600" s="9">
        <f>IF(ISNA(MATCH(1587,Engine!$C$2:$C$1960,0)),"",INDEX('Compliance Database'!$M$2:$M$1960,MATCH(1587,Engine!$C$2:$C$1960,0)))</f>
        <v/>
      </c>
      <c r="N1600" s="9">
        <f>IF(ISNA(MATCH(1587,Engine!$C$2:$C$1960,0)),"",INDEX('Compliance Database'!$N$2:$N$1960,MATCH(1587,Engine!$C$2:$C$1960,0)))</f>
        <v/>
      </c>
      <c r="O1600" s="9">
        <f>IF(ISNA(MATCH(1587,Engine!$C$2:$C$1960,0)),"",INDEX('Compliance Database'!$O$2:$O$1960,MATCH(1587,Engine!$C$2:$C$1960,0)))</f>
        <v/>
      </c>
      <c r="P1600" s="8">
        <f>IF(ISNA(MATCH(1587,Engine!$C$2:$C$1960,0)),"",HYPERLINK("#Acts!A"&amp;INDEX('Compliance Database'!$P$2:$P$1960,MATCH(1587,Engine!$C$2:$C$1960,0)),"Go to Act"))</f>
        <v/>
      </c>
    </row>
    <row r="1601" ht="158" customHeight="1">
      <c r="A1601" s="8">
        <f>IF(ISNA(MATCH(1588,Engine!$C$2:$C$1960,0)),"",INDEX('Compliance Database'!$A$2:$A$1960,MATCH(1588,Engine!$C$2:$C$1960,0)))</f>
        <v/>
      </c>
      <c r="B1601" s="8">
        <f>IF(ISNA(MATCH(1588,Engine!$C$2:$C$1960,0)),"",INDEX('Compliance Database'!$B$2:$B$1960,MATCH(1588,Engine!$C$2:$C$1960,0)))</f>
        <v/>
      </c>
      <c r="C1601" s="8">
        <f>IF(ISNA(MATCH(1588,Engine!$C$2:$C$1960,0)),"",INDEX('Compliance Database'!$C$2:$C$1960,MATCH(1588,Engine!$C$2:$C$1960,0)))</f>
        <v/>
      </c>
      <c r="D1601" s="9">
        <f>IF(ISNA(MATCH(1588,Engine!$C$2:$C$1960,0)),"",INDEX('Compliance Database'!$D$2:$D$1960,MATCH(1588,Engine!$C$2:$C$1960,0)))</f>
        <v/>
      </c>
      <c r="E1601" s="8">
        <f>IF(ISNA(MATCH(1588,Engine!$C$2:$C$1960,0)),"",INDEX('Compliance Database'!$E$2:$E$1960,MATCH(1588,Engine!$C$2:$C$1960,0)))</f>
        <v/>
      </c>
      <c r="F1601" s="8">
        <f>IF(ISNA(MATCH(1588,Engine!$C$2:$C$1960,0)),"",INDEX('Compliance Database'!$F$2:$F$1960,MATCH(1588,Engine!$C$2:$C$1960,0)))</f>
        <v/>
      </c>
      <c r="G1601" s="8">
        <f>IF(ISNA(MATCH(1588,Engine!$C$2:$C$1960,0)),"",INDEX('Compliance Database'!$G$2:$G$1960,MATCH(1588,Engine!$C$2:$C$1960,0)))</f>
        <v/>
      </c>
      <c r="H1601" s="9">
        <f>IF(ISNA(MATCH(1588,Engine!$C$2:$C$1960,0)),"",INDEX('Compliance Database'!$H$2:$H$1960,MATCH(1588,Engine!$C$2:$C$1960,0)))</f>
        <v/>
      </c>
      <c r="I1601" s="9">
        <f>IF(ISNA(MATCH(1588,Engine!$C$2:$C$1960,0)),"",INDEX('Compliance Database'!$I$2:$I$1960,MATCH(1588,Engine!$C$2:$C$1960,0)))</f>
        <v/>
      </c>
      <c r="J1601" s="8">
        <f>IF(ISNA(MATCH(1588,Engine!$C$2:$C$1960,0)),"",INDEX('Compliance Database'!$J$2:$J$1960,MATCH(1588,Engine!$C$2:$C$1960,0)))</f>
        <v/>
      </c>
      <c r="K1601" s="9">
        <f>IF(ISNA(MATCH(1588,Engine!$C$2:$C$1960,0)),"",INDEX('Compliance Database'!$K$2:$K$1960,MATCH(1588,Engine!$C$2:$C$1960,0)))</f>
        <v/>
      </c>
      <c r="L1601" s="9">
        <f>IF(ISNA(MATCH(1588,Engine!$C$2:$C$1960,0)),"",INDEX('Compliance Database'!$L$2:$L$1960,MATCH(1588,Engine!$C$2:$C$1960,0)))</f>
        <v/>
      </c>
      <c r="M1601" s="9">
        <f>IF(ISNA(MATCH(1588,Engine!$C$2:$C$1960,0)),"",INDEX('Compliance Database'!$M$2:$M$1960,MATCH(1588,Engine!$C$2:$C$1960,0)))</f>
        <v/>
      </c>
      <c r="N1601" s="9">
        <f>IF(ISNA(MATCH(1588,Engine!$C$2:$C$1960,0)),"",INDEX('Compliance Database'!$N$2:$N$1960,MATCH(1588,Engine!$C$2:$C$1960,0)))</f>
        <v/>
      </c>
      <c r="O1601" s="9">
        <f>IF(ISNA(MATCH(1588,Engine!$C$2:$C$1960,0)),"",INDEX('Compliance Database'!$O$2:$O$1960,MATCH(1588,Engine!$C$2:$C$1960,0)))</f>
        <v/>
      </c>
      <c r="P1601" s="8">
        <f>IF(ISNA(MATCH(1588,Engine!$C$2:$C$1960,0)),"",HYPERLINK("#Acts!A"&amp;INDEX('Compliance Database'!$P$2:$P$1960,MATCH(1588,Engine!$C$2:$C$1960,0)),"Go to Act"))</f>
        <v/>
      </c>
    </row>
    <row r="1602" ht="158" customHeight="1">
      <c r="A1602" s="8">
        <f>IF(ISNA(MATCH(1589,Engine!$C$2:$C$1960,0)),"",INDEX('Compliance Database'!$A$2:$A$1960,MATCH(1589,Engine!$C$2:$C$1960,0)))</f>
        <v/>
      </c>
      <c r="B1602" s="8">
        <f>IF(ISNA(MATCH(1589,Engine!$C$2:$C$1960,0)),"",INDEX('Compliance Database'!$B$2:$B$1960,MATCH(1589,Engine!$C$2:$C$1960,0)))</f>
        <v/>
      </c>
      <c r="C1602" s="8">
        <f>IF(ISNA(MATCH(1589,Engine!$C$2:$C$1960,0)),"",INDEX('Compliance Database'!$C$2:$C$1960,MATCH(1589,Engine!$C$2:$C$1960,0)))</f>
        <v/>
      </c>
      <c r="D1602" s="9">
        <f>IF(ISNA(MATCH(1589,Engine!$C$2:$C$1960,0)),"",INDEX('Compliance Database'!$D$2:$D$1960,MATCH(1589,Engine!$C$2:$C$1960,0)))</f>
        <v/>
      </c>
      <c r="E1602" s="8">
        <f>IF(ISNA(MATCH(1589,Engine!$C$2:$C$1960,0)),"",INDEX('Compliance Database'!$E$2:$E$1960,MATCH(1589,Engine!$C$2:$C$1960,0)))</f>
        <v/>
      </c>
      <c r="F1602" s="8">
        <f>IF(ISNA(MATCH(1589,Engine!$C$2:$C$1960,0)),"",INDEX('Compliance Database'!$F$2:$F$1960,MATCH(1589,Engine!$C$2:$C$1960,0)))</f>
        <v/>
      </c>
      <c r="G1602" s="8">
        <f>IF(ISNA(MATCH(1589,Engine!$C$2:$C$1960,0)),"",INDEX('Compliance Database'!$G$2:$G$1960,MATCH(1589,Engine!$C$2:$C$1960,0)))</f>
        <v/>
      </c>
      <c r="H1602" s="9">
        <f>IF(ISNA(MATCH(1589,Engine!$C$2:$C$1960,0)),"",INDEX('Compliance Database'!$H$2:$H$1960,MATCH(1589,Engine!$C$2:$C$1960,0)))</f>
        <v/>
      </c>
      <c r="I1602" s="9">
        <f>IF(ISNA(MATCH(1589,Engine!$C$2:$C$1960,0)),"",INDEX('Compliance Database'!$I$2:$I$1960,MATCH(1589,Engine!$C$2:$C$1960,0)))</f>
        <v/>
      </c>
      <c r="J1602" s="8">
        <f>IF(ISNA(MATCH(1589,Engine!$C$2:$C$1960,0)),"",INDEX('Compliance Database'!$J$2:$J$1960,MATCH(1589,Engine!$C$2:$C$1960,0)))</f>
        <v/>
      </c>
      <c r="K1602" s="9">
        <f>IF(ISNA(MATCH(1589,Engine!$C$2:$C$1960,0)),"",INDEX('Compliance Database'!$K$2:$K$1960,MATCH(1589,Engine!$C$2:$C$1960,0)))</f>
        <v/>
      </c>
      <c r="L1602" s="9">
        <f>IF(ISNA(MATCH(1589,Engine!$C$2:$C$1960,0)),"",INDEX('Compliance Database'!$L$2:$L$1960,MATCH(1589,Engine!$C$2:$C$1960,0)))</f>
        <v/>
      </c>
      <c r="M1602" s="9">
        <f>IF(ISNA(MATCH(1589,Engine!$C$2:$C$1960,0)),"",INDEX('Compliance Database'!$M$2:$M$1960,MATCH(1589,Engine!$C$2:$C$1960,0)))</f>
        <v/>
      </c>
      <c r="N1602" s="9">
        <f>IF(ISNA(MATCH(1589,Engine!$C$2:$C$1960,0)),"",INDEX('Compliance Database'!$N$2:$N$1960,MATCH(1589,Engine!$C$2:$C$1960,0)))</f>
        <v/>
      </c>
      <c r="O1602" s="9">
        <f>IF(ISNA(MATCH(1589,Engine!$C$2:$C$1960,0)),"",INDEX('Compliance Database'!$O$2:$O$1960,MATCH(1589,Engine!$C$2:$C$1960,0)))</f>
        <v/>
      </c>
      <c r="P1602" s="8">
        <f>IF(ISNA(MATCH(1589,Engine!$C$2:$C$1960,0)),"",HYPERLINK("#Acts!A"&amp;INDEX('Compliance Database'!$P$2:$P$1960,MATCH(1589,Engine!$C$2:$C$1960,0)),"Go to Act"))</f>
        <v/>
      </c>
    </row>
    <row r="1603" ht="158" customHeight="1">
      <c r="A1603" s="8">
        <f>IF(ISNA(MATCH(1590,Engine!$C$2:$C$1960,0)),"",INDEX('Compliance Database'!$A$2:$A$1960,MATCH(1590,Engine!$C$2:$C$1960,0)))</f>
        <v/>
      </c>
      <c r="B1603" s="8">
        <f>IF(ISNA(MATCH(1590,Engine!$C$2:$C$1960,0)),"",INDEX('Compliance Database'!$B$2:$B$1960,MATCH(1590,Engine!$C$2:$C$1960,0)))</f>
        <v/>
      </c>
      <c r="C1603" s="8">
        <f>IF(ISNA(MATCH(1590,Engine!$C$2:$C$1960,0)),"",INDEX('Compliance Database'!$C$2:$C$1960,MATCH(1590,Engine!$C$2:$C$1960,0)))</f>
        <v/>
      </c>
      <c r="D1603" s="9">
        <f>IF(ISNA(MATCH(1590,Engine!$C$2:$C$1960,0)),"",INDEX('Compliance Database'!$D$2:$D$1960,MATCH(1590,Engine!$C$2:$C$1960,0)))</f>
        <v/>
      </c>
      <c r="E1603" s="8">
        <f>IF(ISNA(MATCH(1590,Engine!$C$2:$C$1960,0)),"",INDEX('Compliance Database'!$E$2:$E$1960,MATCH(1590,Engine!$C$2:$C$1960,0)))</f>
        <v/>
      </c>
      <c r="F1603" s="8">
        <f>IF(ISNA(MATCH(1590,Engine!$C$2:$C$1960,0)),"",INDEX('Compliance Database'!$F$2:$F$1960,MATCH(1590,Engine!$C$2:$C$1960,0)))</f>
        <v/>
      </c>
      <c r="G1603" s="8">
        <f>IF(ISNA(MATCH(1590,Engine!$C$2:$C$1960,0)),"",INDEX('Compliance Database'!$G$2:$G$1960,MATCH(1590,Engine!$C$2:$C$1960,0)))</f>
        <v/>
      </c>
      <c r="H1603" s="9">
        <f>IF(ISNA(MATCH(1590,Engine!$C$2:$C$1960,0)),"",INDEX('Compliance Database'!$H$2:$H$1960,MATCH(1590,Engine!$C$2:$C$1960,0)))</f>
        <v/>
      </c>
      <c r="I1603" s="9">
        <f>IF(ISNA(MATCH(1590,Engine!$C$2:$C$1960,0)),"",INDEX('Compliance Database'!$I$2:$I$1960,MATCH(1590,Engine!$C$2:$C$1960,0)))</f>
        <v/>
      </c>
      <c r="J1603" s="8">
        <f>IF(ISNA(MATCH(1590,Engine!$C$2:$C$1960,0)),"",INDEX('Compliance Database'!$J$2:$J$1960,MATCH(1590,Engine!$C$2:$C$1960,0)))</f>
        <v/>
      </c>
      <c r="K1603" s="9">
        <f>IF(ISNA(MATCH(1590,Engine!$C$2:$C$1960,0)),"",INDEX('Compliance Database'!$K$2:$K$1960,MATCH(1590,Engine!$C$2:$C$1960,0)))</f>
        <v/>
      </c>
      <c r="L1603" s="9">
        <f>IF(ISNA(MATCH(1590,Engine!$C$2:$C$1960,0)),"",INDEX('Compliance Database'!$L$2:$L$1960,MATCH(1590,Engine!$C$2:$C$1960,0)))</f>
        <v/>
      </c>
      <c r="M1603" s="9">
        <f>IF(ISNA(MATCH(1590,Engine!$C$2:$C$1960,0)),"",INDEX('Compliance Database'!$M$2:$M$1960,MATCH(1590,Engine!$C$2:$C$1960,0)))</f>
        <v/>
      </c>
      <c r="N1603" s="9">
        <f>IF(ISNA(MATCH(1590,Engine!$C$2:$C$1960,0)),"",INDEX('Compliance Database'!$N$2:$N$1960,MATCH(1590,Engine!$C$2:$C$1960,0)))</f>
        <v/>
      </c>
      <c r="O1603" s="9">
        <f>IF(ISNA(MATCH(1590,Engine!$C$2:$C$1960,0)),"",INDEX('Compliance Database'!$O$2:$O$1960,MATCH(1590,Engine!$C$2:$C$1960,0)))</f>
        <v/>
      </c>
      <c r="P1603" s="8">
        <f>IF(ISNA(MATCH(1590,Engine!$C$2:$C$1960,0)),"",HYPERLINK("#Acts!A"&amp;INDEX('Compliance Database'!$P$2:$P$1960,MATCH(1590,Engine!$C$2:$C$1960,0)),"Go to Act"))</f>
        <v/>
      </c>
    </row>
    <row r="1604" ht="158" customHeight="1">
      <c r="A1604" s="8">
        <f>IF(ISNA(MATCH(1591,Engine!$C$2:$C$1960,0)),"",INDEX('Compliance Database'!$A$2:$A$1960,MATCH(1591,Engine!$C$2:$C$1960,0)))</f>
        <v/>
      </c>
      <c r="B1604" s="8">
        <f>IF(ISNA(MATCH(1591,Engine!$C$2:$C$1960,0)),"",INDEX('Compliance Database'!$B$2:$B$1960,MATCH(1591,Engine!$C$2:$C$1960,0)))</f>
        <v/>
      </c>
      <c r="C1604" s="8">
        <f>IF(ISNA(MATCH(1591,Engine!$C$2:$C$1960,0)),"",INDEX('Compliance Database'!$C$2:$C$1960,MATCH(1591,Engine!$C$2:$C$1960,0)))</f>
        <v/>
      </c>
      <c r="D1604" s="9">
        <f>IF(ISNA(MATCH(1591,Engine!$C$2:$C$1960,0)),"",INDEX('Compliance Database'!$D$2:$D$1960,MATCH(1591,Engine!$C$2:$C$1960,0)))</f>
        <v/>
      </c>
      <c r="E1604" s="8">
        <f>IF(ISNA(MATCH(1591,Engine!$C$2:$C$1960,0)),"",INDEX('Compliance Database'!$E$2:$E$1960,MATCH(1591,Engine!$C$2:$C$1960,0)))</f>
        <v/>
      </c>
      <c r="F1604" s="8">
        <f>IF(ISNA(MATCH(1591,Engine!$C$2:$C$1960,0)),"",INDEX('Compliance Database'!$F$2:$F$1960,MATCH(1591,Engine!$C$2:$C$1960,0)))</f>
        <v/>
      </c>
      <c r="G1604" s="8">
        <f>IF(ISNA(MATCH(1591,Engine!$C$2:$C$1960,0)),"",INDEX('Compliance Database'!$G$2:$G$1960,MATCH(1591,Engine!$C$2:$C$1960,0)))</f>
        <v/>
      </c>
      <c r="H1604" s="9">
        <f>IF(ISNA(MATCH(1591,Engine!$C$2:$C$1960,0)),"",INDEX('Compliance Database'!$H$2:$H$1960,MATCH(1591,Engine!$C$2:$C$1960,0)))</f>
        <v/>
      </c>
      <c r="I1604" s="9">
        <f>IF(ISNA(MATCH(1591,Engine!$C$2:$C$1960,0)),"",INDEX('Compliance Database'!$I$2:$I$1960,MATCH(1591,Engine!$C$2:$C$1960,0)))</f>
        <v/>
      </c>
      <c r="J1604" s="8">
        <f>IF(ISNA(MATCH(1591,Engine!$C$2:$C$1960,0)),"",INDEX('Compliance Database'!$J$2:$J$1960,MATCH(1591,Engine!$C$2:$C$1960,0)))</f>
        <v/>
      </c>
      <c r="K1604" s="9">
        <f>IF(ISNA(MATCH(1591,Engine!$C$2:$C$1960,0)),"",INDEX('Compliance Database'!$K$2:$K$1960,MATCH(1591,Engine!$C$2:$C$1960,0)))</f>
        <v/>
      </c>
      <c r="L1604" s="9">
        <f>IF(ISNA(MATCH(1591,Engine!$C$2:$C$1960,0)),"",INDEX('Compliance Database'!$L$2:$L$1960,MATCH(1591,Engine!$C$2:$C$1960,0)))</f>
        <v/>
      </c>
      <c r="M1604" s="9">
        <f>IF(ISNA(MATCH(1591,Engine!$C$2:$C$1960,0)),"",INDEX('Compliance Database'!$M$2:$M$1960,MATCH(1591,Engine!$C$2:$C$1960,0)))</f>
        <v/>
      </c>
      <c r="N1604" s="9">
        <f>IF(ISNA(MATCH(1591,Engine!$C$2:$C$1960,0)),"",INDEX('Compliance Database'!$N$2:$N$1960,MATCH(1591,Engine!$C$2:$C$1960,0)))</f>
        <v/>
      </c>
      <c r="O1604" s="9">
        <f>IF(ISNA(MATCH(1591,Engine!$C$2:$C$1960,0)),"",INDEX('Compliance Database'!$O$2:$O$1960,MATCH(1591,Engine!$C$2:$C$1960,0)))</f>
        <v/>
      </c>
      <c r="P1604" s="8">
        <f>IF(ISNA(MATCH(1591,Engine!$C$2:$C$1960,0)),"",HYPERLINK("#Acts!A"&amp;INDEX('Compliance Database'!$P$2:$P$1960,MATCH(1591,Engine!$C$2:$C$1960,0)),"Go to Act"))</f>
        <v/>
      </c>
    </row>
    <row r="1605" ht="158" customHeight="1">
      <c r="A1605" s="8">
        <f>IF(ISNA(MATCH(1592,Engine!$C$2:$C$1960,0)),"",INDEX('Compliance Database'!$A$2:$A$1960,MATCH(1592,Engine!$C$2:$C$1960,0)))</f>
        <v/>
      </c>
      <c r="B1605" s="8">
        <f>IF(ISNA(MATCH(1592,Engine!$C$2:$C$1960,0)),"",INDEX('Compliance Database'!$B$2:$B$1960,MATCH(1592,Engine!$C$2:$C$1960,0)))</f>
        <v/>
      </c>
      <c r="C1605" s="8">
        <f>IF(ISNA(MATCH(1592,Engine!$C$2:$C$1960,0)),"",INDEX('Compliance Database'!$C$2:$C$1960,MATCH(1592,Engine!$C$2:$C$1960,0)))</f>
        <v/>
      </c>
      <c r="D1605" s="9">
        <f>IF(ISNA(MATCH(1592,Engine!$C$2:$C$1960,0)),"",INDEX('Compliance Database'!$D$2:$D$1960,MATCH(1592,Engine!$C$2:$C$1960,0)))</f>
        <v/>
      </c>
      <c r="E1605" s="8">
        <f>IF(ISNA(MATCH(1592,Engine!$C$2:$C$1960,0)),"",INDEX('Compliance Database'!$E$2:$E$1960,MATCH(1592,Engine!$C$2:$C$1960,0)))</f>
        <v/>
      </c>
      <c r="F1605" s="8">
        <f>IF(ISNA(MATCH(1592,Engine!$C$2:$C$1960,0)),"",INDEX('Compliance Database'!$F$2:$F$1960,MATCH(1592,Engine!$C$2:$C$1960,0)))</f>
        <v/>
      </c>
      <c r="G1605" s="8">
        <f>IF(ISNA(MATCH(1592,Engine!$C$2:$C$1960,0)),"",INDEX('Compliance Database'!$G$2:$G$1960,MATCH(1592,Engine!$C$2:$C$1960,0)))</f>
        <v/>
      </c>
      <c r="H1605" s="9">
        <f>IF(ISNA(MATCH(1592,Engine!$C$2:$C$1960,0)),"",INDEX('Compliance Database'!$H$2:$H$1960,MATCH(1592,Engine!$C$2:$C$1960,0)))</f>
        <v/>
      </c>
      <c r="I1605" s="9">
        <f>IF(ISNA(MATCH(1592,Engine!$C$2:$C$1960,0)),"",INDEX('Compliance Database'!$I$2:$I$1960,MATCH(1592,Engine!$C$2:$C$1960,0)))</f>
        <v/>
      </c>
      <c r="J1605" s="8">
        <f>IF(ISNA(MATCH(1592,Engine!$C$2:$C$1960,0)),"",INDEX('Compliance Database'!$J$2:$J$1960,MATCH(1592,Engine!$C$2:$C$1960,0)))</f>
        <v/>
      </c>
      <c r="K1605" s="9">
        <f>IF(ISNA(MATCH(1592,Engine!$C$2:$C$1960,0)),"",INDEX('Compliance Database'!$K$2:$K$1960,MATCH(1592,Engine!$C$2:$C$1960,0)))</f>
        <v/>
      </c>
      <c r="L1605" s="9">
        <f>IF(ISNA(MATCH(1592,Engine!$C$2:$C$1960,0)),"",INDEX('Compliance Database'!$L$2:$L$1960,MATCH(1592,Engine!$C$2:$C$1960,0)))</f>
        <v/>
      </c>
      <c r="M1605" s="9">
        <f>IF(ISNA(MATCH(1592,Engine!$C$2:$C$1960,0)),"",INDEX('Compliance Database'!$M$2:$M$1960,MATCH(1592,Engine!$C$2:$C$1960,0)))</f>
        <v/>
      </c>
      <c r="N1605" s="9">
        <f>IF(ISNA(MATCH(1592,Engine!$C$2:$C$1960,0)),"",INDEX('Compliance Database'!$N$2:$N$1960,MATCH(1592,Engine!$C$2:$C$1960,0)))</f>
        <v/>
      </c>
      <c r="O1605" s="9">
        <f>IF(ISNA(MATCH(1592,Engine!$C$2:$C$1960,0)),"",INDEX('Compliance Database'!$O$2:$O$1960,MATCH(1592,Engine!$C$2:$C$1960,0)))</f>
        <v/>
      </c>
      <c r="P1605" s="8">
        <f>IF(ISNA(MATCH(1592,Engine!$C$2:$C$1960,0)),"",HYPERLINK("#Acts!A"&amp;INDEX('Compliance Database'!$P$2:$P$1960,MATCH(1592,Engine!$C$2:$C$1960,0)),"Go to Act"))</f>
        <v/>
      </c>
    </row>
    <row r="1606" ht="158" customHeight="1">
      <c r="A1606" s="8">
        <f>IF(ISNA(MATCH(1593,Engine!$C$2:$C$1960,0)),"",INDEX('Compliance Database'!$A$2:$A$1960,MATCH(1593,Engine!$C$2:$C$1960,0)))</f>
        <v/>
      </c>
      <c r="B1606" s="8">
        <f>IF(ISNA(MATCH(1593,Engine!$C$2:$C$1960,0)),"",INDEX('Compliance Database'!$B$2:$B$1960,MATCH(1593,Engine!$C$2:$C$1960,0)))</f>
        <v/>
      </c>
      <c r="C1606" s="8">
        <f>IF(ISNA(MATCH(1593,Engine!$C$2:$C$1960,0)),"",INDEX('Compliance Database'!$C$2:$C$1960,MATCH(1593,Engine!$C$2:$C$1960,0)))</f>
        <v/>
      </c>
      <c r="D1606" s="9">
        <f>IF(ISNA(MATCH(1593,Engine!$C$2:$C$1960,0)),"",INDEX('Compliance Database'!$D$2:$D$1960,MATCH(1593,Engine!$C$2:$C$1960,0)))</f>
        <v/>
      </c>
      <c r="E1606" s="8">
        <f>IF(ISNA(MATCH(1593,Engine!$C$2:$C$1960,0)),"",INDEX('Compliance Database'!$E$2:$E$1960,MATCH(1593,Engine!$C$2:$C$1960,0)))</f>
        <v/>
      </c>
      <c r="F1606" s="8">
        <f>IF(ISNA(MATCH(1593,Engine!$C$2:$C$1960,0)),"",INDEX('Compliance Database'!$F$2:$F$1960,MATCH(1593,Engine!$C$2:$C$1960,0)))</f>
        <v/>
      </c>
      <c r="G1606" s="8">
        <f>IF(ISNA(MATCH(1593,Engine!$C$2:$C$1960,0)),"",INDEX('Compliance Database'!$G$2:$G$1960,MATCH(1593,Engine!$C$2:$C$1960,0)))</f>
        <v/>
      </c>
      <c r="H1606" s="9">
        <f>IF(ISNA(MATCH(1593,Engine!$C$2:$C$1960,0)),"",INDEX('Compliance Database'!$H$2:$H$1960,MATCH(1593,Engine!$C$2:$C$1960,0)))</f>
        <v/>
      </c>
      <c r="I1606" s="9">
        <f>IF(ISNA(MATCH(1593,Engine!$C$2:$C$1960,0)),"",INDEX('Compliance Database'!$I$2:$I$1960,MATCH(1593,Engine!$C$2:$C$1960,0)))</f>
        <v/>
      </c>
      <c r="J1606" s="8">
        <f>IF(ISNA(MATCH(1593,Engine!$C$2:$C$1960,0)),"",INDEX('Compliance Database'!$J$2:$J$1960,MATCH(1593,Engine!$C$2:$C$1960,0)))</f>
        <v/>
      </c>
      <c r="K1606" s="9">
        <f>IF(ISNA(MATCH(1593,Engine!$C$2:$C$1960,0)),"",INDEX('Compliance Database'!$K$2:$K$1960,MATCH(1593,Engine!$C$2:$C$1960,0)))</f>
        <v/>
      </c>
      <c r="L1606" s="9">
        <f>IF(ISNA(MATCH(1593,Engine!$C$2:$C$1960,0)),"",INDEX('Compliance Database'!$L$2:$L$1960,MATCH(1593,Engine!$C$2:$C$1960,0)))</f>
        <v/>
      </c>
      <c r="M1606" s="9">
        <f>IF(ISNA(MATCH(1593,Engine!$C$2:$C$1960,0)),"",INDEX('Compliance Database'!$M$2:$M$1960,MATCH(1593,Engine!$C$2:$C$1960,0)))</f>
        <v/>
      </c>
      <c r="N1606" s="9">
        <f>IF(ISNA(MATCH(1593,Engine!$C$2:$C$1960,0)),"",INDEX('Compliance Database'!$N$2:$N$1960,MATCH(1593,Engine!$C$2:$C$1960,0)))</f>
        <v/>
      </c>
      <c r="O1606" s="9">
        <f>IF(ISNA(MATCH(1593,Engine!$C$2:$C$1960,0)),"",INDEX('Compliance Database'!$O$2:$O$1960,MATCH(1593,Engine!$C$2:$C$1960,0)))</f>
        <v/>
      </c>
      <c r="P1606" s="8">
        <f>IF(ISNA(MATCH(1593,Engine!$C$2:$C$1960,0)),"",HYPERLINK("#Acts!A"&amp;INDEX('Compliance Database'!$P$2:$P$1960,MATCH(1593,Engine!$C$2:$C$1960,0)),"Go to Act"))</f>
        <v/>
      </c>
    </row>
    <row r="1607" ht="158" customHeight="1">
      <c r="A1607" s="8">
        <f>IF(ISNA(MATCH(1594,Engine!$C$2:$C$1960,0)),"",INDEX('Compliance Database'!$A$2:$A$1960,MATCH(1594,Engine!$C$2:$C$1960,0)))</f>
        <v/>
      </c>
      <c r="B1607" s="8">
        <f>IF(ISNA(MATCH(1594,Engine!$C$2:$C$1960,0)),"",INDEX('Compliance Database'!$B$2:$B$1960,MATCH(1594,Engine!$C$2:$C$1960,0)))</f>
        <v/>
      </c>
      <c r="C1607" s="8">
        <f>IF(ISNA(MATCH(1594,Engine!$C$2:$C$1960,0)),"",INDEX('Compliance Database'!$C$2:$C$1960,MATCH(1594,Engine!$C$2:$C$1960,0)))</f>
        <v/>
      </c>
      <c r="D1607" s="9">
        <f>IF(ISNA(MATCH(1594,Engine!$C$2:$C$1960,0)),"",INDEX('Compliance Database'!$D$2:$D$1960,MATCH(1594,Engine!$C$2:$C$1960,0)))</f>
        <v/>
      </c>
      <c r="E1607" s="8">
        <f>IF(ISNA(MATCH(1594,Engine!$C$2:$C$1960,0)),"",INDEX('Compliance Database'!$E$2:$E$1960,MATCH(1594,Engine!$C$2:$C$1960,0)))</f>
        <v/>
      </c>
      <c r="F1607" s="8">
        <f>IF(ISNA(MATCH(1594,Engine!$C$2:$C$1960,0)),"",INDEX('Compliance Database'!$F$2:$F$1960,MATCH(1594,Engine!$C$2:$C$1960,0)))</f>
        <v/>
      </c>
      <c r="G1607" s="8">
        <f>IF(ISNA(MATCH(1594,Engine!$C$2:$C$1960,0)),"",INDEX('Compliance Database'!$G$2:$G$1960,MATCH(1594,Engine!$C$2:$C$1960,0)))</f>
        <v/>
      </c>
      <c r="H1607" s="9">
        <f>IF(ISNA(MATCH(1594,Engine!$C$2:$C$1960,0)),"",INDEX('Compliance Database'!$H$2:$H$1960,MATCH(1594,Engine!$C$2:$C$1960,0)))</f>
        <v/>
      </c>
      <c r="I1607" s="9">
        <f>IF(ISNA(MATCH(1594,Engine!$C$2:$C$1960,0)),"",INDEX('Compliance Database'!$I$2:$I$1960,MATCH(1594,Engine!$C$2:$C$1960,0)))</f>
        <v/>
      </c>
      <c r="J1607" s="8">
        <f>IF(ISNA(MATCH(1594,Engine!$C$2:$C$1960,0)),"",INDEX('Compliance Database'!$J$2:$J$1960,MATCH(1594,Engine!$C$2:$C$1960,0)))</f>
        <v/>
      </c>
      <c r="K1607" s="9">
        <f>IF(ISNA(MATCH(1594,Engine!$C$2:$C$1960,0)),"",INDEX('Compliance Database'!$K$2:$K$1960,MATCH(1594,Engine!$C$2:$C$1960,0)))</f>
        <v/>
      </c>
      <c r="L1607" s="9">
        <f>IF(ISNA(MATCH(1594,Engine!$C$2:$C$1960,0)),"",INDEX('Compliance Database'!$L$2:$L$1960,MATCH(1594,Engine!$C$2:$C$1960,0)))</f>
        <v/>
      </c>
      <c r="M1607" s="9">
        <f>IF(ISNA(MATCH(1594,Engine!$C$2:$C$1960,0)),"",INDEX('Compliance Database'!$M$2:$M$1960,MATCH(1594,Engine!$C$2:$C$1960,0)))</f>
        <v/>
      </c>
      <c r="N1607" s="9">
        <f>IF(ISNA(MATCH(1594,Engine!$C$2:$C$1960,0)),"",INDEX('Compliance Database'!$N$2:$N$1960,MATCH(1594,Engine!$C$2:$C$1960,0)))</f>
        <v/>
      </c>
      <c r="O1607" s="9">
        <f>IF(ISNA(MATCH(1594,Engine!$C$2:$C$1960,0)),"",INDEX('Compliance Database'!$O$2:$O$1960,MATCH(1594,Engine!$C$2:$C$1960,0)))</f>
        <v/>
      </c>
      <c r="P1607" s="8">
        <f>IF(ISNA(MATCH(1594,Engine!$C$2:$C$1960,0)),"",HYPERLINK("#Acts!A"&amp;INDEX('Compliance Database'!$P$2:$P$1960,MATCH(1594,Engine!$C$2:$C$1960,0)),"Go to Act"))</f>
        <v/>
      </c>
    </row>
    <row r="1608" ht="158" customHeight="1">
      <c r="A1608" s="8">
        <f>IF(ISNA(MATCH(1595,Engine!$C$2:$C$1960,0)),"",INDEX('Compliance Database'!$A$2:$A$1960,MATCH(1595,Engine!$C$2:$C$1960,0)))</f>
        <v/>
      </c>
      <c r="B1608" s="8">
        <f>IF(ISNA(MATCH(1595,Engine!$C$2:$C$1960,0)),"",INDEX('Compliance Database'!$B$2:$B$1960,MATCH(1595,Engine!$C$2:$C$1960,0)))</f>
        <v/>
      </c>
      <c r="C1608" s="8">
        <f>IF(ISNA(MATCH(1595,Engine!$C$2:$C$1960,0)),"",INDEX('Compliance Database'!$C$2:$C$1960,MATCH(1595,Engine!$C$2:$C$1960,0)))</f>
        <v/>
      </c>
      <c r="D1608" s="9">
        <f>IF(ISNA(MATCH(1595,Engine!$C$2:$C$1960,0)),"",INDEX('Compliance Database'!$D$2:$D$1960,MATCH(1595,Engine!$C$2:$C$1960,0)))</f>
        <v/>
      </c>
      <c r="E1608" s="8">
        <f>IF(ISNA(MATCH(1595,Engine!$C$2:$C$1960,0)),"",INDEX('Compliance Database'!$E$2:$E$1960,MATCH(1595,Engine!$C$2:$C$1960,0)))</f>
        <v/>
      </c>
      <c r="F1608" s="8">
        <f>IF(ISNA(MATCH(1595,Engine!$C$2:$C$1960,0)),"",INDEX('Compliance Database'!$F$2:$F$1960,MATCH(1595,Engine!$C$2:$C$1960,0)))</f>
        <v/>
      </c>
      <c r="G1608" s="8">
        <f>IF(ISNA(MATCH(1595,Engine!$C$2:$C$1960,0)),"",INDEX('Compliance Database'!$G$2:$G$1960,MATCH(1595,Engine!$C$2:$C$1960,0)))</f>
        <v/>
      </c>
      <c r="H1608" s="9">
        <f>IF(ISNA(MATCH(1595,Engine!$C$2:$C$1960,0)),"",INDEX('Compliance Database'!$H$2:$H$1960,MATCH(1595,Engine!$C$2:$C$1960,0)))</f>
        <v/>
      </c>
      <c r="I1608" s="9">
        <f>IF(ISNA(MATCH(1595,Engine!$C$2:$C$1960,0)),"",INDEX('Compliance Database'!$I$2:$I$1960,MATCH(1595,Engine!$C$2:$C$1960,0)))</f>
        <v/>
      </c>
      <c r="J1608" s="8">
        <f>IF(ISNA(MATCH(1595,Engine!$C$2:$C$1960,0)),"",INDEX('Compliance Database'!$J$2:$J$1960,MATCH(1595,Engine!$C$2:$C$1960,0)))</f>
        <v/>
      </c>
      <c r="K1608" s="9">
        <f>IF(ISNA(MATCH(1595,Engine!$C$2:$C$1960,0)),"",INDEX('Compliance Database'!$K$2:$K$1960,MATCH(1595,Engine!$C$2:$C$1960,0)))</f>
        <v/>
      </c>
      <c r="L1608" s="9">
        <f>IF(ISNA(MATCH(1595,Engine!$C$2:$C$1960,0)),"",INDEX('Compliance Database'!$L$2:$L$1960,MATCH(1595,Engine!$C$2:$C$1960,0)))</f>
        <v/>
      </c>
      <c r="M1608" s="9">
        <f>IF(ISNA(MATCH(1595,Engine!$C$2:$C$1960,0)),"",INDEX('Compliance Database'!$M$2:$M$1960,MATCH(1595,Engine!$C$2:$C$1960,0)))</f>
        <v/>
      </c>
      <c r="N1608" s="9">
        <f>IF(ISNA(MATCH(1595,Engine!$C$2:$C$1960,0)),"",INDEX('Compliance Database'!$N$2:$N$1960,MATCH(1595,Engine!$C$2:$C$1960,0)))</f>
        <v/>
      </c>
      <c r="O1608" s="9">
        <f>IF(ISNA(MATCH(1595,Engine!$C$2:$C$1960,0)),"",INDEX('Compliance Database'!$O$2:$O$1960,MATCH(1595,Engine!$C$2:$C$1960,0)))</f>
        <v/>
      </c>
      <c r="P1608" s="8">
        <f>IF(ISNA(MATCH(1595,Engine!$C$2:$C$1960,0)),"",HYPERLINK("#Acts!A"&amp;INDEX('Compliance Database'!$P$2:$P$1960,MATCH(1595,Engine!$C$2:$C$1960,0)),"Go to Act"))</f>
        <v/>
      </c>
    </row>
    <row r="1609" ht="158" customHeight="1">
      <c r="A1609" s="8">
        <f>IF(ISNA(MATCH(1596,Engine!$C$2:$C$1960,0)),"",INDEX('Compliance Database'!$A$2:$A$1960,MATCH(1596,Engine!$C$2:$C$1960,0)))</f>
        <v/>
      </c>
      <c r="B1609" s="8">
        <f>IF(ISNA(MATCH(1596,Engine!$C$2:$C$1960,0)),"",INDEX('Compliance Database'!$B$2:$B$1960,MATCH(1596,Engine!$C$2:$C$1960,0)))</f>
        <v/>
      </c>
      <c r="C1609" s="8">
        <f>IF(ISNA(MATCH(1596,Engine!$C$2:$C$1960,0)),"",INDEX('Compliance Database'!$C$2:$C$1960,MATCH(1596,Engine!$C$2:$C$1960,0)))</f>
        <v/>
      </c>
      <c r="D1609" s="9">
        <f>IF(ISNA(MATCH(1596,Engine!$C$2:$C$1960,0)),"",INDEX('Compliance Database'!$D$2:$D$1960,MATCH(1596,Engine!$C$2:$C$1960,0)))</f>
        <v/>
      </c>
      <c r="E1609" s="8">
        <f>IF(ISNA(MATCH(1596,Engine!$C$2:$C$1960,0)),"",INDEX('Compliance Database'!$E$2:$E$1960,MATCH(1596,Engine!$C$2:$C$1960,0)))</f>
        <v/>
      </c>
      <c r="F1609" s="8">
        <f>IF(ISNA(MATCH(1596,Engine!$C$2:$C$1960,0)),"",INDEX('Compliance Database'!$F$2:$F$1960,MATCH(1596,Engine!$C$2:$C$1960,0)))</f>
        <v/>
      </c>
      <c r="G1609" s="8">
        <f>IF(ISNA(MATCH(1596,Engine!$C$2:$C$1960,0)),"",INDEX('Compliance Database'!$G$2:$G$1960,MATCH(1596,Engine!$C$2:$C$1960,0)))</f>
        <v/>
      </c>
      <c r="H1609" s="9">
        <f>IF(ISNA(MATCH(1596,Engine!$C$2:$C$1960,0)),"",INDEX('Compliance Database'!$H$2:$H$1960,MATCH(1596,Engine!$C$2:$C$1960,0)))</f>
        <v/>
      </c>
      <c r="I1609" s="9">
        <f>IF(ISNA(MATCH(1596,Engine!$C$2:$C$1960,0)),"",INDEX('Compliance Database'!$I$2:$I$1960,MATCH(1596,Engine!$C$2:$C$1960,0)))</f>
        <v/>
      </c>
      <c r="J1609" s="8">
        <f>IF(ISNA(MATCH(1596,Engine!$C$2:$C$1960,0)),"",INDEX('Compliance Database'!$J$2:$J$1960,MATCH(1596,Engine!$C$2:$C$1960,0)))</f>
        <v/>
      </c>
      <c r="K1609" s="9">
        <f>IF(ISNA(MATCH(1596,Engine!$C$2:$C$1960,0)),"",INDEX('Compliance Database'!$K$2:$K$1960,MATCH(1596,Engine!$C$2:$C$1960,0)))</f>
        <v/>
      </c>
      <c r="L1609" s="9">
        <f>IF(ISNA(MATCH(1596,Engine!$C$2:$C$1960,0)),"",INDEX('Compliance Database'!$L$2:$L$1960,MATCH(1596,Engine!$C$2:$C$1960,0)))</f>
        <v/>
      </c>
      <c r="M1609" s="9">
        <f>IF(ISNA(MATCH(1596,Engine!$C$2:$C$1960,0)),"",INDEX('Compliance Database'!$M$2:$M$1960,MATCH(1596,Engine!$C$2:$C$1960,0)))</f>
        <v/>
      </c>
      <c r="N1609" s="9">
        <f>IF(ISNA(MATCH(1596,Engine!$C$2:$C$1960,0)),"",INDEX('Compliance Database'!$N$2:$N$1960,MATCH(1596,Engine!$C$2:$C$1960,0)))</f>
        <v/>
      </c>
      <c r="O1609" s="9">
        <f>IF(ISNA(MATCH(1596,Engine!$C$2:$C$1960,0)),"",INDEX('Compliance Database'!$O$2:$O$1960,MATCH(1596,Engine!$C$2:$C$1960,0)))</f>
        <v/>
      </c>
      <c r="P1609" s="8">
        <f>IF(ISNA(MATCH(1596,Engine!$C$2:$C$1960,0)),"",HYPERLINK("#Acts!A"&amp;INDEX('Compliance Database'!$P$2:$P$1960,MATCH(1596,Engine!$C$2:$C$1960,0)),"Go to Act"))</f>
        <v/>
      </c>
    </row>
    <row r="1610" ht="158" customHeight="1">
      <c r="A1610" s="8">
        <f>IF(ISNA(MATCH(1597,Engine!$C$2:$C$1960,0)),"",INDEX('Compliance Database'!$A$2:$A$1960,MATCH(1597,Engine!$C$2:$C$1960,0)))</f>
        <v/>
      </c>
      <c r="B1610" s="8">
        <f>IF(ISNA(MATCH(1597,Engine!$C$2:$C$1960,0)),"",INDEX('Compliance Database'!$B$2:$B$1960,MATCH(1597,Engine!$C$2:$C$1960,0)))</f>
        <v/>
      </c>
      <c r="C1610" s="8">
        <f>IF(ISNA(MATCH(1597,Engine!$C$2:$C$1960,0)),"",INDEX('Compliance Database'!$C$2:$C$1960,MATCH(1597,Engine!$C$2:$C$1960,0)))</f>
        <v/>
      </c>
      <c r="D1610" s="9">
        <f>IF(ISNA(MATCH(1597,Engine!$C$2:$C$1960,0)),"",INDEX('Compliance Database'!$D$2:$D$1960,MATCH(1597,Engine!$C$2:$C$1960,0)))</f>
        <v/>
      </c>
      <c r="E1610" s="8">
        <f>IF(ISNA(MATCH(1597,Engine!$C$2:$C$1960,0)),"",INDEX('Compliance Database'!$E$2:$E$1960,MATCH(1597,Engine!$C$2:$C$1960,0)))</f>
        <v/>
      </c>
      <c r="F1610" s="8">
        <f>IF(ISNA(MATCH(1597,Engine!$C$2:$C$1960,0)),"",INDEX('Compliance Database'!$F$2:$F$1960,MATCH(1597,Engine!$C$2:$C$1960,0)))</f>
        <v/>
      </c>
      <c r="G1610" s="8">
        <f>IF(ISNA(MATCH(1597,Engine!$C$2:$C$1960,0)),"",INDEX('Compliance Database'!$G$2:$G$1960,MATCH(1597,Engine!$C$2:$C$1960,0)))</f>
        <v/>
      </c>
      <c r="H1610" s="9">
        <f>IF(ISNA(MATCH(1597,Engine!$C$2:$C$1960,0)),"",INDEX('Compliance Database'!$H$2:$H$1960,MATCH(1597,Engine!$C$2:$C$1960,0)))</f>
        <v/>
      </c>
      <c r="I1610" s="9">
        <f>IF(ISNA(MATCH(1597,Engine!$C$2:$C$1960,0)),"",INDEX('Compliance Database'!$I$2:$I$1960,MATCH(1597,Engine!$C$2:$C$1960,0)))</f>
        <v/>
      </c>
      <c r="J1610" s="8">
        <f>IF(ISNA(MATCH(1597,Engine!$C$2:$C$1960,0)),"",INDEX('Compliance Database'!$J$2:$J$1960,MATCH(1597,Engine!$C$2:$C$1960,0)))</f>
        <v/>
      </c>
      <c r="K1610" s="9">
        <f>IF(ISNA(MATCH(1597,Engine!$C$2:$C$1960,0)),"",INDEX('Compliance Database'!$K$2:$K$1960,MATCH(1597,Engine!$C$2:$C$1960,0)))</f>
        <v/>
      </c>
      <c r="L1610" s="9">
        <f>IF(ISNA(MATCH(1597,Engine!$C$2:$C$1960,0)),"",INDEX('Compliance Database'!$L$2:$L$1960,MATCH(1597,Engine!$C$2:$C$1960,0)))</f>
        <v/>
      </c>
      <c r="M1610" s="9">
        <f>IF(ISNA(MATCH(1597,Engine!$C$2:$C$1960,0)),"",INDEX('Compliance Database'!$M$2:$M$1960,MATCH(1597,Engine!$C$2:$C$1960,0)))</f>
        <v/>
      </c>
      <c r="N1610" s="9">
        <f>IF(ISNA(MATCH(1597,Engine!$C$2:$C$1960,0)),"",INDEX('Compliance Database'!$N$2:$N$1960,MATCH(1597,Engine!$C$2:$C$1960,0)))</f>
        <v/>
      </c>
      <c r="O1610" s="9">
        <f>IF(ISNA(MATCH(1597,Engine!$C$2:$C$1960,0)),"",INDEX('Compliance Database'!$O$2:$O$1960,MATCH(1597,Engine!$C$2:$C$1960,0)))</f>
        <v/>
      </c>
      <c r="P1610" s="8">
        <f>IF(ISNA(MATCH(1597,Engine!$C$2:$C$1960,0)),"",HYPERLINK("#Acts!A"&amp;INDEX('Compliance Database'!$P$2:$P$1960,MATCH(1597,Engine!$C$2:$C$1960,0)),"Go to Act"))</f>
        <v/>
      </c>
    </row>
    <row r="1611" ht="158" customHeight="1">
      <c r="A1611" s="8">
        <f>IF(ISNA(MATCH(1598,Engine!$C$2:$C$1960,0)),"",INDEX('Compliance Database'!$A$2:$A$1960,MATCH(1598,Engine!$C$2:$C$1960,0)))</f>
        <v/>
      </c>
      <c r="B1611" s="8">
        <f>IF(ISNA(MATCH(1598,Engine!$C$2:$C$1960,0)),"",INDEX('Compliance Database'!$B$2:$B$1960,MATCH(1598,Engine!$C$2:$C$1960,0)))</f>
        <v/>
      </c>
      <c r="C1611" s="8">
        <f>IF(ISNA(MATCH(1598,Engine!$C$2:$C$1960,0)),"",INDEX('Compliance Database'!$C$2:$C$1960,MATCH(1598,Engine!$C$2:$C$1960,0)))</f>
        <v/>
      </c>
      <c r="D1611" s="9">
        <f>IF(ISNA(MATCH(1598,Engine!$C$2:$C$1960,0)),"",INDEX('Compliance Database'!$D$2:$D$1960,MATCH(1598,Engine!$C$2:$C$1960,0)))</f>
        <v/>
      </c>
      <c r="E1611" s="8">
        <f>IF(ISNA(MATCH(1598,Engine!$C$2:$C$1960,0)),"",INDEX('Compliance Database'!$E$2:$E$1960,MATCH(1598,Engine!$C$2:$C$1960,0)))</f>
        <v/>
      </c>
      <c r="F1611" s="8">
        <f>IF(ISNA(MATCH(1598,Engine!$C$2:$C$1960,0)),"",INDEX('Compliance Database'!$F$2:$F$1960,MATCH(1598,Engine!$C$2:$C$1960,0)))</f>
        <v/>
      </c>
      <c r="G1611" s="8">
        <f>IF(ISNA(MATCH(1598,Engine!$C$2:$C$1960,0)),"",INDEX('Compliance Database'!$G$2:$G$1960,MATCH(1598,Engine!$C$2:$C$1960,0)))</f>
        <v/>
      </c>
      <c r="H1611" s="9">
        <f>IF(ISNA(MATCH(1598,Engine!$C$2:$C$1960,0)),"",INDEX('Compliance Database'!$H$2:$H$1960,MATCH(1598,Engine!$C$2:$C$1960,0)))</f>
        <v/>
      </c>
      <c r="I1611" s="9">
        <f>IF(ISNA(MATCH(1598,Engine!$C$2:$C$1960,0)),"",INDEX('Compliance Database'!$I$2:$I$1960,MATCH(1598,Engine!$C$2:$C$1960,0)))</f>
        <v/>
      </c>
      <c r="J1611" s="8">
        <f>IF(ISNA(MATCH(1598,Engine!$C$2:$C$1960,0)),"",INDEX('Compliance Database'!$J$2:$J$1960,MATCH(1598,Engine!$C$2:$C$1960,0)))</f>
        <v/>
      </c>
      <c r="K1611" s="9">
        <f>IF(ISNA(MATCH(1598,Engine!$C$2:$C$1960,0)),"",INDEX('Compliance Database'!$K$2:$K$1960,MATCH(1598,Engine!$C$2:$C$1960,0)))</f>
        <v/>
      </c>
      <c r="L1611" s="9">
        <f>IF(ISNA(MATCH(1598,Engine!$C$2:$C$1960,0)),"",INDEX('Compliance Database'!$L$2:$L$1960,MATCH(1598,Engine!$C$2:$C$1960,0)))</f>
        <v/>
      </c>
      <c r="M1611" s="9">
        <f>IF(ISNA(MATCH(1598,Engine!$C$2:$C$1960,0)),"",INDEX('Compliance Database'!$M$2:$M$1960,MATCH(1598,Engine!$C$2:$C$1960,0)))</f>
        <v/>
      </c>
      <c r="N1611" s="9">
        <f>IF(ISNA(MATCH(1598,Engine!$C$2:$C$1960,0)),"",INDEX('Compliance Database'!$N$2:$N$1960,MATCH(1598,Engine!$C$2:$C$1960,0)))</f>
        <v/>
      </c>
      <c r="O1611" s="9">
        <f>IF(ISNA(MATCH(1598,Engine!$C$2:$C$1960,0)),"",INDEX('Compliance Database'!$O$2:$O$1960,MATCH(1598,Engine!$C$2:$C$1960,0)))</f>
        <v/>
      </c>
      <c r="P1611" s="8">
        <f>IF(ISNA(MATCH(1598,Engine!$C$2:$C$1960,0)),"",HYPERLINK("#Acts!A"&amp;INDEX('Compliance Database'!$P$2:$P$1960,MATCH(1598,Engine!$C$2:$C$1960,0)),"Go to Act"))</f>
        <v/>
      </c>
    </row>
    <row r="1612" ht="158" customHeight="1">
      <c r="A1612" s="8">
        <f>IF(ISNA(MATCH(1599,Engine!$C$2:$C$1960,0)),"",INDEX('Compliance Database'!$A$2:$A$1960,MATCH(1599,Engine!$C$2:$C$1960,0)))</f>
        <v/>
      </c>
      <c r="B1612" s="8">
        <f>IF(ISNA(MATCH(1599,Engine!$C$2:$C$1960,0)),"",INDEX('Compliance Database'!$B$2:$B$1960,MATCH(1599,Engine!$C$2:$C$1960,0)))</f>
        <v/>
      </c>
      <c r="C1612" s="8">
        <f>IF(ISNA(MATCH(1599,Engine!$C$2:$C$1960,0)),"",INDEX('Compliance Database'!$C$2:$C$1960,MATCH(1599,Engine!$C$2:$C$1960,0)))</f>
        <v/>
      </c>
      <c r="D1612" s="9">
        <f>IF(ISNA(MATCH(1599,Engine!$C$2:$C$1960,0)),"",INDEX('Compliance Database'!$D$2:$D$1960,MATCH(1599,Engine!$C$2:$C$1960,0)))</f>
        <v/>
      </c>
      <c r="E1612" s="8">
        <f>IF(ISNA(MATCH(1599,Engine!$C$2:$C$1960,0)),"",INDEX('Compliance Database'!$E$2:$E$1960,MATCH(1599,Engine!$C$2:$C$1960,0)))</f>
        <v/>
      </c>
      <c r="F1612" s="8">
        <f>IF(ISNA(MATCH(1599,Engine!$C$2:$C$1960,0)),"",INDEX('Compliance Database'!$F$2:$F$1960,MATCH(1599,Engine!$C$2:$C$1960,0)))</f>
        <v/>
      </c>
      <c r="G1612" s="8">
        <f>IF(ISNA(MATCH(1599,Engine!$C$2:$C$1960,0)),"",INDEX('Compliance Database'!$G$2:$G$1960,MATCH(1599,Engine!$C$2:$C$1960,0)))</f>
        <v/>
      </c>
      <c r="H1612" s="9">
        <f>IF(ISNA(MATCH(1599,Engine!$C$2:$C$1960,0)),"",INDEX('Compliance Database'!$H$2:$H$1960,MATCH(1599,Engine!$C$2:$C$1960,0)))</f>
        <v/>
      </c>
      <c r="I1612" s="9">
        <f>IF(ISNA(MATCH(1599,Engine!$C$2:$C$1960,0)),"",INDEX('Compliance Database'!$I$2:$I$1960,MATCH(1599,Engine!$C$2:$C$1960,0)))</f>
        <v/>
      </c>
      <c r="J1612" s="8">
        <f>IF(ISNA(MATCH(1599,Engine!$C$2:$C$1960,0)),"",INDEX('Compliance Database'!$J$2:$J$1960,MATCH(1599,Engine!$C$2:$C$1960,0)))</f>
        <v/>
      </c>
      <c r="K1612" s="9">
        <f>IF(ISNA(MATCH(1599,Engine!$C$2:$C$1960,0)),"",INDEX('Compliance Database'!$K$2:$K$1960,MATCH(1599,Engine!$C$2:$C$1960,0)))</f>
        <v/>
      </c>
      <c r="L1612" s="9">
        <f>IF(ISNA(MATCH(1599,Engine!$C$2:$C$1960,0)),"",INDEX('Compliance Database'!$L$2:$L$1960,MATCH(1599,Engine!$C$2:$C$1960,0)))</f>
        <v/>
      </c>
      <c r="M1612" s="9">
        <f>IF(ISNA(MATCH(1599,Engine!$C$2:$C$1960,0)),"",INDEX('Compliance Database'!$M$2:$M$1960,MATCH(1599,Engine!$C$2:$C$1960,0)))</f>
        <v/>
      </c>
      <c r="N1612" s="9">
        <f>IF(ISNA(MATCH(1599,Engine!$C$2:$C$1960,0)),"",INDEX('Compliance Database'!$N$2:$N$1960,MATCH(1599,Engine!$C$2:$C$1960,0)))</f>
        <v/>
      </c>
      <c r="O1612" s="9">
        <f>IF(ISNA(MATCH(1599,Engine!$C$2:$C$1960,0)),"",INDEX('Compliance Database'!$O$2:$O$1960,MATCH(1599,Engine!$C$2:$C$1960,0)))</f>
        <v/>
      </c>
      <c r="P1612" s="8">
        <f>IF(ISNA(MATCH(1599,Engine!$C$2:$C$1960,0)),"",HYPERLINK("#Acts!A"&amp;INDEX('Compliance Database'!$P$2:$P$1960,MATCH(1599,Engine!$C$2:$C$1960,0)),"Go to Act"))</f>
        <v/>
      </c>
    </row>
    <row r="1613" ht="158" customHeight="1">
      <c r="A1613" s="8">
        <f>IF(ISNA(MATCH(1600,Engine!$C$2:$C$1960,0)),"",INDEX('Compliance Database'!$A$2:$A$1960,MATCH(1600,Engine!$C$2:$C$1960,0)))</f>
        <v/>
      </c>
      <c r="B1613" s="8">
        <f>IF(ISNA(MATCH(1600,Engine!$C$2:$C$1960,0)),"",INDEX('Compliance Database'!$B$2:$B$1960,MATCH(1600,Engine!$C$2:$C$1960,0)))</f>
        <v/>
      </c>
      <c r="C1613" s="8">
        <f>IF(ISNA(MATCH(1600,Engine!$C$2:$C$1960,0)),"",INDEX('Compliance Database'!$C$2:$C$1960,MATCH(1600,Engine!$C$2:$C$1960,0)))</f>
        <v/>
      </c>
      <c r="D1613" s="9">
        <f>IF(ISNA(MATCH(1600,Engine!$C$2:$C$1960,0)),"",INDEX('Compliance Database'!$D$2:$D$1960,MATCH(1600,Engine!$C$2:$C$1960,0)))</f>
        <v/>
      </c>
      <c r="E1613" s="8">
        <f>IF(ISNA(MATCH(1600,Engine!$C$2:$C$1960,0)),"",INDEX('Compliance Database'!$E$2:$E$1960,MATCH(1600,Engine!$C$2:$C$1960,0)))</f>
        <v/>
      </c>
      <c r="F1613" s="8">
        <f>IF(ISNA(MATCH(1600,Engine!$C$2:$C$1960,0)),"",INDEX('Compliance Database'!$F$2:$F$1960,MATCH(1600,Engine!$C$2:$C$1960,0)))</f>
        <v/>
      </c>
      <c r="G1613" s="8">
        <f>IF(ISNA(MATCH(1600,Engine!$C$2:$C$1960,0)),"",INDEX('Compliance Database'!$G$2:$G$1960,MATCH(1600,Engine!$C$2:$C$1960,0)))</f>
        <v/>
      </c>
      <c r="H1613" s="9">
        <f>IF(ISNA(MATCH(1600,Engine!$C$2:$C$1960,0)),"",INDEX('Compliance Database'!$H$2:$H$1960,MATCH(1600,Engine!$C$2:$C$1960,0)))</f>
        <v/>
      </c>
      <c r="I1613" s="9">
        <f>IF(ISNA(MATCH(1600,Engine!$C$2:$C$1960,0)),"",INDEX('Compliance Database'!$I$2:$I$1960,MATCH(1600,Engine!$C$2:$C$1960,0)))</f>
        <v/>
      </c>
      <c r="J1613" s="8">
        <f>IF(ISNA(MATCH(1600,Engine!$C$2:$C$1960,0)),"",INDEX('Compliance Database'!$J$2:$J$1960,MATCH(1600,Engine!$C$2:$C$1960,0)))</f>
        <v/>
      </c>
      <c r="K1613" s="9">
        <f>IF(ISNA(MATCH(1600,Engine!$C$2:$C$1960,0)),"",INDEX('Compliance Database'!$K$2:$K$1960,MATCH(1600,Engine!$C$2:$C$1960,0)))</f>
        <v/>
      </c>
      <c r="L1613" s="9">
        <f>IF(ISNA(MATCH(1600,Engine!$C$2:$C$1960,0)),"",INDEX('Compliance Database'!$L$2:$L$1960,MATCH(1600,Engine!$C$2:$C$1960,0)))</f>
        <v/>
      </c>
      <c r="M1613" s="9">
        <f>IF(ISNA(MATCH(1600,Engine!$C$2:$C$1960,0)),"",INDEX('Compliance Database'!$M$2:$M$1960,MATCH(1600,Engine!$C$2:$C$1960,0)))</f>
        <v/>
      </c>
      <c r="N1613" s="9">
        <f>IF(ISNA(MATCH(1600,Engine!$C$2:$C$1960,0)),"",INDEX('Compliance Database'!$N$2:$N$1960,MATCH(1600,Engine!$C$2:$C$1960,0)))</f>
        <v/>
      </c>
      <c r="O1613" s="9">
        <f>IF(ISNA(MATCH(1600,Engine!$C$2:$C$1960,0)),"",INDEX('Compliance Database'!$O$2:$O$1960,MATCH(1600,Engine!$C$2:$C$1960,0)))</f>
        <v/>
      </c>
      <c r="P1613" s="8">
        <f>IF(ISNA(MATCH(1600,Engine!$C$2:$C$1960,0)),"",HYPERLINK("#Acts!A"&amp;INDEX('Compliance Database'!$P$2:$P$1960,MATCH(1600,Engine!$C$2:$C$1960,0)),"Go to Act"))</f>
        <v/>
      </c>
    </row>
    <row r="1614" ht="158" customHeight="1">
      <c r="A1614" s="8">
        <f>IF(ISNA(MATCH(1601,Engine!$C$2:$C$1960,0)),"",INDEX('Compliance Database'!$A$2:$A$1960,MATCH(1601,Engine!$C$2:$C$1960,0)))</f>
        <v/>
      </c>
      <c r="B1614" s="8">
        <f>IF(ISNA(MATCH(1601,Engine!$C$2:$C$1960,0)),"",INDEX('Compliance Database'!$B$2:$B$1960,MATCH(1601,Engine!$C$2:$C$1960,0)))</f>
        <v/>
      </c>
      <c r="C1614" s="8">
        <f>IF(ISNA(MATCH(1601,Engine!$C$2:$C$1960,0)),"",INDEX('Compliance Database'!$C$2:$C$1960,MATCH(1601,Engine!$C$2:$C$1960,0)))</f>
        <v/>
      </c>
      <c r="D1614" s="9">
        <f>IF(ISNA(MATCH(1601,Engine!$C$2:$C$1960,0)),"",INDEX('Compliance Database'!$D$2:$D$1960,MATCH(1601,Engine!$C$2:$C$1960,0)))</f>
        <v/>
      </c>
      <c r="E1614" s="8">
        <f>IF(ISNA(MATCH(1601,Engine!$C$2:$C$1960,0)),"",INDEX('Compliance Database'!$E$2:$E$1960,MATCH(1601,Engine!$C$2:$C$1960,0)))</f>
        <v/>
      </c>
      <c r="F1614" s="8">
        <f>IF(ISNA(MATCH(1601,Engine!$C$2:$C$1960,0)),"",INDEX('Compliance Database'!$F$2:$F$1960,MATCH(1601,Engine!$C$2:$C$1960,0)))</f>
        <v/>
      </c>
      <c r="G1614" s="8">
        <f>IF(ISNA(MATCH(1601,Engine!$C$2:$C$1960,0)),"",INDEX('Compliance Database'!$G$2:$G$1960,MATCH(1601,Engine!$C$2:$C$1960,0)))</f>
        <v/>
      </c>
      <c r="H1614" s="9">
        <f>IF(ISNA(MATCH(1601,Engine!$C$2:$C$1960,0)),"",INDEX('Compliance Database'!$H$2:$H$1960,MATCH(1601,Engine!$C$2:$C$1960,0)))</f>
        <v/>
      </c>
      <c r="I1614" s="9">
        <f>IF(ISNA(MATCH(1601,Engine!$C$2:$C$1960,0)),"",INDEX('Compliance Database'!$I$2:$I$1960,MATCH(1601,Engine!$C$2:$C$1960,0)))</f>
        <v/>
      </c>
      <c r="J1614" s="8">
        <f>IF(ISNA(MATCH(1601,Engine!$C$2:$C$1960,0)),"",INDEX('Compliance Database'!$J$2:$J$1960,MATCH(1601,Engine!$C$2:$C$1960,0)))</f>
        <v/>
      </c>
      <c r="K1614" s="9">
        <f>IF(ISNA(MATCH(1601,Engine!$C$2:$C$1960,0)),"",INDEX('Compliance Database'!$K$2:$K$1960,MATCH(1601,Engine!$C$2:$C$1960,0)))</f>
        <v/>
      </c>
      <c r="L1614" s="9">
        <f>IF(ISNA(MATCH(1601,Engine!$C$2:$C$1960,0)),"",INDEX('Compliance Database'!$L$2:$L$1960,MATCH(1601,Engine!$C$2:$C$1960,0)))</f>
        <v/>
      </c>
      <c r="M1614" s="9">
        <f>IF(ISNA(MATCH(1601,Engine!$C$2:$C$1960,0)),"",INDEX('Compliance Database'!$M$2:$M$1960,MATCH(1601,Engine!$C$2:$C$1960,0)))</f>
        <v/>
      </c>
      <c r="N1614" s="9">
        <f>IF(ISNA(MATCH(1601,Engine!$C$2:$C$1960,0)),"",INDEX('Compliance Database'!$N$2:$N$1960,MATCH(1601,Engine!$C$2:$C$1960,0)))</f>
        <v/>
      </c>
      <c r="O1614" s="9">
        <f>IF(ISNA(MATCH(1601,Engine!$C$2:$C$1960,0)),"",INDEX('Compliance Database'!$O$2:$O$1960,MATCH(1601,Engine!$C$2:$C$1960,0)))</f>
        <v/>
      </c>
      <c r="P1614" s="8">
        <f>IF(ISNA(MATCH(1601,Engine!$C$2:$C$1960,0)),"",HYPERLINK("#Acts!A"&amp;INDEX('Compliance Database'!$P$2:$P$1960,MATCH(1601,Engine!$C$2:$C$1960,0)),"Go to Act"))</f>
        <v/>
      </c>
    </row>
    <row r="1615" ht="158" customHeight="1">
      <c r="A1615" s="8">
        <f>IF(ISNA(MATCH(1602,Engine!$C$2:$C$1960,0)),"",INDEX('Compliance Database'!$A$2:$A$1960,MATCH(1602,Engine!$C$2:$C$1960,0)))</f>
        <v/>
      </c>
      <c r="B1615" s="8">
        <f>IF(ISNA(MATCH(1602,Engine!$C$2:$C$1960,0)),"",INDEX('Compliance Database'!$B$2:$B$1960,MATCH(1602,Engine!$C$2:$C$1960,0)))</f>
        <v/>
      </c>
      <c r="C1615" s="8">
        <f>IF(ISNA(MATCH(1602,Engine!$C$2:$C$1960,0)),"",INDEX('Compliance Database'!$C$2:$C$1960,MATCH(1602,Engine!$C$2:$C$1960,0)))</f>
        <v/>
      </c>
      <c r="D1615" s="9">
        <f>IF(ISNA(MATCH(1602,Engine!$C$2:$C$1960,0)),"",INDEX('Compliance Database'!$D$2:$D$1960,MATCH(1602,Engine!$C$2:$C$1960,0)))</f>
        <v/>
      </c>
      <c r="E1615" s="8">
        <f>IF(ISNA(MATCH(1602,Engine!$C$2:$C$1960,0)),"",INDEX('Compliance Database'!$E$2:$E$1960,MATCH(1602,Engine!$C$2:$C$1960,0)))</f>
        <v/>
      </c>
      <c r="F1615" s="8">
        <f>IF(ISNA(MATCH(1602,Engine!$C$2:$C$1960,0)),"",INDEX('Compliance Database'!$F$2:$F$1960,MATCH(1602,Engine!$C$2:$C$1960,0)))</f>
        <v/>
      </c>
      <c r="G1615" s="8">
        <f>IF(ISNA(MATCH(1602,Engine!$C$2:$C$1960,0)),"",INDEX('Compliance Database'!$G$2:$G$1960,MATCH(1602,Engine!$C$2:$C$1960,0)))</f>
        <v/>
      </c>
      <c r="H1615" s="9">
        <f>IF(ISNA(MATCH(1602,Engine!$C$2:$C$1960,0)),"",INDEX('Compliance Database'!$H$2:$H$1960,MATCH(1602,Engine!$C$2:$C$1960,0)))</f>
        <v/>
      </c>
      <c r="I1615" s="9">
        <f>IF(ISNA(MATCH(1602,Engine!$C$2:$C$1960,0)),"",INDEX('Compliance Database'!$I$2:$I$1960,MATCH(1602,Engine!$C$2:$C$1960,0)))</f>
        <v/>
      </c>
      <c r="J1615" s="8">
        <f>IF(ISNA(MATCH(1602,Engine!$C$2:$C$1960,0)),"",INDEX('Compliance Database'!$J$2:$J$1960,MATCH(1602,Engine!$C$2:$C$1960,0)))</f>
        <v/>
      </c>
      <c r="K1615" s="9">
        <f>IF(ISNA(MATCH(1602,Engine!$C$2:$C$1960,0)),"",INDEX('Compliance Database'!$K$2:$K$1960,MATCH(1602,Engine!$C$2:$C$1960,0)))</f>
        <v/>
      </c>
      <c r="L1615" s="9">
        <f>IF(ISNA(MATCH(1602,Engine!$C$2:$C$1960,0)),"",INDEX('Compliance Database'!$L$2:$L$1960,MATCH(1602,Engine!$C$2:$C$1960,0)))</f>
        <v/>
      </c>
      <c r="M1615" s="9">
        <f>IF(ISNA(MATCH(1602,Engine!$C$2:$C$1960,0)),"",INDEX('Compliance Database'!$M$2:$M$1960,MATCH(1602,Engine!$C$2:$C$1960,0)))</f>
        <v/>
      </c>
      <c r="N1615" s="9">
        <f>IF(ISNA(MATCH(1602,Engine!$C$2:$C$1960,0)),"",INDEX('Compliance Database'!$N$2:$N$1960,MATCH(1602,Engine!$C$2:$C$1960,0)))</f>
        <v/>
      </c>
      <c r="O1615" s="9">
        <f>IF(ISNA(MATCH(1602,Engine!$C$2:$C$1960,0)),"",INDEX('Compliance Database'!$O$2:$O$1960,MATCH(1602,Engine!$C$2:$C$1960,0)))</f>
        <v/>
      </c>
      <c r="P1615" s="8">
        <f>IF(ISNA(MATCH(1602,Engine!$C$2:$C$1960,0)),"",HYPERLINK("#Acts!A"&amp;INDEX('Compliance Database'!$P$2:$P$1960,MATCH(1602,Engine!$C$2:$C$1960,0)),"Go to Act"))</f>
        <v/>
      </c>
    </row>
    <row r="1616" ht="158" customHeight="1">
      <c r="A1616" s="8">
        <f>IF(ISNA(MATCH(1603,Engine!$C$2:$C$1960,0)),"",INDEX('Compliance Database'!$A$2:$A$1960,MATCH(1603,Engine!$C$2:$C$1960,0)))</f>
        <v/>
      </c>
      <c r="B1616" s="8">
        <f>IF(ISNA(MATCH(1603,Engine!$C$2:$C$1960,0)),"",INDEX('Compliance Database'!$B$2:$B$1960,MATCH(1603,Engine!$C$2:$C$1960,0)))</f>
        <v/>
      </c>
      <c r="C1616" s="8">
        <f>IF(ISNA(MATCH(1603,Engine!$C$2:$C$1960,0)),"",INDEX('Compliance Database'!$C$2:$C$1960,MATCH(1603,Engine!$C$2:$C$1960,0)))</f>
        <v/>
      </c>
      <c r="D1616" s="9">
        <f>IF(ISNA(MATCH(1603,Engine!$C$2:$C$1960,0)),"",INDEX('Compliance Database'!$D$2:$D$1960,MATCH(1603,Engine!$C$2:$C$1960,0)))</f>
        <v/>
      </c>
      <c r="E1616" s="8">
        <f>IF(ISNA(MATCH(1603,Engine!$C$2:$C$1960,0)),"",INDEX('Compliance Database'!$E$2:$E$1960,MATCH(1603,Engine!$C$2:$C$1960,0)))</f>
        <v/>
      </c>
      <c r="F1616" s="8">
        <f>IF(ISNA(MATCH(1603,Engine!$C$2:$C$1960,0)),"",INDEX('Compliance Database'!$F$2:$F$1960,MATCH(1603,Engine!$C$2:$C$1960,0)))</f>
        <v/>
      </c>
      <c r="G1616" s="8">
        <f>IF(ISNA(MATCH(1603,Engine!$C$2:$C$1960,0)),"",INDEX('Compliance Database'!$G$2:$G$1960,MATCH(1603,Engine!$C$2:$C$1960,0)))</f>
        <v/>
      </c>
      <c r="H1616" s="9">
        <f>IF(ISNA(MATCH(1603,Engine!$C$2:$C$1960,0)),"",INDEX('Compliance Database'!$H$2:$H$1960,MATCH(1603,Engine!$C$2:$C$1960,0)))</f>
        <v/>
      </c>
      <c r="I1616" s="9">
        <f>IF(ISNA(MATCH(1603,Engine!$C$2:$C$1960,0)),"",INDEX('Compliance Database'!$I$2:$I$1960,MATCH(1603,Engine!$C$2:$C$1960,0)))</f>
        <v/>
      </c>
      <c r="J1616" s="8">
        <f>IF(ISNA(MATCH(1603,Engine!$C$2:$C$1960,0)),"",INDEX('Compliance Database'!$J$2:$J$1960,MATCH(1603,Engine!$C$2:$C$1960,0)))</f>
        <v/>
      </c>
      <c r="K1616" s="9">
        <f>IF(ISNA(MATCH(1603,Engine!$C$2:$C$1960,0)),"",INDEX('Compliance Database'!$K$2:$K$1960,MATCH(1603,Engine!$C$2:$C$1960,0)))</f>
        <v/>
      </c>
      <c r="L1616" s="9">
        <f>IF(ISNA(MATCH(1603,Engine!$C$2:$C$1960,0)),"",INDEX('Compliance Database'!$L$2:$L$1960,MATCH(1603,Engine!$C$2:$C$1960,0)))</f>
        <v/>
      </c>
      <c r="M1616" s="9">
        <f>IF(ISNA(MATCH(1603,Engine!$C$2:$C$1960,0)),"",INDEX('Compliance Database'!$M$2:$M$1960,MATCH(1603,Engine!$C$2:$C$1960,0)))</f>
        <v/>
      </c>
      <c r="N1616" s="9">
        <f>IF(ISNA(MATCH(1603,Engine!$C$2:$C$1960,0)),"",INDEX('Compliance Database'!$N$2:$N$1960,MATCH(1603,Engine!$C$2:$C$1960,0)))</f>
        <v/>
      </c>
      <c r="O1616" s="9">
        <f>IF(ISNA(MATCH(1603,Engine!$C$2:$C$1960,0)),"",INDEX('Compliance Database'!$O$2:$O$1960,MATCH(1603,Engine!$C$2:$C$1960,0)))</f>
        <v/>
      </c>
      <c r="P1616" s="8">
        <f>IF(ISNA(MATCH(1603,Engine!$C$2:$C$1960,0)),"",HYPERLINK("#Acts!A"&amp;INDEX('Compliance Database'!$P$2:$P$1960,MATCH(1603,Engine!$C$2:$C$1960,0)),"Go to Act"))</f>
        <v/>
      </c>
    </row>
    <row r="1617" ht="158" customHeight="1">
      <c r="A1617" s="8">
        <f>IF(ISNA(MATCH(1604,Engine!$C$2:$C$1960,0)),"",INDEX('Compliance Database'!$A$2:$A$1960,MATCH(1604,Engine!$C$2:$C$1960,0)))</f>
        <v/>
      </c>
      <c r="B1617" s="8">
        <f>IF(ISNA(MATCH(1604,Engine!$C$2:$C$1960,0)),"",INDEX('Compliance Database'!$B$2:$B$1960,MATCH(1604,Engine!$C$2:$C$1960,0)))</f>
        <v/>
      </c>
      <c r="C1617" s="8">
        <f>IF(ISNA(MATCH(1604,Engine!$C$2:$C$1960,0)),"",INDEX('Compliance Database'!$C$2:$C$1960,MATCH(1604,Engine!$C$2:$C$1960,0)))</f>
        <v/>
      </c>
      <c r="D1617" s="9">
        <f>IF(ISNA(MATCH(1604,Engine!$C$2:$C$1960,0)),"",INDEX('Compliance Database'!$D$2:$D$1960,MATCH(1604,Engine!$C$2:$C$1960,0)))</f>
        <v/>
      </c>
      <c r="E1617" s="8">
        <f>IF(ISNA(MATCH(1604,Engine!$C$2:$C$1960,0)),"",INDEX('Compliance Database'!$E$2:$E$1960,MATCH(1604,Engine!$C$2:$C$1960,0)))</f>
        <v/>
      </c>
      <c r="F1617" s="8">
        <f>IF(ISNA(MATCH(1604,Engine!$C$2:$C$1960,0)),"",INDEX('Compliance Database'!$F$2:$F$1960,MATCH(1604,Engine!$C$2:$C$1960,0)))</f>
        <v/>
      </c>
      <c r="G1617" s="8">
        <f>IF(ISNA(MATCH(1604,Engine!$C$2:$C$1960,0)),"",INDEX('Compliance Database'!$G$2:$G$1960,MATCH(1604,Engine!$C$2:$C$1960,0)))</f>
        <v/>
      </c>
      <c r="H1617" s="9">
        <f>IF(ISNA(MATCH(1604,Engine!$C$2:$C$1960,0)),"",INDEX('Compliance Database'!$H$2:$H$1960,MATCH(1604,Engine!$C$2:$C$1960,0)))</f>
        <v/>
      </c>
      <c r="I1617" s="9">
        <f>IF(ISNA(MATCH(1604,Engine!$C$2:$C$1960,0)),"",INDEX('Compliance Database'!$I$2:$I$1960,MATCH(1604,Engine!$C$2:$C$1960,0)))</f>
        <v/>
      </c>
      <c r="J1617" s="8">
        <f>IF(ISNA(MATCH(1604,Engine!$C$2:$C$1960,0)),"",INDEX('Compliance Database'!$J$2:$J$1960,MATCH(1604,Engine!$C$2:$C$1960,0)))</f>
        <v/>
      </c>
      <c r="K1617" s="9">
        <f>IF(ISNA(MATCH(1604,Engine!$C$2:$C$1960,0)),"",INDEX('Compliance Database'!$K$2:$K$1960,MATCH(1604,Engine!$C$2:$C$1960,0)))</f>
        <v/>
      </c>
      <c r="L1617" s="9">
        <f>IF(ISNA(MATCH(1604,Engine!$C$2:$C$1960,0)),"",INDEX('Compliance Database'!$L$2:$L$1960,MATCH(1604,Engine!$C$2:$C$1960,0)))</f>
        <v/>
      </c>
      <c r="M1617" s="9">
        <f>IF(ISNA(MATCH(1604,Engine!$C$2:$C$1960,0)),"",INDEX('Compliance Database'!$M$2:$M$1960,MATCH(1604,Engine!$C$2:$C$1960,0)))</f>
        <v/>
      </c>
      <c r="N1617" s="9">
        <f>IF(ISNA(MATCH(1604,Engine!$C$2:$C$1960,0)),"",INDEX('Compliance Database'!$N$2:$N$1960,MATCH(1604,Engine!$C$2:$C$1960,0)))</f>
        <v/>
      </c>
      <c r="O1617" s="9">
        <f>IF(ISNA(MATCH(1604,Engine!$C$2:$C$1960,0)),"",INDEX('Compliance Database'!$O$2:$O$1960,MATCH(1604,Engine!$C$2:$C$1960,0)))</f>
        <v/>
      </c>
      <c r="P1617" s="8">
        <f>IF(ISNA(MATCH(1604,Engine!$C$2:$C$1960,0)),"",HYPERLINK("#Acts!A"&amp;INDEX('Compliance Database'!$P$2:$P$1960,MATCH(1604,Engine!$C$2:$C$1960,0)),"Go to Act"))</f>
        <v/>
      </c>
    </row>
    <row r="1618" ht="158" customHeight="1">
      <c r="A1618" s="8">
        <f>IF(ISNA(MATCH(1605,Engine!$C$2:$C$1960,0)),"",INDEX('Compliance Database'!$A$2:$A$1960,MATCH(1605,Engine!$C$2:$C$1960,0)))</f>
        <v/>
      </c>
      <c r="B1618" s="8">
        <f>IF(ISNA(MATCH(1605,Engine!$C$2:$C$1960,0)),"",INDEX('Compliance Database'!$B$2:$B$1960,MATCH(1605,Engine!$C$2:$C$1960,0)))</f>
        <v/>
      </c>
      <c r="C1618" s="8">
        <f>IF(ISNA(MATCH(1605,Engine!$C$2:$C$1960,0)),"",INDEX('Compliance Database'!$C$2:$C$1960,MATCH(1605,Engine!$C$2:$C$1960,0)))</f>
        <v/>
      </c>
      <c r="D1618" s="9">
        <f>IF(ISNA(MATCH(1605,Engine!$C$2:$C$1960,0)),"",INDEX('Compliance Database'!$D$2:$D$1960,MATCH(1605,Engine!$C$2:$C$1960,0)))</f>
        <v/>
      </c>
      <c r="E1618" s="8">
        <f>IF(ISNA(MATCH(1605,Engine!$C$2:$C$1960,0)),"",INDEX('Compliance Database'!$E$2:$E$1960,MATCH(1605,Engine!$C$2:$C$1960,0)))</f>
        <v/>
      </c>
      <c r="F1618" s="8">
        <f>IF(ISNA(MATCH(1605,Engine!$C$2:$C$1960,0)),"",INDEX('Compliance Database'!$F$2:$F$1960,MATCH(1605,Engine!$C$2:$C$1960,0)))</f>
        <v/>
      </c>
      <c r="G1618" s="8">
        <f>IF(ISNA(MATCH(1605,Engine!$C$2:$C$1960,0)),"",INDEX('Compliance Database'!$G$2:$G$1960,MATCH(1605,Engine!$C$2:$C$1960,0)))</f>
        <v/>
      </c>
      <c r="H1618" s="9">
        <f>IF(ISNA(MATCH(1605,Engine!$C$2:$C$1960,0)),"",INDEX('Compliance Database'!$H$2:$H$1960,MATCH(1605,Engine!$C$2:$C$1960,0)))</f>
        <v/>
      </c>
      <c r="I1618" s="9">
        <f>IF(ISNA(MATCH(1605,Engine!$C$2:$C$1960,0)),"",INDEX('Compliance Database'!$I$2:$I$1960,MATCH(1605,Engine!$C$2:$C$1960,0)))</f>
        <v/>
      </c>
      <c r="J1618" s="8">
        <f>IF(ISNA(MATCH(1605,Engine!$C$2:$C$1960,0)),"",INDEX('Compliance Database'!$J$2:$J$1960,MATCH(1605,Engine!$C$2:$C$1960,0)))</f>
        <v/>
      </c>
      <c r="K1618" s="9">
        <f>IF(ISNA(MATCH(1605,Engine!$C$2:$C$1960,0)),"",INDEX('Compliance Database'!$K$2:$K$1960,MATCH(1605,Engine!$C$2:$C$1960,0)))</f>
        <v/>
      </c>
      <c r="L1618" s="9">
        <f>IF(ISNA(MATCH(1605,Engine!$C$2:$C$1960,0)),"",INDEX('Compliance Database'!$L$2:$L$1960,MATCH(1605,Engine!$C$2:$C$1960,0)))</f>
        <v/>
      </c>
      <c r="M1618" s="9">
        <f>IF(ISNA(MATCH(1605,Engine!$C$2:$C$1960,0)),"",INDEX('Compliance Database'!$M$2:$M$1960,MATCH(1605,Engine!$C$2:$C$1960,0)))</f>
        <v/>
      </c>
      <c r="N1618" s="9">
        <f>IF(ISNA(MATCH(1605,Engine!$C$2:$C$1960,0)),"",INDEX('Compliance Database'!$N$2:$N$1960,MATCH(1605,Engine!$C$2:$C$1960,0)))</f>
        <v/>
      </c>
      <c r="O1618" s="9">
        <f>IF(ISNA(MATCH(1605,Engine!$C$2:$C$1960,0)),"",INDEX('Compliance Database'!$O$2:$O$1960,MATCH(1605,Engine!$C$2:$C$1960,0)))</f>
        <v/>
      </c>
      <c r="P1618" s="8">
        <f>IF(ISNA(MATCH(1605,Engine!$C$2:$C$1960,0)),"",HYPERLINK("#Acts!A"&amp;INDEX('Compliance Database'!$P$2:$P$1960,MATCH(1605,Engine!$C$2:$C$1960,0)),"Go to Act"))</f>
        <v/>
      </c>
    </row>
    <row r="1619" ht="158" customHeight="1">
      <c r="A1619" s="8">
        <f>IF(ISNA(MATCH(1606,Engine!$C$2:$C$1960,0)),"",INDEX('Compliance Database'!$A$2:$A$1960,MATCH(1606,Engine!$C$2:$C$1960,0)))</f>
        <v/>
      </c>
      <c r="B1619" s="8">
        <f>IF(ISNA(MATCH(1606,Engine!$C$2:$C$1960,0)),"",INDEX('Compliance Database'!$B$2:$B$1960,MATCH(1606,Engine!$C$2:$C$1960,0)))</f>
        <v/>
      </c>
      <c r="C1619" s="8">
        <f>IF(ISNA(MATCH(1606,Engine!$C$2:$C$1960,0)),"",INDEX('Compliance Database'!$C$2:$C$1960,MATCH(1606,Engine!$C$2:$C$1960,0)))</f>
        <v/>
      </c>
      <c r="D1619" s="9">
        <f>IF(ISNA(MATCH(1606,Engine!$C$2:$C$1960,0)),"",INDEX('Compliance Database'!$D$2:$D$1960,MATCH(1606,Engine!$C$2:$C$1960,0)))</f>
        <v/>
      </c>
      <c r="E1619" s="8">
        <f>IF(ISNA(MATCH(1606,Engine!$C$2:$C$1960,0)),"",INDEX('Compliance Database'!$E$2:$E$1960,MATCH(1606,Engine!$C$2:$C$1960,0)))</f>
        <v/>
      </c>
      <c r="F1619" s="8">
        <f>IF(ISNA(MATCH(1606,Engine!$C$2:$C$1960,0)),"",INDEX('Compliance Database'!$F$2:$F$1960,MATCH(1606,Engine!$C$2:$C$1960,0)))</f>
        <v/>
      </c>
      <c r="G1619" s="8">
        <f>IF(ISNA(MATCH(1606,Engine!$C$2:$C$1960,0)),"",INDEX('Compliance Database'!$G$2:$G$1960,MATCH(1606,Engine!$C$2:$C$1960,0)))</f>
        <v/>
      </c>
      <c r="H1619" s="9">
        <f>IF(ISNA(MATCH(1606,Engine!$C$2:$C$1960,0)),"",INDEX('Compliance Database'!$H$2:$H$1960,MATCH(1606,Engine!$C$2:$C$1960,0)))</f>
        <v/>
      </c>
      <c r="I1619" s="9">
        <f>IF(ISNA(MATCH(1606,Engine!$C$2:$C$1960,0)),"",INDEX('Compliance Database'!$I$2:$I$1960,MATCH(1606,Engine!$C$2:$C$1960,0)))</f>
        <v/>
      </c>
      <c r="J1619" s="8">
        <f>IF(ISNA(MATCH(1606,Engine!$C$2:$C$1960,0)),"",INDEX('Compliance Database'!$J$2:$J$1960,MATCH(1606,Engine!$C$2:$C$1960,0)))</f>
        <v/>
      </c>
      <c r="K1619" s="9">
        <f>IF(ISNA(MATCH(1606,Engine!$C$2:$C$1960,0)),"",INDEX('Compliance Database'!$K$2:$K$1960,MATCH(1606,Engine!$C$2:$C$1960,0)))</f>
        <v/>
      </c>
      <c r="L1619" s="9">
        <f>IF(ISNA(MATCH(1606,Engine!$C$2:$C$1960,0)),"",INDEX('Compliance Database'!$L$2:$L$1960,MATCH(1606,Engine!$C$2:$C$1960,0)))</f>
        <v/>
      </c>
      <c r="M1619" s="9">
        <f>IF(ISNA(MATCH(1606,Engine!$C$2:$C$1960,0)),"",INDEX('Compliance Database'!$M$2:$M$1960,MATCH(1606,Engine!$C$2:$C$1960,0)))</f>
        <v/>
      </c>
      <c r="N1619" s="9">
        <f>IF(ISNA(MATCH(1606,Engine!$C$2:$C$1960,0)),"",INDEX('Compliance Database'!$N$2:$N$1960,MATCH(1606,Engine!$C$2:$C$1960,0)))</f>
        <v/>
      </c>
      <c r="O1619" s="9">
        <f>IF(ISNA(MATCH(1606,Engine!$C$2:$C$1960,0)),"",INDEX('Compliance Database'!$O$2:$O$1960,MATCH(1606,Engine!$C$2:$C$1960,0)))</f>
        <v/>
      </c>
      <c r="P1619" s="8">
        <f>IF(ISNA(MATCH(1606,Engine!$C$2:$C$1960,0)),"",HYPERLINK("#Acts!A"&amp;INDEX('Compliance Database'!$P$2:$P$1960,MATCH(1606,Engine!$C$2:$C$1960,0)),"Go to Act"))</f>
        <v/>
      </c>
    </row>
    <row r="1620" ht="158" customHeight="1">
      <c r="A1620" s="8">
        <f>IF(ISNA(MATCH(1607,Engine!$C$2:$C$1960,0)),"",INDEX('Compliance Database'!$A$2:$A$1960,MATCH(1607,Engine!$C$2:$C$1960,0)))</f>
        <v/>
      </c>
      <c r="B1620" s="8">
        <f>IF(ISNA(MATCH(1607,Engine!$C$2:$C$1960,0)),"",INDEX('Compliance Database'!$B$2:$B$1960,MATCH(1607,Engine!$C$2:$C$1960,0)))</f>
        <v/>
      </c>
      <c r="C1620" s="8">
        <f>IF(ISNA(MATCH(1607,Engine!$C$2:$C$1960,0)),"",INDEX('Compliance Database'!$C$2:$C$1960,MATCH(1607,Engine!$C$2:$C$1960,0)))</f>
        <v/>
      </c>
      <c r="D1620" s="9">
        <f>IF(ISNA(MATCH(1607,Engine!$C$2:$C$1960,0)),"",INDEX('Compliance Database'!$D$2:$D$1960,MATCH(1607,Engine!$C$2:$C$1960,0)))</f>
        <v/>
      </c>
      <c r="E1620" s="8">
        <f>IF(ISNA(MATCH(1607,Engine!$C$2:$C$1960,0)),"",INDEX('Compliance Database'!$E$2:$E$1960,MATCH(1607,Engine!$C$2:$C$1960,0)))</f>
        <v/>
      </c>
      <c r="F1620" s="8">
        <f>IF(ISNA(MATCH(1607,Engine!$C$2:$C$1960,0)),"",INDEX('Compliance Database'!$F$2:$F$1960,MATCH(1607,Engine!$C$2:$C$1960,0)))</f>
        <v/>
      </c>
      <c r="G1620" s="8">
        <f>IF(ISNA(MATCH(1607,Engine!$C$2:$C$1960,0)),"",INDEX('Compliance Database'!$G$2:$G$1960,MATCH(1607,Engine!$C$2:$C$1960,0)))</f>
        <v/>
      </c>
      <c r="H1620" s="9">
        <f>IF(ISNA(MATCH(1607,Engine!$C$2:$C$1960,0)),"",INDEX('Compliance Database'!$H$2:$H$1960,MATCH(1607,Engine!$C$2:$C$1960,0)))</f>
        <v/>
      </c>
      <c r="I1620" s="9">
        <f>IF(ISNA(MATCH(1607,Engine!$C$2:$C$1960,0)),"",INDEX('Compliance Database'!$I$2:$I$1960,MATCH(1607,Engine!$C$2:$C$1960,0)))</f>
        <v/>
      </c>
      <c r="J1620" s="8">
        <f>IF(ISNA(MATCH(1607,Engine!$C$2:$C$1960,0)),"",INDEX('Compliance Database'!$J$2:$J$1960,MATCH(1607,Engine!$C$2:$C$1960,0)))</f>
        <v/>
      </c>
      <c r="K1620" s="9">
        <f>IF(ISNA(MATCH(1607,Engine!$C$2:$C$1960,0)),"",INDEX('Compliance Database'!$K$2:$K$1960,MATCH(1607,Engine!$C$2:$C$1960,0)))</f>
        <v/>
      </c>
      <c r="L1620" s="9">
        <f>IF(ISNA(MATCH(1607,Engine!$C$2:$C$1960,0)),"",INDEX('Compliance Database'!$L$2:$L$1960,MATCH(1607,Engine!$C$2:$C$1960,0)))</f>
        <v/>
      </c>
      <c r="M1620" s="9">
        <f>IF(ISNA(MATCH(1607,Engine!$C$2:$C$1960,0)),"",INDEX('Compliance Database'!$M$2:$M$1960,MATCH(1607,Engine!$C$2:$C$1960,0)))</f>
        <v/>
      </c>
      <c r="N1620" s="9">
        <f>IF(ISNA(MATCH(1607,Engine!$C$2:$C$1960,0)),"",INDEX('Compliance Database'!$N$2:$N$1960,MATCH(1607,Engine!$C$2:$C$1960,0)))</f>
        <v/>
      </c>
      <c r="O1620" s="9">
        <f>IF(ISNA(MATCH(1607,Engine!$C$2:$C$1960,0)),"",INDEX('Compliance Database'!$O$2:$O$1960,MATCH(1607,Engine!$C$2:$C$1960,0)))</f>
        <v/>
      </c>
      <c r="P1620" s="8">
        <f>IF(ISNA(MATCH(1607,Engine!$C$2:$C$1960,0)),"",HYPERLINK("#Acts!A"&amp;INDEX('Compliance Database'!$P$2:$P$1960,MATCH(1607,Engine!$C$2:$C$1960,0)),"Go to Act"))</f>
        <v/>
      </c>
    </row>
    <row r="1621" ht="158" customHeight="1">
      <c r="A1621" s="8">
        <f>IF(ISNA(MATCH(1608,Engine!$C$2:$C$1960,0)),"",INDEX('Compliance Database'!$A$2:$A$1960,MATCH(1608,Engine!$C$2:$C$1960,0)))</f>
        <v/>
      </c>
      <c r="B1621" s="8">
        <f>IF(ISNA(MATCH(1608,Engine!$C$2:$C$1960,0)),"",INDEX('Compliance Database'!$B$2:$B$1960,MATCH(1608,Engine!$C$2:$C$1960,0)))</f>
        <v/>
      </c>
      <c r="C1621" s="8">
        <f>IF(ISNA(MATCH(1608,Engine!$C$2:$C$1960,0)),"",INDEX('Compliance Database'!$C$2:$C$1960,MATCH(1608,Engine!$C$2:$C$1960,0)))</f>
        <v/>
      </c>
      <c r="D1621" s="9">
        <f>IF(ISNA(MATCH(1608,Engine!$C$2:$C$1960,0)),"",INDEX('Compliance Database'!$D$2:$D$1960,MATCH(1608,Engine!$C$2:$C$1960,0)))</f>
        <v/>
      </c>
      <c r="E1621" s="8">
        <f>IF(ISNA(MATCH(1608,Engine!$C$2:$C$1960,0)),"",INDEX('Compliance Database'!$E$2:$E$1960,MATCH(1608,Engine!$C$2:$C$1960,0)))</f>
        <v/>
      </c>
      <c r="F1621" s="8">
        <f>IF(ISNA(MATCH(1608,Engine!$C$2:$C$1960,0)),"",INDEX('Compliance Database'!$F$2:$F$1960,MATCH(1608,Engine!$C$2:$C$1960,0)))</f>
        <v/>
      </c>
      <c r="G1621" s="8">
        <f>IF(ISNA(MATCH(1608,Engine!$C$2:$C$1960,0)),"",INDEX('Compliance Database'!$G$2:$G$1960,MATCH(1608,Engine!$C$2:$C$1960,0)))</f>
        <v/>
      </c>
      <c r="H1621" s="9">
        <f>IF(ISNA(MATCH(1608,Engine!$C$2:$C$1960,0)),"",INDEX('Compliance Database'!$H$2:$H$1960,MATCH(1608,Engine!$C$2:$C$1960,0)))</f>
        <v/>
      </c>
      <c r="I1621" s="9">
        <f>IF(ISNA(MATCH(1608,Engine!$C$2:$C$1960,0)),"",INDEX('Compliance Database'!$I$2:$I$1960,MATCH(1608,Engine!$C$2:$C$1960,0)))</f>
        <v/>
      </c>
      <c r="J1621" s="8">
        <f>IF(ISNA(MATCH(1608,Engine!$C$2:$C$1960,0)),"",INDEX('Compliance Database'!$J$2:$J$1960,MATCH(1608,Engine!$C$2:$C$1960,0)))</f>
        <v/>
      </c>
      <c r="K1621" s="9">
        <f>IF(ISNA(MATCH(1608,Engine!$C$2:$C$1960,0)),"",INDEX('Compliance Database'!$K$2:$K$1960,MATCH(1608,Engine!$C$2:$C$1960,0)))</f>
        <v/>
      </c>
      <c r="L1621" s="9">
        <f>IF(ISNA(MATCH(1608,Engine!$C$2:$C$1960,0)),"",INDEX('Compliance Database'!$L$2:$L$1960,MATCH(1608,Engine!$C$2:$C$1960,0)))</f>
        <v/>
      </c>
      <c r="M1621" s="9">
        <f>IF(ISNA(MATCH(1608,Engine!$C$2:$C$1960,0)),"",INDEX('Compliance Database'!$M$2:$M$1960,MATCH(1608,Engine!$C$2:$C$1960,0)))</f>
        <v/>
      </c>
      <c r="N1621" s="9">
        <f>IF(ISNA(MATCH(1608,Engine!$C$2:$C$1960,0)),"",INDEX('Compliance Database'!$N$2:$N$1960,MATCH(1608,Engine!$C$2:$C$1960,0)))</f>
        <v/>
      </c>
      <c r="O1621" s="9">
        <f>IF(ISNA(MATCH(1608,Engine!$C$2:$C$1960,0)),"",INDEX('Compliance Database'!$O$2:$O$1960,MATCH(1608,Engine!$C$2:$C$1960,0)))</f>
        <v/>
      </c>
      <c r="P1621" s="8">
        <f>IF(ISNA(MATCH(1608,Engine!$C$2:$C$1960,0)),"",HYPERLINK("#Acts!A"&amp;INDEX('Compliance Database'!$P$2:$P$1960,MATCH(1608,Engine!$C$2:$C$1960,0)),"Go to Act"))</f>
        <v/>
      </c>
    </row>
    <row r="1622" ht="158" customHeight="1">
      <c r="A1622" s="8">
        <f>IF(ISNA(MATCH(1609,Engine!$C$2:$C$1960,0)),"",INDEX('Compliance Database'!$A$2:$A$1960,MATCH(1609,Engine!$C$2:$C$1960,0)))</f>
        <v/>
      </c>
      <c r="B1622" s="8">
        <f>IF(ISNA(MATCH(1609,Engine!$C$2:$C$1960,0)),"",INDEX('Compliance Database'!$B$2:$B$1960,MATCH(1609,Engine!$C$2:$C$1960,0)))</f>
        <v/>
      </c>
      <c r="C1622" s="8">
        <f>IF(ISNA(MATCH(1609,Engine!$C$2:$C$1960,0)),"",INDEX('Compliance Database'!$C$2:$C$1960,MATCH(1609,Engine!$C$2:$C$1960,0)))</f>
        <v/>
      </c>
      <c r="D1622" s="9">
        <f>IF(ISNA(MATCH(1609,Engine!$C$2:$C$1960,0)),"",INDEX('Compliance Database'!$D$2:$D$1960,MATCH(1609,Engine!$C$2:$C$1960,0)))</f>
        <v/>
      </c>
      <c r="E1622" s="8">
        <f>IF(ISNA(MATCH(1609,Engine!$C$2:$C$1960,0)),"",INDEX('Compliance Database'!$E$2:$E$1960,MATCH(1609,Engine!$C$2:$C$1960,0)))</f>
        <v/>
      </c>
      <c r="F1622" s="8">
        <f>IF(ISNA(MATCH(1609,Engine!$C$2:$C$1960,0)),"",INDEX('Compliance Database'!$F$2:$F$1960,MATCH(1609,Engine!$C$2:$C$1960,0)))</f>
        <v/>
      </c>
      <c r="G1622" s="8">
        <f>IF(ISNA(MATCH(1609,Engine!$C$2:$C$1960,0)),"",INDEX('Compliance Database'!$G$2:$G$1960,MATCH(1609,Engine!$C$2:$C$1960,0)))</f>
        <v/>
      </c>
      <c r="H1622" s="9">
        <f>IF(ISNA(MATCH(1609,Engine!$C$2:$C$1960,0)),"",INDEX('Compliance Database'!$H$2:$H$1960,MATCH(1609,Engine!$C$2:$C$1960,0)))</f>
        <v/>
      </c>
      <c r="I1622" s="9">
        <f>IF(ISNA(MATCH(1609,Engine!$C$2:$C$1960,0)),"",INDEX('Compliance Database'!$I$2:$I$1960,MATCH(1609,Engine!$C$2:$C$1960,0)))</f>
        <v/>
      </c>
      <c r="J1622" s="8">
        <f>IF(ISNA(MATCH(1609,Engine!$C$2:$C$1960,0)),"",INDEX('Compliance Database'!$J$2:$J$1960,MATCH(1609,Engine!$C$2:$C$1960,0)))</f>
        <v/>
      </c>
      <c r="K1622" s="9">
        <f>IF(ISNA(MATCH(1609,Engine!$C$2:$C$1960,0)),"",INDEX('Compliance Database'!$K$2:$K$1960,MATCH(1609,Engine!$C$2:$C$1960,0)))</f>
        <v/>
      </c>
      <c r="L1622" s="9">
        <f>IF(ISNA(MATCH(1609,Engine!$C$2:$C$1960,0)),"",INDEX('Compliance Database'!$L$2:$L$1960,MATCH(1609,Engine!$C$2:$C$1960,0)))</f>
        <v/>
      </c>
      <c r="M1622" s="9">
        <f>IF(ISNA(MATCH(1609,Engine!$C$2:$C$1960,0)),"",INDEX('Compliance Database'!$M$2:$M$1960,MATCH(1609,Engine!$C$2:$C$1960,0)))</f>
        <v/>
      </c>
      <c r="N1622" s="9">
        <f>IF(ISNA(MATCH(1609,Engine!$C$2:$C$1960,0)),"",INDEX('Compliance Database'!$N$2:$N$1960,MATCH(1609,Engine!$C$2:$C$1960,0)))</f>
        <v/>
      </c>
      <c r="O1622" s="9">
        <f>IF(ISNA(MATCH(1609,Engine!$C$2:$C$1960,0)),"",INDEX('Compliance Database'!$O$2:$O$1960,MATCH(1609,Engine!$C$2:$C$1960,0)))</f>
        <v/>
      </c>
      <c r="P1622" s="8">
        <f>IF(ISNA(MATCH(1609,Engine!$C$2:$C$1960,0)),"",HYPERLINK("#Acts!A"&amp;INDEX('Compliance Database'!$P$2:$P$1960,MATCH(1609,Engine!$C$2:$C$1960,0)),"Go to Act"))</f>
        <v/>
      </c>
    </row>
    <row r="1623" ht="158" customHeight="1">
      <c r="A1623" s="8">
        <f>IF(ISNA(MATCH(1610,Engine!$C$2:$C$1960,0)),"",INDEX('Compliance Database'!$A$2:$A$1960,MATCH(1610,Engine!$C$2:$C$1960,0)))</f>
        <v/>
      </c>
      <c r="B1623" s="8">
        <f>IF(ISNA(MATCH(1610,Engine!$C$2:$C$1960,0)),"",INDEX('Compliance Database'!$B$2:$B$1960,MATCH(1610,Engine!$C$2:$C$1960,0)))</f>
        <v/>
      </c>
      <c r="C1623" s="8">
        <f>IF(ISNA(MATCH(1610,Engine!$C$2:$C$1960,0)),"",INDEX('Compliance Database'!$C$2:$C$1960,MATCH(1610,Engine!$C$2:$C$1960,0)))</f>
        <v/>
      </c>
      <c r="D1623" s="9">
        <f>IF(ISNA(MATCH(1610,Engine!$C$2:$C$1960,0)),"",INDEX('Compliance Database'!$D$2:$D$1960,MATCH(1610,Engine!$C$2:$C$1960,0)))</f>
        <v/>
      </c>
      <c r="E1623" s="8">
        <f>IF(ISNA(MATCH(1610,Engine!$C$2:$C$1960,0)),"",INDEX('Compliance Database'!$E$2:$E$1960,MATCH(1610,Engine!$C$2:$C$1960,0)))</f>
        <v/>
      </c>
      <c r="F1623" s="8">
        <f>IF(ISNA(MATCH(1610,Engine!$C$2:$C$1960,0)),"",INDEX('Compliance Database'!$F$2:$F$1960,MATCH(1610,Engine!$C$2:$C$1960,0)))</f>
        <v/>
      </c>
      <c r="G1623" s="8">
        <f>IF(ISNA(MATCH(1610,Engine!$C$2:$C$1960,0)),"",INDEX('Compliance Database'!$G$2:$G$1960,MATCH(1610,Engine!$C$2:$C$1960,0)))</f>
        <v/>
      </c>
      <c r="H1623" s="9">
        <f>IF(ISNA(MATCH(1610,Engine!$C$2:$C$1960,0)),"",INDEX('Compliance Database'!$H$2:$H$1960,MATCH(1610,Engine!$C$2:$C$1960,0)))</f>
        <v/>
      </c>
      <c r="I1623" s="9">
        <f>IF(ISNA(MATCH(1610,Engine!$C$2:$C$1960,0)),"",INDEX('Compliance Database'!$I$2:$I$1960,MATCH(1610,Engine!$C$2:$C$1960,0)))</f>
        <v/>
      </c>
      <c r="J1623" s="8">
        <f>IF(ISNA(MATCH(1610,Engine!$C$2:$C$1960,0)),"",INDEX('Compliance Database'!$J$2:$J$1960,MATCH(1610,Engine!$C$2:$C$1960,0)))</f>
        <v/>
      </c>
      <c r="K1623" s="9">
        <f>IF(ISNA(MATCH(1610,Engine!$C$2:$C$1960,0)),"",INDEX('Compliance Database'!$K$2:$K$1960,MATCH(1610,Engine!$C$2:$C$1960,0)))</f>
        <v/>
      </c>
      <c r="L1623" s="9">
        <f>IF(ISNA(MATCH(1610,Engine!$C$2:$C$1960,0)),"",INDEX('Compliance Database'!$L$2:$L$1960,MATCH(1610,Engine!$C$2:$C$1960,0)))</f>
        <v/>
      </c>
      <c r="M1623" s="9">
        <f>IF(ISNA(MATCH(1610,Engine!$C$2:$C$1960,0)),"",INDEX('Compliance Database'!$M$2:$M$1960,MATCH(1610,Engine!$C$2:$C$1960,0)))</f>
        <v/>
      </c>
      <c r="N1623" s="9">
        <f>IF(ISNA(MATCH(1610,Engine!$C$2:$C$1960,0)),"",INDEX('Compliance Database'!$N$2:$N$1960,MATCH(1610,Engine!$C$2:$C$1960,0)))</f>
        <v/>
      </c>
      <c r="O1623" s="9">
        <f>IF(ISNA(MATCH(1610,Engine!$C$2:$C$1960,0)),"",INDEX('Compliance Database'!$O$2:$O$1960,MATCH(1610,Engine!$C$2:$C$1960,0)))</f>
        <v/>
      </c>
      <c r="P1623" s="8">
        <f>IF(ISNA(MATCH(1610,Engine!$C$2:$C$1960,0)),"",HYPERLINK("#Acts!A"&amp;INDEX('Compliance Database'!$P$2:$P$1960,MATCH(1610,Engine!$C$2:$C$1960,0)),"Go to Act"))</f>
        <v/>
      </c>
    </row>
    <row r="1624" ht="158" customHeight="1">
      <c r="A1624" s="8">
        <f>IF(ISNA(MATCH(1611,Engine!$C$2:$C$1960,0)),"",INDEX('Compliance Database'!$A$2:$A$1960,MATCH(1611,Engine!$C$2:$C$1960,0)))</f>
        <v/>
      </c>
      <c r="B1624" s="8">
        <f>IF(ISNA(MATCH(1611,Engine!$C$2:$C$1960,0)),"",INDEX('Compliance Database'!$B$2:$B$1960,MATCH(1611,Engine!$C$2:$C$1960,0)))</f>
        <v/>
      </c>
      <c r="C1624" s="8">
        <f>IF(ISNA(MATCH(1611,Engine!$C$2:$C$1960,0)),"",INDEX('Compliance Database'!$C$2:$C$1960,MATCH(1611,Engine!$C$2:$C$1960,0)))</f>
        <v/>
      </c>
      <c r="D1624" s="9">
        <f>IF(ISNA(MATCH(1611,Engine!$C$2:$C$1960,0)),"",INDEX('Compliance Database'!$D$2:$D$1960,MATCH(1611,Engine!$C$2:$C$1960,0)))</f>
        <v/>
      </c>
      <c r="E1624" s="8">
        <f>IF(ISNA(MATCH(1611,Engine!$C$2:$C$1960,0)),"",INDEX('Compliance Database'!$E$2:$E$1960,MATCH(1611,Engine!$C$2:$C$1960,0)))</f>
        <v/>
      </c>
      <c r="F1624" s="8">
        <f>IF(ISNA(MATCH(1611,Engine!$C$2:$C$1960,0)),"",INDEX('Compliance Database'!$F$2:$F$1960,MATCH(1611,Engine!$C$2:$C$1960,0)))</f>
        <v/>
      </c>
      <c r="G1624" s="8">
        <f>IF(ISNA(MATCH(1611,Engine!$C$2:$C$1960,0)),"",INDEX('Compliance Database'!$G$2:$G$1960,MATCH(1611,Engine!$C$2:$C$1960,0)))</f>
        <v/>
      </c>
      <c r="H1624" s="9">
        <f>IF(ISNA(MATCH(1611,Engine!$C$2:$C$1960,0)),"",INDEX('Compliance Database'!$H$2:$H$1960,MATCH(1611,Engine!$C$2:$C$1960,0)))</f>
        <v/>
      </c>
      <c r="I1624" s="9">
        <f>IF(ISNA(MATCH(1611,Engine!$C$2:$C$1960,0)),"",INDEX('Compliance Database'!$I$2:$I$1960,MATCH(1611,Engine!$C$2:$C$1960,0)))</f>
        <v/>
      </c>
      <c r="J1624" s="8">
        <f>IF(ISNA(MATCH(1611,Engine!$C$2:$C$1960,0)),"",INDEX('Compliance Database'!$J$2:$J$1960,MATCH(1611,Engine!$C$2:$C$1960,0)))</f>
        <v/>
      </c>
      <c r="K1624" s="9">
        <f>IF(ISNA(MATCH(1611,Engine!$C$2:$C$1960,0)),"",INDEX('Compliance Database'!$K$2:$K$1960,MATCH(1611,Engine!$C$2:$C$1960,0)))</f>
        <v/>
      </c>
      <c r="L1624" s="9">
        <f>IF(ISNA(MATCH(1611,Engine!$C$2:$C$1960,0)),"",INDEX('Compliance Database'!$L$2:$L$1960,MATCH(1611,Engine!$C$2:$C$1960,0)))</f>
        <v/>
      </c>
      <c r="M1624" s="9">
        <f>IF(ISNA(MATCH(1611,Engine!$C$2:$C$1960,0)),"",INDEX('Compliance Database'!$M$2:$M$1960,MATCH(1611,Engine!$C$2:$C$1960,0)))</f>
        <v/>
      </c>
      <c r="N1624" s="9">
        <f>IF(ISNA(MATCH(1611,Engine!$C$2:$C$1960,0)),"",INDEX('Compliance Database'!$N$2:$N$1960,MATCH(1611,Engine!$C$2:$C$1960,0)))</f>
        <v/>
      </c>
      <c r="O1624" s="9">
        <f>IF(ISNA(MATCH(1611,Engine!$C$2:$C$1960,0)),"",INDEX('Compliance Database'!$O$2:$O$1960,MATCH(1611,Engine!$C$2:$C$1960,0)))</f>
        <v/>
      </c>
      <c r="P1624" s="8">
        <f>IF(ISNA(MATCH(1611,Engine!$C$2:$C$1960,0)),"",HYPERLINK("#Acts!A"&amp;INDEX('Compliance Database'!$P$2:$P$1960,MATCH(1611,Engine!$C$2:$C$1960,0)),"Go to Act"))</f>
        <v/>
      </c>
    </row>
    <row r="1625" ht="158" customHeight="1">
      <c r="A1625" s="8">
        <f>IF(ISNA(MATCH(1612,Engine!$C$2:$C$1960,0)),"",INDEX('Compliance Database'!$A$2:$A$1960,MATCH(1612,Engine!$C$2:$C$1960,0)))</f>
        <v/>
      </c>
      <c r="B1625" s="8">
        <f>IF(ISNA(MATCH(1612,Engine!$C$2:$C$1960,0)),"",INDEX('Compliance Database'!$B$2:$B$1960,MATCH(1612,Engine!$C$2:$C$1960,0)))</f>
        <v/>
      </c>
      <c r="C1625" s="8">
        <f>IF(ISNA(MATCH(1612,Engine!$C$2:$C$1960,0)),"",INDEX('Compliance Database'!$C$2:$C$1960,MATCH(1612,Engine!$C$2:$C$1960,0)))</f>
        <v/>
      </c>
      <c r="D1625" s="9">
        <f>IF(ISNA(MATCH(1612,Engine!$C$2:$C$1960,0)),"",INDEX('Compliance Database'!$D$2:$D$1960,MATCH(1612,Engine!$C$2:$C$1960,0)))</f>
        <v/>
      </c>
      <c r="E1625" s="8">
        <f>IF(ISNA(MATCH(1612,Engine!$C$2:$C$1960,0)),"",INDEX('Compliance Database'!$E$2:$E$1960,MATCH(1612,Engine!$C$2:$C$1960,0)))</f>
        <v/>
      </c>
      <c r="F1625" s="8">
        <f>IF(ISNA(MATCH(1612,Engine!$C$2:$C$1960,0)),"",INDEX('Compliance Database'!$F$2:$F$1960,MATCH(1612,Engine!$C$2:$C$1960,0)))</f>
        <v/>
      </c>
      <c r="G1625" s="8">
        <f>IF(ISNA(MATCH(1612,Engine!$C$2:$C$1960,0)),"",INDEX('Compliance Database'!$G$2:$G$1960,MATCH(1612,Engine!$C$2:$C$1960,0)))</f>
        <v/>
      </c>
      <c r="H1625" s="9">
        <f>IF(ISNA(MATCH(1612,Engine!$C$2:$C$1960,0)),"",INDEX('Compliance Database'!$H$2:$H$1960,MATCH(1612,Engine!$C$2:$C$1960,0)))</f>
        <v/>
      </c>
      <c r="I1625" s="9">
        <f>IF(ISNA(MATCH(1612,Engine!$C$2:$C$1960,0)),"",INDEX('Compliance Database'!$I$2:$I$1960,MATCH(1612,Engine!$C$2:$C$1960,0)))</f>
        <v/>
      </c>
      <c r="J1625" s="8">
        <f>IF(ISNA(MATCH(1612,Engine!$C$2:$C$1960,0)),"",INDEX('Compliance Database'!$J$2:$J$1960,MATCH(1612,Engine!$C$2:$C$1960,0)))</f>
        <v/>
      </c>
      <c r="K1625" s="9">
        <f>IF(ISNA(MATCH(1612,Engine!$C$2:$C$1960,0)),"",INDEX('Compliance Database'!$K$2:$K$1960,MATCH(1612,Engine!$C$2:$C$1960,0)))</f>
        <v/>
      </c>
      <c r="L1625" s="9">
        <f>IF(ISNA(MATCH(1612,Engine!$C$2:$C$1960,0)),"",INDEX('Compliance Database'!$L$2:$L$1960,MATCH(1612,Engine!$C$2:$C$1960,0)))</f>
        <v/>
      </c>
      <c r="M1625" s="9">
        <f>IF(ISNA(MATCH(1612,Engine!$C$2:$C$1960,0)),"",INDEX('Compliance Database'!$M$2:$M$1960,MATCH(1612,Engine!$C$2:$C$1960,0)))</f>
        <v/>
      </c>
      <c r="N1625" s="9">
        <f>IF(ISNA(MATCH(1612,Engine!$C$2:$C$1960,0)),"",INDEX('Compliance Database'!$N$2:$N$1960,MATCH(1612,Engine!$C$2:$C$1960,0)))</f>
        <v/>
      </c>
      <c r="O1625" s="9">
        <f>IF(ISNA(MATCH(1612,Engine!$C$2:$C$1960,0)),"",INDEX('Compliance Database'!$O$2:$O$1960,MATCH(1612,Engine!$C$2:$C$1960,0)))</f>
        <v/>
      </c>
      <c r="P1625" s="8">
        <f>IF(ISNA(MATCH(1612,Engine!$C$2:$C$1960,0)),"",HYPERLINK("#Acts!A"&amp;INDEX('Compliance Database'!$P$2:$P$1960,MATCH(1612,Engine!$C$2:$C$1960,0)),"Go to Act"))</f>
        <v/>
      </c>
    </row>
    <row r="1626" ht="158" customHeight="1">
      <c r="A1626" s="8">
        <f>IF(ISNA(MATCH(1613,Engine!$C$2:$C$1960,0)),"",INDEX('Compliance Database'!$A$2:$A$1960,MATCH(1613,Engine!$C$2:$C$1960,0)))</f>
        <v/>
      </c>
      <c r="B1626" s="8">
        <f>IF(ISNA(MATCH(1613,Engine!$C$2:$C$1960,0)),"",INDEX('Compliance Database'!$B$2:$B$1960,MATCH(1613,Engine!$C$2:$C$1960,0)))</f>
        <v/>
      </c>
      <c r="C1626" s="8">
        <f>IF(ISNA(MATCH(1613,Engine!$C$2:$C$1960,0)),"",INDEX('Compliance Database'!$C$2:$C$1960,MATCH(1613,Engine!$C$2:$C$1960,0)))</f>
        <v/>
      </c>
      <c r="D1626" s="9">
        <f>IF(ISNA(MATCH(1613,Engine!$C$2:$C$1960,0)),"",INDEX('Compliance Database'!$D$2:$D$1960,MATCH(1613,Engine!$C$2:$C$1960,0)))</f>
        <v/>
      </c>
      <c r="E1626" s="8">
        <f>IF(ISNA(MATCH(1613,Engine!$C$2:$C$1960,0)),"",INDEX('Compliance Database'!$E$2:$E$1960,MATCH(1613,Engine!$C$2:$C$1960,0)))</f>
        <v/>
      </c>
      <c r="F1626" s="8">
        <f>IF(ISNA(MATCH(1613,Engine!$C$2:$C$1960,0)),"",INDEX('Compliance Database'!$F$2:$F$1960,MATCH(1613,Engine!$C$2:$C$1960,0)))</f>
        <v/>
      </c>
      <c r="G1626" s="8">
        <f>IF(ISNA(MATCH(1613,Engine!$C$2:$C$1960,0)),"",INDEX('Compliance Database'!$G$2:$G$1960,MATCH(1613,Engine!$C$2:$C$1960,0)))</f>
        <v/>
      </c>
      <c r="H1626" s="9">
        <f>IF(ISNA(MATCH(1613,Engine!$C$2:$C$1960,0)),"",INDEX('Compliance Database'!$H$2:$H$1960,MATCH(1613,Engine!$C$2:$C$1960,0)))</f>
        <v/>
      </c>
      <c r="I1626" s="9">
        <f>IF(ISNA(MATCH(1613,Engine!$C$2:$C$1960,0)),"",INDEX('Compliance Database'!$I$2:$I$1960,MATCH(1613,Engine!$C$2:$C$1960,0)))</f>
        <v/>
      </c>
      <c r="J1626" s="8">
        <f>IF(ISNA(MATCH(1613,Engine!$C$2:$C$1960,0)),"",INDEX('Compliance Database'!$J$2:$J$1960,MATCH(1613,Engine!$C$2:$C$1960,0)))</f>
        <v/>
      </c>
      <c r="K1626" s="9">
        <f>IF(ISNA(MATCH(1613,Engine!$C$2:$C$1960,0)),"",INDEX('Compliance Database'!$K$2:$K$1960,MATCH(1613,Engine!$C$2:$C$1960,0)))</f>
        <v/>
      </c>
      <c r="L1626" s="9">
        <f>IF(ISNA(MATCH(1613,Engine!$C$2:$C$1960,0)),"",INDEX('Compliance Database'!$L$2:$L$1960,MATCH(1613,Engine!$C$2:$C$1960,0)))</f>
        <v/>
      </c>
      <c r="M1626" s="9">
        <f>IF(ISNA(MATCH(1613,Engine!$C$2:$C$1960,0)),"",INDEX('Compliance Database'!$M$2:$M$1960,MATCH(1613,Engine!$C$2:$C$1960,0)))</f>
        <v/>
      </c>
      <c r="N1626" s="9">
        <f>IF(ISNA(MATCH(1613,Engine!$C$2:$C$1960,0)),"",INDEX('Compliance Database'!$N$2:$N$1960,MATCH(1613,Engine!$C$2:$C$1960,0)))</f>
        <v/>
      </c>
      <c r="O1626" s="9">
        <f>IF(ISNA(MATCH(1613,Engine!$C$2:$C$1960,0)),"",INDEX('Compliance Database'!$O$2:$O$1960,MATCH(1613,Engine!$C$2:$C$1960,0)))</f>
        <v/>
      </c>
      <c r="P1626" s="8">
        <f>IF(ISNA(MATCH(1613,Engine!$C$2:$C$1960,0)),"",HYPERLINK("#Acts!A"&amp;INDEX('Compliance Database'!$P$2:$P$1960,MATCH(1613,Engine!$C$2:$C$1960,0)),"Go to Act"))</f>
        <v/>
      </c>
    </row>
    <row r="1627" ht="158" customHeight="1">
      <c r="A1627" s="8">
        <f>IF(ISNA(MATCH(1614,Engine!$C$2:$C$1960,0)),"",INDEX('Compliance Database'!$A$2:$A$1960,MATCH(1614,Engine!$C$2:$C$1960,0)))</f>
        <v/>
      </c>
      <c r="B1627" s="8">
        <f>IF(ISNA(MATCH(1614,Engine!$C$2:$C$1960,0)),"",INDEX('Compliance Database'!$B$2:$B$1960,MATCH(1614,Engine!$C$2:$C$1960,0)))</f>
        <v/>
      </c>
      <c r="C1627" s="8">
        <f>IF(ISNA(MATCH(1614,Engine!$C$2:$C$1960,0)),"",INDEX('Compliance Database'!$C$2:$C$1960,MATCH(1614,Engine!$C$2:$C$1960,0)))</f>
        <v/>
      </c>
      <c r="D1627" s="9">
        <f>IF(ISNA(MATCH(1614,Engine!$C$2:$C$1960,0)),"",INDEX('Compliance Database'!$D$2:$D$1960,MATCH(1614,Engine!$C$2:$C$1960,0)))</f>
        <v/>
      </c>
      <c r="E1627" s="8">
        <f>IF(ISNA(MATCH(1614,Engine!$C$2:$C$1960,0)),"",INDEX('Compliance Database'!$E$2:$E$1960,MATCH(1614,Engine!$C$2:$C$1960,0)))</f>
        <v/>
      </c>
      <c r="F1627" s="8">
        <f>IF(ISNA(MATCH(1614,Engine!$C$2:$C$1960,0)),"",INDEX('Compliance Database'!$F$2:$F$1960,MATCH(1614,Engine!$C$2:$C$1960,0)))</f>
        <v/>
      </c>
      <c r="G1627" s="8">
        <f>IF(ISNA(MATCH(1614,Engine!$C$2:$C$1960,0)),"",INDEX('Compliance Database'!$G$2:$G$1960,MATCH(1614,Engine!$C$2:$C$1960,0)))</f>
        <v/>
      </c>
      <c r="H1627" s="9">
        <f>IF(ISNA(MATCH(1614,Engine!$C$2:$C$1960,0)),"",INDEX('Compliance Database'!$H$2:$H$1960,MATCH(1614,Engine!$C$2:$C$1960,0)))</f>
        <v/>
      </c>
      <c r="I1627" s="9">
        <f>IF(ISNA(MATCH(1614,Engine!$C$2:$C$1960,0)),"",INDEX('Compliance Database'!$I$2:$I$1960,MATCH(1614,Engine!$C$2:$C$1960,0)))</f>
        <v/>
      </c>
      <c r="J1627" s="8">
        <f>IF(ISNA(MATCH(1614,Engine!$C$2:$C$1960,0)),"",INDEX('Compliance Database'!$J$2:$J$1960,MATCH(1614,Engine!$C$2:$C$1960,0)))</f>
        <v/>
      </c>
      <c r="K1627" s="9">
        <f>IF(ISNA(MATCH(1614,Engine!$C$2:$C$1960,0)),"",INDEX('Compliance Database'!$K$2:$K$1960,MATCH(1614,Engine!$C$2:$C$1960,0)))</f>
        <v/>
      </c>
      <c r="L1627" s="9">
        <f>IF(ISNA(MATCH(1614,Engine!$C$2:$C$1960,0)),"",INDEX('Compliance Database'!$L$2:$L$1960,MATCH(1614,Engine!$C$2:$C$1960,0)))</f>
        <v/>
      </c>
      <c r="M1627" s="9">
        <f>IF(ISNA(MATCH(1614,Engine!$C$2:$C$1960,0)),"",INDEX('Compliance Database'!$M$2:$M$1960,MATCH(1614,Engine!$C$2:$C$1960,0)))</f>
        <v/>
      </c>
      <c r="N1627" s="9">
        <f>IF(ISNA(MATCH(1614,Engine!$C$2:$C$1960,0)),"",INDEX('Compliance Database'!$N$2:$N$1960,MATCH(1614,Engine!$C$2:$C$1960,0)))</f>
        <v/>
      </c>
      <c r="O1627" s="9">
        <f>IF(ISNA(MATCH(1614,Engine!$C$2:$C$1960,0)),"",INDEX('Compliance Database'!$O$2:$O$1960,MATCH(1614,Engine!$C$2:$C$1960,0)))</f>
        <v/>
      </c>
      <c r="P1627" s="8">
        <f>IF(ISNA(MATCH(1614,Engine!$C$2:$C$1960,0)),"",HYPERLINK("#Acts!A"&amp;INDEX('Compliance Database'!$P$2:$P$1960,MATCH(1614,Engine!$C$2:$C$1960,0)),"Go to Act"))</f>
        <v/>
      </c>
    </row>
    <row r="1628" ht="158" customHeight="1">
      <c r="A1628" s="8">
        <f>IF(ISNA(MATCH(1615,Engine!$C$2:$C$1960,0)),"",INDEX('Compliance Database'!$A$2:$A$1960,MATCH(1615,Engine!$C$2:$C$1960,0)))</f>
        <v/>
      </c>
      <c r="B1628" s="8">
        <f>IF(ISNA(MATCH(1615,Engine!$C$2:$C$1960,0)),"",INDEX('Compliance Database'!$B$2:$B$1960,MATCH(1615,Engine!$C$2:$C$1960,0)))</f>
        <v/>
      </c>
      <c r="C1628" s="8">
        <f>IF(ISNA(MATCH(1615,Engine!$C$2:$C$1960,0)),"",INDEX('Compliance Database'!$C$2:$C$1960,MATCH(1615,Engine!$C$2:$C$1960,0)))</f>
        <v/>
      </c>
      <c r="D1628" s="9">
        <f>IF(ISNA(MATCH(1615,Engine!$C$2:$C$1960,0)),"",INDEX('Compliance Database'!$D$2:$D$1960,MATCH(1615,Engine!$C$2:$C$1960,0)))</f>
        <v/>
      </c>
      <c r="E1628" s="8">
        <f>IF(ISNA(MATCH(1615,Engine!$C$2:$C$1960,0)),"",INDEX('Compliance Database'!$E$2:$E$1960,MATCH(1615,Engine!$C$2:$C$1960,0)))</f>
        <v/>
      </c>
      <c r="F1628" s="8">
        <f>IF(ISNA(MATCH(1615,Engine!$C$2:$C$1960,0)),"",INDEX('Compliance Database'!$F$2:$F$1960,MATCH(1615,Engine!$C$2:$C$1960,0)))</f>
        <v/>
      </c>
      <c r="G1628" s="8">
        <f>IF(ISNA(MATCH(1615,Engine!$C$2:$C$1960,0)),"",INDEX('Compliance Database'!$G$2:$G$1960,MATCH(1615,Engine!$C$2:$C$1960,0)))</f>
        <v/>
      </c>
      <c r="H1628" s="9">
        <f>IF(ISNA(MATCH(1615,Engine!$C$2:$C$1960,0)),"",INDEX('Compliance Database'!$H$2:$H$1960,MATCH(1615,Engine!$C$2:$C$1960,0)))</f>
        <v/>
      </c>
      <c r="I1628" s="9">
        <f>IF(ISNA(MATCH(1615,Engine!$C$2:$C$1960,0)),"",INDEX('Compliance Database'!$I$2:$I$1960,MATCH(1615,Engine!$C$2:$C$1960,0)))</f>
        <v/>
      </c>
      <c r="J1628" s="8">
        <f>IF(ISNA(MATCH(1615,Engine!$C$2:$C$1960,0)),"",INDEX('Compliance Database'!$J$2:$J$1960,MATCH(1615,Engine!$C$2:$C$1960,0)))</f>
        <v/>
      </c>
      <c r="K1628" s="9">
        <f>IF(ISNA(MATCH(1615,Engine!$C$2:$C$1960,0)),"",INDEX('Compliance Database'!$K$2:$K$1960,MATCH(1615,Engine!$C$2:$C$1960,0)))</f>
        <v/>
      </c>
      <c r="L1628" s="9">
        <f>IF(ISNA(MATCH(1615,Engine!$C$2:$C$1960,0)),"",INDEX('Compliance Database'!$L$2:$L$1960,MATCH(1615,Engine!$C$2:$C$1960,0)))</f>
        <v/>
      </c>
      <c r="M1628" s="9">
        <f>IF(ISNA(MATCH(1615,Engine!$C$2:$C$1960,0)),"",INDEX('Compliance Database'!$M$2:$M$1960,MATCH(1615,Engine!$C$2:$C$1960,0)))</f>
        <v/>
      </c>
      <c r="N1628" s="9">
        <f>IF(ISNA(MATCH(1615,Engine!$C$2:$C$1960,0)),"",INDEX('Compliance Database'!$N$2:$N$1960,MATCH(1615,Engine!$C$2:$C$1960,0)))</f>
        <v/>
      </c>
      <c r="O1628" s="9">
        <f>IF(ISNA(MATCH(1615,Engine!$C$2:$C$1960,0)),"",INDEX('Compliance Database'!$O$2:$O$1960,MATCH(1615,Engine!$C$2:$C$1960,0)))</f>
        <v/>
      </c>
      <c r="P1628" s="8">
        <f>IF(ISNA(MATCH(1615,Engine!$C$2:$C$1960,0)),"",HYPERLINK("#Acts!A"&amp;INDEX('Compliance Database'!$P$2:$P$1960,MATCH(1615,Engine!$C$2:$C$1960,0)),"Go to Act"))</f>
        <v/>
      </c>
    </row>
    <row r="1629" ht="158" customHeight="1">
      <c r="A1629" s="8">
        <f>IF(ISNA(MATCH(1616,Engine!$C$2:$C$1960,0)),"",INDEX('Compliance Database'!$A$2:$A$1960,MATCH(1616,Engine!$C$2:$C$1960,0)))</f>
        <v/>
      </c>
      <c r="B1629" s="8">
        <f>IF(ISNA(MATCH(1616,Engine!$C$2:$C$1960,0)),"",INDEX('Compliance Database'!$B$2:$B$1960,MATCH(1616,Engine!$C$2:$C$1960,0)))</f>
        <v/>
      </c>
      <c r="C1629" s="8">
        <f>IF(ISNA(MATCH(1616,Engine!$C$2:$C$1960,0)),"",INDEX('Compliance Database'!$C$2:$C$1960,MATCH(1616,Engine!$C$2:$C$1960,0)))</f>
        <v/>
      </c>
      <c r="D1629" s="9">
        <f>IF(ISNA(MATCH(1616,Engine!$C$2:$C$1960,0)),"",INDEX('Compliance Database'!$D$2:$D$1960,MATCH(1616,Engine!$C$2:$C$1960,0)))</f>
        <v/>
      </c>
      <c r="E1629" s="8">
        <f>IF(ISNA(MATCH(1616,Engine!$C$2:$C$1960,0)),"",INDEX('Compliance Database'!$E$2:$E$1960,MATCH(1616,Engine!$C$2:$C$1960,0)))</f>
        <v/>
      </c>
      <c r="F1629" s="8">
        <f>IF(ISNA(MATCH(1616,Engine!$C$2:$C$1960,0)),"",INDEX('Compliance Database'!$F$2:$F$1960,MATCH(1616,Engine!$C$2:$C$1960,0)))</f>
        <v/>
      </c>
      <c r="G1629" s="8">
        <f>IF(ISNA(MATCH(1616,Engine!$C$2:$C$1960,0)),"",INDEX('Compliance Database'!$G$2:$G$1960,MATCH(1616,Engine!$C$2:$C$1960,0)))</f>
        <v/>
      </c>
      <c r="H1629" s="9">
        <f>IF(ISNA(MATCH(1616,Engine!$C$2:$C$1960,0)),"",INDEX('Compliance Database'!$H$2:$H$1960,MATCH(1616,Engine!$C$2:$C$1960,0)))</f>
        <v/>
      </c>
      <c r="I1629" s="9">
        <f>IF(ISNA(MATCH(1616,Engine!$C$2:$C$1960,0)),"",INDEX('Compliance Database'!$I$2:$I$1960,MATCH(1616,Engine!$C$2:$C$1960,0)))</f>
        <v/>
      </c>
      <c r="J1629" s="8">
        <f>IF(ISNA(MATCH(1616,Engine!$C$2:$C$1960,0)),"",INDEX('Compliance Database'!$J$2:$J$1960,MATCH(1616,Engine!$C$2:$C$1960,0)))</f>
        <v/>
      </c>
      <c r="K1629" s="9">
        <f>IF(ISNA(MATCH(1616,Engine!$C$2:$C$1960,0)),"",INDEX('Compliance Database'!$K$2:$K$1960,MATCH(1616,Engine!$C$2:$C$1960,0)))</f>
        <v/>
      </c>
      <c r="L1629" s="9">
        <f>IF(ISNA(MATCH(1616,Engine!$C$2:$C$1960,0)),"",INDEX('Compliance Database'!$L$2:$L$1960,MATCH(1616,Engine!$C$2:$C$1960,0)))</f>
        <v/>
      </c>
      <c r="M1629" s="9">
        <f>IF(ISNA(MATCH(1616,Engine!$C$2:$C$1960,0)),"",INDEX('Compliance Database'!$M$2:$M$1960,MATCH(1616,Engine!$C$2:$C$1960,0)))</f>
        <v/>
      </c>
      <c r="N1629" s="9">
        <f>IF(ISNA(MATCH(1616,Engine!$C$2:$C$1960,0)),"",INDEX('Compliance Database'!$N$2:$N$1960,MATCH(1616,Engine!$C$2:$C$1960,0)))</f>
        <v/>
      </c>
      <c r="O1629" s="9">
        <f>IF(ISNA(MATCH(1616,Engine!$C$2:$C$1960,0)),"",INDEX('Compliance Database'!$O$2:$O$1960,MATCH(1616,Engine!$C$2:$C$1960,0)))</f>
        <v/>
      </c>
      <c r="P1629" s="8">
        <f>IF(ISNA(MATCH(1616,Engine!$C$2:$C$1960,0)),"",HYPERLINK("#Acts!A"&amp;INDEX('Compliance Database'!$P$2:$P$1960,MATCH(1616,Engine!$C$2:$C$1960,0)),"Go to Act"))</f>
        <v/>
      </c>
    </row>
    <row r="1630" ht="158" customHeight="1">
      <c r="A1630" s="8">
        <f>IF(ISNA(MATCH(1617,Engine!$C$2:$C$1960,0)),"",INDEX('Compliance Database'!$A$2:$A$1960,MATCH(1617,Engine!$C$2:$C$1960,0)))</f>
        <v/>
      </c>
      <c r="B1630" s="8">
        <f>IF(ISNA(MATCH(1617,Engine!$C$2:$C$1960,0)),"",INDEX('Compliance Database'!$B$2:$B$1960,MATCH(1617,Engine!$C$2:$C$1960,0)))</f>
        <v/>
      </c>
      <c r="C1630" s="8">
        <f>IF(ISNA(MATCH(1617,Engine!$C$2:$C$1960,0)),"",INDEX('Compliance Database'!$C$2:$C$1960,MATCH(1617,Engine!$C$2:$C$1960,0)))</f>
        <v/>
      </c>
      <c r="D1630" s="9">
        <f>IF(ISNA(MATCH(1617,Engine!$C$2:$C$1960,0)),"",INDEX('Compliance Database'!$D$2:$D$1960,MATCH(1617,Engine!$C$2:$C$1960,0)))</f>
        <v/>
      </c>
      <c r="E1630" s="8">
        <f>IF(ISNA(MATCH(1617,Engine!$C$2:$C$1960,0)),"",INDEX('Compliance Database'!$E$2:$E$1960,MATCH(1617,Engine!$C$2:$C$1960,0)))</f>
        <v/>
      </c>
      <c r="F1630" s="8">
        <f>IF(ISNA(MATCH(1617,Engine!$C$2:$C$1960,0)),"",INDEX('Compliance Database'!$F$2:$F$1960,MATCH(1617,Engine!$C$2:$C$1960,0)))</f>
        <v/>
      </c>
      <c r="G1630" s="8">
        <f>IF(ISNA(MATCH(1617,Engine!$C$2:$C$1960,0)),"",INDEX('Compliance Database'!$G$2:$G$1960,MATCH(1617,Engine!$C$2:$C$1960,0)))</f>
        <v/>
      </c>
      <c r="H1630" s="9">
        <f>IF(ISNA(MATCH(1617,Engine!$C$2:$C$1960,0)),"",INDEX('Compliance Database'!$H$2:$H$1960,MATCH(1617,Engine!$C$2:$C$1960,0)))</f>
        <v/>
      </c>
      <c r="I1630" s="9">
        <f>IF(ISNA(MATCH(1617,Engine!$C$2:$C$1960,0)),"",INDEX('Compliance Database'!$I$2:$I$1960,MATCH(1617,Engine!$C$2:$C$1960,0)))</f>
        <v/>
      </c>
      <c r="J1630" s="8">
        <f>IF(ISNA(MATCH(1617,Engine!$C$2:$C$1960,0)),"",INDEX('Compliance Database'!$J$2:$J$1960,MATCH(1617,Engine!$C$2:$C$1960,0)))</f>
        <v/>
      </c>
      <c r="K1630" s="9">
        <f>IF(ISNA(MATCH(1617,Engine!$C$2:$C$1960,0)),"",INDEX('Compliance Database'!$K$2:$K$1960,MATCH(1617,Engine!$C$2:$C$1960,0)))</f>
        <v/>
      </c>
      <c r="L1630" s="9">
        <f>IF(ISNA(MATCH(1617,Engine!$C$2:$C$1960,0)),"",INDEX('Compliance Database'!$L$2:$L$1960,MATCH(1617,Engine!$C$2:$C$1960,0)))</f>
        <v/>
      </c>
      <c r="M1630" s="9">
        <f>IF(ISNA(MATCH(1617,Engine!$C$2:$C$1960,0)),"",INDEX('Compliance Database'!$M$2:$M$1960,MATCH(1617,Engine!$C$2:$C$1960,0)))</f>
        <v/>
      </c>
      <c r="N1630" s="9">
        <f>IF(ISNA(MATCH(1617,Engine!$C$2:$C$1960,0)),"",INDEX('Compliance Database'!$N$2:$N$1960,MATCH(1617,Engine!$C$2:$C$1960,0)))</f>
        <v/>
      </c>
      <c r="O1630" s="9">
        <f>IF(ISNA(MATCH(1617,Engine!$C$2:$C$1960,0)),"",INDEX('Compliance Database'!$O$2:$O$1960,MATCH(1617,Engine!$C$2:$C$1960,0)))</f>
        <v/>
      </c>
      <c r="P1630" s="8">
        <f>IF(ISNA(MATCH(1617,Engine!$C$2:$C$1960,0)),"",HYPERLINK("#Acts!A"&amp;INDEX('Compliance Database'!$P$2:$P$1960,MATCH(1617,Engine!$C$2:$C$1960,0)),"Go to Act"))</f>
        <v/>
      </c>
    </row>
    <row r="1631" ht="158" customHeight="1">
      <c r="A1631" s="8">
        <f>IF(ISNA(MATCH(1618,Engine!$C$2:$C$1960,0)),"",INDEX('Compliance Database'!$A$2:$A$1960,MATCH(1618,Engine!$C$2:$C$1960,0)))</f>
        <v/>
      </c>
      <c r="B1631" s="8">
        <f>IF(ISNA(MATCH(1618,Engine!$C$2:$C$1960,0)),"",INDEX('Compliance Database'!$B$2:$B$1960,MATCH(1618,Engine!$C$2:$C$1960,0)))</f>
        <v/>
      </c>
      <c r="C1631" s="8">
        <f>IF(ISNA(MATCH(1618,Engine!$C$2:$C$1960,0)),"",INDEX('Compliance Database'!$C$2:$C$1960,MATCH(1618,Engine!$C$2:$C$1960,0)))</f>
        <v/>
      </c>
      <c r="D1631" s="9">
        <f>IF(ISNA(MATCH(1618,Engine!$C$2:$C$1960,0)),"",INDEX('Compliance Database'!$D$2:$D$1960,MATCH(1618,Engine!$C$2:$C$1960,0)))</f>
        <v/>
      </c>
      <c r="E1631" s="8">
        <f>IF(ISNA(MATCH(1618,Engine!$C$2:$C$1960,0)),"",INDEX('Compliance Database'!$E$2:$E$1960,MATCH(1618,Engine!$C$2:$C$1960,0)))</f>
        <v/>
      </c>
      <c r="F1631" s="8">
        <f>IF(ISNA(MATCH(1618,Engine!$C$2:$C$1960,0)),"",INDEX('Compliance Database'!$F$2:$F$1960,MATCH(1618,Engine!$C$2:$C$1960,0)))</f>
        <v/>
      </c>
      <c r="G1631" s="8">
        <f>IF(ISNA(MATCH(1618,Engine!$C$2:$C$1960,0)),"",INDEX('Compliance Database'!$G$2:$G$1960,MATCH(1618,Engine!$C$2:$C$1960,0)))</f>
        <v/>
      </c>
      <c r="H1631" s="9">
        <f>IF(ISNA(MATCH(1618,Engine!$C$2:$C$1960,0)),"",INDEX('Compliance Database'!$H$2:$H$1960,MATCH(1618,Engine!$C$2:$C$1960,0)))</f>
        <v/>
      </c>
      <c r="I1631" s="9">
        <f>IF(ISNA(MATCH(1618,Engine!$C$2:$C$1960,0)),"",INDEX('Compliance Database'!$I$2:$I$1960,MATCH(1618,Engine!$C$2:$C$1960,0)))</f>
        <v/>
      </c>
      <c r="J1631" s="8">
        <f>IF(ISNA(MATCH(1618,Engine!$C$2:$C$1960,0)),"",INDEX('Compliance Database'!$J$2:$J$1960,MATCH(1618,Engine!$C$2:$C$1960,0)))</f>
        <v/>
      </c>
      <c r="K1631" s="9">
        <f>IF(ISNA(MATCH(1618,Engine!$C$2:$C$1960,0)),"",INDEX('Compliance Database'!$K$2:$K$1960,MATCH(1618,Engine!$C$2:$C$1960,0)))</f>
        <v/>
      </c>
      <c r="L1631" s="9">
        <f>IF(ISNA(MATCH(1618,Engine!$C$2:$C$1960,0)),"",INDEX('Compliance Database'!$L$2:$L$1960,MATCH(1618,Engine!$C$2:$C$1960,0)))</f>
        <v/>
      </c>
      <c r="M1631" s="9">
        <f>IF(ISNA(MATCH(1618,Engine!$C$2:$C$1960,0)),"",INDEX('Compliance Database'!$M$2:$M$1960,MATCH(1618,Engine!$C$2:$C$1960,0)))</f>
        <v/>
      </c>
      <c r="N1631" s="9">
        <f>IF(ISNA(MATCH(1618,Engine!$C$2:$C$1960,0)),"",INDEX('Compliance Database'!$N$2:$N$1960,MATCH(1618,Engine!$C$2:$C$1960,0)))</f>
        <v/>
      </c>
      <c r="O1631" s="9">
        <f>IF(ISNA(MATCH(1618,Engine!$C$2:$C$1960,0)),"",INDEX('Compliance Database'!$O$2:$O$1960,MATCH(1618,Engine!$C$2:$C$1960,0)))</f>
        <v/>
      </c>
      <c r="P1631" s="8">
        <f>IF(ISNA(MATCH(1618,Engine!$C$2:$C$1960,0)),"",HYPERLINK("#Acts!A"&amp;INDEX('Compliance Database'!$P$2:$P$1960,MATCH(1618,Engine!$C$2:$C$1960,0)),"Go to Act"))</f>
        <v/>
      </c>
    </row>
    <row r="1632" ht="158" customHeight="1">
      <c r="A1632" s="8">
        <f>IF(ISNA(MATCH(1619,Engine!$C$2:$C$1960,0)),"",INDEX('Compliance Database'!$A$2:$A$1960,MATCH(1619,Engine!$C$2:$C$1960,0)))</f>
        <v/>
      </c>
      <c r="B1632" s="8">
        <f>IF(ISNA(MATCH(1619,Engine!$C$2:$C$1960,0)),"",INDEX('Compliance Database'!$B$2:$B$1960,MATCH(1619,Engine!$C$2:$C$1960,0)))</f>
        <v/>
      </c>
      <c r="C1632" s="8">
        <f>IF(ISNA(MATCH(1619,Engine!$C$2:$C$1960,0)),"",INDEX('Compliance Database'!$C$2:$C$1960,MATCH(1619,Engine!$C$2:$C$1960,0)))</f>
        <v/>
      </c>
      <c r="D1632" s="9">
        <f>IF(ISNA(MATCH(1619,Engine!$C$2:$C$1960,0)),"",INDEX('Compliance Database'!$D$2:$D$1960,MATCH(1619,Engine!$C$2:$C$1960,0)))</f>
        <v/>
      </c>
      <c r="E1632" s="8">
        <f>IF(ISNA(MATCH(1619,Engine!$C$2:$C$1960,0)),"",INDEX('Compliance Database'!$E$2:$E$1960,MATCH(1619,Engine!$C$2:$C$1960,0)))</f>
        <v/>
      </c>
      <c r="F1632" s="8">
        <f>IF(ISNA(MATCH(1619,Engine!$C$2:$C$1960,0)),"",INDEX('Compliance Database'!$F$2:$F$1960,MATCH(1619,Engine!$C$2:$C$1960,0)))</f>
        <v/>
      </c>
      <c r="G1632" s="8">
        <f>IF(ISNA(MATCH(1619,Engine!$C$2:$C$1960,0)),"",INDEX('Compliance Database'!$G$2:$G$1960,MATCH(1619,Engine!$C$2:$C$1960,0)))</f>
        <v/>
      </c>
      <c r="H1632" s="9">
        <f>IF(ISNA(MATCH(1619,Engine!$C$2:$C$1960,0)),"",INDEX('Compliance Database'!$H$2:$H$1960,MATCH(1619,Engine!$C$2:$C$1960,0)))</f>
        <v/>
      </c>
      <c r="I1632" s="9">
        <f>IF(ISNA(MATCH(1619,Engine!$C$2:$C$1960,0)),"",INDEX('Compliance Database'!$I$2:$I$1960,MATCH(1619,Engine!$C$2:$C$1960,0)))</f>
        <v/>
      </c>
      <c r="J1632" s="8">
        <f>IF(ISNA(MATCH(1619,Engine!$C$2:$C$1960,0)),"",INDEX('Compliance Database'!$J$2:$J$1960,MATCH(1619,Engine!$C$2:$C$1960,0)))</f>
        <v/>
      </c>
      <c r="K1632" s="9">
        <f>IF(ISNA(MATCH(1619,Engine!$C$2:$C$1960,0)),"",INDEX('Compliance Database'!$K$2:$K$1960,MATCH(1619,Engine!$C$2:$C$1960,0)))</f>
        <v/>
      </c>
      <c r="L1632" s="9">
        <f>IF(ISNA(MATCH(1619,Engine!$C$2:$C$1960,0)),"",INDEX('Compliance Database'!$L$2:$L$1960,MATCH(1619,Engine!$C$2:$C$1960,0)))</f>
        <v/>
      </c>
      <c r="M1632" s="9">
        <f>IF(ISNA(MATCH(1619,Engine!$C$2:$C$1960,0)),"",INDEX('Compliance Database'!$M$2:$M$1960,MATCH(1619,Engine!$C$2:$C$1960,0)))</f>
        <v/>
      </c>
      <c r="N1632" s="9">
        <f>IF(ISNA(MATCH(1619,Engine!$C$2:$C$1960,0)),"",INDEX('Compliance Database'!$N$2:$N$1960,MATCH(1619,Engine!$C$2:$C$1960,0)))</f>
        <v/>
      </c>
      <c r="O1632" s="9">
        <f>IF(ISNA(MATCH(1619,Engine!$C$2:$C$1960,0)),"",INDEX('Compliance Database'!$O$2:$O$1960,MATCH(1619,Engine!$C$2:$C$1960,0)))</f>
        <v/>
      </c>
      <c r="P1632" s="8">
        <f>IF(ISNA(MATCH(1619,Engine!$C$2:$C$1960,0)),"",HYPERLINK("#Acts!A"&amp;INDEX('Compliance Database'!$P$2:$P$1960,MATCH(1619,Engine!$C$2:$C$1960,0)),"Go to Act"))</f>
        <v/>
      </c>
    </row>
    <row r="1633" ht="158" customHeight="1">
      <c r="A1633" s="8">
        <f>IF(ISNA(MATCH(1620,Engine!$C$2:$C$1960,0)),"",INDEX('Compliance Database'!$A$2:$A$1960,MATCH(1620,Engine!$C$2:$C$1960,0)))</f>
        <v/>
      </c>
      <c r="B1633" s="8">
        <f>IF(ISNA(MATCH(1620,Engine!$C$2:$C$1960,0)),"",INDEX('Compliance Database'!$B$2:$B$1960,MATCH(1620,Engine!$C$2:$C$1960,0)))</f>
        <v/>
      </c>
      <c r="C1633" s="8">
        <f>IF(ISNA(MATCH(1620,Engine!$C$2:$C$1960,0)),"",INDEX('Compliance Database'!$C$2:$C$1960,MATCH(1620,Engine!$C$2:$C$1960,0)))</f>
        <v/>
      </c>
      <c r="D1633" s="9">
        <f>IF(ISNA(MATCH(1620,Engine!$C$2:$C$1960,0)),"",INDEX('Compliance Database'!$D$2:$D$1960,MATCH(1620,Engine!$C$2:$C$1960,0)))</f>
        <v/>
      </c>
      <c r="E1633" s="8">
        <f>IF(ISNA(MATCH(1620,Engine!$C$2:$C$1960,0)),"",INDEX('Compliance Database'!$E$2:$E$1960,MATCH(1620,Engine!$C$2:$C$1960,0)))</f>
        <v/>
      </c>
      <c r="F1633" s="8">
        <f>IF(ISNA(MATCH(1620,Engine!$C$2:$C$1960,0)),"",INDEX('Compliance Database'!$F$2:$F$1960,MATCH(1620,Engine!$C$2:$C$1960,0)))</f>
        <v/>
      </c>
      <c r="G1633" s="8">
        <f>IF(ISNA(MATCH(1620,Engine!$C$2:$C$1960,0)),"",INDEX('Compliance Database'!$G$2:$G$1960,MATCH(1620,Engine!$C$2:$C$1960,0)))</f>
        <v/>
      </c>
      <c r="H1633" s="9">
        <f>IF(ISNA(MATCH(1620,Engine!$C$2:$C$1960,0)),"",INDEX('Compliance Database'!$H$2:$H$1960,MATCH(1620,Engine!$C$2:$C$1960,0)))</f>
        <v/>
      </c>
      <c r="I1633" s="9">
        <f>IF(ISNA(MATCH(1620,Engine!$C$2:$C$1960,0)),"",INDEX('Compliance Database'!$I$2:$I$1960,MATCH(1620,Engine!$C$2:$C$1960,0)))</f>
        <v/>
      </c>
      <c r="J1633" s="8">
        <f>IF(ISNA(MATCH(1620,Engine!$C$2:$C$1960,0)),"",INDEX('Compliance Database'!$J$2:$J$1960,MATCH(1620,Engine!$C$2:$C$1960,0)))</f>
        <v/>
      </c>
      <c r="K1633" s="9">
        <f>IF(ISNA(MATCH(1620,Engine!$C$2:$C$1960,0)),"",INDEX('Compliance Database'!$K$2:$K$1960,MATCH(1620,Engine!$C$2:$C$1960,0)))</f>
        <v/>
      </c>
      <c r="L1633" s="9">
        <f>IF(ISNA(MATCH(1620,Engine!$C$2:$C$1960,0)),"",INDEX('Compliance Database'!$L$2:$L$1960,MATCH(1620,Engine!$C$2:$C$1960,0)))</f>
        <v/>
      </c>
      <c r="M1633" s="9">
        <f>IF(ISNA(MATCH(1620,Engine!$C$2:$C$1960,0)),"",INDEX('Compliance Database'!$M$2:$M$1960,MATCH(1620,Engine!$C$2:$C$1960,0)))</f>
        <v/>
      </c>
      <c r="N1633" s="9">
        <f>IF(ISNA(MATCH(1620,Engine!$C$2:$C$1960,0)),"",INDEX('Compliance Database'!$N$2:$N$1960,MATCH(1620,Engine!$C$2:$C$1960,0)))</f>
        <v/>
      </c>
      <c r="O1633" s="9">
        <f>IF(ISNA(MATCH(1620,Engine!$C$2:$C$1960,0)),"",INDEX('Compliance Database'!$O$2:$O$1960,MATCH(1620,Engine!$C$2:$C$1960,0)))</f>
        <v/>
      </c>
      <c r="P1633" s="8">
        <f>IF(ISNA(MATCH(1620,Engine!$C$2:$C$1960,0)),"",HYPERLINK("#Acts!A"&amp;INDEX('Compliance Database'!$P$2:$P$1960,MATCH(1620,Engine!$C$2:$C$1960,0)),"Go to Act"))</f>
        <v/>
      </c>
    </row>
    <row r="1634" ht="158" customHeight="1">
      <c r="A1634" s="8">
        <f>IF(ISNA(MATCH(1621,Engine!$C$2:$C$1960,0)),"",INDEX('Compliance Database'!$A$2:$A$1960,MATCH(1621,Engine!$C$2:$C$1960,0)))</f>
        <v/>
      </c>
      <c r="B1634" s="8">
        <f>IF(ISNA(MATCH(1621,Engine!$C$2:$C$1960,0)),"",INDEX('Compliance Database'!$B$2:$B$1960,MATCH(1621,Engine!$C$2:$C$1960,0)))</f>
        <v/>
      </c>
      <c r="C1634" s="8">
        <f>IF(ISNA(MATCH(1621,Engine!$C$2:$C$1960,0)),"",INDEX('Compliance Database'!$C$2:$C$1960,MATCH(1621,Engine!$C$2:$C$1960,0)))</f>
        <v/>
      </c>
      <c r="D1634" s="9">
        <f>IF(ISNA(MATCH(1621,Engine!$C$2:$C$1960,0)),"",INDEX('Compliance Database'!$D$2:$D$1960,MATCH(1621,Engine!$C$2:$C$1960,0)))</f>
        <v/>
      </c>
      <c r="E1634" s="8">
        <f>IF(ISNA(MATCH(1621,Engine!$C$2:$C$1960,0)),"",INDEX('Compliance Database'!$E$2:$E$1960,MATCH(1621,Engine!$C$2:$C$1960,0)))</f>
        <v/>
      </c>
      <c r="F1634" s="8">
        <f>IF(ISNA(MATCH(1621,Engine!$C$2:$C$1960,0)),"",INDEX('Compliance Database'!$F$2:$F$1960,MATCH(1621,Engine!$C$2:$C$1960,0)))</f>
        <v/>
      </c>
      <c r="G1634" s="8">
        <f>IF(ISNA(MATCH(1621,Engine!$C$2:$C$1960,0)),"",INDEX('Compliance Database'!$G$2:$G$1960,MATCH(1621,Engine!$C$2:$C$1960,0)))</f>
        <v/>
      </c>
      <c r="H1634" s="9">
        <f>IF(ISNA(MATCH(1621,Engine!$C$2:$C$1960,0)),"",INDEX('Compliance Database'!$H$2:$H$1960,MATCH(1621,Engine!$C$2:$C$1960,0)))</f>
        <v/>
      </c>
      <c r="I1634" s="9">
        <f>IF(ISNA(MATCH(1621,Engine!$C$2:$C$1960,0)),"",INDEX('Compliance Database'!$I$2:$I$1960,MATCH(1621,Engine!$C$2:$C$1960,0)))</f>
        <v/>
      </c>
      <c r="J1634" s="8">
        <f>IF(ISNA(MATCH(1621,Engine!$C$2:$C$1960,0)),"",INDEX('Compliance Database'!$J$2:$J$1960,MATCH(1621,Engine!$C$2:$C$1960,0)))</f>
        <v/>
      </c>
      <c r="K1634" s="9">
        <f>IF(ISNA(MATCH(1621,Engine!$C$2:$C$1960,0)),"",INDEX('Compliance Database'!$K$2:$K$1960,MATCH(1621,Engine!$C$2:$C$1960,0)))</f>
        <v/>
      </c>
      <c r="L1634" s="9">
        <f>IF(ISNA(MATCH(1621,Engine!$C$2:$C$1960,0)),"",INDEX('Compliance Database'!$L$2:$L$1960,MATCH(1621,Engine!$C$2:$C$1960,0)))</f>
        <v/>
      </c>
      <c r="M1634" s="9">
        <f>IF(ISNA(MATCH(1621,Engine!$C$2:$C$1960,0)),"",INDEX('Compliance Database'!$M$2:$M$1960,MATCH(1621,Engine!$C$2:$C$1960,0)))</f>
        <v/>
      </c>
      <c r="N1634" s="9">
        <f>IF(ISNA(MATCH(1621,Engine!$C$2:$C$1960,0)),"",INDEX('Compliance Database'!$N$2:$N$1960,MATCH(1621,Engine!$C$2:$C$1960,0)))</f>
        <v/>
      </c>
      <c r="O1634" s="9">
        <f>IF(ISNA(MATCH(1621,Engine!$C$2:$C$1960,0)),"",INDEX('Compliance Database'!$O$2:$O$1960,MATCH(1621,Engine!$C$2:$C$1960,0)))</f>
        <v/>
      </c>
      <c r="P1634" s="8">
        <f>IF(ISNA(MATCH(1621,Engine!$C$2:$C$1960,0)),"",HYPERLINK("#Acts!A"&amp;INDEX('Compliance Database'!$P$2:$P$1960,MATCH(1621,Engine!$C$2:$C$1960,0)),"Go to Act"))</f>
        <v/>
      </c>
    </row>
    <row r="1635" ht="158" customHeight="1">
      <c r="A1635" s="8">
        <f>IF(ISNA(MATCH(1622,Engine!$C$2:$C$1960,0)),"",INDEX('Compliance Database'!$A$2:$A$1960,MATCH(1622,Engine!$C$2:$C$1960,0)))</f>
        <v/>
      </c>
      <c r="B1635" s="8">
        <f>IF(ISNA(MATCH(1622,Engine!$C$2:$C$1960,0)),"",INDEX('Compliance Database'!$B$2:$B$1960,MATCH(1622,Engine!$C$2:$C$1960,0)))</f>
        <v/>
      </c>
      <c r="C1635" s="8">
        <f>IF(ISNA(MATCH(1622,Engine!$C$2:$C$1960,0)),"",INDEX('Compliance Database'!$C$2:$C$1960,MATCH(1622,Engine!$C$2:$C$1960,0)))</f>
        <v/>
      </c>
      <c r="D1635" s="9">
        <f>IF(ISNA(MATCH(1622,Engine!$C$2:$C$1960,0)),"",INDEX('Compliance Database'!$D$2:$D$1960,MATCH(1622,Engine!$C$2:$C$1960,0)))</f>
        <v/>
      </c>
      <c r="E1635" s="8">
        <f>IF(ISNA(MATCH(1622,Engine!$C$2:$C$1960,0)),"",INDEX('Compliance Database'!$E$2:$E$1960,MATCH(1622,Engine!$C$2:$C$1960,0)))</f>
        <v/>
      </c>
      <c r="F1635" s="8">
        <f>IF(ISNA(MATCH(1622,Engine!$C$2:$C$1960,0)),"",INDEX('Compliance Database'!$F$2:$F$1960,MATCH(1622,Engine!$C$2:$C$1960,0)))</f>
        <v/>
      </c>
      <c r="G1635" s="8">
        <f>IF(ISNA(MATCH(1622,Engine!$C$2:$C$1960,0)),"",INDEX('Compliance Database'!$G$2:$G$1960,MATCH(1622,Engine!$C$2:$C$1960,0)))</f>
        <v/>
      </c>
      <c r="H1635" s="9">
        <f>IF(ISNA(MATCH(1622,Engine!$C$2:$C$1960,0)),"",INDEX('Compliance Database'!$H$2:$H$1960,MATCH(1622,Engine!$C$2:$C$1960,0)))</f>
        <v/>
      </c>
      <c r="I1635" s="9">
        <f>IF(ISNA(MATCH(1622,Engine!$C$2:$C$1960,0)),"",INDEX('Compliance Database'!$I$2:$I$1960,MATCH(1622,Engine!$C$2:$C$1960,0)))</f>
        <v/>
      </c>
      <c r="J1635" s="8">
        <f>IF(ISNA(MATCH(1622,Engine!$C$2:$C$1960,0)),"",INDEX('Compliance Database'!$J$2:$J$1960,MATCH(1622,Engine!$C$2:$C$1960,0)))</f>
        <v/>
      </c>
      <c r="K1635" s="9">
        <f>IF(ISNA(MATCH(1622,Engine!$C$2:$C$1960,0)),"",INDEX('Compliance Database'!$K$2:$K$1960,MATCH(1622,Engine!$C$2:$C$1960,0)))</f>
        <v/>
      </c>
      <c r="L1635" s="9">
        <f>IF(ISNA(MATCH(1622,Engine!$C$2:$C$1960,0)),"",INDEX('Compliance Database'!$L$2:$L$1960,MATCH(1622,Engine!$C$2:$C$1960,0)))</f>
        <v/>
      </c>
      <c r="M1635" s="9">
        <f>IF(ISNA(MATCH(1622,Engine!$C$2:$C$1960,0)),"",INDEX('Compliance Database'!$M$2:$M$1960,MATCH(1622,Engine!$C$2:$C$1960,0)))</f>
        <v/>
      </c>
      <c r="N1635" s="9">
        <f>IF(ISNA(MATCH(1622,Engine!$C$2:$C$1960,0)),"",INDEX('Compliance Database'!$N$2:$N$1960,MATCH(1622,Engine!$C$2:$C$1960,0)))</f>
        <v/>
      </c>
      <c r="O1635" s="9">
        <f>IF(ISNA(MATCH(1622,Engine!$C$2:$C$1960,0)),"",INDEX('Compliance Database'!$O$2:$O$1960,MATCH(1622,Engine!$C$2:$C$1960,0)))</f>
        <v/>
      </c>
      <c r="P1635" s="8">
        <f>IF(ISNA(MATCH(1622,Engine!$C$2:$C$1960,0)),"",HYPERLINK("#Acts!A"&amp;INDEX('Compliance Database'!$P$2:$P$1960,MATCH(1622,Engine!$C$2:$C$1960,0)),"Go to Act"))</f>
        <v/>
      </c>
    </row>
    <row r="1636" ht="158" customHeight="1">
      <c r="A1636" s="8">
        <f>IF(ISNA(MATCH(1623,Engine!$C$2:$C$1960,0)),"",INDEX('Compliance Database'!$A$2:$A$1960,MATCH(1623,Engine!$C$2:$C$1960,0)))</f>
        <v/>
      </c>
      <c r="B1636" s="8">
        <f>IF(ISNA(MATCH(1623,Engine!$C$2:$C$1960,0)),"",INDEX('Compliance Database'!$B$2:$B$1960,MATCH(1623,Engine!$C$2:$C$1960,0)))</f>
        <v/>
      </c>
      <c r="C1636" s="8">
        <f>IF(ISNA(MATCH(1623,Engine!$C$2:$C$1960,0)),"",INDEX('Compliance Database'!$C$2:$C$1960,MATCH(1623,Engine!$C$2:$C$1960,0)))</f>
        <v/>
      </c>
      <c r="D1636" s="9">
        <f>IF(ISNA(MATCH(1623,Engine!$C$2:$C$1960,0)),"",INDEX('Compliance Database'!$D$2:$D$1960,MATCH(1623,Engine!$C$2:$C$1960,0)))</f>
        <v/>
      </c>
      <c r="E1636" s="8">
        <f>IF(ISNA(MATCH(1623,Engine!$C$2:$C$1960,0)),"",INDEX('Compliance Database'!$E$2:$E$1960,MATCH(1623,Engine!$C$2:$C$1960,0)))</f>
        <v/>
      </c>
      <c r="F1636" s="8">
        <f>IF(ISNA(MATCH(1623,Engine!$C$2:$C$1960,0)),"",INDEX('Compliance Database'!$F$2:$F$1960,MATCH(1623,Engine!$C$2:$C$1960,0)))</f>
        <v/>
      </c>
      <c r="G1636" s="8">
        <f>IF(ISNA(MATCH(1623,Engine!$C$2:$C$1960,0)),"",INDEX('Compliance Database'!$G$2:$G$1960,MATCH(1623,Engine!$C$2:$C$1960,0)))</f>
        <v/>
      </c>
      <c r="H1636" s="9">
        <f>IF(ISNA(MATCH(1623,Engine!$C$2:$C$1960,0)),"",INDEX('Compliance Database'!$H$2:$H$1960,MATCH(1623,Engine!$C$2:$C$1960,0)))</f>
        <v/>
      </c>
      <c r="I1636" s="9">
        <f>IF(ISNA(MATCH(1623,Engine!$C$2:$C$1960,0)),"",INDEX('Compliance Database'!$I$2:$I$1960,MATCH(1623,Engine!$C$2:$C$1960,0)))</f>
        <v/>
      </c>
      <c r="J1636" s="8">
        <f>IF(ISNA(MATCH(1623,Engine!$C$2:$C$1960,0)),"",INDEX('Compliance Database'!$J$2:$J$1960,MATCH(1623,Engine!$C$2:$C$1960,0)))</f>
        <v/>
      </c>
      <c r="K1636" s="9">
        <f>IF(ISNA(MATCH(1623,Engine!$C$2:$C$1960,0)),"",INDEX('Compliance Database'!$K$2:$K$1960,MATCH(1623,Engine!$C$2:$C$1960,0)))</f>
        <v/>
      </c>
      <c r="L1636" s="9">
        <f>IF(ISNA(MATCH(1623,Engine!$C$2:$C$1960,0)),"",INDEX('Compliance Database'!$L$2:$L$1960,MATCH(1623,Engine!$C$2:$C$1960,0)))</f>
        <v/>
      </c>
      <c r="M1636" s="9">
        <f>IF(ISNA(MATCH(1623,Engine!$C$2:$C$1960,0)),"",INDEX('Compliance Database'!$M$2:$M$1960,MATCH(1623,Engine!$C$2:$C$1960,0)))</f>
        <v/>
      </c>
      <c r="N1636" s="9">
        <f>IF(ISNA(MATCH(1623,Engine!$C$2:$C$1960,0)),"",INDEX('Compliance Database'!$N$2:$N$1960,MATCH(1623,Engine!$C$2:$C$1960,0)))</f>
        <v/>
      </c>
      <c r="O1636" s="9">
        <f>IF(ISNA(MATCH(1623,Engine!$C$2:$C$1960,0)),"",INDEX('Compliance Database'!$O$2:$O$1960,MATCH(1623,Engine!$C$2:$C$1960,0)))</f>
        <v/>
      </c>
      <c r="P1636" s="8">
        <f>IF(ISNA(MATCH(1623,Engine!$C$2:$C$1960,0)),"",HYPERLINK("#Acts!A"&amp;INDEX('Compliance Database'!$P$2:$P$1960,MATCH(1623,Engine!$C$2:$C$1960,0)),"Go to Act"))</f>
        <v/>
      </c>
    </row>
    <row r="1637" ht="158" customHeight="1">
      <c r="A1637" s="8">
        <f>IF(ISNA(MATCH(1624,Engine!$C$2:$C$1960,0)),"",INDEX('Compliance Database'!$A$2:$A$1960,MATCH(1624,Engine!$C$2:$C$1960,0)))</f>
        <v/>
      </c>
      <c r="B1637" s="8">
        <f>IF(ISNA(MATCH(1624,Engine!$C$2:$C$1960,0)),"",INDEX('Compliance Database'!$B$2:$B$1960,MATCH(1624,Engine!$C$2:$C$1960,0)))</f>
        <v/>
      </c>
      <c r="C1637" s="8">
        <f>IF(ISNA(MATCH(1624,Engine!$C$2:$C$1960,0)),"",INDEX('Compliance Database'!$C$2:$C$1960,MATCH(1624,Engine!$C$2:$C$1960,0)))</f>
        <v/>
      </c>
      <c r="D1637" s="9">
        <f>IF(ISNA(MATCH(1624,Engine!$C$2:$C$1960,0)),"",INDEX('Compliance Database'!$D$2:$D$1960,MATCH(1624,Engine!$C$2:$C$1960,0)))</f>
        <v/>
      </c>
      <c r="E1637" s="8">
        <f>IF(ISNA(MATCH(1624,Engine!$C$2:$C$1960,0)),"",INDEX('Compliance Database'!$E$2:$E$1960,MATCH(1624,Engine!$C$2:$C$1960,0)))</f>
        <v/>
      </c>
      <c r="F1637" s="8">
        <f>IF(ISNA(MATCH(1624,Engine!$C$2:$C$1960,0)),"",INDEX('Compliance Database'!$F$2:$F$1960,MATCH(1624,Engine!$C$2:$C$1960,0)))</f>
        <v/>
      </c>
      <c r="G1637" s="8">
        <f>IF(ISNA(MATCH(1624,Engine!$C$2:$C$1960,0)),"",INDEX('Compliance Database'!$G$2:$G$1960,MATCH(1624,Engine!$C$2:$C$1960,0)))</f>
        <v/>
      </c>
      <c r="H1637" s="9">
        <f>IF(ISNA(MATCH(1624,Engine!$C$2:$C$1960,0)),"",INDEX('Compliance Database'!$H$2:$H$1960,MATCH(1624,Engine!$C$2:$C$1960,0)))</f>
        <v/>
      </c>
      <c r="I1637" s="9">
        <f>IF(ISNA(MATCH(1624,Engine!$C$2:$C$1960,0)),"",INDEX('Compliance Database'!$I$2:$I$1960,MATCH(1624,Engine!$C$2:$C$1960,0)))</f>
        <v/>
      </c>
      <c r="J1637" s="8">
        <f>IF(ISNA(MATCH(1624,Engine!$C$2:$C$1960,0)),"",INDEX('Compliance Database'!$J$2:$J$1960,MATCH(1624,Engine!$C$2:$C$1960,0)))</f>
        <v/>
      </c>
      <c r="K1637" s="9">
        <f>IF(ISNA(MATCH(1624,Engine!$C$2:$C$1960,0)),"",INDEX('Compliance Database'!$K$2:$K$1960,MATCH(1624,Engine!$C$2:$C$1960,0)))</f>
        <v/>
      </c>
      <c r="L1637" s="9">
        <f>IF(ISNA(MATCH(1624,Engine!$C$2:$C$1960,0)),"",INDEX('Compliance Database'!$L$2:$L$1960,MATCH(1624,Engine!$C$2:$C$1960,0)))</f>
        <v/>
      </c>
      <c r="M1637" s="9">
        <f>IF(ISNA(MATCH(1624,Engine!$C$2:$C$1960,0)),"",INDEX('Compliance Database'!$M$2:$M$1960,MATCH(1624,Engine!$C$2:$C$1960,0)))</f>
        <v/>
      </c>
      <c r="N1637" s="9">
        <f>IF(ISNA(MATCH(1624,Engine!$C$2:$C$1960,0)),"",INDEX('Compliance Database'!$N$2:$N$1960,MATCH(1624,Engine!$C$2:$C$1960,0)))</f>
        <v/>
      </c>
      <c r="O1637" s="9">
        <f>IF(ISNA(MATCH(1624,Engine!$C$2:$C$1960,0)),"",INDEX('Compliance Database'!$O$2:$O$1960,MATCH(1624,Engine!$C$2:$C$1960,0)))</f>
        <v/>
      </c>
      <c r="P1637" s="8">
        <f>IF(ISNA(MATCH(1624,Engine!$C$2:$C$1960,0)),"",HYPERLINK("#Acts!A"&amp;INDEX('Compliance Database'!$P$2:$P$1960,MATCH(1624,Engine!$C$2:$C$1960,0)),"Go to Act"))</f>
        <v/>
      </c>
    </row>
    <row r="1638" ht="158" customHeight="1">
      <c r="A1638" s="8">
        <f>IF(ISNA(MATCH(1625,Engine!$C$2:$C$1960,0)),"",INDEX('Compliance Database'!$A$2:$A$1960,MATCH(1625,Engine!$C$2:$C$1960,0)))</f>
        <v/>
      </c>
      <c r="B1638" s="8">
        <f>IF(ISNA(MATCH(1625,Engine!$C$2:$C$1960,0)),"",INDEX('Compliance Database'!$B$2:$B$1960,MATCH(1625,Engine!$C$2:$C$1960,0)))</f>
        <v/>
      </c>
      <c r="C1638" s="8">
        <f>IF(ISNA(MATCH(1625,Engine!$C$2:$C$1960,0)),"",INDEX('Compliance Database'!$C$2:$C$1960,MATCH(1625,Engine!$C$2:$C$1960,0)))</f>
        <v/>
      </c>
      <c r="D1638" s="9">
        <f>IF(ISNA(MATCH(1625,Engine!$C$2:$C$1960,0)),"",INDEX('Compliance Database'!$D$2:$D$1960,MATCH(1625,Engine!$C$2:$C$1960,0)))</f>
        <v/>
      </c>
      <c r="E1638" s="8">
        <f>IF(ISNA(MATCH(1625,Engine!$C$2:$C$1960,0)),"",INDEX('Compliance Database'!$E$2:$E$1960,MATCH(1625,Engine!$C$2:$C$1960,0)))</f>
        <v/>
      </c>
      <c r="F1638" s="8">
        <f>IF(ISNA(MATCH(1625,Engine!$C$2:$C$1960,0)),"",INDEX('Compliance Database'!$F$2:$F$1960,MATCH(1625,Engine!$C$2:$C$1960,0)))</f>
        <v/>
      </c>
      <c r="G1638" s="8">
        <f>IF(ISNA(MATCH(1625,Engine!$C$2:$C$1960,0)),"",INDEX('Compliance Database'!$G$2:$G$1960,MATCH(1625,Engine!$C$2:$C$1960,0)))</f>
        <v/>
      </c>
      <c r="H1638" s="9">
        <f>IF(ISNA(MATCH(1625,Engine!$C$2:$C$1960,0)),"",INDEX('Compliance Database'!$H$2:$H$1960,MATCH(1625,Engine!$C$2:$C$1960,0)))</f>
        <v/>
      </c>
      <c r="I1638" s="9">
        <f>IF(ISNA(MATCH(1625,Engine!$C$2:$C$1960,0)),"",INDEX('Compliance Database'!$I$2:$I$1960,MATCH(1625,Engine!$C$2:$C$1960,0)))</f>
        <v/>
      </c>
      <c r="J1638" s="8">
        <f>IF(ISNA(MATCH(1625,Engine!$C$2:$C$1960,0)),"",INDEX('Compliance Database'!$J$2:$J$1960,MATCH(1625,Engine!$C$2:$C$1960,0)))</f>
        <v/>
      </c>
      <c r="K1638" s="9">
        <f>IF(ISNA(MATCH(1625,Engine!$C$2:$C$1960,0)),"",INDEX('Compliance Database'!$K$2:$K$1960,MATCH(1625,Engine!$C$2:$C$1960,0)))</f>
        <v/>
      </c>
      <c r="L1638" s="9">
        <f>IF(ISNA(MATCH(1625,Engine!$C$2:$C$1960,0)),"",INDEX('Compliance Database'!$L$2:$L$1960,MATCH(1625,Engine!$C$2:$C$1960,0)))</f>
        <v/>
      </c>
      <c r="M1638" s="9">
        <f>IF(ISNA(MATCH(1625,Engine!$C$2:$C$1960,0)),"",INDEX('Compliance Database'!$M$2:$M$1960,MATCH(1625,Engine!$C$2:$C$1960,0)))</f>
        <v/>
      </c>
      <c r="N1638" s="9">
        <f>IF(ISNA(MATCH(1625,Engine!$C$2:$C$1960,0)),"",INDEX('Compliance Database'!$N$2:$N$1960,MATCH(1625,Engine!$C$2:$C$1960,0)))</f>
        <v/>
      </c>
      <c r="O1638" s="9">
        <f>IF(ISNA(MATCH(1625,Engine!$C$2:$C$1960,0)),"",INDEX('Compliance Database'!$O$2:$O$1960,MATCH(1625,Engine!$C$2:$C$1960,0)))</f>
        <v/>
      </c>
      <c r="P1638" s="8">
        <f>IF(ISNA(MATCH(1625,Engine!$C$2:$C$1960,0)),"",HYPERLINK("#Acts!A"&amp;INDEX('Compliance Database'!$P$2:$P$1960,MATCH(1625,Engine!$C$2:$C$1960,0)),"Go to Act"))</f>
        <v/>
      </c>
    </row>
    <row r="1639" ht="158" customHeight="1">
      <c r="A1639" s="8">
        <f>IF(ISNA(MATCH(1626,Engine!$C$2:$C$1960,0)),"",INDEX('Compliance Database'!$A$2:$A$1960,MATCH(1626,Engine!$C$2:$C$1960,0)))</f>
        <v/>
      </c>
      <c r="B1639" s="8">
        <f>IF(ISNA(MATCH(1626,Engine!$C$2:$C$1960,0)),"",INDEX('Compliance Database'!$B$2:$B$1960,MATCH(1626,Engine!$C$2:$C$1960,0)))</f>
        <v/>
      </c>
      <c r="C1639" s="8">
        <f>IF(ISNA(MATCH(1626,Engine!$C$2:$C$1960,0)),"",INDEX('Compliance Database'!$C$2:$C$1960,MATCH(1626,Engine!$C$2:$C$1960,0)))</f>
        <v/>
      </c>
      <c r="D1639" s="9">
        <f>IF(ISNA(MATCH(1626,Engine!$C$2:$C$1960,0)),"",INDEX('Compliance Database'!$D$2:$D$1960,MATCH(1626,Engine!$C$2:$C$1960,0)))</f>
        <v/>
      </c>
      <c r="E1639" s="8">
        <f>IF(ISNA(MATCH(1626,Engine!$C$2:$C$1960,0)),"",INDEX('Compliance Database'!$E$2:$E$1960,MATCH(1626,Engine!$C$2:$C$1960,0)))</f>
        <v/>
      </c>
      <c r="F1639" s="8">
        <f>IF(ISNA(MATCH(1626,Engine!$C$2:$C$1960,0)),"",INDEX('Compliance Database'!$F$2:$F$1960,MATCH(1626,Engine!$C$2:$C$1960,0)))</f>
        <v/>
      </c>
      <c r="G1639" s="8">
        <f>IF(ISNA(MATCH(1626,Engine!$C$2:$C$1960,0)),"",INDEX('Compliance Database'!$G$2:$G$1960,MATCH(1626,Engine!$C$2:$C$1960,0)))</f>
        <v/>
      </c>
      <c r="H1639" s="9">
        <f>IF(ISNA(MATCH(1626,Engine!$C$2:$C$1960,0)),"",INDEX('Compliance Database'!$H$2:$H$1960,MATCH(1626,Engine!$C$2:$C$1960,0)))</f>
        <v/>
      </c>
      <c r="I1639" s="9">
        <f>IF(ISNA(MATCH(1626,Engine!$C$2:$C$1960,0)),"",INDEX('Compliance Database'!$I$2:$I$1960,MATCH(1626,Engine!$C$2:$C$1960,0)))</f>
        <v/>
      </c>
      <c r="J1639" s="8">
        <f>IF(ISNA(MATCH(1626,Engine!$C$2:$C$1960,0)),"",INDEX('Compliance Database'!$J$2:$J$1960,MATCH(1626,Engine!$C$2:$C$1960,0)))</f>
        <v/>
      </c>
      <c r="K1639" s="9">
        <f>IF(ISNA(MATCH(1626,Engine!$C$2:$C$1960,0)),"",INDEX('Compliance Database'!$K$2:$K$1960,MATCH(1626,Engine!$C$2:$C$1960,0)))</f>
        <v/>
      </c>
      <c r="L1639" s="9">
        <f>IF(ISNA(MATCH(1626,Engine!$C$2:$C$1960,0)),"",INDEX('Compliance Database'!$L$2:$L$1960,MATCH(1626,Engine!$C$2:$C$1960,0)))</f>
        <v/>
      </c>
      <c r="M1639" s="9">
        <f>IF(ISNA(MATCH(1626,Engine!$C$2:$C$1960,0)),"",INDEX('Compliance Database'!$M$2:$M$1960,MATCH(1626,Engine!$C$2:$C$1960,0)))</f>
        <v/>
      </c>
      <c r="N1639" s="9">
        <f>IF(ISNA(MATCH(1626,Engine!$C$2:$C$1960,0)),"",INDEX('Compliance Database'!$N$2:$N$1960,MATCH(1626,Engine!$C$2:$C$1960,0)))</f>
        <v/>
      </c>
      <c r="O1639" s="9">
        <f>IF(ISNA(MATCH(1626,Engine!$C$2:$C$1960,0)),"",INDEX('Compliance Database'!$O$2:$O$1960,MATCH(1626,Engine!$C$2:$C$1960,0)))</f>
        <v/>
      </c>
      <c r="P1639" s="8">
        <f>IF(ISNA(MATCH(1626,Engine!$C$2:$C$1960,0)),"",HYPERLINK("#Acts!A"&amp;INDEX('Compliance Database'!$P$2:$P$1960,MATCH(1626,Engine!$C$2:$C$1960,0)),"Go to Act"))</f>
        <v/>
      </c>
    </row>
    <row r="1640" ht="158" customHeight="1">
      <c r="A1640" s="8">
        <f>IF(ISNA(MATCH(1627,Engine!$C$2:$C$1960,0)),"",INDEX('Compliance Database'!$A$2:$A$1960,MATCH(1627,Engine!$C$2:$C$1960,0)))</f>
        <v/>
      </c>
      <c r="B1640" s="8">
        <f>IF(ISNA(MATCH(1627,Engine!$C$2:$C$1960,0)),"",INDEX('Compliance Database'!$B$2:$B$1960,MATCH(1627,Engine!$C$2:$C$1960,0)))</f>
        <v/>
      </c>
      <c r="C1640" s="8">
        <f>IF(ISNA(MATCH(1627,Engine!$C$2:$C$1960,0)),"",INDEX('Compliance Database'!$C$2:$C$1960,MATCH(1627,Engine!$C$2:$C$1960,0)))</f>
        <v/>
      </c>
      <c r="D1640" s="9">
        <f>IF(ISNA(MATCH(1627,Engine!$C$2:$C$1960,0)),"",INDEX('Compliance Database'!$D$2:$D$1960,MATCH(1627,Engine!$C$2:$C$1960,0)))</f>
        <v/>
      </c>
      <c r="E1640" s="8">
        <f>IF(ISNA(MATCH(1627,Engine!$C$2:$C$1960,0)),"",INDEX('Compliance Database'!$E$2:$E$1960,MATCH(1627,Engine!$C$2:$C$1960,0)))</f>
        <v/>
      </c>
      <c r="F1640" s="8">
        <f>IF(ISNA(MATCH(1627,Engine!$C$2:$C$1960,0)),"",INDEX('Compliance Database'!$F$2:$F$1960,MATCH(1627,Engine!$C$2:$C$1960,0)))</f>
        <v/>
      </c>
      <c r="G1640" s="8">
        <f>IF(ISNA(MATCH(1627,Engine!$C$2:$C$1960,0)),"",INDEX('Compliance Database'!$G$2:$G$1960,MATCH(1627,Engine!$C$2:$C$1960,0)))</f>
        <v/>
      </c>
      <c r="H1640" s="9">
        <f>IF(ISNA(MATCH(1627,Engine!$C$2:$C$1960,0)),"",INDEX('Compliance Database'!$H$2:$H$1960,MATCH(1627,Engine!$C$2:$C$1960,0)))</f>
        <v/>
      </c>
      <c r="I1640" s="9">
        <f>IF(ISNA(MATCH(1627,Engine!$C$2:$C$1960,0)),"",INDEX('Compliance Database'!$I$2:$I$1960,MATCH(1627,Engine!$C$2:$C$1960,0)))</f>
        <v/>
      </c>
      <c r="J1640" s="8">
        <f>IF(ISNA(MATCH(1627,Engine!$C$2:$C$1960,0)),"",INDEX('Compliance Database'!$J$2:$J$1960,MATCH(1627,Engine!$C$2:$C$1960,0)))</f>
        <v/>
      </c>
      <c r="K1640" s="9">
        <f>IF(ISNA(MATCH(1627,Engine!$C$2:$C$1960,0)),"",INDEX('Compliance Database'!$K$2:$K$1960,MATCH(1627,Engine!$C$2:$C$1960,0)))</f>
        <v/>
      </c>
      <c r="L1640" s="9">
        <f>IF(ISNA(MATCH(1627,Engine!$C$2:$C$1960,0)),"",INDEX('Compliance Database'!$L$2:$L$1960,MATCH(1627,Engine!$C$2:$C$1960,0)))</f>
        <v/>
      </c>
      <c r="M1640" s="9">
        <f>IF(ISNA(MATCH(1627,Engine!$C$2:$C$1960,0)),"",INDEX('Compliance Database'!$M$2:$M$1960,MATCH(1627,Engine!$C$2:$C$1960,0)))</f>
        <v/>
      </c>
      <c r="N1640" s="9">
        <f>IF(ISNA(MATCH(1627,Engine!$C$2:$C$1960,0)),"",INDEX('Compliance Database'!$N$2:$N$1960,MATCH(1627,Engine!$C$2:$C$1960,0)))</f>
        <v/>
      </c>
      <c r="O1640" s="9">
        <f>IF(ISNA(MATCH(1627,Engine!$C$2:$C$1960,0)),"",INDEX('Compliance Database'!$O$2:$O$1960,MATCH(1627,Engine!$C$2:$C$1960,0)))</f>
        <v/>
      </c>
      <c r="P1640" s="8">
        <f>IF(ISNA(MATCH(1627,Engine!$C$2:$C$1960,0)),"",HYPERLINK("#Acts!A"&amp;INDEX('Compliance Database'!$P$2:$P$1960,MATCH(1627,Engine!$C$2:$C$1960,0)),"Go to Act"))</f>
        <v/>
      </c>
    </row>
    <row r="1641" ht="158" customHeight="1">
      <c r="A1641" s="8">
        <f>IF(ISNA(MATCH(1628,Engine!$C$2:$C$1960,0)),"",INDEX('Compliance Database'!$A$2:$A$1960,MATCH(1628,Engine!$C$2:$C$1960,0)))</f>
        <v/>
      </c>
      <c r="B1641" s="8">
        <f>IF(ISNA(MATCH(1628,Engine!$C$2:$C$1960,0)),"",INDEX('Compliance Database'!$B$2:$B$1960,MATCH(1628,Engine!$C$2:$C$1960,0)))</f>
        <v/>
      </c>
      <c r="C1641" s="8">
        <f>IF(ISNA(MATCH(1628,Engine!$C$2:$C$1960,0)),"",INDEX('Compliance Database'!$C$2:$C$1960,MATCH(1628,Engine!$C$2:$C$1960,0)))</f>
        <v/>
      </c>
      <c r="D1641" s="9">
        <f>IF(ISNA(MATCH(1628,Engine!$C$2:$C$1960,0)),"",INDEX('Compliance Database'!$D$2:$D$1960,MATCH(1628,Engine!$C$2:$C$1960,0)))</f>
        <v/>
      </c>
      <c r="E1641" s="8">
        <f>IF(ISNA(MATCH(1628,Engine!$C$2:$C$1960,0)),"",INDEX('Compliance Database'!$E$2:$E$1960,MATCH(1628,Engine!$C$2:$C$1960,0)))</f>
        <v/>
      </c>
      <c r="F1641" s="8">
        <f>IF(ISNA(MATCH(1628,Engine!$C$2:$C$1960,0)),"",INDEX('Compliance Database'!$F$2:$F$1960,MATCH(1628,Engine!$C$2:$C$1960,0)))</f>
        <v/>
      </c>
      <c r="G1641" s="8">
        <f>IF(ISNA(MATCH(1628,Engine!$C$2:$C$1960,0)),"",INDEX('Compliance Database'!$G$2:$G$1960,MATCH(1628,Engine!$C$2:$C$1960,0)))</f>
        <v/>
      </c>
      <c r="H1641" s="9">
        <f>IF(ISNA(MATCH(1628,Engine!$C$2:$C$1960,0)),"",INDEX('Compliance Database'!$H$2:$H$1960,MATCH(1628,Engine!$C$2:$C$1960,0)))</f>
        <v/>
      </c>
      <c r="I1641" s="9">
        <f>IF(ISNA(MATCH(1628,Engine!$C$2:$C$1960,0)),"",INDEX('Compliance Database'!$I$2:$I$1960,MATCH(1628,Engine!$C$2:$C$1960,0)))</f>
        <v/>
      </c>
      <c r="J1641" s="8">
        <f>IF(ISNA(MATCH(1628,Engine!$C$2:$C$1960,0)),"",INDEX('Compliance Database'!$J$2:$J$1960,MATCH(1628,Engine!$C$2:$C$1960,0)))</f>
        <v/>
      </c>
      <c r="K1641" s="9">
        <f>IF(ISNA(MATCH(1628,Engine!$C$2:$C$1960,0)),"",INDEX('Compliance Database'!$K$2:$K$1960,MATCH(1628,Engine!$C$2:$C$1960,0)))</f>
        <v/>
      </c>
      <c r="L1641" s="9">
        <f>IF(ISNA(MATCH(1628,Engine!$C$2:$C$1960,0)),"",INDEX('Compliance Database'!$L$2:$L$1960,MATCH(1628,Engine!$C$2:$C$1960,0)))</f>
        <v/>
      </c>
      <c r="M1641" s="9">
        <f>IF(ISNA(MATCH(1628,Engine!$C$2:$C$1960,0)),"",INDEX('Compliance Database'!$M$2:$M$1960,MATCH(1628,Engine!$C$2:$C$1960,0)))</f>
        <v/>
      </c>
      <c r="N1641" s="9">
        <f>IF(ISNA(MATCH(1628,Engine!$C$2:$C$1960,0)),"",INDEX('Compliance Database'!$N$2:$N$1960,MATCH(1628,Engine!$C$2:$C$1960,0)))</f>
        <v/>
      </c>
      <c r="O1641" s="9">
        <f>IF(ISNA(MATCH(1628,Engine!$C$2:$C$1960,0)),"",INDEX('Compliance Database'!$O$2:$O$1960,MATCH(1628,Engine!$C$2:$C$1960,0)))</f>
        <v/>
      </c>
      <c r="P1641" s="8">
        <f>IF(ISNA(MATCH(1628,Engine!$C$2:$C$1960,0)),"",HYPERLINK("#Acts!A"&amp;INDEX('Compliance Database'!$P$2:$P$1960,MATCH(1628,Engine!$C$2:$C$1960,0)),"Go to Act"))</f>
        <v/>
      </c>
    </row>
    <row r="1642" ht="158" customHeight="1">
      <c r="A1642" s="8">
        <f>IF(ISNA(MATCH(1629,Engine!$C$2:$C$1960,0)),"",INDEX('Compliance Database'!$A$2:$A$1960,MATCH(1629,Engine!$C$2:$C$1960,0)))</f>
        <v/>
      </c>
      <c r="B1642" s="8">
        <f>IF(ISNA(MATCH(1629,Engine!$C$2:$C$1960,0)),"",INDEX('Compliance Database'!$B$2:$B$1960,MATCH(1629,Engine!$C$2:$C$1960,0)))</f>
        <v/>
      </c>
      <c r="C1642" s="8">
        <f>IF(ISNA(MATCH(1629,Engine!$C$2:$C$1960,0)),"",INDEX('Compliance Database'!$C$2:$C$1960,MATCH(1629,Engine!$C$2:$C$1960,0)))</f>
        <v/>
      </c>
      <c r="D1642" s="9">
        <f>IF(ISNA(MATCH(1629,Engine!$C$2:$C$1960,0)),"",INDEX('Compliance Database'!$D$2:$D$1960,MATCH(1629,Engine!$C$2:$C$1960,0)))</f>
        <v/>
      </c>
      <c r="E1642" s="8">
        <f>IF(ISNA(MATCH(1629,Engine!$C$2:$C$1960,0)),"",INDEX('Compliance Database'!$E$2:$E$1960,MATCH(1629,Engine!$C$2:$C$1960,0)))</f>
        <v/>
      </c>
      <c r="F1642" s="8">
        <f>IF(ISNA(MATCH(1629,Engine!$C$2:$C$1960,0)),"",INDEX('Compliance Database'!$F$2:$F$1960,MATCH(1629,Engine!$C$2:$C$1960,0)))</f>
        <v/>
      </c>
      <c r="G1642" s="8">
        <f>IF(ISNA(MATCH(1629,Engine!$C$2:$C$1960,0)),"",INDEX('Compliance Database'!$G$2:$G$1960,MATCH(1629,Engine!$C$2:$C$1960,0)))</f>
        <v/>
      </c>
      <c r="H1642" s="9">
        <f>IF(ISNA(MATCH(1629,Engine!$C$2:$C$1960,0)),"",INDEX('Compliance Database'!$H$2:$H$1960,MATCH(1629,Engine!$C$2:$C$1960,0)))</f>
        <v/>
      </c>
      <c r="I1642" s="9">
        <f>IF(ISNA(MATCH(1629,Engine!$C$2:$C$1960,0)),"",INDEX('Compliance Database'!$I$2:$I$1960,MATCH(1629,Engine!$C$2:$C$1960,0)))</f>
        <v/>
      </c>
      <c r="J1642" s="8">
        <f>IF(ISNA(MATCH(1629,Engine!$C$2:$C$1960,0)),"",INDEX('Compliance Database'!$J$2:$J$1960,MATCH(1629,Engine!$C$2:$C$1960,0)))</f>
        <v/>
      </c>
      <c r="K1642" s="9">
        <f>IF(ISNA(MATCH(1629,Engine!$C$2:$C$1960,0)),"",INDEX('Compliance Database'!$K$2:$K$1960,MATCH(1629,Engine!$C$2:$C$1960,0)))</f>
        <v/>
      </c>
      <c r="L1642" s="9">
        <f>IF(ISNA(MATCH(1629,Engine!$C$2:$C$1960,0)),"",INDEX('Compliance Database'!$L$2:$L$1960,MATCH(1629,Engine!$C$2:$C$1960,0)))</f>
        <v/>
      </c>
      <c r="M1642" s="9">
        <f>IF(ISNA(MATCH(1629,Engine!$C$2:$C$1960,0)),"",INDEX('Compliance Database'!$M$2:$M$1960,MATCH(1629,Engine!$C$2:$C$1960,0)))</f>
        <v/>
      </c>
      <c r="N1642" s="9">
        <f>IF(ISNA(MATCH(1629,Engine!$C$2:$C$1960,0)),"",INDEX('Compliance Database'!$N$2:$N$1960,MATCH(1629,Engine!$C$2:$C$1960,0)))</f>
        <v/>
      </c>
      <c r="O1642" s="9">
        <f>IF(ISNA(MATCH(1629,Engine!$C$2:$C$1960,0)),"",INDEX('Compliance Database'!$O$2:$O$1960,MATCH(1629,Engine!$C$2:$C$1960,0)))</f>
        <v/>
      </c>
      <c r="P1642" s="8">
        <f>IF(ISNA(MATCH(1629,Engine!$C$2:$C$1960,0)),"",HYPERLINK("#Acts!A"&amp;INDEX('Compliance Database'!$P$2:$P$1960,MATCH(1629,Engine!$C$2:$C$1960,0)),"Go to Act"))</f>
        <v/>
      </c>
    </row>
    <row r="1643" ht="158" customHeight="1">
      <c r="A1643" s="8">
        <f>IF(ISNA(MATCH(1630,Engine!$C$2:$C$1960,0)),"",INDEX('Compliance Database'!$A$2:$A$1960,MATCH(1630,Engine!$C$2:$C$1960,0)))</f>
        <v/>
      </c>
      <c r="B1643" s="8">
        <f>IF(ISNA(MATCH(1630,Engine!$C$2:$C$1960,0)),"",INDEX('Compliance Database'!$B$2:$B$1960,MATCH(1630,Engine!$C$2:$C$1960,0)))</f>
        <v/>
      </c>
      <c r="C1643" s="8">
        <f>IF(ISNA(MATCH(1630,Engine!$C$2:$C$1960,0)),"",INDEX('Compliance Database'!$C$2:$C$1960,MATCH(1630,Engine!$C$2:$C$1960,0)))</f>
        <v/>
      </c>
      <c r="D1643" s="9">
        <f>IF(ISNA(MATCH(1630,Engine!$C$2:$C$1960,0)),"",INDEX('Compliance Database'!$D$2:$D$1960,MATCH(1630,Engine!$C$2:$C$1960,0)))</f>
        <v/>
      </c>
      <c r="E1643" s="8">
        <f>IF(ISNA(MATCH(1630,Engine!$C$2:$C$1960,0)),"",INDEX('Compliance Database'!$E$2:$E$1960,MATCH(1630,Engine!$C$2:$C$1960,0)))</f>
        <v/>
      </c>
      <c r="F1643" s="8">
        <f>IF(ISNA(MATCH(1630,Engine!$C$2:$C$1960,0)),"",INDEX('Compliance Database'!$F$2:$F$1960,MATCH(1630,Engine!$C$2:$C$1960,0)))</f>
        <v/>
      </c>
      <c r="G1643" s="8">
        <f>IF(ISNA(MATCH(1630,Engine!$C$2:$C$1960,0)),"",INDEX('Compliance Database'!$G$2:$G$1960,MATCH(1630,Engine!$C$2:$C$1960,0)))</f>
        <v/>
      </c>
      <c r="H1643" s="9">
        <f>IF(ISNA(MATCH(1630,Engine!$C$2:$C$1960,0)),"",INDEX('Compliance Database'!$H$2:$H$1960,MATCH(1630,Engine!$C$2:$C$1960,0)))</f>
        <v/>
      </c>
      <c r="I1643" s="9">
        <f>IF(ISNA(MATCH(1630,Engine!$C$2:$C$1960,0)),"",INDEX('Compliance Database'!$I$2:$I$1960,MATCH(1630,Engine!$C$2:$C$1960,0)))</f>
        <v/>
      </c>
      <c r="J1643" s="8">
        <f>IF(ISNA(MATCH(1630,Engine!$C$2:$C$1960,0)),"",INDEX('Compliance Database'!$J$2:$J$1960,MATCH(1630,Engine!$C$2:$C$1960,0)))</f>
        <v/>
      </c>
      <c r="K1643" s="9">
        <f>IF(ISNA(MATCH(1630,Engine!$C$2:$C$1960,0)),"",INDEX('Compliance Database'!$K$2:$K$1960,MATCH(1630,Engine!$C$2:$C$1960,0)))</f>
        <v/>
      </c>
      <c r="L1643" s="9">
        <f>IF(ISNA(MATCH(1630,Engine!$C$2:$C$1960,0)),"",INDEX('Compliance Database'!$L$2:$L$1960,MATCH(1630,Engine!$C$2:$C$1960,0)))</f>
        <v/>
      </c>
      <c r="M1643" s="9">
        <f>IF(ISNA(MATCH(1630,Engine!$C$2:$C$1960,0)),"",INDEX('Compliance Database'!$M$2:$M$1960,MATCH(1630,Engine!$C$2:$C$1960,0)))</f>
        <v/>
      </c>
      <c r="N1643" s="9">
        <f>IF(ISNA(MATCH(1630,Engine!$C$2:$C$1960,0)),"",INDEX('Compliance Database'!$N$2:$N$1960,MATCH(1630,Engine!$C$2:$C$1960,0)))</f>
        <v/>
      </c>
      <c r="O1643" s="9">
        <f>IF(ISNA(MATCH(1630,Engine!$C$2:$C$1960,0)),"",INDEX('Compliance Database'!$O$2:$O$1960,MATCH(1630,Engine!$C$2:$C$1960,0)))</f>
        <v/>
      </c>
      <c r="P1643" s="8">
        <f>IF(ISNA(MATCH(1630,Engine!$C$2:$C$1960,0)),"",HYPERLINK("#Acts!A"&amp;INDEX('Compliance Database'!$P$2:$P$1960,MATCH(1630,Engine!$C$2:$C$1960,0)),"Go to Act"))</f>
        <v/>
      </c>
    </row>
    <row r="1644" ht="158" customHeight="1">
      <c r="A1644" s="8">
        <f>IF(ISNA(MATCH(1631,Engine!$C$2:$C$1960,0)),"",INDEX('Compliance Database'!$A$2:$A$1960,MATCH(1631,Engine!$C$2:$C$1960,0)))</f>
        <v/>
      </c>
      <c r="B1644" s="8">
        <f>IF(ISNA(MATCH(1631,Engine!$C$2:$C$1960,0)),"",INDEX('Compliance Database'!$B$2:$B$1960,MATCH(1631,Engine!$C$2:$C$1960,0)))</f>
        <v/>
      </c>
      <c r="C1644" s="8">
        <f>IF(ISNA(MATCH(1631,Engine!$C$2:$C$1960,0)),"",INDEX('Compliance Database'!$C$2:$C$1960,MATCH(1631,Engine!$C$2:$C$1960,0)))</f>
        <v/>
      </c>
      <c r="D1644" s="9">
        <f>IF(ISNA(MATCH(1631,Engine!$C$2:$C$1960,0)),"",INDEX('Compliance Database'!$D$2:$D$1960,MATCH(1631,Engine!$C$2:$C$1960,0)))</f>
        <v/>
      </c>
      <c r="E1644" s="8">
        <f>IF(ISNA(MATCH(1631,Engine!$C$2:$C$1960,0)),"",INDEX('Compliance Database'!$E$2:$E$1960,MATCH(1631,Engine!$C$2:$C$1960,0)))</f>
        <v/>
      </c>
      <c r="F1644" s="8">
        <f>IF(ISNA(MATCH(1631,Engine!$C$2:$C$1960,0)),"",INDEX('Compliance Database'!$F$2:$F$1960,MATCH(1631,Engine!$C$2:$C$1960,0)))</f>
        <v/>
      </c>
      <c r="G1644" s="8">
        <f>IF(ISNA(MATCH(1631,Engine!$C$2:$C$1960,0)),"",INDEX('Compliance Database'!$G$2:$G$1960,MATCH(1631,Engine!$C$2:$C$1960,0)))</f>
        <v/>
      </c>
      <c r="H1644" s="9">
        <f>IF(ISNA(MATCH(1631,Engine!$C$2:$C$1960,0)),"",INDEX('Compliance Database'!$H$2:$H$1960,MATCH(1631,Engine!$C$2:$C$1960,0)))</f>
        <v/>
      </c>
      <c r="I1644" s="9">
        <f>IF(ISNA(MATCH(1631,Engine!$C$2:$C$1960,0)),"",INDEX('Compliance Database'!$I$2:$I$1960,MATCH(1631,Engine!$C$2:$C$1960,0)))</f>
        <v/>
      </c>
      <c r="J1644" s="8">
        <f>IF(ISNA(MATCH(1631,Engine!$C$2:$C$1960,0)),"",INDEX('Compliance Database'!$J$2:$J$1960,MATCH(1631,Engine!$C$2:$C$1960,0)))</f>
        <v/>
      </c>
      <c r="K1644" s="9">
        <f>IF(ISNA(MATCH(1631,Engine!$C$2:$C$1960,0)),"",INDEX('Compliance Database'!$K$2:$K$1960,MATCH(1631,Engine!$C$2:$C$1960,0)))</f>
        <v/>
      </c>
      <c r="L1644" s="9">
        <f>IF(ISNA(MATCH(1631,Engine!$C$2:$C$1960,0)),"",INDEX('Compliance Database'!$L$2:$L$1960,MATCH(1631,Engine!$C$2:$C$1960,0)))</f>
        <v/>
      </c>
      <c r="M1644" s="9">
        <f>IF(ISNA(MATCH(1631,Engine!$C$2:$C$1960,0)),"",INDEX('Compliance Database'!$M$2:$M$1960,MATCH(1631,Engine!$C$2:$C$1960,0)))</f>
        <v/>
      </c>
      <c r="N1644" s="9">
        <f>IF(ISNA(MATCH(1631,Engine!$C$2:$C$1960,0)),"",INDEX('Compliance Database'!$N$2:$N$1960,MATCH(1631,Engine!$C$2:$C$1960,0)))</f>
        <v/>
      </c>
      <c r="O1644" s="9">
        <f>IF(ISNA(MATCH(1631,Engine!$C$2:$C$1960,0)),"",INDEX('Compliance Database'!$O$2:$O$1960,MATCH(1631,Engine!$C$2:$C$1960,0)))</f>
        <v/>
      </c>
      <c r="P1644" s="8">
        <f>IF(ISNA(MATCH(1631,Engine!$C$2:$C$1960,0)),"",HYPERLINK("#Acts!A"&amp;INDEX('Compliance Database'!$P$2:$P$1960,MATCH(1631,Engine!$C$2:$C$1960,0)),"Go to Act"))</f>
        <v/>
      </c>
    </row>
    <row r="1645" ht="158" customHeight="1">
      <c r="A1645" s="8">
        <f>IF(ISNA(MATCH(1632,Engine!$C$2:$C$1960,0)),"",INDEX('Compliance Database'!$A$2:$A$1960,MATCH(1632,Engine!$C$2:$C$1960,0)))</f>
        <v/>
      </c>
      <c r="B1645" s="8">
        <f>IF(ISNA(MATCH(1632,Engine!$C$2:$C$1960,0)),"",INDEX('Compliance Database'!$B$2:$B$1960,MATCH(1632,Engine!$C$2:$C$1960,0)))</f>
        <v/>
      </c>
      <c r="C1645" s="8">
        <f>IF(ISNA(MATCH(1632,Engine!$C$2:$C$1960,0)),"",INDEX('Compliance Database'!$C$2:$C$1960,MATCH(1632,Engine!$C$2:$C$1960,0)))</f>
        <v/>
      </c>
      <c r="D1645" s="9">
        <f>IF(ISNA(MATCH(1632,Engine!$C$2:$C$1960,0)),"",INDEX('Compliance Database'!$D$2:$D$1960,MATCH(1632,Engine!$C$2:$C$1960,0)))</f>
        <v/>
      </c>
      <c r="E1645" s="8">
        <f>IF(ISNA(MATCH(1632,Engine!$C$2:$C$1960,0)),"",INDEX('Compliance Database'!$E$2:$E$1960,MATCH(1632,Engine!$C$2:$C$1960,0)))</f>
        <v/>
      </c>
      <c r="F1645" s="8">
        <f>IF(ISNA(MATCH(1632,Engine!$C$2:$C$1960,0)),"",INDEX('Compliance Database'!$F$2:$F$1960,MATCH(1632,Engine!$C$2:$C$1960,0)))</f>
        <v/>
      </c>
      <c r="G1645" s="8">
        <f>IF(ISNA(MATCH(1632,Engine!$C$2:$C$1960,0)),"",INDEX('Compliance Database'!$G$2:$G$1960,MATCH(1632,Engine!$C$2:$C$1960,0)))</f>
        <v/>
      </c>
      <c r="H1645" s="9">
        <f>IF(ISNA(MATCH(1632,Engine!$C$2:$C$1960,0)),"",INDEX('Compliance Database'!$H$2:$H$1960,MATCH(1632,Engine!$C$2:$C$1960,0)))</f>
        <v/>
      </c>
      <c r="I1645" s="9">
        <f>IF(ISNA(MATCH(1632,Engine!$C$2:$C$1960,0)),"",INDEX('Compliance Database'!$I$2:$I$1960,MATCH(1632,Engine!$C$2:$C$1960,0)))</f>
        <v/>
      </c>
      <c r="J1645" s="8">
        <f>IF(ISNA(MATCH(1632,Engine!$C$2:$C$1960,0)),"",INDEX('Compliance Database'!$J$2:$J$1960,MATCH(1632,Engine!$C$2:$C$1960,0)))</f>
        <v/>
      </c>
      <c r="K1645" s="9">
        <f>IF(ISNA(MATCH(1632,Engine!$C$2:$C$1960,0)),"",INDEX('Compliance Database'!$K$2:$K$1960,MATCH(1632,Engine!$C$2:$C$1960,0)))</f>
        <v/>
      </c>
      <c r="L1645" s="9">
        <f>IF(ISNA(MATCH(1632,Engine!$C$2:$C$1960,0)),"",INDEX('Compliance Database'!$L$2:$L$1960,MATCH(1632,Engine!$C$2:$C$1960,0)))</f>
        <v/>
      </c>
      <c r="M1645" s="9">
        <f>IF(ISNA(MATCH(1632,Engine!$C$2:$C$1960,0)),"",INDEX('Compliance Database'!$M$2:$M$1960,MATCH(1632,Engine!$C$2:$C$1960,0)))</f>
        <v/>
      </c>
      <c r="N1645" s="9">
        <f>IF(ISNA(MATCH(1632,Engine!$C$2:$C$1960,0)),"",INDEX('Compliance Database'!$N$2:$N$1960,MATCH(1632,Engine!$C$2:$C$1960,0)))</f>
        <v/>
      </c>
      <c r="O1645" s="9">
        <f>IF(ISNA(MATCH(1632,Engine!$C$2:$C$1960,0)),"",INDEX('Compliance Database'!$O$2:$O$1960,MATCH(1632,Engine!$C$2:$C$1960,0)))</f>
        <v/>
      </c>
      <c r="P1645" s="8">
        <f>IF(ISNA(MATCH(1632,Engine!$C$2:$C$1960,0)),"",HYPERLINK("#Acts!A"&amp;INDEX('Compliance Database'!$P$2:$P$1960,MATCH(1632,Engine!$C$2:$C$1960,0)),"Go to Act"))</f>
        <v/>
      </c>
    </row>
    <row r="1646" ht="158" customHeight="1">
      <c r="A1646" s="8">
        <f>IF(ISNA(MATCH(1633,Engine!$C$2:$C$1960,0)),"",INDEX('Compliance Database'!$A$2:$A$1960,MATCH(1633,Engine!$C$2:$C$1960,0)))</f>
        <v/>
      </c>
      <c r="B1646" s="8">
        <f>IF(ISNA(MATCH(1633,Engine!$C$2:$C$1960,0)),"",INDEX('Compliance Database'!$B$2:$B$1960,MATCH(1633,Engine!$C$2:$C$1960,0)))</f>
        <v/>
      </c>
      <c r="C1646" s="8">
        <f>IF(ISNA(MATCH(1633,Engine!$C$2:$C$1960,0)),"",INDEX('Compliance Database'!$C$2:$C$1960,MATCH(1633,Engine!$C$2:$C$1960,0)))</f>
        <v/>
      </c>
      <c r="D1646" s="9">
        <f>IF(ISNA(MATCH(1633,Engine!$C$2:$C$1960,0)),"",INDEX('Compliance Database'!$D$2:$D$1960,MATCH(1633,Engine!$C$2:$C$1960,0)))</f>
        <v/>
      </c>
      <c r="E1646" s="8">
        <f>IF(ISNA(MATCH(1633,Engine!$C$2:$C$1960,0)),"",INDEX('Compliance Database'!$E$2:$E$1960,MATCH(1633,Engine!$C$2:$C$1960,0)))</f>
        <v/>
      </c>
      <c r="F1646" s="8">
        <f>IF(ISNA(MATCH(1633,Engine!$C$2:$C$1960,0)),"",INDEX('Compliance Database'!$F$2:$F$1960,MATCH(1633,Engine!$C$2:$C$1960,0)))</f>
        <v/>
      </c>
      <c r="G1646" s="8">
        <f>IF(ISNA(MATCH(1633,Engine!$C$2:$C$1960,0)),"",INDEX('Compliance Database'!$G$2:$G$1960,MATCH(1633,Engine!$C$2:$C$1960,0)))</f>
        <v/>
      </c>
      <c r="H1646" s="9">
        <f>IF(ISNA(MATCH(1633,Engine!$C$2:$C$1960,0)),"",INDEX('Compliance Database'!$H$2:$H$1960,MATCH(1633,Engine!$C$2:$C$1960,0)))</f>
        <v/>
      </c>
      <c r="I1646" s="9">
        <f>IF(ISNA(MATCH(1633,Engine!$C$2:$C$1960,0)),"",INDEX('Compliance Database'!$I$2:$I$1960,MATCH(1633,Engine!$C$2:$C$1960,0)))</f>
        <v/>
      </c>
      <c r="J1646" s="8">
        <f>IF(ISNA(MATCH(1633,Engine!$C$2:$C$1960,0)),"",INDEX('Compliance Database'!$J$2:$J$1960,MATCH(1633,Engine!$C$2:$C$1960,0)))</f>
        <v/>
      </c>
      <c r="K1646" s="9">
        <f>IF(ISNA(MATCH(1633,Engine!$C$2:$C$1960,0)),"",INDEX('Compliance Database'!$K$2:$K$1960,MATCH(1633,Engine!$C$2:$C$1960,0)))</f>
        <v/>
      </c>
      <c r="L1646" s="9">
        <f>IF(ISNA(MATCH(1633,Engine!$C$2:$C$1960,0)),"",INDEX('Compliance Database'!$L$2:$L$1960,MATCH(1633,Engine!$C$2:$C$1960,0)))</f>
        <v/>
      </c>
      <c r="M1646" s="9">
        <f>IF(ISNA(MATCH(1633,Engine!$C$2:$C$1960,0)),"",INDEX('Compliance Database'!$M$2:$M$1960,MATCH(1633,Engine!$C$2:$C$1960,0)))</f>
        <v/>
      </c>
      <c r="N1646" s="9">
        <f>IF(ISNA(MATCH(1633,Engine!$C$2:$C$1960,0)),"",INDEX('Compliance Database'!$N$2:$N$1960,MATCH(1633,Engine!$C$2:$C$1960,0)))</f>
        <v/>
      </c>
      <c r="O1646" s="9">
        <f>IF(ISNA(MATCH(1633,Engine!$C$2:$C$1960,0)),"",INDEX('Compliance Database'!$O$2:$O$1960,MATCH(1633,Engine!$C$2:$C$1960,0)))</f>
        <v/>
      </c>
      <c r="P1646" s="8">
        <f>IF(ISNA(MATCH(1633,Engine!$C$2:$C$1960,0)),"",HYPERLINK("#Acts!A"&amp;INDEX('Compliance Database'!$P$2:$P$1960,MATCH(1633,Engine!$C$2:$C$1960,0)),"Go to Act"))</f>
        <v/>
      </c>
    </row>
    <row r="1647" ht="158" customHeight="1">
      <c r="A1647" s="8">
        <f>IF(ISNA(MATCH(1634,Engine!$C$2:$C$1960,0)),"",INDEX('Compliance Database'!$A$2:$A$1960,MATCH(1634,Engine!$C$2:$C$1960,0)))</f>
        <v/>
      </c>
      <c r="B1647" s="8">
        <f>IF(ISNA(MATCH(1634,Engine!$C$2:$C$1960,0)),"",INDEX('Compliance Database'!$B$2:$B$1960,MATCH(1634,Engine!$C$2:$C$1960,0)))</f>
        <v/>
      </c>
      <c r="C1647" s="8">
        <f>IF(ISNA(MATCH(1634,Engine!$C$2:$C$1960,0)),"",INDEX('Compliance Database'!$C$2:$C$1960,MATCH(1634,Engine!$C$2:$C$1960,0)))</f>
        <v/>
      </c>
      <c r="D1647" s="9">
        <f>IF(ISNA(MATCH(1634,Engine!$C$2:$C$1960,0)),"",INDEX('Compliance Database'!$D$2:$D$1960,MATCH(1634,Engine!$C$2:$C$1960,0)))</f>
        <v/>
      </c>
      <c r="E1647" s="8">
        <f>IF(ISNA(MATCH(1634,Engine!$C$2:$C$1960,0)),"",INDEX('Compliance Database'!$E$2:$E$1960,MATCH(1634,Engine!$C$2:$C$1960,0)))</f>
        <v/>
      </c>
      <c r="F1647" s="8">
        <f>IF(ISNA(MATCH(1634,Engine!$C$2:$C$1960,0)),"",INDEX('Compliance Database'!$F$2:$F$1960,MATCH(1634,Engine!$C$2:$C$1960,0)))</f>
        <v/>
      </c>
      <c r="G1647" s="8">
        <f>IF(ISNA(MATCH(1634,Engine!$C$2:$C$1960,0)),"",INDEX('Compliance Database'!$G$2:$G$1960,MATCH(1634,Engine!$C$2:$C$1960,0)))</f>
        <v/>
      </c>
      <c r="H1647" s="9">
        <f>IF(ISNA(MATCH(1634,Engine!$C$2:$C$1960,0)),"",INDEX('Compliance Database'!$H$2:$H$1960,MATCH(1634,Engine!$C$2:$C$1960,0)))</f>
        <v/>
      </c>
      <c r="I1647" s="9">
        <f>IF(ISNA(MATCH(1634,Engine!$C$2:$C$1960,0)),"",INDEX('Compliance Database'!$I$2:$I$1960,MATCH(1634,Engine!$C$2:$C$1960,0)))</f>
        <v/>
      </c>
      <c r="J1647" s="8">
        <f>IF(ISNA(MATCH(1634,Engine!$C$2:$C$1960,0)),"",INDEX('Compliance Database'!$J$2:$J$1960,MATCH(1634,Engine!$C$2:$C$1960,0)))</f>
        <v/>
      </c>
      <c r="K1647" s="9">
        <f>IF(ISNA(MATCH(1634,Engine!$C$2:$C$1960,0)),"",INDEX('Compliance Database'!$K$2:$K$1960,MATCH(1634,Engine!$C$2:$C$1960,0)))</f>
        <v/>
      </c>
      <c r="L1647" s="9">
        <f>IF(ISNA(MATCH(1634,Engine!$C$2:$C$1960,0)),"",INDEX('Compliance Database'!$L$2:$L$1960,MATCH(1634,Engine!$C$2:$C$1960,0)))</f>
        <v/>
      </c>
      <c r="M1647" s="9">
        <f>IF(ISNA(MATCH(1634,Engine!$C$2:$C$1960,0)),"",INDEX('Compliance Database'!$M$2:$M$1960,MATCH(1634,Engine!$C$2:$C$1960,0)))</f>
        <v/>
      </c>
      <c r="N1647" s="9">
        <f>IF(ISNA(MATCH(1634,Engine!$C$2:$C$1960,0)),"",INDEX('Compliance Database'!$N$2:$N$1960,MATCH(1634,Engine!$C$2:$C$1960,0)))</f>
        <v/>
      </c>
      <c r="O1647" s="9">
        <f>IF(ISNA(MATCH(1634,Engine!$C$2:$C$1960,0)),"",INDEX('Compliance Database'!$O$2:$O$1960,MATCH(1634,Engine!$C$2:$C$1960,0)))</f>
        <v/>
      </c>
      <c r="P1647" s="8">
        <f>IF(ISNA(MATCH(1634,Engine!$C$2:$C$1960,0)),"",HYPERLINK("#Acts!A"&amp;INDEX('Compliance Database'!$P$2:$P$1960,MATCH(1634,Engine!$C$2:$C$1960,0)),"Go to Act"))</f>
        <v/>
      </c>
    </row>
    <row r="1648" ht="158" customHeight="1">
      <c r="A1648" s="8">
        <f>IF(ISNA(MATCH(1635,Engine!$C$2:$C$1960,0)),"",INDEX('Compliance Database'!$A$2:$A$1960,MATCH(1635,Engine!$C$2:$C$1960,0)))</f>
        <v/>
      </c>
      <c r="B1648" s="8">
        <f>IF(ISNA(MATCH(1635,Engine!$C$2:$C$1960,0)),"",INDEX('Compliance Database'!$B$2:$B$1960,MATCH(1635,Engine!$C$2:$C$1960,0)))</f>
        <v/>
      </c>
      <c r="C1648" s="8">
        <f>IF(ISNA(MATCH(1635,Engine!$C$2:$C$1960,0)),"",INDEX('Compliance Database'!$C$2:$C$1960,MATCH(1635,Engine!$C$2:$C$1960,0)))</f>
        <v/>
      </c>
      <c r="D1648" s="9">
        <f>IF(ISNA(MATCH(1635,Engine!$C$2:$C$1960,0)),"",INDEX('Compliance Database'!$D$2:$D$1960,MATCH(1635,Engine!$C$2:$C$1960,0)))</f>
        <v/>
      </c>
      <c r="E1648" s="8">
        <f>IF(ISNA(MATCH(1635,Engine!$C$2:$C$1960,0)),"",INDEX('Compliance Database'!$E$2:$E$1960,MATCH(1635,Engine!$C$2:$C$1960,0)))</f>
        <v/>
      </c>
      <c r="F1648" s="8">
        <f>IF(ISNA(MATCH(1635,Engine!$C$2:$C$1960,0)),"",INDEX('Compliance Database'!$F$2:$F$1960,MATCH(1635,Engine!$C$2:$C$1960,0)))</f>
        <v/>
      </c>
      <c r="G1648" s="8">
        <f>IF(ISNA(MATCH(1635,Engine!$C$2:$C$1960,0)),"",INDEX('Compliance Database'!$G$2:$G$1960,MATCH(1635,Engine!$C$2:$C$1960,0)))</f>
        <v/>
      </c>
      <c r="H1648" s="9">
        <f>IF(ISNA(MATCH(1635,Engine!$C$2:$C$1960,0)),"",INDEX('Compliance Database'!$H$2:$H$1960,MATCH(1635,Engine!$C$2:$C$1960,0)))</f>
        <v/>
      </c>
      <c r="I1648" s="9">
        <f>IF(ISNA(MATCH(1635,Engine!$C$2:$C$1960,0)),"",INDEX('Compliance Database'!$I$2:$I$1960,MATCH(1635,Engine!$C$2:$C$1960,0)))</f>
        <v/>
      </c>
      <c r="J1648" s="8">
        <f>IF(ISNA(MATCH(1635,Engine!$C$2:$C$1960,0)),"",INDEX('Compliance Database'!$J$2:$J$1960,MATCH(1635,Engine!$C$2:$C$1960,0)))</f>
        <v/>
      </c>
      <c r="K1648" s="9">
        <f>IF(ISNA(MATCH(1635,Engine!$C$2:$C$1960,0)),"",INDEX('Compliance Database'!$K$2:$K$1960,MATCH(1635,Engine!$C$2:$C$1960,0)))</f>
        <v/>
      </c>
      <c r="L1648" s="9">
        <f>IF(ISNA(MATCH(1635,Engine!$C$2:$C$1960,0)),"",INDEX('Compliance Database'!$L$2:$L$1960,MATCH(1635,Engine!$C$2:$C$1960,0)))</f>
        <v/>
      </c>
      <c r="M1648" s="9">
        <f>IF(ISNA(MATCH(1635,Engine!$C$2:$C$1960,0)),"",INDEX('Compliance Database'!$M$2:$M$1960,MATCH(1635,Engine!$C$2:$C$1960,0)))</f>
        <v/>
      </c>
      <c r="N1648" s="9">
        <f>IF(ISNA(MATCH(1635,Engine!$C$2:$C$1960,0)),"",INDEX('Compliance Database'!$N$2:$N$1960,MATCH(1635,Engine!$C$2:$C$1960,0)))</f>
        <v/>
      </c>
      <c r="O1648" s="9">
        <f>IF(ISNA(MATCH(1635,Engine!$C$2:$C$1960,0)),"",INDEX('Compliance Database'!$O$2:$O$1960,MATCH(1635,Engine!$C$2:$C$1960,0)))</f>
        <v/>
      </c>
      <c r="P1648" s="8">
        <f>IF(ISNA(MATCH(1635,Engine!$C$2:$C$1960,0)),"",HYPERLINK("#Acts!A"&amp;INDEX('Compliance Database'!$P$2:$P$1960,MATCH(1635,Engine!$C$2:$C$1960,0)),"Go to Act"))</f>
        <v/>
      </c>
    </row>
    <row r="1649" ht="158" customHeight="1">
      <c r="A1649" s="8">
        <f>IF(ISNA(MATCH(1636,Engine!$C$2:$C$1960,0)),"",INDEX('Compliance Database'!$A$2:$A$1960,MATCH(1636,Engine!$C$2:$C$1960,0)))</f>
        <v/>
      </c>
      <c r="B1649" s="8">
        <f>IF(ISNA(MATCH(1636,Engine!$C$2:$C$1960,0)),"",INDEX('Compliance Database'!$B$2:$B$1960,MATCH(1636,Engine!$C$2:$C$1960,0)))</f>
        <v/>
      </c>
      <c r="C1649" s="8">
        <f>IF(ISNA(MATCH(1636,Engine!$C$2:$C$1960,0)),"",INDEX('Compliance Database'!$C$2:$C$1960,MATCH(1636,Engine!$C$2:$C$1960,0)))</f>
        <v/>
      </c>
      <c r="D1649" s="9">
        <f>IF(ISNA(MATCH(1636,Engine!$C$2:$C$1960,0)),"",INDEX('Compliance Database'!$D$2:$D$1960,MATCH(1636,Engine!$C$2:$C$1960,0)))</f>
        <v/>
      </c>
      <c r="E1649" s="8">
        <f>IF(ISNA(MATCH(1636,Engine!$C$2:$C$1960,0)),"",INDEX('Compliance Database'!$E$2:$E$1960,MATCH(1636,Engine!$C$2:$C$1960,0)))</f>
        <v/>
      </c>
      <c r="F1649" s="8">
        <f>IF(ISNA(MATCH(1636,Engine!$C$2:$C$1960,0)),"",INDEX('Compliance Database'!$F$2:$F$1960,MATCH(1636,Engine!$C$2:$C$1960,0)))</f>
        <v/>
      </c>
      <c r="G1649" s="8">
        <f>IF(ISNA(MATCH(1636,Engine!$C$2:$C$1960,0)),"",INDEX('Compliance Database'!$G$2:$G$1960,MATCH(1636,Engine!$C$2:$C$1960,0)))</f>
        <v/>
      </c>
      <c r="H1649" s="9">
        <f>IF(ISNA(MATCH(1636,Engine!$C$2:$C$1960,0)),"",INDEX('Compliance Database'!$H$2:$H$1960,MATCH(1636,Engine!$C$2:$C$1960,0)))</f>
        <v/>
      </c>
      <c r="I1649" s="9">
        <f>IF(ISNA(MATCH(1636,Engine!$C$2:$C$1960,0)),"",INDEX('Compliance Database'!$I$2:$I$1960,MATCH(1636,Engine!$C$2:$C$1960,0)))</f>
        <v/>
      </c>
      <c r="J1649" s="8">
        <f>IF(ISNA(MATCH(1636,Engine!$C$2:$C$1960,0)),"",INDEX('Compliance Database'!$J$2:$J$1960,MATCH(1636,Engine!$C$2:$C$1960,0)))</f>
        <v/>
      </c>
      <c r="K1649" s="9">
        <f>IF(ISNA(MATCH(1636,Engine!$C$2:$C$1960,0)),"",INDEX('Compliance Database'!$K$2:$K$1960,MATCH(1636,Engine!$C$2:$C$1960,0)))</f>
        <v/>
      </c>
      <c r="L1649" s="9">
        <f>IF(ISNA(MATCH(1636,Engine!$C$2:$C$1960,0)),"",INDEX('Compliance Database'!$L$2:$L$1960,MATCH(1636,Engine!$C$2:$C$1960,0)))</f>
        <v/>
      </c>
      <c r="M1649" s="9">
        <f>IF(ISNA(MATCH(1636,Engine!$C$2:$C$1960,0)),"",INDEX('Compliance Database'!$M$2:$M$1960,MATCH(1636,Engine!$C$2:$C$1960,0)))</f>
        <v/>
      </c>
      <c r="N1649" s="9">
        <f>IF(ISNA(MATCH(1636,Engine!$C$2:$C$1960,0)),"",INDEX('Compliance Database'!$N$2:$N$1960,MATCH(1636,Engine!$C$2:$C$1960,0)))</f>
        <v/>
      </c>
      <c r="O1649" s="9">
        <f>IF(ISNA(MATCH(1636,Engine!$C$2:$C$1960,0)),"",INDEX('Compliance Database'!$O$2:$O$1960,MATCH(1636,Engine!$C$2:$C$1960,0)))</f>
        <v/>
      </c>
      <c r="P1649" s="8">
        <f>IF(ISNA(MATCH(1636,Engine!$C$2:$C$1960,0)),"",HYPERLINK("#Acts!A"&amp;INDEX('Compliance Database'!$P$2:$P$1960,MATCH(1636,Engine!$C$2:$C$1960,0)),"Go to Act"))</f>
        <v/>
      </c>
    </row>
    <row r="1650" ht="158" customHeight="1">
      <c r="A1650" s="8">
        <f>IF(ISNA(MATCH(1637,Engine!$C$2:$C$1960,0)),"",INDEX('Compliance Database'!$A$2:$A$1960,MATCH(1637,Engine!$C$2:$C$1960,0)))</f>
        <v/>
      </c>
      <c r="B1650" s="8">
        <f>IF(ISNA(MATCH(1637,Engine!$C$2:$C$1960,0)),"",INDEX('Compliance Database'!$B$2:$B$1960,MATCH(1637,Engine!$C$2:$C$1960,0)))</f>
        <v/>
      </c>
      <c r="C1650" s="8">
        <f>IF(ISNA(MATCH(1637,Engine!$C$2:$C$1960,0)),"",INDEX('Compliance Database'!$C$2:$C$1960,MATCH(1637,Engine!$C$2:$C$1960,0)))</f>
        <v/>
      </c>
      <c r="D1650" s="9">
        <f>IF(ISNA(MATCH(1637,Engine!$C$2:$C$1960,0)),"",INDEX('Compliance Database'!$D$2:$D$1960,MATCH(1637,Engine!$C$2:$C$1960,0)))</f>
        <v/>
      </c>
      <c r="E1650" s="8">
        <f>IF(ISNA(MATCH(1637,Engine!$C$2:$C$1960,0)),"",INDEX('Compliance Database'!$E$2:$E$1960,MATCH(1637,Engine!$C$2:$C$1960,0)))</f>
        <v/>
      </c>
      <c r="F1650" s="8">
        <f>IF(ISNA(MATCH(1637,Engine!$C$2:$C$1960,0)),"",INDEX('Compliance Database'!$F$2:$F$1960,MATCH(1637,Engine!$C$2:$C$1960,0)))</f>
        <v/>
      </c>
      <c r="G1650" s="8">
        <f>IF(ISNA(MATCH(1637,Engine!$C$2:$C$1960,0)),"",INDEX('Compliance Database'!$G$2:$G$1960,MATCH(1637,Engine!$C$2:$C$1960,0)))</f>
        <v/>
      </c>
      <c r="H1650" s="9">
        <f>IF(ISNA(MATCH(1637,Engine!$C$2:$C$1960,0)),"",INDEX('Compliance Database'!$H$2:$H$1960,MATCH(1637,Engine!$C$2:$C$1960,0)))</f>
        <v/>
      </c>
      <c r="I1650" s="9">
        <f>IF(ISNA(MATCH(1637,Engine!$C$2:$C$1960,0)),"",INDEX('Compliance Database'!$I$2:$I$1960,MATCH(1637,Engine!$C$2:$C$1960,0)))</f>
        <v/>
      </c>
      <c r="J1650" s="8">
        <f>IF(ISNA(MATCH(1637,Engine!$C$2:$C$1960,0)),"",INDEX('Compliance Database'!$J$2:$J$1960,MATCH(1637,Engine!$C$2:$C$1960,0)))</f>
        <v/>
      </c>
      <c r="K1650" s="9">
        <f>IF(ISNA(MATCH(1637,Engine!$C$2:$C$1960,0)),"",INDEX('Compliance Database'!$K$2:$K$1960,MATCH(1637,Engine!$C$2:$C$1960,0)))</f>
        <v/>
      </c>
      <c r="L1650" s="9">
        <f>IF(ISNA(MATCH(1637,Engine!$C$2:$C$1960,0)),"",INDEX('Compliance Database'!$L$2:$L$1960,MATCH(1637,Engine!$C$2:$C$1960,0)))</f>
        <v/>
      </c>
      <c r="M1650" s="9">
        <f>IF(ISNA(MATCH(1637,Engine!$C$2:$C$1960,0)),"",INDEX('Compliance Database'!$M$2:$M$1960,MATCH(1637,Engine!$C$2:$C$1960,0)))</f>
        <v/>
      </c>
      <c r="N1650" s="9">
        <f>IF(ISNA(MATCH(1637,Engine!$C$2:$C$1960,0)),"",INDEX('Compliance Database'!$N$2:$N$1960,MATCH(1637,Engine!$C$2:$C$1960,0)))</f>
        <v/>
      </c>
      <c r="O1650" s="9">
        <f>IF(ISNA(MATCH(1637,Engine!$C$2:$C$1960,0)),"",INDEX('Compliance Database'!$O$2:$O$1960,MATCH(1637,Engine!$C$2:$C$1960,0)))</f>
        <v/>
      </c>
      <c r="P1650" s="8">
        <f>IF(ISNA(MATCH(1637,Engine!$C$2:$C$1960,0)),"",HYPERLINK("#Acts!A"&amp;INDEX('Compliance Database'!$P$2:$P$1960,MATCH(1637,Engine!$C$2:$C$1960,0)),"Go to Act"))</f>
        <v/>
      </c>
    </row>
    <row r="1651" ht="158" customHeight="1">
      <c r="A1651" s="8">
        <f>IF(ISNA(MATCH(1638,Engine!$C$2:$C$1960,0)),"",INDEX('Compliance Database'!$A$2:$A$1960,MATCH(1638,Engine!$C$2:$C$1960,0)))</f>
        <v/>
      </c>
      <c r="B1651" s="8">
        <f>IF(ISNA(MATCH(1638,Engine!$C$2:$C$1960,0)),"",INDEX('Compliance Database'!$B$2:$B$1960,MATCH(1638,Engine!$C$2:$C$1960,0)))</f>
        <v/>
      </c>
      <c r="C1651" s="8">
        <f>IF(ISNA(MATCH(1638,Engine!$C$2:$C$1960,0)),"",INDEX('Compliance Database'!$C$2:$C$1960,MATCH(1638,Engine!$C$2:$C$1960,0)))</f>
        <v/>
      </c>
      <c r="D1651" s="9">
        <f>IF(ISNA(MATCH(1638,Engine!$C$2:$C$1960,0)),"",INDEX('Compliance Database'!$D$2:$D$1960,MATCH(1638,Engine!$C$2:$C$1960,0)))</f>
        <v/>
      </c>
      <c r="E1651" s="8">
        <f>IF(ISNA(MATCH(1638,Engine!$C$2:$C$1960,0)),"",INDEX('Compliance Database'!$E$2:$E$1960,MATCH(1638,Engine!$C$2:$C$1960,0)))</f>
        <v/>
      </c>
      <c r="F1651" s="8">
        <f>IF(ISNA(MATCH(1638,Engine!$C$2:$C$1960,0)),"",INDEX('Compliance Database'!$F$2:$F$1960,MATCH(1638,Engine!$C$2:$C$1960,0)))</f>
        <v/>
      </c>
      <c r="G1651" s="8">
        <f>IF(ISNA(MATCH(1638,Engine!$C$2:$C$1960,0)),"",INDEX('Compliance Database'!$G$2:$G$1960,MATCH(1638,Engine!$C$2:$C$1960,0)))</f>
        <v/>
      </c>
      <c r="H1651" s="9">
        <f>IF(ISNA(MATCH(1638,Engine!$C$2:$C$1960,0)),"",INDEX('Compliance Database'!$H$2:$H$1960,MATCH(1638,Engine!$C$2:$C$1960,0)))</f>
        <v/>
      </c>
      <c r="I1651" s="9">
        <f>IF(ISNA(MATCH(1638,Engine!$C$2:$C$1960,0)),"",INDEX('Compliance Database'!$I$2:$I$1960,MATCH(1638,Engine!$C$2:$C$1960,0)))</f>
        <v/>
      </c>
      <c r="J1651" s="8">
        <f>IF(ISNA(MATCH(1638,Engine!$C$2:$C$1960,0)),"",INDEX('Compliance Database'!$J$2:$J$1960,MATCH(1638,Engine!$C$2:$C$1960,0)))</f>
        <v/>
      </c>
      <c r="K1651" s="9">
        <f>IF(ISNA(MATCH(1638,Engine!$C$2:$C$1960,0)),"",INDEX('Compliance Database'!$K$2:$K$1960,MATCH(1638,Engine!$C$2:$C$1960,0)))</f>
        <v/>
      </c>
      <c r="L1651" s="9">
        <f>IF(ISNA(MATCH(1638,Engine!$C$2:$C$1960,0)),"",INDEX('Compliance Database'!$L$2:$L$1960,MATCH(1638,Engine!$C$2:$C$1960,0)))</f>
        <v/>
      </c>
      <c r="M1651" s="9">
        <f>IF(ISNA(MATCH(1638,Engine!$C$2:$C$1960,0)),"",INDEX('Compliance Database'!$M$2:$M$1960,MATCH(1638,Engine!$C$2:$C$1960,0)))</f>
        <v/>
      </c>
      <c r="N1651" s="9">
        <f>IF(ISNA(MATCH(1638,Engine!$C$2:$C$1960,0)),"",INDEX('Compliance Database'!$N$2:$N$1960,MATCH(1638,Engine!$C$2:$C$1960,0)))</f>
        <v/>
      </c>
      <c r="O1651" s="9">
        <f>IF(ISNA(MATCH(1638,Engine!$C$2:$C$1960,0)),"",INDEX('Compliance Database'!$O$2:$O$1960,MATCH(1638,Engine!$C$2:$C$1960,0)))</f>
        <v/>
      </c>
      <c r="P1651" s="8">
        <f>IF(ISNA(MATCH(1638,Engine!$C$2:$C$1960,0)),"",HYPERLINK("#Acts!A"&amp;INDEX('Compliance Database'!$P$2:$P$1960,MATCH(1638,Engine!$C$2:$C$1960,0)),"Go to Act"))</f>
        <v/>
      </c>
    </row>
    <row r="1652" ht="158" customHeight="1">
      <c r="A1652" s="8">
        <f>IF(ISNA(MATCH(1639,Engine!$C$2:$C$1960,0)),"",INDEX('Compliance Database'!$A$2:$A$1960,MATCH(1639,Engine!$C$2:$C$1960,0)))</f>
        <v/>
      </c>
      <c r="B1652" s="8">
        <f>IF(ISNA(MATCH(1639,Engine!$C$2:$C$1960,0)),"",INDEX('Compliance Database'!$B$2:$B$1960,MATCH(1639,Engine!$C$2:$C$1960,0)))</f>
        <v/>
      </c>
      <c r="C1652" s="8">
        <f>IF(ISNA(MATCH(1639,Engine!$C$2:$C$1960,0)),"",INDEX('Compliance Database'!$C$2:$C$1960,MATCH(1639,Engine!$C$2:$C$1960,0)))</f>
        <v/>
      </c>
      <c r="D1652" s="9">
        <f>IF(ISNA(MATCH(1639,Engine!$C$2:$C$1960,0)),"",INDEX('Compliance Database'!$D$2:$D$1960,MATCH(1639,Engine!$C$2:$C$1960,0)))</f>
        <v/>
      </c>
      <c r="E1652" s="8">
        <f>IF(ISNA(MATCH(1639,Engine!$C$2:$C$1960,0)),"",INDEX('Compliance Database'!$E$2:$E$1960,MATCH(1639,Engine!$C$2:$C$1960,0)))</f>
        <v/>
      </c>
      <c r="F1652" s="8">
        <f>IF(ISNA(MATCH(1639,Engine!$C$2:$C$1960,0)),"",INDEX('Compliance Database'!$F$2:$F$1960,MATCH(1639,Engine!$C$2:$C$1960,0)))</f>
        <v/>
      </c>
      <c r="G1652" s="8">
        <f>IF(ISNA(MATCH(1639,Engine!$C$2:$C$1960,0)),"",INDEX('Compliance Database'!$G$2:$G$1960,MATCH(1639,Engine!$C$2:$C$1960,0)))</f>
        <v/>
      </c>
      <c r="H1652" s="9">
        <f>IF(ISNA(MATCH(1639,Engine!$C$2:$C$1960,0)),"",INDEX('Compliance Database'!$H$2:$H$1960,MATCH(1639,Engine!$C$2:$C$1960,0)))</f>
        <v/>
      </c>
      <c r="I1652" s="9">
        <f>IF(ISNA(MATCH(1639,Engine!$C$2:$C$1960,0)),"",INDEX('Compliance Database'!$I$2:$I$1960,MATCH(1639,Engine!$C$2:$C$1960,0)))</f>
        <v/>
      </c>
      <c r="J1652" s="8">
        <f>IF(ISNA(MATCH(1639,Engine!$C$2:$C$1960,0)),"",INDEX('Compliance Database'!$J$2:$J$1960,MATCH(1639,Engine!$C$2:$C$1960,0)))</f>
        <v/>
      </c>
      <c r="K1652" s="9">
        <f>IF(ISNA(MATCH(1639,Engine!$C$2:$C$1960,0)),"",INDEX('Compliance Database'!$K$2:$K$1960,MATCH(1639,Engine!$C$2:$C$1960,0)))</f>
        <v/>
      </c>
      <c r="L1652" s="9">
        <f>IF(ISNA(MATCH(1639,Engine!$C$2:$C$1960,0)),"",INDEX('Compliance Database'!$L$2:$L$1960,MATCH(1639,Engine!$C$2:$C$1960,0)))</f>
        <v/>
      </c>
      <c r="M1652" s="9">
        <f>IF(ISNA(MATCH(1639,Engine!$C$2:$C$1960,0)),"",INDEX('Compliance Database'!$M$2:$M$1960,MATCH(1639,Engine!$C$2:$C$1960,0)))</f>
        <v/>
      </c>
      <c r="N1652" s="9">
        <f>IF(ISNA(MATCH(1639,Engine!$C$2:$C$1960,0)),"",INDEX('Compliance Database'!$N$2:$N$1960,MATCH(1639,Engine!$C$2:$C$1960,0)))</f>
        <v/>
      </c>
      <c r="O1652" s="9">
        <f>IF(ISNA(MATCH(1639,Engine!$C$2:$C$1960,0)),"",INDEX('Compliance Database'!$O$2:$O$1960,MATCH(1639,Engine!$C$2:$C$1960,0)))</f>
        <v/>
      </c>
      <c r="P1652" s="8">
        <f>IF(ISNA(MATCH(1639,Engine!$C$2:$C$1960,0)),"",HYPERLINK("#Acts!A"&amp;INDEX('Compliance Database'!$P$2:$P$1960,MATCH(1639,Engine!$C$2:$C$1960,0)),"Go to Act"))</f>
        <v/>
      </c>
    </row>
    <row r="1653" ht="158" customHeight="1">
      <c r="A1653" s="8">
        <f>IF(ISNA(MATCH(1640,Engine!$C$2:$C$1960,0)),"",INDEX('Compliance Database'!$A$2:$A$1960,MATCH(1640,Engine!$C$2:$C$1960,0)))</f>
        <v/>
      </c>
      <c r="B1653" s="8">
        <f>IF(ISNA(MATCH(1640,Engine!$C$2:$C$1960,0)),"",INDEX('Compliance Database'!$B$2:$B$1960,MATCH(1640,Engine!$C$2:$C$1960,0)))</f>
        <v/>
      </c>
      <c r="C1653" s="8">
        <f>IF(ISNA(MATCH(1640,Engine!$C$2:$C$1960,0)),"",INDEX('Compliance Database'!$C$2:$C$1960,MATCH(1640,Engine!$C$2:$C$1960,0)))</f>
        <v/>
      </c>
      <c r="D1653" s="9">
        <f>IF(ISNA(MATCH(1640,Engine!$C$2:$C$1960,0)),"",INDEX('Compliance Database'!$D$2:$D$1960,MATCH(1640,Engine!$C$2:$C$1960,0)))</f>
        <v/>
      </c>
      <c r="E1653" s="8">
        <f>IF(ISNA(MATCH(1640,Engine!$C$2:$C$1960,0)),"",INDEX('Compliance Database'!$E$2:$E$1960,MATCH(1640,Engine!$C$2:$C$1960,0)))</f>
        <v/>
      </c>
      <c r="F1653" s="8">
        <f>IF(ISNA(MATCH(1640,Engine!$C$2:$C$1960,0)),"",INDEX('Compliance Database'!$F$2:$F$1960,MATCH(1640,Engine!$C$2:$C$1960,0)))</f>
        <v/>
      </c>
      <c r="G1653" s="8">
        <f>IF(ISNA(MATCH(1640,Engine!$C$2:$C$1960,0)),"",INDEX('Compliance Database'!$G$2:$G$1960,MATCH(1640,Engine!$C$2:$C$1960,0)))</f>
        <v/>
      </c>
      <c r="H1653" s="9">
        <f>IF(ISNA(MATCH(1640,Engine!$C$2:$C$1960,0)),"",INDEX('Compliance Database'!$H$2:$H$1960,MATCH(1640,Engine!$C$2:$C$1960,0)))</f>
        <v/>
      </c>
      <c r="I1653" s="9">
        <f>IF(ISNA(MATCH(1640,Engine!$C$2:$C$1960,0)),"",INDEX('Compliance Database'!$I$2:$I$1960,MATCH(1640,Engine!$C$2:$C$1960,0)))</f>
        <v/>
      </c>
      <c r="J1653" s="8">
        <f>IF(ISNA(MATCH(1640,Engine!$C$2:$C$1960,0)),"",INDEX('Compliance Database'!$J$2:$J$1960,MATCH(1640,Engine!$C$2:$C$1960,0)))</f>
        <v/>
      </c>
      <c r="K1653" s="9">
        <f>IF(ISNA(MATCH(1640,Engine!$C$2:$C$1960,0)),"",INDEX('Compliance Database'!$K$2:$K$1960,MATCH(1640,Engine!$C$2:$C$1960,0)))</f>
        <v/>
      </c>
      <c r="L1653" s="9">
        <f>IF(ISNA(MATCH(1640,Engine!$C$2:$C$1960,0)),"",INDEX('Compliance Database'!$L$2:$L$1960,MATCH(1640,Engine!$C$2:$C$1960,0)))</f>
        <v/>
      </c>
      <c r="M1653" s="9">
        <f>IF(ISNA(MATCH(1640,Engine!$C$2:$C$1960,0)),"",INDEX('Compliance Database'!$M$2:$M$1960,MATCH(1640,Engine!$C$2:$C$1960,0)))</f>
        <v/>
      </c>
      <c r="N1653" s="9">
        <f>IF(ISNA(MATCH(1640,Engine!$C$2:$C$1960,0)),"",INDEX('Compliance Database'!$N$2:$N$1960,MATCH(1640,Engine!$C$2:$C$1960,0)))</f>
        <v/>
      </c>
      <c r="O1653" s="9">
        <f>IF(ISNA(MATCH(1640,Engine!$C$2:$C$1960,0)),"",INDEX('Compliance Database'!$O$2:$O$1960,MATCH(1640,Engine!$C$2:$C$1960,0)))</f>
        <v/>
      </c>
      <c r="P1653" s="8">
        <f>IF(ISNA(MATCH(1640,Engine!$C$2:$C$1960,0)),"",HYPERLINK("#Acts!A"&amp;INDEX('Compliance Database'!$P$2:$P$1960,MATCH(1640,Engine!$C$2:$C$1960,0)),"Go to Act"))</f>
        <v/>
      </c>
    </row>
    <row r="1654" ht="158" customHeight="1">
      <c r="A1654" s="8">
        <f>IF(ISNA(MATCH(1641,Engine!$C$2:$C$1960,0)),"",INDEX('Compliance Database'!$A$2:$A$1960,MATCH(1641,Engine!$C$2:$C$1960,0)))</f>
        <v/>
      </c>
      <c r="B1654" s="8">
        <f>IF(ISNA(MATCH(1641,Engine!$C$2:$C$1960,0)),"",INDEX('Compliance Database'!$B$2:$B$1960,MATCH(1641,Engine!$C$2:$C$1960,0)))</f>
        <v/>
      </c>
      <c r="C1654" s="8">
        <f>IF(ISNA(MATCH(1641,Engine!$C$2:$C$1960,0)),"",INDEX('Compliance Database'!$C$2:$C$1960,MATCH(1641,Engine!$C$2:$C$1960,0)))</f>
        <v/>
      </c>
      <c r="D1654" s="9">
        <f>IF(ISNA(MATCH(1641,Engine!$C$2:$C$1960,0)),"",INDEX('Compliance Database'!$D$2:$D$1960,MATCH(1641,Engine!$C$2:$C$1960,0)))</f>
        <v/>
      </c>
      <c r="E1654" s="8">
        <f>IF(ISNA(MATCH(1641,Engine!$C$2:$C$1960,0)),"",INDEX('Compliance Database'!$E$2:$E$1960,MATCH(1641,Engine!$C$2:$C$1960,0)))</f>
        <v/>
      </c>
      <c r="F1654" s="8">
        <f>IF(ISNA(MATCH(1641,Engine!$C$2:$C$1960,0)),"",INDEX('Compliance Database'!$F$2:$F$1960,MATCH(1641,Engine!$C$2:$C$1960,0)))</f>
        <v/>
      </c>
      <c r="G1654" s="8">
        <f>IF(ISNA(MATCH(1641,Engine!$C$2:$C$1960,0)),"",INDEX('Compliance Database'!$G$2:$G$1960,MATCH(1641,Engine!$C$2:$C$1960,0)))</f>
        <v/>
      </c>
      <c r="H1654" s="9">
        <f>IF(ISNA(MATCH(1641,Engine!$C$2:$C$1960,0)),"",INDEX('Compliance Database'!$H$2:$H$1960,MATCH(1641,Engine!$C$2:$C$1960,0)))</f>
        <v/>
      </c>
      <c r="I1654" s="9">
        <f>IF(ISNA(MATCH(1641,Engine!$C$2:$C$1960,0)),"",INDEX('Compliance Database'!$I$2:$I$1960,MATCH(1641,Engine!$C$2:$C$1960,0)))</f>
        <v/>
      </c>
      <c r="J1654" s="8">
        <f>IF(ISNA(MATCH(1641,Engine!$C$2:$C$1960,0)),"",INDEX('Compliance Database'!$J$2:$J$1960,MATCH(1641,Engine!$C$2:$C$1960,0)))</f>
        <v/>
      </c>
      <c r="K1654" s="9">
        <f>IF(ISNA(MATCH(1641,Engine!$C$2:$C$1960,0)),"",INDEX('Compliance Database'!$K$2:$K$1960,MATCH(1641,Engine!$C$2:$C$1960,0)))</f>
        <v/>
      </c>
      <c r="L1654" s="9">
        <f>IF(ISNA(MATCH(1641,Engine!$C$2:$C$1960,0)),"",INDEX('Compliance Database'!$L$2:$L$1960,MATCH(1641,Engine!$C$2:$C$1960,0)))</f>
        <v/>
      </c>
      <c r="M1654" s="9">
        <f>IF(ISNA(MATCH(1641,Engine!$C$2:$C$1960,0)),"",INDEX('Compliance Database'!$M$2:$M$1960,MATCH(1641,Engine!$C$2:$C$1960,0)))</f>
        <v/>
      </c>
      <c r="N1654" s="9">
        <f>IF(ISNA(MATCH(1641,Engine!$C$2:$C$1960,0)),"",INDEX('Compliance Database'!$N$2:$N$1960,MATCH(1641,Engine!$C$2:$C$1960,0)))</f>
        <v/>
      </c>
      <c r="O1654" s="9">
        <f>IF(ISNA(MATCH(1641,Engine!$C$2:$C$1960,0)),"",INDEX('Compliance Database'!$O$2:$O$1960,MATCH(1641,Engine!$C$2:$C$1960,0)))</f>
        <v/>
      </c>
      <c r="P1654" s="8">
        <f>IF(ISNA(MATCH(1641,Engine!$C$2:$C$1960,0)),"",HYPERLINK("#Acts!A"&amp;INDEX('Compliance Database'!$P$2:$P$1960,MATCH(1641,Engine!$C$2:$C$1960,0)),"Go to Act"))</f>
        <v/>
      </c>
    </row>
    <row r="1655" ht="158" customHeight="1">
      <c r="A1655" s="8">
        <f>IF(ISNA(MATCH(1642,Engine!$C$2:$C$1960,0)),"",INDEX('Compliance Database'!$A$2:$A$1960,MATCH(1642,Engine!$C$2:$C$1960,0)))</f>
        <v/>
      </c>
      <c r="B1655" s="8">
        <f>IF(ISNA(MATCH(1642,Engine!$C$2:$C$1960,0)),"",INDEX('Compliance Database'!$B$2:$B$1960,MATCH(1642,Engine!$C$2:$C$1960,0)))</f>
        <v/>
      </c>
      <c r="C1655" s="8">
        <f>IF(ISNA(MATCH(1642,Engine!$C$2:$C$1960,0)),"",INDEX('Compliance Database'!$C$2:$C$1960,MATCH(1642,Engine!$C$2:$C$1960,0)))</f>
        <v/>
      </c>
      <c r="D1655" s="9">
        <f>IF(ISNA(MATCH(1642,Engine!$C$2:$C$1960,0)),"",INDEX('Compliance Database'!$D$2:$D$1960,MATCH(1642,Engine!$C$2:$C$1960,0)))</f>
        <v/>
      </c>
      <c r="E1655" s="8">
        <f>IF(ISNA(MATCH(1642,Engine!$C$2:$C$1960,0)),"",INDEX('Compliance Database'!$E$2:$E$1960,MATCH(1642,Engine!$C$2:$C$1960,0)))</f>
        <v/>
      </c>
      <c r="F1655" s="8">
        <f>IF(ISNA(MATCH(1642,Engine!$C$2:$C$1960,0)),"",INDEX('Compliance Database'!$F$2:$F$1960,MATCH(1642,Engine!$C$2:$C$1960,0)))</f>
        <v/>
      </c>
      <c r="G1655" s="8">
        <f>IF(ISNA(MATCH(1642,Engine!$C$2:$C$1960,0)),"",INDEX('Compliance Database'!$G$2:$G$1960,MATCH(1642,Engine!$C$2:$C$1960,0)))</f>
        <v/>
      </c>
      <c r="H1655" s="9">
        <f>IF(ISNA(MATCH(1642,Engine!$C$2:$C$1960,0)),"",INDEX('Compliance Database'!$H$2:$H$1960,MATCH(1642,Engine!$C$2:$C$1960,0)))</f>
        <v/>
      </c>
      <c r="I1655" s="9">
        <f>IF(ISNA(MATCH(1642,Engine!$C$2:$C$1960,0)),"",INDEX('Compliance Database'!$I$2:$I$1960,MATCH(1642,Engine!$C$2:$C$1960,0)))</f>
        <v/>
      </c>
      <c r="J1655" s="8">
        <f>IF(ISNA(MATCH(1642,Engine!$C$2:$C$1960,0)),"",INDEX('Compliance Database'!$J$2:$J$1960,MATCH(1642,Engine!$C$2:$C$1960,0)))</f>
        <v/>
      </c>
      <c r="K1655" s="9">
        <f>IF(ISNA(MATCH(1642,Engine!$C$2:$C$1960,0)),"",INDEX('Compliance Database'!$K$2:$K$1960,MATCH(1642,Engine!$C$2:$C$1960,0)))</f>
        <v/>
      </c>
      <c r="L1655" s="9">
        <f>IF(ISNA(MATCH(1642,Engine!$C$2:$C$1960,0)),"",INDEX('Compliance Database'!$L$2:$L$1960,MATCH(1642,Engine!$C$2:$C$1960,0)))</f>
        <v/>
      </c>
      <c r="M1655" s="9">
        <f>IF(ISNA(MATCH(1642,Engine!$C$2:$C$1960,0)),"",INDEX('Compliance Database'!$M$2:$M$1960,MATCH(1642,Engine!$C$2:$C$1960,0)))</f>
        <v/>
      </c>
      <c r="N1655" s="9">
        <f>IF(ISNA(MATCH(1642,Engine!$C$2:$C$1960,0)),"",INDEX('Compliance Database'!$N$2:$N$1960,MATCH(1642,Engine!$C$2:$C$1960,0)))</f>
        <v/>
      </c>
      <c r="O1655" s="9">
        <f>IF(ISNA(MATCH(1642,Engine!$C$2:$C$1960,0)),"",INDEX('Compliance Database'!$O$2:$O$1960,MATCH(1642,Engine!$C$2:$C$1960,0)))</f>
        <v/>
      </c>
      <c r="P1655" s="8">
        <f>IF(ISNA(MATCH(1642,Engine!$C$2:$C$1960,0)),"",HYPERLINK("#Acts!A"&amp;INDEX('Compliance Database'!$P$2:$P$1960,MATCH(1642,Engine!$C$2:$C$1960,0)),"Go to Act"))</f>
        <v/>
      </c>
    </row>
    <row r="1656" ht="158" customHeight="1">
      <c r="A1656" s="8">
        <f>IF(ISNA(MATCH(1643,Engine!$C$2:$C$1960,0)),"",INDEX('Compliance Database'!$A$2:$A$1960,MATCH(1643,Engine!$C$2:$C$1960,0)))</f>
        <v/>
      </c>
      <c r="B1656" s="8">
        <f>IF(ISNA(MATCH(1643,Engine!$C$2:$C$1960,0)),"",INDEX('Compliance Database'!$B$2:$B$1960,MATCH(1643,Engine!$C$2:$C$1960,0)))</f>
        <v/>
      </c>
      <c r="C1656" s="8">
        <f>IF(ISNA(MATCH(1643,Engine!$C$2:$C$1960,0)),"",INDEX('Compliance Database'!$C$2:$C$1960,MATCH(1643,Engine!$C$2:$C$1960,0)))</f>
        <v/>
      </c>
      <c r="D1656" s="9">
        <f>IF(ISNA(MATCH(1643,Engine!$C$2:$C$1960,0)),"",INDEX('Compliance Database'!$D$2:$D$1960,MATCH(1643,Engine!$C$2:$C$1960,0)))</f>
        <v/>
      </c>
      <c r="E1656" s="8">
        <f>IF(ISNA(MATCH(1643,Engine!$C$2:$C$1960,0)),"",INDEX('Compliance Database'!$E$2:$E$1960,MATCH(1643,Engine!$C$2:$C$1960,0)))</f>
        <v/>
      </c>
      <c r="F1656" s="8">
        <f>IF(ISNA(MATCH(1643,Engine!$C$2:$C$1960,0)),"",INDEX('Compliance Database'!$F$2:$F$1960,MATCH(1643,Engine!$C$2:$C$1960,0)))</f>
        <v/>
      </c>
      <c r="G1656" s="8">
        <f>IF(ISNA(MATCH(1643,Engine!$C$2:$C$1960,0)),"",INDEX('Compliance Database'!$G$2:$G$1960,MATCH(1643,Engine!$C$2:$C$1960,0)))</f>
        <v/>
      </c>
      <c r="H1656" s="9">
        <f>IF(ISNA(MATCH(1643,Engine!$C$2:$C$1960,0)),"",INDEX('Compliance Database'!$H$2:$H$1960,MATCH(1643,Engine!$C$2:$C$1960,0)))</f>
        <v/>
      </c>
      <c r="I1656" s="9">
        <f>IF(ISNA(MATCH(1643,Engine!$C$2:$C$1960,0)),"",INDEX('Compliance Database'!$I$2:$I$1960,MATCH(1643,Engine!$C$2:$C$1960,0)))</f>
        <v/>
      </c>
      <c r="J1656" s="8">
        <f>IF(ISNA(MATCH(1643,Engine!$C$2:$C$1960,0)),"",INDEX('Compliance Database'!$J$2:$J$1960,MATCH(1643,Engine!$C$2:$C$1960,0)))</f>
        <v/>
      </c>
      <c r="K1656" s="9">
        <f>IF(ISNA(MATCH(1643,Engine!$C$2:$C$1960,0)),"",INDEX('Compliance Database'!$K$2:$K$1960,MATCH(1643,Engine!$C$2:$C$1960,0)))</f>
        <v/>
      </c>
      <c r="L1656" s="9">
        <f>IF(ISNA(MATCH(1643,Engine!$C$2:$C$1960,0)),"",INDEX('Compliance Database'!$L$2:$L$1960,MATCH(1643,Engine!$C$2:$C$1960,0)))</f>
        <v/>
      </c>
      <c r="M1656" s="9">
        <f>IF(ISNA(MATCH(1643,Engine!$C$2:$C$1960,0)),"",INDEX('Compliance Database'!$M$2:$M$1960,MATCH(1643,Engine!$C$2:$C$1960,0)))</f>
        <v/>
      </c>
      <c r="N1656" s="9">
        <f>IF(ISNA(MATCH(1643,Engine!$C$2:$C$1960,0)),"",INDEX('Compliance Database'!$N$2:$N$1960,MATCH(1643,Engine!$C$2:$C$1960,0)))</f>
        <v/>
      </c>
      <c r="O1656" s="9">
        <f>IF(ISNA(MATCH(1643,Engine!$C$2:$C$1960,0)),"",INDEX('Compliance Database'!$O$2:$O$1960,MATCH(1643,Engine!$C$2:$C$1960,0)))</f>
        <v/>
      </c>
      <c r="P1656" s="8">
        <f>IF(ISNA(MATCH(1643,Engine!$C$2:$C$1960,0)),"",HYPERLINK("#Acts!A"&amp;INDEX('Compliance Database'!$P$2:$P$1960,MATCH(1643,Engine!$C$2:$C$1960,0)),"Go to Act"))</f>
        <v/>
      </c>
    </row>
    <row r="1657" ht="158" customHeight="1">
      <c r="A1657" s="8">
        <f>IF(ISNA(MATCH(1644,Engine!$C$2:$C$1960,0)),"",INDEX('Compliance Database'!$A$2:$A$1960,MATCH(1644,Engine!$C$2:$C$1960,0)))</f>
        <v/>
      </c>
      <c r="B1657" s="8">
        <f>IF(ISNA(MATCH(1644,Engine!$C$2:$C$1960,0)),"",INDEX('Compliance Database'!$B$2:$B$1960,MATCH(1644,Engine!$C$2:$C$1960,0)))</f>
        <v/>
      </c>
      <c r="C1657" s="8">
        <f>IF(ISNA(MATCH(1644,Engine!$C$2:$C$1960,0)),"",INDEX('Compliance Database'!$C$2:$C$1960,MATCH(1644,Engine!$C$2:$C$1960,0)))</f>
        <v/>
      </c>
      <c r="D1657" s="9">
        <f>IF(ISNA(MATCH(1644,Engine!$C$2:$C$1960,0)),"",INDEX('Compliance Database'!$D$2:$D$1960,MATCH(1644,Engine!$C$2:$C$1960,0)))</f>
        <v/>
      </c>
      <c r="E1657" s="8">
        <f>IF(ISNA(MATCH(1644,Engine!$C$2:$C$1960,0)),"",INDEX('Compliance Database'!$E$2:$E$1960,MATCH(1644,Engine!$C$2:$C$1960,0)))</f>
        <v/>
      </c>
      <c r="F1657" s="8">
        <f>IF(ISNA(MATCH(1644,Engine!$C$2:$C$1960,0)),"",INDEX('Compliance Database'!$F$2:$F$1960,MATCH(1644,Engine!$C$2:$C$1960,0)))</f>
        <v/>
      </c>
      <c r="G1657" s="8">
        <f>IF(ISNA(MATCH(1644,Engine!$C$2:$C$1960,0)),"",INDEX('Compliance Database'!$G$2:$G$1960,MATCH(1644,Engine!$C$2:$C$1960,0)))</f>
        <v/>
      </c>
      <c r="H1657" s="9">
        <f>IF(ISNA(MATCH(1644,Engine!$C$2:$C$1960,0)),"",INDEX('Compliance Database'!$H$2:$H$1960,MATCH(1644,Engine!$C$2:$C$1960,0)))</f>
        <v/>
      </c>
      <c r="I1657" s="9">
        <f>IF(ISNA(MATCH(1644,Engine!$C$2:$C$1960,0)),"",INDEX('Compliance Database'!$I$2:$I$1960,MATCH(1644,Engine!$C$2:$C$1960,0)))</f>
        <v/>
      </c>
      <c r="J1657" s="8">
        <f>IF(ISNA(MATCH(1644,Engine!$C$2:$C$1960,0)),"",INDEX('Compliance Database'!$J$2:$J$1960,MATCH(1644,Engine!$C$2:$C$1960,0)))</f>
        <v/>
      </c>
      <c r="K1657" s="9">
        <f>IF(ISNA(MATCH(1644,Engine!$C$2:$C$1960,0)),"",INDEX('Compliance Database'!$K$2:$K$1960,MATCH(1644,Engine!$C$2:$C$1960,0)))</f>
        <v/>
      </c>
      <c r="L1657" s="9">
        <f>IF(ISNA(MATCH(1644,Engine!$C$2:$C$1960,0)),"",INDEX('Compliance Database'!$L$2:$L$1960,MATCH(1644,Engine!$C$2:$C$1960,0)))</f>
        <v/>
      </c>
      <c r="M1657" s="9">
        <f>IF(ISNA(MATCH(1644,Engine!$C$2:$C$1960,0)),"",INDEX('Compliance Database'!$M$2:$M$1960,MATCH(1644,Engine!$C$2:$C$1960,0)))</f>
        <v/>
      </c>
      <c r="N1657" s="9">
        <f>IF(ISNA(MATCH(1644,Engine!$C$2:$C$1960,0)),"",INDEX('Compliance Database'!$N$2:$N$1960,MATCH(1644,Engine!$C$2:$C$1960,0)))</f>
        <v/>
      </c>
      <c r="O1657" s="9">
        <f>IF(ISNA(MATCH(1644,Engine!$C$2:$C$1960,0)),"",INDEX('Compliance Database'!$O$2:$O$1960,MATCH(1644,Engine!$C$2:$C$1960,0)))</f>
        <v/>
      </c>
      <c r="P1657" s="8">
        <f>IF(ISNA(MATCH(1644,Engine!$C$2:$C$1960,0)),"",HYPERLINK("#Acts!A"&amp;INDEX('Compliance Database'!$P$2:$P$1960,MATCH(1644,Engine!$C$2:$C$1960,0)),"Go to Act"))</f>
        <v/>
      </c>
    </row>
    <row r="1658" ht="158" customHeight="1">
      <c r="A1658" s="8">
        <f>IF(ISNA(MATCH(1645,Engine!$C$2:$C$1960,0)),"",INDEX('Compliance Database'!$A$2:$A$1960,MATCH(1645,Engine!$C$2:$C$1960,0)))</f>
        <v/>
      </c>
      <c r="B1658" s="8">
        <f>IF(ISNA(MATCH(1645,Engine!$C$2:$C$1960,0)),"",INDEX('Compliance Database'!$B$2:$B$1960,MATCH(1645,Engine!$C$2:$C$1960,0)))</f>
        <v/>
      </c>
      <c r="C1658" s="8">
        <f>IF(ISNA(MATCH(1645,Engine!$C$2:$C$1960,0)),"",INDEX('Compliance Database'!$C$2:$C$1960,MATCH(1645,Engine!$C$2:$C$1960,0)))</f>
        <v/>
      </c>
      <c r="D1658" s="9">
        <f>IF(ISNA(MATCH(1645,Engine!$C$2:$C$1960,0)),"",INDEX('Compliance Database'!$D$2:$D$1960,MATCH(1645,Engine!$C$2:$C$1960,0)))</f>
        <v/>
      </c>
      <c r="E1658" s="8">
        <f>IF(ISNA(MATCH(1645,Engine!$C$2:$C$1960,0)),"",INDEX('Compliance Database'!$E$2:$E$1960,MATCH(1645,Engine!$C$2:$C$1960,0)))</f>
        <v/>
      </c>
      <c r="F1658" s="8">
        <f>IF(ISNA(MATCH(1645,Engine!$C$2:$C$1960,0)),"",INDEX('Compliance Database'!$F$2:$F$1960,MATCH(1645,Engine!$C$2:$C$1960,0)))</f>
        <v/>
      </c>
      <c r="G1658" s="8">
        <f>IF(ISNA(MATCH(1645,Engine!$C$2:$C$1960,0)),"",INDEX('Compliance Database'!$G$2:$G$1960,MATCH(1645,Engine!$C$2:$C$1960,0)))</f>
        <v/>
      </c>
      <c r="H1658" s="9">
        <f>IF(ISNA(MATCH(1645,Engine!$C$2:$C$1960,0)),"",INDEX('Compliance Database'!$H$2:$H$1960,MATCH(1645,Engine!$C$2:$C$1960,0)))</f>
        <v/>
      </c>
      <c r="I1658" s="9">
        <f>IF(ISNA(MATCH(1645,Engine!$C$2:$C$1960,0)),"",INDEX('Compliance Database'!$I$2:$I$1960,MATCH(1645,Engine!$C$2:$C$1960,0)))</f>
        <v/>
      </c>
      <c r="J1658" s="8">
        <f>IF(ISNA(MATCH(1645,Engine!$C$2:$C$1960,0)),"",INDEX('Compliance Database'!$J$2:$J$1960,MATCH(1645,Engine!$C$2:$C$1960,0)))</f>
        <v/>
      </c>
      <c r="K1658" s="9">
        <f>IF(ISNA(MATCH(1645,Engine!$C$2:$C$1960,0)),"",INDEX('Compliance Database'!$K$2:$K$1960,MATCH(1645,Engine!$C$2:$C$1960,0)))</f>
        <v/>
      </c>
      <c r="L1658" s="9">
        <f>IF(ISNA(MATCH(1645,Engine!$C$2:$C$1960,0)),"",INDEX('Compliance Database'!$L$2:$L$1960,MATCH(1645,Engine!$C$2:$C$1960,0)))</f>
        <v/>
      </c>
      <c r="M1658" s="9">
        <f>IF(ISNA(MATCH(1645,Engine!$C$2:$C$1960,0)),"",INDEX('Compliance Database'!$M$2:$M$1960,MATCH(1645,Engine!$C$2:$C$1960,0)))</f>
        <v/>
      </c>
      <c r="N1658" s="9">
        <f>IF(ISNA(MATCH(1645,Engine!$C$2:$C$1960,0)),"",INDEX('Compliance Database'!$N$2:$N$1960,MATCH(1645,Engine!$C$2:$C$1960,0)))</f>
        <v/>
      </c>
      <c r="O1658" s="9">
        <f>IF(ISNA(MATCH(1645,Engine!$C$2:$C$1960,0)),"",INDEX('Compliance Database'!$O$2:$O$1960,MATCH(1645,Engine!$C$2:$C$1960,0)))</f>
        <v/>
      </c>
      <c r="P1658" s="8">
        <f>IF(ISNA(MATCH(1645,Engine!$C$2:$C$1960,0)),"",HYPERLINK("#Acts!A"&amp;INDEX('Compliance Database'!$P$2:$P$1960,MATCH(1645,Engine!$C$2:$C$1960,0)),"Go to Act"))</f>
        <v/>
      </c>
    </row>
    <row r="1659" ht="158" customHeight="1">
      <c r="A1659" s="8">
        <f>IF(ISNA(MATCH(1646,Engine!$C$2:$C$1960,0)),"",INDEX('Compliance Database'!$A$2:$A$1960,MATCH(1646,Engine!$C$2:$C$1960,0)))</f>
        <v/>
      </c>
      <c r="B1659" s="8">
        <f>IF(ISNA(MATCH(1646,Engine!$C$2:$C$1960,0)),"",INDEX('Compliance Database'!$B$2:$B$1960,MATCH(1646,Engine!$C$2:$C$1960,0)))</f>
        <v/>
      </c>
      <c r="C1659" s="8">
        <f>IF(ISNA(MATCH(1646,Engine!$C$2:$C$1960,0)),"",INDEX('Compliance Database'!$C$2:$C$1960,MATCH(1646,Engine!$C$2:$C$1960,0)))</f>
        <v/>
      </c>
      <c r="D1659" s="9">
        <f>IF(ISNA(MATCH(1646,Engine!$C$2:$C$1960,0)),"",INDEX('Compliance Database'!$D$2:$D$1960,MATCH(1646,Engine!$C$2:$C$1960,0)))</f>
        <v/>
      </c>
      <c r="E1659" s="8">
        <f>IF(ISNA(MATCH(1646,Engine!$C$2:$C$1960,0)),"",INDEX('Compliance Database'!$E$2:$E$1960,MATCH(1646,Engine!$C$2:$C$1960,0)))</f>
        <v/>
      </c>
      <c r="F1659" s="8">
        <f>IF(ISNA(MATCH(1646,Engine!$C$2:$C$1960,0)),"",INDEX('Compliance Database'!$F$2:$F$1960,MATCH(1646,Engine!$C$2:$C$1960,0)))</f>
        <v/>
      </c>
      <c r="G1659" s="8">
        <f>IF(ISNA(MATCH(1646,Engine!$C$2:$C$1960,0)),"",INDEX('Compliance Database'!$G$2:$G$1960,MATCH(1646,Engine!$C$2:$C$1960,0)))</f>
        <v/>
      </c>
      <c r="H1659" s="9">
        <f>IF(ISNA(MATCH(1646,Engine!$C$2:$C$1960,0)),"",INDEX('Compliance Database'!$H$2:$H$1960,MATCH(1646,Engine!$C$2:$C$1960,0)))</f>
        <v/>
      </c>
      <c r="I1659" s="9">
        <f>IF(ISNA(MATCH(1646,Engine!$C$2:$C$1960,0)),"",INDEX('Compliance Database'!$I$2:$I$1960,MATCH(1646,Engine!$C$2:$C$1960,0)))</f>
        <v/>
      </c>
      <c r="J1659" s="8">
        <f>IF(ISNA(MATCH(1646,Engine!$C$2:$C$1960,0)),"",INDEX('Compliance Database'!$J$2:$J$1960,MATCH(1646,Engine!$C$2:$C$1960,0)))</f>
        <v/>
      </c>
      <c r="K1659" s="9">
        <f>IF(ISNA(MATCH(1646,Engine!$C$2:$C$1960,0)),"",INDEX('Compliance Database'!$K$2:$K$1960,MATCH(1646,Engine!$C$2:$C$1960,0)))</f>
        <v/>
      </c>
      <c r="L1659" s="9">
        <f>IF(ISNA(MATCH(1646,Engine!$C$2:$C$1960,0)),"",INDEX('Compliance Database'!$L$2:$L$1960,MATCH(1646,Engine!$C$2:$C$1960,0)))</f>
        <v/>
      </c>
      <c r="M1659" s="9">
        <f>IF(ISNA(MATCH(1646,Engine!$C$2:$C$1960,0)),"",INDEX('Compliance Database'!$M$2:$M$1960,MATCH(1646,Engine!$C$2:$C$1960,0)))</f>
        <v/>
      </c>
      <c r="N1659" s="9">
        <f>IF(ISNA(MATCH(1646,Engine!$C$2:$C$1960,0)),"",INDEX('Compliance Database'!$N$2:$N$1960,MATCH(1646,Engine!$C$2:$C$1960,0)))</f>
        <v/>
      </c>
      <c r="O1659" s="9">
        <f>IF(ISNA(MATCH(1646,Engine!$C$2:$C$1960,0)),"",INDEX('Compliance Database'!$O$2:$O$1960,MATCH(1646,Engine!$C$2:$C$1960,0)))</f>
        <v/>
      </c>
      <c r="P1659" s="8">
        <f>IF(ISNA(MATCH(1646,Engine!$C$2:$C$1960,0)),"",HYPERLINK("#Acts!A"&amp;INDEX('Compliance Database'!$P$2:$P$1960,MATCH(1646,Engine!$C$2:$C$1960,0)),"Go to Act"))</f>
        <v/>
      </c>
    </row>
    <row r="1660" ht="158" customHeight="1">
      <c r="A1660" s="8">
        <f>IF(ISNA(MATCH(1647,Engine!$C$2:$C$1960,0)),"",INDEX('Compliance Database'!$A$2:$A$1960,MATCH(1647,Engine!$C$2:$C$1960,0)))</f>
        <v/>
      </c>
      <c r="B1660" s="8">
        <f>IF(ISNA(MATCH(1647,Engine!$C$2:$C$1960,0)),"",INDEX('Compliance Database'!$B$2:$B$1960,MATCH(1647,Engine!$C$2:$C$1960,0)))</f>
        <v/>
      </c>
      <c r="C1660" s="8">
        <f>IF(ISNA(MATCH(1647,Engine!$C$2:$C$1960,0)),"",INDEX('Compliance Database'!$C$2:$C$1960,MATCH(1647,Engine!$C$2:$C$1960,0)))</f>
        <v/>
      </c>
      <c r="D1660" s="9">
        <f>IF(ISNA(MATCH(1647,Engine!$C$2:$C$1960,0)),"",INDEX('Compliance Database'!$D$2:$D$1960,MATCH(1647,Engine!$C$2:$C$1960,0)))</f>
        <v/>
      </c>
      <c r="E1660" s="8">
        <f>IF(ISNA(MATCH(1647,Engine!$C$2:$C$1960,0)),"",INDEX('Compliance Database'!$E$2:$E$1960,MATCH(1647,Engine!$C$2:$C$1960,0)))</f>
        <v/>
      </c>
      <c r="F1660" s="8">
        <f>IF(ISNA(MATCH(1647,Engine!$C$2:$C$1960,0)),"",INDEX('Compliance Database'!$F$2:$F$1960,MATCH(1647,Engine!$C$2:$C$1960,0)))</f>
        <v/>
      </c>
      <c r="G1660" s="8">
        <f>IF(ISNA(MATCH(1647,Engine!$C$2:$C$1960,0)),"",INDEX('Compliance Database'!$G$2:$G$1960,MATCH(1647,Engine!$C$2:$C$1960,0)))</f>
        <v/>
      </c>
      <c r="H1660" s="9">
        <f>IF(ISNA(MATCH(1647,Engine!$C$2:$C$1960,0)),"",INDEX('Compliance Database'!$H$2:$H$1960,MATCH(1647,Engine!$C$2:$C$1960,0)))</f>
        <v/>
      </c>
      <c r="I1660" s="9">
        <f>IF(ISNA(MATCH(1647,Engine!$C$2:$C$1960,0)),"",INDEX('Compliance Database'!$I$2:$I$1960,MATCH(1647,Engine!$C$2:$C$1960,0)))</f>
        <v/>
      </c>
      <c r="J1660" s="8">
        <f>IF(ISNA(MATCH(1647,Engine!$C$2:$C$1960,0)),"",INDEX('Compliance Database'!$J$2:$J$1960,MATCH(1647,Engine!$C$2:$C$1960,0)))</f>
        <v/>
      </c>
      <c r="K1660" s="9">
        <f>IF(ISNA(MATCH(1647,Engine!$C$2:$C$1960,0)),"",INDEX('Compliance Database'!$K$2:$K$1960,MATCH(1647,Engine!$C$2:$C$1960,0)))</f>
        <v/>
      </c>
      <c r="L1660" s="9">
        <f>IF(ISNA(MATCH(1647,Engine!$C$2:$C$1960,0)),"",INDEX('Compliance Database'!$L$2:$L$1960,MATCH(1647,Engine!$C$2:$C$1960,0)))</f>
        <v/>
      </c>
      <c r="M1660" s="9">
        <f>IF(ISNA(MATCH(1647,Engine!$C$2:$C$1960,0)),"",INDEX('Compliance Database'!$M$2:$M$1960,MATCH(1647,Engine!$C$2:$C$1960,0)))</f>
        <v/>
      </c>
      <c r="N1660" s="9">
        <f>IF(ISNA(MATCH(1647,Engine!$C$2:$C$1960,0)),"",INDEX('Compliance Database'!$N$2:$N$1960,MATCH(1647,Engine!$C$2:$C$1960,0)))</f>
        <v/>
      </c>
      <c r="O1660" s="9">
        <f>IF(ISNA(MATCH(1647,Engine!$C$2:$C$1960,0)),"",INDEX('Compliance Database'!$O$2:$O$1960,MATCH(1647,Engine!$C$2:$C$1960,0)))</f>
        <v/>
      </c>
      <c r="P1660" s="8">
        <f>IF(ISNA(MATCH(1647,Engine!$C$2:$C$1960,0)),"",HYPERLINK("#Acts!A"&amp;INDEX('Compliance Database'!$P$2:$P$1960,MATCH(1647,Engine!$C$2:$C$1960,0)),"Go to Act"))</f>
        <v/>
      </c>
    </row>
    <row r="1661" ht="158" customHeight="1">
      <c r="A1661" s="8">
        <f>IF(ISNA(MATCH(1648,Engine!$C$2:$C$1960,0)),"",INDEX('Compliance Database'!$A$2:$A$1960,MATCH(1648,Engine!$C$2:$C$1960,0)))</f>
        <v/>
      </c>
      <c r="B1661" s="8">
        <f>IF(ISNA(MATCH(1648,Engine!$C$2:$C$1960,0)),"",INDEX('Compliance Database'!$B$2:$B$1960,MATCH(1648,Engine!$C$2:$C$1960,0)))</f>
        <v/>
      </c>
      <c r="C1661" s="8">
        <f>IF(ISNA(MATCH(1648,Engine!$C$2:$C$1960,0)),"",INDEX('Compliance Database'!$C$2:$C$1960,MATCH(1648,Engine!$C$2:$C$1960,0)))</f>
        <v/>
      </c>
      <c r="D1661" s="9">
        <f>IF(ISNA(MATCH(1648,Engine!$C$2:$C$1960,0)),"",INDEX('Compliance Database'!$D$2:$D$1960,MATCH(1648,Engine!$C$2:$C$1960,0)))</f>
        <v/>
      </c>
      <c r="E1661" s="8">
        <f>IF(ISNA(MATCH(1648,Engine!$C$2:$C$1960,0)),"",INDEX('Compliance Database'!$E$2:$E$1960,MATCH(1648,Engine!$C$2:$C$1960,0)))</f>
        <v/>
      </c>
      <c r="F1661" s="8">
        <f>IF(ISNA(MATCH(1648,Engine!$C$2:$C$1960,0)),"",INDEX('Compliance Database'!$F$2:$F$1960,MATCH(1648,Engine!$C$2:$C$1960,0)))</f>
        <v/>
      </c>
      <c r="G1661" s="8">
        <f>IF(ISNA(MATCH(1648,Engine!$C$2:$C$1960,0)),"",INDEX('Compliance Database'!$G$2:$G$1960,MATCH(1648,Engine!$C$2:$C$1960,0)))</f>
        <v/>
      </c>
      <c r="H1661" s="9">
        <f>IF(ISNA(MATCH(1648,Engine!$C$2:$C$1960,0)),"",INDEX('Compliance Database'!$H$2:$H$1960,MATCH(1648,Engine!$C$2:$C$1960,0)))</f>
        <v/>
      </c>
      <c r="I1661" s="9">
        <f>IF(ISNA(MATCH(1648,Engine!$C$2:$C$1960,0)),"",INDEX('Compliance Database'!$I$2:$I$1960,MATCH(1648,Engine!$C$2:$C$1960,0)))</f>
        <v/>
      </c>
      <c r="J1661" s="8">
        <f>IF(ISNA(MATCH(1648,Engine!$C$2:$C$1960,0)),"",INDEX('Compliance Database'!$J$2:$J$1960,MATCH(1648,Engine!$C$2:$C$1960,0)))</f>
        <v/>
      </c>
      <c r="K1661" s="9">
        <f>IF(ISNA(MATCH(1648,Engine!$C$2:$C$1960,0)),"",INDEX('Compliance Database'!$K$2:$K$1960,MATCH(1648,Engine!$C$2:$C$1960,0)))</f>
        <v/>
      </c>
      <c r="L1661" s="9">
        <f>IF(ISNA(MATCH(1648,Engine!$C$2:$C$1960,0)),"",INDEX('Compliance Database'!$L$2:$L$1960,MATCH(1648,Engine!$C$2:$C$1960,0)))</f>
        <v/>
      </c>
      <c r="M1661" s="9">
        <f>IF(ISNA(MATCH(1648,Engine!$C$2:$C$1960,0)),"",INDEX('Compliance Database'!$M$2:$M$1960,MATCH(1648,Engine!$C$2:$C$1960,0)))</f>
        <v/>
      </c>
      <c r="N1661" s="9">
        <f>IF(ISNA(MATCH(1648,Engine!$C$2:$C$1960,0)),"",INDEX('Compliance Database'!$N$2:$N$1960,MATCH(1648,Engine!$C$2:$C$1960,0)))</f>
        <v/>
      </c>
      <c r="O1661" s="9">
        <f>IF(ISNA(MATCH(1648,Engine!$C$2:$C$1960,0)),"",INDEX('Compliance Database'!$O$2:$O$1960,MATCH(1648,Engine!$C$2:$C$1960,0)))</f>
        <v/>
      </c>
      <c r="P1661" s="8">
        <f>IF(ISNA(MATCH(1648,Engine!$C$2:$C$1960,0)),"",HYPERLINK("#Acts!A"&amp;INDEX('Compliance Database'!$P$2:$P$1960,MATCH(1648,Engine!$C$2:$C$1960,0)),"Go to Act"))</f>
        <v/>
      </c>
    </row>
    <row r="1662" ht="158" customHeight="1">
      <c r="A1662" s="8">
        <f>IF(ISNA(MATCH(1649,Engine!$C$2:$C$1960,0)),"",INDEX('Compliance Database'!$A$2:$A$1960,MATCH(1649,Engine!$C$2:$C$1960,0)))</f>
        <v/>
      </c>
      <c r="B1662" s="8">
        <f>IF(ISNA(MATCH(1649,Engine!$C$2:$C$1960,0)),"",INDEX('Compliance Database'!$B$2:$B$1960,MATCH(1649,Engine!$C$2:$C$1960,0)))</f>
        <v/>
      </c>
      <c r="C1662" s="8">
        <f>IF(ISNA(MATCH(1649,Engine!$C$2:$C$1960,0)),"",INDEX('Compliance Database'!$C$2:$C$1960,MATCH(1649,Engine!$C$2:$C$1960,0)))</f>
        <v/>
      </c>
      <c r="D1662" s="9">
        <f>IF(ISNA(MATCH(1649,Engine!$C$2:$C$1960,0)),"",INDEX('Compliance Database'!$D$2:$D$1960,MATCH(1649,Engine!$C$2:$C$1960,0)))</f>
        <v/>
      </c>
      <c r="E1662" s="8">
        <f>IF(ISNA(MATCH(1649,Engine!$C$2:$C$1960,0)),"",INDEX('Compliance Database'!$E$2:$E$1960,MATCH(1649,Engine!$C$2:$C$1960,0)))</f>
        <v/>
      </c>
      <c r="F1662" s="8">
        <f>IF(ISNA(MATCH(1649,Engine!$C$2:$C$1960,0)),"",INDEX('Compliance Database'!$F$2:$F$1960,MATCH(1649,Engine!$C$2:$C$1960,0)))</f>
        <v/>
      </c>
      <c r="G1662" s="8">
        <f>IF(ISNA(MATCH(1649,Engine!$C$2:$C$1960,0)),"",INDEX('Compliance Database'!$G$2:$G$1960,MATCH(1649,Engine!$C$2:$C$1960,0)))</f>
        <v/>
      </c>
      <c r="H1662" s="9">
        <f>IF(ISNA(MATCH(1649,Engine!$C$2:$C$1960,0)),"",INDEX('Compliance Database'!$H$2:$H$1960,MATCH(1649,Engine!$C$2:$C$1960,0)))</f>
        <v/>
      </c>
      <c r="I1662" s="9">
        <f>IF(ISNA(MATCH(1649,Engine!$C$2:$C$1960,0)),"",INDEX('Compliance Database'!$I$2:$I$1960,MATCH(1649,Engine!$C$2:$C$1960,0)))</f>
        <v/>
      </c>
      <c r="J1662" s="8">
        <f>IF(ISNA(MATCH(1649,Engine!$C$2:$C$1960,0)),"",INDEX('Compliance Database'!$J$2:$J$1960,MATCH(1649,Engine!$C$2:$C$1960,0)))</f>
        <v/>
      </c>
      <c r="K1662" s="9">
        <f>IF(ISNA(MATCH(1649,Engine!$C$2:$C$1960,0)),"",INDEX('Compliance Database'!$K$2:$K$1960,MATCH(1649,Engine!$C$2:$C$1960,0)))</f>
        <v/>
      </c>
      <c r="L1662" s="9">
        <f>IF(ISNA(MATCH(1649,Engine!$C$2:$C$1960,0)),"",INDEX('Compliance Database'!$L$2:$L$1960,MATCH(1649,Engine!$C$2:$C$1960,0)))</f>
        <v/>
      </c>
      <c r="M1662" s="9">
        <f>IF(ISNA(MATCH(1649,Engine!$C$2:$C$1960,0)),"",INDEX('Compliance Database'!$M$2:$M$1960,MATCH(1649,Engine!$C$2:$C$1960,0)))</f>
        <v/>
      </c>
      <c r="N1662" s="9">
        <f>IF(ISNA(MATCH(1649,Engine!$C$2:$C$1960,0)),"",INDEX('Compliance Database'!$N$2:$N$1960,MATCH(1649,Engine!$C$2:$C$1960,0)))</f>
        <v/>
      </c>
      <c r="O1662" s="9">
        <f>IF(ISNA(MATCH(1649,Engine!$C$2:$C$1960,0)),"",INDEX('Compliance Database'!$O$2:$O$1960,MATCH(1649,Engine!$C$2:$C$1960,0)))</f>
        <v/>
      </c>
      <c r="P1662" s="8">
        <f>IF(ISNA(MATCH(1649,Engine!$C$2:$C$1960,0)),"",HYPERLINK("#Acts!A"&amp;INDEX('Compliance Database'!$P$2:$P$1960,MATCH(1649,Engine!$C$2:$C$1960,0)),"Go to Act"))</f>
        <v/>
      </c>
    </row>
    <row r="1663" ht="158" customHeight="1">
      <c r="A1663" s="8">
        <f>IF(ISNA(MATCH(1650,Engine!$C$2:$C$1960,0)),"",INDEX('Compliance Database'!$A$2:$A$1960,MATCH(1650,Engine!$C$2:$C$1960,0)))</f>
        <v/>
      </c>
      <c r="B1663" s="8">
        <f>IF(ISNA(MATCH(1650,Engine!$C$2:$C$1960,0)),"",INDEX('Compliance Database'!$B$2:$B$1960,MATCH(1650,Engine!$C$2:$C$1960,0)))</f>
        <v/>
      </c>
      <c r="C1663" s="8">
        <f>IF(ISNA(MATCH(1650,Engine!$C$2:$C$1960,0)),"",INDEX('Compliance Database'!$C$2:$C$1960,MATCH(1650,Engine!$C$2:$C$1960,0)))</f>
        <v/>
      </c>
      <c r="D1663" s="9">
        <f>IF(ISNA(MATCH(1650,Engine!$C$2:$C$1960,0)),"",INDEX('Compliance Database'!$D$2:$D$1960,MATCH(1650,Engine!$C$2:$C$1960,0)))</f>
        <v/>
      </c>
      <c r="E1663" s="8">
        <f>IF(ISNA(MATCH(1650,Engine!$C$2:$C$1960,0)),"",INDEX('Compliance Database'!$E$2:$E$1960,MATCH(1650,Engine!$C$2:$C$1960,0)))</f>
        <v/>
      </c>
      <c r="F1663" s="8">
        <f>IF(ISNA(MATCH(1650,Engine!$C$2:$C$1960,0)),"",INDEX('Compliance Database'!$F$2:$F$1960,MATCH(1650,Engine!$C$2:$C$1960,0)))</f>
        <v/>
      </c>
      <c r="G1663" s="8">
        <f>IF(ISNA(MATCH(1650,Engine!$C$2:$C$1960,0)),"",INDEX('Compliance Database'!$G$2:$G$1960,MATCH(1650,Engine!$C$2:$C$1960,0)))</f>
        <v/>
      </c>
      <c r="H1663" s="9">
        <f>IF(ISNA(MATCH(1650,Engine!$C$2:$C$1960,0)),"",INDEX('Compliance Database'!$H$2:$H$1960,MATCH(1650,Engine!$C$2:$C$1960,0)))</f>
        <v/>
      </c>
      <c r="I1663" s="9">
        <f>IF(ISNA(MATCH(1650,Engine!$C$2:$C$1960,0)),"",INDEX('Compliance Database'!$I$2:$I$1960,MATCH(1650,Engine!$C$2:$C$1960,0)))</f>
        <v/>
      </c>
      <c r="J1663" s="8">
        <f>IF(ISNA(MATCH(1650,Engine!$C$2:$C$1960,0)),"",INDEX('Compliance Database'!$J$2:$J$1960,MATCH(1650,Engine!$C$2:$C$1960,0)))</f>
        <v/>
      </c>
      <c r="K1663" s="9">
        <f>IF(ISNA(MATCH(1650,Engine!$C$2:$C$1960,0)),"",INDEX('Compliance Database'!$K$2:$K$1960,MATCH(1650,Engine!$C$2:$C$1960,0)))</f>
        <v/>
      </c>
      <c r="L1663" s="9">
        <f>IF(ISNA(MATCH(1650,Engine!$C$2:$C$1960,0)),"",INDEX('Compliance Database'!$L$2:$L$1960,MATCH(1650,Engine!$C$2:$C$1960,0)))</f>
        <v/>
      </c>
      <c r="M1663" s="9">
        <f>IF(ISNA(MATCH(1650,Engine!$C$2:$C$1960,0)),"",INDEX('Compliance Database'!$M$2:$M$1960,MATCH(1650,Engine!$C$2:$C$1960,0)))</f>
        <v/>
      </c>
      <c r="N1663" s="9">
        <f>IF(ISNA(MATCH(1650,Engine!$C$2:$C$1960,0)),"",INDEX('Compliance Database'!$N$2:$N$1960,MATCH(1650,Engine!$C$2:$C$1960,0)))</f>
        <v/>
      </c>
      <c r="O1663" s="9">
        <f>IF(ISNA(MATCH(1650,Engine!$C$2:$C$1960,0)),"",INDEX('Compliance Database'!$O$2:$O$1960,MATCH(1650,Engine!$C$2:$C$1960,0)))</f>
        <v/>
      </c>
      <c r="P1663" s="8">
        <f>IF(ISNA(MATCH(1650,Engine!$C$2:$C$1960,0)),"",HYPERLINK("#Acts!A"&amp;INDEX('Compliance Database'!$P$2:$P$1960,MATCH(1650,Engine!$C$2:$C$1960,0)),"Go to Act"))</f>
        <v/>
      </c>
    </row>
    <row r="1664" ht="158" customHeight="1">
      <c r="A1664" s="8">
        <f>IF(ISNA(MATCH(1651,Engine!$C$2:$C$1960,0)),"",INDEX('Compliance Database'!$A$2:$A$1960,MATCH(1651,Engine!$C$2:$C$1960,0)))</f>
        <v/>
      </c>
      <c r="B1664" s="8">
        <f>IF(ISNA(MATCH(1651,Engine!$C$2:$C$1960,0)),"",INDEX('Compliance Database'!$B$2:$B$1960,MATCH(1651,Engine!$C$2:$C$1960,0)))</f>
        <v/>
      </c>
      <c r="C1664" s="8">
        <f>IF(ISNA(MATCH(1651,Engine!$C$2:$C$1960,0)),"",INDEX('Compliance Database'!$C$2:$C$1960,MATCH(1651,Engine!$C$2:$C$1960,0)))</f>
        <v/>
      </c>
      <c r="D1664" s="9">
        <f>IF(ISNA(MATCH(1651,Engine!$C$2:$C$1960,0)),"",INDEX('Compliance Database'!$D$2:$D$1960,MATCH(1651,Engine!$C$2:$C$1960,0)))</f>
        <v/>
      </c>
      <c r="E1664" s="8">
        <f>IF(ISNA(MATCH(1651,Engine!$C$2:$C$1960,0)),"",INDEX('Compliance Database'!$E$2:$E$1960,MATCH(1651,Engine!$C$2:$C$1960,0)))</f>
        <v/>
      </c>
      <c r="F1664" s="8">
        <f>IF(ISNA(MATCH(1651,Engine!$C$2:$C$1960,0)),"",INDEX('Compliance Database'!$F$2:$F$1960,MATCH(1651,Engine!$C$2:$C$1960,0)))</f>
        <v/>
      </c>
      <c r="G1664" s="8">
        <f>IF(ISNA(MATCH(1651,Engine!$C$2:$C$1960,0)),"",INDEX('Compliance Database'!$G$2:$G$1960,MATCH(1651,Engine!$C$2:$C$1960,0)))</f>
        <v/>
      </c>
      <c r="H1664" s="9">
        <f>IF(ISNA(MATCH(1651,Engine!$C$2:$C$1960,0)),"",INDEX('Compliance Database'!$H$2:$H$1960,MATCH(1651,Engine!$C$2:$C$1960,0)))</f>
        <v/>
      </c>
      <c r="I1664" s="9">
        <f>IF(ISNA(MATCH(1651,Engine!$C$2:$C$1960,0)),"",INDEX('Compliance Database'!$I$2:$I$1960,MATCH(1651,Engine!$C$2:$C$1960,0)))</f>
        <v/>
      </c>
      <c r="J1664" s="8">
        <f>IF(ISNA(MATCH(1651,Engine!$C$2:$C$1960,0)),"",INDEX('Compliance Database'!$J$2:$J$1960,MATCH(1651,Engine!$C$2:$C$1960,0)))</f>
        <v/>
      </c>
      <c r="K1664" s="9">
        <f>IF(ISNA(MATCH(1651,Engine!$C$2:$C$1960,0)),"",INDEX('Compliance Database'!$K$2:$K$1960,MATCH(1651,Engine!$C$2:$C$1960,0)))</f>
        <v/>
      </c>
      <c r="L1664" s="9">
        <f>IF(ISNA(MATCH(1651,Engine!$C$2:$C$1960,0)),"",INDEX('Compliance Database'!$L$2:$L$1960,MATCH(1651,Engine!$C$2:$C$1960,0)))</f>
        <v/>
      </c>
      <c r="M1664" s="9">
        <f>IF(ISNA(MATCH(1651,Engine!$C$2:$C$1960,0)),"",INDEX('Compliance Database'!$M$2:$M$1960,MATCH(1651,Engine!$C$2:$C$1960,0)))</f>
        <v/>
      </c>
      <c r="N1664" s="9">
        <f>IF(ISNA(MATCH(1651,Engine!$C$2:$C$1960,0)),"",INDEX('Compliance Database'!$N$2:$N$1960,MATCH(1651,Engine!$C$2:$C$1960,0)))</f>
        <v/>
      </c>
      <c r="O1664" s="9">
        <f>IF(ISNA(MATCH(1651,Engine!$C$2:$C$1960,0)),"",INDEX('Compliance Database'!$O$2:$O$1960,MATCH(1651,Engine!$C$2:$C$1960,0)))</f>
        <v/>
      </c>
      <c r="P1664" s="8">
        <f>IF(ISNA(MATCH(1651,Engine!$C$2:$C$1960,0)),"",HYPERLINK("#Acts!A"&amp;INDEX('Compliance Database'!$P$2:$P$1960,MATCH(1651,Engine!$C$2:$C$1960,0)),"Go to Act"))</f>
        <v/>
      </c>
    </row>
    <row r="1665" ht="158" customHeight="1">
      <c r="A1665" s="8">
        <f>IF(ISNA(MATCH(1652,Engine!$C$2:$C$1960,0)),"",INDEX('Compliance Database'!$A$2:$A$1960,MATCH(1652,Engine!$C$2:$C$1960,0)))</f>
        <v/>
      </c>
      <c r="B1665" s="8">
        <f>IF(ISNA(MATCH(1652,Engine!$C$2:$C$1960,0)),"",INDEX('Compliance Database'!$B$2:$B$1960,MATCH(1652,Engine!$C$2:$C$1960,0)))</f>
        <v/>
      </c>
      <c r="C1665" s="8">
        <f>IF(ISNA(MATCH(1652,Engine!$C$2:$C$1960,0)),"",INDEX('Compliance Database'!$C$2:$C$1960,MATCH(1652,Engine!$C$2:$C$1960,0)))</f>
        <v/>
      </c>
      <c r="D1665" s="9">
        <f>IF(ISNA(MATCH(1652,Engine!$C$2:$C$1960,0)),"",INDEX('Compliance Database'!$D$2:$D$1960,MATCH(1652,Engine!$C$2:$C$1960,0)))</f>
        <v/>
      </c>
      <c r="E1665" s="8">
        <f>IF(ISNA(MATCH(1652,Engine!$C$2:$C$1960,0)),"",INDEX('Compliance Database'!$E$2:$E$1960,MATCH(1652,Engine!$C$2:$C$1960,0)))</f>
        <v/>
      </c>
      <c r="F1665" s="8">
        <f>IF(ISNA(MATCH(1652,Engine!$C$2:$C$1960,0)),"",INDEX('Compliance Database'!$F$2:$F$1960,MATCH(1652,Engine!$C$2:$C$1960,0)))</f>
        <v/>
      </c>
      <c r="G1665" s="8">
        <f>IF(ISNA(MATCH(1652,Engine!$C$2:$C$1960,0)),"",INDEX('Compliance Database'!$G$2:$G$1960,MATCH(1652,Engine!$C$2:$C$1960,0)))</f>
        <v/>
      </c>
      <c r="H1665" s="9">
        <f>IF(ISNA(MATCH(1652,Engine!$C$2:$C$1960,0)),"",INDEX('Compliance Database'!$H$2:$H$1960,MATCH(1652,Engine!$C$2:$C$1960,0)))</f>
        <v/>
      </c>
      <c r="I1665" s="9">
        <f>IF(ISNA(MATCH(1652,Engine!$C$2:$C$1960,0)),"",INDEX('Compliance Database'!$I$2:$I$1960,MATCH(1652,Engine!$C$2:$C$1960,0)))</f>
        <v/>
      </c>
      <c r="J1665" s="8">
        <f>IF(ISNA(MATCH(1652,Engine!$C$2:$C$1960,0)),"",INDEX('Compliance Database'!$J$2:$J$1960,MATCH(1652,Engine!$C$2:$C$1960,0)))</f>
        <v/>
      </c>
      <c r="K1665" s="9">
        <f>IF(ISNA(MATCH(1652,Engine!$C$2:$C$1960,0)),"",INDEX('Compliance Database'!$K$2:$K$1960,MATCH(1652,Engine!$C$2:$C$1960,0)))</f>
        <v/>
      </c>
      <c r="L1665" s="9">
        <f>IF(ISNA(MATCH(1652,Engine!$C$2:$C$1960,0)),"",INDEX('Compliance Database'!$L$2:$L$1960,MATCH(1652,Engine!$C$2:$C$1960,0)))</f>
        <v/>
      </c>
      <c r="M1665" s="9">
        <f>IF(ISNA(MATCH(1652,Engine!$C$2:$C$1960,0)),"",INDEX('Compliance Database'!$M$2:$M$1960,MATCH(1652,Engine!$C$2:$C$1960,0)))</f>
        <v/>
      </c>
      <c r="N1665" s="9">
        <f>IF(ISNA(MATCH(1652,Engine!$C$2:$C$1960,0)),"",INDEX('Compliance Database'!$N$2:$N$1960,MATCH(1652,Engine!$C$2:$C$1960,0)))</f>
        <v/>
      </c>
      <c r="O1665" s="9">
        <f>IF(ISNA(MATCH(1652,Engine!$C$2:$C$1960,0)),"",INDEX('Compliance Database'!$O$2:$O$1960,MATCH(1652,Engine!$C$2:$C$1960,0)))</f>
        <v/>
      </c>
      <c r="P1665" s="8">
        <f>IF(ISNA(MATCH(1652,Engine!$C$2:$C$1960,0)),"",HYPERLINK("#Acts!A"&amp;INDEX('Compliance Database'!$P$2:$P$1960,MATCH(1652,Engine!$C$2:$C$1960,0)),"Go to Act"))</f>
        <v/>
      </c>
    </row>
    <row r="1666" ht="158" customHeight="1">
      <c r="A1666" s="8">
        <f>IF(ISNA(MATCH(1653,Engine!$C$2:$C$1960,0)),"",INDEX('Compliance Database'!$A$2:$A$1960,MATCH(1653,Engine!$C$2:$C$1960,0)))</f>
        <v/>
      </c>
      <c r="B1666" s="8">
        <f>IF(ISNA(MATCH(1653,Engine!$C$2:$C$1960,0)),"",INDEX('Compliance Database'!$B$2:$B$1960,MATCH(1653,Engine!$C$2:$C$1960,0)))</f>
        <v/>
      </c>
      <c r="C1666" s="8">
        <f>IF(ISNA(MATCH(1653,Engine!$C$2:$C$1960,0)),"",INDEX('Compliance Database'!$C$2:$C$1960,MATCH(1653,Engine!$C$2:$C$1960,0)))</f>
        <v/>
      </c>
      <c r="D1666" s="9">
        <f>IF(ISNA(MATCH(1653,Engine!$C$2:$C$1960,0)),"",INDEX('Compliance Database'!$D$2:$D$1960,MATCH(1653,Engine!$C$2:$C$1960,0)))</f>
        <v/>
      </c>
      <c r="E1666" s="8">
        <f>IF(ISNA(MATCH(1653,Engine!$C$2:$C$1960,0)),"",INDEX('Compliance Database'!$E$2:$E$1960,MATCH(1653,Engine!$C$2:$C$1960,0)))</f>
        <v/>
      </c>
      <c r="F1666" s="8">
        <f>IF(ISNA(MATCH(1653,Engine!$C$2:$C$1960,0)),"",INDEX('Compliance Database'!$F$2:$F$1960,MATCH(1653,Engine!$C$2:$C$1960,0)))</f>
        <v/>
      </c>
      <c r="G1666" s="8">
        <f>IF(ISNA(MATCH(1653,Engine!$C$2:$C$1960,0)),"",INDEX('Compliance Database'!$G$2:$G$1960,MATCH(1653,Engine!$C$2:$C$1960,0)))</f>
        <v/>
      </c>
      <c r="H1666" s="9">
        <f>IF(ISNA(MATCH(1653,Engine!$C$2:$C$1960,0)),"",INDEX('Compliance Database'!$H$2:$H$1960,MATCH(1653,Engine!$C$2:$C$1960,0)))</f>
        <v/>
      </c>
      <c r="I1666" s="9">
        <f>IF(ISNA(MATCH(1653,Engine!$C$2:$C$1960,0)),"",INDEX('Compliance Database'!$I$2:$I$1960,MATCH(1653,Engine!$C$2:$C$1960,0)))</f>
        <v/>
      </c>
      <c r="J1666" s="8">
        <f>IF(ISNA(MATCH(1653,Engine!$C$2:$C$1960,0)),"",INDEX('Compliance Database'!$J$2:$J$1960,MATCH(1653,Engine!$C$2:$C$1960,0)))</f>
        <v/>
      </c>
      <c r="K1666" s="9">
        <f>IF(ISNA(MATCH(1653,Engine!$C$2:$C$1960,0)),"",INDEX('Compliance Database'!$K$2:$K$1960,MATCH(1653,Engine!$C$2:$C$1960,0)))</f>
        <v/>
      </c>
      <c r="L1666" s="9">
        <f>IF(ISNA(MATCH(1653,Engine!$C$2:$C$1960,0)),"",INDEX('Compliance Database'!$L$2:$L$1960,MATCH(1653,Engine!$C$2:$C$1960,0)))</f>
        <v/>
      </c>
      <c r="M1666" s="9">
        <f>IF(ISNA(MATCH(1653,Engine!$C$2:$C$1960,0)),"",INDEX('Compliance Database'!$M$2:$M$1960,MATCH(1653,Engine!$C$2:$C$1960,0)))</f>
        <v/>
      </c>
      <c r="N1666" s="9">
        <f>IF(ISNA(MATCH(1653,Engine!$C$2:$C$1960,0)),"",INDEX('Compliance Database'!$N$2:$N$1960,MATCH(1653,Engine!$C$2:$C$1960,0)))</f>
        <v/>
      </c>
      <c r="O1666" s="9">
        <f>IF(ISNA(MATCH(1653,Engine!$C$2:$C$1960,0)),"",INDEX('Compliance Database'!$O$2:$O$1960,MATCH(1653,Engine!$C$2:$C$1960,0)))</f>
        <v/>
      </c>
      <c r="P1666" s="8">
        <f>IF(ISNA(MATCH(1653,Engine!$C$2:$C$1960,0)),"",HYPERLINK("#Acts!A"&amp;INDEX('Compliance Database'!$P$2:$P$1960,MATCH(1653,Engine!$C$2:$C$1960,0)),"Go to Act"))</f>
        <v/>
      </c>
    </row>
    <row r="1667" ht="158" customHeight="1">
      <c r="A1667" s="8">
        <f>IF(ISNA(MATCH(1654,Engine!$C$2:$C$1960,0)),"",INDEX('Compliance Database'!$A$2:$A$1960,MATCH(1654,Engine!$C$2:$C$1960,0)))</f>
        <v/>
      </c>
      <c r="B1667" s="8">
        <f>IF(ISNA(MATCH(1654,Engine!$C$2:$C$1960,0)),"",INDEX('Compliance Database'!$B$2:$B$1960,MATCH(1654,Engine!$C$2:$C$1960,0)))</f>
        <v/>
      </c>
      <c r="C1667" s="8">
        <f>IF(ISNA(MATCH(1654,Engine!$C$2:$C$1960,0)),"",INDEX('Compliance Database'!$C$2:$C$1960,MATCH(1654,Engine!$C$2:$C$1960,0)))</f>
        <v/>
      </c>
      <c r="D1667" s="9">
        <f>IF(ISNA(MATCH(1654,Engine!$C$2:$C$1960,0)),"",INDEX('Compliance Database'!$D$2:$D$1960,MATCH(1654,Engine!$C$2:$C$1960,0)))</f>
        <v/>
      </c>
      <c r="E1667" s="8">
        <f>IF(ISNA(MATCH(1654,Engine!$C$2:$C$1960,0)),"",INDEX('Compliance Database'!$E$2:$E$1960,MATCH(1654,Engine!$C$2:$C$1960,0)))</f>
        <v/>
      </c>
      <c r="F1667" s="8">
        <f>IF(ISNA(MATCH(1654,Engine!$C$2:$C$1960,0)),"",INDEX('Compliance Database'!$F$2:$F$1960,MATCH(1654,Engine!$C$2:$C$1960,0)))</f>
        <v/>
      </c>
      <c r="G1667" s="8">
        <f>IF(ISNA(MATCH(1654,Engine!$C$2:$C$1960,0)),"",INDEX('Compliance Database'!$G$2:$G$1960,MATCH(1654,Engine!$C$2:$C$1960,0)))</f>
        <v/>
      </c>
      <c r="H1667" s="9">
        <f>IF(ISNA(MATCH(1654,Engine!$C$2:$C$1960,0)),"",INDEX('Compliance Database'!$H$2:$H$1960,MATCH(1654,Engine!$C$2:$C$1960,0)))</f>
        <v/>
      </c>
      <c r="I1667" s="9">
        <f>IF(ISNA(MATCH(1654,Engine!$C$2:$C$1960,0)),"",INDEX('Compliance Database'!$I$2:$I$1960,MATCH(1654,Engine!$C$2:$C$1960,0)))</f>
        <v/>
      </c>
      <c r="J1667" s="8">
        <f>IF(ISNA(MATCH(1654,Engine!$C$2:$C$1960,0)),"",INDEX('Compliance Database'!$J$2:$J$1960,MATCH(1654,Engine!$C$2:$C$1960,0)))</f>
        <v/>
      </c>
      <c r="K1667" s="9">
        <f>IF(ISNA(MATCH(1654,Engine!$C$2:$C$1960,0)),"",INDEX('Compliance Database'!$K$2:$K$1960,MATCH(1654,Engine!$C$2:$C$1960,0)))</f>
        <v/>
      </c>
      <c r="L1667" s="9">
        <f>IF(ISNA(MATCH(1654,Engine!$C$2:$C$1960,0)),"",INDEX('Compliance Database'!$L$2:$L$1960,MATCH(1654,Engine!$C$2:$C$1960,0)))</f>
        <v/>
      </c>
      <c r="M1667" s="9">
        <f>IF(ISNA(MATCH(1654,Engine!$C$2:$C$1960,0)),"",INDEX('Compliance Database'!$M$2:$M$1960,MATCH(1654,Engine!$C$2:$C$1960,0)))</f>
        <v/>
      </c>
      <c r="N1667" s="9">
        <f>IF(ISNA(MATCH(1654,Engine!$C$2:$C$1960,0)),"",INDEX('Compliance Database'!$N$2:$N$1960,MATCH(1654,Engine!$C$2:$C$1960,0)))</f>
        <v/>
      </c>
      <c r="O1667" s="9">
        <f>IF(ISNA(MATCH(1654,Engine!$C$2:$C$1960,0)),"",INDEX('Compliance Database'!$O$2:$O$1960,MATCH(1654,Engine!$C$2:$C$1960,0)))</f>
        <v/>
      </c>
      <c r="P1667" s="8">
        <f>IF(ISNA(MATCH(1654,Engine!$C$2:$C$1960,0)),"",HYPERLINK("#Acts!A"&amp;INDEX('Compliance Database'!$P$2:$P$1960,MATCH(1654,Engine!$C$2:$C$1960,0)),"Go to Act"))</f>
        <v/>
      </c>
    </row>
    <row r="1668" ht="158" customHeight="1">
      <c r="A1668" s="8">
        <f>IF(ISNA(MATCH(1655,Engine!$C$2:$C$1960,0)),"",INDEX('Compliance Database'!$A$2:$A$1960,MATCH(1655,Engine!$C$2:$C$1960,0)))</f>
        <v/>
      </c>
      <c r="B1668" s="8">
        <f>IF(ISNA(MATCH(1655,Engine!$C$2:$C$1960,0)),"",INDEX('Compliance Database'!$B$2:$B$1960,MATCH(1655,Engine!$C$2:$C$1960,0)))</f>
        <v/>
      </c>
      <c r="C1668" s="8">
        <f>IF(ISNA(MATCH(1655,Engine!$C$2:$C$1960,0)),"",INDEX('Compliance Database'!$C$2:$C$1960,MATCH(1655,Engine!$C$2:$C$1960,0)))</f>
        <v/>
      </c>
      <c r="D1668" s="9">
        <f>IF(ISNA(MATCH(1655,Engine!$C$2:$C$1960,0)),"",INDEX('Compliance Database'!$D$2:$D$1960,MATCH(1655,Engine!$C$2:$C$1960,0)))</f>
        <v/>
      </c>
      <c r="E1668" s="8">
        <f>IF(ISNA(MATCH(1655,Engine!$C$2:$C$1960,0)),"",INDEX('Compliance Database'!$E$2:$E$1960,MATCH(1655,Engine!$C$2:$C$1960,0)))</f>
        <v/>
      </c>
      <c r="F1668" s="8">
        <f>IF(ISNA(MATCH(1655,Engine!$C$2:$C$1960,0)),"",INDEX('Compliance Database'!$F$2:$F$1960,MATCH(1655,Engine!$C$2:$C$1960,0)))</f>
        <v/>
      </c>
      <c r="G1668" s="8">
        <f>IF(ISNA(MATCH(1655,Engine!$C$2:$C$1960,0)),"",INDEX('Compliance Database'!$G$2:$G$1960,MATCH(1655,Engine!$C$2:$C$1960,0)))</f>
        <v/>
      </c>
      <c r="H1668" s="9">
        <f>IF(ISNA(MATCH(1655,Engine!$C$2:$C$1960,0)),"",INDEX('Compliance Database'!$H$2:$H$1960,MATCH(1655,Engine!$C$2:$C$1960,0)))</f>
        <v/>
      </c>
      <c r="I1668" s="9">
        <f>IF(ISNA(MATCH(1655,Engine!$C$2:$C$1960,0)),"",INDEX('Compliance Database'!$I$2:$I$1960,MATCH(1655,Engine!$C$2:$C$1960,0)))</f>
        <v/>
      </c>
      <c r="J1668" s="8">
        <f>IF(ISNA(MATCH(1655,Engine!$C$2:$C$1960,0)),"",INDEX('Compliance Database'!$J$2:$J$1960,MATCH(1655,Engine!$C$2:$C$1960,0)))</f>
        <v/>
      </c>
      <c r="K1668" s="9">
        <f>IF(ISNA(MATCH(1655,Engine!$C$2:$C$1960,0)),"",INDEX('Compliance Database'!$K$2:$K$1960,MATCH(1655,Engine!$C$2:$C$1960,0)))</f>
        <v/>
      </c>
      <c r="L1668" s="9">
        <f>IF(ISNA(MATCH(1655,Engine!$C$2:$C$1960,0)),"",INDEX('Compliance Database'!$L$2:$L$1960,MATCH(1655,Engine!$C$2:$C$1960,0)))</f>
        <v/>
      </c>
      <c r="M1668" s="9">
        <f>IF(ISNA(MATCH(1655,Engine!$C$2:$C$1960,0)),"",INDEX('Compliance Database'!$M$2:$M$1960,MATCH(1655,Engine!$C$2:$C$1960,0)))</f>
        <v/>
      </c>
      <c r="N1668" s="9">
        <f>IF(ISNA(MATCH(1655,Engine!$C$2:$C$1960,0)),"",INDEX('Compliance Database'!$N$2:$N$1960,MATCH(1655,Engine!$C$2:$C$1960,0)))</f>
        <v/>
      </c>
      <c r="O1668" s="9">
        <f>IF(ISNA(MATCH(1655,Engine!$C$2:$C$1960,0)),"",INDEX('Compliance Database'!$O$2:$O$1960,MATCH(1655,Engine!$C$2:$C$1960,0)))</f>
        <v/>
      </c>
      <c r="P1668" s="8">
        <f>IF(ISNA(MATCH(1655,Engine!$C$2:$C$1960,0)),"",HYPERLINK("#Acts!A"&amp;INDEX('Compliance Database'!$P$2:$P$1960,MATCH(1655,Engine!$C$2:$C$1960,0)),"Go to Act"))</f>
        <v/>
      </c>
    </row>
    <row r="1669" ht="158" customHeight="1">
      <c r="A1669" s="8">
        <f>IF(ISNA(MATCH(1656,Engine!$C$2:$C$1960,0)),"",INDEX('Compliance Database'!$A$2:$A$1960,MATCH(1656,Engine!$C$2:$C$1960,0)))</f>
        <v/>
      </c>
      <c r="B1669" s="8">
        <f>IF(ISNA(MATCH(1656,Engine!$C$2:$C$1960,0)),"",INDEX('Compliance Database'!$B$2:$B$1960,MATCH(1656,Engine!$C$2:$C$1960,0)))</f>
        <v/>
      </c>
      <c r="C1669" s="8">
        <f>IF(ISNA(MATCH(1656,Engine!$C$2:$C$1960,0)),"",INDEX('Compliance Database'!$C$2:$C$1960,MATCH(1656,Engine!$C$2:$C$1960,0)))</f>
        <v/>
      </c>
      <c r="D1669" s="9">
        <f>IF(ISNA(MATCH(1656,Engine!$C$2:$C$1960,0)),"",INDEX('Compliance Database'!$D$2:$D$1960,MATCH(1656,Engine!$C$2:$C$1960,0)))</f>
        <v/>
      </c>
      <c r="E1669" s="8">
        <f>IF(ISNA(MATCH(1656,Engine!$C$2:$C$1960,0)),"",INDEX('Compliance Database'!$E$2:$E$1960,MATCH(1656,Engine!$C$2:$C$1960,0)))</f>
        <v/>
      </c>
      <c r="F1669" s="8">
        <f>IF(ISNA(MATCH(1656,Engine!$C$2:$C$1960,0)),"",INDEX('Compliance Database'!$F$2:$F$1960,MATCH(1656,Engine!$C$2:$C$1960,0)))</f>
        <v/>
      </c>
      <c r="G1669" s="8">
        <f>IF(ISNA(MATCH(1656,Engine!$C$2:$C$1960,0)),"",INDEX('Compliance Database'!$G$2:$G$1960,MATCH(1656,Engine!$C$2:$C$1960,0)))</f>
        <v/>
      </c>
      <c r="H1669" s="9">
        <f>IF(ISNA(MATCH(1656,Engine!$C$2:$C$1960,0)),"",INDEX('Compliance Database'!$H$2:$H$1960,MATCH(1656,Engine!$C$2:$C$1960,0)))</f>
        <v/>
      </c>
      <c r="I1669" s="9">
        <f>IF(ISNA(MATCH(1656,Engine!$C$2:$C$1960,0)),"",INDEX('Compliance Database'!$I$2:$I$1960,MATCH(1656,Engine!$C$2:$C$1960,0)))</f>
        <v/>
      </c>
      <c r="J1669" s="8">
        <f>IF(ISNA(MATCH(1656,Engine!$C$2:$C$1960,0)),"",INDEX('Compliance Database'!$J$2:$J$1960,MATCH(1656,Engine!$C$2:$C$1960,0)))</f>
        <v/>
      </c>
      <c r="K1669" s="9">
        <f>IF(ISNA(MATCH(1656,Engine!$C$2:$C$1960,0)),"",INDEX('Compliance Database'!$K$2:$K$1960,MATCH(1656,Engine!$C$2:$C$1960,0)))</f>
        <v/>
      </c>
      <c r="L1669" s="9">
        <f>IF(ISNA(MATCH(1656,Engine!$C$2:$C$1960,0)),"",INDEX('Compliance Database'!$L$2:$L$1960,MATCH(1656,Engine!$C$2:$C$1960,0)))</f>
        <v/>
      </c>
      <c r="M1669" s="9">
        <f>IF(ISNA(MATCH(1656,Engine!$C$2:$C$1960,0)),"",INDEX('Compliance Database'!$M$2:$M$1960,MATCH(1656,Engine!$C$2:$C$1960,0)))</f>
        <v/>
      </c>
      <c r="N1669" s="9">
        <f>IF(ISNA(MATCH(1656,Engine!$C$2:$C$1960,0)),"",INDEX('Compliance Database'!$N$2:$N$1960,MATCH(1656,Engine!$C$2:$C$1960,0)))</f>
        <v/>
      </c>
      <c r="O1669" s="9">
        <f>IF(ISNA(MATCH(1656,Engine!$C$2:$C$1960,0)),"",INDEX('Compliance Database'!$O$2:$O$1960,MATCH(1656,Engine!$C$2:$C$1960,0)))</f>
        <v/>
      </c>
      <c r="P1669" s="8">
        <f>IF(ISNA(MATCH(1656,Engine!$C$2:$C$1960,0)),"",HYPERLINK("#Acts!A"&amp;INDEX('Compliance Database'!$P$2:$P$1960,MATCH(1656,Engine!$C$2:$C$1960,0)),"Go to Act"))</f>
        <v/>
      </c>
    </row>
    <row r="1670" ht="158" customHeight="1">
      <c r="A1670" s="8">
        <f>IF(ISNA(MATCH(1657,Engine!$C$2:$C$1960,0)),"",INDEX('Compliance Database'!$A$2:$A$1960,MATCH(1657,Engine!$C$2:$C$1960,0)))</f>
        <v/>
      </c>
      <c r="B1670" s="8">
        <f>IF(ISNA(MATCH(1657,Engine!$C$2:$C$1960,0)),"",INDEX('Compliance Database'!$B$2:$B$1960,MATCH(1657,Engine!$C$2:$C$1960,0)))</f>
        <v/>
      </c>
      <c r="C1670" s="8">
        <f>IF(ISNA(MATCH(1657,Engine!$C$2:$C$1960,0)),"",INDEX('Compliance Database'!$C$2:$C$1960,MATCH(1657,Engine!$C$2:$C$1960,0)))</f>
        <v/>
      </c>
      <c r="D1670" s="9">
        <f>IF(ISNA(MATCH(1657,Engine!$C$2:$C$1960,0)),"",INDEX('Compliance Database'!$D$2:$D$1960,MATCH(1657,Engine!$C$2:$C$1960,0)))</f>
        <v/>
      </c>
      <c r="E1670" s="8">
        <f>IF(ISNA(MATCH(1657,Engine!$C$2:$C$1960,0)),"",INDEX('Compliance Database'!$E$2:$E$1960,MATCH(1657,Engine!$C$2:$C$1960,0)))</f>
        <v/>
      </c>
      <c r="F1670" s="8">
        <f>IF(ISNA(MATCH(1657,Engine!$C$2:$C$1960,0)),"",INDEX('Compliance Database'!$F$2:$F$1960,MATCH(1657,Engine!$C$2:$C$1960,0)))</f>
        <v/>
      </c>
      <c r="G1670" s="8">
        <f>IF(ISNA(MATCH(1657,Engine!$C$2:$C$1960,0)),"",INDEX('Compliance Database'!$G$2:$G$1960,MATCH(1657,Engine!$C$2:$C$1960,0)))</f>
        <v/>
      </c>
      <c r="H1670" s="9">
        <f>IF(ISNA(MATCH(1657,Engine!$C$2:$C$1960,0)),"",INDEX('Compliance Database'!$H$2:$H$1960,MATCH(1657,Engine!$C$2:$C$1960,0)))</f>
        <v/>
      </c>
      <c r="I1670" s="9">
        <f>IF(ISNA(MATCH(1657,Engine!$C$2:$C$1960,0)),"",INDEX('Compliance Database'!$I$2:$I$1960,MATCH(1657,Engine!$C$2:$C$1960,0)))</f>
        <v/>
      </c>
      <c r="J1670" s="8">
        <f>IF(ISNA(MATCH(1657,Engine!$C$2:$C$1960,0)),"",INDEX('Compliance Database'!$J$2:$J$1960,MATCH(1657,Engine!$C$2:$C$1960,0)))</f>
        <v/>
      </c>
      <c r="K1670" s="9">
        <f>IF(ISNA(MATCH(1657,Engine!$C$2:$C$1960,0)),"",INDEX('Compliance Database'!$K$2:$K$1960,MATCH(1657,Engine!$C$2:$C$1960,0)))</f>
        <v/>
      </c>
      <c r="L1670" s="9">
        <f>IF(ISNA(MATCH(1657,Engine!$C$2:$C$1960,0)),"",INDEX('Compliance Database'!$L$2:$L$1960,MATCH(1657,Engine!$C$2:$C$1960,0)))</f>
        <v/>
      </c>
      <c r="M1670" s="9">
        <f>IF(ISNA(MATCH(1657,Engine!$C$2:$C$1960,0)),"",INDEX('Compliance Database'!$M$2:$M$1960,MATCH(1657,Engine!$C$2:$C$1960,0)))</f>
        <v/>
      </c>
      <c r="N1670" s="9">
        <f>IF(ISNA(MATCH(1657,Engine!$C$2:$C$1960,0)),"",INDEX('Compliance Database'!$N$2:$N$1960,MATCH(1657,Engine!$C$2:$C$1960,0)))</f>
        <v/>
      </c>
      <c r="O1670" s="9">
        <f>IF(ISNA(MATCH(1657,Engine!$C$2:$C$1960,0)),"",INDEX('Compliance Database'!$O$2:$O$1960,MATCH(1657,Engine!$C$2:$C$1960,0)))</f>
        <v/>
      </c>
      <c r="P1670" s="8">
        <f>IF(ISNA(MATCH(1657,Engine!$C$2:$C$1960,0)),"",HYPERLINK("#Acts!A"&amp;INDEX('Compliance Database'!$P$2:$P$1960,MATCH(1657,Engine!$C$2:$C$1960,0)),"Go to Act"))</f>
        <v/>
      </c>
    </row>
    <row r="1671" ht="158" customHeight="1">
      <c r="A1671" s="8">
        <f>IF(ISNA(MATCH(1658,Engine!$C$2:$C$1960,0)),"",INDEX('Compliance Database'!$A$2:$A$1960,MATCH(1658,Engine!$C$2:$C$1960,0)))</f>
        <v/>
      </c>
      <c r="B1671" s="8">
        <f>IF(ISNA(MATCH(1658,Engine!$C$2:$C$1960,0)),"",INDEX('Compliance Database'!$B$2:$B$1960,MATCH(1658,Engine!$C$2:$C$1960,0)))</f>
        <v/>
      </c>
      <c r="C1671" s="8">
        <f>IF(ISNA(MATCH(1658,Engine!$C$2:$C$1960,0)),"",INDEX('Compliance Database'!$C$2:$C$1960,MATCH(1658,Engine!$C$2:$C$1960,0)))</f>
        <v/>
      </c>
      <c r="D1671" s="9">
        <f>IF(ISNA(MATCH(1658,Engine!$C$2:$C$1960,0)),"",INDEX('Compliance Database'!$D$2:$D$1960,MATCH(1658,Engine!$C$2:$C$1960,0)))</f>
        <v/>
      </c>
      <c r="E1671" s="8">
        <f>IF(ISNA(MATCH(1658,Engine!$C$2:$C$1960,0)),"",INDEX('Compliance Database'!$E$2:$E$1960,MATCH(1658,Engine!$C$2:$C$1960,0)))</f>
        <v/>
      </c>
      <c r="F1671" s="8">
        <f>IF(ISNA(MATCH(1658,Engine!$C$2:$C$1960,0)),"",INDEX('Compliance Database'!$F$2:$F$1960,MATCH(1658,Engine!$C$2:$C$1960,0)))</f>
        <v/>
      </c>
      <c r="G1671" s="8">
        <f>IF(ISNA(MATCH(1658,Engine!$C$2:$C$1960,0)),"",INDEX('Compliance Database'!$G$2:$G$1960,MATCH(1658,Engine!$C$2:$C$1960,0)))</f>
        <v/>
      </c>
      <c r="H1671" s="9">
        <f>IF(ISNA(MATCH(1658,Engine!$C$2:$C$1960,0)),"",INDEX('Compliance Database'!$H$2:$H$1960,MATCH(1658,Engine!$C$2:$C$1960,0)))</f>
        <v/>
      </c>
      <c r="I1671" s="9">
        <f>IF(ISNA(MATCH(1658,Engine!$C$2:$C$1960,0)),"",INDEX('Compliance Database'!$I$2:$I$1960,MATCH(1658,Engine!$C$2:$C$1960,0)))</f>
        <v/>
      </c>
      <c r="J1671" s="8">
        <f>IF(ISNA(MATCH(1658,Engine!$C$2:$C$1960,0)),"",INDEX('Compliance Database'!$J$2:$J$1960,MATCH(1658,Engine!$C$2:$C$1960,0)))</f>
        <v/>
      </c>
      <c r="K1671" s="9">
        <f>IF(ISNA(MATCH(1658,Engine!$C$2:$C$1960,0)),"",INDEX('Compliance Database'!$K$2:$K$1960,MATCH(1658,Engine!$C$2:$C$1960,0)))</f>
        <v/>
      </c>
      <c r="L1671" s="9">
        <f>IF(ISNA(MATCH(1658,Engine!$C$2:$C$1960,0)),"",INDEX('Compliance Database'!$L$2:$L$1960,MATCH(1658,Engine!$C$2:$C$1960,0)))</f>
        <v/>
      </c>
      <c r="M1671" s="9">
        <f>IF(ISNA(MATCH(1658,Engine!$C$2:$C$1960,0)),"",INDEX('Compliance Database'!$M$2:$M$1960,MATCH(1658,Engine!$C$2:$C$1960,0)))</f>
        <v/>
      </c>
      <c r="N1671" s="9">
        <f>IF(ISNA(MATCH(1658,Engine!$C$2:$C$1960,0)),"",INDEX('Compliance Database'!$N$2:$N$1960,MATCH(1658,Engine!$C$2:$C$1960,0)))</f>
        <v/>
      </c>
      <c r="O1671" s="9">
        <f>IF(ISNA(MATCH(1658,Engine!$C$2:$C$1960,0)),"",INDEX('Compliance Database'!$O$2:$O$1960,MATCH(1658,Engine!$C$2:$C$1960,0)))</f>
        <v/>
      </c>
      <c r="P1671" s="8">
        <f>IF(ISNA(MATCH(1658,Engine!$C$2:$C$1960,0)),"",HYPERLINK("#Acts!A"&amp;INDEX('Compliance Database'!$P$2:$P$1960,MATCH(1658,Engine!$C$2:$C$1960,0)),"Go to Act"))</f>
        <v/>
      </c>
    </row>
    <row r="1672" ht="158" customHeight="1">
      <c r="A1672" s="8">
        <f>IF(ISNA(MATCH(1659,Engine!$C$2:$C$1960,0)),"",INDEX('Compliance Database'!$A$2:$A$1960,MATCH(1659,Engine!$C$2:$C$1960,0)))</f>
        <v/>
      </c>
      <c r="B1672" s="8">
        <f>IF(ISNA(MATCH(1659,Engine!$C$2:$C$1960,0)),"",INDEX('Compliance Database'!$B$2:$B$1960,MATCH(1659,Engine!$C$2:$C$1960,0)))</f>
        <v/>
      </c>
      <c r="C1672" s="8">
        <f>IF(ISNA(MATCH(1659,Engine!$C$2:$C$1960,0)),"",INDEX('Compliance Database'!$C$2:$C$1960,MATCH(1659,Engine!$C$2:$C$1960,0)))</f>
        <v/>
      </c>
      <c r="D1672" s="9">
        <f>IF(ISNA(MATCH(1659,Engine!$C$2:$C$1960,0)),"",INDEX('Compliance Database'!$D$2:$D$1960,MATCH(1659,Engine!$C$2:$C$1960,0)))</f>
        <v/>
      </c>
      <c r="E1672" s="8">
        <f>IF(ISNA(MATCH(1659,Engine!$C$2:$C$1960,0)),"",INDEX('Compliance Database'!$E$2:$E$1960,MATCH(1659,Engine!$C$2:$C$1960,0)))</f>
        <v/>
      </c>
      <c r="F1672" s="8">
        <f>IF(ISNA(MATCH(1659,Engine!$C$2:$C$1960,0)),"",INDEX('Compliance Database'!$F$2:$F$1960,MATCH(1659,Engine!$C$2:$C$1960,0)))</f>
        <v/>
      </c>
      <c r="G1672" s="8">
        <f>IF(ISNA(MATCH(1659,Engine!$C$2:$C$1960,0)),"",INDEX('Compliance Database'!$G$2:$G$1960,MATCH(1659,Engine!$C$2:$C$1960,0)))</f>
        <v/>
      </c>
      <c r="H1672" s="9">
        <f>IF(ISNA(MATCH(1659,Engine!$C$2:$C$1960,0)),"",INDEX('Compliance Database'!$H$2:$H$1960,MATCH(1659,Engine!$C$2:$C$1960,0)))</f>
        <v/>
      </c>
      <c r="I1672" s="9">
        <f>IF(ISNA(MATCH(1659,Engine!$C$2:$C$1960,0)),"",INDEX('Compliance Database'!$I$2:$I$1960,MATCH(1659,Engine!$C$2:$C$1960,0)))</f>
        <v/>
      </c>
      <c r="J1672" s="8">
        <f>IF(ISNA(MATCH(1659,Engine!$C$2:$C$1960,0)),"",INDEX('Compliance Database'!$J$2:$J$1960,MATCH(1659,Engine!$C$2:$C$1960,0)))</f>
        <v/>
      </c>
      <c r="K1672" s="9">
        <f>IF(ISNA(MATCH(1659,Engine!$C$2:$C$1960,0)),"",INDEX('Compliance Database'!$K$2:$K$1960,MATCH(1659,Engine!$C$2:$C$1960,0)))</f>
        <v/>
      </c>
      <c r="L1672" s="9">
        <f>IF(ISNA(MATCH(1659,Engine!$C$2:$C$1960,0)),"",INDEX('Compliance Database'!$L$2:$L$1960,MATCH(1659,Engine!$C$2:$C$1960,0)))</f>
        <v/>
      </c>
      <c r="M1672" s="9">
        <f>IF(ISNA(MATCH(1659,Engine!$C$2:$C$1960,0)),"",INDEX('Compliance Database'!$M$2:$M$1960,MATCH(1659,Engine!$C$2:$C$1960,0)))</f>
        <v/>
      </c>
      <c r="N1672" s="9">
        <f>IF(ISNA(MATCH(1659,Engine!$C$2:$C$1960,0)),"",INDEX('Compliance Database'!$N$2:$N$1960,MATCH(1659,Engine!$C$2:$C$1960,0)))</f>
        <v/>
      </c>
      <c r="O1672" s="9">
        <f>IF(ISNA(MATCH(1659,Engine!$C$2:$C$1960,0)),"",INDEX('Compliance Database'!$O$2:$O$1960,MATCH(1659,Engine!$C$2:$C$1960,0)))</f>
        <v/>
      </c>
      <c r="P1672" s="8">
        <f>IF(ISNA(MATCH(1659,Engine!$C$2:$C$1960,0)),"",HYPERLINK("#Acts!A"&amp;INDEX('Compliance Database'!$P$2:$P$1960,MATCH(1659,Engine!$C$2:$C$1960,0)),"Go to Act"))</f>
        <v/>
      </c>
    </row>
    <row r="1673" ht="158" customHeight="1">
      <c r="A1673" s="8">
        <f>IF(ISNA(MATCH(1660,Engine!$C$2:$C$1960,0)),"",INDEX('Compliance Database'!$A$2:$A$1960,MATCH(1660,Engine!$C$2:$C$1960,0)))</f>
        <v/>
      </c>
      <c r="B1673" s="8">
        <f>IF(ISNA(MATCH(1660,Engine!$C$2:$C$1960,0)),"",INDEX('Compliance Database'!$B$2:$B$1960,MATCH(1660,Engine!$C$2:$C$1960,0)))</f>
        <v/>
      </c>
      <c r="C1673" s="8">
        <f>IF(ISNA(MATCH(1660,Engine!$C$2:$C$1960,0)),"",INDEX('Compliance Database'!$C$2:$C$1960,MATCH(1660,Engine!$C$2:$C$1960,0)))</f>
        <v/>
      </c>
      <c r="D1673" s="9">
        <f>IF(ISNA(MATCH(1660,Engine!$C$2:$C$1960,0)),"",INDEX('Compliance Database'!$D$2:$D$1960,MATCH(1660,Engine!$C$2:$C$1960,0)))</f>
        <v/>
      </c>
      <c r="E1673" s="8">
        <f>IF(ISNA(MATCH(1660,Engine!$C$2:$C$1960,0)),"",INDEX('Compliance Database'!$E$2:$E$1960,MATCH(1660,Engine!$C$2:$C$1960,0)))</f>
        <v/>
      </c>
      <c r="F1673" s="8">
        <f>IF(ISNA(MATCH(1660,Engine!$C$2:$C$1960,0)),"",INDEX('Compliance Database'!$F$2:$F$1960,MATCH(1660,Engine!$C$2:$C$1960,0)))</f>
        <v/>
      </c>
      <c r="G1673" s="8">
        <f>IF(ISNA(MATCH(1660,Engine!$C$2:$C$1960,0)),"",INDEX('Compliance Database'!$G$2:$G$1960,MATCH(1660,Engine!$C$2:$C$1960,0)))</f>
        <v/>
      </c>
      <c r="H1673" s="9">
        <f>IF(ISNA(MATCH(1660,Engine!$C$2:$C$1960,0)),"",INDEX('Compliance Database'!$H$2:$H$1960,MATCH(1660,Engine!$C$2:$C$1960,0)))</f>
        <v/>
      </c>
      <c r="I1673" s="9">
        <f>IF(ISNA(MATCH(1660,Engine!$C$2:$C$1960,0)),"",INDEX('Compliance Database'!$I$2:$I$1960,MATCH(1660,Engine!$C$2:$C$1960,0)))</f>
        <v/>
      </c>
      <c r="J1673" s="8">
        <f>IF(ISNA(MATCH(1660,Engine!$C$2:$C$1960,0)),"",INDEX('Compliance Database'!$J$2:$J$1960,MATCH(1660,Engine!$C$2:$C$1960,0)))</f>
        <v/>
      </c>
      <c r="K1673" s="9">
        <f>IF(ISNA(MATCH(1660,Engine!$C$2:$C$1960,0)),"",INDEX('Compliance Database'!$K$2:$K$1960,MATCH(1660,Engine!$C$2:$C$1960,0)))</f>
        <v/>
      </c>
      <c r="L1673" s="9">
        <f>IF(ISNA(MATCH(1660,Engine!$C$2:$C$1960,0)),"",INDEX('Compliance Database'!$L$2:$L$1960,MATCH(1660,Engine!$C$2:$C$1960,0)))</f>
        <v/>
      </c>
      <c r="M1673" s="9">
        <f>IF(ISNA(MATCH(1660,Engine!$C$2:$C$1960,0)),"",INDEX('Compliance Database'!$M$2:$M$1960,MATCH(1660,Engine!$C$2:$C$1960,0)))</f>
        <v/>
      </c>
      <c r="N1673" s="9">
        <f>IF(ISNA(MATCH(1660,Engine!$C$2:$C$1960,0)),"",INDEX('Compliance Database'!$N$2:$N$1960,MATCH(1660,Engine!$C$2:$C$1960,0)))</f>
        <v/>
      </c>
      <c r="O1673" s="9">
        <f>IF(ISNA(MATCH(1660,Engine!$C$2:$C$1960,0)),"",INDEX('Compliance Database'!$O$2:$O$1960,MATCH(1660,Engine!$C$2:$C$1960,0)))</f>
        <v/>
      </c>
      <c r="P1673" s="8">
        <f>IF(ISNA(MATCH(1660,Engine!$C$2:$C$1960,0)),"",HYPERLINK("#Acts!A"&amp;INDEX('Compliance Database'!$P$2:$P$1960,MATCH(1660,Engine!$C$2:$C$1960,0)),"Go to Act"))</f>
        <v/>
      </c>
    </row>
    <row r="1674" ht="158" customHeight="1">
      <c r="A1674" s="8">
        <f>IF(ISNA(MATCH(1661,Engine!$C$2:$C$1960,0)),"",INDEX('Compliance Database'!$A$2:$A$1960,MATCH(1661,Engine!$C$2:$C$1960,0)))</f>
        <v/>
      </c>
      <c r="B1674" s="8">
        <f>IF(ISNA(MATCH(1661,Engine!$C$2:$C$1960,0)),"",INDEX('Compliance Database'!$B$2:$B$1960,MATCH(1661,Engine!$C$2:$C$1960,0)))</f>
        <v/>
      </c>
      <c r="C1674" s="8">
        <f>IF(ISNA(MATCH(1661,Engine!$C$2:$C$1960,0)),"",INDEX('Compliance Database'!$C$2:$C$1960,MATCH(1661,Engine!$C$2:$C$1960,0)))</f>
        <v/>
      </c>
      <c r="D1674" s="9">
        <f>IF(ISNA(MATCH(1661,Engine!$C$2:$C$1960,0)),"",INDEX('Compliance Database'!$D$2:$D$1960,MATCH(1661,Engine!$C$2:$C$1960,0)))</f>
        <v/>
      </c>
      <c r="E1674" s="8">
        <f>IF(ISNA(MATCH(1661,Engine!$C$2:$C$1960,0)),"",INDEX('Compliance Database'!$E$2:$E$1960,MATCH(1661,Engine!$C$2:$C$1960,0)))</f>
        <v/>
      </c>
      <c r="F1674" s="8">
        <f>IF(ISNA(MATCH(1661,Engine!$C$2:$C$1960,0)),"",INDEX('Compliance Database'!$F$2:$F$1960,MATCH(1661,Engine!$C$2:$C$1960,0)))</f>
        <v/>
      </c>
      <c r="G1674" s="8">
        <f>IF(ISNA(MATCH(1661,Engine!$C$2:$C$1960,0)),"",INDEX('Compliance Database'!$G$2:$G$1960,MATCH(1661,Engine!$C$2:$C$1960,0)))</f>
        <v/>
      </c>
      <c r="H1674" s="9">
        <f>IF(ISNA(MATCH(1661,Engine!$C$2:$C$1960,0)),"",INDEX('Compliance Database'!$H$2:$H$1960,MATCH(1661,Engine!$C$2:$C$1960,0)))</f>
        <v/>
      </c>
      <c r="I1674" s="9">
        <f>IF(ISNA(MATCH(1661,Engine!$C$2:$C$1960,0)),"",INDEX('Compliance Database'!$I$2:$I$1960,MATCH(1661,Engine!$C$2:$C$1960,0)))</f>
        <v/>
      </c>
      <c r="J1674" s="8">
        <f>IF(ISNA(MATCH(1661,Engine!$C$2:$C$1960,0)),"",INDEX('Compliance Database'!$J$2:$J$1960,MATCH(1661,Engine!$C$2:$C$1960,0)))</f>
        <v/>
      </c>
      <c r="K1674" s="9">
        <f>IF(ISNA(MATCH(1661,Engine!$C$2:$C$1960,0)),"",INDEX('Compliance Database'!$K$2:$K$1960,MATCH(1661,Engine!$C$2:$C$1960,0)))</f>
        <v/>
      </c>
      <c r="L1674" s="9">
        <f>IF(ISNA(MATCH(1661,Engine!$C$2:$C$1960,0)),"",INDEX('Compliance Database'!$L$2:$L$1960,MATCH(1661,Engine!$C$2:$C$1960,0)))</f>
        <v/>
      </c>
      <c r="M1674" s="9">
        <f>IF(ISNA(MATCH(1661,Engine!$C$2:$C$1960,0)),"",INDEX('Compliance Database'!$M$2:$M$1960,MATCH(1661,Engine!$C$2:$C$1960,0)))</f>
        <v/>
      </c>
      <c r="N1674" s="9">
        <f>IF(ISNA(MATCH(1661,Engine!$C$2:$C$1960,0)),"",INDEX('Compliance Database'!$N$2:$N$1960,MATCH(1661,Engine!$C$2:$C$1960,0)))</f>
        <v/>
      </c>
      <c r="O1674" s="9">
        <f>IF(ISNA(MATCH(1661,Engine!$C$2:$C$1960,0)),"",INDEX('Compliance Database'!$O$2:$O$1960,MATCH(1661,Engine!$C$2:$C$1960,0)))</f>
        <v/>
      </c>
      <c r="P1674" s="8">
        <f>IF(ISNA(MATCH(1661,Engine!$C$2:$C$1960,0)),"",HYPERLINK("#Acts!A"&amp;INDEX('Compliance Database'!$P$2:$P$1960,MATCH(1661,Engine!$C$2:$C$1960,0)),"Go to Act"))</f>
        <v/>
      </c>
    </row>
    <row r="1675" ht="158" customHeight="1">
      <c r="A1675" s="8">
        <f>IF(ISNA(MATCH(1662,Engine!$C$2:$C$1960,0)),"",INDEX('Compliance Database'!$A$2:$A$1960,MATCH(1662,Engine!$C$2:$C$1960,0)))</f>
        <v/>
      </c>
      <c r="B1675" s="8">
        <f>IF(ISNA(MATCH(1662,Engine!$C$2:$C$1960,0)),"",INDEX('Compliance Database'!$B$2:$B$1960,MATCH(1662,Engine!$C$2:$C$1960,0)))</f>
        <v/>
      </c>
      <c r="C1675" s="8">
        <f>IF(ISNA(MATCH(1662,Engine!$C$2:$C$1960,0)),"",INDEX('Compliance Database'!$C$2:$C$1960,MATCH(1662,Engine!$C$2:$C$1960,0)))</f>
        <v/>
      </c>
      <c r="D1675" s="9">
        <f>IF(ISNA(MATCH(1662,Engine!$C$2:$C$1960,0)),"",INDEX('Compliance Database'!$D$2:$D$1960,MATCH(1662,Engine!$C$2:$C$1960,0)))</f>
        <v/>
      </c>
      <c r="E1675" s="8">
        <f>IF(ISNA(MATCH(1662,Engine!$C$2:$C$1960,0)),"",INDEX('Compliance Database'!$E$2:$E$1960,MATCH(1662,Engine!$C$2:$C$1960,0)))</f>
        <v/>
      </c>
      <c r="F1675" s="8">
        <f>IF(ISNA(MATCH(1662,Engine!$C$2:$C$1960,0)),"",INDEX('Compliance Database'!$F$2:$F$1960,MATCH(1662,Engine!$C$2:$C$1960,0)))</f>
        <v/>
      </c>
      <c r="G1675" s="8">
        <f>IF(ISNA(MATCH(1662,Engine!$C$2:$C$1960,0)),"",INDEX('Compliance Database'!$G$2:$G$1960,MATCH(1662,Engine!$C$2:$C$1960,0)))</f>
        <v/>
      </c>
      <c r="H1675" s="9">
        <f>IF(ISNA(MATCH(1662,Engine!$C$2:$C$1960,0)),"",INDEX('Compliance Database'!$H$2:$H$1960,MATCH(1662,Engine!$C$2:$C$1960,0)))</f>
        <v/>
      </c>
      <c r="I1675" s="9">
        <f>IF(ISNA(MATCH(1662,Engine!$C$2:$C$1960,0)),"",INDEX('Compliance Database'!$I$2:$I$1960,MATCH(1662,Engine!$C$2:$C$1960,0)))</f>
        <v/>
      </c>
      <c r="J1675" s="8">
        <f>IF(ISNA(MATCH(1662,Engine!$C$2:$C$1960,0)),"",INDEX('Compliance Database'!$J$2:$J$1960,MATCH(1662,Engine!$C$2:$C$1960,0)))</f>
        <v/>
      </c>
      <c r="K1675" s="9">
        <f>IF(ISNA(MATCH(1662,Engine!$C$2:$C$1960,0)),"",INDEX('Compliance Database'!$K$2:$K$1960,MATCH(1662,Engine!$C$2:$C$1960,0)))</f>
        <v/>
      </c>
      <c r="L1675" s="9">
        <f>IF(ISNA(MATCH(1662,Engine!$C$2:$C$1960,0)),"",INDEX('Compliance Database'!$L$2:$L$1960,MATCH(1662,Engine!$C$2:$C$1960,0)))</f>
        <v/>
      </c>
      <c r="M1675" s="9">
        <f>IF(ISNA(MATCH(1662,Engine!$C$2:$C$1960,0)),"",INDEX('Compliance Database'!$M$2:$M$1960,MATCH(1662,Engine!$C$2:$C$1960,0)))</f>
        <v/>
      </c>
      <c r="N1675" s="9">
        <f>IF(ISNA(MATCH(1662,Engine!$C$2:$C$1960,0)),"",INDEX('Compliance Database'!$N$2:$N$1960,MATCH(1662,Engine!$C$2:$C$1960,0)))</f>
        <v/>
      </c>
      <c r="O1675" s="9">
        <f>IF(ISNA(MATCH(1662,Engine!$C$2:$C$1960,0)),"",INDEX('Compliance Database'!$O$2:$O$1960,MATCH(1662,Engine!$C$2:$C$1960,0)))</f>
        <v/>
      </c>
      <c r="P1675" s="8">
        <f>IF(ISNA(MATCH(1662,Engine!$C$2:$C$1960,0)),"",HYPERLINK("#Acts!A"&amp;INDEX('Compliance Database'!$P$2:$P$1960,MATCH(1662,Engine!$C$2:$C$1960,0)),"Go to Act"))</f>
        <v/>
      </c>
    </row>
    <row r="1676" ht="158" customHeight="1">
      <c r="A1676" s="8">
        <f>IF(ISNA(MATCH(1663,Engine!$C$2:$C$1960,0)),"",INDEX('Compliance Database'!$A$2:$A$1960,MATCH(1663,Engine!$C$2:$C$1960,0)))</f>
        <v/>
      </c>
      <c r="B1676" s="8">
        <f>IF(ISNA(MATCH(1663,Engine!$C$2:$C$1960,0)),"",INDEX('Compliance Database'!$B$2:$B$1960,MATCH(1663,Engine!$C$2:$C$1960,0)))</f>
        <v/>
      </c>
      <c r="C1676" s="8">
        <f>IF(ISNA(MATCH(1663,Engine!$C$2:$C$1960,0)),"",INDEX('Compliance Database'!$C$2:$C$1960,MATCH(1663,Engine!$C$2:$C$1960,0)))</f>
        <v/>
      </c>
      <c r="D1676" s="9">
        <f>IF(ISNA(MATCH(1663,Engine!$C$2:$C$1960,0)),"",INDEX('Compliance Database'!$D$2:$D$1960,MATCH(1663,Engine!$C$2:$C$1960,0)))</f>
        <v/>
      </c>
      <c r="E1676" s="8">
        <f>IF(ISNA(MATCH(1663,Engine!$C$2:$C$1960,0)),"",INDEX('Compliance Database'!$E$2:$E$1960,MATCH(1663,Engine!$C$2:$C$1960,0)))</f>
        <v/>
      </c>
      <c r="F1676" s="8">
        <f>IF(ISNA(MATCH(1663,Engine!$C$2:$C$1960,0)),"",INDEX('Compliance Database'!$F$2:$F$1960,MATCH(1663,Engine!$C$2:$C$1960,0)))</f>
        <v/>
      </c>
      <c r="G1676" s="8">
        <f>IF(ISNA(MATCH(1663,Engine!$C$2:$C$1960,0)),"",INDEX('Compliance Database'!$G$2:$G$1960,MATCH(1663,Engine!$C$2:$C$1960,0)))</f>
        <v/>
      </c>
      <c r="H1676" s="9">
        <f>IF(ISNA(MATCH(1663,Engine!$C$2:$C$1960,0)),"",INDEX('Compliance Database'!$H$2:$H$1960,MATCH(1663,Engine!$C$2:$C$1960,0)))</f>
        <v/>
      </c>
      <c r="I1676" s="9">
        <f>IF(ISNA(MATCH(1663,Engine!$C$2:$C$1960,0)),"",INDEX('Compliance Database'!$I$2:$I$1960,MATCH(1663,Engine!$C$2:$C$1960,0)))</f>
        <v/>
      </c>
      <c r="J1676" s="8">
        <f>IF(ISNA(MATCH(1663,Engine!$C$2:$C$1960,0)),"",INDEX('Compliance Database'!$J$2:$J$1960,MATCH(1663,Engine!$C$2:$C$1960,0)))</f>
        <v/>
      </c>
      <c r="K1676" s="9">
        <f>IF(ISNA(MATCH(1663,Engine!$C$2:$C$1960,0)),"",INDEX('Compliance Database'!$K$2:$K$1960,MATCH(1663,Engine!$C$2:$C$1960,0)))</f>
        <v/>
      </c>
      <c r="L1676" s="9">
        <f>IF(ISNA(MATCH(1663,Engine!$C$2:$C$1960,0)),"",INDEX('Compliance Database'!$L$2:$L$1960,MATCH(1663,Engine!$C$2:$C$1960,0)))</f>
        <v/>
      </c>
      <c r="M1676" s="9">
        <f>IF(ISNA(MATCH(1663,Engine!$C$2:$C$1960,0)),"",INDEX('Compliance Database'!$M$2:$M$1960,MATCH(1663,Engine!$C$2:$C$1960,0)))</f>
        <v/>
      </c>
      <c r="N1676" s="9">
        <f>IF(ISNA(MATCH(1663,Engine!$C$2:$C$1960,0)),"",INDEX('Compliance Database'!$N$2:$N$1960,MATCH(1663,Engine!$C$2:$C$1960,0)))</f>
        <v/>
      </c>
      <c r="O1676" s="9">
        <f>IF(ISNA(MATCH(1663,Engine!$C$2:$C$1960,0)),"",INDEX('Compliance Database'!$O$2:$O$1960,MATCH(1663,Engine!$C$2:$C$1960,0)))</f>
        <v/>
      </c>
      <c r="P1676" s="8">
        <f>IF(ISNA(MATCH(1663,Engine!$C$2:$C$1960,0)),"",HYPERLINK("#Acts!A"&amp;INDEX('Compliance Database'!$P$2:$P$1960,MATCH(1663,Engine!$C$2:$C$1960,0)),"Go to Act"))</f>
        <v/>
      </c>
    </row>
    <row r="1677" ht="158" customHeight="1">
      <c r="A1677" s="8">
        <f>IF(ISNA(MATCH(1664,Engine!$C$2:$C$1960,0)),"",INDEX('Compliance Database'!$A$2:$A$1960,MATCH(1664,Engine!$C$2:$C$1960,0)))</f>
        <v/>
      </c>
      <c r="B1677" s="8">
        <f>IF(ISNA(MATCH(1664,Engine!$C$2:$C$1960,0)),"",INDEX('Compliance Database'!$B$2:$B$1960,MATCH(1664,Engine!$C$2:$C$1960,0)))</f>
        <v/>
      </c>
      <c r="C1677" s="8">
        <f>IF(ISNA(MATCH(1664,Engine!$C$2:$C$1960,0)),"",INDEX('Compliance Database'!$C$2:$C$1960,MATCH(1664,Engine!$C$2:$C$1960,0)))</f>
        <v/>
      </c>
      <c r="D1677" s="9">
        <f>IF(ISNA(MATCH(1664,Engine!$C$2:$C$1960,0)),"",INDEX('Compliance Database'!$D$2:$D$1960,MATCH(1664,Engine!$C$2:$C$1960,0)))</f>
        <v/>
      </c>
      <c r="E1677" s="8">
        <f>IF(ISNA(MATCH(1664,Engine!$C$2:$C$1960,0)),"",INDEX('Compliance Database'!$E$2:$E$1960,MATCH(1664,Engine!$C$2:$C$1960,0)))</f>
        <v/>
      </c>
      <c r="F1677" s="8">
        <f>IF(ISNA(MATCH(1664,Engine!$C$2:$C$1960,0)),"",INDEX('Compliance Database'!$F$2:$F$1960,MATCH(1664,Engine!$C$2:$C$1960,0)))</f>
        <v/>
      </c>
      <c r="G1677" s="8">
        <f>IF(ISNA(MATCH(1664,Engine!$C$2:$C$1960,0)),"",INDEX('Compliance Database'!$G$2:$G$1960,MATCH(1664,Engine!$C$2:$C$1960,0)))</f>
        <v/>
      </c>
      <c r="H1677" s="9">
        <f>IF(ISNA(MATCH(1664,Engine!$C$2:$C$1960,0)),"",INDEX('Compliance Database'!$H$2:$H$1960,MATCH(1664,Engine!$C$2:$C$1960,0)))</f>
        <v/>
      </c>
      <c r="I1677" s="9">
        <f>IF(ISNA(MATCH(1664,Engine!$C$2:$C$1960,0)),"",INDEX('Compliance Database'!$I$2:$I$1960,MATCH(1664,Engine!$C$2:$C$1960,0)))</f>
        <v/>
      </c>
      <c r="J1677" s="8">
        <f>IF(ISNA(MATCH(1664,Engine!$C$2:$C$1960,0)),"",INDEX('Compliance Database'!$J$2:$J$1960,MATCH(1664,Engine!$C$2:$C$1960,0)))</f>
        <v/>
      </c>
      <c r="K1677" s="9">
        <f>IF(ISNA(MATCH(1664,Engine!$C$2:$C$1960,0)),"",INDEX('Compliance Database'!$K$2:$K$1960,MATCH(1664,Engine!$C$2:$C$1960,0)))</f>
        <v/>
      </c>
      <c r="L1677" s="9">
        <f>IF(ISNA(MATCH(1664,Engine!$C$2:$C$1960,0)),"",INDEX('Compliance Database'!$L$2:$L$1960,MATCH(1664,Engine!$C$2:$C$1960,0)))</f>
        <v/>
      </c>
      <c r="M1677" s="9">
        <f>IF(ISNA(MATCH(1664,Engine!$C$2:$C$1960,0)),"",INDEX('Compliance Database'!$M$2:$M$1960,MATCH(1664,Engine!$C$2:$C$1960,0)))</f>
        <v/>
      </c>
      <c r="N1677" s="9">
        <f>IF(ISNA(MATCH(1664,Engine!$C$2:$C$1960,0)),"",INDEX('Compliance Database'!$N$2:$N$1960,MATCH(1664,Engine!$C$2:$C$1960,0)))</f>
        <v/>
      </c>
      <c r="O1677" s="9">
        <f>IF(ISNA(MATCH(1664,Engine!$C$2:$C$1960,0)),"",INDEX('Compliance Database'!$O$2:$O$1960,MATCH(1664,Engine!$C$2:$C$1960,0)))</f>
        <v/>
      </c>
      <c r="P1677" s="8">
        <f>IF(ISNA(MATCH(1664,Engine!$C$2:$C$1960,0)),"",HYPERLINK("#Acts!A"&amp;INDEX('Compliance Database'!$P$2:$P$1960,MATCH(1664,Engine!$C$2:$C$1960,0)),"Go to Act"))</f>
        <v/>
      </c>
    </row>
    <row r="1678" ht="158" customHeight="1">
      <c r="A1678" s="8">
        <f>IF(ISNA(MATCH(1665,Engine!$C$2:$C$1960,0)),"",INDEX('Compliance Database'!$A$2:$A$1960,MATCH(1665,Engine!$C$2:$C$1960,0)))</f>
        <v/>
      </c>
      <c r="B1678" s="8">
        <f>IF(ISNA(MATCH(1665,Engine!$C$2:$C$1960,0)),"",INDEX('Compliance Database'!$B$2:$B$1960,MATCH(1665,Engine!$C$2:$C$1960,0)))</f>
        <v/>
      </c>
      <c r="C1678" s="8">
        <f>IF(ISNA(MATCH(1665,Engine!$C$2:$C$1960,0)),"",INDEX('Compliance Database'!$C$2:$C$1960,MATCH(1665,Engine!$C$2:$C$1960,0)))</f>
        <v/>
      </c>
      <c r="D1678" s="9">
        <f>IF(ISNA(MATCH(1665,Engine!$C$2:$C$1960,0)),"",INDEX('Compliance Database'!$D$2:$D$1960,MATCH(1665,Engine!$C$2:$C$1960,0)))</f>
        <v/>
      </c>
      <c r="E1678" s="8">
        <f>IF(ISNA(MATCH(1665,Engine!$C$2:$C$1960,0)),"",INDEX('Compliance Database'!$E$2:$E$1960,MATCH(1665,Engine!$C$2:$C$1960,0)))</f>
        <v/>
      </c>
      <c r="F1678" s="8">
        <f>IF(ISNA(MATCH(1665,Engine!$C$2:$C$1960,0)),"",INDEX('Compliance Database'!$F$2:$F$1960,MATCH(1665,Engine!$C$2:$C$1960,0)))</f>
        <v/>
      </c>
      <c r="G1678" s="8">
        <f>IF(ISNA(MATCH(1665,Engine!$C$2:$C$1960,0)),"",INDEX('Compliance Database'!$G$2:$G$1960,MATCH(1665,Engine!$C$2:$C$1960,0)))</f>
        <v/>
      </c>
      <c r="H1678" s="9">
        <f>IF(ISNA(MATCH(1665,Engine!$C$2:$C$1960,0)),"",INDEX('Compliance Database'!$H$2:$H$1960,MATCH(1665,Engine!$C$2:$C$1960,0)))</f>
        <v/>
      </c>
      <c r="I1678" s="9">
        <f>IF(ISNA(MATCH(1665,Engine!$C$2:$C$1960,0)),"",INDEX('Compliance Database'!$I$2:$I$1960,MATCH(1665,Engine!$C$2:$C$1960,0)))</f>
        <v/>
      </c>
      <c r="J1678" s="8">
        <f>IF(ISNA(MATCH(1665,Engine!$C$2:$C$1960,0)),"",INDEX('Compliance Database'!$J$2:$J$1960,MATCH(1665,Engine!$C$2:$C$1960,0)))</f>
        <v/>
      </c>
      <c r="K1678" s="9">
        <f>IF(ISNA(MATCH(1665,Engine!$C$2:$C$1960,0)),"",INDEX('Compliance Database'!$K$2:$K$1960,MATCH(1665,Engine!$C$2:$C$1960,0)))</f>
        <v/>
      </c>
      <c r="L1678" s="9">
        <f>IF(ISNA(MATCH(1665,Engine!$C$2:$C$1960,0)),"",INDEX('Compliance Database'!$L$2:$L$1960,MATCH(1665,Engine!$C$2:$C$1960,0)))</f>
        <v/>
      </c>
      <c r="M1678" s="9">
        <f>IF(ISNA(MATCH(1665,Engine!$C$2:$C$1960,0)),"",INDEX('Compliance Database'!$M$2:$M$1960,MATCH(1665,Engine!$C$2:$C$1960,0)))</f>
        <v/>
      </c>
      <c r="N1678" s="9">
        <f>IF(ISNA(MATCH(1665,Engine!$C$2:$C$1960,0)),"",INDEX('Compliance Database'!$N$2:$N$1960,MATCH(1665,Engine!$C$2:$C$1960,0)))</f>
        <v/>
      </c>
      <c r="O1678" s="9">
        <f>IF(ISNA(MATCH(1665,Engine!$C$2:$C$1960,0)),"",INDEX('Compliance Database'!$O$2:$O$1960,MATCH(1665,Engine!$C$2:$C$1960,0)))</f>
        <v/>
      </c>
      <c r="P1678" s="8">
        <f>IF(ISNA(MATCH(1665,Engine!$C$2:$C$1960,0)),"",HYPERLINK("#Acts!A"&amp;INDEX('Compliance Database'!$P$2:$P$1960,MATCH(1665,Engine!$C$2:$C$1960,0)),"Go to Act"))</f>
        <v/>
      </c>
    </row>
    <row r="1679" ht="158" customHeight="1">
      <c r="A1679" s="8">
        <f>IF(ISNA(MATCH(1666,Engine!$C$2:$C$1960,0)),"",INDEX('Compliance Database'!$A$2:$A$1960,MATCH(1666,Engine!$C$2:$C$1960,0)))</f>
        <v/>
      </c>
      <c r="B1679" s="8">
        <f>IF(ISNA(MATCH(1666,Engine!$C$2:$C$1960,0)),"",INDEX('Compliance Database'!$B$2:$B$1960,MATCH(1666,Engine!$C$2:$C$1960,0)))</f>
        <v/>
      </c>
      <c r="C1679" s="8">
        <f>IF(ISNA(MATCH(1666,Engine!$C$2:$C$1960,0)),"",INDEX('Compliance Database'!$C$2:$C$1960,MATCH(1666,Engine!$C$2:$C$1960,0)))</f>
        <v/>
      </c>
      <c r="D1679" s="9">
        <f>IF(ISNA(MATCH(1666,Engine!$C$2:$C$1960,0)),"",INDEX('Compliance Database'!$D$2:$D$1960,MATCH(1666,Engine!$C$2:$C$1960,0)))</f>
        <v/>
      </c>
      <c r="E1679" s="8">
        <f>IF(ISNA(MATCH(1666,Engine!$C$2:$C$1960,0)),"",INDEX('Compliance Database'!$E$2:$E$1960,MATCH(1666,Engine!$C$2:$C$1960,0)))</f>
        <v/>
      </c>
      <c r="F1679" s="8">
        <f>IF(ISNA(MATCH(1666,Engine!$C$2:$C$1960,0)),"",INDEX('Compliance Database'!$F$2:$F$1960,MATCH(1666,Engine!$C$2:$C$1960,0)))</f>
        <v/>
      </c>
      <c r="G1679" s="8">
        <f>IF(ISNA(MATCH(1666,Engine!$C$2:$C$1960,0)),"",INDEX('Compliance Database'!$G$2:$G$1960,MATCH(1666,Engine!$C$2:$C$1960,0)))</f>
        <v/>
      </c>
      <c r="H1679" s="9">
        <f>IF(ISNA(MATCH(1666,Engine!$C$2:$C$1960,0)),"",INDEX('Compliance Database'!$H$2:$H$1960,MATCH(1666,Engine!$C$2:$C$1960,0)))</f>
        <v/>
      </c>
      <c r="I1679" s="9">
        <f>IF(ISNA(MATCH(1666,Engine!$C$2:$C$1960,0)),"",INDEX('Compliance Database'!$I$2:$I$1960,MATCH(1666,Engine!$C$2:$C$1960,0)))</f>
        <v/>
      </c>
      <c r="J1679" s="8">
        <f>IF(ISNA(MATCH(1666,Engine!$C$2:$C$1960,0)),"",INDEX('Compliance Database'!$J$2:$J$1960,MATCH(1666,Engine!$C$2:$C$1960,0)))</f>
        <v/>
      </c>
      <c r="K1679" s="9">
        <f>IF(ISNA(MATCH(1666,Engine!$C$2:$C$1960,0)),"",INDEX('Compliance Database'!$K$2:$K$1960,MATCH(1666,Engine!$C$2:$C$1960,0)))</f>
        <v/>
      </c>
      <c r="L1679" s="9">
        <f>IF(ISNA(MATCH(1666,Engine!$C$2:$C$1960,0)),"",INDEX('Compliance Database'!$L$2:$L$1960,MATCH(1666,Engine!$C$2:$C$1960,0)))</f>
        <v/>
      </c>
      <c r="M1679" s="9">
        <f>IF(ISNA(MATCH(1666,Engine!$C$2:$C$1960,0)),"",INDEX('Compliance Database'!$M$2:$M$1960,MATCH(1666,Engine!$C$2:$C$1960,0)))</f>
        <v/>
      </c>
      <c r="N1679" s="9">
        <f>IF(ISNA(MATCH(1666,Engine!$C$2:$C$1960,0)),"",INDEX('Compliance Database'!$N$2:$N$1960,MATCH(1666,Engine!$C$2:$C$1960,0)))</f>
        <v/>
      </c>
      <c r="O1679" s="9">
        <f>IF(ISNA(MATCH(1666,Engine!$C$2:$C$1960,0)),"",INDEX('Compliance Database'!$O$2:$O$1960,MATCH(1666,Engine!$C$2:$C$1960,0)))</f>
        <v/>
      </c>
      <c r="P1679" s="8">
        <f>IF(ISNA(MATCH(1666,Engine!$C$2:$C$1960,0)),"",HYPERLINK("#Acts!A"&amp;INDEX('Compliance Database'!$P$2:$P$1960,MATCH(1666,Engine!$C$2:$C$1960,0)),"Go to Act"))</f>
        <v/>
      </c>
    </row>
    <row r="1680" ht="158" customHeight="1">
      <c r="A1680" s="8">
        <f>IF(ISNA(MATCH(1667,Engine!$C$2:$C$1960,0)),"",INDEX('Compliance Database'!$A$2:$A$1960,MATCH(1667,Engine!$C$2:$C$1960,0)))</f>
        <v/>
      </c>
      <c r="B1680" s="8">
        <f>IF(ISNA(MATCH(1667,Engine!$C$2:$C$1960,0)),"",INDEX('Compliance Database'!$B$2:$B$1960,MATCH(1667,Engine!$C$2:$C$1960,0)))</f>
        <v/>
      </c>
      <c r="C1680" s="8">
        <f>IF(ISNA(MATCH(1667,Engine!$C$2:$C$1960,0)),"",INDEX('Compliance Database'!$C$2:$C$1960,MATCH(1667,Engine!$C$2:$C$1960,0)))</f>
        <v/>
      </c>
      <c r="D1680" s="9">
        <f>IF(ISNA(MATCH(1667,Engine!$C$2:$C$1960,0)),"",INDEX('Compliance Database'!$D$2:$D$1960,MATCH(1667,Engine!$C$2:$C$1960,0)))</f>
        <v/>
      </c>
      <c r="E1680" s="8">
        <f>IF(ISNA(MATCH(1667,Engine!$C$2:$C$1960,0)),"",INDEX('Compliance Database'!$E$2:$E$1960,MATCH(1667,Engine!$C$2:$C$1960,0)))</f>
        <v/>
      </c>
      <c r="F1680" s="8">
        <f>IF(ISNA(MATCH(1667,Engine!$C$2:$C$1960,0)),"",INDEX('Compliance Database'!$F$2:$F$1960,MATCH(1667,Engine!$C$2:$C$1960,0)))</f>
        <v/>
      </c>
      <c r="G1680" s="8">
        <f>IF(ISNA(MATCH(1667,Engine!$C$2:$C$1960,0)),"",INDEX('Compliance Database'!$G$2:$G$1960,MATCH(1667,Engine!$C$2:$C$1960,0)))</f>
        <v/>
      </c>
      <c r="H1680" s="9">
        <f>IF(ISNA(MATCH(1667,Engine!$C$2:$C$1960,0)),"",INDEX('Compliance Database'!$H$2:$H$1960,MATCH(1667,Engine!$C$2:$C$1960,0)))</f>
        <v/>
      </c>
      <c r="I1680" s="9">
        <f>IF(ISNA(MATCH(1667,Engine!$C$2:$C$1960,0)),"",INDEX('Compliance Database'!$I$2:$I$1960,MATCH(1667,Engine!$C$2:$C$1960,0)))</f>
        <v/>
      </c>
      <c r="J1680" s="8">
        <f>IF(ISNA(MATCH(1667,Engine!$C$2:$C$1960,0)),"",INDEX('Compliance Database'!$J$2:$J$1960,MATCH(1667,Engine!$C$2:$C$1960,0)))</f>
        <v/>
      </c>
      <c r="K1680" s="9">
        <f>IF(ISNA(MATCH(1667,Engine!$C$2:$C$1960,0)),"",INDEX('Compliance Database'!$K$2:$K$1960,MATCH(1667,Engine!$C$2:$C$1960,0)))</f>
        <v/>
      </c>
      <c r="L1680" s="9">
        <f>IF(ISNA(MATCH(1667,Engine!$C$2:$C$1960,0)),"",INDEX('Compliance Database'!$L$2:$L$1960,MATCH(1667,Engine!$C$2:$C$1960,0)))</f>
        <v/>
      </c>
      <c r="M1680" s="9">
        <f>IF(ISNA(MATCH(1667,Engine!$C$2:$C$1960,0)),"",INDEX('Compliance Database'!$M$2:$M$1960,MATCH(1667,Engine!$C$2:$C$1960,0)))</f>
        <v/>
      </c>
      <c r="N1680" s="9">
        <f>IF(ISNA(MATCH(1667,Engine!$C$2:$C$1960,0)),"",INDEX('Compliance Database'!$N$2:$N$1960,MATCH(1667,Engine!$C$2:$C$1960,0)))</f>
        <v/>
      </c>
      <c r="O1680" s="9">
        <f>IF(ISNA(MATCH(1667,Engine!$C$2:$C$1960,0)),"",INDEX('Compliance Database'!$O$2:$O$1960,MATCH(1667,Engine!$C$2:$C$1960,0)))</f>
        <v/>
      </c>
      <c r="P1680" s="8">
        <f>IF(ISNA(MATCH(1667,Engine!$C$2:$C$1960,0)),"",HYPERLINK("#Acts!A"&amp;INDEX('Compliance Database'!$P$2:$P$1960,MATCH(1667,Engine!$C$2:$C$1960,0)),"Go to Act"))</f>
        <v/>
      </c>
    </row>
    <row r="1681" ht="158" customHeight="1">
      <c r="A1681" s="8">
        <f>IF(ISNA(MATCH(1668,Engine!$C$2:$C$1960,0)),"",INDEX('Compliance Database'!$A$2:$A$1960,MATCH(1668,Engine!$C$2:$C$1960,0)))</f>
        <v/>
      </c>
      <c r="B1681" s="8">
        <f>IF(ISNA(MATCH(1668,Engine!$C$2:$C$1960,0)),"",INDEX('Compliance Database'!$B$2:$B$1960,MATCH(1668,Engine!$C$2:$C$1960,0)))</f>
        <v/>
      </c>
      <c r="C1681" s="8">
        <f>IF(ISNA(MATCH(1668,Engine!$C$2:$C$1960,0)),"",INDEX('Compliance Database'!$C$2:$C$1960,MATCH(1668,Engine!$C$2:$C$1960,0)))</f>
        <v/>
      </c>
      <c r="D1681" s="9">
        <f>IF(ISNA(MATCH(1668,Engine!$C$2:$C$1960,0)),"",INDEX('Compliance Database'!$D$2:$D$1960,MATCH(1668,Engine!$C$2:$C$1960,0)))</f>
        <v/>
      </c>
      <c r="E1681" s="8">
        <f>IF(ISNA(MATCH(1668,Engine!$C$2:$C$1960,0)),"",INDEX('Compliance Database'!$E$2:$E$1960,MATCH(1668,Engine!$C$2:$C$1960,0)))</f>
        <v/>
      </c>
      <c r="F1681" s="8">
        <f>IF(ISNA(MATCH(1668,Engine!$C$2:$C$1960,0)),"",INDEX('Compliance Database'!$F$2:$F$1960,MATCH(1668,Engine!$C$2:$C$1960,0)))</f>
        <v/>
      </c>
      <c r="G1681" s="8">
        <f>IF(ISNA(MATCH(1668,Engine!$C$2:$C$1960,0)),"",INDEX('Compliance Database'!$G$2:$G$1960,MATCH(1668,Engine!$C$2:$C$1960,0)))</f>
        <v/>
      </c>
      <c r="H1681" s="9">
        <f>IF(ISNA(MATCH(1668,Engine!$C$2:$C$1960,0)),"",INDEX('Compliance Database'!$H$2:$H$1960,MATCH(1668,Engine!$C$2:$C$1960,0)))</f>
        <v/>
      </c>
      <c r="I1681" s="9">
        <f>IF(ISNA(MATCH(1668,Engine!$C$2:$C$1960,0)),"",INDEX('Compliance Database'!$I$2:$I$1960,MATCH(1668,Engine!$C$2:$C$1960,0)))</f>
        <v/>
      </c>
      <c r="J1681" s="8">
        <f>IF(ISNA(MATCH(1668,Engine!$C$2:$C$1960,0)),"",INDEX('Compliance Database'!$J$2:$J$1960,MATCH(1668,Engine!$C$2:$C$1960,0)))</f>
        <v/>
      </c>
      <c r="K1681" s="9">
        <f>IF(ISNA(MATCH(1668,Engine!$C$2:$C$1960,0)),"",INDEX('Compliance Database'!$K$2:$K$1960,MATCH(1668,Engine!$C$2:$C$1960,0)))</f>
        <v/>
      </c>
      <c r="L1681" s="9">
        <f>IF(ISNA(MATCH(1668,Engine!$C$2:$C$1960,0)),"",INDEX('Compliance Database'!$L$2:$L$1960,MATCH(1668,Engine!$C$2:$C$1960,0)))</f>
        <v/>
      </c>
      <c r="M1681" s="9">
        <f>IF(ISNA(MATCH(1668,Engine!$C$2:$C$1960,0)),"",INDEX('Compliance Database'!$M$2:$M$1960,MATCH(1668,Engine!$C$2:$C$1960,0)))</f>
        <v/>
      </c>
      <c r="N1681" s="9">
        <f>IF(ISNA(MATCH(1668,Engine!$C$2:$C$1960,0)),"",INDEX('Compliance Database'!$N$2:$N$1960,MATCH(1668,Engine!$C$2:$C$1960,0)))</f>
        <v/>
      </c>
      <c r="O1681" s="9">
        <f>IF(ISNA(MATCH(1668,Engine!$C$2:$C$1960,0)),"",INDEX('Compliance Database'!$O$2:$O$1960,MATCH(1668,Engine!$C$2:$C$1960,0)))</f>
        <v/>
      </c>
      <c r="P1681" s="8">
        <f>IF(ISNA(MATCH(1668,Engine!$C$2:$C$1960,0)),"",HYPERLINK("#Acts!A"&amp;INDEX('Compliance Database'!$P$2:$P$1960,MATCH(1668,Engine!$C$2:$C$1960,0)),"Go to Act"))</f>
        <v/>
      </c>
    </row>
    <row r="1682" ht="158" customHeight="1">
      <c r="A1682" s="8">
        <f>IF(ISNA(MATCH(1669,Engine!$C$2:$C$1960,0)),"",INDEX('Compliance Database'!$A$2:$A$1960,MATCH(1669,Engine!$C$2:$C$1960,0)))</f>
        <v/>
      </c>
      <c r="B1682" s="8">
        <f>IF(ISNA(MATCH(1669,Engine!$C$2:$C$1960,0)),"",INDEX('Compliance Database'!$B$2:$B$1960,MATCH(1669,Engine!$C$2:$C$1960,0)))</f>
        <v/>
      </c>
      <c r="C1682" s="8">
        <f>IF(ISNA(MATCH(1669,Engine!$C$2:$C$1960,0)),"",INDEX('Compliance Database'!$C$2:$C$1960,MATCH(1669,Engine!$C$2:$C$1960,0)))</f>
        <v/>
      </c>
      <c r="D1682" s="9">
        <f>IF(ISNA(MATCH(1669,Engine!$C$2:$C$1960,0)),"",INDEX('Compliance Database'!$D$2:$D$1960,MATCH(1669,Engine!$C$2:$C$1960,0)))</f>
        <v/>
      </c>
      <c r="E1682" s="8">
        <f>IF(ISNA(MATCH(1669,Engine!$C$2:$C$1960,0)),"",INDEX('Compliance Database'!$E$2:$E$1960,MATCH(1669,Engine!$C$2:$C$1960,0)))</f>
        <v/>
      </c>
      <c r="F1682" s="8">
        <f>IF(ISNA(MATCH(1669,Engine!$C$2:$C$1960,0)),"",INDEX('Compliance Database'!$F$2:$F$1960,MATCH(1669,Engine!$C$2:$C$1960,0)))</f>
        <v/>
      </c>
      <c r="G1682" s="8">
        <f>IF(ISNA(MATCH(1669,Engine!$C$2:$C$1960,0)),"",INDEX('Compliance Database'!$G$2:$G$1960,MATCH(1669,Engine!$C$2:$C$1960,0)))</f>
        <v/>
      </c>
      <c r="H1682" s="9">
        <f>IF(ISNA(MATCH(1669,Engine!$C$2:$C$1960,0)),"",INDEX('Compliance Database'!$H$2:$H$1960,MATCH(1669,Engine!$C$2:$C$1960,0)))</f>
        <v/>
      </c>
      <c r="I1682" s="9">
        <f>IF(ISNA(MATCH(1669,Engine!$C$2:$C$1960,0)),"",INDEX('Compliance Database'!$I$2:$I$1960,MATCH(1669,Engine!$C$2:$C$1960,0)))</f>
        <v/>
      </c>
      <c r="J1682" s="8">
        <f>IF(ISNA(MATCH(1669,Engine!$C$2:$C$1960,0)),"",INDEX('Compliance Database'!$J$2:$J$1960,MATCH(1669,Engine!$C$2:$C$1960,0)))</f>
        <v/>
      </c>
      <c r="K1682" s="9">
        <f>IF(ISNA(MATCH(1669,Engine!$C$2:$C$1960,0)),"",INDEX('Compliance Database'!$K$2:$K$1960,MATCH(1669,Engine!$C$2:$C$1960,0)))</f>
        <v/>
      </c>
      <c r="L1682" s="9">
        <f>IF(ISNA(MATCH(1669,Engine!$C$2:$C$1960,0)),"",INDEX('Compliance Database'!$L$2:$L$1960,MATCH(1669,Engine!$C$2:$C$1960,0)))</f>
        <v/>
      </c>
      <c r="M1682" s="9">
        <f>IF(ISNA(MATCH(1669,Engine!$C$2:$C$1960,0)),"",INDEX('Compliance Database'!$M$2:$M$1960,MATCH(1669,Engine!$C$2:$C$1960,0)))</f>
        <v/>
      </c>
      <c r="N1682" s="9">
        <f>IF(ISNA(MATCH(1669,Engine!$C$2:$C$1960,0)),"",INDEX('Compliance Database'!$N$2:$N$1960,MATCH(1669,Engine!$C$2:$C$1960,0)))</f>
        <v/>
      </c>
      <c r="O1682" s="9">
        <f>IF(ISNA(MATCH(1669,Engine!$C$2:$C$1960,0)),"",INDEX('Compliance Database'!$O$2:$O$1960,MATCH(1669,Engine!$C$2:$C$1960,0)))</f>
        <v/>
      </c>
      <c r="P1682" s="8">
        <f>IF(ISNA(MATCH(1669,Engine!$C$2:$C$1960,0)),"",HYPERLINK("#Acts!A"&amp;INDEX('Compliance Database'!$P$2:$P$1960,MATCH(1669,Engine!$C$2:$C$1960,0)),"Go to Act"))</f>
        <v/>
      </c>
    </row>
    <row r="1683" ht="158" customHeight="1">
      <c r="A1683" s="8">
        <f>IF(ISNA(MATCH(1670,Engine!$C$2:$C$1960,0)),"",INDEX('Compliance Database'!$A$2:$A$1960,MATCH(1670,Engine!$C$2:$C$1960,0)))</f>
        <v/>
      </c>
      <c r="B1683" s="8">
        <f>IF(ISNA(MATCH(1670,Engine!$C$2:$C$1960,0)),"",INDEX('Compliance Database'!$B$2:$B$1960,MATCH(1670,Engine!$C$2:$C$1960,0)))</f>
        <v/>
      </c>
      <c r="C1683" s="8">
        <f>IF(ISNA(MATCH(1670,Engine!$C$2:$C$1960,0)),"",INDEX('Compliance Database'!$C$2:$C$1960,MATCH(1670,Engine!$C$2:$C$1960,0)))</f>
        <v/>
      </c>
      <c r="D1683" s="9">
        <f>IF(ISNA(MATCH(1670,Engine!$C$2:$C$1960,0)),"",INDEX('Compliance Database'!$D$2:$D$1960,MATCH(1670,Engine!$C$2:$C$1960,0)))</f>
        <v/>
      </c>
      <c r="E1683" s="8">
        <f>IF(ISNA(MATCH(1670,Engine!$C$2:$C$1960,0)),"",INDEX('Compliance Database'!$E$2:$E$1960,MATCH(1670,Engine!$C$2:$C$1960,0)))</f>
        <v/>
      </c>
      <c r="F1683" s="8">
        <f>IF(ISNA(MATCH(1670,Engine!$C$2:$C$1960,0)),"",INDEX('Compliance Database'!$F$2:$F$1960,MATCH(1670,Engine!$C$2:$C$1960,0)))</f>
        <v/>
      </c>
      <c r="G1683" s="8">
        <f>IF(ISNA(MATCH(1670,Engine!$C$2:$C$1960,0)),"",INDEX('Compliance Database'!$G$2:$G$1960,MATCH(1670,Engine!$C$2:$C$1960,0)))</f>
        <v/>
      </c>
      <c r="H1683" s="9">
        <f>IF(ISNA(MATCH(1670,Engine!$C$2:$C$1960,0)),"",INDEX('Compliance Database'!$H$2:$H$1960,MATCH(1670,Engine!$C$2:$C$1960,0)))</f>
        <v/>
      </c>
      <c r="I1683" s="9">
        <f>IF(ISNA(MATCH(1670,Engine!$C$2:$C$1960,0)),"",INDEX('Compliance Database'!$I$2:$I$1960,MATCH(1670,Engine!$C$2:$C$1960,0)))</f>
        <v/>
      </c>
      <c r="J1683" s="8">
        <f>IF(ISNA(MATCH(1670,Engine!$C$2:$C$1960,0)),"",INDEX('Compliance Database'!$J$2:$J$1960,MATCH(1670,Engine!$C$2:$C$1960,0)))</f>
        <v/>
      </c>
      <c r="K1683" s="9">
        <f>IF(ISNA(MATCH(1670,Engine!$C$2:$C$1960,0)),"",INDEX('Compliance Database'!$K$2:$K$1960,MATCH(1670,Engine!$C$2:$C$1960,0)))</f>
        <v/>
      </c>
      <c r="L1683" s="9">
        <f>IF(ISNA(MATCH(1670,Engine!$C$2:$C$1960,0)),"",INDEX('Compliance Database'!$L$2:$L$1960,MATCH(1670,Engine!$C$2:$C$1960,0)))</f>
        <v/>
      </c>
      <c r="M1683" s="9">
        <f>IF(ISNA(MATCH(1670,Engine!$C$2:$C$1960,0)),"",INDEX('Compliance Database'!$M$2:$M$1960,MATCH(1670,Engine!$C$2:$C$1960,0)))</f>
        <v/>
      </c>
      <c r="N1683" s="9">
        <f>IF(ISNA(MATCH(1670,Engine!$C$2:$C$1960,0)),"",INDEX('Compliance Database'!$N$2:$N$1960,MATCH(1670,Engine!$C$2:$C$1960,0)))</f>
        <v/>
      </c>
      <c r="O1683" s="9">
        <f>IF(ISNA(MATCH(1670,Engine!$C$2:$C$1960,0)),"",INDEX('Compliance Database'!$O$2:$O$1960,MATCH(1670,Engine!$C$2:$C$1960,0)))</f>
        <v/>
      </c>
      <c r="P1683" s="8">
        <f>IF(ISNA(MATCH(1670,Engine!$C$2:$C$1960,0)),"",HYPERLINK("#Acts!A"&amp;INDEX('Compliance Database'!$P$2:$P$1960,MATCH(1670,Engine!$C$2:$C$1960,0)),"Go to Act"))</f>
        <v/>
      </c>
    </row>
    <row r="1684" ht="158" customHeight="1">
      <c r="A1684" s="8">
        <f>IF(ISNA(MATCH(1671,Engine!$C$2:$C$1960,0)),"",INDEX('Compliance Database'!$A$2:$A$1960,MATCH(1671,Engine!$C$2:$C$1960,0)))</f>
        <v/>
      </c>
      <c r="B1684" s="8">
        <f>IF(ISNA(MATCH(1671,Engine!$C$2:$C$1960,0)),"",INDEX('Compliance Database'!$B$2:$B$1960,MATCH(1671,Engine!$C$2:$C$1960,0)))</f>
        <v/>
      </c>
      <c r="C1684" s="8">
        <f>IF(ISNA(MATCH(1671,Engine!$C$2:$C$1960,0)),"",INDEX('Compliance Database'!$C$2:$C$1960,MATCH(1671,Engine!$C$2:$C$1960,0)))</f>
        <v/>
      </c>
      <c r="D1684" s="9">
        <f>IF(ISNA(MATCH(1671,Engine!$C$2:$C$1960,0)),"",INDEX('Compliance Database'!$D$2:$D$1960,MATCH(1671,Engine!$C$2:$C$1960,0)))</f>
        <v/>
      </c>
      <c r="E1684" s="8">
        <f>IF(ISNA(MATCH(1671,Engine!$C$2:$C$1960,0)),"",INDEX('Compliance Database'!$E$2:$E$1960,MATCH(1671,Engine!$C$2:$C$1960,0)))</f>
        <v/>
      </c>
      <c r="F1684" s="8">
        <f>IF(ISNA(MATCH(1671,Engine!$C$2:$C$1960,0)),"",INDEX('Compliance Database'!$F$2:$F$1960,MATCH(1671,Engine!$C$2:$C$1960,0)))</f>
        <v/>
      </c>
      <c r="G1684" s="8">
        <f>IF(ISNA(MATCH(1671,Engine!$C$2:$C$1960,0)),"",INDEX('Compliance Database'!$G$2:$G$1960,MATCH(1671,Engine!$C$2:$C$1960,0)))</f>
        <v/>
      </c>
      <c r="H1684" s="9">
        <f>IF(ISNA(MATCH(1671,Engine!$C$2:$C$1960,0)),"",INDEX('Compliance Database'!$H$2:$H$1960,MATCH(1671,Engine!$C$2:$C$1960,0)))</f>
        <v/>
      </c>
      <c r="I1684" s="9">
        <f>IF(ISNA(MATCH(1671,Engine!$C$2:$C$1960,0)),"",INDEX('Compliance Database'!$I$2:$I$1960,MATCH(1671,Engine!$C$2:$C$1960,0)))</f>
        <v/>
      </c>
      <c r="J1684" s="8">
        <f>IF(ISNA(MATCH(1671,Engine!$C$2:$C$1960,0)),"",INDEX('Compliance Database'!$J$2:$J$1960,MATCH(1671,Engine!$C$2:$C$1960,0)))</f>
        <v/>
      </c>
      <c r="K1684" s="9">
        <f>IF(ISNA(MATCH(1671,Engine!$C$2:$C$1960,0)),"",INDEX('Compliance Database'!$K$2:$K$1960,MATCH(1671,Engine!$C$2:$C$1960,0)))</f>
        <v/>
      </c>
      <c r="L1684" s="9">
        <f>IF(ISNA(MATCH(1671,Engine!$C$2:$C$1960,0)),"",INDEX('Compliance Database'!$L$2:$L$1960,MATCH(1671,Engine!$C$2:$C$1960,0)))</f>
        <v/>
      </c>
      <c r="M1684" s="9">
        <f>IF(ISNA(MATCH(1671,Engine!$C$2:$C$1960,0)),"",INDEX('Compliance Database'!$M$2:$M$1960,MATCH(1671,Engine!$C$2:$C$1960,0)))</f>
        <v/>
      </c>
      <c r="N1684" s="9">
        <f>IF(ISNA(MATCH(1671,Engine!$C$2:$C$1960,0)),"",INDEX('Compliance Database'!$N$2:$N$1960,MATCH(1671,Engine!$C$2:$C$1960,0)))</f>
        <v/>
      </c>
      <c r="O1684" s="9">
        <f>IF(ISNA(MATCH(1671,Engine!$C$2:$C$1960,0)),"",INDEX('Compliance Database'!$O$2:$O$1960,MATCH(1671,Engine!$C$2:$C$1960,0)))</f>
        <v/>
      </c>
      <c r="P1684" s="8">
        <f>IF(ISNA(MATCH(1671,Engine!$C$2:$C$1960,0)),"",HYPERLINK("#Acts!A"&amp;INDEX('Compliance Database'!$P$2:$P$1960,MATCH(1671,Engine!$C$2:$C$1960,0)),"Go to Act"))</f>
        <v/>
      </c>
    </row>
    <row r="1685" ht="158" customHeight="1">
      <c r="A1685" s="8">
        <f>IF(ISNA(MATCH(1672,Engine!$C$2:$C$1960,0)),"",INDEX('Compliance Database'!$A$2:$A$1960,MATCH(1672,Engine!$C$2:$C$1960,0)))</f>
        <v/>
      </c>
      <c r="B1685" s="8">
        <f>IF(ISNA(MATCH(1672,Engine!$C$2:$C$1960,0)),"",INDEX('Compliance Database'!$B$2:$B$1960,MATCH(1672,Engine!$C$2:$C$1960,0)))</f>
        <v/>
      </c>
      <c r="C1685" s="8">
        <f>IF(ISNA(MATCH(1672,Engine!$C$2:$C$1960,0)),"",INDEX('Compliance Database'!$C$2:$C$1960,MATCH(1672,Engine!$C$2:$C$1960,0)))</f>
        <v/>
      </c>
      <c r="D1685" s="9">
        <f>IF(ISNA(MATCH(1672,Engine!$C$2:$C$1960,0)),"",INDEX('Compliance Database'!$D$2:$D$1960,MATCH(1672,Engine!$C$2:$C$1960,0)))</f>
        <v/>
      </c>
      <c r="E1685" s="8">
        <f>IF(ISNA(MATCH(1672,Engine!$C$2:$C$1960,0)),"",INDEX('Compliance Database'!$E$2:$E$1960,MATCH(1672,Engine!$C$2:$C$1960,0)))</f>
        <v/>
      </c>
      <c r="F1685" s="8">
        <f>IF(ISNA(MATCH(1672,Engine!$C$2:$C$1960,0)),"",INDEX('Compliance Database'!$F$2:$F$1960,MATCH(1672,Engine!$C$2:$C$1960,0)))</f>
        <v/>
      </c>
      <c r="G1685" s="8">
        <f>IF(ISNA(MATCH(1672,Engine!$C$2:$C$1960,0)),"",INDEX('Compliance Database'!$G$2:$G$1960,MATCH(1672,Engine!$C$2:$C$1960,0)))</f>
        <v/>
      </c>
      <c r="H1685" s="9">
        <f>IF(ISNA(MATCH(1672,Engine!$C$2:$C$1960,0)),"",INDEX('Compliance Database'!$H$2:$H$1960,MATCH(1672,Engine!$C$2:$C$1960,0)))</f>
        <v/>
      </c>
      <c r="I1685" s="9">
        <f>IF(ISNA(MATCH(1672,Engine!$C$2:$C$1960,0)),"",INDEX('Compliance Database'!$I$2:$I$1960,MATCH(1672,Engine!$C$2:$C$1960,0)))</f>
        <v/>
      </c>
      <c r="J1685" s="8">
        <f>IF(ISNA(MATCH(1672,Engine!$C$2:$C$1960,0)),"",INDEX('Compliance Database'!$J$2:$J$1960,MATCH(1672,Engine!$C$2:$C$1960,0)))</f>
        <v/>
      </c>
      <c r="K1685" s="9">
        <f>IF(ISNA(MATCH(1672,Engine!$C$2:$C$1960,0)),"",INDEX('Compliance Database'!$K$2:$K$1960,MATCH(1672,Engine!$C$2:$C$1960,0)))</f>
        <v/>
      </c>
      <c r="L1685" s="9">
        <f>IF(ISNA(MATCH(1672,Engine!$C$2:$C$1960,0)),"",INDEX('Compliance Database'!$L$2:$L$1960,MATCH(1672,Engine!$C$2:$C$1960,0)))</f>
        <v/>
      </c>
      <c r="M1685" s="9">
        <f>IF(ISNA(MATCH(1672,Engine!$C$2:$C$1960,0)),"",INDEX('Compliance Database'!$M$2:$M$1960,MATCH(1672,Engine!$C$2:$C$1960,0)))</f>
        <v/>
      </c>
      <c r="N1685" s="9">
        <f>IF(ISNA(MATCH(1672,Engine!$C$2:$C$1960,0)),"",INDEX('Compliance Database'!$N$2:$N$1960,MATCH(1672,Engine!$C$2:$C$1960,0)))</f>
        <v/>
      </c>
      <c r="O1685" s="9">
        <f>IF(ISNA(MATCH(1672,Engine!$C$2:$C$1960,0)),"",INDEX('Compliance Database'!$O$2:$O$1960,MATCH(1672,Engine!$C$2:$C$1960,0)))</f>
        <v/>
      </c>
      <c r="P1685" s="8">
        <f>IF(ISNA(MATCH(1672,Engine!$C$2:$C$1960,0)),"",HYPERLINK("#Acts!A"&amp;INDEX('Compliance Database'!$P$2:$P$1960,MATCH(1672,Engine!$C$2:$C$1960,0)),"Go to Act"))</f>
        <v/>
      </c>
    </row>
    <row r="1686" ht="158" customHeight="1">
      <c r="A1686" s="8">
        <f>IF(ISNA(MATCH(1673,Engine!$C$2:$C$1960,0)),"",INDEX('Compliance Database'!$A$2:$A$1960,MATCH(1673,Engine!$C$2:$C$1960,0)))</f>
        <v/>
      </c>
      <c r="B1686" s="8">
        <f>IF(ISNA(MATCH(1673,Engine!$C$2:$C$1960,0)),"",INDEX('Compliance Database'!$B$2:$B$1960,MATCH(1673,Engine!$C$2:$C$1960,0)))</f>
        <v/>
      </c>
      <c r="C1686" s="8">
        <f>IF(ISNA(MATCH(1673,Engine!$C$2:$C$1960,0)),"",INDEX('Compliance Database'!$C$2:$C$1960,MATCH(1673,Engine!$C$2:$C$1960,0)))</f>
        <v/>
      </c>
      <c r="D1686" s="9">
        <f>IF(ISNA(MATCH(1673,Engine!$C$2:$C$1960,0)),"",INDEX('Compliance Database'!$D$2:$D$1960,MATCH(1673,Engine!$C$2:$C$1960,0)))</f>
        <v/>
      </c>
      <c r="E1686" s="8">
        <f>IF(ISNA(MATCH(1673,Engine!$C$2:$C$1960,0)),"",INDEX('Compliance Database'!$E$2:$E$1960,MATCH(1673,Engine!$C$2:$C$1960,0)))</f>
        <v/>
      </c>
      <c r="F1686" s="8">
        <f>IF(ISNA(MATCH(1673,Engine!$C$2:$C$1960,0)),"",INDEX('Compliance Database'!$F$2:$F$1960,MATCH(1673,Engine!$C$2:$C$1960,0)))</f>
        <v/>
      </c>
      <c r="G1686" s="8">
        <f>IF(ISNA(MATCH(1673,Engine!$C$2:$C$1960,0)),"",INDEX('Compliance Database'!$G$2:$G$1960,MATCH(1673,Engine!$C$2:$C$1960,0)))</f>
        <v/>
      </c>
      <c r="H1686" s="9">
        <f>IF(ISNA(MATCH(1673,Engine!$C$2:$C$1960,0)),"",INDEX('Compliance Database'!$H$2:$H$1960,MATCH(1673,Engine!$C$2:$C$1960,0)))</f>
        <v/>
      </c>
      <c r="I1686" s="9">
        <f>IF(ISNA(MATCH(1673,Engine!$C$2:$C$1960,0)),"",INDEX('Compliance Database'!$I$2:$I$1960,MATCH(1673,Engine!$C$2:$C$1960,0)))</f>
        <v/>
      </c>
      <c r="J1686" s="8">
        <f>IF(ISNA(MATCH(1673,Engine!$C$2:$C$1960,0)),"",INDEX('Compliance Database'!$J$2:$J$1960,MATCH(1673,Engine!$C$2:$C$1960,0)))</f>
        <v/>
      </c>
      <c r="K1686" s="9">
        <f>IF(ISNA(MATCH(1673,Engine!$C$2:$C$1960,0)),"",INDEX('Compliance Database'!$K$2:$K$1960,MATCH(1673,Engine!$C$2:$C$1960,0)))</f>
        <v/>
      </c>
      <c r="L1686" s="9">
        <f>IF(ISNA(MATCH(1673,Engine!$C$2:$C$1960,0)),"",INDEX('Compliance Database'!$L$2:$L$1960,MATCH(1673,Engine!$C$2:$C$1960,0)))</f>
        <v/>
      </c>
      <c r="M1686" s="9">
        <f>IF(ISNA(MATCH(1673,Engine!$C$2:$C$1960,0)),"",INDEX('Compliance Database'!$M$2:$M$1960,MATCH(1673,Engine!$C$2:$C$1960,0)))</f>
        <v/>
      </c>
      <c r="N1686" s="9">
        <f>IF(ISNA(MATCH(1673,Engine!$C$2:$C$1960,0)),"",INDEX('Compliance Database'!$N$2:$N$1960,MATCH(1673,Engine!$C$2:$C$1960,0)))</f>
        <v/>
      </c>
      <c r="O1686" s="9">
        <f>IF(ISNA(MATCH(1673,Engine!$C$2:$C$1960,0)),"",INDEX('Compliance Database'!$O$2:$O$1960,MATCH(1673,Engine!$C$2:$C$1960,0)))</f>
        <v/>
      </c>
      <c r="P1686" s="8">
        <f>IF(ISNA(MATCH(1673,Engine!$C$2:$C$1960,0)),"",HYPERLINK("#Acts!A"&amp;INDEX('Compliance Database'!$P$2:$P$1960,MATCH(1673,Engine!$C$2:$C$1960,0)),"Go to Act"))</f>
        <v/>
      </c>
    </row>
    <row r="1687" ht="158" customHeight="1">
      <c r="A1687" s="8">
        <f>IF(ISNA(MATCH(1674,Engine!$C$2:$C$1960,0)),"",INDEX('Compliance Database'!$A$2:$A$1960,MATCH(1674,Engine!$C$2:$C$1960,0)))</f>
        <v/>
      </c>
      <c r="B1687" s="8">
        <f>IF(ISNA(MATCH(1674,Engine!$C$2:$C$1960,0)),"",INDEX('Compliance Database'!$B$2:$B$1960,MATCH(1674,Engine!$C$2:$C$1960,0)))</f>
        <v/>
      </c>
      <c r="C1687" s="8">
        <f>IF(ISNA(MATCH(1674,Engine!$C$2:$C$1960,0)),"",INDEX('Compliance Database'!$C$2:$C$1960,MATCH(1674,Engine!$C$2:$C$1960,0)))</f>
        <v/>
      </c>
      <c r="D1687" s="9">
        <f>IF(ISNA(MATCH(1674,Engine!$C$2:$C$1960,0)),"",INDEX('Compliance Database'!$D$2:$D$1960,MATCH(1674,Engine!$C$2:$C$1960,0)))</f>
        <v/>
      </c>
      <c r="E1687" s="8">
        <f>IF(ISNA(MATCH(1674,Engine!$C$2:$C$1960,0)),"",INDEX('Compliance Database'!$E$2:$E$1960,MATCH(1674,Engine!$C$2:$C$1960,0)))</f>
        <v/>
      </c>
      <c r="F1687" s="8">
        <f>IF(ISNA(MATCH(1674,Engine!$C$2:$C$1960,0)),"",INDEX('Compliance Database'!$F$2:$F$1960,MATCH(1674,Engine!$C$2:$C$1960,0)))</f>
        <v/>
      </c>
      <c r="G1687" s="8">
        <f>IF(ISNA(MATCH(1674,Engine!$C$2:$C$1960,0)),"",INDEX('Compliance Database'!$G$2:$G$1960,MATCH(1674,Engine!$C$2:$C$1960,0)))</f>
        <v/>
      </c>
      <c r="H1687" s="9">
        <f>IF(ISNA(MATCH(1674,Engine!$C$2:$C$1960,0)),"",INDEX('Compliance Database'!$H$2:$H$1960,MATCH(1674,Engine!$C$2:$C$1960,0)))</f>
        <v/>
      </c>
      <c r="I1687" s="9">
        <f>IF(ISNA(MATCH(1674,Engine!$C$2:$C$1960,0)),"",INDEX('Compliance Database'!$I$2:$I$1960,MATCH(1674,Engine!$C$2:$C$1960,0)))</f>
        <v/>
      </c>
      <c r="J1687" s="8">
        <f>IF(ISNA(MATCH(1674,Engine!$C$2:$C$1960,0)),"",INDEX('Compliance Database'!$J$2:$J$1960,MATCH(1674,Engine!$C$2:$C$1960,0)))</f>
        <v/>
      </c>
      <c r="K1687" s="9">
        <f>IF(ISNA(MATCH(1674,Engine!$C$2:$C$1960,0)),"",INDEX('Compliance Database'!$K$2:$K$1960,MATCH(1674,Engine!$C$2:$C$1960,0)))</f>
        <v/>
      </c>
      <c r="L1687" s="9">
        <f>IF(ISNA(MATCH(1674,Engine!$C$2:$C$1960,0)),"",INDEX('Compliance Database'!$L$2:$L$1960,MATCH(1674,Engine!$C$2:$C$1960,0)))</f>
        <v/>
      </c>
      <c r="M1687" s="9">
        <f>IF(ISNA(MATCH(1674,Engine!$C$2:$C$1960,0)),"",INDEX('Compliance Database'!$M$2:$M$1960,MATCH(1674,Engine!$C$2:$C$1960,0)))</f>
        <v/>
      </c>
      <c r="N1687" s="9">
        <f>IF(ISNA(MATCH(1674,Engine!$C$2:$C$1960,0)),"",INDEX('Compliance Database'!$N$2:$N$1960,MATCH(1674,Engine!$C$2:$C$1960,0)))</f>
        <v/>
      </c>
      <c r="O1687" s="9">
        <f>IF(ISNA(MATCH(1674,Engine!$C$2:$C$1960,0)),"",INDEX('Compliance Database'!$O$2:$O$1960,MATCH(1674,Engine!$C$2:$C$1960,0)))</f>
        <v/>
      </c>
      <c r="P1687" s="8">
        <f>IF(ISNA(MATCH(1674,Engine!$C$2:$C$1960,0)),"",HYPERLINK("#Acts!A"&amp;INDEX('Compliance Database'!$P$2:$P$1960,MATCH(1674,Engine!$C$2:$C$1960,0)),"Go to Act"))</f>
        <v/>
      </c>
    </row>
    <row r="1688" ht="158" customHeight="1">
      <c r="A1688" s="8">
        <f>IF(ISNA(MATCH(1675,Engine!$C$2:$C$1960,0)),"",INDEX('Compliance Database'!$A$2:$A$1960,MATCH(1675,Engine!$C$2:$C$1960,0)))</f>
        <v/>
      </c>
      <c r="B1688" s="8">
        <f>IF(ISNA(MATCH(1675,Engine!$C$2:$C$1960,0)),"",INDEX('Compliance Database'!$B$2:$B$1960,MATCH(1675,Engine!$C$2:$C$1960,0)))</f>
        <v/>
      </c>
      <c r="C1688" s="8">
        <f>IF(ISNA(MATCH(1675,Engine!$C$2:$C$1960,0)),"",INDEX('Compliance Database'!$C$2:$C$1960,MATCH(1675,Engine!$C$2:$C$1960,0)))</f>
        <v/>
      </c>
      <c r="D1688" s="9">
        <f>IF(ISNA(MATCH(1675,Engine!$C$2:$C$1960,0)),"",INDEX('Compliance Database'!$D$2:$D$1960,MATCH(1675,Engine!$C$2:$C$1960,0)))</f>
        <v/>
      </c>
      <c r="E1688" s="8">
        <f>IF(ISNA(MATCH(1675,Engine!$C$2:$C$1960,0)),"",INDEX('Compliance Database'!$E$2:$E$1960,MATCH(1675,Engine!$C$2:$C$1960,0)))</f>
        <v/>
      </c>
      <c r="F1688" s="8">
        <f>IF(ISNA(MATCH(1675,Engine!$C$2:$C$1960,0)),"",INDEX('Compliance Database'!$F$2:$F$1960,MATCH(1675,Engine!$C$2:$C$1960,0)))</f>
        <v/>
      </c>
      <c r="G1688" s="8">
        <f>IF(ISNA(MATCH(1675,Engine!$C$2:$C$1960,0)),"",INDEX('Compliance Database'!$G$2:$G$1960,MATCH(1675,Engine!$C$2:$C$1960,0)))</f>
        <v/>
      </c>
      <c r="H1688" s="9">
        <f>IF(ISNA(MATCH(1675,Engine!$C$2:$C$1960,0)),"",INDEX('Compliance Database'!$H$2:$H$1960,MATCH(1675,Engine!$C$2:$C$1960,0)))</f>
        <v/>
      </c>
      <c r="I1688" s="9">
        <f>IF(ISNA(MATCH(1675,Engine!$C$2:$C$1960,0)),"",INDEX('Compliance Database'!$I$2:$I$1960,MATCH(1675,Engine!$C$2:$C$1960,0)))</f>
        <v/>
      </c>
      <c r="J1688" s="8">
        <f>IF(ISNA(MATCH(1675,Engine!$C$2:$C$1960,0)),"",INDEX('Compliance Database'!$J$2:$J$1960,MATCH(1675,Engine!$C$2:$C$1960,0)))</f>
        <v/>
      </c>
      <c r="K1688" s="9">
        <f>IF(ISNA(MATCH(1675,Engine!$C$2:$C$1960,0)),"",INDEX('Compliance Database'!$K$2:$K$1960,MATCH(1675,Engine!$C$2:$C$1960,0)))</f>
        <v/>
      </c>
      <c r="L1688" s="9">
        <f>IF(ISNA(MATCH(1675,Engine!$C$2:$C$1960,0)),"",INDEX('Compliance Database'!$L$2:$L$1960,MATCH(1675,Engine!$C$2:$C$1960,0)))</f>
        <v/>
      </c>
      <c r="M1688" s="9">
        <f>IF(ISNA(MATCH(1675,Engine!$C$2:$C$1960,0)),"",INDEX('Compliance Database'!$M$2:$M$1960,MATCH(1675,Engine!$C$2:$C$1960,0)))</f>
        <v/>
      </c>
      <c r="N1688" s="9">
        <f>IF(ISNA(MATCH(1675,Engine!$C$2:$C$1960,0)),"",INDEX('Compliance Database'!$N$2:$N$1960,MATCH(1675,Engine!$C$2:$C$1960,0)))</f>
        <v/>
      </c>
      <c r="O1688" s="9">
        <f>IF(ISNA(MATCH(1675,Engine!$C$2:$C$1960,0)),"",INDEX('Compliance Database'!$O$2:$O$1960,MATCH(1675,Engine!$C$2:$C$1960,0)))</f>
        <v/>
      </c>
      <c r="P1688" s="8">
        <f>IF(ISNA(MATCH(1675,Engine!$C$2:$C$1960,0)),"",HYPERLINK("#Acts!A"&amp;INDEX('Compliance Database'!$P$2:$P$1960,MATCH(1675,Engine!$C$2:$C$1960,0)),"Go to Act"))</f>
        <v/>
      </c>
    </row>
    <row r="1689" ht="158" customHeight="1">
      <c r="A1689" s="8">
        <f>IF(ISNA(MATCH(1676,Engine!$C$2:$C$1960,0)),"",INDEX('Compliance Database'!$A$2:$A$1960,MATCH(1676,Engine!$C$2:$C$1960,0)))</f>
        <v/>
      </c>
      <c r="B1689" s="8">
        <f>IF(ISNA(MATCH(1676,Engine!$C$2:$C$1960,0)),"",INDEX('Compliance Database'!$B$2:$B$1960,MATCH(1676,Engine!$C$2:$C$1960,0)))</f>
        <v/>
      </c>
      <c r="C1689" s="8">
        <f>IF(ISNA(MATCH(1676,Engine!$C$2:$C$1960,0)),"",INDEX('Compliance Database'!$C$2:$C$1960,MATCH(1676,Engine!$C$2:$C$1960,0)))</f>
        <v/>
      </c>
      <c r="D1689" s="9">
        <f>IF(ISNA(MATCH(1676,Engine!$C$2:$C$1960,0)),"",INDEX('Compliance Database'!$D$2:$D$1960,MATCH(1676,Engine!$C$2:$C$1960,0)))</f>
        <v/>
      </c>
      <c r="E1689" s="8">
        <f>IF(ISNA(MATCH(1676,Engine!$C$2:$C$1960,0)),"",INDEX('Compliance Database'!$E$2:$E$1960,MATCH(1676,Engine!$C$2:$C$1960,0)))</f>
        <v/>
      </c>
      <c r="F1689" s="8">
        <f>IF(ISNA(MATCH(1676,Engine!$C$2:$C$1960,0)),"",INDEX('Compliance Database'!$F$2:$F$1960,MATCH(1676,Engine!$C$2:$C$1960,0)))</f>
        <v/>
      </c>
      <c r="G1689" s="8">
        <f>IF(ISNA(MATCH(1676,Engine!$C$2:$C$1960,0)),"",INDEX('Compliance Database'!$G$2:$G$1960,MATCH(1676,Engine!$C$2:$C$1960,0)))</f>
        <v/>
      </c>
      <c r="H1689" s="9">
        <f>IF(ISNA(MATCH(1676,Engine!$C$2:$C$1960,0)),"",INDEX('Compliance Database'!$H$2:$H$1960,MATCH(1676,Engine!$C$2:$C$1960,0)))</f>
        <v/>
      </c>
      <c r="I1689" s="9">
        <f>IF(ISNA(MATCH(1676,Engine!$C$2:$C$1960,0)),"",INDEX('Compliance Database'!$I$2:$I$1960,MATCH(1676,Engine!$C$2:$C$1960,0)))</f>
        <v/>
      </c>
      <c r="J1689" s="8">
        <f>IF(ISNA(MATCH(1676,Engine!$C$2:$C$1960,0)),"",INDEX('Compliance Database'!$J$2:$J$1960,MATCH(1676,Engine!$C$2:$C$1960,0)))</f>
        <v/>
      </c>
      <c r="K1689" s="9">
        <f>IF(ISNA(MATCH(1676,Engine!$C$2:$C$1960,0)),"",INDEX('Compliance Database'!$K$2:$K$1960,MATCH(1676,Engine!$C$2:$C$1960,0)))</f>
        <v/>
      </c>
      <c r="L1689" s="9">
        <f>IF(ISNA(MATCH(1676,Engine!$C$2:$C$1960,0)),"",INDEX('Compliance Database'!$L$2:$L$1960,MATCH(1676,Engine!$C$2:$C$1960,0)))</f>
        <v/>
      </c>
      <c r="M1689" s="9">
        <f>IF(ISNA(MATCH(1676,Engine!$C$2:$C$1960,0)),"",INDEX('Compliance Database'!$M$2:$M$1960,MATCH(1676,Engine!$C$2:$C$1960,0)))</f>
        <v/>
      </c>
      <c r="N1689" s="9">
        <f>IF(ISNA(MATCH(1676,Engine!$C$2:$C$1960,0)),"",INDEX('Compliance Database'!$N$2:$N$1960,MATCH(1676,Engine!$C$2:$C$1960,0)))</f>
        <v/>
      </c>
      <c r="O1689" s="9">
        <f>IF(ISNA(MATCH(1676,Engine!$C$2:$C$1960,0)),"",INDEX('Compliance Database'!$O$2:$O$1960,MATCH(1676,Engine!$C$2:$C$1960,0)))</f>
        <v/>
      </c>
      <c r="P1689" s="8">
        <f>IF(ISNA(MATCH(1676,Engine!$C$2:$C$1960,0)),"",HYPERLINK("#Acts!A"&amp;INDEX('Compliance Database'!$P$2:$P$1960,MATCH(1676,Engine!$C$2:$C$1960,0)),"Go to Act"))</f>
        <v/>
      </c>
    </row>
    <row r="1690" ht="158" customHeight="1">
      <c r="A1690" s="8">
        <f>IF(ISNA(MATCH(1677,Engine!$C$2:$C$1960,0)),"",INDEX('Compliance Database'!$A$2:$A$1960,MATCH(1677,Engine!$C$2:$C$1960,0)))</f>
        <v/>
      </c>
      <c r="B1690" s="8">
        <f>IF(ISNA(MATCH(1677,Engine!$C$2:$C$1960,0)),"",INDEX('Compliance Database'!$B$2:$B$1960,MATCH(1677,Engine!$C$2:$C$1960,0)))</f>
        <v/>
      </c>
      <c r="C1690" s="8">
        <f>IF(ISNA(MATCH(1677,Engine!$C$2:$C$1960,0)),"",INDEX('Compliance Database'!$C$2:$C$1960,MATCH(1677,Engine!$C$2:$C$1960,0)))</f>
        <v/>
      </c>
      <c r="D1690" s="9">
        <f>IF(ISNA(MATCH(1677,Engine!$C$2:$C$1960,0)),"",INDEX('Compliance Database'!$D$2:$D$1960,MATCH(1677,Engine!$C$2:$C$1960,0)))</f>
        <v/>
      </c>
      <c r="E1690" s="8">
        <f>IF(ISNA(MATCH(1677,Engine!$C$2:$C$1960,0)),"",INDEX('Compliance Database'!$E$2:$E$1960,MATCH(1677,Engine!$C$2:$C$1960,0)))</f>
        <v/>
      </c>
      <c r="F1690" s="8">
        <f>IF(ISNA(MATCH(1677,Engine!$C$2:$C$1960,0)),"",INDEX('Compliance Database'!$F$2:$F$1960,MATCH(1677,Engine!$C$2:$C$1960,0)))</f>
        <v/>
      </c>
      <c r="G1690" s="8">
        <f>IF(ISNA(MATCH(1677,Engine!$C$2:$C$1960,0)),"",INDEX('Compliance Database'!$G$2:$G$1960,MATCH(1677,Engine!$C$2:$C$1960,0)))</f>
        <v/>
      </c>
      <c r="H1690" s="9">
        <f>IF(ISNA(MATCH(1677,Engine!$C$2:$C$1960,0)),"",INDEX('Compliance Database'!$H$2:$H$1960,MATCH(1677,Engine!$C$2:$C$1960,0)))</f>
        <v/>
      </c>
      <c r="I1690" s="9">
        <f>IF(ISNA(MATCH(1677,Engine!$C$2:$C$1960,0)),"",INDEX('Compliance Database'!$I$2:$I$1960,MATCH(1677,Engine!$C$2:$C$1960,0)))</f>
        <v/>
      </c>
      <c r="J1690" s="8">
        <f>IF(ISNA(MATCH(1677,Engine!$C$2:$C$1960,0)),"",INDEX('Compliance Database'!$J$2:$J$1960,MATCH(1677,Engine!$C$2:$C$1960,0)))</f>
        <v/>
      </c>
      <c r="K1690" s="9">
        <f>IF(ISNA(MATCH(1677,Engine!$C$2:$C$1960,0)),"",INDEX('Compliance Database'!$K$2:$K$1960,MATCH(1677,Engine!$C$2:$C$1960,0)))</f>
        <v/>
      </c>
      <c r="L1690" s="9">
        <f>IF(ISNA(MATCH(1677,Engine!$C$2:$C$1960,0)),"",INDEX('Compliance Database'!$L$2:$L$1960,MATCH(1677,Engine!$C$2:$C$1960,0)))</f>
        <v/>
      </c>
      <c r="M1690" s="9">
        <f>IF(ISNA(MATCH(1677,Engine!$C$2:$C$1960,0)),"",INDEX('Compliance Database'!$M$2:$M$1960,MATCH(1677,Engine!$C$2:$C$1960,0)))</f>
        <v/>
      </c>
      <c r="N1690" s="9">
        <f>IF(ISNA(MATCH(1677,Engine!$C$2:$C$1960,0)),"",INDEX('Compliance Database'!$N$2:$N$1960,MATCH(1677,Engine!$C$2:$C$1960,0)))</f>
        <v/>
      </c>
      <c r="O1690" s="9">
        <f>IF(ISNA(MATCH(1677,Engine!$C$2:$C$1960,0)),"",INDEX('Compliance Database'!$O$2:$O$1960,MATCH(1677,Engine!$C$2:$C$1960,0)))</f>
        <v/>
      </c>
      <c r="P1690" s="8">
        <f>IF(ISNA(MATCH(1677,Engine!$C$2:$C$1960,0)),"",HYPERLINK("#Acts!A"&amp;INDEX('Compliance Database'!$P$2:$P$1960,MATCH(1677,Engine!$C$2:$C$1960,0)),"Go to Act"))</f>
        <v/>
      </c>
    </row>
    <row r="1691" ht="158" customHeight="1">
      <c r="A1691" s="8">
        <f>IF(ISNA(MATCH(1678,Engine!$C$2:$C$1960,0)),"",INDEX('Compliance Database'!$A$2:$A$1960,MATCH(1678,Engine!$C$2:$C$1960,0)))</f>
        <v/>
      </c>
      <c r="B1691" s="8">
        <f>IF(ISNA(MATCH(1678,Engine!$C$2:$C$1960,0)),"",INDEX('Compliance Database'!$B$2:$B$1960,MATCH(1678,Engine!$C$2:$C$1960,0)))</f>
        <v/>
      </c>
      <c r="C1691" s="8">
        <f>IF(ISNA(MATCH(1678,Engine!$C$2:$C$1960,0)),"",INDEX('Compliance Database'!$C$2:$C$1960,MATCH(1678,Engine!$C$2:$C$1960,0)))</f>
        <v/>
      </c>
      <c r="D1691" s="9">
        <f>IF(ISNA(MATCH(1678,Engine!$C$2:$C$1960,0)),"",INDEX('Compliance Database'!$D$2:$D$1960,MATCH(1678,Engine!$C$2:$C$1960,0)))</f>
        <v/>
      </c>
      <c r="E1691" s="8">
        <f>IF(ISNA(MATCH(1678,Engine!$C$2:$C$1960,0)),"",INDEX('Compliance Database'!$E$2:$E$1960,MATCH(1678,Engine!$C$2:$C$1960,0)))</f>
        <v/>
      </c>
      <c r="F1691" s="8">
        <f>IF(ISNA(MATCH(1678,Engine!$C$2:$C$1960,0)),"",INDEX('Compliance Database'!$F$2:$F$1960,MATCH(1678,Engine!$C$2:$C$1960,0)))</f>
        <v/>
      </c>
      <c r="G1691" s="8">
        <f>IF(ISNA(MATCH(1678,Engine!$C$2:$C$1960,0)),"",INDEX('Compliance Database'!$G$2:$G$1960,MATCH(1678,Engine!$C$2:$C$1960,0)))</f>
        <v/>
      </c>
      <c r="H1691" s="9">
        <f>IF(ISNA(MATCH(1678,Engine!$C$2:$C$1960,0)),"",INDEX('Compliance Database'!$H$2:$H$1960,MATCH(1678,Engine!$C$2:$C$1960,0)))</f>
        <v/>
      </c>
      <c r="I1691" s="9">
        <f>IF(ISNA(MATCH(1678,Engine!$C$2:$C$1960,0)),"",INDEX('Compliance Database'!$I$2:$I$1960,MATCH(1678,Engine!$C$2:$C$1960,0)))</f>
        <v/>
      </c>
      <c r="J1691" s="8">
        <f>IF(ISNA(MATCH(1678,Engine!$C$2:$C$1960,0)),"",INDEX('Compliance Database'!$J$2:$J$1960,MATCH(1678,Engine!$C$2:$C$1960,0)))</f>
        <v/>
      </c>
      <c r="K1691" s="9">
        <f>IF(ISNA(MATCH(1678,Engine!$C$2:$C$1960,0)),"",INDEX('Compliance Database'!$K$2:$K$1960,MATCH(1678,Engine!$C$2:$C$1960,0)))</f>
        <v/>
      </c>
      <c r="L1691" s="9">
        <f>IF(ISNA(MATCH(1678,Engine!$C$2:$C$1960,0)),"",INDEX('Compliance Database'!$L$2:$L$1960,MATCH(1678,Engine!$C$2:$C$1960,0)))</f>
        <v/>
      </c>
      <c r="M1691" s="9">
        <f>IF(ISNA(MATCH(1678,Engine!$C$2:$C$1960,0)),"",INDEX('Compliance Database'!$M$2:$M$1960,MATCH(1678,Engine!$C$2:$C$1960,0)))</f>
        <v/>
      </c>
      <c r="N1691" s="9">
        <f>IF(ISNA(MATCH(1678,Engine!$C$2:$C$1960,0)),"",INDEX('Compliance Database'!$N$2:$N$1960,MATCH(1678,Engine!$C$2:$C$1960,0)))</f>
        <v/>
      </c>
      <c r="O1691" s="9">
        <f>IF(ISNA(MATCH(1678,Engine!$C$2:$C$1960,0)),"",INDEX('Compliance Database'!$O$2:$O$1960,MATCH(1678,Engine!$C$2:$C$1960,0)))</f>
        <v/>
      </c>
      <c r="P1691" s="8">
        <f>IF(ISNA(MATCH(1678,Engine!$C$2:$C$1960,0)),"",HYPERLINK("#Acts!A"&amp;INDEX('Compliance Database'!$P$2:$P$1960,MATCH(1678,Engine!$C$2:$C$1960,0)),"Go to Act"))</f>
        <v/>
      </c>
    </row>
    <row r="1692" ht="158" customHeight="1">
      <c r="A1692" s="8">
        <f>IF(ISNA(MATCH(1679,Engine!$C$2:$C$1960,0)),"",INDEX('Compliance Database'!$A$2:$A$1960,MATCH(1679,Engine!$C$2:$C$1960,0)))</f>
        <v/>
      </c>
      <c r="B1692" s="8">
        <f>IF(ISNA(MATCH(1679,Engine!$C$2:$C$1960,0)),"",INDEX('Compliance Database'!$B$2:$B$1960,MATCH(1679,Engine!$C$2:$C$1960,0)))</f>
        <v/>
      </c>
      <c r="C1692" s="8">
        <f>IF(ISNA(MATCH(1679,Engine!$C$2:$C$1960,0)),"",INDEX('Compliance Database'!$C$2:$C$1960,MATCH(1679,Engine!$C$2:$C$1960,0)))</f>
        <v/>
      </c>
      <c r="D1692" s="9">
        <f>IF(ISNA(MATCH(1679,Engine!$C$2:$C$1960,0)),"",INDEX('Compliance Database'!$D$2:$D$1960,MATCH(1679,Engine!$C$2:$C$1960,0)))</f>
        <v/>
      </c>
      <c r="E1692" s="8">
        <f>IF(ISNA(MATCH(1679,Engine!$C$2:$C$1960,0)),"",INDEX('Compliance Database'!$E$2:$E$1960,MATCH(1679,Engine!$C$2:$C$1960,0)))</f>
        <v/>
      </c>
      <c r="F1692" s="8">
        <f>IF(ISNA(MATCH(1679,Engine!$C$2:$C$1960,0)),"",INDEX('Compliance Database'!$F$2:$F$1960,MATCH(1679,Engine!$C$2:$C$1960,0)))</f>
        <v/>
      </c>
      <c r="G1692" s="8">
        <f>IF(ISNA(MATCH(1679,Engine!$C$2:$C$1960,0)),"",INDEX('Compliance Database'!$G$2:$G$1960,MATCH(1679,Engine!$C$2:$C$1960,0)))</f>
        <v/>
      </c>
      <c r="H1692" s="9">
        <f>IF(ISNA(MATCH(1679,Engine!$C$2:$C$1960,0)),"",INDEX('Compliance Database'!$H$2:$H$1960,MATCH(1679,Engine!$C$2:$C$1960,0)))</f>
        <v/>
      </c>
      <c r="I1692" s="9">
        <f>IF(ISNA(MATCH(1679,Engine!$C$2:$C$1960,0)),"",INDEX('Compliance Database'!$I$2:$I$1960,MATCH(1679,Engine!$C$2:$C$1960,0)))</f>
        <v/>
      </c>
      <c r="J1692" s="8">
        <f>IF(ISNA(MATCH(1679,Engine!$C$2:$C$1960,0)),"",INDEX('Compliance Database'!$J$2:$J$1960,MATCH(1679,Engine!$C$2:$C$1960,0)))</f>
        <v/>
      </c>
      <c r="K1692" s="9">
        <f>IF(ISNA(MATCH(1679,Engine!$C$2:$C$1960,0)),"",INDEX('Compliance Database'!$K$2:$K$1960,MATCH(1679,Engine!$C$2:$C$1960,0)))</f>
        <v/>
      </c>
      <c r="L1692" s="9">
        <f>IF(ISNA(MATCH(1679,Engine!$C$2:$C$1960,0)),"",INDEX('Compliance Database'!$L$2:$L$1960,MATCH(1679,Engine!$C$2:$C$1960,0)))</f>
        <v/>
      </c>
      <c r="M1692" s="9">
        <f>IF(ISNA(MATCH(1679,Engine!$C$2:$C$1960,0)),"",INDEX('Compliance Database'!$M$2:$M$1960,MATCH(1679,Engine!$C$2:$C$1960,0)))</f>
        <v/>
      </c>
      <c r="N1692" s="9">
        <f>IF(ISNA(MATCH(1679,Engine!$C$2:$C$1960,0)),"",INDEX('Compliance Database'!$N$2:$N$1960,MATCH(1679,Engine!$C$2:$C$1960,0)))</f>
        <v/>
      </c>
      <c r="O1692" s="9">
        <f>IF(ISNA(MATCH(1679,Engine!$C$2:$C$1960,0)),"",INDEX('Compliance Database'!$O$2:$O$1960,MATCH(1679,Engine!$C$2:$C$1960,0)))</f>
        <v/>
      </c>
      <c r="P1692" s="8">
        <f>IF(ISNA(MATCH(1679,Engine!$C$2:$C$1960,0)),"",HYPERLINK("#Acts!A"&amp;INDEX('Compliance Database'!$P$2:$P$1960,MATCH(1679,Engine!$C$2:$C$1960,0)),"Go to Act"))</f>
        <v/>
      </c>
    </row>
    <row r="1693" ht="158" customHeight="1">
      <c r="A1693" s="8">
        <f>IF(ISNA(MATCH(1680,Engine!$C$2:$C$1960,0)),"",INDEX('Compliance Database'!$A$2:$A$1960,MATCH(1680,Engine!$C$2:$C$1960,0)))</f>
        <v/>
      </c>
      <c r="B1693" s="8">
        <f>IF(ISNA(MATCH(1680,Engine!$C$2:$C$1960,0)),"",INDEX('Compliance Database'!$B$2:$B$1960,MATCH(1680,Engine!$C$2:$C$1960,0)))</f>
        <v/>
      </c>
      <c r="C1693" s="8">
        <f>IF(ISNA(MATCH(1680,Engine!$C$2:$C$1960,0)),"",INDEX('Compliance Database'!$C$2:$C$1960,MATCH(1680,Engine!$C$2:$C$1960,0)))</f>
        <v/>
      </c>
      <c r="D1693" s="9">
        <f>IF(ISNA(MATCH(1680,Engine!$C$2:$C$1960,0)),"",INDEX('Compliance Database'!$D$2:$D$1960,MATCH(1680,Engine!$C$2:$C$1960,0)))</f>
        <v/>
      </c>
      <c r="E1693" s="8">
        <f>IF(ISNA(MATCH(1680,Engine!$C$2:$C$1960,0)),"",INDEX('Compliance Database'!$E$2:$E$1960,MATCH(1680,Engine!$C$2:$C$1960,0)))</f>
        <v/>
      </c>
      <c r="F1693" s="8">
        <f>IF(ISNA(MATCH(1680,Engine!$C$2:$C$1960,0)),"",INDEX('Compliance Database'!$F$2:$F$1960,MATCH(1680,Engine!$C$2:$C$1960,0)))</f>
        <v/>
      </c>
      <c r="G1693" s="8">
        <f>IF(ISNA(MATCH(1680,Engine!$C$2:$C$1960,0)),"",INDEX('Compliance Database'!$G$2:$G$1960,MATCH(1680,Engine!$C$2:$C$1960,0)))</f>
        <v/>
      </c>
      <c r="H1693" s="9">
        <f>IF(ISNA(MATCH(1680,Engine!$C$2:$C$1960,0)),"",INDEX('Compliance Database'!$H$2:$H$1960,MATCH(1680,Engine!$C$2:$C$1960,0)))</f>
        <v/>
      </c>
      <c r="I1693" s="9">
        <f>IF(ISNA(MATCH(1680,Engine!$C$2:$C$1960,0)),"",INDEX('Compliance Database'!$I$2:$I$1960,MATCH(1680,Engine!$C$2:$C$1960,0)))</f>
        <v/>
      </c>
      <c r="J1693" s="8">
        <f>IF(ISNA(MATCH(1680,Engine!$C$2:$C$1960,0)),"",INDEX('Compliance Database'!$J$2:$J$1960,MATCH(1680,Engine!$C$2:$C$1960,0)))</f>
        <v/>
      </c>
      <c r="K1693" s="9">
        <f>IF(ISNA(MATCH(1680,Engine!$C$2:$C$1960,0)),"",INDEX('Compliance Database'!$K$2:$K$1960,MATCH(1680,Engine!$C$2:$C$1960,0)))</f>
        <v/>
      </c>
      <c r="L1693" s="9">
        <f>IF(ISNA(MATCH(1680,Engine!$C$2:$C$1960,0)),"",INDEX('Compliance Database'!$L$2:$L$1960,MATCH(1680,Engine!$C$2:$C$1960,0)))</f>
        <v/>
      </c>
      <c r="M1693" s="9">
        <f>IF(ISNA(MATCH(1680,Engine!$C$2:$C$1960,0)),"",INDEX('Compliance Database'!$M$2:$M$1960,MATCH(1680,Engine!$C$2:$C$1960,0)))</f>
        <v/>
      </c>
      <c r="N1693" s="9">
        <f>IF(ISNA(MATCH(1680,Engine!$C$2:$C$1960,0)),"",INDEX('Compliance Database'!$N$2:$N$1960,MATCH(1680,Engine!$C$2:$C$1960,0)))</f>
        <v/>
      </c>
      <c r="O1693" s="9">
        <f>IF(ISNA(MATCH(1680,Engine!$C$2:$C$1960,0)),"",INDEX('Compliance Database'!$O$2:$O$1960,MATCH(1680,Engine!$C$2:$C$1960,0)))</f>
        <v/>
      </c>
      <c r="P1693" s="8">
        <f>IF(ISNA(MATCH(1680,Engine!$C$2:$C$1960,0)),"",HYPERLINK("#Acts!A"&amp;INDEX('Compliance Database'!$P$2:$P$1960,MATCH(1680,Engine!$C$2:$C$1960,0)),"Go to Act"))</f>
        <v/>
      </c>
    </row>
    <row r="1694" ht="158" customHeight="1">
      <c r="A1694" s="8">
        <f>IF(ISNA(MATCH(1681,Engine!$C$2:$C$1960,0)),"",INDEX('Compliance Database'!$A$2:$A$1960,MATCH(1681,Engine!$C$2:$C$1960,0)))</f>
        <v/>
      </c>
      <c r="B1694" s="8">
        <f>IF(ISNA(MATCH(1681,Engine!$C$2:$C$1960,0)),"",INDEX('Compliance Database'!$B$2:$B$1960,MATCH(1681,Engine!$C$2:$C$1960,0)))</f>
        <v/>
      </c>
      <c r="C1694" s="8">
        <f>IF(ISNA(MATCH(1681,Engine!$C$2:$C$1960,0)),"",INDEX('Compliance Database'!$C$2:$C$1960,MATCH(1681,Engine!$C$2:$C$1960,0)))</f>
        <v/>
      </c>
      <c r="D1694" s="9">
        <f>IF(ISNA(MATCH(1681,Engine!$C$2:$C$1960,0)),"",INDEX('Compliance Database'!$D$2:$D$1960,MATCH(1681,Engine!$C$2:$C$1960,0)))</f>
        <v/>
      </c>
      <c r="E1694" s="8">
        <f>IF(ISNA(MATCH(1681,Engine!$C$2:$C$1960,0)),"",INDEX('Compliance Database'!$E$2:$E$1960,MATCH(1681,Engine!$C$2:$C$1960,0)))</f>
        <v/>
      </c>
      <c r="F1694" s="8">
        <f>IF(ISNA(MATCH(1681,Engine!$C$2:$C$1960,0)),"",INDEX('Compliance Database'!$F$2:$F$1960,MATCH(1681,Engine!$C$2:$C$1960,0)))</f>
        <v/>
      </c>
      <c r="G1694" s="8">
        <f>IF(ISNA(MATCH(1681,Engine!$C$2:$C$1960,0)),"",INDEX('Compliance Database'!$G$2:$G$1960,MATCH(1681,Engine!$C$2:$C$1960,0)))</f>
        <v/>
      </c>
      <c r="H1694" s="9">
        <f>IF(ISNA(MATCH(1681,Engine!$C$2:$C$1960,0)),"",INDEX('Compliance Database'!$H$2:$H$1960,MATCH(1681,Engine!$C$2:$C$1960,0)))</f>
        <v/>
      </c>
      <c r="I1694" s="9">
        <f>IF(ISNA(MATCH(1681,Engine!$C$2:$C$1960,0)),"",INDEX('Compliance Database'!$I$2:$I$1960,MATCH(1681,Engine!$C$2:$C$1960,0)))</f>
        <v/>
      </c>
      <c r="J1694" s="8">
        <f>IF(ISNA(MATCH(1681,Engine!$C$2:$C$1960,0)),"",INDEX('Compliance Database'!$J$2:$J$1960,MATCH(1681,Engine!$C$2:$C$1960,0)))</f>
        <v/>
      </c>
      <c r="K1694" s="9">
        <f>IF(ISNA(MATCH(1681,Engine!$C$2:$C$1960,0)),"",INDEX('Compliance Database'!$K$2:$K$1960,MATCH(1681,Engine!$C$2:$C$1960,0)))</f>
        <v/>
      </c>
      <c r="L1694" s="9">
        <f>IF(ISNA(MATCH(1681,Engine!$C$2:$C$1960,0)),"",INDEX('Compliance Database'!$L$2:$L$1960,MATCH(1681,Engine!$C$2:$C$1960,0)))</f>
        <v/>
      </c>
      <c r="M1694" s="9">
        <f>IF(ISNA(MATCH(1681,Engine!$C$2:$C$1960,0)),"",INDEX('Compliance Database'!$M$2:$M$1960,MATCH(1681,Engine!$C$2:$C$1960,0)))</f>
        <v/>
      </c>
      <c r="N1694" s="9">
        <f>IF(ISNA(MATCH(1681,Engine!$C$2:$C$1960,0)),"",INDEX('Compliance Database'!$N$2:$N$1960,MATCH(1681,Engine!$C$2:$C$1960,0)))</f>
        <v/>
      </c>
      <c r="O1694" s="9">
        <f>IF(ISNA(MATCH(1681,Engine!$C$2:$C$1960,0)),"",INDEX('Compliance Database'!$O$2:$O$1960,MATCH(1681,Engine!$C$2:$C$1960,0)))</f>
        <v/>
      </c>
      <c r="P1694" s="8">
        <f>IF(ISNA(MATCH(1681,Engine!$C$2:$C$1960,0)),"",HYPERLINK("#Acts!A"&amp;INDEX('Compliance Database'!$P$2:$P$1960,MATCH(1681,Engine!$C$2:$C$1960,0)),"Go to Act"))</f>
        <v/>
      </c>
    </row>
    <row r="1695" ht="158" customHeight="1">
      <c r="A1695" s="8">
        <f>IF(ISNA(MATCH(1682,Engine!$C$2:$C$1960,0)),"",INDEX('Compliance Database'!$A$2:$A$1960,MATCH(1682,Engine!$C$2:$C$1960,0)))</f>
        <v/>
      </c>
      <c r="B1695" s="8">
        <f>IF(ISNA(MATCH(1682,Engine!$C$2:$C$1960,0)),"",INDEX('Compliance Database'!$B$2:$B$1960,MATCH(1682,Engine!$C$2:$C$1960,0)))</f>
        <v/>
      </c>
      <c r="C1695" s="8">
        <f>IF(ISNA(MATCH(1682,Engine!$C$2:$C$1960,0)),"",INDEX('Compliance Database'!$C$2:$C$1960,MATCH(1682,Engine!$C$2:$C$1960,0)))</f>
        <v/>
      </c>
      <c r="D1695" s="9">
        <f>IF(ISNA(MATCH(1682,Engine!$C$2:$C$1960,0)),"",INDEX('Compliance Database'!$D$2:$D$1960,MATCH(1682,Engine!$C$2:$C$1960,0)))</f>
        <v/>
      </c>
      <c r="E1695" s="8">
        <f>IF(ISNA(MATCH(1682,Engine!$C$2:$C$1960,0)),"",INDEX('Compliance Database'!$E$2:$E$1960,MATCH(1682,Engine!$C$2:$C$1960,0)))</f>
        <v/>
      </c>
      <c r="F1695" s="8">
        <f>IF(ISNA(MATCH(1682,Engine!$C$2:$C$1960,0)),"",INDEX('Compliance Database'!$F$2:$F$1960,MATCH(1682,Engine!$C$2:$C$1960,0)))</f>
        <v/>
      </c>
      <c r="G1695" s="8">
        <f>IF(ISNA(MATCH(1682,Engine!$C$2:$C$1960,0)),"",INDEX('Compliance Database'!$G$2:$G$1960,MATCH(1682,Engine!$C$2:$C$1960,0)))</f>
        <v/>
      </c>
      <c r="H1695" s="9">
        <f>IF(ISNA(MATCH(1682,Engine!$C$2:$C$1960,0)),"",INDEX('Compliance Database'!$H$2:$H$1960,MATCH(1682,Engine!$C$2:$C$1960,0)))</f>
        <v/>
      </c>
      <c r="I1695" s="9">
        <f>IF(ISNA(MATCH(1682,Engine!$C$2:$C$1960,0)),"",INDEX('Compliance Database'!$I$2:$I$1960,MATCH(1682,Engine!$C$2:$C$1960,0)))</f>
        <v/>
      </c>
      <c r="J1695" s="8">
        <f>IF(ISNA(MATCH(1682,Engine!$C$2:$C$1960,0)),"",INDEX('Compliance Database'!$J$2:$J$1960,MATCH(1682,Engine!$C$2:$C$1960,0)))</f>
        <v/>
      </c>
      <c r="K1695" s="9">
        <f>IF(ISNA(MATCH(1682,Engine!$C$2:$C$1960,0)),"",INDEX('Compliance Database'!$K$2:$K$1960,MATCH(1682,Engine!$C$2:$C$1960,0)))</f>
        <v/>
      </c>
      <c r="L1695" s="9">
        <f>IF(ISNA(MATCH(1682,Engine!$C$2:$C$1960,0)),"",INDEX('Compliance Database'!$L$2:$L$1960,MATCH(1682,Engine!$C$2:$C$1960,0)))</f>
        <v/>
      </c>
      <c r="M1695" s="9">
        <f>IF(ISNA(MATCH(1682,Engine!$C$2:$C$1960,0)),"",INDEX('Compliance Database'!$M$2:$M$1960,MATCH(1682,Engine!$C$2:$C$1960,0)))</f>
        <v/>
      </c>
      <c r="N1695" s="9">
        <f>IF(ISNA(MATCH(1682,Engine!$C$2:$C$1960,0)),"",INDEX('Compliance Database'!$N$2:$N$1960,MATCH(1682,Engine!$C$2:$C$1960,0)))</f>
        <v/>
      </c>
      <c r="O1695" s="9">
        <f>IF(ISNA(MATCH(1682,Engine!$C$2:$C$1960,0)),"",INDEX('Compliance Database'!$O$2:$O$1960,MATCH(1682,Engine!$C$2:$C$1960,0)))</f>
        <v/>
      </c>
      <c r="P1695" s="8">
        <f>IF(ISNA(MATCH(1682,Engine!$C$2:$C$1960,0)),"",HYPERLINK("#Acts!A"&amp;INDEX('Compliance Database'!$P$2:$P$1960,MATCH(1682,Engine!$C$2:$C$1960,0)),"Go to Act"))</f>
        <v/>
      </c>
    </row>
    <row r="1696" ht="158" customHeight="1">
      <c r="A1696" s="8">
        <f>IF(ISNA(MATCH(1683,Engine!$C$2:$C$1960,0)),"",INDEX('Compliance Database'!$A$2:$A$1960,MATCH(1683,Engine!$C$2:$C$1960,0)))</f>
        <v/>
      </c>
      <c r="B1696" s="8">
        <f>IF(ISNA(MATCH(1683,Engine!$C$2:$C$1960,0)),"",INDEX('Compliance Database'!$B$2:$B$1960,MATCH(1683,Engine!$C$2:$C$1960,0)))</f>
        <v/>
      </c>
      <c r="C1696" s="8">
        <f>IF(ISNA(MATCH(1683,Engine!$C$2:$C$1960,0)),"",INDEX('Compliance Database'!$C$2:$C$1960,MATCH(1683,Engine!$C$2:$C$1960,0)))</f>
        <v/>
      </c>
      <c r="D1696" s="9">
        <f>IF(ISNA(MATCH(1683,Engine!$C$2:$C$1960,0)),"",INDEX('Compliance Database'!$D$2:$D$1960,MATCH(1683,Engine!$C$2:$C$1960,0)))</f>
        <v/>
      </c>
      <c r="E1696" s="8">
        <f>IF(ISNA(MATCH(1683,Engine!$C$2:$C$1960,0)),"",INDEX('Compliance Database'!$E$2:$E$1960,MATCH(1683,Engine!$C$2:$C$1960,0)))</f>
        <v/>
      </c>
      <c r="F1696" s="8">
        <f>IF(ISNA(MATCH(1683,Engine!$C$2:$C$1960,0)),"",INDEX('Compliance Database'!$F$2:$F$1960,MATCH(1683,Engine!$C$2:$C$1960,0)))</f>
        <v/>
      </c>
      <c r="G1696" s="8">
        <f>IF(ISNA(MATCH(1683,Engine!$C$2:$C$1960,0)),"",INDEX('Compliance Database'!$G$2:$G$1960,MATCH(1683,Engine!$C$2:$C$1960,0)))</f>
        <v/>
      </c>
      <c r="H1696" s="9">
        <f>IF(ISNA(MATCH(1683,Engine!$C$2:$C$1960,0)),"",INDEX('Compliance Database'!$H$2:$H$1960,MATCH(1683,Engine!$C$2:$C$1960,0)))</f>
        <v/>
      </c>
      <c r="I1696" s="9">
        <f>IF(ISNA(MATCH(1683,Engine!$C$2:$C$1960,0)),"",INDEX('Compliance Database'!$I$2:$I$1960,MATCH(1683,Engine!$C$2:$C$1960,0)))</f>
        <v/>
      </c>
      <c r="J1696" s="8">
        <f>IF(ISNA(MATCH(1683,Engine!$C$2:$C$1960,0)),"",INDEX('Compliance Database'!$J$2:$J$1960,MATCH(1683,Engine!$C$2:$C$1960,0)))</f>
        <v/>
      </c>
      <c r="K1696" s="9">
        <f>IF(ISNA(MATCH(1683,Engine!$C$2:$C$1960,0)),"",INDEX('Compliance Database'!$K$2:$K$1960,MATCH(1683,Engine!$C$2:$C$1960,0)))</f>
        <v/>
      </c>
      <c r="L1696" s="9">
        <f>IF(ISNA(MATCH(1683,Engine!$C$2:$C$1960,0)),"",INDEX('Compliance Database'!$L$2:$L$1960,MATCH(1683,Engine!$C$2:$C$1960,0)))</f>
        <v/>
      </c>
      <c r="M1696" s="9">
        <f>IF(ISNA(MATCH(1683,Engine!$C$2:$C$1960,0)),"",INDEX('Compliance Database'!$M$2:$M$1960,MATCH(1683,Engine!$C$2:$C$1960,0)))</f>
        <v/>
      </c>
      <c r="N1696" s="9">
        <f>IF(ISNA(MATCH(1683,Engine!$C$2:$C$1960,0)),"",INDEX('Compliance Database'!$N$2:$N$1960,MATCH(1683,Engine!$C$2:$C$1960,0)))</f>
        <v/>
      </c>
      <c r="O1696" s="9">
        <f>IF(ISNA(MATCH(1683,Engine!$C$2:$C$1960,0)),"",INDEX('Compliance Database'!$O$2:$O$1960,MATCH(1683,Engine!$C$2:$C$1960,0)))</f>
        <v/>
      </c>
      <c r="P1696" s="8">
        <f>IF(ISNA(MATCH(1683,Engine!$C$2:$C$1960,0)),"",HYPERLINK("#Acts!A"&amp;INDEX('Compliance Database'!$P$2:$P$1960,MATCH(1683,Engine!$C$2:$C$1960,0)),"Go to Act"))</f>
        <v/>
      </c>
    </row>
    <row r="1697" ht="158" customHeight="1">
      <c r="A1697" s="8">
        <f>IF(ISNA(MATCH(1684,Engine!$C$2:$C$1960,0)),"",INDEX('Compliance Database'!$A$2:$A$1960,MATCH(1684,Engine!$C$2:$C$1960,0)))</f>
        <v/>
      </c>
      <c r="B1697" s="8">
        <f>IF(ISNA(MATCH(1684,Engine!$C$2:$C$1960,0)),"",INDEX('Compliance Database'!$B$2:$B$1960,MATCH(1684,Engine!$C$2:$C$1960,0)))</f>
        <v/>
      </c>
      <c r="C1697" s="8">
        <f>IF(ISNA(MATCH(1684,Engine!$C$2:$C$1960,0)),"",INDEX('Compliance Database'!$C$2:$C$1960,MATCH(1684,Engine!$C$2:$C$1960,0)))</f>
        <v/>
      </c>
      <c r="D1697" s="9">
        <f>IF(ISNA(MATCH(1684,Engine!$C$2:$C$1960,0)),"",INDEX('Compliance Database'!$D$2:$D$1960,MATCH(1684,Engine!$C$2:$C$1960,0)))</f>
        <v/>
      </c>
      <c r="E1697" s="8">
        <f>IF(ISNA(MATCH(1684,Engine!$C$2:$C$1960,0)),"",INDEX('Compliance Database'!$E$2:$E$1960,MATCH(1684,Engine!$C$2:$C$1960,0)))</f>
        <v/>
      </c>
      <c r="F1697" s="8">
        <f>IF(ISNA(MATCH(1684,Engine!$C$2:$C$1960,0)),"",INDEX('Compliance Database'!$F$2:$F$1960,MATCH(1684,Engine!$C$2:$C$1960,0)))</f>
        <v/>
      </c>
      <c r="G1697" s="8">
        <f>IF(ISNA(MATCH(1684,Engine!$C$2:$C$1960,0)),"",INDEX('Compliance Database'!$G$2:$G$1960,MATCH(1684,Engine!$C$2:$C$1960,0)))</f>
        <v/>
      </c>
      <c r="H1697" s="9">
        <f>IF(ISNA(MATCH(1684,Engine!$C$2:$C$1960,0)),"",INDEX('Compliance Database'!$H$2:$H$1960,MATCH(1684,Engine!$C$2:$C$1960,0)))</f>
        <v/>
      </c>
      <c r="I1697" s="9">
        <f>IF(ISNA(MATCH(1684,Engine!$C$2:$C$1960,0)),"",INDEX('Compliance Database'!$I$2:$I$1960,MATCH(1684,Engine!$C$2:$C$1960,0)))</f>
        <v/>
      </c>
      <c r="J1697" s="8">
        <f>IF(ISNA(MATCH(1684,Engine!$C$2:$C$1960,0)),"",INDEX('Compliance Database'!$J$2:$J$1960,MATCH(1684,Engine!$C$2:$C$1960,0)))</f>
        <v/>
      </c>
      <c r="K1697" s="9">
        <f>IF(ISNA(MATCH(1684,Engine!$C$2:$C$1960,0)),"",INDEX('Compliance Database'!$K$2:$K$1960,MATCH(1684,Engine!$C$2:$C$1960,0)))</f>
        <v/>
      </c>
      <c r="L1697" s="9">
        <f>IF(ISNA(MATCH(1684,Engine!$C$2:$C$1960,0)),"",INDEX('Compliance Database'!$L$2:$L$1960,MATCH(1684,Engine!$C$2:$C$1960,0)))</f>
        <v/>
      </c>
      <c r="M1697" s="9">
        <f>IF(ISNA(MATCH(1684,Engine!$C$2:$C$1960,0)),"",INDEX('Compliance Database'!$M$2:$M$1960,MATCH(1684,Engine!$C$2:$C$1960,0)))</f>
        <v/>
      </c>
      <c r="N1697" s="9">
        <f>IF(ISNA(MATCH(1684,Engine!$C$2:$C$1960,0)),"",INDEX('Compliance Database'!$N$2:$N$1960,MATCH(1684,Engine!$C$2:$C$1960,0)))</f>
        <v/>
      </c>
      <c r="O1697" s="9">
        <f>IF(ISNA(MATCH(1684,Engine!$C$2:$C$1960,0)),"",INDEX('Compliance Database'!$O$2:$O$1960,MATCH(1684,Engine!$C$2:$C$1960,0)))</f>
        <v/>
      </c>
      <c r="P1697" s="8">
        <f>IF(ISNA(MATCH(1684,Engine!$C$2:$C$1960,0)),"",HYPERLINK("#Acts!A"&amp;INDEX('Compliance Database'!$P$2:$P$1960,MATCH(1684,Engine!$C$2:$C$1960,0)),"Go to Act"))</f>
        <v/>
      </c>
    </row>
    <row r="1698" ht="158" customHeight="1">
      <c r="A1698" s="8">
        <f>IF(ISNA(MATCH(1685,Engine!$C$2:$C$1960,0)),"",INDEX('Compliance Database'!$A$2:$A$1960,MATCH(1685,Engine!$C$2:$C$1960,0)))</f>
        <v/>
      </c>
      <c r="B1698" s="8">
        <f>IF(ISNA(MATCH(1685,Engine!$C$2:$C$1960,0)),"",INDEX('Compliance Database'!$B$2:$B$1960,MATCH(1685,Engine!$C$2:$C$1960,0)))</f>
        <v/>
      </c>
      <c r="C1698" s="8">
        <f>IF(ISNA(MATCH(1685,Engine!$C$2:$C$1960,0)),"",INDEX('Compliance Database'!$C$2:$C$1960,MATCH(1685,Engine!$C$2:$C$1960,0)))</f>
        <v/>
      </c>
      <c r="D1698" s="9">
        <f>IF(ISNA(MATCH(1685,Engine!$C$2:$C$1960,0)),"",INDEX('Compliance Database'!$D$2:$D$1960,MATCH(1685,Engine!$C$2:$C$1960,0)))</f>
        <v/>
      </c>
      <c r="E1698" s="8">
        <f>IF(ISNA(MATCH(1685,Engine!$C$2:$C$1960,0)),"",INDEX('Compliance Database'!$E$2:$E$1960,MATCH(1685,Engine!$C$2:$C$1960,0)))</f>
        <v/>
      </c>
      <c r="F1698" s="8">
        <f>IF(ISNA(MATCH(1685,Engine!$C$2:$C$1960,0)),"",INDEX('Compliance Database'!$F$2:$F$1960,MATCH(1685,Engine!$C$2:$C$1960,0)))</f>
        <v/>
      </c>
      <c r="G1698" s="8">
        <f>IF(ISNA(MATCH(1685,Engine!$C$2:$C$1960,0)),"",INDEX('Compliance Database'!$G$2:$G$1960,MATCH(1685,Engine!$C$2:$C$1960,0)))</f>
        <v/>
      </c>
      <c r="H1698" s="9">
        <f>IF(ISNA(MATCH(1685,Engine!$C$2:$C$1960,0)),"",INDEX('Compliance Database'!$H$2:$H$1960,MATCH(1685,Engine!$C$2:$C$1960,0)))</f>
        <v/>
      </c>
      <c r="I1698" s="9">
        <f>IF(ISNA(MATCH(1685,Engine!$C$2:$C$1960,0)),"",INDEX('Compliance Database'!$I$2:$I$1960,MATCH(1685,Engine!$C$2:$C$1960,0)))</f>
        <v/>
      </c>
      <c r="J1698" s="8">
        <f>IF(ISNA(MATCH(1685,Engine!$C$2:$C$1960,0)),"",INDEX('Compliance Database'!$J$2:$J$1960,MATCH(1685,Engine!$C$2:$C$1960,0)))</f>
        <v/>
      </c>
      <c r="K1698" s="9">
        <f>IF(ISNA(MATCH(1685,Engine!$C$2:$C$1960,0)),"",INDEX('Compliance Database'!$K$2:$K$1960,MATCH(1685,Engine!$C$2:$C$1960,0)))</f>
        <v/>
      </c>
      <c r="L1698" s="9">
        <f>IF(ISNA(MATCH(1685,Engine!$C$2:$C$1960,0)),"",INDEX('Compliance Database'!$L$2:$L$1960,MATCH(1685,Engine!$C$2:$C$1960,0)))</f>
        <v/>
      </c>
      <c r="M1698" s="9">
        <f>IF(ISNA(MATCH(1685,Engine!$C$2:$C$1960,0)),"",INDEX('Compliance Database'!$M$2:$M$1960,MATCH(1685,Engine!$C$2:$C$1960,0)))</f>
        <v/>
      </c>
      <c r="N1698" s="9">
        <f>IF(ISNA(MATCH(1685,Engine!$C$2:$C$1960,0)),"",INDEX('Compliance Database'!$N$2:$N$1960,MATCH(1685,Engine!$C$2:$C$1960,0)))</f>
        <v/>
      </c>
      <c r="O1698" s="9">
        <f>IF(ISNA(MATCH(1685,Engine!$C$2:$C$1960,0)),"",INDEX('Compliance Database'!$O$2:$O$1960,MATCH(1685,Engine!$C$2:$C$1960,0)))</f>
        <v/>
      </c>
      <c r="P1698" s="8">
        <f>IF(ISNA(MATCH(1685,Engine!$C$2:$C$1960,0)),"",HYPERLINK("#Acts!A"&amp;INDEX('Compliance Database'!$P$2:$P$1960,MATCH(1685,Engine!$C$2:$C$1960,0)),"Go to Act"))</f>
        <v/>
      </c>
    </row>
    <row r="1699" ht="158" customHeight="1">
      <c r="A1699" s="8">
        <f>IF(ISNA(MATCH(1686,Engine!$C$2:$C$1960,0)),"",INDEX('Compliance Database'!$A$2:$A$1960,MATCH(1686,Engine!$C$2:$C$1960,0)))</f>
        <v/>
      </c>
      <c r="B1699" s="8">
        <f>IF(ISNA(MATCH(1686,Engine!$C$2:$C$1960,0)),"",INDEX('Compliance Database'!$B$2:$B$1960,MATCH(1686,Engine!$C$2:$C$1960,0)))</f>
        <v/>
      </c>
      <c r="C1699" s="8">
        <f>IF(ISNA(MATCH(1686,Engine!$C$2:$C$1960,0)),"",INDEX('Compliance Database'!$C$2:$C$1960,MATCH(1686,Engine!$C$2:$C$1960,0)))</f>
        <v/>
      </c>
      <c r="D1699" s="9">
        <f>IF(ISNA(MATCH(1686,Engine!$C$2:$C$1960,0)),"",INDEX('Compliance Database'!$D$2:$D$1960,MATCH(1686,Engine!$C$2:$C$1960,0)))</f>
        <v/>
      </c>
      <c r="E1699" s="8">
        <f>IF(ISNA(MATCH(1686,Engine!$C$2:$C$1960,0)),"",INDEX('Compliance Database'!$E$2:$E$1960,MATCH(1686,Engine!$C$2:$C$1960,0)))</f>
        <v/>
      </c>
      <c r="F1699" s="8">
        <f>IF(ISNA(MATCH(1686,Engine!$C$2:$C$1960,0)),"",INDEX('Compliance Database'!$F$2:$F$1960,MATCH(1686,Engine!$C$2:$C$1960,0)))</f>
        <v/>
      </c>
      <c r="G1699" s="8">
        <f>IF(ISNA(MATCH(1686,Engine!$C$2:$C$1960,0)),"",INDEX('Compliance Database'!$G$2:$G$1960,MATCH(1686,Engine!$C$2:$C$1960,0)))</f>
        <v/>
      </c>
      <c r="H1699" s="9">
        <f>IF(ISNA(MATCH(1686,Engine!$C$2:$C$1960,0)),"",INDEX('Compliance Database'!$H$2:$H$1960,MATCH(1686,Engine!$C$2:$C$1960,0)))</f>
        <v/>
      </c>
      <c r="I1699" s="9">
        <f>IF(ISNA(MATCH(1686,Engine!$C$2:$C$1960,0)),"",INDEX('Compliance Database'!$I$2:$I$1960,MATCH(1686,Engine!$C$2:$C$1960,0)))</f>
        <v/>
      </c>
      <c r="J1699" s="8">
        <f>IF(ISNA(MATCH(1686,Engine!$C$2:$C$1960,0)),"",INDEX('Compliance Database'!$J$2:$J$1960,MATCH(1686,Engine!$C$2:$C$1960,0)))</f>
        <v/>
      </c>
      <c r="K1699" s="9">
        <f>IF(ISNA(MATCH(1686,Engine!$C$2:$C$1960,0)),"",INDEX('Compliance Database'!$K$2:$K$1960,MATCH(1686,Engine!$C$2:$C$1960,0)))</f>
        <v/>
      </c>
      <c r="L1699" s="9">
        <f>IF(ISNA(MATCH(1686,Engine!$C$2:$C$1960,0)),"",INDEX('Compliance Database'!$L$2:$L$1960,MATCH(1686,Engine!$C$2:$C$1960,0)))</f>
        <v/>
      </c>
      <c r="M1699" s="9">
        <f>IF(ISNA(MATCH(1686,Engine!$C$2:$C$1960,0)),"",INDEX('Compliance Database'!$M$2:$M$1960,MATCH(1686,Engine!$C$2:$C$1960,0)))</f>
        <v/>
      </c>
      <c r="N1699" s="9">
        <f>IF(ISNA(MATCH(1686,Engine!$C$2:$C$1960,0)),"",INDEX('Compliance Database'!$N$2:$N$1960,MATCH(1686,Engine!$C$2:$C$1960,0)))</f>
        <v/>
      </c>
      <c r="O1699" s="9">
        <f>IF(ISNA(MATCH(1686,Engine!$C$2:$C$1960,0)),"",INDEX('Compliance Database'!$O$2:$O$1960,MATCH(1686,Engine!$C$2:$C$1960,0)))</f>
        <v/>
      </c>
      <c r="P1699" s="8">
        <f>IF(ISNA(MATCH(1686,Engine!$C$2:$C$1960,0)),"",HYPERLINK("#Acts!A"&amp;INDEX('Compliance Database'!$P$2:$P$1960,MATCH(1686,Engine!$C$2:$C$1960,0)),"Go to Act"))</f>
        <v/>
      </c>
    </row>
    <row r="1700" ht="158" customHeight="1">
      <c r="A1700" s="8">
        <f>IF(ISNA(MATCH(1687,Engine!$C$2:$C$1960,0)),"",INDEX('Compliance Database'!$A$2:$A$1960,MATCH(1687,Engine!$C$2:$C$1960,0)))</f>
        <v/>
      </c>
      <c r="B1700" s="8">
        <f>IF(ISNA(MATCH(1687,Engine!$C$2:$C$1960,0)),"",INDEX('Compliance Database'!$B$2:$B$1960,MATCH(1687,Engine!$C$2:$C$1960,0)))</f>
        <v/>
      </c>
      <c r="C1700" s="8">
        <f>IF(ISNA(MATCH(1687,Engine!$C$2:$C$1960,0)),"",INDEX('Compliance Database'!$C$2:$C$1960,MATCH(1687,Engine!$C$2:$C$1960,0)))</f>
        <v/>
      </c>
      <c r="D1700" s="9">
        <f>IF(ISNA(MATCH(1687,Engine!$C$2:$C$1960,0)),"",INDEX('Compliance Database'!$D$2:$D$1960,MATCH(1687,Engine!$C$2:$C$1960,0)))</f>
        <v/>
      </c>
      <c r="E1700" s="8">
        <f>IF(ISNA(MATCH(1687,Engine!$C$2:$C$1960,0)),"",INDEX('Compliance Database'!$E$2:$E$1960,MATCH(1687,Engine!$C$2:$C$1960,0)))</f>
        <v/>
      </c>
      <c r="F1700" s="8">
        <f>IF(ISNA(MATCH(1687,Engine!$C$2:$C$1960,0)),"",INDEX('Compliance Database'!$F$2:$F$1960,MATCH(1687,Engine!$C$2:$C$1960,0)))</f>
        <v/>
      </c>
      <c r="G1700" s="8">
        <f>IF(ISNA(MATCH(1687,Engine!$C$2:$C$1960,0)),"",INDEX('Compliance Database'!$G$2:$G$1960,MATCH(1687,Engine!$C$2:$C$1960,0)))</f>
        <v/>
      </c>
      <c r="H1700" s="9">
        <f>IF(ISNA(MATCH(1687,Engine!$C$2:$C$1960,0)),"",INDEX('Compliance Database'!$H$2:$H$1960,MATCH(1687,Engine!$C$2:$C$1960,0)))</f>
        <v/>
      </c>
      <c r="I1700" s="9">
        <f>IF(ISNA(MATCH(1687,Engine!$C$2:$C$1960,0)),"",INDEX('Compliance Database'!$I$2:$I$1960,MATCH(1687,Engine!$C$2:$C$1960,0)))</f>
        <v/>
      </c>
      <c r="J1700" s="8">
        <f>IF(ISNA(MATCH(1687,Engine!$C$2:$C$1960,0)),"",INDEX('Compliance Database'!$J$2:$J$1960,MATCH(1687,Engine!$C$2:$C$1960,0)))</f>
        <v/>
      </c>
      <c r="K1700" s="9">
        <f>IF(ISNA(MATCH(1687,Engine!$C$2:$C$1960,0)),"",INDEX('Compliance Database'!$K$2:$K$1960,MATCH(1687,Engine!$C$2:$C$1960,0)))</f>
        <v/>
      </c>
      <c r="L1700" s="9">
        <f>IF(ISNA(MATCH(1687,Engine!$C$2:$C$1960,0)),"",INDEX('Compliance Database'!$L$2:$L$1960,MATCH(1687,Engine!$C$2:$C$1960,0)))</f>
        <v/>
      </c>
      <c r="M1700" s="9">
        <f>IF(ISNA(MATCH(1687,Engine!$C$2:$C$1960,0)),"",INDEX('Compliance Database'!$M$2:$M$1960,MATCH(1687,Engine!$C$2:$C$1960,0)))</f>
        <v/>
      </c>
      <c r="N1700" s="9">
        <f>IF(ISNA(MATCH(1687,Engine!$C$2:$C$1960,0)),"",INDEX('Compliance Database'!$N$2:$N$1960,MATCH(1687,Engine!$C$2:$C$1960,0)))</f>
        <v/>
      </c>
      <c r="O1700" s="9">
        <f>IF(ISNA(MATCH(1687,Engine!$C$2:$C$1960,0)),"",INDEX('Compliance Database'!$O$2:$O$1960,MATCH(1687,Engine!$C$2:$C$1960,0)))</f>
        <v/>
      </c>
      <c r="P1700" s="8">
        <f>IF(ISNA(MATCH(1687,Engine!$C$2:$C$1960,0)),"",HYPERLINK("#Acts!A"&amp;INDEX('Compliance Database'!$P$2:$P$1960,MATCH(1687,Engine!$C$2:$C$1960,0)),"Go to Act"))</f>
        <v/>
      </c>
    </row>
    <row r="1701" ht="158" customHeight="1">
      <c r="A1701" s="8">
        <f>IF(ISNA(MATCH(1688,Engine!$C$2:$C$1960,0)),"",INDEX('Compliance Database'!$A$2:$A$1960,MATCH(1688,Engine!$C$2:$C$1960,0)))</f>
        <v/>
      </c>
      <c r="B1701" s="8">
        <f>IF(ISNA(MATCH(1688,Engine!$C$2:$C$1960,0)),"",INDEX('Compliance Database'!$B$2:$B$1960,MATCH(1688,Engine!$C$2:$C$1960,0)))</f>
        <v/>
      </c>
      <c r="C1701" s="8">
        <f>IF(ISNA(MATCH(1688,Engine!$C$2:$C$1960,0)),"",INDEX('Compliance Database'!$C$2:$C$1960,MATCH(1688,Engine!$C$2:$C$1960,0)))</f>
        <v/>
      </c>
      <c r="D1701" s="9">
        <f>IF(ISNA(MATCH(1688,Engine!$C$2:$C$1960,0)),"",INDEX('Compliance Database'!$D$2:$D$1960,MATCH(1688,Engine!$C$2:$C$1960,0)))</f>
        <v/>
      </c>
      <c r="E1701" s="8">
        <f>IF(ISNA(MATCH(1688,Engine!$C$2:$C$1960,0)),"",INDEX('Compliance Database'!$E$2:$E$1960,MATCH(1688,Engine!$C$2:$C$1960,0)))</f>
        <v/>
      </c>
      <c r="F1701" s="8">
        <f>IF(ISNA(MATCH(1688,Engine!$C$2:$C$1960,0)),"",INDEX('Compliance Database'!$F$2:$F$1960,MATCH(1688,Engine!$C$2:$C$1960,0)))</f>
        <v/>
      </c>
      <c r="G1701" s="8">
        <f>IF(ISNA(MATCH(1688,Engine!$C$2:$C$1960,0)),"",INDEX('Compliance Database'!$G$2:$G$1960,MATCH(1688,Engine!$C$2:$C$1960,0)))</f>
        <v/>
      </c>
      <c r="H1701" s="9">
        <f>IF(ISNA(MATCH(1688,Engine!$C$2:$C$1960,0)),"",INDEX('Compliance Database'!$H$2:$H$1960,MATCH(1688,Engine!$C$2:$C$1960,0)))</f>
        <v/>
      </c>
      <c r="I1701" s="9">
        <f>IF(ISNA(MATCH(1688,Engine!$C$2:$C$1960,0)),"",INDEX('Compliance Database'!$I$2:$I$1960,MATCH(1688,Engine!$C$2:$C$1960,0)))</f>
        <v/>
      </c>
      <c r="J1701" s="8">
        <f>IF(ISNA(MATCH(1688,Engine!$C$2:$C$1960,0)),"",INDEX('Compliance Database'!$J$2:$J$1960,MATCH(1688,Engine!$C$2:$C$1960,0)))</f>
        <v/>
      </c>
      <c r="K1701" s="9">
        <f>IF(ISNA(MATCH(1688,Engine!$C$2:$C$1960,0)),"",INDEX('Compliance Database'!$K$2:$K$1960,MATCH(1688,Engine!$C$2:$C$1960,0)))</f>
        <v/>
      </c>
      <c r="L1701" s="9">
        <f>IF(ISNA(MATCH(1688,Engine!$C$2:$C$1960,0)),"",INDEX('Compliance Database'!$L$2:$L$1960,MATCH(1688,Engine!$C$2:$C$1960,0)))</f>
        <v/>
      </c>
      <c r="M1701" s="9">
        <f>IF(ISNA(MATCH(1688,Engine!$C$2:$C$1960,0)),"",INDEX('Compliance Database'!$M$2:$M$1960,MATCH(1688,Engine!$C$2:$C$1960,0)))</f>
        <v/>
      </c>
      <c r="N1701" s="9">
        <f>IF(ISNA(MATCH(1688,Engine!$C$2:$C$1960,0)),"",INDEX('Compliance Database'!$N$2:$N$1960,MATCH(1688,Engine!$C$2:$C$1960,0)))</f>
        <v/>
      </c>
      <c r="O1701" s="9">
        <f>IF(ISNA(MATCH(1688,Engine!$C$2:$C$1960,0)),"",INDEX('Compliance Database'!$O$2:$O$1960,MATCH(1688,Engine!$C$2:$C$1960,0)))</f>
        <v/>
      </c>
      <c r="P1701" s="8">
        <f>IF(ISNA(MATCH(1688,Engine!$C$2:$C$1960,0)),"",HYPERLINK("#Acts!A"&amp;INDEX('Compliance Database'!$P$2:$P$1960,MATCH(1688,Engine!$C$2:$C$1960,0)),"Go to Act"))</f>
        <v/>
      </c>
    </row>
    <row r="1702" ht="158" customHeight="1">
      <c r="A1702" s="8">
        <f>IF(ISNA(MATCH(1689,Engine!$C$2:$C$1960,0)),"",INDEX('Compliance Database'!$A$2:$A$1960,MATCH(1689,Engine!$C$2:$C$1960,0)))</f>
        <v/>
      </c>
      <c r="B1702" s="8">
        <f>IF(ISNA(MATCH(1689,Engine!$C$2:$C$1960,0)),"",INDEX('Compliance Database'!$B$2:$B$1960,MATCH(1689,Engine!$C$2:$C$1960,0)))</f>
        <v/>
      </c>
      <c r="C1702" s="8">
        <f>IF(ISNA(MATCH(1689,Engine!$C$2:$C$1960,0)),"",INDEX('Compliance Database'!$C$2:$C$1960,MATCH(1689,Engine!$C$2:$C$1960,0)))</f>
        <v/>
      </c>
      <c r="D1702" s="9">
        <f>IF(ISNA(MATCH(1689,Engine!$C$2:$C$1960,0)),"",INDEX('Compliance Database'!$D$2:$D$1960,MATCH(1689,Engine!$C$2:$C$1960,0)))</f>
        <v/>
      </c>
      <c r="E1702" s="8">
        <f>IF(ISNA(MATCH(1689,Engine!$C$2:$C$1960,0)),"",INDEX('Compliance Database'!$E$2:$E$1960,MATCH(1689,Engine!$C$2:$C$1960,0)))</f>
        <v/>
      </c>
      <c r="F1702" s="8">
        <f>IF(ISNA(MATCH(1689,Engine!$C$2:$C$1960,0)),"",INDEX('Compliance Database'!$F$2:$F$1960,MATCH(1689,Engine!$C$2:$C$1960,0)))</f>
        <v/>
      </c>
      <c r="G1702" s="8">
        <f>IF(ISNA(MATCH(1689,Engine!$C$2:$C$1960,0)),"",INDEX('Compliance Database'!$G$2:$G$1960,MATCH(1689,Engine!$C$2:$C$1960,0)))</f>
        <v/>
      </c>
      <c r="H1702" s="9">
        <f>IF(ISNA(MATCH(1689,Engine!$C$2:$C$1960,0)),"",INDEX('Compliance Database'!$H$2:$H$1960,MATCH(1689,Engine!$C$2:$C$1960,0)))</f>
        <v/>
      </c>
      <c r="I1702" s="9">
        <f>IF(ISNA(MATCH(1689,Engine!$C$2:$C$1960,0)),"",INDEX('Compliance Database'!$I$2:$I$1960,MATCH(1689,Engine!$C$2:$C$1960,0)))</f>
        <v/>
      </c>
      <c r="J1702" s="8">
        <f>IF(ISNA(MATCH(1689,Engine!$C$2:$C$1960,0)),"",INDEX('Compliance Database'!$J$2:$J$1960,MATCH(1689,Engine!$C$2:$C$1960,0)))</f>
        <v/>
      </c>
      <c r="K1702" s="9">
        <f>IF(ISNA(MATCH(1689,Engine!$C$2:$C$1960,0)),"",INDEX('Compliance Database'!$K$2:$K$1960,MATCH(1689,Engine!$C$2:$C$1960,0)))</f>
        <v/>
      </c>
      <c r="L1702" s="9">
        <f>IF(ISNA(MATCH(1689,Engine!$C$2:$C$1960,0)),"",INDEX('Compliance Database'!$L$2:$L$1960,MATCH(1689,Engine!$C$2:$C$1960,0)))</f>
        <v/>
      </c>
      <c r="M1702" s="9">
        <f>IF(ISNA(MATCH(1689,Engine!$C$2:$C$1960,0)),"",INDEX('Compliance Database'!$M$2:$M$1960,MATCH(1689,Engine!$C$2:$C$1960,0)))</f>
        <v/>
      </c>
      <c r="N1702" s="9">
        <f>IF(ISNA(MATCH(1689,Engine!$C$2:$C$1960,0)),"",INDEX('Compliance Database'!$N$2:$N$1960,MATCH(1689,Engine!$C$2:$C$1960,0)))</f>
        <v/>
      </c>
      <c r="O1702" s="9">
        <f>IF(ISNA(MATCH(1689,Engine!$C$2:$C$1960,0)),"",INDEX('Compliance Database'!$O$2:$O$1960,MATCH(1689,Engine!$C$2:$C$1960,0)))</f>
        <v/>
      </c>
      <c r="P1702" s="8">
        <f>IF(ISNA(MATCH(1689,Engine!$C$2:$C$1960,0)),"",HYPERLINK("#Acts!A"&amp;INDEX('Compliance Database'!$P$2:$P$1960,MATCH(1689,Engine!$C$2:$C$1960,0)),"Go to Act"))</f>
        <v/>
      </c>
    </row>
    <row r="1703" ht="158" customHeight="1">
      <c r="A1703" s="8">
        <f>IF(ISNA(MATCH(1690,Engine!$C$2:$C$1960,0)),"",INDEX('Compliance Database'!$A$2:$A$1960,MATCH(1690,Engine!$C$2:$C$1960,0)))</f>
        <v/>
      </c>
      <c r="B1703" s="8">
        <f>IF(ISNA(MATCH(1690,Engine!$C$2:$C$1960,0)),"",INDEX('Compliance Database'!$B$2:$B$1960,MATCH(1690,Engine!$C$2:$C$1960,0)))</f>
        <v/>
      </c>
      <c r="C1703" s="8">
        <f>IF(ISNA(MATCH(1690,Engine!$C$2:$C$1960,0)),"",INDEX('Compliance Database'!$C$2:$C$1960,MATCH(1690,Engine!$C$2:$C$1960,0)))</f>
        <v/>
      </c>
      <c r="D1703" s="9">
        <f>IF(ISNA(MATCH(1690,Engine!$C$2:$C$1960,0)),"",INDEX('Compliance Database'!$D$2:$D$1960,MATCH(1690,Engine!$C$2:$C$1960,0)))</f>
        <v/>
      </c>
      <c r="E1703" s="8">
        <f>IF(ISNA(MATCH(1690,Engine!$C$2:$C$1960,0)),"",INDEX('Compliance Database'!$E$2:$E$1960,MATCH(1690,Engine!$C$2:$C$1960,0)))</f>
        <v/>
      </c>
      <c r="F1703" s="8">
        <f>IF(ISNA(MATCH(1690,Engine!$C$2:$C$1960,0)),"",INDEX('Compliance Database'!$F$2:$F$1960,MATCH(1690,Engine!$C$2:$C$1960,0)))</f>
        <v/>
      </c>
      <c r="G1703" s="8">
        <f>IF(ISNA(MATCH(1690,Engine!$C$2:$C$1960,0)),"",INDEX('Compliance Database'!$G$2:$G$1960,MATCH(1690,Engine!$C$2:$C$1960,0)))</f>
        <v/>
      </c>
      <c r="H1703" s="9">
        <f>IF(ISNA(MATCH(1690,Engine!$C$2:$C$1960,0)),"",INDEX('Compliance Database'!$H$2:$H$1960,MATCH(1690,Engine!$C$2:$C$1960,0)))</f>
        <v/>
      </c>
      <c r="I1703" s="9">
        <f>IF(ISNA(MATCH(1690,Engine!$C$2:$C$1960,0)),"",INDEX('Compliance Database'!$I$2:$I$1960,MATCH(1690,Engine!$C$2:$C$1960,0)))</f>
        <v/>
      </c>
      <c r="J1703" s="8">
        <f>IF(ISNA(MATCH(1690,Engine!$C$2:$C$1960,0)),"",INDEX('Compliance Database'!$J$2:$J$1960,MATCH(1690,Engine!$C$2:$C$1960,0)))</f>
        <v/>
      </c>
      <c r="K1703" s="9">
        <f>IF(ISNA(MATCH(1690,Engine!$C$2:$C$1960,0)),"",INDEX('Compliance Database'!$K$2:$K$1960,MATCH(1690,Engine!$C$2:$C$1960,0)))</f>
        <v/>
      </c>
      <c r="L1703" s="9">
        <f>IF(ISNA(MATCH(1690,Engine!$C$2:$C$1960,0)),"",INDEX('Compliance Database'!$L$2:$L$1960,MATCH(1690,Engine!$C$2:$C$1960,0)))</f>
        <v/>
      </c>
      <c r="M1703" s="9">
        <f>IF(ISNA(MATCH(1690,Engine!$C$2:$C$1960,0)),"",INDEX('Compliance Database'!$M$2:$M$1960,MATCH(1690,Engine!$C$2:$C$1960,0)))</f>
        <v/>
      </c>
      <c r="N1703" s="9">
        <f>IF(ISNA(MATCH(1690,Engine!$C$2:$C$1960,0)),"",INDEX('Compliance Database'!$N$2:$N$1960,MATCH(1690,Engine!$C$2:$C$1960,0)))</f>
        <v/>
      </c>
      <c r="O1703" s="9">
        <f>IF(ISNA(MATCH(1690,Engine!$C$2:$C$1960,0)),"",INDEX('Compliance Database'!$O$2:$O$1960,MATCH(1690,Engine!$C$2:$C$1960,0)))</f>
        <v/>
      </c>
      <c r="P1703" s="8">
        <f>IF(ISNA(MATCH(1690,Engine!$C$2:$C$1960,0)),"",HYPERLINK("#Acts!A"&amp;INDEX('Compliance Database'!$P$2:$P$1960,MATCH(1690,Engine!$C$2:$C$1960,0)),"Go to Act"))</f>
        <v/>
      </c>
    </row>
    <row r="1704" ht="158" customHeight="1">
      <c r="A1704" s="8">
        <f>IF(ISNA(MATCH(1691,Engine!$C$2:$C$1960,0)),"",INDEX('Compliance Database'!$A$2:$A$1960,MATCH(1691,Engine!$C$2:$C$1960,0)))</f>
        <v/>
      </c>
      <c r="B1704" s="8">
        <f>IF(ISNA(MATCH(1691,Engine!$C$2:$C$1960,0)),"",INDEX('Compliance Database'!$B$2:$B$1960,MATCH(1691,Engine!$C$2:$C$1960,0)))</f>
        <v/>
      </c>
      <c r="C1704" s="8">
        <f>IF(ISNA(MATCH(1691,Engine!$C$2:$C$1960,0)),"",INDEX('Compliance Database'!$C$2:$C$1960,MATCH(1691,Engine!$C$2:$C$1960,0)))</f>
        <v/>
      </c>
      <c r="D1704" s="9">
        <f>IF(ISNA(MATCH(1691,Engine!$C$2:$C$1960,0)),"",INDEX('Compliance Database'!$D$2:$D$1960,MATCH(1691,Engine!$C$2:$C$1960,0)))</f>
        <v/>
      </c>
      <c r="E1704" s="8">
        <f>IF(ISNA(MATCH(1691,Engine!$C$2:$C$1960,0)),"",INDEX('Compliance Database'!$E$2:$E$1960,MATCH(1691,Engine!$C$2:$C$1960,0)))</f>
        <v/>
      </c>
      <c r="F1704" s="8">
        <f>IF(ISNA(MATCH(1691,Engine!$C$2:$C$1960,0)),"",INDEX('Compliance Database'!$F$2:$F$1960,MATCH(1691,Engine!$C$2:$C$1960,0)))</f>
        <v/>
      </c>
      <c r="G1704" s="8">
        <f>IF(ISNA(MATCH(1691,Engine!$C$2:$C$1960,0)),"",INDEX('Compliance Database'!$G$2:$G$1960,MATCH(1691,Engine!$C$2:$C$1960,0)))</f>
        <v/>
      </c>
      <c r="H1704" s="9">
        <f>IF(ISNA(MATCH(1691,Engine!$C$2:$C$1960,0)),"",INDEX('Compliance Database'!$H$2:$H$1960,MATCH(1691,Engine!$C$2:$C$1960,0)))</f>
        <v/>
      </c>
      <c r="I1704" s="9">
        <f>IF(ISNA(MATCH(1691,Engine!$C$2:$C$1960,0)),"",INDEX('Compliance Database'!$I$2:$I$1960,MATCH(1691,Engine!$C$2:$C$1960,0)))</f>
        <v/>
      </c>
      <c r="J1704" s="8">
        <f>IF(ISNA(MATCH(1691,Engine!$C$2:$C$1960,0)),"",INDEX('Compliance Database'!$J$2:$J$1960,MATCH(1691,Engine!$C$2:$C$1960,0)))</f>
        <v/>
      </c>
      <c r="K1704" s="9">
        <f>IF(ISNA(MATCH(1691,Engine!$C$2:$C$1960,0)),"",INDEX('Compliance Database'!$K$2:$K$1960,MATCH(1691,Engine!$C$2:$C$1960,0)))</f>
        <v/>
      </c>
      <c r="L1704" s="9">
        <f>IF(ISNA(MATCH(1691,Engine!$C$2:$C$1960,0)),"",INDEX('Compliance Database'!$L$2:$L$1960,MATCH(1691,Engine!$C$2:$C$1960,0)))</f>
        <v/>
      </c>
      <c r="M1704" s="9">
        <f>IF(ISNA(MATCH(1691,Engine!$C$2:$C$1960,0)),"",INDEX('Compliance Database'!$M$2:$M$1960,MATCH(1691,Engine!$C$2:$C$1960,0)))</f>
        <v/>
      </c>
      <c r="N1704" s="9">
        <f>IF(ISNA(MATCH(1691,Engine!$C$2:$C$1960,0)),"",INDEX('Compliance Database'!$N$2:$N$1960,MATCH(1691,Engine!$C$2:$C$1960,0)))</f>
        <v/>
      </c>
      <c r="O1704" s="9">
        <f>IF(ISNA(MATCH(1691,Engine!$C$2:$C$1960,0)),"",INDEX('Compliance Database'!$O$2:$O$1960,MATCH(1691,Engine!$C$2:$C$1960,0)))</f>
        <v/>
      </c>
      <c r="P1704" s="8">
        <f>IF(ISNA(MATCH(1691,Engine!$C$2:$C$1960,0)),"",HYPERLINK("#Acts!A"&amp;INDEX('Compliance Database'!$P$2:$P$1960,MATCH(1691,Engine!$C$2:$C$1960,0)),"Go to Act"))</f>
        <v/>
      </c>
    </row>
    <row r="1705" ht="158" customHeight="1">
      <c r="A1705" s="8">
        <f>IF(ISNA(MATCH(1692,Engine!$C$2:$C$1960,0)),"",INDEX('Compliance Database'!$A$2:$A$1960,MATCH(1692,Engine!$C$2:$C$1960,0)))</f>
        <v/>
      </c>
      <c r="B1705" s="8">
        <f>IF(ISNA(MATCH(1692,Engine!$C$2:$C$1960,0)),"",INDEX('Compliance Database'!$B$2:$B$1960,MATCH(1692,Engine!$C$2:$C$1960,0)))</f>
        <v/>
      </c>
      <c r="C1705" s="8">
        <f>IF(ISNA(MATCH(1692,Engine!$C$2:$C$1960,0)),"",INDEX('Compliance Database'!$C$2:$C$1960,MATCH(1692,Engine!$C$2:$C$1960,0)))</f>
        <v/>
      </c>
      <c r="D1705" s="9">
        <f>IF(ISNA(MATCH(1692,Engine!$C$2:$C$1960,0)),"",INDEX('Compliance Database'!$D$2:$D$1960,MATCH(1692,Engine!$C$2:$C$1960,0)))</f>
        <v/>
      </c>
      <c r="E1705" s="8">
        <f>IF(ISNA(MATCH(1692,Engine!$C$2:$C$1960,0)),"",INDEX('Compliance Database'!$E$2:$E$1960,MATCH(1692,Engine!$C$2:$C$1960,0)))</f>
        <v/>
      </c>
      <c r="F1705" s="8">
        <f>IF(ISNA(MATCH(1692,Engine!$C$2:$C$1960,0)),"",INDEX('Compliance Database'!$F$2:$F$1960,MATCH(1692,Engine!$C$2:$C$1960,0)))</f>
        <v/>
      </c>
      <c r="G1705" s="8">
        <f>IF(ISNA(MATCH(1692,Engine!$C$2:$C$1960,0)),"",INDEX('Compliance Database'!$G$2:$G$1960,MATCH(1692,Engine!$C$2:$C$1960,0)))</f>
        <v/>
      </c>
      <c r="H1705" s="9">
        <f>IF(ISNA(MATCH(1692,Engine!$C$2:$C$1960,0)),"",INDEX('Compliance Database'!$H$2:$H$1960,MATCH(1692,Engine!$C$2:$C$1960,0)))</f>
        <v/>
      </c>
      <c r="I1705" s="9">
        <f>IF(ISNA(MATCH(1692,Engine!$C$2:$C$1960,0)),"",INDEX('Compliance Database'!$I$2:$I$1960,MATCH(1692,Engine!$C$2:$C$1960,0)))</f>
        <v/>
      </c>
      <c r="J1705" s="8">
        <f>IF(ISNA(MATCH(1692,Engine!$C$2:$C$1960,0)),"",INDEX('Compliance Database'!$J$2:$J$1960,MATCH(1692,Engine!$C$2:$C$1960,0)))</f>
        <v/>
      </c>
      <c r="K1705" s="9">
        <f>IF(ISNA(MATCH(1692,Engine!$C$2:$C$1960,0)),"",INDEX('Compliance Database'!$K$2:$K$1960,MATCH(1692,Engine!$C$2:$C$1960,0)))</f>
        <v/>
      </c>
      <c r="L1705" s="9">
        <f>IF(ISNA(MATCH(1692,Engine!$C$2:$C$1960,0)),"",INDEX('Compliance Database'!$L$2:$L$1960,MATCH(1692,Engine!$C$2:$C$1960,0)))</f>
        <v/>
      </c>
      <c r="M1705" s="9">
        <f>IF(ISNA(MATCH(1692,Engine!$C$2:$C$1960,0)),"",INDEX('Compliance Database'!$M$2:$M$1960,MATCH(1692,Engine!$C$2:$C$1960,0)))</f>
        <v/>
      </c>
      <c r="N1705" s="9">
        <f>IF(ISNA(MATCH(1692,Engine!$C$2:$C$1960,0)),"",INDEX('Compliance Database'!$N$2:$N$1960,MATCH(1692,Engine!$C$2:$C$1960,0)))</f>
        <v/>
      </c>
      <c r="O1705" s="9">
        <f>IF(ISNA(MATCH(1692,Engine!$C$2:$C$1960,0)),"",INDEX('Compliance Database'!$O$2:$O$1960,MATCH(1692,Engine!$C$2:$C$1960,0)))</f>
        <v/>
      </c>
      <c r="P1705" s="8">
        <f>IF(ISNA(MATCH(1692,Engine!$C$2:$C$1960,0)),"",HYPERLINK("#Acts!A"&amp;INDEX('Compliance Database'!$P$2:$P$1960,MATCH(1692,Engine!$C$2:$C$1960,0)),"Go to Act"))</f>
        <v/>
      </c>
    </row>
    <row r="1706" ht="158" customHeight="1">
      <c r="A1706" s="8">
        <f>IF(ISNA(MATCH(1693,Engine!$C$2:$C$1960,0)),"",INDEX('Compliance Database'!$A$2:$A$1960,MATCH(1693,Engine!$C$2:$C$1960,0)))</f>
        <v/>
      </c>
      <c r="B1706" s="8">
        <f>IF(ISNA(MATCH(1693,Engine!$C$2:$C$1960,0)),"",INDEX('Compliance Database'!$B$2:$B$1960,MATCH(1693,Engine!$C$2:$C$1960,0)))</f>
        <v/>
      </c>
      <c r="C1706" s="8">
        <f>IF(ISNA(MATCH(1693,Engine!$C$2:$C$1960,0)),"",INDEX('Compliance Database'!$C$2:$C$1960,MATCH(1693,Engine!$C$2:$C$1960,0)))</f>
        <v/>
      </c>
      <c r="D1706" s="9">
        <f>IF(ISNA(MATCH(1693,Engine!$C$2:$C$1960,0)),"",INDEX('Compliance Database'!$D$2:$D$1960,MATCH(1693,Engine!$C$2:$C$1960,0)))</f>
        <v/>
      </c>
      <c r="E1706" s="8">
        <f>IF(ISNA(MATCH(1693,Engine!$C$2:$C$1960,0)),"",INDEX('Compliance Database'!$E$2:$E$1960,MATCH(1693,Engine!$C$2:$C$1960,0)))</f>
        <v/>
      </c>
      <c r="F1706" s="8">
        <f>IF(ISNA(MATCH(1693,Engine!$C$2:$C$1960,0)),"",INDEX('Compliance Database'!$F$2:$F$1960,MATCH(1693,Engine!$C$2:$C$1960,0)))</f>
        <v/>
      </c>
      <c r="G1706" s="8">
        <f>IF(ISNA(MATCH(1693,Engine!$C$2:$C$1960,0)),"",INDEX('Compliance Database'!$G$2:$G$1960,MATCH(1693,Engine!$C$2:$C$1960,0)))</f>
        <v/>
      </c>
      <c r="H1706" s="9">
        <f>IF(ISNA(MATCH(1693,Engine!$C$2:$C$1960,0)),"",INDEX('Compliance Database'!$H$2:$H$1960,MATCH(1693,Engine!$C$2:$C$1960,0)))</f>
        <v/>
      </c>
      <c r="I1706" s="9">
        <f>IF(ISNA(MATCH(1693,Engine!$C$2:$C$1960,0)),"",INDEX('Compliance Database'!$I$2:$I$1960,MATCH(1693,Engine!$C$2:$C$1960,0)))</f>
        <v/>
      </c>
      <c r="J1706" s="8">
        <f>IF(ISNA(MATCH(1693,Engine!$C$2:$C$1960,0)),"",INDEX('Compliance Database'!$J$2:$J$1960,MATCH(1693,Engine!$C$2:$C$1960,0)))</f>
        <v/>
      </c>
      <c r="K1706" s="9">
        <f>IF(ISNA(MATCH(1693,Engine!$C$2:$C$1960,0)),"",INDEX('Compliance Database'!$K$2:$K$1960,MATCH(1693,Engine!$C$2:$C$1960,0)))</f>
        <v/>
      </c>
      <c r="L1706" s="9">
        <f>IF(ISNA(MATCH(1693,Engine!$C$2:$C$1960,0)),"",INDEX('Compliance Database'!$L$2:$L$1960,MATCH(1693,Engine!$C$2:$C$1960,0)))</f>
        <v/>
      </c>
      <c r="M1706" s="9">
        <f>IF(ISNA(MATCH(1693,Engine!$C$2:$C$1960,0)),"",INDEX('Compliance Database'!$M$2:$M$1960,MATCH(1693,Engine!$C$2:$C$1960,0)))</f>
        <v/>
      </c>
      <c r="N1706" s="9">
        <f>IF(ISNA(MATCH(1693,Engine!$C$2:$C$1960,0)),"",INDEX('Compliance Database'!$N$2:$N$1960,MATCH(1693,Engine!$C$2:$C$1960,0)))</f>
        <v/>
      </c>
      <c r="O1706" s="9">
        <f>IF(ISNA(MATCH(1693,Engine!$C$2:$C$1960,0)),"",INDEX('Compliance Database'!$O$2:$O$1960,MATCH(1693,Engine!$C$2:$C$1960,0)))</f>
        <v/>
      </c>
      <c r="P1706" s="8">
        <f>IF(ISNA(MATCH(1693,Engine!$C$2:$C$1960,0)),"",HYPERLINK("#Acts!A"&amp;INDEX('Compliance Database'!$P$2:$P$1960,MATCH(1693,Engine!$C$2:$C$1960,0)),"Go to Act"))</f>
        <v/>
      </c>
    </row>
    <row r="1707" ht="158" customHeight="1">
      <c r="A1707" s="8">
        <f>IF(ISNA(MATCH(1694,Engine!$C$2:$C$1960,0)),"",INDEX('Compliance Database'!$A$2:$A$1960,MATCH(1694,Engine!$C$2:$C$1960,0)))</f>
        <v/>
      </c>
      <c r="B1707" s="8">
        <f>IF(ISNA(MATCH(1694,Engine!$C$2:$C$1960,0)),"",INDEX('Compliance Database'!$B$2:$B$1960,MATCH(1694,Engine!$C$2:$C$1960,0)))</f>
        <v/>
      </c>
      <c r="C1707" s="8">
        <f>IF(ISNA(MATCH(1694,Engine!$C$2:$C$1960,0)),"",INDEX('Compliance Database'!$C$2:$C$1960,MATCH(1694,Engine!$C$2:$C$1960,0)))</f>
        <v/>
      </c>
      <c r="D1707" s="9">
        <f>IF(ISNA(MATCH(1694,Engine!$C$2:$C$1960,0)),"",INDEX('Compliance Database'!$D$2:$D$1960,MATCH(1694,Engine!$C$2:$C$1960,0)))</f>
        <v/>
      </c>
      <c r="E1707" s="8">
        <f>IF(ISNA(MATCH(1694,Engine!$C$2:$C$1960,0)),"",INDEX('Compliance Database'!$E$2:$E$1960,MATCH(1694,Engine!$C$2:$C$1960,0)))</f>
        <v/>
      </c>
      <c r="F1707" s="8">
        <f>IF(ISNA(MATCH(1694,Engine!$C$2:$C$1960,0)),"",INDEX('Compliance Database'!$F$2:$F$1960,MATCH(1694,Engine!$C$2:$C$1960,0)))</f>
        <v/>
      </c>
      <c r="G1707" s="8">
        <f>IF(ISNA(MATCH(1694,Engine!$C$2:$C$1960,0)),"",INDEX('Compliance Database'!$G$2:$G$1960,MATCH(1694,Engine!$C$2:$C$1960,0)))</f>
        <v/>
      </c>
      <c r="H1707" s="9">
        <f>IF(ISNA(MATCH(1694,Engine!$C$2:$C$1960,0)),"",INDEX('Compliance Database'!$H$2:$H$1960,MATCH(1694,Engine!$C$2:$C$1960,0)))</f>
        <v/>
      </c>
      <c r="I1707" s="9">
        <f>IF(ISNA(MATCH(1694,Engine!$C$2:$C$1960,0)),"",INDEX('Compliance Database'!$I$2:$I$1960,MATCH(1694,Engine!$C$2:$C$1960,0)))</f>
        <v/>
      </c>
      <c r="J1707" s="8">
        <f>IF(ISNA(MATCH(1694,Engine!$C$2:$C$1960,0)),"",INDEX('Compliance Database'!$J$2:$J$1960,MATCH(1694,Engine!$C$2:$C$1960,0)))</f>
        <v/>
      </c>
      <c r="K1707" s="9">
        <f>IF(ISNA(MATCH(1694,Engine!$C$2:$C$1960,0)),"",INDEX('Compliance Database'!$K$2:$K$1960,MATCH(1694,Engine!$C$2:$C$1960,0)))</f>
        <v/>
      </c>
      <c r="L1707" s="9">
        <f>IF(ISNA(MATCH(1694,Engine!$C$2:$C$1960,0)),"",INDEX('Compliance Database'!$L$2:$L$1960,MATCH(1694,Engine!$C$2:$C$1960,0)))</f>
        <v/>
      </c>
      <c r="M1707" s="9">
        <f>IF(ISNA(MATCH(1694,Engine!$C$2:$C$1960,0)),"",INDEX('Compliance Database'!$M$2:$M$1960,MATCH(1694,Engine!$C$2:$C$1960,0)))</f>
        <v/>
      </c>
      <c r="N1707" s="9">
        <f>IF(ISNA(MATCH(1694,Engine!$C$2:$C$1960,0)),"",INDEX('Compliance Database'!$N$2:$N$1960,MATCH(1694,Engine!$C$2:$C$1960,0)))</f>
        <v/>
      </c>
      <c r="O1707" s="9">
        <f>IF(ISNA(MATCH(1694,Engine!$C$2:$C$1960,0)),"",INDEX('Compliance Database'!$O$2:$O$1960,MATCH(1694,Engine!$C$2:$C$1960,0)))</f>
        <v/>
      </c>
      <c r="P1707" s="8">
        <f>IF(ISNA(MATCH(1694,Engine!$C$2:$C$1960,0)),"",HYPERLINK("#Acts!A"&amp;INDEX('Compliance Database'!$P$2:$P$1960,MATCH(1694,Engine!$C$2:$C$1960,0)),"Go to Act"))</f>
        <v/>
      </c>
    </row>
    <row r="1708" ht="158" customHeight="1">
      <c r="A1708" s="8">
        <f>IF(ISNA(MATCH(1695,Engine!$C$2:$C$1960,0)),"",INDEX('Compliance Database'!$A$2:$A$1960,MATCH(1695,Engine!$C$2:$C$1960,0)))</f>
        <v/>
      </c>
      <c r="B1708" s="8">
        <f>IF(ISNA(MATCH(1695,Engine!$C$2:$C$1960,0)),"",INDEX('Compliance Database'!$B$2:$B$1960,MATCH(1695,Engine!$C$2:$C$1960,0)))</f>
        <v/>
      </c>
      <c r="C1708" s="8">
        <f>IF(ISNA(MATCH(1695,Engine!$C$2:$C$1960,0)),"",INDEX('Compliance Database'!$C$2:$C$1960,MATCH(1695,Engine!$C$2:$C$1960,0)))</f>
        <v/>
      </c>
      <c r="D1708" s="9">
        <f>IF(ISNA(MATCH(1695,Engine!$C$2:$C$1960,0)),"",INDEX('Compliance Database'!$D$2:$D$1960,MATCH(1695,Engine!$C$2:$C$1960,0)))</f>
        <v/>
      </c>
      <c r="E1708" s="8">
        <f>IF(ISNA(MATCH(1695,Engine!$C$2:$C$1960,0)),"",INDEX('Compliance Database'!$E$2:$E$1960,MATCH(1695,Engine!$C$2:$C$1960,0)))</f>
        <v/>
      </c>
      <c r="F1708" s="8">
        <f>IF(ISNA(MATCH(1695,Engine!$C$2:$C$1960,0)),"",INDEX('Compliance Database'!$F$2:$F$1960,MATCH(1695,Engine!$C$2:$C$1960,0)))</f>
        <v/>
      </c>
      <c r="G1708" s="8">
        <f>IF(ISNA(MATCH(1695,Engine!$C$2:$C$1960,0)),"",INDEX('Compliance Database'!$G$2:$G$1960,MATCH(1695,Engine!$C$2:$C$1960,0)))</f>
        <v/>
      </c>
      <c r="H1708" s="9">
        <f>IF(ISNA(MATCH(1695,Engine!$C$2:$C$1960,0)),"",INDEX('Compliance Database'!$H$2:$H$1960,MATCH(1695,Engine!$C$2:$C$1960,0)))</f>
        <v/>
      </c>
      <c r="I1708" s="9">
        <f>IF(ISNA(MATCH(1695,Engine!$C$2:$C$1960,0)),"",INDEX('Compliance Database'!$I$2:$I$1960,MATCH(1695,Engine!$C$2:$C$1960,0)))</f>
        <v/>
      </c>
      <c r="J1708" s="8">
        <f>IF(ISNA(MATCH(1695,Engine!$C$2:$C$1960,0)),"",INDEX('Compliance Database'!$J$2:$J$1960,MATCH(1695,Engine!$C$2:$C$1960,0)))</f>
        <v/>
      </c>
      <c r="K1708" s="9">
        <f>IF(ISNA(MATCH(1695,Engine!$C$2:$C$1960,0)),"",INDEX('Compliance Database'!$K$2:$K$1960,MATCH(1695,Engine!$C$2:$C$1960,0)))</f>
        <v/>
      </c>
      <c r="L1708" s="9">
        <f>IF(ISNA(MATCH(1695,Engine!$C$2:$C$1960,0)),"",INDEX('Compliance Database'!$L$2:$L$1960,MATCH(1695,Engine!$C$2:$C$1960,0)))</f>
        <v/>
      </c>
      <c r="M1708" s="9">
        <f>IF(ISNA(MATCH(1695,Engine!$C$2:$C$1960,0)),"",INDEX('Compliance Database'!$M$2:$M$1960,MATCH(1695,Engine!$C$2:$C$1960,0)))</f>
        <v/>
      </c>
      <c r="N1708" s="9">
        <f>IF(ISNA(MATCH(1695,Engine!$C$2:$C$1960,0)),"",INDEX('Compliance Database'!$N$2:$N$1960,MATCH(1695,Engine!$C$2:$C$1960,0)))</f>
        <v/>
      </c>
      <c r="O1708" s="9">
        <f>IF(ISNA(MATCH(1695,Engine!$C$2:$C$1960,0)),"",INDEX('Compliance Database'!$O$2:$O$1960,MATCH(1695,Engine!$C$2:$C$1960,0)))</f>
        <v/>
      </c>
      <c r="P1708" s="8">
        <f>IF(ISNA(MATCH(1695,Engine!$C$2:$C$1960,0)),"",HYPERLINK("#Acts!A"&amp;INDEX('Compliance Database'!$P$2:$P$1960,MATCH(1695,Engine!$C$2:$C$1960,0)),"Go to Act"))</f>
        <v/>
      </c>
    </row>
    <row r="1709" ht="158" customHeight="1">
      <c r="A1709" s="8">
        <f>IF(ISNA(MATCH(1696,Engine!$C$2:$C$1960,0)),"",INDEX('Compliance Database'!$A$2:$A$1960,MATCH(1696,Engine!$C$2:$C$1960,0)))</f>
        <v/>
      </c>
      <c r="B1709" s="8">
        <f>IF(ISNA(MATCH(1696,Engine!$C$2:$C$1960,0)),"",INDEX('Compliance Database'!$B$2:$B$1960,MATCH(1696,Engine!$C$2:$C$1960,0)))</f>
        <v/>
      </c>
      <c r="C1709" s="8">
        <f>IF(ISNA(MATCH(1696,Engine!$C$2:$C$1960,0)),"",INDEX('Compliance Database'!$C$2:$C$1960,MATCH(1696,Engine!$C$2:$C$1960,0)))</f>
        <v/>
      </c>
      <c r="D1709" s="9">
        <f>IF(ISNA(MATCH(1696,Engine!$C$2:$C$1960,0)),"",INDEX('Compliance Database'!$D$2:$D$1960,MATCH(1696,Engine!$C$2:$C$1960,0)))</f>
        <v/>
      </c>
      <c r="E1709" s="8">
        <f>IF(ISNA(MATCH(1696,Engine!$C$2:$C$1960,0)),"",INDEX('Compliance Database'!$E$2:$E$1960,MATCH(1696,Engine!$C$2:$C$1960,0)))</f>
        <v/>
      </c>
      <c r="F1709" s="8">
        <f>IF(ISNA(MATCH(1696,Engine!$C$2:$C$1960,0)),"",INDEX('Compliance Database'!$F$2:$F$1960,MATCH(1696,Engine!$C$2:$C$1960,0)))</f>
        <v/>
      </c>
      <c r="G1709" s="8">
        <f>IF(ISNA(MATCH(1696,Engine!$C$2:$C$1960,0)),"",INDEX('Compliance Database'!$G$2:$G$1960,MATCH(1696,Engine!$C$2:$C$1960,0)))</f>
        <v/>
      </c>
      <c r="H1709" s="9">
        <f>IF(ISNA(MATCH(1696,Engine!$C$2:$C$1960,0)),"",INDEX('Compliance Database'!$H$2:$H$1960,MATCH(1696,Engine!$C$2:$C$1960,0)))</f>
        <v/>
      </c>
      <c r="I1709" s="9">
        <f>IF(ISNA(MATCH(1696,Engine!$C$2:$C$1960,0)),"",INDEX('Compliance Database'!$I$2:$I$1960,MATCH(1696,Engine!$C$2:$C$1960,0)))</f>
        <v/>
      </c>
      <c r="J1709" s="8">
        <f>IF(ISNA(MATCH(1696,Engine!$C$2:$C$1960,0)),"",INDEX('Compliance Database'!$J$2:$J$1960,MATCH(1696,Engine!$C$2:$C$1960,0)))</f>
        <v/>
      </c>
      <c r="K1709" s="9">
        <f>IF(ISNA(MATCH(1696,Engine!$C$2:$C$1960,0)),"",INDEX('Compliance Database'!$K$2:$K$1960,MATCH(1696,Engine!$C$2:$C$1960,0)))</f>
        <v/>
      </c>
      <c r="L1709" s="9">
        <f>IF(ISNA(MATCH(1696,Engine!$C$2:$C$1960,0)),"",INDEX('Compliance Database'!$L$2:$L$1960,MATCH(1696,Engine!$C$2:$C$1960,0)))</f>
        <v/>
      </c>
      <c r="M1709" s="9">
        <f>IF(ISNA(MATCH(1696,Engine!$C$2:$C$1960,0)),"",INDEX('Compliance Database'!$M$2:$M$1960,MATCH(1696,Engine!$C$2:$C$1960,0)))</f>
        <v/>
      </c>
      <c r="N1709" s="9">
        <f>IF(ISNA(MATCH(1696,Engine!$C$2:$C$1960,0)),"",INDEX('Compliance Database'!$N$2:$N$1960,MATCH(1696,Engine!$C$2:$C$1960,0)))</f>
        <v/>
      </c>
      <c r="O1709" s="9">
        <f>IF(ISNA(MATCH(1696,Engine!$C$2:$C$1960,0)),"",INDEX('Compliance Database'!$O$2:$O$1960,MATCH(1696,Engine!$C$2:$C$1960,0)))</f>
        <v/>
      </c>
      <c r="P1709" s="8">
        <f>IF(ISNA(MATCH(1696,Engine!$C$2:$C$1960,0)),"",HYPERLINK("#Acts!A"&amp;INDEX('Compliance Database'!$P$2:$P$1960,MATCH(1696,Engine!$C$2:$C$1960,0)),"Go to Act"))</f>
        <v/>
      </c>
    </row>
    <row r="1710" ht="158" customHeight="1">
      <c r="A1710" s="8">
        <f>IF(ISNA(MATCH(1697,Engine!$C$2:$C$1960,0)),"",INDEX('Compliance Database'!$A$2:$A$1960,MATCH(1697,Engine!$C$2:$C$1960,0)))</f>
        <v/>
      </c>
      <c r="B1710" s="8">
        <f>IF(ISNA(MATCH(1697,Engine!$C$2:$C$1960,0)),"",INDEX('Compliance Database'!$B$2:$B$1960,MATCH(1697,Engine!$C$2:$C$1960,0)))</f>
        <v/>
      </c>
      <c r="C1710" s="8">
        <f>IF(ISNA(MATCH(1697,Engine!$C$2:$C$1960,0)),"",INDEX('Compliance Database'!$C$2:$C$1960,MATCH(1697,Engine!$C$2:$C$1960,0)))</f>
        <v/>
      </c>
      <c r="D1710" s="9">
        <f>IF(ISNA(MATCH(1697,Engine!$C$2:$C$1960,0)),"",INDEX('Compliance Database'!$D$2:$D$1960,MATCH(1697,Engine!$C$2:$C$1960,0)))</f>
        <v/>
      </c>
      <c r="E1710" s="8">
        <f>IF(ISNA(MATCH(1697,Engine!$C$2:$C$1960,0)),"",INDEX('Compliance Database'!$E$2:$E$1960,MATCH(1697,Engine!$C$2:$C$1960,0)))</f>
        <v/>
      </c>
      <c r="F1710" s="8">
        <f>IF(ISNA(MATCH(1697,Engine!$C$2:$C$1960,0)),"",INDEX('Compliance Database'!$F$2:$F$1960,MATCH(1697,Engine!$C$2:$C$1960,0)))</f>
        <v/>
      </c>
      <c r="G1710" s="8">
        <f>IF(ISNA(MATCH(1697,Engine!$C$2:$C$1960,0)),"",INDEX('Compliance Database'!$G$2:$G$1960,MATCH(1697,Engine!$C$2:$C$1960,0)))</f>
        <v/>
      </c>
      <c r="H1710" s="9">
        <f>IF(ISNA(MATCH(1697,Engine!$C$2:$C$1960,0)),"",INDEX('Compliance Database'!$H$2:$H$1960,MATCH(1697,Engine!$C$2:$C$1960,0)))</f>
        <v/>
      </c>
      <c r="I1710" s="9">
        <f>IF(ISNA(MATCH(1697,Engine!$C$2:$C$1960,0)),"",INDEX('Compliance Database'!$I$2:$I$1960,MATCH(1697,Engine!$C$2:$C$1960,0)))</f>
        <v/>
      </c>
      <c r="J1710" s="8">
        <f>IF(ISNA(MATCH(1697,Engine!$C$2:$C$1960,0)),"",INDEX('Compliance Database'!$J$2:$J$1960,MATCH(1697,Engine!$C$2:$C$1960,0)))</f>
        <v/>
      </c>
      <c r="K1710" s="9">
        <f>IF(ISNA(MATCH(1697,Engine!$C$2:$C$1960,0)),"",INDEX('Compliance Database'!$K$2:$K$1960,MATCH(1697,Engine!$C$2:$C$1960,0)))</f>
        <v/>
      </c>
      <c r="L1710" s="9">
        <f>IF(ISNA(MATCH(1697,Engine!$C$2:$C$1960,0)),"",INDEX('Compliance Database'!$L$2:$L$1960,MATCH(1697,Engine!$C$2:$C$1960,0)))</f>
        <v/>
      </c>
      <c r="M1710" s="9">
        <f>IF(ISNA(MATCH(1697,Engine!$C$2:$C$1960,0)),"",INDEX('Compliance Database'!$M$2:$M$1960,MATCH(1697,Engine!$C$2:$C$1960,0)))</f>
        <v/>
      </c>
      <c r="N1710" s="9">
        <f>IF(ISNA(MATCH(1697,Engine!$C$2:$C$1960,0)),"",INDEX('Compliance Database'!$N$2:$N$1960,MATCH(1697,Engine!$C$2:$C$1960,0)))</f>
        <v/>
      </c>
      <c r="O1710" s="9">
        <f>IF(ISNA(MATCH(1697,Engine!$C$2:$C$1960,0)),"",INDEX('Compliance Database'!$O$2:$O$1960,MATCH(1697,Engine!$C$2:$C$1960,0)))</f>
        <v/>
      </c>
      <c r="P1710" s="8">
        <f>IF(ISNA(MATCH(1697,Engine!$C$2:$C$1960,0)),"",HYPERLINK("#Acts!A"&amp;INDEX('Compliance Database'!$P$2:$P$1960,MATCH(1697,Engine!$C$2:$C$1960,0)),"Go to Act"))</f>
        <v/>
      </c>
    </row>
    <row r="1711" ht="158" customHeight="1">
      <c r="A1711" s="8">
        <f>IF(ISNA(MATCH(1698,Engine!$C$2:$C$1960,0)),"",INDEX('Compliance Database'!$A$2:$A$1960,MATCH(1698,Engine!$C$2:$C$1960,0)))</f>
        <v/>
      </c>
      <c r="B1711" s="8">
        <f>IF(ISNA(MATCH(1698,Engine!$C$2:$C$1960,0)),"",INDEX('Compliance Database'!$B$2:$B$1960,MATCH(1698,Engine!$C$2:$C$1960,0)))</f>
        <v/>
      </c>
      <c r="C1711" s="8">
        <f>IF(ISNA(MATCH(1698,Engine!$C$2:$C$1960,0)),"",INDEX('Compliance Database'!$C$2:$C$1960,MATCH(1698,Engine!$C$2:$C$1960,0)))</f>
        <v/>
      </c>
      <c r="D1711" s="9">
        <f>IF(ISNA(MATCH(1698,Engine!$C$2:$C$1960,0)),"",INDEX('Compliance Database'!$D$2:$D$1960,MATCH(1698,Engine!$C$2:$C$1960,0)))</f>
        <v/>
      </c>
      <c r="E1711" s="8">
        <f>IF(ISNA(MATCH(1698,Engine!$C$2:$C$1960,0)),"",INDEX('Compliance Database'!$E$2:$E$1960,MATCH(1698,Engine!$C$2:$C$1960,0)))</f>
        <v/>
      </c>
      <c r="F1711" s="8">
        <f>IF(ISNA(MATCH(1698,Engine!$C$2:$C$1960,0)),"",INDEX('Compliance Database'!$F$2:$F$1960,MATCH(1698,Engine!$C$2:$C$1960,0)))</f>
        <v/>
      </c>
      <c r="G1711" s="8">
        <f>IF(ISNA(MATCH(1698,Engine!$C$2:$C$1960,0)),"",INDEX('Compliance Database'!$G$2:$G$1960,MATCH(1698,Engine!$C$2:$C$1960,0)))</f>
        <v/>
      </c>
      <c r="H1711" s="9">
        <f>IF(ISNA(MATCH(1698,Engine!$C$2:$C$1960,0)),"",INDEX('Compliance Database'!$H$2:$H$1960,MATCH(1698,Engine!$C$2:$C$1960,0)))</f>
        <v/>
      </c>
      <c r="I1711" s="9">
        <f>IF(ISNA(MATCH(1698,Engine!$C$2:$C$1960,0)),"",INDEX('Compliance Database'!$I$2:$I$1960,MATCH(1698,Engine!$C$2:$C$1960,0)))</f>
        <v/>
      </c>
      <c r="J1711" s="8">
        <f>IF(ISNA(MATCH(1698,Engine!$C$2:$C$1960,0)),"",INDEX('Compliance Database'!$J$2:$J$1960,MATCH(1698,Engine!$C$2:$C$1960,0)))</f>
        <v/>
      </c>
      <c r="K1711" s="9">
        <f>IF(ISNA(MATCH(1698,Engine!$C$2:$C$1960,0)),"",INDEX('Compliance Database'!$K$2:$K$1960,MATCH(1698,Engine!$C$2:$C$1960,0)))</f>
        <v/>
      </c>
      <c r="L1711" s="9">
        <f>IF(ISNA(MATCH(1698,Engine!$C$2:$C$1960,0)),"",INDEX('Compliance Database'!$L$2:$L$1960,MATCH(1698,Engine!$C$2:$C$1960,0)))</f>
        <v/>
      </c>
      <c r="M1711" s="9">
        <f>IF(ISNA(MATCH(1698,Engine!$C$2:$C$1960,0)),"",INDEX('Compliance Database'!$M$2:$M$1960,MATCH(1698,Engine!$C$2:$C$1960,0)))</f>
        <v/>
      </c>
      <c r="N1711" s="9">
        <f>IF(ISNA(MATCH(1698,Engine!$C$2:$C$1960,0)),"",INDEX('Compliance Database'!$N$2:$N$1960,MATCH(1698,Engine!$C$2:$C$1960,0)))</f>
        <v/>
      </c>
      <c r="O1711" s="9">
        <f>IF(ISNA(MATCH(1698,Engine!$C$2:$C$1960,0)),"",INDEX('Compliance Database'!$O$2:$O$1960,MATCH(1698,Engine!$C$2:$C$1960,0)))</f>
        <v/>
      </c>
      <c r="P1711" s="8">
        <f>IF(ISNA(MATCH(1698,Engine!$C$2:$C$1960,0)),"",HYPERLINK("#Acts!A"&amp;INDEX('Compliance Database'!$P$2:$P$1960,MATCH(1698,Engine!$C$2:$C$1960,0)),"Go to Act"))</f>
        <v/>
      </c>
    </row>
    <row r="1712" ht="158" customHeight="1">
      <c r="A1712" s="8">
        <f>IF(ISNA(MATCH(1699,Engine!$C$2:$C$1960,0)),"",INDEX('Compliance Database'!$A$2:$A$1960,MATCH(1699,Engine!$C$2:$C$1960,0)))</f>
        <v/>
      </c>
      <c r="B1712" s="8">
        <f>IF(ISNA(MATCH(1699,Engine!$C$2:$C$1960,0)),"",INDEX('Compliance Database'!$B$2:$B$1960,MATCH(1699,Engine!$C$2:$C$1960,0)))</f>
        <v/>
      </c>
      <c r="C1712" s="8">
        <f>IF(ISNA(MATCH(1699,Engine!$C$2:$C$1960,0)),"",INDEX('Compliance Database'!$C$2:$C$1960,MATCH(1699,Engine!$C$2:$C$1960,0)))</f>
        <v/>
      </c>
      <c r="D1712" s="9">
        <f>IF(ISNA(MATCH(1699,Engine!$C$2:$C$1960,0)),"",INDEX('Compliance Database'!$D$2:$D$1960,MATCH(1699,Engine!$C$2:$C$1960,0)))</f>
        <v/>
      </c>
      <c r="E1712" s="8">
        <f>IF(ISNA(MATCH(1699,Engine!$C$2:$C$1960,0)),"",INDEX('Compliance Database'!$E$2:$E$1960,MATCH(1699,Engine!$C$2:$C$1960,0)))</f>
        <v/>
      </c>
      <c r="F1712" s="8">
        <f>IF(ISNA(MATCH(1699,Engine!$C$2:$C$1960,0)),"",INDEX('Compliance Database'!$F$2:$F$1960,MATCH(1699,Engine!$C$2:$C$1960,0)))</f>
        <v/>
      </c>
      <c r="G1712" s="8">
        <f>IF(ISNA(MATCH(1699,Engine!$C$2:$C$1960,0)),"",INDEX('Compliance Database'!$G$2:$G$1960,MATCH(1699,Engine!$C$2:$C$1960,0)))</f>
        <v/>
      </c>
      <c r="H1712" s="9">
        <f>IF(ISNA(MATCH(1699,Engine!$C$2:$C$1960,0)),"",INDEX('Compliance Database'!$H$2:$H$1960,MATCH(1699,Engine!$C$2:$C$1960,0)))</f>
        <v/>
      </c>
      <c r="I1712" s="9">
        <f>IF(ISNA(MATCH(1699,Engine!$C$2:$C$1960,0)),"",INDEX('Compliance Database'!$I$2:$I$1960,MATCH(1699,Engine!$C$2:$C$1960,0)))</f>
        <v/>
      </c>
      <c r="J1712" s="8">
        <f>IF(ISNA(MATCH(1699,Engine!$C$2:$C$1960,0)),"",INDEX('Compliance Database'!$J$2:$J$1960,MATCH(1699,Engine!$C$2:$C$1960,0)))</f>
        <v/>
      </c>
      <c r="K1712" s="9">
        <f>IF(ISNA(MATCH(1699,Engine!$C$2:$C$1960,0)),"",INDEX('Compliance Database'!$K$2:$K$1960,MATCH(1699,Engine!$C$2:$C$1960,0)))</f>
        <v/>
      </c>
      <c r="L1712" s="9">
        <f>IF(ISNA(MATCH(1699,Engine!$C$2:$C$1960,0)),"",INDEX('Compliance Database'!$L$2:$L$1960,MATCH(1699,Engine!$C$2:$C$1960,0)))</f>
        <v/>
      </c>
      <c r="M1712" s="9">
        <f>IF(ISNA(MATCH(1699,Engine!$C$2:$C$1960,0)),"",INDEX('Compliance Database'!$M$2:$M$1960,MATCH(1699,Engine!$C$2:$C$1960,0)))</f>
        <v/>
      </c>
      <c r="N1712" s="9">
        <f>IF(ISNA(MATCH(1699,Engine!$C$2:$C$1960,0)),"",INDEX('Compliance Database'!$N$2:$N$1960,MATCH(1699,Engine!$C$2:$C$1960,0)))</f>
        <v/>
      </c>
      <c r="O1712" s="9">
        <f>IF(ISNA(MATCH(1699,Engine!$C$2:$C$1960,0)),"",INDEX('Compliance Database'!$O$2:$O$1960,MATCH(1699,Engine!$C$2:$C$1960,0)))</f>
        <v/>
      </c>
      <c r="P1712" s="8">
        <f>IF(ISNA(MATCH(1699,Engine!$C$2:$C$1960,0)),"",HYPERLINK("#Acts!A"&amp;INDEX('Compliance Database'!$P$2:$P$1960,MATCH(1699,Engine!$C$2:$C$1960,0)),"Go to Act"))</f>
        <v/>
      </c>
    </row>
    <row r="1713" ht="158" customHeight="1">
      <c r="A1713" s="8">
        <f>IF(ISNA(MATCH(1700,Engine!$C$2:$C$1960,0)),"",INDEX('Compliance Database'!$A$2:$A$1960,MATCH(1700,Engine!$C$2:$C$1960,0)))</f>
        <v/>
      </c>
      <c r="B1713" s="8">
        <f>IF(ISNA(MATCH(1700,Engine!$C$2:$C$1960,0)),"",INDEX('Compliance Database'!$B$2:$B$1960,MATCH(1700,Engine!$C$2:$C$1960,0)))</f>
        <v/>
      </c>
      <c r="C1713" s="8">
        <f>IF(ISNA(MATCH(1700,Engine!$C$2:$C$1960,0)),"",INDEX('Compliance Database'!$C$2:$C$1960,MATCH(1700,Engine!$C$2:$C$1960,0)))</f>
        <v/>
      </c>
      <c r="D1713" s="9">
        <f>IF(ISNA(MATCH(1700,Engine!$C$2:$C$1960,0)),"",INDEX('Compliance Database'!$D$2:$D$1960,MATCH(1700,Engine!$C$2:$C$1960,0)))</f>
        <v/>
      </c>
      <c r="E1713" s="8">
        <f>IF(ISNA(MATCH(1700,Engine!$C$2:$C$1960,0)),"",INDEX('Compliance Database'!$E$2:$E$1960,MATCH(1700,Engine!$C$2:$C$1960,0)))</f>
        <v/>
      </c>
      <c r="F1713" s="8">
        <f>IF(ISNA(MATCH(1700,Engine!$C$2:$C$1960,0)),"",INDEX('Compliance Database'!$F$2:$F$1960,MATCH(1700,Engine!$C$2:$C$1960,0)))</f>
        <v/>
      </c>
      <c r="G1713" s="8">
        <f>IF(ISNA(MATCH(1700,Engine!$C$2:$C$1960,0)),"",INDEX('Compliance Database'!$G$2:$G$1960,MATCH(1700,Engine!$C$2:$C$1960,0)))</f>
        <v/>
      </c>
      <c r="H1713" s="9">
        <f>IF(ISNA(MATCH(1700,Engine!$C$2:$C$1960,0)),"",INDEX('Compliance Database'!$H$2:$H$1960,MATCH(1700,Engine!$C$2:$C$1960,0)))</f>
        <v/>
      </c>
      <c r="I1713" s="9">
        <f>IF(ISNA(MATCH(1700,Engine!$C$2:$C$1960,0)),"",INDEX('Compliance Database'!$I$2:$I$1960,MATCH(1700,Engine!$C$2:$C$1960,0)))</f>
        <v/>
      </c>
      <c r="J1713" s="8">
        <f>IF(ISNA(MATCH(1700,Engine!$C$2:$C$1960,0)),"",INDEX('Compliance Database'!$J$2:$J$1960,MATCH(1700,Engine!$C$2:$C$1960,0)))</f>
        <v/>
      </c>
      <c r="K1713" s="9">
        <f>IF(ISNA(MATCH(1700,Engine!$C$2:$C$1960,0)),"",INDEX('Compliance Database'!$K$2:$K$1960,MATCH(1700,Engine!$C$2:$C$1960,0)))</f>
        <v/>
      </c>
      <c r="L1713" s="9">
        <f>IF(ISNA(MATCH(1700,Engine!$C$2:$C$1960,0)),"",INDEX('Compliance Database'!$L$2:$L$1960,MATCH(1700,Engine!$C$2:$C$1960,0)))</f>
        <v/>
      </c>
      <c r="M1713" s="9">
        <f>IF(ISNA(MATCH(1700,Engine!$C$2:$C$1960,0)),"",INDEX('Compliance Database'!$M$2:$M$1960,MATCH(1700,Engine!$C$2:$C$1960,0)))</f>
        <v/>
      </c>
      <c r="N1713" s="9">
        <f>IF(ISNA(MATCH(1700,Engine!$C$2:$C$1960,0)),"",INDEX('Compliance Database'!$N$2:$N$1960,MATCH(1700,Engine!$C$2:$C$1960,0)))</f>
        <v/>
      </c>
      <c r="O1713" s="9">
        <f>IF(ISNA(MATCH(1700,Engine!$C$2:$C$1960,0)),"",INDEX('Compliance Database'!$O$2:$O$1960,MATCH(1700,Engine!$C$2:$C$1960,0)))</f>
        <v/>
      </c>
      <c r="P1713" s="8">
        <f>IF(ISNA(MATCH(1700,Engine!$C$2:$C$1960,0)),"",HYPERLINK("#Acts!A"&amp;INDEX('Compliance Database'!$P$2:$P$1960,MATCH(1700,Engine!$C$2:$C$1960,0)),"Go to Act"))</f>
        <v/>
      </c>
    </row>
    <row r="1714" ht="158" customHeight="1">
      <c r="A1714" s="8">
        <f>IF(ISNA(MATCH(1701,Engine!$C$2:$C$1960,0)),"",INDEX('Compliance Database'!$A$2:$A$1960,MATCH(1701,Engine!$C$2:$C$1960,0)))</f>
        <v/>
      </c>
      <c r="B1714" s="8">
        <f>IF(ISNA(MATCH(1701,Engine!$C$2:$C$1960,0)),"",INDEX('Compliance Database'!$B$2:$B$1960,MATCH(1701,Engine!$C$2:$C$1960,0)))</f>
        <v/>
      </c>
      <c r="C1714" s="8">
        <f>IF(ISNA(MATCH(1701,Engine!$C$2:$C$1960,0)),"",INDEX('Compliance Database'!$C$2:$C$1960,MATCH(1701,Engine!$C$2:$C$1960,0)))</f>
        <v/>
      </c>
      <c r="D1714" s="9">
        <f>IF(ISNA(MATCH(1701,Engine!$C$2:$C$1960,0)),"",INDEX('Compliance Database'!$D$2:$D$1960,MATCH(1701,Engine!$C$2:$C$1960,0)))</f>
        <v/>
      </c>
      <c r="E1714" s="8">
        <f>IF(ISNA(MATCH(1701,Engine!$C$2:$C$1960,0)),"",INDEX('Compliance Database'!$E$2:$E$1960,MATCH(1701,Engine!$C$2:$C$1960,0)))</f>
        <v/>
      </c>
      <c r="F1714" s="8">
        <f>IF(ISNA(MATCH(1701,Engine!$C$2:$C$1960,0)),"",INDEX('Compliance Database'!$F$2:$F$1960,MATCH(1701,Engine!$C$2:$C$1960,0)))</f>
        <v/>
      </c>
      <c r="G1714" s="8">
        <f>IF(ISNA(MATCH(1701,Engine!$C$2:$C$1960,0)),"",INDEX('Compliance Database'!$G$2:$G$1960,MATCH(1701,Engine!$C$2:$C$1960,0)))</f>
        <v/>
      </c>
      <c r="H1714" s="9">
        <f>IF(ISNA(MATCH(1701,Engine!$C$2:$C$1960,0)),"",INDEX('Compliance Database'!$H$2:$H$1960,MATCH(1701,Engine!$C$2:$C$1960,0)))</f>
        <v/>
      </c>
      <c r="I1714" s="9">
        <f>IF(ISNA(MATCH(1701,Engine!$C$2:$C$1960,0)),"",INDEX('Compliance Database'!$I$2:$I$1960,MATCH(1701,Engine!$C$2:$C$1960,0)))</f>
        <v/>
      </c>
      <c r="J1714" s="8">
        <f>IF(ISNA(MATCH(1701,Engine!$C$2:$C$1960,0)),"",INDEX('Compliance Database'!$J$2:$J$1960,MATCH(1701,Engine!$C$2:$C$1960,0)))</f>
        <v/>
      </c>
      <c r="K1714" s="9">
        <f>IF(ISNA(MATCH(1701,Engine!$C$2:$C$1960,0)),"",INDEX('Compliance Database'!$K$2:$K$1960,MATCH(1701,Engine!$C$2:$C$1960,0)))</f>
        <v/>
      </c>
      <c r="L1714" s="9">
        <f>IF(ISNA(MATCH(1701,Engine!$C$2:$C$1960,0)),"",INDEX('Compliance Database'!$L$2:$L$1960,MATCH(1701,Engine!$C$2:$C$1960,0)))</f>
        <v/>
      </c>
      <c r="M1714" s="9">
        <f>IF(ISNA(MATCH(1701,Engine!$C$2:$C$1960,0)),"",INDEX('Compliance Database'!$M$2:$M$1960,MATCH(1701,Engine!$C$2:$C$1960,0)))</f>
        <v/>
      </c>
      <c r="N1714" s="9">
        <f>IF(ISNA(MATCH(1701,Engine!$C$2:$C$1960,0)),"",INDEX('Compliance Database'!$N$2:$N$1960,MATCH(1701,Engine!$C$2:$C$1960,0)))</f>
        <v/>
      </c>
      <c r="O1714" s="9">
        <f>IF(ISNA(MATCH(1701,Engine!$C$2:$C$1960,0)),"",INDEX('Compliance Database'!$O$2:$O$1960,MATCH(1701,Engine!$C$2:$C$1960,0)))</f>
        <v/>
      </c>
      <c r="P1714" s="8">
        <f>IF(ISNA(MATCH(1701,Engine!$C$2:$C$1960,0)),"",HYPERLINK("#Acts!A"&amp;INDEX('Compliance Database'!$P$2:$P$1960,MATCH(1701,Engine!$C$2:$C$1960,0)),"Go to Act"))</f>
        <v/>
      </c>
    </row>
    <row r="1715" ht="158" customHeight="1">
      <c r="A1715" s="8">
        <f>IF(ISNA(MATCH(1702,Engine!$C$2:$C$1960,0)),"",INDEX('Compliance Database'!$A$2:$A$1960,MATCH(1702,Engine!$C$2:$C$1960,0)))</f>
        <v/>
      </c>
      <c r="B1715" s="8">
        <f>IF(ISNA(MATCH(1702,Engine!$C$2:$C$1960,0)),"",INDEX('Compliance Database'!$B$2:$B$1960,MATCH(1702,Engine!$C$2:$C$1960,0)))</f>
        <v/>
      </c>
      <c r="C1715" s="8">
        <f>IF(ISNA(MATCH(1702,Engine!$C$2:$C$1960,0)),"",INDEX('Compliance Database'!$C$2:$C$1960,MATCH(1702,Engine!$C$2:$C$1960,0)))</f>
        <v/>
      </c>
      <c r="D1715" s="9">
        <f>IF(ISNA(MATCH(1702,Engine!$C$2:$C$1960,0)),"",INDEX('Compliance Database'!$D$2:$D$1960,MATCH(1702,Engine!$C$2:$C$1960,0)))</f>
        <v/>
      </c>
      <c r="E1715" s="8">
        <f>IF(ISNA(MATCH(1702,Engine!$C$2:$C$1960,0)),"",INDEX('Compliance Database'!$E$2:$E$1960,MATCH(1702,Engine!$C$2:$C$1960,0)))</f>
        <v/>
      </c>
      <c r="F1715" s="8">
        <f>IF(ISNA(MATCH(1702,Engine!$C$2:$C$1960,0)),"",INDEX('Compliance Database'!$F$2:$F$1960,MATCH(1702,Engine!$C$2:$C$1960,0)))</f>
        <v/>
      </c>
      <c r="G1715" s="8">
        <f>IF(ISNA(MATCH(1702,Engine!$C$2:$C$1960,0)),"",INDEX('Compliance Database'!$G$2:$G$1960,MATCH(1702,Engine!$C$2:$C$1960,0)))</f>
        <v/>
      </c>
      <c r="H1715" s="9">
        <f>IF(ISNA(MATCH(1702,Engine!$C$2:$C$1960,0)),"",INDEX('Compliance Database'!$H$2:$H$1960,MATCH(1702,Engine!$C$2:$C$1960,0)))</f>
        <v/>
      </c>
      <c r="I1715" s="9">
        <f>IF(ISNA(MATCH(1702,Engine!$C$2:$C$1960,0)),"",INDEX('Compliance Database'!$I$2:$I$1960,MATCH(1702,Engine!$C$2:$C$1960,0)))</f>
        <v/>
      </c>
      <c r="J1715" s="8">
        <f>IF(ISNA(MATCH(1702,Engine!$C$2:$C$1960,0)),"",INDEX('Compliance Database'!$J$2:$J$1960,MATCH(1702,Engine!$C$2:$C$1960,0)))</f>
        <v/>
      </c>
      <c r="K1715" s="9">
        <f>IF(ISNA(MATCH(1702,Engine!$C$2:$C$1960,0)),"",INDEX('Compliance Database'!$K$2:$K$1960,MATCH(1702,Engine!$C$2:$C$1960,0)))</f>
        <v/>
      </c>
      <c r="L1715" s="9">
        <f>IF(ISNA(MATCH(1702,Engine!$C$2:$C$1960,0)),"",INDEX('Compliance Database'!$L$2:$L$1960,MATCH(1702,Engine!$C$2:$C$1960,0)))</f>
        <v/>
      </c>
      <c r="M1715" s="9">
        <f>IF(ISNA(MATCH(1702,Engine!$C$2:$C$1960,0)),"",INDEX('Compliance Database'!$M$2:$M$1960,MATCH(1702,Engine!$C$2:$C$1960,0)))</f>
        <v/>
      </c>
      <c r="N1715" s="9">
        <f>IF(ISNA(MATCH(1702,Engine!$C$2:$C$1960,0)),"",INDEX('Compliance Database'!$N$2:$N$1960,MATCH(1702,Engine!$C$2:$C$1960,0)))</f>
        <v/>
      </c>
      <c r="O1715" s="9">
        <f>IF(ISNA(MATCH(1702,Engine!$C$2:$C$1960,0)),"",INDEX('Compliance Database'!$O$2:$O$1960,MATCH(1702,Engine!$C$2:$C$1960,0)))</f>
        <v/>
      </c>
      <c r="P1715" s="8">
        <f>IF(ISNA(MATCH(1702,Engine!$C$2:$C$1960,0)),"",HYPERLINK("#Acts!A"&amp;INDEX('Compliance Database'!$P$2:$P$1960,MATCH(1702,Engine!$C$2:$C$1960,0)),"Go to Act"))</f>
        <v/>
      </c>
    </row>
    <row r="1716" ht="158" customHeight="1">
      <c r="A1716" s="8">
        <f>IF(ISNA(MATCH(1703,Engine!$C$2:$C$1960,0)),"",INDEX('Compliance Database'!$A$2:$A$1960,MATCH(1703,Engine!$C$2:$C$1960,0)))</f>
        <v/>
      </c>
      <c r="B1716" s="8">
        <f>IF(ISNA(MATCH(1703,Engine!$C$2:$C$1960,0)),"",INDEX('Compliance Database'!$B$2:$B$1960,MATCH(1703,Engine!$C$2:$C$1960,0)))</f>
        <v/>
      </c>
      <c r="C1716" s="8">
        <f>IF(ISNA(MATCH(1703,Engine!$C$2:$C$1960,0)),"",INDEX('Compliance Database'!$C$2:$C$1960,MATCH(1703,Engine!$C$2:$C$1960,0)))</f>
        <v/>
      </c>
      <c r="D1716" s="9">
        <f>IF(ISNA(MATCH(1703,Engine!$C$2:$C$1960,0)),"",INDEX('Compliance Database'!$D$2:$D$1960,MATCH(1703,Engine!$C$2:$C$1960,0)))</f>
        <v/>
      </c>
      <c r="E1716" s="8">
        <f>IF(ISNA(MATCH(1703,Engine!$C$2:$C$1960,0)),"",INDEX('Compliance Database'!$E$2:$E$1960,MATCH(1703,Engine!$C$2:$C$1960,0)))</f>
        <v/>
      </c>
      <c r="F1716" s="8">
        <f>IF(ISNA(MATCH(1703,Engine!$C$2:$C$1960,0)),"",INDEX('Compliance Database'!$F$2:$F$1960,MATCH(1703,Engine!$C$2:$C$1960,0)))</f>
        <v/>
      </c>
      <c r="G1716" s="8">
        <f>IF(ISNA(MATCH(1703,Engine!$C$2:$C$1960,0)),"",INDEX('Compliance Database'!$G$2:$G$1960,MATCH(1703,Engine!$C$2:$C$1960,0)))</f>
        <v/>
      </c>
      <c r="H1716" s="9">
        <f>IF(ISNA(MATCH(1703,Engine!$C$2:$C$1960,0)),"",INDEX('Compliance Database'!$H$2:$H$1960,MATCH(1703,Engine!$C$2:$C$1960,0)))</f>
        <v/>
      </c>
      <c r="I1716" s="9">
        <f>IF(ISNA(MATCH(1703,Engine!$C$2:$C$1960,0)),"",INDEX('Compliance Database'!$I$2:$I$1960,MATCH(1703,Engine!$C$2:$C$1960,0)))</f>
        <v/>
      </c>
      <c r="J1716" s="8">
        <f>IF(ISNA(MATCH(1703,Engine!$C$2:$C$1960,0)),"",INDEX('Compliance Database'!$J$2:$J$1960,MATCH(1703,Engine!$C$2:$C$1960,0)))</f>
        <v/>
      </c>
      <c r="K1716" s="9">
        <f>IF(ISNA(MATCH(1703,Engine!$C$2:$C$1960,0)),"",INDEX('Compliance Database'!$K$2:$K$1960,MATCH(1703,Engine!$C$2:$C$1960,0)))</f>
        <v/>
      </c>
      <c r="L1716" s="9">
        <f>IF(ISNA(MATCH(1703,Engine!$C$2:$C$1960,0)),"",INDEX('Compliance Database'!$L$2:$L$1960,MATCH(1703,Engine!$C$2:$C$1960,0)))</f>
        <v/>
      </c>
      <c r="M1716" s="9">
        <f>IF(ISNA(MATCH(1703,Engine!$C$2:$C$1960,0)),"",INDEX('Compliance Database'!$M$2:$M$1960,MATCH(1703,Engine!$C$2:$C$1960,0)))</f>
        <v/>
      </c>
      <c r="N1716" s="9">
        <f>IF(ISNA(MATCH(1703,Engine!$C$2:$C$1960,0)),"",INDEX('Compliance Database'!$N$2:$N$1960,MATCH(1703,Engine!$C$2:$C$1960,0)))</f>
        <v/>
      </c>
      <c r="O1716" s="9">
        <f>IF(ISNA(MATCH(1703,Engine!$C$2:$C$1960,0)),"",INDEX('Compliance Database'!$O$2:$O$1960,MATCH(1703,Engine!$C$2:$C$1960,0)))</f>
        <v/>
      </c>
      <c r="P1716" s="8">
        <f>IF(ISNA(MATCH(1703,Engine!$C$2:$C$1960,0)),"",HYPERLINK("#Acts!A"&amp;INDEX('Compliance Database'!$P$2:$P$1960,MATCH(1703,Engine!$C$2:$C$1960,0)),"Go to Act"))</f>
        <v/>
      </c>
    </row>
    <row r="1717" ht="158" customHeight="1">
      <c r="A1717" s="8">
        <f>IF(ISNA(MATCH(1704,Engine!$C$2:$C$1960,0)),"",INDEX('Compliance Database'!$A$2:$A$1960,MATCH(1704,Engine!$C$2:$C$1960,0)))</f>
        <v/>
      </c>
      <c r="B1717" s="8">
        <f>IF(ISNA(MATCH(1704,Engine!$C$2:$C$1960,0)),"",INDEX('Compliance Database'!$B$2:$B$1960,MATCH(1704,Engine!$C$2:$C$1960,0)))</f>
        <v/>
      </c>
      <c r="C1717" s="8">
        <f>IF(ISNA(MATCH(1704,Engine!$C$2:$C$1960,0)),"",INDEX('Compliance Database'!$C$2:$C$1960,MATCH(1704,Engine!$C$2:$C$1960,0)))</f>
        <v/>
      </c>
      <c r="D1717" s="9">
        <f>IF(ISNA(MATCH(1704,Engine!$C$2:$C$1960,0)),"",INDEX('Compliance Database'!$D$2:$D$1960,MATCH(1704,Engine!$C$2:$C$1960,0)))</f>
        <v/>
      </c>
      <c r="E1717" s="8">
        <f>IF(ISNA(MATCH(1704,Engine!$C$2:$C$1960,0)),"",INDEX('Compliance Database'!$E$2:$E$1960,MATCH(1704,Engine!$C$2:$C$1960,0)))</f>
        <v/>
      </c>
      <c r="F1717" s="8">
        <f>IF(ISNA(MATCH(1704,Engine!$C$2:$C$1960,0)),"",INDEX('Compliance Database'!$F$2:$F$1960,MATCH(1704,Engine!$C$2:$C$1960,0)))</f>
        <v/>
      </c>
      <c r="G1717" s="8">
        <f>IF(ISNA(MATCH(1704,Engine!$C$2:$C$1960,0)),"",INDEX('Compliance Database'!$G$2:$G$1960,MATCH(1704,Engine!$C$2:$C$1960,0)))</f>
        <v/>
      </c>
      <c r="H1717" s="9">
        <f>IF(ISNA(MATCH(1704,Engine!$C$2:$C$1960,0)),"",INDEX('Compliance Database'!$H$2:$H$1960,MATCH(1704,Engine!$C$2:$C$1960,0)))</f>
        <v/>
      </c>
      <c r="I1717" s="9">
        <f>IF(ISNA(MATCH(1704,Engine!$C$2:$C$1960,0)),"",INDEX('Compliance Database'!$I$2:$I$1960,MATCH(1704,Engine!$C$2:$C$1960,0)))</f>
        <v/>
      </c>
      <c r="J1717" s="8">
        <f>IF(ISNA(MATCH(1704,Engine!$C$2:$C$1960,0)),"",INDEX('Compliance Database'!$J$2:$J$1960,MATCH(1704,Engine!$C$2:$C$1960,0)))</f>
        <v/>
      </c>
      <c r="K1717" s="9">
        <f>IF(ISNA(MATCH(1704,Engine!$C$2:$C$1960,0)),"",INDEX('Compliance Database'!$K$2:$K$1960,MATCH(1704,Engine!$C$2:$C$1960,0)))</f>
        <v/>
      </c>
      <c r="L1717" s="9">
        <f>IF(ISNA(MATCH(1704,Engine!$C$2:$C$1960,0)),"",INDEX('Compliance Database'!$L$2:$L$1960,MATCH(1704,Engine!$C$2:$C$1960,0)))</f>
        <v/>
      </c>
      <c r="M1717" s="9">
        <f>IF(ISNA(MATCH(1704,Engine!$C$2:$C$1960,0)),"",INDEX('Compliance Database'!$M$2:$M$1960,MATCH(1704,Engine!$C$2:$C$1960,0)))</f>
        <v/>
      </c>
      <c r="N1717" s="9">
        <f>IF(ISNA(MATCH(1704,Engine!$C$2:$C$1960,0)),"",INDEX('Compliance Database'!$N$2:$N$1960,MATCH(1704,Engine!$C$2:$C$1960,0)))</f>
        <v/>
      </c>
      <c r="O1717" s="9">
        <f>IF(ISNA(MATCH(1704,Engine!$C$2:$C$1960,0)),"",INDEX('Compliance Database'!$O$2:$O$1960,MATCH(1704,Engine!$C$2:$C$1960,0)))</f>
        <v/>
      </c>
      <c r="P1717" s="8">
        <f>IF(ISNA(MATCH(1704,Engine!$C$2:$C$1960,0)),"",HYPERLINK("#Acts!A"&amp;INDEX('Compliance Database'!$P$2:$P$1960,MATCH(1704,Engine!$C$2:$C$1960,0)),"Go to Act"))</f>
        <v/>
      </c>
    </row>
    <row r="1718" ht="158" customHeight="1">
      <c r="A1718" s="8">
        <f>IF(ISNA(MATCH(1705,Engine!$C$2:$C$1960,0)),"",INDEX('Compliance Database'!$A$2:$A$1960,MATCH(1705,Engine!$C$2:$C$1960,0)))</f>
        <v/>
      </c>
      <c r="B1718" s="8">
        <f>IF(ISNA(MATCH(1705,Engine!$C$2:$C$1960,0)),"",INDEX('Compliance Database'!$B$2:$B$1960,MATCH(1705,Engine!$C$2:$C$1960,0)))</f>
        <v/>
      </c>
      <c r="C1718" s="8">
        <f>IF(ISNA(MATCH(1705,Engine!$C$2:$C$1960,0)),"",INDEX('Compliance Database'!$C$2:$C$1960,MATCH(1705,Engine!$C$2:$C$1960,0)))</f>
        <v/>
      </c>
      <c r="D1718" s="9">
        <f>IF(ISNA(MATCH(1705,Engine!$C$2:$C$1960,0)),"",INDEX('Compliance Database'!$D$2:$D$1960,MATCH(1705,Engine!$C$2:$C$1960,0)))</f>
        <v/>
      </c>
      <c r="E1718" s="8">
        <f>IF(ISNA(MATCH(1705,Engine!$C$2:$C$1960,0)),"",INDEX('Compliance Database'!$E$2:$E$1960,MATCH(1705,Engine!$C$2:$C$1960,0)))</f>
        <v/>
      </c>
      <c r="F1718" s="8">
        <f>IF(ISNA(MATCH(1705,Engine!$C$2:$C$1960,0)),"",INDEX('Compliance Database'!$F$2:$F$1960,MATCH(1705,Engine!$C$2:$C$1960,0)))</f>
        <v/>
      </c>
      <c r="G1718" s="8">
        <f>IF(ISNA(MATCH(1705,Engine!$C$2:$C$1960,0)),"",INDEX('Compliance Database'!$G$2:$G$1960,MATCH(1705,Engine!$C$2:$C$1960,0)))</f>
        <v/>
      </c>
      <c r="H1718" s="9">
        <f>IF(ISNA(MATCH(1705,Engine!$C$2:$C$1960,0)),"",INDEX('Compliance Database'!$H$2:$H$1960,MATCH(1705,Engine!$C$2:$C$1960,0)))</f>
        <v/>
      </c>
      <c r="I1718" s="9">
        <f>IF(ISNA(MATCH(1705,Engine!$C$2:$C$1960,0)),"",INDEX('Compliance Database'!$I$2:$I$1960,MATCH(1705,Engine!$C$2:$C$1960,0)))</f>
        <v/>
      </c>
      <c r="J1718" s="8">
        <f>IF(ISNA(MATCH(1705,Engine!$C$2:$C$1960,0)),"",INDEX('Compliance Database'!$J$2:$J$1960,MATCH(1705,Engine!$C$2:$C$1960,0)))</f>
        <v/>
      </c>
      <c r="K1718" s="9">
        <f>IF(ISNA(MATCH(1705,Engine!$C$2:$C$1960,0)),"",INDEX('Compliance Database'!$K$2:$K$1960,MATCH(1705,Engine!$C$2:$C$1960,0)))</f>
        <v/>
      </c>
      <c r="L1718" s="9">
        <f>IF(ISNA(MATCH(1705,Engine!$C$2:$C$1960,0)),"",INDEX('Compliance Database'!$L$2:$L$1960,MATCH(1705,Engine!$C$2:$C$1960,0)))</f>
        <v/>
      </c>
      <c r="M1718" s="9">
        <f>IF(ISNA(MATCH(1705,Engine!$C$2:$C$1960,0)),"",INDEX('Compliance Database'!$M$2:$M$1960,MATCH(1705,Engine!$C$2:$C$1960,0)))</f>
        <v/>
      </c>
      <c r="N1718" s="9">
        <f>IF(ISNA(MATCH(1705,Engine!$C$2:$C$1960,0)),"",INDEX('Compliance Database'!$N$2:$N$1960,MATCH(1705,Engine!$C$2:$C$1960,0)))</f>
        <v/>
      </c>
      <c r="O1718" s="9">
        <f>IF(ISNA(MATCH(1705,Engine!$C$2:$C$1960,0)),"",INDEX('Compliance Database'!$O$2:$O$1960,MATCH(1705,Engine!$C$2:$C$1960,0)))</f>
        <v/>
      </c>
      <c r="P1718" s="8">
        <f>IF(ISNA(MATCH(1705,Engine!$C$2:$C$1960,0)),"",HYPERLINK("#Acts!A"&amp;INDEX('Compliance Database'!$P$2:$P$1960,MATCH(1705,Engine!$C$2:$C$1960,0)),"Go to Act"))</f>
        <v/>
      </c>
    </row>
    <row r="1719" ht="158" customHeight="1">
      <c r="A1719" s="8">
        <f>IF(ISNA(MATCH(1706,Engine!$C$2:$C$1960,0)),"",INDEX('Compliance Database'!$A$2:$A$1960,MATCH(1706,Engine!$C$2:$C$1960,0)))</f>
        <v/>
      </c>
      <c r="B1719" s="8">
        <f>IF(ISNA(MATCH(1706,Engine!$C$2:$C$1960,0)),"",INDEX('Compliance Database'!$B$2:$B$1960,MATCH(1706,Engine!$C$2:$C$1960,0)))</f>
        <v/>
      </c>
      <c r="C1719" s="8">
        <f>IF(ISNA(MATCH(1706,Engine!$C$2:$C$1960,0)),"",INDEX('Compliance Database'!$C$2:$C$1960,MATCH(1706,Engine!$C$2:$C$1960,0)))</f>
        <v/>
      </c>
      <c r="D1719" s="9">
        <f>IF(ISNA(MATCH(1706,Engine!$C$2:$C$1960,0)),"",INDEX('Compliance Database'!$D$2:$D$1960,MATCH(1706,Engine!$C$2:$C$1960,0)))</f>
        <v/>
      </c>
      <c r="E1719" s="8">
        <f>IF(ISNA(MATCH(1706,Engine!$C$2:$C$1960,0)),"",INDEX('Compliance Database'!$E$2:$E$1960,MATCH(1706,Engine!$C$2:$C$1960,0)))</f>
        <v/>
      </c>
      <c r="F1719" s="8">
        <f>IF(ISNA(MATCH(1706,Engine!$C$2:$C$1960,0)),"",INDEX('Compliance Database'!$F$2:$F$1960,MATCH(1706,Engine!$C$2:$C$1960,0)))</f>
        <v/>
      </c>
      <c r="G1719" s="8">
        <f>IF(ISNA(MATCH(1706,Engine!$C$2:$C$1960,0)),"",INDEX('Compliance Database'!$G$2:$G$1960,MATCH(1706,Engine!$C$2:$C$1960,0)))</f>
        <v/>
      </c>
      <c r="H1719" s="9">
        <f>IF(ISNA(MATCH(1706,Engine!$C$2:$C$1960,0)),"",INDEX('Compliance Database'!$H$2:$H$1960,MATCH(1706,Engine!$C$2:$C$1960,0)))</f>
        <v/>
      </c>
      <c r="I1719" s="9">
        <f>IF(ISNA(MATCH(1706,Engine!$C$2:$C$1960,0)),"",INDEX('Compliance Database'!$I$2:$I$1960,MATCH(1706,Engine!$C$2:$C$1960,0)))</f>
        <v/>
      </c>
      <c r="J1719" s="8">
        <f>IF(ISNA(MATCH(1706,Engine!$C$2:$C$1960,0)),"",INDEX('Compliance Database'!$J$2:$J$1960,MATCH(1706,Engine!$C$2:$C$1960,0)))</f>
        <v/>
      </c>
      <c r="K1719" s="9">
        <f>IF(ISNA(MATCH(1706,Engine!$C$2:$C$1960,0)),"",INDEX('Compliance Database'!$K$2:$K$1960,MATCH(1706,Engine!$C$2:$C$1960,0)))</f>
        <v/>
      </c>
      <c r="L1719" s="9">
        <f>IF(ISNA(MATCH(1706,Engine!$C$2:$C$1960,0)),"",INDEX('Compliance Database'!$L$2:$L$1960,MATCH(1706,Engine!$C$2:$C$1960,0)))</f>
        <v/>
      </c>
      <c r="M1719" s="9">
        <f>IF(ISNA(MATCH(1706,Engine!$C$2:$C$1960,0)),"",INDEX('Compliance Database'!$M$2:$M$1960,MATCH(1706,Engine!$C$2:$C$1960,0)))</f>
        <v/>
      </c>
      <c r="N1719" s="9">
        <f>IF(ISNA(MATCH(1706,Engine!$C$2:$C$1960,0)),"",INDEX('Compliance Database'!$N$2:$N$1960,MATCH(1706,Engine!$C$2:$C$1960,0)))</f>
        <v/>
      </c>
      <c r="O1719" s="9">
        <f>IF(ISNA(MATCH(1706,Engine!$C$2:$C$1960,0)),"",INDEX('Compliance Database'!$O$2:$O$1960,MATCH(1706,Engine!$C$2:$C$1960,0)))</f>
        <v/>
      </c>
      <c r="P1719" s="8">
        <f>IF(ISNA(MATCH(1706,Engine!$C$2:$C$1960,0)),"",HYPERLINK("#Acts!A"&amp;INDEX('Compliance Database'!$P$2:$P$1960,MATCH(1706,Engine!$C$2:$C$1960,0)),"Go to Act"))</f>
        <v/>
      </c>
    </row>
    <row r="1720" ht="158" customHeight="1">
      <c r="A1720" s="8">
        <f>IF(ISNA(MATCH(1707,Engine!$C$2:$C$1960,0)),"",INDEX('Compliance Database'!$A$2:$A$1960,MATCH(1707,Engine!$C$2:$C$1960,0)))</f>
        <v/>
      </c>
      <c r="B1720" s="8">
        <f>IF(ISNA(MATCH(1707,Engine!$C$2:$C$1960,0)),"",INDEX('Compliance Database'!$B$2:$B$1960,MATCH(1707,Engine!$C$2:$C$1960,0)))</f>
        <v/>
      </c>
      <c r="C1720" s="8">
        <f>IF(ISNA(MATCH(1707,Engine!$C$2:$C$1960,0)),"",INDEX('Compliance Database'!$C$2:$C$1960,MATCH(1707,Engine!$C$2:$C$1960,0)))</f>
        <v/>
      </c>
      <c r="D1720" s="9">
        <f>IF(ISNA(MATCH(1707,Engine!$C$2:$C$1960,0)),"",INDEX('Compliance Database'!$D$2:$D$1960,MATCH(1707,Engine!$C$2:$C$1960,0)))</f>
        <v/>
      </c>
      <c r="E1720" s="8">
        <f>IF(ISNA(MATCH(1707,Engine!$C$2:$C$1960,0)),"",INDEX('Compliance Database'!$E$2:$E$1960,MATCH(1707,Engine!$C$2:$C$1960,0)))</f>
        <v/>
      </c>
      <c r="F1720" s="8">
        <f>IF(ISNA(MATCH(1707,Engine!$C$2:$C$1960,0)),"",INDEX('Compliance Database'!$F$2:$F$1960,MATCH(1707,Engine!$C$2:$C$1960,0)))</f>
        <v/>
      </c>
      <c r="G1720" s="8">
        <f>IF(ISNA(MATCH(1707,Engine!$C$2:$C$1960,0)),"",INDEX('Compliance Database'!$G$2:$G$1960,MATCH(1707,Engine!$C$2:$C$1960,0)))</f>
        <v/>
      </c>
      <c r="H1720" s="9">
        <f>IF(ISNA(MATCH(1707,Engine!$C$2:$C$1960,0)),"",INDEX('Compliance Database'!$H$2:$H$1960,MATCH(1707,Engine!$C$2:$C$1960,0)))</f>
        <v/>
      </c>
      <c r="I1720" s="9">
        <f>IF(ISNA(MATCH(1707,Engine!$C$2:$C$1960,0)),"",INDEX('Compliance Database'!$I$2:$I$1960,MATCH(1707,Engine!$C$2:$C$1960,0)))</f>
        <v/>
      </c>
      <c r="J1720" s="8">
        <f>IF(ISNA(MATCH(1707,Engine!$C$2:$C$1960,0)),"",INDEX('Compliance Database'!$J$2:$J$1960,MATCH(1707,Engine!$C$2:$C$1960,0)))</f>
        <v/>
      </c>
      <c r="K1720" s="9">
        <f>IF(ISNA(MATCH(1707,Engine!$C$2:$C$1960,0)),"",INDEX('Compliance Database'!$K$2:$K$1960,MATCH(1707,Engine!$C$2:$C$1960,0)))</f>
        <v/>
      </c>
      <c r="L1720" s="9">
        <f>IF(ISNA(MATCH(1707,Engine!$C$2:$C$1960,0)),"",INDEX('Compliance Database'!$L$2:$L$1960,MATCH(1707,Engine!$C$2:$C$1960,0)))</f>
        <v/>
      </c>
      <c r="M1720" s="9">
        <f>IF(ISNA(MATCH(1707,Engine!$C$2:$C$1960,0)),"",INDEX('Compliance Database'!$M$2:$M$1960,MATCH(1707,Engine!$C$2:$C$1960,0)))</f>
        <v/>
      </c>
      <c r="N1720" s="9">
        <f>IF(ISNA(MATCH(1707,Engine!$C$2:$C$1960,0)),"",INDEX('Compliance Database'!$N$2:$N$1960,MATCH(1707,Engine!$C$2:$C$1960,0)))</f>
        <v/>
      </c>
      <c r="O1720" s="9">
        <f>IF(ISNA(MATCH(1707,Engine!$C$2:$C$1960,0)),"",INDEX('Compliance Database'!$O$2:$O$1960,MATCH(1707,Engine!$C$2:$C$1960,0)))</f>
        <v/>
      </c>
      <c r="P1720" s="8">
        <f>IF(ISNA(MATCH(1707,Engine!$C$2:$C$1960,0)),"",HYPERLINK("#Acts!A"&amp;INDEX('Compliance Database'!$P$2:$P$1960,MATCH(1707,Engine!$C$2:$C$1960,0)),"Go to Act"))</f>
        <v/>
      </c>
    </row>
    <row r="1721" ht="158" customHeight="1">
      <c r="A1721" s="8">
        <f>IF(ISNA(MATCH(1708,Engine!$C$2:$C$1960,0)),"",INDEX('Compliance Database'!$A$2:$A$1960,MATCH(1708,Engine!$C$2:$C$1960,0)))</f>
        <v/>
      </c>
      <c r="B1721" s="8">
        <f>IF(ISNA(MATCH(1708,Engine!$C$2:$C$1960,0)),"",INDEX('Compliance Database'!$B$2:$B$1960,MATCH(1708,Engine!$C$2:$C$1960,0)))</f>
        <v/>
      </c>
      <c r="C1721" s="8">
        <f>IF(ISNA(MATCH(1708,Engine!$C$2:$C$1960,0)),"",INDEX('Compliance Database'!$C$2:$C$1960,MATCH(1708,Engine!$C$2:$C$1960,0)))</f>
        <v/>
      </c>
      <c r="D1721" s="9">
        <f>IF(ISNA(MATCH(1708,Engine!$C$2:$C$1960,0)),"",INDEX('Compliance Database'!$D$2:$D$1960,MATCH(1708,Engine!$C$2:$C$1960,0)))</f>
        <v/>
      </c>
      <c r="E1721" s="8">
        <f>IF(ISNA(MATCH(1708,Engine!$C$2:$C$1960,0)),"",INDEX('Compliance Database'!$E$2:$E$1960,MATCH(1708,Engine!$C$2:$C$1960,0)))</f>
        <v/>
      </c>
      <c r="F1721" s="8">
        <f>IF(ISNA(MATCH(1708,Engine!$C$2:$C$1960,0)),"",INDEX('Compliance Database'!$F$2:$F$1960,MATCH(1708,Engine!$C$2:$C$1960,0)))</f>
        <v/>
      </c>
      <c r="G1721" s="8">
        <f>IF(ISNA(MATCH(1708,Engine!$C$2:$C$1960,0)),"",INDEX('Compliance Database'!$G$2:$G$1960,MATCH(1708,Engine!$C$2:$C$1960,0)))</f>
        <v/>
      </c>
      <c r="H1721" s="9">
        <f>IF(ISNA(MATCH(1708,Engine!$C$2:$C$1960,0)),"",INDEX('Compliance Database'!$H$2:$H$1960,MATCH(1708,Engine!$C$2:$C$1960,0)))</f>
        <v/>
      </c>
      <c r="I1721" s="9">
        <f>IF(ISNA(MATCH(1708,Engine!$C$2:$C$1960,0)),"",INDEX('Compliance Database'!$I$2:$I$1960,MATCH(1708,Engine!$C$2:$C$1960,0)))</f>
        <v/>
      </c>
      <c r="J1721" s="8">
        <f>IF(ISNA(MATCH(1708,Engine!$C$2:$C$1960,0)),"",INDEX('Compliance Database'!$J$2:$J$1960,MATCH(1708,Engine!$C$2:$C$1960,0)))</f>
        <v/>
      </c>
      <c r="K1721" s="9">
        <f>IF(ISNA(MATCH(1708,Engine!$C$2:$C$1960,0)),"",INDEX('Compliance Database'!$K$2:$K$1960,MATCH(1708,Engine!$C$2:$C$1960,0)))</f>
        <v/>
      </c>
      <c r="L1721" s="9">
        <f>IF(ISNA(MATCH(1708,Engine!$C$2:$C$1960,0)),"",INDEX('Compliance Database'!$L$2:$L$1960,MATCH(1708,Engine!$C$2:$C$1960,0)))</f>
        <v/>
      </c>
      <c r="M1721" s="9">
        <f>IF(ISNA(MATCH(1708,Engine!$C$2:$C$1960,0)),"",INDEX('Compliance Database'!$M$2:$M$1960,MATCH(1708,Engine!$C$2:$C$1960,0)))</f>
        <v/>
      </c>
      <c r="N1721" s="9">
        <f>IF(ISNA(MATCH(1708,Engine!$C$2:$C$1960,0)),"",INDEX('Compliance Database'!$N$2:$N$1960,MATCH(1708,Engine!$C$2:$C$1960,0)))</f>
        <v/>
      </c>
      <c r="O1721" s="9">
        <f>IF(ISNA(MATCH(1708,Engine!$C$2:$C$1960,0)),"",INDEX('Compliance Database'!$O$2:$O$1960,MATCH(1708,Engine!$C$2:$C$1960,0)))</f>
        <v/>
      </c>
      <c r="P1721" s="8">
        <f>IF(ISNA(MATCH(1708,Engine!$C$2:$C$1960,0)),"",HYPERLINK("#Acts!A"&amp;INDEX('Compliance Database'!$P$2:$P$1960,MATCH(1708,Engine!$C$2:$C$1960,0)),"Go to Act"))</f>
        <v/>
      </c>
    </row>
    <row r="1722" ht="158" customHeight="1">
      <c r="A1722" s="8">
        <f>IF(ISNA(MATCH(1709,Engine!$C$2:$C$1960,0)),"",INDEX('Compliance Database'!$A$2:$A$1960,MATCH(1709,Engine!$C$2:$C$1960,0)))</f>
        <v/>
      </c>
      <c r="B1722" s="8">
        <f>IF(ISNA(MATCH(1709,Engine!$C$2:$C$1960,0)),"",INDEX('Compliance Database'!$B$2:$B$1960,MATCH(1709,Engine!$C$2:$C$1960,0)))</f>
        <v/>
      </c>
      <c r="C1722" s="8">
        <f>IF(ISNA(MATCH(1709,Engine!$C$2:$C$1960,0)),"",INDEX('Compliance Database'!$C$2:$C$1960,MATCH(1709,Engine!$C$2:$C$1960,0)))</f>
        <v/>
      </c>
      <c r="D1722" s="9">
        <f>IF(ISNA(MATCH(1709,Engine!$C$2:$C$1960,0)),"",INDEX('Compliance Database'!$D$2:$D$1960,MATCH(1709,Engine!$C$2:$C$1960,0)))</f>
        <v/>
      </c>
      <c r="E1722" s="8">
        <f>IF(ISNA(MATCH(1709,Engine!$C$2:$C$1960,0)),"",INDEX('Compliance Database'!$E$2:$E$1960,MATCH(1709,Engine!$C$2:$C$1960,0)))</f>
        <v/>
      </c>
      <c r="F1722" s="8">
        <f>IF(ISNA(MATCH(1709,Engine!$C$2:$C$1960,0)),"",INDEX('Compliance Database'!$F$2:$F$1960,MATCH(1709,Engine!$C$2:$C$1960,0)))</f>
        <v/>
      </c>
      <c r="G1722" s="8">
        <f>IF(ISNA(MATCH(1709,Engine!$C$2:$C$1960,0)),"",INDEX('Compliance Database'!$G$2:$G$1960,MATCH(1709,Engine!$C$2:$C$1960,0)))</f>
        <v/>
      </c>
      <c r="H1722" s="9">
        <f>IF(ISNA(MATCH(1709,Engine!$C$2:$C$1960,0)),"",INDEX('Compliance Database'!$H$2:$H$1960,MATCH(1709,Engine!$C$2:$C$1960,0)))</f>
        <v/>
      </c>
      <c r="I1722" s="9">
        <f>IF(ISNA(MATCH(1709,Engine!$C$2:$C$1960,0)),"",INDEX('Compliance Database'!$I$2:$I$1960,MATCH(1709,Engine!$C$2:$C$1960,0)))</f>
        <v/>
      </c>
      <c r="J1722" s="8">
        <f>IF(ISNA(MATCH(1709,Engine!$C$2:$C$1960,0)),"",INDEX('Compliance Database'!$J$2:$J$1960,MATCH(1709,Engine!$C$2:$C$1960,0)))</f>
        <v/>
      </c>
      <c r="K1722" s="9">
        <f>IF(ISNA(MATCH(1709,Engine!$C$2:$C$1960,0)),"",INDEX('Compliance Database'!$K$2:$K$1960,MATCH(1709,Engine!$C$2:$C$1960,0)))</f>
        <v/>
      </c>
      <c r="L1722" s="9">
        <f>IF(ISNA(MATCH(1709,Engine!$C$2:$C$1960,0)),"",INDEX('Compliance Database'!$L$2:$L$1960,MATCH(1709,Engine!$C$2:$C$1960,0)))</f>
        <v/>
      </c>
      <c r="M1722" s="9">
        <f>IF(ISNA(MATCH(1709,Engine!$C$2:$C$1960,0)),"",INDEX('Compliance Database'!$M$2:$M$1960,MATCH(1709,Engine!$C$2:$C$1960,0)))</f>
        <v/>
      </c>
      <c r="N1722" s="9">
        <f>IF(ISNA(MATCH(1709,Engine!$C$2:$C$1960,0)),"",INDEX('Compliance Database'!$N$2:$N$1960,MATCH(1709,Engine!$C$2:$C$1960,0)))</f>
        <v/>
      </c>
      <c r="O1722" s="9">
        <f>IF(ISNA(MATCH(1709,Engine!$C$2:$C$1960,0)),"",INDEX('Compliance Database'!$O$2:$O$1960,MATCH(1709,Engine!$C$2:$C$1960,0)))</f>
        <v/>
      </c>
      <c r="P1722" s="8">
        <f>IF(ISNA(MATCH(1709,Engine!$C$2:$C$1960,0)),"",HYPERLINK("#Acts!A"&amp;INDEX('Compliance Database'!$P$2:$P$1960,MATCH(1709,Engine!$C$2:$C$1960,0)),"Go to Act"))</f>
        <v/>
      </c>
    </row>
    <row r="1723" ht="158" customHeight="1">
      <c r="A1723" s="8">
        <f>IF(ISNA(MATCH(1710,Engine!$C$2:$C$1960,0)),"",INDEX('Compliance Database'!$A$2:$A$1960,MATCH(1710,Engine!$C$2:$C$1960,0)))</f>
        <v/>
      </c>
      <c r="B1723" s="8">
        <f>IF(ISNA(MATCH(1710,Engine!$C$2:$C$1960,0)),"",INDEX('Compliance Database'!$B$2:$B$1960,MATCH(1710,Engine!$C$2:$C$1960,0)))</f>
        <v/>
      </c>
      <c r="C1723" s="8">
        <f>IF(ISNA(MATCH(1710,Engine!$C$2:$C$1960,0)),"",INDEX('Compliance Database'!$C$2:$C$1960,MATCH(1710,Engine!$C$2:$C$1960,0)))</f>
        <v/>
      </c>
      <c r="D1723" s="9">
        <f>IF(ISNA(MATCH(1710,Engine!$C$2:$C$1960,0)),"",INDEX('Compliance Database'!$D$2:$D$1960,MATCH(1710,Engine!$C$2:$C$1960,0)))</f>
        <v/>
      </c>
      <c r="E1723" s="8">
        <f>IF(ISNA(MATCH(1710,Engine!$C$2:$C$1960,0)),"",INDEX('Compliance Database'!$E$2:$E$1960,MATCH(1710,Engine!$C$2:$C$1960,0)))</f>
        <v/>
      </c>
      <c r="F1723" s="8">
        <f>IF(ISNA(MATCH(1710,Engine!$C$2:$C$1960,0)),"",INDEX('Compliance Database'!$F$2:$F$1960,MATCH(1710,Engine!$C$2:$C$1960,0)))</f>
        <v/>
      </c>
      <c r="G1723" s="8">
        <f>IF(ISNA(MATCH(1710,Engine!$C$2:$C$1960,0)),"",INDEX('Compliance Database'!$G$2:$G$1960,MATCH(1710,Engine!$C$2:$C$1960,0)))</f>
        <v/>
      </c>
      <c r="H1723" s="9">
        <f>IF(ISNA(MATCH(1710,Engine!$C$2:$C$1960,0)),"",INDEX('Compliance Database'!$H$2:$H$1960,MATCH(1710,Engine!$C$2:$C$1960,0)))</f>
        <v/>
      </c>
      <c r="I1723" s="9">
        <f>IF(ISNA(MATCH(1710,Engine!$C$2:$C$1960,0)),"",INDEX('Compliance Database'!$I$2:$I$1960,MATCH(1710,Engine!$C$2:$C$1960,0)))</f>
        <v/>
      </c>
      <c r="J1723" s="8">
        <f>IF(ISNA(MATCH(1710,Engine!$C$2:$C$1960,0)),"",INDEX('Compliance Database'!$J$2:$J$1960,MATCH(1710,Engine!$C$2:$C$1960,0)))</f>
        <v/>
      </c>
      <c r="K1723" s="9">
        <f>IF(ISNA(MATCH(1710,Engine!$C$2:$C$1960,0)),"",INDEX('Compliance Database'!$K$2:$K$1960,MATCH(1710,Engine!$C$2:$C$1960,0)))</f>
        <v/>
      </c>
      <c r="L1723" s="9">
        <f>IF(ISNA(MATCH(1710,Engine!$C$2:$C$1960,0)),"",INDEX('Compliance Database'!$L$2:$L$1960,MATCH(1710,Engine!$C$2:$C$1960,0)))</f>
        <v/>
      </c>
      <c r="M1723" s="9">
        <f>IF(ISNA(MATCH(1710,Engine!$C$2:$C$1960,0)),"",INDEX('Compliance Database'!$M$2:$M$1960,MATCH(1710,Engine!$C$2:$C$1960,0)))</f>
        <v/>
      </c>
      <c r="N1723" s="9">
        <f>IF(ISNA(MATCH(1710,Engine!$C$2:$C$1960,0)),"",INDEX('Compliance Database'!$N$2:$N$1960,MATCH(1710,Engine!$C$2:$C$1960,0)))</f>
        <v/>
      </c>
      <c r="O1723" s="9">
        <f>IF(ISNA(MATCH(1710,Engine!$C$2:$C$1960,0)),"",INDEX('Compliance Database'!$O$2:$O$1960,MATCH(1710,Engine!$C$2:$C$1960,0)))</f>
        <v/>
      </c>
      <c r="P1723" s="8">
        <f>IF(ISNA(MATCH(1710,Engine!$C$2:$C$1960,0)),"",HYPERLINK("#Acts!A"&amp;INDEX('Compliance Database'!$P$2:$P$1960,MATCH(1710,Engine!$C$2:$C$1960,0)),"Go to Act"))</f>
        <v/>
      </c>
    </row>
    <row r="1724" ht="158" customHeight="1">
      <c r="A1724" s="8">
        <f>IF(ISNA(MATCH(1711,Engine!$C$2:$C$1960,0)),"",INDEX('Compliance Database'!$A$2:$A$1960,MATCH(1711,Engine!$C$2:$C$1960,0)))</f>
        <v/>
      </c>
      <c r="B1724" s="8">
        <f>IF(ISNA(MATCH(1711,Engine!$C$2:$C$1960,0)),"",INDEX('Compliance Database'!$B$2:$B$1960,MATCH(1711,Engine!$C$2:$C$1960,0)))</f>
        <v/>
      </c>
      <c r="C1724" s="8">
        <f>IF(ISNA(MATCH(1711,Engine!$C$2:$C$1960,0)),"",INDEX('Compliance Database'!$C$2:$C$1960,MATCH(1711,Engine!$C$2:$C$1960,0)))</f>
        <v/>
      </c>
      <c r="D1724" s="9">
        <f>IF(ISNA(MATCH(1711,Engine!$C$2:$C$1960,0)),"",INDEX('Compliance Database'!$D$2:$D$1960,MATCH(1711,Engine!$C$2:$C$1960,0)))</f>
        <v/>
      </c>
      <c r="E1724" s="8">
        <f>IF(ISNA(MATCH(1711,Engine!$C$2:$C$1960,0)),"",INDEX('Compliance Database'!$E$2:$E$1960,MATCH(1711,Engine!$C$2:$C$1960,0)))</f>
        <v/>
      </c>
      <c r="F1724" s="8">
        <f>IF(ISNA(MATCH(1711,Engine!$C$2:$C$1960,0)),"",INDEX('Compliance Database'!$F$2:$F$1960,MATCH(1711,Engine!$C$2:$C$1960,0)))</f>
        <v/>
      </c>
      <c r="G1724" s="8">
        <f>IF(ISNA(MATCH(1711,Engine!$C$2:$C$1960,0)),"",INDEX('Compliance Database'!$G$2:$G$1960,MATCH(1711,Engine!$C$2:$C$1960,0)))</f>
        <v/>
      </c>
      <c r="H1724" s="9">
        <f>IF(ISNA(MATCH(1711,Engine!$C$2:$C$1960,0)),"",INDEX('Compliance Database'!$H$2:$H$1960,MATCH(1711,Engine!$C$2:$C$1960,0)))</f>
        <v/>
      </c>
      <c r="I1724" s="9">
        <f>IF(ISNA(MATCH(1711,Engine!$C$2:$C$1960,0)),"",INDEX('Compliance Database'!$I$2:$I$1960,MATCH(1711,Engine!$C$2:$C$1960,0)))</f>
        <v/>
      </c>
      <c r="J1724" s="8">
        <f>IF(ISNA(MATCH(1711,Engine!$C$2:$C$1960,0)),"",INDEX('Compliance Database'!$J$2:$J$1960,MATCH(1711,Engine!$C$2:$C$1960,0)))</f>
        <v/>
      </c>
      <c r="K1724" s="9">
        <f>IF(ISNA(MATCH(1711,Engine!$C$2:$C$1960,0)),"",INDEX('Compliance Database'!$K$2:$K$1960,MATCH(1711,Engine!$C$2:$C$1960,0)))</f>
        <v/>
      </c>
      <c r="L1724" s="9">
        <f>IF(ISNA(MATCH(1711,Engine!$C$2:$C$1960,0)),"",INDEX('Compliance Database'!$L$2:$L$1960,MATCH(1711,Engine!$C$2:$C$1960,0)))</f>
        <v/>
      </c>
      <c r="M1724" s="9">
        <f>IF(ISNA(MATCH(1711,Engine!$C$2:$C$1960,0)),"",INDEX('Compliance Database'!$M$2:$M$1960,MATCH(1711,Engine!$C$2:$C$1960,0)))</f>
        <v/>
      </c>
      <c r="N1724" s="9">
        <f>IF(ISNA(MATCH(1711,Engine!$C$2:$C$1960,0)),"",INDEX('Compliance Database'!$N$2:$N$1960,MATCH(1711,Engine!$C$2:$C$1960,0)))</f>
        <v/>
      </c>
      <c r="O1724" s="9">
        <f>IF(ISNA(MATCH(1711,Engine!$C$2:$C$1960,0)),"",INDEX('Compliance Database'!$O$2:$O$1960,MATCH(1711,Engine!$C$2:$C$1960,0)))</f>
        <v/>
      </c>
      <c r="P1724" s="8">
        <f>IF(ISNA(MATCH(1711,Engine!$C$2:$C$1960,0)),"",HYPERLINK("#Acts!A"&amp;INDEX('Compliance Database'!$P$2:$P$1960,MATCH(1711,Engine!$C$2:$C$1960,0)),"Go to Act"))</f>
        <v/>
      </c>
    </row>
    <row r="1725" ht="158" customHeight="1">
      <c r="A1725" s="8">
        <f>IF(ISNA(MATCH(1712,Engine!$C$2:$C$1960,0)),"",INDEX('Compliance Database'!$A$2:$A$1960,MATCH(1712,Engine!$C$2:$C$1960,0)))</f>
        <v/>
      </c>
      <c r="B1725" s="8">
        <f>IF(ISNA(MATCH(1712,Engine!$C$2:$C$1960,0)),"",INDEX('Compliance Database'!$B$2:$B$1960,MATCH(1712,Engine!$C$2:$C$1960,0)))</f>
        <v/>
      </c>
      <c r="C1725" s="8">
        <f>IF(ISNA(MATCH(1712,Engine!$C$2:$C$1960,0)),"",INDEX('Compliance Database'!$C$2:$C$1960,MATCH(1712,Engine!$C$2:$C$1960,0)))</f>
        <v/>
      </c>
      <c r="D1725" s="9">
        <f>IF(ISNA(MATCH(1712,Engine!$C$2:$C$1960,0)),"",INDEX('Compliance Database'!$D$2:$D$1960,MATCH(1712,Engine!$C$2:$C$1960,0)))</f>
        <v/>
      </c>
      <c r="E1725" s="8">
        <f>IF(ISNA(MATCH(1712,Engine!$C$2:$C$1960,0)),"",INDEX('Compliance Database'!$E$2:$E$1960,MATCH(1712,Engine!$C$2:$C$1960,0)))</f>
        <v/>
      </c>
      <c r="F1725" s="8">
        <f>IF(ISNA(MATCH(1712,Engine!$C$2:$C$1960,0)),"",INDEX('Compliance Database'!$F$2:$F$1960,MATCH(1712,Engine!$C$2:$C$1960,0)))</f>
        <v/>
      </c>
      <c r="G1725" s="8">
        <f>IF(ISNA(MATCH(1712,Engine!$C$2:$C$1960,0)),"",INDEX('Compliance Database'!$G$2:$G$1960,MATCH(1712,Engine!$C$2:$C$1960,0)))</f>
        <v/>
      </c>
      <c r="H1725" s="9">
        <f>IF(ISNA(MATCH(1712,Engine!$C$2:$C$1960,0)),"",INDEX('Compliance Database'!$H$2:$H$1960,MATCH(1712,Engine!$C$2:$C$1960,0)))</f>
        <v/>
      </c>
      <c r="I1725" s="9">
        <f>IF(ISNA(MATCH(1712,Engine!$C$2:$C$1960,0)),"",INDEX('Compliance Database'!$I$2:$I$1960,MATCH(1712,Engine!$C$2:$C$1960,0)))</f>
        <v/>
      </c>
      <c r="J1725" s="8">
        <f>IF(ISNA(MATCH(1712,Engine!$C$2:$C$1960,0)),"",INDEX('Compliance Database'!$J$2:$J$1960,MATCH(1712,Engine!$C$2:$C$1960,0)))</f>
        <v/>
      </c>
      <c r="K1725" s="9">
        <f>IF(ISNA(MATCH(1712,Engine!$C$2:$C$1960,0)),"",INDEX('Compliance Database'!$K$2:$K$1960,MATCH(1712,Engine!$C$2:$C$1960,0)))</f>
        <v/>
      </c>
      <c r="L1725" s="9">
        <f>IF(ISNA(MATCH(1712,Engine!$C$2:$C$1960,0)),"",INDEX('Compliance Database'!$L$2:$L$1960,MATCH(1712,Engine!$C$2:$C$1960,0)))</f>
        <v/>
      </c>
      <c r="M1725" s="9">
        <f>IF(ISNA(MATCH(1712,Engine!$C$2:$C$1960,0)),"",INDEX('Compliance Database'!$M$2:$M$1960,MATCH(1712,Engine!$C$2:$C$1960,0)))</f>
        <v/>
      </c>
      <c r="N1725" s="9">
        <f>IF(ISNA(MATCH(1712,Engine!$C$2:$C$1960,0)),"",INDEX('Compliance Database'!$N$2:$N$1960,MATCH(1712,Engine!$C$2:$C$1960,0)))</f>
        <v/>
      </c>
      <c r="O1725" s="9">
        <f>IF(ISNA(MATCH(1712,Engine!$C$2:$C$1960,0)),"",INDEX('Compliance Database'!$O$2:$O$1960,MATCH(1712,Engine!$C$2:$C$1960,0)))</f>
        <v/>
      </c>
      <c r="P1725" s="8">
        <f>IF(ISNA(MATCH(1712,Engine!$C$2:$C$1960,0)),"",HYPERLINK("#Acts!A"&amp;INDEX('Compliance Database'!$P$2:$P$1960,MATCH(1712,Engine!$C$2:$C$1960,0)),"Go to Act"))</f>
        <v/>
      </c>
    </row>
    <row r="1726" ht="158" customHeight="1">
      <c r="A1726" s="8">
        <f>IF(ISNA(MATCH(1713,Engine!$C$2:$C$1960,0)),"",INDEX('Compliance Database'!$A$2:$A$1960,MATCH(1713,Engine!$C$2:$C$1960,0)))</f>
        <v/>
      </c>
      <c r="B1726" s="8">
        <f>IF(ISNA(MATCH(1713,Engine!$C$2:$C$1960,0)),"",INDEX('Compliance Database'!$B$2:$B$1960,MATCH(1713,Engine!$C$2:$C$1960,0)))</f>
        <v/>
      </c>
      <c r="C1726" s="8">
        <f>IF(ISNA(MATCH(1713,Engine!$C$2:$C$1960,0)),"",INDEX('Compliance Database'!$C$2:$C$1960,MATCH(1713,Engine!$C$2:$C$1960,0)))</f>
        <v/>
      </c>
      <c r="D1726" s="9">
        <f>IF(ISNA(MATCH(1713,Engine!$C$2:$C$1960,0)),"",INDEX('Compliance Database'!$D$2:$D$1960,MATCH(1713,Engine!$C$2:$C$1960,0)))</f>
        <v/>
      </c>
      <c r="E1726" s="8">
        <f>IF(ISNA(MATCH(1713,Engine!$C$2:$C$1960,0)),"",INDEX('Compliance Database'!$E$2:$E$1960,MATCH(1713,Engine!$C$2:$C$1960,0)))</f>
        <v/>
      </c>
      <c r="F1726" s="8">
        <f>IF(ISNA(MATCH(1713,Engine!$C$2:$C$1960,0)),"",INDEX('Compliance Database'!$F$2:$F$1960,MATCH(1713,Engine!$C$2:$C$1960,0)))</f>
        <v/>
      </c>
      <c r="G1726" s="8">
        <f>IF(ISNA(MATCH(1713,Engine!$C$2:$C$1960,0)),"",INDEX('Compliance Database'!$G$2:$G$1960,MATCH(1713,Engine!$C$2:$C$1960,0)))</f>
        <v/>
      </c>
      <c r="H1726" s="9">
        <f>IF(ISNA(MATCH(1713,Engine!$C$2:$C$1960,0)),"",INDEX('Compliance Database'!$H$2:$H$1960,MATCH(1713,Engine!$C$2:$C$1960,0)))</f>
        <v/>
      </c>
      <c r="I1726" s="9">
        <f>IF(ISNA(MATCH(1713,Engine!$C$2:$C$1960,0)),"",INDEX('Compliance Database'!$I$2:$I$1960,MATCH(1713,Engine!$C$2:$C$1960,0)))</f>
        <v/>
      </c>
      <c r="J1726" s="8">
        <f>IF(ISNA(MATCH(1713,Engine!$C$2:$C$1960,0)),"",INDEX('Compliance Database'!$J$2:$J$1960,MATCH(1713,Engine!$C$2:$C$1960,0)))</f>
        <v/>
      </c>
      <c r="K1726" s="9">
        <f>IF(ISNA(MATCH(1713,Engine!$C$2:$C$1960,0)),"",INDEX('Compliance Database'!$K$2:$K$1960,MATCH(1713,Engine!$C$2:$C$1960,0)))</f>
        <v/>
      </c>
      <c r="L1726" s="9">
        <f>IF(ISNA(MATCH(1713,Engine!$C$2:$C$1960,0)),"",INDEX('Compliance Database'!$L$2:$L$1960,MATCH(1713,Engine!$C$2:$C$1960,0)))</f>
        <v/>
      </c>
      <c r="M1726" s="9">
        <f>IF(ISNA(MATCH(1713,Engine!$C$2:$C$1960,0)),"",INDEX('Compliance Database'!$M$2:$M$1960,MATCH(1713,Engine!$C$2:$C$1960,0)))</f>
        <v/>
      </c>
      <c r="N1726" s="9">
        <f>IF(ISNA(MATCH(1713,Engine!$C$2:$C$1960,0)),"",INDEX('Compliance Database'!$N$2:$N$1960,MATCH(1713,Engine!$C$2:$C$1960,0)))</f>
        <v/>
      </c>
      <c r="O1726" s="9">
        <f>IF(ISNA(MATCH(1713,Engine!$C$2:$C$1960,0)),"",INDEX('Compliance Database'!$O$2:$O$1960,MATCH(1713,Engine!$C$2:$C$1960,0)))</f>
        <v/>
      </c>
      <c r="P1726" s="8">
        <f>IF(ISNA(MATCH(1713,Engine!$C$2:$C$1960,0)),"",HYPERLINK("#Acts!A"&amp;INDEX('Compliance Database'!$P$2:$P$1960,MATCH(1713,Engine!$C$2:$C$1960,0)),"Go to Act"))</f>
        <v/>
      </c>
    </row>
    <row r="1727" ht="158" customHeight="1">
      <c r="A1727" s="8">
        <f>IF(ISNA(MATCH(1714,Engine!$C$2:$C$1960,0)),"",INDEX('Compliance Database'!$A$2:$A$1960,MATCH(1714,Engine!$C$2:$C$1960,0)))</f>
        <v/>
      </c>
      <c r="B1727" s="8">
        <f>IF(ISNA(MATCH(1714,Engine!$C$2:$C$1960,0)),"",INDEX('Compliance Database'!$B$2:$B$1960,MATCH(1714,Engine!$C$2:$C$1960,0)))</f>
        <v/>
      </c>
      <c r="C1727" s="8">
        <f>IF(ISNA(MATCH(1714,Engine!$C$2:$C$1960,0)),"",INDEX('Compliance Database'!$C$2:$C$1960,MATCH(1714,Engine!$C$2:$C$1960,0)))</f>
        <v/>
      </c>
      <c r="D1727" s="9">
        <f>IF(ISNA(MATCH(1714,Engine!$C$2:$C$1960,0)),"",INDEX('Compliance Database'!$D$2:$D$1960,MATCH(1714,Engine!$C$2:$C$1960,0)))</f>
        <v/>
      </c>
      <c r="E1727" s="8">
        <f>IF(ISNA(MATCH(1714,Engine!$C$2:$C$1960,0)),"",INDEX('Compliance Database'!$E$2:$E$1960,MATCH(1714,Engine!$C$2:$C$1960,0)))</f>
        <v/>
      </c>
      <c r="F1727" s="8">
        <f>IF(ISNA(MATCH(1714,Engine!$C$2:$C$1960,0)),"",INDEX('Compliance Database'!$F$2:$F$1960,MATCH(1714,Engine!$C$2:$C$1960,0)))</f>
        <v/>
      </c>
      <c r="G1727" s="8">
        <f>IF(ISNA(MATCH(1714,Engine!$C$2:$C$1960,0)),"",INDEX('Compliance Database'!$G$2:$G$1960,MATCH(1714,Engine!$C$2:$C$1960,0)))</f>
        <v/>
      </c>
      <c r="H1727" s="9">
        <f>IF(ISNA(MATCH(1714,Engine!$C$2:$C$1960,0)),"",INDEX('Compliance Database'!$H$2:$H$1960,MATCH(1714,Engine!$C$2:$C$1960,0)))</f>
        <v/>
      </c>
      <c r="I1727" s="9">
        <f>IF(ISNA(MATCH(1714,Engine!$C$2:$C$1960,0)),"",INDEX('Compliance Database'!$I$2:$I$1960,MATCH(1714,Engine!$C$2:$C$1960,0)))</f>
        <v/>
      </c>
      <c r="J1727" s="8">
        <f>IF(ISNA(MATCH(1714,Engine!$C$2:$C$1960,0)),"",INDEX('Compliance Database'!$J$2:$J$1960,MATCH(1714,Engine!$C$2:$C$1960,0)))</f>
        <v/>
      </c>
      <c r="K1727" s="9">
        <f>IF(ISNA(MATCH(1714,Engine!$C$2:$C$1960,0)),"",INDEX('Compliance Database'!$K$2:$K$1960,MATCH(1714,Engine!$C$2:$C$1960,0)))</f>
        <v/>
      </c>
      <c r="L1727" s="9">
        <f>IF(ISNA(MATCH(1714,Engine!$C$2:$C$1960,0)),"",INDEX('Compliance Database'!$L$2:$L$1960,MATCH(1714,Engine!$C$2:$C$1960,0)))</f>
        <v/>
      </c>
      <c r="M1727" s="9">
        <f>IF(ISNA(MATCH(1714,Engine!$C$2:$C$1960,0)),"",INDEX('Compliance Database'!$M$2:$M$1960,MATCH(1714,Engine!$C$2:$C$1960,0)))</f>
        <v/>
      </c>
      <c r="N1727" s="9">
        <f>IF(ISNA(MATCH(1714,Engine!$C$2:$C$1960,0)),"",INDEX('Compliance Database'!$N$2:$N$1960,MATCH(1714,Engine!$C$2:$C$1960,0)))</f>
        <v/>
      </c>
      <c r="O1727" s="9">
        <f>IF(ISNA(MATCH(1714,Engine!$C$2:$C$1960,0)),"",INDEX('Compliance Database'!$O$2:$O$1960,MATCH(1714,Engine!$C$2:$C$1960,0)))</f>
        <v/>
      </c>
      <c r="P1727" s="8">
        <f>IF(ISNA(MATCH(1714,Engine!$C$2:$C$1960,0)),"",HYPERLINK("#Acts!A"&amp;INDEX('Compliance Database'!$P$2:$P$1960,MATCH(1714,Engine!$C$2:$C$1960,0)),"Go to Act"))</f>
        <v/>
      </c>
    </row>
    <row r="1728" ht="158" customHeight="1">
      <c r="A1728" s="8">
        <f>IF(ISNA(MATCH(1715,Engine!$C$2:$C$1960,0)),"",INDEX('Compliance Database'!$A$2:$A$1960,MATCH(1715,Engine!$C$2:$C$1960,0)))</f>
        <v/>
      </c>
      <c r="B1728" s="8">
        <f>IF(ISNA(MATCH(1715,Engine!$C$2:$C$1960,0)),"",INDEX('Compliance Database'!$B$2:$B$1960,MATCH(1715,Engine!$C$2:$C$1960,0)))</f>
        <v/>
      </c>
      <c r="C1728" s="8">
        <f>IF(ISNA(MATCH(1715,Engine!$C$2:$C$1960,0)),"",INDEX('Compliance Database'!$C$2:$C$1960,MATCH(1715,Engine!$C$2:$C$1960,0)))</f>
        <v/>
      </c>
      <c r="D1728" s="9">
        <f>IF(ISNA(MATCH(1715,Engine!$C$2:$C$1960,0)),"",INDEX('Compliance Database'!$D$2:$D$1960,MATCH(1715,Engine!$C$2:$C$1960,0)))</f>
        <v/>
      </c>
      <c r="E1728" s="8">
        <f>IF(ISNA(MATCH(1715,Engine!$C$2:$C$1960,0)),"",INDEX('Compliance Database'!$E$2:$E$1960,MATCH(1715,Engine!$C$2:$C$1960,0)))</f>
        <v/>
      </c>
      <c r="F1728" s="8">
        <f>IF(ISNA(MATCH(1715,Engine!$C$2:$C$1960,0)),"",INDEX('Compliance Database'!$F$2:$F$1960,MATCH(1715,Engine!$C$2:$C$1960,0)))</f>
        <v/>
      </c>
      <c r="G1728" s="8">
        <f>IF(ISNA(MATCH(1715,Engine!$C$2:$C$1960,0)),"",INDEX('Compliance Database'!$G$2:$G$1960,MATCH(1715,Engine!$C$2:$C$1960,0)))</f>
        <v/>
      </c>
      <c r="H1728" s="9">
        <f>IF(ISNA(MATCH(1715,Engine!$C$2:$C$1960,0)),"",INDEX('Compliance Database'!$H$2:$H$1960,MATCH(1715,Engine!$C$2:$C$1960,0)))</f>
        <v/>
      </c>
      <c r="I1728" s="9">
        <f>IF(ISNA(MATCH(1715,Engine!$C$2:$C$1960,0)),"",INDEX('Compliance Database'!$I$2:$I$1960,MATCH(1715,Engine!$C$2:$C$1960,0)))</f>
        <v/>
      </c>
      <c r="J1728" s="8">
        <f>IF(ISNA(MATCH(1715,Engine!$C$2:$C$1960,0)),"",INDEX('Compliance Database'!$J$2:$J$1960,MATCH(1715,Engine!$C$2:$C$1960,0)))</f>
        <v/>
      </c>
      <c r="K1728" s="9">
        <f>IF(ISNA(MATCH(1715,Engine!$C$2:$C$1960,0)),"",INDEX('Compliance Database'!$K$2:$K$1960,MATCH(1715,Engine!$C$2:$C$1960,0)))</f>
        <v/>
      </c>
      <c r="L1728" s="9">
        <f>IF(ISNA(MATCH(1715,Engine!$C$2:$C$1960,0)),"",INDEX('Compliance Database'!$L$2:$L$1960,MATCH(1715,Engine!$C$2:$C$1960,0)))</f>
        <v/>
      </c>
      <c r="M1728" s="9">
        <f>IF(ISNA(MATCH(1715,Engine!$C$2:$C$1960,0)),"",INDEX('Compliance Database'!$M$2:$M$1960,MATCH(1715,Engine!$C$2:$C$1960,0)))</f>
        <v/>
      </c>
      <c r="N1728" s="9">
        <f>IF(ISNA(MATCH(1715,Engine!$C$2:$C$1960,0)),"",INDEX('Compliance Database'!$N$2:$N$1960,MATCH(1715,Engine!$C$2:$C$1960,0)))</f>
        <v/>
      </c>
      <c r="O1728" s="9">
        <f>IF(ISNA(MATCH(1715,Engine!$C$2:$C$1960,0)),"",INDEX('Compliance Database'!$O$2:$O$1960,MATCH(1715,Engine!$C$2:$C$1960,0)))</f>
        <v/>
      </c>
      <c r="P1728" s="8">
        <f>IF(ISNA(MATCH(1715,Engine!$C$2:$C$1960,0)),"",HYPERLINK("#Acts!A"&amp;INDEX('Compliance Database'!$P$2:$P$1960,MATCH(1715,Engine!$C$2:$C$1960,0)),"Go to Act"))</f>
        <v/>
      </c>
    </row>
    <row r="1729" ht="158" customHeight="1">
      <c r="A1729" s="8">
        <f>IF(ISNA(MATCH(1716,Engine!$C$2:$C$1960,0)),"",INDEX('Compliance Database'!$A$2:$A$1960,MATCH(1716,Engine!$C$2:$C$1960,0)))</f>
        <v/>
      </c>
      <c r="B1729" s="8">
        <f>IF(ISNA(MATCH(1716,Engine!$C$2:$C$1960,0)),"",INDEX('Compliance Database'!$B$2:$B$1960,MATCH(1716,Engine!$C$2:$C$1960,0)))</f>
        <v/>
      </c>
      <c r="C1729" s="8">
        <f>IF(ISNA(MATCH(1716,Engine!$C$2:$C$1960,0)),"",INDEX('Compliance Database'!$C$2:$C$1960,MATCH(1716,Engine!$C$2:$C$1960,0)))</f>
        <v/>
      </c>
      <c r="D1729" s="9">
        <f>IF(ISNA(MATCH(1716,Engine!$C$2:$C$1960,0)),"",INDEX('Compliance Database'!$D$2:$D$1960,MATCH(1716,Engine!$C$2:$C$1960,0)))</f>
        <v/>
      </c>
      <c r="E1729" s="8">
        <f>IF(ISNA(MATCH(1716,Engine!$C$2:$C$1960,0)),"",INDEX('Compliance Database'!$E$2:$E$1960,MATCH(1716,Engine!$C$2:$C$1960,0)))</f>
        <v/>
      </c>
      <c r="F1729" s="8">
        <f>IF(ISNA(MATCH(1716,Engine!$C$2:$C$1960,0)),"",INDEX('Compliance Database'!$F$2:$F$1960,MATCH(1716,Engine!$C$2:$C$1960,0)))</f>
        <v/>
      </c>
      <c r="G1729" s="8">
        <f>IF(ISNA(MATCH(1716,Engine!$C$2:$C$1960,0)),"",INDEX('Compliance Database'!$G$2:$G$1960,MATCH(1716,Engine!$C$2:$C$1960,0)))</f>
        <v/>
      </c>
      <c r="H1729" s="9">
        <f>IF(ISNA(MATCH(1716,Engine!$C$2:$C$1960,0)),"",INDEX('Compliance Database'!$H$2:$H$1960,MATCH(1716,Engine!$C$2:$C$1960,0)))</f>
        <v/>
      </c>
      <c r="I1729" s="9">
        <f>IF(ISNA(MATCH(1716,Engine!$C$2:$C$1960,0)),"",INDEX('Compliance Database'!$I$2:$I$1960,MATCH(1716,Engine!$C$2:$C$1960,0)))</f>
        <v/>
      </c>
      <c r="J1729" s="8">
        <f>IF(ISNA(MATCH(1716,Engine!$C$2:$C$1960,0)),"",INDEX('Compliance Database'!$J$2:$J$1960,MATCH(1716,Engine!$C$2:$C$1960,0)))</f>
        <v/>
      </c>
      <c r="K1729" s="9">
        <f>IF(ISNA(MATCH(1716,Engine!$C$2:$C$1960,0)),"",INDEX('Compliance Database'!$K$2:$K$1960,MATCH(1716,Engine!$C$2:$C$1960,0)))</f>
        <v/>
      </c>
      <c r="L1729" s="9">
        <f>IF(ISNA(MATCH(1716,Engine!$C$2:$C$1960,0)),"",INDEX('Compliance Database'!$L$2:$L$1960,MATCH(1716,Engine!$C$2:$C$1960,0)))</f>
        <v/>
      </c>
      <c r="M1729" s="9">
        <f>IF(ISNA(MATCH(1716,Engine!$C$2:$C$1960,0)),"",INDEX('Compliance Database'!$M$2:$M$1960,MATCH(1716,Engine!$C$2:$C$1960,0)))</f>
        <v/>
      </c>
      <c r="N1729" s="9">
        <f>IF(ISNA(MATCH(1716,Engine!$C$2:$C$1960,0)),"",INDEX('Compliance Database'!$N$2:$N$1960,MATCH(1716,Engine!$C$2:$C$1960,0)))</f>
        <v/>
      </c>
      <c r="O1729" s="9">
        <f>IF(ISNA(MATCH(1716,Engine!$C$2:$C$1960,0)),"",INDEX('Compliance Database'!$O$2:$O$1960,MATCH(1716,Engine!$C$2:$C$1960,0)))</f>
        <v/>
      </c>
      <c r="P1729" s="8">
        <f>IF(ISNA(MATCH(1716,Engine!$C$2:$C$1960,0)),"",HYPERLINK("#Acts!A"&amp;INDEX('Compliance Database'!$P$2:$P$1960,MATCH(1716,Engine!$C$2:$C$1960,0)),"Go to Act"))</f>
        <v/>
      </c>
    </row>
    <row r="1730" ht="158" customHeight="1">
      <c r="A1730" s="8">
        <f>IF(ISNA(MATCH(1717,Engine!$C$2:$C$1960,0)),"",INDEX('Compliance Database'!$A$2:$A$1960,MATCH(1717,Engine!$C$2:$C$1960,0)))</f>
        <v/>
      </c>
      <c r="B1730" s="8">
        <f>IF(ISNA(MATCH(1717,Engine!$C$2:$C$1960,0)),"",INDEX('Compliance Database'!$B$2:$B$1960,MATCH(1717,Engine!$C$2:$C$1960,0)))</f>
        <v/>
      </c>
      <c r="C1730" s="8">
        <f>IF(ISNA(MATCH(1717,Engine!$C$2:$C$1960,0)),"",INDEX('Compliance Database'!$C$2:$C$1960,MATCH(1717,Engine!$C$2:$C$1960,0)))</f>
        <v/>
      </c>
      <c r="D1730" s="9">
        <f>IF(ISNA(MATCH(1717,Engine!$C$2:$C$1960,0)),"",INDEX('Compliance Database'!$D$2:$D$1960,MATCH(1717,Engine!$C$2:$C$1960,0)))</f>
        <v/>
      </c>
      <c r="E1730" s="8">
        <f>IF(ISNA(MATCH(1717,Engine!$C$2:$C$1960,0)),"",INDEX('Compliance Database'!$E$2:$E$1960,MATCH(1717,Engine!$C$2:$C$1960,0)))</f>
        <v/>
      </c>
      <c r="F1730" s="8">
        <f>IF(ISNA(MATCH(1717,Engine!$C$2:$C$1960,0)),"",INDEX('Compliance Database'!$F$2:$F$1960,MATCH(1717,Engine!$C$2:$C$1960,0)))</f>
        <v/>
      </c>
      <c r="G1730" s="8">
        <f>IF(ISNA(MATCH(1717,Engine!$C$2:$C$1960,0)),"",INDEX('Compliance Database'!$G$2:$G$1960,MATCH(1717,Engine!$C$2:$C$1960,0)))</f>
        <v/>
      </c>
      <c r="H1730" s="9">
        <f>IF(ISNA(MATCH(1717,Engine!$C$2:$C$1960,0)),"",INDEX('Compliance Database'!$H$2:$H$1960,MATCH(1717,Engine!$C$2:$C$1960,0)))</f>
        <v/>
      </c>
      <c r="I1730" s="9">
        <f>IF(ISNA(MATCH(1717,Engine!$C$2:$C$1960,0)),"",INDEX('Compliance Database'!$I$2:$I$1960,MATCH(1717,Engine!$C$2:$C$1960,0)))</f>
        <v/>
      </c>
      <c r="J1730" s="8">
        <f>IF(ISNA(MATCH(1717,Engine!$C$2:$C$1960,0)),"",INDEX('Compliance Database'!$J$2:$J$1960,MATCH(1717,Engine!$C$2:$C$1960,0)))</f>
        <v/>
      </c>
      <c r="K1730" s="9">
        <f>IF(ISNA(MATCH(1717,Engine!$C$2:$C$1960,0)),"",INDEX('Compliance Database'!$K$2:$K$1960,MATCH(1717,Engine!$C$2:$C$1960,0)))</f>
        <v/>
      </c>
      <c r="L1730" s="9">
        <f>IF(ISNA(MATCH(1717,Engine!$C$2:$C$1960,0)),"",INDEX('Compliance Database'!$L$2:$L$1960,MATCH(1717,Engine!$C$2:$C$1960,0)))</f>
        <v/>
      </c>
      <c r="M1730" s="9">
        <f>IF(ISNA(MATCH(1717,Engine!$C$2:$C$1960,0)),"",INDEX('Compliance Database'!$M$2:$M$1960,MATCH(1717,Engine!$C$2:$C$1960,0)))</f>
        <v/>
      </c>
      <c r="N1730" s="9">
        <f>IF(ISNA(MATCH(1717,Engine!$C$2:$C$1960,0)),"",INDEX('Compliance Database'!$N$2:$N$1960,MATCH(1717,Engine!$C$2:$C$1960,0)))</f>
        <v/>
      </c>
      <c r="O1730" s="9">
        <f>IF(ISNA(MATCH(1717,Engine!$C$2:$C$1960,0)),"",INDEX('Compliance Database'!$O$2:$O$1960,MATCH(1717,Engine!$C$2:$C$1960,0)))</f>
        <v/>
      </c>
      <c r="P1730" s="8">
        <f>IF(ISNA(MATCH(1717,Engine!$C$2:$C$1960,0)),"",HYPERLINK("#Acts!A"&amp;INDEX('Compliance Database'!$P$2:$P$1960,MATCH(1717,Engine!$C$2:$C$1960,0)),"Go to Act"))</f>
        <v/>
      </c>
    </row>
    <row r="1731" ht="158" customHeight="1">
      <c r="A1731" s="8">
        <f>IF(ISNA(MATCH(1718,Engine!$C$2:$C$1960,0)),"",INDEX('Compliance Database'!$A$2:$A$1960,MATCH(1718,Engine!$C$2:$C$1960,0)))</f>
        <v/>
      </c>
      <c r="B1731" s="8">
        <f>IF(ISNA(MATCH(1718,Engine!$C$2:$C$1960,0)),"",INDEX('Compliance Database'!$B$2:$B$1960,MATCH(1718,Engine!$C$2:$C$1960,0)))</f>
        <v/>
      </c>
      <c r="C1731" s="8">
        <f>IF(ISNA(MATCH(1718,Engine!$C$2:$C$1960,0)),"",INDEX('Compliance Database'!$C$2:$C$1960,MATCH(1718,Engine!$C$2:$C$1960,0)))</f>
        <v/>
      </c>
      <c r="D1731" s="9">
        <f>IF(ISNA(MATCH(1718,Engine!$C$2:$C$1960,0)),"",INDEX('Compliance Database'!$D$2:$D$1960,MATCH(1718,Engine!$C$2:$C$1960,0)))</f>
        <v/>
      </c>
      <c r="E1731" s="8">
        <f>IF(ISNA(MATCH(1718,Engine!$C$2:$C$1960,0)),"",INDEX('Compliance Database'!$E$2:$E$1960,MATCH(1718,Engine!$C$2:$C$1960,0)))</f>
        <v/>
      </c>
      <c r="F1731" s="8">
        <f>IF(ISNA(MATCH(1718,Engine!$C$2:$C$1960,0)),"",INDEX('Compliance Database'!$F$2:$F$1960,MATCH(1718,Engine!$C$2:$C$1960,0)))</f>
        <v/>
      </c>
      <c r="G1731" s="8">
        <f>IF(ISNA(MATCH(1718,Engine!$C$2:$C$1960,0)),"",INDEX('Compliance Database'!$G$2:$G$1960,MATCH(1718,Engine!$C$2:$C$1960,0)))</f>
        <v/>
      </c>
      <c r="H1731" s="9">
        <f>IF(ISNA(MATCH(1718,Engine!$C$2:$C$1960,0)),"",INDEX('Compliance Database'!$H$2:$H$1960,MATCH(1718,Engine!$C$2:$C$1960,0)))</f>
        <v/>
      </c>
      <c r="I1731" s="9">
        <f>IF(ISNA(MATCH(1718,Engine!$C$2:$C$1960,0)),"",INDEX('Compliance Database'!$I$2:$I$1960,MATCH(1718,Engine!$C$2:$C$1960,0)))</f>
        <v/>
      </c>
      <c r="J1731" s="8">
        <f>IF(ISNA(MATCH(1718,Engine!$C$2:$C$1960,0)),"",INDEX('Compliance Database'!$J$2:$J$1960,MATCH(1718,Engine!$C$2:$C$1960,0)))</f>
        <v/>
      </c>
      <c r="K1731" s="9">
        <f>IF(ISNA(MATCH(1718,Engine!$C$2:$C$1960,0)),"",INDEX('Compliance Database'!$K$2:$K$1960,MATCH(1718,Engine!$C$2:$C$1960,0)))</f>
        <v/>
      </c>
      <c r="L1731" s="9">
        <f>IF(ISNA(MATCH(1718,Engine!$C$2:$C$1960,0)),"",INDEX('Compliance Database'!$L$2:$L$1960,MATCH(1718,Engine!$C$2:$C$1960,0)))</f>
        <v/>
      </c>
      <c r="M1731" s="9">
        <f>IF(ISNA(MATCH(1718,Engine!$C$2:$C$1960,0)),"",INDEX('Compliance Database'!$M$2:$M$1960,MATCH(1718,Engine!$C$2:$C$1960,0)))</f>
        <v/>
      </c>
      <c r="N1731" s="9">
        <f>IF(ISNA(MATCH(1718,Engine!$C$2:$C$1960,0)),"",INDEX('Compliance Database'!$N$2:$N$1960,MATCH(1718,Engine!$C$2:$C$1960,0)))</f>
        <v/>
      </c>
      <c r="O1731" s="9">
        <f>IF(ISNA(MATCH(1718,Engine!$C$2:$C$1960,0)),"",INDEX('Compliance Database'!$O$2:$O$1960,MATCH(1718,Engine!$C$2:$C$1960,0)))</f>
        <v/>
      </c>
      <c r="P1731" s="8">
        <f>IF(ISNA(MATCH(1718,Engine!$C$2:$C$1960,0)),"",HYPERLINK("#Acts!A"&amp;INDEX('Compliance Database'!$P$2:$P$1960,MATCH(1718,Engine!$C$2:$C$1960,0)),"Go to Act"))</f>
        <v/>
      </c>
    </row>
    <row r="1732" ht="158" customHeight="1">
      <c r="A1732" s="8">
        <f>IF(ISNA(MATCH(1719,Engine!$C$2:$C$1960,0)),"",INDEX('Compliance Database'!$A$2:$A$1960,MATCH(1719,Engine!$C$2:$C$1960,0)))</f>
        <v/>
      </c>
      <c r="B1732" s="8">
        <f>IF(ISNA(MATCH(1719,Engine!$C$2:$C$1960,0)),"",INDEX('Compliance Database'!$B$2:$B$1960,MATCH(1719,Engine!$C$2:$C$1960,0)))</f>
        <v/>
      </c>
      <c r="C1732" s="8">
        <f>IF(ISNA(MATCH(1719,Engine!$C$2:$C$1960,0)),"",INDEX('Compliance Database'!$C$2:$C$1960,MATCH(1719,Engine!$C$2:$C$1960,0)))</f>
        <v/>
      </c>
      <c r="D1732" s="9">
        <f>IF(ISNA(MATCH(1719,Engine!$C$2:$C$1960,0)),"",INDEX('Compliance Database'!$D$2:$D$1960,MATCH(1719,Engine!$C$2:$C$1960,0)))</f>
        <v/>
      </c>
      <c r="E1732" s="8">
        <f>IF(ISNA(MATCH(1719,Engine!$C$2:$C$1960,0)),"",INDEX('Compliance Database'!$E$2:$E$1960,MATCH(1719,Engine!$C$2:$C$1960,0)))</f>
        <v/>
      </c>
      <c r="F1732" s="8">
        <f>IF(ISNA(MATCH(1719,Engine!$C$2:$C$1960,0)),"",INDEX('Compliance Database'!$F$2:$F$1960,MATCH(1719,Engine!$C$2:$C$1960,0)))</f>
        <v/>
      </c>
      <c r="G1732" s="8">
        <f>IF(ISNA(MATCH(1719,Engine!$C$2:$C$1960,0)),"",INDEX('Compliance Database'!$G$2:$G$1960,MATCH(1719,Engine!$C$2:$C$1960,0)))</f>
        <v/>
      </c>
      <c r="H1732" s="9">
        <f>IF(ISNA(MATCH(1719,Engine!$C$2:$C$1960,0)),"",INDEX('Compliance Database'!$H$2:$H$1960,MATCH(1719,Engine!$C$2:$C$1960,0)))</f>
        <v/>
      </c>
      <c r="I1732" s="9">
        <f>IF(ISNA(MATCH(1719,Engine!$C$2:$C$1960,0)),"",INDEX('Compliance Database'!$I$2:$I$1960,MATCH(1719,Engine!$C$2:$C$1960,0)))</f>
        <v/>
      </c>
      <c r="J1732" s="8">
        <f>IF(ISNA(MATCH(1719,Engine!$C$2:$C$1960,0)),"",INDEX('Compliance Database'!$J$2:$J$1960,MATCH(1719,Engine!$C$2:$C$1960,0)))</f>
        <v/>
      </c>
      <c r="K1732" s="9">
        <f>IF(ISNA(MATCH(1719,Engine!$C$2:$C$1960,0)),"",INDEX('Compliance Database'!$K$2:$K$1960,MATCH(1719,Engine!$C$2:$C$1960,0)))</f>
        <v/>
      </c>
      <c r="L1732" s="9">
        <f>IF(ISNA(MATCH(1719,Engine!$C$2:$C$1960,0)),"",INDEX('Compliance Database'!$L$2:$L$1960,MATCH(1719,Engine!$C$2:$C$1960,0)))</f>
        <v/>
      </c>
      <c r="M1732" s="9">
        <f>IF(ISNA(MATCH(1719,Engine!$C$2:$C$1960,0)),"",INDEX('Compliance Database'!$M$2:$M$1960,MATCH(1719,Engine!$C$2:$C$1960,0)))</f>
        <v/>
      </c>
      <c r="N1732" s="9">
        <f>IF(ISNA(MATCH(1719,Engine!$C$2:$C$1960,0)),"",INDEX('Compliance Database'!$N$2:$N$1960,MATCH(1719,Engine!$C$2:$C$1960,0)))</f>
        <v/>
      </c>
      <c r="O1732" s="9">
        <f>IF(ISNA(MATCH(1719,Engine!$C$2:$C$1960,0)),"",INDEX('Compliance Database'!$O$2:$O$1960,MATCH(1719,Engine!$C$2:$C$1960,0)))</f>
        <v/>
      </c>
      <c r="P1732" s="8">
        <f>IF(ISNA(MATCH(1719,Engine!$C$2:$C$1960,0)),"",HYPERLINK("#Acts!A"&amp;INDEX('Compliance Database'!$P$2:$P$1960,MATCH(1719,Engine!$C$2:$C$1960,0)),"Go to Act"))</f>
        <v/>
      </c>
    </row>
    <row r="1733" ht="158" customHeight="1">
      <c r="A1733" s="8">
        <f>IF(ISNA(MATCH(1720,Engine!$C$2:$C$1960,0)),"",INDEX('Compliance Database'!$A$2:$A$1960,MATCH(1720,Engine!$C$2:$C$1960,0)))</f>
        <v/>
      </c>
      <c r="B1733" s="8">
        <f>IF(ISNA(MATCH(1720,Engine!$C$2:$C$1960,0)),"",INDEX('Compliance Database'!$B$2:$B$1960,MATCH(1720,Engine!$C$2:$C$1960,0)))</f>
        <v/>
      </c>
      <c r="C1733" s="8">
        <f>IF(ISNA(MATCH(1720,Engine!$C$2:$C$1960,0)),"",INDEX('Compliance Database'!$C$2:$C$1960,MATCH(1720,Engine!$C$2:$C$1960,0)))</f>
        <v/>
      </c>
      <c r="D1733" s="9">
        <f>IF(ISNA(MATCH(1720,Engine!$C$2:$C$1960,0)),"",INDEX('Compliance Database'!$D$2:$D$1960,MATCH(1720,Engine!$C$2:$C$1960,0)))</f>
        <v/>
      </c>
      <c r="E1733" s="8">
        <f>IF(ISNA(MATCH(1720,Engine!$C$2:$C$1960,0)),"",INDEX('Compliance Database'!$E$2:$E$1960,MATCH(1720,Engine!$C$2:$C$1960,0)))</f>
        <v/>
      </c>
      <c r="F1733" s="8">
        <f>IF(ISNA(MATCH(1720,Engine!$C$2:$C$1960,0)),"",INDEX('Compliance Database'!$F$2:$F$1960,MATCH(1720,Engine!$C$2:$C$1960,0)))</f>
        <v/>
      </c>
      <c r="G1733" s="8">
        <f>IF(ISNA(MATCH(1720,Engine!$C$2:$C$1960,0)),"",INDEX('Compliance Database'!$G$2:$G$1960,MATCH(1720,Engine!$C$2:$C$1960,0)))</f>
        <v/>
      </c>
      <c r="H1733" s="9">
        <f>IF(ISNA(MATCH(1720,Engine!$C$2:$C$1960,0)),"",INDEX('Compliance Database'!$H$2:$H$1960,MATCH(1720,Engine!$C$2:$C$1960,0)))</f>
        <v/>
      </c>
      <c r="I1733" s="9">
        <f>IF(ISNA(MATCH(1720,Engine!$C$2:$C$1960,0)),"",INDEX('Compliance Database'!$I$2:$I$1960,MATCH(1720,Engine!$C$2:$C$1960,0)))</f>
        <v/>
      </c>
      <c r="J1733" s="8">
        <f>IF(ISNA(MATCH(1720,Engine!$C$2:$C$1960,0)),"",INDEX('Compliance Database'!$J$2:$J$1960,MATCH(1720,Engine!$C$2:$C$1960,0)))</f>
        <v/>
      </c>
      <c r="K1733" s="9">
        <f>IF(ISNA(MATCH(1720,Engine!$C$2:$C$1960,0)),"",INDEX('Compliance Database'!$K$2:$K$1960,MATCH(1720,Engine!$C$2:$C$1960,0)))</f>
        <v/>
      </c>
      <c r="L1733" s="9">
        <f>IF(ISNA(MATCH(1720,Engine!$C$2:$C$1960,0)),"",INDEX('Compliance Database'!$L$2:$L$1960,MATCH(1720,Engine!$C$2:$C$1960,0)))</f>
        <v/>
      </c>
      <c r="M1733" s="9">
        <f>IF(ISNA(MATCH(1720,Engine!$C$2:$C$1960,0)),"",INDEX('Compliance Database'!$M$2:$M$1960,MATCH(1720,Engine!$C$2:$C$1960,0)))</f>
        <v/>
      </c>
      <c r="N1733" s="9">
        <f>IF(ISNA(MATCH(1720,Engine!$C$2:$C$1960,0)),"",INDEX('Compliance Database'!$N$2:$N$1960,MATCH(1720,Engine!$C$2:$C$1960,0)))</f>
        <v/>
      </c>
      <c r="O1733" s="9">
        <f>IF(ISNA(MATCH(1720,Engine!$C$2:$C$1960,0)),"",INDEX('Compliance Database'!$O$2:$O$1960,MATCH(1720,Engine!$C$2:$C$1960,0)))</f>
        <v/>
      </c>
      <c r="P1733" s="8">
        <f>IF(ISNA(MATCH(1720,Engine!$C$2:$C$1960,0)),"",HYPERLINK("#Acts!A"&amp;INDEX('Compliance Database'!$P$2:$P$1960,MATCH(1720,Engine!$C$2:$C$1960,0)),"Go to Act"))</f>
        <v/>
      </c>
    </row>
    <row r="1734" ht="158" customHeight="1">
      <c r="A1734" s="8">
        <f>IF(ISNA(MATCH(1721,Engine!$C$2:$C$1960,0)),"",INDEX('Compliance Database'!$A$2:$A$1960,MATCH(1721,Engine!$C$2:$C$1960,0)))</f>
        <v/>
      </c>
      <c r="B1734" s="8">
        <f>IF(ISNA(MATCH(1721,Engine!$C$2:$C$1960,0)),"",INDEX('Compliance Database'!$B$2:$B$1960,MATCH(1721,Engine!$C$2:$C$1960,0)))</f>
        <v/>
      </c>
      <c r="C1734" s="8">
        <f>IF(ISNA(MATCH(1721,Engine!$C$2:$C$1960,0)),"",INDEX('Compliance Database'!$C$2:$C$1960,MATCH(1721,Engine!$C$2:$C$1960,0)))</f>
        <v/>
      </c>
      <c r="D1734" s="9">
        <f>IF(ISNA(MATCH(1721,Engine!$C$2:$C$1960,0)),"",INDEX('Compliance Database'!$D$2:$D$1960,MATCH(1721,Engine!$C$2:$C$1960,0)))</f>
        <v/>
      </c>
      <c r="E1734" s="8">
        <f>IF(ISNA(MATCH(1721,Engine!$C$2:$C$1960,0)),"",INDEX('Compliance Database'!$E$2:$E$1960,MATCH(1721,Engine!$C$2:$C$1960,0)))</f>
        <v/>
      </c>
      <c r="F1734" s="8">
        <f>IF(ISNA(MATCH(1721,Engine!$C$2:$C$1960,0)),"",INDEX('Compliance Database'!$F$2:$F$1960,MATCH(1721,Engine!$C$2:$C$1960,0)))</f>
        <v/>
      </c>
      <c r="G1734" s="8">
        <f>IF(ISNA(MATCH(1721,Engine!$C$2:$C$1960,0)),"",INDEX('Compliance Database'!$G$2:$G$1960,MATCH(1721,Engine!$C$2:$C$1960,0)))</f>
        <v/>
      </c>
      <c r="H1734" s="9">
        <f>IF(ISNA(MATCH(1721,Engine!$C$2:$C$1960,0)),"",INDEX('Compliance Database'!$H$2:$H$1960,MATCH(1721,Engine!$C$2:$C$1960,0)))</f>
        <v/>
      </c>
      <c r="I1734" s="9">
        <f>IF(ISNA(MATCH(1721,Engine!$C$2:$C$1960,0)),"",INDEX('Compliance Database'!$I$2:$I$1960,MATCH(1721,Engine!$C$2:$C$1960,0)))</f>
        <v/>
      </c>
      <c r="J1734" s="8">
        <f>IF(ISNA(MATCH(1721,Engine!$C$2:$C$1960,0)),"",INDEX('Compliance Database'!$J$2:$J$1960,MATCH(1721,Engine!$C$2:$C$1960,0)))</f>
        <v/>
      </c>
      <c r="K1734" s="9">
        <f>IF(ISNA(MATCH(1721,Engine!$C$2:$C$1960,0)),"",INDEX('Compliance Database'!$K$2:$K$1960,MATCH(1721,Engine!$C$2:$C$1960,0)))</f>
        <v/>
      </c>
      <c r="L1734" s="9">
        <f>IF(ISNA(MATCH(1721,Engine!$C$2:$C$1960,0)),"",INDEX('Compliance Database'!$L$2:$L$1960,MATCH(1721,Engine!$C$2:$C$1960,0)))</f>
        <v/>
      </c>
      <c r="M1734" s="9">
        <f>IF(ISNA(MATCH(1721,Engine!$C$2:$C$1960,0)),"",INDEX('Compliance Database'!$M$2:$M$1960,MATCH(1721,Engine!$C$2:$C$1960,0)))</f>
        <v/>
      </c>
      <c r="N1734" s="9">
        <f>IF(ISNA(MATCH(1721,Engine!$C$2:$C$1960,0)),"",INDEX('Compliance Database'!$N$2:$N$1960,MATCH(1721,Engine!$C$2:$C$1960,0)))</f>
        <v/>
      </c>
      <c r="O1734" s="9">
        <f>IF(ISNA(MATCH(1721,Engine!$C$2:$C$1960,0)),"",INDEX('Compliance Database'!$O$2:$O$1960,MATCH(1721,Engine!$C$2:$C$1960,0)))</f>
        <v/>
      </c>
      <c r="P1734" s="8">
        <f>IF(ISNA(MATCH(1721,Engine!$C$2:$C$1960,0)),"",HYPERLINK("#Acts!A"&amp;INDEX('Compliance Database'!$P$2:$P$1960,MATCH(1721,Engine!$C$2:$C$1960,0)),"Go to Act"))</f>
        <v/>
      </c>
    </row>
    <row r="1735" ht="158" customHeight="1">
      <c r="A1735" s="8">
        <f>IF(ISNA(MATCH(1722,Engine!$C$2:$C$1960,0)),"",INDEX('Compliance Database'!$A$2:$A$1960,MATCH(1722,Engine!$C$2:$C$1960,0)))</f>
        <v/>
      </c>
      <c r="B1735" s="8">
        <f>IF(ISNA(MATCH(1722,Engine!$C$2:$C$1960,0)),"",INDEX('Compliance Database'!$B$2:$B$1960,MATCH(1722,Engine!$C$2:$C$1960,0)))</f>
        <v/>
      </c>
      <c r="C1735" s="8">
        <f>IF(ISNA(MATCH(1722,Engine!$C$2:$C$1960,0)),"",INDEX('Compliance Database'!$C$2:$C$1960,MATCH(1722,Engine!$C$2:$C$1960,0)))</f>
        <v/>
      </c>
      <c r="D1735" s="9">
        <f>IF(ISNA(MATCH(1722,Engine!$C$2:$C$1960,0)),"",INDEX('Compliance Database'!$D$2:$D$1960,MATCH(1722,Engine!$C$2:$C$1960,0)))</f>
        <v/>
      </c>
      <c r="E1735" s="8">
        <f>IF(ISNA(MATCH(1722,Engine!$C$2:$C$1960,0)),"",INDEX('Compliance Database'!$E$2:$E$1960,MATCH(1722,Engine!$C$2:$C$1960,0)))</f>
        <v/>
      </c>
      <c r="F1735" s="8">
        <f>IF(ISNA(MATCH(1722,Engine!$C$2:$C$1960,0)),"",INDEX('Compliance Database'!$F$2:$F$1960,MATCH(1722,Engine!$C$2:$C$1960,0)))</f>
        <v/>
      </c>
      <c r="G1735" s="8">
        <f>IF(ISNA(MATCH(1722,Engine!$C$2:$C$1960,0)),"",INDEX('Compliance Database'!$G$2:$G$1960,MATCH(1722,Engine!$C$2:$C$1960,0)))</f>
        <v/>
      </c>
      <c r="H1735" s="9">
        <f>IF(ISNA(MATCH(1722,Engine!$C$2:$C$1960,0)),"",INDEX('Compliance Database'!$H$2:$H$1960,MATCH(1722,Engine!$C$2:$C$1960,0)))</f>
        <v/>
      </c>
      <c r="I1735" s="9">
        <f>IF(ISNA(MATCH(1722,Engine!$C$2:$C$1960,0)),"",INDEX('Compliance Database'!$I$2:$I$1960,MATCH(1722,Engine!$C$2:$C$1960,0)))</f>
        <v/>
      </c>
      <c r="J1735" s="8">
        <f>IF(ISNA(MATCH(1722,Engine!$C$2:$C$1960,0)),"",INDEX('Compliance Database'!$J$2:$J$1960,MATCH(1722,Engine!$C$2:$C$1960,0)))</f>
        <v/>
      </c>
      <c r="K1735" s="9">
        <f>IF(ISNA(MATCH(1722,Engine!$C$2:$C$1960,0)),"",INDEX('Compliance Database'!$K$2:$K$1960,MATCH(1722,Engine!$C$2:$C$1960,0)))</f>
        <v/>
      </c>
      <c r="L1735" s="9">
        <f>IF(ISNA(MATCH(1722,Engine!$C$2:$C$1960,0)),"",INDEX('Compliance Database'!$L$2:$L$1960,MATCH(1722,Engine!$C$2:$C$1960,0)))</f>
        <v/>
      </c>
      <c r="M1735" s="9">
        <f>IF(ISNA(MATCH(1722,Engine!$C$2:$C$1960,0)),"",INDEX('Compliance Database'!$M$2:$M$1960,MATCH(1722,Engine!$C$2:$C$1960,0)))</f>
        <v/>
      </c>
      <c r="N1735" s="9">
        <f>IF(ISNA(MATCH(1722,Engine!$C$2:$C$1960,0)),"",INDEX('Compliance Database'!$N$2:$N$1960,MATCH(1722,Engine!$C$2:$C$1960,0)))</f>
        <v/>
      </c>
      <c r="O1735" s="9">
        <f>IF(ISNA(MATCH(1722,Engine!$C$2:$C$1960,0)),"",INDEX('Compliance Database'!$O$2:$O$1960,MATCH(1722,Engine!$C$2:$C$1960,0)))</f>
        <v/>
      </c>
      <c r="P1735" s="8">
        <f>IF(ISNA(MATCH(1722,Engine!$C$2:$C$1960,0)),"",HYPERLINK("#Acts!A"&amp;INDEX('Compliance Database'!$P$2:$P$1960,MATCH(1722,Engine!$C$2:$C$1960,0)),"Go to Act"))</f>
        <v/>
      </c>
    </row>
    <row r="1736" ht="158" customHeight="1">
      <c r="A1736" s="8">
        <f>IF(ISNA(MATCH(1723,Engine!$C$2:$C$1960,0)),"",INDEX('Compliance Database'!$A$2:$A$1960,MATCH(1723,Engine!$C$2:$C$1960,0)))</f>
        <v/>
      </c>
      <c r="B1736" s="8">
        <f>IF(ISNA(MATCH(1723,Engine!$C$2:$C$1960,0)),"",INDEX('Compliance Database'!$B$2:$B$1960,MATCH(1723,Engine!$C$2:$C$1960,0)))</f>
        <v/>
      </c>
      <c r="C1736" s="8">
        <f>IF(ISNA(MATCH(1723,Engine!$C$2:$C$1960,0)),"",INDEX('Compliance Database'!$C$2:$C$1960,MATCH(1723,Engine!$C$2:$C$1960,0)))</f>
        <v/>
      </c>
      <c r="D1736" s="9">
        <f>IF(ISNA(MATCH(1723,Engine!$C$2:$C$1960,0)),"",INDEX('Compliance Database'!$D$2:$D$1960,MATCH(1723,Engine!$C$2:$C$1960,0)))</f>
        <v/>
      </c>
      <c r="E1736" s="8">
        <f>IF(ISNA(MATCH(1723,Engine!$C$2:$C$1960,0)),"",INDEX('Compliance Database'!$E$2:$E$1960,MATCH(1723,Engine!$C$2:$C$1960,0)))</f>
        <v/>
      </c>
      <c r="F1736" s="8">
        <f>IF(ISNA(MATCH(1723,Engine!$C$2:$C$1960,0)),"",INDEX('Compliance Database'!$F$2:$F$1960,MATCH(1723,Engine!$C$2:$C$1960,0)))</f>
        <v/>
      </c>
      <c r="G1736" s="8">
        <f>IF(ISNA(MATCH(1723,Engine!$C$2:$C$1960,0)),"",INDEX('Compliance Database'!$G$2:$G$1960,MATCH(1723,Engine!$C$2:$C$1960,0)))</f>
        <v/>
      </c>
      <c r="H1736" s="9">
        <f>IF(ISNA(MATCH(1723,Engine!$C$2:$C$1960,0)),"",INDEX('Compliance Database'!$H$2:$H$1960,MATCH(1723,Engine!$C$2:$C$1960,0)))</f>
        <v/>
      </c>
      <c r="I1736" s="9">
        <f>IF(ISNA(MATCH(1723,Engine!$C$2:$C$1960,0)),"",INDEX('Compliance Database'!$I$2:$I$1960,MATCH(1723,Engine!$C$2:$C$1960,0)))</f>
        <v/>
      </c>
      <c r="J1736" s="8">
        <f>IF(ISNA(MATCH(1723,Engine!$C$2:$C$1960,0)),"",INDEX('Compliance Database'!$J$2:$J$1960,MATCH(1723,Engine!$C$2:$C$1960,0)))</f>
        <v/>
      </c>
      <c r="K1736" s="9">
        <f>IF(ISNA(MATCH(1723,Engine!$C$2:$C$1960,0)),"",INDEX('Compliance Database'!$K$2:$K$1960,MATCH(1723,Engine!$C$2:$C$1960,0)))</f>
        <v/>
      </c>
      <c r="L1736" s="9">
        <f>IF(ISNA(MATCH(1723,Engine!$C$2:$C$1960,0)),"",INDEX('Compliance Database'!$L$2:$L$1960,MATCH(1723,Engine!$C$2:$C$1960,0)))</f>
        <v/>
      </c>
      <c r="M1736" s="9">
        <f>IF(ISNA(MATCH(1723,Engine!$C$2:$C$1960,0)),"",INDEX('Compliance Database'!$M$2:$M$1960,MATCH(1723,Engine!$C$2:$C$1960,0)))</f>
        <v/>
      </c>
      <c r="N1736" s="9">
        <f>IF(ISNA(MATCH(1723,Engine!$C$2:$C$1960,0)),"",INDEX('Compliance Database'!$N$2:$N$1960,MATCH(1723,Engine!$C$2:$C$1960,0)))</f>
        <v/>
      </c>
      <c r="O1736" s="9">
        <f>IF(ISNA(MATCH(1723,Engine!$C$2:$C$1960,0)),"",INDEX('Compliance Database'!$O$2:$O$1960,MATCH(1723,Engine!$C$2:$C$1960,0)))</f>
        <v/>
      </c>
      <c r="P1736" s="8">
        <f>IF(ISNA(MATCH(1723,Engine!$C$2:$C$1960,0)),"",HYPERLINK("#Acts!A"&amp;INDEX('Compliance Database'!$P$2:$P$1960,MATCH(1723,Engine!$C$2:$C$1960,0)),"Go to Act"))</f>
        <v/>
      </c>
    </row>
    <row r="1737" ht="158" customHeight="1">
      <c r="A1737" s="8">
        <f>IF(ISNA(MATCH(1724,Engine!$C$2:$C$1960,0)),"",INDEX('Compliance Database'!$A$2:$A$1960,MATCH(1724,Engine!$C$2:$C$1960,0)))</f>
        <v/>
      </c>
      <c r="B1737" s="8">
        <f>IF(ISNA(MATCH(1724,Engine!$C$2:$C$1960,0)),"",INDEX('Compliance Database'!$B$2:$B$1960,MATCH(1724,Engine!$C$2:$C$1960,0)))</f>
        <v/>
      </c>
      <c r="C1737" s="8">
        <f>IF(ISNA(MATCH(1724,Engine!$C$2:$C$1960,0)),"",INDEX('Compliance Database'!$C$2:$C$1960,MATCH(1724,Engine!$C$2:$C$1960,0)))</f>
        <v/>
      </c>
      <c r="D1737" s="9">
        <f>IF(ISNA(MATCH(1724,Engine!$C$2:$C$1960,0)),"",INDEX('Compliance Database'!$D$2:$D$1960,MATCH(1724,Engine!$C$2:$C$1960,0)))</f>
        <v/>
      </c>
      <c r="E1737" s="8">
        <f>IF(ISNA(MATCH(1724,Engine!$C$2:$C$1960,0)),"",INDEX('Compliance Database'!$E$2:$E$1960,MATCH(1724,Engine!$C$2:$C$1960,0)))</f>
        <v/>
      </c>
      <c r="F1737" s="8">
        <f>IF(ISNA(MATCH(1724,Engine!$C$2:$C$1960,0)),"",INDEX('Compliance Database'!$F$2:$F$1960,MATCH(1724,Engine!$C$2:$C$1960,0)))</f>
        <v/>
      </c>
      <c r="G1737" s="8">
        <f>IF(ISNA(MATCH(1724,Engine!$C$2:$C$1960,0)),"",INDEX('Compliance Database'!$G$2:$G$1960,MATCH(1724,Engine!$C$2:$C$1960,0)))</f>
        <v/>
      </c>
      <c r="H1737" s="9">
        <f>IF(ISNA(MATCH(1724,Engine!$C$2:$C$1960,0)),"",INDEX('Compliance Database'!$H$2:$H$1960,MATCH(1724,Engine!$C$2:$C$1960,0)))</f>
        <v/>
      </c>
      <c r="I1737" s="9">
        <f>IF(ISNA(MATCH(1724,Engine!$C$2:$C$1960,0)),"",INDEX('Compliance Database'!$I$2:$I$1960,MATCH(1724,Engine!$C$2:$C$1960,0)))</f>
        <v/>
      </c>
      <c r="J1737" s="8">
        <f>IF(ISNA(MATCH(1724,Engine!$C$2:$C$1960,0)),"",INDEX('Compliance Database'!$J$2:$J$1960,MATCH(1724,Engine!$C$2:$C$1960,0)))</f>
        <v/>
      </c>
      <c r="K1737" s="9">
        <f>IF(ISNA(MATCH(1724,Engine!$C$2:$C$1960,0)),"",INDEX('Compliance Database'!$K$2:$K$1960,MATCH(1724,Engine!$C$2:$C$1960,0)))</f>
        <v/>
      </c>
      <c r="L1737" s="9">
        <f>IF(ISNA(MATCH(1724,Engine!$C$2:$C$1960,0)),"",INDEX('Compliance Database'!$L$2:$L$1960,MATCH(1724,Engine!$C$2:$C$1960,0)))</f>
        <v/>
      </c>
      <c r="M1737" s="9">
        <f>IF(ISNA(MATCH(1724,Engine!$C$2:$C$1960,0)),"",INDEX('Compliance Database'!$M$2:$M$1960,MATCH(1724,Engine!$C$2:$C$1960,0)))</f>
        <v/>
      </c>
      <c r="N1737" s="9">
        <f>IF(ISNA(MATCH(1724,Engine!$C$2:$C$1960,0)),"",INDEX('Compliance Database'!$N$2:$N$1960,MATCH(1724,Engine!$C$2:$C$1960,0)))</f>
        <v/>
      </c>
      <c r="O1737" s="9">
        <f>IF(ISNA(MATCH(1724,Engine!$C$2:$C$1960,0)),"",INDEX('Compliance Database'!$O$2:$O$1960,MATCH(1724,Engine!$C$2:$C$1960,0)))</f>
        <v/>
      </c>
      <c r="P1737" s="8">
        <f>IF(ISNA(MATCH(1724,Engine!$C$2:$C$1960,0)),"",HYPERLINK("#Acts!A"&amp;INDEX('Compliance Database'!$P$2:$P$1960,MATCH(1724,Engine!$C$2:$C$1960,0)),"Go to Act"))</f>
        <v/>
      </c>
    </row>
    <row r="1738" ht="158" customHeight="1">
      <c r="A1738" s="8">
        <f>IF(ISNA(MATCH(1725,Engine!$C$2:$C$1960,0)),"",INDEX('Compliance Database'!$A$2:$A$1960,MATCH(1725,Engine!$C$2:$C$1960,0)))</f>
        <v/>
      </c>
      <c r="B1738" s="8">
        <f>IF(ISNA(MATCH(1725,Engine!$C$2:$C$1960,0)),"",INDEX('Compliance Database'!$B$2:$B$1960,MATCH(1725,Engine!$C$2:$C$1960,0)))</f>
        <v/>
      </c>
      <c r="C1738" s="8">
        <f>IF(ISNA(MATCH(1725,Engine!$C$2:$C$1960,0)),"",INDEX('Compliance Database'!$C$2:$C$1960,MATCH(1725,Engine!$C$2:$C$1960,0)))</f>
        <v/>
      </c>
      <c r="D1738" s="9">
        <f>IF(ISNA(MATCH(1725,Engine!$C$2:$C$1960,0)),"",INDEX('Compliance Database'!$D$2:$D$1960,MATCH(1725,Engine!$C$2:$C$1960,0)))</f>
        <v/>
      </c>
      <c r="E1738" s="8">
        <f>IF(ISNA(MATCH(1725,Engine!$C$2:$C$1960,0)),"",INDEX('Compliance Database'!$E$2:$E$1960,MATCH(1725,Engine!$C$2:$C$1960,0)))</f>
        <v/>
      </c>
      <c r="F1738" s="8">
        <f>IF(ISNA(MATCH(1725,Engine!$C$2:$C$1960,0)),"",INDEX('Compliance Database'!$F$2:$F$1960,MATCH(1725,Engine!$C$2:$C$1960,0)))</f>
        <v/>
      </c>
      <c r="G1738" s="8">
        <f>IF(ISNA(MATCH(1725,Engine!$C$2:$C$1960,0)),"",INDEX('Compliance Database'!$G$2:$G$1960,MATCH(1725,Engine!$C$2:$C$1960,0)))</f>
        <v/>
      </c>
      <c r="H1738" s="9">
        <f>IF(ISNA(MATCH(1725,Engine!$C$2:$C$1960,0)),"",INDEX('Compliance Database'!$H$2:$H$1960,MATCH(1725,Engine!$C$2:$C$1960,0)))</f>
        <v/>
      </c>
      <c r="I1738" s="9">
        <f>IF(ISNA(MATCH(1725,Engine!$C$2:$C$1960,0)),"",INDEX('Compliance Database'!$I$2:$I$1960,MATCH(1725,Engine!$C$2:$C$1960,0)))</f>
        <v/>
      </c>
      <c r="J1738" s="8">
        <f>IF(ISNA(MATCH(1725,Engine!$C$2:$C$1960,0)),"",INDEX('Compliance Database'!$J$2:$J$1960,MATCH(1725,Engine!$C$2:$C$1960,0)))</f>
        <v/>
      </c>
      <c r="K1738" s="9">
        <f>IF(ISNA(MATCH(1725,Engine!$C$2:$C$1960,0)),"",INDEX('Compliance Database'!$K$2:$K$1960,MATCH(1725,Engine!$C$2:$C$1960,0)))</f>
        <v/>
      </c>
      <c r="L1738" s="9">
        <f>IF(ISNA(MATCH(1725,Engine!$C$2:$C$1960,0)),"",INDEX('Compliance Database'!$L$2:$L$1960,MATCH(1725,Engine!$C$2:$C$1960,0)))</f>
        <v/>
      </c>
      <c r="M1738" s="9">
        <f>IF(ISNA(MATCH(1725,Engine!$C$2:$C$1960,0)),"",INDEX('Compliance Database'!$M$2:$M$1960,MATCH(1725,Engine!$C$2:$C$1960,0)))</f>
        <v/>
      </c>
      <c r="N1738" s="9">
        <f>IF(ISNA(MATCH(1725,Engine!$C$2:$C$1960,0)),"",INDEX('Compliance Database'!$N$2:$N$1960,MATCH(1725,Engine!$C$2:$C$1960,0)))</f>
        <v/>
      </c>
      <c r="O1738" s="9">
        <f>IF(ISNA(MATCH(1725,Engine!$C$2:$C$1960,0)),"",INDEX('Compliance Database'!$O$2:$O$1960,MATCH(1725,Engine!$C$2:$C$1960,0)))</f>
        <v/>
      </c>
      <c r="P1738" s="8">
        <f>IF(ISNA(MATCH(1725,Engine!$C$2:$C$1960,0)),"",HYPERLINK("#Acts!A"&amp;INDEX('Compliance Database'!$P$2:$P$1960,MATCH(1725,Engine!$C$2:$C$1960,0)),"Go to Act"))</f>
        <v/>
      </c>
    </row>
    <row r="1739" ht="158" customHeight="1">
      <c r="A1739" s="8">
        <f>IF(ISNA(MATCH(1726,Engine!$C$2:$C$1960,0)),"",INDEX('Compliance Database'!$A$2:$A$1960,MATCH(1726,Engine!$C$2:$C$1960,0)))</f>
        <v/>
      </c>
      <c r="B1739" s="8">
        <f>IF(ISNA(MATCH(1726,Engine!$C$2:$C$1960,0)),"",INDEX('Compliance Database'!$B$2:$B$1960,MATCH(1726,Engine!$C$2:$C$1960,0)))</f>
        <v/>
      </c>
      <c r="C1739" s="8">
        <f>IF(ISNA(MATCH(1726,Engine!$C$2:$C$1960,0)),"",INDEX('Compliance Database'!$C$2:$C$1960,MATCH(1726,Engine!$C$2:$C$1960,0)))</f>
        <v/>
      </c>
      <c r="D1739" s="9">
        <f>IF(ISNA(MATCH(1726,Engine!$C$2:$C$1960,0)),"",INDEX('Compliance Database'!$D$2:$D$1960,MATCH(1726,Engine!$C$2:$C$1960,0)))</f>
        <v/>
      </c>
      <c r="E1739" s="8">
        <f>IF(ISNA(MATCH(1726,Engine!$C$2:$C$1960,0)),"",INDEX('Compliance Database'!$E$2:$E$1960,MATCH(1726,Engine!$C$2:$C$1960,0)))</f>
        <v/>
      </c>
      <c r="F1739" s="8">
        <f>IF(ISNA(MATCH(1726,Engine!$C$2:$C$1960,0)),"",INDEX('Compliance Database'!$F$2:$F$1960,MATCH(1726,Engine!$C$2:$C$1960,0)))</f>
        <v/>
      </c>
      <c r="G1739" s="8">
        <f>IF(ISNA(MATCH(1726,Engine!$C$2:$C$1960,0)),"",INDEX('Compliance Database'!$G$2:$G$1960,MATCH(1726,Engine!$C$2:$C$1960,0)))</f>
        <v/>
      </c>
      <c r="H1739" s="9">
        <f>IF(ISNA(MATCH(1726,Engine!$C$2:$C$1960,0)),"",INDEX('Compliance Database'!$H$2:$H$1960,MATCH(1726,Engine!$C$2:$C$1960,0)))</f>
        <v/>
      </c>
      <c r="I1739" s="9">
        <f>IF(ISNA(MATCH(1726,Engine!$C$2:$C$1960,0)),"",INDEX('Compliance Database'!$I$2:$I$1960,MATCH(1726,Engine!$C$2:$C$1960,0)))</f>
        <v/>
      </c>
      <c r="J1739" s="8">
        <f>IF(ISNA(MATCH(1726,Engine!$C$2:$C$1960,0)),"",INDEX('Compliance Database'!$J$2:$J$1960,MATCH(1726,Engine!$C$2:$C$1960,0)))</f>
        <v/>
      </c>
      <c r="K1739" s="9">
        <f>IF(ISNA(MATCH(1726,Engine!$C$2:$C$1960,0)),"",INDEX('Compliance Database'!$K$2:$K$1960,MATCH(1726,Engine!$C$2:$C$1960,0)))</f>
        <v/>
      </c>
      <c r="L1739" s="9">
        <f>IF(ISNA(MATCH(1726,Engine!$C$2:$C$1960,0)),"",INDEX('Compliance Database'!$L$2:$L$1960,MATCH(1726,Engine!$C$2:$C$1960,0)))</f>
        <v/>
      </c>
      <c r="M1739" s="9">
        <f>IF(ISNA(MATCH(1726,Engine!$C$2:$C$1960,0)),"",INDEX('Compliance Database'!$M$2:$M$1960,MATCH(1726,Engine!$C$2:$C$1960,0)))</f>
        <v/>
      </c>
      <c r="N1739" s="9">
        <f>IF(ISNA(MATCH(1726,Engine!$C$2:$C$1960,0)),"",INDEX('Compliance Database'!$N$2:$N$1960,MATCH(1726,Engine!$C$2:$C$1960,0)))</f>
        <v/>
      </c>
      <c r="O1739" s="9">
        <f>IF(ISNA(MATCH(1726,Engine!$C$2:$C$1960,0)),"",INDEX('Compliance Database'!$O$2:$O$1960,MATCH(1726,Engine!$C$2:$C$1960,0)))</f>
        <v/>
      </c>
      <c r="P1739" s="8">
        <f>IF(ISNA(MATCH(1726,Engine!$C$2:$C$1960,0)),"",HYPERLINK("#Acts!A"&amp;INDEX('Compliance Database'!$P$2:$P$1960,MATCH(1726,Engine!$C$2:$C$1960,0)),"Go to Act"))</f>
        <v/>
      </c>
    </row>
    <row r="1740" ht="158" customHeight="1">
      <c r="A1740" s="8">
        <f>IF(ISNA(MATCH(1727,Engine!$C$2:$C$1960,0)),"",INDEX('Compliance Database'!$A$2:$A$1960,MATCH(1727,Engine!$C$2:$C$1960,0)))</f>
        <v/>
      </c>
      <c r="B1740" s="8">
        <f>IF(ISNA(MATCH(1727,Engine!$C$2:$C$1960,0)),"",INDEX('Compliance Database'!$B$2:$B$1960,MATCH(1727,Engine!$C$2:$C$1960,0)))</f>
        <v/>
      </c>
      <c r="C1740" s="8">
        <f>IF(ISNA(MATCH(1727,Engine!$C$2:$C$1960,0)),"",INDEX('Compliance Database'!$C$2:$C$1960,MATCH(1727,Engine!$C$2:$C$1960,0)))</f>
        <v/>
      </c>
      <c r="D1740" s="9">
        <f>IF(ISNA(MATCH(1727,Engine!$C$2:$C$1960,0)),"",INDEX('Compliance Database'!$D$2:$D$1960,MATCH(1727,Engine!$C$2:$C$1960,0)))</f>
        <v/>
      </c>
      <c r="E1740" s="8">
        <f>IF(ISNA(MATCH(1727,Engine!$C$2:$C$1960,0)),"",INDEX('Compliance Database'!$E$2:$E$1960,MATCH(1727,Engine!$C$2:$C$1960,0)))</f>
        <v/>
      </c>
      <c r="F1740" s="8">
        <f>IF(ISNA(MATCH(1727,Engine!$C$2:$C$1960,0)),"",INDEX('Compliance Database'!$F$2:$F$1960,MATCH(1727,Engine!$C$2:$C$1960,0)))</f>
        <v/>
      </c>
      <c r="G1740" s="8">
        <f>IF(ISNA(MATCH(1727,Engine!$C$2:$C$1960,0)),"",INDEX('Compliance Database'!$G$2:$G$1960,MATCH(1727,Engine!$C$2:$C$1960,0)))</f>
        <v/>
      </c>
      <c r="H1740" s="9">
        <f>IF(ISNA(MATCH(1727,Engine!$C$2:$C$1960,0)),"",INDEX('Compliance Database'!$H$2:$H$1960,MATCH(1727,Engine!$C$2:$C$1960,0)))</f>
        <v/>
      </c>
      <c r="I1740" s="9">
        <f>IF(ISNA(MATCH(1727,Engine!$C$2:$C$1960,0)),"",INDEX('Compliance Database'!$I$2:$I$1960,MATCH(1727,Engine!$C$2:$C$1960,0)))</f>
        <v/>
      </c>
      <c r="J1740" s="8">
        <f>IF(ISNA(MATCH(1727,Engine!$C$2:$C$1960,0)),"",INDEX('Compliance Database'!$J$2:$J$1960,MATCH(1727,Engine!$C$2:$C$1960,0)))</f>
        <v/>
      </c>
      <c r="K1740" s="9">
        <f>IF(ISNA(MATCH(1727,Engine!$C$2:$C$1960,0)),"",INDEX('Compliance Database'!$K$2:$K$1960,MATCH(1727,Engine!$C$2:$C$1960,0)))</f>
        <v/>
      </c>
      <c r="L1740" s="9">
        <f>IF(ISNA(MATCH(1727,Engine!$C$2:$C$1960,0)),"",INDEX('Compliance Database'!$L$2:$L$1960,MATCH(1727,Engine!$C$2:$C$1960,0)))</f>
        <v/>
      </c>
      <c r="M1740" s="9">
        <f>IF(ISNA(MATCH(1727,Engine!$C$2:$C$1960,0)),"",INDEX('Compliance Database'!$M$2:$M$1960,MATCH(1727,Engine!$C$2:$C$1960,0)))</f>
        <v/>
      </c>
      <c r="N1740" s="9">
        <f>IF(ISNA(MATCH(1727,Engine!$C$2:$C$1960,0)),"",INDEX('Compliance Database'!$N$2:$N$1960,MATCH(1727,Engine!$C$2:$C$1960,0)))</f>
        <v/>
      </c>
      <c r="O1740" s="9">
        <f>IF(ISNA(MATCH(1727,Engine!$C$2:$C$1960,0)),"",INDEX('Compliance Database'!$O$2:$O$1960,MATCH(1727,Engine!$C$2:$C$1960,0)))</f>
        <v/>
      </c>
      <c r="P1740" s="8">
        <f>IF(ISNA(MATCH(1727,Engine!$C$2:$C$1960,0)),"",HYPERLINK("#Acts!A"&amp;INDEX('Compliance Database'!$P$2:$P$1960,MATCH(1727,Engine!$C$2:$C$1960,0)),"Go to Act"))</f>
        <v/>
      </c>
    </row>
    <row r="1741" ht="158" customHeight="1">
      <c r="A1741" s="8">
        <f>IF(ISNA(MATCH(1728,Engine!$C$2:$C$1960,0)),"",INDEX('Compliance Database'!$A$2:$A$1960,MATCH(1728,Engine!$C$2:$C$1960,0)))</f>
        <v/>
      </c>
      <c r="B1741" s="8">
        <f>IF(ISNA(MATCH(1728,Engine!$C$2:$C$1960,0)),"",INDEX('Compliance Database'!$B$2:$B$1960,MATCH(1728,Engine!$C$2:$C$1960,0)))</f>
        <v/>
      </c>
      <c r="C1741" s="8">
        <f>IF(ISNA(MATCH(1728,Engine!$C$2:$C$1960,0)),"",INDEX('Compliance Database'!$C$2:$C$1960,MATCH(1728,Engine!$C$2:$C$1960,0)))</f>
        <v/>
      </c>
      <c r="D1741" s="9">
        <f>IF(ISNA(MATCH(1728,Engine!$C$2:$C$1960,0)),"",INDEX('Compliance Database'!$D$2:$D$1960,MATCH(1728,Engine!$C$2:$C$1960,0)))</f>
        <v/>
      </c>
      <c r="E1741" s="8">
        <f>IF(ISNA(MATCH(1728,Engine!$C$2:$C$1960,0)),"",INDEX('Compliance Database'!$E$2:$E$1960,MATCH(1728,Engine!$C$2:$C$1960,0)))</f>
        <v/>
      </c>
      <c r="F1741" s="8">
        <f>IF(ISNA(MATCH(1728,Engine!$C$2:$C$1960,0)),"",INDEX('Compliance Database'!$F$2:$F$1960,MATCH(1728,Engine!$C$2:$C$1960,0)))</f>
        <v/>
      </c>
      <c r="G1741" s="8">
        <f>IF(ISNA(MATCH(1728,Engine!$C$2:$C$1960,0)),"",INDEX('Compliance Database'!$G$2:$G$1960,MATCH(1728,Engine!$C$2:$C$1960,0)))</f>
        <v/>
      </c>
      <c r="H1741" s="9">
        <f>IF(ISNA(MATCH(1728,Engine!$C$2:$C$1960,0)),"",INDEX('Compliance Database'!$H$2:$H$1960,MATCH(1728,Engine!$C$2:$C$1960,0)))</f>
        <v/>
      </c>
      <c r="I1741" s="9">
        <f>IF(ISNA(MATCH(1728,Engine!$C$2:$C$1960,0)),"",INDEX('Compliance Database'!$I$2:$I$1960,MATCH(1728,Engine!$C$2:$C$1960,0)))</f>
        <v/>
      </c>
      <c r="J1741" s="8">
        <f>IF(ISNA(MATCH(1728,Engine!$C$2:$C$1960,0)),"",INDEX('Compliance Database'!$J$2:$J$1960,MATCH(1728,Engine!$C$2:$C$1960,0)))</f>
        <v/>
      </c>
      <c r="K1741" s="9">
        <f>IF(ISNA(MATCH(1728,Engine!$C$2:$C$1960,0)),"",INDEX('Compliance Database'!$K$2:$K$1960,MATCH(1728,Engine!$C$2:$C$1960,0)))</f>
        <v/>
      </c>
      <c r="L1741" s="9">
        <f>IF(ISNA(MATCH(1728,Engine!$C$2:$C$1960,0)),"",INDEX('Compliance Database'!$L$2:$L$1960,MATCH(1728,Engine!$C$2:$C$1960,0)))</f>
        <v/>
      </c>
      <c r="M1741" s="9">
        <f>IF(ISNA(MATCH(1728,Engine!$C$2:$C$1960,0)),"",INDEX('Compliance Database'!$M$2:$M$1960,MATCH(1728,Engine!$C$2:$C$1960,0)))</f>
        <v/>
      </c>
      <c r="N1741" s="9">
        <f>IF(ISNA(MATCH(1728,Engine!$C$2:$C$1960,0)),"",INDEX('Compliance Database'!$N$2:$N$1960,MATCH(1728,Engine!$C$2:$C$1960,0)))</f>
        <v/>
      </c>
      <c r="O1741" s="9">
        <f>IF(ISNA(MATCH(1728,Engine!$C$2:$C$1960,0)),"",INDEX('Compliance Database'!$O$2:$O$1960,MATCH(1728,Engine!$C$2:$C$1960,0)))</f>
        <v/>
      </c>
      <c r="P1741" s="8">
        <f>IF(ISNA(MATCH(1728,Engine!$C$2:$C$1960,0)),"",HYPERLINK("#Acts!A"&amp;INDEX('Compliance Database'!$P$2:$P$1960,MATCH(1728,Engine!$C$2:$C$1960,0)),"Go to Act"))</f>
        <v/>
      </c>
    </row>
    <row r="1742" ht="158" customHeight="1">
      <c r="A1742" s="8">
        <f>IF(ISNA(MATCH(1729,Engine!$C$2:$C$1960,0)),"",INDEX('Compliance Database'!$A$2:$A$1960,MATCH(1729,Engine!$C$2:$C$1960,0)))</f>
        <v/>
      </c>
      <c r="B1742" s="8">
        <f>IF(ISNA(MATCH(1729,Engine!$C$2:$C$1960,0)),"",INDEX('Compliance Database'!$B$2:$B$1960,MATCH(1729,Engine!$C$2:$C$1960,0)))</f>
        <v/>
      </c>
      <c r="C1742" s="8">
        <f>IF(ISNA(MATCH(1729,Engine!$C$2:$C$1960,0)),"",INDEX('Compliance Database'!$C$2:$C$1960,MATCH(1729,Engine!$C$2:$C$1960,0)))</f>
        <v/>
      </c>
      <c r="D1742" s="9">
        <f>IF(ISNA(MATCH(1729,Engine!$C$2:$C$1960,0)),"",INDEX('Compliance Database'!$D$2:$D$1960,MATCH(1729,Engine!$C$2:$C$1960,0)))</f>
        <v/>
      </c>
      <c r="E1742" s="8">
        <f>IF(ISNA(MATCH(1729,Engine!$C$2:$C$1960,0)),"",INDEX('Compliance Database'!$E$2:$E$1960,MATCH(1729,Engine!$C$2:$C$1960,0)))</f>
        <v/>
      </c>
      <c r="F1742" s="8">
        <f>IF(ISNA(MATCH(1729,Engine!$C$2:$C$1960,0)),"",INDEX('Compliance Database'!$F$2:$F$1960,MATCH(1729,Engine!$C$2:$C$1960,0)))</f>
        <v/>
      </c>
      <c r="G1742" s="8">
        <f>IF(ISNA(MATCH(1729,Engine!$C$2:$C$1960,0)),"",INDEX('Compliance Database'!$G$2:$G$1960,MATCH(1729,Engine!$C$2:$C$1960,0)))</f>
        <v/>
      </c>
      <c r="H1742" s="9">
        <f>IF(ISNA(MATCH(1729,Engine!$C$2:$C$1960,0)),"",INDEX('Compliance Database'!$H$2:$H$1960,MATCH(1729,Engine!$C$2:$C$1960,0)))</f>
        <v/>
      </c>
      <c r="I1742" s="9">
        <f>IF(ISNA(MATCH(1729,Engine!$C$2:$C$1960,0)),"",INDEX('Compliance Database'!$I$2:$I$1960,MATCH(1729,Engine!$C$2:$C$1960,0)))</f>
        <v/>
      </c>
      <c r="J1742" s="8">
        <f>IF(ISNA(MATCH(1729,Engine!$C$2:$C$1960,0)),"",INDEX('Compliance Database'!$J$2:$J$1960,MATCH(1729,Engine!$C$2:$C$1960,0)))</f>
        <v/>
      </c>
      <c r="K1742" s="9">
        <f>IF(ISNA(MATCH(1729,Engine!$C$2:$C$1960,0)),"",INDEX('Compliance Database'!$K$2:$K$1960,MATCH(1729,Engine!$C$2:$C$1960,0)))</f>
        <v/>
      </c>
      <c r="L1742" s="9">
        <f>IF(ISNA(MATCH(1729,Engine!$C$2:$C$1960,0)),"",INDEX('Compliance Database'!$L$2:$L$1960,MATCH(1729,Engine!$C$2:$C$1960,0)))</f>
        <v/>
      </c>
      <c r="M1742" s="9">
        <f>IF(ISNA(MATCH(1729,Engine!$C$2:$C$1960,0)),"",INDEX('Compliance Database'!$M$2:$M$1960,MATCH(1729,Engine!$C$2:$C$1960,0)))</f>
        <v/>
      </c>
      <c r="N1742" s="9">
        <f>IF(ISNA(MATCH(1729,Engine!$C$2:$C$1960,0)),"",INDEX('Compliance Database'!$N$2:$N$1960,MATCH(1729,Engine!$C$2:$C$1960,0)))</f>
        <v/>
      </c>
      <c r="O1742" s="9">
        <f>IF(ISNA(MATCH(1729,Engine!$C$2:$C$1960,0)),"",INDEX('Compliance Database'!$O$2:$O$1960,MATCH(1729,Engine!$C$2:$C$1960,0)))</f>
        <v/>
      </c>
      <c r="P1742" s="8">
        <f>IF(ISNA(MATCH(1729,Engine!$C$2:$C$1960,0)),"",HYPERLINK("#Acts!A"&amp;INDEX('Compliance Database'!$P$2:$P$1960,MATCH(1729,Engine!$C$2:$C$1960,0)),"Go to Act"))</f>
        <v/>
      </c>
    </row>
    <row r="1743" ht="158" customHeight="1">
      <c r="A1743" s="8">
        <f>IF(ISNA(MATCH(1730,Engine!$C$2:$C$1960,0)),"",INDEX('Compliance Database'!$A$2:$A$1960,MATCH(1730,Engine!$C$2:$C$1960,0)))</f>
        <v/>
      </c>
      <c r="B1743" s="8">
        <f>IF(ISNA(MATCH(1730,Engine!$C$2:$C$1960,0)),"",INDEX('Compliance Database'!$B$2:$B$1960,MATCH(1730,Engine!$C$2:$C$1960,0)))</f>
        <v/>
      </c>
      <c r="C1743" s="8">
        <f>IF(ISNA(MATCH(1730,Engine!$C$2:$C$1960,0)),"",INDEX('Compliance Database'!$C$2:$C$1960,MATCH(1730,Engine!$C$2:$C$1960,0)))</f>
        <v/>
      </c>
      <c r="D1743" s="9">
        <f>IF(ISNA(MATCH(1730,Engine!$C$2:$C$1960,0)),"",INDEX('Compliance Database'!$D$2:$D$1960,MATCH(1730,Engine!$C$2:$C$1960,0)))</f>
        <v/>
      </c>
      <c r="E1743" s="8">
        <f>IF(ISNA(MATCH(1730,Engine!$C$2:$C$1960,0)),"",INDEX('Compliance Database'!$E$2:$E$1960,MATCH(1730,Engine!$C$2:$C$1960,0)))</f>
        <v/>
      </c>
      <c r="F1743" s="8">
        <f>IF(ISNA(MATCH(1730,Engine!$C$2:$C$1960,0)),"",INDEX('Compliance Database'!$F$2:$F$1960,MATCH(1730,Engine!$C$2:$C$1960,0)))</f>
        <v/>
      </c>
      <c r="G1743" s="8">
        <f>IF(ISNA(MATCH(1730,Engine!$C$2:$C$1960,0)),"",INDEX('Compliance Database'!$G$2:$G$1960,MATCH(1730,Engine!$C$2:$C$1960,0)))</f>
        <v/>
      </c>
      <c r="H1743" s="9">
        <f>IF(ISNA(MATCH(1730,Engine!$C$2:$C$1960,0)),"",INDEX('Compliance Database'!$H$2:$H$1960,MATCH(1730,Engine!$C$2:$C$1960,0)))</f>
        <v/>
      </c>
      <c r="I1743" s="9">
        <f>IF(ISNA(MATCH(1730,Engine!$C$2:$C$1960,0)),"",INDEX('Compliance Database'!$I$2:$I$1960,MATCH(1730,Engine!$C$2:$C$1960,0)))</f>
        <v/>
      </c>
      <c r="J1743" s="8">
        <f>IF(ISNA(MATCH(1730,Engine!$C$2:$C$1960,0)),"",INDEX('Compliance Database'!$J$2:$J$1960,MATCH(1730,Engine!$C$2:$C$1960,0)))</f>
        <v/>
      </c>
      <c r="K1743" s="9">
        <f>IF(ISNA(MATCH(1730,Engine!$C$2:$C$1960,0)),"",INDEX('Compliance Database'!$K$2:$K$1960,MATCH(1730,Engine!$C$2:$C$1960,0)))</f>
        <v/>
      </c>
      <c r="L1743" s="9">
        <f>IF(ISNA(MATCH(1730,Engine!$C$2:$C$1960,0)),"",INDEX('Compliance Database'!$L$2:$L$1960,MATCH(1730,Engine!$C$2:$C$1960,0)))</f>
        <v/>
      </c>
      <c r="M1743" s="9">
        <f>IF(ISNA(MATCH(1730,Engine!$C$2:$C$1960,0)),"",INDEX('Compliance Database'!$M$2:$M$1960,MATCH(1730,Engine!$C$2:$C$1960,0)))</f>
        <v/>
      </c>
      <c r="N1743" s="9">
        <f>IF(ISNA(MATCH(1730,Engine!$C$2:$C$1960,0)),"",INDEX('Compliance Database'!$N$2:$N$1960,MATCH(1730,Engine!$C$2:$C$1960,0)))</f>
        <v/>
      </c>
      <c r="O1743" s="9">
        <f>IF(ISNA(MATCH(1730,Engine!$C$2:$C$1960,0)),"",INDEX('Compliance Database'!$O$2:$O$1960,MATCH(1730,Engine!$C$2:$C$1960,0)))</f>
        <v/>
      </c>
      <c r="P1743" s="8">
        <f>IF(ISNA(MATCH(1730,Engine!$C$2:$C$1960,0)),"",HYPERLINK("#Acts!A"&amp;INDEX('Compliance Database'!$P$2:$P$1960,MATCH(1730,Engine!$C$2:$C$1960,0)),"Go to Act"))</f>
        <v/>
      </c>
    </row>
    <row r="1744" ht="158" customHeight="1">
      <c r="A1744" s="8">
        <f>IF(ISNA(MATCH(1731,Engine!$C$2:$C$1960,0)),"",INDEX('Compliance Database'!$A$2:$A$1960,MATCH(1731,Engine!$C$2:$C$1960,0)))</f>
        <v/>
      </c>
      <c r="B1744" s="8">
        <f>IF(ISNA(MATCH(1731,Engine!$C$2:$C$1960,0)),"",INDEX('Compliance Database'!$B$2:$B$1960,MATCH(1731,Engine!$C$2:$C$1960,0)))</f>
        <v/>
      </c>
      <c r="C1744" s="8">
        <f>IF(ISNA(MATCH(1731,Engine!$C$2:$C$1960,0)),"",INDEX('Compliance Database'!$C$2:$C$1960,MATCH(1731,Engine!$C$2:$C$1960,0)))</f>
        <v/>
      </c>
      <c r="D1744" s="9">
        <f>IF(ISNA(MATCH(1731,Engine!$C$2:$C$1960,0)),"",INDEX('Compliance Database'!$D$2:$D$1960,MATCH(1731,Engine!$C$2:$C$1960,0)))</f>
        <v/>
      </c>
      <c r="E1744" s="8">
        <f>IF(ISNA(MATCH(1731,Engine!$C$2:$C$1960,0)),"",INDEX('Compliance Database'!$E$2:$E$1960,MATCH(1731,Engine!$C$2:$C$1960,0)))</f>
        <v/>
      </c>
      <c r="F1744" s="8">
        <f>IF(ISNA(MATCH(1731,Engine!$C$2:$C$1960,0)),"",INDEX('Compliance Database'!$F$2:$F$1960,MATCH(1731,Engine!$C$2:$C$1960,0)))</f>
        <v/>
      </c>
      <c r="G1744" s="8">
        <f>IF(ISNA(MATCH(1731,Engine!$C$2:$C$1960,0)),"",INDEX('Compliance Database'!$G$2:$G$1960,MATCH(1731,Engine!$C$2:$C$1960,0)))</f>
        <v/>
      </c>
      <c r="H1744" s="9">
        <f>IF(ISNA(MATCH(1731,Engine!$C$2:$C$1960,0)),"",INDEX('Compliance Database'!$H$2:$H$1960,MATCH(1731,Engine!$C$2:$C$1960,0)))</f>
        <v/>
      </c>
      <c r="I1744" s="9">
        <f>IF(ISNA(MATCH(1731,Engine!$C$2:$C$1960,0)),"",INDEX('Compliance Database'!$I$2:$I$1960,MATCH(1731,Engine!$C$2:$C$1960,0)))</f>
        <v/>
      </c>
      <c r="J1744" s="8">
        <f>IF(ISNA(MATCH(1731,Engine!$C$2:$C$1960,0)),"",INDEX('Compliance Database'!$J$2:$J$1960,MATCH(1731,Engine!$C$2:$C$1960,0)))</f>
        <v/>
      </c>
      <c r="K1744" s="9">
        <f>IF(ISNA(MATCH(1731,Engine!$C$2:$C$1960,0)),"",INDEX('Compliance Database'!$K$2:$K$1960,MATCH(1731,Engine!$C$2:$C$1960,0)))</f>
        <v/>
      </c>
      <c r="L1744" s="9">
        <f>IF(ISNA(MATCH(1731,Engine!$C$2:$C$1960,0)),"",INDEX('Compliance Database'!$L$2:$L$1960,MATCH(1731,Engine!$C$2:$C$1960,0)))</f>
        <v/>
      </c>
      <c r="M1744" s="9">
        <f>IF(ISNA(MATCH(1731,Engine!$C$2:$C$1960,0)),"",INDEX('Compliance Database'!$M$2:$M$1960,MATCH(1731,Engine!$C$2:$C$1960,0)))</f>
        <v/>
      </c>
      <c r="N1744" s="9">
        <f>IF(ISNA(MATCH(1731,Engine!$C$2:$C$1960,0)),"",INDEX('Compliance Database'!$N$2:$N$1960,MATCH(1731,Engine!$C$2:$C$1960,0)))</f>
        <v/>
      </c>
      <c r="O1744" s="9">
        <f>IF(ISNA(MATCH(1731,Engine!$C$2:$C$1960,0)),"",INDEX('Compliance Database'!$O$2:$O$1960,MATCH(1731,Engine!$C$2:$C$1960,0)))</f>
        <v/>
      </c>
      <c r="P1744" s="8">
        <f>IF(ISNA(MATCH(1731,Engine!$C$2:$C$1960,0)),"",HYPERLINK("#Acts!A"&amp;INDEX('Compliance Database'!$P$2:$P$1960,MATCH(1731,Engine!$C$2:$C$1960,0)),"Go to Act"))</f>
        <v/>
      </c>
    </row>
    <row r="1745" ht="158" customHeight="1">
      <c r="A1745" s="8">
        <f>IF(ISNA(MATCH(1732,Engine!$C$2:$C$1960,0)),"",INDEX('Compliance Database'!$A$2:$A$1960,MATCH(1732,Engine!$C$2:$C$1960,0)))</f>
        <v/>
      </c>
      <c r="B1745" s="8">
        <f>IF(ISNA(MATCH(1732,Engine!$C$2:$C$1960,0)),"",INDEX('Compliance Database'!$B$2:$B$1960,MATCH(1732,Engine!$C$2:$C$1960,0)))</f>
        <v/>
      </c>
      <c r="C1745" s="8">
        <f>IF(ISNA(MATCH(1732,Engine!$C$2:$C$1960,0)),"",INDEX('Compliance Database'!$C$2:$C$1960,MATCH(1732,Engine!$C$2:$C$1960,0)))</f>
        <v/>
      </c>
      <c r="D1745" s="9">
        <f>IF(ISNA(MATCH(1732,Engine!$C$2:$C$1960,0)),"",INDEX('Compliance Database'!$D$2:$D$1960,MATCH(1732,Engine!$C$2:$C$1960,0)))</f>
        <v/>
      </c>
      <c r="E1745" s="8">
        <f>IF(ISNA(MATCH(1732,Engine!$C$2:$C$1960,0)),"",INDEX('Compliance Database'!$E$2:$E$1960,MATCH(1732,Engine!$C$2:$C$1960,0)))</f>
        <v/>
      </c>
      <c r="F1745" s="8">
        <f>IF(ISNA(MATCH(1732,Engine!$C$2:$C$1960,0)),"",INDEX('Compliance Database'!$F$2:$F$1960,MATCH(1732,Engine!$C$2:$C$1960,0)))</f>
        <v/>
      </c>
      <c r="G1745" s="8">
        <f>IF(ISNA(MATCH(1732,Engine!$C$2:$C$1960,0)),"",INDEX('Compliance Database'!$G$2:$G$1960,MATCH(1732,Engine!$C$2:$C$1960,0)))</f>
        <v/>
      </c>
      <c r="H1745" s="9">
        <f>IF(ISNA(MATCH(1732,Engine!$C$2:$C$1960,0)),"",INDEX('Compliance Database'!$H$2:$H$1960,MATCH(1732,Engine!$C$2:$C$1960,0)))</f>
        <v/>
      </c>
      <c r="I1745" s="9">
        <f>IF(ISNA(MATCH(1732,Engine!$C$2:$C$1960,0)),"",INDEX('Compliance Database'!$I$2:$I$1960,MATCH(1732,Engine!$C$2:$C$1960,0)))</f>
        <v/>
      </c>
      <c r="J1745" s="8">
        <f>IF(ISNA(MATCH(1732,Engine!$C$2:$C$1960,0)),"",INDEX('Compliance Database'!$J$2:$J$1960,MATCH(1732,Engine!$C$2:$C$1960,0)))</f>
        <v/>
      </c>
      <c r="K1745" s="9">
        <f>IF(ISNA(MATCH(1732,Engine!$C$2:$C$1960,0)),"",INDEX('Compliance Database'!$K$2:$K$1960,MATCH(1732,Engine!$C$2:$C$1960,0)))</f>
        <v/>
      </c>
      <c r="L1745" s="9">
        <f>IF(ISNA(MATCH(1732,Engine!$C$2:$C$1960,0)),"",INDEX('Compliance Database'!$L$2:$L$1960,MATCH(1732,Engine!$C$2:$C$1960,0)))</f>
        <v/>
      </c>
      <c r="M1745" s="9">
        <f>IF(ISNA(MATCH(1732,Engine!$C$2:$C$1960,0)),"",INDEX('Compliance Database'!$M$2:$M$1960,MATCH(1732,Engine!$C$2:$C$1960,0)))</f>
        <v/>
      </c>
      <c r="N1745" s="9">
        <f>IF(ISNA(MATCH(1732,Engine!$C$2:$C$1960,0)),"",INDEX('Compliance Database'!$N$2:$N$1960,MATCH(1732,Engine!$C$2:$C$1960,0)))</f>
        <v/>
      </c>
      <c r="O1745" s="9">
        <f>IF(ISNA(MATCH(1732,Engine!$C$2:$C$1960,0)),"",INDEX('Compliance Database'!$O$2:$O$1960,MATCH(1732,Engine!$C$2:$C$1960,0)))</f>
        <v/>
      </c>
      <c r="P1745" s="8">
        <f>IF(ISNA(MATCH(1732,Engine!$C$2:$C$1960,0)),"",HYPERLINK("#Acts!A"&amp;INDEX('Compliance Database'!$P$2:$P$1960,MATCH(1732,Engine!$C$2:$C$1960,0)),"Go to Act"))</f>
        <v/>
      </c>
    </row>
    <row r="1746" ht="158" customHeight="1">
      <c r="A1746" s="8">
        <f>IF(ISNA(MATCH(1733,Engine!$C$2:$C$1960,0)),"",INDEX('Compliance Database'!$A$2:$A$1960,MATCH(1733,Engine!$C$2:$C$1960,0)))</f>
        <v/>
      </c>
      <c r="B1746" s="8">
        <f>IF(ISNA(MATCH(1733,Engine!$C$2:$C$1960,0)),"",INDEX('Compliance Database'!$B$2:$B$1960,MATCH(1733,Engine!$C$2:$C$1960,0)))</f>
        <v/>
      </c>
      <c r="C1746" s="8">
        <f>IF(ISNA(MATCH(1733,Engine!$C$2:$C$1960,0)),"",INDEX('Compliance Database'!$C$2:$C$1960,MATCH(1733,Engine!$C$2:$C$1960,0)))</f>
        <v/>
      </c>
      <c r="D1746" s="9">
        <f>IF(ISNA(MATCH(1733,Engine!$C$2:$C$1960,0)),"",INDEX('Compliance Database'!$D$2:$D$1960,MATCH(1733,Engine!$C$2:$C$1960,0)))</f>
        <v/>
      </c>
      <c r="E1746" s="8">
        <f>IF(ISNA(MATCH(1733,Engine!$C$2:$C$1960,0)),"",INDEX('Compliance Database'!$E$2:$E$1960,MATCH(1733,Engine!$C$2:$C$1960,0)))</f>
        <v/>
      </c>
      <c r="F1746" s="8">
        <f>IF(ISNA(MATCH(1733,Engine!$C$2:$C$1960,0)),"",INDEX('Compliance Database'!$F$2:$F$1960,MATCH(1733,Engine!$C$2:$C$1960,0)))</f>
        <v/>
      </c>
      <c r="G1746" s="8">
        <f>IF(ISNA(MATCH(1733,Engine!$C$2:$C$1960,0)),"",INDEX('Compliance Database'!$G$2:$G$1960,MATCH(1733,Engine!$C$2:$C$1960,0)))</f>
        <v/>
      </c>
      <c r="H1746" s="9">
        <f>IF(ISNA(MATCH(1733,Engine!$C$2:$C$1960,0)),"",INDEX('Compliance Database'!$H$2:$H$1960,MATCH(1733,Engine!$C$2:$C$1960,0)))</f>
        <v/>
      </c>
      <c r="I1746" s="9">
        <f>IF(ISNA(MATCH(1733,Engine!$C$2:$C$1960,0)),"",INDEX('Compliance Database'!$I$2:$I$1960,MATCH(1733,Engine!$C$2:$C$1960,0)))</f>
        <v/>
      </c>
      <c r="J1746" s="8">
        <f>IF(ISNA(MATCH(1733,Engine!$C$2:$C$1960,0)),"",INDEX('Compliance Database'!$J$2:$J$1960,MATCH(1733,Engine!$C$2:$C$1960,0)))</f>
        <v/>
      </c>
      <c r="K1746" s="9">
        <f>IF(ISNA(MATCH(1733,Engine!$C$2:$C$1960,0)),"",INDEX('Compliance Database'!$K$2:$K$1960,MATCH(1733,Engine!$C$2:$C$1960,0)))</f>
        <v/>
      </c>
      <c r="L1746" s="9">
        <f>IF(ISNA(MATCH(1733,Engine!$C$2:$C$1960,0)),"",INDEX('Compliance Database'!$L$2:$L$1960,MATCH(1733,Engine!$C$2:$C$1960,0)))</f>
        <v/>
      </c>
      <c r="M1746" s="9">
        <f>IF(ISNA(MATCH(1733,Engine!$C$2:$C$1960,0)),"",INDEX('Compliance Database'!$M$2:$M$1960,MATCH(1733,Engine!$C$2:$C$1960,0)))</f>
        <v/>
      </c>
      <c r="N1746" s="9">
        <f>IF(ISNA(MATCH(1733,Engine!$C$2:$C$1960,0)),"",INDEX('Compliance Database'!$N$2:$N$1960,MATCH(1733,Engine!$C$2:$C$1960,0)))</f>
        <v/>
      </c>
      <c r="O1746" s="9">
        <f>IF(ISNA(MATCH(1733,Engine!$C$2:$C$1960,0)),"",INDEX('Compliance Database'!$O$2:$O$1960,MATCH(1733,Engine!$C$2:$C$1960,0)))</f>
        <v/>
      </c>
      <c r="P1746" s="8">
        <f>IF(ISNA(MATCH(1733,Engine!$C$2:$C$1960,0)),"",HYPERLINK("#Acts!A"&amp;INDEX('Compliance Database'!$P$2:$P$1960,MATCH(1733,Engine!$C$2:$C$1960,0)),"Go to Act"))</f>
        <v/>
      </c>
    </row>
    <row r="1747" ht="158" customHeight="1">
      <c r="A1747" s="8">
        <f>IF(ISNA(MATCH(1734,Engine!$C$2:$C$1960,0)),"",INDEX('Compliance Database'!$A$2:$A$1960,MATCH(1734,Engine!$C$2:$C$1960,0)))</f>
        <v/>
      </c>
      <c r="B1747" s="8">
        <f>IF(ISNA(MATCH(1734,Engine!$C$2:$C$1960,0)),"",INDEX('Compliance Database'!$B$2:$B$1960,MATCH(1734,Engine!$C$2:$C$1960,0)))</f>
        <v/>
      </c>
      <c r="C1747" s="8">
        <f>IF(ISNA(MATCH(1734,Engine!$C$2:$C$1960,0)),"",INDEX('Compliance Database'!$C$2:$C$1960,MATCH(1734,Engine!$C$2:$C$1960,0)))</f>
        <v/>
      </c>
      <c r="D1747" s="9">
        <f>IF(ISNA(MATCH(1734,Engine!$C$2:$C$1960,0)),"",INDEX('Compliance Database'!$D$2:$D$1960,MATCH(1734,Engine!$C$2:$C$1960,0)))</f>
        <v/>
      </c>
      <c r="E1747" s="8">
        <f>IF(ISNA(MATCH(1734,Engine!$C$2:$C$1960,0)),"",INDEX('Compliance Database'!$E$2:$E$1960,MATCH(1734,Engine!$C$2:$C$1960,0)))</f>
        <v/>
      </c>
      <c r="F1747" s="8">
        <f>IF(ISNA(MATCH(1734,Engine!$C$2:$C$1960,0)),"",INDEX('Compliance Database'!$F$2:$F$1960,MATCH(1734,Engine!$C$2:$C$1960,0)))</f>
        <v/>
      </c>
      <c r="G1747" s="8">
        <f>IF(ISNA(MATCH(1734,Engine!$C$2:$C$1960,0)),"",INDEX('Compliance Database'!$G$2:$G$1960,MATCH(1734,Engine!$C$2:$C$1960,0)))</f>
        <v/>
      </c>
      <c r="H1747" s="9">
        <f>IF(ISNA(MATCH(1734,Engine!$C$2:$C$1960,0)),"",INDEX('Compliance Database'!$H$2:$H$1960,MATCH(1734,Engine!$C$2:$C$1960,0)))</f>
        <v/>
      </c>
      <c r="I1747" s="9">
        <f>IF(ISNA(MATCH(1734,Engine!$C$2:$C$1960,0)),"",INDEX('Compliance Database'!$I$2:$I$1960,MATCH(1734,Engine!$C$2:$C$1960,0)))</f>
        <v/>
      </c>
      <c r="J1747" s="8">
        <f>IF(ISNA(MATCH(1734,Engine!$C$2:$C$1960,0)),"",INDEX('Compliance Database'!$J$2:$J$1960,MATCH(1734,Engine!$C$2:$C$1960,0)))</f>
        <v/>
      </c>
      <c r="K1747" s="9">
        <f>IF(ISNA(MATCH(1734,Engine!$C$2:$C$1960,0)),"",INDEX('Compliance Database'!$K$2:$K$1960,MATCH(1734,Engine!$C$2:$C$1960,0)))</f>
        <v/>
      </c>
      <c r="L1747" s="9">
        <f>IF(ISNA(MATCH(1734,Engine!$C$2:$C$1960,0)),"",INDEX('Compliance Database'!$L$2:$L$1960,MATCH(1734,Engine!$C$2:$C$1960,0)))</f>
        <v/>
      </c>
      <c r="M1747" s="9">
        <f>IF(ISNA(MATCH(1734,Engine!$C$2:$C$1960,0)),"",INDEX('Compliance Database'!$M$2:$M$1960,MATCH(1734,Engine!$C$2:$C$1960,0)))</f>
        <v/>
      </c>
      <c r="N1747" s="9">
        <f>IF(ISNA(MATCH(1734,Engine!$C$2:$C$1960,0)),"",INDEX('Compliance Database'!$N$2:$N$1960,MATCH(1734,Engine!$C$2:$C$1960,0)))</f>
        <v/>
      </c>
      <c r="O1747" s="9">
        <f>IF(ISNA(MATCH(1734,Engine!$C$2:$C$1960,0)),"",INDEX('Compliance Database'!$O$2:$O$1960,MATCH(1734,Engine!$C$2:$C$1960,0)))</f>
        <v/>
      </c>
      <c r="P1747" s="8">
        <f>IF(ISNA(MATCH(1734,Engine!$C$2:$C$1960,0)),"",HYPERLINK("#Acts!A"&amp;INDEX('Compliance Database'!$P$2:$P$1960,MATCH(1734,Engine!$C$2:$C$1960,0)),"Go to Act"))</f>
        <v/>
      </c>
    </row>
    <row r="1748" ht="158" customHeight="1">
      <c r="A1748" s="8">
        <f>IF(ISNA(MATCH(1735,Engine!$C$2:$C$1960,0)),"",INDEX('Compliance Database'!$A$2:$A$1960,MATCH(1735,Engine!$C$2:$C$1960,0)))</f>
        <v/>
      </c>
      <c r="B1748" s="8">
        <f>IF(ISNA(MATCH(1735,Engine!$C$2:$C$1960,0)),"",INDEX('Compliance Database'!$B$2:$B$1960,MATCH(1735,Engine!$C$2:$C$1960,0)))</f>
        <v/>
      </c>
      <c r="C1748" s="8">
        <f>IF(ISNA(MATCH(1735,Engine!$C$2:$C$1960,0)),"",INDEX('Compliance Database'!$C$2:$C$1960,MATCH(1735,Engine!$C$2:$C$1960,0)))</f>
        <v/>
      </c>
      <c r="D1748" s="9">
        <f>IF(ISNA(MATCH(1735,Engine!$C$2:$C$1960,0)),"",INDEX('Compliance Database'!$D$2:$D$1960,MATCH(1735,Engine!$C$2:$C$1960,0)))</f>
        <v/>
      </c>
      <c r="E1748" s="8">
        <f>IF(ISNA(MATCH(1735,Engine!$C$2:$C$1960,0)),"",INDEX('Compliance Database'!$E$2:$E$1960,MATCH(1735,Engine!$C$2:$C$1960,0)))</f>
        <v/>
      </c>
      <c r="F1748" s="8">
        <f>IF(ISNA(MATCH(1735,Engine!$C$2:$C$1960,0)),"",INDEX('Compliance Database'!$F$2:$F$1960,MATCH(1735,Engine!$C$2:$C$1960,0)))</f>
        <v/>
      </c>
      <c r="G1748" s="8">
        <f>IF(ISNA(MATCH(1735,Engine!$C$2:$C$1960,0)),"",INDEX('Compliance Database'!$G$2:$G$1960,MATCH(1735,Engine!$C$2:$C$1960,0)))</f>
        <v/>
      </c>
      <c r="H1748" s="9">
        <f>IF(ISNA(MATCH(1735,Engine!$C$2:$C$1960,0)),"",INDEX('Compliance Database'!$H$2:$H$1960,MATCH(1735,Engine!$C$2:$C$1960,0)))</f>
        <v/>
      </c>
      <c r="I1748" s="9">
        <f>IF(ISNA(MATCH(1735,Engine!$C$2:$C$1960,0)),"",INDEX('Compliance Database'!$I$2:$I$1960,MATCH(1735,Engine!$C$2:$C$1960,0)))</f>
        <v/>
      </c>
      <c r="J1748" s="8">
        <f>IF(ISNA(MATCH(1735,Engine!$C$2:$C$1960,0)),"",INDEX('Compliance Database'!$J$2:$J$1960,MATCH(1735,Engine!$C$2:$C$1960,0)))</f>
        <v/>
      </c>
      <c r="K1748" s="9">
        <f>IF(ISNA(MATCH(1735,Engine!$C$2:$C$1960,0)),"",INDEX('Compliance Database'!$K$2:$K$1960,MATCH(1735,Engine!$C$2:$C$1960,0)))</f>
        <v/>
      </c>
      <c r="L1748" s="9">
        <f>IF(ISNA(MATCH(1735,Engine!$C$2:$C$1960,0)),"",INDEX('Compliance Database'!$L$2:$L$1960,MATCH(1735,Engine!$C$2:$C$1960,0)))</f>
        <v/>
      </c>
      <c r="M1748" s="9">
        <f>IF(ISNA(MATCH(1735,Engine!$C$2:$C$1960,0)),"",INDEX('Compliance Database'!$M$2:$M$1960,MATCH(1735,Engine!$C$2:$C$1960,0)))</f>
        <v/>
      </c>
      <c r="N1748" s="9">
        <f>IF(ISNA(MATCH(1735,Engine!$C$2:$C$1960,0)),"",INDEX('Compliance Database'!$N$2:$N$1960,MATCH(1735,Engine!$C$2:$C$1960,0)))</f>
        <v/>
      </c>
      <c r="O1748" s="9">
        <f>IF(ISNA(MATCH(1735,Engine!$C$2:$C$1960,0)),"",INDEX('Compliance Database'!$O$2:$O$1960,MATCH(1735,Engine!$C$2:$C$1960,0)))</f>
        <v/>
      </c>
      <c r="P1748" s="8">
        <f>IF(ISNA(MATCH(1735,Engine!$C$2:$C$1960,0)),"",HYPERLINK("#Acts!A"&amp;INDEX('Compliance Database'!$P$2:$P$1960,MATCH(1735,Engine!$C$2:$C$1960,0)),"Go to Act"))</f>
        <v/>
      </c>
    </row>
    <row r="1749" ht="158" customHeight="1">
      <c r="A1749" s="8">
        <f>IF(ISNA(MATCH(1736,Engine!$C$2:$C$1960,0)),"",INDEX('Compliance Database'!$A$2:$A$1960,MATCH(1736,Engine!$C$2:$C$1960,0)))</f>
        <v/>
      </c>
      <c r="B1749" s="8">
        <f>IF(ISNA(MATCH(1736,Engine!$C$2:$C$1960,0)),"",INDEX('Compliance Database'!$B$2:$B$1960,MATCH(1736,Engine!$C$2:$C$1960,0)))</f>
        <v/>
      </c>
      <c r="C1749" s="8">
        <f>IF(ISNA(MATCH(1736,Engine!$C$2:$C$1960,0)),"",INDEX('Compliance Database'!$C$2:$C$1960,MATCH(1736,Engine!$C$2:$C$1960,0)))</f>
        <v/>
      </c>
      <c r="D1749" s="9">
        <f>IF(ISNA(MATCH(1736,Engine!$C$2:$C$1960,0)),"",INDEX('Compliance Database'!$D$2:$D$1960,MATCH(1736,Engine!$C$2:$C$1960,0)))</f>
        <v/>
      </c>
      <c r="E1749" s="8">
        <f>IF(ISNA(MATCH(1736,Engine!$C$2:$C$1960,0)),"",INDEX('Compliance Database'!$E$2:$E$1960,MATCH(1736,Engine!$C$2:$C$1960,0)))</f>
        <v/>
      </c>
      <c r="F1749" s="8">
        <f>IF(ISNA(MATCH(1736,Engine!$C$2:$C$1960,0)),"",INDEX('Compliance Database'!$F$2:$F$1960,MATCH(1736,Engine!$C$2:$C$1960,0)))</f>
        <v/>
      </c>
      <c r="G1749" s="8">
        <f>IF(ISNA(MATCH(1736,Engine!$C$2:$C$1960,0)),"",INDEX('Compliance Database'!$G$2:$G$1960,MATCH(1736,Engine!$C$2:$C$1960,0)))</f>
        <v/>
      </c>
      <c r="H1749" s="9">
        <f>IF(ISNA(MATCH(1736,Engine!$C$2:$C$1960,0)),"",INDEX('Compliance Database'!$H$2:$H$1960,MATCH(1736,Engine!$C$2:$C$1960,0)))</f>
        <v/>
      </c>
      <c r="I1749" s="9">
        <f>IF(ISNA(MATCH(1736,Engine!$C$2:$C$1960,0)),"",INDEX('Compliance Database'!$I$2:$I$1960,MATCH(1736,Engine!$C$2:$C$1960,0)))</f>
        <v/>
      </c>
      <c r="J1749" s="8">
        <f>IF(ISNA(MATCH(1736,Engine!$C$2:$C$1960,0)),"",INDEX('Compliance Database'!$J$2:$J$1960,MATCH(1736,Engine!$C$2:$C$1960,0)))</f>
        <v/>
      </c>
      <c r="K1749" s="9">
        <f>IF(ISNA(MATCH(1736,Engine!$C$2:$C$1960,0)),"",INDEX('Compliance Database'!$K$2:$K$1960,MATCH(1736,Engine!$C$2:$C$1960,0)))</f>
        <v/>
      </c>
      <c r="L1749" s="9">
        <f>IF(ISNA(MATCH(1736,Engine!$C$2:$C$1960,0)),"",INDEX('Compliance Database'!$L$2:$L$1960,MATCH(1736,Engine!$C$2:$C$1960,0)))</f>
        <v/>
      </c>
      <c r="M1749" s="9">
        <f>IF(ISNA(MATCH(1736,Engine!$C$2:$C$1960,0)),"",INDEX('Compliance Database'!$M$2:$M$1960,MATCH(1736,Engine!$C$2:$C$1960,0)))</f>
        <v/>
      </c>
      <c r="N1749" s="9">
        <f>IF(ISNA(MATCH(1736,Engine!$C$2:$C$1960,0)),"",INDEX('Compliance Database'!$N$2:$N$1960,MATCH(1736,Engine!$C$2:$C$1960,0)))</f>
        <v/>
      </c>
      <c r="O1749" s="9">
        <f>IF(ISNA(MATCH(1736,Engine!$C$2:$C$1960,0)),"",INDEX('Compliance Database'!$O$2:$O$1960,MATCH(1736,Engine!$C$2:$C$1960,0)))</f>
        <v/>
      </c>
      <c r="P1749" s="8">
        <f>IF(ISNA(MATCH(1736,Engine!$C$2:$C$1960,0)),"",HYPERLINK("#Acts!A"&amp;INDEX('Compliance Database'!$P$2:$P$1960,MATCH(1736,Engine!$C$2:$C$1960,0)),"Go to Act"))</f>
        <v/>
      </c>
    </row>
    <row r="1750" ht="158" customHeight="1">
      <c r="A1750" s="8">
        <f>IF(ISNA(MATCH(1737,Engine!$C$2:$C$1960,0)),"",INDEX('Compliance Database'!$A$2:$A$1960,MATCH(1737,Engine!$C$2:$C$1960,0)))</f>
        <v/>
      </c>
      <c r="B1750" s="8">
        <f>IF(ISNA(MATCH(1737,Engine!$C$2:$C$1960,0)),"",INDEX('Compliance Database'!$B$2:$B$1960,MATCH(1737,Engine!$C$2:$C$1960,0)))</f>
        <v/>
      </c>
      <c r="C1750" s="8">
        <f>IF(ISNA(MATCH(1737,Engine!$C$2:$C$1960,0)),"",INDEX('Compliance Database'!$C$2:$C$1960,MATCH(1737,Engine!$C$2:$C$1960,0)))</f>
        <v/>
      </c>
      <c r="D1750" s="9">
        <f>IF(ISNA(MATCH(1737,Engine!$C$2:$C$1960,0)),"",INDEX('Compliance Database'!$D$2:$D$1960,MATCH(1737,Engine!$C$2:$C$1960,0)))</f>
        <v/>
      </c>
      <c r="E1750" s="8">
        <f>IF(ISNA(MATCH(1737,Engine!$C$2:$C$1960,0)),"",INDEX('Compliance Database'!$E$2:$E$1960,MATCH(1737,Engine!$C$2:$C$1960,0)))</f>
        <v/>
      </c>
      <c r="F1750" s="8">
        <f>IF(ISNA(MATCH(1737,Engine!$C$2:$C$1960,0)),"",INDEX('Compliance Database'!$F$2:$F$1960,MATCH(1737,Engine!$C$2:$C$1960,0)))</f>
        <v/>
      </c>
      <c r="G1750" s="8">
        <f>IF(ISNA(MATCH(1737,Engine!$C$2:$C$1960,0)),"",INDEX('Compliance Database'!$G$2:$G$1960,MATCH(1737,Engine!$C$2:$C$1960,0)))</f>
        <v/>
      </c>
      <c r="H1750" s="9">
        <f>IF(ISNA(MATCH(1737,Engine!$C$2:$C$1960,0)),"",INDEX('Compliance Database'!$H$2:$H$1960,MATCH(1737,Engine!$C$2:$C$1960,0)))</f>
        <v/>
      </c>
      <c r="I1750" s="9">
        <f>IF(ISNA(MATCH(1737,Engine!$C$2:$C$1960,0)),"",INDEX('Compliance Database'!$I$2:$I$1960,MATCH(1737,Engine!$C$2:$C$1960,0)))</f>
        <v/>
      </c>
      <c r="J1750" s="8">
        <f>IF(ISNA(MATCH(1737,Engine!$C$2:$C$1960,0)),"",INDEX('Compliance Database'!$J$2:$J$1960,MATCH(1737,Engine!$C$2:$C$1960,0)))</f>
        <v/>
      </c>
      <c r="K1750" s="9">
        <f>IF(ISNA(MATCH(1737,Engine!$C$2:$C$1960,0)),"",INDEX('Compliance Database'!$K$2:$K$1960,MATCH(1737,Engine!$C$2:$C$1960,0)))</f>
        <v/>
      </c>
      <c r="L1750" s="9">
        <f>IF(ISNA(MATCH(1737,Engine!$C$2:$C$1960,0)),"",INDEX('Compliance Database'!$L$2:$L$1960,MATCH(1737,Engine!$C$2:$C$1960,0)))</f>
        <v/>
      </c>
      <c r="M1750" s="9">
        <f>IF(ISNA(MATCH(1737,Engine!$C$2:$C$1960,0)),"",INDEX('Compliance Database'!$M$2:$M$1960,MATCH(1737,Engine!$C$2:$C$1960,0)))</f>
        <v/>
      </c>
      <c r="N1750" s="9">
        <f>IF(ISNA(MATCH(1737,Engine!$C$2:$C$1960,0)),"",INDEX('Compliance Database'!$N$2:$N$1960,MATCH(1737,Engine!$C$2:$C$1960,0)))</f>
        <v/>
      </c>
      <c r="O1750" s="9">
        <f>IF(ISNA(MATCH(1737,Engine!$C$2:$C$1960,0)),"",INDEX('Compliance Database'!$O$2:$O$1960,MATCH(1737,Engine!$C$2:$C$1960,0)))</f>
        <v/>
      </c>
      <c r="P1750" s="8">
        <f>IF(ISNA(MATCH(1737,Engine!$C$2:$C$1960,0)),"",HYPERLINK("#Acts!A"&amp;INDEX('Compliance Database'!$P$2:$P$1960,MATCH(1737,Engine!$C$2:$C$1960,0)),"Go to Act"))</f>
        <v/>
      </c>
    </row>
    <row r="1751" ht="158" customHeight="1">
      <c r="A1751" s="8">
        <f>IF(ISNA(MATCH(1738,Engine!$C$2:$C$1960,0)),"",INDEX('Compliance Database'!$A$2:$A$1960,MATCH(1738,Engine!$C$2:$C$1960,0)))</f>
        <v/>
      </c>
      <c r="B1751" s="8">
        <f>IF(ISNA(MATCH(1738,Engine!$C$2:$C$1960,0)),"",INDEX('Compliance Database'!$B$2:$B$1960,MATCH(1738,Engine!$C$2:$C$1960,0)))</f>
        <v/>
      </c>
      <c r="C1751" s="8">
        <f>IF(ISNA(MATCH(1738,Engine!$C$2:$C$1960,0)),"",INDEX('Compliance Database'!$C$2:$C$1960,MATCH(1738,Engine!$C$2:$C$1960,0)))</f>
        <v/>
      </c>
      <c r="D1751" s="9">
        <f>IF(ISNA(MATCH(1738,Engine!$C$2:$C$1960,0)),"",INDEX('Compliance Database'!$D$2:$D$1960,MATCH(1738,Engine!$C$2:$C$1960,0)))</f>
        <v/>
      </c>
      <c r="E1751" s="8">
        <f>IF(ISNA(MATCH(1738,Engine!$C$2:$C$1960,0)),"",INDEX('Compliance Database'!$E$2:$E$1960,MATCH(1738,Engine!$C$2:$C$1960,0)))</f>
        <v/>
      </c>
      <c r="F1751" s="8">
        <f>IF(ISNA(MATCH(1738,Engine!$C$2:$C$1960,0)),"",INDEX('Compliance Database'!$F$2:$F$1960,MATCH(1738,Engine!$C$2:$C$1960,0)))</f>
        <v/>
      </c>
      <c r="G1751" s="8">
        <f>IF(ISNA(MATCH(1738,Engine!$C$2:$C$1960,0)),"",INDEX('Compliance Database'!$G$2:$G$1960,MATCH(1738,Engine!$C$2:$C$1960,0)))</f>
        <v/>
      </c>
      <c r="H1751" s="9">
        <f>IF(ISNA(MATCH(1738,Engine!$C$2:$C$1960,0)),"",INDEX('Compliance Database'!$H$2:$H$1960,MATCH(1738,Engine!$C$2:$C$1960,0)))</f>
        <v/>
      </c>
      <c r="I1751" s="9">
        <f>IF(ISNA(MATCH(1738,Engine!$C$2:$C$1960,0)),"",INDEX('Compliance Database'!$I$2:$I$1960,MATCH(1738,Engine!$C$2:$C$1960,0)))</f>
        <v/>
      </c>
      <c r="J1751" s="8">
        <f>IF(ISNA(MATCH(1738,Engine!$C$2:$C$1960,0)),"",INDEX('Compliance Database'!$J$2:$J$1960,MATCH(1738,Engine!$C$2:$C$1960,0)))</f>
        <v/>
      </c>
      <c r="K1751" s="9">
        <f>IF(ISNA(MATCH(1738,Engine!$C$2:$C$1960,0)),"",INDEX('Compliance Database'!$K$2:$K$1960,MATCH(1738,Engine!$C$2:$C$1960,0)))</f>
        <v/>
      </c>
      <c r="L1751" s="9">
        <f>IF(ISNA(MATCH(1738,Engine!$C$2:$C$1960,0)),"",INDEX('Compliance Database'!$L$2:$L$1960,MATCH(1738,Engine!$C$2:$C$1960,0)))</f>
        <v/>
      </c>
      <c r="M1751" s="9">
        <f>IF(ISNA(MATCH(1738,Engine!$C$2:$C$1960,0)),"",INDEX('Compliance Database'!$M$2:$M$1960,MATCH(1738,Engine!$C$2:$C$1960,0)))</f>
        <v/>
      </c>
      <c r="N1751" s="9">
        <f>IF(ISNA(MATCH(1738,Engine!$C$2:$C$1960,0)),"",INDEX('Compliance Database'!$N$2:$N$1960,MATCH(1738,Engine!$C$2:$C$1960,0)))</f>
        <v/>
      </c>
      <c r="O1751" s="9">
        <f>IF(ISNA(MATCH(1738,Engine!$C$2:$C$1960,0)),"",INDEX('Compliance Database'!$O$2:$O$1960,MATCH(1738,Engine!$C$2:$C$1960,0)))</f>
        <v/>
      </c>
      <c r="P1751" s="8">
        <f>IF(ISNA(MATCH(1738,Engine!$C$2:$C$1960,0)),"",HYPERLINK("#Acts!A"&amp;INDEX('Compliance Database'!$P$2:$P$1960,MATCH(1738,Engine!$C$2:$C$1960,0)),"Go to Act"))</f>
        <v/>
      </c>
    </row>
    <row r="1752" ht="158" customHeight="1">
      <c r="A1752" s="8">
        <f>IF(ISNA(MATCH(1739,Engine!$C$2:$C$1960,0)),"",INDEX('Compliance Database'!$A$2:$A$1960,MATCH(1739,Engine!$C$2:$C$1960,0)))</f>
        <v/>
      </c>
      <c r="B1752" s="8">
        <f>IF(ISNA(MATCH(1739,Engine!$C$2:$C$1960,0)),"",INDEX('Compliance Database'!$B$2:$B$1960,MATCH(1739,Engine!$C$2:$C$1960,0)))</f>
        <v/>
      </c>
      <c r="C1752" s="8">
        <f>IF(ISNA(MATCH(1739,Engine!$C$2:$C$1960,0)),"",INDEX('Compliance Database'!$C$2:$C$1960,MATCH(1739,Engine!$C$2:$C$1960,0)))</f>
        <v/>
      </c>
      <c r="D1752" s="9">
        <f>IF(ISNA(MATCH(1739,Engine!$C$2:$C$1960,0)),"",INDEX('Compliance Database'!$D$2:$D$1960,MATCH(1739,Engine!$C$2:$C$1960,0)))</f>
        <v/>
      </c>
      <c r="E1752" s="8">
        <f>IF(ISNA(MATCH(1739,Engine!$C$2:$C$1960,0)),"",INDEX('Compliance Database'!$E$2:$E$1960,MATCH(1739,Engine!$C$2:$C$1960,0)))</f>
        <v/>
      </c>
      <c r="F1752" s="8">
        <f>IF(ISNA(MATCH(1739,Engine!$C$2:$C$1960,0)),"",INDEX('Compliance Database'!$F$2:$F$1960,MATCH(1739,Engine!$C$2:$C$1960,0)))</f>
        <v/>
      </c>
      <c r="G1752" s="8">
        <f>IF(ISNA(MATCH(1739,Engine!$C$2:$C$1960,0)),"",INDEX('Compliance Database'!$G$2:$G$1960,MATCH(1739,Engine!$C$2:$C$1960,0)))</f>
        <v/>
      </c>
      <c r="H1752" s="9">
        <f>IF(ISNA(MATCH(1739,Engine!$C$2:$C$1960,0)),"",INDEX('Compliance Database'!$H$2:$H$1960,MATCH(1739,Engine!$C$2:$C$1960,0)))</f>
        <v/>
      </c>
      <c r="I1752" s="9">
        <f>IF(ISNA(MATCH(1739,Engine!$C$2:$C$1960,0)),"",INDEX('Compliance Database'!$I$2:$I$1960,MATCH(1739,Engine!$C$2:$C$1960,0)))</f>
        <v/>
      </c>
      <c r="J1752" s="8">
        <f>IF(ISNA(MATCH(1739,Engine!$C$2:$C$1960,0)),"",INDEX('Compliance Database'!$J$2:$J$1960,MATCH(1739,Engine!$C$2:$C$1960,0)))</f>
        <v/>
      </c>
      <c r="K1752" s="9">
        <f>IF(ISNA(MATCH(1739,Engine!$C$2:$C$1960,0)),"",INDEX('Compliance Database'!$K$2:$K$1960,MATCH(1739,Engine!$C$2:$C$1960,0)))</f>
        <v/>
      </c>
      <c r="L1752" s="9">
        <f>IF(ISNA(MATCH(1739,Engine!$C$2:$C$1960,0)),"",INDEX('Compliance Database'!$L$2:$L$1960,MATCH(1739,Engine!$C$2:$C$1960,0)))</f>
        <v/>
      </c>
      <c r="M1752" s="9">
        <f>IF(ISNA(MATCH(1739,Engine!$C$2:$C$1960,0)),"",INDEX('Compliance Database'!$M$2:$M$1960,MATCH(1739,Engine!$C$2:$C$1960,0)))</f>
        <v/>
      </c>
      <c r="N1752" s="9">
        <f>IF(ISNA(MATCH(1739,Engine!$C$2:$C$1960,0)),"",INDEX('Compliance Database'!$N$2:$N$1960,MATCH(1739,Engine!$C$2:$C$1960,0)))</f>
        <v/>
      </c>
      <c r="O1752" s="9">
        <f>IF(ISNA(MATCH(1739,Engine!$C$2:$C$1960,0)),"",INDEX('Compliance Database'!$O$2:$O$1960,MATCH(1739,Engine!$C$2:$C$1960,0)))</f>
        <v/>
      </c>
      <c r="P1752" s="8">
        <f>IF(ISNA(MATCH(1739,Engine!$C$2:$C$1960,0)),"",HYPERLINK("#Acts!A"&amp;INDEX('Compliance Database'!$P$2:$P$1960,MATCH(1739,Engine!$C$2:$C$1960,0)),"Go to Act"))</f>
        <v/>
      </c>
    </row>
    <row r="1753" ht="158" customHeight="1">
      <c r="A1753" s="8">
        <f>IF(ISNA(MATCH(1740,Engine!$C$2:$C$1960,0)),"",INDEX('Compliance Database'!$A$2:$A$1960,MATCH(1740,Engine!$C$2:$C$1960,0)))</f>
        <v/>
      </c>
      <c r="B1753" s="8">
        <f>IF(ISNA(MATCH(1740,Engine!$C$2:$C$1960,0)),"",INDEX('Compliance Database'!$B$2:$B$1960,MATCH(1740,Engine!$C$2:$C$1960,0)))</f>
        <v/>
      </c>
      <c r="C1753" s="8">
        <f>IF(ISNA(MATCH(1740,Engine!$C$2:$C$1960,0)),"",INDEX('Compliance Database'!$C$2:$C$1960,MATCH(1740,Engine!$C$2:$C$1960,0)))</f>
        <v/>
      </c>
      <c r="D1753" s="9">
        <f>IF(ISNA(MATCH(1740,Engine!$C$2:$C$1960,0)),"",INDEX('Compliance Database'!$D$2:$D$1960,MATCH(1740,Engine!$C$2:$C$1960,0)))</f>
        <v/>
      </c>
      <c r="E1753" s="8">
        <f>IF(ISNA(MATCH(1740,Engine!$C$2:$C$1960,0)),"",INDEX('Compliance Database'!$E$2:$E$1960,MATCH(1740,Engine!$C$2:$C$1960,0)))</f>
        <v/>
      </c>
      <c r="F1753" s="8">
        <f>IF(ISNA(MATCH(1740,Engine!$C$2:$C$1960,0)),"",INDEX('Compliance Database'!$F$2:$F$1960,MATCH(1740,Engine!$C$2:$C$1960,0)))</f>
        <v/>
      </c>
      <c r="G1753" s="8">
        <f>IF(ISNA(MATCH(1740,Engine!$C$2:$C$1960,0)),"",INDEX('Compliance Database'!$G$2:$G$1960,MATCH(1740,Engine!$C$2:$C$1960,0)))</f>
        <v/>
      </c>
      <c r="H1753" s="9">
        <f>IF(ISNA(MATCH(1740,Engine!$C$2:$C$1960,0)),"",INDEX('Compliance Database'!$H$2:$H$1960,MATCH(1740,Engine!$C$2:$C$1960,0)))</f>
        <v/>
      </c>
      <c r="I1753" s="9">
        <f>IF(ISNA(MATCH(1740,Engine!$C$2:$C$1960,0)),"",INDEX('Compliance Database'!$I$2:$I$1960,MATCH(1740,Engine!$C$2:$C$1960,0)))</f>
        <v/>
      </c>
      <c r="J1753" s="8">
        <f>IF(ISNA(MATCH(1740,Engine!$C$2:$C$1960,0)),"",INDEX('Compliance Database'!$J$2:$J$1960,MATCH(1740,Engine!$C$2:$C$1960,0)))</f>
        <v/>
      </c>
      <c r="K1753" s="9">
        <f>IF(ISNA(MATCH(1740,Engine!$C$2:$C$1960,0)),"",INDEX('Compliance Database'!$K$2:$K$1960,MATCH(1740,Engine!$C$2:$C$1960,0)))</f>
        <v/>
      </c>
      <c r="L1753" s="9">
        <f>IF(ISNA(MATCH(1740,Engine!$C$2:$C$1960,0)),"",INDEX('Compliance Database'!$L$2:$L$1960,MATCH(1740,Engine!$C$2:$C$1960,0)))</f>
        <v/>
      </c>
      <c r="M1753" s="9">
        <f>IF(ISNA(MATCH(1740,Engine!$C$2:$C$1960,0)),"",INDEX('Compliance Database'!$M$2:$M$1960,MATCH(1740,Engine!$C$2:$C$1960,0)))</f>
        <v/>
      </c>
      <c r="N1753" s="9">
        <f>IF(ISNA(MATCH(1740,Engine!$C$2:$C$1960,0)),"",INDEX('Compliance Database'!$N$2:$N$1960,MATCH(1740,Engine!$C$2:$C$1960,0)))</f>
        <v/>
      </c>
      <c r="O1753" s="9">
        <f>IF(ISNA(MATCH(1740,Engine!$C$2:$C$1960,0)),"",INDEX('Compliance Database'!$O$2:$O$1960,MATCH(1740,Engine!$C$2:$C$1960,0)))</f>
        <v/>
      </c>
      <c r="P1753" s="8">
        <f>IF(ISNA(MATCH(1740,Engine!$C$2:$C$1960,0)),"",HYPERLINK("#Acts!A"&amp;INDEX('Compliance Database'!$P$2:$P$1960,MATCH(1740,Engine!$C$2:$C$1960,0)),"Go to Act"))</f>
        <v/>
      </c>
    </row>
    <row r="1754" ht="158" customHeight="1">
      <c r="A1754" s="8">
        <f>IF(ISNA(MATCH(1741,Engine!$C$2:$C$1960,0)),"",INDEX('Compliance Database'!$A$2:$A$1960,MATCH(1741,Engine!$C$2:$C$1960,0)))</f>
        <v/>
      </c>
      <c r="B1754" s="8">
        <f>IF(ISNA(MATCH(1741,Engine!$C$2:$C$1960,0)),"",INDEX('Compliance Database'!$B$2:$B$1960,MATCH(1741,Engine!$C$2:$C$1960,0)))</f>
        <v/>
      </c>
      <c r="C1754" s="8">
        <f>IF(ISNA(MATCH(1741,Engine!$C$2:$C$1960,0)),"",INDEX('Compliance Database'!$C$2:$C$1960,MATCH(1741,Engine!$C$2:$C$1960,0)))</f>
        <v/>
      </c>
      <c r="D1754" s="9">
        <f>IF(ISNA(MATCH(1741,Engine!$C$2:$C$1960,0)),"",INDEX('Compliance Database'!$D$2:$D$1960,MATCH(1741,Engine!$C$2:$C$1960,0)))</f>
        <v/>
      </c>
      <c r="E1754" s="8">
        <f>IF(ISNA(MATCH(1741,Engine!$C$2:$C$1960,0)),"",INDEX('Compliance Database'!$E$2:$E$1960,MATCH(1741,Engine!$C$2:$C$1960,0)))</f>
        <v/>
      </c>
      <c r="F1754" s="8">
        <f>IF(ISNA(MATCH(1741,Engine!$C$2:$C$1960,0)),"",INDEX('Compliance Database'!$F$2:$F$1960,MATCH(1741,Engine!$C$2:$C$1960,0)))</f>
        <v/>
      </c>
      <c r="G1754" s="8">
        <f>IF(ISNA(MATCH(1741,Engine!$C$2:$C$1960,0)),"",INDEX('Compliance Database'!$G$2:$G$1960,MATCH(1741,Engine!$C$2:$C$1960,0)))</f>
        <v/>
      </c>
      <c r="H1754" s="9">
        <f>IF(ISNA(MATCH(1741,Engine!$C$2:$C$1960,0)),"",INDEX('Compliance Database'!$H$2:$H$1960,MATCH(1741,Engine!$C$2:$C$1960,0)))</f>
        <v/>
      </c>
      <c r="I1754" s="9">
        <f>IF(ISNA(MATCH(1741,Engine!$C$2:$C$1960,0)),"",INDEX('Compliance Database'!$I$2:$I$1960,MATCH(1741,Engine!$C$2:$C$1960,0)))</f>
        <v/>
      </c>
      <c r="J1754" s="8">
        <f>IF(ISNA(MATCH(1741,Engine!$C$2:$C$1960,0)),"",INDEX('Compliance Database'!$J$2:$J$1960,MATCH(1741,Engine!$C$2:$C$1960,0)))</f>
        <v/>
      </c>
      <c r="K1754" s="9">
        <f>IF(ISNA(MATCH(1741,Engine!$C$2:$C$1960,0)),"",INDEX('Compliance Database'!$K$2:$K$1960,MATCH(1741,Engine!$C$2:$C$1960,0)))</f>
        <v/>
      </c>
      <c r="L1754" s="9">
        <f>IF(ISNA(MATCH(1741,Engine!$C$2:$C$1960,0)),"",INDEX('Compliance Database'!$L$2:$L$1960,MATCH(1741,Engine!$C$2:$C$1960,0)))</f>
        <v/>
      </c>
      <c r="M1754" s="9">
        <f>IF(ISNA(MATCH(1741,Engine!$C$2:$C$1960,0)),"",INDEX('Compliance Database'!$M$2:$M$1960,MATCH(1741,Engine!$C$2:$C$1960,0)))</f>
        <v/>
      </c>
      <c r="N1754" s="9">
        <f>IF(ISNA(MATCH(1741,Engine!$C$2:$C$1960,0)),"",INDEX('Compliance Database'!$N$2:$N$1960,MATCH(1741,Engine!$C$2:$C$1960,0)))</f>
        <v/>
      </c>
      <c r="O1754" s="9">
        <f>IF(ISNA(MATCH(1741,Engine!$C$2:$C$1960,0)),"",INDEX('Compliance Database'!$O$2:$O$1960,MATCH(1741,Engine!$C$2:$C$1960,0)))</f>
        <v/>
      </c>
      <c r="P1754" s="8">
        <f>IF(ISNA(MATCH(1741,Engine!$C$2:$C$1960,0)),"",HYPERLINK("#Acts!A"&amp;INDEX('Compliance Database'!$P$2:$P$1960,MATCH(1741,Engine!$C$2:$C$1960,0)),"Go to Act"))</f>
        <v/>
      </c>
    </row>
    <row r="1755" ht="158" customHeight="1">
      <c r="A1755" s="8">
        <f>IF(ISNA(MATCH(1742,Engine!$C$2:$C$1960,0)),"",INDEX('Compliance Database'!$A$2:$A$1960,MATCH(1742,Engine!$C$2:$C$1960,0)))</f>
        <v/>
      </c>
      <c r="B1755" s="8">
        <f>IF(ISNA(MATCH(1742,Engine!$C$2:$C$1960,0)),"",INDEX('Compliance Database'!$B$2:$B$1960,MATCH(1742,Engine!$C$2:$C$1960,0)))</f>
        <v/>
      </c>
      <c r="C1755" s="8">
        <f>IF(ISNA(MATCH(1742,Engine!$C$2:$C$1960,0)),"",INDEX('Compliance Database'!$C$2:$C$1960,MATCH(1742,Engine!$C$2:$C$1960,0)))</f>
        <v/>
      </c>
      <c r="D1755" s="9">
        <f>IF(ISNA(MATCH(1742,Engine!$C$2:$C$1960,0)),"",INDEX('Compliance Database'!$D$2:$D$1960,MATCH(1742,Engine!$C$2:$C$1960,0)))</f>
        <v/>
      </c>
      <c r="E1755" s="8">
        <f>IF(ISNA(MATCH(1742,Engine!$C$2:$C$1960,0)),"",INDEX('Compliance Database'!$E$2:$E$1960,MATCH(1742,Engine!$C$2:$C$1960,0)))</f>
        <v/>
      </c>
      <c r="F1755" s="8">
        <f>IF(ISNA(MATCH(1742,Engine!$C$2:$C$1960,0)),"",INDEX('Compliance Database'!$F$2:$F$1960,MATCH(1742,Engine!$C$2:$C$1960,0)))</f>
        <v/>
      </c>
      <c r="G1755" s="8">
        <f>IF(ISNA(MATCH(1742,Engine!$C$2:$C$1960,0)),"",INDEX('Compliance Database'!$G$2:$G$1960,MATCH(1742,Engine!$C$2:$C$1960,0)))</f>
        <v/>
      </c>
      <c r="H1755" s="9">
        <f>IF(ISNA(MATCH(1742,Engine!$C$2:$C$1960,0)),"",INDEX('Compliance Database'!$H$2:$H$1960,MATCH(1742,Engine!$C$2:$C$1960,0)))</f>
        <v/>
      </c>
      <c r="I1755" s="9">
        <f>IF(ISNA(MATCH(1742,Engine!$C$2:$C$1960,0)),"",INDEX('Compliance Database'!$I$2:$I$1960,MATCH(1742,Engine!$C$2:$C$1960,0)))</f>
        <v/>
      </c>
      <c r="J1755" s="8">
        <f>IF(ISNA(MATCH(1742,Engine!$C$2:$C$1960,0)),"",INDEX('Compliance Database'!$J$2:$J$1960,MATCH(1742,Engine!$C$2:$C$1960,0)))</f>
        <v/>
      </c>
      <c r="K1755" s="9">
        <f>IF(ISNA(MATCH(1742,Engine!$C$2:$C$1960,0)),"",INDEX('Compliance Database'!$K$2:$K$1960,MATCH(1742,Engine!$C$2:$C$1960,0)))</f>
        <v/>
      </c>
      <c r="L1755" s="9">
        <f>IF(ISNA(MATCH(1742,Engine!$C$2:$C$1960,0)),"",INDEX('Compliance Database'!$L$2:$L$1960,MATCH(1742,Engine!$C$2:$C$1960,0)))</f>
        <v/>
      </c>
      <c r="M1755" s="9">
        <f>IF(ISNA(MATCH(1742,Engine!$C$2:$C$1960,0)),"",INDEX('Compliance Database'!$M$2:$M$1960,MATCH(1742,Engine!$C$2:$C$1960,0)))</f>
        <v/>
      </c>
      <c r="N1755" s="9">
        <f>IF(ISNA(MATCH(1742,Engine!$C$2:$C$1960,0)),"",INDEX('Compliance Database'!$N$2:$N$1960,MATCH(1742,Engine!$C$2:$C$1960,0)))</f>
        <v/>
      </c>
      <c r="O1755" s="9">
        <f>IF(ISNA(MATCH(1742,Engine!$C$2:$C$1960,0)),"",INDEX('Compliance Database'!$O$2:$O$1960,MATCH(1742,Engine!$C$2:$C$1960,0)))</f>
        <v/>
      </c>
      <c r="P1755" s="8">
        <f>IF(ISNA(MATCH(1742,Engine!$C$2:$C$1960,0)),"",HYPERLINK("#Acts!A"&amp;INDEX('Compliance Database'!$P$2:$P$1960,MATCH(1742,Engine!$C$2:$C$1960,0)),"Go to Act"))</f>
        <v/>
      </c>
    </row>
    <row r="1756" ht="158" customHeight="1">
      <c r="A1756" s="8">
        <f>IF(ISNA(MATCH(1743,Engine!$C$2:$C$1960,0)),"",INDEX('Compliance Database'!$A$2:$A$1960,MATCH(1743,Engine!$C$2:$C$1960,0)))</f>
        <v/>
      </c>
      <c r="B1756" s="8">
        <f>IF(ISNA(MATCH(1743,Engine!$C$2:$C$1960,0)),"",INDEX('Compliance Database'!$B$2:$B$1960,MATCH(1743,Engine!$C$2:$C$1960,0)))</f>
        <v/>
      </c>
      <c r="C1756" s="8">
        <f>IF(ISNA(MATCH(1743,Engine!$C$2:$C$1960,0)),"",INDEX('Compliance Database'!$C$2:$C$1960,MATCH(1743,Engine!$C$2:$C$1960,0)))</f>
        <v/>
      </c>
      <c r="D1756" s="9">
        <f>IF(ISNA(MATCH(1743,Engine!$C$2:$C$1960,0)),"",INDEX('Compliance Database'!$D$2:$D$1960,MATCH(1743,Engine!$C$2:$C$1960,0)))</f>
        <v/>
      </c>
      <c r="E1756" s="8">
        <f>IF(ISNA(MATCH(1743,Engine!$C$2:$C$1960,0)),"",INDEX('Compliance Database'!$E$2:$E$1960,MATCH(1743,Engine!$C$2:$C$1960,0)))</f>
        <v/>
      </c>
      <c r="F1756" s="8">
        <f>IF(ISNA(MATCH(1743,Engine!$C$2:$C$1960,0)),"",INDEX('Compliance Database'!$F$2:$F$1960,MATCH(1743,Engine!$C$2:$C$1960,0)))</f>
        <v/>
      </c>
      <c r="G1756" s="8">
        <f>IF(ISNA(MATCH(1743,Engine!$C$2:$C$1960,0)),"",INDEX('Compliance Database'!$G$2:$G$1960,MATCH(1743,Engine!$C$2:$C$1960,0)))</f>
        <v/>
      </c>
      <c r="H1756" s="9">
        <f>IF(ISNA(MATCH(1743,Engine!$C$2:$C$1960,0)),"",INDEX('Compliance Database'!$H$2:$H$1960,MATCH(1743,Engine!$C$2:$C$1960,0)))</f>
        <v/>
      </c>
      <c r="I1756" s="9">
        <f>IF(ISNA(MATCH(1743,Engine!$C$2:$C$1960,0)),"",INDEX('Compliance Database'!$I$2:$I$1960,MATCH(1743,Engine!$C$2:$C$1960,0)))</f>
        <v/>
      </c>
      <c r="J1756" s="8">
        <f>IF(ISNA(MATCH(1743,Engine!$C$2:$C$1960,0)),"",INDEX('Compliance Database'!$J$2:$J$1960,MATCH(1743,Engine!$C$2:$C$1960,0)))</f>
        <v/>
      </c>
      <c r="K1756" s="9">
        <f>IF(ISNA(MATCH(1743,Engine!$C$2:$C$1960,0)),"",INDEX('Compliance Database'!$K$2:$K$1960,MATCH(1743,Engine!$C$2:$C$1960,0)))</f>
        <v/>
      </c>
      <c r="L1756" s="9">
        <f>IF(ISNA(MATCH(1743,Engine!$C$2:$C$1960,0)),"",INDEX('Compliance Database'!$L$2:$L$1960,MATCH(1743,Engine!$C$2:$C$1960,0)))</f>
        <v/>
      </c>
      <c r="M1756" s="9">
        <f>IF(ISNA(MATCH(1743,Engine!$C$2:$C$1960,0)),"",INDEX('Compliance Database'!$M$2:$M$1960,MATCH(1743,Engine!$C$2:$C$1960,0)))</f>
        <v/>
      </c>
      <c r="N1756" s="9">
        <f>IF(ISNA(MATCH(1743,Engine!$C$2:$C$1960,0)),"",INDEX('Compliance Database'!$N$2:$N$1960,MATCH(1743,Engine!$C$2:$C$1960,0)))</f>
        <v/>
      </c>
      <c r="O1756" s="9">
        <f>IF(ISNA(MATCH(1743,Engine!$C$2:$C$1960,0)),"",INDEX('Compliance Database'!$O$2:$O$1960,MATCH(1743,Engine!$C$2:$C$1960,0)))</f>
        <v/>
      </c>
      <c r="P1756" s="8">
        <f>IF(ISNA(MATCH(1743,Engine!$C$2:$C$1960,0)),"",HYPERLINK("#Acts!A"&amp;INDEX('Compliance Database'!$P$2:$P$1960,MATCH(1743,Engine!$C$2:$C$1960,0)),"Go to Act"))</f>
        <v/>
      </c>
    </row>
    <row r="1757" ht="158" customHeight="1">
      <c r="A1757" s="8">
        <f>IF(ISNA(MATCH(1744,Engine!$C$2:$C$1960,0)),"",INDEX('Compliance Database'!$A$2:$A$1960,MATCH(1744,Engine!$C$2:$C$1960,0)))</f>
        <v/>
      </c>
      <c r="B1757" s="8">
        <f>IF(ISNA(MATCH(1744,Engine!$C$2:$C$1960,0)),"",INDEX('Compliance Database'!$B$2:$B$1960,MATCH(1744,Engine!$C$2:$C$1960,0)))</f>
        <v/>
      </c>
      <c r="C1757" s="8">
        <f>IF(ISNA(MATCH(1744,Engine!$C$2:$C$1960,0)),"",INDEX('Compliance Database'!$C$2:$C$1960,MATCH(1744,Engine!$C$2:$C$1960,0)))</f>
        <v/>
      </c>
      <c r="D1757" s="9">
        <f>IF(ISNA(MATCH(1744,Engine!$C$2:$C$1960,0)),"",INDEX('Compliance Database'!$D$2:$D$1960,MATCH(1744,Engine!$C$2:$C$1960,0)))</f>
        <v/>
      </c>
      <c r="E1757" s="8">
        <f>IF(ISNA(MATCH(1744,Engine!$C$2:$C$1960,0)),"",INDEX('Compliance Database'!$E$2:$E$1960,MATCH(1744,Engine!$C$2:$C$1960,0)))</f>
        <v/>
      </c>
      <c r="F1757" s="8">
        <f>IF(ISNA(MATCH(1744,Engine!$C$2:$C$1960,0)),"",INDEX('Compliance Database'!$F$2:$F$1960,MATCH(1744,Engine!$C$2:$C$1960,0)))</f>
        <v/>
      </c>
      <c r="G1757" s="8">
        <f>IF(ISNA(MATCH(1744,Engine!$C$2:$C$1960,0)),"",INDEX('Compliance Database'!$G$2:$G$1960,MATCH(1744,Engine!$C$2:$C$1960,0)))</f>
        <v/>
      </c>
      <c r="H1757" s="9">
        <f>IF(ISNA(MATCH(1744,Engine!$C$2:$C$1960,0)),"",INDEX('Compliance Database'!$H$2:$H$1960,MATCH(1744,Engine!$C$2:$C$1960,0)))</f>
        <v/>
      </c>
      <c r="I1757" s="9">
        <f>IF(ISNA(MATCH(1744,Engine!$C$2:$C$1960,0)),"",INDEX('Compliance Database'!$I$2:$I$1960,MATCH(1744,Engine!$C$2:$C$1960,0)))</f>
        <v/>
      </c>
      <c r="J1757" s="8">
        <f>IF(ISNA(MATCH(1744,Engine!$C$2:$C$1960,0)),"",INDEX('Compliance Database'!$J$2:$J$1960,MATCH(1744,Engine!$C$2:$C$1960,0)))</f>
        <v/>
      </c>
      <c r="K1757" s="9">
        <f>IF(ISNA(MATCH(1744,Engine!$C$2:$C$1960,0)),"",INDEX('Compliance Database'!$K$2:$K$1960,MATCH(1744,Engine!$C$2:$C$1960,0)))</f>
        <v/>
      </c>
      <c r="L1757" s="9">
        <f>IF(ISNA(MATCH(1744,Engine!$C$2:$C$1960,0)),"",INDEX('Compliance Database'!$L$2:$L$1960,MATCH(1744,Engine!$C$2:$C$1960,0)))</f>
        <v/>
      </c>
      <c r="M1757" s="9">
        <f>IF(ISNA(MATCH(1744,Engine!$C$2:$C$1960,0)),"",INDEX('Compliance Database'!$M$2:$M$1960,MATCH(1744,Engine!$C$2:$C$1960,0)))</f>
        <v/>
      </c>
      <c r="N1757" s="9">
        <f>IF(ISNA(MATCH(1744,Engine!$C$2:$C$1960,0)),"",INDEX('Compliance Database'!$N$2:$N$1960,MATCH(1744,Engine!$C$2:$C$1960,0)))</f>
        <v/>
      </c>
      <c r="O1757" s="9">
        <f>IF(ISNA(MATCH(1744,Engine!$C$2:$C$1960,0)),"",INDEX('Compliance Database'!$O$2:$O$1960,MATCH(1744,Engine!$C$2:$C$1960,0)))</f>
        <v/>
      </c>
      <c r="P1757" s="8">
        <f>IF(ISNA(MATCH(1744,Engine!$C$2:$C$1960,0)),"",HYPERLINK("#Acts!A"&amp;INDEX('Compliance Database'!$P$2:$P$1960,MATCH(1744,Engine!$C$2:$C$1960,0)),"Go to Act"))</f>
        <v/>
      </c>
    </row>
    <row r="1758" ht="158" customHeight="1">
      <c r="A1758" s="8">
        <f>IF(ISNA(MATCH(1745,Engine!$C$2:$C$1960,0)),"",INDEX('Compliance Database'!$A$2:$A$1960,MATCH(1745,Engine!$C$2:$C$1960,0)))</f>
        <v/>
      </c>
      <c r="B1758" s="8">
        <f>IF(ISNA(MATCH(1745,Engine!$C$2:$C$1960,0)),"",INDEX('Compliance Database'!$B$2:$B$1960,MATCH(1745,Engine!$C$2:$C$1960,0)))</f>
        <v/>
      </c>
      <c r="C1758" s="8">
        <f>IF(ISNA(MATCH(1745,Engine!$C$2:$C$1960,0)),"",INDEX('Compliance Database'!$C$2:$C$1960,MATCH(1745,Engine!$C$2:$C$1960,0)))</f>
        <v/>
      </c>
      <c r="D1758" s="9">
        <f>IF(ISNA(MATCH(1745,Engine!$C$2:$C$1960,0)),"",INDEX('Compliance Database'!$D$2:$D$1960,MATCH(1745,Engine!$C$2:$C$1960,0)))</f>
        <v/>
      </c>
      <c r="E1758" s="8">
        <f>IF(ISNA(MATCH(1745,Engine!$C$2:$C$1960,0)),"",INDEX('Compliance Database'!$E$2:$E$1960,MATCH(1745,Engine!$C$2:$C$1960,0)))</f>
        <v/>
      </c>
      <c r="F1758" s="8">
        <f>IF(ISNA(MATCH(1745,Engine!$C$2:$C$1960,0)),"",INDEX('Compliance Database'!$F$2:$F$1960,MATCH(1745,Engine!$C$2:$C$1960,0)))</f>
        <v/>
      </c>
      <c r="G1758" s="8">
        <f>IF(ISNA(MATCH(1745,Engine!$C$2:$C$1960,0)),"",INDEX('Compliance Database'!$G$2:$G$1960,MATCH(1745,Engine!$C$2:$C$1960,0)))</f>
        <v/>
      </c>
      <c r="H1758" s="9">
        <f>IF(ISNA(MATCH(1745,Engine!$C$2:$C$1960,0)),"",INDEX('Compliance Database'!$H$2:$H$1960,MATCH(1745,Engine!$C$2:$C$1960,0)))</f>
        <v/>
      </c>
      <c r="I1758" s="9">
        <f>IF(ISNA(MATCH(1745,Engine!$C$2:$C$1960,0)),"",INDEX('Compliance Database'!$I$2:$I$1960,MATCH(1745,Engine!$C$2:$C$1960,0)))</f>
        <v/>
      </c>
      <c r="J1758" s="8">
        <f>IF(ISNA(MATCH(1745,Engine!$C$2:$C$1960,0)),"",INDEX('Compliance Database'!$J$2:$J$1960,MATCH(1745,Engine!$C$2:$C$1960,0)))</f>
        <v/>
      </c>
      <c r="K1758" s="9">
        <f>IF(ISNA(MATCH(1745,Engine!$C$2:$C$1960,0)),"",INDEX('Compliance Database'!$K$2:$K$1960,MATCH(1745,Engine!$C$2:$C$1960,0)))</f>
        <v/>
      </c>
      <c r="L1758" s="9">
        <f>IF(ISNA(MATCH(1745,Engine!$C$2:$C$1960,0)),"",INDEX('Compliance Database'!$L$2:$L$1960,MATCH(1745,Engine!$C$2:$C$1960,0)))</f>
        <v/>
      </c>
      <c r="M1758" s="9">
        <f>IF(ISNA(MATCH(1745,Engine!$C$2:$C$1960,0)),"",INDEX('Compliance Database'!$M$2:$M$1960,MATCH(1745,Engine!$C$2:$C$1960,0)))</f>
        <v/>
      </c>
      <c r="N1758" s="9">
        <f>IF(ISNA(MATCH(1745,Engine!$C$2:$C$1960,0)),"",INDEX('Compliance Database'!$N$2:$N$1960,MATCH(1745,Engine!$C$2:$C$1960,0)))</f>
        <v/>
      </c>
      <c r="O1758" s="9">
        <f>IF(ISNA(MATCH(1745,Engine!$C$2:$C$1960,0)),"",INDEX('Compliance Database'!$O$2:$O$1960,MATCH(1745,Engine!$C$2:$C$1960,0)))</f>
        <v/>
      </c>
      <c r="P1758" s="8">
        <f>IF(ISNA(MATCH(1745,Engine!$C$2:$C$1960,0)),"",HYPERLINK("#Acts!A"&amp;INDEX('Compliance Database'!$P$2:$P$1960,MATCH(1745,Engine!$C$2:$C$1960,0)),"Go to Act"))</f>
        <v/>
      </c>
    </row>
    <row r="1759" ht="158" customHeight="1">
      <c r="A1759" s="8">
        <f>IF(ISNA(MATCH(1746,Engine!$C$2:$C$1960,0)),"",INDEX('Compliance Database'!$A$2:$A$1960,MATCH(1746,Engine!$C$2:$C$1960,0)))</f>
        <v/>
      </c>
      <c r="B1759" s="8">
        <f>IF(ISNA(MATCH(1746,Engine!$C$2:$C$1960,0)),"",INDEX('Compliance Database'!$B$2:$B$1960,MATCH(1746,Engine!$C$2:$C$1960,0)))</f>
        <v/>
      </c>
      <c r="C1759" s="8">
        <f>IF(ISNA(MATCH(1746,Engine!$C$2:$C$1960,0)),"",INDEX('Compliance Database'!$C$2:$C$1960,MATCH(1746,Engine!$C$2:$C$1960,0)))</f>
        <v/>
      </c>
      <c r="D1759" s="9">
        <f>IF(ISNA(MATCH(1746,Engine!$C$2:$C$1960,0)),"",INDEX('Compliance Database'!$D$2:$D$1960,MATCH(1746,Engine!$C$2:$C$1960,0)))</f>
        <v/>
      </c>
      <c r="E1759" s="8">
        <f>IF(ISNA(MATCH(1746,Engine!$C$2:$C$1960,0)),"",INDEX('Compliance Database'!$E$2:$E$1960,MATCH(1746,Engine!$C$2:$C$1960,0)))</f>
        <v/>
      </c>
      <c r="F1759" s="8">
        <f>IF(ISNA(MATCH(1746,Engine!$C$2:$C$1960,0)),"",INDEX('Compliance Database'!$F$2:$F$1960,MATCH(1746,Engine!$C$2:$C$1960,0)))</f>
        <v/>
      </c>
      <c r="G1759" s="8">
        <f>IF(ISNA(MATCH(1746,Engine!$C$2:$C$1960,0)),"",INDEX('Compliance Database'!$G$2:$G$1960,MATCH(1746,Engine!$C$2:$C$1960,0)))</f>
        <v/>
      </c>
      <c r="H1759" s="9">
        <f>IF(ISNA(MATCH(1746,Engine!$C$2:$C$1960,0)),"",INDEX('Compliance Database'!$H$2:$H$1960,MATCH(1746,Engine!$C$2:$C$1960,0)))</f>
        <v/>
      </c>
      <c r="I1759" s="9">
        <f>IF(ISNA(MATCH(1746,Engine!$C$2:$C$1960,0)),"",INDEX('Compliance Database'!$I$2:$I$1960,MATCH(1746,Engine!$C$2:$C$1960,0)))</f>
        <v/>
      </c>
      <c r="J1759" s="8">
        <f>IF(ISNA(MATCH(1746,Engine!$C$2:$C$1960,0)),"",INDEX('Compliance Database'!$J$2:$J$1960,MATCH(1746,Engine!$C$2:$C$1960,0)))</f>
        <v/>
      </c>
      <c r="K1759" s="9">
        <f>IF(ISNA(MATCH(1746,Engine!$C$2:$C$1960,0)),"",INDEX('Compliance Database'!$K$2:$K$1960,MATCH(1746,Engine!$C$2:$C$1960,0)))</f>
        <v/>
      </c>
      <c r="L1759" s="9">
        <f>IF(ISNA(MATCH(1746,Engine!$C$2:$C$1960,0)),"",INDEX('Compliance Database'!$L$2:$L$1960,MATCH(1746,Engine!$C$2:$C$1960,0)))</f>
        <v/>
      </c>
      <c r="M1759" s="9">
        <f>IF(ISNA(MATCH(1746,Engine!$C$2:$C$1960,0)),"",INDEX('Compliance Database'!$M$2:$M$1960,MATCH(1746,Engine!$C$2:$C$1960,0)))</f>
        <v/>
      </c>
      <c r="N1759" s="9">
        <f>IF(ISNA(MATCH(1746,Engine!$C$2:$C$1960,0)),"",INDEX('Compliance Database'!$N$2:$N$1960,MATCH(1746,Engine!$C$2:$C$1960,0)))</f>
        <v/>
      </c>
      <c r="O1759" s="9">
        <f>IF(ISNA(MATCH(1746,Engine!$C$2:$C$1960,0)),"",INDEX('Compliance Database'!$O$2:$O$1960,MATCH(1746,Engine!$C$2:$C$1960,0)))</f>
        <v/>
      </c>
      <c r="P1759" s="8">
        <f>IF(ISNA(MATCH(1746,Engine!$C$2:$C$1960,0)),"",HYPERLINK("#Acts!A"&amp;INDEX('Compliance Database'!$P$2:$P$1960,MATCH(1746,Engine!$C$2:$C$1960,0)),"Go to Act"))</f>
        <v/>
      </c>
    </row>
    <row r="1760" ht="158" customHeight="1">
      <c r="A1760" s="8">
        <f>IF(ISNA(MATCH(1747,Engine!$C$2:$C$1960,0)),"",INDEX('Compliance Database'!$A$2:$A$1960,MATCH(1747,Engine!$C$2:$C$1960,0)))</f>
        <v/>
      </c>
      <c r="B1760" s="8">
        <f>IF(ISNA(MATCH(1747,Engine!$C$2:$C$1960,0)),"",INDEX('Compliance Database'!$B$2:$B$1960,MATCH(1747,Engine!$C$2:$C$1960,0)))</f>
        <v/>
      </c>
      <c r="C1760" s="8">
        <f>IF(ISNA(MATCH(1747,Engine!$C$2:$C$1960,0)),"",INDEX('Compliance Database'!$C$2:$C$1960,MATCH(1747,Engine!$C$2:$C$1960,0)))</f>
        <v/>
      </c>
      <c r="D1760" s="9">
        <f>IF(ISNA(MATCH(1747,Engine!$C$2:$C$1960,0)),"",INDEX('Compliance Database'!$D$2:$D$1960,MATCH(1747,Engine!$C$2:$C$1960,0)))</f>
        <v/>
      </c>
      <c r="E1760" s="8">
        <f>IF(ISNA(MATCH(1747,Engine!$C$2:$C$1960,0)),"",INDEX('Compliance Database'!$E$2:$E$1960,MATCH(1747,Engine!$C$2:$C$1960,0)))</f>
        <v/>
      </c>
      <c r="F1760" s="8">
        <f>IF(ISNA(MATCH(1747,Engine!$C$2:$C$1960,0)),"",INDEX('Compliance Database'!$F$2:$F$1960,MATCH(1747,Engine!$C$2:$C$1960,0)))</f>
        <v/>
      </c>
      <c r="G1760" s="8">
        <f>IF(ISNA(MATCH(1747,Engine!$C$2:$C$1960,0)),"",INDEX('Compliance Database'!$G$2:$G$1960,MATCH(1747,Engine!$C$2:$C$1960,0)))</f>
        <v/>
      </c>
      <c r="H1760" s="9">
        <f>IF(ISNA(MATCH(1747,Engine!$C$2:$C$1960,0)),"",INDEX('Compliance Database'!$H$2:$H$1960,MATCH(1747,Engine!$C$2:$C$1960,0)))</f>
        <v/>
      </c>
      <c r="I1760" s="9">
        <f>IF(ISNA(MATCH(1747,Engine!$C$2:$C$1960,0)),"",INDEX('Compliance Database'!$I$2:$I$1960,MATCH(1747,Engine!$C$2:$C$1960,0)))</f>
        <v/>
      </c>
      <c r="J1760" s="8">
        <f>IF(ISNA(MATCH(1747,Engine!$C$2:$C$1960,0)),"",INDEX('Compliance Database'!$J$2:$J$1960,MATCH(1747,Engine!$C$2:$C$1960,0)))</f>
        <v/>
      </c>
      <c r="K1760" s="9">
        <f>IF(ISNA(MATCH(1747,Engine!$C$2:$C$1960,0)),"",INDEX('Compliance Database'!$K$2:$K$1960,MATCH(1747,Engine!$C$2:$C$1960,0)))</f>
        <v/>
      </c>
      <c r="L1760" s="9">
        <f>IF(ISNA(MATCH(1747,Engine!$C$2:$C$1960,0)),"",INDEX('Compliance Database'!$L$2:$L$1960,MATCH(1747,Engine!$C$2:$C$1960,0)))</f>
        <v/>
      </c>
      <c r="M1760" s="9">
        <f>IF(ISNA(MATCH(1747,Engine!$C$2:$C$1960,0)),"",INDEX('Compliance Database'!$M$2:$M$1960,MATCH(1747,Engine!$C$2:$C$1960,0)))</f>
        <v/>
      </c>
      <c r="N1760" s="9">
        <f>IF(ISNA(MATCH(1747,Engine!$C$2:$C$1960,0)),"",INDEX('Compliance Database'!$N$2:$N$1960,MATCH(1747,Engine!$C$2:$C$1960,0)))</f>
        <v/>
      </c>
      <c r="O1760" s="9">
        <f>IF(ISNA(MATCH(1747,Engine!$C$2:$C$1960,0)),"",INDEX('Compliance Database'!$O$2:$O$1960,MATCH(1747,Engine!$C$2:$C$1960,0)))</f>
        <v/>
      </c>
      <c r="P1760" s="8">
        <f>IF(ISNA(MATCH(1747,Engine!$C$2:$C$1960,0)),"",HYPERLINK("#Acts!A"&amp;INDEX('Compliance Database'!$P$2:$P$1960,MATCH(1747,Engine!$C$2:$C$1960,0)),"Go to Act"))</f>
        <v/>
      </c>
    </row>
    <row r="1761" ht="158" customHeight="1">
      <c r="A1761" s="8">
        <f>IF(ISNA(MATCH(1748,Engine!$C$2:$C$1960,0)),"",INDEX('Compliance Database'!$A$2:$A$1960,MATCH(1748,Engine!$C$2:$C$1960,0)))</f>
        <v/>
      </c>
      <c r="B1761" s="8">
        <f>IF(ISNA(MATCH(1748,Engine!$C$2:$C$1960,0)),"",INDEX('Compliance Database'!$B$2:$B$1960,MATCH(1748,Engine!$C$2:$C$1960,0)))</f>
        <v/>
      </c>
      <c r="C1761" s="8">
        <f>IF(ISNA(MATCH(1748,Engine!$C$2:$C$1960,0)),"",INDEX('Compliance Database'!$C$2:$C$1960,MATCH(1748,Engine!$C$2:$C$1960,0)))</f>
        <v/>
      </c>
      <c r="D1761" s="9">
        <f>IF(ISNA(MATCH(1748,Engine!$C$2:$C$1960,0)),"",INDEX('Compliance Database'!$D$2:$D$1960,MATCH(1748,Engine!$C$2:$C$1960,0)))</f>
        <v/>
      </c>
      <c r="E1761" s="8">
        <f>IF(ISNA(MATCH(1748,Engine!$C$2:$C$1960,0)),"",INDEX('Compliance Database'!$E$2:$E$1960,MATCH(1748,Engine!$C$2:$C$1960,0)))</f>
        <v/>
      </c>
      <c r="F1761" s="8">
        <f>IF(ISNA(MATCH(1748,Engine!$C$2:$C$1960,0)),"",INDEX('Compliance Database'!$F$2:$F$1960,MATCH(1748,Engine!$C$2:$C$1960,0)))</f>
        <v/>
      </c>
      <c r="G1761" s="8">
        <f>IF(ISNA(MATCH(1748,Engine!$C$2:$C$1960,0)),"",INDEX('Compliance Database'!$G$2:$G$1960,MATCH(1748,Engine!$C$2:$C$1960,0)))</f>
        <v/>
      </c>
      <c r="H1761" s="9">
        <f>IF(ISNA(MATCH(1748,Engine!$C$2:$C$1960,0)),"",INDEX('Compliance Database'!$H$2:$H$1960,MATCH(1748,Engine!$C$2:$C$1960,0)))</f>
        <v/>
      </c>
      <c r="I1761" s="9">
        <f>IF(ISNA(MATCH(1748,Engine!$C$2:$C$1960,0)),"",INDEX('Compliance Database'!$I$2:$I$1960,MATCH(1748,Engine!$C$2:$C$1960,0)))</f>
        <v/>
      </c>
      <c r="J1761" s="8">
        <f>IF(ISNA(MATCH(1748,Engine!$C$2:$C$1960,0)),"",INDEX('Compliance Database'!$J$2:$J$1960,MATCH(1748,Engine!$C$2:$C$1960,0)))</f>
        <v/>
      </c>
      <c r="K1761" s="9">
        <f>IF(ISNA(MATCH(1748,Engine!$C$2:$C$1960,0)),"",INDEX('Compliance Database'!$K$2:$K$1960,MATCH(1748,Engine!$C$2:$C$1960,0)))</f>
        <v/>
      </c>
      <c r="L1761" s="9">
        <f>IF(ISNA(MATCH(1748,Engine!$C$2:$C$1960,0)),"",INDEX('Compliance Database'!$L$2:$L$1960,MATCH(1748,Engine!$C$2:$C$1960,0)))</f>
        <v/>
      </c>
      <c r="M1761" s="9">
        <f>IF(ISNA(MATCH(1748,Engine!$C$2:$C$1960,0)),"",INDEX('Compliance Database'!$M$2:$M$1960,MATCH(1748,Engine!$C$2:$C$1960,0)))</f>
        <v/>
      </c>
      <c r="N1761" s="9">
        <f>IF(ISNA(MATCH(1748,Engine!$C$2:$C$1960,0)),"",INDEX('Compliance Database'!$N$2:$N$1960,MATCH(1748,Engine!$C$2:$C$1960,0)))</f>
        <v/>
      </c>
      <c r="O1761" s="9">
        <f>IF(ISNA(MATCH(1748,Engine!$C$2:$C$1960,0)),"",INDEX('Compliance Database'!$O$2:$O$1960,MATCH(1748,Engine!$C$2:$C$1960,0)))</f>
        <v/>
      </c>
      <c r="P1761" s="8">
        <f>IF(ISNA(MATCH(1748,Engine!$C$2:$C$1960,0)),"",HYPERLINK("#Acts!A"&amp;INDEX('Compliance Database'!$P$2:$P$1960,MATCH(1748,Engine!$C$2:$C$1960,0)),"Go to Act"))</f>
        <v/>
      </c>
    </row>
    <row r="1762" ht="158" customHeight="1">
      <c r="A1762" s="8">
        <f>IF(ISNA(MATCH(1749,Engine!$C$2:$C$1960,0)),"",INDEX('Compliance Database'!$A$2:$A$1960,MATCH(1749,Engine!$C$2:$C$1960,0)))</f>
        <v/>
      </c>
      <c r="B1762" s="8">
        <f>IF(ISNA(MATCH(1749,Engine!$C$2:$C$1960,0)),"",INDEX('Compliance Database'!$B$2:$B$1960,MATCH(1749,Engine!$C$2:$C$1960,0)))</f>
        <v/>
      </c>
      <c r="C1762" s="8">
        <f>IF(ISNA(MATCH(1749,Engine!$C$2:$C$1960,0)),"",INDEX('Compliance Database'!$C$2:$C$1960,MATCH(1749,Engine!$C$2:$C$1960,0)))</f>
        <v/>
      </c>
      <c r="D1762" s="9">
        <f>IF(ISNA(MATCH(1749,Engine!$C$2:$C$1960,0)),"",INDEX('Compliance Database'!$D$2:$D$1960,MATCH(1749,Engine!$C$2:$C$1960,0)))</f>
        <v/>
      </c>
      <c r="E1762" s="8">
        <f>IF(ISNA(MATCH(1749,Engine!$C$2:$C$1960,0)),"",INDEX('Compliance Database'!$E$2:$E$1960,MATCH(1749,Engine!$C$2:$C$1960,0)))</f>
        <v/>
      </c>
      <c r="F1762" s="8">
        <f>IF(ISNA(MATCH(1749,Engine!$C$2:$C$1960,0)),"",INDEX('Compliance Database'!$F$2:$F$1960,MATCH(1749,Engine!$C$2:$C$1960,0)))</f>
        <v/>
      </c>
      <c r="G1762" s="8">
        <f>IF(ISNA(MATCH(1749,Engine!$C$2:$C$1960,0)),"",INDEX('Compliance Database'!$G$2:$G$1960,MATCH(1749,Engine!$C$2:$C$1960,0)))</f>
        <v/>
      </c>
      <c r="H1762" s="9">
        <f>IF(ISNA(MATCH(1749,Engine!$C$2:$C$1960,0)),"",INDEX('Compliance Database'!$H$2:$H$1960,MATCH(1749,Engine!$C$2:$C$1960,0)))</f>
        <v/>
      </c>
      <c r="I1762" s="9">
        <f>IF(ISNA(MATCH(1749,Engine!$C$2:$C$1960,0)),"",INDEX('Compliance Database'!$I$2:$I$1960,MATCH(1749,Engine!$C$2:$C$1960,0)))</f>
        <v/>
      </c>
      <c r="J1762" s="8">
        <f>IF(ISNA(MATCH(1749,Engine!$C$2:$C$1960,0)),"",INDEX('Compliance Database'!$J$2:$J$1960,MATCH(1749,Engine!$C$2:$C$1960,0)))</f>
        <v/>
      </c>
      <c r="K1762" s="9">
        <f>IF(ISNA(MATCH(1749,Engine!$C$2:$C$1960,0)),"",INDEX('Compliance Database'!$K$2:$K$1960,MATCH(1749,Engine!$C$2:$C$1960,0)))</f>
        <v/>
      </c>
      <c r="L1762" s="9">
        <f>IF(ISNA(MATCH(1749,Engine!$C$2:$C$1960,0)),"",INDEX('Compliance Database'!$L$2:$L$1960,MATCH(1749,Engine!$C$2:$C$1960,0)))</f>
        <v/>
      </c>
      <c r="M1762" s="9">
        <f>IF(ISNA(MATCH(1749,Engine!$C$2:$C$1960,0)),"",INDEX('Compliance Database'!$M$2:$M$1960,MATCH(1749,Engine!$C$2:$C$1960,0)))</f>
        <v/>
      </c>
      <c r="N1762" s="9">
        <f>IF(ISNA(MATCH(1749,Engine!$C$2:$C$1960,0)),"",INDEX('Compliance Database'!$N$2:$N$1960,MATCH(1749,Engine!$C$2:$C$1960,0)))</f>
        <v/>
      </c>
      <c r="O1762" s="9">
        <f>IF(ISNA(MATCH(1749,Engine!$C$2:$C$1960,0)),"",INDEX('Compliance Database'!$O$2:$O$1960,MATCH(1749,Engine!$C$2:$C$1960,0)))</f>
        <v/>
      </c>
      <c r="P1762" s="8">
        <f>IF(ISNA(MATCH(1749,Engine!$C$2:$C$1960,0)),"",HYPERLINK("#Acts!A"&amp;INDEX('Compliance Database'!$P$2:$P$1960,MATCH(1749,Engine!$C$2:$C$1960,0)),"Go to Act"))</f>
        <v/>
      </c>
    </row>
    <row r="1763" ht="158" customHeight="1">
      <c r="A1763" s="8">
        <f>IF(ISNA(MATCH(1750,Engine!$C$2:$C$1960,0)),"",INDEX('Compliance Database'!$A$2:$A$1960,MATCH(1750,Engine!$C$2:$C$1960,0)))</f>
        <v/>
      </c>
      <c r="B1763" s="8">
        <f>IF(ISNA(MATCH(1750,Engine!$C$2:$C$1960,0)),"",INDEX('Compliance Database'!$B$2:$B$1960,MATCH(1750,Engine!$C$2:$C$1960,0)))</f>
        <v/>
      </c>
      <c r="C1763" s="8">
        <f>IF(ISNA(MATCH(1750,Engine!$C$2:$C$1960,0)),"",INDEX('Compliance Database'!$C$2:$C$1960,MATCH(1750,Engine!$C$2:$C$1960,0)))</f>
        <v/>
      </c>
      <c r="D1763" s="9">
        <f>IF(ISNA(MATCH(1750,Engine!$C$2:$C$1960,0)),"",INDEX('Compliance Database'!$D$2:$D$1960,MATCH(1750,Engine!$C$2:$C$1960,0)))</f>
        <v/>
      </c>
      <c r="E1763" s="8">
        <f>IF(ISNA(MATCH(1750,Engine!$C$2:$C$1960,0)),"",INDEX('Compliance Database'!$E$2:$E$1960,MATCH(1750,Engine!$C$2:$C$1960,0)))</f>
        <v/>
      </c>
      <c r="F1763" s="8">
        <f>IF(ISNA(MATCH(1750,Engine!$C$2:$C$1960,0)),"",INDEX('Compliance Database'!$F$2:$F$1960,MATCH(1750,Engine!$C$2:$C$1960,0)))</f>
        <v/>
      </c>
      <c r="G1763" s="8">
        <f>IF(ISNA(MATCH(1750,Engine!$C$2:$C$1960,0)),"",INDEX('Compliance Database'!$G$2:$G$1960,MATCH(1750,Engine!$C$2:$C$1960,0)))</f>
        <v/>
      </c>
      <c r="H1763" s="9">
        <f>IF(ISNA(MATCH(1750,Engine!$C$2:$C$1960,0)),"",INDEX('Compliance Database'!$H$2:$H$1960,MATCH(1750,Engine!$C$2:$C$1960,0)))</f>
        <v/>
      </c>
      <c r="I1763" s="9">
        <f>IF(ISNA(MATCH(1750,Engine!$C$2:$C$1960,0)),"",INDEX('Compliance Database'!$I$2:$I$1960,MATCH(1750,Engine!$C$2:$C$1960,0)))</f>
        <v/>
      </c>
      <c r="J1763" s="8">
        <f>IF(ISNA(MATCH(1750,Engine!$C$2:$C$1960,0)),"",INDEX('Compliance Database'!$J$2:$J$1960,MATCH(1750,Engine!$C$2:$C$1960,0)))</f>
        <v/>
      </c>
      <c r="K1763" s="9">
        <f>IF(ISNA(MATCH(1750,Engine!$C$2:$C$1960,0)),"",INDEX('Compliance Database'!$K$2:$K$1960,MATCH(1750,Engine!$C$2:$C$1960,0)))</f>
        <v/>
      </c>
      <c r="L1763" s="9">
        <f>IF(ISNA(MATCH(1750,Engine!$C$2:$C$1960,0)),"",INDEX('Compliance Database'!$L$2:$L$1960,MATCH(1750,Engine!$C$2:$C$1960,0)))</f>
        <v/>
      </c>
      <c r="M1763" s="9">
        <f>IF(ISNA(MATCH(1750,Engine!$C$2:$C$1960,0)),"",INDEX('Compliance Database'!$M$2:$M$1960,MATCH(1750,Engine!$C$2:$C$1960,0)))</f>
        <v/>
      </c>
      <c r="N1763" s="9">
        <f>IF(ISNA(MATCH(1750,Engine!$C$2:$C$1960,0)),"",INDEX('Compliance Database'!$N$2:$N$1960,MATCH(1750,Engine!$C$2:$C$1960,0)))</f>
        <v/>
      </c>
      <c r="O1763" s="9">
        <f>IF(ISNA(MATCH(1750,Engine!$C$2:$C$1960,0)),"",INDEX('Compliance Database'!$O$2:$O$1960,MATCH(1750,Engine!$C$2:$C$1960,0)))</f>
        <v/>
      </c>
      <c r="P1763" s="8">
        <f>IF(ISNA(MATCH(1750,Engine!$C$2:$C$1960,0)),"",HYPERLINK("#Acts!A"&amp;INDEX('Compliance Database'!$P$2:$P$1960,MATCH(1750,Engine!$C$2:$C$1960,0)),"Go to Act"))</f>
        <v/>
      </c>
    </row>
    <row r="1764" ht="158" customHeight="1">
      <c r="A1764" s="8">
        <f>IF(ISNA(MATCH(1751,Engine!$C$2:$C$1960,0)),"",INDEX('Compliance Database'!$A$2:$A$1960,MATCH(1751,Engine!$C$2:$C$1960,0)))</f>
        <v/>
      </c>
      <c r="B1764" s="8">
        <f>IF(ISNA(MATCH(1751,Engine!$C$2:$C$1960,0)),"",INDEX('Compliance Database'!$B$2:$B$1960,MATCH(1751,Engine!$C$2:$C$1960,0)))</f>
        <v/>
      </c>
      <c r="C1764" s="8">
        <f>IF(ISNA(MATCH(1751,Engine!$C$2:$C$1960,0)),"",INDEX('Compliance Database'!$C$2:$C$1960,MATCH(1751,Engine!$C$2:$C$1960,0)))</f>
        <v/>
      </c>
      <c r="D1764" s="9">
        <f>IF(ISNA(MATCH(1751,Engine!$C$2:$C$1960,0)),"",INDEX('Compliance Database'!$D$2:$D$1960,MATCH(1751,Engine!$C$2:$C$1960,0)))</f>
        <v/>
      </c>
      <c r="E1764" s="8">
        <f>IF(ISNA(MATCH(1751,Engine!$C$2:$C$1960,0)),"",INDEX('Compliance Database'!$E$2:$E$1960,MATCH(1751,Engine!$C$2:$C$1960,0)))</f>
        <v/>
      </c>
      <c r="F1764" s="8">
        <f>IF(ISNA(MATCH(1751,Engine!$C$2:$C$1960,0)),"",INDEX('Compliance Database'!$F$2:$F$1960,MATCH(1751,Engine!$C$2:$C$1960,0)))</f>
        <v/>
      </c>
      <c r="G1764" s="8">
        <f>IF(ISNA(MATCH(1751,Engine!$C$2:$C$1960,0)),"",INDEX('Compliance Database'!$G$2:$G$1960,MATCH(1751,Engine!$C$2:$C$1960,0)))</f>
        <v/>
      </c>
      <c r="H1764" s="9">
        <f>IF(ISNA(MATCH(1751,Engine!$C$2:$C$1960,0)),"",INDEX('Compliance Database'!$H$2:$H$1960,MATCH(1751,Engine!$C$2:$C$1960,0)))</f>
        <v/>
      </c>
      <c r="I1764" s="9">
        <f>IF(ISNA(MATCH(1751,Engine!$C$2:$C$1960,0)),"",INDEX('Compliance Database'!$I$2:$I$1960,MATCH(1751,Engine!$C$2:$C$1960,0)))</f>
        <v/>
      </c>
      <c r="J1764" s="8">
        <f>IF(ISNA(MATCH(1751,Engine!$C$2:$C$1960,0)),"",INDEX('Compliance Database'!$J$2:$J$1960,MATCH(1751,Engine!$C$2:$C$1960,0)))</f>
        <v/>
      </c>
      <c r="K1764" s="9">
        <f>IF(ISNA(MATCH(1751,Engine!$C$2:$C$1960,0)),"",INDEX('Compliance Database'!$K$2:$K$1960,MATCH(1751,Engine!$C$2:$C$1960,0)))</f>
        <v/>
      </c>
      <c r="L1764" s="9">
        <f>IF(ISNA(MATCH(1751,Engine!$C$2:$C$1960,0)),"",INDEX('Compliance Database'!$L$2:$L$1960,MATCH(1751,Engine!$C$2:$C$1960,0)))</f>
        <v/>
      </c>
      <c r="M1764" s="9">
        <f>IF(ISNA(MATCH(1751,Engine!$C$2:$C$1960,0)),"",INDEX('Compliance Database'!$M$2:$M$1960,MATCH(1751,Engine!$C$2:$C$1960,0)))</f>
        <v/>
      </c>
      <c r="N1764" s="9">
        <f>IF(ISNA(MATCH(1751,Engine!$C$2:$C$1960,0)),"",INDEX('Compliance Database'!$N$2:$N$1960,MATCH(1751,Engine!$C$2:$C$1960,0)))</f>
        <v/>
      </c>
      <c r="O1764" s="9">
        <f>IF(ISNA(MATCH(1751,Engine!$C$2:$C$1960,0)),"",INDEX('Compliance Database'!$O$2:$O$1960,MATCH(1751,Engine!$C$2:$C$1960,0)))</f>
        <v/>
      </c>
      <c r="P1764" s="8">
        <f>IF(ISNA(MATCH(1751,Engine!$C$2:$C$1960,0)),"",HYPERLINK("#Acts!A"&amp;INDEX('Compliance Database'!$P$2:$P$1960,MATCH(1751,Engine!$C$2:$C$1960,0)),"Go to Act"))</f>
        <v/>
      </c>
    </row>
    <row r="1765" ht="158" customHeight="1">
      <c r="A1765" s="8">
        <f>IF(ISNA(MATCH(1752,Engine!$C$2:$C$1960,0)),"",INDEX('Compliance Database'!$A$2:$A$1960,MATCH(1752,Engine!$C$2:$C$1960,0)))</f>
        <v/>
      </c>
      <c r="B1765" s="8">
        <f>IF(ISNA(MATCH(1752,Engine!$C$2:$C$1960,0)),"",INDEX('Compliance Database'!$B$2:$B$1960,MATCH(1752,Engine!$C$2:$C$1960,0)))</f>
        <v/>
      </c>
      <c r="C1765" s="8">
        <f>IF(ISNA(MATCH(1752,Engine!$C$2:$C$1960,0)),"",INDEX('Compliance Database'!$C$2:$C$1960,MATCH(1752,Engine!$C$2:$C$1960,0)))</f>
        <v/>
      </c>
      <c r="D1765" s="9">
        <f>IF(ISNA(MATCH(1752,Engine!$C$2:$C$1960,0)),"",INDEX('Compliance Database'!$D$2:$D$1960,MATCH(1752,Engine!$C$2:$C$1960,0)))</f>
        <v/>
      </c>
      <c r="E1765" s="8">
        <f>IF(ISNA(MATCH(1752,Engine!$C$2:$C$1960,0)),"",INDEX('Compliance Database'!$E$2:$E$1960,MATCH(1752,Engine!$C$2:$C$1960,0)))</f>
        <v/>
      </c>
      <c r="F1765" s="8">
        <f>IF(ISNA(MATCH(1752,Engine!$C$2:$C$1960,0)),"",INDEX('Compliance Database'!$F$2:$F$1960,MATCH(1752,Engine!$C$2:$C$1960,0)))</f>
        <v/>
      </c>
      <c r="G1765" s="8">
        <f>IF(ISNA(MATCH(1752,Engine!$C$2:$C$1960,0)),"",INDEX('Compliance Database'!$G$2:$G$1960,MATCH(1752,Engine!$C$2:$C$1960,0)))</f>
        <v/>
      </c>
      <c r="H1765" s="9">
        <f>IF(ISNA(MATCH(1752,Engine!$C$2:$C$1960,0)),"",INDEX('Compliance Database'!$H$2:$H$1960,MATCH(1752,Engine!$C$2:$C$1960,0)))</f>
        <v/>
      </c>
      <c r="I1765" s="9">
        <f>IF(ISNA(MATCH(1752,Engine!$C$2:$C$1960,0)),"",INDEX('Compliance Database'!$I$2:$I$1960,MATCH(1752,Engine!$C$2:$C$1960,0)))</f>
        <v/>
      </c>
      <c r="J1765" s="8">
        <f>IF(ISNA(MATCH(1752,Engine!$C$2:$C$1960,0)),"",INDEX('Compliance Database'!$J$2:$J$1960,MATCH(1752,Engine!$C$2:$C$1960,0)))</f>
        <v/>
      </c>
      <c r="K1765" s="9">
        <f>IF(ISNA(MATCH(1752,Engine!$C$2:$C$1960,0)),"",INDEX('Compliance Database'!$K$2:$K$1960,MATCH(1752,Engine!$C$2:$C$1960,0)))</f>
        <v/>
      </c>
      <c r="L1765" s="9">
        <f>IF(ISNA(MATCH(1752,Engine!$C$2:$C$1960,0)),"",INDEX('Compliance Database'!$L$2:$L$1960,MATCH(1752,Engine!$C$2:$C$1960,0)))</f>
        <v/>
      </c>
      <c r="M1765" s="9">
        <f>IF(ISNA(MATCH(1752,Engine!$C$2:$C$1960,0)),"",INDEX('Compliance Database'!$M$2:$M$1960,MATCH(1752,Engine!$C$2:$C$1960,0)))</f>
        <v/>
      </c>
      <c r="N1765" s="9">
        <f>IF(ISNA(MATCH(1752,Engine!$C$2:$C$1960,0)),"",INDEX('Compliance Database'!$N$2:$N$1960,MATCH(1752,Engine!$C$2:$C$1960,0)))</f>
        <v/>
      </c>
      <c r="O1765" s="9">
        <f>IF(ISNA(MATCH(1752,Engine!$C$2:$C$1960,0)),"",INDEX('Compliance Database'!$O$2:$O$1960,MATCH(1752,Engine!$C$2:$C$1960,0)))</f>
        <v/>
      </c>
      <c r="P1765" s="8">
        <f>IF(ISNA(MATCH(1752,Engine!$C$2:$C$1960,0)),"",HYPERLINK("#Acts!A"&amp;INDEX('Compliance Database'!$P$2:$P$1960,MATCH(1752,Engine!$C$2:$C$1960,0)),"Go to Act"))</f>
        <v/>
      </c>
    </row>
    <row r="1766" ht="158" customHeight="1">
      <c r="A1766" s="8">
        <f>IF(ISNA(MATCH(1753,Engine!$C$2:$C$1960,0)),"",INDEX('Compliance Database'!$A$2:$A$1960,MATCH(1753,Engine!$C$2:$C$1960,0)))</f>
        <v/>
      </c>
      <c r="B1766" s="8">
        <f>IF(ISNA(MATCH(1753,Engine!$C$2:$C$1960,0)),"",INDEX('Compliance Database'!$B$2:$B$1960,MATCH(1753,Engine!$C$2:$C$1960,0)))</f>
        <v/>
      </c>
      <c r="C1766" s="8">
        <f>IF(ISNA(MATCH(1753,Engine!$C$2:$C$1960,0)),"",INDEX('Compliance Database'!$C$2:$C$1960,MATCH(1753,Engine!$C$2:$C$1960,0)))</f>
        <v/>
      </c>
      <c r="D1766" s="9">
        <f>IF(ISNA(MATCH(1753,Engine!$C$2:$C$1960,0)),"",INDEX('Compliance Database'!$D$2:$D$1960,MATCH(1753,Engine!$C$2:$C$1960,0)))</f>
        <v/>
      </c>
      <c r="E1766" s="8">
        <f>IF(ISNA(MATCH(1753,Engine!$C$2:$C$1960,0)),"",INDEX('Compliance Database'!$E$2:$E$1960,MATCH(1753,Engine!$C$2:$C$1960,0)))</f>
        <v/>
      </c>
      <c r="F1766" s="8">
        <f>IF(ISNA(MATCH(1753,Engine!$C$2:$C$1960,0)),"",INDEX('Compliance Database'!$F$2:$F$1960,MATCH(1753,Engine!$C$2:$C$1960,0)))</f>
        <v/>
      </c>
      <c r="G1766" s="8">
        <f>IF(ISNA(MATCH(1753,Engine!$C$2:$C$1960,0)),"",INDEX('Compliance Database'!$G$2:$G$1960,MATCH(1753,Engine!$C$2:$C$1960,0)))</f>
        <v/>
      </c>
      <c r="H1766" s="9">
        <f>IF(ISNA(MATCH(1753,Engine!$C$2:$C$1960,0)),"",INDEX('Compliance Database'!$H$2:$H$1960,MATCH(1753,Engine!$C$2:$C$1960,0)))</f>
        <v/>
      </c>
      <c r="I1766" s="9">
        <f>IF(ISNA(MATCH(1753,Engine!$C$2:$C$1960,0)),"",INDEX('Compliance Database'!$I$2:$I$1960,MATCH(1753,Engine!$C$2:$C$1960,0)))</f>
        <v/>
      </c>
      <c r="J1766" s="8">
        <f>IF(ISNA(MATCH(1753,Engine!$C$2:$C$1960,0)),"",INDEX('Compliance Database'!$J$2:$J$1960,MATCH(1753,Engine!$C$2:$C$1960,0)))</f>
        <v/>
      </c>
      <c r="K1766" s="9">
        <f>IF(ISNA(MATCH(1753,Engine!$C$2:$C$1960,0)),"",INDEX('Compliance Database'!$K$2:$K$1960,MATCH(1753,Engine!$C$2:$C$1960,0)))</f>
        <v/>
      </c>
      <c r="L1766" s="9">
        <f>IF(ISNA(MATCH(1753,Engine!$C$2:$C$1960,0)),"",INDEX('Compliance Database'!$L$2:$L$1960,MATCH(1753,Engine!$C$2:$C$1960,0)))</f>
        <v/>
      </c>
      <c r="M1766" s="9">
        <f>IF(ISNA(MATCH(1753,Engine!$C$2:$C$1960,0)),"",INDEX('Compliance Database'!$M$2:$M$1960,MATCH(1753,Engine!$C$2:$C$1960,0)))</f>
        <v/>
      </c>
      <c r="N1766" s="9">
        <f>IF(ISNA(MATCH(1753,Engine!$C$2:$C$1960,0)),"",INDEX('Compliance Database'!$N$2:$N$1960,MATCH(1753,Engine!$C$2:$C$1960,0)))</f>
        <v/>
      </c>
      <c r="O1766" s="9">
        <f>IF(ISNA(MATCH(1753,Engine!$C$2:$C$1960,0)),"",INDEX('Compliance Database'!$O$2:$O$1960,MATCH(1753,Engine!$C$2:$C$1960,0)))</f>
        <v/>
      </c>
      <c r="P1766" s="8">
        <f>IF(ISNA(MATCH(1753,Engine!$C$2:$C$1960,0)),"",HYPERLINK("#Acts!A"&amp;INDEX('Compliance Database'!$P$2:$P$1960,MATCH(1753,Engine!$C$2:$C$1960,0)),"Go to Act"))</f>
        <v/>
      </c>
    </row>
    <row r="1767" ht="158" customHeight="1">
      <c r="A1767" s="8">
        <f>IF(ISNA(MATCH(1754,Engine!$C$2:$C$1960,0)),"",INDEX('Compliance Database'!$A$2:$A$1960,MATCH(1754,Engine!$C$2:$C$1960,0)))</f>
        <v/>
      </c>
      <c r="B1767" s="8">
        <f>IF(ISNA(MATCH(1754,Engine!$C$2:$C$1960,0)),"",INDEX('Compliance Database'!$B$2:$B$1960,MATCH(1754,Engine!$C$2:$C$1960,0)))</f>
        <v/>
      </c>
      <c r="C1767" s="8">
        <f>IF(ISNA(MATCH(1754,Engine!$C$2:$C$1960,0)),"",INDEX('Compliance Database'!$C$2:$C$1960,MATCH(1754,Engine!$C$2:$C$1960,0)))</f>
        <v/>
      </c>
      <c r="D1767" s="9">
        <f>IF(ISNA(MATCH(1754,Engine!$C$2:$C$1960,0)),"",INDEX('Compliance Database'!$D$2:$D$1960,MATCH(1754,Engine!$C$2:$C$1960,0)))</f>
        <v/>
      </c>
      <c r="E1767" s="8">
        <f>IF(ISNA(MATCH(1754,Engine!$C$2:$C$1960,0)),"",INDEX('Compliance Database'!$E$2:$E$1960,MATCH(1754,Engine!$C$2:$C$1960,0)))</f>
        <v/>
      </c>
      <c r="F1767" s="8">
        <f>IF(ISNA(MATCH(1754,Engine!$C$2:$C$1960,0)),"",INDEX('Compliance Database'!$F$2:$F$1960,MATCH(1754,Engine!$C$2:$C$1960,0)))</f>
        <v/>
      </c>
      <c r="G1767" s="8">
        <f>IF(ISNA(MATCH(1754,Engine!$C$2:$C$1960,0)),"",INDEX('Compliance Database'!$G$2:$G$1960,MATCH(1754,Engine!$C$2:$C$1960,0)))</f>
        <v/>
      </c>
      <c r="H1767" s="9">
        <f>IF(ISNA(MATCH(1754,Engine!$C$2:$C$1960,0)),"",INDEX('Compliance Database'!$H$2:$H$1960,MATCH(1754,Engine!$C$2:$C$1960,0)))</f>
        <v/>
      </c>
      <c r="I1767" s="9">
        <f>IF(ISNA(MATCH(1754,Engine!$C$2:$C$1960,0)),"",INDEX('Compliance Database'!$I$2:$I$1960,MATCH(1754,Engine!$C$2:$C$1960,0)))</f>
        <v/>
      </c>
      <c r="J1767" s="8">
        <f>IF(ISNA(MATCH(1754,Engine!$C$2:$C$1960,0)),"",INDEX('Compliance Database'!$J$2:$J$1960,MATCH(1754,Engine!$C$2:$C$1960,0)))</f>
        <v/>
      </c>
      <c r="K1767" s="9">
        <f>IF(ISNA(MATCH(1754,Engine!$C$2:$C$1960,0)),"",INDEX('Compliance Database'!$K$2:$K$1960,MATCH(1754,Engine!$C$2:$C$1960,0)))</f>
        <v/>
      </c>
      <c r="L1767" s="9">
        <f>IF(ISNA(MATCH(1754,Engine!$C$2:$C$1960,0)),"",INDEX('Compliance Database'!$L$2:$L$1960,MATCH(1754,Engine!$C$2:$C$1960,0)))</f>
        <v/>
      </c>
      <c r="M1767" s="9">
        <f>IF(ISNA(MATCH(1754,Engine!$C$2:$C$1960,0)),"",INDEX('Compliance Database'!$M$2:$M$1960,MATCH(1754,Engine!$C$2:$C$1960,0)))</f>
        <v/>
      </c>
      <c r="N1767" s="9">
        <f>IF(ISNA(MATCH(1754,Engine!$C$2:$C$1960,0)),"",INDEX('Compliance Database'!$N$2:$N$1960,MATCH(1754,Engine!$C$2:$C$1960,0)))</f>
        <v/>
      </c>
      <c r="O1767" s="9">
        <f>IF(ISNA(MATCH(1754,Engine!$C$2:$C$1960,0)),"",INDEX('Compliance Database'!$O$2:$O$1960,MATCH(1754,Engine!$C$2:$C$1960,0)))</f>
        <v/>
      </c>
      <c r="P1767" s="8">
        <f>IF(ISNA(MATCH(1754,Engine!$C$2:$C$1960,0)),"",HYPERLINK("#Acts!A"&amp;INDEX('Compliance Database'!$P$2:$P$1960,MATCH(1754,Engine!$C$2:$C$1960,0)),"Go to Act"))</f>
        <v/>
      </c>
    </row>
    <row r="1768" ht="158" customHeight="1">
      <c r="A1768" s="8">
        <f>IF(ISNA(MATCH(1755,Engine!$C$2:$C$1960,0)),"",INDEX('Compliance Database'!$A$2:$A$1960,MATCH(1755,Engine!$C$2:$C$1960,0)))</f>
        <v/>
      </c>
      <c r="B1768" s="8">
        <f>IF(ISNA(MATCH(1755,Engine!$C$2:$C$1960,0)),"",INDEX('Compliance Database'!$B$2:$B$1960,MATCH(1755,Engine!$C$2:$C$1960,0)))</f>
        <v/>
      </c>
      <c r="C1768" s="8">
        <f>IF(ISNA(MATCH(1755,Engine!$C$2:$C$1960,0)),"",INDEX('Compliance Database'!$C$2:$C$1960,MATCH(1755,Engine!$C$2:$C$1960,0)))</f>
        <v/>
      </c>
      <c r="D1768" s="9">
        <f>IF(ISNA(MATCH(1755,Engine!$C$2:$C$1960,0)),"",INDEX('Compliance Database'!$D$2:$D$1960,MATCH(1755,Engine!$C$2:$C$1960,0)))</f>
        <v/>
      </c>
      <c r="E1768" s="8">
        <f>IF(ISNA(MATCH(1755,Engine!$C$2:$C$1960,0)),"",INDEX('Compliance Database'!$E$2:$E$1960,MATCH(1755,Engine!$C$2:$C$1960,0)))</f>
        <v/>
      </c>
      <c r="F1768" s="8">
        <f>IF(ISNA(MATCH(1755,Engine!$C$2:$C$1960,0)),"",INDEX('Compliance Database'!$F$2:$F$1960,MATCH(1755,Engine!$C$2:$C$1960,0)))</f>
        <v/>
      </c>
      <c r="G1768" s="8">
        <f>IF(ISNA(MATCH(1755,Engine!$C$2:$C$1960,0)),"",INDEX('Compliance Database'!$G$2:$G$1960,MATCH(1755,Engine!$C$2:$C$1960,0)))</f>
        <v/>
      </c>
      <c r="H1768" s="9">
        <f>IF(ISNA(MATCH(1755,Engine!$C$2:$C$1960,0)),"",INDEX('Compliance Database'!$H$2:$H$1960,MATCH(1755,Engine!$C$2:$C$1960,0)))</f>
        <v/>
      </c>
      <c r="I1768" s="9">
        <f>IF(ISNA(MATCH(1755,Engine!$C$2:$C$1960,0)),"",INDEX('Compliance Database'!$I$2:$I$1960,MATCH(1755,Engine!$C$2:$C$1960,0)))</f>
        <v/>
      </c>
      <c r="J1768" s="8">
        <f>IF(ISNA(MATCH(1755,Engine!$C$2:$C$1960,0)),"",INDEX('Compliance Database'!$J$2:$J$1960,MATCH(1755,Engine!$C$2:$C$1960,0)))</f>
        <v/>
      </c>
      <c r="K1768" s="9">
        <f>IF(ISNA(MATCH(1755,Engine!$C$2:$C$1960,0)),"",INDEX('Compliance Database'!$K$2:$K$1960,MATCH(1755,Engine!$C$2:$C$1960,0)))</f>
        <v/>
      </c>
      <c r="L1768" s="9">
        <f>IF(ISNA(MATCH(1755,Engine!$C$2:$C$1960,0)),"",INDEX('Compliance Database'!$L$2:$L$1960,MATCH(1755,Engine!$C$2:$C$1960,0)))</f>
        <v/>
      </c>
      <c r="M1768" s="9">
        <f>IF(ISNA(MATCH(1755,Engine!$C$2:$C$1960,0)),"",INDEX('Compliance Database'!$M$2:$M$1960,MATCH(1755,Engine!$C$2:$C$1960,0)))</f>
        <v/>
      </c>
      <c r="N1768" s="9">
        <f>IF(ISNA(MATCH(1755,Engine!$C$2:$C$1960,0)),"",INDEX('Compliance Database'!$N$2:$N$1960,MATCH(1755,Engine!$C$2:$C$1960,0)))</f>
        <v/>
      </c>
      <c r="O1768" s="9">
        <f>IF(ISNA(MATCH(1755,Engine!$C$2:$C$1960,0)),"",INDEX('Compliance Database'!$O$2:$O$1960,MATCH(1755,Engine!$C$2:$C$1960,0)))</f>
        <v/>
      </c>
      <c r="P1768" s="8">
        <f>IF(ISNA(MATCH(1755,Engine!$C$2:$C$1960,0)),"",HYPERLINK("#Acts!A"&amp;INDEX('Compliance Database'!$P$2:$P$1960,MATCH(1755,Engine!$C$2:$C$1960,0)),"Go to Act"))</f>
        <v/>
      </c>
    </row>
    <row r="1769" ht="158" customHeight="1">
      <c r="A1769" s="8">
        <f>IF(ISNA(MATCH(1756,Engine!$C$2:$C$1960,0)),"",INDEX('Compliance Database'!$A$2:$A$1960,MATCH(1756,Engine!$C$2:$C$1960,0)))</f>
        <v/>
      </c>
      <c r="B1769" s="8">
        <f>IF(ISNA(MATCH(1756,Engine!$C$2:$C$1960,0)),"",INDEX('Compliance Database'!$B$2:$B$1960,MATCH(1756,Engine!$C$2:$C$1960,0)))</f>
        <v/>
      </c>
      <c r="C1769" s="8">
        <f>IF(ISNA(MATCH(1756,Engine!$C$2:$C$1960,0)),"",INDEX('Compliance Database'!$C$2:$C$1960,MATCH(1756,Engine!$C$2:$C$1960,0)))</f>
        <v/>
      </c>
      <c r="D1769" s="9">
        <f>IF(ISNA(MATCH(1756,Engine!$C$2:$C$1960,0)),"",INDEX('Compliance Database'!$D$2:$D$1960,MATCH(1756,Engine!$C$2:$C$1960,0)))</f>
        <v/>
      </c>
      <c r="E1769" s="8">
        <f>IF(ISNA(MATCH(1756,Engine!$C$2:$C$1960,0)),"",INDEX('Compliance Database'!$E$2:$E$1960,MATCH(1756,Engine!$C$2:$C$1960,0)))</f>
        <v/>
      </c>
      <c r="F1769" s="8">
        <f>IF(ISNA(MATCH(1756,Engine!$C$2:$C$1960,0)),"",INDEX('Compliance Database'!$F$2:$F$1960,MATCH(1756,Engine!$C$2:$C$1960,0)))</f>
        <v/>
      </c>
      <c r="G1769" s="8">
        <f>IF(ISNA(MATCH(1756,Engine!$C$2:$C$1960,0)),"",INDEX('Compliance Database'!$G$2:$G$1960,MATCH(1756,Engine!$C$2:$C$1960,0)))</f>
        <v/>
      </c>
      <c r="H1769" s="9">
        <f>IF(ISNA(MATCH(1756,Engine!$C$2:$C$1960,0)),"",INDEX('Compliance Database'!$H$2:$H$1960,MATCH(1756,Engine!$C$2:$C$1960,0)))</f>
        <v/>
      </c>
      <c r="I1769" s="9">
        <f>IF(ISNA(MATCH(1756,Engine!$C$2:$C$1960,0)),"",INDEX('Compliance Database'!$I$2:$I$1960,MATCH(1756,Engine!$C$2:$C$1960,0)))</f>
        <v/>
      </c>
      <c r="J1769" s="8">
        <f>IF(ISNA(MATCH(1756,Engine!$C$2:$C$1960,0)),"",INDEX('Compliance Database'!$J$2:$J$1960,MATCH(1756,Engine!$C$2:$C$1960,0)))</f>
        <v/>
      </c>
      <c r="K1769" s="9">
        <f>IF(ISNA(MATCH(1756,Engine!$C$2:$C$1960,0)),"",INDEX('Compliance Database'!$K$2:$K$1960,MATCH(1756,Engine!$C$2:$C$1960,0)))</f>
        <v/>
      </c>
      <c r="L1769" s="9">
        <f>IF(ISNA(MATCH(1756,Engine!$C$2:$C$1960,0)),"",INDEX('Compliance Database'!$L$2:$L$1960,MATCH(1756,Engine!$C$2:$C$1960,0)))</f>
        <v/>
      </c>
      <c r="M1769" s="9">
        <f>IF(ISNA(MATCH(1756,Engine!$C$2:$C$1960,0)),"",INDEX('Compliance Database'!$M$2:$M$1960,MATCH(1756,Engine!$C$2:$C$1960,0)))</f>
        <v/>
      </c>
      <c r="N1769" s="9">
        <f>IF(ISNA(MATCH(1756,Engine!$C$2:$C$1960,0)),"",INDEX('Compliance Database'!$N$2:$N$1960,MATCH(1756,Engine!$C$2:$C$1960,0)))</f>
        <v/>
      </c>
      <c r="O1769" s="9">
        <f>IF(ISNA(MATCH(1756,Engine!$C$2:$C$1960,0)),"",INDEX('Compliance Database'!$O$2:$O$1960,MATCH(1756,Engine!$C$2:$C$1960,0)))</f>
        <v/>
      </c>
      <c r="P1769" s="8">
        <f>IF(ISNA(MATCH(1756,Engine!$C$2:$C$1960,0)),"",HYPERLINK("#Acts!A"&amp;INDEX('Compliance Database'!$P$2:$P$1960,MATCH(1756,Engine!$C$2:$C$1960,0)),"Go to Act"))</f>
        <v/>
      </c>
    </row>
    <row r="1770" ht="158" customHeight="1">
      <c r="A1770" s="8">
        <f>IF(ISNA(MATCH(1757,Engine!$C$2:$C$1960,0)),"",INDEX('Compliance Database'!$A$2:$A$1960,MATCH(1757,Engine!$C$2:$C$1960,0)))</f>
        <v/>
      </c>
      <c r="B1770" s="8">
        <f>IF(ISNA(MATCH(1757,Engine!$C$2:$C$1960,0)),"",INDEX('Compliance Database'!$B$2:$B$1960,MATCH(1757,Engine!$C$2:$C$1960,0)))</f>
        <v/>
      </c>
      <c r="C1770" s="8">
        <f>IF(ISNA(MATCH(1757,Engine!$C$2:$C$1960,0)),"",INDEX('Compliance Database'!$C$2:$C$1960,MATCH(1757,Engine!$C$2:$C$1960,0)))</f>
        <v/>
      </c>
      <c r="D1770" s="9">
        <f>IF(ISNA(MATCH(1757,Engine!$C$2:$C$1960,0)),"",INDEX('Compliance Database'!$D$2:$D$1960,MATCH(1757,Engine!$C$2:$C$1960,0)))</f>
        <v/>
      </c>
      <c r="E1770" s="8">
        <f>IF(ISNA(MATCH(1757,Engine!$C$2:$C$1960,0)),"",INDEX('Compliance Database'!$E$2:$E$1960,MATCH(1757,Engine!$C$2:$C$1960,0)))</f>
        <v/>
      </c>
      <c r="F1770" s="8">
        <f>IF(ISNA(MATCH(1757,Engine!$C$2:$C$1960,0)),"",INDEX('Compliance Database'!$F$2:$F$1960,MATCH(1757,Engine!$C$2:$C$1960,0)))</f>
        <v/>
      </c>
      <c r="G1770" s="8">
        <f>IF(ISNA(MATCH(1757,Engine!$C$2:$C$1960,0)),"",INDEX('Compliance Database'!$G$2:$G$1960,MATCH(1757,Engine!$C$2:$C$1960,0)))</f>
        <v/>
      </c>
      <c r="H1770" s="9">
        <f>IF(ISNA(MATCH(1757,Engine!$C$2:$C$1960,0)),"",INDEX('Compliance Database'!$H$2:$H$1960,MATCH(1757,Engine!$C$2:$C$1960,0)))</f>
        <v/>
      </c>
      <c r="I1770" s="9">
        <f>IF(ISNA(MATCH(1757,Engine!$C$2:$C$1960,0)),"",INDEX('Compliance Database'!$I$2:$I$1960,MATCH(1757,Engine!$C$2:$C$1960,0)))</f>
        <v/>
      </c>
      <c r="J1770" s="8">
        <f>IF(ISNA(MATCH(1757,Engine!$C$2:$C$1960,0)),"",INDEX('Compliance Database'!$J$2:$J$1960,MATCH(1757,Engine!$C$2:$C$1960,0)))</f>
        <v/>
      </c>
      <c r="K1770" s="9">
        <f>IF(ISNA(MATCH(1757,Engine!$C$2:$C$1960,0)),"",INDEX('Compliance Database'!$K$2:$K$1960,MATCH(1757,Engine!$C$2:$C$1960,0)))</f>
        <v/>
      </c>
      <c r="L1770" s="9">
        <f>IF(ISNA(MATCH(1757,Engine!$C$2:$C$1960,0)),"",INDEX('Compliance Database'!$L$2:$L$1960,MATCH(1757,Engine!$C$2:$C$1960,0)))</f>
        <v/>
      </c>
      <c r="M1770" s="9">
        <f>IF(ISNA(MATCH(1757,Engine!$C$2:$C$1960,0)),"",INDEX('Compliance Database'!$M$2:$M$1960,MATCH(1757,Engine!$C$2:$C$1960,0)))</f>
        <v/>
      </c>
      <c r="N1770" s="9">
        <f>IF(ISNA(MATCH(1757,Engine!$C$2:$C$1960,0)),"",INDEX('Compliance Database'!$N$2:$N$1960,MATCH(1757,Engine!$C$2:$C$1960,0)))</f>
        <v/>
      </c>
      <c r="O1770" s="9">
        <f>IF(ISNA(MATCH(1757,Engine!$C$2:$C$1960,0)),"",INDEX('Compliance Database'!$O$2:$O$1960,MATCH(1757,Engine!$C$2:$C$1960,0)))</f>
        <v/>
      </c>
      <c r="P1770" s="8">
        <f>IF(ISNA(MATCH(1757,Engine!$C$2:$C$1960,0)),"",HYPERLINK("#Acts!A"&amp;INDEX('Compliance Database'!$P$2:$P$1960,MATCH(1757,Engine!$C$2:$C$1960,0)),"Go to Act"))</f>
        <v/>
      </c>
    </row>
    <row r="1771" ht="158" customHeight="1">
      <c r="A1771" s="8">
        <f>IF(ISNA(MATCH(1758,Engine!$C$2:$C$1960,0)),"",INDEX('Compliance Database'!$A$2:$A$1960,MATCH(1758,Engine!$C$2:$C$1960,0)))</f>
        <v/>
      </c>
      <c r="B1771" s="8">
        <f>IF(ISNA(MATCH(1758,Engine!$C$2:$C$1960,0)),"",INDEX('Compliance Database'!$B$2:$B$1960,MATCH(1758,Engine!$C$2:$C$1960,0)))</f>
        <v/>
      </c>
      <c r="C1771" s="8">
        <f>IF(ISNA(MATCH(1758,Engine!$C$2:$C$1960,0)),"",INDEX('Compliance Database'!$C$2:$C$1960,MATCH(1758,Engine!$C$2:$C$1960,0)))</f>
        <v/>
      </c>
      <c r="D1771" s="9">
        <f>IF(ISNA(MATCH(1758,Engine!$C$2:$C$1960,0)),"",INDEX('Compliance Database'!$D$2:$D$1960,MATCH(1758,Engine!$C$2:$C$1960,0)))</f>
        <v/>
      </c>
      <c r="E1771" s="8">
        <f>IF(ISNA(MATCH(1758,Engine!$C$2:$C$1960,0)),"",INDEX('Compliance Database'!$E$2:$E$1960,MATCH(1758,Engine!$C$2:$C$1960,0)))</f>
        <v/>
      </c>
      <c r="F1771" s="8">
        <f>IF(ISNA(MATCH(1758,Engine!$C$2:$C$1960,0)),"",INDEX('Compliance Database'!$F$2:$F$1960,MATCH(1758,Engine!$C$2:$C$1960,0)))</f>
        <v/>
      </c>
      <c r="G1771" s="8">
        <f>IF(ISNA(MATCH(1758,Engine!$C$2:$C$1960,0)),"",INDEX('Compliance Database'!$G$2:$G$1960,MATCH(1758,Engine!$C$2:$C$1960,0)))</f>
        <v/>
      </c>
      <c r="H1771" s="9">
        <f>IF(ISNA(MATCH(1758,Engine!$C$2:$C$1960,0)),"",INDEX('Compliance Database'!$H$2:$H$1960,MATCH(1758,Engine!$C$2:$C$1960,0)))</f>
        <v/>
      </c>
      <c r="I1771" s="9">
        <f>IF(ISNA(MATCH(1758,Engine!$C$2:$C$1960,0)),"",INDEX('Compliance Database'!$I$2:$I$1960,MATCH(1758,Engine!$C$2:$C$1960,0)))</f>
        <v/>
      </c>
      <c r="J1771" s="8">
        <f>IF(ISNA(MATCH(1758,Engine!$C$2:$C$1960,0)),"",INDEX('Compliance Database'!$J$2:$J$1960,MATCH(1758,Engine!$C$2:$C$1960,0)))</f>
        <v/>
      </c>
      <c r="K1771" s="9">
        <f>IF(ISNA(MATCH(1758,Engine!$C$2:$C$1960,0)),"",INDEX('Compliance Database'!$K$2:$K$1960,MATCH(1758,Engine!$C$2:$C$1960,0)))</f>
        <v/>
      </c>
      <c r="L1771" s="9">
        <f>IF(ISNA(MATCH(1758,Engine!$C$2:$C$1960,0)),"",INDEX('Compliance Database'!$L$2:$L$1960,MATCH(1758,Engine!$C$2:$C$1960,0)))</f>
        <v/>
      </c>
      <c r="M1771" s="9">
        <f>IF(ISNA(MATCH(1758,Engine!$C$2:$C$1960,0)),"",INDEX('Compliance Database'!$M$2:$M$1960,MATCH(1758,Engine!$C$2:$C$1960,0)))</f>
        <v/>
      </c>
      <c r="N1771" s="9">
        <f>IF(ISNA(MATCH(1758,Engine!$C$2:$C$1960,0)),"",INDEX('Compliance Database'!$N$2:$N$1960,MATCH(1758,Engine!$C$2:$C$1960,0)))</f>
        <v/>
      </c>
      <c r="O1771" s="9">
        <f>IF(ISNA(MATCH(1758,Engine!$C$2:$C$1960,0)),"",INDEX('Compliance Database'!$O$2:$O$1960,MATCH(1758,Engine!$C$2:$C$1960,0)))</f>
        <v/>
      </c>
      <c r="P1771" s="8">
        <f>IF(ISNA(MATCH(1758,Engine!$C$2:$C$1960,0)),"",HYPERLINK("#Acts!A"&amp;INDEX('Compliance Database'!$P$2:$P$1960,MATCH(1758,Engine!$C$2:$C$1960,0)),"Go to Act"))</f>
        <v/>
      </c>
    </row>
    <row r="1772" ht="158" customHeight="1">
      <c r="A1772" s="8">
        <f>IF(ISNA(MATCH(1759,Engine!$C$2:$C$1960,0)),"",INDEX('Compliance Database'!$A$2:$A$1960,MATCH(1759,Engine!$C$2:$C$1960,0)))</f>
        <v/>
      </c>
      <c r="B1772" s="8">
        <f>IF(ISNA(MATCH(1759,Engine!$C$2:$C$1960,0)),"",INDEX('Compliance Database'!$B$2:$B$1960,MATCH(1759,Engine!$C$2:$C$1960,0)))</f>
        <v/>
      </c>
      <c r="C1772" s="8">
        <f>IF(ISNA(MATCH(1759,Engine!$C$2:$C$1960,0)),"",INDEX('Compliance Database'!$C$2:$C$1960,MATCH(1759,Engine!$C$2:$C$1960,0)))</f>
        <v/>
      </c>
      <c r="D1772" s="9">
        <f>IF(ISNA(MATCH(1759,Engine!$C$2:$C$1960,0)),"",INDEX('Compliance Database'!$D$2:$D$1960,MATCH(1759,Engine!$C$2:$C$1960,0)))</f>
        <v/>
      </c>
      <c r="E1772" s="8">
        <f>IF(ISNA(MATCH(1759,Engine!$C$2:$C$1960,0)),"",INDEX('Compliance Database'!$E$2:$E$1960,MATCH(1759,Engine!$C$2:$C$1960,0)))</f>
        <v/>
      </c>
      <c r="F1772" s="8">
        <f>IF(ISNA(MATCH(1759,Engine!$C$2:$C$1960,0)),"",INDEX('Compliance Database'!$F$2:$F$1960,MATCH(1759,Engine!$C$2:$C$1960,0)))</f>
        <v/>
      </c>
      <c r="G1772" s="8">
        <f>IF(ISNA(MATCH(1759,Engine!$C$2:$C$1960,0)),"",INDEX('Compliance Database'!$G$2:$G$1960,MATCH(1759,Engine!$C$2:$C$1960,0)))</f>
        <v/>
      </c>
      <c r="H1772" s="9">
        <f>IF(ISNA(MATCH(1759,Engine!$C$2:$C$1960,0)),"",INDEX('Compliance Database'!$H$2:$H$1960,MATCH(1759,Engine!$C$2:$C$1960,0)))</f>
        <v/>
      </c>
      <c r="I1772" s="9">
        <f>IF(ISNA(MATCH(1759,Engine!$C$2:$C$1960,0)),"",INDEX('Compliance Database'!$I$2:$I$1960,MATCH(1759,Engine!$C$2:$C$1960,0)))</f>
        <v/>
      </c>
      <c r="J1772" s="8">
        <f>IF(ISNA(MATCH(1759,Engine!$C$2:$C$1960,0)),"",INDEX('Compliance Database'!$J$2:$J$1960,MATCH(1759,Engine!$C$2:$C$1960,0)))</f>
        <v/>
      </c>
      <c r="K1772" s="9">
        <f>IF(ISNA(MATCH(1759,Engine!$C$2:$C$1960,0)),"",INDEX('Compliance Database'!$K$2:$K$1960,MATCH(1759,Engine!$C$2:$C$1960,0)))</f>
        <v/>
      </c>
      <c r="L1772" s="9">
        <f>IF(ISNA(MATCH(1759,Engine!$C$2:$C$1960,0)),"",INDEX('Compliance Database'!$L$2:$L$1960,MATCH(1759,Engine!$C$2:$C$1960,0)))</f>
        <v/>
      </c>
      <c r="M1772" s="9">
        <f>IF(ISNA(MATCH(1759,Engine!$C$2:$C$1960,0)),"",INDEX('Compliance Database'!$M$2:$M$1960,MATCH(1759,Engine!$C$2:$C$1960,0)))</f>
        <v/>
      </c>
      <c r="N1772" s="9">
        <f>IF(ISNA(MATCH(1759,Engine!$C$2:$C$1960,0)),"",INDEX('Compliance Database'!$N$2:$N$1960,MATCH(1759,Engine!$C$2:$C$1960,0)))</f>
        <v/>
      </c>
      <c r="O1772" s="9">
        <f>IF(ISNA(MATCH(1759,Engine!$C$2:$C$1960,0)),"",INDEX('Compliance Database'!$O$2:$O$1960,MATCH(1759,Engine!$C$2:$C$1960,0)))</f>
        <v/>
      </c>
      <c r="P1772" s="8">
        <f>IF(ISNA(MATCH(1759,Engine!$C$2:$C$1960,0)),"",HYPERLINK("#Acts!A"&amp;INDEX('Compliance Database'!$P$2:$P$1960,MATCH(1759,Engine!$C$2:$C$1960,0)),"Go to Act"))</f>
        <v/>
      </c>
    </row>
    <row r="1773" ht="158" customHeight="1">
      <c r="A1773" s="8">
        <f>IF(ISNA(MATCH(1760,Engine!$C$2:$C$1960,0)),"",INDEX('Compliance Database'!$A$2:$A$1960,MATCH(1760,Engine!$C$2:$C$1960,0)))</f>
        <v/>
      </c>
      <c r="B1773" s="8">
        <f>IF(ISNA(MATCH(1760,Engine!$C$2:$C$1960,0)),"",INDEX('Compliance Database'!$B$2:$B$1960,MATCH(1760,Engine!$C$2:$C$1960,0)))</f>
        <v/>
      </c>
      <c r="C1773" s="8">
        <f>IF(ISNA(MATCH(1760,Engine!$C$2:$C$1960,0)),"",INDEX('Compliance Database'!$C$2:$C$1960,MATCH(1760,Engine!$C$2:$C$1960,0)))</f>
        <v/>
      </c>
      <c r="D1773" s="9">
        <f>IF(ISNA(MATCH(1760,Engine!$C$2:$C$1960,0)),"",INDEX('Compliance Database'!$D$2:$D$1960,MATCH(1760,Engine!$C$2:$C$1960,0)))</f>
        <v/>
      </c>
      <c r="E1773" s="8">
        <f>IF(ISNA(MATCH(1760,Engine!$C$2:$C$1960,0)),"",INDEX('Compliance Database'!$E$2:$E$1960,MATCH(1760,Engine!$C$2:$C$1960,0)))</f>
        <v/>
      </c>
      <c r="F1773" s="8">
        <f>IF(ISNA(MATCH(1760,Engine!$C$2:$C$1960,0)),"",INDEX('Compliance Database'!$F$2:$F$1960,MATCH(1760,Engine!$C$2:$C$1960,0)))</f>
        <v/>
      </c>
      <c r="G1773" s="8">
        <f>IF(ISNA(MATCH(1760,Engine!$C$2:$C$1960,0)),"",INDEX('Compliance Database'!$G$2:$G$1960,MATCH(1760,Engine!$C$2:$C$1960,0)))</f>
        <v/>
      </c>
      <c r="H1773" s="9">
        <f>IF(ISNA(MATCH(1760,Engine!$C$2:$C$1960,0)),"",INDEX('Compliance Database'!$H$2:$H$1960,MATCH(1760,Engine!$C$2:$C$1960,0)))</f>
        <v/>
      </c>
      <c r="I1773" s="9">
        <f>IF(ISNA(MATCH(1760,Engine!$C$2:$C$1960,0)),"",INDEX('Compliance Database'!$I$2:$I$1960,MATCH(1760,Engine!$C$2:$C$1960,0)))</f>
        <v/>
      </c>
      <c r="J1773" s="8">
        <f>IF(ISNA(MATCH(1760,Engine!$C$2:$C$1960,0)),"",INDEX('Compliance Database'!$J$2:$J$1960,MATCH(1760,Engine!$C$2:$C$1960,0)))</f>
        <v/>
      </c>
      <c r="K1773" s="9">
        <f>IF(ISNA(MATCH(1760,Engine!$C$2:$C$1960,0)),"",INDEX('Compliance Database'!$K$2:$K$1960,MATCH(1760,Engine!$C$2:$C$1960,0)))</f>
        <v/>
      </c>
      <c r="L1773" s="9">
        <f>IF(ISNA(MATCH(1760,Engine!$C$2:$C$1960,0)),"",INDEX('Compliance Database'!$L$2:$L$1960,MATCH(1760,Engine!$C$2:$C$1960,0)))</f>
        <v/>
      </c>
      <c r="M1773" s="9">
        <f>IF(ISNA(MATCH(1760,Engine!$C$2:$C$1960,0)),"",INDEX('Compliance Database'!$M$2:$M$1960,MATCH(1760,Engine!$C$2:$C$1960,0)))</f>
        <v/>
      </c>
      <c r="N1773" s="9">
        <f>IF(ISNA(MATCH(1760,Engine!$C$2:$C$1960,0)),"",INDEX('Compliance Database'!$N$2:$N$1960,MATCH(1760,Engine!$C$2:$C$1960,0)))</f>
        <v/>
      </c>
      <c r="O1773" s="9">
        <f>IF(ISNA(MATCH(1760,Engine!$C$2:$C$1960,0)),"",INDEX('Compliance Database'!$O$2:$O$1960,MATCH(1760,Engine!$C$2:$C$1960,0)))</f>
        <v/>
      </c>
      <c r="P1773" s="8">
        <f>IF(ISNA(MATCH(1760,Engine!$C$2:$C$1960,0)),"",HYPERLINK("#Acts!A"&amp;INDEX('Compliance Database'!$P$2:$P$1960,MATCH(1760,Engine!$C$2:$C$1960,0)),"Go to Act"))</f>
        <v/>
      </c>
    </row>
    <row r="1774" ht="158" customHeight="1">
      <c r="A1774" s="8">
        <f>IF(ISNA(MATCH(1761,Engine!$C$2:$C$1960,0)),"",INDEX('Compliance Database'!$A$2:$A$1960,MATCH(1761,Engine!$C$2:$C$1960,0)))</f>
        <v/>
      </c>
      <c r="B1774" s="8">
        <f>IF(ISNA(MATCH(1761,Engine!$C$2:$C$1960,0)),"",INDEX('Compliance Database'!$B$2:$B$1960,MATCH(1761,Engine!$C$2:$C$1960,0)))</f>
        <v/>
      </c>
      <c r="C1774" s="8">
        <f>IF(ISNA(MATCH(1761,Engine!$C$2:$C$1960,0)),"",INDEX('Compliance Database'!$C$2:$C$1960,MATCH(1761,Engine!$C$2:$C$1960,0)))</f>
        <v/>
      </c>
      <c r="D1774" s="9">
        <f>IF(ISNA(MATCH(1761,Engine!$C$2:$C$1960,0)),"",INDEX('Compliance Database'!$D$2:$D$1960,MATCH(1761,Engine!$C$2:$C$1960,0)))</f>
        <v/>
      </c>
      <c r="E1774" s="8">
        <f>IF(ISNA(MATCH(1761,Engine!$C$2:$C$1960,0)),"",INDEX('Compliance Database'!$E$2:$E$1960,MATCH(1761,Engine!$C$2:$C$1960,0)))</f>
        <v/>
      </c>
      <c r="F1774" s="8">
        <f>IF(ISNA(MATCH(1761,Engine!$C$2:$C$1960,0)),"",INDEX('Compliance Database'!$F$2:$F$1960,MATCH(1761,Engine!$C$2:$C$1960,0)))</f>
        <v/>
      </c>
      <c r="G1774" s="8">
        <f>IF(ISNA(MATCH(1761,Engine!$C$2:$C$1960,0)),"",INDEX('Compliance Database'!$G$2:$G$1960,MATCH(1761,Engine!$C$2:$C$1960,0)))</f>
        <v/>
      </c>
      <c r="H1774" s="9">
        <f>IF(ISNA(MATCH(1761,Engine!$C$2:$C$1960,0)),"",INDEX('Compliance Database'!$H$2:$H$1960,MATCH(1761,Engine!$C$2:$C$1960,0)))</f>
        <v/>
      </c>
      <c r="I1774" s="9">
        <f>IF(ISNA(MATCH(1761,Engine!$C$2:$C$1960,0)),"",INDEX('Compliance Database'!$I$2:$I$1960,MATCH(1761,Engine!$C$2:$C$1960,0)))</f>
        <v/>
      </c>
      <c r="J1774" s="8">
        <f>IF(ISNA(MATCH(1761,Engine!$C$2:$C$1960,0)),"",INDEX('Compliance Database'!$J$2:$J$1960,MATCH(1761,Engine!$C$2:$C$1960,0)))</f>
        <v/>
      </c>
      <c r="K1774" s="9">
        <f>IF(ISNA(MATCH(1761,Engine!$C$2:$C$1960,0)),"",INDEX('Compliance Database'!$K$2:$K$1960,MATCH(1761,Engine!$C$2:$C$1960,0)))</f>
        <v/>
      </c>
      <c r="L1774" s="9">
        <f>IF(ISNA(MATCH(1761,Engine!$C$2:$C$1960,0)),"",INDEX('Compliance Database'!$L$2:$L$1960,MATCH(1761,Engine!$C$2:$C$1960,0)))</f>
        <v/>
      </c>
      <c r="M1774" s="9">
        <f>IF(ISNA(MATCH(1761,Engine!$C$2:$C$1960,0)),"",INDEX('Compliance Database'!$M$2:$M$1960,MATCH(1761,Engine!$C$2:$C$1960,0)))</f>
        <v/>
      </c>
      <c r="N1774" s="9">
        <f>IF(ISNA(MATCH(1761,Engine!$C$2:$C$1960,0)),"",INDEX('Compliance Database'!$N$2:$N$1960,MATCH(1761,Engine!$C$2:$C$1960,0)))</f>
        <v/>
      </c>
      <c r="O1774" s="9">
        <f>IF(ISNA(MATCH(1761,Engine!$C$2:$C$1960,0)),"",INDEX('Compliance Database'!$O$2:$O$1960,MATCH(1761,Engine!$C$2:$C$1960,0)))</f>
        <v/>
      </c>
      <c r="P1774" s="8">
        <f>IF(ISNA(MATCH(1761,Engine!$C$2:$C$1960,0)),"",HYPERLINK("#Acts!A"&amp;INDEX('Compliance Database'!$P$2:$P$1960,MATCH(1761,Engine!$C$2:$C$1960,0)),"Go to Act"))</f>
        <v/>
      </c>
    </row>
    <row r="1775" ht="158" customHeight="1">
      <c r="A1775" s="8">
        <f>IF(ISNA(MATCH(1762,Engine!$C$2:$C$1960,0)),"",INDEX('Compliance Database'!$A$2:$A$1960,MATCH(1762,Engine!$C$2:$C$1960,0)))</f>
        <v/>
      </c>
      <c r="B1775" s="8">
        <f>IF(ISNA(MATCH(1762,Engine!$C$2:$C$1960,0)),"",INDEX('Compliance Database'!$B$2:$B$1960,MATCH(1762,Engine!$C$2:$C$1960,0)))</f>
        <v/>
      </c>
      <c r="C1775" s="8">
        <f>IF(ISNA(MATCH(1762,Engine!$C$2:$C$1960,0)),"",INDEX('Compliance Database'!$C$2:$C$1960,MATCH(1762,Engine!$C$2:$C$1960,0)))</f>
        <v/>
      </c>
      <c r="D1775" s="9">
        <f>IF(ISNA(MATCH(1762,Engine!$C$2:$C$1960,0)),"",INDEX('Compliance Database'!$D$2:$D$1960,MATCH(1762,Engine!$C$2:$C$1960,0)))</f>
        <v/>
      </c>
      <c r="E1775" s="8">
        <f>IF(ISNA(MATCH(1762,Engine!$C$2:$C$1960,0)),"",INDEX('Compliance Database'!$E$2:$E$1960,MATCH(1762,Engine!$C$2:$C$1960,0)))</f>
        <v/>
      </c>
      <c r="F1775" s="8">
        <f>IF(ISNA(MATCH(1762,Engine!$C$2:$C$1960,0)),"",INDEX('Compliance Database'!$F$2:$F$1960,MATCH(1762,Engine!$C$2:$C$1960,0)))</f>
        <v/>
      </c>
      <c r="G1775" s="8">
        <f>IF(ISNA(MATCH(1762,Engine!$C$2:$C$1960,0)),"",INDEX('Compliance Database'!$G$2:$G$1960,MATCH(1762,Engine!$C$2:$C$1960,0)))</f>
        <v/>
      </c>
      <c r="H1775" s="9">
        <f>IF(ISNA(MATCH(1762,Engine!$C$2:$C$1960,0)),"",INDEX('Compliance Database'!$H$2:$H$1960,MATCH(1762,Engine!$C$2:$C$1960,0)))</f>
        <v/>
      </c>
      <c r="I1775" s="9">
        <f>IF(ISNA(MATCH(1762,Engine!$C$2:$C$1960,0)),"",INDEX('Compliance Database'!$I$2:$I$1960,MATCH(1762,Engine!$C$2:$C$1960,0)))</f>
        <v/>
      </c>
      <c r="J1775" s="8">
        <f>IF(ISNA(MATCH(1762,Engine!$C$2:$C$1960,0)),"",INDEX('Compliance Database'!$J$2:$J$1960,MATCH(1762,Engine!$C$2:$C$1960,0)))</f>
        <v/>
      </c>
      <c r="K1775" s="9">
        <f>IF(ISNA(MATCH(1762,Engine!$C$2:$C$1960,0)),"",INDEX('Compliance Database'!$K$2:$K$1960,MATCH(1762,Engine!$C$2:$C$1960,0)))</f>
        <v/>
      </c>
      <c r="L1775" s="9">
        <f>IF(ISNA(MATCH(1762,Engine!$C$2:$C$1960,0)),"",INDEX('Compliance Database'!$L$2:$L$1960,MATCH(1762,Engine!$C$2:$C$1960,0)))</f>
        <v/>
      </c>
      <c r="M1775" s="9">
        <f>IF(ISNA(MATCH(1762,Engine!$C$2:$C$1960,0)),"",INDEX('Compliance Database'!$M$2:$M$1960,MATCH(1762,Engine!$C$2:$C$1960,0)))</f>
        <v/>
      </c>
      <c r="N1775" s="9">
        <f>IF(ISNA(MATCH(1762,Engine!$C$2:$C$1960,0)),"",INDEX('Compliance Database'!$N$2:$N$1960,MATCH(1762,Engine!$C$2:$C$1960,0)))</f>
        <v/>
      </c>
      <c r="O1775" s="9">
        <f>IF(ISNA(MATCH(1762,Engine!$C$2:$C$1960,0)),"",INDEX('Compliance Database'!$O$2:$O$1960,MATCH(1762,Engine!$C$2:$C$1960,0)))</f>
        <v/>
      </c>
      <c r="P1775" s="8">
        <f>IF(ISNA(MATCH(1762,Engine!$C$2:$C$1960,0)),"",HYPERLINK("#Acts!A"&amp;INDEX('Compliance Database'!$P$2:$P$1960,MATCH(1762,Engine!$C$2:$C$1960,0)),"Go to Act"))</f>
        <v/>
      </c>
    </row>
    <row r="1776" ht="158" customHeight="1">
      <c r="A1776" s="8">
        <f>IF(ISNA(MATCH(1763,Engine!$C$2:$C$1960,0)),"",INDEX('Compliance Database'!$A$2:$A$1960,MATCH(1763,Engine!$C$2:$C$1960,0)))</f>
        <v/>
      </c>
      <c r="B1776" s="8">
        <f>IF(ISNA(MATCH(1763,Engine!$C$2:$C$1960,0)),"",INDEX('Compliance Database'!$B$2:$B$1960,MATCH(1763,Engine!$C$2:$C$1960,0)))</f>
        <v/>
      </c>
      <c r="C1776" s="8">
        <f>IF(ISNA(MATCH(1763,Engine!$C$2:$C$1960,0)),"",INDEX('Compliance Database'!$C$2:$C$1960,MATCH(1763,Engine!$C$2:$C$1960,0)))</f>
        <v/>
      </c>
      <c r="D1776" s="9">
        <f>IF(ISNA(MATCH(1763,Engine!$C$2:$C$1960,0)),"",INDEX('Compliance Database'!$D$2:$D$1960,MATCH(1763,Engine!$C$2:$C$1960,0)))</f>
        <v/>
      </c>
      <c r="E1776" s="8">
        <f>IF(ISNA(MATCH(1763,Engine!$C$2:$C$1960,0)),"",INDEX('Compliance Database'!$E$2:$E$1960,MATCH(1763,Engine!$C$2:$C$1960,0)))</f>
        <v/>
      </c>
      <c r="F1776" s="8">
        <f>IF(ISNA(MATCH(1763,Engine!$C$2:$C$1960,0)),"",INDEX('Compliance Database'!$F$2:$F$1960,MATCH(1763,Engine!$C$2:$C$1960,0)))</f>
        <v/>
      </c>
      <c r="G1776" s="8">
        <f>IF(ISNA(MATCH(1763,Engine!$C$2:$C$1960,0)),"",INDEX('Compliance Database'!$G$2:$G$1960,MATCH(1763,Engine!$C$2:$C$1960,0)))</f>
        <v/>
      </c>
      <c r="H1776" s="9">
        <f>IF(ISNA(MATCH(1763,Engine!$C$2:$C$1960,0)),"",INDEX('Compliance Database'!$H$2:$H$1960,MATCH(1763,Engine!$C$2:$C$1960,0)))</f>
        <v/>
      </c>
      <c r="I1776" s="9">
        <f>IF(ISNA(MATCH(1763,Engine!$C$2:$C$1960,0)),"",INDEX('Compliance Database'!$I$2:$I$1960,MATCH(1763,Engine!$C$2:$C$1960,0)))</f>
        <v/>
      </c>
      <c r="J1776" s="8">
        <f>IF(ISNA(MATCH(1763,Engine!$C$2:$C$1960,0)),"",INDEX('Compliance Database'!$J$2:$J$1960,MATCH(1763,Engine!$C$2:$C$1960,0)))</f>
        <v/>
      </c>
      <c r="K1776" s="9">
        <f>IF(ISNA(MATCH(1763,Engine!$C$2:$C$1960,0)),"",INDEX('Compliance Database'!$K$2:$K$1960,MATCH(1763,Engine!$C$2:$C$1960,0)))</f>
        <v/>
      </c>
      <c r="L1776" s="9">
        <f>IF(ISNA(MATCH(1763,Engine!$C$2:$C$1960,0)),"",INDEX('Compliance Database'!$L$2:$L$1960,MATCH(1763,Engine!$C$2:$C$1960,0)))</f>
        <v/>
      </c>
      <c r="M1776" s="9">
        <f>IF(ISNA(MATCH(1763,Engine!$C$2:$C$1960,0)),"",INDEX('Compliance Database'!$M$2:$M$1960,MATCH(1763,Engine!$C$2:$C$1960,0)))</f>
        <v/>
      </c>
      <c r="N1776" s="9">
        <f>IF(ISNA(MATCH(1763,Engine!$C$2:$C$1960,0)),"",INDEX('Compliance Database'!$N$2:$N$1960,MATCH(1763,Engine!$C$2:$C$1960,0)))</f>
        <v/>
      </c>
      <c r="O1776" s="9">
        <f>IF(ISNA(MATCH(1763,Engine!$C$2:$C$1960,0)),"",INDEX('Compliance Database'!$O$2:$O$1960,MATCH(1763,Engine!$C$2:$C$1960,0)))</f>
        <v/>
      </c>
      <c r="P1776" s="8">
        <f>IF(ISNA(MATCH(1763,Engine!$C$2:$C$1960,0)),"",HYPERLINK("#Acts!A"&amp;INDEX('Compliance Database'!$P$2:$P$1960,MATCH(1763,Engine!$C$2:$C$1960,0)),"Go to Act"))</f>
        <v/>
      </c>
    </row>
    <row r="1777" ht="158" customHeight="1">
      <c r="A1777" s="8">
        <f>IF(ISNA(MATCH(1764,Engine!$C$2:$C$1960,0)),"",INDEX('Compliance Database'!$A$2:$A$1960,MATCH(1764,Engine!$C$2:$C$1960,0)))</f>
        <v/>
      </c>
      <c r="B1777" s="8">
        <f>IF(ISNA(MATCH(1764,Engine!$C$2:$C$1960,0)),"",INDEX('Compliance Database'!$B$2:$B$1960,MATCH(1764,Engine!$C$2:$C$1960,0)))</f>
        <v/>
      </c>
      <c r="C1777" s="8">
        <f>IF(ISNA(MATCH(1764,Engine!$C$2:$C$1960,0)),"",INDEX('Compliance Database'!$C$2:$C$1960,MATCH(1764,Engine!$C$2:$C$1960,0)))</f>
        <v/>
      </c>
      <c r="D1777" s="9">
        <f>IF(ISNA(MATCH(1764,Engine!$C$2:$C$1960,0)),"",INDEX('Compliance Database'!$D$2:$D$1960,MATCH(1764,Engine!$C$2:$C$1960,0)))</f>
        <v/>
      </c>
      <c r="E1777" s="8">
        <f>IF(ISNA(MATCH(1764,Engine!$C$2:$C$1960,0)),"",INDEX('Compliance Database'!$E$2:$E$1960,MATCH(1764,Engine!$C$2:$C$1960,0)))</f>
        <v/>
      </c>
      <c r="F1777" s="8">
        <f>IF(ISNA(MATCH(1764,Engine!$C$2:$C$1960,0)),"",INDEX('Compliance Database'!$F$2:$F$1960,MATCH(1764,Engine!$C$2:$C$1960,0)))</f>
        <v/>
      </c>
      <c r="G1777" s="8">
        <f>IF(ISNA(MATCH(1764,Engine!$C$2:$C$1960,0)),"",INDEX('Compliance Database'!$G$2:$G$1960,MATCH(1764,Engine!$C$2:$C$1960,0)))</f>
        <v/>
      </c>
      <c r="H1777" s="9">
        <f>IF(ISNA(MATCH(1764,Engine!$C$2:$C$1960,0)),"",INDEX('Compliance Database'!$H$2:$H$1960,MATCH(1764,Engine!$C$2:$C$1960,0)))</f>
        <v/>
      </c>
      <c r="I1777" s="9">
        <f>IF(ISNA(MATCH(1764,Engine!$C$2:$C$1960,0)),"",INDEX('Compliance Database'!$I$2:$I$1960,MATCH(1764,Engine!$C$2:$C$1960,0)))</f>
        <v/>
      </c>
      <c r="J1777" s="8">
        <f>IF(ISNA(MATCH(1764,Engine!$C$2:$C$1960,0)),"",INDEX('Compliance Database'!$J$2:$J$1960,MATCH(1764,Engine!$C$2:$C$1960,0)))</f>
        <v/>
      </c>
      <c r="K1777" s="9">
        <f>IF(ISNA(MATCH(1764,Engine!$C$2:$C$1960,0)),"",INDEX('Compliance Database'!$K$2:$K$1960,MATCH(1764,Engine!$C$2:$C$1960,0)))</f>
        <v/>
      </c>
      <c r="L1777" s="9">
        <f>IF(ISNA(MATCH(1764,Engine!$C$2:$C$1960,0)),"",INDEX('Compliance Database'!$L$2:$L$1960,MATCH(1764,Engine!$C$2:$C$1960,0)))</f>
        <v/>
      </c>
      <c r="M1777" s="9">
        <f>IF(ISNA(MATCH(1764,Engine!$C$2:$C$1960,0)),"",INDEX('Compliance Database'!$M$2:$M$1960,MATCH(1764,Engine!$C$2:$C$1960,0)))</f>
        <v/>
      </c>
      <c r="N1777" s="9">
        <f>IF(ISNA(MATCH(1764,Engine!$C$2:$C$1960,0)),"",INDEX('Compliance Database'!$N$2:$N$1960,MATCH(1764,Engine!$C$2:$C$1960,0)))</f>
        <v/>
      </c>
      <c r="O1777" s="9">
        <f>IF(ISNA(MATCH(1764,Engine!$C$2:$C$1960,0)),"",INDEX('Compliance Database'!$O$2:$O$1960,MATCH(1764,Engine!$C$2:$C$1960,0)))</f>
        <v/>
      </c>
      <c r="P1777" s="8">
        <f>IF(ISNA(MATCH(1764,Engine!$C$2:$C$1960,0)),"",HYPERLINK("#Acts!A"&amp;INDEX('Compliance Database'!$P$2:$P$1960,MATCH(1764,Engine!$C$2:$C$1960,0)),"Go to Act"))</f>
        <v/>
      </c>
    </row>
    <row r="1778" ht="158" customHeight="1">
      <c r="A1778" s="8">
        <f>IF(ISNA(MATCH(1765,Engine!$C$2:$C$1960,0)),"",INDEX('Compliance Database'!$A$2:$A$1960,MATCH(1765,Engine!$C$2:$C$1960,0)))</f>
        <v/>
      </c>
      <c r="B1778" s="8">
        <f>IF(ISNA(MATCH(1765,Engine!$C$2:$C$1960,0)),"",INDEX('Compliance Database'!$B$2:$B$1960,MATCH(1765,Engine!$C$2:$C$1960,0)))</f>
        <v/>
      </c>
      <c r="C1778" s="8">
        <f>IF(ISNA(MATCH(1765,Engine!$C$2:$C$1960,0)),"",INDEX('Compliance Database'!$C$2:$C$1960,MATCH(1765,Engine!$C$2:$C$1960,0)))</f>
        <v/>
      </c>
      <c r="D1778" s="9">
        <f>IF(ISNA(MATCH(1765,Engine!$C$2:$C$1960,0)),"",INDEX('Compliance Database'!$D$2:$D$1960,MATCH(1765,Engine!$C$2:$C$1960,0)))</f>
        <v/>
      </c>
      <c r="E1778" s="8">
        <f>IF(ISNA(MATCH(1765,Engine!$C$2:$C$1960,0)),"",INDEX('Compliance Database'!$E$2:$E$1960,MATCH(1765,Engine!$C$2:$C$1960,0)))</f>
        <v/>
      </c>
      <c r="F1778" s="8">
        <f>IF(ISNA(MATCH(1765,Engine!$C$2:$C$1960,0)),"",INDEX('Compliance Database'!$F$2:$F$1960,MATCH(1765,Engine!$C$2:$C$1960,0)))</f>
        <v/>
      </c>
      <c r="G1778" s="8">
        <f>IF(ISNA(MATCH(1765,Engine!$C$2:$C$1960,0)),"",INDEX('Compliance Database'!$G$2:$G$1960,MATCH(1765,Engine!$C$2:$C$1960,0)))</f>
        <v/>
      </c>
      <c r="H1778" s="9">
        <f>IF(ISNA(MATCH(1765,Engine!$C$2:$C$1960,0)),"",INDEX('Compliance Database'!$H$2:$H$1960,MATCH(1765,Engine!$C$2:$C$1960,0)))</f>
        <v/>
      </c>
      <c r="I1778" s="9">
        <f>IF(ISNA(MATCH(1765,Engine!$C$2:$C$1960,0)),"",INDEX('Compliance Database'!$I$2:$I$1960,MATCH(1765,Engine!$C$2:$C$1960,0)))</f>
        <v/>
      </c>
      <c r="J1778" s="8">
        <f>IF(ISNA(MATCH(1765,Engine!$C$2:$C$1960,0)),"",INDEX('Compliance Database'!$J$2:$J$1960,MATCH(1765,Engine!$C$2:$C$1960,0)))</f>
        <v/>
      </c>
      <c r="K1778" s="9">
        <f>IF(ISNA(MATCH(1765,Engine!$C$2:$C$1960,0)),"",INDEX('Compliance Database'!$K$2:$K$1960,MATCH(1765,Engine!$C$2:$C$1960,0)))</f>
        <v/>
      </c>
      <c r="L1778" s="9">
        <f>IF(ISNA(MATCH(1765,Engine!$C$2:$C$1960,0)),"",INDEX('Compliance Database'!$L$2:$L$1960,MATCH(1765,Engine!$C$2:$C$1960,0)))</f>
        <v/>
      </c>
      <c r="M1778" s="9">
        <f>IF(ISNA(MATCH(1765,Engine!$C$2:$C$1960,0)),"",INDEX('Compliance Database'!$M$2:$M$1960,MATCH(1765,Engine!$C$2:$C$1960,0)))</f>
        <v/>
      </c>
      <c r="N1778" s="9">
        <f>IF(ISNA(MATCH(1765,Engine!$C$2:$C$1960,0)),"",INDEX('Compliance Database'!$N$2:$N$1960,MATCH(1765,Engine!$C$2:$C$1960,0)))</f>
        <v/>
      </c>
      <c r="O1778" s="9">
        <f>IF(ISNA(MATCH(1765,Engine!$C$2:$C$1960,0)),"",INDEX('Compliance Database'!$O$2:$O$1960,MATCH(1765,Engine!$C$2:$C$1960,0)))</f>
        <v/>
      </c>
      <c r="P1778" s="8">
        <f>IF(ISNA(MATCH(1765,Engine!$C$2:$C$1960,0)),"",HYPERLINK("#Acts!A"&amp;INDEX('Compliance Database'!$P$2:$P$1960,MATCH(1765,Engine!$C$2:$C$1960,0)),"Go to Act"))</f>
        <v/>
      </c>
    </row>
    <row r="1779" ht="158" customHeight="1">
      <c r="A1779" s="8">
        <f>IF(ISNA(MATCH(1766,Engine!$C$2:$C$1960,0)),"",INDEX('Compliance Database'!$A$2:$A$1960,MATCH(1766,Engine!$C$2:$C$1960,0)))</f>
        <v/>
      </c>
      <c r="B1779" s="8">
        <f>IF(ISNA(MATCH(1766,Engine!$C$2:$C$1960,0)),"",INDEX('Compliance Database'!$B$2:$B$1960,MATCH(1766,Engine!$C$2:$C$1960,0)))</f>
        <v/>
      </c>
      <c r="C1779" s="8">
        <f>IF(ISNA(MATCH(1766,Engine!$C$2:$C$1960,0)),"",INDEX('Compliance Database'!$C$2:$C$1960,MATCH(1766,Engine!$C$2:$C$1960,0)))</f>
        <v/>
      </c>
      <c r="D1779" s="9">
        <f>IF(ISNA(MATCH(1766,Engine!$C$2:$C$1960,0)),"",INDEX('Compliance Database'!$D$2:$D$1960,MATCH(1766,Engine!$C$2:$C$1960,0)))</f>
        <v/>
      </c>
      <c r="E1779" s="8">
        <f>IF(ISNA(MATCH(1766,Engine!$C$2:$C$1960,0)),"",INDEX('Compliance Database'!$E$2:$E$1960,MATCH(1766,Engine!$C$2:$C$1960,0)))</f>
        <v/>
      </c>
      <c r="F1779" s="8">
        <f>IF(ISNA(MATCH(1766,Engine!$C$2:$C$1960,0)),"",INDEX('Compliance Database'!$F$2:$F$1960,MATCH(1766,Engine!$C$2:$C$1960,0)))</f>
        <v/>
      </c>
      <c r="G1779" s="8">
        <f>IF(ISNA(MATCH(1766,Engine!$C$2:$C$1960,0)),"",INDEX('Compliance Database'!$G$2:$G$1960,MATCH(1766,Engine!$C$2:$C$1960,0)))</f>
        <v/>
      </c>
      <c r="H1779" s="9">
        <f>IF(ISNA(MATCH(1766,Engine!$C$2:$C$1960,0)),"",INDEX('Compliance Database'!$H$2:$H$1960,MATCH(1766,Engine!$C$2:$C$1960,0)))</f>
        <v/>
      </c>
      <c r="I1779" s="9">
        <f>IF(ISNA(MATCH(1766,Engine!$C$2:$C$1960,0)),"",INDEX('Compliance Database'!$I$2:$I$1960,MATCH(1766,Engine!$C$2:$C$1960,0)))</f>
        <v/>
      </c>
      <c r="J1779" s="8">
        <f>IF(ISNA(MATCH(1766,Engine!$C$2:$C$1960,0)),"",INDEX('Compliance Database'!$J$2:$J$1960,MATCH(1766,Engine!$C$2:$C$1960,0)))</f>
        <v/>
      </c>
      <c r="K1779" s="9">
        <f>IF(ISNA(MATCH(1766,Engine!$C$2:$C$1960,0)),"",INDEX('Compliance Database'!$K$2:$K$1960,MATCH(1766,Engine!$C$2:$C$1960,0)))</f>
        <v/>
      </c>
      <c r="L1779" s="9">
        <f>IF(ISNA(MATCH(1766,Engine!$C$2:$C$1960,0)),"",INDEX('Compliance Database'!$L$2:$L$1960,MATCH(1766,Engine!$C$2:$C$1960,0)))</f>
        <v/>
      </c>
      <c r="M1779" s="9">
        <f>IF(ISNA(MATCH(1766,Engine!$C$2:$C$1960,0)),"",INDEX('Compliance Database'!$M$2:$M$1960,MATCH(1766,Engine!$C$2:$C$1960,0)))</f>
        <v/>
      </c>
      <c r="N1779" s="9">
        <f>IF(ISNA(MATCH(1766,Engine!$C$2:$C$1960,0)),"",INDEX('Compliance Database'!$N$2:$N$1960,MATCH(1766,Engine!$C$2:$C$1960,0)))</f>
        <v/>
      </c>
      <c r="O1779" s="9">
        <f>IF(ISNA(MATCH(1766,Engine!$C$2:$C$1960,0)),"",INDEX('Compliance Database'!$O$2:$O$1960,MATCH(1766,Engine!$C$2:$C$1960,0)))</f>
        <v/>
      </c>
      <c r="P1779" s="8">
        <f>IF(ISNA(MATCH(1766,Engine!$C$2:$C$1960,0)),"",HYPERLINK("#Acts!A"&amp;INDEX('Compliance Database'!$P$2:$P$1960,MATCH(1766,Engine!$C$2:$C$1960,0)),"Go to Act"))</f>
        <v/>
      </c>
    </row>
    <row r="1780" ht="158" customHeight="1">
      <c r="A1780" s="8">
        <f>IF(ISNA(MATCH(1767,Engine!$C$2:$C$1960,0)),"",INDEX('Compliance Database'!$A$2:$A$1960,MATCH(1767,Engine!$C$2:$C$1960,0)))</f>
        <v/>
      </c>
      <c r="B1780" s="8">
        <f>IF(ISNA(MATCH(1767,Engine!$C$2:$C$1960,0)),"",INDEX('Compliance Database'!$B$2:$B$1960,MATCH(1767,Engine!$C$2:$C$1960,0)))</f>
        <v/>
      </c>
      <c r="C1780" s="8">
        <f>IF(ISNA(MATCH(1767,Engine!$C$2:$C$1960,0)),"",INDEX('Compliance Database'!$C$2:$C$1960,MATCH(1767,Engine!$C$2:$C$1960,0)))</f>
        <v/>
      </c>
      <c r="D1780" s="9">
        <f>IF(ISNA(MATCH(1767,Engine!$C$2:$C$1960,0)),"",INDEX('Compliance Database'!$D$2:$D$1960,MATCH(1767,Engine!$C$2:$C$1960,0)))</f>
        <v/>
      </c>
      <c r="E1780" s="8">
        <f>IF(ISNA(MATCH(1767,Engine!$C$2:$C$1960,0)),"",INDEX('Compliance Database'!$E$2:$E$1960,MATCH(1767,Engine!$C$2:$C$1960,0)))</f>
        <v/>
      </c>
      <c r="F1780" s="8">
        <f>IF(ISNA(MATCH(1767,Engine!$C$2:$C$1960,0)),"",INDEX('Compliance Database'!$F$2:$F$1960,MATCH(1767,Engine!$C$2:$C$1960,0)))</f>
        <v/>
      </c>
      <c r="G1780" s="8">
        <f>IF(ISNA(MATCH(1767,Engine!$C$2:$C$1960,0)),"",INDEX('Compliance Database'!$G$2:$G$1960,MATCH(1767,Engine!$C$2:$C$1960,0)))</f>
        <v/>
      </c>
      <c r="H1780" s="9">
        <f>IF(ISNA(MATCH(1767,Engine!$C$2:$C$1960,0)),"",INDEX('Compliance Database'!$H$2:$H$1960,MATCH(1767,Engine!$C$2:$C$1960,0)))</f>
        <v/>
      </c>
      <c r="I1780" s="9">
        <f>IF(ISNA(MATCH(1767,Engine!$C$2:$C$1960,0)),"",INDEX('Compliance Database'!$I$2:$I$1960,MATCH(1767,Engine!$C$2:$C$1960,0)))</f>
        <v/>
      </c>
      <c r="J1780" s="8">
        <f>IF(ISNA(MATCH(1767,Engine!$C$2:$C$1960,0)),"",INDEX('Compliance Database'!$J$2:$J$1960,MATCH(1767,Engine!$C$2:$C$1960,0)))</f>
        <v/>
      </c>
      <c r="K1780" s="9">
        <f>IF(ISNA(MATCH(1767,Engine!$C$2:$C$1960,0)),"",INDEX('Compliance Database'!$K$2:$K$1960,MATCH(1767,Engine!$C$2:$C$1960,0)))</f>
        <v/>
      </c>
      <c r="L1780" s="9">
        <f>IF(ISNA(MATCH(1767,Engine!$C$2:$C$1960,0)),"",INDEX('Compliance Database'!$L$2:$L$1960,MATCH(1767,Engine!$C$2:$C$1960,0)))</f>
        <v/>
      </c>
      <c r="M1780" s="9">
        <f>IF(ISNA(MATCH(1767,Engine!$C$2:$C$1960,0)),"",INDEX('Compliance Database'!$M$2:$M$1960,MATCH(1767,Engine!$C$2:$C$1960,0)))</f>
        <v/>
      </c>
      <c r="N1780" s="9">
        <f>IF(ISNA(MATCH(1767,Engine!$C$2:$C$1960,0)),"",INDEX('Compliance Database'!$N$2:$N$1960,MATCH(1767,Engine!$C$2:$C$1960,0)))</f>
        <v/>
      </c>
      <c r="O1780" s="9">
        <f>IF(ISNA(MATCH(1767,Engine!$C$2:$C$1960,0)),"",INDEX('Compliance Database'!$O$2:$O$1960,MATCH(1767,Engine!$C$2:$C$1960,0)))</f>
        <v/>
      </c>
      <c r="P1780" s="8">
        <f>IF(ISNA(MATCH(1767,Engine!$C$2:$C$1960,0)),"",HYPERLINK("#Acts!A"&amp;INDEX('Compliance Database'!$P$2:$P$1960,MATCH(1767,Engine!$C$2:$C$1960,0)),"Go to Act"))</f>
        <v/>
      </c>
    </row>
    <row r="1781" ht="158" customHeight="1">
      <c r="A1781" s="8">
        <f>IF(ISNA(MATCH(1768,Engine!$C$2:$C$1960,0)),"",INDEX('Compliance Database'!$A$2:$A$1960,MATCH(1768,Engine!$C$2:$C$1960,0)))</f>
        <v/>
      </c>
      <c r="B1781" s="8">
        <f>IF(ISNA(MATCH(1768,Engine!$C$2:$C$1960,0)),"",INDEX('Compliance Database'!$B$2:$B$1960,MATCH(1768,Engine!$C$2:$C$1960,0)))</f>
        <v/>
      </c>
      <c r="C1781" s="8">
        <f>IF(ISNA(MATCH(1768,Engine!$C$2:$C$1960,0)),"",INDEX('Compliance Database'!$C$2:$C$1960,MATCH(1768,Engine!$C$2:$C$1960,0)))</f>
        <v/>
      </c>
      <c r="D1781" s="9">
        <f>IF(ISNA(MATCH(1768,Engine!$C$2:$C$1960,0)),"",INDEX('Compliance Database'!$D$2:$D$1960,MATCH(1768,Engine!$C$2:$C$1960,0)))</f>
        <v/>
      </c>
      <c r="E1781" s="8">
        <f>IF(ISNA(MATCH(1768,Engine!$C$2:$C$1960,0)),"",INDEX('Compliance Database'!$E$2:$E$1960,MATCH(1768,Engine!$C$2:$C$1960,0)))</f>
        <v/>
      </c>
      <c r="F1781" s="8">
        <f>IF(ISNA(MATCH(1768,Engine!$C$2:$C$1960,0)),"",INDEX('Compliance Database'!$F$2:$F$1960,MATCH(1768,Engine!$C$2:$C$1960,0)))</f>
        <v/>
      </c>
      <c r="G1781" s="8">
        <f>IF(ISNA(MATCH(1768,Engine!$C$2:$C$1960,0)),"",INDEX('Compliance Database'!$G$2:$G$1960,MATCH(1768,Engine!$C$2:$C$1960,0)))</f>
        <v/>
      </c>
      <c r="H1781" s="9">
        <f>IF(ISNA(MATCH(1768,Engine!$C$2:$C$1960,0)),"",INDEX('Compliance Database'!$H$2:$H$1960,MATCH(1768,Engine!$C$2:$C$1960,0)))</f>
        <v/>
      </c>
      <c r="I1781" s="9">
        <f>IF(ISNA(MATCH(1768,Engine!$C$2:$C$1960,0)),"",INDEX('Compliance Database'!$I$2:$I$1960,MATCH(1768,Engine!$C$2:$C$1960,0)))</f>
        <v/>
      </c>
      <c r="J1781" s="8">
        <f>IF(ISNA(MATCH(1768,Engine!$C$2:$C$1960,0)),"",INDEX('Compliance Database'!$J$2:$J$1960,MATCH(1768,Engine!$C$2:$C$1960,0)))</f>
        <v/>
      </c>
      <c r="K1781" s="9">
        <f>IF(ISNA(MATCH(1768,Engine!$C$2:$C$1960,0)),"",INDEX('Compliance Database'!$K$2:$K$1960,MATCH(1768,Engine!$C$2:$C$1960,0)))</f>
        <v/>
      </c>
      <c r="L1781" s="9">
        <f>IF(ISNA(MATCH(1768,Engine!$C$2:$C$1960,0)),"",INDEX('Compliance Database'!$L$2:$L$1960,MATCH(1768,Engine!$C$2:$C$1960,0)))</f>
        <v/>
      </c>
      <c r="M1781" s="9">
        <f>IF(ISNA(MATCH(1768,Engine!$C$2:$C$1960,0)),"",INDEX('Compliance Database'!$M$2:$M$1960,MATCH(1768,Engine!$C$2:$C$1960,0)))</f>
        <v/>
      </c>
      <c r="N1781" s="9">
        <f>IF(ISNA(MATCH(1768,Engine!$C$2:$C$1960,0)),"",INDEX('Compliance Database'!$N$2:$N$1960,MATCH(1768,Engine!$C$2:$C$1960,0)))</f>
        <v/>
      </c>
      <c r="O1781" s="9">
        <f>IF(ISNA(MATCH(1768,Engine!$C$2:$C$1960,0)),"",INDEX('Compliance Database'!$O$2:$O$1960,MATCH(1768,Engine!$C$2:$C$1960,0)))</f>
        <v/>
      </c>
      <c r="P1781" s="8">
        <f>IF(ISNA(MATCH(1768,Engine!$C$2:$C$1960,0)),"",HYPERLINK("#Acts!A"&amp;INDEX('Compliance Database'!$P$2:$P$1960,MATCH(1768,Engine!$C$2:$C$1960,0)),"Go to Act"))</f>
        <v/>
      </c>
    </row>
    <row r="1782" ht="158" customHeight="1">
      <c r="A1782" s="8">
        <f>IF(ISNA(MATCH(1769,Engine!$C$2:$C$1960,0)),"",INDEX('Compliance Database'!$A$2:$A$1960,MATCH(1769,Engine!$C$2:$C$1960,0)))</f>
        <v/>
      </c>
      <c r="B1782" s="8">
        <f>IF(ISNA(MATCH(1769,Engine!$C$2:$C$1960,0)),"",INDEX('Compliance Database'!$B$2:$B$1960,MATCH(1769,Engine!$C$2:$C$1960,0)))</f>
        <v/>
      </c>
      <c r="C1782" s="8">
        <f>IF(ISNA(MATCH(1769,Engine!$C$2:$C$1960,0)),"",INDEX('Compliance Database'!$C$2:$C$1960,MATCH(1769,Engine!$C$2:$C$1960,0)))</f>
        <v/>
      </c>
      <c r="D1782" s="9">
        <f>IF(ISNA(MATCH(1769,Engine!$C$2:$C$1960,0)),"",INDEX('Compliance Database'!$D$2:$D$1960,MATCH(1769,Engine!$C$2:$C$1960,0)))</f>
        <v/>
      </c>
      <c r="E1782" s="8">
        <f>IF(ISNA(MATCH(1769,Engine!$C$2:$C$1960,0)),"",INDEX('Compliance Database'!$E$2:$E$1960,MATCH(1769,Engine!$C$2:$C$1960,0)))</f>
        <v/>
      </c>
      <c r="F1782" s="8">
        <f>IF(ISNA(MATCH(1769,Engine!$C$2:$C$1960,0)),"",INDEX('Compliance Database'!$F$2:$F$1960,MATCH(1769,Engine!$C$2:$C$1960,0)))</f>
        <v/>
      </c>
      <c r="G1782" s="8">
        <f>IF(ISNA(MATCH(1769,Engine!$C$2:$C$1960,0)),"",INDEX('Compliance Database'!$G$2:$G$1960,MATCH(1769,Engine!$C$2:$C$1960,0)))</f>
        <v/>
      </c>
      <c r="H1782" s="9">
        <f>IF(ISNA(MATCH(1769,Engine!$C$2:$C$1960,0)),"",INDEX('Compliance Database'!$H$2:$H$1960,MATCH(1769,Engine!$C$2:$C$1960,0)))</f>
        <v/>
      </c>
      <c r="I1782" s="9">
        <f>IF(ISNA(MATCH(1769,Engine!$C$2:$C$1960,0)),"",INDEX('Compliance Database'!$I$2:$I$1960,MATCH(1769,Engine!$C$2:$C$1960,0)))</f>
        <v/>
      </c>
      <c r="J1782" s="8">
        <f>IF(ISNA(MATCH(1769,Engine!$C$2:$C$1960,0)),"",INDEX('Compliance Database'!$J$2:$J$1960,MATCH(1769,Engine!$C$2:$C$1960,0)))</f>
        <v/>
      </c>
      <c r="K1782" s="9">
        <f>IF(ISNA(MATCH(1769,Engine!$C$2:$C$1960,0)),"",INDEX('Compliance Database'!$K$2:$K$1960,MATCH(1769,Engine!$C$2:$C$1960,0)))</f>
        <v/>
      </c>
      <c r="L1782" s="9">
        <f>IF(ISNA(MATCH(1769,Engine!$C$2:$C$1960,0)),"",INDEX('Compliance Database'!$L$2:$L$1960,MATCH(1769,Engine!$C$2:$C$1960,0)))</f>
        <v/>
      </c>
      <c r="M1782" s="9">
        <f>IF(ISNA(MATCH(1769,Engine!$C$2:$C$1960,0)),"",INDEX('Compliance Database'!$M$2:$M$1960,MATCH(1769,Engine!$C$2:$C$1960,0)))</f>
        <v/>
      </c>
      <c r="N1782" s="9">
        <f>IF(ISNA(MATCH(1769,Engine!$C$2:$C$1960,0)),"",INDEX('Compliance Database'!$N$2:$N$1960,MATCH(1769,Engine!$C$2:$C$1960,0)))</f>
        <v/>
      </c>
      <c r="O1782" s="9">
        <f>IF(ISNA(MATCH(1769,Engine!$C$2:$C$1960,0)),"",INDEX('Compliance Database'!$O$2:$O$1960,MATCH(1769,Engine!$C$2:$C$1960,0)))</f>
        <v/>
      </c>
      <c r="P1782" s="8">
        <f>IF(ISNA(MATCH(1769,Engine!$C$2:$C$1960,0)),"",HYPERLINK("#Acts!A"&amp;INDEX('Compliance Database'!$P$2:$P$1960,MATCH(1769,Engine!$C$2:$C$1960,0)),"Go to Act"))</f>
        <v/>
      </c>
    </row>
    <row r="1783" ht="158" customHeight="1">
      <c r="A1783" s="8">
        <f>IF(ISNA(MATCH(1770,Engine!$C$2:$C$1960,0)),"",INDEX('Compliance Database'!$A$2:$A$1960,MATCH(1770,Engine!$C$2:$C$1960,0)))</f>
        <v/>
      </c>
      <c r="B1783" s="8">
        <f>IF(ISNA(MATCH(1770,Engine!$C$2:$C$1960,0)),"",INDEX('Compliance Database'!$B$2:$B$1960,MATCH(1770,Engine!$C$2:$C$1960,0)))</f>
        <v/>
      </c>
      <c r="C1783" s="8">
        <f>IF(ISNA(MATCH(1770,Engine!$C$2:$C$1960,0)),"",INDEX('Compliance Database'!$C$2:$C$1960,MATCH(1770,Engine!$C$2:$C$1960,0)))</f>
        <v/>
      </c>
      <c r="D1783" s="9">
        <f>IF(ISNA(MATCH(1770,Engine!$C$2:$C$1960,0)),"",INDEX('Compliance Database'!$D$2:$D$1960,MATCH(1770,Engine!$C$2:$C$1960,0)))</f>
        <v/>
      </c>
      <c r="E1783" s="8">
        <f>IF(ISNA(MATCH(1770,Engine!$C$2:$C$1960,0)),"",INDEX('Compliance Database'!$E$2:$E$1960,MATCH(1770,Engine!$C$2:$C$1960,0)))</f>
        <v/>
      </c>
      <c r="F1783" s="8">
        <f>IF(ISNA(MATCH(1770,Engine!$C$2:$C$1960,0)),"",INDEX('Compliance Database'!$F$2:$F$1960,MATCH(1770,Engine!$C$2:$C$1960,0)))</f>
        <v/>
      </c>
      <c r="G1783" s="8">
        <f>IF(ISNA(MATCH(1770,Engine!$C$2:$C$1960,0)),"",INDEX('Compliance Database'!$G$2:$G$1960,MATCH(1770,Engine!$C$2:$C$1960,0)))</f>
        <v/>
      </c>
      <c r="H1783" s="9">
        <f>IF(ISNA(MATCH(1770,Engine!$C$2:$C$1960,0)),"",INDEX('Compliance Database'!$H$2:$H$1960,MATCH(1770,Engine!$C$2:$C$1960,0)))</f>
        <v/>
      </c>
      <c r="I1783" s="9">
        <f>IF(ISNA(MATCH(1770,Engine!$C$2:$C$1960,0)),"",INDEX('Compliance Database'!$I$2:$I$1960,MATCH(1770,Engine!$C$2:$C$1960,0)))</f>
        <v/>
      </c>
      <c r="J1783" s="8">
        <f>IF(ISNA(MATCH(1770,Engine!$C$2:$C$1960,0)),"",INDEX('Compliance Database'!$J$2:$J$1960,MATCH(1770,Engine!$C$2:$C$1960,0)))</f>
        <v/>
      </c>
      <c r="K1783" s="9">
        <f>IF(ISNA(MATCH(1770,Engine!$C$2:$C$1960,0)),"",INDEX('Compliance Database'!$K$2:$K$1960,MATCH(1770,Engine!$C$2:$C$1960,0)))</f>
        <v/>
      </c>
      <c r="L1783" s="9">
        <f>IF(ISNA(MATCH(1770,Engine!$C$2:$C$1960,0)),"",INDEX('Compliance Database'!$L$2:$L$1960,MATCH(1770,Engine!$C$2:$C$1960,0)))</f>
        <v/>
      </c>
      <c r="M1783" s="9">
        <f>IF(ISNA(MATCH(1770,Engine!$C$2:$C$1960,0)),"",INDEX('Compliance Database'!$M$2:$M$1960,MATCH(1770,Engine!$C$2:$C$1960,0)))</f>
        <v/>
      </c>
      <c r="N1783" s="9">
        <f>IF(ISNA(MATCH(1770,Engine!$C$2:$C$1960,0)),"",INDEX('Compliance Database'!$N$2:$N$1960,MATCH(1770,Engine!$C$2:$C$1960,0)))</f>
        <v/>
      </c>
      <c r="O1783" s="9">
        <f>IF(ISNA(MATCH(1770,Engine!$C$2:$C$1960,0)),"",INDEX('Compliance Database'!$O$2:$O$1960,MATCH(1770,Engine!$C$2:$C$1960,0)))</f>
        <v/>
      </c>
      <c r="P1783" s="8">
        <f>IF(ISNA(MATCH(1770,Engine!$C$2:$C$1960,0)),"",HYPERLINK("#Acts!A"&amp;INDEX('Compliance Database'!$P$2:$P$1960,MATCH(1770,Engine!$C$2:$C$1960,0)),"Go to Act"))</f>
        <v/>
      </c>
    </row>
    <row r="1784" ht="158" customHeight="1">
      <c r="A1784" s="8">
        <f>IF(ISNA(MATCH(1771,Engine!$C$2:$C$1960,0)),"",INDEX('Compliance Database'!$A$2:$A$1960,MATCH(1771,Engine!$C$2:$C$1960,0)))</f>
        <v/>
      </c>
      <c r="B1784" s="8">
        <f>IF(ISNA(MATCH(1771,Engine!$C$2:$C$1960,0)),"",INDEX('Compliance Database'!$B$2:$B$1960,MATCH(1771,Engine!$C$2:$C$1960,0)))</f>
        <v/>
      </c>
      <c r="C1784" s="8">
        <f>IF(ISNA(MATCH(1771,Engine!$C$2:$C$1960,0)),"",INDEX('Compliance Database'!$C$2:$C$1960,MATCH(1771,Engine!$C$2:$C$1960,0)))</f>
        <v/>
      </c>
      <c r="D1784" s="9">
        <f>IF(ISNA(MATCH(1771,Engine!$C$2:$C$1960,0)),"",INDEX('Compliance Database'!$D$2:$D$1960,MATCH(1771,Engine!$C$2:$C$1960,0)))</f>
        <v/>
      </c>
      <c r="E1784" s="8">
        <f>IF(ISNA(MATCH(1771,Engine!$C$2:$C$1960,0)),"",INDEX('Compliance Database'!$E$2:$E$1960,MATCH(1771,Engine!$C$2:$C$1960,0)))</f>
        <v/>
      </c>
      <c r="F1784" s="8">
        <f>IF(ISNA(MATCH(1771,Engine!$C$2:$C$1960,0)),"",INDEX('Compliance Database'!$F$2:$F$1960,MATCH(1771,Engine!$C$2:$C$1960,0)))</f>
        <v/>
      </c>
      <c r="G1784" s="8">
        <f>IF(ISNA(MATCH(1771,Engine!$C$2:$C$1960,0)),"",INDEX('Compliance Database'!$G$2:$G$1960,MATCH(1771,Engine!$C$2:$C$1960,0)))</f>
        <v/>
      </c>
      <c r="H1784" s="9">
        <f>IF(ISNA(MATCH(1771,Engine!$C$2:$C$1960,0)),"",INDEX('Compliance Database'!$H$2:$H$1960,MATCH(1771,Engine!$C$2:$C$1960,0)))</f>
        <v/>
      </c>
      <c r="I1784" s="9">
        <f>IF(ISNA(MATCH(1771,Engine!$C$2:$C$1960,0)),"",INDEX('Compliance Database'!$I$2:$I$1960,MATCH(1771,Engine!$C$2:$C$1960,0)))</f>
        <v/>
      </c>
      <c r="J1784" s="8">
        <f>IF(ISNA(MATCH(1771,Engine!$C$2:$C$1960,0)),"",INDEX('Compliance Database'!$J$2:$J$1960,MATCH(1771,Engine!$C$2:$C$1960,0)))</f>
        <v/>
      </c>
      <c r="K1784" s="9">
        <f>IF(ISNA(MATCH(1771,Engine!$C$2:$C$1960,0)),"",INDEX('Compliance Database'!$K$2:$K$1960,MATCH(1771,Engine!$C$2:$C$1960,0)))</f>
        <v/>
      </c>
      <c r="L1784" s="9">
        <f>IF(ISNA(MATCH(1771,Engine!$C$2:$C$1960,0)),"",INDEX('Compliance Database'!$L$2:$L$1960,MATCH(1771,Engine!$C$2:$C$1960,0)))</f>
        <v/>
      </c>
      <c r="M1784" s="9">
        <f>IF(ISNA(MATCH(1771,Engine!$C$2:$C$1960,0)),"",INDEX('Compliance Database'!$M$2:$M$1960,MATCH(1771,Engine!$C$2:$C$1960,0)))</f>
        <v/>
      </c>
      <c r="N1784" s="9">
        <f>IF(ISNA(MATCH(1771,Engine!$C$2:$C$1960,0)),"",INDEX('Compliance Database'!$N$2:$N$1960,MATCH(1771,Engine!$C$2:$C$1960,0)))</f>
        <v/>
      </c>
      <c r="O1784" s="9">
        <f>IF(ISNA(MATCH(1771,Engine!$C$2:$C$1960,0)),"",INDEX('Compliance Database'!$O$2:$O$1960,MATCH(1771,Engine!$C$2:$C$1960,0)))</f>
        <v/>
      </c>
      <c r="P1784" s="8">
        <f>IF(ISNA(MATCH(1771,Engine!$C$2:$C$1960,0)),"",HYPERLINK("#Acts!A"&amp;INDEX('Compliance Database'!$P$2:$P$1960,MATCH(1771,Engine!$C$2:$C$1960,0)),"Go to Act"))</f>
        <v/>
      </c>
    </row>
    <row r="1785" ht="158" customHeight="1">
      <c r="A1785" s="8">
        <f>IF(ISNA(MATCH(1772,Engine!$C$2:$C$1960,0)),"",INDEX('Compliance Database'!$A$2:$A$1960,MATCH(1772,Engine!$C$2:$C$1960,0)))</f>
        <v/>
      </c>
      <c r="B1785" s="8">
        <f>IF(ISNA(MATCH(1772,Engine!$C$2:$C$1960,0)),"",INDEX('Compliance Database'!$B$2:$B$1960,MATCH(1772,Engine!$C$2:$C$1960,0)))</f>
        <v/>
      </c>
      <c r="C1785" s="8">
        <f>IF(ISNA(MATCH(1772,Engine!$C$2:$C$1960,0)),"",INDEX('Compliance Database'!$C$2:$C$1960,MATCH(1772,Engine!$C$2:$C$1960,0)))</f>
        <v/>
      </c>
      <c r="D1785" s="9">
        <f>IF(ISNA(MATCH(1772,Engine!$C$2:$C$1960,0)),"",INDEX('Compliance Database'!$D$2:$D$1960,MATCH(1772,Engine!$C$2:$C$1960,0)))</f>
        <v/>
      </c>
      <c r="E1785" s="8">
        <f>IF(ISNA(MATCH(1772,Engine!$C$2:$C$1960,0)),"",INDEX('Compliance Database'!$E$2:$E$1960,MATCH(1772,Engine!$C$2:$C$1960,0)))</f>
        <v/>
      </c>
      <c r="F1785" s="8">
        <f>IF(ISNA(MATCH(1772,Engine!$C$2:$C$1960,0)),"",INDEX('Compliance Database'!$F$2:$F$1960,MATCH(1772,Engine!$C$2:$C$1960,0)))</f>
        <v/>
      </c>
      <c r="G1785" s="8">
        <f>IF(ISNA(MATCH(1772,Engine!$C$2:$C$1960,0)),"",INDEX('Compliance Database'!$G$2:$G$1960,MATCH(1772,Engine!$C$2:$C$1960,0)))</f>
        <v/>
      </c>
      <c r="H1785" s="9">
        <f>IF(ISNA(MATCH(1772,Engine!$C$2:$C$1960,0)),"",INDEX('Compliance Database'!$H$2:$H$1960,MATCH(1772,Engine!$C$2:$C$1960,0)))</f>
        <v/>
      </c>
      <c r="I1785" s="9">
        <f>IF(ISNA(MATCH(1772,Engine!$C$2:$C$1960,0)),"",INDEX('Compliance Database'!$I$2:$I$1960,MATCH(1772,Engine!$C$2:$C$1960,0)))</f>
        <v/>
      </c>
      <c r="J1785" s="8">
        <f>IF(ISNA(MATCH(1772,Engine!$C$2:$C$1960,0)),"",INDEX('Compliance Database'!$J$2:$J$1960,MATCH(1772,Engine!$C$2:$C$1960,0)))</f>
        <v/>
      </c>
      <c r="K1785" s="9">
        <f>IF(ISNA(MATCH(1772,Engine!$C$2:$C$1960,0)),"",INDEX('Compliance Database'!$K$2:$K$1960,MATCH(1772,Engine!$C$2:$C$1960,0)))</f>
        <v/>
      </c>
      <c r="L1785" s="9">
        <f>IF(ISNA(MATCH(1772,Engine!$C$2:$C$1960,0)),"",INDEX('Compliance Database'!$L$2:$L$1960,MATCH(1772,Engine!$C$2:$C$1960,0)))</f>
        <v/>
      </c>
      <c r="M1785" s="9">
        <f>IF(ISNA(MATCH(1772,Engine!$C$2:$C$1960,0)),"",INDEX('Compliance Database'!$M$2:$M$1960,MATCH(1772,Engine!$C$2:$C$1960,0)))</f>
        <v/>
      </c>
      <c r="N1785" s="9">
        <f>IF(ISNA(MATCH(1772,Engine!$C$2:$C$1960,0)),"",INDEX('Compliance Database'!$N$2:$N$1960,MATCH(1772,Engine!$C$2:$C$1960,0)))</f>
        <v/>
      </c>
      <c r="O1785" s="9">
        <f>IF(ISNA(MATCH(1772,Engine!$C$2:$C$1960,0)),"",INDEX('Compliance Database'!$O$2:$O$1960,MATCH(1772,Engine!$C$2:$C$1960,0)))</f>
        <v/>
      </c>
      <c r="P1785" s="8">
        <f>IF(ISNA(MATCH(1772,Engine!$C$2:$C$1960,0)),"",HYPERLINK("#Acts!A"&amp;INDEX('Compliance Database'!$P$2:$P$1960,MATCH(1772,Engine!$C$2:$C$1960,0)),"Go to Act"))</f>
        <v/>
      </c>
    </row>
    <row r="1786" ht="158" customHeight="1">
      <c r="A1786" s="8">
        <f>IF(ISNA(MATCH(1773,Engine!$C$2:$C$1960,0)),"",INDEX('Compliance Database'!$A$2:$A$1960,MATCH(1773,Engine!$C$2:$C$1960,0)))</f>
        <v/>
      </c>
      <c r="B1786" s="8">
        <f>IF(ISNA(MATCH(1773,Engine!$C$2:$C$1960,0)),"",INDEX('Compliance Database'!$B$2:$B$1960,MATCH(1773,Engine!$C$2:$C$1960,0)))</f>
        <v/>
      </c>
      <c r="C1786" s="8">
        <f>IF(ISNA(MATCH(1773,Engine!$C$2:$C$1960,0)),"",INDEX('Compliance Database'!$C$2:$C$1960,MATCH(1773,Engine!$C$2:$C$1960,0)))</f>
        <v/>
      </c>
      <c r="D1786" s="9">
        <f>IF(ISNA(MATCH(1773,Engine!$C$2:$C$1960,0)),"",INDEX('Compliance Database'!$D$2:$D$1960,MATCH(1773,Engine!$C$2:$C$1960,0)))</f>
        <v/>
      </c>
      <c r="E1786" s="8">
        <f>IF(ISNA(MATCH(1773,Engine!$C$2:$C$1960,0)),"",INDEX('Compliance Database'!$E$2:$E$1960,MATCH(1773,Engine!$C$2:$C$1960,0)))</f>
        <v/>
      </c>
      <c r="F1786" s="8">
        <f>IF(ISNA(MATCH(1773,Engine!$C$2:$C$1960,0)),"",INDEX('Compliance Database'!$F$2:$F$1960,MATCH(1773,Engine!$C$2:$C$1960,0)))</f>
        <v/>
      </c>
      <c r="G1786" s="8">
        <f>IF(ISNA(MATCH(1773,Engine!$C$2:$C$1960,0)),"",INDEX('Compliance Database'!$G$2:$G$1960,MATCH(1773,Engine!$C$2:$C$1960,0)))</f>
        <v/>
      </c>
      <c r="H1786" s="9">
        <f>IF(ISNA(MATCH(1773,Engine!$C$2:$C$1960,0)),"",INDEX('Compliance Database'!$H$2:$H$1960,MATCH(1773,Engine!$C$2:$C$1960,0)))</f>
        <v/>
      </c>
      <c r="I1786" s="9">
        <f>IF(ISNA(MATCH(1773,Engine!$C$2:$C$1960,0)),"",INDEX('Compliance Database'!$I$2:$I$1960,MATCH(1773,Engine!$C$2:$C$1960,0)))</f>
        <v/>
      </c>
      <c r="J1786" s="8">
        <f>IF(ISNA(MATCH(1773,Engine!$C$2:$C$1960,0)),"",INDEX('Compliance Database'!$J$2:$J$1960,MATCH(1773,Engine!$C$2:$C$1960,0)))</f>
        <v/>
      </c>
      <c r="K1786" s="9">
        <f>IF(ISNA(MATCH(1773,Engine!$C$2:$C$1960,0)),"",INDEX('Compliance Database'!$K$2:$K$1960,MATCH(1773,Engine!$C$2:$C$1960,0)))</f>
        <v/>
      </c>
      <c r="L1786" s="9">
        <f>IF(ISNA(MATCH(1773,Engine!$C$2:$C$1960,0)),"",INDEX('Compliance Database'!$L$2:$L$1960,MATCH(1773,Engine!$C$2:$C$1960,0)))</f>
        <v/>
      </c>
      <c r="M1786" s="9">
        <f>IF(ISNA(MATCH(1773,Engine!$C$2:$C$1960,0)),"",INDEX('Compliance Database'!$M$2:$M$1960,MATCH(1773,Engine!$C$2:$C$1960,0)))</f>
        <v/>
      </c>
      <c r="N1786" s="9">
        <f>IF(ISNA(MATCH(1773,Engine!$C$2:$C$1960,0)),"",INDEX('Compliance Database'!$N$2:$N$1960,MATCH(1773,Engine!$C$2:$C$1960,0)))</f>
        <v/>
      </c>
      <c r="O1786" s="9">
        <f>IF(ISNA(MATCH(1773,Engine!$C$2:$C$1960,0)),"",INDEX('Compliance Database'!$O$2:$O$1960,MATCH(1773,Engine!$C$2:$C$1960,0)))</f>
        <v/>
      </c>
      <c r="P1786" s="8">
        <f>IF(ISNA(MATCH(1773,Engine!$C$2:$C$1960,0)),"",HYPERLINK("#Acts!A"&amp;INDEX('Compliance Database'!$P$2:$P$1960,MATCH(1773,Engine!$C$2:$C$1960,0)),"Go to Act"))</f>
        <v/>
      </c>
    </row>
    <row r="1787" ht="158" customHeight="1">
      <c r="A1787" s="8">
        <f>IF(ISNA(MATCH(1774,Engine!$C$2:$C$1960,0)),"",INDEX('Compliance Database'!$A$2:$A$1960,MATCH(1774,Engine!$C$2:$C$1960,0)))</f>
        <v/>
      </c>
      <c r="B1787" s="8">
        <f>IF(ISNA(MATCH(1774,Engine!$C$2:$C$1960,0)),"",INDEX('Compliance Database'!$B$2:$B$1960,MATCH(1774,Engine!$C$2:$C$1960,0)))</f>
        <v/>
      </c>
      <c r="C1787" s="8">
        <f>IF(ISNA(MATCH(1774,Engine!$C$2:$C$1960,0)),"",INDEX('Compliance Database'!$C$2:$C$1960,MATCH(1774,Engine!$C$2:$C$1960,0)))</f>
        <v/>
      </c>
      <c r="D1787" s="9">
        <f>IF(ISNA(MATCH(1774,Engine!$C$2:$C$1960,0)),"",INDEX('Compliance Database'!$D$2:$D$1960,MATCH(1774,Engine!$C$2:$C$1960,0)))</f>
        <v/>
      </c>
      <c r="E1787" s="8">
        <f>IF(ISNA(MATCH(1774,Engine!$C$2:$C$1960,0)),"",INDEX('Compliance Database'!$E$2:$E$1960,MATCH(1774,Engine!$C$2:$C$1960,0)))</f>
        <v/>
      </c>
      <c r="F1787" s="8">
        <f>IF(ISNA(MATCH(1774,Engine!$C$2:$C$1960,0)),"",INDEX('Compliance Database'!$F$2:$F$1960,MATCH(1774,Engine!$C$2:$C$1960,0)))</f>
        <v/>
      </c>
      <c r="G1787" s="8">
        <f>IF(ISNA(MATCH(1774,Engine!$C$2:$C$1960,0)),"",INDEX('Compliance Database'!$G$2:$G$1960,MATCH(1774,Engine!$C$2:$C$1960,0)))</f>
        <v/>
      </c>
      <c r="H1787" s="9">
        <f>IF(ISNA(MATCH(1774,Engine!$C$2:$C$1960,0)),"",INDEX('Compliance Database'!$H$2:$H$1960,MATCH(1774,Engine!$C$2:$C$1960,0)))</f>
        <v/>
      </c>
      <c r="I1787" s="9">
        <f>IF(ISNA(MATCH(1774,Engine!$C$2:$C$1960,0)),"",INDEX('Compliance Database'!$I$2:$I$1960,MATCH(1774,Engine!$C$2:$C$1960,0)))</f>
        <v/>
      </c>
      <c r="J1787" s="8">
        <f>IF(ISNA(MATCH(1774,Engine!$C$2:$C$1960,0)),"",INDEX('Compliance Database'!$J$2:$J$1960,MATCH(1774,Engine!$C$2:$C$1960,0)))</f>
        <v/>
      </c>
      <c r="K1787" s="9">
        <f>IF(ISNA(MATCH(1774,Engine!$C$2:$C$1960,0)),"",INDEX('Compliance Database'!$K$2:$K$1960,MATCH(1774,Engine!$C$2:$C$1960,0)))</f>
        <v/>
      </c>
      <c r="L1787" s="9">
        <f>IF(ISNA(MATCH(1774,Engine!$C$2:$C$1960,0)),"",INDEX('Compliance Database'!$L$2:$L$1960,MATCH(1774,Engine!$C$2:$C$1960,0)))</f>
        <v/>
      </c>
      <c r="M1787" s="9">
        <f>IF(ISNA(MATCH(1774,Engine!$C$2:$C$1960,0)),"",INDEX('Compliance Database'!$M$2:$M$1960,MATCH(1774,Engine!$C$2:$C$1960,0)))</f>
        <v/>
      </c>
      <c r="N1787" s="9">
        <f>IF(ISNA(MATCH(1774,Engine!$C$2:$C$1960,0)),"",INDEX('Compliance Database'!$N$2:$N$1960,MATCH(1774,Engine!$C$2:$C$1960,0)))</f>
        <v/>
      </c>
      <c r="O1787" s="9">
        <f>IF(ISNA(MATCH(1774,Engine!$C$2:$C$1960,0)),"",INDEX('Compliance Database'!$O$2:$O$1960,MATCH(1774,Engine!$C$2:$C$1960,0)))</f>
        <v/>
      </c>
      <c r="P1787" s="8">
        <f>IF(ISNA(MATCH(1774,Engine!$C$2:$C$1960,0)),"",HYPERLINK("#Acts!A"&amp;INDEX('Compliance Database'!$P$2:$P$1960,MATCH(1774,Engine!$C$2:$C$1960,0)),"Go to Act"))</f>
        <v/>
      </c>
    </row>
    <row r="1788" ht="158" customHeight="1">
      <c r="A1788" s="8">
        <f>IF(ISNA(MATCH(1775,Engine!$C$2:$C$1960,0)),"",INDEX('Compliance Database'!$A$2:$A$1960,MATCH(1775,Engine!$C$2:$C$1960,0)))</f>
        <v/>
      </c>
      <c r="B1788" s="8">
        <f>IF(ISNA(MATCH(1775,Engine!$C$2:$C$1960,0)),"",INDEX('Compliance Database'!$B$2:$B$1960,MATCH(1775,Engine!$C$2:$C$1960,0)))</f>
        <v/>
      </c>
      <c r="C1788" s="8">
        <f>IF(ISNA(MATCH(1775,Engine!$C$2:$C$1960,0)),"",INDEX('Compliance Database'!$C$2:$C$1960,MATCH(1775,Engine!$C$2:$C$1960,0)))</f>
        <v/>
      </c>
      <c r="D1788" s="9">
        <f>IF(ISNA(MATCH(1775,Engine!$C$2:$C$1960,0)),"",INDEX('Compliance Database'!$D$2:$D$1960,MATCH(1775,Engine!$C$2:$C$1960,0)))</f>
        <v/>
      </c>
      <c r="E1788" s="8">
        <f>IF(ISNA(MATCH(1775,Engine!$C$2:$C$1960,0)),"",INDEX('Compliance Database'!$E$2:$E$1960,MATCH(1775,Engine!$C$2:$C$1960,0)))</f>
        <v/>
      </c>
      <c r="F1788" s="8">
        <f>IF(ISNA(MATCH(1775,Engine!$C$2:$C$1960,0)),"",INDEX('Compliance Database'!$F$2:$F$1960,MATCH(1775,Engine!$C$2:$C$1960,0)))</f>
        <v/>
      </c>
      <c r="G1788" s="8">
        <f>IF(ISNA(MATCH(1775,Engine!$C$2:$C$1960,0)),"",INDEX('Compliance Database'!$G$2:$G$1960,MATCH(1775,Engine!$C$2:$C$1960,0)))</f>
        <v/>
      </c>
      <c r="H1788" s="9">
        <f>IF(ISNA(MATCH(1775,Engine!$C$2:$C$1960,0)),"",INDEX('Compliance Database'!$H$2:$H$1960,MATCH(1775,Engine!$C$2:$C$1960,0)))</f>
        <v/>
      </c>
      <c r="I1788" s="9">
        <f>IF(ISNA(MATCH(1775,Engine!$C$2:$C$1960,0)),"",INDEX('Compliance Database'!$I$2:$I$1960,MATCH(1775,Engine!$C$2:$C$1960,0)))</f>
        <v/>
      </c>
      <c r="J1788" s="8">
        <f>IF(ISNA(MATCH(1775,Engine!$C$2:$C$1960,0)),"",INDEX('Compliance Database'!$J$2:$J$1960,MATCH(1775,Engine!$C$2:$C$1960,0)))</f>
        <v/>
      </c>
      <c r="K1788" s="9">
        <f>IF(ISNA(MATCH(1775,Engine!$C$2:$C$1960,0)),"",INDEX('Compliance Database'!$K$2:$K$1960,MATCH(1775,Engine!$C$2:$C$1960,0)))</f>
        <v/>
      </c>
      <c r="L1788" s="9">
        <f>IF(ISNA(MATCH(1775,Engine!$C$2:$C$1960,0)),"",INDEX('Compliance Database'!$L$2:$L$1960,MATCH(1775,Engine!$C$2:$C$1960,0)))</f>
        <v/>
      </c>
      <c r="M1788" s="9">
        <f>IF(ISNA(MATCH(1775,Engine!$C$2:$C$1960,0)),"",INDEX('Compliance Database'!$M$2:$M$1960,MATCH(1775,Engine!$C$2:$C$1960,0)))</f>
        <v/>
      </c>
      <c r="N1788" s="9">
        <f>IF(ISNA(MATCH(1775,Engine!$C$2:$C$1960,0)),"",INDEX('Compliance Database'!$N$2:$N$1960,MATCH(1775,Engine!$C$2:$C$1960,0)))</f>
        <v/>
      </c>
      <c r="O1788" s="9">
        <f>IF(ISNA(MATCH(1775,Engine!$C$2:$C$1960,0)),"",INDEX('Compliance Database'!$O$2:$O$1960,MATCH(1775,Engine!$C$2:$C$1960,0)))</f>
        <v/>
      </c>
      <c r="P1788" s="8">
        <f>IF(ISNA(MATCH(1775,Engine!$C$2:$C$1960,0)),"",HYPERLINK("#Acts!A"&amp;INDEX('Compliance Database'!$P$2:$P$1960,MATCH(1775,Engine!$C$2:$C$1960,0)),"Go to Act"))</f>
        <v/>
      </c>
    </row>
    <row r="1789" ht="158" customHeight="1">
      <c r="A1789" s="8">
        <f>IF(ISNA(MATCH(1776,Engine!$C$2:$C$1960,0)),"",INDEX('Compliance Database'!$A$2:$A$1960,MATCH(1776,Engine!$C$2:$C$1960,0)))</f>
        <v/>
      </c>
      <c r="B1789" s="8">
        <f>IF(ISNA(MATCH(1776,Engine!$C$2:$C$1960,0)),"",INDEX('Compliance Database'!$B$2:$B$1960,MATCH(1776,Engine!$C$2:$C$1960,0)))</f>
        <v/>
      </c>
      <c r="C1789" s="8">
        <f>IF(ISNA(MATCH(1776,Engine!$C$2:$C$1960,0)),"",INDEX('Compliance Database'!$C$2:$C$1960,MATCH(1776,Engine!$C$2:$C$1960,0)))</f>
        <v/>
      </c>
      <c r="D1789" s="9">
        <f>IF(ISNA(MATCH(1776,Engine!$C$2:$C$1960,0)),"",INDEX('Compliance Database'!$D$2:$D$1960,MATCH(1776,Engine!$C$2:$C$1960,0)))</f>
        <v/>
      </c>
      <c r="E1789" s="8">
        <f>IF(ISNA(MATCH(1776,Engine!$C$2:$C$1960,0)),"",INDEX('Compliance Database'!$E$2:$E$1960,MATCH(1776,Engine!$C$2:$C$1960,0)))</f>
        <v/>
      </c>
      <c r="F1789" s="8">
        <f>IF(ISNA(MATCH(1776,Engine!$C$2:$C$1960,0)),"",INDEX('Compliance Database'!$F$2:$F$1960,MATCH(1776,Engine!$C$2:$C$1960,0)))</f>
        <v/>
      </c>
      <c r="G1789" s="8">
        <f>IF(ISNA(MATCH(1776,Engine!$C$2:$C$1960,0)),"",INDEX('Compliance Database'!$G$2:$G$1960,MATCH(1776,Engine!$C$2:$C$1960,0)))</f>
        <v/>
      </c>
      <c r="H1789" s="9">
        <f>IF(ISNA(MATCH(1776,Engine!$C$2:$C$1960,0)),"",INDEX('Compliance Database'!$H$2:$H$1960,MATCH(1776,Engine!$C$2:$C$1960,0)))</f>
        <v/>
      </c>
      <c r="I1789" s="9">
        <f>IF(ISNA(MATCH(1776,Engine!$C$2:$C$1960,0)),"",INDEX('Compliance Database'!$I$2:$I$1960,MATCH(1776,Engine!$C$2:$C$1960,0)))</f>
        <v/>
      </c>
      <c r="J1789" s="8">
        <f>IF(ISNA(MATCH(1776,Engine!$C$2:$C$1960,0)),"",INDEX('Compliance Database'!$J$2:$J$1960,MATCH(1776,Engine!$C$2:$C$1960,0)))</f>
        <v/>
      </c>
      <c r="K1789" s="9">
        <f>IF(ISNA(MATCH(1776,Engine!$C$2:$C$1960,0)),"",INDEX('Compliance Database'!$K$2:$K$1960,MATCH(1776,Engine!$C$2:$C$1960,0)))</f>
        <v/>
      </c>
      <c r="L1789" s="9">
        <f>IF(ISNA(MATCH(1776,Engine!$C$2:$C$1960,0)),"",INDEX('Compliance Database'!$L$2:$L$1960,MATCH(1776,Engine!$C$2:$C$1960,0)))</f>
        <v/>
      </c>
      <c r="M1789" s="9">
        <f>IF(ISNA(MATCH(1776,Engine!$C$2:$C$1960,0)),"",INDEX('Compliance Database'!$M$2:$M$1960,MATCH(1776,Engine!$C$2:$C$1960,0)))</f>
        <v/>
      </c>
      <c r="N1789" s="9">
        <f>IF(ISNA(MATCH(1776,Engine!$C$2:$C$1960,0)),"",INDEX('Compliance Database'!$N$2:$N$1960,MATCH(1776,Engine!$C$2:$C$1960,0)))</f>
        <v/>
      </c>
      <c r="O1789" s="9">
        <f>IF(ISNA(MATCH(1776,Engine!$C$2:$C$1960,0)),"",INDEX('Compliance Database'!$O$2:$O$1960,MATCH(1776,Engine!$C$2:$C$1960,0)))</f>
        <v/>
      </c>
      <c r="P1789" s="8">
        <f>IF(ISNA(MATCH(1776,Engine!$C$2:$C$1960,0)),"",HYPERLINK("#Acts!A"&amp;INDEX('Compliance Database'!$P$2:$P$1960,MATCH(1776,Engine!$C$2:$C$1960,0)),"Go to Act"))</f>
        <v/>
      </c>
    </row>
    <row r="1790" ht="158" customHeight="1">
      <c r="A1790" s="8">
        <f>IF(ISNA(MATCH(1777,Engine!$C$2:$C$1960,0)),"",INDEX('Compliance Database'!$A$2:$A$1960,MATCH(1777,Engine!$C$2:$C$1960,0)))</f>
        <v/>
      </c>
      <c r="B1790" s="8">
        <f>IF(ISNA(MATCH(1777,Engine!$C$2:$C$1960,0)),"",INDEX('Compliance Database'!$B$2:$B$1960,MATCH(1777,Engine!$C$2:$C$1960,0)))</f>
        <v/>
      </c>
      <c r="C1790" s="8">
        <f>IF(ISNA(MATCH(1777,Engine!$C$2:$C$1960,0)),"",INDEX('Compliance Database'!$C$2:$C$1960,MATCH(1777,Engine!$C$2:$C$1960,0)))</f>
        <v/>
      </c>
      <c r="D1790" s="9">
        <f>IF(ISNA(MATCH(1777,Engine!$C$2:$C$1960,0)),"",INDEX('Compliance Database'!$D$2:$D$1960,MATCH(1777,Engine!$C$2:$C$1960,0)))</f>
        <v/>
      </c>
      <c r="E1790" s="8">
        <f>IF(ISNA(MATCH(1777,Engine!$C$2:$C$1960,0)),"",INDEX('Compliance Database'!$E$2:$E$1960,MATCH(1777,Engine!$C$2:$C$1960,0)))</f>
        <v/>
      </c>
      <c r="F1790" s="8">
        <f>IF(ISNA(MATCH(1777,Engine!$C$2:$C$1960,0)),"",INDEX('Compliance Database'!$F$2:$F$1960,MATCH(1777,Engine!$C$2:$C$1960,0)))</f>
        <v/>
      </c>
      <c r="G1790" s="8">
        <f>IF(ISNA(MATCH(1777,Engine!$C$2:$C$1960,0)),"",INDEX('Compliance Database'!$G$2:$G$1960,MATCH(1777,Engine!$C$2:$C$1960,0)))</f>
        <v/>
      </c>
      <c r="H1790" s="9">
        <f>IF(ISNA(MATCH(1777,Engine!$C$2:$C$1960,0)),"",INDEX('Compliance Database'!$H$2:$H$1960,MATCH(1777,Engine!$C$2:$C$1960,0)))</f>
        <v/>
      </c>
      <c r="I1790" s="9">
        <f>IF(ISNA(MATCH(1777,Engine!$C$2:$C$1960,0)),"",INDEX('Compliance Database'!$I$2:$I$1960,MATCH(1777,Engine!$C$2:$C$1960,0)))</f>
        <v/>
      </c>
      <c r="J1790" s="8">
        <f>IF(ISNA(MATCH(1777,Engine!$C$2:$C$1960,0)),"",INDEX('Compliance Database'!$J$2:$J$1960,MATCH(1777,Engine!$C$2:$C$1960,0)))</f>
        <v/>
      </c>
      <c r="K1790" s="9">
        <f>IF(ISNA(MATCH(1777,Engine!$C$2:$C$1960,0)),"",INDEX('Compliance Database'!$K$2:$K$1960,MATCH(1777,Engine!$C$2:$C$1960,0)))</f>
        <v/>
      </c>
      <c r="L1790" s="9">
        <f>IF(ISNA(MATCH(1777,Engine!$C$2:$C$1960,0)),"",INDEX('Compliance Database'!$L$2:$L$1960,MATCH(1777,Engine!$C$2:$C$1960,0)))</f>
        <v/>
      </c>
      <c r="M1790" s="9">
        <f>IF(ISNA(MATCH(1777,Engine!$C$2:$C$1960,0)),"",INDEX('Compliance Database'!$M$2:$M$1960,MATCH(1777,Engine!$C$2:$C$1960,0)))</f>
        <v/>
      </c>
      <c r="N1790" s="9">
        <f>IF(ISNA(MATCH(1777,Engine!$C$2:$C$1960,0)),"",INDEX('Compliance Database'!$N$2:$N$1960,MATCH(1777,Engine!$C$2:$C$1960,0)))</f>
        <v/>
      </c>
      <c r="O1790" s="9">
        <f>IF(ISNA(MATCH(1777,Engine!$C$2:$C$1960,0)),"",INDEX('Compliance Database'!$O$2:$O$1960,MATCH(1777,Engine!$C$2:$C$1960,0)))</f>
        <v/>
      </c>
      <c r="P1790" s="8">
        <f>IF(ISNA(MATCH(1777,Engine!$C$2:$C$1960,0)),"",HYPERLINK("#Acts!A"&amp;INDEX('Compliance Database'!$P$2:$P$1960,MATCH(1777,Engine!$C$2:$C$1960,0)),"Go to Act"))</f>
        <v/>
      </c>
    </row>
    <row r="1791" ht="158" customHeight="1">
      <c r="A1791" s="8">
        <f>IF(ISNA(MATCH(1778,Engine!$C$2:$C$1960,0)),"",INDEX('Compliance Database'!$A$2:$A$1960,MATCH(1778,Engine!$C$2:$C$1960,0)))</f>
        <v/>
      </c>
      <c r="B1791" s="8">
        <f>IF(ISNA(MATCH(1778,Engine!$C$2:$C$1960,0)),"",INDEX('Compliance Database'!$B$2:$B$1960,MATCH(1778,Engine!$C$2:$C$1960,0)))</f>
        <v/>
      </c>
      <c r="C1791" s="8">
        <f>IF(ISNA(MATCH(1778,Engine!$C$2:$C$1960,0)),"",INDEX('Compliance Database'!$C$2:$C$1960,MATCH(1778,Engine!$C$2:$C$1960,0)))</f>
        <v/>
      </c>
      <c r="D1791" s="9">
        <f>IF(ISNA(MATCH(1778,Engine!$C$2:$C$1960,0)),"",INDEX('Compliance Database'!$D$2:$D$1960,MATCH(1778,Engine!$C$2:$C$1960,0)))</f>
        <v/>
      </c>
      <c r="E1791" s="8">
        <f>IF(ISNA(MATCH(1778,Engine!$C$2:$C$1960,0)),"",INDEX('Compliance Database'!$E$2:$E$1960,MATCH(1778,Engine!$C$2:$C$1960,0)))</f>
        <v/>
      </c>
      <c r="F1791" s="8">
        <f>IF(ISNA(MATCH(1778,Engine!$C$2:$C$1960,0)),"",INDEX('Compliance Database'!$F$2:$F$1960,MATCH(1778,Engine!$C$2:$C$1960,0)))</f>
        <v/>
      </c>
      <c r="G1791" s="8">
        <f>IF(ISNA(MATCH(1778,Engine!$C$2:$C$1960,0)),"",INDEX('Compliance Database'!$G$2:$G$1960,MATCH(1778,Engine!$C$2:$C$1960,0)))</f>
        <v/>
      </c>
      <c r="H1791" s="9">
        <f>IF(ISNA(MATCH(1778,Engine!$C$2:$C$1960,0)),"",INDEX('Compliance Database'!$H$2:$H$1960,MATCH(1778,Engine!$C$2:$C$1960,0)))</f>
        <v/>
      </c>
      <c r="I1791" s="9">
        <f>IF(ISNA(MATCH(1778,Engine!$C$2:$C$1960,0)),"",INDEX('Compliance Database'!$I$2:$I$1960,MATCH(1778,Engine!$C$2:$C$1960,0)))</f>
        <v/>
      </c>
      <c r="J1791" s="8">
        <f>IF(ISNA(MATCH(1778,Engine!$C$2:$C$1960,0)),"",INDEX('Compliance Database'!$J$2:$J$1960,MATCH(1778,Engine!$C$2:$C$1960,0)))</f>
        <v/>
      </c>
      <c r="K1791" s="9">
        <f>IF(ISNA(MATCH(1778,Engine!$C$2:$C$1960,0)),"",INDEX('Compliance Database'!$K$2:$K$1960,MATCH(1778,Engine!$C$2:$C$1960,0)))</f>
        <v/>
      </c>
      <c r="L1791" s="9">
        <f>IF(ISNA(MATCH(1778,Engine!$C$2:$C$1960,0)),"",INDEX('Compliance Database'!$L$2:$L$1960,MATCH(1778,Engine!$C$2:$C$1960,0)))</f>
        <v/>
      </c>
      <c r="M1791" s="9">
        <f>IF(ISNA(MATCH(1778,Engine!$C$2:$C$1960,0)),"",INDEX('Compliance Database'!$M$2:$M$1960,MATCH(1778,Engine!$C$2:$C$1960,0)))</f>
        <v/>
      </c>
      <c r="N1791" s="9">
        <f>IF(ISNA(MATCH(1778,Engine!$C$2:$C$1960,0)),"",INDEX('Compliance Database'!$N$2:$N$1960,MATCH(1778,Engine!$C$2:$C$1960,0)))</f>
        <v/>
      </c>
      <c r="O1791" s="9">
        <f>IF(ISNA(MATCH(1778,Engine!$C$2:$C$1960,0)),"",INDEX('Compliance Database'!$O$2:$O$1960,MATCH(1778,Engine!$C$2:$C$1960,0)))</f>
        <v/>
      </c>
      <c r="P1791" s="8">
        <f>IF(ISNA(MATCH(1778,Engine!$C$2:$C$1960,0)),"",HYPERLINK("#Acts!A"&amp;INDEX('Compliance Database'!$P$2:$P$1960,MATCH(1778,Engine!$C$2:$C$1960,0)),"Go to Act"))</f>
        <v/>
      </c>
    </row>
    <row r="1792" ht="158" customHeight="1">
      <c r="A1792" s="8">
        <f>IF(ISNA(MATCH(1779,Engine!$C$2:$C$1960,0)),"",INDEX('Compliance Database'!$A$2:$A$1960,MATCH(1779,Engine!$C$2:$C$1960,0)))</f>
        <v/>
      </c>
      <c r="B1792" s="8">
        <f>IF(ISNA(MATCH(1779,Engine!$C$2:$C$1960,0)),"",INDEX('Compliance Database'!$B$2:$B$1960,MATCH(1779,Engine!$C$2:$C$1960,0)))</f>
        <v/>
      </c>
      <c r="C1792" s="8">
        <f>IF(ISNA(MATCH(1779,Engine!$C$2:$C$1960,0)),"",INDEX('Compliance Database'!$C$2:$C$1960,MATCH(1779,Engine!$C$2:$C$1960,0)))</f>
        <v/>
      </c>
      <c r="D1792" s="9">
        <f>IF(ISNA(MATCH(1779,Engine!$C$2:$C$1960,0)),"",INDEX('Compliance Database'!$D$2:$D$1960,MATCH(1779,Engine!$C$2:$C$1960,0)))</f>
        <v/>
      </c>
      <c r="E1792" s="8">
        <f>IF(ISNA(MATCH(1779,Engine!$C$2:$C$1960,0)),"",INDEX('Compliance Database'!$E$2:$E$1960,MATCH(1779,Engine!$C$2:$C$1960,0)))</f>
        <v/>
      </c>
      <c r="F1792" s="8">
        <f>IF(ISNA(MATCH(1779,Engine!$C$2:$C$1960,0)),"",INDEX('Compliance Database'!$F$2:$F$1960,MATCH(1779,Engine!$C$2:$C$1960,0)))</f>
        <v/>
      </c>
      <c r="G1792" s="8">
        <f>IF(ISNA(MATCH(1779,Engine!$C$2:$C$1960,0)),"",INDEX('Compliance Database'!$G$2:$G$1960,MATCH(1779,Engine!$C$2:$C$1960,0)))</f>
        <v/>
      </c>
      <c r="H1792" s="9">
        <f>IF(ISNA(MATCH(1779,Engine!$C$2:$C$1960,0)),"",INDEX('Compliance Database'!$H$2:$H$1960,MATCH(1779,Engine!$C$2:$C$1960,0)))</f>
        <v/>
      </c>
      <c r="I1792" s="9">
        <f>IF(ISNA(MATCH(1779,Engine!$C$2:$C$1960,0)),"",INDEX('Compliance Database'!$I$2:$I$1960,MATCH(1779,Engine!$C$2:$C$1960,0)))</f>
        <v/>
      </c>
      <c r="J1792" s="8">
        <f>IF(ISNA(MATCH(1779,Engine!$C$2:$C$1960,0)),"",INDEX('Compliance Database'!$J$2:$J$1960,MATCH(1779,Engine!$C$2:$C$1960,0)))</f>
        <v/>
      </c>
      <c r="K1792" s="9">
        <f>IF(ISNA(MATCH(1779,Engine!$C$2:$C$1960,0)),"",INDEX('Compliance Database'!$K$2:$K$1960,MATCH(1779,Engine!$C$2:$C$1960,0)))</f>
        <v/>
      </c>
      <c r="L1792" s="9">
        <f>IF(ISNA(MATCH(1779,Engine!$C$2:$C$1960,0)),"",INDEX('Compliance Database'!$L$2:$L$1960,MATCH(1779,Engine!$C$2:$C$1960,0)))</f>
        <v/>
      </c>
      <c r="M1792" s="9">
        <f>IF(ISNA(MATCH(1779,Engine!$C$2:$C$1960,0)),"",INDEX('Compliance Database'!$M$2:$M$1960,MATCH(1779,Engine!$C$2:$C$1960,0)))</f>
        <v/>
      </c>
      <c r="N1792" s="9">
        <f>IF(ISNA(MATCH(1779,Engine!$C$2:$C$1960,0)),"",INDEX('Compliance Database'!$N$2:$N$1960,MATCH(1779,Engine!$C$2:$C$1960,0)))</f>
        <v/>
      </c>
      <c r="O1792" s="9">
        <f>IF(ISNA(MATCH(1779,Engine!$C$2:$C$1960,0)),"",INDEX('Compliance Database'!$O$2:$O$1960,MATCH(1779,Engine!$C$2:$C$1960,0)))</f>
        <v/>
      </c>
      <c r="P1792" s="8">
        <f>IF(ISNA(MATCH(1779,Engine!$C$2:$C$1960,0)),"",HYPERLINK("#Acts!A"&amp;INDEX('Compliance Database'!$P$2:$P$1960,MATCH(1779,Engine!$C$2:$C$1960,0)),"Go to Act"))</f>
        <v/>
      </c>
    </row>
    <row r="1793" ht="158" customHeight="1">
      <c r="A1793" s="8">
        <f>IF(ISNA(MATCH(1780,Engine!$C$2:$C$1960,0)),"",INDEX('Compliance Database'!$A$2:$A$1960,MATCH(1780,Engine!$C$2:$C$1960,0)))</f>
        <v/>
      </c>
      <c r="B1793" s="8">
        <f>IF(ISNA(MATCH(1780,Engine!$C$2:$C$1960,0)),"",INDEX('Compliance Database'!$B$2:$B$1960,MATCH(1780,Engine!$C$2:$C$1960,0)))</f>
        <v/>
      </c>
      <c r="C1793" s="8">
        <f>IF(ISNA(MATCH(1780,Engine!$C$2:$C$1960,0)),"",INDEX('Compliance Database'!$C$2:$C$1960,MATCH(1780,Engine!$C$2:$C$1960,0)))</f>
        <v/>
      </c>
      <c r="D1793" s="9">
        <f>IF(ISNA(MATCH(1780,Engine!$C$2:$C$1960,0)),"",INDEX('Compliance Database'!$D$2:$D$1960,MATCH(1780,Engine!$C$2:$C$1960,0)))</f>
        <v/>
      </c>
      <c r="E1793" s="8">
        <f>IF(ISNA(MATCH(1780,Engine!$C$2:$C$1960,0)),"",INDEX('Compliance Database'!$E$2:$E$1960,MATCH(1780,Engine!$C$2:$C$1960,0)))</f>
        <v/>
      </c>
      <c r="F1793" s="8">
        <f>IF(ISNA(MATCH(1780,Engine!$C$2:$C$1960,0)),"",INDEX('Compliance Database'!$F$2:$F$1960,MATCH(1780,Engine!$C$2:$C$1960,0)))</f>
        <v/>
      </c>
      <c r="G1793" s="8">
        <f>IF(ISNA(MATCH(1780,Engine!$C$2:$C$1960,0)),"",INDEX('Compliance Database'!$G$2:$G$1960,MATCH(1780,Engine!$C$2:$C$1960,0)))</f>
        <v/>
      </c>
      <c r="H1793" s="9">
        <f>IF(ISNA(MATCH(1780,Engine!$C$2:$C$1960,0)),"",INDEX('Compliance Database'!$H$2:$H$1960,MATCH(1780,Engine!$C$2:$C$1960,0)))</f>
        <v/>
      </c>
      <c r="I1793" s="9">
        <f>IF(ISNA(MATCH(1780,Engine!$C$2:$C$1960,0)),"",INDEX('Compliance Database'!$I$2:$I$1960,MATCH(1780,Engine!$C$2:$C$1960,0)))</f>
        <v/>
      </c>
      <c r="J1793" s="8">
        <f>IF(ISNA(MATCH(1780,Engine!$C$2:$C$1960,0)),"",INDEX('Compliance Database'!$J$2:$J$1960,MATCH(1780,Engine!$C$2:$C$1960,0)))</f>
        <v/>
      </c>
      <c r="K1793" s="9">
        <f>IF(ISNA(MATCH(1780,Engine!$C$2:$C$1960,0)),"",INDEX('Compliance Database'!$K$2:$K$1960,MATCH(1780,Engine!$C$2:$C$1960,0)))</f>
        <v/>
      </c>
      <c r="L1793" s="9">
        <f>IF(ISNA(MATCH(1780,Engine!$C$2:$C$1960,0)),"",INDEX('Compliance Database'!$L$2:$L$1960,MATCH(1780,Engine!$C$2:$C$1960,0)))</f>
        <v/>
      </c>
      <c r="M1793" s="9">
        <f>IF(ISNA(MATCH(1780,Engine!$C$2:$C$1960,0)),"",INDEX('Compliance Database'!$M$2:$M$1960,MATCH(1780,Engine!$C$2:$C$1960,0)))</f>
        <v/>
      </c>
      <c r="N1793" s="9">
        <f>IF(ISNA(MATCH(1780,Engine!$C$2:$C$1960,0)),"",INDEX('Compliance Database'!$N$2:$N$1960,MATCH(1780,Engine!$C$2:$C$1960,0)))</f>
        <v/>
      </c>
      <c r="O1793" s="9">
        <f>IF(ISNA(MATCH(1780,Engine!$C$2:$C$1960,0)),"",INDEX('Compliance Database'!$O$2:$O$1960,MATCH(1780,Engine!$C$2:$C$1960,0)))</f>
        <v/>
      </c>
      <c r="P1793" s="8">
        <f>IF(ISNA(MATCH(1780,Engine!$C$2:$C$1960,0)),"",HYPERLINK("#Acts!A"&amp;INDEX('Compliance Database'!$P$2:$P$1960,MATCH(1780,Engine!$C$2:$C$1960,0)),"Go to Act"))</f>
        <v/>
      </c>
    </row>
    <row r="1794" ht="158" customHeight="1">
      <c r="A1794" s="8">
        <f>IF(ISNA(MATCH(1781,Engine!$C$2:$C$1960,0)),"",INDEX('Compliance Database'!$A$2:$A$1960,MATCH(1781,Engine!$C$2:$C$1960,0)))</f>
        <v/>
      </c>
      <c r="B1794" s="8">
        <f>IF(ISNA(MATCH(1781,Engine!$C$2:$C$1960,0)),"",INDEX('Compliance Database'!$B$2:$B$1960,MATCH(1781,Engine!$C$2:$C$1960,0)))</f>
        <v/>
      </c>
      <c r="C1794" s="8">
        <f>IF(ISNA(MATCH(1781,Engine!$C$2:$C$1960,0)),"",INDEX('Compliance Database'!$C$2:$C$1960,MATCH(1781,Engine!$C$2:$C$1960,0)))</f>
        <v/>
      </c>
      <c r="D1794" s="9">
        <f>IF(ISNA(MATCH(1781,Engine!$C$2:$C$1960,0)),"",INDEX('Compliance Database'!$D$2:$D$1960,MATCH(1781,Engine!$C$2:$C$1960,0)))</f>
        <v/>
      </c>
      <c r="E1794" s="8">
        <f>IF(ISNA(MATCH(1781,Engine!$C$2:$C$1960,0)),"",INDEX('Compliance Database'!$E$2:$E$1960,MATCH(1781,Engine!$C$2:$C$1960,0)))</f>
        <v/>
      </c>
      <c r="F1794" s="8">
        <f>IF(ISNA(MATCH(1781,Engine!$C$2:$C$1960,0)),"",INDEX('Compliance Database'!$F$2:$F$1960,MATCH(1781,Engine!$C$2:$C$1960,0)))</f>
        <v/>
      </c>
      <c r="G1794" s="8">
        <f>IF(ISNA(MATCH(1781,Engine!$C$2:$C$1960,0)),"",INDEX('Compliance Database'!$G$2:$G$1960,MATCH(1781,Engine!$C$2:$C$1960,0)))</f>
        <v/>
      </c>
      <c r="H1794" s="9">
        <f>IF(ISNA(MATCH(1781,Engine!$C$2:$C$1960,0)),"",INDEX('Compliance Database'!$H$2:$H$1960,MATCH(1781,Engine!$C$2:$C$1960,0)))</f>
        <v/>
      </c>
      <c r="I1794" s="9">
        <f>IF(ISNA(MATCH(1781,Engine!$C$2:$C$1960,0)),"",INDEX('Compliance Database'!$I$2:$I$1960,MATCH(1781,Engine!$C$2:$C$1960,0)))</f>
        <v/>
      </c>
      <c r="J1794" s="8">
        <f>IF(ISNA(MATCH(1781,Engine!$C$2:$C$1960,0)),"",INDEX('Compliance Database'!$J$2:$J$1960,MATCH(1781,Engine!$C$2:$C$1960,0)))</f>
        <v/>
      </c>
      <c r="K1794" s="9">
        <f>IF(ISNA(MATCH(1781,Engine!$C$2:$C$1960,0)),"",INDEX('Compliance Database'!$K$2:$K$1960,MATCH(1781,Engine!$C$2:$C$1960,0)))</f>
        <v/>
      </c>
      <c r="L1794" s="9">
        <f>IF(ISNA(MATCH(1781,Engine!$C$2:$C$1960,0)),"",INDEX('Compliance Database'!$L$2:$L$1960,MATCH(1781,Engine!$C$2:$C$1960,0)))</f>
        <v/>
      </c>
      <c r="M1794" s="9">
        <f>IF(ISNA(MATCH(1781,Engine!$C$2:$C$1960,0)),"",INDEX('Compliance Database'!$M$2:$M$1960,MATCH(1781,Engine!$C$2:$C$1960,0)))</f>
        <v/>
      </c>
      <c r="N1794" s="9">
        <f>IF(ISNA(MATCH(1781,Engine!$C$2:$C$1960,0)),"",INDEX('Compliance Database'!$N$2:$N$1960,MATCH(1781,Engine!$C$2:$C$1960,0)))</f>
        <v/>
      </c>
      <c r="O1794" s="9">
        <f>IF(ISNA(MATCH(1781,Engine!$C$2:$C$1960,0)),"",INDEX('Compliance Database'!$O$2:$O$1960,MATCH(1781,Engine!$C$2:$C$1960,0)))</f>
        <v/>
      </c>
      <c r="P1794" s="8">
        <f>IF(ISNA(MATCH(1781,Engine!$C$2:$C$1960,0)),"",HYPERLINK("#Acts!A"&amp;INDEX('Compliance Database'!$P$2:$P$1960,MATCH(1781,Engine!$C$2:$C$1960,0)),"Go to Act"))</f>
        <v/>
      </c>
    </row>
    <row r="1795" ht="158" customHeight="1">
      <c r="A1795" s="8">
        <f>IF(ISNA(MATCH(1782,Engine!$C$2:$C$1960,0)),"",INDEX('Compliance Database'!$A$2:$A$1960,MATCH(1782,Engine!$C$2:$C$1960,0)))</f>
        <v/>
      </c>
      <c r="B1795" s="8">
        <f>IF(ISNA(MATCH(1782,Engine!$C$2:$C$1960,0)),"",INDEX('Compliance Database'!$B$2:$B$1960,MATCH(1782,Engine!$C$2:$C$1960,0)))</f>
        <v/>
      </c>
      <c r="C1795" s="8">
        <f>IF(ISNA(MATCH(1782,Engine!$C$2:$C$1960,0)),"",INDEX('Compliance Database'!$C$2:$C$1960,MATCH(1782,Engine!$C$2:$C$1960,0)))</f>
        <v/>
      </c>
      <c r="D1795" s="9">
        <f>IF(ISNA(MATCH(1782,Engine!$C$2:$C$1960,0)),"",INDEX('Compliance Database'!$D$2:$D$1960,MATCH(1782,Engine!$C$2:$C$1960,0)))</f>
        <v/>
      </c>
      <c r="E1795" s="8">
        <f>IF(ISNA(MATCH(1782,Engine!$C$2:$C$1960,0)),"",INDEX('Compliance Database'!$E$2:$E$1960,MATCH(1782,Engine!$C$2:$C$1960,0)))</f>
        <v/>
      </c>
      <c r="F1795" s="8">
        <f>IF(ISNA(MATCH(1782,Engine!$C$2:$C$1960,0)),"",INDEX('Compliance Database'!$F$2:$F$1960,MATCH(1782,Engine!$C$2:$C$1960,0)))</f>
        <v/>
      </c>
      <c r="G1795" s="8">
        <f>IF(ISNA(MATCH(1782,Engine!$C$2:$C$1960,0)),"",INDEX('Compliance Database'!$G$2:$G$1960,MATCH(1782,Engine!$C$2:$C$1960,0)))</f>
        <v/>
      </c>
      <c r="H1795" s="9">
        <f>IF(ISNA(MATCH(1782,Engine!$C$2:$C$1960,0)),"",INDEX('Compliance Database'!$H$2:$H$1960,MATCH(1782,Engine!$C$2:$C$1960,0)))</f>
        <v/>
      </c>
      <c r="I1795" s="9">
        <f>IF(ISNA(MATCH(1782,Engine!$C$2:$C$1960,0)),"",INDEX('Compliance Database'!$I$2:$I$1960,MATCH(1782,Engine!$C$2:$C$1960,0)))</f>
        <v/>
      </c>
      <c r="J1795" s="8">
        <f>IF(ISNA(MATCH(1782,Engine!$C$2:$C$1960,0)),"",INDEX('Compliance Database'!$J$2:$J$1960,MATCH(1782,Engine!$C$2:$C$1960,0)))</f>
        <v/>
      </c>
      <c r="K1795" s="9">
        <f>IF(ISNA(MATCH(1782,Engine!$C$2:$C$1960,0)),"",INDEX('Compliance Database'!$K$2:$K$1960,MATCH(1782,Engine!$C$2:$C$1960,0)))</f>
        <v/>
      </c>
      <c r="L1795" s="9">
        <f>IF(ISNA(MATCH(1782,Engine!$C$2:$C$1960,0)),"",INDEX('Compliance Database'!$L$2:$L$1960,MATCH(1782,Engine!$C$2:$C$1960,0)))</f>
        <v/>
      </c>
      <c r="M1795" s="9">
        <f>IF(ISNA(MATCH(1782,Engine!$C$2:$C$1960,0)),"",INDEX('Compliance Database'!$M$2:$M$1960,MATCH(1782,Engine!$C$2:$C$1960,0)))</f>
        <v/>
      </c>
      <c r="N1795" s="9">
        <f>IF(ISNA(MATCH(1782,Engine!$C$2:$C$1960,0)),"",INDEX('Compliance Database'!$N$2:$N$1960,MATCH(1782,Engine!$C$2:$C$1960,0)))</f>
        <v/>
      </c>
      <c r="O1795" s="9">
        <f>IF(ISNA(MATCH(1782,Engine!$C$2:$C$1960,0)),"",INDEX('Compliance Database'!$O$2:$O$1960,MATCH(1782,Engine!$C$2:$C$1960,0)))</f>
        <v/>
      </c>
      <c r="P1795" s="8">
        <f>IF(ISNA(MATCH(1782,Engine!$C$2:$C$1960,0)),"",HYPERLINK("#Acts!A"&amp;INDEX('Compliance Database'!$P$2:$P$1960,MATCH(1782,Engine!$C$2:$C$1960,0)),"Go to Act"))</f>
        <v/>
      </c>
    </row>
    <row r="1796" ht="158" customHeight="1">
      <c r="A1796" s="8">
        <f>IF(ISNA(MATCH(1783,Engine!$C$2:$C$1960,0)),"",INDEX('Compliance Database'!$A$2:$A$1960,MATCH(1783,Engine!$C$2:$C$1960,0)))</f>
        <v/>
      </c>
      <c r="B1796" s="8">
        <f>IF(ISNA(MATCH(1783,Engine!$C$2:$C$1960,0)),"",INDEX('Compliance Database'!$B$2:$B$1960,MATCH(1783,Engine!$C$2:$C$1960,0)))</f>
        <v/>
      </c>
      <c r="C1796" s="8">
        <f>IF(ISNA(MATCH(1783,Engine!$C$2:$C$1960,0)),"",INDEX('Compliance Database'!$C$2:$C$1960,MATCH(1783,Engine!$C$2:$C$1960,0)))</f>
        <v/>
      </c>
      <c r="D1796" s="9">
        <f>IF(ISNA(MATCH(1783,Engine!$C$2:$C$1960,0)),"",INDEX('Compliance Database'!$D$2:$D$1960,MATCH(1783,Engine!$C$2:$C$1960,0)))</f>
        <v/>
      </c>
      <c r="E1796" s="8">
        <f>IF(ISNA(MATCH(1783,Engine!$C$2:$C$1960,0)),"",INDEX('Compliance Database'!$E$2:$E$1960,MATCH(1783,Engine!$C$2:$C$1960,0)))</f>
        <v/>
      </c>
      <c r="F1796" s="8">
        <f>IF(ISNA(MATCH(1783,Engine!$C$2:$C$1960,0)),"",INDEX('Compliance Database'!$F$2:$F$1960,MATCH(1783,Engine!$C$2:$C$1960,0)))</f>
        <v/>
      </c>
      <c r="G1796" s="8">
        <f>IF(ISNA(MATCH(1783,Engine!$C$2:$C$1960,0)),"",INDEX('Compliance Database'!$G$2:$G$1960,MATCH(1783,Engine!$C$2:$C$1960,0)))</f>
        <v/>
      </c>
      <c r="H1796" s="9">
        <f>IF(ISNA(MATCH(1783,Engine!$C$2:$C$1960,0)),"",INDEX('Compliance Database'!$H$2:$H$1960,MATCH(1783,Engine!$C$2:$C$1960,0)))</f>
        <v/>
      </c>
      <c r="I1796" s="9">
        <f>IF(ISNA(MATCH(1783,Engine!$C$2:$C$1960,0)),"",INDEX('Compliance Database'!$I$2:$I$1960,MATCH(1783,Engine!$C$2:$C$1960,0)))</f>
        <v/>
      </c>
      <c r="J1796" s="8">
        <f>IF(ISNA(MATCH(1783,Engine!$C$2:$C$1960,0)),"",INDEX('Compliance Database'!$J$2:$J$1960,MATCH(1783,Engine!$C$2:$C$1960,0)))</f>
        <v/>
      </c>
      <c r="K1796" s="9">
        <f>IF(ISNA(MATCH(1783,Engine!$C$2:$C$1960,0)),"",INDEX('Compliance Database'!$K$2:$K$1960,MATCH(1783,Engine!$C$2:$C$1960,0)))</f>
        <v/>
      </c>
      <c r="L1796" s="9">
        <f>IF(ISNA(MATCH(1783,Engine!$C$2:$C$1960,0)),"",INDEX('Compliance Database'!$L$2:$L$1960,MATCH(1783,Engine!$C$2:$C$1960,0)))</f>
        <v/>
      </c>
      <c r="M1796" s="9">
        <f>IF(ISNA(MATCH(1783,Engine!$C$2:$C$1960,0)),"",INDEX('Compliance Database'!$M$2:$M$1960,MATCH(1783,Engine!$C$2:$C$1960,0)))</f>
        <v/>
      </c>
      <c r="N1796" s="9">
        <f>IF(ISNA(MATCH(1783,Engine!$C$2:$C$1960,0)),"",INDEX('Compliance Database'!$N$2:$N$1960,MATCH(1783,Engine!$C$2:$C$1960,0)))</f>
        <v/>
      </c>
      <c r="O1796" s="9">
        <f>IF(ISNA(MATCH(1783,Engine!$C$2:$C$1960,0)),"",INDEX('Compliance Database'!$O$2:$O$1960,MATCH(1783,Engine!$C$2:$C$1960,0)))</f>
        <v/>
      </c>
      <c r="P1796" s="8">
        <f>IF(ISNA(MATCH(1783,Engine!$C$2:$C$1960,0)),"",HYPERLINK("#Acts!A"&amp;INDEX('Compliance Database'!$P$2:$P$1960,MATCH(1783,Engine!$C$2:$C$1960,0)),"Go to Act"))</f>
        <v/>
      </c>
    </row>
    <row r="1797" ht="158" customHeight="1">
      <c r="A1797" s="8">
        <f>IF(ISNA(MATCH(1784,Engine!$C$2:$C$1960,0)),"",INDEX('Compliance Database'!$A$2:$A$1960,MATCH(1784,Engine!$C$2:$C$1960,0)))</f>
        <v/>
      </c>
      <c r="B1797" s="8">
        <f>IF(ISNA(MATCH(1784,Engine!$C$2:$C$1960,0)),"",INDEX('Compliance Database'!$B$2:$B$1960,MATCH(1784,Engine!$C$2:$C$1960,0)))</f>
        <v/>
      </c>
      <c r="C1797" s="8">
        <f>IF(ISNA(MATCH(1784,Engine!$C$2:$C$1960,0)),"",INDEX('Compliance Database'!$C$2:$C$1960,MATCH(1784,Engine!$C$2:$C$1960,0)))</f>
        <v/>
      </c>
      <c r="D1797" s="9">
        <f>IF(ISNA(MATCH(1784,Engine!$C$2:$C$1960,0)),"",INDEX('Compliance Database'!$D$2:$D$1960,MATCH(1784,Engine!$C$2:$C$1960,0)))</f>
        <v/>
      </c>
      <c r="E1797" s="8">
        <f>IF(ISNA(MATCH(1784,Engine!$C$2:$C$1960,0)),"",INDEX('Compliance Database'!$E$2:$E$1960,MATCH(1784,Engine!$C$2:$C$1960,0)))</f>
        <v/>
      </c>
      <c r="F1797" s="8">
        <f>IF(ISNA(MATCH(1784,Engine!$C$2:$C$1960,0)),"",INDEX('Compliance Database'!$F$2:$F$1960,MATCH(1784,Engine!$C$2:$C$1960,0)))</f>
        <v/>
      </c>
      <c r="G1797" s="8">
        <f>IF(ISNA(MATCH(1784,Engine!$C$2:$C$1960,0)),"",INDEX('Compliance Database'!$G$2:$G$1960,MATCH(1784,Engine!$C$2:$C$1960,0)))</f>
        <v/>
      </c>
      <c r="H1797" s="9">
        <f>IF(ISNA(MATCH(1784,Engine!$C$2:$C$1960,0)),"",INDEX('Compliance Database'!$H$2:$H$1960,MATCH(1784,Engine!$C$2:$C$1960,0)))</f>
        <v/>
      </c>
      <c r="I1797" s="9">
        <f>IF(ISNA(MATCH(1784,Engine!$C$2:$C$1960,0)),"",INDEX('Compliance Database'!$I$2:$I$1960,MATCH(1784,Engine!$C$2:$C$1960,0)))</f>
        <v/>
      </c>
      <c r="J1797" s="8">
        <f>IF(ISNA(MATCH(1784,Engine!$C$2:$C$1960,0)),"",INDEX('Compliance Database'!$J$2:$J$1960,MATCH(1784,Engine!$C$2:$C$1960,0)))</f>
        <v/>
      </c>
      <c r="K1797" s="9">
        <f>IF(ISNA(MATCH(1784,Engine!$C$2:$C$1960,0)),"",INDEX('Compliance Database'!$K$2:$K$1960,MATCH(1784,Engine!$C$2:$C$1960,0)))</f>
        <v/>
      </c>
      <c r="L1797" s="9">
        <f>IF(ISNA(MATCH(1784,Engine!$C$2:$C$1960,0)),"",INDEX('Compliance Database'!$L$2:$L$1960,MATCH(1784,Engine!$C$2:$C$1960,0)))</f>
        <v/>
      </c>
      <c r="M1797" s="9">
        <f>IF(ISNA(MATCH(1784,Engine!$C$2:$C$1960,0)),"",INDEX('Compliance Database'!$M$2:$M$1960,MATCH(1784,Engine!$C$2:$C$1960,0)))</f>
        <v/>
      </c>
      <c r="N1797" s="9">
        <f>IF(ISNA(MATCH(1784,Engine!$C$2:$C$1960,0)),"",INDEX('Compliance Database'!$N$2:$N$1960,MATCH(1784,Engine!$C$2:$C$1960,0)))</f>
        <v/>
      </c>
      <c r="O1797" s="9">
        <f>IF(ISNA(MATCH(1784,Engine!$C$2:$C$1960,0)),"",INDEX('Compliance Database'!$O$2:$O$1960,MATCH(1784,Engine!$C$2:$C$1960,0)))</f>
        <v/>
      </c>
      <c r="P1797" s="8">
        <f>IF(ISNA(MATCH(1784,Engine!$C$2:$C$1960,0)),"",HYPERLINK("#Acts!A"&amp;INDEX('Compliance Database'!$P$2:$P$1960,MATCH(1784,Engine!$C$2:$C$1960,0)),"Go to Act"))</f>
        <v/>
      </c>
    </row>
    <row r="1798" ht="158" customHeight="1">
      <c r="A1798" s="8">
        <f>IF(ISNA(MATCH(1785,Engine!$C$2:$C$1960,0)),"",INDEX('Compliance Database'!$A$2:$A$1960,MATCH(1785,Engine!$C$2:$C$1960,0)))</f>
        <v/>
      </c>
      <c r="B1798" s="8">
        <f>IF(ISNA(MATCH(1785,Engine!$C$2:$C$1960,0)),"",INDEX('Compliance Database'!$B$2:$B$1960,MATCH(1785,Engine!$C$2:$C$1960,0)))</f>
        <v/>
      </c>
      <c r="C1798" s="8">
        <f>IF(ISNA(MATCH(1785,Engine!$C$2:$C$1960,0)),"",INDEX('Compliance Database'!$C$2:$C$1960,MATCH(1785,Engine!$C$2:$C$1960,0)))</f>
        <v/>
      </c>
      <c r="D1798" s="9">
        <f>IF(ISNA(MATCH(1785,Engine!$C$2:$C$1960,0)),"",INDEX('Compliance Database'!$D$2:$D$1960,MATCH(1785,Engine!$C$2:$C$1960,0)))</f>
        <v/>
      </c>
      <c r="E1798" s="8">
        <f>IF(ISNA(MATCH(1785,Engine!$C$2:$C$1960,0)),"",INDEX('Compliance Database'!$E$2:$E$1960,MATCH(1785,Engine!$C$2:$C$1960,0)))</f>
        <v/>
      </c>
      <c r="F1798" s="8">
        <f>IF(ISNA(MATCH(1785,Engine!$C$2:$C$1960,0)),"",INDEX('Compliance Database'!$F$2:$F$1960,MATCH(1785,Engine!$C$2:$C$1960,0)))</f>
        <v/>
      </c>
      <c r="G1798" s="8">
        <f>IF(ISNA(MATCH(1785,Engine!$C$2:$C$1960,0)),"",INDEX('Compliance Database'!$G$2:$G$1960,MATCH(1785,Engine!$C$2:$C$1960,0)))</f>
        <v/>
      </c>
      <c r="H1798" s="9">
        <f>IF(ISNA(MATCH(1785,Engine!$C$2:$C$1960,0)),"",INDEX('Compliance Database'!$H$2:$H$1960,MATCH(1785,Engine!$C$2:$C$1960,0)))</f>
        <v/>
      </c>
      <c r="I1798" s="9">
        <f>IF(ISNA(MATCH(1785,Engine!$C$2:$C$1960,0)),"",INDEX('Compliance Database'!$I$2:$I$1960,MATCH(1785,Engine!$C$2:$C$1960,0)))</f>
        <v/>
      </c>
      <c r="J1798" s="8">
        <f>IF(ISNA(MATCH(1785,Engine!$C$2:$C$1960,0)),"",INDEX('Compliance Database'!$J$2:$J$1960,MATCH(1785,Engine!$C$2:$C$1960,0)))</f>
        <v/>
      </c>
      <c r="K1798" s="9">
        <f>IF(ISNA(MATCH(1785,Engine!$C$2:$C$1960,0)),"",INDEX('Compliance Database'!$K$2:$K$1960,MATCH(1785,Engine!$C$2:$C$1960,0)))</f>
        <v/>
      </c>
      <c r="L1798" s="9">
        <f>IF(ISNA(MATCH(1785,Engine!$C$2:$C$1960,0)),"",INDEX('Compliance Database'!$L$2:$L$1960,MATCH(1785,Engine!$C$2:$C$1960,0)))</f>
        <v/>
      </c>
      <c r="M1798" s="9">
        <f>IF(ISNA(MATCH(1785,Engine!$C$2:$C$1960,0)),"",INDEX('Compliance Database'!$M$2:$M$1960,MATCH(1785,Engine!$C$2:$C$1960,0)))</f>
        <v/>
      </c>
      <c r="N1798" s="9">
        <f>IF(ISNA(MATCH(1785,Engine!$C$2:$C$1960,0)),"",INDEX('Compliance Database'!$N$2:$N$1960,MATCH(1785,Engine!$C$2:$C$1960,0)))</f>
        <v/>
      </c>
      <c r="O1798" s="9">
        <f>IF(ISNA(MATCH(1785,Engine!$C$2:$C$1960,0)),"",INDEX('Compliance Database'!$O$2:$O$1960,MATCH(1785,Engine!$C$2:$C$1960,0)))</f>
        <v/>
      </c>
      <c r="P1798" s="8">
        <f>IF(ISNA(MATCH(1785,Engine!$C$2:$C$1960,0)),"",HYPERLINK("#Acts!A"&amp;INDEX('Compliance Database'!$P$2:$P$1960,MATCH(1785,Engine!$C$2:$C$1960,0)),"Go to Act"))</f>
        <v/>
      </c>
    </row>
    <row r="1799" ht="158" customHeight="1">
      <c r="A1799" s="8">
        <f>IF(ISNA(MATCH(1786,Engine!$C$2:$C$1960,0)),"",INDEX('Compliance Database'!$A$2:$A$1960,MATCH(1786,Engine!$C$2:$C$1960,0)))</f>
        <v/>
      </c>
      <c r="B1799" s="8">
        <f>IF(ISNA(MATCH(1786,Engine!$C$2:$C$1960,0)),"",INDEX('Compliance Database'!$B$2:$B$1960,MATCH(1786,Engine!$C$2:$C$1960,0)))</f>
        <v/>
      </c>
      <c r="C1799" s="8">
        <f>IF(ISNA(MATCH(1786,Engine!$C$2:$C$1960,0)),"",INDEX('Compliance Database'!$C$2:$C$1960,MATCH(1786,Engine!$C$2:$C$1960,0)))</f>
        <v/>
      </c>
      <c r="D1799" s="9">
        <f>IF(ISNA(MATCH(1786,Engine!$C$2:$C$1960,0)),"",INDEX('Compliance Database'!$D$2:$D$1960,MATCH(1786,Engine!$C$2:$C$1960,0)))</f>
        <v/>
      </c>
      <c r="E1799" s="8">
        <f>IF(ISNA(MATCH(1786,Engine!$C$2:$C$1960,0)),"",INDEX('Compliance Database'!$E$2:$E$1960,MATCH(1786,Engine!$C$2:$C$1960,0)))</f>
        <v/>
      </c>
      <c r="F1799" s="8">
        <f>IF(ISNA(MATCH(1786,Engine!$C$2:$C$1960,0)),"",INDEX('Compliance Database'!$F$2:$F$1960,MATCH(1786,Engine!$C$2:$C$1960,0)))</f>
        <v/>
      </c>
      <c r="G1799" s="8">
        <f>IF(ISNA(MATCH(1786,Engine!$C$2:$C$1960,0)),"",INDEX('Compliance Database'!$G$2:$G$1960,MATCH(1786,Engine!$C$2:$C$1960,0)))</f>
        <v/>
      </c>
      <c r="H1799" s="9">
        <f>IF(ISNA(MATCH(1786,Engine!$C$2:$C$1960,0)),"",INDEX('Compliance Database'!$H$2:$H$1960,MATCH(1786,Engine!$C$2:$C$1960,0)))</f>
        <v/>
      </c>
      <c r="I1799" s="9">
        <f>IF(ISNA(MATCH(1786,Engine!$C$2:$C$1960,0)),"",INDEX('Compliance Database'!$I$2:$I$1960,MATCH(1786,Engine!$C$2:$C$1960,0)))</f>
        <v/>
      </c>
      <c r="J1799" s="8">
        <f>IF(ISNA(MATCH(1786,Engine!$C$2:$C$1960,0)),"",INDEX('Compliance Database'!$J$2:$J$1960,MATCH(1786,Engine!$C$2:$C$1960,0)))</f>
        <v/>
      </c>
      <c r="K1799" s="9">
        <f>IF(ISNA(MATCH(1786,Engine!$C$2:$C$1960,0)),"",INDEX('Compliance Database'!$K$2:$K$1960,MATCH(1786,Engine!$C$2:$C$1960,0)))</f>
        <v/>
      </c>
      <c r="L1799" s="9">
        <f>IF(ISNA(MATCH(1786,Engine!$C$2:$C$1960,0)),"",INDEX('Compliance Database'!$L$2:$L$1960,MATCH(1786,Engine!$C$2:$C$1960,0)))</f>
        <v/>
      </c>
      <c r="M1799" s="9">
        <f>IF(ISNA(MATCH(1786,Engine!$C$2:$C$1960,0)),"",INDEX('Compliance Database'!$M$2:$M$1960,MATCH(1786,Engine!$C$2:$C$1960,0)))</f>
        <v/>
      </c>
      <c r="N1799" s="9">
        <f>IF(ISNA(MATCH(1786,Engine!$C$2:$C$1960,0)),"",INDEX('Compliance Database'!$N$2:$N$1960,MATCH(1786,Engine!$C$2:$C$1960,0)))</f>
        <v/>
      </c>
      <c r="O1799" s="9">
        <f>IF(ISNA(MATCH(1786,Engine!$C$2:$C$1960,0)),"",INDEX('Compliance Database'!$O$2:$O$1960,MATCH(1786,Engine!$C$2:$C$1960,0)))</f>
        <v/>
      </c>
      <c r="P1799" s="8">
        <f>IF(ISNA(MATCH(1786,Engine!$C$2:$C$1960,0)),"",HYPERLINK("#Acts!A"&amp;INDEX('Compliance Database'!$P$2:$P$1960,MATCH(1786,Engine!$C$2:$C$1960,0)),"Go to Act"))</f>
        <v/>
      </c>
    </row>
    <row r="1800" ht="158" customHeight="1">
      <c r="A1800" s="8">
        <f>IF(ISNA(MATCH(1787,Engine!$C$2:$C$1960,0)),"",INDEX('Compliance Database'!$A$2:$A$1960,MATCH(1787,Engine!$C$2:$C$1960,0)))</f>
        <v/>
      </c>
      <c r="B1800" s="8">
        <f>IF(ISNA(MATCH(1787,Engine!$C$2:$C$1960,0)),"",INDEX('Compliance Database'!$B$2:$B$1960,MATCH(1787,Engine!$C$2:$C$1960,0)))</f>
        <v/>
      </c>
      <c r="C1800" s="8">
        <f>IF(ISNA(MATCH(1787,Engine!$C$2:$C$1960,0)),"",INDEX('Compliance Database'!$C$2:$C$1960,MATCH(1787,Engine!$C$2:$C$1960,0)))</f>
        <v/>
      </c>
      <c r="D1800" s="9">
        <f>IF(ISNA(MATCH(1787,Engine!$C$2:$C$1960,0)),"",INDEX('Compliance Database'!$D$2:$D$1960,MATCH(1787,Engine!$C$2:$C$1960,0)))</f>
        <v/>
      </c>
      <c r="E1800" s="8">
        <f>IF(ISNA(MATCH(1787,Engine!$C$2:$C$1960,0)),"",INDEX('Compliance Database'!$E$2:$E$1960,MATCH(1787,Engine!$C$2:$C$1960,0)))</f>
        <v/>
      </c>
      <c r="F1800" s="8">
        <f>IF(ISNA(MATCH(1787,Engine!$C$2:$C$1960,0)),"",INDEX('Compliance Database'!$F$2:$F$1960,MATCH(1787,Engine!$C$2:$C$1960,0)))</f>
        <v/>
      </c>
      <c r="G1800" s="8">
        <f>IF(ISNA(MATCH(1787,Engine!$C$2:$C$1960,0)),"",INDEX('Compliance Database'!$G$2:$G$1960,MATCH(1787,Engine!$C$2:$C$1960,0)))</f>
        <v/>
      </c>
      <c r="H1800" s="9">
        <f>IF(ISNA(MATCH(1787,Engine!$C$2:$C$1960,0)),"",INDEX('Compliance Database'!$H$2:$H$1960,MATCH(1787,Engine!$C$2:$C$1960,0)))</f>
        <v/>
      </c>
      <c r="I1800" s="9">
        <f>IF(ISNA(MATCH(1787,Engine!$C$2:$C$1960,0)),"",INDEX('Compliance Database'!$I$2:$I$1960,MATCH(1787,Engine!$C$2:$C$1960,0)))</f>
        <v/>
      </c>
      <c r="J1800" s="8">
        <f>IF(ISNA(MATCH(1787,Engine!$C$2:$C$1960,0)),"",INDEX('Compliance Database'!$J$2:$J$1960,MATCH(1787,Engine!$C$2:$C$1960,0)))</f>
        <v/>
      </c>
      <c r="K1800" s="9">
        <f>IF(ISNA(MATCH(1787,Engine!$C$2:$C$1960,0)),"",INDEX('Compliance Database'!$K$2:$K$1960,MATCH(1787,Engine!$C$2:$C$1960,0)))</f>
        <v/>
      </c>
      <c r="L1800" s="9">
        <f>IF(ISNA(MATCH(1787,Engine!$C$2:$C$1960,0)),"",INDEX('Compliance Database'!$L$2:$L$1960,MATCH(1787,Engine!$C$2:$C$1960,0)))</f>
        <v/>
      </c>
      <c r="M1800" s="9">
        <f>IF(ISNA(MATCH(1787,Engine!$C$2:$C$1960,0)),"",INDEX('Compliance Database'!$M$2:$M$1960,MATCH(1787,Engine!$C$2:$C$1960,0)))</f>
        <v/>
      </c>
      <c r="N1800" s="9">
        <f>IF(ISNA(MATCH(1787,Engine!$C$2:$C$1960,0)),"",INDEX('Compliance Database'!$N$2:$N$1960,MATCH(1787,Engine!$C$2:$C$1960,0)))</f>
        <v/>
      </c>
      <c r="O1800" s="9">
        <f>IF(ISNA(MATCH(1787,Engine!$C$2:$C$1960,0)),"",INDEX('Compliance Database'!$O$2:$O$1960,MATCH(1787,Engine!$C$2:$C$1960,0)))</f>
        <v/>
      </c>
      <c r="P1800" s="8">
        <f>IF(ISNA(MATCH(1787,Engine!$C$2:$C$1960,0)),"",HYPERLINK("#Acts!A"&amp;INDEX('Compliance Database'!$P$2:$P$1960,MATCH(1787,Engine!$C$2:$C$1960,0)),"Go to Act"))</f>
        <v/>
      </c>
    </row>
    <row r="1801" ht="158" customHeight="1">
      <c r="A1801" s="8">
        <f>IF(ISNA(MATCH(1788,Engine!$C$2:$C$1960,0)),"",INDEX('Compliance Database'!$A$2:$A$1960,MATCH(1788,Engine!$C$2:$C$1960,0)))</f>
        <v/>
      </c>
      <c r="B1801" s="8">
        <f>IF(ISNA(MATCH(1788,Engine!$C$2:$C$1960,0)),"",INDEX('Compliance Database'!$B$2:$B$1960,MATCH(1788,Engine!$C$2:$C$1960,0)))</f>
        <v/>
      </c>
      <c r="C1801" s="8">
        <f>IF(ISNA(MATCH(1788,Engine!$C$2:$C$1960,0)),"",INDEX('Compliance Database'!$C$2:$C$1960,MATCH(1788,Engine!$C$2:$C$1960,0)))</f>
        <v/>
      </c>
      <c r="D1801" s="9">
        <f>IF(ISNA(MATCH(1788,Engine!$C$2:$C$1960,0)),"",INDEX('Compliance Database'!$D$2:$D$1960,MATCH(1788,Engine!$C$2:$C$1960,0)))</f>
        <v/>
      </c>
      <c r="E1801" s="8">
        <f>IF(ISNA(MATCH(1788,Engine!$C$2:$C$1960,0)),"",INDEX('Compliance Database'!$E$2:$E$1960,MATCH(1788,Engine!$C$2:$C$1960,0)))</f>
        <v/>
      </c>
      <c r="F1801" s="8">
        <f>IF(ISNA(MATCH(1788,Engine!$C$2:$C$1960,0)),"",INDEX('Compliance Database'!$F$2:$F$1960,MATCH(1788,Engine!$C$2:$C$1960,0)))</f>
        <v/>
      </c>
      <c r="G1801" s="8">
        <f>IF(ISNA(MATCH(1788,Engine!$C$2:$C$1960,0)),"",INDEX('Compliance Database'!$G$2:$G$1960,MATCH(1788,Engine!$C$2:$C$1960,0)))</f>
        <v/>
      </c>
      <c r="H1801" s="9">
        <f>IF(ISNA(MATCH(1788,Engine!$C$2:$C$1960,0)),"",INDEX('Compliance Database'!$H$2:$H$1960,MATCH(1788,Engine!$C$2:$C$1960,0)))</f>
        <v/>
      </c>
      <c r="I1801" s="9">
        <f>IF(ISNA(MATCH(1788,Engine!$C$2:$C$1960,0)),"",INDEX('Compliance Database'!$I$2:$I$1960,MATCH(1788,Engine!$C$2:$C$1960,0)))</f>
        <v/>
      </c>
      <c r="J1801" s="8">
        <f>IF(ISNA(MATCH(1788,Engine!$C$2:$C$1960,0)),"",INDEX('Compliance Database'!$J$2:$J$1960,MATCH(1788,Engine!$C$2:$C$1960,0)))</f>
        <v/>
      </c>
      <c r="K1801" s="9">
        <f>IF(ISNA(MATCH(1788,Engine!$C$2:$C$1960,0)),"",INDEX('Compliance Database'!$K$2:$K$1960,MATCH(1788,Engine!$C$2:$C$1960,0)))</f>
        <v/>
      </c>
      <c r="L1801" s="9">
        <f>IF(ISNA(MATCH(1788,Engine!$C$2:$C$1960,0)),"",INDEX('Compliance Database'!$L$2:$L$1960,MATCH(1788,Engine!$C$2:$C$1960,0)))</f>
        <v/>
      </c>
      <c r="M1801" s="9">
        <f>IF(ISNA(MATCH(1788,Engine!$C$2:$C$1960,0)),"",INDEX('Compliance Database'!$M$2:$M$1960,MATCH(1788,Engine!$C$2:$C$1960,0)))</f>
        <v/>
      </c>
      <c r="N1801" s="9">
        <f>IF(ISNA(MATCH(1788,Engine!$C$2:$C$1960,0)),"",INDEX('Compliance Database'!$N$2:$N$1960,MATCH(1788,Engine!$C$2:$C$1960,0)))</f>
        <v/>
      </c>
      <c r="O1801" s="9">
        <f>IF(ISNA(MATCH(1788,Engine!$C$2:$C$1960,0)),"",INDEX('Compliance Database'!$O$2:$O$1960,MATCH(1788,Engine!$C$2:$C$1960,0)))</f>
        <v/>
      </c>
      <c r="P1801" s="8">
        <f>IF(ISNA(MATCH(1788,Engine!$C$2:$C$1960,0)),"",HYPERLINK("#Acts!A"&amp;INDEX('Compliance Database'!$P$2:$P$1960,MATCH(1788,Engine!$C$2:$C$1960,0)),"Go to Act"))</f>
        <v/>
      </c>
    </row>
    <row r="1802" ht="158" customHeight="1">
      <c r="A1802" s="8">
        <f>IF(ISNA(MATCH(1789,Engine!$C$2:$C$1960,0)),"",INDEX('Compliance Database'!$A$2:$A$1960,MATCH(1789,Engine!$C$2:$C$1960,0)))</f>
        <v/>
      </c>
      <c r="B1802" s="8">
        <f>IF(ISNA(MATCH(1789,Engine!$C$2:$C$1960,0)),"",INDEX('Compliance Database'!$B$2:$B$1960,MATCH(1789,Engine!$C$2:$C$1960,0)))</f>
        <v/>
      </c>
      <c r="C1802" s="8">
        <f>IF(ISNA(MATCH(1789,Engine!$C$2:$C$1960,0)),"",INDEX('Compliance Database'!$C$2:$C$1960,MATCH(1789,Engine!$C$2:$C$1960,0)))</f>
        <v/>
      </c>
      <c r="D1802" s="9">
        <f>IF(ISNA(MATCH(1789,Engine!$C$2:$C$1960,0)),"",INDEX('Compliance Database'!$D$2:$D$1960,MATCH(1789,Engine!$C$2:$C$1960,0)))</f>
        <v/>
      </c>
      <c r="E1802" s="8">
        <f>IF(ISNA(MATCH(1789,Engine!$C$2:$C$1960,0)),"",INDEX('Compliance Database'!$E$2:$E$1960,MATCH(1789,Engine!$C$2:$C$1960,0)))</f>
        <v/>
      </c>
      <c r="F1802" s="8">
        <f>IF(ISNA(MATCH(1789,Engine!$C$2:$C$1960,0)),"",INDEX('Compliance Database'!$F$2:$F$1960,MATCH(1789,Engine!$C$2:$C$1960,0)))</f>
        <v/>
      </c>
      <c r="G1802" s="8">
        <f>IF(ISNA(MATCH(1789,Engine!$C$2:$C$1960,0)),"",INDEX('Compliance Database'!$G$2:$G$1960,MATCH(1789,Engine!$C$2:$C$1960,0)))</f>
        <v/>
      </c>
      <c r="H1802" s="9">
        <f>IF(ISNA(MATCH(1789,Engine!$C$2:$C$1960,0)),"",INDEX('Compliance Database'!$H$2:$H$1960,MATCH(1789,Engine!$C$2:$C$1960,0)))</f>
        <v/>
      </c>
      <c r="I1802" s="9">
        <f>IF(ISNA(MATCH(1789,Engine!$C$2:$C$1960,0)),"",INDEX('Compliance Database'!$I$2:$I$1960,MATCH(1789,Engine!$C$2:$C$1960,0)))</f>
        <v/>
      </c>
      <c r="J1802" s="8">
        <f>IF(ISNA(MATCH(1789,Engine!$C$2:$C$1960,0)),"",INDEX('Compliance Database'!$J$2:$J$1960,MATCH(1789,Engine!$C$2:$C$1960,0)))</f>
        <v/>
      </c>
      <c r="K1802" s="9">
        <f>IF(ISNA(MATCH(1789,Engine!$C$2:$C$1960,0)),"",INDEX('Compliance Database'!$K$2:$K$1960,MATCH(1789,Engine!$C$2:$C$1960,0)))</f>
        <v/>
      </c>
      <c r="L1802" s="9">
        <f>IF(ISNA(MATCH(1789,Engine!$C$2:$C$1960,0)),"",INDEX('Compliance Database'!$L$2:$L$1960,MATCH(1789,Engine!$C$2:$C$1960,0)))</f>
        <v/>
      </c>
      <c r="M1802" s="9">
        <f>IF(ISNA(MATCH(1789,Engine!$C$2:$C$1960,0)),"",INDEX('Compliance Database'!$M$2:$M$1960,MATCH(1789,Engine!$C$2:$C$1960,0)))</f>
        <v/>
      </c>
      <c r="N1802" s="9">
        <f>IF(ISNA(MATCH(1789,Engine!$C$2:$C$1960,0)),"",INDEX('Compliance Database'!$N$2:$N$1960,MATCH(1789,Engine!$C$2:$C$1960,0)))</f>
        <v/>
      </c>
      <c r="O1802" s="9">
        <f>IF(ISNA(MATCH(1789,Engine!$C$2:$C$1960,0)),"",INDEX('Compliance Database'!$O$2:$O$1960,MATCH(1789,Engine!$C$2:$C$1960,0)))</f>
        <v/>
      </c>
      <c r="P1802" s="8">
        <f>IF(ISNA(MATCH(1789,Engine!$C$2:$C$1960,0)),"",HYPERLINK("#Acts!A"&amp;INDEX('Compliance Database'!$P$2:$P$1960,MATCH(1789,Engine!$C$2:$C$1960,0)),"Go to Act"))</f>
        <v/>
      </c>
    </row>
    <row r="1803" ht="158" customHeight="1">
      <c r="A1803" s="8">
        <f>IF(ISNA(MATCH(1790,Engine!$C$2:$C$1960,0)),"",INDEX('Compliance Database'!$A$2:$A$1960,MATCH(1790,Engine!$C$2:$C$1960,0)))</f>
        <v/>
      </c>
      <c r="B1803" s="8">
        <f>IF(ISNA(MATCH(1790,Engine!$C$2:$C$1960,0)),"",INDEX('Compliance Database'!$B$2:$B$1960,MATCH(1790,Engine!$C$2:$C$1960,0)))</f>
        <v/>
      </c>
      <c r="C1803" s="8">
        <f>IF(ISNA(MATCH(1790,Engine!$C$2:$C$1960,0)),"",INDEX('Compliance Database'!$C$2:$C$1960,MATCH(1790,Engine!$C$2:$C$1960,0)))</f>
        <v/>
      </c>
      <c r="D1803" s="9">
        <f>IF(ISNA(MATCH(1790,Engine!$C$2:$C$1960,0)),"",INDEX('Compliance Database'!$D$2:$D$1960,MATCH(1790,Engine!$C$2:$C$1960,0)))</f>
        <v/>
      </c>
      <c r="E1803" s="8">
        <f>IF(ISNA(MATCH(1790,Engine!$C$2:$C$1960,0)),"",INDEX('Compliance Database'!$E$2:$E$1960,MATCH(1790,Engine!$C$2:$C$1960,0)))</f>
        <v/>
      </c>
      <c r="F1803" s="8">
        <f>IF(ISNA(MATCH(1790,Engine!$C$2:$C$1960,0)),"",INDEX('Compliance Database'!$F$2:$F$1960,MATCH(1790,Engine!$C$2:$C$1960,0)))</f>
        <v/>
      </c>
      <c r="G1803" s="8">
        <f>IF(ISNA(MATCH(1790,Engine!$C$2:$C$1960,0)),"",INDEX('Compliance Database'!$G$2:$G$1960,MATCH(1790,Engine!$C$2:$C$1960,0)))</f>
        <v/>
      </c>
      <c r="H1803" s="9">
        <f>IF(ISNA(MATCH(1790,Engine!$C$2:$C$1960,0)),"",INDEX('Compliance Database'!$H$2:$H$1960,MATCH(1790,Engine!$C$2:$C$1960,0)))</f>
        <v/>
      </c>
      <c r="I1803" s="9">
        <f>IF(ISNA(MATCH(1790,Engine!$C$2:$C$1960,0)),"",INDEX('Compliance Database'!$I$2:$I$1960,MATCH(1790,Engine!$C$2:$C$1960,0)))</f>
        <v/>
      </c>
      <c r="J1803" s="8">
        <f>IF(ISNA(MATCH(1790,Engine!$C$2:$C$1960,0)),"",INDEX('Compliance Database'!$J$2:$J$1960,MATCH(1790,Engine!$C$2:$C$1960,0)))</f>
        <v/>
      </c>
      <c r="K1803" s="9">
        <f>IF(ISNA(MATCH(1790,Engine!$C$2:$C$1960,0)),"",INDEX('Compliance Database'!$K$2:$K$1960,MATCH(1790,Engine!$C$2:$C$1960,0)))</f>
        <v/>
      </c>
      <c r="L1803" s="9">
        <f>IF(ISNA(MATCH(1790,Engine!$C$2:$C$1960,0)),"",INDEX('Compliance Database'!$L$2:$L$1960,MATCH(1790,Engine!$C$2:$C$1960,0)))</f>
        <v/>
      </c>
      <c r="M1803" s="9">
        <f>IF(ISNA(MATCH(1790,Engine!$C$2:$C$1960,0)),"",INDEX('Compliance Database'!$M$2:$M$1960,MATCH(1790,Engine!$C$2:$C$1960,0)))</f>
        <v/>
      </c>
      <c r="N1803" s="9">
        <f>IF(ISNA(MATCH(1790,Engine!$C$2:$C$1960,0)),"",INDEX('Compliance Database'!$N$2:$N$1960,MATCH(1790,Engine!$C$2:$C$1960,0)))</f>
        <v/>
      </c>
      <c r="O1803" s="9">
        <f>IF(ISNA(MATCH(1790,Engine!$C$2:$C$1960,0)),"",INDEX('Compliance Database'!$O$2:$O$1960,MATCH(1790,Engine!$C$2:$C$1960,0)))</f>
        <v/>
      </c>
      <c r="P1803" s="8">
        <f>IF(ISNA(MATCH(1790,Engine!$C$2:$C$1960,0)),"",HYPERLINK("#Acts!A"&amp;INDEX('Compliance Database'!$P$2:$P$1960,MATCH(1790,Engine!$C$2:$C$1960,0)),"Go to Act"))</f>
        <v/>
      </c>
    </row>
    <row r="1804" ht="158" customHeight="1">
      <c r="A1804" s="8">
        <f>IF(ISNA(MATCH(1791,Engine!$C$2:$C$1960,0)),"",INDEX('Compliance Database'!$A$2:$A$1960,MATCH(1791,Engine!$C$2:$C$1960,0)))</f>
        <v/>
      </c>
      <c r="B1804" s="8">
        <f>IF(ISNA(MATCH(1791,Engine!$C$2:$C$1960,0)),"",INDEX('Compliance Database'!$B$2:$B$1960,MATCH(1791,Engine!$C$2:$C$1960,0)))</f>
        <v/>
      </c>
      <c r="C1804" s="8">
        <f>IF(ISNA(MATCH(1791,Engine!$C$2:$C$1960,0)),"",INDEX('Compliance Database'!$C$2:$C$1960,MATCH(1791,Engine!$C$2:$C$1960,0)))</f>
        <v/>
      </c>
      <c r="D1804" s="9">
        <f>IF(ISNA(MATCH(1791,Engine!$C$2:$C$1960,0)),"",INDEX('Compliance Database'!$D$2:$D$1960,MATCH(1791,Engine!$C$2:$C$1960,0)))</f>
        <v/>
      </c>
      <c r="E1804" s="8">
        <f>IF(ISNA(MATCH(1791,Engine!$C$2:$C$1960,0)),"",INDEX('Compliance Database'!$E$2:$E$1960,MATCH(1791,Engine!$C$2:$C$1960,0)))</f>
        <v/>
      </c>
      <c r="F1804" s="8">
        <f>IF(ISNA(MATCH(1791,Engine!$C$2:$C$1960,0)),"",INDEX('Compliance Database'!$F$2:$F$1960,MATCH(1791,Engine!$C$2:$C$1960,0)))</f>
        <v/>
      </c>
      <c r="G1804" s="8">
        <f>IF(ISNA(MATCH(1791,Engine!$C$2:$C$1960,0)),"",INDEX('Compliance Database'!$G$2:$G$1960,MATCH(1791,Engine!$C$2:$C$1960,0)))</f>
        <v/>
      </c>
      <c r="H1804" s="9">
        <f>IF(ISNA(MATCH(1791,Engine!$C$2:$C$1960,0)),"",INDEX('Compliance Database'!$H$2:$H$1960,MATCH(1791,Engine!$C$2:$C$1960,0)))</f>
        <v/>
      </c>
      <c r="I1804" s="9">
        <f>IF(ISNA(MATCH(1791,Engine!$C$2:$C$1960,0)),"",INDEX('Compliance Database'!$I$2:$I$1960,MATCH(1791,Engine!$C$2:$C$1960,0)))</f>
        <v/>
      </c>
      <c r="J1804" s="8">
        <f>IF(ISNA(MATCH(1791,Engine!$C$2:$C$1960,0)),"",INDEX('Compliance Database'!$J$2:$J$1960,MATCH(1791,Engine!$C$2:$C$1960,0)))</f>
        <v/>
      </c>
      <c r="K1804" s="9">
        <f>IF(ISNA(MATCH(1791,Engine!$C$2:$C$1960,0)),"",INDEX('Compliance Database'!$K$2:$K$1960,MATCH(1791,Engine!$C$2:$C$1960,0)))</f>
        <v/>
      </c>
      <c r="L1804" s="9">
        <f>IF(ISNA(MATCH(1791,Engine!$C$2:$C$1960,0)),"",INDEX('Compliance Database'!$L$2:$L$1960,MATCH(1791,Engine!$C$2:$C$1960,0)))</f>
        <v/>
      </c>
      <c r="M1804" s="9">
        <f>IF(ISNA(MATCH(1791,Engine!$C$2:$C$1960,0)),"",INDEX('Compliance Database'!$M$2:$M$1960,MATCH(1791,Engine!$C$2:$C$1960,0)))</f>
        <v/>
      </c>
      <c r="N1804" s="9">
        <f>IF(ISNA(MATCH(1791,Engine!$C$2:$C$1960,0)),"",INDEX('Compliance Database'!$N$2:$N$1960,MATCH(1791,Engine!$C$2:$C$1960,0)))</f>
        <v/>
      </c>
      <c r="O1804" s="9">
        <f>IF(ISNA(MATCH(1791,Engine!$C$2:$C$1960,0)),"",INDEX('Compliance Database'!$O$2:$O$1960,MATCH(1791,Engine!$C$2:$C$1960,0)))</f>
        <v/>
      </c>
      <c r="P1804" s="8">
        <f>IF(ISNA(MATCH(1791,Engine!$C$2:$C$1960,0)),"",HYPERLINK("#Acts!A"&amp;INDEX('Compliance Database'!$P$2:$P$1960,MATCH(1791,Engine!$C$2:$C$1960,0)),"Go to Act"))</f>
        <v/>
      </c>
    </row>
    <row r="1805" ht="158" customHeight="1">
      <c r="A1805" s="8">
        <f>IF(ISNA(MATCH(1792,Engine!$C$2:$C$1960,0)),"",INDEX('Compliance Database'!$A$2:$A$1960,MATCH(1792,Engine!$C$2:$C$1960,0)))</f>
        <v/>
      </c>
      <c r="B1805" s="8">
        <f>IF(ISNA(MATCH(1792,Engine!$C$2:$C$1960,0)),"",INDEX('Compliance Database'!$B$2:$B$1960,MATCH(1792,Engine!$C$2:$C$1960,0)))</f>
        <v/>
      </c>
      <c r="C1805" s="8">
        <f>IF(ISNA(MATCH(1792,Engine!$C$2:$C$1960,0)),"",INDEX('Compliance Database'!$C$2:$C$1960,MATCH(1792,Engine!$C$2:$C$1960,0)))</f>
        <v/>
      </c>
      <c r="D1805" s="9">
        <f>IF(ISNA(MATCH(1792,Engine!$C$2:$C$1960,0)),"",INDEX('Compliance Database'!$D$2:$D$1960,MATCH(1792,Engine!$C$2:$C$1960,0)))</f>
        <v/>
      </c>
      <c r="E1805" s="8">
        <f>IF(ISNA(MATCH(1792,Engine!$C$2:$C$1960,0)),"",INDEX('Compliance Database'!$E$2:$E$1960,MATCH(1792,Engine!$C$2:$C$1960,0)))</f>
        <v/>
      </c>
      <c r="F1805" s="8">
        <f>IF(ISNA(MATCH(1792,Engine!$C$2:$C$1960,0)),"",INDEX('Compliance Database'!$F$2:$F$1960,MATCH(1792,Engine!$C$2:$C$1960,0)))</f>
        <v/>
      </c>
      <c r="G1805" s="8">
        <f>IF(ISNA(MATCH(1792,Engine!$C$2:$C$1960,0)),"",INDEX('Compliance Database'!$G$2:$G$1960,MATCH(1792,Engine!$C$2:$C$1960,0)))</f>
        <v/>
      </c>
      <c r="H1805" s="9">
        <f>IF(ISNA(MATCH(1792,Engine!$C$2:$C$1960,0)),"",INDEX('Compliance Database'!$H$2:$H$1960,MATCH(1792,Engine!$C$2:$C$1960,0)))</f>
        <v/>
      </c>
      <c r="I1805" s="9">
        <f>IF(ISNA(MATCH(1792,Engine!$C$2:$C$1960,0)),"",INDEX('Compliance Database'!$I$2:$I$1960,MATCH(1792,Engine!$C$2:$C$1960,0)))</f>
        <v/>
      </c>
      <c r="J1805" s="8">
        <f>IF(ISNA(MATCH(1792,Engine!$C$2:$C$1960,0)),"",INDEX('Compliance Database'!$J$2:$J$1960,MATCH(1792,Engine!$C$2:$C$1960,0)))</f>
        <v/>
      </c>
      <c r="K1805" s="9">
        <f>IF(ISNA(MATCH(1792,Engine!$C$2:$C$1960,0)),"",INDEX('Compliance Database'!$K$2:$K$1960,MATCH(1792,Engine!$C$2:$C$1960,0)))</f>
        <v/>
      </c>
      <c r="L1805" s="9">
        <f>IF(ISNA(MATCH(1792,Engine!$C$2:$C$1960,0)),"",INDEX('Compliance Database'!$L$2:$L$1960,MATCH(1792,Engine!$C$2:$C$1960,0)))</f>
        <v/>
      </c>
      <c r="M1805" s="9">
        <f>IF(ISNA(MATCH(1792,Engine!$C$2:$C$1960,0)),"",INDEX('Compliance Database'!$M$2:$M$1960,MATCH(1792,Engine!$C$2:$C$1960,0)))</f>
        <v/>
      </c>
      <c r="N1805" s="9">
        <f>IF(ISNA(MATCH(1792,Engine!$C$2:$C$1960,0)),"",INDEX('Compliance Database'!$N$2:$N$1960,MATCH(1792,Engine!$C$2:$C$1960,0)))</f>
        <v/>
      </c>
      <c r="O1805" s="9">
        <f>IF(ISNA(MATCH(1792,Engine!$C$2:$C$1960,0)),"",INDEX('Compliance Database'!$O$2:$O$1960,MATCH(1792,Engine!$C$2:$C$1960,0)))</f>
        <v/>
      </c>
      <c r="P1805" s="8">
        <f>IF(ISNA(MATCH(1792,Engine!$C$2:$C$1960,0)),"",HYPERLINK("#Acts!A"&amp;INDEX('Compliance Database'!$P$2:$P$1960,MATCH(1792,Engine!$C$2:$C$1960,0)),"Go to Act"))</f>
        <v/>
      </c>
    </row>
    <row r="1806" ht="158" customHeight="1">
      <c r="A1806" s="8">
        <f>IF(ISNA(MATCH(1793,Engine!$C$2:$C$1960,0)),"",INDEX('Compliance Database'!$A$2:$A$1960,MATCH(1793,Engine!$C$2:$C$1960,0)))</f>
        <v/>
      </c>
      <c r="B1806" s="8">
        <f>IF(ISNA(MATCH(1793,Engine!$C$2:$C$1960,0)),"",INDEX('Compliance Database'!$B$2:$B$1960,MATCH(1793,Engine!$C$2:$C$1960,0)))</f>
        <v/>
      </c>
      <c r="C1806" s="8">
        <f>IF(ISNA(MATCH(1793,Engine!$C$2:$C$1960,0)),"",INDEX('Compliance Database'!$C$2:$C$1960,MATCH(1793,Engine!$C$2:$C$1960,0)))</f>
        <v/>
      </c>
      <c r="D1806" s="9">
        <f>IF(ISNA(MATCH(1793,Engine!$C$2:$C$1960,0)),"",INDEX('Compliance Database'!$D$2:$D$1960,MATCH(1793,Engine!$C$2:$C$1960,0)))</f>
        <v/>
      </c>
      <c r="E1806" s="8">
        <f>IF(ISNA(MATCH(1793,Engine!$C$2:$C$1960,0)),"",INDEX('Compliance Database'!$E$2:$E$1960,MATCH(1793,Engine!$C$2:$C$1960,0)))</f>
        <v/>
      </c>
      <c r="F1806" s="8">
        <f>IF(ISNA(MATCH(1793,Engine!$C$2:$C$1960,0)),"",INDEX('Compliance Database'!$F$2:$F$1960,MATCH(1793,Engine!$C$2:$C$1960,0)))</f>
        <v/>
      </c>
      <c r="G1806" s="8">
        <f>IF(ISNA(MATCH(1793,Engine!$C$2:$C$1960,0)),"",INDEX('Compliance Database'!$G$2:$G$1960,MATCH(1793,Engine!$C$2:$C$1960,0)))</f>
        <v/>
      </c>
      <c r="H1806" s="9">
        <f>IF(ISNA(MATCH(1793,Engine!$C$2:$C$1960,0)),"",INDEX('Compliance Database'!$H$2:$H$1960,MATCH(1793,Engine!$C$2:$C$1960,0)))</f>
        <v/>
      </c>
      <c r="I1806" s="9">
        <f>IF(ISNA(MATCH(1793,Engine!$C$2:$C$1960,0)),"",INDEX('Compliance Database'!$I$2:$I$1960,MATCH(1793,Engine!$C$2:$C$1960,0)))</f>
        <v/>
      </c>
      <c r="J1806" s="8">
        <f>IF(ISNA(MATCH(1793,Engine!$C$2:$C$1960,0)),"",INDEX('Compliance Database'!$J$2:$J$1960,MATCH(1793,Engine!$C$2:$C$1960,0)))</f>
        <v/>
      </c>
      <c r="K1806" s="9">
        <f>IF(ISNA(MATCH(1793,Engine!$C$2:$C$1960,0)),"",INDEX('Compliance Database'!$K$2:$K$1960,MATCH(1793,Engine!$C$2:$C$1960,0)))</f>
        <v/>
      </c>
      <c r="L1806" s="9">
        <f>IF(ISNA(MATCH(1793,Engine!$C$2:$C$1960,0)),"",INDEX('Compliance Database'!$L$2:$L$1960,MATCH(1793,Engine!$C$2:$C$1960,0)))</f>
        <v/>
      </c>
      <c r="M1806" s="9">
        <f>IF(ISNA(MATCH(1793,Engine!$C$2:$C$1960,0)),"",INDEX('Compliance Database'!$M$2:$M$1960,MATCH(1793,Engine!$C$2:$C$1960,0)))</f>
        <v/>
      </c>
      <c r="N1806" s="9">
        <f>IF(ISNA(MATCH(1793,Engine!$C$2:$C$1960,0)),"",INDEX('Compliance Database'!$N$2:$N$1960,MATCH(1793,Engine!$C$2:$C$1960,0)))</f>
        <v/>
      </c>
      <c r="O1806" s="9">
        <f>IF(ISNA(MATCH(1793,Engine!$C$2:$C$1960,0)),"",INDEX('Compliance Database'!$O$2:$O$1960,MATCH(1793,Engine!$C$2:$C$1960,0)))</f>
        <v/>
      </c>
      <c r="P1806" s="8">
        <f>IF(ISNA(MATCH(1793,Engine!$C$2:$C$1960,0)),"",HYPERLINK("#Acts!A"&amp;INDEX('Compliance Database'!$P$2:$P$1960,MATCH(1793,Engine!$C$2:$C$1960,0)),"Go to Act"))</f>
        <v/>
      </c>
    </row>
    <row r="1807" ht="158" customHeight="1">
      <c r="A1807" s="8">
        <f>IF(ISNA(MATCH(1794,Engine!$C$2:$C$1960,0)),"",INDEX('Compliance Database'!$A$2:$A$1960,MATCH(1794,Engine!$C$2:$C$1960,0)))</f>
        <v/>
      </c>
      <c r="B1807" s="8">
        <f>IF(ISNA(MATCH(1794,Engine!$C$2:$C$1960,0)),"",INDEX('Compliance Database'!$B$2:$B$1960,MATCH(1794,Engine!$C$2:$C$1960,0)))</f>
        <v/>
      </c>
      <c r="C1807" s="8">
        <f>IF(ISNA(MATCH(1794,Engine!$C$2:$C$1960,0)),"",INDEX('Compliance Database'!$C$2:$C$1960,MATCH(1794,Engine!$C$2:$C$1960,0)))</f>
        <v/>
      </c>
      <c r="D1807" s="9">
        <f>IF(ISNA(MATCH(1794,Engine!$C$2:$C$1960,0)),"",INDEX('Compliance Database'!$D$2:$D$1960,MATCH(1794,Engine!$C$2:$C$1960,0)))</f>
        <v/>
      </c>
      <c r="E1807" s="8">
        <f>IF(ISNA(MATCH(1794,Engine!$C$2:$C$1960,0)),"",INDEX('Compliance Database'!$E$2:$E$1960,MATCH(1794,Engine!$C$2:$C$1960,0)))</f>
        <v/>
      </c>
      <c r="F1807" s="8">
        <f>IF(ISNA(MATCH(1794,Engine!$C$2:$C$1960,0)),"",INDEX('Compliance Database'!$F$2:$F$1960,MATCH(1794,Engine!$C$2:$C$1960,0)))</f>
        <v/>
      </c>
      <c r="G1807" s="8">
        <f>IF(ISNA(MATCH(1794,Engine!$C$2:$C$1960,0)),"",INDEX('Compliance Database'!$G$2:$G$1960,MATCH(1794,Engine!$C$2:$C$1960,0)))</f>
        <v/>
      </c>
      <c r="H1807" s="9">
        <f>IF(ISNA(MATCH(1794,Engine!$C$2:$C$1960,0)),"",INDEX('Compliance Database'!$H$2:$H$1960,MATCH(1794,Engine!$C$2:$C$1960,0)))</f>
        <v/>
      </c>
      <c r="I1807" s="9">
        <f>IF(ISNA(MATCH(1794,Engine!$C$2:$C$1960,0)),"",INDEX('Compliance Database'!$I$2:$I$1960,MATCH(1794,Engine!$C$2:$C$1960,0)))</f>
        <v/>
      </c>
      <c r="J1807" s="8">
        <f>IF(ISNA(MATCH(1794,Engine!$C$2:$C$1960,0)),"",INDEX('Compliance Database'!$J$2:$J$1960,MATCH(1794,Engine!$C$2:$C$1960,0)))</f>
        <v/>
      </c>
      <c r="K1807" s="9">
        <f>IF(ISNA(MATCH(1794,Engine!$C$2:$C$1960,0)),"",INDEX('Compliance Database'!$K$2:$K$1960,MATCH(1794,Engine!$C$2:$C$1960,0)))</f>
        <v/>
      </c>
      <c r="L1807" s="9">
        <f>IF(ISNA(MATCH(1794,Engine!$C$2:$C$1960,0)),"",INDEX('Compliance Database'!$L$2:$L$1960,MATCH(1794,Engine!$C$2:$C$1960,0)))</f>
        <v/>
      </c>
      <c r="M1807" s="9">
        <f>IF(ISNA(MATCH(1794,Engine!$C$2:$C$1960,0)),"",INDEX('Compliance Database'!$M$2:$M$1960,MATCH(1794,Engine!$C$2:$C$1960,0)))</f>
        <v/>
      </c>
      <c r="N1807" s="9">
        <f>IF(ISNA(MATCH(1794,Engine!$C$2:$C$1960,0)),"",INDEX('Compliance Database'!$N$2:$N$1960,MATCH(1794,Engine!$C$2:$C$1960,0)))</f>
        <v/>
      </c>
      <c r="O1807" s="9">
        <f>IF(ISNA(MATCH(1794,Engine!$C$2:$C$1960,0)),"",INDEX('Compliance Database'!$O$2:$O$1960,MATCH(1794,Engine!$C$2:$C$1960,0)))</f>
        <v/>
      </c>
      <c r="P1807" s="8">
        <f>IF(ISNA(MATCH(1794,Engine!$C$2:$C$1960,0)),"",HYPERLINK("#Acts!A"&amp;INDEX('Compliance Database'!$P$2:$P$1960,MATCH(1794,Engine!$C$2:$C$1960,0)),"Go to Act"))</f>
        <v/>
      </c>
    </row>
    <row r="1808" ht="158" customHeight="1">
      <c r="A1808" s="8">
        <f>IF(ISNA(MATCH(1795,Engine!$C$2:$C$1960,0)),"",INDEX('Compliance Database'!$A$2:$A$1960,MATCH(1795,Engine!$C$2:$C$1960,0)))</f>
        <v/>
      </c>
      <c r="B1808" s="8">
        <f>IF(ISNA(MATCH(1795,Engine!$C$2:$C$1960,0)),"",INDEX('Compliance Database'!$B$2:$B$1960,MATCH(1795,Engine!$C$2:$C$1960,0)))</f>
        <v/>
      </c>
      <c r="C1808" s="8">
        <f>IF(ISNA(MATCH(1795,Engine!$C$2:$C$1960,0)),"",INDEX('Compliance Database'!$C$2:$C$1960,MATCH(1795,Engine!$C$2:$C$1960,0)))</f>
        <v/>
      </c>
      <c r="D1808" s="9">
        <f>IF(ISNA(MATCH(1795,Engine!$C$2:$C$1960,0)),"",INDEX('Compliance Database'!$D$2:$D$1960,MATCH(1795,Engine!$C$2:$C$1960,0)))</f>
        <v/>
      </c>
      <c r="E1808" s="8">
        <f>IF(ISNA(MATCH(1795,Engine!$C$2:$C$1960,0)),"",INDEX('Compliance Database'!$E$2:$E$1960,MATCH(1795,Engine!$C$2:$C$1960,0)))</f>
        <v/>
      </c>
      <c r="F1808" s="8">
        <f>IF(ISNA(MATCH(1795,Engine!$C$2:$C$1960,0)),"",INDEX('Compliance Database'!$F$2:$F$1960,MATCH(1795,Engine!$C$2:$C$1960,0)))</f>
        <v/>
      </c>
      <c r="G1808" s="8">
        <f>IF(ISNA(MATCH(1795,Engine!$C$2:$C$1960,0)),"",INDEX('Compliance Database'!$G$2:$G$1960,MATCH(1795,Engine!$C$2:$C$1960,0)))</f>
        <v/>
      </c>
      <c r="H1808" s="9">
        <f>IF(ISNA(MATCH(1795,Engine!$C$2:$C$1960,0)),"",INDEX('Compliance Database'!$H$2:$H$1960,MATCH(1795,Engine!$C$2:$C$1960,0)))</f>
        <v/>
      </c>
      <c r="I1808" s="9">
        <f>IF(ISNA(MATCH(1795,Engine!$C$2:$C$1960,0)),"",INDEX('Compliance Database'!$I$2:$I$1960,MATCH(1795,Engine!$C$2:$C$1960,0)))</f>
        <v/>
      </c>
      <c r="J1808" s="8">
        <f>IF(ISNA(MATCH(1795,Engine!$C$2:$C$1960,0)),"",INDEX('Compliance Database'!$J$2:$J$1960,MATCH(1795,Engine!$C$2:$C$1960,0)))</f>
        <v/>
      </c>
      <c r="K1808" s="9">
        <f>IF(ISNA(MATCH(1795,Engine!$C$2:$C$1960,0)),"",INDEX('Compliance Database'!$K$2:$K$1960,MATCH(1795,Engine!$C$2:$C$1960,0)))</f>
        <v/>
      </c>
      <c r="L1808" s="9">
        <f>IF(ISNA(MATCH(1795,Engine!$C$2:$C$1960,0)),"",INDEX('Compliance Database'!$L$2:$L$1960,MATCH(1795,Engine!$C$2:$C$1960,0)))</f>
        <v/>
      </c>
      <c r="M1808" s="9">
        <f>IF(ISNA(MATCH(1795,Engine!$C$2:$C$1960,0)),"",INDEX('Compliance Database'!$M$2:$M$1960,MATCH(1795,Engine!$C$2:$C$1960,0)))</f>
        <v/>
      </c>
      <c r="N1808" s="9">
        <f>IF(ISNA(MATCH(1795,Engine!$C$2:$C$1960,0)),"",INDEX('Compliance Database'!$N$2:$N$1960,MATCH(1795,Engine!$C$2:$C$1960,0)))</f>
        <v/>
      </c>
      <c r="O1808" s="9">
        <f>IF(ISNA(MATCH(1795,Engine!$C$2:$C$1960,0)),"",INDEX('Compliance Database'!$O$2:$O$1960,MATCH(1795,Engine!$C$2:$C$1960,0)))</f>
        <v/>
      </c>
      <c r="P1808" s="8">
        <f>IF(ISNA(MATCH(1795,Engine!$C$2:$C$1960,0)),"",HYPERLINK("#Acts!A"&amp;INDEX('Compliance Database'!$P$2:$P$1960,MATCH(1795,Engine!$C$2:$C$1960,0)),"Go to Act"))</f>
        <v/>
      </c>
    </row>
    <row r="1809" ht="158" customHeight="1">
      <c r="A1809" s="8">
        <f>IF(ISNA(MATCH(1796,Engine!$C$2:$C$1960,0)),"",INDEX('Compliance Database'!$A$2:$A$1960,MATCH(1796,Engine!$C$2:$C$1960,0)))</f>
        <v/>
      </c>
      <c r="B1809" s="8">
        <f>IF(ISNA(MATCH(1796,Engine!$C$2:$C$1960,0)),"",INDEX('Compliance Database'!$B$2:$B$1960,MATCH(1796,Engine!$C$2:$C$1960,0)))</f>
        <v/>
      </c>
      <c r="C1809" s="8">
        <f>IF(ISNA(MATCH(1796,Engine!$C$2:$C$1960,0)),"",INDEX('Compliance Database'!$C$2:$C$1960,MATCH(1796,Engine!$C$2:$C$1960,0)))</f>
        <v/>
      </c>
      <c r="D1809" s="9">
        <f>IF(ISNA(MATCH(1796,Engine!$C$2:$C$1960,0)),"",INDEX('Compliance Database'!$D$2:$D$1960,MATCH(1796,Engine!$C$2:$C$1960,0)))</f>
        <v/>
      </c>
      <c r="E1809" s="8">
        <f>IF(ISNA(MATCH(1796,Engine!$C$2:$C$1960,0)),"",INDEX('Compliance Database'!$E$2:$E$1960,MATCH(1796,Engine!$C$2:$C$1960,0)))</f>
        <v/>
      </c>
      <c r="F1809" s="8">
        <f>IF(ISNA(MATCH(1796,Engine!$C$2:$C$1960,0)),"",INDEX('Compliance Database'!$F$2:$F$1960,MATCH(1796,Engine!$C$2:$C$1960,0)))</f>
        <v/>
      </c>
      <c r="G1809" s="8">
        <f>IF(ISNA(MATCH(1796,Engine!$C$2:$C$1960,0)),"",INDEX('Compliance Database'!$G$2:$G$1960,MATCH(1796,Engine!$C$2:$C$1960,0)))</f>
        <v/>
      </c>
      <c r="H1809" s="9">
        <f>IF(ISNA(MATCH(1796,Engine!$C$2:$C$1960,0)),"",INDEX('Compliance Database'!$H$2:$H$1960,MATCH(1796,Engine!$C$2:$C$1960,0)))</f>
        <v/>
      </c>
      <c r="I1809" s="9">
        <f>IF(ISNA(MATCH(1796,Engine!$C$2:$C$1960,0)),"",INDEX('Compliance Database'!$I$2:$I$1960,MATCH(1796,Engine!$C$2:$C$1960,0)))</f>
        <v/>
      </c>
      <c r="J1809" s="8">
        <f>IF(ISNA(MATCH(1796,Engine!$C$2:$C$1960,0)),"",INDEX('Compliance Database'!$J$2:$J$1960,MATCH(1796,Engine!$C$2:$C$1960,0)))</f>
        <v/>
      </c>
      <c r="K1809" s="9">
        <f>IF(ISNA(MATCH(1796,Engine!$C$2:$C$1960,0)),"",INDEX('Compliance Database'!$K$2:$K$1960,MATCH(1796,Engine!$C$2:$C$1960,0)))</f>
        <v/>
      </c>
      <c r="L1809" s="9">
        <f>IF(ISNA(MATCH(1796,Engine!$C$2:$C$1960,0)),"",INDEX('Compliance Database'!$L$2:$L$1960,MATCH(1796,Engine!$C$2:$C$1960,0)))</f>
        <v/>
      </c>
      <c r="M1809" s="9">
        <f>IF(ISNA(MATCH(1796,Engine!$C$2:$C$1960,0)),"",INDEX('Compliance Database'!$M$2:$M$1960,MATCH(1796,Engine!$C$2:$C$1960,0)))</f>
        <v/>
      </c>
      <c r="N1809" s="9">
        <f>IF(ISNA(MATCH(1796,Engine!$C$2:$C$1960,0)),"",INDEX('Compliance Database'!$N$2:$N$1960,MATCH(1796,Engine!$C$2:$C$1960,0)))</f>
        <v/>
      </c>
      <c r="O1809" s="9">
        <f>IF(ISNA(MATCH(1796,Engine!$C$2:$C$1960,0)),"",INDEX('Compliance Database'!$O$2:$O$1960,MATCH(1796,Engine!$C$2:$C$1960,0)))</f>
        <v/>
      </c>
      <c r="P1809" s="8">
        <f>IF(ISNA(MATCH(1796,Engine!$C$2:$C$1960,0)),"",HYPERLINK("#Acts!A"&amp;INDEX('Compliance Database'!$P$2:$P$1960,MATCH(1796,Engine!$C$2:$C$1960,0)),"Go to Act"))</f>
        <v/>
      </c>
    </row>
    <row r="1810" ht="158" customHeight="1">
      <c r="A1810" s="8">
        <f>IF(ISNA(MATCH(1797,Engine!$C$2:$C$1960,0)),"",INDEX('Compliance Database'!$A$2:$A$1960,MATCH(1797,Engine!$C$2:$C$1960,0)))</f>
        <v/>
      </c>
      <c r="B1810" s="8">
        <f>IF(ISNA(MATCH(1797,Engine!$C$2:$C$1960,0)),"",INDEX('Compliance Database'!$B$2:$B$1960,MATCH(1797,Engine!$C$2:$C$1960,0)))</f>
        <v/>
      </c>
      <c r="C1810" s="8">
        <f>IF(ISNA(MATCH(1797,Engine!$C$2:$C$1960,0)),"",INDEX('Compliance Database'!$C$2:$C$1960,MATCH(1797,Engine!$C$2:$C$1960,0)))</f>
        <v/>
      </c>
      <c r="D1810" s="9">
        <f>IF(ISNA(MATCH(1797,Engine!$C$2:$C$1960,0)),"",INDEX('Compliance Database'!$D$2:$D$1960,MATCH(1797,Engine!$C$2:$C$1960,0)))</f>
        <v/>
      </c>
      <c r="E1810" s="8">
        <f>IF(ISNA(MATCH(1797,Engine!$C$2:$C$1960,0)),"",INDEX('Compliance Database'!$E$2:$E$1960,MATCH(1797,Engine!$C$2:$C$1960,0)))</f>
        <v/>
      </c>
      <c r="F1810" s="8">
        <f>IF(ISNA(MATCH(1797,Engine!$C$2:$C$1960,0)),"",INDEX('Compliance Database'!$F$2:$F$1960,MATCH(1797,Engine!$C$2:$C$1960,0)))</f>
        <v/>
      </c>
      <c r="G1810" s="8">
        <f>IF(ISNA(MATCH(1797,Engine!$C$2:$C$1960,0)),"",INDEX('Compliance Database'!$G$2:$G$1960,MATCH(1797,Engine!$C$2:$C$1960,0)))</f>
        <v/>
      </c>
      <c r="H1810" s="9">
        <f>IF(ISNA(MATCH(1797,Engine!$C$2:$C$1960,0)),"",INDEX('Compliance Database'!$H$2:$H$1960,MATCH(1797,Engine!$C$2:$C$1960,0)))</f>
        <v/>
      </c>
      <c r="I1810" s="9">
        <f>IF(ISNA(MATCH(1797,Engine!$C$2:$C$1960,0)),"",INDEX('Compliance Database'!$I$2:$I$1960,MATCH(1797,Engine!$C$2:$C$1960,0)))</f>
        <v/>
      </c>
      <c r="J1810" s="8">
        <f>IF(ISNA(MATCH(1797,Engine!$C$2:$C$1960,0)),"",INDEX('Compliance Database'!$J$2:$J$1960,MATCH(1797,Engine!$C$2:$C$1960,0)))</f>
        <v/>
      </c>
      <c r="K1810" s="9">
        <f>IF(ISNA(MATCH(1797,Engine!$C$2:$C$1960,0)),"",INDEX('Compliance Database'!$K$2:$K$1960,MATCH(1797,Engine!$C$2:$C$1960,0)))</f>
        <v/>
      </c>
      <c r="L1810" s="9">
        <f>IF(ISNA(MATCH(1797,Engine!$C$2:$C$1960,0)),"",INDEX('Compliance Database'!$L$2:$L$1960,MATCH(1797,Engine!$C$2:$C$1960,0)))</f>
        <v/>
      </c>
      <c r="M1810" s="9">
        <f>IF(ISNA(MATCH(1797,Engine!$C$2:$C$1960,0)),"",INDEX('Compliance Database'!$M$2:$M$1960,MATCH(1797,Engine!$C$2:$C$1960,0)))</f>
        <v/>
      </c>
      <c r="N1810" s="9">
        <f>IF(ISNA(MATCH(1797,Engine!$C$2:$C$1960,0)),"",INDEX('Compliance Database'!$N$2:$N$1960,MATCH(1797,Engine!$C$2:$C$1960,0)))</f>
        <v/>
      </c>
      <c r="O1810" s="9">
        <f>IF(ISNA(MATCH(1797,Engine!$C$2:$C$1960,0)),"",INDEX('Compliance Database'!$O$2:$O$1960,MATCH(1797,Engine!$C$2:$C$1960,0)))</f>
        <v/>
      </c>
      <c r="P1810" s="8">
        <f>IF(ISNA(MATCH(1797,Engine!$C$2:$C$1960,0)),"",HYPERLINK("#Acts!A"&amp;INDEX('Compliance Database'!$P$2:$P$1960,MATCH(1797,Engine!$C$2:$C$1960,0)),"Go to Act"))</f>
        <v/>
      </c>
    </row>
    <row r="1811" ht="158" customHeight="1">
      <c r="A1811" s="8">
        <f>IF(ISNA(MATCH(1798,Engine!$C$2:$C$1960,0)),"",INDEX('Compliance Database'!$A$2:$A$1960,MATCH(1798,Engine!$C$2:$C$1960,0)))</f>
        <v/>
      </c>
      <c r="B1811" s="8">
        <f>IF(ISNA(MATCH(1798,Engine!$C$2:$C$1960,0)),"",INDEX('Compliance Database'!$B$2:$B$1960,MATCH(1798,Engine!$C$2:$C$1960,0)))</f>
        <v/>
      </c>
      <c r="C1811" s="8">
        <f>IF(ISNA(MATCH(1798,Engine!$C$2:$C$1960,0)),"",INDEX('Compliance Database'!$C$2:$C$1960,MATCH(1798,Engine!$C$2:$C$1960,0)))</f>
        <v/>
      </c>
      <c r="D1811" s="9">
        <f>IF(ISNA(MATCH(1798,Engine!$C$2:$C$1960,0)),"",INDEX('Compliance Database'!$D$2:$D$1960,MATCH(1798,Engine!$C$2:$C$1960,0)))</f>
        <v/>
      </c>
      <c r="E1811" s="8">
        <f>IF(ISNA(MATCH(1798,Engine!$C$2:$C$1960,0)),"",INDEX('Compliance Database'!$E$2:$E$1960,MATCH(1798,Engine!$C$2:$C$1960,0)))</f>
        <v/>
      </c>
      <c r="F1811" s="8">
        <f>IF(ISNA(MATCH(1798,Engine!$C$2:$C$1960,0)),"",INDEX('Compliance Database'!$F$2:$F$1960,MATCH(1798,Engine!$C$2:$C$1960,0)))</f>
        <v/>
      </c>
      <c r="G1811" s="8">
        <f>IF(ISNA(MATCH(1798,Engine!$C$2:$C$1960,0)),"",INDEX('Compliance Database'!$G$2:$G$1960,MATCH(1798,Engine!$C$2:$C$1960,0)))</f>
        <v/>
      </c>
      <c r="H1811" s="9">
        <f>IF(ISNA(MATCH(1798,Engine!$C$2:$C$1960,0)),"",INDEX('Compliance Database'!$H$2:$H$1960,MATCH(1798,Engine!$C$2:$C$1960,0)))</f>
        <v/>
      </c>
      <c r="I1811" s="9">
        <f>IF(ISNA(MATCH(1798,Engine!$C$2:$C$1960,0)),"",INDEX('Compliance Database'!$I$2:$I$1960,MATCH(1798,Engine!$C$2:$C$1960,0)))</f>
        <v/>
      </c>
      <c r="J1811" s="8">
        <f>IF(ISNA(MATCH(1798,Engine!$C$2:$C$1960,0)),"",INDEX('Compliance Database'!$J$2:$J$1960,MATCH(1798,Engine!$C$2:$C$1960,0)))</f>
        <v/>
      </c>
      <c r="K1811" s="9">
        <f>IF(ISNA(MATCH(1798,Engine!$C$2:$C$1960,0)),"",INDEX('Compliance Database'!$K$2:$K$1960,MATCH(1798,Engine!$C$2:$C$1960,0)))</f>
        <v/>
      </c>
      <c r="L1811" s="9">
        <f>IF(ISNA(MATCH(1798,Engine!$C$2:$C$1960,0)),"",INDEX('Compliance Database'!$L$2:$L$1960,MATCH(1798,Engine!$C$2:$C$1960,0)))</f>
        <v/>
      </c>
      <c r="M1811" s="9">
        <f>IF(ISNA(MATCH(1798,Engine!$C$2:$C$1960,0)),"",INDEX('Compliance Database'!$M$2:$M$1960,MATCH(1798,Engine!$C$2:$C$1960,0)))</f>
        <v/>
      </c>
      <c r="N1811" s="9">
        <f>IF(ISNA(MATCH(1798,Engine!$C$2:$C$1960,0)),"",INDEX('Compliance Database'!$N$2:$N$1960,MATCH(1798,Engine!$C$2:$C$1960,0)))</f>
        <v/>
      </c>
      <c r="O1811" s="9">
        <f>IF(ISNA(MATCH(1798,Engine!$C$2:$C$1960,0)),"",INDEX('Compliance Database'!$O$2:$O$1960,MATCH(1798,Engine!$C$2:$C$1960,0)))</f>
        <v/>
      </c>
      <c r="P1811" s="8">
        <f>IF(ISNA(MATCH(1798,Engine!$C$2:$C$1960,0)),"",HYPERLINK("#Acts!A"&amp;INDEX('Compliance Database'!$P$2:$P$1960,MATCH(1798,Engine!$C$2:$C$1960,0)),"Go to Act"))</f>
        <v/>
      </c>
    </row>
    <row r="1812" ht="158" customHeight="1">
      <c r="A1812" s="8">
        <f>IF(ISNA(MATCH(1799,Engine!$C$2:$C$1960,0)),"",INDEX('Compliance Database'!$A$2:$A$1960,MATCH(1799,Engine!$C$2:$C$1960,0)))</f>
        <v/>
      </c>
      <c r="B1812" s="8">
        <f>IF(ISNA(MATCH(1799,Engine!$C$2:$C$1960,0)),"",INDEX('Compliance Database'!$B$2:$B$1960,MATCH(1799,Engine!$C$2:$C$1960,0)))</f>
        <v/>
      </c>
      <c r="C1812" s="8">
        <f>IF(ISNA(MATCH(1799,Engine!$C$2:$C$1960,0)),"",INDEX('Compliance Database'!$C$2:$C$1960,MATCH(1799,Engine!$C$2:$C$1960,0)))</f>
        <v/>
      </c>
      <c r="D1812" s="9">
        <f>IF(ISNA(MATCH(1799,Engine!$C$2:$C$1960,0)),"",INDEX('Compliance Database'!$D$2:$D$1960,MATCH(1799,Engine!$C$2:$C$1960,0)))</f>
        <v/>
      </c>
      <c r="E1812" s="8">
        <f>IF(ISNA(MATCH(1799,Engine!$C$2:$C$1960,0)),"",INDEX('Compliance Database'!$E$2:$E$1960,MATCH(1799,Engine!$C$2:$C$1960,0)))</f>
        <v/>
      </c>
      <c r="F1812" s="8">
        <f>IF(ISNA(MATCH(1799,Engine!$C$2:$C$1960,0)),"",INDEX('Compliance Database'!$F$2:$F$1960,MATCH(1799,Engine!$C$2:$C$1960,0)))</f>
        <v/>
      </c>
      <c r="G1812" s="8">
        <f>IF(ISNA(MATCH(1799,Engine!$C$2:$C$1960,0)),"",INDEX('Compliance Database'!$G$2:$G$1960,MATCH(1799,Engine!$C$2:$C$1960,0)))</f>
        <v/>
      </c>
      <c r="H1812" s="9">
        <f>IF(ISNA(MATCH(1799,Engine!$C$2:$C$1960,0)),"",INDEX('Compliance Database'!$H$2:$H$1960,MATCH(1799,Engine!$C$2:$C$1960,0)))</f>
        <v/>
      </c>
      <c r="I1812" s="9">
        <f>IF(ISNA(MATCH(1799,Engine!$C$2:$C$1960,0)),"",INDEX('Compliance Database'!$I$2:$I$1960,MATCH(1799,Engine!$C$2:$C$1960,0)))</f>
        <v/>
      </c>
      <c r="J1812" s="8">
        <f>IF(ISNA(MATCH(1799,Engine!$C$2:$C$1960,0)),"",INDEX('Compliance Database'!$J$2:$J$1960,MATCH(1799,Engine!$C$2:$C$1960,0)))</f>
        <v/>
      </c>
      <c r="K1812" s="9">
        <f>IF(ISNA(MATCH(1799,Engine!$C$2:$C$1960,0)),"",INDEX('Compliance Database'!$K$2:$K$1960,MATCH(1799,Engine!$C$2:$C$1960,0)))</f>
        <v/>
      </c>
      <c r="L1812" s="9">
        <f>IF(ISNA(MATCH(1799,Engine!$C$2:$C$1960,0)),"",INDEX('Compliance Database'!$L$2:$L$1960,MATCH(1799,Engine!$C$2:$C$1960,0)))</f>
        <v/>
      </c>
      <c r="M1812" s="9">
        <f>IF(ISNA(MATCH(1799,Engine!$C$2:$C$1960,0)),"",INDEX('Compliance Database'!$M$2:$M$1960,MATCH(1799,Engine!$C$2:$C$1960,0)))</f>
        <v/>
      </c>
      <c r="N1812" s="9">
        <f>IF(ISNA(MATCH(1799,Engine!$C$2:$C$1960,0)),"",INDEX('Compliance Database'!$N$2:$N$1960,MATCH(1799,Engine!$C$2:$C$1960,0)))</f>
        <v/>
      </c>
      <c r="O1812" s="9">
        <f>IF(ISNA(MATCH(1799,Engine!$C$2:$C$1960,0)),"",INDEX('Compliance Database'!$O$2:$O$1960,MATCH(1799,Engine!$C$2:$C$1960,0)))</f>
        <v/>
      </c>
      <c r="P1812" s="8">
        <f>IF(ISNA(MATCH(1799,Engine!$C$2:$C$1960,0)),"",HYPERLINK("#Acts!A"&amp;INDEX('Compliance Database'!$P$2:$P$1960,MATCH(1799,Engine!$C$2:$C$1960,0)),"Go to Act"))</f>
        <v/>
      </c>
    </row>
    <row r="1813" ht="158" customHeight="1">
      <c r="A1813" s="8">
        <f>IF(ISNA(MATCH(1800,Engine!$C$2:$C$1960,0)),"",INDEX('Compliance Database'!$A$2:$A$1960,MATCH(1800,Engine!$C$2:$C$1960,0)))</f>
        <v/>
      </c>
      <c r="B1813" s="8">
        <f>IF(ISNA(MATCH(1800,Engine!$C$2:$C$1960,0)),"",INDEX('Compliance Database'!$B$2:$B$1960,MATCH(1800,Engine!$C$2:$C$1960,0)))</f>
        <v/>
      </c>
      <c r="C1813" s="8">
        <f>IF(ISNA(MATCH(1800,Engine!$C$2:$C$1960,0)),"",INDEX('Compliance Database'!$C$2:$C$1960,MATCH(1800,Engine!$C$2:$C$1960,0)))</f>
        <v/>
      </c>
      <c r="D1813" s="9">
        <f>IF(ISNA(MATCH(1800,Engine!$C$2:$C$1960,0)),"",INDEX('Compliance Database'!$D$2:$D$1960,MATCH(1800,Engine!$C$2:$C$1960,0)))</f>
        <v/>
      </c>
      <c r="E1813" s="8">
        <f>IF(ISNA(MATCH(1800,Engine!$C$2:$C$1960,0)),"",INDEX('Compliance Database'!$E$2:$E$1960,MATCH(1800,Engine!$C$2:$C$1960,0)))</f>
        <v/>
      </c>
      <c r="F1813" s="8">
        <f>IF(ISNA(MATCH(1800,Engine!$C$2:$C$1960,0)),"",INDEX('Compliance Database'!$F$2:$F$1960,MATCH(1800,Engine!$C$2:$C$1960,0)))</f>
        <v/>
      </c>
      <c r="G1813" s="8">
        <f>IF(ISNA(MATCH(1800,Engine!$C$2:$C$1960,0)),"",INDEX('Compliance Database'!$G$2:$G$1960,MATCH(1800,Engine!$C$2:$C$1960,0)))</f>
        <v/>
      </c>
      <c r="H1813" s="9">
        <f>IF(ISNA(MATCH(1800,Engine!$C$2:$C$1960,0)),"",INDEX('Compliance Database'!$H$2:$H$1960,MATCH(1800,Engine!$C$2:$C$1960,0)))</f>
        <v/>
      </c>
      <c r="I1813" s="9">
        <f>IF(ISNA(MATCH(1800,Engine!$C$2:$C$1960,0)),"",INDEX('Compliance Database'!$I$2:$I$1960,MATCH(1800,Engine!$C$2:$C$1960,0)))</f>
        <v/>
      </c>
      <c r="J1813" s="8">
        <f>IF(ISNA(MATCH(1800,Engine!$C$2:$C$1960,0)),"",INDEX('Compliance Database'!$J$2:$J$1960,MATCH(1800,Engine!$C$2:$C$1960,0)))</f>
        <v/>
      </c>
      <c r="K1813" s="9">
        <f>IF(ISNA(MATCH(1800,Engine!$C$2:$C$1960,0)),"",INDEX('Compliance Database'!$K$2:$K$1960,MATCH(1800,Engine!$C$2:$C$1960,0)))</f>
        <v/>
      </c>
      <c r="L1813" s="9">
        <f>IF(ISNA(MATCH(1800,Engine!$C$2:$C$1960,0)),"",INDEX('Compliance Database'!$L$2:$L$1960,MATCH(1800,Engine!$C$2:$C$1960,0)))</f>
        <v/>
      </c>
      <c r="M1813" s="9">
        <f>IF(ISNA(MATCH(1800,Engine!$C$2:$C$1960,0)),"",INDEX('Compliance Database'!$M$2:$M$1960,MATCH(1800,Engine!$C$2:$C$1960,0)))</f>
        <v/>
      </c>
      <c r="N1813" s="9">
        <f>IF(ISNA(MATCH(1800,Engine!$C$2:$C$1960,0)),"",INDEX('Compliance Database'!$N$2:$N$1960,MATCH(1800,Engine!$C$2:$C$1960,0)))</f>
        <v/>
      </c>
      <c r="O1813" s="9">
        <f>IF(ISNA(MATCH(1800,Engine!$C$2:$C$1960,0)),"",INDEX('Compliance Database'!$O$2:$O$1960,MATCH(1800,Engine!$C$2:$C$1960,0)))</f>
        <v/>
      </c>
      <c r="P1813" s="8">
        <f>IF(ISNA(MATCH(1800,Engine!$C$2:$C$1960,0)),"",HYPERLINK("#Acts!A"&amp;INDEX('Compliance Database'!$P$2:$P$1960,MATCH(1800,Engine!$C$2:$C$1960,0)),"Go to Act"))</f>
        <v/>
      </c>
    </row>
    <row r="1814" ht="158" customHeight="1">
      <c r="A1814" s="8">
        <f>IF(ISNA(MATCH(1801,Engine!$C$2:$C$1960,0)),"",INDEX('Compliance Database'!$A$2:$A$1960,MATCH(1801,Engine!$C$2:$C$1960,0)))</f>
        <v/>
      </c>
      <c r="B1814" s="8">
        <f>IF(ISNA(MATCH(1801,Engine!$C$2:$C$1960,0)),"",INDEX('Compliance Database'!$B$2:$B$1960,MATCH(1801,Engine!$C$2:$C$1960,0)))</f>
        <v/>
      </c>
      <c r="C1814" s="8">
        <f>IF(ISNA(MATCH(1801,Engine!$C$2:$C$1960,0)),"",INDEX('Compliance Database'!$C$2:$C$1960,MATCH(1801,Engine!$C$2:$C$1960,0)))</f>
        <v/>
      </c>
      <c r="D1814" s="9">
        <f>IF(ISNA(MATCH(1801,Engine!$C$2:$C$1960,0)),"",INDEX('Compliance Database'!$D$2:$D$1960,MATCH(1801,Engine!$C$2:$C$1960,0)))</f>
        <v/>
      </c>
      <c r="E1814" s="8">
        <f>IF(ISNA(MATCH(1801,Engine!$C$2:$C$1960,0)),"",INDEX('Compliance Database'!$E$2:$E$1960,MATCH(1801,Engine!$C$2:$C$1960,0)))</f>
        <v/>
      </c>
      <c r="F1814" s="8">
        <f>IF(ISNA(MATCH(1801,Engine!$C$2:$C$1960,0)),"",INDEX('Compliance Database'!$F$2:$F$1960,MATCH(1801,Engine!$C$2:$C$1960,0)))</f>
        <v/>
      </c>
      <c r="G1814" s="8">
        <f>IF(ISNA(MATCH(1801,Engine!$C$2:$C$1960,0)),"",INDEX('Compliance Database'!$G$2:$G$1960,MATCH(1801,Engine!$C$2:$C$1960,0)))</f>
        <v/>
      </c>
      <c r="H1814" s="9">
        <f>IF(ISNA(MATCH(1801,Engine!$C$2:$C$1960,0)),"",INDEX('Compliance Database'!$H$2:$H$1960,MATCH(1801,Engine!$C$2:$C$1960,0)))</f>
        <v/>
      </c>
      <c r="I1814" s="9">
        <f>IF(ISNA(MATCH(1801,Engine!$C$2:$C$1960,0)),"",INDEX('Compliance Database'!$I$2:$I$1960,MATCH(1801,Engine!$C$2:$C$1960,0)))</f>
        <v/>
      </c>
      <c r="J1814" s="8">
        <f>IF(ISNA(MATCH(1801,Engine!$C$2:$C$1960,0)),"",INDEX('Compliance Database'!$J$2:$J$1960,MATCH(1801,Engine!$C$2:$C$1960,0)))</f>
        <v/>
      </c>
      <c r="K1814" s="9">
        <f>IF(ISNA(MATCH(1801,Engine!$C$2:$C$1960,0)),"",INDEX('Compliance Database'!$K$2:$K$1960,MATCH(1801,Engine!$C$2:$C$1960,0)))</f>
        <v/>
      </c>
      <c r="L1814" s="9">
        <f>IF(ISNA(MATCH(1801,Engine!$C$2:$C$1960,0)),"",INDEX('Compliance Database'!$L$2:$L$1960,MATCH(1801,Engine!$C$2:$C$1960,0)))</f>
        <v/>
      </c>
      <c r="M1814" s="9">
        <f>IF(ISNA(MATCH(1801,Engine!$C$2:$C$1960,0)),"",INDEX('Compliance Database'!$M$2:$M$1960,MATCH(1801,Engine!$C$2:$C$1960,0)))</f>
        <v/>
      </c>
      <c r="N1814" s="9">
        <f>IF(ISNA(MATCH(1801,Engine!$C$2:$C$1960,0)),"",INDEX('Compliance Database'!$N$2:$N$1960,MATCH(1801,Engine!$C$2:$C$1960,0)))</f>
        <v/>
      </c>
      <c r="O1814" s="9">
        <f>IF(ISNA(MATCH(1801,Engine!$C$2:$C$1960,0)),"",INDEX('Compliance Database'!$O$2:$O$1960,MATCH(1801,Engine!$C$2:$C$1960,0)))</f>
        <v/>
      </c>
      <c r="P1814" s="8">
        <f>IF(ISNA(MATCH(1801,Engine!$C$2:$C$1960,0)),"",HYPERLINK("#Acts!A"&amp;INDEX('Compliance Database'!$P$2:$P$1960,MATCH(1801,Engine!$C$2:$C$1960,0)),"Go to Act"))</f>
        <v/>
      </c>
    </row>
    <row r="1815" ht="158" customHeight="1">
      <c r="A1815" s="8">
        <f>IF(ISNA(MATCH(1802,Engine!$C$2:$C$1960,0)),"",INDEX('Compliance Database'!$A$2:$A$1960,MATCH(1802,Engine!$C$2:$C$1960,0)))</f>
        <v/>
      </c>
      <c r="B1815" s="8">
        <f>IF(ISNA(MATCH(1802,Engine!$C$2:$C$1960,0)),"",INDEX('Compliance Database'!$B$2:$B$1960,MATCH(1802,Engine!$C$2:$C$1960,0)))</f>
        <v/>
      </c>
      <c r="C1815" s="8">
        <f>IF(ISNA(MATCH(1802,Engine!$C$2:$C$1960,0)),"",INDEX('Compliance Database'!$C$2:$C$1960,MATCH(1802,Engine!$C$2:$C$1960,0)))</f>
        <v/>
      </c>
      <c r="D1815" s="9">
        <f>IF(ISNA(MATCH(1802,Engine!$C$2:$C$1960,0)),"",INDEX('Compliance Database'!$D$2:$D$1960,MATCH(1802,Engine!$C$2:$C$1960,0)))</f>
        <v/>
      </c>
      <c r="E1815" s="8">
        <f>IF(ISNA(MATCH(1802,Engine!$C$2:$C$1960,0)),"",INDEX('Compliance Database'!$E$2:$E$1960,MATCH(1802,Engine!$C$2:$C$1960,0)))</f>
        <v/>
      </c>
      <c r="F1815" s="8">
        <f>IF(ISNA(MATCH(1802,Engine!$C$2:$C$1960,0)),"",INDEX('Compliance Database'!$F$2:$F$1960,MATCH(1802,Engine!$C$2:$C$1960,0)))</f>
        <v/>
      </c>
      <c r="G1815" s="8">
        <f>IF(ISNA(MATCH(1802,Engine!$C$2:$C$1960,0)),"",INDEX('Compliance Database'!$G$2:$G$1960,MATCH(1802,Engine!$C$2:$C$1960,0)))</f>
        <v/>
      </c>
      <c r="H1815" s="9">
        <f>IF(ISNA(MATCH(1802,Engine!$C$2:$C$1960,0)),"",INDEX('Compliance Database'!$H$2:$H$1960,MATCH(1802,Engine!$C$2:$C$1960,0)))</f>
        <v/>
      </c>
      <c r="I1815" s="9">
        <f>IF(ISNA(MATCH(1802,Engine!$C$2:$C$1960,0)),"",INDEX('Compliance Database'!$I$2:$I$1960,MATCH(1802,Engine!$C$2:$C$1960,0)))</f>
        <v/>
      </c>
      <c r="J1815" s="8">
        <f>IF(ISNA(MATCH(1802,Engine!$C$2:$C$1960,0)),"",INDEX('Compliance Database'!$J$2:$J$1960,MATCH(1802,Engine!$C$2:$C$1960,0)))</f>
        <v/>
      </c>
      <c r="K1815" s="9">
        <f>IF(ISNA(MATCH(1802,Engine!$C$2:$C$1960,0)),"",INDEX('Compliance Database'!$K$2:$K$1960,MATCH(1802,Engine!$C$2:$C$1960,0)))</f>
        <v/>
      </c>
      <c r="L1815" s="9">
        <f>IF(ISNA(MATCH(1802,Engine!$C$2:$C$1960,0)),"",INDEX('Compliance Database'!$L$2:$L$1960,MATCH(1802,Engine!$C$2:$C$1960,0)))</f>
        <v/>
      </c>
      <c r="M1815" s="9">
        <f>IF(ISNA(MATCH(1802,Engine!$C$2:$C$1960,0)),"",INDEX('Compliance Database'!$M$2:$M$1960,MATCH(1802,Engine!$C$2:$C$1960,0)))</f>
        <v/>
      </c>
      <c r="N1815" s="9">
        <f>IF(ISNA(MATCH(1802,Engine!$C$2:$C$1960,0)),"",INDEX('Compliance Database'!$N$2:$N$1960,MATCH(1802,Engine!$C$2:$C$1960,0)))</f>
        <v/>
      </c>
      <c r="O1815" s="9">
        <f>IF(ISNA(MATCH(1802,Engine!$C$2:$C$1960,0)),"",INDEX('Compliance Database'!$O$2:$O$1960,MATCH(1802,Engine!$C$2:$C$1960,0)))</f>
        <v/>
      </c>
      <c r="P1815" s="8">
        <f>IF(ISNA(MATCH(1802,Engine!$C$2:$C$1960,0)),"",HYPERLINK("#Acts!A"&amp;INDEX('Compliance Database'!$P$2:$P$1960,MATCH(1802,Engine!$C$2:$C$1960,0)),"Go to Act"))</f>
        <v/>
      </c>
    </row>
    <row r="1816" ht="158" customHeight="1">
      <c r="A1816" s="8">
        <f>IF(ISNA(MATCH(1803,Engine!$C$2:$C$1960,0)),"",INDEX('Compliance Database'!$A$2:$A$1960,MATCH(1803,Engine!$C$2:$C$1960,0)))</f>
        <v/>
      </c>
      <c r="B1816" s="8">
        <f>IF(ISNA(MATCH(1803,Engine!$C$2:$C$1960,0)),"",INDEX('Compliance Database'!$B$2:$B$1960,MATCH(1803,Engine!$C$2:$C$1960,0)))</f>
        <v/>
      </c>
      <c r="C1816" s="8">
        <f>IF(ISNA(MATCH(1803,Engine!$C$2:$C$1960,0)),"",INDEX('Compliance Database'!$C$2:$C$1960,MATCH(1803,Engine!$C$2:$C$1960,0)))</f>
        <v/>
      </c>
      <c r="D1816" s="9">
        <f>IF(ISNA(MATCH(1803,Engine!$C$2:$C$1960,0)),"",INDEX('Compliance Database'!$D$2:$D$1960,MATCH(1803,Engine!$C$2:$C$1960,0)))</f>
        <v/>
      </c>
      <c r="E1816" s="8">
        <f>IF(ISNA(MATCH(1803,Engine!$C$2:$C$1960,0)),"",INDEX('Compliance Database'!$E$2:$E$1960,MATCH(1803,Engine!$C$2:$C$1960,0)))</f>
        <v/>
      </c>
      <c r="F1816" s="8">
        <f>IF(ISNA(MATCH(1803,Engine!$C$2:$C$1960,0)),"",INDEX('Compliance Database'!$F$2:$F$1960,MATCH(1803,Engine!$C$2:$C$1960,0)))</f>
        <v/>
      </c>
      <c r="G1816" s="8">
        <f>IF(ISNA(MATCH(1803,Engine!$C$2:$C$1960,0)),"",INDEX('Compliance Database'!$G$2:$G$1960,MATCH(1803,Engine!$C$2:$C$1960,0)))</f>
        <v/>
      </c>
      <c r="H1816" s="9">
        <f>IF(ISNA(MATCH(1803,Engine!$C$2:$C$1960,0)),"",INDEX('Compliance Database'!$H$2:$H$1960,MATCH(1803,Engine!$C$2:$C$1960,0)))</f>
        <v/>
      </c>
      <c r="I1816" s="9">
        <f>IF(ISNA(MATCH(1803,Engine!$C$2:$C$1960,0)),"",INDEX('Compliance Database'!$I$2:$I$1960,MATCH(1803,Engine!$C$2:$C$1960,0)))</f>
        <v/>
      </c>
      <c r="J1816" s="8">
        <f>IF(ISNA(MATCH(1803,Engine!$C$2:$C$1960,0)),"",INDEX('Compliance Database'!$J$2:$J$1960,MATCH(1803,Engine!$C$2:$C$1960,0)))</f>
        <v/>
      </c>
      <c r="K1816" s="9">
        <f>IF(ISNA(MATCH(1803,Engine!$C$2:$C$1960,0)),"",INDEX('Compliance Database'!$K$2:$K$1960,MATCH(1803,Engine!$C$2:$C$1960,0)))</f>
        <v/>
      </c>
      <c r="L1816" s="9">
        <f>IF(ISNA(MATCH(1803,Engine!$C$2:$C$1960,0)),"",INDEX('Compliance Database'!$L$2:$L$1960,MATCH(1803,Engine!$C$2:$C$1960,0)))</f>
        <v/>
      </c>
      <c r="M1816" s="9">
        <f>IF(ISNA(MATCH(1803,Engine!$C$2:$C$1960,0)),"",INDEX('Compliance Database'!$M$2:$M$1960,MATCH(1803,Engine!$C$2:$C$1960,0)))</f>
        <v/>
      </c>
      <c r="N1816" s="9">
        <f>IF(ISNA(MATCH(1803,Engine!$C$2:$C$1960,0)),"",INDEX('Compliance Database'!$N$2:$N$1960,MATCH(1803,Engine!$C$2:$C$1960,0)))</f>
        <v/>
      </c>
      <c r="O1816" s="9">
        <f>IF(ISNA(MATCH(1803,Engine!$C$2:$C$1960,0)),"",INDEX('Compliance Database'!$O$2:$O$1960,MATCH(1803,Engine!$C$2:$C$1960,0)))</f>
        <v/>
      </c>
      <c r="P1816" s="8">
        <f>IF(ISNA(MATCH(1803,Engine!$C$2:$C$1960,0)),"",HYPERLINK("#Acts!A"&amp;INDEX('Compliance Database'!$P$2:$P$1960,MATCH(1803,Engine!$C$2:$C$1960,0)),"Go to Act"))</f>
        <v/>
      </c>
    </row>
    <row r="1817" ht="158" customHeight="1">
      <c r="A1817" s="8">
        <f>IF(ISNA(MATCH(1804,Engine!$C$2:$C$1960,0)),"",INDEX('Compliance Database'!$A$2:$A$1960,MATCH(1804,Engine!$C$2:$C$1960,0)))</f>
        <v/>
      </c>
      <c r="B1817" s="8">
        <f>IF(ISNA(MATCH(1804,Engine!$C$2:$C$1960,0)),"",INDEX('Compliance Database'!$B$2:$B$1960,MATCH(1804,Engine!$C$2:$C$1960,0)))</f>
        <v/>
      </c>
      <c r="C1817" s="8">
        <f>IF(ISNA(MATCH(1804,Engine!$C$2:$C$1960,0)),"",INDEX('Compliance Database'!$C$2:$C$1960,MATCH(1804,Engine!$C$2:$C$1960,0)))</f>
        <v/>
      </c>
      <c r="D1817" s="9">
        <f>IF(ISNA(MATCH(1804,Engine!$C$2:$C$1960,0)),"",INDEX('Compliance Database'!$D$2:$D$1960,MATCH(1804,Engine!$C$2:$C$1960,0)))</f>
        <v/>
      </c>
      <c r="E1817" s="8">
        <f>IF(ISNA(MATCH(1804,Engine!$C$2:$C$1960,0)),"",INDEX('Compliance Database'!$E$2:$E$1960,MATCH(1804,Engine!$C$2:$C$1960,0)))</f>
        <v/>
      </c>
      <c r="F1817" s="8">
        <f>IF(ISNA(MATCH(1804,Engine!$C$2:$C$1960,0)),"",INDEX('Compliance Database'!$F$2:$F$1960,MATCH(1804,Engine!$C$2:$C$1960,0)))</f>
        <v/>
      </c>
      <c r="G1817" s="8">
        <f>IF(ISNA(MATCH(1804,Engine!$C$2:$C$1960,0)),"",INDEX('Compliance Database'!$G$2:$G$1960,MATCH(1804,Engine!$C$2:$C$1960,0)))</f>
        <v/>
      </c>
      <c r="H1817" s="9">
        <f>IF(ISNA(MATCH(1804,Engine!$C$2:$C$1960,0)),"",INDEX('Compliance Database'!$H$2:$H$1960,MATCH(1804,Engine!$C$2:$C$1960,0)))</f>
        <v/>
      </c>
      <c r="I1817" s="9">
        <f>IF(ISNA(MATCH(1804,Engine!$C$2:$C$1960,0)),"",INDEX('Compliance Database'!$I$2:$I$1960,MATCH(1804,Engine!$C$2:$C$1960,0)))</f>
        <v/>
      </c>
      <c r="J1817" s="8">
        <f>IF(ISNA(MATCH(1804,Engine!$C$2:$C$1960,0)),"",INDEX('Compliance Database'!$J$2:$J$1960,MATCH(1804,Engine!$C$2:$C$1960,0)))</f>
        <v/>
      </c>
      <c r="K1817" s="9">
        <f>IF(ISNA(MATCH(1804,Engine!$C$2:$C$1960,0)),"",INDEX('Compliance Database'!$K$2:$K$1960,MATCH(1804,Engine!$C$2:$C$1960,0)))</f>
        <v/>
      </c>
      <c r="L1817" s="9">
        <f>IF(ISNA(MATCH(1804,Engine!$C$2:$C$1960,0)),"",INDEX('Compliance Database'!$L$2:$L$1960,MATCH(1804,Engine!$C$2:$C$1960,0)))</f>
        <v/>
      </c>
      <c r="M1817" s="9">
        <f>IF(ISNA(MATCH(1804,Engine!$C$2:$C$1960,0)),"",INDEX('Compliance Database'!$M$2:$M$1960,MATCH(1804,Engine!$C$2:$C$1960,0)))</f>
        <v/>
      </c>
      <c r="N1817" s="9">
        <f>IF(ISNA(MATCH(1804,Engine!$C$2:$C$1960,0)),"",INDEX('Compliance Database'!$N$2:$N$1960,MATCH(1804,Engine!$C$2:$C$1960,0)))</f>
        <v/>
      </c>
      <c r="O1817" s="9">
        <f>IF(ISNA(MATCH(1804,Engine!$C$2:$C$1960,0)),"",INDEX('Compliance Database'!$O$2:$O$1960,MATCH(1804,Engine!$C$2:$C$1960,0)))</f>
        <v/>
      </c>
      <c r="P1817" s="8">
        <f>IF(ISNA(MATCH(1804,Engine!$C$2:$C$1960,0)),"",HYPERLINK("#Acts!A"&amp;INDEX('Compliance Database'!$P$2:$P$1960,MATCH(1804,Engine!$C$2:$C$1960,0)),"Go to Act"))</f>
        <v/>
      </c>
    </row>
    <row r="1818" ht="158" customHeight="1">
      <c r="A1818" s="8">
        <f>IF(ISNA(MATCH(1805,Engine!$C$2:$C$1960,0)),"",INDEX('Compliance Database'!$A$2:$A$1960,MATCH(1805,Engine!$C$2:$C$1960,0)))</f>
        <v/>
      </c>
      <c r="B1818" s="8">
        <f>IF(ISNA(MATCH(1805,Engine!$C$2:$C$1960,0)),"",INDEX('Compliance Database'!$B$2:$B$1960,MATCH(1805,Engine!$C$2:$C$1960,0)))</f>
        <v/>
      </c>
      <c r="C1818" s="8">
        <f>IF(ISNA(MATCH(1805,Engine!$C$2:$C$1960,0)),"",INDEX('Compliance Database'!$C$2:$C$1960,MATCH(1805,Engine!$C$2:$C$1960,0)))</f>
        <v/>
      </c>
      <c r="D1818" s="9">
        <f>IF(ISNA(MATCH(1805,Engine!$C$2:$C$1960,0)),"",INDEX('Compliance Database'!$D$2:$D$1960,MATCH(1805,Engine!$C$2:$C$1960,0)))</f>
        <v/>
      </c>
      <c r="E1818" s="8">
        <f>IF(ISNA(MATCH(1805,Engine!$C$2:$C$1960,0)),"",INDEX('Compliance Database'!$E$2:$E$1960,MATCH(1805,Engine!$C$2:$C$1960,0)))</f>
        <v/>
      </c>
      <c r="F1818" s="8">
        <f>IF(ISNA(MATCH(1805,Engine!$C$2:$C$1960,0)),"",INDEX('Compliance Database'!$F$2:$F$1960,MATCH(1805,Engine!$C$2:$C$1960,0)))</f>
        <v/>
      </c>
      <c r="G1818" s="8">
        <f>IF(ISNA(MATCH(1805,Engine!$C$2:$C$1960,0)),"",INDEX('Compliance Database'!$G$2:$G$1960,MATCH(1805,Engine!$C$2:$C$1960,0)))</f>
        <v/>
      </c>
      <c r="H1818" s="9">
        <f>IF(ISNA(MATCH(1805,Engine!$C$2:$C$1960,0)),"",INDEX('Compliance Database'!$H$2:$H$1960,MATCH(1805,Engine!$C$2:$C$1960,0)))</f>
        <v/>
      </c>
      <c r="I1818" s="9">
        <f>IF(ISNA(MATCH(1805,Engine!$C$2:$C$1960,0)),"",INDEX('Compliance Database'!$I$2:$I$1960,MATCH(1805,Engine!$C$2:$C$1960,0)))</f>
        <v/>
      </c>
      <c r="J1818" s="8">
        <f>IF(ISNA(MATCH(1805,Engine!$C$2:$C$1960,0)),"",INDEX('Compliance Database'!$J$2:$J$1960,MATCH(1805,Engine!$C$2:$C$1960,0)))</f>
        <v/>
      </c>
      <c r="K1818" s="9">
        <f>IF(ISNA(MATCH(1805,Engine!$C$2:$C$1960,0)),"",INDEX('Compliance Database'!$K$2:$K$1960,MATCH(1805,Engine!$C$2:$C$1960,0)))</f>
        <v/>
      </c>
      <c r="L1818" s="9">
        <f>IF(ISNA(MATCH(1805,Engine!$C$2:$C$1960,0)),"",INDEX('Compliance Database'!$L$2:$L$1960,MATCH(1805,Engine!$C$2:$C$1960,0)))</f>
        <v/>
      </c>
      <c r="M1818" s="9">
        <f>IF(ISNA(MATCH(1805,Engine!$C$2:$C$1960,0)),"",INDEX('Compliance Database'!$M$2:$M$1960,MATCH(1805,Engine!$C$2:$C$1960,0)))</f>
        <v/>
      </c>
      <c r="N1818" s="9">
        <f>IF(ISNA(MATCH(1805,Engine!$C$2:$C$1960,0)),"",INDEX('Compliance Database'!$N$2:$N$1960,MATCH(1805,Engine!$C$2:$C$1960,0)))</f>
        <v/>
      </c>
      <c r="O1818" s="9">
        <f>IF(ISNA(MATCH(1805,Engine!$C$2:$C$1960,0)),"",INDEX('Compliance Database'!$O$2:$O$1960,MATCH(1805,Engine!$C$2:$C$1960,0)))</f>
        <v/>
      </c>
      <c r="P1818" s="8">
        <f>IF(ISNA(MATCH(1805,Engine!$C$2:$C$1960,0)),"",HYPERLINK("#Acts!A"&amp;INDEX('Compliance Database'!$P$2:$P$1960,MATCH(1805,Engine!$C$2:$C$1960,0)),"Go to Act"))</f>
        <v/>
      </c>
    </row>
    <row r="1819" ht="158" customHeight="1">
      <c r="A1819" s="8">
        <f>IF(ISNA(MATCH(1806,Engine!$C$2:$C$1960,0)),"",INDEX('Compliance Database'!$A$2:$A$1960,MATCH(1806,Engine!$C$2:$C$1960,0)))</f>
        <v/>
      </c>
      <c r="B1819" s="8">
        <f>IF(ISNA(MATCH(1806,Engine!$C$2:$C$1960,0)),"",INDEX('Compliance Database'!$B$2:$B$1960,MATCH(1806,Engine!$C$2:$C$1960,0)))</f>
        <v/>
      </c>
      <c r="C1819" s="8">
        <f>IF(ISNA(MATCH(1806,Engine!$C$2:$C$1960,0)),"",INDEX('Compliance Database'!$C$2:$C$1960,MATCH(1806,Engine!$C$2:$C$1960,0)))</f>
        <v/>
      </c>
      <c r="D1819" s="9">
        <f>IF(ISNA(MATCH(1806,Engine!$C$2:$C$1960,0)),"",INDEX('Compliance Database'!$D$2:$D$1960,MATCH(1806,Engine!$C$2:$C$1960,0)))</f>
        <v/>
      </c>
      <c r="E1819" s="8">
        <f>IF(ISNA(MATCH(1806,Engine!$C$2:$C$1960,0)),"",INDEX('Compliance Database'!$E$2:$E$1960,MATCH(1806,Engine!$C$2:$C$1960,0)))</f>
        <v/>
      </c>
      <c r="F1819" s="8">
        <f>IF(ISNA(MATCH(1806,Engine!$C$2:$C$1960,0)),"",INDEX('Compliance Database'!$F$2:$F$1960,MATCH(1806,Engine!$C$2:$C$1960,0)))</f>
        <v/>
      </c>
      <c r="G1819" s="8">
        <f>IF(ISNA(MATCH(1806,Engine!$C$2:$C$1960,0)),"",INDEX('Compliance Database'!$G$2:$G$1960,MATCH(1806,Engine!$C$2:$C$1960,0)))</f>
        <v/>
      </c>
      <c r="H1819" s="9">
        <f>IF(ISNA(MATCH(1806,Engine!$C$2:$C$1960,0)),"",INDEX('Compliance Database'!$H$2:$H$1960,MATCH(1806,Engine!$C$2:$C$1960,0)))</f>
        <v/>
      </c>
      <c r="I1819" s="9">
        <f>IF(ISNA(MATCH(1806,Engine!$C$2:$C$1960,0)),"",INDEX('Compliance Database'!$I$2:$I$1960,MATCH(1806,Engine!$C$2:$C$1960,0)))</f>
        <v/>
      </c>
      <c r="J1819" s="8">
        <f>IF(ISNA(MATCH(1806,Engine!$C$2:$C$1960,0)),"",INDEX('Compliance Database'!$J$2:$J$1960,MATCH(1806,Engine!$C$2:$C$1960,0)))</f>
        <v/>
      </c>
      <c r="K1819" s="9">
        <f>IF(ISNA(MATCH(1806,Engine!$C$2:$C$1960,0)),"",INDEX('Compliance Database'!$K$2:$K$1960,MATCH(1806,Engine!$C$2:$C$1960,0)))</f>
        <v/>
      </c>
      <c r="L1819" s="9">
        <f>IF(ISNA(MATCH(1806,Engine!$C$2:$C$1960,0)),"",INDEX('Compliance Database'!$L$2:$L$1960,MATCH(1806,Engine!$C$2:$C$1960,0)))</f>
        <v/>
      </c>
      <c r="M1819" s="9">
        <f>IF(ISNA(MATCH(1806,Engine!$C$2:$C$1960,0)),"",INDEX('Compliance Database'!$M$2:$M$1960,MATCH(1806,Engine!$C$2:$C$1960,0)))</f>
        <v/>
      </c>
      <c r="N1819" s="9">
        <f>IF(ISNA(MATCH(1806,Engine!$C$2:$C$1960,0)),"",INDEX('Compliance Database'!$N$2:$N$1960,MATCH(1806,Engine!$C$2:$C$1960,0)))</f>
        <v/>
      </c>
      <c r="O1819" s="9">
        <f>IF(ISNA(MATCH(1806,Engine!$C$2:$C$1960,0)),"",INDEX('Compliance Database'!$O$2:$O$1960,MATCH(1806,Engine!$C$2:$C$1960,0)))</f>
        <v/>
      </c>
      <c r="P1819" s="8">
        <f>IF(ISNA(MATCH(1806,Engine!$C$2:$C$1960,0)),"",HYPERLINK("#Acts!A"&amp;INDEX('Compliance Database'!$P$2:$P$1960,MATCH(1806,Engine!$C$2:$C$1960,0)),"Go to Act"))</f>
        <v/>
      </c>
    </row>
    <row r="1820" ht="158" customHeight="1">
      <c r="A1820" s="8">
        <f>IF(ISNA(MATCH(1807,Engine!$C$2:$C$1960,0)),"",INDEX('Compliance Database'!$A$2:$A$1960,MATCH(1807,Engine!$C$2:$C$1960,0)))</f>
        <v/>
      </c>
      <c r="B1820" s="8">
        <f>IF(ISNA(MATCH(1807,Engine!$C$2:$C$1960,0)),"",INDEX('Compliance Database'!$B$2:$B$1960,MATCH(1807,Engine!$C$2:$C$1960,0)))</f>
        <v/>
      </c>
      <c r="C1820" s="8">
        <f>IF(ISNA(MATCH(1807,Engine!$C$2:$C$1960,0)),"",INDEX('Compliance Database'!$C$2:$C$1960,MATCH(1807,Engine!$C$2:$C$1960,0)))</f>
        <v/>
      </c>
      <c r="D1820" s="9">
        <f>IF(ISNA(MATCH(1807,Engine!$C$2:$C$1960,0)),"",INDEX('Compliance Database'!$D$2:$D$1960,MATCH(1807,Engine!$C$2:$C$1960,0)))</f>
        <v/>
      </c>
      <c r="E1820" s="8">
        <f>IF(ISNA(MATCH(1807,Engine!$C$2:$C$1960,0)),"",INDEX('Compliance Database'!$E$2:$E$1960,MATCH(1807,Engine!$C$2:$C$1960,0)))</f>
        <v/>
      </c>
      <c r="F1820" s="8">
        <f>IF(ISNA(MATCH(1807,Engine!$C$2:$C$1960,0)),"",INDEX('Compliance Database'!$F$2:$F$1960,MATCH(1807,Engine!$C$2:$C$1960,0)))</f>
        <v/>
      </c>
      <c r="G1820" s="8">
        <f>IF(ISNA(MATCH(1807,Engine!$C$2:$C$1960,0)),"",INDEX('Compliance Database'!$G$2:$G$1960,MATCH(1807,Engine!$C$2:$C$1960,0)))</f>
        <v/>
      </c>
      <c r="H1820" s="9">
        <f>IF(ISNA(MATCH(1807,Engine!$C$2:$C$1960,0)),"",INDEX('Compliance Database'!$H$2:$H$1960,MATCH(1807,Engine!$C$2:$C$1960,0)))</f>
        <v/>
      </c>
      <c r="I1820" s="9">
        <f>IF(ISNA(MATCH(1807,Engine!$C$2:$C$1960,0)),"",INDEX('Compliance Database'!$I$2:$I$1960,MATCH(1807,Engine!$C$2:$C$1960,0)))</f>
        <v/>
      </c>
      <c r="J1820" s="8">
        <f>IF(ISNA(MATCH(1807,Engine!$C$2:$C$1960,0)),"",INDEX('Compliance Database'!$J$2:$J$1960,MATCH(1807,Engine!$C$2:$C$1960,0)))</f>
        <v/>
      </c>
      <c r="K1820" s="9">
        <f>IF(ISNA(MATCH(1807,Engine!$C$2:$C$1960,0)),"",INDEX('Compliance Database'!$K$2:$K$1960,MATCH(1807,Engine!$C$2:$C$1960,0)))</f>
        <v/>
      </c>
      <c r="L1820" s="9">
        <f>IF(ISNA(MATCH(1807,Engine!$C$2:$C$1960,0)),"",INDEX('Compliance Database'!$L$2:$L$1960,MATCH(1807,Engine!$C$2:$C$1960,0)))</f>
        <v/>
      </c>
      <c r="M1820" s="9">
        <f>IF(ISNA(MATCH(1807,Engine!$C$2:$C$1960,0)),"",INDEX('Compliance Database'!$M$2:$M$1960,MATCH(1807,Engine!$C$2:$C$1960,0)))</f>
        <v/>
      </c>
      <c r="N1820" s="9">
        <f>IF(ISNA(MATCH(1807,Engine!$C$2:$C$1960,0)),"",INDEX('Compliance Database'!$N$2:$N$1960,MATCH(1807,Engine!$C$2:$C$1960,0)))</f>
        <v/>
      </c>
      <c r="O1820" s="9">
        <f>IF(ISNA(MATCH(1807,Engine!$C$2:$C$1960,0)),"",INDEX('Compliance Database'!$O$2:$O$1960,MATCH(1807,Engine!$C$2:$C$1960,0)))</f>
        <v/>
      </c>
      <c r="P1820" s="8">
        <f>IF(ISNA(MATCH(1807,Engine!$C$2:$C$1960,0)),"",HYPERLINK("#Acts!A"&amp;INDEX('Compliance Database'!$P$2:$P$1960,MATCH(1807,Engine!$C$2:$C$1960,0)),"Go to Act"))</f>
        <v/>
      </c>
    </row>
    <row r="1821" ht="158" customHeight="1">
      <c r="A1821" s="8">
        <f>IF(ISNA(MATCH(1808,Engine!$C$2:$C$1960,0)),"",INDEX('Compliance Database'!$A$2:$A$1960,MATCH(1808,Engine!$C$2:$C$1960,0)))</f>
        <v/>
      </c>
      <c r="B1821" s="8">
        <f>IF(ISNA(MATCH(1808,Engine!$C$2:$C$1960,0)),"",INDEX('Compliance Database'!$B$2:$B$1960,MATCH(1808,Engine!$C$2:$C$1960,0)))</f>
        <v/>
      </c>
      <c r="C1821" s="8">
        <f>IF(ISNA(MATCH(1808,Engine!$C$2:$C$1960,0)),"",INDEX('Compliance Database'!$C$2:$C$1960,MATCH(1808,Engine!$C$2:$C$1960,0)))</f>
        <v/>
      </c>
      <c r="D1821" s="9">
        <f>IF(ISNA(MATCH(1808,Engine!$C$2:$C$1960,0)),"",INDEX('Compliance Database'!$D$2:$D$1960,MATCH(1808,Engine!$C$2:$C$1960,0)))</f>
        <v/>
      </c>
      <c r="E1821" s="8">
        <f>IF(ISNA(MATCH(1808,Engine!$C$2:$C$1960,0)),"",INDEX('Compliance Database'!$E$2:$E$1960,MATCH(1808,Engine!$C$2:$C$1960,0)))</f>
        <v/>
      </c>
      <c r="F1821" s="8">
        <f>IF(ISNA(MATCH(1808,Engine!$C$2:$C$1960,0)),"",INDEX('Compliance Database'!$F$2:$F$1960,MATCH(1808,Engine!$C$2:$C$1960,0)))</f>
        <v/>
      </c>
      <c r="G1821" s="8">
        <f>IF(ISNA(MATCH(1808,Engine!$C$2:$C$1960,0)),"",INDEX('Compliance Database'!$G$2:$G$1960,MATCH(1808,Engine!$C$2:$C$1960,0)))</f>
        <v/>
      </c>
      <c r="H1821" s="9">
        <f>IF(ISNA(MATCH(1808,Engine!$C$2:$C$1960,0)),"",INDEX('Compliance Database'!$H$2:$H$1960,MATCH(1808,Engine!$C$2:$C$1960,0)))</f>
        <v/>
      </c>
      <c r="I1821" s="9">
        <f>IF(ISNA(MATCH(1808,Engine!$C$2:$C$1960,0)),"",INDEX('Compliance Database'!$I$2:$I$1960,MATCH(1808,Engine!$C$2:$C$1960,0)))</f>
        <v/>
      </c>
      <c r="J1821" s="8">
        <f>IF(ISNA(MATCH(1808,Engine!$C$2:$C$1960,0)),"",INDEX('Compliance Database'!$J$2:$J$1960,MATCH(1808,Engine!$C$2:$C$1960,0)))</f>
        <v/>
      </c>
      <c r="K1821" s="9">
        <f>IF(ISNA(MATCH(1808,Engine!$C$2:$C$1960,0)),"",INDEX('Compliance Database'!$K$2:$K$1960,MATCH(1808,Engine!$C$2:$C$1960,0)))</f>
        <v/>
      </c>
      <c r="L1821" s="9">
        <f>IF(ISNA(MATCH(1808,Engine!$C$2:$C$1960,0)),"",INDEX('Compliance Database'!$L$2:$L$1960,MATCH(1808,Engine!$C$2:$C$1960,0)))</f>
        <v/>
      </c>
      <c r="M1821" s="9">
        <f>IF(ISNA(MATCH(1808,Engine!$C$2:$C$1960,0)),"",INDEX('Compliance Database'!$M$2:$M$1960,MATCH(1808,Engine!$C$2:$C$1960,0)))</f>
        <v/>
      </c>
      <c r="N1821" s="9">
        <f>IF(ISNA(MATCH(1808,Engine!$C$2:$C$1960,0)),"",INDEX('Compliance Database'!$N$2:$N$1960,MATCH(1808,Engine!$C$2:$C$1960,0)))</f>
        <v/>
      </c>
      <c r="O1821" s="9">
        <f>IF(ISNA(MATCH(1808,Engine!$C$2:$C$1960,0)),"",INDEX('Compliance Database'!$O$2:$O$1960,MATCH(1808,Engine!$C$2:$C$1960,0)))</f>
        <v/>
      </c>
      <c r="P1821" s="8">
        <f>IF(ISNA(MATCH(1808,Engine!$C$2:$C$1960,0)),"",HYPERLINK("#Acts!A"&amp;INDEX('Compliance Database'!$P$2:$P$1960,MATCH(1808,Engine!$C$2:$C$1960,0)),"Go to Act"))</f>
        <v/>
      </c>
    </row>
    <row r="1822" ht="158" customHeight="1">
      <c r="A1822" s="8">
        <f>IF(ISNA(MATCH(1809,Engine!$C$2:$C$1960,0)),"",INDEX('Compliance Database'!$A$2:$A$1960,MATCH(1809,Engine!$C$2:$C$1960,0)))</f>
        <v/>
      </c>
      <c r="B1822" s="8">
        <f>IF(ISNA(MATCH(1809,Engine!$C$2:$C$1960,0)),"",INDEX('Compliance Database'!$B$2:$B$1960,MATCH(1809,Engine!$C$2:$C$1960,0)))</f>
        <v/>
      </c>
      <c r="C1822" s="8">
        <f>IF(ISNA(MATCH(1809,Engine!$C$2:$C$1960,0)),"",INDEX('Compliance Database'!$C$2:$C$1960,MATCH(1809,Engine!$C$2:$C$1960,0)))</f>
        <v/>
      </c>
      <c r="D1822" s="9">
        <f>IF(ISNA(MATCH(1809,Engine!$C$2:$C$1960,0)),"",INDEX('Compliance Database'!$D$2:$D$1960,MATCH(1809,Engine!$C$2:$C$1960,0)))</f>
        <v/>
      </c>
      <c r="E1822" s="8">
        <f>IF(ISNA(MATCH(1809,Engine!$C$2:$C$1960,0)),"",INDEX('Compliance Database'!$E$2:$E$1960,MATCH(1809,Engine!$C$2:$C$1960,0)))</f>
        <v/>
      </c>
      <c r="F1822" s="8">
        <f>IF(ISNA(MATCH(1809,Engine!$C$2:$C$1960,0)),"",INDEX('Compliance Database'!$F$2:$F$1960,MATCH(1809,Engine!$C$2:$C$1960,0)))</f>
        <v/>
      </c>
      <c r="G1822" s="8">
        <f>IF(ISNA(MATCH(1809,Engine!$C$2:$C$1960,0)),"",INDEX('Compliance Database'!$G$2:$G$1960,MATCH(1809,Engine!$C$2:$C$1960,0)))</f>
        <v/>
      </c>
      <c r="H1822" s="9">
        <f>IF(ISNA(MATCH(1809,Engine!$C$2:$C$1960,0)),"",INDEX('Compliance Database'!$H$2:$H$1960,MATCH(1809,Engine!$C$2:$C$1960,0)))</f>
        <v/>
      </c>
      <c r="I1822" s="9">
        <f>IF(ISNA(MATCH(1809,Engine!$C$2:$C$1960,0)),"",INDEX('Compliance Database'!$I$2:$I$1960,MATCH(1809,Engine!$C$2:$C$1960,0)))</f>
        <v/>
      </c>
      <c r="J1822" s="8">
        <f>IF(ISNA(MATCH(1809,Engine!$C$2:$C$1960,0)),"",INDEX('Compliance Database'!$J$2:$J$1960,MATCH(1809,Engine!$C$2:$C$1960,0)))</f>
        <v/>
      </c>
      <c r="K1822" s="9">
        <f>IF(ISNA(MATCH(1809,Engine!$C$2:$C$1960,0)),"",INDEX('Compliance Database'!$K$2:$K$1960,MATCH(1809,Engine!$C$2:$C$1960,0)))</f>
        <v/>
      </c>
      <c r="L1822" s="9">
        <f>IF(ISNA(MATCH(1809,Engine!$C$2:$C$1960,0)),"",INDEX('Compliance Database'!$L$2:$L$1960,MATCH(1809,Engine!$C$2:$C$1960,0)))</f>
        <v/>
      </c>
      <c r="M1822" s="9">
        <f>IF(ISNA(MATCH(1809,Engine!$C$2:$C$1960,0)),"",INDEX('Compliance Database'!$M$2:$M$1960,MATCH(1809,Engine!$C$2:$C$1960,0)))</f>
        <v/>
      </c>
      <c r="N1822" s="9">
        <f>IF(ISNA(MATCH(1809,Engine!$C$2:$C$1960,0)),"",INDEX('Compliance Database'!$N$2:$N$1960,MATCH(1809,Engine!$C$2:$C$1960,0)))</f>
        <v/>
      </c>
      <c r="O1822" s="9">
        <f>IF(ISNA(MATCH(1809,Engine!$C$2:$C$1960,0)),"",INDEX('Compliance Database'!$O$2:$O$1960,MATCH(1809,Engine!$C$2:$C$1960,0)))</f>
        <v/>
      </c>
      <c r="P1822" s="8">
        <f>IF(ISNA(MATCH(1809,Engine!$C$2:$C$1960,0)),"",HYPERLINK("#Acts!A"&amp;INDEX('Compliance Database'!$P$2:$P$1960,MATCH(1809,Engine!$C$2:$C$1960,0)),"Go to Act"))</f>
        <v/>
      </c>
    </row>
    <row r="1823" ht="158" customHeight="1">
      <c r="A1823" s="8">
        <f>IF(ISNA(MATCH(1810,Engine!$C$2:$C$1960,0)),"",INDEX('Compliance Database'!$A$2:$A$1960,MATCH(1810,Engine!$C$2:$C$1960,0)))</f>
        <v/>
      </c>
      <c r="B1823" s="8">
        <f>IF(ISNA(MATCH(1810,Engine!$C$2:$C$1960,0)),"",INDEX('Compliance Database'!$B$2:$B$1960,MATCH(1810,Engine!$C$2:$C$1960,0)))</f>
        <v/>
      </c>
      <c r="C1823" s="8">
        <f>IF(ISNA(MATCH(1810,Engine!$C$2:$C$1960,0)),"",INDEX('Compliance Database'!$C$2:$C$1960,MATCH(1810,Engine!$C$2:$C$1960,0)))</f>
        <v/>
      </c>
      <c r="D1823" s="9">
        <f>IF(ISNA(MATCH(1810,Engine!$C$2:$C$1960,0)),"",INDEX('Compliance Database'!$D$2:$D$1960,MATCH(1810,Engine!$C$2:$C$1960,0)))</f>
        <v/>
      </c>
      <c r="E1823" s="8">
        <f>IF(ISNA(MATCH(1810,Engine!$C$2:$C$1960,0)),"",INDEX('Compliance Database'!$E$2:$E$1960,MATCH(1810,Engine!$C$2:$C$1960,0)))</f>
        <v/>
      </c>
      <c r="F1823" s="8">
        <f>IF(ISNA(MATCH(1810,Engine!$C$2:$C$1960,0)),"",INDEX('Compliance Database'!$F$2:$F$1960,MATCH(1810,Engine!$C$2:$C$1960,0)))</f>
        <v/>
      </c>
      <c r="G1823" s="8">
        <f>IF(ISNA(MATCH(1810,Engine!$C$2:$C$1960,0)),"",INDEX('Compliance Database'!$G$2:$G$1960,MATCH(1810,Engine!$C$2:$C$1960,0)))</f>
        <v/>
      </c>
      <c r="H1823" s="9">
        <f>IF(ISNA(MATCH(1810,Engine!$C$2:$C$1960,0)),"",INDEX('Compliance Database'!$H$2:$H$1960,MATCH(1810,Engine!$C$2:$C$1960,0)))</f>
        <v/>
      </c>
      <c r="I1823" s="9">
        <f>IF(ISNA(MATCH(1810,Engine!$C$2:$C$1960,0)),"",INDEX('Compliance Database'!$I$2:$I$1960,MATCH(1810,Engine!$C$2:$C$1960,0)))</f>
        <v/>
      </c>
      <c r="J1823" s="8">
        <f>IF(ISNA(MATCH(1810,Engine!$C$2:$C$1960,0)),"",INDEX('Compliance Database'!$J$2:$J$1960,MATCH(1810,Engine!$C$2:$C$1960,0)))</f>
        <v/>
      </c>
      <c r="K1823" s="9">
        <f>IF(ISNA(MATCH(1810,Engine!$C$2:$C$1960,0)),"",INDEX('Compliance Database'!$K$2:$K$1960,MATCH(1810,Engine!$C$2:$C$1960,0)))</f>
        <v/>
      </c>
      <c r="L1823" s="9">
        <f>IF(ISNA(MATCH(1810,Engine!$C$2:$C$1960,0)),"",INDEX('Compliance Database'!$L$2:$L$1960,MATCH(1810,Engine!$C$2:$C$1960,0)))</f>
        <v/>
      </c>
      <c r="M1823" s="9">
        <f>IF(ISNA(MATCH(1810,Engine!$C$2:$C$1960,0)),"",INDEX('Compliance Database'!$M$2:$M$1960,MATCH(1810,Engine!$C$2:$C$1960,0)))</f>
        <v/>
      </c>
      <c r="N1823" s="9">
        <f>IF(ISNA(MATCH(1810,Engine!$C$2:$C$1960,0)),"",INDEX('Compliance Database'!$N$2:$N$1960,MATCH(1810,Engine!$C$2:$C$1960,0)))</f>
        <v/>
      </c>
      <c r="O1823" s="9">
        <f>IF(ISNA(MATCH(1810,Engine!$C$2:$C$1960,0)),"",INDEX('Compliance Database'!$O$2:$O$1960,MATCH(1810,Engine!$C$2:$C$1960,0)))</f>
        <v/>
      </c>
      <c r="P1823" s="8">
        <f>IF(ISNA(MATCH(1810,Engine!$C$2:$C$1960,0)),"",HYPERLINK("#Acts!A"&amp;INDEX('Compliance Database'!$P$2:$P$1960,MATCH(1810,Engine!$C$2:$C$1960,0)),"Go to Act"))</f>
        <v/>
      </c>
    </row>
    <row r="1824" ht="158" customHeight="1">
      <c r="A1824" s="8">
        <f>IF(ISNA(MATCH(1811,Engine!$C$2:$C$1960,0)),"",INDEX('Compliance Database'!$A$2:$A$1960,MATCH(1811,Engine!$C$2:$C$1960,0)))</f>
        <v/>
      </c>
      <c r="B1824" s="8">
        <f>IF(ISNA(MATCH(1811,Engine!$C$2:$C$1960,0)),"",INDEX('Compliance Database'!$B$2:$B$1960,MATCH(1811,Engine!$C$2:$C$1960,0)))</f>
        <v/>
      </c>
      <c r="C1824" s="8">
        <f>IF(ISNA(MATCH(1811,Engine!$C$2:$C$1960,0)),"",INDEX('Compliance Database'!$C$2:$C$1960,MATCH(1811,Engine!$C$2:$C$1960,0)))</f>
        <v/>
      </c>
      <c r="D1824" s="9">
        <f>IF(ISNA(MATCH(1811,Engine!$C$2:$C$1960,0)),"",INDEX('Compliance Database'!$D$2:$D$1960,MATCH(1811,Engine!$C$2:$C$1960,0)))</f>
        <v/>
      </c>
      <c r="E1824" s="8">
        <f>IF(ISNA(MATCH(1811,Engine!$C$2:$C$1960,0)),"",INDEX('Compliance Database'!$E$2:$E$1960,MATCH(1811,Engine!$C$2:$C$1960,0)))</f>
        <v/>
      </c>
      <c r="F1824" s="8">
        <f>IF(ISNA(MATCH(1811,Engine!$C$2:$C$1960,0)),"",INDEX('Compliance Database'!$F$2:$F$1960,MATCH(1811,Engine!$C$2:$C$1960,0)))</f>
        <v/>
      </c>
      <c r="G1824" s="8">
        <f>IF(ISNA(MATCH(1811,Engine!$C$2:$C$1960,0)),"",INDEX('Compliance Database'!$G$2:$G$1960,MATCH(1811,Engine!$C$2:$C$1960,0)))</f>
        <v/>
      </c>
      <c r="H1824" s="9">
        <f>IF(ISNA(MATCH(1811,Engine!$C$2:$C$1960,0)),"",INDEX('Compliance Database'!$H$2:$H$1960,MATCH(1811,Engine!$C$2:$C$1960,0)))</f>
        <v/>
      </c>
      <c r="I1824" s="9">
        <f>IF(ISNA(MATCH(1811,Engine!$C$2:$C$1960,0)),"",INDEX('Compliance Database'!$I$2:$I$1960,MATCH(1811,Engine!$C$2:$C$1960,0)))</f>
        <v/>
      </c>
      <c r="J1824" s="8">
        <f>IF(ISNA(MATCH(1811,Engine!$C$2:$C$1960,0)),"",INDEX('Compliance Database'!$J$2:$J$1960,MATCH(1811,Engine!$C$2:$C$1960,0)))</f>
        <v/>
      </c>
      <c r="K1824" s="9">
        <f>IF(ISNA(MATCH(1811,Engine!$C$2:$C$1960,0)),"",INDEX('Compliance Database'!$K$2:$K$1960,MATCH(1811,Engine!$C$2:$C$1960,0)))</f>
        <v/>
      </c>
      <c r="L1824" s="9">
        <f>IF(ISNA(MATCH(1811,Engine!$C$2:$C$1960,0)),"",INDEX('Compliance Database'!$L$2:$L$1960,MATCH(1811,Engine!$C$2:$C$1960,0)))</f>
        <v/>
      </c>
      <c r="M1824" s="9">
        <f>IF(ISNA(MATCH(1811,Engine!$C$2:$C$1960,0)),"",INDEX('Compliance Database'!$M$2:$M$1960,MATCH(1811,Engine!$C$2:$C$1960,0)))</f>
        <v/>
      </c>
      <c r="N1824" s="9">
        <f>IF(ISNA(MATCH(1811,Engine!$C$2:$C$1960,0)),"",INDEX('Compliance Database'!$N$2:$N$1960,MATCH(1811,Engine!$C$2:$C$1960,0)))</f>
        <v/>
      </c>
      <c r="O1824" s="9">
        <f>IF(ISNA(MATCH(1811,Engine!$C$2:$C$1960,0)),"",INDEX('Compliance Database'!$O$2:$O$1960,MATCH(1811,Engine!$C$2:$C$1960,0)))</f>
        <v/>
      </c>
      <c r="P1824" s="8">
        <f>IF(ISNA(MATCH(1811,Engine!$C$2:$C$1960,0)),"",HYPERLINK("#Acts!A"&amp;INDEX('Compliance Database'!$P$2:$P$1960,MATCH(1811,Engine!$C$2:$C$1960,0)),"Go to Act"))</f>
        <v/>
      </c>
    </row>
    <row r="1825" ht="158" customHeight="1">
      <c r="A1825" s="8">
        <f>IF(ISNA(MATCH(1812,Engine!$C$2:$C$1960,0)),"",INDEX('Compliance Database'!$A$2:$A$1960,MATCH(1812,Engine!$C$2:$C$1960,0)))</f>
        <v/>
      </c>
      <c r="B1825" s="8">
        <f>IF(ISNA(MATCH(1812,Engine!$C$2:$C$1960,0)),"",INDEX('Compliance Database'!$B$2:$B$1960,MATCH(1812,Engine!$C$2:$C$1960,0)))</f>
        <v/>
      </c>
      <c r="C1825" s="8">
        <f>IF(ISNA(MATCH(1812,Engine!$C$2:$C$1960,0)),"",INDEX('Compliance Database'!$C$2:$C$1960,MATCH(1812,Engine!$C$2:$C$1960,0)))</f>
        <v/>
      </c>
      <c r="D1825" s="9">
        <f>IF(ISNA(MATCH(1812,Engine!$C$2:$C$1960,0)),"",INDEX('Compliance Database'!$D$2:$D$1960,MATCH(1812,Engine!$C$2:$C$1960,0)))</f>
        <v/>
      </c>
      <c r="E1825" s="8">
        <f>IF(ISNA(MATCH(1812,Engine!$C$2:$C$1960,0)),"",INDEX('Compliance Database'!$E$2:$E$1960,MATCH(1812,Engine!$C$2:$C$1960,0)))</f>
        <v/>
      </c>
      <c r="F1825" s="8">
        <f>IF(ISNA(MATCH(1812,Engine!$C$2:$C$1960,0)),"",INDEX('Compliance Database'!$F$2:$F$1960,MATCH(1812,Engine!$C$2:$C$1960,0)))</f>
        <v/>
      </c>
      <c r="G1825" s="8">
        <f>IF(ISNA(MATCH(1812,Engine!$C$2:$C$1960,0)),"",INDEX('Compliance Database'!$G$2:$G$1960,MATCH(1812,Engine!$C$2:$C$1960,0)))</f>
        <v/>
      </c>
      <c r="H1825" s="9">
        <f>IF(ISNA(MATCH(1812,Engine!$C$2:$C$1960,0)),"",INDEX('Compliance Database'!$H$2:$H$1960,MATCH(1812,Engine!$C$2:$C$1960,0)))</f>
        <v/>
      </c>
      <c r="I1825" s="9">
        <f>IF(ISNA(MATCH(1812,Engine!$C$2:$C$1960,0)),"",INDEX('Compliance Database'!$I$2:$I$1960,MATCH(1812,Engine!$C$2:$C$1960,0)))</f>
        <v/>
      </c>
      <c r="J1825" s="8">
        <f>IF(ISNA(MATCH(1812,Engine!$C$2:$C$1960,0)),"",INDEX('Compliance Database'!$J$2:$J$1960,MATCH(1812,Engine!$C$2:$C$1960,0)))</f>
        <v/>
      </c>
      <c r="K1825" s="9">
        <f>IF(ISNA(MATCH(1812,Engine!$C$2:$C$1960,0)),"",INDEX('Compliance Database'!$K$2:$K$1960,MATCH(1812,Engine!$C$2:$C$1960,0)))</f>
        <v/>
      </c>
      <c r="L1825" s="9">
        <f>IF(ISNA(MATCH(1812,Engine!$C$2:$C$1960,0)),"",INDEX('Compliance Database'!$L$2:$L$1960,MATCH(1812,Engine!$C$2:$C$1960,0)))</f>
        <v/>
      </c>
      <c r="M1825" s="9">
        <f>IF(ISNA(MATCH(1812,Engine!$C$2:$C$1960,0)),"",INDEX('Compliance Database'!$M$2:$M$1960,MATCH(1812,Engine!$C$2:$C$1960,0)))</f>
        <v/>
      </c>
      <c r="N1825" s="9">
        <f>IF(ISNA(MATCH(1812,Engine!$C$2:$C$1960,0)),"",INDEX('Compliance Database'!$N$2:$N$1960,MATCH(1812,Engine!$C$2:$C$1960,0)))</f>
        <v/>
      </c>
      <c r="O1825" s="9">
        <f>IF(ISNA(MATCH(1812,Engine!$C$2:$C$1960,0)),"",INDEX('Compliance Database'!$O$2:$O$1960,MATCH(1812,Engine!$C$2:$C$1960,0)))</f>
        <v/>
      </c>
      <c r="P1825" s="8">
        <f>IF(ISNA(MATCH(1812,Engine!$C$2:$C$1960,0)),"",HYPERLINK("#Acts!A"&amp;INDEX('Compliance Database'!$P$2:$P$1960,MATCH(1812,Engine!$C$2:$C$1960,0)),"Go to Act"))</f>
        <v/>
      </c>
    </row>
    <row r="1826" ht="158" customHeight="1">
      <c r="A1826" s="8">
        <f>IF(ISNA(MATCH(1813,Engine!$C$2:$C$1960,0)),"",INDEX('Compliance Database'!$A$2:$A$1960,MATCH(1813,Engine!$C$2:$C$1960,0)))</f>
        <v/>
      </c>
      <c r="B1826" s="8">
        <f>IF(ISNA(MATCH(1813,Engine!$C$2:$C$1960,0)),"",INDEX('Compliance Database'!$B$2:$B$1960,MATCH(1813,Engine!$C$2:$C$1960,0)))</f>
        <v/>
      </c>
      <c r="C1826" s="8">
        <f>IF(ISNA(MATCH(1813,Engine!$C$2:$C$1960,0)),"",INDEX('Compliance Database'!$C$2:$C$1960,MATCH(1813,Engine!$C$2:$C$1960,0)))</f>
        <v/>
      </c>
      <c r="D1826" s="9">
        <f>IF(ISNA(MATCH(1813,Engine!$C$2:$C$1960,0)),"",INDEX('Compliance Database'!$D$2:$D$1960,MATCH(1813,Engine!$C$2:$C$1960,0)))</f>
        <v/>
      </c>
      <c r="E1826" s="8">
        <f>IF(ISNA(MATCH(1813,Engine!$C$2:$C$1960,0)),"",INDEX('Compliance Database'!$E$2:$E$1960,MATCH(1813,Engine!$C$2:$C$1960,0)))</f>
        <v/>
      </c>
      <c r="F1826" s="8">
        <f>IF(ISNA(MATCH(1813,Engine!$C$2:$C$1960,0)),"",INDEX('Compliance Database'!$F$2:$F$1960,MATCH(1813,Engine!$C$2:$C$1960,0)))</f>
        <v/>
      </c>
      <c r="G1826" s="8">
        <f>IF(ISNA(MATCH(1813,Engine!$C$2:$C$1960,0)),"",INDEX('Compliance Database'!$G$2:$G$1960,MATCH(1813,Engine!$C$2:$C$1960,0)))</f>
        <v/>
      </c>
      <c r="H1826" s="9">
        <f>IF(ISNA(MATCH(1813,Engine!$C$2:$C$1960,0)),"",INDEX('Compliance Database'!$H$2:$H$1960,MATCH(1813,Engine!$C$2:$C$1960,0)))</f>
        <v/>
      </c>
      <c r="I1826" s="9">
        <f>IF(ISNA(MATCH(1813,Engine!$C$2:$C$1960,0)),"",INDEX('Compliance Database'!$I$2:$I$1960,MATCH(1813,Engine!$C$2:$C$1960,0)))</f>
        <v/>
      </c>
      <c r="J1826" s="8">
        <f>IF(ISNA(MATCH(1813,Engine!$C$2:$C$1960,0)),"",INDEX('Compliance Database'!$J$2:$J$1960,MATCH(1813,Engine!$C$2:$C$1960,0)))</f>
        <v/>
      </c>
      <c r="K1826" s="9">
        <f>IF(ISNA(MATCH(1813,Engine!$C$2:$C$1960,0)),"",INDEX('Compliance Database'!$K$2:$K$1960,MATCH(1813,Engine!$C$2:$C$1960,0)))</f>
        <v/>
      </c>
      <c r="L1826" s="9">
        <f>IF(ISNA(MATCH(1813,Engine!$C$2:$C$1960,0)),"",INDEX('Compliance Database'!$L$2:$L$1960,MATCH(1813,Engine!$C$2:$C$1960,0)))</f>
        <v/>
      </c>
      <c r="M1826" s="9">
        <f>IF(ISNA(MATCH(1813,Engine!$C$2:$C$1960,0)),"",INDEX('Compliance Database'!$M$2:$M$1960,MATCH(1813,Engine!$C$2:$C$1960,0)))</f>
        <v/>
      </c>
      <c r="N1826" s="9">
        <f>IF(ISNA(MATCH(1813,Engine!$C$2:$C$1960,0)),"",INDEX('Compliance Database'!$N$2:$N$1960,MATCH(1813,Engine!$C$2:$C$1960,0)))</f>
        <v/>
      </c>
      <c r="O1826" s="9">
        <f>IF(ISNA(MATCH(1813,Engine!$C$2:$C$1960,0)),"",INDEX('Compliance Database'!$O$2:$O$1960,MATCH(1813,Engine!$C$2:$C$1960,0)))</f>
        <v/>
      </c>
      <c r="P1826" s="8">
        <f>IF(ISNA(MATCH(1813,Engine!$C$2:$C$1960,0)),"",HYPERLINK("#Acts!A"&amp;INDEX('Compliance Database'!$P$2:$P$1960,MATCH(1813,Engine!$C$2:$C$1960,0)),"Go to Act"))</f>
        <v/>
      </c>
    </row>
    <row r="1827" ht="158" customHeight="1">
      <c r="A1827" s="8">
        <f>IF(ISNA(MATCH(1814,Engine!$C$2:$C$1960,0)),"",INDEX('Compliance Database'!$A$2:$A$1960,MATCH(1814,Engine!$C$2:$C$1960,0)))</f>
        <v/>
      </c>
      <c r="B1827" s="8">
        <f>IF(ISNA(MATCH(1814,Engine!$C$2:$C$1960,0)),"",INDEX('Compliance Database'!$B$2:$B$1960,MATCH(1814,Engine!$C$2:$C$1960,0)))</f>
        <v/>
      </c>
      <c r="C1827" s="8">
        <f>IF(ISNA(MATCH(1814,Engine!$C$2:$C$1960,0)),"",INDEX('Compliance Database'!$C$2:$C$1960,MATCH(1814,Engine!$C$2:$C$1960,0)))</f>
        <v/>
      </c>
      <c r="D1827" s="9">
        <f>IF(ISNA(MATCH(1814,Engine!$C$2:$C$1960,0)),"",INDEX('Compliance Database'!$D$2:$D$1960,MATCH(1814,Engine!$C$2:$C$1960,0)))</f>
        <v/>
      </c>
      <c r="E1827" s="8">
        <f>IF(ISNA(MATCH(1814,Engine!$C$2:$C$1960,0)),"",INDEX('Compliance Database'!$E$2:$E$1960,MATCH(1814,Engine!$C$2:$C$1960,0)))</f>
        <v/>
      </c>
      <c r="F1827" s="8">
        <f>IF(ISNA(MATCH(1814,Engine!$C$2:$C$1960,0)),"",INDEX('Compliance Database'!$F$2:$F$1960,MATCH(1814,Engine!$C$2:$C$1960,0)))</f>
        <v/>
      </c>
      <c r="G1827" s="8">
        <f>IF(ISNA(MATCH(1814,Engine!$C$2:$C$1960,0)),"",INDEX('Compliance Database'!$G$2:$G$1960,MATCH(1814,Engine!$C$2:$C$1960,0)))</f>
        <v/>
      </c>
      <c r="H1827" s="9">
        <f>IF(ISNA(MATCH(1814,Engine!$C$2:$C$1960,0)),"",INDEX('Compliance Database'!$H$2:$H$1960,MATCH(1814,Engine!$C$2:$C$1960,0)))</f>
        <v/>
      </c>
      <c r="I1827" s="9">
        <f>IF(ISNA(MATCH(1814,Engine!$C$2:$C$1960,0)),"",INDEX('Compliance Database'!$I$2:$I$1960,MATCH(1814,Engine!$C$2:$C$1960,0)))</f>
        <v/>
      </c>
      <c r="J1827" s="8">
        <f>IF(ISNA(MATCH(1814,Engine!$C$2:$C$1960,0)),"",INDEX('Compliance Database'!$J$2:$J$1960,MATCH(1814,Engine!$C$2:$C$1960,0)))</f>
        <v/>
      </c>
      <c r="K1827" s="9">
        <f>IF(ISNA(MATCH(1814,Engine!$C$2:$C$1960,0)),"",INDEX('Compliance Database'!$K$2:$K$1960,MATCH(1814,Engine!$C$2:$C$1960,0)))</f>
        <v/>
      </c>
      <c r="L1827" s="9">
        <f>IF(ISNA(MATCH(1814,Engine!$C$2:$C$1960,0)),"",INDEX('Compliance Database'!$L$2:$L$1960,MATCH(1814,Engine!$C$2:$C$1960,0)))</f>
        <v/>
      </c>
      <c r="M1827" s="9">
        <f>IF(ISNA(MATCH(1814,Engine!$C$2:$C$1960,0)),"",INDEX('Compliance Database'!$M$2:$M$1960,MATCH(1814,Engine!$C$2:$C$1960,0)))</f>
        <v/>
      </c>
      <c r="N1827" s="9">
        <f>IF(ISNA(MATCH(1814,Engine!$C$2:$C$1960,0)),"",INDEX('Compliance Database'!$N$2:$N$1960,MATCH(1814,Engine!$C$2:$C$1960,0)))</f>
        <v/>
      </c>
      <c r="O1827" s="9">
        <f>IF(ISNA(MATCH(1814,Engine!$C$2:$C$1960,0)),"",INDEX('Compliance Database'!$O$2:$O$1960,MATCH(1814,Engine!$C$2:$C$1960,0)))</f>
        <v/>
      </c>
      <c r="P1827" s="8">
        <f>IF(ISNA(MATCH(1814,Engine!$C$2:$C$1960,0)),"",HYPERLINK("#Acts!A"&amp;INDEX('Compliance Database'!$P$2:$P$1960,MATCH(1814,Engine!$C$2:$C$1960,0)),"Go to Act"))</f>
        <v/>
      </c>
    </row>
    <row r="1828" ht="158" customHeight="1">
      <c r="A1828" s="8">
        <f>IF(ISNA(MATCH(1815,Engine!$C$2:$C$1960,0)),"",INDEX('Compliance Database'!$A$2:$A$1960,MATCH(1815,Engine!$C$2:$C$1960,0)))</f>
        <v/>
      </c>
      <c r="B1828" s="8">
        <f>IF(ISNA(MATCH(1815,Engine!$C$2:$C$1960,0)),"",INDEX('Compliance Database'!$B$2:$B$1960,MATCH(1815,Engine!$C$2:$C$1960,0)))</f>
        <v/>
      </c>
      <c r="C1828" s="8">
        <f>IF(ISNA(MATCH(1815,Engine!$C$2:$C$1960,0)),"",INDEX('Compliance Database'!$C$2:$C$1960,MATCH(1815,Engine!$C$2:$C$1960,0)))</f>
        <v/>
      </c>
      <c r="D1828" s="9">
        <f>IF(ISNA(MATCH(1815,Engine!$C$2:$C$1960,0)),"",INDEX('Compliance Database'!$D$2:$D$1960,MATCH(1815,Engine!$C$2:$C$1960,0)))</f>
        <v/>
      </c>
      <c r="E1828" s="8">
        <f>IF(ISNA(MATCH(1815,Engine!$C$2:$C$1960,0)),"",INDEX('Compliance Database'!$E$2:$E$1960,MATCH(1815,Engine!$C$2:$C$1960,0)))</f>
        <v/>
      </c>
      <c r="F1828" s="8">
        <f>IF(ISNA(MATCH(1815,Engine!$C$2:$C$1960,0)),"",INDEX('Compliance Database'!$F$2:$F$1960,MATCH(1815,Engine!$C$2:$C$1960,0)))</f>
        <v/>
      </c>
      <c r="G1828" s="8">
        <f>IF(ISNA(MATCH(1815,Engine!$C$2:$C$1960,0)),"",INDEX('Compliance Database'!$G$2:$G$1960,MATCH(1815,Engine!$C$2:$C$1960,0)))</f>
        <v/>
      </c>
      <c r="H1828" s="9">
        <f>IF(ISNA(MATCH(1815,Engine!$C$2:$C$1960,0)),"",INDEX('Compliance Database'!$H$2:$H$1960,MATCH(1815,Engine!$C$2:$C$1960,0)))</f>
        <v/>
      </c>
      <c r="I1828" s="9">
        <f>IF(ISNA(MATCH(1815,Engine!$C$2:$C$1960,0)),"",INDEX('Compliance Database'!$I$2:$I$1960,MATCH(1815,Engine!$C$2:$C$1960,0)))</f>
        <v/>
      </c>
      <c r="J1828" s="8">
        <f>IF(ISNA(MATCH(1815,Engine!$C$2:$C$1960,0)),"",INDEX('Compliance Database'!$J$2:$J$1960,MATCH(1815,Engine!$C$2:$C$1960,0)))</f>
        <v/>
      </c>
      <c r="K1828" s="9">
        <f>IF(ISNA(MATCH(1815,Engine!$C$2:$C$1960,0)),"",INDEX('Compliance Database'!$K$2:$K$1960,MATCH(1815,Engine!$C$2:$C$1960,0)))</f>
        <v/>
      </c>
      <c r="L1828" s="9">
        <f>IF(ISNA(MATCH(1815,Engine!$C$2:$C$1960,0)),"",INDEX('Compliance Database'!$L$2:$L$1960,MATCH(1815,Engine!$C$2:$C$1960,0)))</f>
        <v/>
      </c>
      <c r="M1828" s="9">
        <f>IF(ISNA(MATCH(1815,Engine!$C$2:$C$1960,0)),"",INDEX('Compliance Database'!$M$2:$M$1960,MATCH(1815,Engine!$C$2:$C$1960,0)))</f>
        <v/>
      </c>
      <c r="N1828" s="9">
        <f>IF(ISNA(MATCH(1815,Engine!$C$2:$C$1960,0)),"",INDEX('Compliance Database'!$N$2:$N$1960,MATCH(1815,Engine!$C$2:$C$1960,0)))</f>
        <v/>
      </c>
      <c r="O1828" s="9">
        <f>IF(ISNA(MATCH(1815,Engine!$C$2:$C$1960,0)),"",INDEX('Compliance Database'!$O$2:$O$1960,MATCH(1815,Engine!$C$2:$C$1960,0)))</f>
        <v/>
      </c>
      <c r="P1828" s="8">
        <f>IF(ISNA(MATCH(1815,Engine!$C$2:$C$1960,0)),"",HYPERLINK("#Acts!A"&amp;INDEX('Compliance Database'!$P$2:$P$1960,MATCH(1815,Engine!$C$2:$C$1960,0)),"Go to Act"))</f>
        <v/>
      </c>
    </row>
    <row r="1829" ht="158" customHeight="1">
      <c r="A1829" s="8">
        <f>IF(ISNA(MATCH(1816,Engine!$C$2:$C$1960,0)),"",INDEX('Compliance Database'!$A$2:$A$1960,MATCH(1816,Engine!$C$2:$C$1960,0)))</f>
        <v/>
      </c>
      <c r="B1829" s="8">
        <f>IF(ISNA(MATCH(1816,Engine!$C$2:$C$1960,0)),"",INDEX('Compliance Database'!$B$2:$B$1960,MATCH(1816,Engine!$C$2:$C$1960,0)))</f>
        <v/>
      </c>
      <c r="C1829" s="8">
        <f>IF(ISNA(MATCH(1816,Engine!$C$2:$C$1960,0)),"",INDEX('Compliance Database'!$C$2:$C$1960,MATCH(1816,Engine!$C$2:$C$1960,0)))</f>
        <v/>
      </c>
      <c r="D1829" s="9">
        <f>IF(ISNA(MATCH(1816,Engine!$C$2:$C$1960,0)),"",INDEX('Compliance Database'!$D$2:$D$1960,MATCH(1816,Engine!$C$2:$C$1960,0)))</f>
        <v/>
      </c>
      <c r="E1829" s="8">
        <f>IF(ISNA(MATCH(1816,Engine!$C$2:$C$1960,0)),"",INDEX('Compliance Database'!$E$2:$E$1960,MATCH(1816,Engine!$C$2:$C$1960,0)))</f>
        <v/>
      </c>
      <c r="F1829" s="8">
        <f>IF(ISNA(MATCH(1816,Engine!$C$2:$C$1960,0)),"",INDEX('Compliance Database'!$F$2:$F$1960,MATCH(1816,Engine!$C$2:$C$1960,0)))</f>
        <v/>
      </c>
      <c r="G1829" s="8">
        <f>IF(ISNA(MATCH(1816,Engine!$C$2:$C$1960,0)),"",INDEX('Compliance Database'!$G$2:$G$1960,MATCH(1816,Engine!$C$2:$C$1960,0)))</f>
        <v/>
      </c>
      <c r="H1829" s="9">
        <f>IF(ISNA(MATCH(1816,Engine!$C$2:$C$1960,0)),"",INDEX('Compliance Database'!$H$2:$H$1960,MATCH(1816,Engine!$C$2:$C$1960,0)))</f>
        <v/>
      </c>
      <c r="I1829" s="9">
        <f>IF(ISNA(MATCH(1816,Engine!$C$2:$C$1960,0)),"",INDEX('Compliance Database'!$I$2:$I$1960,MATCH(1816,Engine!$C$2:$C$1960,0)))</f>
        <v/>
      </c>
      <c r="J1829" s="8">
        <f>IF(ISNA(MATCH(1816,Engine!$C$2:$C$1960,0)),"",INDEX('Compliance Database'!$J$2:$J$1960,MATCH(1816,Engine!$C$2:$C$1960,0)))</f>
        <v/>
      </c>
      <c r="K1829" s="9">
        <f>IF(ISNA(MATCH(1816,Engine!$C$2:$C$1960,0)),"",INDEX('Compliance Database'!$K$2:$K$1960,MATCH(1816,Engine!$C$2:$C$1960,0)))</f>
        <v/>
      </c>
      <c r="L1829" s="9">
        <f>IF(ISNA(MATCH(1816,Engine!$C$2:$C$1960,0)),"",INDEX('Compliance Database'!$L$2:$L$1960,MATCH(1816,Engine!$C$2:$C$1960,0)))</f>
        <v/>
      </c>
      <c r="M1829" s="9">
        <f>IF(ISNA(MATCH(1816,Engine!$C$2:$C$1960,0)),"",INDEX('Compliance Database'!$M$2:$M$1960,MATCH(1816,Engine!$C$2:$C$1960,0)))</f>
        <v/>
      </c>
      <c r="N1829" s="9">
        <f>IF(ISNA(MATCH(1816,Engine!$C$2:$C$1960,0)),"",INDEX('Compliance Database'!$N$2:$N$1960,MATCH(1816,Engine!$C$2:$C$1960,0)))</f>
        <v/>
      </c>
      <c r="O1829" s="9">
        <f>IF(ISNA(MATCH(1816,Engine!$C$2:$C$1960,0)),"",INDEX('Compliance Database'!$O$2:$O$1960,MATCH(1816,Engine!$C$2:$C$1960,0)))</f>
        <v/>
      </c>
      <c r="P1829" s="8">
        <f>IF(ISNA(MATCH(1816,Engine!$C$2:$C$1960,0)),"",HYPERLINK("#Acts!A"&amp;INDEX('Compliance Database'!$P$2:$P$1960,MATCH(1816,Engine!$C$2:$C$1960,0)),"Go to Act"))</f>
        <v/>
      </c>
    </row>
    <row r="1830" ht="158" customHeight="1">
      <c r="A1830" s="8">
        <f>IF(ISNA(MATCH(1817,Engine!$C$2:$C$1960,0)),"",INDEX('Compliance Database'!$A$2:$A$1960,MATCH(1817,Engine!$C$2:$C$1960,0)))</f>
        <v/>
      </c>
      <c r="B1830" s="8">
        <f>IF(ISNA(MATCH(1817,Engine!$C$2:$C$1960,0)),"",INDEX('Compliance Database'!$B$2:$B$1960,MATCH(1817,Engine!$C$2:$C$1960,0)))</f>
        <v/>
      </c>
      <c r="C1830" s="8">
        <f>IF(ISNA(MATCH(1817,Engine!$C$2:$C$1960,0)),"",INDEX('Compliance Database'!$C$2:$C$1960,MATCH(1817,Engine!$C$2:$C$1960,0)))</f>
        <v/>
      </c>
      <c r="D1830" s="9">
        <f>IF(ISNA(MATCH(1817,Engine!$C$2:$C$1960,0)),"",INDEX('Compliance Database'!$D$2:$D$1960,MATCH(1817,Engine!$C$2:$C$1960,0)))</f>
        <v/>
      </c>
      <c r="E1830" s="8">
        <f>IF(ISNA(MATCH(1817,Engine!$C$2:$C$1960,0)),"",INDEX('Compliance Database'!$E$2:$E$1960,MATCH(1817,Engine!$C$2:$C$1960,0)))</f>
        <v/>
      </c>
      <c r="F1830" s="8">
        <f>IF(ISNA(MATCH(1817,Engine!$C$2:$C$1960,0)),"",INDEX('Compliance Database'!$F$2:$F$1960,MATCH(1817,Engine!$C$2:$C$1960,0)))</f>
        <v/>
      </c>
      <c r="G1830" s="8">
        <f>IF(ISNA(MATCH(1817,Engine!$C$2:$C$1960,0)),"",INDEX('Compliance Database'!$G$2:$G$1960,MATCH(1817,Engine!$C$2:$C$1960,0)))</f>
        <v/>
      </c>
      <c r="H1830" s="9">
        <f>IF(ISNA(MATCH(1817,Engine!$C$2:$C$1960,0)),"",INDEX('Compliance Database'!$H$2:$H$1960,MATCH(1817,Engine!$C$2:$C$1960,0)))</f>
        <v/>
      </c>
      <c r="I1830" s="9">
        <f>IF(ISNA(MATCH(1817,Engine!$C$2:$C$1960,0)),"",INDEX('Compliance Database'!$I$2:$I$1960,MATCH(1817,Engine!$C$2:$C$1960,0)))</f>
        <v/>
      </c>
      <c r="J1830" s="8">
        <f>IF(ISNA(MATCH(1817,Engine!$C$2:$C$1960,0)),"",INDEX('Compliance Database'!$J$2:$J$1960,MATCH(1817,Engine!$C$2:$C$1960,0)))</f>
        <v/>
      </c>
      <c r="K1830" s="9">
        <f>IF(ISNA(MATCH(1817,Engine!$C$2:$C$1960,0)),"",INDEX('Compliance Database'!$K$2:$K$1960,MATCH(1817,Engine!$C$2:$C$1960,0)))</f>
        <v/>
      </c>
      <c r="L1830" s="9">
        <f>IF(ISNA(MATCH(1817,Engine!$C$2:$C$1960,0)),"",INDEX('Compliance Database'!$L$2:$L$1960,MATCH(1817,Engine!$C$2:$C$1960,0)))</f>
        <v/>
      </c>
      <c r="M1830" s="9">
        <f>IF(ISNA(MATCH(1817,Engine!$C$2:$C$1960,0)),"",INDEX('Compliance Database'!$M$2:$M$1960,MATCH(1817,Engine!$C$2:$C$1960,0)))</f>
        <v/>
      </c>
      <c r="N1830" s="9">
        <f>IF(ISNA(MATCH(1817,Engine!$C$2:$C$1960,0)),"",INDEX('Compliance Database'!$N$2:$N$1960,MATCH(1817,Engine!$C$2:$C$1960,0)))</f>
        <v/>
      </c>
      <c r="O1830" s="9">
        <f>IF(ISNA(MATCH(1817,Engine!$C$2:$C$1960,0)),"",INDEX('Compliance Database'!$O$2:$O$1960,MATCH(1817,Engine!$C$2:$C$1960,0)))</f>
        <v/>
      </c>
      <c r="P1830" s="8">
        <f>IF(ISNA(MATCH(1817,Engine!$C$2:$C$1960,0)),"",HYPERLINK("#Acts!A"&amp;INDEX('Compliance Database'!$P$2:$P$1960,MATCH(1817,Engine!$C$2:$C$1960,0)),"Go to Act"))</f>
        <v/>
      </c>
    </row>
    <row r="1831" ht="158" customHeight="1">
      <c r="A1831" s="8">
        <f>IF(ISNA(MATCH(1818,Engine!$C$2:$C$1960,0)),"",INDEX('Compliance Database'!$A$2:$A$1960,MATCH(1818,Engine!$C$2:$C$1960,0)))</f>
        <v/>
      </c>
      <c r="B1831" s="8">
        <f>IF(ISNA(MATCH(1818,Engine!$C$2:$C$1960,0)),"",INDEX('Compliance Database'!$B$2:$B$1960,MATCH(1818,Engine!$C$2:$C$1960,0)))</f>
        <v/>
      </c>
      <c r="C1831" s="8">
        <f>IF(ISNA(MATCH(1818,Engine!$C$2:$C$1960,0)),"",INDEX('Compliance Database'!$C$2:$C$1960,MATCH(1818,Engine!$C$2:$C$1960,0)))</f>
        <v/>
      </c>
      <c r="D1831" s="9">
        <f>IF(ISNA(MATCH(1818,Engine!$C$2:$C$1960,0)),"",INDEX('Compliance Database'!$D$2:$D$1960,MATCH(1818,Engine!$C$2:$C$1960,0)))</f>
        <v/>
      </c>
      <c r="E1831" s="8">
        <f>IF(ISNA(MATCH(1818,Engine!$C$2:$C$1960,0)),"",INDEX('Compliance Database'!$E$2:$E$1960,MATCH(1818,Engine!$C$2:$C$1960,0)))</f>
        <v/>
      </c>
      <c r="F1831" s="8">
        <f>IF(ISNA(MATCH(1818,Engine!$C$2:$C$1960,0)),"",INDEX('Compliance Database'!$F$2:$F$1960,MATCH(1818,Engine!$C$2:$C$1960,0)))</f>
        <v/>
      </c>
      <c r="G1831" s="8">
        <f>IF(ISNA(MATCH(1818,Engine!$C$2:$C$1960,0)),"",INDEX('Compliance Database'!$G$2:$G$1960,MATCH(1818,Engine!$C$2:$C$1960,0)))</f>
        <v/>
      </c>
      <c r="H1831" s="9">
        <f>IF(ISNA(MATCH(1818,Engine!$C$2:$C$1960,0)),"",INDEX('Compliance Database'!$H$2:$H$1960,MATCH(1818,Engine!$C$2:$C$1960,0)))</f>
        <v/>
      </c>
      <c r="I1831" s="9">
        <f>IF(ISNA(MATCH(1818,Engine!$C$2:$C$1960,0)),"",INDEX('Compliance Database'!$I$2:$I$1960,MATCH(1818,Engine!$C$2:$C$1960,0)))</f>
        <v/>
      </c>
      <c r="J1831" s="8">
        <f>IF(ISNA(MATCH(1818,Engine!$C$2:$C$1960,0)),"",INDEX('Compliance Database'!$J$2:$J$1960,MATCH(1818,Engine!$C$2:$C$1960,0)))</f>
        <v/>
      </c>
      <c r="K1831" s="9">
        <f>IF(ISNA(MATCH(1818,Engine!$C$2:$C$1960,0)),"",INDEX('Compliance Database'!$K$2:$K$1960,MATCH(1818,Engine!$C$2:$C$1960,0)))</f>
        <v/>
      </c>
      <c r="L1831" s="9">
        <f>IF(ISNA(MATCH(1818,Engine!$C$2:$C$1960,0)),"",INDEX('Compliance Database'!$L$2:$L$1960,MATCH(1818,Engine!$C$2:$C$1960,0)))</f>
        <v/>
      </c>
      <c r="M1831" s="9">
        <f>IF(ISNA(MATCH(1818,Engine!$C$2:$C$1960,0)),"",INDEX('Compliance Database'!$M$2:$M$1960,MATCH(1818,Engine!$C$2:$C$1960,0)))</f>
        <v/>
      </c>
      <c r="N1831" s="9">
        <f>IF(ISNA(MATCH(1818,Engine!$C$2:$C$1960,0)),"",INDEX('Compliance Database'!$N$2:$N$1960,MATCH(1818,Engine!$C$2:$C$1960,0)))</f>
        <v/>
      </c>
      <c r="O1831" s="9">
        <f>IF(ISNA(MATCH(1818,Engine!$C$2:$C$1960,0)),"",INDEX('Compliance Database'!$O$2:$O$1960,MATCH(1818,Engine!$C$2:$C$1960,0)))</f>
        <v/>
      </c>
      <c r="P1831" s="8">
        <f>IF(ISNA(MATCH(1818,Engine!$C$2:$C$1960,0)),"",HYPERLINK("#Acts!A"&amp;INDEX('Compliance Database'!$P$2:$P$1960,MATCH(1818,Engine!$C$2:$C$1960,0)),"Go to Act"))</f>
        <v/>
      </c>
    </row>
    <row r="1832" ht="158" customHeight="1">
      <c r="A1832" s="8">
        <f>IF(ISNA(MATCH(1819,Engine!$C$2:$C$1960,0)),"",INDEX('Compliance Database'!$A$2:$A$1960,MATCH(1819,Engine!$C$2:$C$1960,0)))</f>
        <v/>
      </c>
      <c r="B1832" s="8">
        <f>IF(ISNA(MATCH(1819,Engine!$C$2:$C$1960,0)),"",INDEX('Compliance Database'!$B$2:$B$1960,MATCH(1819,Engine!$C$2:$C$1960,0)))</f>
        <v/>
      </c>
      <c r="C1832" s="8">
        <f>IF(ISNA(MATCH(1819,Engine!$C$2:$C$1960,0)),"",INDEX('Compliance Database'!$C$2:$C$1960,MATCH(1819,Engine!$C$2:$C$1960,0)))</f>
        <v/>
      </c>
      <c r="D1832" s="9">
        <f>IF(ISNA(MATCH(1819,Engine!$C$2:$C$1960,0)),"",INDEX('Compliance Database'!$D$2:$D$1960,MATCH(1819,Engine!$C$2:$C$1960,0)))</f>
        <v/>
      </c>
      <c r="E1832" s="8">
        <f>IF(ISNA(MATCH(1819,Engine!$C$2:$C$1960,0)),"",INDEX('Compliance Database'!$E$2:$E$1960,MATCH(1819,Engine!$C$2:$C$1960,0)))</f>
        <v/>
      </c>
      <c r="F1832" s="8">
        <f>IF(ISNA(MATCH(1819,Engine!$C$2:$C$1960,0)),"",INDEX('Compliance Database'!$F$2:$F$1960,MATCH(1819,Engine!$C$2:$C$1960,0)))</f>
        <v/>
      </c>
      <c r="G1832" s="8">
        <f>IF(ISNA(MATCH(1819,Engine!$C$2:$C$1960,0)),"",INDEX('Compliance Database'!$G$2:$G$1960,MATCH(1819,Engine!$C$2:$C$1960,0)))</f>
        <v/>
      </c>
      <c r="H1832" s="9">
        <f>IF(ISNA(MATCH(1819,Engine!$C$2:$C$1960,0)),"",INDEX('Compliance Database'!$H$2:$H$1960,MATCH(1819,Engine!$C$2:$C$1960,0)))</f>
        <v/>
      </c>
      <c r="I1832" s="9">
        <f>IF(ISNA(MATCH(1819,Engine!$C$2:$C$1960,0)),"",INDEX('Compliance Database'!$I$2:$I$1960,MATCH(1819,Engine!$C$2:$C$1960,0)))</f>
        <v/>
      </c>
      <c r="J1832" s="8">
        <f>IF(ISNA(MATCH(1819,Engine!$C$2:$C$1960,0)),"",INDEX('Compliance Database'!$J$2:$J$1960,MATCH(1819,Engine!$C$2:$C$1960,0)))</f>
        <v/>
      </c>
      <c r="K1832" s="9">
        <f>IF(ISNA(MATCH(1819,Engine!$C$2:$C$1960,0)),"",INDEX('Compliance Database'!$K$2:$K$1960,MATCH(1819,Engine!$C$2:$C$1960,0)))</f>
        <v/>
      </c>
      <c r="L1832" s="9">
        <f>IF(ISNA(MATCH(1819,Engine!$C$2:$C$1960,0)),"",INDEX('Compliance Database'!$L$2:$L$1960,MATCH(1819,Engine!$C$2:$C$1960,0)))</f>
        <v/>
      </c>
      <c r="M1832" s="9">
        <f>IF(ISNA(MATCH(1819,Engine!$C$2:$C$1960,0)),"",INDEX('Compliance Database'!$M$2:$M$1960,MATCH(1819,Engine!$C$2:$C$1960,0)))</f>
        <v/>
      </c>
      <c r="N1832" s="9">
        <f>IF(ISNA(MATCH(1819,Engine!$C$2:$C$1960,0)),"",INDEX('Compliance Database'!$N$2:$N$1960,MATCH(1819,Engine!$C$2:$C$1960,0)))</f>
        <v/>
      </c>
      <c r="O1832" s="9">
        <f>IF(ISNA(MATCH(1819,Engine!$C$2:$C$1960,0)),"",INDEX('Compliance Database'!$O$2:$O$1960,MATCH(1819,Engine!$C$2:$C$1960,0)))</f>
        <v/>
      </c>
      <c r="P1832" s="8">
        <f>IF(ISNA(MATCH(1819,Engine!$C$2:$C$1960,0)),"",HYPERLINK("#Acts!A"&amp;INDEX('Compliance Database'!$P$2:$P$1960,MATCH(1819,Engine!$C$2:$C$1960,0)),"Go to Act"))</f>
        <v/>
      </c>
    </row>
    <row r="1833" ht="158" customHeight="1">
      <c r="A1833" s="8">
        <f>IF(ISNA(MATCH(1820,Engine!$C$2:$C$1960,0)),"",INDEX('Compliance Database'!$A$2:$A$1960,MATCH(1820,Engine!$C$2:$C$1960,0)))</f>
        <v/>
      </c>
      <c r="B1833" s="8">
        <f>IF(ISNA(MATCH(1820,Engine!$C$2:$C$1960,0)),"",INDEX('Compliance Database'!$B$2:$B$1960,MATCH(1820,Engine!$C$2:$C$1960,0)))</f>
        <v/>
      </c>
      <c r="C1833" s="8">
        <f>IF(ISNA(MATCH(1820,Engine!$C$2:$C$1960,0)),"",INDEX('Compliance Database'!$C$2:$C$1960,MATCH(1820,Engine!$C$2:$C$1960,0)))</f>
        <v/>
      </c>
      <c r="D1833" s="9">
        <f>IF(ISNA(MATCH(1820,Engine!$C$2:$C$1960,0)),"",INDEX('Compliance Database'!$D$2:$D$1960,MATCH(1820,Engine!$C$2:$C$1960,0)))</f>
        <v/>
      </c>
      <c r="E1833" s="8">
        <f>IF(ISNA(MATCH(1820,Engine!$C$2:$C$1960,0)),"",INDEX('Compliance Database'!$E$2:$E$1960,MATCH(1820,Engine!$C$2:$C$1960,0)))</f>
        <v/>
      </c>
      <c r="F1833" s="8">
        <f>IF(ISNA(MATCH(1820,Engine!$C$2:$C$1960,0)),"",INDEX('Compliance Database'!$F$2:$F$1960,MATCH(1820,Engine!$C$2:$C$1960,0)))</f>
        <v/>
      </c>
      <c r="G1833" s="8">
        <f>IF(ISNA(MATCH(1820,Engine!$C$2:$C$1960,0)),"",INDEX('Compliance Database'!$G$2:$G$1960,MATCH(1820,Engine!$C$2:$C$1960,0)))</f>
        <v/>
      </c>
      <c r="H1833" s="9">
        <f>IF(ISNA(MATCH(1820,Engine!$C$2:$C$1960,0)),"",INDEX('Compliance Database'!$H$2:$H$1960,MATCH(1820,Engine!$C$2:$C$1960,0)))</f>
        <v/>
      </c>
      <c r="I1833" s="9">
        <f>IF(ISNA(MATCH(1820,Engine!$C$2:$C$1960,0)),"",INDEX('Compliance Database'!$I$2:$I$1960,MATCH(1820,Engine!$C$2:$C$1960,0)))</f>
        <v/>
      </c>
      <c r="J1833" s="8">
        <f>IF(ISNA(MATCH(1820,Engine!$C$2:$C$1960,0)),"",INDEX('Compliance Database'!$J$2:$J$1960,MATCH(1820,Engine!$C$2:$C$1960,0)))</f>
        <v/>
      </c>
      <c r="K1833" s="9">
        <f>IF(ISNA(MATCH(1820,Engine!$C$2:$C$1960,0)),"",INDEX('Compliance Database'!$K$2:$K$1960,MATCH(1820,Engine!$C$2:$C$1960,0)))</f>
        <v/>
      </c>
      <c r="L1833" s="9">
        <f>IF(ISNA(MATCH(1820,Engine!$C$2:$C$1960,0)),"",INDEX('Compliance Database'!$L$2:$L$1960,MATCH(1820,Engine!$C$2:$C$1960,0)))</f>
        <v/>
      </c>
      <c r="M1833" s="9">
        <f>IF(ISNA(MATCH(1820,Engine!$C$2:$C$1960,0)),"",INDEX('Compliance Database'!$M$2:$M$1960,MATCH(1820,Engine!$C$2:$C$1960,0)))</f>
        <v/>
      </c>
      <c r="N1833" s="9">
        <f>IF(ISNA(MATCH(1820,Engine!$C$2:$C$1960,0)),"",INDEX('Compliance Database'!$N$2:$N$1960,MATCH(1820,Engine!$C$2:$C$1960,0)))</f>
        <v/>
      </c>
      <c r="O1833" s="9">
        <f>IF(ISNA(MATCH(1820,Engine!$C$2:$C$1960,0)),"",INDEX('Compliance Database'!$O$2:$O$1960,MATCH(1820,Engine!$C$2:$C$1960,0)))</f>
        <v/>
      </c>
      <c r="P1833" s="8">
        <f>IF(ISNA(MATCH(1820,Engine!$C$2:$C$1960,0)),"",HYPERLINK("#Acts!A"&amp;INDEX('Compliance Database'!$P$2:$P$1960,MATCH(1820,Engine!$C$2:$C$1960,0)),"Go to Act"))</f>
        <v/>
      </c>
    </row>
    <row r="1834" ht="158" customHeight="1">
      <c r="A1834" s="8">
        <f>IF(ISNA(MATCH(1821,Engine!$C$2:$C$1960,0)),"",INDEX('Compliance Database'!$A$2:$A$1960,MATCH(1821,Engine!$C$2:$C$1960,0)))</f>
        <v/>
      </c>
      <c r="B1834" s="8">
        <f>IF(ISNA(MATCH(1821,Engine!$C$2:$C$1960,0)),"",INDEX('Compliance Database'!$B$2:$B$1960,MATCH(1821,Engine!$C$2:$C$1960,0)))</f>
        <v/>
      </c>
      <c r="C1834" s="8">
        <f>IF(ISNA(MATCH(1821,Engine!$C$2:$C$1960,0)),"",INDEX('Compliance Database'!$C$2:$C$1960,MATCH(1821,Engine!$C$2:$C$1960,0)))</f>
        <v/>
      </c>
      <c r="D1834" s="9">
        <f>IF(ISNA(MATCH(1821,Engine!$C$2:$C$1960,0)),"",INDEX('Compliance Database'!$D$2:$D$1960,MATCH(1821,Engine!$C$2:$C$1960,0)))</f>
        <v/>
      </c>
      <c r="E1834" s="8">
        <f>IF(ISNA(MATCH(1821,Engine!$C$2:$C$1960,0)),"",INDEX('Compliance Database'!$E$2:$E$1960,MATCH(1821,Engine!$C$2:$C$1960,0)))</f>
        <v/>
      </c>
      <c r="F1834" s="8">
        <f>IF(ISNA(MATCH(1821,Engine!$C$2:$C$1960,0)),"",INDEX('Compliance Database'!$F$2:$F$1960,MATCH(1821,Engine!$C$2:$C$1960,0)))</f>
        <v/>
      </c>
      <c r="G1834" s="8">
        <f>IF(ISNA(MATCH(1821,Engine!$C$2:$C$1960,0)),"",INDEX('Compliance Database'!$G$2:$G$1960,MATCH(1821,Engine!$C$2:$C$1960,0)))</f>
        <v/>
      </c>
      <c r="H1834" s="9">
        <f>IF(ISNA(MATCH(1821,Engine!$C$2:$C$1960,0)),"",INDEX('Compliance Database'!$H$2:$H$1960,MATCH(1821,Engine!$C$2:$C$1960,0)))</f>
        <v/>
      </c>
      <c r="I1834" s="9">
        <f>IF(ISNA(MATCH(1821,Engine!$C$2:$C$1960,0)),"",INDEX('Compliance Database'!$I$2:$I$1960,MATCH(1821,Engine!$C$2:$C$1960,0)))</f>
        <v/>
      </c>
      <c r="J1834" s="8">
        <f>IF(ISNA(MATCH(1821,Engine!$C$2:$C$1960,0)),"",INDEX('Compliance Database'!$J$2:$J$1960,MATCH(1821,Engine!$C$2:$C$1960,0)))</f>
        <v/>
      </c>
      <c r="K1834" s="9">
        <f>IF(ISNA(MATCH(1821,Engine!$C$2:$C$1960,0)),"",INDEX('Compliance Database'!$K$2:$K$1960,MATCH(1821,Engine!$C$2:$C$1960,0)))</f>
        <v/>
      </c>
      <c r="L1834" s="9">
        <f>IF(ISNA(MATCH(1821,Engine!$C$2:$C$1960,0)),"",INDEX('Compliance Database'!$L$2:$L$1960,MATCH(1821,Engine!$C$2:$C$1960,0)))</f>
        <v/>
      </c>
      <c r="M1834" s="9">
        <f>IF(ISNA(MATCH(1821,Engine!$C$2:$C$1960,0)),"",INDEX('Compliance Database'!$M$2:$M$1960,MATCH(1821,Engine!$C$2:$C$1960,0)))</f>
        <v/>
      </c>
      <c r="N1834" s="9">
        <f>IF(ISNA(MATCH(1821,Engine!$C$2:$C$1960,0)),"",INDEX('Compliance Database'!$N$2:$N$1960,MATCH(1821,Engine!$C$2:$C$1960,0)))</f>
        <v/>
      </c>
      <c r="O1834" s="9">
        <f>IF(ISNA(MATCH(1821,Engine!$C$2:$C$1960,0)),"",INDEX('Compliance Database'!$O$2:$O$1960,MATCH(1821,Engine!$C$2:$C$1960,0)))</f>
        <v/>
      </c>
      <c r="P1834" s="8">
        <f>IF(ISNA(MATCH(1821,Engine!$C$2:$C$1960,0)),"",HYPERLINK("#Acts!A"&amp;INDEX('Compliance Database'!$P$2:$P$1960,MATCH(1821,Engine!$C$2:$C$1960,0)),"Go to Act"))</f>
        <v/>
      </c>
    </row>
    <row r="1835" ht="158" customHeight="1">
      <c r="A1835" s="8">
        <f>IF(ISNA(MATCH(1822,Engine!$C$2:$C$1960,0)),"",INDEX('Compliance Database'!$A$2:$A$1960,MATCH(1822,Engine!$C$2:$C$1960,0)))</f>
        <v/>
      </c>
      <c r="B1835" s="8">
        <f>IF(ISNA(MATCH(1822,Engine!$C$2:$C$1960,0)),"",INDEX('Compliance Database'!$B$2:$B$1960,MATCH(1822,Engine!$C$2:$C$1960,0)))</f>
        <v/>
      </c>
      <c r="C1835" s="8">
        <f>IF(ISNA(MATCH(1822,Engine!$C$2:$C$1960,0)),"",INDEX('Compliance Database'!$C$2:$C$1960,MATCH(1822,Engine!$C$2:$C$1960,0)))</f>
        <v/>
      </c>
      <c r="D1835" s="9">
        <f>IF(ISNA(MATCH(1822,Engine!$C$2:$C$1960,0)),"",INDEX('Compliance Database'!$D$2:$D$1960,MATCH(1822,Engine!$C$2:$C$1960,0)))</f>
        <v/>
      </c>
      <c r="E1835" s="8">
        <f>IF(ISNA(MATCH(1822,Engine!$C$2:$C$1960,0)),"",INDEX('Compliance Database'!$E$2:$E$1960,MATCH(1822,Engine!$C$2:$C$1960,0)))</f>
        <v/>
      </c>
      <c r="F1835" s="8">
        <f>IF(ISNA(MATCH(1822,Engine!$C$2:$C$1960,0)),"",INDEX('Compliance Database'!$F$2:$F$1960,MATCH(1822,Engine!$C$2:$C$1960,0)))</f>
        <v/>
      </c>
      <c r="G1835" s="8">
        <f>IF(ISNA(MATCH(1822,Engine!$C$2:$C$1960,0)),"",INDEX('Compliance Database'!$G$2:$G$1960,MATCH(1822,Engine!$C$2:$C$1960,0)))</f>
        <v/>
      </c>
      <c r="H1835" s="9">
        <f>IF(ISNA(MATCH(1822,Engine!$C$2:$C$1960,0)),"",INDEX('Compliance Database'!$H$2:$H$1960,MATCH(1822,Engine!$C$2:$C$1960,0)))</f>
        <v/>
      </c>
      <c r="I1835" s="9">
        <f>IF(ISNA(MATCH(1822,Engine!$C$2:$C$1960,0)),"",INDEX('Compliance Database'!$I$2:$I$1960,MATCH(1822,Engine!$C$2:$C$1960,0)))</f>
        <v/>
      </c>
      <c r="J1835" s="8">
        <f>IF(ISNA(MATCH(1822,Engine!$C$2:$C$1960,0)),"",INDEX('Compliance Database'!$J$2:$J$1960,MATCH(1822,Engine!$C$2:$C$1960,0)))</f>
        <v/>
      </c>
      <c r="K1835" s="9">
        <f>IF(ISNA(MATCH(1822,Engine!$C$2:$C$1960,0)),"",INDEX('Compliance Database'!$K$2:$K$1960,MATCH(1822,Engine!$C$2:$C$1960,0)))</f>
        <v/>
      </c>
      <c r="L1835" s="9">
        <f>IF(ISNA(MATCH(1822,Engine!$C$2:$C$1960,0)),"",INDEX('Compliance Database'!$L$2:$L$1960,MATCH(1822,Engine!$C$2:$C$1960,0)))</f>
        <v/>
      </c>
      <c r="M1835" s="9">
        <f>IF(ISNA(MATCH(1822,Engine!$C$2:$C$1960,0)),"",INDEX('Compliance Database'!$M$2:$M$1960,MATCH(1822,Engine!$C$2:$C$1960,0)))</f>
        <v/>
      </c>
      <c r="N1835" s="9">
        <f>IF(ISNA(MATCH(1822,Engine!$C$2:$C$1960,0)),"",INDEX('Compliance Database'!$N$2:$N$1960,MATCH(1822,Engine!$C$2:$C$1960,0)))</f>
        <v/>
      </c>
      <c r="O1835" s="9">
        <f>IF(ISNA(MATCH(1822,Engine!$C$2:$C$1960,0)),"",INDEX('Compliance Database'!$O$2:$O$1960,MATCH(1822,Engine!$C$2:$C$1960,0)))</f>
        <v/>
      </c>
      <c r="P1835" s="8">
        <f>IF(ISNA(MATCH(1822,Engine!$C$2:$C$1960,0)),"",HYPERLINK("#Acts!A"&amp;INDEX('Compliance Database'!$P$2:$P$1960,MATCH(1822,Engine!$C$2:$C$1960,0)),"Go to Act"))</f>
        <v/>
      </c>
    </row>
    <row r="1836" ht="158" customHeight="1">
      <c r="A1836" s="8">
        <f>IF(ISNA(MATCH(1823,Engine!$C$2:$C$1960,0)),"",INDEX('Compliance Database'!$A$2:$A$1960,MATCH(1823,Engine!$C$2:$C$1960,0)))</f>
        <v/>
      </c>
      <c r="B1836" s="8">
        <f>IF(ISNA(MATCH(1823,Engine!$C$2:$C$1960,0)),"",INDEX('Compliance Database'!$B$2:$B$1960,MATCH(1823,Engine!$C$2:$C$1960,0)))</f>
        <v/>
      </c>
      <c r="C1836" s="8">
        <f>IF(ISNA(MATCH(1823,Engine!$C$2:$C$1960,0)),"",INDEX('Compliance Database'!$C$2:$C$1960,MATCH(1823,Engine!$C$2:$C$1960,0)))</f>
        <v/>
      </c>
      <c r="D1836" s="9">
        <f>IF(ISNA(MATCH(1823,Engine!$C$2:$C$1960,0)),"",INDEX('Compliance Database'!$D$2:$D$1960,MATCH(1823,Engine!$C$2:$C$1960,0)))</f>
        <v/>
      </c>
      <c r="E1836" s="8">
        <f>IF(ISNA(MATCH(1823,Engine!$C$2:$C$1960,0)),"",INDEX('Compliance Database'!$E$2:$E$1960,MATCH(1823,Engine!$C$2:$C$1960,0)))</f>
        <v/>
      </c>
      <c r="F1836" s="8">
        <f>IF(ISNA(MATCH(1823,Engine!$C$2:$C$1960,0)),"",INDEX('Compliance Database'!$F$2:$F$1960,MATCH(1823,Engine!$C$2:$C$1960,0)))</f>
        <v/>
      </c>
      <c r="G1836" s="8">
        <f>IF(ISNA(MATCH(1823,Engine!$C$2:$C$1960,0)),"",INDEX('Compliance Database'!$G$2:$G$1960,MATCH(1823,Engine!$C$2:$C$1960,0)))</f>
        <v/>
      </c>
      <c r="H1836" s="9">
        <f>IF(ISNA(MATCH(1823,Engine!$C$2:$C$1960,0)),"",INDEX('Compliance Database'!$H$2:$H$1960,MATCH(1823,Engine!$C$2:$C$1960,0)))</f>
        <v/>
      </c>
      <c r="I1836" s="9">
        <f>IF(ISNA(MATCH(1823,Engine!$C$2:$C$1960,0)),"",INDEX('Compliance Database'!$I$2:$I$1960,MATCH(1823,Engine!$C$2:$C$1960,0)))</f>
        <v/>
      </c>
      <c r="J1836" s="8">
        <f>IF(ISNA(MATCH(1823,Engine!$C$2:$C$1960,0)),"",INDEX('Compliance Database'!$J$2:$J$1960,MATCH(1823,Engine!$C$2:$C$1960,0)))</f>
        <v/>
      </c>
      <c r="K1836" s="9">
        <f>IF(ISNA(MATCH(1823,Engine!$C$2:$C$1960,0)),"",INDEX('Compliance Database'!$K$2:$K$1960,MATCH(1823,Engine!$C$2:$C$1960,0)))</f>
        <v/>
      </c>
      <c r="L1836" s="9">
        <f>IF(ISNA(MATCH(1823,Engine!$C$2:$C$1960,0)),"",INDEX('Compliance Database'!$L$2:$L$1960,MATCH(1823,Engine!$C$2:$C$1960,0)))</f>
        <v/>
      </c>
      <c r="M1836" s="9">
        <f>IF(ISNA(MATCH(1823,Engine!$C$2:$C$1960,0)),"",INDEX('Compliance Database'!$M$2:$M$1960,MATCH(1823,Engine!$C$2:$C$1960,0)))</f>
        <v/>
      </c>
      <c r="N1836" s="9">
        <f>IF(ISNA(MATCH(1823,Engine!$C$2:$C$1960,0)),"",INDEX('Compliance Database'!$N$2:$N$1960,MATCH(1823,Engine!$C$2:$C$1960,0)))</f>
        <v/>
      </c>
      <c r="O1836" s="9">
        <f>IF(ISNA(MATCH(1823,Engine!$C$2:$C$1960,0)),"",INDEX('Compliance Database'!$O$2:$O$1960,MATCH(1823,Engine!$C$2:$C$1960,0)))</f>
        <v/>
      </c>
      <c r="P1836" s="8">
        <f>IF(ISNA(MATCH(1823,Engine!$C$2:$C$1960,0)),"",HYPERLINK("#Acts!A"&amp;INDEX('Compliance Database'!$P$2:$P$1960,MATCH(1823,Engine!$C$2:$C$1960,0)),"Go to Act"))</f>
        <v/>
      </c>
    </row>
    <row r="1837" ht="158" customHeight="1">
      <c r="A1837" s="8">
        <f>IF(ISNA(MATCH(1824,Engine!$C$2:$C$1960,0)),"",INDEX('Compliance Database'!$A$2:$A$1960,MATCH(1824,Engine!$C$2:$C$1960,0)))</f>
        <v/>
      </c>
      <c r="B1837" s="8">
        <f>IF(ISNA(MATCH(1824,Engine!$C$2:$C$1960,0)),"",INDEX('Compliance Database'!$B$2:$B$1960,MATCH(1824,Engine!$C$2:$C$1960,0)))</f>
        <v/>
      </c>
      <c r="C1837" s="8">
        <f>IF(ISNA(MATCH(1824,Engine!$C$2:$C$1960,0)),"",INDEX('Compliance Database'!$C$2:$C$1960,MATCH(1824,Engine!$C$2:$C$1960,0)))</f>
        <v/>
      </c>
      <c r="D1837" s="9">
        <f>IF(ISNA(MATCH(1824,Engine!$C$2:$C$1960,0)),"",INDEX('Compliance Database'!$D$2:$D$1960,MATCH(1824,Engine!$C$2:$C$1960,0)))</f>
        <v/>
      </c>
      <c r="E1837" s="8">
        <f>IF(ISNA(MATCH(1824,Engine!$C$2:$C$1960,0)),"",INDEX('Compliance Database'!$E$2:$E$1960,MATCH(1824,Engine!$C$2:$C$1960,0)))</f>
        <v/>
      </c>
      <c r="F1837" s="8">
        <f>IF(ISNA(MATCH(1824,Engine!$C$2:$C$1960,0)),"",INDEX('Compliance Database'!$F$2:$F$1960,MATCH(1824,Engine!$C$2:$C$1960,0)))</f>
        <v/>
      </c>
      <c r="G1837" s="8">
        <f>IF(ISNA(MATCH(1824,Engine!$C$2:$C$1960,0)),"",INDEX('Compliance Database'!$G$2:$G$1960,MATCH(1824,Engine!$C$2:$C$1960,0)))</f>
        <v/>
      </c>
      <c r="H1837" s="9">
        <f>IF(ISNA(MATCH(1824,Engine!$C$2:$C$1960,0)),"",INDEX('Compliance Database'!$H$2:$H$1960,MATCH(1824,Engine!$C$2:$C$1960,0)))</f>
        <v/>
      </c>
      <c r="I1837" s="9">
        <f>IF(ISNA(MATCH(1824,Engine!$C$2:$C$1960,0)),"",INDEX('Compliance Database'!$I$2:$I$1960,MATCH(1824,Engine!$C$2:$C$1960,0)))</f>
        <v/>
      </c>
      <c r="J1837" s="8">
        <f>IF(ISNA(MATCH(1824,Engine!$C$2:$C$1960,0)),"",INDEX('Compliance Database'!$J$2:$J$1960,MATCH(1824,Engine!$C$2:$C$1960,0)))</f>
        <v/>
      </c>
      <c r="K1837" s="9">
        <f>IF(ISNA(MATCH(1824,Engine!$C$2:$C$1960,0)),"",INDEX('Compliance Database'!$K$2:$K$1960,MATCH(1824,Engine!$C$2:$C$1960,0)))</f>
        <v/>
      </c>
      <c r="L1837" s="9">
        <f>IF(ISNA(MATCH(1824,Engine!$C$2:$C$1960,0)),"",INDEX('Compliance Database'!$L$2:$L$1960,MATCH(1824,Engine!$C$2:$C$1960,0)))</f>
        <v/>
      </c>
      <c r="M1837" s="9">
        <f>IF(ISNA(MATCH(1824,Engine!$C$2:$C$1960,0)),"",INDEX('Compliance Database'!$M$2:$M$1960,MATCH(1824,Engine!$C$2:$C$1960,0)))</f>
        <v/>
      </c>
      <c r="N1837" s="9">
        <f>IF(ISNA(MATCH(1824,Engine!$C$2:$C$1960,0)),"",INDEX('Compliance Database'!$N$2:$N$1960,MATCH(1824,Engine!$C$2:$C$1960,0)))</f>
        <v/>
      </c>
      <c r="O1837" s="9">
        <f>IF(ISNA(MATCH(1824,Engine!$C$2:$C$1960,0)),"",INDEX('Compliance Database'!$O$2:$O$1960,MATCH(1824,Engine!$C$2:$C$1960,0)))</f>
        <v/>
      </c>
      <c r="P1837" s="8">
        <f>IF(ISNA(MATCH(1824,Engine!$C$2:$C$1960,0)),"",HYPERLINK("#Acts!A"&amp;INDEX('Compliance Database'!$P$2:$P$1960,MATCH(1824,Engine!$C$2:$C$1960,0)),"Go to Act"))</f>
        <v/>
      </c>
    </row>
    <row r="1838" ht="158" customHeight="1">
      <c r="A1838" s="8">
        <f>IF(ISNA(MATCH(1825,Engine!$C$2:$C$1960,0)),"",INDEX('Compliance Database'!$A$2:$A$1960,MATCH(1825,Engine!$C$2:$C$1960,0)))</f>
        <v/>
      </c>
      <c r="B1838" s="8">
        <f>IF(ISNA(MATCH(1825,Engine!$C$2:$C$1960,0)),"",INDEX('Compliance Database'!$B$2:$B$1960,MATCH(1825,Engine!$C$2:$C$1960,0)))</f>
        <v/>
      </c>
      <c r="C1838" s="8">
        <f>IF(ISNA(MATCH(1825,Engine!$C$2:$C$1960,0)),"",INDEX('Compliance Database'!$C$2:$C$1960,MATCH(1825,Engine!$C$2:$C$1960,0)))</f>
        <v/>
      </c>
      <c r="D1838" s="9">
        <f>IF(ISNA(MATCH(1825,Engine!$C$2:$C$1960,0)),"",INDEX('Compliance Database'!$D$2:$D$1960,MATCH(1825,Engine!$C$2:$C$1960,0)))</f>
        <v/>
      </c>
      <c r="E1838" s="8">
        <f>IF(ISNA(MATCH(1825,Engine!$C$2:$C$1960,0)),"",INDEX('Compliance Database'!$E$2:$E$1960,MATCH(1825,Engine!$C$2:$C$1960,0)))</f>
        <v/>
      </c>
      <c r="F1838" s="8">
        <f>IF(ISNA(MATCH(1825,Engine!$C$2:$C$1960,0)),"",INDEX('Compliance Database'!$F$2:$F$1960,MATCH(1825,Engine!$C$2:$C$1960,0)))</f>
        <v/>
      </c>
      <c r="G1838" s="8">
        <f>IF(ISNA(MATCH(1825,Engine!$C$2:$C$1960,0)),"",INDEX('Compliance Database'!$G$2:$G$1960,MATCH(1825,Engine!$C$2:$C$1960,0)))</f>
        <v/>
      </c>
      <c r="H1838" s="9">
        <f>IF(ISNA(MATCH(1825,Engine!$C$2:$C$1960,0)),"",INDEX('Compliance Database'!$H$2:$H$1960,MATCH(1825,Engine!$C$2:$C$1960,0)))</f>
        <v/>
      </c>
      <c r="I1838" s="9">
        <f>IF(ISNA(MATCH(1825,Engine!$C$2:$C$1960,0)),"",INDEX('Compliance Database'!$I$2:$I$1960,MATCH(1825,Engine!$C$2:$C$1960,0)))</f>
        <v/>
      </c>
      <c r="J1838" s="8">
        <f>IF(ISNA(MATCH(1825,Engine!$C$2:$C$1960,0)),"",INDEX('Compliance Database'!$J$2:$J$1960,MATCH(1825,Engine!$C$2:$C$1960,0)))</f>
        <v/>
      </c>
      <c r="K1838" s="9">
        <f>IF(ISNA(MATCH(1825,Engine!$C$2:$C$1960,0)),"",INDEX('Compliance Database'!$K$2:$K$1960,MATCH(1825,Engine!$C$2:$C$1960,0)))</f>
        <v/>
      </c>
      <c r="L1838" s="9">
        <f>IF(ISNA(MATCH(1825,Engine!$C$2:$C$1960,0)),"",INDEX('Compliance Database'!$L$2:$L$1960,MATCH(1825,Engine!$C$2:$C$1960,0)))</f>
        <v/>
      </c>
      <c r="M1838" s="9">
        <f>IF(ISNA(MATCH(1825,Engine!$C$2:$C$1960,0)),"",INDEX('Compliance Database'!$M$2:$M$1960,MATCH(1825,Engine!$C$2:$C$1960,0)))</f>
        <v/>
      </c>
      <c r="N1838" s="9">
        <f>IF(ISNA(MATCH(1825,Engine!$C$2:$C$1960,0)),"",INDEX('Compliance Database'!$N$2:$N$1960,MATCH(1825,Engine!$C$2:$C$1960,0)))</f>
        <v/>
      </c>
      <c r="O1838" s="9">
        <f>IF(ISNA(MATCH(1825,Engine!$C$2:$C$1960,0)),"",INDEX('Compliance Database'!$O$2:$O$1960,MATCH(1825,Engine!$C$2:$C$1960,0)))</f>
        <v/>
      </c>
      <c r="P1838" s="8">
        <f>IF(ISNA(MATCH(1825,Engine!$C$2:$C$1960,0)),"",HYPERLINK("#Acts!A"&amp;INDEX('Compliance Database'!$P$2:$P$1960,MATCH(1825,Engine!$C$2:$C$1960,0)),"Go to Act"))</f>
        <v/>
      </c>
    </row>
    <row r="1839" ht="158" customHeight="1">
      <c r="A1839" s="8">
        <f>IF(ISNA(MATCH(1826,Engine!$C$2:$C$1960,0)),"",INDEX('Compliance Database'!$A$2:$A$1960,MATCH(1826,Engine!$C$2:$C$1960,0)))</f>
        <v/>
      </c>
      <c r="B1839" s="8">
        <f>IF(ISNA(MATCH(1826,Engine!$C$2:$C$1960,0)),"",INDEX('Compliance Database'!$B$2:$B$1960,MATCH(1826,Engine!$C$2:$C$1960,0)))</f>
        <v/>
      </c>
      <c r="C1839" s="8">
        <f>IF(ISNA(MATCH(1826,Engine!$C$2:$C$1960,0)),"",INDEX('Compliance Database'!$C$2:$C$1960,MATCH(1826,Engine!$C$2:$C$1960,0)))</f>
        <v/>
      </c>
      <c r="D1839" s="9">
        <f>IF(ISNA(MATCH(1826,Engine!$C$2:$C$1960,0)),"",INDEX('Compliance Database'!$D$2:$D$1960,MATCH(1826,Engine!$C$2:$C$1960,0)))</f>
        <v/>
      </c>
      <c r="E1839" s="8">
        <f>IF(ISNA(MATCH(1826,Engine!$C$2:$C$1960,0)),"",INDEX('Compliance Database'!$E$2:$E$1960,MATCH(1826,Engine!$C$2:$C$1960,0)))</f>
        <v/>
      </c>
      <c r="F1839" s="8">
        <f>IF(ISNA(MATCH(1826,Engine!$C$2:$C$1960,0)),"",INDEX('Compliance Database'!$F$2:$F$1960,MATCH(1826,Engine!$C$2:$C$1960,0)))</f>
        <v/>
      </c>
      <c r="G1839" s="8">
        <f>IF(ISNA(MATCH(1826,Engine!$C$2:$C$1960,0)),"",INDEX('Compliance Database'!$G$2:$G$1960,MATCH(1826,Engine!$C$2:$C$1960,0)))</f>
        <v/>
      </c>
      <c r="H1839" s="9">
        <f>IF(ISNA(MATCH(1826,Engine!$C$2:$C$1960,0)),"",INDEX('Compliance Database'!$H$2:$H$1960,MATCH(1826,Engine!$C$2:$C$1960,0)))</f>
        <v/>
      </c>
      <c r="I1839" s="9">
        <f>IF(ISNA(MATCH(1826,Engine!$C$2:$C$1960,0)),"",INDEX('Compliance Database'!$I$2:$I$1960,MATCH(1826,Engine!$C$2:$C$1960,0)))</f>
        <v/>
      </c>
      <c r="J1839" s="8">
        <f>IF(ISNA(MATCH(1826,Engine!$C$2:$C$1960,0)),"",INDEX('Compliance Database'!$J$2:$J$1960,MATCH(1826,Engine!$C$2:$C$1960,0)))</f>
        <v/>
      </c>
      <c r="K1839" s="9">
        <f>IF(ISNA(MATCH(1826,Engine!$C$2:$C$1960,0)),"",INDEX('Compliance Database'!$K$2:$K$1960,MATCH(1826,Engine!$C$2:$C$1960,0)))</f>
        <v/>
      </c>
      <c r="L1839" s="9">
        <f>IF(ISNA(MATCH(1826,Engine!$C$2:$C$1960,0)),"",INDEX('Compliance Database'!$L$2:$L$1960,MATCH(1826,Engine!$C$2:$C$1960,0)))</f>
        <v/>
      </c>
      <c r="M1839" s="9">
        <f>IF(ISNA(MATCH(1826,Engine!$C$2:$C$1960,0)),"",INDEX('Compliance Database'!$M$2:$M$1960,MATCH(1826,Engine!$C$2:$C$1960,0)))</f>
        <v/>
      </c>
      <c r="N1839" s="9">
        <f>IF(ISNA(MATCH(1826,Engine!$C$2:$C$1960,0)),"",INDEX('Compliance Database'!$N$2:$N$1960,MATCH(1826,Engine!$C$2:$C$1960,0)))</f>
        <v/>
      </c>
      <c r="O1839" s="9">
        <f>IF(ISNA(MATCH(1826,Engine!$C$2:$C$1960,0)),"",INDEX('Compliance Database'!$O$2:$O$1960,MATCH(1826,Engine!$C$2:$C$1960,0)))</f>
        <v/>
      </c>
      <c r="P1839" s="8">
        <f>IF(ISNA(MATCH(1826,Engine!$C$2:$C$1960,0)),"",HYPERLINK("#Acts!A"&amp;INDEX('Compliance Database'!$P$2:$P$1960,MATCH(1826,Engine!$C$2:$C$1960,0)),"Go to Act"))</f>
        <v/>
      </c>
    </row>
    <row r="1840" ht="158" customHeight="1">
      <c r="A1840" s="8">
        <f>IF(ISNA(MATCH(1827,Engine!$C$2:$C$1960,0)),"",INDEX('Compliance Database'!$A$2:$A$1960,MATCH(1827,Engine!$C$2:$C$1960,0)))</f>
        <v/>
      </c>
      <c r="B1840" s="8">
        <f>IF(ISNA(MATCH(1827,Engine!$C$2:$C$1960,0)),"",INDEX('Compliance Database'!$B$2:$B$1960,MATCH(1827,Engine!$C$2:$C$1960,0)))</f>
        <v/>
      </c>
      <c r="C1840" s="8">
        <f>IF(ISNA(MATCH(1827,Engine!$C$2:$C$1960,0)),"",INDEX('Compliance Database'!$C$2:$C$1960,MATCH(1827,Engine!$C$2:$C$1960,0)))</f>
        <v/>
      </c>
      <c r="D1840" s="9">
        <f>IF(ISNA(MATCH(1827,Engine!$C$2:$C$1960,0)),"",INDEX('Compliance Database'!$D$2:$D$1960,MATCH(1827,Engine!$C$2:$C$1960,0)))</f>
        <v/>
      </c>
      <c r="E1840" s="8">
        <f>IF(ISNA(MATCH(1827,Engine!$C$2:$C$1960,0)),"",INDEX('Compliance Database'!$E$2:$E$1960,MATCH(1827,Engine!$C$2:$C$1960,0)))</f>
        <v/>
      </c>
      <c r="F1840" s="8">
        <f>IF(ISNA(MATCH(1827,Engine!$C$2:$C$1960,0)),"",INDEX('Compliance Database'!$F$2:$F$1960,MATCH(1827,Engine!$C$2:$C$1960,0)))</f>
        <v/>
      </c>
      <c r="G1840" s="8">
        <f>IF(ISNA(MATCH(1827,Engine!$C$2:$C$1960,0)),"",INDEX('Compliance Database'!$G$2:$G$1960,MATCH(1827,Engine!$C$2:$C$1960,0)))</f>
        <v/>
      </c>
      <c r="H1840" s="9">
        <f>IF(ISNA(MATCH(1827,Engine!$C$2:$C$1960,0)),"",INDEX('Compliance Database'!$H$2:$H$1960,MATCH(1827,Engine!$C$2:$C$1960,0)))</f>
        <v/>
      </c>
      <c r="I1840" s="9">
        <f>IF(ISNA(MATCH(1827,Engine!$C$2:$C$1960,0)),"",INDEX('Compliance Database'!$I$2:$I$1960,MATCH(1827,Engine!$C$2:$C$1960,0)))</f>
        <v/>
      </c>
      <c r="J1840" s="8">
        <f>IF(ISNA(MATCH(1827,Engine!$C$2:$C$1960,0)),"",INDEX('Compliance Database'!$J$2:$J$1960,MATCH(1827,Engine!$C$2:$C$1960,0)))</f>
        <v/>
      </c>
      <c r="K1840" s="9">
        <f>IF(ISNA(MATCH(1827,Engine!$C$2:$C$1960,0)),"",INDEX('Compliance Database'!$K$2:$K$1960,MATCH(1827,Engine!$C$2:$C$1960,0)))</f>
        <v/>
      </c>
      <c r="L1840" s="9">
        <f>IF(ISNA(MATCH(1827,Engine!$C$2:$C$1960,0)),"",INDEX('Compliance Database'!$L$2:$L$1960,MATCH(1827,Engine!$C$2:$C$1960,0)))</f>
        <v/>
      </c>
      <c r="M1840" s="9">
        <f>IF(ISNA(MATCH(1827,Engine!$C$2:$C$1960,0)),"",INDEX('Compliance Database'!$M$2:$M$1960,MATCH(1827,Engine!$C$2:$C$1960,0)))</f>
        <v/>
      </c>
      <c r="N1840" s="9">
        <f>IF(ISNA(MATCH(1827,Engine!$C$2:$C$1960,0)),"",INDEX('Compliance Database'!$N$2:$N$1960,MATCH(1827,Engine!$C$2:$C$1960,0)))</f>
        <v/>
      </c>
      <c r="O1840" s="9">
        <f>IF(ISNA(MATCH(1827,Engine!$C$2:$C$1960,0)),"",INDEX('Compliance Database'!$O$2:$O$1960,MATCH(1827,Engine!$C$2:$C$1960,0)))</f>
        <v/>
      </c>
      <c r="P1840" s="8">
        <f>IF(ISNA(MATCH(1827,Engine!$C$2:$C$1960,0)),"",HYPERLINK("#Acts!A"&amp;INDEX('Compliance Database'!$P$2:$P$1960,MATCH(1827,Engine!$C$2:$C$1960,0)),"Go to Act"))</f>
        <v/>
      </c>
    </row>
    <row r="1841" ht="158" customHeight="1">
      <c r="A1841" s="8">
        <f>IF(ISNA(MATCH(1828,Engine!$C$2:$C$1960,0)),"",INDEX('Compliance Database'!$A$2:$A$1960,MATCH(1828,Engine!$C$2:$C$1960,0)))</f>
        <v/>
      </c>
      <c r="B1841" s="8">
        <f>IF(ISNA(MATCH(1828,Engine!$C$2:$C$1960,0)),"",INDEX('Compliance Database'!$B$2:$B$1960,MATCH(1828,Engine!$C$2:$C$1960,0)))</f>
        <v/>
      </c>
      <c r="C1841" s="8">
        <f>IF(ISNA(MATCH(1828,Engine!$C$2:$C$1960,0)),"",INDEX('Compliance Database'!$C$2:$C$1960,MATCH(1828,Engine!$C$2:$C$1960,0)))</f>
        <v/>
      </c>
      <c r="D1841" s="9">
        <f>IF(ISNA(MATCH(1828,Engine!$C$2:$C$1960,0)),"",INDEX('Compliance Database'!$D$2:$D$1960,MATCH(1828,Engine!$C$2:$C$1960,0)))</f>
        <v/>
      </c>
      <c r="E1841" s="8">
        <f>IF(ISNA(MATCH(1828,Engine!$C$2:$C$1960,0)),"",INDEX('Compliance Database'!$E$2:$E$1960,MATCH(1828,Engine!$C$2:$C$1960,0)))</f>
        <v/>
      </c>
      <c r="F1841" s="8">
        <f>IF(ISNA(MATCH(1828,Engine!$C$2:$C$1960,0)),"",INDEX('Compliance Database'!$F$2:$F$1960,MATCH(1828,Engine!$C$2:$C$1960,0)))</f>
        <v/>
      </c>
      <c r="G1841" s="8">
        <f>IF(ISNA(MATCH(1828,Engine!$C$2:$C$1960,0)),"",INDEX('Compliance Database'!$G$2:$G$1960,MATCH(1828,Engine!$C$2:$C$1960,0)))</f>
        <v/>
      </c>
      <c r="H1841" s="9">
        <f>IF(ISNA(MATCH(1828,Engine!$C$2:$C$1960,0)),"",INDEX('Compliance Database'!$H$2:$H$1960,MATCH(1828,Engine!$C$2:$C$1960,0)))</f>
        <v/>
      </c>
      <c r="I1841" s="9">
        <f>IF(ISNA(MATCH(1828,Engine!$C$2:$C$1960,0)),"",INDEX('Compliance Database'!$I$2:$I$1960,MATCH(1828,Engine!$C$2:$C$1960,0)))</f>
        <v/>
      </c>
      <c r="J1841" s="8">
        <f>IF(ISNA(MATCH(1828,Engine!$C$2:$C$1960,0)),"",INDEX('Compliance Database'!$J$2:$J$1960,MATCH(1828,Engine!$C$2:$C$1960,0)))</f>
        <v/>
      </c>
      <c r="K1841" s="9">
        <f>IF(ISNA(MATCH(1828,Engine!$C$2:$C$1960,0)),"",INDEX('Compliance Database'!$K$2:$K$1960,MATCH(1828,Engine!$C$2:$C$1960,0)))</f>
        <v/>
      </c>
      <c r="L1841" s="9">
        <f>IF(ISNA(MATCH(1828,Engine!$C$2:$C$1960,0)),"",INDEX('Compliance Database'!$L$2:$L$1960,MATCH(1828,Engine!$C$2:$C$1960,0)))</f>
        <v/>
      </c>
      <c r="M1841" s="9">
        <f>IF(ISNA(MATCH(1828,Engine!$C$2:$C$1960,0)),"",INDEX('Compliance Database'!$M$2:$M$1960,MATCH(1828,Engine!$C$2:$C$1960,0)))</f>
        <v/>
      </c>
      <c r="N1841" s="9">
        <f>IF(ISNA(MATCH(1828,Engine!$C$2:$C$1960,0)),"",INDEX('Compliance Database'!$N$2:$N$1960,MATCH(1828,Engine!$C$2:$C$1960,0)))</f>
        <v/>
      </c>
      <c r="O1841" s="9">
        <f>IF(ISNA(MATCH(1828,Engine!$C$2:$C$1960,0)),"",INDEX('Compliance Database'!$O$2:$O$1960,MATCH(1828,Engine!$C$2:$C$1960,0)))</f>
        <v/>
      </c>
      <c r="P1841" s="8">
        <f>IF(ISNA(MATCH(1828,Engine!$C$2:$C$1960,0)),"",HYPERLINK("#Acts!A"&amp;INDEX('Compliance Database'!$P$2:$P$1960,MATCH(1828,Engine!$C$2:$C$1960,0)),"Go to Act"))</f>
        <v/>
      </c>
    </row>
    <row r="1842" ht="158" customHeight="1">
      <c r="A1842" s="8">
        <f>IF(ISNA(MATCH(1829,Engine!$C$2:$C$1960,0)),"",INDEX('Compliance Database'!$A$2:$A$1960,MATCH(1829,Engine!$C$2:$C$1960,0)))</f>
        <v/>
      </c>
      <c r="B1842" s="8">
        <f>IF(ISNA(MATCH(1829,Engine!$C$2:$C$1960,0)),"",INDEX('Compliance Database'!$B$2:$B$1960,MATCH(1829,Engine!$C$2:$C$1960,0)))</f>
        <v/>
      </c>
      <c r="C1842" s="8">
        <f>IF(ISNA(MATCH(1829,Engine!$C$2:$C$1960,0)),"",INDEX('Compliance Database'!$C$2:$C$1960,MATCH(1829,Engine!$C$2:$C$1960,0)))</f>
        <v/>
      </c>
      <c r="D1842" s="9">
        <f>IF(ISNA(MATCH(1829,Engine!$C$2:$C$1960,0)),"",INDEX('Compliance Database'!$D$2:$D$1960,MATCH(1829,Engine!$C$2:$C$1960,0)))</f>
        <v/>
      </c>
      <c r="E1842" s="8">
        <f>IF(ISNA(MATCH(1829,Engine!$C$2:$C$1960,0)),"",INDEX('Compliance Database'!$E$2:$E$1960,MATCH(1829,Engine!$C$2:$C$1960,0)))</f>
        <v/>
      </c>
      <c r="F1842" s="8">
        <f>IF(ISNA(MATCH(1829,Engine!$C$2:$C$1960,0)),"",INDEX('Compliance Database'!$F$2:$F$1960,MATCH(1829,Engine!$C$2:$C$1960,0)))</f>
        <v/>
      </c>
      <c r="G1842" s="8">
        <f>IF(ISNA(MATCH(1829,Engine!$C$2:$C$1960,0)),"",INDEX('Compliance Database'!$G$2:$G$1960,MATCH(1829,Engine!$C$2:$C$1960,0)))</f>
        <v/>
      </c>
      <c r="H1842" s="9">
        <f>IF(ISNA(MATCH(1829,Engine!$C$2:$C$1960,0)),"",INDEX('Compliance Database'!$H$2:$H$1960,MATCH(1829,Engine!$C$2:$C$1960,0)))</f>
        <v/>
      </c>
      <c r="I1842" s="9">
        <f>IF(ISNA(MATCH(1829,Engine!$C$2:$C$1960,0)),"",INDEX('Compliance Database'!$I$2:$I$1960,MATCH(1829,Engine!$C$2:$C$1960,0)))</f>
        <v/>
      </c>
      <c r="J1842" s="8">
        <f>IF(ISNA(MATCH(1829,Engine!$C$2:$C$1960,0)),"",INDEX('Compliance Database'!$J$2:$J$1960,MATCH(1829,Engine!$C$2:$C$1960,0)))</f>
        <v/>
      </c>
      <c r="K1842" s="9">
        <f>IF(ISNA(MATCH(1829,Engine!$C$2:$C$1960,0)),"",INDEX('Compliance Database'!$K$2:$K$1960,MATCH(1829,Engine!$C$2:$C$1960,0)))</f>
        <v/>
      </c>
      <c r="L1842" s="9">
        <f>IF(ISNA(MATCH(1829,Engine!$C$2:$C$1960,0)),"",INDEX('Compliance Database'!$L$2:$L$1960,MATCH(1829,Engine!$C$2:$C$1960,0)))</f>
        <v/>
      </c>
      <c r="M1842" s="9">
        <f>IF(ISNA(MATCH(1829,Engine!$C$2:$C$1960,0)),"",INDEX('Compliance Database'!$M$2:$M$1960,MATCH(1829,Engine!$C$2:$C$1960,0)))</f>
        <v/>
      </c>
      <c r="N1842" s="9">
        <f>IF(ISNA(MATCH(1829,Engine!$C$2:$C$1960,0)),"",INDEX('Compliance Database'!$N$2:$N$1960,MATCH(1829,Engine!$C$2:$C$1960,0)))</f>
        <v/>
      </c>
      <c r="O1842" s="9">
        <f>IF(ISNA(MATCH(1829,Engine!$C$2:$C$1960,0)),"",INDEX('Compliance Database'!$O$2:$O$1960,MATCH(1829,Engine!$C$2:$C$1960,0)))</f>
        <v/>
      </c>
      <c r="P1842" s="8">
        <f>IF(ISNA(MATCH(1829,Engine!$C$2:$C$1960,0)),"",HYPERLINK("#Acts!A"&amp;INDEX('Compliance Database'!$P$2:$P$1960,MATCH(1829,Engine!$C$2:$C$1960,0)),"Go to Act"))</f>
        <v/>
      </c>
    </row>
    <row r="1843" ht="158" customHeight="1">
      <c r="A1843" s="8">
        <f>IF(ISNA(MATCH(1830,Engine!$C$2:$C$1960,0)),"",INDEX('Compliance Database'!$A$2:$A$1960,MATCH(1830,Engine!$C$2:$C$1960,0)))</f>
        <v/>
      </c>
      <c r="B1843" s="8">
        <f>IF(ISNA(MATCH(1830,Engine!$C$2:$C$1960,0)),"",INDEX('Compliance Database'!$B$2:$B$1960,MATCH(1830,Engine!$C$2:$C$1960,0)))</f>
        <v/>
      </c>
      <c r="C1843" s="8">
        <f>IF(ISNA(MATCH(1830,Engine!$C$2:$C$1960,0)),"",INDEX('Compliance Database'!$C$2:$C$1960,MATCH(1830,Engine!$C$2:$C$1960,0)))</f>
        <v/>
      </c>
      <c r="D1843" s="9">
        <f>IF(ISNA(MATCH(1830,Engine!$C$2:$C$1960,0)),"",INDEX('Compliance Database'!$D$2:$D$1960,MATCH(1830,Engine!$C$2:$C$1960,0)))</f>
        <v/>
      </c>
      <c r="E1843" s="8">
        <f>IF(ISNA(MATCH(1830,Engine!$C$2:$C$1960,0)),"",INDEX('Compliance Database'!$E$2:$E$1960,MATCH(1830,Engine!$C$2:$C$1960,0)))</f>
        <v/>
      </c>
      <c r="F1843" s="8">
        <f>IF(ISNA(MATCH(1830,Engine!$C$2:$C$1960,0)),"",INDEX('Compliance Database'!$F$2:$F$1960,MATCH(1830,Engine!$C$2:$C$1960,0)))</f>
        <v/>
      </c>
      <c r="G1843" s="8">
        <f>IF(ISNA(MATCH(1830,Engine!$C$2:$C$1960,0)),"",INDEX('Compliance Database'!$G$2:$G$1960,MATCH(1830,Engine!$C$2:$C$1960,0)))</f>
        <v/>
      </c>
      <c r="H1843" s="9">
        <f>IF(ISNA(MATCH(1830,Engine!$C$2:$C$1960,0)),"",INDEX('Compliance Database'!$H$2:$H$1960,MATCH(1830,Engine!$C$2:$C$1960,0)))</f>
        <v/>
      </c>
      <c r="I1843" s="9">
        <f>IF(ISNA(MATCH(1830,Engine!$C$2:$C$1960,0)),"",INDEX('Compliance Database'!$I$2:$I$1960,MATCH(1830,Engine!$C$2:$C$1960,0)))</f>
        <v/>
      </c>
      <c r="J1843" s="8">
        <f>IF(ISNA(MATCH(1830,Engine!$C$2:$C$1960,0)),"",INDEX('Compliance Database'!$J$2:$J$1960,MATCH(1830,Engine!$C$2:$C$1960,0)))</f>
        <v/>
      </c>
      <c r="K1843" s="9">
        <f>IF(ISNA(MATCH(1830,Engine!$C$2:$C$1960,0)),"",INDEX('Compliance Database'!$K$2:$K$1960,MATCH(1830,Engine!$C$2:$C$1960,0)))</f>
        <v/>
      </c>
      <c r="L1843" s="9">
        <f>IF(ISNA(MATCH(1830,Engine!$C$2:$C$1960,0)),"",INDEX('Compliance Database'!$L$2:$L$1960,MATCH(1830,Engine!$C$2:$C$1960,0)))</f>
        <v/>
      </c>
      <c r="M1843" s="9">
        <f>IF(ISNA(MATCH(1830,Engine!$C$2:$C$1960,0)),"",INDEX('Compliance Database'!$M$2:$M$1960,MATCH(1830,Engine!$C$2:$C$1960,0)))</f>
        <v/>
      </c>
      <c r="N1843" s="9">
        <f>IF(ISNA(MATCH(1830,Engine!$C$2:$C$1960,0)),"",INDEX('Compliance Database'!$N$2:$N$1960,MATCH(1830,Engine!$C$2:$C$1960,0)))</f>
        <v/>
      </c>
      <c r="O1843" s="9">
        <f>IF(ISNA(MATCH(1830,Engine!$C$2:$C$1960,0)),"",INDEX('Compliance Database'!$O$2:$O$1960,MATCH(1830,Engine!$C$2:$C$1960,0)))</f>
        <v/>
      </c>
      <c r="P1843" s="8">
        <f>IF(ISNA(MATCH(1830,Engine!$C$2:$C$1960,0)),"",HYPERLINK("#Acts!A"&amp;INDEX('Compliance Database'!$P$2:$P$1960,MATCH(1830,Engine!$C$2:$C$1960,0)),"Go to Act"))</f>
        <v/>
      </c>
    </row>
    <row r="1844" ht="158" customHeight="1">
      <c r="A1844" s="8">
        <f>IF(ISNA(MATCH(1831,Engine!$C$2:$C$1960,0)),"",INDEX('Compliance Database'!$A$2:$A$1960,MATCH(1831,Engine!$C$2:$C$1960,0)))</f>
        <v/>
      </c>
      <c r="B1844" s="8">
        <f>IF(ISNA(MATCH(1831,Engine!$C$2:$C$1960,0)),"",INDEX('Compliance Database'!$B$2:$B$1960,MATCH(1831,Engine!$C$2:$C$1960,0)))</f>
        <v/>
      </c>
      <c r="C1844" s="8">
        <f>IF(ISNA(MATCH(1831,Engine!$C$2:$C$1960,0)),"",INDEX('Compliance Database'!$C$2:$C$1960,MATCH(1831,Engine!$C$2:$C$1960,0)))</f>
        <v/>
      </c>
      <c r="D1844" s="9">
        <f>IF(ISNA(MATCH(1831,Engine!$C$2:$C$1960,0)),"",INDEX('Compliance Database'!$D$2:$D$1960,MATCH(1831,Engine!$C$2:$C$1960,0)))</f>
        <v/>
      </c>
      <c r="E1844" s="8">
        <f>IF(ISNA(MATCH(1831,Engine!$C$2:$C$1960,0)),"",INDEX('Compliance Database'!$E$2:$E$1960,MATCH(1831,Engine!$C$2:$C$1960,0)))</f>
        <v/>
      </c>
      <c r="F1844" s="8">
        <f>IF(ISNA(MATCH(1831,Engine!$C$2:$C$1960,0)),"",INDEX('Compliance Database'!$F$2:$F$1960,MATCH(1831,Engine!$C$2:$C$1960,0)))</f>
        <v/>
      </c>
      <c r="G1844" s="8">
        <f>IF(ISNA(MATCH(1831,Engine!$C$2:$C$1960,0)),"",INDEX('Compliance Database'!$G$2:$G$1960,MATCH(1831,Engine!$C$2:$C$1960,0)))</f>
        <v/>
      </c>
      <c r="H1844" s="9">
        <f>IF(ISNA(MATCH(1831,Engine!$C$2:$C$1960,0)),"",INDEX('Compliance Database'!$H$2:$H$1960,MATCH(1831,Engine!$C$2:$C$1960,0)))</f>
        <v/>
      </c>
      <c r="I1844" s="9">
        <f>IF(ISNA(MATCH(1831,Engine!$C$2:$C$1960,0)),"",INDEX('Compliance Database'!$I$2:$I$1960,MATCH(1831,Engine!$C$2:$C$1960,0)))</f>
        <v/>
      </c>
      <c r="J1844" s="8">
        <f>IF(ISNA(MATCH(1831,Engine!$C$2:$C$1960,0)),"",INDEX('Compliance Database'!$J$2:$J$1960,MATCH(1831,Engine!$C$2:$C$1960,0)))</f>
        <v/>
      </c>
      <c r="K1844" s="9">
        <f>IF(ISNA(MATCH(1831,Engine!$C$2:$C$1960,0)),"",INDEX('Compliance Database'!$K$2:$K$1960,MATCH(1831,Engine!$C$2:$C$1960,0)))</f>
        <v/>
      </c>
      <c r="L1844" s="9">
        <f>IF(ISNA(MATCH(1831,Engine!$C$2:$C$1960,0)),"",INDEX('Compliance Database'!$L$2:$L$1960,MATCH(1831,Engine!$C$2:$C$1960,0)))</f>
        <v/>
      </c>
      <c r="M1844" s="9">
        <f>IF(ISNA(MATCH(1831,Engine!$C$2:$C$1960,0)),"",INDEX('Compliance Database'!$M$2:$M$1960,MATCH(1831,Engine!$C$2:$C$1960,0)))</f>
        <v/>
      </c>
      <c r="N1844" s="9">
        <f>IF(ISNA(MATCH(1831,Engine!$C$2:$C$1960,0)),"",INDEX('Compliance Database'!$N$2:$N$1960,MATCH(1831,Engine!$C$2:$C$1960,0)))</f>
        <v/>
      </c>
      <c r="O1844" s="9">
        <f>IF(ISNA(MATCH(1831,Engine!$C$2:$C$1960,0)),"",INDEX('Compliance Database'!$O$2:$O$1960,MATCH(1831,Engine!$C$2:$C$1960,0)))</f>
        <v/>
      </c>
      <c r="P1844" s="8">
        <f>IF(ISNA(MATCH(1831,Engine!$C$2:$C$1960,0)),"",HYPERLINK("#Acts!A"&amp;INDEX('Compliance Database'!$P$2:$P$1960,MATCH(1831,Engine!$C$2:$C$1960,0)),"Go to Act"))</f>
        <v/>
      </c>
    </row>
    <row r="1845" ht="158" customHeight="1">
      <c r="A1845" s="8">
        <f>IF(ISNA(MATCH(1832,Engine!$C$2:$C$1960,0)),"",INDEX('Compliance Database'!$A$2:$A$1960,MATCH(1832,Engine!$C$2:$C$1960,0)))</f>
        <v/>
      </c>
      <c r="B1845" s="8">
        <f>IF(ISNA(MATCH(1832,Engine!$C$2:$C$1960,0)),"",INDEX('Compliance Database'!$B$2:$B$1960,MATCH(1832,Engine!$C$2:$C$1960,0)))</f>
        <v/>
      </c>
      <c r="C1845" s="8">
        <f>IF(ISNA(MATCH(1832,Engine!$C$2:$C$1960,0)),"",INDEX('Compliance Database'!$C$2:$C$1960,MATCH(1832,Engine!$C$2:$C$1960,0)))</f>
        <v/>
      </c>
      <c r="D1845" s="9">
        <f>IF(ISNA(MATCH(1832,Engine!$C$2:$C$1960,0)),"",INDEX('Compliance Database'!$D$2:$D$1960,MATCH(1832,Engine!$C$2:$C$1960,0)))</f>
        <v/>
      </c>
      <c r="E1845" s="8">
        <f>IF(ISNA(MATCH(1832,Engine!$C$2:$C$1960,0)),"",INDEX('Compliance Database'!$E$2:$E$1960,MATCH(1832,Engine!$C$2:$C$1960,0)))</f>
        <v/>
      </c>
      <c r="F1845" s="8">
        <f>IF(ISNA(MATCH(1832,Engine!$C$2:$C$1960,0)),"",INDEX('Compliance Database'!$F$2:$F$1960,MATCH(1832,Engine!$C$2:$C$1960,0)))</f>
        <v/>
      </c>
      <c r="G1845" s="8">
        <f>IF(ISNA(MATCH(1832,Engine!$C$2:$C$1960,0)),"",INDEX('Compliance Database'!$G$2:$G$1960,MATCH(1832,Engine!$C$2:$C$1960,0)))</f>
        <v/>
      </c>
      <c r="H1845" s="9">
        <f>IF(ISNA(MATCH(1832,Engine!$C$2:$C$1960,0)),"",INDEX('Compliance Database'!$H$2:$H$1960,MATCH(1832,Engine!$C$2:$C$1960,0)))</f>
        <v/>
      </c>
      <c r="I1845" s="9">
        <f>IF(ISNA(MATCH(1832,Engine!$C$2:$C$1960,0)),"",INDEX('Compliance Database'!$I$2:$I$1960,MATCH(1832,Engine!$C$2:$C$1960,0)))</f>
        <v/>
      </c>
      <c r="J1845" s="8">
        <f>IF(ISNA(MATCH(1832,Engine!$C$2:$C$1960,0)),"",INDEX('Compliance Database'!$J$2:$J$1960,MATCH(1832,Engine!$C$2:$C$1960,0)))</f>
        <v/>
      </c>
      <c r="K1845" s="9">
        <f>IF(ISNA(MATCH(1832,Engine!$C$2:$C$1960,0)),"",INDEX('Compliance Database'!$K$2:$K$1960,MATCH(1832,Engine!$C$2:$C$1960,0)))</f>
        <v/>
      </c>
      <c r="L1845" s="9">
        <f>IF(ISNA(MATCH(1832,Engine!$C$2:$C$1960,0)),"",INDEX('Compliance Database'!$L$2:$L$1960,MATCH(1832,Engine!$C$2:$C$1960,0)))</f>
        <v/>
      </c>
      <c r="M1845" s="9">
        <f>IF(ISNA(MATCH(1832,Engine!$C$2:$C$1960,0)),"",INDEX('Compliance Database'!$M$2:$M$1960,MATCH(1832,Engine!$C$2:$C$1960,0)))</f>
        <v/>
      </c>
      <c r="N1845" s="9">
        <f>IF(ISNA(MATCH(1832,Engine!$C$2:$C$1960,0)),"",INDEX('Compliance Database'!$N$2:$N$1960,MATCH(1832,Engine!$C$2:$C$1960,0)))</f>
        <v/>
      </c>
      <c r="O1845" s="9">
        <f>IF(ISNA(MATCH(1832,Engine!$C$2:$C$1960,0)),"",INDEX('Compliance Database'!$O$2:$O$1960,MATCH(1832,Engine!$C$2:$C$1960,0)))</f>
        <v/>
      </c>
      <c r="P1845" s="8">
        <f>IF(ISNA(MATCH(1832,Engine!$C$2:$C$1960,0)),"",HYPERLINK("#Acts!A"&amp;INDEX('Compliance Database'!$P$2:$P$1960,MATCH(1832,Engine!$C$2:$C$1960,0)),"Go to Act"))</f>
        <v/>
      </c>
    </row>
    <row r="1846" ht="158" customHeight="1">
      <c r="A1846" s="8">
        <f>IF(ISNA(MATCH(1833,Engine!$C$2:$C$1960,0)),"",INDEX('Compliance Database'!$A$2:$A$1960,MATCH(1833,Engine!$C$2:$C$1960,0)))</f>
        <v/>
      </c>
      <c r="B1846" s="8">
        <f>IF(ISNA(MATCH(1833,Engine!$C$2:$C$1960,0)),"",INDEX('Compliance Database'!$B$2:$B$1960,MATCH(1833,Engine!$C$2:$C$1960,0)))</f>
        <v/>
      </c>
      <c r="C1846" s="8">
        <f>IF(ISNA(MATCH(1833,Engine!$C$2:$C$1960,0)),"",INDEX('Compliance Database'!$C$2:$C$1960,MATCH(1833,Engine!$C$2:$C$1960,0)))</f>
        <v/>
      </c>
      <c r="D1846" s="9">
        <f>IF(ISNA(MATCH(1833,Engine!$C$2:$C$1960,0)),"",INDEX('Compliance Database'!$D$2:$D$1960,MATCH(1833,Engine!$C$2:$C$1960,0)))</f>
        <v/>
      </c>
      <c r="E1846" s="8">
        <f>IF(ISNA(MATCH(1833,Engine!$C$2:$C$1960,0)),"",INDEX('Compliance Database'!$E$2:$E$1960,MATCH(1833,Engine!$C$2:$C$1960,0)))</f>
        <v/>
      </c>
      <c r="F1846" s="8">
        <f>IF(ISNA(MATCH(1833,Engine!$C$2:$C$1960,0)),"",INDEX('Compliance Database'!$F$2:$F$1960,MATCH(1833,Engine!$C$2:$C$1960,0)))</f>
        <v/>
      </c>
      <c r="G1846" s="8">
        <f>IF(ISNA(MATCH(1833,Engine!$C$2:$C$1960,0)),"",INDEX('Compliance Database'!$G$2:$G$1960,MATCH(1833,Engine!$C$2:$C$1960,0)))</f>
        <v/>
      </c>
      <c r="H1846" s="9">
        <f>IF(ISNA(MATCH(1833,Engine!$C$2:$C$1960,0)),"",INDEX('Compliance Database'!$H$2:$H$1960,MATCH(1833,Engine!$C$2:$C$1960,0)))</f>
        <v/>
      </c>
      <c r="I1846" s="9">
        <f>IF(ISNA(MATCH(1833,Engine!$C$2:$C$1960,0)),"",INDEX('Compliance Database'!$I$2:$I$1960,MATCH(1833,Engine!$C$2:$C$1960,0)))</f>
        <v/>
      </c>
      <c r="J1846" s="8">
        <f>IF(ISNA(MATCH(1833,Engine!$C$2:$C$1960,0)),"",INDEX('Compliance Database'!$J$2:$J$1960,MATCH(1833,Engine!$C$2:$C$1960,0)))</f>
        <v/>
      </c>
      <c r="K1846" s="9">
        <f>IF(ISNA(MATCH(1833,Engine!$C$2:$C$1960,0)),"",INDEX('Compliance Database'!$K$2:$K$1960,MATCH(1833,Engine!$C$2:$C$1960,0)))</f>
        <v/>
      </c>
      <c r="L1846" s="9">
        <f>IF(ISNA(MATCH(1833,Engine!$C$2:$C$1960,0)),"",INDEX('Compliance Database'!$L$2:$L$1960,MATCH(1833,Engine!$C$2:$C$1960,0)))</f>
        <v/>
      </c>
      <c r="M1846" s="9">
        <f>IF(ISNA(MATCH(1833,Engine!$C$2:$C$1960,0)),"",INDEX('Compliance Database'!$M$2:$M$1960,MATCH(1833,Engine!$C$2:$C$1960,0)))</f>
        <v/>
      </c>
      <c r="N1846" s="9">
        <f>IF(ISNA(MATCH(1833,Engine!$C$2:$C$1960,0)),"",INDEX('Compliance Database'!$N$2:$N$1960,MATCH(1833,Engine!$C$2:$C$1960,0)))</f>
        <v/>
      </c>
      <c r="O1846" s="9">
        <f>IF(ISNA(MATCH(1833,Engine!$C$2:$C$1960,0)),"",INDEX('Compliance Database'!$O$2:$O$1960,MATCH(1833,Engine!$C$2:$C$1960,0)))</f>
        <v/>
      </c>
      <c r="P1846" s="8">
        <f>IF(ISNA(MATCH(1833,Engine!$C$2:$C$1960,0)),"",HYPERLINK("#Acts!A"&amp;INDEX('Compliance Database'!$P$2:$P$1960,MATCH(1833,Engine!$C$2:$C$1960,0)),"Go to Act"))</f>
        <v/>
      </c>
    </row>
    <row r="1847" ht="158" customHeight="1">
      <c r="A1847" s="8">
        <f>IF(ISNA(MATCH(1834,Engine!$C$2:$C$1960,0)),"",INDEX('Compliance Database'!$A$2:$A$1960,MATCH(1834,Engine!$C$2:$C$1960,0)))</f>
        <v/>
      </c>
      <c r="B1847" s="8">
        <f>IF(ISNA(MATCH(1834,Engine!$C$2:$C$1960,0)),"",INDEX('Compliance Database'!$B$2:$B$1960,MATCH(1834,Engine!$C$2:$C$1960,0)))</f>
        <v/>
      </c>
      <c r="C1847" s="8">
        <f>IF(ISNA(MATCH(1834,Engine!$C$2:$C$1960,0)),"",INDEX('Compliance Database'!$C$2:$C$1960,MATCH(1834,Engine!$C$2:$C$1960,0)))</f>
        <v/>
      </c>
      <c r="D1847" s="9">
        <f>IF(ISNA(MATCH(1834,Engine!$C$2:$C$1960,0)),"",INDEX('Compliance Database'!$D$2:$D$1960,MATCH(1834,Engine!$C$2:$C$1960,0)))</f>
        <v/>
      </c>
      <c r="E1847" s="8">
        <f>IF(ISNA(MATCH(1834,Engine!$C$2:$C$1960,0)),"",INDEX('Compliance Database'!$E$2:$E$1960,MATCH(1834,Engine!$C$2:$C$1960,0)))</f>
        <v/>
      </c>
      <c r="F1847" s="8">
        <f>IF(ISNA(MATCH(1834,Engine!$C$2:$C$1960,0)),"",INDEX('Compliance Database'!$F$2:$F$1960,MATCH(1834,Engine!$C$2:$C$1960,0)))</f>
        <v/>
      </c>
      <c r="G1847" s="8">
        <f>IF(ISNA(MATCH(1834,Engine!$C$2:$C$1960,0)),"",INDEX('Compliance Database'!$G$2:$G$1960,MATCH(1834,Engine!$C$2:$C$1960,0)))</f>
        <v/>
      </c>
      <c r="H1847" s="9">
        <f>IF(ISNA(MATCH(1834,Engine!$C$2:$C$1960,0)),"",INDEX('Compliance Database'!$H$2:$H$1960,MATCH(1834,Engine!$C$2:$C$1960,0)))</f>
        <v/>
      </c>
      <c r="I1847" s="9">
        <f>IF(ISNA(MATCH(1834,Engine!$C$2:$C$1960,0)),"",INDEX('Compliance Database'!$I$2:$I$1960,MATCH(1834,Engine!$C$2:$C$1960,0)))</f>
        <v/>
      </c>
      <c r="J1847" s="8">
        <f>IF(ISNA(MATCH(1834,Engine!$C$2:$C$1960,0)),"",INDEX('Compliance Database'!$J$2:$J$1960,MATCH(1834,Engine!$C$2:$C$1960,0)))</f>
        <v/>
      </c>
      <c r="K1847" s="9">
        <f>IF(ISNA(MATCH(1834,Engine!$C$2:$C$1960,0)),"",INDEX('Compliance Database'!$K$2:$K$1960,MATCH(1834,Engine!$C$2:$C$1960,0)))</f>
        <v/>
      </c>
      <c r="L1847" s="9">
        <f>IF(ISNA(MATCH(1834,Engine!$C$2:$C$1960,0)),"",INDEX('Compliance Database'!$L$2:$L$1960,MATCH(1834,Engine!$C$2:$C$1960,0)))</f>
        <v/>
      </c>
      <c r="M1847" s="9">
        <f>IF(ISNA(MATCH(1834,Engine!$C$2:$C$1960,0)),"",INDEX('Compliance Database'!$M$2:$M$1960,MATCH(1834,Engine!$C$2:$C$1960,0)))</f>
        <v/>
      </c>
      <c r="N1847" s="9">
        <f>IF(ISNA(MATCH(1834,Engine!$C$2:$C$1960,0)),"",INDEX('Compliance Database'!$N$2:$N$1960,MATCH(1834,Engine!$C$2:$C$1960,0)))</f>
        <v/>
      </c>
      <c r="O1847" s="9">
        <f>IF(ISNA(MATCH(1834,Engine!$C$2:$C$1960,0)),"",INDEX('Compliance Database'!$O$2:$O$1960,MATCH(1834,Engine!$C$2:$C$1960,0)))</f>
        <v/>
      </c>
      <c r="P1847" s="8">
        <f>IF(ISNA(MATCH(1834,Engine!$C$2:$C$1960,0)),"",HYPERLINK("#Acts!A"&amp;INDEX('Compliance Database'!$P$2:$P$1960,MATCH(1834,Engine!$C$2:$C$1960,0)),"Go to Act"))</f>
        <v/>
      </c>
    </row>
    <row r="1848" ht="158" customHeight="1">
      <c r="A1848" s="8">
        <f>IF(ISNA(MATCH(1835,Engine!$C$2:$C$1960,0)),"",INDEX('Compliance Database'!$A$2:$A$1960,MATCH(1835,Engine!$C$2:$C$1960,0)))</f>
        <v/>
      </c>
      <c r="B1848" s="8">
        <f>IF(ISNA(MATCH(1835,Engine!$C$2:$C$1960,0)),"",INDEX('Compliance Database'!$B$2:$B$1960,MATCH(1835,Engine!$C$2:$C$1960,0)))</f>
        <v/>
      </c>
      <c r="C1848" s="8">
        <f>IF(ISNA(MATCH(1835,Engine!$C$2:$C$1960,0)),"",INDEX('Compliance Database'!$C$2:$C$1960,MATCH(1835,Engine!$C$2:$C$1960,0)))</f>
        <v/>
      </c>
      <c r="D1848" s="9">
        <f>IF(ISNA(MATCH(1835,Engine!$C$2:$C$1960,0)),"",INDEX('Compliance Database'!$D$2:$D$1960,MATCH(1835,Engine!$C$2:$C$1960,0)))</f>
        <v/>
      </c>
      <c r="E1848" s="8">
        <f>IF(ISNA(MATCH(1835,Engine!$C$2:$C$1960,0)),"",INDEX('Compliance Database'!$E$2:$E$1960,MATCH(1835,Engine!$C$2:$C$1960,0)))</f>
        <v/>
      </c>
      <c r="F1848" s="8">
        <f>IF(ISNA(MATCH(1835,Engine!$C$2:$C$1960,0)),"",INDEX('Compliance Database'!$F$2:$F$1960,MATCH(1835,Engine!$C$2:$C$1960,0)))</f>
        <v/>
      </c>
      <c r="G1848" s="8">
        <f>IF(ISNA(MATCH(1835,Engine!$C$2:$C$1960,0)),"",INDEX('Compliance Database'!$G$2:$G$1960,MATCH(1835,Engine!$C$2:$C$1960,0)))</f>
        <v/>
      </c>
      <c r="H1848" s="9">
        <f>IF(ISNA(MATCH(1835,Engine!$C$2:$C$1960,0)),"",INDEX('Compliance Database'!$H$2:$H$1960,MATCH(1835,Engine!$C$2:$C$1960,0)))</f>
        <v/>
      </c>
      <c r="I1848" s="9">
        <f>IF(ISNA(MATCH(1835,Engine!$C$2:$C$1960,0)),"",INDEX('Compliance Database'!$I$2:$I$1960,MATCH(1835,Engine!$C$2:$C$1960,0)))</f>
        <v/>
      </c>
      <c r="J1848" s="8">
        <f>IF(ISNA(MATCH(1835,Engine!$C$2:$C$1960,0)),"",INDEX('Compliance Database'!$J$2:$J$1960,MATCH(1835,Engine!$C$2:$C$1960,0)))</f>
        <v/>
      </c>
      <c r="K1848" s="9">
        <f>IF(ISNA(MATCH(1835,Engine!$C$2:$C$1960,0)),"",INDEX('Compliance Database'!$K$2:$K$1960,MATCH(1835,Engine!$C$2:$C$1960,0)))</f>
        <v/>
      </c>
      <c r="L1848" s="9">
        <f>IF(ISNA(MATCH(1835,Engine!$C$2:$C$1960,0)),"",INDEX('Compliance Database'!$L$2:$L$1960,MATCH(1835,Engine!$C$2:$C$1960,0)))</f>
        <v/>
      </c>
      <c r="M1848" s="9">
        <f>IF(ISNA(MATCH(1835,Engine!$C$2:$C$1960,0)),"",INDEX('Compliance Database'!$M$2:$M$1960,MATCH(1835,Engine!$C$2:$C$1960,0)))</f>
        <v/>
      </c>
      <c r="N1848" s="9">
        <f>IF(ISNA(MATCH(1835,Engine!$C$2:$C$1960,0)),"",INDEX('Compliance Database'!$N$2:$N$1960,MATCH(1835,Engine!$C$2:$C$1960,0)))</f>
        <v/>
      </c>
      <c r="O1848" s="9">
        <f>IF(ISNA(MATCH(1835,Engine!$C$2:$C$1960,0)),"",INDEX('Compliance Database'!$O$2:$O$1960,MATCH(1835,Engine!$C$2:$C$1960,0)))</f>
        <v/>
      </c>
      <c r="P1848" s="8">
        <f>IF(ISNA(MATCH(1835,Engine!$C$2:$C$1960,0)),"",HYPERLINK("#Acts!A"&amp;INDEX('Compliance Database'!$P$2:$P$1960,MATCH(1835,Engine!$C$2:$C$1960,0)),"Go to Act"))</f>
        <v/>
      </c>
    </row>
    <row r="1849" ht="158" customHeight="1">
      <c r="A1849" s="8">
        <f>IF(ISNA(MATCH(1836,Engine!$C$2:$C$1960,0)),"",INDEX('Compliance Database'!$A$2:$A$1960,MATCH(1836,Engine!$C$2:$C$1960,0)))</f>
        <v/>
      </c>
      <c r="B1849" s="8">
        <f>IF(ISNA(MATCH(1836,Engine!$C$2:$C$1960,0)),"",INDEX('Compliance Database'!$B$2:$B$1960,MATCH(1836,Engine!$C$2:$C$1960,0)))</f>
        <v/>
      </c>
      <c r="C1849" s="8">
        <f>IF(ISNA(MATCH(1836,Engine!$C$2:$C$1960,0)),"",INDEX('Compliance Database'!$C$2:$C$1960,MATCH(1836,Engine!$C$2:$C$1960,0)))</f>
        <v/>
      </c>
      <c r="D1849" s="9">
        <f>IF(ISNA(MATCH(1836,Engine!$C$2:$C$1960,0)),"",INDEX('Compliance Database'!$D$2:$D$1960,MATCH(1836,Engine!$C$2:$C$1960,0)))</f>
        <v/>
      </c>
      <c r="E1849" s="8">
        <f>IF(ISNA(MATCH(1836,Engine!$C$2:$C$1960,0)),"",INDEX('Compliance Database'!$E$2:$E$1960,MATCH(1836,Engine!$C$2:$C$1960,0)))</f>
        <v/>
      </c>
      <c r="F1849" s="8">
        <f>IF(ISNA(MATCH(1836,Engine!$C$2:$C$1960,0)),"",INDEX('Compliance Database'!$F$2:$F$1960,MATCH(1836,Engine!$C$2:$C$1960,0)))</f>
        <v/>
      </c>
      <c r="G1849" s="8">
        <f>IF(ISNA(MATCH(1836,Engine!$C$2:$C$1960,0)),"",INDEX('Compliance Database'!$G$2:$G$1960,MATCH(1836,Engine!$C$2:$C$1960,0)))</f>
        <v/>
      </c>
      <c r="H1849" s="9">
        <f>IF(ISNA(MATCH(1836,Engine!$C$2:$C$1960,0)),"",INDEX('Compliance Database'!$H$2:$H$1960,MATCH(1836,Engine!$C$2:$C$1960,0)))</f>
        <v/>
      </c>
      <c r="I1849" s="9">
        <f>IF(ISNA(MATCH(1836,Engine!$C$2:$C$1960,0)),"",INDEX('Compliance Database'!$I$2:$I$1960,MATCH(1836,Engine!$C$2:$C$1960,0)))</f>
        <v/>
      </c>
      <c r="J1849" s="8">
        <f>IF(ISNA(MATCH(1836,Engine!$C$2:$C$1960,0)),"",INDEX('Compliance Database'!$J$2:$J$1960,MATCH(1836,Engine!$C$2:$C$1960,0)))</f>
        <v/>
      </c>
      <c r="K1849" s="9">
        <f>IF(ISNA(MATCH(1836,Engine!$C$2:$C$1960,0)),"",INDEX('Compliance Database'!$K$2:$K$1960,MATCH(1836,Engine!$C$2:$C$1960,0)))</f>
        <v/>
      </c>
      <c r="L1849" s="9">
        <f>IF(ISNA(MATCH(1836,Engine!$C$2:$C$1960,0)),"",INDEX('Compliance Database'!$L$2:$L$1960,MATCH(1836,Engine!$C$2:$C$1960,0)))</f>
        <v/>
      </c>
      <c r="M1849" s="9">
        <f>IF(ISNA(MATCH(1836,Engine!$C$2:$C$1960,0)),"",INDEX('Compliance Database'!$M$2:$M$1960,MATCH(1836,Engine!$C$2:$C$1960,0)))</f>
        <v/>
      </c>
      <c r="N1849" s="9">
        <f>IF(ISNA(MATCH(1836,Engine!$C$2:$C$1960,0)),"",INDEX('Compliance Database'!$N$2:$N$1960,MATCH(1836,Engine!$C$2:$C$1960,0)))</f>
        <v/>
      </c>
      <c r="O1849" s="9">
        <f>IF(ISNA(MATCH(1836,Engine!$C$2:$C$1960,0)),"",INDEX('Compliance Database'!$O$2:$O$1960,MATCH(1836,Engine!$C$2:$C$1960,0)))</f>
        <v/>
      </c>
      <c r="P1849" s="8">
        <f>IF(ISNA(MATCH(1836,Engine!$C$2:$C$1960,0)),"",HYPERLINK("#Acts!A"&amp;INDEX('Compliance Database'!$P$2:$P$1960,MATCH(1836,Engine!$C$2:$C$1960,0)),"Go to Act"))</f>
        <v/>
      </c>
    </row>
    <row r="1850" ht="158" customHeight="1">
      <c r="A1850" s="8">
        <f>IF(ISNA(MATCH(1837,Engine!$C$2:$C$1960,0)),"",INDEX('Compliance Database'!$A$2:$A$1960,MATCH(1837,Engine!$C$2:$C$1960,0)))</f>
        <v/>
      </c>
      <c r="B1850" s="8">
        <f>IF(ISNA(MATCH(1837,Engine!$C$2:$C$1960,0)),"",INDEX('Compliance Database'!$B$2:$B$1960,MATCH(1837,Engine!$C$2:$C$1960,0)))</f>
        <v/>
      </c>
      <c r="C1850" s="8">
        <f>IF(ISNA(MATCH(1837,Engine!$C$2:$C$1960,0)),"",INDEX('Compliance Database'!$C$2:$C$1960,MATCH(1837,Engine!$C$2:$C$1960,0)))</f>
        <v/>
      </c>
      <c r="D1850" s="9">
        <f>IF(ISNA(MATCH(1837,Engine!$C$2:$C$1960,0)),"",INDEX('Compliance Database'!$D$2:$D$1960,MATCH(1837,Engine!$C$2:$C$1960,0)))</f>
        <v/>
      </c>
      <c r="E1850" s="8">
        <f>IF(ISNA(MATCH(1837,Engine!$C$2:$C$1960,0)),"",INDEX('Compliance Database'!$E$2:$E$1960,MATCH(1837,Engine!$C$2:$C$1960,0)))</f>
        <v/>
      </c>
      <c r="F1850" s="8">
        <f>IF(ISNA(MATCH(1837,Engine!$C$2:$C$1960,0)),"",INDEX('Compliance Database'!$F$2:$F$1960,MATCH(1837,Engine!$C$2:$C$1960,0)))</f>
        <v/>
      </c>
      <c r="G1850" s="8">
        <f>IF(ISNA(MATCH(1837,Engine!$C$2:$C$1960,0)),"",INDEX('Compliance Database'!$G$2:$G$1960,MATCH(1837,Engine!$C$2:$C$1960,0)))</f>
        <v/>
      </c>
      <c r="H1850" s="9">
        <f>IF(ISNA(MATCH(1837,Engine!$C$2:$C$1960,0)),"",INDEX('Compliance Database'!$H$2:$H$1960,MATCH(1837,Engine!$C$2:$C$1960,0)))</f>
        <v/>
      </c>
      <c r="I1850" s="9">
        <f>IF(ISNA(MATCH(1837,Engine!$C$2:$C$1960,0)),"",INDEX('Compliance Database'!$I$2:$I$1960,MATCH(1837,Engine!$C$2:$C$1960,0)))</f>
        <v/>
      </c>
      <c r="J1850" s="8">
        <f>IF(ISNA(MATCH(1837,Engine!$C$2:$C$1960,0)),"",INDEX('Compliance Database'!$J$2:$J$1960,MATCH(1837,Engine!$C$2:$C$1960,0)))</f>
        <v/>
      </c>
      <c r="K1850" s="9">
        <f>IF(ISNA(MATCH(1837,Engine!$C$2:$C$1960,0)),"",INDEX('Compliance Database'!$K$2:$K$1960,MATCH(1837,Engine!$C$2:$C$1960,0)))</f>
        <v/>
      </c>
      <c r="L1850" s="9">
        <f>IF(ISNA(MATCH(1837,Engine!$C$2:$C$1960,0)),"",INDEX('Compliance Database'!$L$2:$L$1960,MATCH(1837,Engine!$C$2:$C$1960,0)))</f>
        <v/>
      </c>
      <c r="M1850" s="9">
        <f>IF(ISNA(MATCH(1837,Engine!$C$2:$C$1960,0)),"",INDEX('Compliance Database'!$M$2:$M$1960,MATCH(1837,Engine!$C$2:$C$1960,0)))</f>
        <v/>
      </c>
      <c r="N1850" s="9">
        <f>IF(ISNA(MATCH(1837,Engine!$C$2:$C$1960,0)),"",INDEX('Compliance Database'!$N$2:$N$1960,MATCH(1837,Engine!$C$2:$C$1960,0)))</f>
        <v/>
      </c>
      <c r="O1850" s="9">
        <f>IF(ISNA(MATCH(1837,Engine!$C$2:$C$1960,0)),"",INDEX('Compliance Database'!$O$2:$O$1960,MATCH(1837,Engine!$C$2:$C$1960,0)))</f>
        <v/>
      </c>
      <c r="P1850" s="8">
        <f>IF(ISNA(MATCH(1837,Engine!$C$2:$C$1960,0)),"",HYPERLINK("#Acts!A"&amp;INDEX('Compliance Database'!$P$2:$P$1960,MATCH(1837,Engine!$C$2:$C$1960,0)),"Go to Act"))</f>
        <v/>
      </c>
    </row>
    <row r="1851" ht="158" customHeight="1">
      <c r="A1851" s="8">
        <f>IF(ISNA(MATCH(1838,Engine!$C$2:$C$1960,0)),"",INDEX('Compliance Database'!$A$2:$A$1960,MATCH(1838,Engine!$C$2:$C$1960,0)))</f>
        <v/>
      </c>
      <c r="B1851" s="8">
        <f>IF(ISNA(MATCH(1838,Engine!$C$2:$C$1960,0)),"",INDEX('Compliance Database'!$B$2:$B$1960,MATCH(1838,Engine!$C$2:$C$1960,0)))</f>
        <v/>
      </c>
      <c r="C1851" s="8">
        <f>IF(ISNA(MATCH(1838,Engine!$C$2:$C$1960,0)),"",INDEX('Compliance Database'!$C$2:$C$1960,MATCH(1838,Engine!$C$2:$C$1960,0)))</f>
        <v/>
      </c>
      <c r="D1851" s="9">
        <f>IF(ISNA(MATCH(1838,Engine!$C$2:$C$1960,0)),"",INDEX('Compliance Database'!$D$2:$D$1960,MATCH(1838,Engine!$C$2:$C$1960,0)))</f>
        <v/>
      </c>
      <c r="E1851" s="8">
        <f>IF(ISNA(MATCH(1838,Engine!$C$2:$C$1960,0)),"",INDEX('Compliance Database'!$E$2:$E$1960,MATCH(1838,Engine!$C$2:$C$1960,0)))</f>
        <v/>
      </c>
      <c r="F1851" s="8">
        <f>IF(ISNA(MATCH(1838,Engine!$C$2:$C$1960,0)),"",INDEX('Compliance Database'!$F$2:$F$1960,MATCH(1838,Engine!$C$2:$C$1960,0)))</f>
        <v/>
      </c>
      <c r="G1851" s="8">
        <f>IF(ISNA(MATCH(1838,Engine!$C$2:$C$1960,0)),"",INDEX('Compliance Database'!$G$2:$G$1960,MATCH(1838,Engine!$C$2:$C$1960,0)))</f>
        <v/>
      </c>
      <c r="H1851" s="9">
        <f>IF(ISNA(MATCH(1838,Engine!$C$2:$C$1960,0)),"",INDEX('Compliance Database'!$H$2:$H$1960,MATCH(1838,Engine!$C$2:$C$1960,0)))</f>
        <v/>
      </c>
      <c r="I1851" s="9">
        <f>IF(ISNA(MATCH(1838,Engine!$C$2:$C$1960,0)),"",INDEX('Compliance Database'!$I$2:$I$1960,MATCH(1838,Engine!$C$2:$C$1960,0)))</f>
        <v/>
      </c>
      <c r="J1851" s="8">
        <f>IF(ISNA(MATCH(1838,Engine!$C$2:$C$1960,0)),"",INDEX('Compliance Database'!$J$2:$J$1960,MATCH(1838,Engine!$C$2:$C$1960,0)))</f>
        <v/>
      </c>
      <c r="K1851" s="9">
        <f>IF(ISNA(MATCH(1838,Engine!$C$2:$C$1960,0)),"",INDEX('Compliance Database'!$K$2:$K$1960,MATCH(1838,Engine!$C$2:$C$1960,0)))</f>
        <v/>
      </c>
      <c r="L1851" s="9">
        <f>IF(ISNA(MATCH(1838,Engine!$C$2:$C$1960,0)),"",INDEX('Compliance Database'!$L$2:$L$1960,MATCH(1838,Engine!$C$2:$C$1960,0)))</f>
        <v/>
      </c>
      <c r="M1851" s="9">
        <f>IF(ISNA(MATCH(1838,Engine!$C$2:$C$1960,0)),"",INDEX('Compliance Database'!$M$2:$M$1960,MATCH(1838,Engine!$C$2:$C$1960,0)))</f>
        <v/>
      </c>
      <c r="N1851" s="9">
        <f>IF(ISNA(MATCH(1838,Engine!$C$2:$C$1960,0)),"",INDEX('Compliance Database'!$N$2:$N$1960,MATCH(1838,Engine!$C$2:$C$1960,0)))</f>
        <v/>
      </c>
      <c r="O1851" s="9">
        <f>IF(ISNA(MATCH(1838,Engine!$C$2:$C$1960,0)),"",INDEX('Compliance Database'!$O$2:$O$1960,MATCH(1838,Engine!$C$2:$C$1960,0)))</f>
        <v/>
      </c>
      <c r="P1851" s="8">
        <f>IF(ISNA(MATCH(1838,Engine!$C$2:$C$1960,0)),"",HYPERLINK("#Acts!A"&amp;INDEX('Compliance Database'!$P$2:$P$1960,MATCH(1838,Engine!$C$2:$C$1960,0)),"Go to Act"))</f>
        <v/>
      </c>
    </row>
    <row r="1852" ht="158" customHeight="1">
      <c r="A1852" s="8">
        <f>IF(ISNA(MATCH(1839,Engine!$C$2:$C$1960,0)),"",INDEX('Compliance Database'!$A$2:$A$1960,MATCH(1839,Engine!$C$2:$C$1960,0)))</f>
        <v/>
      </c>
      <c r="B1852" s="8">
        <f>IF(ISNA(MATCH(1839,Engine!$C$2:$C$1960,0)),"",INDEX('Compliance Database'!$B$2:$B$1960,MATCH(1839,Engine!$C$2:$C$1960,0)))</f>
        <v/>
      </c>
      <c r="C1852" s="8">
        <f>IF(ISNA(MATCH(1839,Engine!$C$2:$C$1960,0)),"",INDEX('Compliance Database'!$C$2:$C$1960,MATCH(1839,Engine!$C$2:$C$1960,0)))</f>
        <v/>
      </c>
      <c r="D1852" s="9">
        <f>IF(ISNA(MATCH(1839,Engine!$C$2:$C$1960,0)),"",INDEX('Compliance Database'!$D$2:$D$1960,MATCH(1839,Engine!$C$2:$C$1960,0)))</f>
        <v/>
      </c>
      <c r="E1852" s="8">
        <f>IF(ISNA(MATCH(1839,Engine!$C$2:$C$1960,0)),"",INDEX('Compliance Database'!$E$2:$E$1960,MATCH(1839,Engine!$C$2:$C$1960,0)))</f>
        <v/>
      </c>
      <c r="F1852" s="8">
        <f>IF(ISNA(MATCH(1839,Engine!$C$2:$C$1960,0)),"",INDEX('Compliance Database'!$F$2:$F$1960,MATCH(1839,Engine!$C$2:$C$1960,0)))</f>
        <v/>
      </c>
      <c r="G1852" s="8">
        <f>IF(ISNA(MATCH(1839,Engine!$C$2:$C$1960,0)),"",INDEX('Compliance Database'!$G$2:$G$1960,MATCH(1839,Engine!$C$2:$C$1960,0)))</f>
        <v/>
      </c>
      <c r="H1852" s="9">
        <f>IF(ISNA(MATCH(1839,Engine!$C$2:$C$1960,0)),"",INDEX('Compliance Database'!$H$2:$H$1960,MATCH(1839,Engine!$C$2:$C$1960,0)))</f>
        <v/>
      </c>
      <c r="I1852" s="9">
        <f>IF(ISNA(MATCH(1839,Engine!$C$2:$C$1960,0)),"",INDEX('Compliance Database'!$I$2:$I$1960,MATCH(1839,Engine!$C$2:$C$1960,0)))</f>
        <v/>
      </c>
      <c r="J1852" s="8">
        <f>IF(ISNA(MATCH(1839,Engine!$C$2:$C$1960,0)),"",INDEX('Compliance Database'!$J$2:$J$1960,MATCH(1839,Engine!$C$2:$C$1960,0)))</f>
        <v/>
      </c>
      <c r="K1852" s="9">
        <f>IF(ISNA(MATCH(1839,Engine!$C$2:$C$1960,0)),"",INDEX('Compliance Database'!$K$2:$K$1960,MATCH(1839,Engine!$C$2:$C$1960,0)))</f>
        <v/>
      </c>
      <c r="L1852" s="9">
        <f>IF(ISNA(MATCH(1839,Engine!$C$2:$C$1960,0)),"",INDEX('Compliance Database'!$L$2:$L$1960,MATCH(1839,Engine!$C$2:$C$1960,0)))</f>
        <v/>
      </c>
      <c r="M1852" s="9">
        <f>IF(ISNA(MATCH(1839,Engine!$C$2:$C$1960,0)),"",INDEX('Compliance Database'!$M$2:$M$1960,MATCH(1839,Engine!$C$2:$C$1960,0)))</f>
        <v/>
      </c>
      <c r="N1852" s="9">
        <f>IF(ISNA(MATCH(1839,Engine!$C$2:$C$1960,0)),"",INDEX('Compliance Database'!$N$2:$N$1960,MATCH(1839,Engine!$C$2:$C$1960,0)))</f>
        <v/>
      </c>
      <c r="O1852" s="9">
        <f>IF(ISNA(MATCH(1839,Engine!$C$2:$C$1960,0)),"",INDEX('Compliance Database'!$O$2:$O$1960,MATCH(1839,Engine!$C$2:$C$1960,0)))</f>
        <v/>
      </c>
      <c r="P1852" s="8">
        <f>IF(ISNA(MATCH(1839,Engine!$C$2:$C$1960,0)),"",HYPERLINK("#Acts!A"&amp;INDEX('Compliance Database'!$P$2:$P$1960,MATCH(1839,Engine!$C$2:$C$1960,0)),"Go to Act"))</f>
        <v/>
      </c>
    </row>
    <row r="1853" ht="158" customHeight="1">
      <c r="A1853" s="8">
        <f>IF(ISNA(MATCH(1840,Engine!$C$2:$C$1960,0)),"",INDEX('Compliance Database'!$A$2:$A$1960,MATCH(1840,Engine!$C$2:$C$1960,0)))</f>
        <v/>
      </c>
      <c r="B1853" s="8">
        <f>IF(ISNA(MATCH(1840,Engine!$C$2:$C$1960,0)),"",INDEX('Compliance Database'!$B$2:$B$1960,MATCH(1840,Engine!$C$2:$C$1960,0)))</f>
        <v/>
      </c>
      <c r="C1853" s="8">
        <f>IF(ISNA(MATCH(1840,Engine!$C$2:$C$1960,0)),"",INDEX('Compliance Database'!$C$2:$C$1960,MATCH(1840,Engine!$C$2:$C$1960,0)))</f>
        <v/>
      </c>
      <c r="D1853" s="9">
        <f>IF(ISNA(MATCH(1840,Engine!$C$2:$C$1960,0)),"",INDEX('Compliance Database'!$D$2:$D$1960,MATCH(1840,Engine!$C$2:$C$1960,0)))</f>
        <v/>
      </c>
      <c r="E1853" s="8">
        <f>IF(ISNA(MATCH(1840,Engine!$C$2:$C$1960,0)),"",INDEX('Compliance Database'!$E$2:$E$1960,MATCH(1840,Engine!$C$2:$C$1960,0)))</f>
        <v/>
      </c>
      <c r="F1853" s="8">
        <f>IF(ISNA(MATCH(1840,Engine!$C$2:$C$1960,0)),"",INDEX('Compliance Database'!$F$2:$F$1960,MATCH(1840,Engine!$C$2:$C$1960,0)))</f>
        <v/>
      </c>
      <c r="G1853" s="8">
        <f>IF(ISNA(MATCH(1840,Engine!$C$2:$C$1960,0)),"",INDEX('Compliance Database'!$G$2:$G$1960,MATCH(1840,Engine!$C$2:$C$1960,0)))</f>
        <v/>
      </c>
      <c r="H1853" s="9">
        <f>IF(ISNA(MATCH(1840,Engine!$C$2:$C$1960,0)),"",INDEX('Compliance Database'!$H$2:$H$1960,MATCH(1840,Engine!$C$2:$C$1960,0)))</f>
        <v/>
      </c>
      <c r="I1853" s="9">
        <f>IF(ISNA(MATCH(1840,Engine!$C$2:$C$1960,0)),"",INDEX('Compliance Database'!$I$2:$I$1960,MATCH(1840,Engine!$C$2:$C$1960,0)))</f>
        <v/>
      </c>
      <c r="J1853" s="8">
        <f>IF(ISNA(MATCH(1840,Engine!$C$2:$C$1960,0)),"",INDEX('Compliance Database'!$J$2:$J$1960,MATCH(1840,Engine!$C$2:$C$1960,0)))</f>
        <v/>
      </c>
      <c r="K1853" s="9">
        <f>IF(ISNA(MATCH(1840,Engine!$C$2:$C$1960,0)),"",INDEX('Compliance Database'!$K$2:$K$1960,MATCH(1840,Engine!$C$2:$C$1960,0)))</f>
        <v/>
      </c>
      <c r="L1853" s="9">
        <f>IF(ISNA(MATCH(1840,Engine!$C$2:$C$1960,0)),"",INDEX('Compliance Database'!$L$2:$L$1960,MATCH(1840,Engine!$C$2:$C$1960,0)))</f>
        <v/>
      </c>
      <c r="M1853" s="9">
        <f>IF(ISNA(MATCH(1840,Engine!$C$2:$C$1960,0)),"",INDEX('Compliance Database'!$M$2:$M$1960,MATCH(1840,Engine!$C$2:$C$1960,0)))</f>
        <v/>
      </c>
      <c r="N1853" s="9">
        <f>IF(ISNA(MATCH(1840,Engine!$C$2:$C$1960,0)),"",INDEX('Compliance Database'!$N$2:$N$1960,MATCH(1840,Engine!$C$2:$C$1960,0)))</f>
        <v/>
      </c>
      <c r="O1853" s="9">
        <f>IF(ISNA(MATCH(1840,Engine!$C$2:$C$1960,0)),"",INDEX('Compliance Database'!$O$2:$O$1960,MATCH(1840,Engine!$C$2:$C$1960,0)))</f>
        <v/>
      </c>
      <c r="P1853" s="8">
        <f>IF(ISNA(MATCH(1840,Engine!$C$2:$C$1960,0)),"",HYPERLINK("#Acts!A"&amp;INDEX('Compliance Database'!$P$2:$P$1960,MATCH(1840,Engine!$C$2:$C$1960,0)),"Go to Act"))</f>
        <v/>
      </c>
    </row>
    <row r="1854" ht="158" customHeight="1">
      <c r="A1854" s="8">
        <f>IF(ISNA(MATCH(1841,Engine!$C$2:$C$1960,0)),"",INDEX('Compliance Database'!$A$2:$A$1960,MATCH(1841,Engine!$C$2:$C$1960,0)))</f>
        <v/>
      </c>
      <c r="B1854" s="8">
        <f>IF(ISNA(MATCH(1841,Engine!$C$2:$C$1960,0)),"",INDEX('Compliance Database'!$B$2:$B$1960,MATCH(1841,Engine!$C$2:$C$1960,0)))</f>
        <v/>
      </c>
      <c r="C1854" s="8">
        <f>IF(ISNA(MATCH(1841,Engine!$C$2:$C$1960,0)),"",INDEX('Compliance Database'!$C$2:$C$1960,MATCH(1841,Engine!$C$2:$C$1960,0)))</f>
        <v/>
      </c>
      <c r="D1854" s="9">
        <f>IF(ISNA(MATCH(1841,Engine!$C$2:$C$1960,0)),"",INDEX('Compliance Database'!$D$2:$D$1960,MATCH(1841,Engine!$C$2:$C$1960,0)))</f>
        <v/>
      </c>
      <c r="E1854" s="8">
        <f>IF(ISNA(MATCH(1841,Engine!$C$2:$C$1960,0)),"",INDEX('Compliance Database'!$E$2:$E$1960,MATCH(1841,Engine!$C$2:$C$1960,0)))</f>
        <v/>
      </c>
      <c r="F1854" s="8">
        <f>IF(ISNA(MATCH(1841,Engine!$C$2:$C$1960,0)),"",INDEX('Compliance Database'!$F$2:$F$1960,MATCH(1841,Engine!$C$2:$C$1960,0)))</f>
        <v/>
      </c>
      <c r="G1854" s="8">
        <f>IF(ISNA(MATCH(1841,Engine!$C$2:$C$1960,0)),"",INDEX('Compliance Database'!$G$2:$G$1960,MATCH(1841,Engine!$C$2:$C$1960,0)))</f>
        <v/>
      </c>
      <c r="H1854" s="9">
        <f>IF(ISNA(MATCH(1841,Engine!$C$2:$C$1960,0)),"",INDEX('Compliance Database'!$H$2:$H$1960,MATCH(1841,Engine!$C$2:$C$1960,0)))</f>
        <v/>
      </c>
      <c r="I1854" s="9">
        <f>IF(ISNA(MATCH(1841,Engine!$C$2:$C$1960,0)),"",INDEX('Compliance Database'!$I$2:$I$1960,MATCH(1841,Engine!$C$2:$C$1960,0)))</f>
        <v/>
      </c>
      <c r="J1854" s="8">
        <f>IF(ISNA(MATCH(1841,Engine!$C$2:$C$1960,0)),"",INDEX('Compliance Database'!$J$2:$J$1960,MATCH(1841,Engine!$C$2:$C$1960,0)))</f>
        <v/>
      </c>
      <c r="K1854" s="9">
        <f>IF(ISNA(MATCH(1841,Engine!$C$2:$C$1960,0)),"",INDEX('Compliance Database'!$K$2:$K$1960,MATCH(1841,Engine!$C$2:$C$1960,0)))</f>
        <v/>
      </c>
      <c r="L1854" s="9">
        <f>IF(ISNA(MATCH(1841,Engine!$C$2:$C$1960,0)),"",INDEX('Compliance Database'!$L$2:$L$1960,MATCH(1841,Engine!$C$2:$C$1960,0)))</f>
        <v/>
      </c>
      <c r="M1854" s="9">
        <f>IF(ISNA(MATCH(1841,Engine!$C$2:$C$1960,0)),"",INDEX('Compliance Database'!$M$2:$M$1960,MATCH(1841,Engine!$C$2:$C$1960,0)))</f>
        <v/>
      </c>
      <c r="N1854" s="9">
        <f>IF(ISNA(MATCH(1841,Engine!$C$2:$C$1960,0)),"",INDEX('Compliance Database'!$N$2:$N$1960,MATCH(1841,Engine!$C$2:$C$1960,0)))</f>
        <v/>
      </c>
      <c r="O1854" s="9">
        <f>IF(ISNA(MATCH(1841,Engine!$C$2:$C$1960,0)),"",INDEX('Compliance Database'!$O$2:$O$1960,MATCH(1841,Engine!$C$2:$C$1960,0)))</f>
        <v/>
      </c>
      <c r="P1854" s="8">
        <f>IF(ISNA(MATCH(1841,Engine!$C$2:$C$1960,0)),"",HYPERLINK("#Acts!A"&amp;INDEX('Compliance Database'!$P$2:$P$1960,MATCH(1841,Engine!$C$2:$C$1960,0)),"Go to Act"))</f>
        <v/>
      </c>
    </row>
    <row r="1855" ht="158" customHeight="1">
      <c r="A1855" s="8">
        <f>IF(ISNA(MATCH(1842,Engine!$C$2:$C$1960,0)),"",INDEX('Compliance Database'!$A$2:$A$1960,MATCH(1842,Engine!$C$2:$C$1960,0)))</f>
        <v/>
      </c>
      <c r="B1855" s="8">
        <f>IF(ISNA(MATCH(1842,Engine!$C$2:$C$1960,0)),"",INDEX('Compliance Database'!$B$2:$B$1960,MATCH(1842,Engine!$C$2:$C$1960,0)))</f>
        <v/>
      </c>
      <c r="C1855" s="8">
        <f>IF(ISNA(MATCH(1842,Engine!$C$2:$C$1960,0)),"",INDEX('Compliance Database'!$C$2:$C$1960,MATCH(1842,Engine!$C$2:$C$1960,0)))</f>
        <v/>
      </c>
      <c r="D1855" s="9">
        <f>IF(ISNA(MATCH(1842,Engine!$C$2:$C$1960,0)),"",INDEX('Compliance Database'!$D$2:$D$1960,MATCH(1842,Engine!$C$2:$C$1960,0)))</f>
        <v/>
      </c>
      <c r="E1855" s="8">
        <f>IF(ISNA(MATCH(1842,Engine!$C$2:$C$1960,0)),"",INDEX('Compliance Database'!$E$2:$E$1960,MATCH(1842,Engine!$C$2:$C$1960,0)))</f>
        <v/>
      </c>
      <c r="F1855" s="8">
        <f>IF(ISNA(MATCH(1842,Engine!$C$2:$C$1960,0)),"",INDEX('Compliance Database'!$F$2:$F$1960,MATCH(1842,Engine!$C$2:$C$1960,0)))</f>
        <v/>
      </c>
      <c r="G1855" s="8">
        <f>IF(ISNA(MATCH(1842,Engine!$C$2:$C$1960,0)),"",INDEX('Compliance Database'!$G$2:$G$1960,MATCH(1842,Engine!$C$2:$C$1960,0)))</f>
        <v/>
      </c>
      <c r="H1855" s="9">
        <f>IF(ISNA(MATCH(1842,Engine!$C$2:$C$1960,0)),"",INDEX('Compliance Database'!$H$2:$H$1960,MATCH(1842,Engine!$C$2:$C$1960,0)))</f>
        <v/>
      </c>
      <c r="I1855" s="9">
        <f>IF(ISNA(MATCH(1842,Engine!$C$2:$C$1960,0)),"",INDEX('Compliance Database'!$I$2:$I$1960,MATCH(1842,Engine!$C$2:$C$1960,0)))</f>
        <v/>
      </c>
      <c r="J1855" s="8">
        <f>IF(ISNA(MATCH(1842,Engine!$C$2:$C$1960,0)),"",INDEX('Compliance Database'!$J$2:$J$1960,MATCH(1842,Engine!$C$2:$C$1960,0)))</f>
        <v/>
      </c>
      <c r="K1855" s="9">
        <f>IF(ISNA(MATCH(1842,Engine!$C$2:$C$1960,0)),"",INDEX('Compliance Database'!$K$2:$K$1960,MATCH(1842,Engine!$C$2:$C$1960,0)))</f>
        <v/>
      </c>
      <c r="L1855" s="9">
        <f>IF(ISNA(MATCH(1842,Engine!$C$2:$C$1960,0)),"",INDEX('Compliance Database'!$L$2:$L$1960,MATCH(1842,Engine!$C$2:$C$1960,0)))</f>
        <v/>
      </c>
      <c r="M1855" s="9">
        <f>IF(ISNA(MATCH(1842,Engine!$C$2:$C$1960,0)),"",INDEX('Compliance Database'!$M$2:$M$1960,MATCH(1842,Engine!$C$2:$C$1960,0)))</f>
        <v/>
      </c>
      <c r="N1855" s="9">
        <f>IF(ISNA(MATCH(1842,Engine!$C$2:$C$1960,0)),"",INDEX('Compliance Database'!$N$2:$N$1960,MATCH(1842,Engine!$C$2:$C$1960,0)))</f>
        <v/>
      </c>
      <c r="O1855" s="9">
        <f>IF(ISNA(MATCH(1842,Engine!$C$2:$C$1960,0)),"",INDEX('Compliance Database'!$O$2:$O$1960,MATCH(1842,Engine!$C$2:$C$1960,0)))</f>
        <v/>
      </c>
      <c r="P1855" s="8">
        <f>IF(ISNA(MATCH(1842,Engine!$C$2:$C$1960,0)),"",HYPERLINK("#Acts!A"&amp;INDEX('Compliance Database'!$P$2:$P$1960,MATCH(1842,Engine!$C$2:$C$1960,0)),"Go to Act"))</f>
        <v/>
      </c>
    </row>
    <row r="1856" ht="158" customHeight="1">
      <c r="A1856" s="8">
        <f>IF(ISNA(MATCH(1843,Engine!$C$2:$C$1960,0)),"",INDEX('Compliance Database'!$A$2:$A$1960,MATCH(1843,Engine!$C$2:$C$1960,0)))</f>
        <v/>
      </c>
      <c r="B1856" s="8">
        <f>IF(ISNA(MATCH(1843,Engine!$C$2:$C$1960,0)),"",INDEX('Compliance Database'!$B$2:$B$1960,MATCH(1843,Engine!$C$2:$C$1960,0)))</f>
        <v/>
      </c>
      <c r="C1856" s="8">
        <f>IF(ISNA(MATCH(1843,Engine!$C$2:$C$1960,0)),"",INDEX('Compliance Database'!$C$2:$C$1960,MATCH(1843,Engine!$C$2:$C$1960,0)))</f>
        <v/>
      </c>
      <c r="D1856" s="9">
        <f>IF(ISNA(MATCH(1843,Engine!$C$2:$C$1960,0)),"",INDEX('Compliance Database'!$D$2:$D$1960,MATCH(1843,Engine!$C$2:$C$1960,0)))</f>
        <v/>
      </c>
      <c r="E1856" s="8">
        <f>IF(ISNA(MATCH(1843,Engine!$C$2:$C$1960,0)),"",INDEX('Compliance Database'!$E$2:$E$1960,MATCH(1843,Engine!$C$2:$C$1960,0)))</f>
        <v/>
      </c>
      <c r="F1856" s="8">
        <f>IF(ISNA(MATCH(1843,Engine!$C$2:$C$1960,0)),"",INDEX('Compliance Database'!$F$2:$F$1960,MATCH(1843,Engine!$C$2:$C$1960,0)))</f>
        <v/>
      </c>
      <c r="G1856" s="8">
        <f>IF(ISNA(MATCH(1843,Engine!$C$2:$C$1960,0)),"",INDEX('Compliance Database'!$G$2:$G$1960,MATCH(1843,Engine!$C$2:$C$1960,0)))</f>
        <v/>
      </c>
      <c r="H1856" s="9">
        <f>IF(ISNA(MATCH(1843,Engine!$C$2:$C$1960,0)),"",INDEX('Compliance Database'!$H$2:$H$1960,MATCH(1843,Engine!$C$2:$C$1960,0)))</f>
        <v/>
      </c>
      <c r="I1856" s="9">
        <f>IF(ISNA(MATCH(1843,Engine!$C$2:$C$1960,0)),"",INDEX('Compliance Database'!$I$2:$I$1960,MATCH(1843,Engine!$C$2:$C$1960,0)))</f>
        <v/>
      </c>
      <c r="J1856" s="8">
        <f>IF(ISNA(MATCH(1843,Engine!$C$2:$C$1960,0)),"",INDEX('Compliance Database'!$J$2:$J$1960,MATCH(1843,Engine!$C$2:$C$1960,0)))</f>
        <v/>
      </c>
      <c r="K1856" s="9">
        <f>IF(ISNA(MATCH(1843,Engine!$C$2:$C$1960,0)),"",INDEX('Compliance Database'!$K$2:$K$1960,MATCH(1843,Engine!$C$2:$C$1960,0)))</f>
        <v/>
      </c>
      <c r="L1856" s="9">
        <f>IF(ISNA(MATCH(1843,Engine!$C$2:$C$1960,0)),"",INDEX('Compliance Database'!$L$2:$L$1960,MATCH(1843,Engine!$C$2:$C$1960,0)))</f>
        <v/>
      </c>
      <c r="M1856" s="9">
        <f>IF(ISNA(MATCH(1843,Engine!$C$2:$C$1960,0)),"",INDEX('Compliance Database'!$M$2:$M$1960,MATCH(1843,Engine!$C$2:$C$1960,0)))</f>
        <v/>
      </c>
      <c r="N1856" s="9">
        <f>IF(ISNA(MATCH(1843,Engine!$C$2:$C$1960,0)),"",INDEX('Compliance Database'!$N$2:$N$1960,MATCH(1843,Engine!$C$2:$C$1960,0)))</f>
        <v/>
      </c>
      <c r="O1856" s="9">
        <f>IF(ISNA(MATCH(1843,Engine!$C$2:$C$1960,0)),"",INDEX('Compliance Database'!$O$2:$O$1960,MATCH(1843,Engine!$C$2:$C$1960,0)))</f>
        <v/>
      </c>
      <c r="P1856" s="8">
        <f>IF(ISNA(MATCH(1843,Engine!$C$2:$C$1960,0)),"",HYPERLINK("#Acts!A"&amp;INDEX('Compliance Database'!$P$2:$P$1960,MATCH(1843,Engine!$C$2:$C$1960,0)),"Go to Act"))</f>
        <v/>
      </c>
    </row>
    <row r="1857" ht="158" customHeight="1">
      <c r="A1857" s="8">
        <f>IF(ISNA(MATCH(1844,Engine!$C$2:$C$1960,0)),"",INDEX('Compliance Database'!$A$2:$A$1960,MATCH(1844,Engine!$C$2:$C$1960,0)))</f>
        <v/>
      </c>
      <c r="B1857" s="8">
        <f>IF(ISNA(MATCH(1844,Engine!$C$2:$C$1960,0)),"",INDEX('Compliance Database'!$B$2:$B$1960,MATCH(1844,Engine!$C$2:$C$1960,0)))</f>
        <v/>
      </c>
      <c r="C1857" s="8">
        <f>IF(ISNA(MATCH(1844,Engine!$C$2:$C$1960,0)),"",INDEX('Compliance Database'!$C$2:$C$1960,MATCH(1844,Engine!$C$2:$C$1960,0)))</f>
        <v/>
      </c>
      <c r="D1857" s="9">
        <f>IF(ISNA(MATCH(1844,Engine!$C$2:$C$1960,0)),"",INDEX('Compliance Database'!$D$2:$D$1960,MATCH(1844,Engine!$C$2:$C$1960,0)))</f>
        <v/>
      </c>
      <c r="E1857" s="8">
        <f>IF(ISNA(MATCH(1844,Engine!$C$2:$C$1960,0)),"",INDEX('Compliance Database'!$E$2:$E$1960,MATCH(1844,Engine!$C$2:$C$1960,0)))</f>
        <v/>
      </c>
      <c r="F1857" s="8">
        <f>IF(ISNA(MATCH(1844,Engine!$C$2:$C$1960,0)),"",INDEX('Compliance Database'!$F$2:$F$1960,MATCH(1844,Engine!$C$2:$C$1960,0)))</f>
        <v/>
      </c>
      <c r="G1857" s="8">
        <f>IF(ISNA(MATCH(1844,Engine!$C$2:$C$1960,0)),"",INDEX('Compliance Database'!$G$2:$G$1960,MATCH(1844,Engine!$C$2:$C$1960,0)))</f>
        <v/>
      </c>
      <c r="H1857" s="9">
        <f>IF(ISNA(MATCH(1844,Engine!$C$2:$C$1960,0)),"",INDEX('Compliance Database'!$H$2:$H$1960,MATCH(1844,Engine!$C$2:$C$1960,0)))</f>
        <v/>
      </c>
      <c r="I1857" s="9">
        <f>IF(ISNA(MATCH(1844,Engine!$C$2:$C$1960,0)),"",INDEX('Compliance Database'!$I$2:$I$1960,MATCH(1844,Engine!$C$2:$C$1960,0)))</f>
        <v/>
      </c>
      <c r="J1857" s="8">
        <f>IF(ISNA(MATCH(1844,Engine!$C$2:$C$1960,0)),"",INDEX('Compliance Database'!$J$2:$J$1960,MATCH(1844,Engine!$C$2:$C$1960,0)))</f>
        <v/>
      </c>
      <c r="K1857" s="9">
        <f>IF(ISNA(MATCH(1844,Engine!$C$2:$C$1960,0)),"",INDEX('Compliance Database'!$K$2:$K$1960,MATCH(1844,Engine!$C$2:$C$1960,0)))</f>
        <v/>
      </c>
      <c r="L1857" s="9">
        <f>IF(ISNA(MATCH(1844,Engine!$C$2:$C$1960,0)),"",INDEX('Compliance Database'!$L$2:$L$1960,MATCH(1844,Engine!$C$2:$C$1960,0)))</f>
        <v/>
      </c>
      <c r="M1857" s="9">
        <f>IF(ISNA(MATCH(1844,Engine!$C$2:$C$1960,0)),"",INDEX('Compliance Database'!$M$2:$M$1960,MATCH(1844,Engine!$C$2:$C$1960,0)))</f>
        <v/>
      </c>
      <c r="N1857" s="9">
        <f>IF(ISNA(MATCH(1844,Engine!$C$2:$C$1960,0)),"",INDEX('Compliance Database'!$N$2:$N$1960,MATCH(1844,Engine!$C$2:$C$1960,0)))</f>
        <v/>
      </c>
      <c r="O1857" s="9">
        <f>IF(ISNA(MATCH(1844,Engine!$C$2:$C$1960,0)),"",INDEX('Compliance Database'!$O$2:$O$1960,MATCH(1844,Engine!$C$2:$C$1960,0)))</f>
        <v/>
      </c>
      <c r="P1857" s="8">
        <f>IF(ISNA(MATCH(1844,Engine!$C$2:$C$1960,0)),"",HYPERLINK("#Acts!A"&amp;INDEX('Compliance Database'!$P$2:$P$1960,MATCH(1844,Engine!$C$2:$C$1960,0)),"Go to Act"))</f>
        <v/>
      </c>
    </row>
    <row r="1858" ht="158" customHeight="1">
      <c r="A1858" s="8">
        <f>IF(ISNA(MATCH(1845,Engine!$C$2:$C$1960,0)),"",INDEX('Compliance Database'!$A$2:$A$1960,MATCH(1845,Engine!$C$2:$C$1960,0)))</f>
        <v/>
      </c>
      <c r="B1858" s="8">
        <f>IF(ISNA(MATCH(1845,Engine!$C$2:$C$1960,0)),"",INDEX('Compliance Database'!$B$2:$B$1960,MATCH(1845,Engine!$C$2:$C$1960,0)))</f>
        <v/>
      </c>
      <c r="C1858" s="8">
        <f>IF(ISNA(MATCH(1845,Engine!$C$2:$C$1960,0)),"",INDEX('Compliance Database'!$C$2:$C$1960,MATCH(1845,Engine!$C$2:$C$1960,0)))</f>
        <v/>
      </c>
      <c r="D1858" s="9">
        <f>IF(ISNA(MATCH(1845,Engine!$C$2:$C$1960,0)),"",INDEX('Compliance Database'!$D$2:$D$1960,MATCH(1845,Engine!$C$2:$C$1960,0)))</f>
        <v/>
      </c>
      <c r="E1858" s="8">
        <f>IF(ISNA(MATCH(1845,Engine!$C$2:$C$1960,0)),"",INDEX('Compliance Database'!$E$2:$E$1960,MATCH(1845,Engine!$C$2:$C$1960,0)))</f>
        <v/>
      </c>
      <c r="F1858" s="8">
        <f>IF(ISNA(MATCH(1845,Engine!$C$2:$C$1960,0)),"",INDEX('Compliance Database'!$F$2:$F$1960,MATCH(1845,Engine!$C$2:$C$1960,0)))</f>
        <v/>
      </c>
      <c r="G1858" s="8">
        <f>IF(ISNA(MATCH(1845,Engine!$C$2:$C$1960,0)),"",INDEX('Compliance Database'!$G$2:$G$1960,MATCH(1845,Engine!$C$2:$C$1960,0)))</f>
        <v/>
      </c>
      <c r="H1858" s="9">
        <f>IF(ISNA(MATCH(1845,Engine!$C$2:$C$1960,0)),"",INDEX('Compliance Database'!$H$2:$H$1960,MATCH(1845,Engine!$C$2:$C$1960,0)))</f>
        <v/>
      </c>
      <c r="I1858" s="9">
        <f>IF(ISNA(MATCH(1845,Engine!$C$2:$C$1960,0)),"",INDEX('Compliance Database'!$I$2:$I$1960,MATCH(1845,Engine!$C$2:$C$1960,0)))</f>
        <v/>
      </c>
      <c r="J1858" s="8">
        <f>IF(ISNA(MATCH(1845,Engine!$C$2:$C$1960,0)),"",INDEX('Compliance Database'!$J$2:$J$1960,MATCH(1845,Engine!$C$2:$C$1960,0)))</f>
        <v/>
      </c>
      <c r="K1858" s="9">
        <f>IF(ISNA(MATCH(1845,Engine!$C$2:$C$1960,0)),"",INDEX('Compliance Database'!$K$2:$K$1960,MATCH(1845,Engine!$C$2:$C$1960,0)))</f>
        <v/>
      </c>
      <c r="L1858" s="9">
        <f>IF(ISNA(MATCH(1845,Engine!$C$2:$C$1960,0)),"",INDEX('Compliance Database'!$L$2:$L$1960,MATCH(1845,Engine!$C$2:$C$1960,0)))</f>
        <v/>
      </c>
      <c r="M1858" s="9">
        <f>IF(ISNA(MATCH(1845,Engine!$C$2:$C$1960,0)),"",INDEX('Compliance Database'!$M$2:$M$1960,MATCH(1845,Engine!$C$2:$C$1960,0)))</f>
        <v/>
      </c>
      <c r="N1858" s="9">
        <f>IF(ISNA(MATCH(1845,Engine!$C$2:$C$1960,0)),"",INDEX('Compliance Database'!$N$2:$N$1960,MATCH(1845,Engine!$C$2:$C$1960,0)))</f>
        <v/>
      </c>
      <c r="O1858" s="9">
        <f>IF(ISNA(MATCH(1845,Engine!$C$2:$C$1960,0)),"",INDEX('Compliance Database'!$O$2:$O$1960,MATCH(1845,Engine!$C$2:$C$1960,0)))</f>
        <v/>
      </c>
      <c r="P1858" s="8">
        <f>IF(ISNA(MATCH(1845,Engine!$C$2:$C$1960,0)),"",HYPERLINK("#Acts!A"&amp;INDEX('Compliance Database'!$P$2:$P$1960,MATCH(1845,Engine!$C$2:$C$1960,0)),"Go to Act"))</f>
        <v/>
      </c>
    </row>
    <row r="1859" ht="158" customHeight="1">
      <c r="A1859" s="8">
        <f>IF(ISNA(MATCH(1846,Engine!$C$2:$C$1960,0)),"",INDEX('Compliance Database'!$A$2:$A$1960,MATCH(1846,Engine!$C$2:$C$1960,0)))</f>
        <v/>
      </c>
      <c r="B1859" s="8">
        <f>IF(ISNA(MATCH(1846,Engine!$C$2:$C$1960,0)),"",INDEX('Compliance Database'!$B$2:$B$1960,MATCH(1846,Engine!$C$2:$C$1960,0)))</f>
        <v/>
      </c>
      <c r="C1859" s="8">
        <f>IF(ISNA(MATCH(1846,Engine!$C$2:$C$1960,0)),"",INDEX('Compliance Database'!$C$2:$C$1960,MATCH(1846,Engine!$C$2:$C$1960,0)))</f>
        <v/>
      </c>
      <c r="D1859" s="9">
        <f>IF(ISNA(MATCH(1846,Engine!$C$2:$C$1960,0)),"",INDEX('Compliance Database'!$D$2:$D$1960,MATCH(1846,Engine!$C$2:$C$1960,0)))</f>
        <v/>
      </c>
      <c r="E1859" s="8">
        <f>IF(ISNA(MATCH(1846,Engine!$C$2:$C$1960,0)),"",INDEX('Compliance Database'!$E$2:$E$1960,MATCH(1846,Engine!$C$2:$C$1960,0)))</f>
        <v/>
      </c>
      <c r="F1859" s="8">
        <f>IF(ISNA(MATCH(1846,Engine!$C$2:$C$1960,0)),"",INDEX('Compliance Database'!$F$2:$F$1960,MATCH(1846,Engine!$C$2:$C$1960,0)))</f>
        <v/>
      </c>
      <c r="G1859" s="8">
        <f>IF(ISNA(MATCH(1846,Engine!$C$2:$C$1960,0)),"",INDEX('Compliance Database'!$G$2:$G$1960,MATCH(1846,Engine!$C$2:$C$1960,0)))</f>
        <v/>
      </c>
      <c r="H1859" s="9">
        <f>IF(ISNA(MATCH(1846,Engine!$C$2:$C$1960,0)),"",INDEX('Compliance Database'!$H$2:$H$1960,MATCH(1846,Engine!$C$2:$C$1960,0)))</f>
        <v/>
      </c>
      <c r="I1859" s="9">
        <f>IF(ISNA(MATCH(1846,Engine!$C$2:$C$1960,0)),"",INDEX('Compliance Database'!$I$2:$I$1960,MATCH(1846,Engine!$C$2:$C$1960,0)))</f>
        <v/>
      </c>
      <c r="J1859" s="8">
        <f>IF(ISNA(MATCH(1846,Engine!$C$2:$C$1960,0)),"",INDEX('Compliance Database'!$J$2:$J$1960,MATCH(1846,Engine!$C$2:$C$1960,0)))</f>
        <v/>
      </c>
      <c r="K1859" s="9">
        <f>IF(ISNA(MATCH(1846,Engine!$C$2:$C$1960,0)),"",INDEX('Compliance Database'!$K$2:$K$1960,MATCH(1846,Engine!$C$2:$C$1960,0)))</f>
        <v/>
      </c>
      <c r="L1859" s="9">
        <f>IF(ISNA(MATCH(1846,Engine!$C$2:$C$1960,0)),"",INDEX('Compliance Database'!$L$2:$L$1960,MATCH(1846,Engine!$C$2:$C$1960,0)))</f>
        <v/>
      </c>
      <c r="M1859" s="9">
        <f>IF(ISNA(MATCH(1846,Engine!$C$2:$C$1960,0)),"",INDEX('Compliance Database'!$M$2:$M$1960,MATCH(1846,Engine!$C$2:$C$1960,0)))</f>
        <v/>
      </c>
      <c r="N1859" s="9">
        <f>IF(ISNA(MATCH(1846,Engine!$C$2:$C$1960,0)),"",INDEX('Compliance Database'!$N$2:$N$1960,MATCH(1846,Engine!$C$2:$C$1960,0)))</f>
        <v/>
      </c>
      <c r="O1859" s="9">
        <f>IF(ISNA(MATCH(1846,Engine!$C$2:$C$1960,0)),"",INDEX('Compliance Database'!$O$2:$O$1960,MATCH(1846,Engine!$C$2:$C$1960,0)))</f>
        <v/>
      </c>
      <c r="P1859" s="8">
        <f>IF(ISNA(MATCH(1846,Engine!$C$2:$C$1960,0)),"",HYPERLINK("#Acts!A"&amp;INDEX('Compliance Database'!$P$2:$P$1960,MATCH(1846,Engine!$C$2:$C$1960,0)),"Go to Act"))</f>
        <v/>
      </c>
    </row>
    <row r="1860" ht="158" customHeight="1">
      <c r="A1860" s="8">
        <f>IF(ISNA(MATCH(1847,Engine!$C$2:$C$1960,0)),"",INDEX('Compliance Database'!$A$2:$A$1960,MATCH(1847,Engine!$C$2:$C$1960,0)))</f>
        <v/>
      </c>
      <c r="B1860" s="8">
        <f>IF(ISNA(MATCH(1847,Engine!$C$2:$C$1960,0)),"",INDEX('Compliance Database'!$B$2:$B$1960,MATCH(1847,Engine!$C$2:$C$1960,0)))</f>
        <v/>
      </c>
      <c r="C1860" s="8">
        <f>IF(ISNA(MATCH(1847,Engine!$C$2:$C$1960,0)),"",INDEX('Compliance Database'!$C$2:$C$1960,MATCH(1847,Engine!$C$2:$C$1960,0)))</f>
        <v/>
      </c>
      <c r="D1860" s="9">
        <f>IF(ISNA(MATCH(1847,Engine!$C$2:$C$1960,0)),"",INDEX('Compliance Database'!$D$2:$D$1960,MATCH(1847,Engine!$C$2:$C$1960,0)))</f>
        <v/>
      </c>
      <c r="E1860" s="8">
        <f>IF(ISNA(MATCH(1847,Engine!$C$2:$C$1960,0)),"",INDEX('Compliance Database'!$E$2:$E$1960,MATCH(1847,Engine!$C$2:$C$1960,0)))</f>
        <v/>
      </c>
      <c r="F1860" s="8">
        <f>IF(ISNA(MATCH(1847,Engine!$C$2:$C$1960,0)),"",INDEX('Compliance Database'!$F$2:$F$1960,MATCH(1847,Engine!$C$2:$C$1960,0)))</f>
        <v/>
      </c>
      <c r="G1860" s="8">
        <f>IF(ISNA(MATCH(1847,Engine!$C$2:$C$1960,0)),"",INDEX('Compliance Database'!$G$2:$G$1960,MATCH(1847,Engine!$C$2:$C$1960,0)))</f>
        <v/>
      </c>
      <c r="H1860" s="9">
        <f>IF(ISNA(MATCH(1847,Engine!$C$2:$C$1960,0)),"",INDEX('Compliance Database'!$H$2:$H$1960,MATCH(1847,Engine!$C$2:$C$1960,0)))</f>
        <v/>
      </c>
      <c r="I1860" s="9">
        <f>IF(ISNA(MATCH(1847,Engine!$C$2:$C$1960,0)),"",INDEX('Compliance Database'!$I$2:$I$1960,MATCH(1847,Engine!$C$2:$C$1960,0)))</f>
        <v/>
      </c>
      <c r="J1860" s="8">
        <f>IF(ISNA(MATCH(1847,Engine!$C$2:$C$1960,0)),"",INDEX('Compliance Database'!$J$2:$J$1960,MATCH(1847,Engine!$C$2:$C$1960,0)))</f>
        <v/>
      </c>
      <c r="K1860" s="9">
        <f>IF(ISNA(MATCH(1847,Engine!$C$2:$C$1960,0)),"",INDEX('Compliance Database'!$K$2:$K$1960,MATCH(1847,Engine!$C$2:$C$1960,0)))</f>
        <v/>
      </c>
      <c r="L1860" s="9">
        <f>IF(ISNA(MATCH(1847,Engine!$C$2:$C$1960,0)),"",INDEX('Compliance Database'!$L$2:$L$1960,MATCH(1847,Engine!$C$2:$C$1960,0)))</f>
        <v/>
      </c>
      <c r="M1860" s="9">
        <f>IF(ISNA(MATCH(1847,Engine!$C$2:$C$1960,0)),"",INDEX('Compliance Database'!$M$2:$M$1960,MATCH(1847,Engine!$C$2:$C$1960,0)))</f>
        <v/>
      </c>
      <c r="N1860" s="9">
        <f>IF(ISNA(MATCH(1847,Engine!$C$2:$C$1960,0)),"",INDEX('Compliance Database'!$N$2:$N$1960,MATCH(1847,Engine!$C$2:$C$1960,0)))</f>
        <v/>
      </c>
      <c r="O1860" s="9">
        <f>IF(ISNA(MATCH(1847,Engine!$C$2:$C$1960,0)),"",INDEX('Compliance Database'!$O$2:$O$1960,MATCH(1847,Engine!$C$2:$C$1960,0)))</f>
        <v/>
      </c>
      <c r="P1860" s="8">
        <f>IF(ISNA(MATCH(1847,Engine!$C$2:$C$1960,0)),"",HYPERLINK("#Acts!A"&amp;INDEX('Compliance Database'!$P$2:$P$1960,MATCH(1847,Engine!$C$2:$C$1960,0)),"Go to Act"))</f>
        <v/>
      </c>
    </row>
    <row r="1861" ht="158" customHeight="1">
      <c r="A1861" s="8">
        <f>IF(ISNA(MATCH(1848,Engine!$C$2:$C$1960,0)),"",INDEX('Compliance Database'!$A$2:$A$1960,MATCH(1848,Engine!$C$2:$C$1960,0)))</f>
        <v/>
      </c>
      <c r="B1861" s="8">
        <f>IF(ISNA(MATCH(1848,Engine!$C$2:$C$1960,0)),"",INDEX('Compliance Database'!$B$2:$B$1960,MATCH(1848,Engine!$C$2:$C$1960,0)))</f>
        <v/>
      </c>
      <c r="C1861" s="8">
        <f>IF(ISNA(MATCH(1848,Engine!$C$2:$C$1960,0)),"",INDEX('Compliance Database'!$C$2:$C$1960,MATCH(1848,Engine!$C$2:$C$1960,0)))</f>
        <v/>
      </c>
      <c r="D1861" s="9">
        <f>IF(ISNA(MATCH(1848,Engine!$C$2:$C$1960,0)),"",INDEX('Compliance Database'!$D$2:$D$1960,MATCH(1848,Engine!$C$2:$C$1960,0)))</f>
        <v/>
      </c>
      <c r="E1861" s="8">
        <f>IF(ISNA(MATCH(1848,Engine!$C$2:$C$1960,0)),"",INDEX('Compliance Database'!$E$2:$E$1960,MATCH(1848,Engine!$C$2:$C$1960,0)))</f>
        <v/>
      </c>
      <c r="F1861" s="8">
        <f>IF(ISNA(MATCH(1848,Engine!$C$2:$C$1960,0)),"",INDEX('Compliance Database'!$F$2:$F$1960,MATCH(1848,Engine!$C$2:$C$1960,0)))</f>
        <v/>
      </c>
      <c r="G1861" s="8">
        <f>IF(ISNA(MATCH(1848,Engine!$C$2:$C$1960,0)),"",INDEX('Compliance Database'!$G$2:$G$1960,MATCH(1848,Engine!$C$2:$C$1960,0)))</f>
        <v/>
      </c>
      <c r="H1861" s="9">
        <f>IF(ISNA(MATCH(1848,Engine!$C$2:$C$1960,0)),"",INDEX('Compliance Database'!$H$2:$H$1960,MATCH(1848,Engine!$C$2:$C$1960,0)))</f>
        <v/>
      </c>
      <c r="I1861" s="9">
        <f>IF(ISNA(MATCH(1848,Engine!$C$2:$C$1960,0)),"",INDEX('Compliance Database'!$I$2:$I$1960,MATCH(1848,Engine!$C$2:$C$1960,0)))</f>
        <v/>
      </c>
      <c r="J1861" s="8">
        <f>IF(ISNA(MATCH(1848,Engine!$C$2:$C$1960,0)),"",INDEX('Compliance Database'!$J$2:$J$1960,MATCH(1848,Engine!$C$2:$C$1960,0)))</f>
        <v/>
      </c>
      <c r="K1861" s="9">
        <f>IF(ISNA(MATCH(1848,Engine!$C$2:$C$1960,0)),"",INDEX('Compliance Database'!$K$2:$K$1960,MATCH(1848,Engine!$C$2:$C$1960,0)))</f>
        <v/>
      </c>
      <c r="L1861" s="9">
        <f>IF(ISNA(MATCH(1848,Engine!$C$2:$C$1960,0)),"",INDEX('Compliance Database'!$L$2:$L$1960,MATCH(1848,Engine!$C$2:$C$1960,0)))</f>
        <v/>
      </c>
      <c r="M1861" s="9">
        <f>IF(ISNA(MATCH(1848,Engine!$C$2:$C$1960,0)),"",INDEX('Compliance Database'!$M$2:$M$1960,MATCH(1848,Engine!$C$2:$C$1960,0)))</f>
        <v/>
      </c>
      <c r="N1861" s="9">
        <f>IF(ISNA(MATCH(1848,Engine!$C$2:$C$1960,0)),"",INDEX('Compliance Database'!$N$2:$N$1960,MATCH(1848,Engine!$C$2:$C$1960,0)))</f>
        <v/>
      </c>
      <c r="O1861" s="9">
        <f>IF(ISNA(MATCH(1848,Engine!$C$2:$C$1960,0)),"",INDEX('Compliance Database'!$O$2:$O$1960,MATCH(1848,Engine!$C$2:$C$1960,0)))</f>
        <v/>
      </c>
      <c r="P1861" s="8">
        <f>IF(ISNA(MATCH(1848,Engine!$C$2:$C$1960,0)),"",HYPERLINK("#Acts!A"&amp;INDEX('Compliance Database'!$P$2:$P$1960,MATCH(1848,Engine!$C$2:$C$1960,0)),"Go to Act"))</f>
        <v/>
      </c>
    </row>
    <row r="1862" ht="158" customHeight="1">
      <c r="A1862" s="8">
        <f>IF(ISNA(MATCH(1849,Engine!$C$2:$C$1960,0)),"",INDEX('Compliance Database'!$A$2:$A$1960,MATCH(1849,Engine!$C$2:$C$1960,0)))</f>
        <v/>
      </c>
      <c r="B1862" s="8">
        <f>IF(ISNA(MATCH(1849,Engine!$C$2:$C$1960,0)),"",INDEX('Compliance Database'!$B$2:$B$1960,MATCH(1849,Engine!$C$2:$C$1960,0)))</f>
        <v/>
      </c>
      <c r="C1862" s="8">
        <f>IF(ISNA(MATCH(1849,Engine!$C$2:$C$1960,0)),"",INDEX('Compliance Database'!$C$2:$C$1960,MATCH(1849,Engine!$C$2:$C$1960,0)))</f>
        <v/>
      </c>
      <c r="D1862" s="9">
        <f>IF(ISNA(MATCH(1849,Engine!$C$2:$C$1960,0)),"",INDEX('Compliance Database'!$D$2:$D$1960,MATCH(1849,Engine!$C$2:$C$1960,0)))</f>
        <v/>
      </c>
      <c r="E1862" s="8">
        <f>IF(ISNA(MATCH(1849,Engine!$C$2:$C$1960,0)),"",INDEX('Compliance Database'!$E$2:$E$1960,MATCH(1849,Engine!$C$2:$C$1960,0)))</f>
        <v/>
      </c>
      <c r="F1862" s="8">
        <f>IF(ISNA(MATCH(1849,Engine!$C$2:$C$1960,0)),"",INDEX('Compliance Database'!$F$2:$F$1960,MATCH(1849,Engine!$C$2:$C$1960,0)))</f>
        <v/>
      </c>
      <c r="G1862" s="8">
        <f>IF(ISNA(MATCH(1849,Engine!$C$2:$C$1960,0)),"",INDEX('Compliance Database'!$G$2:$G$1960,MATCH(1849,Engine!$C$2:$C$1960,0)))</f>
        <v/>
      </c>
      <c r="H1862" s="9">
        <f>IF(ISNA(MATCH(1849,Engine!$C$2:$C$1960,0)),"",INDEX('Compliance Database'!$H$2:$H$1960,MATCH(1849,Engine!$C$2:$C$1960,0)))</f>
        <v/>
      </c>
      <c r="I1862" s="9">
        <f>IF(ISNA(MATCH(1849,Engine!$C$2:$C$1960,0)),"",INDEX('Compliance Database'!$I$2:$I$1960,MATCH(1849,Engine!$C$2:$C$1960,0)))</f>
        <v/>
      </c>
      <c r="J1862" s="8">
        <f>IF(ISNA(MATCH(1849,Engine!$C$2:$C$1960,0)),"",INDEX('Compliance Database'!$J$2:$J$1960,MATCH(1849,Engine!$C$2:$C$1960,0)))</f>
        <v/>
      </c>
      <c r="K1862" s="9">
        <f>IF(ISNA(MATCH(1849,Engine!$C$2:$C$1960,0)),"",INDEX('Compliance Database'!$K$2:$K$1960,MATCH(1849,Engine!$C$2:$C$1960,0)))</f>
        <v/>
      </c>
      <c r="L1862" s="9">
        <f>IF(ISNA(MATCH(1849,Engine!$C$2:$C$1960,0)),"",INDEX('Compliance Database'!$L$2:$L$1960,MATCH(1849,Engine!$C$2:$C$1960,0)))</f>
        <v/>
      </c>
      <c r="M1862" s="9">
        <f>IF(ISNA(MATCH(1849,Engine!$C$2:$C$1960,0)),"",INDEX('Compliance Database'!$M$2:$M$1960,MATCH(1849,Engine!$C$2:$C$1960,0)))</f>
        <v/>
      </c>
      <c r="N1862" s="9">
        <f>IF(ISNA(MATCH(1849,Engine!$C$2:$C$1960,0)),"",INDEX('Compliance Database'!$N$2:$N$1960,MATCH(1849,Engine!$C$2:$C$1960,0)))</f>
        <v/>
      </c>
      <c r="O1862" s="9">
        <f>IF(ISNA(MATCH(1849,Engine!$C$2:$C$1960,0)),"",INDEX('Compliance Database'!$O$2:$O$1960,MATCH(1849,Engine!$C$2:$C$1960,0)))</f>
        <v/>
      </c>
      <c r="P1862" s="8">
        <f>IF(ISNA(MATCH(1849,Engine!$C$2:$C$1960,0)),"",HYPERLINK("#Acts!A"&amp;INDEX('Compliance Database'!$P$2:$P$1960,MATCH(1849,Engine!$C$2:$C$1960,0)),"Go to Act"))</f>
        <v/>
      </c>
    </row>
    <row r="1863" ht="158" customHeight="1">
      <c r="A1863" s="8">
        <f>IF(ISNA(MATCH(1850,Engine!$C$2:$C$1960,0)),"",INDEX('Compliance Database'!$A$2:$A$1960,MATCH(1850,Engine!$C$2:$C$1960,0)))</f>
        <v/>
      </c>
      <c r="B1863" s="8">
        <f>IF(ISNA(MATCH(1850,Engine!$C$2:$C$1960,0)),"",INDEX('Compliance Database'!$B$2:$B$1960,MATCH(1850,Engine!$C$2:$C$1960,0)))</f>
        <v/>
      </c>
      <c r="C1863" s="8">
        <f>IF(ISNA(MATCH(1850,Engine!$C$2:$C$1960,0)),"",INDEX('Compliance Database'!$C$2:$C$1960,MATCH(1850,Engine!$C$2:$C$1960,0)))</f>
        <v/>
      </c>
      <c r="D1863" s="9">
        <f>IF(ISNA(MATCH(1850,Engine!$C$2:$C$1960,0)),"",INDEX('Compliance Database'!$D$2:$D$1960,MATCH(1850,Engine!$C$2:$C$1960,0)))</f>
        <v/>
      </c>
      <c r="E1863" s="8">
        <f>IF(ISNA(MATCH(1850,Engine!$C$2:$C$1960,0)),"",INDEX('Compliance Database'!$E$2:$E$1960,MATCH(1850,Engine!$C$2:$C$1960,0)))</f>
        <v/>
      </c>
      <c r="F1863" s="8">
        <f>IF(ISNA(MATCH(1850,Engine!$C$2:$C$1960,0)),"",INDEX('Compliance Database'!$F$2:$F$1960,MATCH(1850,Engine!$C$2:$C$1960,0)))</f>
        <v/>
      </c>
      <c r="G1863" s="8">
        <f>IF(ISNA(MATCH(1850,Engine!$C$2:$C$1960,0)),"",INDEX('Compliance Database'!$G$2:$G$1960,MATCH(1850,Engine!$C$2:$C$1960,0)))</f>
        <v/>
      </c>
      <c r="H1863" s="9">
        <f>IF(ISNA(MATCH(1850,Engine!$C$2:$C$1960,0)),"",INDEX('Compliance Database'!$H$2:$H$1960,MATCH(1850,Engine!$C$2:$C$1960,0)))</f>
        <v/>
      </c>
      <c r="I1863" s="9">
        <f>IF(ISNA(MATCH(1850,Engine!$C$2:$C$1960,0)),"",INDEX('Compliance Database'!$I$2:$I$1960,MATCH(1850,Engine!$C$2:$C$1960,0)))</f>
        <v/>
      </c>
      <c r="J1863" s="8">
        <f>IF(ISNA(MATCH(1850,Engine!$C$2:$C$1960,0)),"",INDEX('Compliance Database'!$J$2:$J$1960,MATCH(1850,Engine!$C$2:$C$1960,0)))</f>
        <v/>
      </c>
      <c r="K1863" s="9">
        <f>IF(ISNA(MATCH(1850,Engine!$C$2:$C$1960,0)),"",INDEX('Compliance Database'!$K$2:$K$1960,MATCH(1850,Engine!$C$2:$C$1960,0)))</f>
        <v/>
      </c>
      <c r="L1863" s="9">
        <f>IF(ISNA(MATCH(1850,Engine!$C$2:$C$1960,0)),"",INDEX('Compliance Database'!$L$2:$L$1960,MATCH(1850,Engine!$C$2:$C$1960,0)))</f>
        <v/>
      </c>
      <c r="M1863" s="9">
        <f>IF(ISNA(MATCH(1850,Engine!$C$2:$C$1960,0)),"",INDEX('Compliance Database'!$M$2:$M$1960,MATCH(1850,Engine!$C$2:$C$1960,0)))</f>
        <v/>
      </c>
      <c r="N1863" s="9">
        <f>IF(ISNA(MATCH(1850,Engine!$C$2:$C$1960,0)),"",INDEX('Compliance Database'!$N$2:$N$1960,MATCH(1850,Engine!$C$2:$C$1960,0)))</f>
        <v/>
      </c>
      <c r="O1863" s="9">
        <f>IF(ISNA(MATCH(1850,Engine!$C$2:$C$1960,0)),"",INDEX('Compliance Database'!$O$2:$O$1960,MATCH(1850,Engine!$C$2:$C$1960,0)))</f>
        <v/>
      </c>
      <c r="P1863" s="8">
        <f>IF(ISNA(MATCH(1850,Engine!$C$2:$C$1960,0)),"",HYPERLINK("#Acts!A"&amp;INDEX('Compliance Database'!$P$2:$P$1960,MATCH(1850,Engine!$C$2:$C$1960,0)),"Go to Act"))</f>
        <v/>
      </c>
    </row>
    <row r="1864" ht="158" customHeight="1">
      <c r="A1864" s="8">
        <f>IF(ISNA(MATCH(1851,Engine!$C$2:$C$1960,0)),"",INDEX('Compliance Database'!$A$2:$A$1960,MATCH(1851,Engine!$C$2:$C$1960,0)))</f>
        <v/>
      </c>
      <c r="B1864" s="8">
        <f>IF(ISNA(MATCH(1851,Engine!$C$2:$C$1960,0)),"",INDEX('Compliance Database'!$B$2:$B$1960,MATCH(1851,Engine!$C$2:$C$1960,0)))</f>
        <v/>
      </c>
      <c r="C1864" s="8">
        <f>IF(ISNA(MATCH(1851,Engine!$C$2:$C$1960,0)),"",INDEX('Compliance Database'!$C$2:$C$1960,MATCH(1851,Engine!$C$2:$C$1960,0)))</f>
        <v/>
      </c>
      <c r="D1864" s="9">
        <f>IF(ISNA(MATCH(1851,Engine!$C$2:$C$1960,0)),"",INDEX('Compliance Database'!$D$2:$D$1960,MATCH(1851,Engine!$C$2:$C$1960,0)))</f>
        <v/>
      </c>
      <c r="E1864" s="8">
        <f>IF(ISNA(MATCH(1851,Engine!$C$2:$C$1960,0)),"",INDEX('Compliance Database'!$E$2:$E$1960,MATCH(1851,Engine!$C$2:$C$1960,0)))</f>
        <v/>
      </c>
      <c r="F1864" s="8">
        <f>IF(ISNA(MATCH(1851,Engine!$C$2:$C$1960,0)),"",INDEX('Compliance Database'!$F$2:$F$1960,MATCH(1851,Engine!$C$2:$C$1960,0)))</f>
        <v/>
      </c>
      <c r="G1864" s="8">
        <f>IF(ISNA(MATCH(1851,Engine!$C$2:$C$1960,0)),"",INDEX('Compliance Database'!$G$2:$G$1960,MATCH(1851,Engine!$C$2:$C$1960,0)))</f>
        <v/>
      </c>
      <c r="H1864" s="9">
        <f>IF(ISNA(MATCH(1851,Engine!$C$2:$C$1960,0)),"",INDEX('Compliance Database'!$H$2:$H$1960,MATCH(1851,Engine!$C$2:$C$1960,0)))</f>
        <v/>
      </c>
      <c r="I1864" s="9">
        <f>IF(ISNA(MATCH(1851,Engine!$C$2:$C$1960,0)),"",INDEX('Compliance Database'!$I$2:$I$1960,MATCH(1851,Engine!$C$2:$C$1960,0)))</f>
        <v/>
      </c>
      <c r="J1864" s="8">
        <f>IF(ISNA(MATCH(1851,Engine!$C$2:$C$1960,0)),"",INDEX('Compliance Database'!$J$2:$J$1960,MATCH(1851,Engine!$C$2:$C$1960,0)))</f>
        <v/>
      </c>
      <c r="K1864" s="9">
        <f>IF(ISNA(MATCH(1851,Engine!$C$2:$C$1960,0)),"",INDEX('Compliance Database'!$K$2:$K$1960,MATCH(1851,Engine!$C$2:$C$1960,0)))</f>
        <v/>
      </c>
      <c r="L1864" s="9">
        <f>IF(ISNA(MATCH(1851,Engine!$C$2:$C$1960,0)),"",INDEX('Compliance Database'!$L$2:$L$1960,MATCH(1851,Engine!$C$2:$C$1960,0)))</f>
        <v/>
      </c>
      <c r="M1864" s="9">
        <f>IF(ISNA(MATCH(1851,Engine!$C$2:$C$1960,0)),"",INDEX('Compliance Database'!$M$2:$M$1960,MATCH(1851,Engine!$C$2:$C$1960,0)))</f>
        <v/>
      </c>
      <c r="N1864" s="9">
        <f>IF(ISNA(MATCH(1851,Engine!$C$2:$C$1960,0)),"",INDEX('Compliance Database'!$N$2:$N$1960,MATCH(1851,Engine!$C$2:$C$1960,0)))</f>
        <v/>
      </c>
      <c r="O1864" s="9">
        <f>IF(ISNA(MATCH(1851,Engine!$C$2:$C$1960,0)),"",INDEX('Compliance Database'!$O$2:$O$1960,MATCH(1851,Engine!$C$2:$C$1960,0)))</f>
        <v/>
      </c>
      <c r="P1864" s="8">
        <f>IF(ISNA(MATCH(1851,Engine!$C$2:$C$1960,0)),"",HYPERLINK("#Acts!A"&amp;INDEX('Compliance Database'!$P$2:$P$1960,MATCH(1851,Engine!$C$2:$C$1960,0)),"Go to Act"))</f>
        <v/>
      </c>
    </row>
    <row r="1865" ht="158" customHeight="1">
      <c r="A1865" s="8">
        <f>IF(ISNA(MATCH(1852,Engine!$C$2:$C$1960,0)),"",INDEX('Compliance Database'!$A$2:$A$1960,MATCH(1852,Engine!$C$2:$C$1960,0)))</f>
        <v/>
      </c>
      <c r="B1865" s="8">
        <f>IF(ISNA(MATCH(1852,Engine!$C$2:$C$1960,0)),"",INDEX('Compliance Database'!$B$2:$B$1960,MATCH(1852,Engine!$C$2:$C$1960,0)))</f>
        <v/>
      </c>
      <c r="C1865" s="8">
        <f>IF(ISNA(MATCH(1852,Engine!$C$2:$C$1960,0)),"",INDEX('Compliance Database'!$C$2:$C$1960,MATCH(1852,Engine!$C$2:$C$1960,0)))</f>
        <v/>
      </c>
      <c r="D1865" s="9">
        <f>IF(ISNA(MATCH(1852,Engine!$C$2:$C$1960,0)),"",INDEX('Compliance Database'!$D$2:$D$1960,MATCH(1852,Engine!$C$2:$C$1960,0)))</f>
        <v/>
      </c>
      <c r="E1865" s="8">
        <f>IF(ISNA(MATCH(1852,Engine!$C$2:$C$1960,0)),"",INDEX('Compliance Database'!$E$2:$E$1960,MATCH(1852,Engine!$C$2:$C$1960,0)))</f>
        <v/>
      </c>
      <c r="F1865" s="8">
        <f>IF(ISNA(MATCH(1852,Engine!$C$2:$C$1960,0)),"",INDEX('Compliance Database'!$F$2:$F$1960,MATCH(1852,Engine!$C$2:$C$1960,0)))</f>
        <v/>
      </c>
      <c r="G1865" s="8">
        <f>IF(ISNA(MATCH(1852,Engine!$C$2:$C$1960,0)),"",INDEX('Compliance Database'!$G$2:$G$1960,MATCH(1852,Engine!$C$2:$C$1960,0)))</f>
        <v/>
      </c>
      <c r="H1865" s="9">
        <f>IF(ISNA(MATCH(1852,Engine!$C$2:$C$1960,0)),"",INDEX('Compliance Database'!$H$2:$H$1960,MATCH(1852,Engine!$C$2:$C$1960,0)))</f>
        <v/>
      </c>
      <c r="I1865" s="9">
        <f>IF(ISNA(MATCH(1852,Engine!$C$2:$C$1960,0)),"",INDEX('Compliance Database'!$I$2:$I$1960,MATCH(1852,Engine!$C$2:$C$1960,0)))</f>
        <v/>
      </c>
      <c r="J1865" s="8">
        <f>IF(ISNA(MATCH(1852,Engine!$C$2:$C$1960,0)),"",INDEX('Compliance Database'!$J$2:$J$1960,MATCH(1852,Engine!$C$2:$C$1960,0)))</f>
        <v/>
      </c>
      <c r="K1865" s="9">
        <f>IF(ISNA(MATCH(1852,Engine!$C$2:$C$1960,0)),"",INDEX('Compliance Database'!$K$2:$K$1960,MATCH(1852,Engine!$C$2:$C$1960,0)))</f>
        <v/>
      </c>
      <c r="L1865" s="9">
        <f>IF(ISNA(MATCH(1852,Engine!$C$2:$C$1960,0)),"",INDEX('Compliance Database'!$L$2:$L$1960,MATCH(1852,Engine!$C$2:$C$1960,0)))</f>
        <v/>
      </c>
      <c r="M1865" s="9">
        <f>IF(ISNA(MATCH(1852,Engine!$C$2:$C$1960,0)),"",INDEX('Compliance Database'!$M$2:$M$1960,MATCH(1852,Engine!$C$2:$C$1960,0)))</f>
        <v/>
      </c>
      <c r="N1865" s="9">
        <f>IF(ISNA(MATCH(1852,Engine!$C$2:$C$1960,0)),"",INDEX('Compliance Database'!$N$2:$N$1960,MATCH(1852,Engine!$C$2:$C$1960,0)))</f>
        <v/>
      </c>
      <c r="O1865" s="9">
        <f>IF(ISNA(MATCH(1852,Engine!$C$2:$C$1960,0)),"",INDEX('Compliance Database'!$O$2:$O$1960,MATCH(1852,Engine!$C$2:$C$1960,0)))</f>
        <v/>
      </c>
      <c r="P1865" s="8">
        <f>IF(ISNA(MATCH(1852,Engine!$C$2:$C$1960,0)),"",HYPERLINK("#Acts!A"&amp;INDEX('Compliance Database'!$P$2:$P$1960,MATCH(1852,Engine!$C$2:$C$1960,0)),"Go to Act"))</f>
        <v/>
      </c>
    </row>
    <row r="1866" ht="158" customHeight="1">
      <c r="A1866" s="8">
        <f>IF(ISNA(MATCH(1853,Engine!$C$2:$C$1960,0)),"",INDEX('Compliance Database'!$A$2:$A$1960,MATCH(1853,Engine!$C$2:$C$1960,0)))</f>
        <v/>
      </c>
      <c r="B1866" s="8">
        <f>IF(ISNA(MATCH(1853,Engine!$C$2:$C$1960,0)),"",INDEX('Compliance Database'!$B$2:$B$1960,MATCH(1853,Engine!$C$2:$C$1960,0)))</f>
        <v/>
      </c>
      <c r="C1866" s="8">
        <f>IF(ISNA(MATCH(1853,Engine!$C$2:$C$1960,0)),"",INDEX('Compliance Database'!$C$2:$C$1960,MATCH(1853,Engine!$C$2:$C$1960,0)))</f>
        <v/>
      </c>
      <c r="D1866" s="9">
        <f>IF(ISNA(MATCH(1853,Engine!$C$2:$C$1960,0)),"",INDEX('Compliance Database'!$D$2:$D$1960,MATCH(1853,Engine!$C$2:$C$1960,0)))</f>
        <v/>
      </c>
      <c r="E1866" s="8">
        <f>IF(ISNA(MATCH(1853,Engine!$C$2:$C$1960,0)),"",INDEX('Compliance Database'!$E$2:$E$1960,MATCH(1853,Engine!$C$2:$C$1960,0)))</f>
        <v/>
      </c>
      <c r="F1866" s="8">
        <f>IF(ISNA(MATCH(1853,Engine!$C$2:$C$1960,0)),"",INDEX('Compliance Database'!$F$2:$F$1960,MATCH(1853,Engine!$C$2:$C$1960,0)))</f>
        <v/>
      </c>
      <c r="G1866" s="8">
        <f>IF(ISNA(MATCH(1853,Engine!$C$2:$C$1960,0)),"",INDEX('Compliance Database'!$G$2:$G$1960,MATCH(1853,Engine!$C$2:$C$1960,0)))</f>
        <v/>
      </c>
      <c r="H1866" s="9">
        <f>IF(ISNA(MATCH(1853,Engine!$C$2:$C$1960,0)),"",INDEX('Compliance Database'!$H$2:$H$1960,MATCH(1853,Engine!$C$2:$C$1960,0)))</f>
        <v/>
      </c>
      <c r="I1866" s="9">
        <f>IF(ISNA(MATCH(1853,Engine!$C$2:$C$1960,0)),"",INDEX('Compliance Database'!$I$2:$I$1960,MATCH(1853,Engine!$C$2:$C$1960,0)))</f>
        <v/>
      </c>
      <c r="J1866" s="8">
        <f>IF(ISNA(MATCH(1853,Engine!$C$2:$C$1960,0)),"",INDEX('Compliance Database'!$J$2:$J$1960,MATCH(1853,Engine!$C$2:$C$1960,0)))</f>
        <v/>
      </c>
      <c r="K1866" s="9">
        <f>IF(ISNA(MATCH(1853,Engine!$C$2:$C$1960,0)),"",INDEX('Compliance Database'!$K$2:$K$1960,MATCH(1853,Engine!$C$2:$C$1960,0)))</f>
        <v/>
      </c>
      <c r="L1866" s="9">
        <f>IF(ISNA(MATCH(1853,Engine!$C$2:$C$1960,0)),"",INDEX('Compliance Database'!$L$2:$L$1960,MATCH(1853,Engine!$C$2:$C$1960,0)))</f>
        <v/>
      </c>
      <c r="M1866" s="9">
        <f>IF(ISNA(MATCH(1853,Engine!$C$2:$C$1960,0)),"",INDEX('Compliance Database'!$M$2:$M$1960,MATCH(1853,Engine!$C$2:$C$1960,0)))</f>
        <v/>
      </c>
      <c r="N1866" s="9">
        <f>IF(ISNA(MATCH(1853,Engine!$C$2:$C$1960,0)),"",INDEX('Compliance Database'!$N$2:$N$1960,MATCH(1853,Engine!$C$2:$C$1960,0)))</f>
        <v/>
      </c>
      <c r="O1866" s="9">
        <f>IF(ISNA(MATCH(1853,Engine!$C$2:$C$1960,0)),"",INDEX('Compliance Database'!$O$2:$O$1960,MATCH(1853,Engine!$C$2:$C$1960,0)))</f>
        <v/>
      </c>
      <c r="P1866" s="8">
        <f>IF(ISNA(MATCH(1853,Engine!$C$2:$C$1960,0)),"",HYPERLINK("#Acts!A"&amp;INDEX('Compliance Database'!$P$2:$P$1960,MATCH(1853,Engine!$C$2:$C$1960,0)),"Go to Act"))</f>
        <v/>
      </c>
    </row>
    <row r="1867" ht="158" customHeight="1">
      <c r="A1867" s="8">
        <f>IF(ISNA(MATCH(1854,Engine!$C$2:$C$1960,0)),"",INDEX('Compliance Database'!$A$2:$A$1960,MATCH(1854,Engine!$C$2:$C$1960,0)))</f>
        <v/>
      </c>
      <c r="B1867" s="8">
        <f>IF(ISNA(MATCH(1854,Engine!$C$2:$C$1960,0)),"",INDEX('Compliance Database'!$B$2:$B$1960,MATCH(1854,Engine!$C$2:$C$1960,0)))</f>
        <v/>
      </c>
      <c r="C1867" s="8">
        <f>IF(ISNA(MATCH(1854,Engine!$C$2:$C$1960,0)),"",INDEX('Compliance Database'!$C$2:$C$1960,MATCH(1854,Engine!$C$2:$C$1960,0)))</f>
        <v/>
      </c>
      <c r="D1867" s="9">
        <f>IF(ISNA(MATCH(1854,Engine!$C$2:$C$1960,0)),"",INDEX('Compliance Database'!$D$2:$D$1960,MATCH(1854,Engine!$C$2:$C$1960,0)))</f>
        <v/>
      </c>
      <c r="E1867" s="8">
        <f>IF(ISNA(MATCH(1854,Engine!$C$2:$C$1960,0)),"",INDEX('Compliance Database'!$E$2:$E$1960,MATCH(1854,Engine!$C$2:$C$1960,0)))</f>
        <v/>
      </c>
      <c r="F1867" s="8">
        <f>IF(ISNA(MATCH(1854,Engine!$C$2:$C$1960,0)),"",INDEX('Compliance Database'!$F$2:$F$1960,MATCH(1854,Engine!$C$2:$C$1960,0)))</f>
        <v/>
      </c>
      <c r="G1867" s="8">
        <f>IF(ISNA(MATCH(1854,Engine!$C$2:$C$1960,0)),"",INDEX('Compliance Database'!$G$2:$G$1960,MATCH(1854,Engine!$C$2:$C$1960,0)))</f>
        <v/>
      </c>
      <c r="H1867" s="9">
        <f>IF(ISNA(MATCH(1854,Engine!$C$2:$C$1960,0)),"",INDEX('Compliance Database'!$H$2:$H$1960,MATCH(1854,Engine!$C$2:$C$1960,0)))</f>
        <v/>
      </c>
      <c r="I1867" s="9">
        <f>IF(ISNA(MATCH(1854,Engine!$C$2:$C$1960,0)),"",INDEX('Compliance Database'!$I$2:$I$1960,MATCH(1854,Engine!$C$2:$C$1960,0)))</f>
        <v/>
      </c>
      <c r="J1867" s="8">
        <f>IF(ISNA(MATCH(1854,Engine!$C$2:$C$1960,0)),"",INDEX('Compliance Database'!$J$2:$J$1960,MATCH(1854,Engine!$C$2:$C$1960,0)))</f>
        <v/>
      </c>
      <c r="K1867" s="9">
        <f>IF(ISNA(MATCH(1854,Engine!$C$2:$C$1960,0)),"",INDEX('Compliance Database'!$K$2:$K$1960,MATCH(1854,Engine!$C$2:$C$1960,0)))</f>
        <v/>
      </c>
      <c r="L1867" s="9">
        <f>IF(ISNA(MATCH(1854,Engine!$C$2:$C$1960,0)),"",INDEX('Compliance Database'!$L$2:$L$1960,MATCH(1854,Engine!$C$2:$C$1960,0)))</f>
        <v/>
      </c>
      <c r="M1867" s="9">
        <f>IF(ISNA(MATCH(1854,Engine!$C$2:$C$1960,0)),"",INDEX('Compliance Database'!$M$2:$M$1960,MATCH(1854,Engine!$C$2:$C$1960,0)))</f>
        <v/>
      </c>
      <c r="N1867" s="9">
        <f>IF(ISNA(MATCH(1854,Engine!$C$2:$C$1960,0)),"",INDEX('Compliance Database'!$N$2:$N$1960,MATCH(1854,Engine!$C$2:$C$1960,0)))</f>
        <v/>
      </c>
      <c r="O1867" s="9">
        <f>IF(ISNA(MATCH(1854,Engine!$C$2:$C$1960,0)),"",INDEX('Compliance Database'!$O$2:$O$1960,MATCH(1854,Engine!$C$2:$C$1960,0)))</f>
        <v/>
      </c>
      <c r="P1867" s="8">
        <f>IF(ISNA(MATCH(1854,Engine!$C$2:$C$1960,0)),"",HYPERLINK("#Acts!A"&amp;INDEX('Compliance Database'!$P$2:$P$1960,MATCH(1854,Engine!$C$2:$C$1960,0)),"Go to Act"))</f>
        <v/>
      </c>
    </row>
    <row r="1868" ht="158" customHeight="1">
      <c r="A1868" s="8">
        <f>IF(ISNA(MATCH(1855,Engine!$C$2:$C$1960,0)),"",INDEX('Compliance Database'!$A$2:$A$1960,MATCH(1855,Engine!$C$2:$C$1960,0)))</f>
        <v/>
      </c>
      <c r="B1868" s="8">
        <f>IF(ISNA(MATCH(1855,Engine!$C$2:$C$1960,0)),"",INDEX('Compliance Database'!$B$2:$B$1960,MATCH(1855,Engine!$C$2:$C$1960,0)))</f>
        <v/>
      </c>
      <c r="C1868" s="8">
        <f>IF(ISNA(MATCH(1855,Engine!$C$2:$C$1960,0)),"",INDEX('Compliance Database'!$C$2:$C$1960,MATCH(1855,Engine!$C$2:$C$1960,0)))</f>
        <v/>
      </c>
      <c r="D1868" s="9">
        <f>IF(ISNA(MATCH(1855,Engine!$C$2:$C$1960,0)),"",INDEX('Compliance Database'!$D$2:$D$1960,MATCH(1855,Engine!$C$2:$C$1960,0)))</f>
        <v/>
      </c>
      <c r="E1868" s="8">
        <f>IF(ISNA(MATCH(1855,Engine!$C$2:$C$1960,0)),"",INDEX('Compliance Database'!$E$2:$E$1960,MATCH(1855,Engine!$C$2:$C$1960,0)))</f>
        <v/>
      </c>
      <c r="F1868" s="8">
        <f>IF(ISNA(MATCH(1855,Engine!$C$2:$C$1960,0)),"",INDEX('Compliance Database'!$F$2:$F$1960,MATCH(1855,Engine!$C$2:$C$1960,0)))</f>
        <v/>
      </c>
      <c r="G1868" s="8">
        <f>IF(ISNA(MATCH(1855,Engine!$C$2:$C$1960,0)),"",INDEX('Compliance Database'!$G$2:$G$1960,MATCH(1855,Engine!$C$2:$C$1960,0)))</f>
        <v/>
      </c>
      <c r="H1868" s="9">
        <f>IF(ISNA(MATCH(1855,Engine!$C$2:$C$1960,0)),"",INDEX('Compliance Database'!$H$2:$H$1960,MATCH(1855,Engine!$C$2:$C$1960,0)))</f>
        <v/>
      </c>
      <c r="I1868" s="9">
        <f>IF(ISNA(MATCH(1855,Engine!$C$2:$C$1960,0)),"",INDEX('Compliance Database'!$I$2:$I$1960,MATCH(1855,Engine!$C$2:$C$1960,0)))</f>
        <v/>
      </c>
      <c r="J1868" s="8">
        <f>IF(ISNA(MATCH(1855,Engine!$C$2:$C$1960,0)),"",INDEX('Compliance Database'!$J$2:$J$1960,MATCH(1855,Engine!$C$2:$C$1960,0)))</f>
        <v/>
      </c>
      <c r="K1868" s="9">
        <f>IF(ISNA(MATCH(1855,Engine!$C$2:$C$1960,0)),"",INDEX('Compliance Database'!$K$2:$K$1960,MATCH(1855,Engine!$C$2:$C$1960,0)))</f>
        <v/>
      </c>
      <c r="L1868" s="9">
        <f>IF(ISNA(MATCH(1855,Engine!$C$2:$C$1960,0)),"",INDEX('Compliance Database'!$L$2:$L$1960,MATCH(1855,Engine!$C$2:$C$1960,0)))</f>
        <v/>
      </c>
      <c r="M1868" s="9">
        <f>IF(ISNA(MATCH(1855,Engine!$C$2:$C$1960,0)),"",INDEX('Compliance Database'!$M$2:$M$1960,MATCH(1855,Engine!$C$2:$C$1960,0)))</f>
        <v/>
      </c>
      <c r="N1868" s="9">
        <f>IF(ISNA(MATCH(1855,Engine!$C$2:$C$1960,0)),"",INDEX('Compliance Database'!$N$2:$N$1960,MATCH(1855,Engine!$C$2:$C$1960,0)))</f>
        <v/>
      </c>
      <c r="O1868" s="9">
        <f>IF(ISNA(MATCH(1855,Engine!$C$2:$C$1960,0)),"",INDEX('Compliance Database'!$O$2:$O$1960,MATCH(1855,Engine!$C$2:$C$1960,0)))</f>
        <v/>
      </c>
      <c r="P1868" s="8">
        <f>IF(ISNA(MATCH(1855,Engine!$C$2:$C$1960,0)),"",HYPERLINK("#Acts!A"&amp;INDEX('Compliance Database'!$P$2:$P$1960,MATCH(1855,Engine!$C$2:$C$1960,0)),"Go to Act"))</f>
        <v/>
      </c>
    </row>
    <row r="1869" ht="158" customHeight="1">
      <c r="A1869" s="8">
        <f>IF(ISNA(MATCH(1856,Engine!$C$2:$C$1960,0)),"",INDEX('Compliance Database'!$A$2:$A$1960,MATCH(1856,Engine!$C$2:$C$1960,0)))</f>
        <v/>
      </c>
      <c r="B1869" s="8">
        <f>IF(ISNA(MATCH(1856,Engine!$C$2:$C$1960,0)),"",INDEX('Compliance Database'!$B$2:$B$1960,MATCH(1856,Engine!$C$2:$C$1960,0)))</f>
        <v/>
      </c>
      <c r="C1869" s="8">
        <f>IF(ISNA(MATCH(1856,Engine!$C$2:$C$1960,0)),"",INDEX('Compliance Database'!$C$2:$C$1960,MATCH(1856,Engine!$C$2:$C$1960,0)))</f>
        <v/>
      </c>
      <c r="D1869" s="9">
        <f>IF(ISNA(MATCH(1856,Engine!$C$2:$C$1960,0)),"",INDEX('Compliance Database'!$D$2:$D$1960,MATCH(1856,Engine!$C$2:$C$1960,0)))</f>
        <v/>
      </c>
      <c r="E1869" s="8">
        <f>IF(ISNA(MATCH(1856,Engine!$C$2:$C$1960,0)),"",INDEX('Compliance Database'!$E$2:$E$1960,MATCH(1856,Engine!$C$2:$C$1960,0)))</f>
        <v/>
      </c>
      <c r="F1869" s="8">
        <f>IF(ISNA(MATCH(1856,Engine!$C$2:$C$1960,0)),"",INDEX('Compliance Database'!$F$2:$F$1960,MATCH(1856,Engine!$C$2:$C$1960,0)))</f>
        <v/>
      </c>
      <c r="G1869" s="8">
        <f>IF(ISNA(MATCH(1856,Engine!$C$2:$C$1960,0)),"",INDEX('Compliance Database'!$G$2:$G$1960,MATCH(1856,Engine!$C$2:$C$1960,0)))</f>
        <v/>
      </c>
      <c r="H1869" s="9">
        <f>IF(ISNA(MATCH(1856,Engine!$C$2:$C$1960,0)),"",INDEX('Compliance Database'!$H$2:$H$1960,MATCH(1856,Engine!$C$2:$C$1960,0)))</f>
        <v/>
      </c>
      <c r="I1869" s="9">
        <f>IF(ISNA(MATCH(1856,Engine!$C$2:$C$1960,0)),"",INDEX('Compliance Database'!$I$2:$I$1960,MATCH(1856,Engine!$C$2:$C$1960,0)))</f>
        <v/>
      </c>
      <c r="J1869" s="8">
        <f>IF(ISNA(MATCH(1856,Engine!$C$2:$C$1960,0)),"",INDEX('Compliance Database'!$J$2:$J$1960,MATCH(1856,Engine!$C$2:$C$1960,0)))</f>
        <v/>
      </c>
      <c r="K1869" s="9">
        <f>IF(ISNA(MATCH(1856,Engine!$C$2:$C$1960,0)),"",INDEX('Compliance Database'!$K$2:$K$1960,MATCH(1856,Engine!$C$2:$C$1960,0)))</f>
        <v/>
      </c>
      <c r="L1869" s="9">
        <f>IF(ISNA(MATCH(1856,Engine!$C$2:$C$1960,0)),"",INDEX('Compliance Database'!$L$2:$L$1960,MATCH(1856,Engine!$C$2:$C$1960,0)))</f>
        <v/>
      </c>
      <c r="M1869" s="9">
        <f>IF(ISNA(MATCH(1856,Engine!$C$2:$C$1960,0)),"",INDEX('Compliance Database'!$M$2:$M$1960,MATCH(1856,Engine!$C$2:$C$1960,0)))</f>
        <v/>
      </c>
      <c r="N1869" s="9">
        <f>IF(ISNA(MATCH(1856,Engine!$C$2:$C$1960,0)),"",INDEX('Compliance Database'!$N$2:$N$1960,MATCH(1856,Engine!$C$2:$C$1960,0)))</f>
        <v/>
      </c>
      <c r="O1869" s="9">
        <f>IF(ISNA(MATCH(1856,Engine!$C$2:$C$1960,0)),"",INDEX('Compliance Database'!$O$2:$O$1960,MATCH(1856,Engine!$C$2:$C$1960,0)))</f>
        <v/>
      </c>
      <c r="P1869" s="8">
        <f>IF(ISNA(MATCH(1856,Engine!$C$2:$C$1960,0)),"",HYPERLINK("#Acts!A"&amp;INDEX('Compliance Database'!$P$2:$P$1960,MATCH(1856,Engine!$C$2:$C$1960,0)),"Go to Act"))</f>
        <v/>
      </c>
    </row>
    <row r="1870" ht="158" customHeight="1">
      <c r="A1870" s="8">
        <f>IF(ISNA(MATCH(1857,Engine!$C$2:$C$1960,0)),"",INDEX('Compliance Database'!$A$2:$A$1960,MATCH(1857,Engine!$C$2:$C$1960,0)))</f>
        <v/>
      </c>
      <c r="B1870" s="8">
        <f>IF(ISNA(MATCH(1857,Engine!$C$2:$C$1960,0)),"",INDEX('Compliance Database'!$B$2:$B$1960,MATCH(1857,Engine!$C$2:$C$1960,0)))</f>
        <v/>
      </c>
      <c r="C1870" s="8">
        <f>IF(ISNA(MATCH(1857,Engine!$C$2:$C$1960,0)),"",INDEX('Compliance Database'!$C$2:$C$1960,MATCH(1857,Engine!$C$2:$C$1960,0)))</f>
        <v/>
      </c>
      <c r="D1870" s="9">
        <f>IF(ISNA(MATCH(1857,Engine!$C$2:$C$1960,0)),"",INDEX('Compliance Database'!$D$2:$D$1960,MATCH(1857,Engine!$C$2:$C$1960,0)))</f>
        <v/>
      </c>
      <c r="E1870" s="8">
        <f>IF(ISNA(MATCH(1857,Engine!$C$2:$C$1960,0)),"",INDEX('Compliance Database'!$E$2:$E$1960,MATCH(1857,Engine!$C$2:$C$1960,0)))</f>
        <v/>
      </c>
      <c r="F1870" s="8">
        <f>IF(ISNA(MATCH(1857,Engine!$C$2:$C$1960,0)),"",INDEX('Compliance Database'!$F$2:$F$1960,MATCH(1857,Engine!$C$2:$C$1960,0)))</f>
        <v/>
      </c>
      <c r="G1870" s="8">
        <f>IF(ISNA(MATCH(1857,Engine!$C$2:$C$1960,0)),"",INDEX('Compliance Database'!$G$2:$G$1960,MATCH(1857,Engine!$C$2:$C$1960,0)))</f>
        <v/>
      </c>
      <c r="H1870" s="9">
        <f>IF(ISNA(MATCH(1857,Engine!$C$2:$C$1960,0)),"",INDEX('Compliance Database'!$H$2:$H$1960,MATCH(1857,Engine!$C$2:$C$1960,0)))</f>
        <v/>
      </c>
      <c r="I1870" s="9">
        <f>IF(ISNA(MATCH(1857,Engine!$C$2:$C$1960,0)),"",INDEX('Compliance Database'!$I$2:$I$1960,MATCH(1857,Engine!$C$2:$C$1960,0)))</f>
        <v/>
      </c>
      <c r="J1870" s="8">
        <f>IF(ISNA(MATCH(1857,Engine!$C$2:$C$1960,0)),"",INDEX('Compliance Database'!$J$2:$J$1960,MATCH(1857,Engine!$C$2:$C$1960,0)))</f>
        <v/>
      </c>
      <c r="K1870" s="9">
        <f>IF(ISNA(MATCH(1857,Engine!$C$2:$C$1960,0)),"",INDEX('Compliance Database'!$K$2:$K$1960,MATCH(1857,Engine!$C$2:$C$1960,0)))</f>
        <v/>
      </c>
      <c r="L1870" s="9">
        <f>IF(ISNA(MATCH(1857,Engine!$C$2:$C$1960,0)),"",INDEX('Compliance Database'!$L$2:$L$1960,MATCH(1857,Engine!$C$2:$C$1960,0)))</f>
        <v/>
      </c>
      <c r="M1870" s="9">
        <f>IF(ISNA(MATCH(1857,Engine!$C$2:$C$1960,0)),"",INDEX('Compliance Database'!$M$2:$M$1960,MATCH(1857,Engine!$C$2:$C$1960,0)))</f>
        <v/>
      </c>
      <c r="N1870" s="9">
        <f>IF(ISNA(MATCH(1857,Engine!$C$2:$C$1960,0)),"",INDEX('Compliance Database'!$N$2:$N$1960,MATCH(1857,Engine!$C$2:$C$1960,0)))</f>
        <v/>
      </c>
      <c r="O1870" s="9">
        <f>IF(ISNA(MATCH(1857,Engine!$C$2:$C$1960,0)),"",INDEX('Compliance Database'!$O$2:$O$1960,MATCH(1857,Engine!$C$2:$C$1960,0)))</f>
        <v/>
      </c>
      <c r="P1870" s="8">
        <f>IF(ISNA(MATCH(1857,Engine!$C$2:$C$1960,0)),"",HYPERLINK("#Acts!A"&amp;INDEX('Compliance Database'!$P$2:$P$1960,MATCH(1857,Engine!$C$2:$C$1960,0)),"Go to Act"))</f>
        <v/>
      </c>
    </row>
    <row r="1871" ht="158" customHeight="1">
      <c r="A1871" s="8">
        <f>IF(ISNA(MATCH(1858,Engine!$C$2:$C$1960,0)),"",INDEX('Compliance Database'!$A$2:$A$1960,MATCH(1858,Engine!$C$2:$C$1960,0)))</f>
        <v/>
      </c>
      <c r="B1871" s="8">
        <f>IF(ISNA(MATCH(1858,Engine!$C$2:$C$1960,0)),"",INDEX('Compliance Database'!$B$2:$B$1960,MATCH(1858,Engine!$C$2:$C$1960,0)))</f>
        <v/>
      </c>
      <c r="C1871" s="8">
        <f>IF(ISNA(MATCH(1858,Engine!$C$2:$C$1960,0)),"",INDEX('Compliance Database'!$C$2:$C$1960,MATCH(1858,Engine!$C$2:$C$1960,0)))</f>
        <v/>
      </c>
      <c r="D1871" s="9">
        <f>IF(ISNA(MATCH(1858,Engine!$C$2:$C$1960,0)),"",INDEX('Compliance Database'!$D$2:$D$1960,MATCH(1858,Engine!$C$2:$C$1960,0)))</f>
        <v/>
      </c>
      <c r="E1871" s="8">
        <f>IF(ISNA(MATCH(1858,Engine!$C$2:$C$1960,0)),"",INDEX('Compliance Database'!$E$2:$E$1960,MATCH(1858,Engine!$C$2:$C$1960,0)))</f>
        <v/>
      </c>
      <c r="F1871" s="8">
        <f>IF(ISNA(MATCH(1858,Engine!$C$2:$C$1960,0)),"",INDEX('Compliance Database'!$F$2:$F$1960,MATCH(1858,Engine!$C$2:$C$1960,0)))</f>
        <v/>
      </c>
      <c r="G1871" s="8">
        <f>IF(ISNA(MATCH(1858,Engine!$C$2:$C$1960,0)),"",INDEX('Compliance Database'!$G$2:$G$1960,MATCH(1858,Engine!$C$2:$C$1960,0)))</f>
        <v/>
      </c>
      <c r="H1871" s="9">
        <f>IF(ISNA(MATCH(1858,Engine!$C$2:$C$1960,0)),"",INDEX('Compliance Database'!$H$2:$H$1960,MATCH(1858,Engine!$C$2:$C$1960,0)))</f>
        <v/>
      </c>
      <c r="I1871" s="9">
        <f>IF(ISNA(MATCH(1858,Engine!$C$2:$C$1960,0)),"",INDEX('Compliance Database'!$I$2:$I$1960,MATCH(1858,Engine!$C$2:$C$1960,0)))</f>
        <v/>
      </c>
      <c r="J1871" s="8">
        <f>IF(ISNA(MATCH(1858,Engine!$C$2:$C$1960,0)),"",INDEX('Compliance Database'!$J$2:$J$1960,MATCH(1858,Engine!$C$2:$C$1960,0)))</f>
        <v/>
      </c>
      <c r="K1871" s="9">
        <f>IF(ISNA(MATCH(1858,Engine!$C$2:$C$1960,0)),"",INDEX('Compliance Database'!$K$2:$K$1960,MATCH(1858,Engine!$C$2:$C$1960,0)))</f>
        <v/>
      </c>
      <c r="L1871" s="9">
        <f>IF(ISNA(MATCH(1858,Engine!$C$2:$C$1960,0)),"",INDEX('Compliance Database'!$L$2:$L$1960,MATCH(1858,Engine!$C$2:$C$1960,0)))</f>
        <v/>
      </c>
      <c r="M1871" s="9">
        <f>IF(ISNA(MATCH(1858,Engine!$C$2:$C$1960,0)),"",INDEX('Compliance Database'!$M$2:$M$1960,MATCH(1858,Engine!$C$2:$C$1960,0)))</f>
        <v/>
      </c>
      <c r="N1871" s="9">
        <f>IF(ISNA(MATCH(1858,Engine!$C$2:$C$1960,0)),"",INDEX('Compliance Database'!$N$2:$N$1960,MATCH(1858,Engine!$C$2:$C$1960,0)))</f>
        <v/>
      </c>
      <c r="O1871" s="9">
        <f>IF(ISNA(MATCH(1858,Engine!$C$2:$C$1960,0)),"",INDEX('Compliance Database'!$O$2:$O$1960,MATCH(1858,Engine!$C$2:$C$1960,0)))</f>
        <v/>
      </c>
      <c r="P1871" s="8">
        <f>IF(ISNA(MATCH(1858,Engine!$C$2:$C$1960,0)),"",HYPERLINK("#Acts!A"&amp;INDEX('Compliance Database'!$P$2:$P$1960,MATCH(1858,Engine!$C$2:$C$1960,0)),"Go to Act"))</f>
        <v/>
      </c>
    </row>
    <row r="1872" ht="158" customHeight="1">
      <c r="A1872" s="8">
        <f>IF(ISNA(MATCH(1859,Engine!$C$2:$C$1960,0)),"",INDEX('Compliance Database'!$A$2:$A$1960,MATCH(1859,Engine!$C$2:$C$1960,0)))</f>
        <v/>
      </c>
      <c r="B1872" s="8">
        <f>IF(ISNA(MATCH(1859,Engine!$C$2:$C$1960,0)),"",INDEX('Compliance Database'!$B$2:$B$1960,MATCH(1859,Engine!$C$2:$C$1960,0)))</f>
        <v/>
      </c>
      <c r="C1872" s="8">
        <f>IF(ISNA(MATCH(1859,Engine!$C$2:$C$1960,0)),"",INDEX('Compliance Database'!$C$2:$C$1960,MATCH(1859,Engine!$C$2:$C$1960,0)))</f>
        <v/>
      </c>
      <c r="D1872" s="9">
        <f>IF(ISNA(MATCH(1859,Engine!$C$2:$C$1960,0)),"",INDEX('Compliance Database'!$D$2:$D$1960,MATCH(1859,Engine!$C$2:$C$1960,0)))</f>
        <v/>
      </c>
      <c r="E1872" s="8">
        <f>IF(ISNA(MATCH(1859,Engine!$C$2:$C$1960,0)),"",INDEX('Compliance Database'!$E$2:$E$1960,MATCH(1859,Engine!$C$2:$C$1960,0)))</f>
        <v/>
      </c>
      <c r="F1872" s="8">
        <f>IF(ISNA(MATCH(1859,Engine!$C$2:$C$1960,0)),"",INDEX('Compliance Database'!$F$2:$F$1960,MATCH(1859,Engine!$C$2:$C$1960,0)))</f>
        <v/>
      </c>
      <c r="G1872" s="8">
        <f>IF(ISNA(MATCH(1859,Engine!$C$2:$C$1960,0)),"",INDEX('Compliance Database'!$G$2:$G$1960,MATCH(1859,Engine!$C$2:$C$1960,0)))</f>
        <v/>
      </c>
      <c r="H1872" s="9">
        <f>IF(ISNA(MATCH(1859,Engine!$C$2:$C$1960,0)),"",INDEX('Compliance Database'!$H$2:$H$1960,MATCH(1859,Engine!$C$2:$C$1960,0)))</f>
        <v/>
      </c>
      <c r="I1872" s="9">
        <f>IF(ISNA(MATCH(1859,Engine!$C$2:$C$1960,0)),"",INDEX('Compliance Database'!$I$2:$I$1960,MATCH(1859,Engine!$C$2:$C$1960,0)))</f>
        <v/>
      </c>
      <c r="J1872" s="8">
        <f>IF(ISNA(MATCH(1859,Engine!$C$2:$C$1960,0)),"",INDEX('Compliance Database'!$J$2:$J$1960,MATCH(1859,Engine!$C$2:$C$1960,0)))</f>
        <v/>
      </c>
      <c r="K1872" s="9">
        <f>IF(ISNA(MATCH(1859,Engine!$C$2:$C$1960,0)),"",INDEX('Compliance Database'!$K$2:$K$1960,MATCH(1859,Engine!$C$2:$C$1960,0)))</f>
        <v/>
      </c>
      <c r="L1872" s="9">
        <f>IF(ISNA(MATCH(1859,Engine!$C$2:$C$1960,0)),"",INDEX('Compliance Database'!$L$2:$L$1960,MATCH(1859,Engine!$C$2:$C$1960,0)))</f>
        <v/>
      </c>
      <c r="M1872" s="9">
        <f>IF(ISNA(MATCH(1859,Engine!$C$2:$C$1960,0)),"",INDEX('Compliance Database'!$M$2:$M$1960,MATCH(1859,Engine!$C$2:$C$1960,0)))</f>
        <v/>
      </c>
      <c r="N1872" s="9">
        <f>IF(ISNA(MATCH(1859,Engine!$C$2:$C$1960,0)),"",INDEX('Compliance Database'!$N$2:$N$1960,MATCH(1859,Engine!$C$2:$C$1960,0)))</f>
        <v/>
      </c>
      <c r="O1872" s="9">
        <f>IF(ISNA(MATCH(1859,Engine!$C$2:$C$1960,0)),"",INDEX('Compliance Database'!$O$2:$O$1960,MATCH(1859,Engine!$C$2:$C$1960,0)))</f>
        <v/>
      </c>
      <c r="P1872" s="8">
        <f>IF(ISNA(MATCH(1859,Engine!$C$2:$C$1960,0)),"",HYPERLINK("#Acts!A"&amp;INDEX('Compliance Database'!$P$2:$P$1960,MATCH(1859,Engine!$C$2:$C$1960,0)),"Go to Act"))</f>
        <v/>
      </c>
    </row>
    <row r="1873" ht="158" customHeight="1">
      <c r="A1873" s="8">
        <f>IF(ISNA(MATCH(1860,Engine!$C$2:$C$1960,0)),"",INDEX('Compliance Database'!$A$2:$A$1960,MATCH(1860,Engine!$C$2:$C$1960,0)))</f>
        <v/>
      </c>
      <c r="B1873" s="8">
        <f>IF(ISNA(MATCH(1860,Engine!$C$2:$C$1960,0)),"",INDEX('Compliance Database'!$B$2:$B$1960,MATCH(1860,Engine!$C$2:$C$1960,0)))</f>
        <v/>
      </c>
      <c r="C1873" s="8">
        <f>IF(ISNA(MATCH(1860,Engine!$C$2:$C$1960,0)),"",INDEX('Compliance Database'!$C$2:$C$1960,MATCH(1860,Engine!$C$2:$C$1960,0)))</f>
        <v/>
      </c>
      <c r="D1873" s="9">
        <f>IF(ISNA(MATCH(1860,Engine!$C$2:$C$1960,0)),"",INDEX('Compliance Database'!$D$2:$D$1960,MATCH(1860,Engine!$C$2:$C$1960,0)))</f>
        <v/>
      </c>
      <c r="E1873" s="8">
        <f>IF(ISNA(MATCH(1860,Engine!$C$2:$C$1960,0)),"",INDEX('Compliance Database'!$E$2:$E$1960,MATCH(1860,Engine!$C$2:$C$1960,0)))</f>
        <v/>
      </c>
      <c r="F1873" s="8">
        <f>IF(ISNA(MATCH(1860,Engine!$C$2:$C$1960,0)),"",INDEX('Compliance Database'!$F$2:$F$1960,MATCH(1860,Engine!$C$2:$C$1960,0)))</f>
        <v/>
      </c>
      <c r="G1873" s="8">
        <f>IF(ISNA(MATCH(1860,Engine!$C$2:$C$1960,0)),"",INDEX('Compliance Database'!$G$2:$G$1960,MATCH(1860,Engine!$C$2:$C$1960,0)))</f>
        <v/>
      </c>
      <c r="H1873" s="9">
        <f>IF(ISNA(MATCH(1860,Engine!$C$2:$C$1960,0)),"",INDEX('Compliance Database'!$H$2:$H$1960,MATCH(1860,Engine!$C$2:$C$1960,0)))</f>
        <v/>
      </c>
      <c r="I1873" s="9">
        <f>IF(ISNA(MATCH(1860,Engine!$C$2:$C$1960,0)),"",INDEX('Compliance Database'!$I$2:$I$1960,MATCH(1860,Engine!$C$2:$C$1960,0)))</f>
        <v/>
      </c>
      <c r="J1873" s="8">
        <f>IF(ISNA(MATCH(1860,Engine!$C$2:$C$1960,0)),"",INDEX('Compliance Database'!$J$2:$J$1960,MATCH(1860,Engine!$C$2:$C$1960,0)))</f>
        <v/>
      </c>
      <c r="K1873" s="9">
        <f>IF(ISNA(MATCH(1860,Engine!$C$2:$C$1960,0)),"",INDEX('Compliance Database'!$K$2:$K$1960,MATCH(1860,Engine!$C$2:$C$1960,0)))</f>
        <v/>
      </c>
      <c r="L1873" s="9">
        <f>IF(ISNA(MATCH(1860,Engine!$C$2:$C$1960,0)),"",INDEX('Compliance Database'!$L$2:$L$1960,MATCH(1860,Engine!$C$2:$C$1960,0)))</f>
        <v/>
      </c>
      <c r="M1873" s="9">
        <f>IF(ISNA(MATCH(1860,Engine!$C$2:$C$1960,0)),"",INDEX('Compliance Database'!$M$2:$M$1960,MATCH(1860,Engine!$C$2:$C$1960,0)))</f>
        <v/>
      </c>
      <c r="N1873" s="9">
        <f>IF(ISNA(MATCH(1860,Engine!$C$2:$C$1960,0)),"",INDEX('Compliance Database'!$N$2:$N$1960,MATCH(1860,Engine!$C$2:$C$1960,0)))</f>
        <v/>
      </c>
      <c r="O1873" s="9">
        <f>IF(ISNA(MATCH(1860,Engine!$C$2:$C$1960,0)),"",INDEX('Compliance Database'!$O$2:$O$1960,MATCH(1860,Engine!$C$2:$C$1960,0)))</f>
        <v/>
      </c>
      <c r="P1873" s="8">
        <f>IF(ISNA(MATCH(1860,Engine!$C$2:$C$1960,0)),"",HYPERLINK("#Acts!A"&amp;INDEX('Compliance Database'!$P$2:$P$1960,MATCH(1860,Engine!$C$2:$C$1960,0)),"Go to Act"))</f>
        <v/>
      </c>
    </row>
    <row r="1874" ht="158" customHeight="1">
      <c r="A1874" s="8">
        <f>IF(ISNA(MATCH(1861,Engine!$C$2:$C$1960,0)),"",INDEX('Compliance Database'!$A$2:$A$1960,MATCH(1861,Engine!$C$2:$C$1960,0)))</f>
        <v/>
      </c>
      <c r="B1874" s="8">
        <f>IF(ISNA(MATCH(1861,Engine!$C$2:$C$1960,0)),"",INDEX('Compliance Database'!$B$2:$B$1960,MATCH(1861,Engine!$C$2:$C$1960,0)))</f>
        <v/>
      </c>
      <c r="C1874" s="8">
        <f>IF(ISNA(MATCH(1861,Engine!$C$2:$C$1960,0)),"",INDEX('Compliance Database'!$C$2:$C$1960,MATCH(1861,Engine!$C$2:$C$1960,0)))</f>
        <v/>
      </c>
      <c r="D1874" s="9">
        <f>IF(ISNA(MATCH(1861,Engine!$C$2:$C$1960,0)),"",INDEX('Compliance Database'!$D$2:$D$1960,MATCH(1861,Engine!$C$2:$C$1960,0)))</f>
        <v/>
      </c>
      <c r="E1874" s="8">
        <f>IF(ISNA(MATCH(1861,Engine!$C$2:$C$1960,0)),"",INDEX('Compliance Database'!$E$2:$E$1960,MATCH(1861,Engine!$C$2:$C$1960,0)))</f>
        <v/>
      </c>
      <c r="F1874" s="8">
        <f>IF(ISNA(MATCH(1861,Engine!$C$2:$C$1960,0)),"",INDEX('Compliance Database'!$F$2:$F$1960,MATCH(1861,Engine!$C$2:$C$1960,0)))</f>
        <v/>
      </c>
      <c r="G1874" s="8">
        <f>IF(ISNA(MATCH(1861,Engine!$C$2:$C$1960,0)),"",INDEX('Compliance Database'!$G$2:$G$1960,MATCH(1861,Engine!$C$2:$C$1960,0)))</f>
        <v/>
      </c>
      <c r="H1874" s="9">
        <f>IF(ISNA(MATCH(1861,Engine!$C$2:$C$1960,0)),"",INDEX('Compliance Database'!$H$2:$H$1960,MATCH(1861,Engine!$C$2:$C$1960,0)))</f>
        <v/>
      </c>
      <c r="I1874" s="9">
        <f>IF(ISNA(MATCH(1861,Engine!$C$2:$C$1960,0)),"",INDEX('Compliance Database'!$I$2:$I$1960,MATCH(1861,Engine!$C$2:$C$1960,0)))</f>
        <v/>
      </c>
      <c r="J1874" s="8">
        <f>IF(ISNA(MATCH(1861,Engine!$C$2:$C$1960,0)),"",INDEX('Compliance Database'!$J$2:$J$1960,MATCH(1861,Engine!$C$2:$C$1960,0)))</f>
        <v/>
      </c>
      <c r="K1874" s="9">
        <f>IF(ISNA(MATCH(1861,Engine!$C$2:$C$1960,0)),"",INDEX('Compliance Database'!$K$2:$K$1960,MATCH(1861,Engine!$C$2:$C$1960,0)))</f>
        <v/>
      </c>
      <c r="L1874" s="9">
        <f>IF(ISNA(MATCH(1861,Engine!$C$2:$C$1960,0)),"",INDEX('Compliance Database'!$L$2:$L$1960,MATCH(1861,Engine!$C$2:$C$1960,0)))</f>
        <v/>
      </c>
      <c r="M1874" s="9">
        <f>IF(ISNA(MATCH(1861,Engine!$C$2:$C$1960,0)),"",INDEX('Compliance Database'!$M$2:$M$1960,MATCH(1861,Engine!$C$2:$C$1960,0)))</f>
        <v/>
      </c>
      <c r="N1874" s="9">
        <f>IF(ISNA(MATCH(1861,Engine!$C$2:$C$1960,0)),"",INDEX('Compliance Database'!$N$2:$N$1960,MATCH(1861,Engine!$C$2:$C$1960,0)))</f>
        <v/>
      </c>
      <c r="O1874" s="9">
        <f>IF(ISNA(MATCH(1861,Engine!$C$2:$C$1960,0)),"",INDEX('Compliance Database'!$O$2:$O$1960,MATCH(1861,Engine!$C$2:$C$1960,0)))</f>
        <v/>
      </c>
      <c r="P1874" s="8">
        <f>IF(ISNA(MATCH(1861,Engine!$C$2:$C$1960,0)),"",HYPERLINK("#Acts!A"&amp;INDEX('Compliance Database'!$P$2:$P$1960,MATCH(1861,Engine!$C$2:$C$1960,0)),"Go to Act"))</f>
        <v/>
      </c>
    </row>
    <row r="1875" ht="158" customHeight="1">
      <c r="A1875" s="8">
        <f>IF(ISNA(MATCH(1862,Engine!$C$2:$C$1960,0)),"",INDEX('Compliance Database'!$A$2:$A$1960,MATCH(1862,Engine!$C$2:$C$1960,0)))</f>
        <v/>
      </c>
      <c r="B1875" s="8">
        <f>IF(ISNA(MATCH(1862,Engine!$C$2:$C$1960,0)),"",INDEX('Compliance Database'!$B$2:$B$1960,MATCH(1862,Engine!$C$2:$C$1960,0)))</f>
        <v/>
      </c>
      <c r="C1875" s="8">
        <f>IF(ISNA(MATCH(1862,Engine!$C$2:$C$1960,0)),"",INDEX('Compliance Database'!$C$2:$C$1960,MATCH(1862,Engine!$C$2:$C$1960,0)))</f>
        <v/>
      </c>
      <c r="D1875" s="9">
        <f>IF(ISNA(MATCH(1862,Engine!$C$2:$C$1960,0)),"",INDEX('Compliance Database'!$D$2:$D$1960,MATCH(1862,Engine!$C$2:$C$1960,0)))</f>
        <v/>
      </c>
      <c r="E1875" s="8">
        <f>IF(ISNA(MATCH(1862,Engine!$C$2:$C$1960,0)),"",INDEX('Compliance Database'!$E$2:$E$1960,MATCH(1862,Engine!$C$2:$C$1960,0)))</f>
        <v/>
      </c>
      <c r="F1875" s="8">
        <f>IF(ISNA(MATCH(1862,Engine!$C$2:$C$1960,0)),"",INDEX('Compliance Database'!$F$2:$F$1960,MATCH(1862,Engine!$C$2:$C$1960,0)))</f>
        <v/>
      </c>
      <c r="G1875" s="8">
        <f>IF(ISNA(MATCH(1862,Engine!$C$2:$C$1960,0)),"",INDEX('Compliance Database'!$G$2:$G$1960,MATCH(1862,Engine!$C$2:$C$1960,0)))</f>
        <v/>
      </c>
      <c r="H1875" s="9">
        <f>IF(ISNA(MATCH(1862,Engine!$C$2:$C$1960,0)),"",INDEX('Compliance Database'!$H$2:$H$1960,MATCH(1862,Engine!$C$2:$C$1960,0)))</f>
        <v/>
      </c>
      <c r="I1875" s="9">
        <f>IF(ISNA(MATCH(1862,Engine!$C$2:$C$1960,0)),"",INDEX('Compliance Database'!$I$2:$I$1960,MATCH(1862,Engine!$C$2:$C$1960,0)))</f>
        <v/>
      </c>
      <c r="J1875" s="8">
        <f>IF(ISNA(MATCH(1862,Engine!$C$2:$C$1960,0)),"",INDEX('Compliance Database'!$J$2:$J$1960,MATCH(1862,Engine!$C$2:$C$1960,0)))</f>
        <v/>
      </c>
      <c r="K1875" s="9">
        <f>IF(ISNA(MATCH(1862,Engine!$C$2:$C$1960,0)),"",INDEX('Compliance Database'!$K$2:$K$1960,MATCH(1862,Engine!$C$2:$C$1960,0)))</f>
        <v/>
      </c>
      <c r="L1875" s="9">
        <f>IF(ISNA(MATCH(1862,Engine!$C$2:$C$1960,0)),"",INDEX('Compliance Database'!$L$2:$L$1960,MATCH(1862,Engine!$C$2:$C$1960,0)))</f>
        <v/>
      </c>
      <c r="M1875" s="9">
        <f>IF(ISNA(MATCH(1862,Engine!$C$2:$C$1960,0)),"",INDEX('Compliance Database'!$M$2:$M$1960,MATCH(1862,Engine!$C$2:$C$1960,0)))</f>
        <v/>
      </c>
      <c r="N1875" s="9">
        <f>IF(ISNA(MATCH(1862,Engine!$C$2:$C$1960,0)),"",INDEX('Compliance Database'!$N$2:$N$1960,MATCH(1862,Engine!$C$2:$C$1960,0)))</f>
        <v/>
      </c>
      <c r="O1875" s="9">
        <f>IF(ISNA(MATCH(1862,Engine!$C$2:$C$1960,0)),"",INDEX('Compliance Database'!$O$2:$O$1960,MATCH(1862,Engine!$C$2:$C$1960,0)))</f>
        <v/>
      </c>
      <c r="P1875" s="8">
        <f>IF(ISNA(MATCH(1862,Engine!$C$2:$C$1960,0)),"",HYPERLINK("#Acts!A"&amp;INDEX('Compliance Database'!$P$2:$P$1960,MATCH(1862,Engine!$C$2:$C$1960,0)),"Go to Act"))</f>
        <v/>
      </c>
    </row>
    <row r="1876" ht="158" customHeight="1">
      <c r="A1876" s="8">
        <f>IF(ISNA(MATCH(1863,Engine!$C$2:$C$1960,0)),"",INDEX('Compliance Database'!$A$2:$A$1960,MATCH(1863,Engine!$C$2:$C$1960,0)))</f>
        <v/>
      </c>
      <c r="B1876" s="8">
        <f>IF(ISNA(MATCH(1863,Engine!$C$2:$C$1960,0)),"",INDEX('Compliance Database'!$B$2:$B$1960,MATCH(1863,Engine!$C$2:$C$1960,0)))</f>
        <v/>
      </c>
      <c r="C1876" s="8">
        <f>IF(ISNA(MATCH(1863,Engine!$C$2:$C$1960,0)),"",INDEX('Compliance Database'!$C$2:$C$1960,MATCH(1863,Engine!$C$2:$C$1960,0)))</f>
        <v/>
      </c>
      <c r="D1876" s="9">
        <f>IF(ISNA(MATCH(1863,Engine!$C$2:$C$1960,0)),"",INDEX('Compliance Database'!$D$2:$D$1960,MATCH(1863,Engine!$C$2:$C$1960,0)))</f>
        <v/>
      </c>
      <c r="E1876" s="8">
        <f>IF(ISNA(MATCH(1863,Engine!$C$2:$C$1960,0)),"",INDEX('Compliance Database'!$E$2:$E$1960,MATCH(1863,Engine!$C$2:$C$1960,0)))</f>
        <v/>
      </c>
      <c r="F1876" s="8">
        <f>IF(ISNA(MATCH(1863,Engine!$C$2:$C$1960,0)),"",INDEX('Compliance Database'!$F$2:$F$1960,MATCH(1863,Engine!$C$2:$C$1960,0)))</f>
        <v/>
      </c>
      <c r="G1876" s="8">
        <f>IF(ISNA(MATCH(1863,Engine!$C$2:$C$1960,0)),"",INDEX('Compliance Database'!$G$2:$G$1960,MATCH(1863,Engine!$C$2:$C$1960,0)))</f>
        <v/>
      </c>
      <c r="H1876" s="9">
        <f>IF(ISNA(MATCH(1863,Engine!$C$2:$C$1960,0)),"",INDEX('Compliance Database'!$H$2:$H$1960,MATCH(1863,Engine!$C$2:$C$1960,0)))</f>
        <v/>
      </c>
      <c r="I1876" s="9">
        <f>IF(ISNA(MATCH(1863,Engine!$C$2:$C$1960,0)),"",INDEX('Compliance Database'!$I$2:$I$1960,MATCH(1863,Engine!$C$2:$C$1960,0)))</f>
        <v/>
      </c>
      <c r="J1876" s="8">
        <f>IF(ISNA(MATCH(1863,Engine!$C$2:$C$1960,0)),"",INDEX('Compliance Database'!$J$2:$J$1960,MATCH(1863,Engine!$C$2:$C$1960,0)))</f>
        <v/>
      </c>
      <c r="K1876" s="9">
        <f>IF(ISNA(MATCH(1863,Engine!$C$2:$C$1960,0)),"",INDEX('Compliance Database'!$K$2:$K$1960,MATCH(1863,Engine!$C$2:$C$1960,0)))</f>
        <v/>
      </c>
      <c r="L1876" s="9">
        <f>IF(ISNA(MATCH(1863,Engine!$C$2:$C$1960,0)),"",INDEX('Compliance Database'!$L$2:$L$1960,MATCH(1863,Engine!$C$2:$C$1960,0)))</f>
        <v/>
      </c>
      <c r="M1876" s="9">
        <f>IF(ISNA(MATCH(1863,Engine!$C$2:$C$1960,0)),"",INDEX('Compliance Database'!$M$2:$M$1960,MATCH(1863,Engine!$C$2:$C$1960,0)))</f>
        <v/>
      </c>
      <c r="N1876" s="9">
        <f>IF(ISNA(MATCH(1863,Engine!$C$2:$C$1960,0)),"",INDEX('Compliance Database'!$N$2:$N$1960,MATCH(1863,Engine!$C$2:$C$1960,0)))</f>
        <v/>
      </c>
      <c r="O1876" s="9">
        <f>IF(ISNA(MATCH(1863,Engine!$C$2:$C$1960,0)),"",INDEX('Compliance Database'!$O$2:$O$1960,MATCH(1863,Engine!$C$2:$C$1960,0)))</f>
        <v/>
      </c>
      <c r="P1876" s="8">
        <f>IF(ISNA(MATCH(1863,Engine!$C$2:$C$1960,0)),"",HYPERLINK("#Acts!A"&amp;INDEX('Compliance Database'!$P$2:$P$1960,MATCH(1863,Engine!$C$2:$C$1960,0)),"Go to Act"))</f>
        <v/>
      </c>
    </row>
    <row r="1877" ht="158" customHeight="1">
      <c r="A1877" s="8">
        <f>IF(ISNA(MATCH(1864,Engine!$C$2:$C$1960,0)),"",INDEX('Compliance Database'!$A$2:$A$1960,MATCH(1864,Engine!$C$2:$C$1960,0)))</f>
        <v/>
      </c>
      <c r="B1877" s="8">
        <f>IF(ISNA(MATCH(1864,Engine!$C$2:$C$1960,0)),"",INDEX('Compliance Database'!$B$2:$B$1960,MATCH(1864,Engine!$C$2:$C$1960,0)))</f>
        <v/>
      </c>
      <c r="C1877" s="8">
        <f>IF(ISNA(MATCH(1864,Engine!$C$2:$C$1960,0)),"",INDEX('Compliance Database'!$C$2:$C$1960,MATCH(1864,Engine!$C$2:$C$1960,0)))</f>
        <v/>
      </c>
      <c r="D1877" s="9">
        <f>IF(ISNA(MATCH(1864,Engine!$C$2:$C$1960,0)),"",INDEX('Compliance Database'!$D$2:$D$1960,MATCH(1864,Engine!$C$2:$C$1960,0)))</f>
        <v/>
      </c>
      <c r="E1877" s="8">
        <f>IF(ISNA(MATCH(1864,Engine!$C$2:$C$1960,0)),"",INDEX('Compliance Database'!$E$2:$E$1960,MATCH(1864,Engine!$C$2:$C$1960,0)))</f>
        <v/>
      </c>
      <c r="F1877" s="8">
        <f>IF(ISNA(MATCH(1864,Engine!$C$2:$C$1960,0)),"",INDEX('Compliance Database'!$F$2:$F$1960,MATCH(1864,Engine!$C$2:$C$1960,0)))</f>
        <v/>
      </c>
      <c r="G1877" s="8">
        <f>IF(ISNA(MATCH(1864,Engine!$C$2:$C$1960,0)),"",INDEX('Compliance Database'!$G$2:$G$1960,MATCH(1864,Engine!$C$2:$C$1960,0)))</f>
        <v/>
      </c>
      <c r="H1877" s="9">
        <f>IF(ISNA(MATCH(1864,Engine!$C$2:$C$1960,0)),"",INDEX('Compliance Database'!$H$2:$H$1960,MATCH(1864,Engine!$C$2:$C$1960,0)))</f>
        <v/>
      </c>
      <c r="I1877" s="9">
        <f>IF(ISNA(MATCH(1864,Engine!$C$2:$C$1960,0)),"",INDEX('Compliance Database'!$I$2:$I$1960,MATCH(1864,Engine!$C$2:$C$1960,0)))</f>
        <v/>
      </c>
      <c r="J1877" s="8">
        <f>IF(ISNA(MATCH(1864,Engine!$C$2:$C$1960,0)),"",INDEX('Compliance Database'!$J$2:$J$1960,MATCH(1864,Engine!$C$2:$C$1960,0)))</f>
        <v/>
      </c>
      <c r="K1877" s="9">
        <f>IF(ISNA(MATCH(1864,Engine!$C$2:$C$1960,0)),"",INDEX('Compliance Database'!$K$2:$K$1960,MATCH(1864,Engine!$C$2:$C$1960,0)))</f>
        <v/>
      </c>
      <c r="L1877" s="9">
        <f>IF(ISNA(MATCH(1864,Engine!$C$2:$C$1960,0)),"",INDEX('Compliance Database'!$L$2:$L$1960,MATCH(1864,Engine!$C$2:$C$1960,0)))</f>
        <v/>
      </c>
      <c r="M1877" s="9">
        <f>IF(ISNA(MATCH(1864,Engine!$C$2:$C$1960,0)),"",INDEX('Compliance Database'!$M$2:$M$1960,MATCH(1864,Engine!$C$2:$C$1960,0)))</f>
        <v/>
      </c>
      <c r="N1877" s="9">
        <f>IF(ISNA(MATCH(1864,Engine!$C$2:$C$1960,0)),"",INDEX('Compliance Database'!$N$2:$N$1960,MATCH(1864,Engine!$C$2:$C$1960,0)))</f>
        <v/>
      </c>
      <c r="O1877" s="9">
        <f>IF(ISNA(MATCH(1864,Engine!$C$2:$C$1960,0)),"",INDEX('Compliance Database'!$O$2:$O$1960,MATCH(1864,Engine!$C$2:$C$1960,0)))</f>
        <v/>
      </c>
      <c r="P1877" s="8">
        <f>IF(ISNA(MATCH(1864,Engine!$C$2:$C$1960,0)),"",HYPERLINK("#Acts!A"&amp;INDEX('Compliance Database'!$P$2:$P$1960,MATCH(1864,Engine!$C$2:$C$1960,0)),"Go to Act"))</f>
        <v/>
      </c>
    </row>
    <row r="1878" ht="158" customHeight="1">
      <c r="A1878" s="8">
        <f>IF(ISNA(MATCH(1865,Engine!$C$2:$C$1960,0)),"",INDEX('Compliance Database'!$A$2:$A$1960,MATCH(1865,Engine!$C$2:$C$1960,0)))</f>
        <v/>
      </c>
      <c r="B1878" s="8">
        <f>IF(ISNA(MATCH(1865,Engine!$C$2:$C$1960,0)),"",INDEX('Compliance Database'!$B$2:$B$1960,MATCH(1865,Engine!$C$2:$C$1960,0)))</f>
        <v/>
      </c>
      <c r="C1878" s="8">
        <f>IF(ISNA(MATCH(1865,Engine!$C$2:$C$1960,0)),"",INDEX('Compliance Database'!$C$2:$C$1960,MATCH(1865,Engine!$C$2:$C$1960,0)))</f>
        <v/>
      </c>
      <c r="D1878" s="9">
        <f>IF(ISNA(MATCH(1865,Engine!$C$2:$C$1960,0)),"",INDEX('Compliance Database'!$D$2:$D$1960,MATCH(1865,Engine!$C$2:$C$1960,0)))</f>
        <v/>
      </c>
      <c r="E1878" s="8">
        <f>IF(ISNA(MATCH(1865,Engine!$C$2:$C$1960,0)),"",INDEX('Compliance Database'!$E$2:$E$1960,MATCH(1865,Engine!$C$2:$C$1960,0)))</f>
        <v/>
      </c>
      <c r="F1878" s="8">
        <f>IF(ISNA(MATCH(1865,Engine!$C$2:$C$1960,0)),"",INDEX('Compliance Database'!$F$2:$F$1960,MATCH(1865,Engine!$C$2:$C$1960,0)))</f>
        <v/>
      </c>
      <c r="G1878" s="8">
        <f>IF(ISNA(MATCH(1865,Engine!$C$2:$C$1960,0)),"",INDEX('Compliance Database'!$G$2:$G$1960,MATCH(1865,Engine!$C$2:$C$1960,0)))</f>
        <v/>
      </c>
      <c r="H1878" s="9">
        <f>IF(ISNA(MATCH(1865,Engine!$C$2:$C$1960,0)),"",INDEX('Compliance Database'!$H$2:$H$1960,MATCH(1865,Engine!$C$2:$C$1960,0)))</f>
        <v/>
      </c>
      <c r="I1878" s="9">
        <f>IF(ISNA(MATCH(1865,Engine!$C$2:$C$1960,0)),"",INDEX('Compliance Database'!$I$2:$I$1960,MATCH(1865,Engine!$C$2:$C$1960,0)))</f>
        <v/>
      </c>
      <c r="J1878" s="8">
        <f>IF(ISNA(MATCH(1865,Engine!$C$2:$C$1960,0)),"",INDEX('Compliance Database'!$J$2:$J$1960,MATCH(1865,Engine!$C$2:$C$1960,0)))</f>
        <v/>
      </c>
      <c r="K1878" s="9">
        <f>IF(ISNA(MATCH(1865,Engine!$C$2:$C$1960,0)),"",INDEX('Compliance Database'!$K$2:$K$1960,MATCH(1865,Engine!$C$2:$C$1960,0)))</f>
        <v/>
      </c>
      <c r="L1878" s="9">
        <f>IF(ISNA(MATCH(1865,Engine!$C$2:$C$1960,0)),"",INDEX('Compliance Database'!$L$2:$L$1960,MATCH(1865,Engine!$C$2:$C$1960,0)))</f>
        <v/>
      </c>
      <c r="M1878" s="9">
        <f>IF(ISNA(MATCH(1865,Engine!$C$2:$C$1960,0)),"",INDEX('Compliance Database'!$M$2:$M$1960,MATCH(1865,Engine!$C$2:$C$1960,0)))</f>
        <v/>
      </c>
      <c r="N1878" s="9">
        <f>IF(ISNA(MATCH(1865,Engine!$C$2:$C$1960,0)),"",INDEX('Compliance Database'!$N$2:$N$1960,MATCH(1865,Engine!$C$2:$C$1960,0)))</f>
        <v/>
      </c>
      <c r="O1878" s="9">
        <f>IF(ISNA(MATCH(1865,Engine!$C$2:$C$1960,0)),"",INDEX('Compliance Database'!$O$2:$O$1960,MATCH(1865,Engine!$C$2:$C$1960,0)))</f>
        <v/>
      </c>
      <c r="P1878" s="8">
        <f>IF(ISNA(MATCH(1865,Engine!$C$2:$C$1960,0)),"",HYPERLINK("#Acts!A"&amp;INDEX('Compliance Database'!$P$2:$P$1960,MATCH(1865,Engine!$C$2:$C$1960,0)),"Go to Act"))</f>
        <v/>
      </c>
    </row>
    <row r="1879" ht="158" customHeight="1">
      <c r="A1879" s="8">
        <f>IF(ISNA(MATCH(1866,Engine!$C$2:$C$1960,0)),"",INDEX('Compliance Database'!$A$2:$A$1960,MATCH(1866,Engine!$C$2:$C$1960,0)))</f>
        <v/>
      </c>
      <c r="B1879" s="8">
        <f>IF(ISNA(MATCH(1866,Engine!$C$2:$C$1960,0)),"",INDEX('Compliance Database'!$B$2:$B$1960,MATCH(1866,Engine!$C$2:$C$1960,0)))</f>
        <v/>
      </c>
      <c r="C1879" s="8">
        <f>IF(ISNA(MATCH(1866,Engine!$C$2:$C$1960,0)),"",INDEX('Compliance Database'!$C$2:$C$1960,MATCH(1866,Engine!$C$2:$C$1960,0)))</f>
        <v/>
      </c>
      <c r="D1879" s="9">
        <f>IF(ISNA(MATCH(1866,Engine!$C$2:$C$1960,0)),"",INDEX('Compliance Database'!$D$2:$D$1960,MATCH(1866,Engine!$C$2:$C$1960,0)))</f>
        <v/>
      </c>
      <c r="E1879" s="8">
        <f>IF(ISNA(MATCH(1866,Engine!$C$2:$C$1960,0)),"",INDEX('Compliance Database'!$E$2:$E$1960,MATCH(1866,Engine!$C$2:$C$1960,0)))</f>
        <v/>
      </c>
      <c r="F1879" s="8">
        <f>IF(ISNA(MATCH(1866,Engine!$C$2:$C$1960,0)),"",INDEX('Compliance Database'!$F$2:$F$1960,MATCH(1866,Engine!$C$2:$C$1960,0)))</f>
        <v/>
      </c>
      <c r="G1879" s="8">
        <f>IF(ISNA(MATCH(1866,Engine!$C$2:$C$1960,0)),"",INDEX('Compliance Database'!$G$2:$G$1960,MATCH(1866,Engine!$C$2:$C$1960,0)))</f>
        <v/>
      </c>
      <c r="H1879" s="9">
        <f>IF(ISNA(MATCH(1866,Engine!$C$2:$C$1960,0)),"",INDEX('Compliance Database'!$H$2:$H$1960,MATCH(1866,Engine!$C$2:$C$1960,0)))</f>
        <v/>
      </c>
      <c r="I1879" s="9">
        <f>IF(ISNA(MATCH(1866,Engine!$C$2:$C$1960,0)),"",INDEX('Compliance Database'!$I$2:$I$1960,MATCH(1866,Engine!$C$2:$C$1960,0)))</f>
        <v/>
      </c>
      <c r="J1879" s="8">
        <f>IF(ISNA(MATCH(1866,Engine!$C$2:$C$1960,0)),"",INDEX('Compliance Database'!$J$2:$J$1960,MATCH(1866,Engine!$C$2:$C$1960,0)))</f>
        <v/>
      </c>
      <c r="K1879" s="9">
        <f>IF(ISNA(MATCH(1866,Engine!$C$2:$C$1960,0)),"",INDEX('Compliance Database'!$K$2:$K$1960,MATCH(1866,Engine!$C$2:$C$1960,0)))</f>
        <v/>
      </c>
      <c r="L1879" s="9">
        <f>IF(ISNA(MATCH(1866,Engine!$C$2:$C$1960,0)),"",INDEX('Compliance Database'!$L$2:$L$1960,MATCH(1866,Engine!$C$2:$C$1960,0)))</f>
        <v/>
      </c>
      <c r="M1879" s="9">
        <f>IF(ISNA(MATCH(1866,Engine!$C$2:$C$1960,0)),"",INDEX('Compliance Database'!$M$2:$M$1960,MATCH(1866,Engine!$C$2:$C$1960,0)))</f>
        <v/>
      </c>
      <c r="N1879" s="9">
        <f>IF(ISNA(MATCH(1866,Engine!$C$2:$C$1960,0)),"",INDEX('Compliance Database'!$N$2:$N$1960,MATCH(1866,Engine!$C$2:$C$1960,0)))</f>
        <v/>
      </c>
      <c r="O1879" s="9">
        <f>IF(ISNA(MATCH(1866,Engine!$C$2:$C$1960,0)),"",INDEX('Compliance Database'!$O$2:$O$1960,MATCH(1866,Engine!$C$2:$C$1960,0)))</f>
        <v/>
      </c>
      <c r="P1879" s="8">
        <f>IF(ISNA(MATCH(1866,Engine!$C$2:$C$1960,0)),"",HYPERLINK("#Acts!A"&amp;INDEX('Compliance Database'!$P$2:$P$1960,MATCH(1866,Engine!$C$2:$C$1960,0)),"Go to Act"))</f>
        <v/>
      </c>
    </row>
    <row r="1880" ht="158" customHeight="1">
      <c r="A1880" s="8">
        <f>IF(ISNA(MATCH(1867,Engine!$C$2:$C$1960,0)),"",INDEX('Compliance Database'!$A$2:$A$1960,MATCH(1867,Engine!$C$2:$C$1960,0)))</f>
        <v/>
      </c>
      <c r="B1880" s="8">
        <f>IF(ISNA(MATCH(1867,Engine!$C$2:$C$1960,0)),"",INDEX('Compliance Database'!$B$2:$B$1960,MATCH(1867,Engine!$C$2:$C$1960,0)))</f>
        <v/>
      </c>
      <c r="C1880" s="8">
        <f>IF(ISNA(MATCH(1867,Engine!$C$2:$C$1960,0)),"",INDEX('Compliance Database'!$C$2:$C$1960,MATCH(1867,Engine!$C$2:$C$1960,0)))</f>
        <v/>
      </c>
      <c r="D1880" s="9">
        <f>IF(ISNA(MATCH(1867,Engine!$C$2:$C$1960,0)),"",INDEX('Compliance Database'!$D$2:$D$1960,MATCH(1867,Engine!$C$2:$C$1960,0)))</f>
        <v/>
      </c>
      <c r="E1880" s="8">
        <f>IF(ISNA(MATCH(1867,Engine!$C$2:$C$1960,0)),"",INDEX('Compliance Database'!$E$2:$E$1960,MATCH(1867,Engine!$C$2:$C$1960,0)))</f>
        <v/>
      </c>
      <c r="F1880" s="8">
        <f>IF(ISNA(MATCH(1867,Engine!$C$2:$C$1960,0)),"",INDEX('Compliance Database'!$F$2:$F$1960,MATCH(1867,Engine!$C$2:$C$1960,0)))</f>
        <v/>
      </c>
      <c r="G1880" s="8">
        <f>IF(ISNA(MATCH(1867,Engine!$C$2:$C$1960,0)),"",INDEX('Compliance Database'!$G$2:$G$1960,MATCH(1867,Engine!$C$2:$C$1960,0)))</f>
        <v/>
      </c>
      <c r="H1880" s="9">
        <f>IF(ISNA(MATCH(1867,Engine!$C$2:$C$1960,0)),"",INDEX('Compliance Database'!$H$2:$H$1960,MATCH(1867,Engine!$C$2:$C$1960,0)))</f>
        <v/>
      </c>
      <c r="I1880" s="9">
        <f>IF(ISNA(MATCH(1867,Engine!$C$2:$C$1960,0)),"",INDEX('Compliance Database'!$I$2:$I$1960,MATCH(1867,Engine!$C$2:$C$1960,0)))</f>
        <v/>
      </c>
      <c r="J1880" s="8">
        <f>IF(ISNA(MATCH(1867,Engine!$C$2:$C$1960,0)),"",INDEX('Compliance Database'!$J$2:$J$1960,MATCH(1867,Engine!$C$2:$C$1960,0)))</f>
        <v/>
      </c>
      <c r="K1880" s="9">
        <f>IF(ISNA(MATCH(1867,Engine!$C$2:$C$1960,0)),"",INDEX('Compliance Database'!$K$2:$K$1960,MATCH(1867,Engine!$C$2:$C$1960,0)))</f>
        <v/>
      </c>
      <c r="L1880" s="9">
        <f>IF(ISNA(MATCH(1867,Engine!$C$2:$C$1960,0)),"",INDEX('Compliance Database'!$L$2:$L$1960,MATCH(1867,Engine!$C$2:$C$1960,0)))</f>
        <v/>
      </c>
      <c r="M1880" s="9">
        <f>IF(ISNA(MATCH(1867,Engine!$C$2:$C$1960,0)),"",INDEX('Compliance Database'!$M$2:$M$1960,MATCH(1867,Engine!$C$2:$C$1960,0)))</f>
        <v/>
      </c>
      <c r="N1880" s="9">
        <f>IF(ISNA(MATCH(1867,Engine!$C$2:$C$1960,0)),"",INDEX('Compliance Database'!$N$2:$N$1960,MATCH(1867,Engine!$C$2:$C$1960,0)))</f>
        <v/>
      </c>
      <c r="O1880" s="9">
        <f>IF(ISNA(MATCH(1867,Engine!$C$2:$C$1960,0)),"",INDEX('Compliance Database'!$O$2:$O$1960,MATCH(1867,Engine!$C$2:$C$1960,0)))</f>
        <v/>
      </c>
      <c r="P1880" s="8">
        <f>IF(ISNA(MATCH(1867,Engine!$C$2:$C$1960,0)),"",HYPERLINK("#Acts!A"&amp;INDEX('Compliance Database'!$P$2:$P$1960,MATCH(1867,Engine!$C$2:$C$1960,0)),"Go to Act"))</f>
        <v/>
      </c>
    </row>
    <row r="1881" ht="158" customHeight="1">
      <c r="A1881" s="8">
        <f>IF(ISNA(MATCH(1868,Engine!$C$2:$C$1960,0)),"",INDEX('Compliance Database'!$A$2:$A$1960,MATCH(1868,Engine!$C$2:$C$1960,0)))</f>
        <v/>
      </c>
      <c r="B1881" s="8">
        <f>IF(ISNA(MATCH(1868,Engine!$C$2:$C$1960,0)),"",INDEX('Compliance Database'!$B$2:$B$1960,MATCH(1868,Engine!$C$2:$C$1960,0)))</f>
        <v/>
      </c>
      <c r="C1881" s="8">
        <f>IF(ISNA(MATCH(1868,Engine!$C$2:$C$1960,0)),"",INDEX('Compliance Database'!$C$2:$C$1960,MATCH(1868,Engine!$C$2:$C$1960,0)))</f>
        <v/>
      </c>
      <c r="D1881" s="9">
        <f>IF(ISNA(MATCH(1868,Engine!$C$2:$C$1960,0)),"",INDEX('Compliance Database'!$D$2:$D$1960,MATCH(1868,Engine!$C$2:$C$1960,0)))</f>
        <v/>
      </c>
      <c r="E1881" s="8">
        <f>IF(ISNA(MATCH(1868,Engine!$C$2:$C$1960,0)),"",INDEX('Compliance Database'!$E$2:$E$1960,MATCH(1868,Engine!$C$2:$C$1960,0)))</f>
        <v/>
      </c>
      <c r="F1881" s="8">
        <f>IF(ISNA(MATCH(1868,Engine!$C$2:$C$1960,0)),"",INDEX('Compliance Database'!$F$2:$F$1960,MATCH(1868,Engine!$C$2:$C$1960,0)))</f>
        <v/>
      </c>
      <c r="G1881" s="8">
        <f>IF(ISNA(MATCH(1868,Engine!$C$2:$C$1960,0)),"",INDEX('Compliance Database'!$G$2:$G$1960,MATCH(1868,Engine!$C$2:$C$1960,0)))</f>
        <v/>
      </c>
      <c r="H1881" s="9">
        <f>IF(ISNA(MATCH(1868,Engine!$C$2:$C$1960,0)),"",INDEX('Compliance Database'!$H$2:$H$1960,MATCH(1868,Engine!$C$2:$C$1960,0)))</f>
        <v/>
      </c>
      <c r="I1881" s="9">
        <f>IF(ISNA(MATCH(1868,Engine!$C$2:$C$1960,0)),"",INDEX('Compliance Database'!$I$2:$I$1960,MATCH(1868,Engine!$C$2:$C$1960,0)))</f>
        <v/>
      </c>
      <c r="J1881" s="8">
        <f>IF(ISNA(MATCH(1868,Engine!$C$2:$C$1960,0)),"",INDEX('Compliance Database'!$J$2:$J$1960,MATCH(1868,Engine!$C$2:$C$1960,0)))</f>
        <v/>
      </c>
      <c r="K1881" s="9">
        <f>IF(ISNA(MATCH(1868,Engine!$C$2:$C$1960,0)),"",INDEX('Compliance Database'!$K$2:$K$1960,MATCH(1868,Engine!$C$2:$C$1960,0)))</f>
        <v/>
      </c>
      <c r="L1881" s="9">
        <f>IF(ISNA(MATCH(1868,Engine!$C$2:$C$1960,0)),"",INDEX('Compliance Database'!$L$2:$L$1960,MATCH(1868,Engine!$C$2:$C$1960,0)))</f>
        <v/>
      </c>
      <c r="M1881" s="9">
        <f>IF(ISNA(MATCH(1868,Engine!$C$2:$C$1960,0)),"",INDEX('Compliance Database'!$M$2:$M$1960,MATCH(1868,Engine!$C$2:$C$1960,0)))</f>
        <v/>
      </c>
      <c r="N1881" s="9">
        <f>IF(ISNA(MATCH(1868,Engine!$C$2:$C$1960,0)),"",INDEX('Compliance Database'!$N$2:$N$1960,MATCH(1868,Engine!$C$2:$C$1960,0)))</f>
        <v/>
      </c>
      <c r="O1881" s="9">
        <f>IF(ISNA(MATCH(1868,Engine!$C$2:$C$1960,0)),"",INDEX('Compliance Database'!$O$2:$O$1960,MATCH(1868,Engine!$C$2:$C$1960,0)))</f>
        <v/>
      </c>
      <c r="P1881" s="8">
        <f>IF(ISNA(MATCH(1868,Engine!$C$2:$C$1960,0)),"",HYPERLINK("#Acts!A"&amp;INDEX('Compliance Database'!$P$2:$P$1960,MATCH(1868,Engine!$C$2:$C$1960,0)),"Go to Act"))</f>
        <v/>
      </c>
    </row>
    <row r="1882" ht="158" customHeight="1">
      <c r="A1882" s="8">
        <f>IF(ISNA(MATCH(1869,Engine!$C$2:$C$1960,0)),"",INDEX('Compliance Database'!$A$2:$A$1960,MATCH(1869,Engine!$C$2:$C$1960,0)))</f>
        <v/>
      </c>
      <c r="B1882" s="8">
        <f>IF(ISNA(MATCH(1869,Engine!$C$2:$C$1960,0)),"",INDEX('Compliance Database'!$B$2:$B$1960,MATCH(1869,Engine!$C$2:$C$1960,0)))</f>
        <v/>
      </c>
      <c r="C1882" s="8">
        <f>IF(ISNA(MATCH(1869,Engine!$C$2:$C$1960,0)),"",INDEX('Compliance Database'!$C$2:$C$1960,MATCH(1869,Engine!$C$2:$C$1960,0)))</f>
        <v/>
      </c>
      <c r="D1882" s="9">
        <f>IF(ISNA(MATCH(1869,Engine!$C$2:$C$1960,0)),"",INDEX('Compliance Database'!$D$2:$D$1960,MATCH(1869,Engine!$C$2:$C$1960,0)))</f>
        <v/>
      </c>
      <c r="E1882" s="8">
        <f>IF(ISNA(MATCH(1869,Engine!$C$2:$C$1960,0)),"",INDEX('Compliance Database'!$E$2:$E$1960,MATCH(1869,Engine!$C$2:$C$1960,0)))</f>
        <v/>
      </c>
      <c r="F1882" s="8">
        <f>IF(ISNA(MATCH(1869,Engine!$C$2:$C$1960,0)),"",INDEX('Compliance Database'!$F$2:$F$1960,MATCH(1869,Engine!$C$2:$C$1960,0)))</f>
        <v/>
      </c>
      <c r="G1882" s="8">
        <f>IF(ISNA(MATCH(1869,Engine!$C$2:$C$1960,0)),"",INDEX('Compliance Database'!$G$2:$G$1960,MATCH(1869,Engine!$C$2:$C$1960,0)))</f>
        <v/>
      </c>
      <c r="H1882" s="9">
        <f>IF(ISNA(MATCH(1869,Engine!$C$2:$C$1960,0)),"",INDEX('Compliance Database'!$H$2:$H$1960,MATCH(1869,Engine!$C$2:$C$1960,0)))</f>
        <v/>
      </c>
      <c r="I1882" s="9">
        <f>IF(ISNA(MATCH(1869,Engine!$C$2:$C$1960,0)),"",INDEX('Compliance Database'!$I$2:$I$1960,MATCH(1869,Engine!$C$2:$C$1960,0)))</f>
        <v/>
      </c>
      <c r="J1882" s="8">
        <f>IF(ISNA(MATCH(1869,Engine!$C$2:$C$1960,0)),"",INDEX('Compliance Database'!$J$2:$J$1960,MATCH(1869,Engine!$C$2:$C$1960,0)))</f>
        <v/>
      </c>
      <c r="K1882" s="9">
        <f>IF(ISNA(MATCH(1869,Engine!$C$2:$C$1960,0)),"",INDEX('Compliance Database'!$K$2:$K$1960,MATCH(1869,Engine!$C$2:$C$1960,0)))</f>
        <v/>
      </c>
      <c r="L1882" s="9">
        <f>IF(ISNA(MATCH(1869,Engine!$C$2:$C$1960,0)),"",INDEX('Compliance Database'!$L$2:$L$1960,MATCH(1869,Engine!$C$2:$C$1960,0)))</f>
        <v/>
      </c>
      <c r="M1882" s="9">
        <f>IF(ISNA(MATCH(1869,Engine!$C$2:$C$1960,0)),"",INDEX('Compliance Database'!$M$2:$M$1960,MATCH(1869,Engine!$C$2:$C$1960,0)))</f>
        <v/>
      </c>
      <c r="N1882" s="9">
        <f>IF(ISNA(MATCH(1869,Engine!$C$2:$C$1960,0)),"",INDEX('Compliance Database'!$N$2:$N$1960,MATCH(1869,Engine!$C$2:$C$1960,0)))</f>
        <v/>
      </c>
      <c r="O1882" s="9">
        <f>IF(ISNA(MATCH(1869,Engine!$C$2:$C$1960,0)),"",INDEX('Compliance Database'!$O$2:$O$1960,MATCH(1869,Engine!$C$2:$C$1960,0)))</f>
        <v/>
      </c>
      <c r="P1882" s="8">
        <f>IF(ISNA(MATCH(1869,Engine!$C$2:$C$1960,0)),"",HYPERLINK("#Acts!A"&amp;INDEX('Compliance Database'!$P$2:$P$1960,MATCH(1869,Engine!$C$2:$C$1960,0)),"Go to Act"))</f>
        <v/>
      </c>
    </row>
    <row r="1883" ht="158" customHeight="1">
      <c r="A1883" s="8">
        <f>IF(ISNA(MATCH(1870,Engine!$C$2:$C$1960,0)),"",INDEX('Compliance Database'!$A$2:$A$1960,MATCH(1870,Engine!$C$2:$C$1960,0)))</f>
        <v/>
      </c>
      <c r="B1883" s="8">
        <f>IF(ISNA(MATCH(1870,Engine!$C$2:$C$1960,0)),"",INDEX('Compliance Database'!$B$2:$B$1960,MATCH(1870,Engine!$C$2:$C$1960,0)))</f>
        <v/>
      </c>
      <c r="C1883" s="8">
        <f>IF(ISNA(MATCH(1870,Engine!$C$2:$C$1960,0)),"",INDEX('Compliance Database'!$C$2:$C$1960,MATCH(1870,Engine!$C$2:$C$1960,0)))</f>
        <v/>
      </c>
      <c r="D1883" s="9">
        <f>IF(ISNA(MATCH(1870,Engine!$C$2:$C$1960,0)),"",INDEX('Compliance Database'!$D$2:$D$1960,MATCH(1870,Engine!$C$2:$C$1960,0)))</f>
        <v/>
      </c>
      <c r="E1883" s="8">
        <f>IF(ISNA(MATCH(1870,Engine!$C$2:$C$1960,0)),"",INDEX('Compliance Database'!$E$2:$E$1960,MATCH(1870,Engine!$C$2:$C$1960,0)))</f>
        <v/>
      </c>
      <c r="F1883" s="8">
        <f>IF(ISNA(MATCH(1870,Engine!$C$2:$C$1960,0)),"",INDEX('Compliance Database'!$F$2:$F$1960,MATCH(1870,Engine!$C$2:$C$1960,0)))</f>
        <v/>
      </c>
      <c r="G1883" s="8">
        <f>IF(ISNA(MATCH(1870,Engine!$C$2:$C$1960,0)),"",INDEX('Compliance Database'!$G$2:$G$1960,MATCH(1870,Engine!$C$2:$C$1960,0)))</f>
        <v/>
      </c>
      <c r="H1883" s="9">
        <f>IF(ISNA(MATCH(1870,Engine!$C$2:$C$1960,0)),"",INDEX('Compliance Database'!$H$2:$H$1960,MATCH(1870,Engine!$C$2:$C$1960,0)))</f>
        <v/>
      </c>
      <c r="I1883" s="9">
        <f>IF(ISNA(MATCH(1870,Engine!$C$2:$C$1960,0)),"",INDEX('Compliance Database'!$I$2:$I$1960,MATCH(1870,Engine!$C$2:$C$1960,0)))</f>
        <v/>
      </c>
      <c r="J1883" s="8">
        <f>IF(ISNA(MATCH(1870,Engine!$C$2:$C$1960,0)),"",INDEX('Compliance Database'!$J$2:$J$1960,MATCH(1870,Engine!$C$2:$C$1960,0)))</f>
        <v/>
      </c>
      <c r="K1883" s="9">
        <f>IF(ISNA(MATCH(1870,Engine!$C$2:$C$1960,0)),"",INDEX('Compliance Database'!$K$2:$K$1960,MATCH(1870,Engine!$C$2:$C$1960,0)))</f>
        <v/>
      </c>
      <c r="L1883" s="9">
        <f>IF(ISNA(MATCH(1870,Engine!$C$2:$C$1960,0)),"",INDEX('Compliance Database'!$L$2:$L$1960,MATCH(1870,Engine!$C$2:$C$1960,0)))</f>
        <v/>
      </c>
      <c r="M1883" s="9">
        <f>IF(ISNA(MATCH(1870,Engine!$C$2:$C$1960,0)),"",INDEX('Compliance Database'!$M$2:$M$1960,MATCH(1870,Engine!$C$2:$C$1960,0)))</f>
        <v/>
      </c>
      <c r="N1883" s="9">
        <f>IF(ISNA(MATCH(1870,Engine!$C$2:$C$1960,0)),"",INDEX('Compliance Database'!$N$2:$N$1960,MATCH(1870,Engine!$C$2:$C$1960,0)))</f>
        <v/>
      </c>
      <c r="O1883" s="9">
        <f>IF(ISNA(MATCH(1870,Engine!$C$2:$C$1960,0)),"",INDEX('Compliance Database'!$O$2:$O$1960,MATCH(1870,Engine!$C$2:$C$1960,0)))</f>
        <v/>
      </c>
      <c r="P1883" s="8">
        <f>IF(ISNA(MATCH(1870,Engine!$C$2:$C$1960,0)),"",HYPERLINK("#Acts!A"&amp;INDEX('Compliance Database'!$P$2:$P$1960,MATCH(1870,Engine!$C$2:$C$1960,0)),"Go to Act"))</f>
        <v/>
      </c>
    </row>
    <row r="1884" ht="158" customHeight="1">
      <c r="A1884" s="8">
        <f>IF(ISNA(MATCH(1871,Engine!$C$2:$C$1960,0)),"",INDEX('Compliance Database'!$A$2:$A$1960,MATCH(1871,Engine!$C$2:$C$1960,0)))</f>
        <v/>
      </c>
      <c r="B1884" s="8">
        <f>IF(ISNA(MATCH(1871,Engine!$C$2:$C$1960,0)),"",INDEX('Compliance Database'!$B$2:$B$1960,MATCH(1871,Engine!$C$2:$C$1960,0)))</f>
        <v/>
      </c>
      <c r="C1884" s="8">
        <f>IF(ISNA(MATCH(1871,Engine!$C$2:$C$1960,0)),"",INDEX('Compliance Database'!$C$2:$C$1960,MATCH(1871,Engine!$C$2:$C$1960,0)))</f>
        <v/>
      </c>
      <c r="D1884" s="9">
        <f>IF(ISNA(MATCH(1871,Engine!$C$2:$C$1960,0)),"",INDEX('Compliance Database'!$D$2:$D$1960,MATCH(1871,Engine!$C$2:$C$1960,0)))</f>
        <v/>
      </c>
      <c r="E1884" s="8">
        <f>IF(ISNA(MATCH(1871,Engine!$C$2:$C$1960,0)),"",INDEX('Compliance Database'!$E$2:$E$1960,MATCH(1871,Engine!$C$2:$C$1960,0)))</f>
        <v/>
      </c>
      <c r="F1884" s="8">
        <f>IF(ISNA(MATCH(1871,Engine!$C$2:$C$1960,0)),"",INDEX('Compliance Database'!$F$2:$F$1960,MATCH(1871,Engine!$C$2:$C$1960,0)))</f>
        <v/>
      </c>
      <c r="G1884" s="8">
        <f>IF(ISNA(MATCH(1871,Engine!$C$2:$C$1960,0)),"",INDEX('Compliance Database'!$G$2:$G$1960,MATCH(1871,Engine!$C$2:$C$1960,0)))</f>
        <v/>
      </c>
      <c r="H1884" s="9">
        <f>IF(ISNA(MATCH(1871,Engine!$C$2:$C$1960,0)),"",INDEX('Compliance Database'!$H$2:$H$1960,MATCH(1871,Engine!$C$2:$C$1960,0)))</f>
        <v/>
      </c>
      <c r="I1884" s="9">
        <f>IF(ISNA(MATCH(1871,Engine!$C$2:$C$1960,0)),"",INDEX('Compliance Database'!$I$2:$I$1960,MATCH(1871,Engine!$C$2:$C$1960,0)))</f>
        <v/>
      </c>
      <c r="J1884" s="8">
        <f>IF(ISNA(MATCH(1871,Engine!$C$2:$C$1960,0)),"",INDEX('Compliance Database'!$J$2:$J$1960,MATCH(1871,Engine!$C$2:$C$1960,0)))</f>
        <v/>
      </c>
      <c r="K1884" s="9">
        <f>IF(ISNA(MATCH(1871,Engine!$C$2:$C$1960,0)),"",INDEX('Compliance Database'!$K$2:$K$1960,MATCH(1871,Engine!$C$2:$C$1960,0)))</f>
        <v/>
      </c>
      <c r="L1884" s="9">
        <f>IF(ISNA(MATCH(1871,Engine!$C$2:$C$1960,0)),"",INDEX('Compliance Database'!$L$2:$L$1960,MATCH(1871,Engine!$C$2:$C$1960,0)))</f>
        <v/>
      </c>
      <c r="M1884" s="9">
        <f>IF(ISNA(MATCH(1871,Engine!$C$2:$C$1960,0)),"",INDEX('Compliance Database'!$M$2:$M$1960,MATCH(1871,Engine!$C$2:$C$1960,0)))</f>
        <v/>
      </c>
      <c r="N1884" s="9">
        <f>IF(ISNA(MATCH(1871,Engine!$C$2:$C$1960,0)),"",INDEX('Compliance Database'!$N$2:$N$1960,MATCH(1871,Engine!$C$2:$C$1960,0)))</f>
        <v/>
      </c>
      <c r="O1884" s="9">
        <f>IF(ISNA(MATCH(1871,Engine!$C$2:$C$1960,0)),"",INDEX('Compliance Database'!$O$2:$O$1960,MATCH(1871,Engine!$C$2:$C$1960,0)))</f>
        <v/>
      </c>
      <c r="P1884" s="8">
        <f>IF(ISNA(MATCH(1871,Engine!$C$2:$C$1960,0)),"",HYPERLINK("#Acts!A"&amp;INDEX('Compliance Database'!$P$2:$P$1960,MATCH(1871,Engine!$C$2:$C$1960,0)),"Go to Act"))</f>
        <v/>
      </c>
    </row>
    <row r="1885" ht="158" customHeight="1">
      <c r="A1885" s="8">
        <f>IF(ISNA(MATCH(1872,Engine!$C$2:$C$1960,0)),"",INDEX('Compliance Database'!$A$2:$A$1960,MATCH(1872,Engine!$C$2:$C$1960,0)))</f>
        <v/>
      </c>
      <c r="B1885" s="8">
        <f>IF(ISNA(MATCH(1872,Engine!$C$2:$C$1960,0)),"",INDEX('Compliance Database'!$B$2:$B$1960,MATCH(1872,Engine!$C$2:$C$1960,0)))</f>
        <v/>
      </c>
      <c r="C1885" s="8">
        <f>IF(ISNA(MATCH(1872,Engine!$C$2:$C$1960,0)),"",INDEX('Compliance Database'!$C$2:$C$1960,MATCH(1872,Engine!$C$2:$C$1960,0)))</f>
        <v/>
      </c>
      <c r="D1885" s="9">
        <f>IF(ISNA(MATCH(1872,Engine!$C$2:$C$1960,0)),"",INDEX('Compliance Database'!$D$2:$D$1960,MATCH(1872,Engine!$C$2:$C$1960,0)))</f>
        <v/>
      </c>
      <c r="E1885" s="8">
        <f>IF(ISNA(MATCH(1872,Engine!$C$2:$C$1960,0)),"",INDEX('Compliance Database'!$E$2:$E$1960,MATCH(1872,Engine!$C$2:$C$1960,0)))</f>
        <v/>
      </c>
      <c r="F1885" s="8">
        <f>IF(ISNA(MATCH(1872,Engine!$C$2:$C$1960,0)),"",INDEX('Compliance Database'!$F$2:$F$1960,MATCH(1872,Engine!$C$2:$C$1960,0)))</f>
        <v/>
      </c>
      <c r="G1885" s="8">
        <f>IF(ISNA(MATCH(1872,Engine!$C$2:$C$1960,0)),"",INDEX('Compliance Database'!$G$2:$G$1960,MATCH(1872,Engine!$C$2:$C$1960,0)))</f>
        <v/>
      </c>
      <c r="H1885" s="9">
        <f>IF(ISNA(MATCH(1872,Engine!$C$2:$C$1960,0)),"",INDEX('Compliance Database'!$H$2:$H$1960,MATCH(1872,Engine!$C$2:$C$1960,0)))</f>
        <v/>
      </c>
      <c r="I1885" s="9">
        <f>IF(ISNA(MATCH(1872,Engine!$C$2:$C$1960,0)),"",INDEX('Compliance Database'!$I$2:$I$1960,MATCH(1872,Engine!$C$2:$C$1960,0)))</f>
        <v/>
      </c>
      <c r="J1885" s="8">
        <f>IF(ISNA(MATCH(1872,Engine!$C$2:$C$1960,0)),"",INDEX('Compliance Database'!$J$2:$J$1960,MATCH(1872,Engine!$C$2:$C$1960,0)))</f>
        <v/>
      </c>
      <c r="K1885" s="9">
        <f>IF(ISNA(MATCH(1872,Engine!$C$2:$C$1960,0)),"",INDEX('Compliance Database'!$K$2:$K$1960,MATCH(1872,Engine!$C$2:$C$1960,0)))</f>
        <v/>
      </c>
      <c r="L1885" s="9">
        <f>IF(ISNA(MATCH(1872,Engine!$C$2:$C$1960,0)),"",INDEX('Compliance Database'!$L$2:$L$1960,MATCH(1872,Engine!$C$2:$C$1960,0)))</f>
        <v/>
      </c>
      <c r="M1885" s="9">
        <f>IF(ISNA(MATCH(1872,Engine!$C$2:$C$1960,0)),"",INDEX('Compliance Database'!$M$2:$M$1960,MATCH(1872,Engine!$C$2:$C$1960,0)))</f>
        <v/>
      </c>
      <c r="N1885" s="9">
        <f>IF(ISNA(MATCH(1872,Engine!$C$2:$C$1960,0)),"",INDEX('Compliance Database'!$N$2:$N$1960,MATCH(1872,Engine!$C$2:$C$1960,0)))</f>
        <v/>
      </c>
      <c r="O1885" s="9">
        <f>IF(ISNA(MATCH(1872,Engine!$C$2:$C$1960,0)),"",INDEX('Compliance Database'!$O$2:$O$1960,MATCH(1872,Engine!$C$2:$C$1960,0)))</f>
        <v/>
      </c>
      <c r="P1885" s="8">
        <f>IF(ISNA(MATCH(1872,Engine!$C$2:$C$1960,0)),"",HYPERLINK("#Acts!A"&amp;INDEX('Compliance Database'!$P$2:$P$1960,MATCH(1872,Engine!$C$2:$C$1960,0)),"Go to Act"))</f>
        <v/>
      </c>
    </row>
    <row r="1886" ht="158" customHeight="1">
      <c r="A1886" s="8">
        <f>IF(ISNA(MATCH(1873,Engine!$C$2:$C$1960,0)),"",INDEX('Compliance Database'!$A$2:$A$1960,MATCH(1873,Engine!$C$2:$C$1960,0)))</f>
        <v/>
      </c>
      <c r="B1886" s="8">
        <f>IF(ISNA(MATCH(1873,Engine!$C$2:$C$1960,0)),"",INDEX('Compliance Database'!$B$2:$B$1960,MATCH(1873,Engine!$C$2:$C$1960,0)))</f>
        <v/>
      </c>
      <c r="C1886" s="8">
        <f>IF(ISNA(MATCH(1873,Engine!$C$2:$C$1960,0)),"",INDEX('Compliance Database'!$C$2:$C$1960,MATCH(1873,Engine!$C$2:$C$1960,0)))</f>
        <v/>
      </c>
      <c r="D1886" s="9">
        <f>IF(ISNA(MATCH(1873,Engine!$C$2:$C$1960,0)),"",INDEX('Compliance Database'!$D$2:$D$1960,MATCH(1873,Engine!$C$2:$C$1960,0)))</f>
        <v/>
      </c>
      <c r="E1886" s="8">
        <f>IF(ISNA(MATCH(1873,Engine!$C$2:$C$1960,0)),"",INDEX('Compliance Database'!$E$2:$E$1960,MATCH(1873,Engine!$C$2:$C$1960,0)))</f>
        <v/>
      </c>
      <c r="F1886" s="8">
        <f>IF(ISNA(MATCH(1873,Engine!$C$2:$C$1960,0)),"",INDEX('Compliance Database'!$F$2:$F$1960,MATCH(1873,Engine!$C$2:$C$1960,0)))</f>
        <v/>
      </c>
      <c r="G1886" s="8">
        <f>IF(ISNA(MATCH(1873,Engine!$C$2:$C$1960,0)),"",INDEX('Compliance Database'!$G$2:$G$1960,MATCH(1873,Engine!$C$2:$C$1960,0)))</f>
        <v/>
      </c>
      <c r="H1886" s="9">
        <f>IF(ISNA(MATCH(1873,Engine!$C$2:$C$1960,0)),"",INDEX('Compliance Database'!$H$2:$H$1960,MATCH(1873,Engine!$C$2:$C$1960,0)))</f>
        <v/>
      </c>
      <c r="I1886" s="9">
        <f>IF(ISNA(MATCH(1873,Engine!$C$2:$C$1960,0)),"",INDEX('Compliance Database'!$I$2:$I$1960,MATCH(1873,Engine!$C$2:$C$1960,0)))</f>
        <v/>
      </c>
      <c r="J1886" s="8">
        <f>IF(ISNA(MATCH(1873,Engine!$C$2:$C$1960,0)),"",INDEX('Compliance Database'!$J$2:$J$1960,MATCH(1873,Engine!$C$2:$C$1960,0)))</f>
        <v/>
      </c>
      <c r="K1886" s="9">
        <f>IF(ISNA(MATCH(1873,Engine!$C$2:$C$1960,0)),"",INDEX('Compliance Database'!$K$2:$K$1960,MATCH(1873,Engine!$C$2:$C$1960,0)))</f>
        <v/>
      </c>
      <c r="L1886" s="9">
        <f>IF(ISNA(MATCH(1873,Engine!$C$2:$C$1960,0)),"",INDEX('Compliance Database'!$L$2:$L$1960,MATCH(1873,Engine!$C$2:$C$1960,0)))</f>
        <v/>
      </c>
      <c r="M1886" s="9">
        <f>IF(ISNA(MATCH(1873,Engine!$C$2:$C$1960,0)),"",INDEX('Compliance Database'!$M$2:$M$1960,MATCH(1873,Engine!$C$2:$C$1960,0)))</f>
        <v/>
      </c>
      <c r="N1886" s="9">
        <f>IF(ISNA(MATCH(1873,Engine!$C$2:$C$1960,0)),"",INDEX('Compliance Database'!$N$2:$N$1960,MATCH(1873,Engine!$C$2:$C$1960,0)))</f>
        <v/>
      </c>
      <c r="O1886" s="9">
        <f>IF(ISNA(MATCH(1873,Engine!$C$2:$C$1960,0)),"",INDEX('Compliance Database'!$O$2:$O$1960,MATCH(1873,Engine!$C$2:$C$1960,0)))</f>
        <v/>
      </c>
      <c r="P1886" s="8">
        <f>IF(ISNA(MATCH(1873,Engine!$C$2:$C$1960,0)),"",HYPERLINK("#Acts!A"&amp;INDEX('Compliance Database'!$P$2:$P$1960,MATCH(1873,Engine!$C$2:$C$1960,0)),"Go to Act"))</f>
        <v/>
      </c>
    </row>
    <row r="1887" ht="158" customHeight="1">
      <c r="A1887" s="8">
        <f>IF(ISNA(MATCH(1874,Engine!$C$2:$C$1960,0)),"",INDEX('Compliance Database'!$A$2:$A$1960,MATCH(1874,Engine!$C$2:$C$1960,0)))</f>
        <v/>
      </c>
      <c r="B1887" s="8">
        <f>IF(ISNA(MATCH(1874,Engine!$C$2:$C$1960,0)),"",INDEX('Compliance Database'!$B$2:$B$1960,MATCH(1874,Engine!$C$2:$C$1960,0)))</f>
        <v/>
      </c>
      <c r="C1887" s="8">
        <f>IF(ISNA(MATCH(1874,Engine!$C$2:$C$1960,0)),"",INDEX('Compliance Database'!$C$2:$C$1960,MATCH(1874,Engine!$C$2:$C$1960,0)))</f>
        <v/>
      </c>
      <c r="D1887" s="9">
        <f>IF(ISNA(MATCH(1874,Engine!$C$2:$C$1960,0)),"",INDEX('Compliance Database'!$D$2:$D$1960,MATCH(1874,Engine!$C$2:$C$1960,0)))</f>
        <v/>
      </c>
      <c r="E1887" s="8">
        <f>IF(ISNA(MATCH(1874,Engine!$C$2:$C$1960,0)),"",INDEX('Compliance Database'!$E$2:$E$1960,MATCH(1874,Engine!$C$2:$C$1960,0)))</f>
        <v/>
      </c>
      <c r="F1887" s="8">
        <f>IF(ISNA(MATCH(1874,Engine!$C$2:$C$1960,0)),"",INDEX('Compliance Database'!$F$2:$F$1960,MATCH(1874,Engine!$C$2:$C$1960,0)))</f>
        <v/>
      </c>
      <c r="G1887" s="8">
        <f>IF(ISNA(MATCH(1874,Engine!$C$2:$C$1960,0)),"",INDEX('Compliance Database'!$G$2:$G$1960,MATCH(1874,Engine!$C$2:$C$1960,0)))</f>
        <v/>
      </c>
      <c r="H1887" s="9">
        <f>IF(ISNA(MATCH(1874,Engine!$C$2:$C$1960,0)),"",INDEX('Compliance Database'!$H$2:$H$1960,MATCH(1874,Engine!$C$2:$C$1960,0)))</f>
        <v/>
      </c>
      <c r="I1887" s="9">
        <f>IF(ISNA(MATCH(1874,Engine!$C$2:$C$1960,0)),"",INDEX('Compliance Database'!$I$2:$I$1960,MATCH(1874,Engine!$C$2:$C$1960,0)))</f>
        <v/>
      </c>
      <c r="J1887" s="8">
        <f>IF(ISNA(MATCH(1874,Engine!$C$2:$C$1960,0)),"",INDEX('Compliance Database'!$J$2:$J$1960,MATCH(1874,Engine!$C$2:$C$1960,0)))</f>
        <v/>
      </c>
      <c r="K1887" s="9">
        <f>IF(ISNA(MATCH(1874,Engine!$C$2:$C$1960,0)),"",INDEX('Compliance Database'!$K$2:$K$1960,MATCH(1874,Engine!$C$2:$C$1960,0)))</f>
        <v/>
      </c>
      <c r="L1887" s="9">
        <f>IF(ISNA(MATCH(1874,Engine!$C$2:$C$1960,0)),"",INDEX('Compliance Database'!$L$2:$L$1960,MATCH(1874,Engine!$C$2:$C$1960,0)))</f>
        <v/>
      </c>
      <c r="M1887" s="9">
        <f>IF(ISNA(MATCH(1874,Engine!$C$2:$C$1960,0)),"",INDEX('Compliance Database'!$M$2:$M$1960,MATCH(1874,Engine!$C$2:$C$1960,0)))</f>
        <v/>
      </c>
      <c r="N1887" s="9">
        <f>IF(ISNA(MATCH(1874,Engine!$C$2:$C$1960,0)),"",INDEX('Compliance Database'!$N$2:$N$1960,MATCH(1874,Engine!$C$2:$C$1960,0)))</f>
        <v/>
      </c>
      <c r="O1887" s="9">
        <f>IF(ISNA(MATCH(1874,Engine!$C$2:$C$1960,0)),"",INDEX('Compliance Database'!$O$2:$O$1960,MATCH(1874,Engine!$C$2:$C$1960,0)))</f>
        <v/>
      </c>
      <c r="P1887" s="8">
        <f>IF(ISNA(MATCH(1874,Engine!$C$2:$C$1960,0)),"",HYPERLINK("#Acts!A"&amp;INDEX('Compliance Database'!$P$2:$P$1960,MATCH(1874,Engine!$C$2:$C$1960,0)),"Go to Act"))</f>
        <v/>
      </c>
    </row>
    <row r="1888" ht="158" customHeight="1">
      <c r="A1888" s="8">
        <f>IF(ISNA(MATCH(1875,Engine!$C$2:$C$1960,0)),"",INDEX('Compliance Database'!$A$2:$A$1960,MATCH(1875,Engine!$C$2:$C$1960,0)))</f>
        <v/>
      </c>
      <c r="B1888" s="8">
        <f>IF(ISNA(MATCH(1875,Engine!$C$2:$C$1960,0)),"",INDEX('Compliance Database'!$B$2:$B$1960,MATCH(1875,Engine!$C$2:$C$1960,0)))</f>
        <v/>
      </c>
      <c r="C1888" s="8">
        <f>IF(ISNA(MATCH(1875,Engine!$C$2:$C$1960,0)),"",INDEX('Compliance Database'!$C$2:$C$1960,MATCH(1875,Engine!$C$2:$C$1960,0)))</f>
        <v/>
      </c>
      <c r="D1888" s="9">
        <f>IF(ISNA(MATCH(1875,Engine!$C$2:$C$1960,0)),"",INDEX('Compliance Database'!$D$2:$D$1960,MATCH(1875,Engine!$C$2:$C$1960,0)))</f>
        <v/>
      </c>
      <c r="E1888" s="8">
        <f>IF(ISNA(MATCH(1875,Engine!$C$2:$C$1960,0)),"",INDEX('Compliance Database'!$E$2:$E$1960,MATCH(1875,Engine!$C$2:$C$1960,0)))</f>
        <v/>
      </c>
      <c r="F1888" s="8">
        <f>IF(ISNA(MATCH(1875,Engine!$C$2:$C$1960,0)),"",INDEX('Compliance Database'!$F$2:$F$1960,MATCH(1875,Engine!$C$2:$C$1960,0)))</f>
        <v/>
      </c>
      <c r="G1888" s="8">
        <f>IF(ISNA(MATCH(1875,Engine!$C$2:$C$1960,0)),"",INDEX('Compliance Database'!$G$2:$G$1960,MATCH(1875,Engine!$C$2:$C$1960,0)))</f>
        <v/>
      </c>
      <c r="H1888" s="9">
        <f>IF(ISNA(MATCH(1875,Engine!$C$2:$C$1960,0)),"",INDEX('Compliance Database'!$H$2:$H$1960,MATCH(1875,Engine!$C$2:$C$1960,0)))</f>
        <v/>
      </c>
      <c r="I1888" s="9">
        <f>IF(ISNA(MATCH(1875,Engine!$C$2:$C$1960,0)),"",INDEX('Compliance Database'!$I$2:$I$1960,MATCH(1875,Engine!$C$2:$C$1960,0)))</f>
        <v/>
      </c>
      <c r="J1888" s="8">
        <f>IF(ISNA(MATCH(1875,Engine!$C$2:$C$1960,0)),"",INDEX('Compliance Database'!$J$2:$J$1960,MATCH(1875,Engine!$C$2:$C$1960,0)))</f>
        <v/>
      </c>
      <c r="K1888" s="9">
        <f>IF(ISNA(MATCH(1875,Engine!$C$2:$C$1960,0)),"",INDEX('Compliance Database'!$K$2:$K$1960,MATCH(1875,Engine!$C$2:$C$1960,0)))</f>
        <v/>
      </c>
      <c r="L1888" s="9">
        <f>IF(ISNA(MATCH(1875,Engine!$C$2:$C$1960,0)),"",INDEX('Compliance Database'!$L$2:$L$1960,MATCH(1875,Engine!$C$2:$C$1960,0)))</f>
        <v/>
      </c>
      <c r="M1888" s="9">
        <f>IF(ISNA(MATCH(1875,Engine!$C$2:$C$1960,0)),"",INDEX('Compliance Database'!$M$2:$M$1960,MATCH(1875,Engine!$C$2:$C$1960,0)))</f>
        <v/>
      </c>
      <c r="N1888" s="9">
        <f>IF(ISNA(MATCH(1875,Engine!$C$2:$C$1960,0)),"",INDEX('Compliance Database'!$N$2:$N$1960,MATCH(1875,Engine!$C$2:$C$1960,0)))</f>
        <v/>
      </c>
      <c r="O1888" s="9">
        <f>IF(ISNA(MATCH(1875,Engine!$C$2:$C$1960,0)),"",INDEX('Compliance Database'!$O$2:$O$1960,MATCH(1875,Engine!$C$2:$C$1960,0)))</f>
        <v/>
      </c>
      <c r="P1888" s="8">
        <f>IF(ISNA(MATCH(1875,Engine!$C$2:$C$1960,0)),"",HYPERLINK("#Acts!A"&amp;INDEX('Compliance Database'!$P$2:$P$1960,MATCH(1875,Engine!$C$2:$C$1960,0)),"Go to Act"))</f>
        <v/>
      </c>
    </row>
    <row r="1889" ht="158" customHeight="1">
      <c r="A1889" s="8">
        <f>IF(ISNA(MATCH(1876,Engine!$C$2:$C$1960,0)),"",INDEX('Compliance Database'!$A$2:$A$1960,MATCH(1876,Engine!$C$2:$C$1960,0)))</f>
        <v/>
      </c>
      <c r="B1889" s="8">
        <f>IF(ISNA(MATCH(1876,Engine!$C$2:$C$1960,0)),"",INDEX('Compliance Database'!$B$2:$B$1960,MATCH(1876,Engine!$C$2:$C$1960,0)))</f>
        <v/>
      </c>
      <c r="C1889" s="8">
        <f>IF(ISNA(MATCH(1876,Engine!$C$2:$C$1960,0)),"",INDEX('Compliance Database'!$C$2:$C$1960,MATCH(1876,Engine!$C$2:$C$1960,0)))</f>
        <v/>
      </c>
      <c r="D1889" s="9">
        <f>IF(ISNA(MATCH(1876,Engine!$C$2:$C$1960,0)),"",INDEX('Compliance Database'!$D$2:$D$1960,MATCH(1876,Engine!$C$2:$C$1960,0)))</f>
        <v/>
      </c>
      <c r="E1889" s="8">
        <f>IF(ISNA(MATCH(1876,Engine!$C$2:$C$1960,0)),"",INDEX('Compliance Database'!$E$2:$E$1960,MATCH(1876,Engine!$C$2:$C$1960,0)))</f>
        <v/>
      </c>
      <c r="F1889" s="8">
        <f>IF(ISNA(MATCH(1876,Engine!$C$2:$C$1960,0)),"",INDEX('Compliance Database'!$F$2:$F$1960,MATCH(1876,Engine!$C$2:$C$1960,0)))</f>
        <v/>
      </c>
      <c r="G1889" s="8">
        <f>IF(ISNA(MATCH(1876,Engine!$C$2:$C$1960,0)),"",INDEX('Compliance Database'!$G$2:$G$1960,MATCH(1876,Engine!$C$2:$C$1960,0)))</f>
        <v/>
      </c>
      <c r="H1889" s="9">
        <f>IF(ISNA(MATCH(1876,Engine!$C$2:$C$1960,0)),"",INDEX('Compliance Database'!$H$2:$H$1960,MATCH(1876,Engine!$C$2:$C$1960,0)))</f>
        <v/>
      </c>
      <c r="I1889" s="9">
        <f>IF(ISNA(MATCH(1876,Engine!$C$2:$C$1960,0)),"",INDEX('Compliance Database'!$I$2:$I$1960,MATCH(1876,Engine!$C$2:$C$1960,0)))</f>
        <v/>
      </c>
      <c r="J1889" s="8">
        <f>IF(ISNA(MATCH(1876,Engine!$C$2:$C$1960,0)),"",INDEX('Compliance Database'!$J$2:$J$1960,MATCH(1876,Engine!$C$2:$C$1960,0)))</f>
        <v/>
      </c>
      <c r="K1889" s="9">
        <f>IF(ISNA(MATCH(1876,Engine!$C$2:$C$1960,0)),"",INDEX('Compliance Database'!$K$2:$K$1960,MATCH(1876,Engine!$C$2:$C$1960,0)))</f>
        <v/>
      </c>
      <c r="L1889" s="9">
        <f>IF(ISNA(MATCH(1876,Engine!$C$2:$C$1960,0)),"",INDEX('Compliance Database'!$L$2:$L$1960,MATCH(1876,Engine!$C$2:$C$1960,0)))</f>
        <v/>
      </c>
      <c r="M1889" s="9">
        <f>IF(ISNA(MATCH(1876,Engine!$C$2:$C$1960,0)),"",INDEX('Compliance Database'!$M$2:$M$1960,MATCH(1876,Engine!$C$2:$C$1960,0)))</f>
        <v/>
      </c>
      <c r="N1889" s="9">
        <f>IF(ISNA(MATCH(1876,Engine!$C$2:$C$1960,0)),"",INDEX('Compliance Database'!$N$2:$N$1960,MATCH(1876,Engine!$C$2:$C$1960,0)))</f>
        <v/>
      </c>
      <c r="O1889" s="9">
        <f>IF(ISNA(MATCH(1876,Engine!$C$2:$C$1960,0)),"",INDEX('Compliance Database'!$O$2:$O$1960,MATCH(1876,Engine!$C$2:$C$1960,0)))</f>
        <v/>
      </c>
      <c r="P1889" s="8">
        <f>IF(ISNA(MATCH(1876,Engine!$C$2:$C$1960,0)),"",HYPERLINK("#Acts!A"&amp;INDEX('Compliance Database'!$P$2:$P$1960,MATCH(1876,Engine!$C$2:$C$1960,0)),"Go to Act"))</f>
        <v/>
      </c>
    </row>
    <row r="1890" ht="158" customHeight="1">
      <c r="A1890" s="8">
        <f>IF(ISNA(MATCH(1877,Engine!$C$2:$C$1960,0)),"",INDEX('Compliance Database'!$A$2:$A$1960,MATCH(1877,Engine!$C$2:$C$1960,0)))</f>
        <v/>
      </c>
      <c r="B1890" s="8">
        <f>IF(ISNA(MATCH(1877,Engine!$C$2:$C$1960,0)),"",INDEX('Compliance Database'!$B$2:$B$1960,MATCH(1877,Engine!$C$2:$C$1960,0)))</f>
        <v/>
      </c>
      <c r="C1890" s="8">
        <f>IF(ISNA(MATCH(1877,Engine!$C$2:$C$1960,0)),"",INDEX('Compliance Database'!$C$2:$C$1960,MATCH(1877,Engine!$C$2:$C$1960,0)))</f>
        <v/>
      </c>
      <c r="D1890" s="9">
        <f>IF(ISNA(MATCH(1877,Engine!$C$2:$C$1960,0)),"",INDEX('Compliance Database'!$D$2:$D$1960,MATCH(1877,Engine!$C$2:$C$1960,0)))</f>
        <v/>
      </c>
      <c r="E1890" s="8">
        <f>IF(ISNA(MATCH(1877,Engine!$C$2:$C$1960,0)),"",INDEX('Compliance Database'!$E$2:$E$1960,MATCH(1877,Engine!$C$2:$C$1960,0)))</f>
        <v/>
      </c>
      <c r="F1890" s="8">
        <f>IF(ISNA(MATCH(1877,Engine!$C$2:$C$1960,0)),"",INDEX('Compliance Database'!$F$2:$F$1960,MATCH(1877,Engine!$C$2:$C$1960,0)))</f>
        <v/>
      </c>
      <c r="G1890" s="8">
        <f>IF(ISNA(MATCH(1877,Engine!$C$2:$C$1960,0)),"",INDEX('Compliance Database'!$G$2:$G$1960,MATCH(1877,Engine!$C$2:$C$1960,0)))</f>
        <v/>
      </c>
      <c r="H1890" s="9">
        <f>IF(ISNA(MATCH(1877,Engine!$C$2:$C$1960,0)),"",INDEX('Compliance Database'!$H$2:$H$1960,MATCH(1877,Engine!$C$2:$C$1960,0)))</f>
        <v/>
      </c>
      <c r="I1890" s="9">
        <f>IF(ISNA(MATCH(1877,Engine!$C$2:$C$1960,0)),"",INDEX('Compliance Database'!$I$2:$I$1960,MATCH(1877,Engine!$C$2:$C$1960,0)))</f>
        <v/>
      </c>
      <c r="J1890" s="8">
        <f>IF(ISNA(MATCH(1877,Engine!$C$2:$C$1960,0)),"",INDEX('Compliance Database'!$J$2:$J$1960,MATCH(1877,Engine!$C$2:$C$1960,0)))</f>
        <v/>
      </c>
      <c r="K1890" s="9">
        <f>IF(ISNA(MATCH(1877,Engine!$C$2:$C$1960,0)),"",INDEX('Compliance Database'!$K$2:$K$1960,MATCH(1877,Engine!$C$2:$C$1960,0)))</f>
        <v/>
      </c>
      <c r="L1890" s="9">
        <f>IF(ISNA(MATCH(1877,Engine!$C$2:$C$1960,0)),"",INDEX('Compliance Database'!$L$2:$L$1960,MATCH(1877,Engine!$C$2:$C$1960,0)))</f>
        <v/>
      </c>
      <c r="M1890" s="9">
        <f>IF(ISNA(MATCH(1877,Engine!$C$2:$C$1960,0)),"",INDEX('Compliance Database'!$M$2:$M$1960,MATCH(1877,Engine!$C$2:$C$1960,0)))</f>
        <v/>
      </c>
      <c r="N1890" s="9">
        <f>IF(ISNA(MATCH(1877,Engine!$C$2:$C$1960,0)),"",INDEX('Compliance Database'!$N$2:$N$1960,MATCH(1877,Engine!$C$2:$C$1960,0)))</f>
        <v/>
      </c>
      <c r="O1890" s="9">
        <f>IF(ISNA(MATCH(1877,Engine!$C$2:$C$1960,0)),"",INDEX('Compliance Database'!$O$2:$O$1960,MATCH(1877,Engine!$C$2:$C$1960,0)))</f>
        <v/>
      </c>
      <c r="P1890" s="8">
        <f>IF(ISNA(MATCH(1877,Engine!$C$2:$C$1960,0)),"",HYPERLINK("#Acts!A"&amp;INDEX('Compliance Database'!$P$2:$P$1960,MATCH(1877,Engine!$C$2:$C$1960,0)),"Go to Act"))</f>
        <v/>
      </c>
    </row>
    <row r="1891" ht="158" customHeight="1">
      <c r="A1891" s="8">
        <f>IF(ISNA(MATCH(1878,Engine!$C$2:$C$1960,0)),"",INDEX('Compliance Database'!$A$2:$A$1960,MATCH(1878,Engine!$C$2:$C$1960,0)))</f>
        <v/>
      </c>
      <c r="B1891" s="8">
        <f>IF(ISNA(MATCH(1878,Engine!$C$2:$C$1960,0)),"",INDEX('Compliance Database'!$B$2:$B$1960,MATCH(1878,Engine!$C$2:$C$1960,0)))</f>
        <v/>
      </c>
      <c r="C1891" s="8">
        <f>IF(ISNA(MATCH(1878,Engine!$C$2:$C$1960,0)),"",INDEX('Compliance Database'!$C$2:$C$1960,MATCH(1878,Engine!$C$2:$C$1960,0)))</f>
        <v/>
      </c>
      <c r="D1891" s="9">
        <f>IF(ISNA(MATCH(1878,Engine!$C$2:$C$1960,0)),"",INDEX('Compliance Database'!$D$2:$D$1960,MATCH(1878,Engine!$C$2:$C$1960,0)))</f>
        <v/>
      </c>
      <c r="E1891" s="8">
        <f>IF(ISNA(MATCH(1878,Engine!$C$2:$C$1960,0)),"",INDEX('Compliance Database'!$E$2:$E$1960,MATCH(1878,Engine!$C$2:$C$1960,0)))</f>
        <v/>
      </c>
      <c r="F1891" s="8">
        <f>IF(ISNA(MATCH(1878,Engine!$C$2:$C$1960,0)),"",INDEX('Compliance Database'!$F$2:$F$1960,MATCH(1878,Engine!$C$2:$C$1960,0)))</f>
        <v/>
      </c>
      <c r="G1891" s="8">
        <f>IF(ISNA(MATCH(1878,Engine!$C$2:$C$1960,0)),"",INDEX('Compliance Database'!$G$2:$G$1960,MATCH(1878,Engine!$C$2:$C$1960,0)))</f>
        <v/>
      </c>
      <c r="H1891" s="9">
        <f>IF(ISNA(MATCH(1878,Engine!$C$2:$C$1960,0)),"",INDEX('Compliance Database'!$H$2:$H$1960,MATCH(1878,Engine!$C$2:$C$1960,0)))</f>
        <v/>
      </c>
      <c r="I1891" s="9">
        <f>IF(ISNA(MATCH(1878,Engine!$C$2:$C$1960,0)),"",INDEX('Compliance Database'!$I$2:$I$1960,MATCH(1878,Engine!$C$2:$C$1960,0)))</f>
        <v/>
      </c>
      <c r="J1891" s="8">
        <f>IF(ISNA(MATCH(1878,Engine!$C$2:$C$1960,0)),"",INDEX('Compliance Database'!$J$2:$J$1960,MATCH(1878,Engine!$C$2:$C$1960,0)))</f>
        <v/>
      </c>
      <c r="K1891" s="9">
        <f>IF(ISNA(MATCH(1878,Engine!$C$2:$C$1960,0)),"",INDEX('Compliance Database'!$K$2:$K$1960,MATCH(1878,Engine!$C$2:$C$1960,0)))</f>
        <v/>
      </c>
      <c r="L1891" s="9">
        <f>IF(ISNA(MATCH(1878,Engine!$C$2:$C$1960,0)),"",INDEX('Compliance Database'!$L$2:$L$1960,MATCH(1878,Engine!$C$2:$C$1960,0)))</f>
        <v/>
      </c>
      <c r="M1891" s="9">
        <f>IF(ISNA(MATCH(1878,Engine!$C$2:$C$1960,0)),"",INDEX('Compliance Database'!$M$2:$M$1960,MATCH(1878,Engine!$C$2:$C$1960,0)))</f>
        <v/>
      </c>
      <c r="N1891" s="9">
        <f>IF(ISNA(MATCH(1878,Engine!$C$2:$C$1960,0)),"",INDEX('Compliance Database'!$N$2:$N$1960,MATCH(1878,Engine!$C$2:$C$1960,0)))</f>
        <v/>
      </c>
      <c r="O1891" s="9">
        <f>IF(ISNA(MATCH(1878,Engine!$C$2:$C$1960,0)),"",INDEX('Compliance Database'!$O$2:$O$1960,MATCH(1878,Engine!$C$2:$C$1960,0)))</f>
        <v/>
      </c>
      <c r="P1891" s="8">
        <f>IF(ISNA(MATCH(1878,Engine!$C$2:$C$1960,0)),"",HYPERLINK("#Acts!A"&amp;INDEX('Compliance Database'!$P$2:$P$1960,MATCH(1878,Engine!$C$2:$C$1960,0)),"Go to Act"))</f>
        <v/>
      </c>
    </row>
    <row r="1892" ht="158" customHeight="1">
      <c r="A1892" s="8">
        <f>IF(ISNA(MATCH(1879,Engine!$C$2:$C$1960,0)),"",INDEX('Compliance Database'!$A$2:$A$1960,MATCH(1879,Engine!$C$2:$C$1960,0)))</f>
        <v/>
      </c>
      <c r="B1892" s="8">
        <f>IF(ISNA(MATCH(1879,Engine!$C$2:$C$1960,0)),"",INDEX('Compliance Database'!$B$2:$B$1960,MATCH(1879,Engine!$C$2:$C$1960,0)))</f>
        <v/>
      </c>
      <c r="C1892" s="8">
        <f>IF(ISNA(MATCH(1879,Engine!$C$2:$C$1960,0)),"",INDEX('Compliance Database'!$C$2:$C$1960,MATCH(1879,Engine!$C$2:$C$1960,0)))</f>
        <v/>
      </c>
      <c r="D1892" s="9">
        <f>IF(ISNA(MATCH(1879,Engine!$C$2:$C$1960,0)),"",INDEX('Compliance Database'!$D$2:$D$1960,MATCH(1879,Engine!$C$2:$C$1960,0)))</f>
        <v/>
      </c>
      <c r="E1892" s="8">
        <f>IF(ISNA(MATCH(1879,Engine!$C$2:$C$1960,0)),"",INDEX('Compliance Database'!$E$2:$E$1960,MATCH(1879,Engine!$C$2:$C$1960,0)))</f>
        <v/>
      </c>
      <c r="F1892" s="8">
        <f>IF(ISNA(MATCH(1879,Engine!$C$2:$C$1960,0)),"",INDEX('Compliance Database'!$F$2:$F$1960,MATCH(1879,Engine!$C$2:$C$1960,0)))</f>
        <v/>
      </c>
      <c r="G1892" s="8">
        <f>IF(ISNA(MATCH(1879,Engine!$C$2:$C$1960,0)),"",INDEX('Compliance Database'!$G$2:$G$1960,MATCH(1879,Engine!$C$2:$C$1960,0)))</f>
        <v/>
      </c>
      <c r="H1892" s="9">
        <f>IF(ISNA(MATCH(1879,Engine!$C$2:$C$1960,0)),"",INDEX('Compliance Database'!$H$2:$H$1960,MATCH(1879,Engine!$C$2:$C$1960,0)))</f>
        <v/>
      </c>
      <c r="I1892" s="9">
        <f>IF(ISNA(MATCH(1879,Engine!$C$2:$C$1960,0)),"",INDEX('Compliance Database'!$I$2:$I$1960,MATCH(1879,Engine!$C$2:$C$1960,0)))</f>
        <v/>
      </c>
      <c r="J1892" s="8">
        <f>IF(ISNA(MATCH(1879,Engine!$C$2:$C$1960,0)),"",INDEX('Compliance Database'!$J$2:$J$1960,MATCH(1879,Engine!$C$2:$C$1960,0)))</f>
        <v/>
      </c>
      <c r="K1892" s="9">
        <f>IF(ISNA(MATCH(1879,Engine!$C$2:$C$1960,0)),"",INDEX('Compliance Database'!$K$2:$K$1960,MATCH(1879,Engine!$C$2:$C$1960,0)))</f>
        <v/>
      </c>
      <c r="L1892" s="9">
        <f>IF(ISNA(MATCH(1879,Engine!$C$2:$C$1960,0)),"",INDEX('Compliance Database'!$L$2:$L$1960,MATCH(1879,Engine!$C$2:$C$1960,0)))</f>
        <v/>
      </c>
      <c r="M1892" s="9">
        <f>IF(ISNA(MATCH(1879,Engine!$C$2:$C$1960,0)),"",INDEX('Compliance Database'!$M$2:$M$1960,MATCH(1879,Engine!$C$2:$C$1960,0)))</f>
        <v/>
      </c>
      <c r="N1892" s="9">
        <f>IF(ISNA(MATCH(1879,Engine!$C$2:$C$1960,0)),"",INDEX('Compliance Database'!$N$2:$N$1960,MATCH(1879,Engine!$C$2:$C$1960,0)))</f>
        <v/>
      </c>
      <c r="O1892" s="9">
        <f>IF(ISNA(MATCH(1879,Engine!$C$2:$C$1960,0)),"",INDEX('Compliance Database'!$O$2:$O$1960,MATCH(1879,Engine!$C$2:$C$1960,0)))</f>
        <v/>
      </c>
      <c r="P1892" s="8">
        <f>IF(ISNA(MATCH(1879,Engine!$C$2:$C$1960,0)),"",HYPERLINK("#Acts!A"&amp;INDEX('Compliance Database'!$P$2:$P$1960,MATCH(1879,Engine!$C$2:$C$1960,0)),"Go to Act"))</f>
        <v/>
      </c>
    </row>
    <row r="1893" ht="158" customHeight="1">
      <c r="A1893" s="8">
        <f>IF(ISNA(MATCH(1880,Engine!$C$2:$C$1960,0)),"",INDEX('Compliance Database'!$A$2:$A$1960,MATCH(1880,Engine!$C$2:$C$1960,0)))</f>
        <v/>
      </c>
      <c r="B1893" s="8">
        <f>IF(ISNA(MATCH(1880,Engine!$C$2:$C$1960,0)),"",INDEX('Compliance Database'!$B$2:$B$1960,MATCH(1880,Engine!$C$2:$C$1960,0)))</f>
        <v/>
      </c>
      <c r="C1893" s="8">
        <f>IF(ISNA(MATCH(1880,Engine!$C$2:$C$1960,0)),"",INDEX('Compliance Database'!$C$2:$C$1960,MATCH(1880,Engine!$C$2:$C$1960,0)))</f>
        <v/>
      </c>
      <c r="D1893" s="9">
        <f>IF(ISNA(MATCH(1880,Engine!$C$2:$C$1960,0)),"",INDEX('Compliance Database'!$D$2:$D$1960,MATCH(1880,Engine!$C$2:$C$1960,0)))</f>
        <v/>
      </c>
      <c r="E1893" s="8">
        <f>IF(ISNA(MATCH(1880,Engine!$C$2:$C$1960,0)),"",INDEX('Compliance Database'!$E$2:$E$1960,MATCH(1880,Engine!$C$2:$C$1960,0)))</f>
        <v/>
      </c>
      <c r="F1893" s="8">
        <f>IF(ISNA(MATCH(1880,Engine!$C$2:$C$1960,0)),"",INDEX('Compliance Database'!$F$2:$F$1960,MATCH(1880,Engine!$C$2:$C$1960,0)))</f>
        <v/>
      </c>
      <c r="G1893" s="8">
        <f>IF(ISNA(MATCH(1880,Engine!$C$2:$C$1960,0)),"",INDEX('Compliance Database'!$G$2:$G$1960,MATCH(1880,Engine!$C$2:$C$1960,0)))</f>
        <v/>
      </c>
      <c r="H1893" s="9">
        <f>IF(ISNA(MATCH(1880,Engine!$C$2:$C$1960,0)),"",INDEX('Compliance Database'!$H$2:$H$1960,MATCH(1880,Engine!$C$2:$C$1960,0)))</f>
        <v/>
      </c>
      <c r="I1893" s="9">
        <f>IF(ISNA(MATCH(1880,Engine!$C$2:$C$1960,0)),"",INDEX('Compliance Database'!$I$2:$I$1960,MATCH(1880,Engine!$C$2:$C$1960,0)))</f>
        <v/>
      </c>
      <c r="J1893" s="8">
        <f>IF(ISNA(MATCH(1880,Engine!$C$2:$C$1960,0)),"",INDEX('Compliance Database'!$J$2:$J$1960,MATCH(1880,Engine!$C$2:$C$1960,0)))</f>
        <v/>
      </c>
      <c r="K1893" s="9">
        <f>IF(ISNA(MATCH(1880,Engine!$C$2:$C$1960,0)),"",INDEX('Compliance Database'!$K$2:$K$1960,MATCH(1880,Engine!$C$2:$C$1960,0)))</f>
        <v/>
      </c>
      <c r="L1893" s="9">
        <f>IF(ISNA(MATCH(1880,Engine!$C$2:$C$1960,0)),"",INDEX('Compliance Database'!$L$2:$L$1960,MATCH(1880,Engine!$C$2:$C$1960,0)))</f>
        <v/>
      </c>
      <c r="M1893" s="9">
        <f>IF(ISNA(MATCH(1880,Engine!$C$2:$C$1960,0)),"",INDEX('Compliance Database'!$M$2:$M$1960,MATCH(1880,Engine!$C$2:$C$1960,0)))</f>
        <v/>
      </c>
      <c r="N1893" s="9">
        <f>IF(ISNA(MATCH(1880,Engine!$C$2:$C$1960,0)),"",INDEX('Compliance Database'!$N$2:$N$1960,MATCH(1880,Engine!$C$2:$C$1960,0)))</f>
        <v/>
      </c>
      <c r="O1893" s="9">
        <f>IF(ISNA(MATCH(1880,Engine!$C$2:$C$1960,0)),"",INDEX('Compliance Database'!$O$2:$O$1960,MATCH(1880,Engine!$C$2:$C$1960,0)))</f>
        <v/>
      </c>
      <c r="P1893" s="8">
        <f>IF(ISNA(MATCH(1880,Engine!$C$2:$C$1960,0)),"",HYPERLINK("#Acts!A"&amp;INDEX('Compliance Database'!$P$2:$P$1960,MATCH(1880,Engine!$C$2:$C$1960,0)),"Go to Act"))</f>
        <v/>
      </c>
    </row>
    <row r="1894" ht="158" customHeight="1">
      <c r="A1894" s="8">
        <f>IF(ISNA(MATCH(1881,Engine!$C$2:$C$1960,0)),"",INDEX('Compliance Database'!$A$2:$A$1960,MATCH(1881,Engine!$C$2:$C$1960,0)))</f>
        <v/>
      </c>
      <c r="B1894" s="8">
        <f>IF(ISNA(MATCH(1881,Engine!$C$2:$C$1960,0)),"",INDEX('Compliance Database'!$B$2:$B$1960,MATCH(1881,Engine!$C$2:$C$1960,0)))</f>
        <v/>
      </c>
      <c r="C1894" s="8">
        <f>IF(ISNA(MATCH(1881,Engine!$C$2:$C$1960,0)),"",INDEX('Compliance Database'!$C$2:$C$1960,MATCH(1881,Engine!$C$2:$C$1960,0)))</f>
        <v/>
      </c>
      <c r="D1894" s="9">
        <f>IF(ISNA(MATCH(1881,Engine!$C$2:$C$1960,0)),"",INDEX('Compliance Database'!$D$2:$D$1960,MATCH(1881,Engine!$C$2:$C$1960,0)))</f>
        <v/>
      </c>
      <c r="E1894" s="8">
        <f>IF(ISNA(MATCH(1881,Engine!$C$2:$C$1960,0)),"",INDEX('Compliance Database'!$E$2:$E$1960,MATCH(1881,Engine!$C$2:$C$1960,0)))</f>
        <v/>
      </c>
      <c r="F1894" s="8">
        <f>IF(ISNA(MATCH(1881,Engine!$C$2:$C$1960,0)),"",INDEX('Compliance Database'!$F$2:$F$1960,MATCH(1881,Engine!$C$2:$C$1960,0)))</f>
        <v/>
      </c>
      <c r="G1894" s="8">
        <f>IF(ISNA(MATCH(1881,Engine!$C$2:$C$1960,0)),"",INDEX('Compliance Database'!$G$2:$G$1960,MATCH(1881,Engine!$C$2:$C$1960,0)))</f>
        <v/>
      </c>
      <c r="H1894" s="9">
        <f>IF(ISNA(MATCH(1881,Engine!$C$2:$C$1960,0)),"",INDEX('Compliance Database'!$H$2:$H$1960,MATCH(1881,Engine!$C$2:$C$1960,0)))</f>
        <v/>
      </c>
      <c r="I1894" s="9">
        <f>IF(ISNA(MATCH(1881,Engine!$C$2:$C$1960,0)),"",INDEX('Compliance Database'!$I$2:$I$1960,MATCH(1881,Engine!$C$2:$C$1960,0)))</f>
        <v/>
      </c>
      <c r="J1894" s="8">
        <f>IF(ISNA(MATCH(1881,Engine!$C$2:$C$1960,0)),"",INDEX('Compliance Database'!$J$2:$J$1960,MATCH(1881,Engine!$C$2:$C$1960,0)))</f>
        <v/>
      </c>
      <c r="K1894" s="9">
        <f>IF(ISNA(MATCH(1881,Engine!$C$2:$C$1960,0)),"",INDEX('Compliance Database'!$K$2:$K$1960,MATCH(1881,Engine!$C$2:$C$1960,0)))</f>
        <v/>
      </c>
      <c r="L1894" s="9">
        <f>IF(ISNA(MATCH(1881,Engine!$C$2:$C$1960,0)),"",INDEX('Compliance Database'!$L$2:$L$1960,MATCH(1881,Engine!$C$2:$C$1960,0)))</f>
        <v/>
      </c>
      <c r="M1894" s="9">
        <f>IF(ISNA(MATCH(1881,Engine!$C$2:$C$1960,0)),"",INDEX('Compliance Database'!$M$2:$M$1960,MATCH(1881,Engine!$C$2:$C$1960,0)))</f>
        <v/>
      </c>
      <c r="N1894" s="9">
        <f>IF(ISNA(MATCH(1881,Engine!$C$2:$C$1960,0)),"",INDEX('Compliance Database'!$N$2:$N$1960,MATCH(1881,Engine!$C$2:$C$1960,0)))</f>
        <v/>
      </c>
      <c r="O1894" s="9">
        <f>IF(ISNA(MATCH(1881,Engine!$C$2:$C$1960,0)),"",INDEX('Compliance Database'!$O$2:$O$1960,MATCH(1881,Engine!$C$2:$C$1960,0)))</f>
        <v/>
      </c>
      <c r="P1894" s="8">
        <f>IF(ISNA(MATCH(1881,Engine!$C$2:$C$1960,0)),"",HYPERLINK("#Acts!A"&amp;INDEX('Compliance Database'!$P$2:$P$1960,MATCH(1881,Engine!$C$2:$C$1960,0)),"Go to Act"))</f>
        <v/>
      </c>
    </row>
    <row r="1895" ht="158" customHeight="1">
      <c r="A1895" s="8">
        <f>IF(ISNA(MATCH(1882,Engine!$C$2:$C$1960,0)),"",INDEX('Compliance Database'!$A$2:$A$1960,MATCH(1882,Engine!$C$2:$C$1960,0)))</f>
        <v/>
      </c>
      <c r="B1895" s="8">
        <f>IF(ISNA(MATCH(1882,Engine!$C$2:$C$1960,0)),"",INDEX('Compliance Database'!$B$2:$B$1960,MATCH(1882,Engine!$C$2:$C$1960,0)))</f>
        <v/>
      </c>
      <c r="C1895" s="8">
        <f>IF(ISNA(MATCH(1882,Engine!$C$2:$C$1960,0)),"",INDEX('Compliance Database'!$C$2:$C$1960,MATCH(1882,Engine!$C$2:$C$1960,0)))</f>
        <v/>
      </c>
      <c r="D1895" s="9">
        <f>IF(ISNA(MATCH(1882,Engine!$C$2:$C$1960,0)),"",INDEX('Compliance Database'!$D$2:$D$1960,MATCH(1882,Engine!$C$2:$C$1960,0)))</f>
        <v/>
      </c>
      <c r="E1895" s="8">
        <f>IF(ISNA(MATCH(1882,Engine!$C$2:$C$1960,0)),"",INDEX('Compliance Database'!$E$2:$E$1960,MATCH(1882,Engine!$C$2:$C$1960,0)))</f>
        <v/>
      </c>
      <c r="F1895" s="8">
        <f>IF(ISNA(MATCH(1882,Engine!$C$2:$C$1960,0)),"",INDEX('Compliance Database'!$F$2:$F$1960,MATCH(1882,Engine!$C$2:$C$1960,0)))</f>
        <v/>
      </c>
      <c r="G1895" s="8">
        <f>IF(ISNA(MATCH(1882,Engine!$C$2:$C$1960,0)),"",INDEX('Compliance Database'!$G$2:$G$1960,MATCH(1882,Engine!$C$2:$C$1960,0)))</f>
        <v/>
      </c>
      <c r="H1895" s="9">
        <f>IF(ISNA(MATCH(1882,Engine!$C$2:$C$1960,0)),"",INDEX('Compliance Database'!$H$2:$H$1960,MATCH(1882,Engine!$C$2:$C$1960,0)))</f>
        <v/>
      </c>
      <c r="I1895" s="9">
        <f>IF(ISNA(MATCH(1882,Engine!$C$2:$C$1960,0)),"",INDEX('Compliance Database'!$I$2:$I$1960,MATCH(1882,Engine!$C$2:$C$1960,0)))</f>
        <v/>
      </c>
      <c r="J1895" s="8">
        <f>IF(ISNA(MATCH(1882,Engine!$C$2:$C$1960,0)),"",INDEX('Compliance Database'!$J$2:$J$1960,MATCH(1882,Engine!$C$2:$C$1960,0)))</f>
        <v/>
      </c>
      <c r="K1895" s="9">
        <f>IF(ISNA(MATCH(1882,Engine!$C$2:$C$1960,0)),"",INDEX('Compliance Database'!$K$2:$K$1960,MATCH(1882,Engine!$C$2:$C$1960,0)))</f>
        <v/>
      </c>
      <c r="L1895" s="9">
        <f>IF(ISNA(MATCH(1882,Engine!$C$2:$C$1960,0)),"",INDEX('Compliance Database'!$L$2:$L$1960,MATCH(1882,Engine!$C$2:$C$1960,0)))</f>
        <v/>
      </c>
      <c r="M1895" s="9">
        <f>IF(ISNA(MATCH(1882,Engine!$C$2:$C$1960,0)),"",INDEX('Compliance Database'!$M$2:$M$1960,MATCH(1882,Engine!$C$2:$C$1960,0)))</f>
        <v/>
      </c>
      <c r="N1895" s="9">
        <f>IF(ISNA(MATCH(1882,Engine!$C$2:$C$1960,0)),"",INDEX('Compliance Database'!$N$2:$N$1960,MATCH(1882,Engine!$C$2:$C$1960,0)))</f>
        <v/>
      </c>
      <c r="O1895" s="9">
        <f>IF(ISNA(MATCH(1882,Engine!$C$2:$C$1960,0)),"",INDEX('Compliance Database'!$O$2:$O$1960,MATCH(1882,Engine!$C$2:$C$1960,0)))</f>
        <v/>
      </c>
      <c r="P1895" s="8">
        <f>IF(ISNA(MATCH(1882,Engine!$C$2:$C$1960,0)),"",HYPERLINK("#Acts!A"&amp;INDEX('Compliance Database'!$P$2:$P$1960,MATCH(1882,Engine!$C$2:$C$1960,0)),"Go to Act"))</f>
        <v/>
      </c>
    </row>
    <row r="1896" ht="158" customHeight="1">
      <c r="A1896" s="8">
        <f>IF(ISNA(MATCH(1883,Engine!$C$2:$C$1960,0)),"",INDEX('Compliance Database'!$A$2:$A$1960,MATCH(1883,Engine!$C$2:$C$1960,0)))</f>
        <v/>
      </c>
      <c r="B1896" s="8">
        <f>IF(ISNA(MATCH(1883,Engine!$C$2:$C$1960,0)),"",INDEX('Compliance Database'!$B$2:$B$1960,MATCH(1883,Engine!$C$2:$C$1960,0)))</f>
        <v/>
      </c>
      <c r="C1896" s="8">
        <f>IF(ISNA(MATCH(1883,Engine!$C$2:$C$1960,0)),"",INDEX('Compliance Database'!$C$2:$C$1960,MATCH(1883,Engine!$C$2:$C$1960,0)))</f>
        <v/>
      </c>
      <c r="D1896" s="9">
        <f>IF(ISNA(MATCH(1883,Engine!$C$2:$C$1960,0)),"",INDEX('Compliance Database'!$D$2:$D$1960,MATCH(1883,Engine!$C$2:$C$1960,0)))</f>
        <v/>
      </c>
      <c r="E1896" s="8">
        <f>IF(ISNA(MATCH(1883,Engine!$C$2:$C$1960,0)),"",INDEX('Compliance Database'!$E$2:$E$1960,MATCH(1883,Engine!$C$2:$C$1960,0)))</f>
        <v/>
      </c>
      <c r="F1896" s="8">
        <f>IF(ISNA(MATCH(1883,Engine!$C$2:$C$1960,0)),"",INDEX('Compliance Database'!$F$2:$F$1960,MATCH(1883,Engine!$C$2:$C$1960,0)))</f>
        <v/>
      </c>
      <c r="G1896" s="8">
        <f>IF(ISNA(MATCH(1883,Engine!$C$2:$C$1960,0)),"",INDEX('Compliance Database'!$G$2:$G$1960,MATCH(1883,Engine!$C$2:$C$1960,0)))</f>
        <v/>
      </c>
      <c r="H1896" s="9">
        <f>IF(ISNA(MATCH(1883,Engine!$C$2:$C$1960,0)),"",INDEX('Compliance Database'!$H$2:$H$1960,MATCH(1883,Engine!$C$2:$C$1960,0)))</f>
        <v/>
      </c>
      <c r="I1896" s="9">
        <f>IF(ISNA(MATCH(1883,Engine!$C$2:$C$1960,0)),"",INDEX('Compliance Database'!$I$2:$I$1960,MATCH(1883,Engine!$C$2:$C$1960,0)))</f>
        <v/>
      </c>
      <c r="J1896" s="8">
        <f>IF(ISNA(MATCH(1883,Engine!$C$2:$C$1960,0)),"",INDEX('Compliance Database'!$J$2:$J$1960,MATCH(1883,Engine!$C$2:$C$1960,0)))</f>
        <v/>
      </c>
      <c r="K1896" s="9">
        <f>IF(ISNA(MATCH(1883,Engine!$C$2:$C$1960,0)),"",INDEX('Compliance Database'!$K$2:$K$1960,MATCH(1883,Engine!$C$2:$C$1960,0)))</f>
        <v/>
      </c>
      <c r="L1896" s="9">
        <f>IF(ISNA(MATCH(1883,Engine!$C$2:$C$1960,0)),"",INDEX('Compliance Database'!$L$2:$L$1960,MATCH(1883,Engine!$C$2:$C$1960,0)))</f>
        <v/>
      </c>
      <c r="M1896" s="9">
        <f>IF(ISNA(MATCH(1883,Engine!$C$2:$C$1960,0)),"",INDEX('Compliance Database'!$M$2:$M$1960,MATCH(1883,Engine!$C$2:$C$1960,0)))</f>
        <v/>
      </c>
      <c r="N1896" s="9">
        <f>IF(ISNA(MATCH(1883,Engine!$C$2:$C$1960,0)),"",INDEX('Compliance Database'!$N$2:$N$1960,MATCH(1883,Engine!$C$2:$C$1960,0)))</f>
        <v/>
      </c>
      <c r="O1896" s="9">
        <f>IF(ISNA(MATCH(1883,Engine!$C$2:$C$1960,0)),"",INDEX('Compliance Database'!$O$2:$O$1960,MATCH(1883,Engine!$C$2:$C$1960,0)))</f>
        <v/>
      </c>
      <c r="P1896" s="8">
        <f>IF(ISNA(MATCH(1883,Engine!$C$2:$C$1960,0)),"",HYPERLINK("#Acts!A"&amp;INDEX('Compliance Database'!$P$2:$P$1960,MATCH(1883,Engine!$C$2:$C$1960,0)),"Go to Act"))</f>
        <v/>
      </c>
    </row>
    <row r="1897" ht="158" customHeight="1">
      <c r="A1897" s="8">
        <f>IF(ISNA(MATCH(1884,Engine!$C$2:$C$1960,0)),"",INDEX('Compliance Database'!$A$2:$A$1960,MATCH(1884,Engine!$C$2:$C$1960,0)))</f>
        <v/>
      </c>
      <c r="B1897" s="8">
        <f>IF(ISNA(MATCH(1884,Engine!$C$2:$C$1960,0)),"",INDEX('Compliance Database'!$B$2:$B$1960,MATCH(1884,Engine!$C$2:$C$1960,0)))</f>
        <v/>
      </c>
      <c r="C1897" s="8">
        <f>IF(ISNA(MATCH(1884,Engine!$C$2:$C$1960,0)),"",INDEX('Compliance Database'!$C$2:$C$1960,MATCH(1884,Engine!$C$2:$C$1960,0)))</f>
        <v/>
      </c>
      <c r="D1897" s="9">
        <f>IF(ISNA(MATCH(1884,Engine!$C$2:$C$1960,0)),"",INDEX('Compliance Database'!$D$2:$D$1960,MATCH(1884,Engine!$C$2:$C$1960,0)))</f>
        <v/>
      </c>
      <c r="E1897" s="8">
        <f>IF(ISNA(MATCH(1884,Engine!$C$2:$C$1960,0)),"",INDEX('Compliance Database'!$E$2:$E$1960,MATCH(1884,Engine!$C$2:$C$1960,0)))</f>
        <v/>
      </c>
      <c r="F1897" s="8">
        <f>IF(ISNA(MATCH(1884,Engine!$C$2:$C$1960,0)),"",INDEX('Compliance Database'!$F$2:$F$1960,MATCH(1884,Engine!$C$2:$C$1960,0)))</f>
        <v/>
      </c>
      <c r="G1897" s="8">
        <f>IF(ISNA(MATCH(1884,Engine!$C$2:$C$1960,0)),"",INDEX('Compliance Database'!$G$2:$G$1960,MATCH(1884,Engine!$C$2:$C$1960,0)))</f>
        <v/>
      </c>
      <c r="H1897" s="9">
        <f>IF(ISNA(MATCH(1884,Engine!$C$2:$C$1960,0)),"",INDEX('Compliance Database'!$H$2:$H$1960,MATCH(1884,Engine!$C$2:$C$1960,0)))</f>
        <v/>
      </c>
      <c r="I1897" s="9">
        <f>IF(ISNA(MATCH(1884,Engine!$C$2:$C$1960,0)),"",INDEX('Compliance Database'!$I$2:$I$1960,MATCH(1884,Engine!$C$2:$C$1960,0)))</f>
        <v/>
      </c>
      <c r="J1897" s="8">
        <f>IF(ISNA(MATCH(1884,Engine!$C$2:$C$1960,0)),"",INDEX('Compliance Database'!$J$2:$J$1960,MATCH(1884,Engine!$C$2:$C$1960,0)))</f>
        <v/>
      </c>
      <c r="K1897" s="9">
        <f>IF(ISNA(MATCH(1884,Engine!$C$2:$C$1960,0)),"",INDEX('Compliance Database'!$K$2:$K$1960,MATCH(1884,Engine!$C$2:$C$1960,0)))</f>
        <v/>
      </c>
      <c r="L1897" s="9">
        <f>IF(ISNA(MATCH(1884,Engine!$C$2:$C$1960,0)),"",INDEX('Compliance Database'!$L$2:$L$1960,MATCH(1884,Engine!$C$2:$C$1960,0)))</f>
        <v/>
      </c>
      <c r="M1897" s="9">
        <f>IF(ISNA(MATCH(1884,Engine!$C$2:$C$1960,0)),"",INDEX('Compliance Database'!$M$2:$M$1960,MATCH(1884,Engine!$C$2:$C$1960,0)))</f>
        <v/>
      </c>
      <c r="N1897" s="9">
        <f>IF(ISNA(MATCH(1884,Engine!$C$2:$C$1960,0)),"",INDEX('Compliance Database'!$N$2:$N$1960,MATCH(1884,Engine!$C$2:$C$1960,0)))</f>
        <v/>
      </c>
      <c r="O1897" s="9">
        <f>IF(ISNA(MATCH(1884,Engine!$C$2:$C$1960,0)),"",INDEX('Compliance Database'!$O$2:$O$1960,MATCH(1884,Engine!$C$2:$C$1960,0)))</f>
        <v/>
      </c>
      <c r="P1897" s="8">
        <f>IF(ISNA(MATCH(1884,Engine!$C$2:$C$1960,0)),"",HYPERLINK("#Acts!A"&amp;INDEX('Compliance Database'!$P$2:$P$1960,MATCH(1884,Engine!$C$2:$C$1960,0)),"Go to Act"))</f>
        <v/>
      </c>
    </row>
    <row r="1898" ht="158" customHeight="1">
      <c r="A1898" s="8">
        <f>IF(ISNA(MATCH(1885,Engine!$C$2:$C$1960,0)),"",INDEX('Compliance Database'!$A$2:$A$1960,MATCH(1885,Engine!$C$2:$C$1960,0)))</f>
        <v/>
      </c>
      <c r="B1898" s="8">
        <f>IF(ISNA(MATCH(1885,Engine!$C$2:$C$1960,0)),"",INDEX('Compliance Database'!$B$2:$B$1960,MATCH(1885,Engine!$C$2:$C$1960,0)))</f>
        <v/>
      </c>
      <c r="C1898" s="8">
        <f>IF(ISNA(MATCH(1885,Engine!$C$2:$C$1960,0)),"",INDEX('Compliance Database'!$C$2:$C$1960,MATCH(1885,Engine!$C$2:$C$1960,0)))</f>
        <v/>
      </c>
      <c r="D1898" s="9">
        <f>IF(ISNA(MATCH(1885,Engine!$C$2:$C$1960,0)),"",INDEX('Compliance Database'!$D$2:$D$1960,MATCH(1885,Engine!$C$2:$C$1960,0)))</f>
        <v/>
      </c>
      <c r="E1898" s="8">
        <f>IF(ISNA(MATCH(1885,Engine!$C$2:$C$1960,0)),"",INDEX('Compliance Database'!$E$2:$E$1960,MATCH(1885,Engine!$C$2:$C$1960,0)))</f>
        <v/>
      </c>
      <c r="F1898" s="8">
        <f>IF(ISNA(MATCH(1885,Engine!$C$2:$C$1960,0)),"",INDEX('Compliance Database'!$F$2:$F$1960,MATCH(1885,Engine!$C$2:$C$1960,0)))</f>
        <v/>
      </c>
      <c r="G1898" s="8">
        <f>IF(ISNA(MATCH(1885,Engine!$C$2:$C$1960,0)),"",INDEX('Compliance Database'!$G$2:$G$1960,MATCH(1885,Engine!$C$2:$C$1960,0)))</f>
        <v/>
      </c>
      <c r="H1898" s="9">
        <f>IF(ISNA(MATCH(1885,Engine!$C$2:$C$1960,0)),"",INDEX('Compliance Database'!$H$2:$H$1960,MATCH(1885,Engine!$C$2:$C$1960,0)))</f>
        <v/>
      </c>
      <c r="I1898" s="9">
        <f>IF(ISNA(MATCH(1885,Engine!$C$2:$C$1960,0)),"",INDEX('Compliance Database'!$I$2:$I$1960,MATCH(1885,Engine!$C$2:$C$1960,0)))</f>
        <v/>
      </c>
      <c r="J1898" s="8">
        <f>IF(ISNA(MATCH(1885,Engine!$C$2:$C$1960,0)),"",INDEX('Compliance Database'!$J$2:$J$1960,MATCH(1885,Engine!$C$2:$C$1960,0)))</f>
        <v/>
      </c>
      <c r="K1898" s="9">
        <f>IF(ISNA(MATCH(1885,Engine!$C$2:$C$1960,0)),"",INDEX('Compliance Database'!$K$2:$K$1960,MATCH(1885,Engine!$C$2:$C$1960,0)))</f>
        <v/>
      </c>
      <c r="L1898" s="9">
        <f>IF(ISNA(MATCH(1885,Engine!$C$2:$C$1960,0)),"",INDEX('Compliance Database'!$L$2:$L$1960,MATCH(1885,Engine!$C$2:$C$1960,0)))</f>
        <v/>
      </c>
      <c r="M1898" s="9">
        <f>IF(ISNA(MATCH(1885,Engine!$C$2:$C$1960,0)),"",INDEX('Compliance Database'!$M$2:$M$1960,MATCH(1885,Engine!$C$2:$C$1960,0)))</f>
        <v/>
      </c>
      <c r="N1898" s="9">
        <f>IF(ISNA(MATCH(1885,Engine!$C$2:$C$1960,0)),"",INDEX('Compliance Database'!$N$2:$N$1960,MATCH(1885,Engine!$C$2:$C$1960,0)))</f>
        <v/>
      </c>
      <c r="O1898" s="9">
        <f>IF(ISNA(MATCH(1885,Engine!$C$2:$C$1960,0)),"",INDEX('Compliance Database'!$O$2:$O$1960,MATCH(1885,Engine!$C$2:$C$1960,0)))</f>
        <v/>
      </c>
      <c r="P1898" s="8">
        <f>IF(ISNA(MATCH(1885,Engine!$C$2:$C$1960,0)),"",HYPERLINK("#Acts!A"&amp;INDEX('Compliance Database'!$P$2:$P$1960,MATCH(1885,Engine!$C$2:$C$1960,0)),"Go to Act"))</f>
        <v/>
      </c>
    </row>
    <row r="1899" ht="158" customHeight="1">
      <c r="A1899" s="8">
        <f>IF(ISNA(MATCH(1886,Engine!$C$2:$C$1960,0)),"",INDEX('Compliance Database'!$A$2:$A$1960,MATCH(1886,Engine!$C$2:$C$1960,0)))</f>
        <v/>
      </c>
      <c r="B1899" s="8">
        <f>IF(ISNA(MATCH(1886,Engine!$C$2:$C$1960,0)),"",INDEX('Compliance Database'!$B$2:$B$1960,MATCH(1886,Engine!$C$2:$C$1960,0)))</f>
        <v/>
      </c>
      <c r="C1899" s="8">
        <f>IF(ISNA(MATCH(1886,Engine!$C$2:$C$1960,0)),"",INDEX('Compliance Database'!$C$2:$C$1960,MATCH(1886,Engine!$C$2:$C$1960,0)))</f>
        <v/>
      </c>
      <c r="D1899" s="9">
        <f>IF(ISNA(MATCH(1886,Engine!$C$2:$C$1960,0)),"",INDEX('Compliance Database'!$D$2:$D$1960,MATCH(1886,Engine!$C$2:$C$1960,0)))</f>
        <v/>
      </c>
      <c r="E1899" s="8">
        <f>IF(ISNA(MATCH(1886,Engine!$C$2:$C$1960,0)),"",INDEX('Compliance Database'!$E$2:$E$1960,MATCH(1886,Engine!$C$2:$C$1960,0)))</f>
        <v/>
      </c>
      <c r="F1899" s="8">
        <f>IF(ISNA(MATCH(1886,Engine!$C$2:$C$1960,0)),"",INDEX('Compliance Database'!$F$2:$F$1960,MATCH(1886,Engine!$C$2:$C$1960,0)))</f>
        <v/>
      </c>
      <c r="G1899" s="8">
        <f>IF(ISNA(MATCH(1886,Engine!$C$2:$C$1960,0)),"",INDEX('Compliance Database'!$G$2:$G$1960,MATCH(1886,Engine!$C$2:$C$1960,0)))</f>
        <v/>
      </c>
      <c r="H1899" s="9">
        <f>IF(ISNA(MATCH(1886,Engine!$C$2:$C$1960,0)),"",INDEX('Compliance Database'!$H$2:$H$1960,MATCH(1886,Engine!$C$2:$C$1960,0)))</f>
        <v/>
      </c>
      <c r="I1899" s="9">
        <f>IF(ISNA(MATCH(1886,Engine!$C$2:$C$1960,0)),"",INDEX('Compliance Database'!$I$2:$I$1960,MATCH(1886,Engine!$C$2:$C$1960,0)))</f>
        <v/>
      </c>
      <c r="J1899" s="8">
        <f>IF(ISNA(MATCH(1886,Engine!$C$2:$C$1960,0)),"",INDEX('Compliance Database'!$J$2:$J$1960,MATCH(1886,Engine!$C$2:$C$1960,0)))</f>
        <v/>
      </c>
      <c r="K1899" s="9">
        <f>IF(ISNA(MATCH(1886,Engine!$C$2:$C$1960,0)),"",INDEX('Compliance Database'!$K$2:$K$1960,MATCH(1886,Engine!$C$2:$C$1960,0)))</f>
        <v/>
      </c>
      <c r="L1899" s="9">
        <f>IF(ISNA(MATCH(1886,Engine!$C$2:$C$1960,0)),"",INDEX('Compliance Database'!$L$2:$L$1960,MATCH(1886,Engine!$C$2:$C$1960,0)))</f>
        <v/>
      </c>
      <c r="M1899" s="9">
        <f>IF(ISNA(MATCH(1886,Engine!$C$2:$C$1960,0)),"",INDEX('Compliance Database'!$M$2:$M$1960,MATCH(1886,Engine!$C$2:$C$1960,0)))</f>
        <v/>
      </c>
      <c r="N1899" s="9">
        <f>IF(ISNA(MATCH(1886,Engine!$C$2:$C$1960,0)),"",INDEX('Compliance Database'!$N$2:$N$1960,MATCH(1886,Engine!$C$2:$C$1960,0)))</f>
        <v/>
      </c>
      <c r="O1899" s="9">
        <f>IF(ISNA(MATCH(1886,Engine!$C$2:$C$1960,0)),"",INDEX('Compliance Database'!$O$2:$O$1960,MATCH(1886,Engine!$C$2:$C$1960,0)))</f>
        <v/>
      </c>
      <c r="P1899" s="8">
        <f>IF(ISNA(MATCH(1886,Engine!$C$2:$C$1960,0)),"",HYPERLINK("#Acts!A"&amp;INDEX('Compliance Database'!$P$2:$P$1960,MATCH(1886,Engine!$C$2:$C$1960,0)),"Go to Act"))</f>
        <v/>
      </c>
    </row>
    <row r="1900" ht="158" customHeight="1">
      <c r="A1900" s="8">
        <f>IF(ISNA(MATCH(1887,Engine!$C$2:$C$1960,0)),"",INDEX('Compliance Database'!$A$2:$A$1960,MATCH(1887,Engine!$C$2:$C$1960,0)))</f>
        <v/>
      </c>
      <c r="B1900" s="8">
        <f>IF(ISNA(MATCH(1887,Engine!$C$2:$C$1960,0)),"",INDEX('Compliance Database'!$B$2:$B$1960,MATCH(1887,Engine!$C$2:$C$1960,0)))</f>
        <v/>
      </c>
      <c r="C1900" s="8">
        <f>IF(ISNA(MATCH(1887,Engine!$C$2:$C$1960,0)),"",INDEX('Compliance Database'!$C$2:$C$1960,MATCH(1887,Engine!$C$2:$C$1960,0)))</f>
        <v/>
      </c>
      <c r="D1900" s="9">
        <f>IF(ISNA(MATCH(1887,Engine!$C$2:$C$1960,0)),"",INDEX('Compliance Database'!$D$2:$D$1960,MATCH(1887,Engine!$C$2:$C$1960,0)))</f>
        <v/>
      </c>
      <c r="E1900" s="8">
        <f>IF(ISNA(MATCH(1887,Engine!$C$2:$C$1960,0)),"",INDEX('Compliance Database'!$E$2:$E$1960,MATCH(1887,Engine!$C$2:$C$1960,0)))</f>
        <v/>
      </c>
      <c r="F1900" s="8">
        <f>IF(ISNA(MATCH(1887,Engine!$C$2:$C$1960,0)),"",INDEX('Compliance Database'!$F$2:$F$1960,MATCH(1887,Engine!$C$2:$C$1960,0)))</f>
        <v/>
      </c>
      <c r="G1900" s="8">
        <f>IF(ISNA(MATCH(1887,Engine!$C$2:$C$1960,0)),"",INDEX('Compliance Database'!$G$2:$G$1960,MATCH(1887,Engine!$C$2:$C$1960,0)))</f>
        <v/>
      </c>
      <c r="H1900" s="9">
        <f>IF(ISNA(MATCH(1887,Engine!$C$2:$C$1960,0)),"",INDEX('Compliance Database'!$H$2:$H$1960,MATCH(1887,Engine!$C$2:$C$1960,0)))</f>
        <v/>
      </c>
      <c r="I1900" s="9">
        <f>IF(ISNA(MATCH(1887,Engine!$C$2:$C$1960,0)),"",INDEX('Compliance Database'!$I$2:$I$1960,MATCH(1887,Engine!$C$2:$C$1960,0)))</f>
        <v/>
      </c>
      <c r="J1900" s="8">
        <f>IF(ISNA(MATCH(1887,Engine!$C$2:$C$1960,0)),"",INDEX('Compliance Database'!$J$2:$J$1960,MATCH(1887,Engine!$C$2:$C$1960,0)))</f>
        <v/>
      </c>
      <c r="K1900" s="9">
        <f>IF(ISNA(MATCH(1887,Engine!$C$2:$C$1960,0)),"",INDEX('Compliance Database'!$K$2:$K$1960,MATCH(1887,Engine!$C$2:$C$1960,0)))</f>
        <v/>
      </c>
      <c r="L1900" s="9">
        <f>IF(ISNA(MATCH(1887,Engine!$C$2:$C$1960,0)),"",INDEX('Compliance Database'!$L$2:$L$1960,MATCH(1887,Engine!$C$2:$C$1960,0)))</f>
        <v/>
      </c>
      <c r="M1900" s="9">
        <f>IF(ISNA(MATCH(1887,Engine!$C$2:$C$1960,0)),"",INDEX('Compliance Database'!$M$2:$M$1960,MATCH(1887,Engine!$C$2:$C$1960,0)))</f>
        <v/>
      </c>
      <c r="N1900" s="9">
        <f>IF(ISNA(MATCH(1887,Engine!$C$2:$C$1960,0)),"",INDEX('Compliance Database'!$N$2:$N$1960,MATCH(1887,Engine!$C$2:$C$1960,0)))</f>
        <v/>
      </c>
      <c r="O1900" s="9">
        <f>IF(ISNA(MATCH(1887,Engine!$C$2:$C$1960,0)),"",INDEX('Compliance Database'!$O$2:$O$1960,MATCH(1887,Engine!$C$2:$C$1960,0)))</f>
        <v/>
      </c>
      <c r="P1900" s="8">
        <f>IF(ISNA(MATCH(1887,Engine!$C$2:$C$1960,0)),"",HYPERLINK("#Acts!A"&amp;INDEX('Compliance Database'!$P$2:$P$1960,MATCH(1887,Engine!$C$2:$C$1960,0)),"Go to Act"))</f>
        <v/>
      </c>
    </row>
    <row r="1901" ht="158" customHeight="1">
      <c r="A1901" s="8">
        <f>IF(ISNA(MATCH(1888,Engine!$C$2:$C$1960,0)),"",INDEX('Compliance Database'!$A$2:$A$1960,MATCH(1888,Engine!$C$2:$C$1960,0)))</f>
        <v/>
      </c>
      <c r="B1901" s="8">
        <f>IF(ISNA(MATCH(1888,Engine!$C$2:$C$1960,0)),"",INDEX('Compliance Database'!$B$2:$B$1960,MATCH(1888,Engine!$C$2:$C$1960,0)))</f>
        <v/>
      </c>
      <c r="C1901" s="8">
        <f>IF(ISNA(MATCH(1888,Engine!$C$2:$C$1960,0)),"",INDEX('Compliance Database'!$C$2:$C$1960,MATCH(1888,Engine!$C$2:$C$1960,0)))</f>
        <v/>
      </c>
      <c r="D1901" s="9">
        <f>IF(ISNA(MATCH(1888,Engine!$C$2:$C$1960,0)),"",INDEX('Compliance Database'!$D$2:$D$1960,MATCH(1888,Engine!$C$2:$C$1960,0)))</f>
        <v/>
      </c>
      <c r="E1901" s="8">
        <f>IF(ISNA(MATCH(1888,Engine!$C$2:$C$1960,0)),"",INDEX('Compliance Database'!$E$2:$E$1960,MATCH(1888,Engine!$C$2:$C$1960,0)))</f>
        <v/>
      </c>
      <c r="F1901" s="8">
        <f>IF(ISNA(MATCH(1888,Engine!$C$2:$C$1960,0)),"",INDEX('Compliance Database'!$F$2:$F$1960,MATCH(1888,Engine!$C$2:$C$1960,0)))</f>
        <v/>
      </c>
      <c r="G1901" s="8">
        <f>IF(ISNA(MATCH(1888,Engine!$C$2:$C$1960,0)),"",INDEX('Compliance Database'!$G$2:$G$1960,MATCH(1888,Engine!$C$2:$C$1960,0)))</f>
        <v/>
      </c>
      <c r="H1901" s="9">
        <f>IF(ISNA(MATCH(1888,Engine!$C$2:$C$1960,0)),"",INDEX('Compliance Database'!$H$2:$H$1960,MATCH(1888,Engine!$C$2:$C$1960,0)))</f>
        <v/>
      </c>
      <c r="I1901" s="9">
        <f>IF(ISNA(MATCH(1888,Engine!$C$2:$C$1960,0)),"",INDEX('Compliance Database'!$I$2:$I$1960,MATCH(1888,Engine!$C$2:$C$1960,0)))</f>
        <v/>
      </c>
      <c r="J1901" s="8">
        <f>IF(ISNA(MATCH(1888,Engine!$C$2:$C$1960,0)),"",INDEX('Compliance Database'!$J$2:$J$1960,MATCH(1888,Engine!$C$2:$C$1960,0)))</f>
        <v/>
      </c>
      <c r="K1901" s="9">
        <f>IF(ISNA(MATCH(1888,Engine!$C$2:$C$1960,0)),"",INDEX('Compliance Database'!$K$2:$K$1960,MATCH(1888,Engine!$C$2:$C$1960,0)))</f>
        <v/>
      </c>
      <c r="L1901" s="9">
        <f>IF(ISNA(MATCH(1888,Engine!$C$2:$C$1960,0)),"",INDEX('Compliance Database'!$L$2:$L$1960,MATCH(1888,Engine!$C$2:$C$1960,0)))</f>
        <v/>
      </c>
      <c r="M1901" s="9">
        <f>IF(ISNA(MATCH(1888,Engine!$C$2:$C$1960,0)),"",INDEX('Compliance Database'!$M$2:$M$1960,MATCH(1888,Engine!$C$2:$C$1960,0)))</f>
        <v/>
      </c>
      <c r="N1901" s="9">
        <f>IF(ISNA(MATCH(1888,Engine!$C$2:$C$1960,0)),"",INDEX('Compliance Database'!$N$2:$N$1960,MATCH(1888,Engine!$C$2:$C$1960,0)))</f>
        <v/>
      </c>
      <c r="O1901" s="9">
        <f>IF(ISNA(MATCH(1888,Engine!$C$2:$C$1960,0)),"",INDEX('Compliance Database'!$O$2:$O$1960,MATCH(1888,Engine!$C$2:$C$1960,0)))</f>
        <v/>
      </c>
      <c r="P1901" s="8">
        <f>IF(ISNA(MATCH(1888,Engine!$C$2:$C$1960,0)),"",HYPERLINK("#Acts!A"&amp;INDEX('Compliance Database'!$P$2:$P$1960,MATCH(1888,Engine!$C$2:$C$1960,0)),"Go to Act"))</f>
        <v/>
      </c>
    </row>
    <row r="1902" ht="158" customHeight="1">
      <c r="A1902" s="8">
        <f>IF(ISNA(MATCH(1889,Engine!$C$2:$C$1960,0)),"",INDEX('Compliance Database'!$A$2:$A$1960,MATCH(1889,Engine!$C$2:$C$1960,0)))</f>
        <v/>
      </c>
      <c r="B1902" s="8">
        <f>IF(ISNA(MATCH(1889,Engine!$C$2:$C$1960,0)),"",INDEX('Compliance Database'!$B$2:$B$1960,MATCH(1889,Engine!$C$2:$C$1960,0)))</f>
        <v/>
      </c>
      <c r="C1902" s="8">
        <f>IF(ISNA(MATCH(1889,Engine!$C$2:$C$1960,0)),"",INDEX('Compliance Database'!$C$2:$C$1960,MATCH(1889,Engine!$C$2:$C$1960,0)))</f>
        <v/>
      </c>
      <c r="D1902" s="9">
        <f>IF(ISNA(MATCH(1889,Engine!$C$2:$C$1960,0)),"",INDEX('Compliance Database'!$D$2:$D$1960,MATCH(1889,Engine!$C$2:$C$1960,0)))</f>
        <v/>
      </c>
      <c r="E1902" s="8">
        <f>IF(ISNA(MATCH(1889,Engine!$C$2:$C$1960,0)),"",INDEX('Compliance Database'!$E$2:$E$1960,MATCH(1889,Engine!$C$2:$C$1960,0)))</f>
        <v/>
      </c>
      <c r="F1902" s="8">
        <f>IF(ISNA(MATCH(1889,Engine!$C$2:$C$1960,0)),"",INDEX('Compliance Database'!$F$2:$F$1960,MATCH(1889,Engine!$C$2:$C$1960,0)))</f>
        <v/>
      </c>
      <c r="G1902" s="8">
        <f>IF(ISNA(MATCH(1889,Engine!$C$2:$C$1960,0)),"",INDEX('Compliance Database'!$G$2:$G$1960,MATCH(1889,Engine!$C$2:$C$1960,0)))</f>
        <v/>
      </c>
      <c r="H1902" s="9">
        <f>IF(ISNA(MATCH(1889,Engine!$C$2:$C$1960,0)),"",INDEX('Compliance Database'!$H$2:$H$1960,MATCH(1889,Engine!$C$2:$C$1960,0)))</f>
        <v/>
      </c>
      <c r="I1902" s="9">
        <f>IF(ISNA(MATCH(1889,Engine!$C$2:$C$1960,0)),"",INDEX('Compliance Database'!$I$2:$I$1960,MATCH(1889,Engine!$C$2:$C$1960,0)))</f>
        <v/>
      </c>
      <c r="J1902" s="8">
        <f>IF(ISNA(MATCH(1889,Engine!$C$2:$C$1960,0)),"",INDEX('Compliance Database'!$J$2:$J$1960,MATCH(1889,Engine!$C$2:$C$1960,0)))</f>
        <v/>
      </c>
      <c r="K1902" s="9">
        <f>IF(ISNA(MATCH(1889,Engine!$C$2:$C$1960,0)),"",INDEX('Compliance Database'!$K$2:$K$1960,MATCH(1889,Engine!$C$2:$C$1960,0)))</f>
        <v/>
      </c>
      <c r="L1902" s="9">
        <f>IF(ISNA(MATCH(1889,Engine!$C$2:$C$1960,0)),"",INDEX('Compliance Database'!$L$2:$L$1960,MATCH(1889,Engine!$C$2:$C$1960,0)))</f>
        <v/>
      </c>
      <c r="M1902" s="9">
        <f>IF(ISNA(MATCH(1889,Engine!$C$2:$C$1960,0)),"",INDEX('Compliance Database'!$M$2:$M$1960,MATCH(1889,Engine!$C$2:$C$1960,0)))</f>
        <v/>
      </c>
      <c r="N1902" s="9">
        <f>IF(ISNA(MATCH(1889,Engine!$C$2:$C$1960,0)),"",INDEX('Compliance Database'!$N$2:$N$1960,MATCH(1889,Engine!$C$2:$C$1960,0)))</f>
        <v/>
      </c>
      <c r="O1902" s="9">
        <f>IF(ISNA(MATCH(1889,Engine!$C$2:$C$1960,0)),"",INDEX('Compliance Database'!$O$2:$O$1960,MATCH(1889,Engine!$C$2:$C$1960,0)))</f>
        <v/>
      </c>
      <c r="P1902" s="8">
        <f>IF(ISNA(MATCH(1889,Engine!$C$2:$C$1960,0)),"",HYPERLINK("#Acts!A"&amp;INDEX('Compliance Database'!$P$2:$P$1960,MATCH(1889,Engine!$C$2:$C$1960,0)),"Go to Act"))</f>
        <v/>
      </c>
    </row>
    <row r="1903" ht="158" customHeight="1">
      <c r="A1903" s="8">
        <f>IF(ISNA(MATCH(1890,Engine!$C$2:$C$1960,0)),"",INDEX('Compliance Database'!$A$2:$A$1960,MATCH(1890,Engine!$C$2:$C$1960,0)))</f>
        <v/>
      </c>
      <c r="B1903" s="8">
        <f>IF(ISNA(MATCH(1890,Engine!$C$2:$C$1960,0)),"",INDEX('Compliance Database'!$B$2:$B$1960,MATCH(1890,Engine!$C$2:$C$1960,0)))</f>
        <v/>
      </c>
      <c r="C1903" s="8">
        <f>IF(ISNA(MATCH(1890,Engine!$C$2:$C$1960,0)),"",INDEX('Compliance Database'!$C$2:$C$1960,MATCH(1890,Engine!$C$2:$C$1960,0)))</f>
        <v/>
      </c>
      <c r="D1903" s="9">
        <f>IF(ISNA(MATCH(1890,Engine!$C$2:$C$1960,0)),"",INDEX('Compliance Database'!$D$2:$D$1960,MATCH(1890,Engine!$C$2:$C$1960,0)))</f>
        <v/>
      </c>
      <c r="E1903" s="8">
        <f>IF(ISNA(MATCH(1890,Engine!$C$2:$C$1960,0)),"",INDEX('Compliance Database'!$E$2:$E$1960,MATCH(1890,Engine!$C$2:$C$1960,0)))</f>
        <v/>
      </c>
      <c r="F1903" s="8">
        <f>IF(ISNA(MATCH(1890,Engine!$C$2:$C$1960,0)),"",INDEX('Compliance Database'!$F$2:$F$1960,MATCH(1890,Engine!$C$2:$C$1960,0)))</f>
        <v/>
      </c>
      <c r="G1903" s="8">
        <f>IF(ISNA(MATCH(1890,Engine!$C$2:$C$1960,0)),"",INDEX('Compliance Database'!$G$2:$G$1960,MATCH(1890,Engine!$C$2:$C$1960,0)))</f>
        <v/>
      </c>
      <c r="H1903" s="9">
        <f>IF(ISNA(MATCH(1890,Engine!$C$2:$C$1960,0)),"",INDEX('Compliance Database'!$H$2:$H$1960,MATCH(1890,Engine!$C$2:$C$1960,0)))</f>
        <v/>
      </c>
      <c r="I1903" s="9">
        <f>IF(ISNA(MATCH(1890,Engine!$C$2:$C$1960,0)),"",INDEX('Compliance Database'!$I$2:$I$1960,MATCH(1890,Engine!$C$2:$C$1960,0)))</f>
        <v/>
      </c>
      <c r="J1903" s="8">
        <f>IF(ISNA(MATCH(1890,Engine!$C$2:$C$1960,0)),"",INDEX('Compliance Database'!$J$2:$J$1960,MATCH(1890,Engine!$C$2:$C$1960,0)))</f>
        <v/>
      </c>
      <c r="K1903" s="9">
        <f>IF(ISNA(MATCH(1890,Engine!$C$2:$C$1960,0)),"",INDEX('Compliance Database'!$K$2:$K$1960,MATCH(1890,Engine!$C$2:$C$1960,0)))</f>
        <v/>
      </c>
      <c r="L1903" s="9">
        <f>IF(ISNA(MATCH(1890,Engine!$C$2:$C$1960,0)),"",INDEX('Compliance Database'!$L$2:$L$1960,MATCH(1890,Engine!$C$2:$C$1960,0)))</f>
        <v/>
      </c>
      <c r="M1903" s="9">
        <f>IF(ISNA(MATCH(1890,Engine!$C$2:$C$1960,0)),"",INDEX('Compliance Database'!$M$2:$M$1960,MATCH(1890,Engine!$C$2:$C$1960,0)))</f>
        <v/>
      </c>
      <c r="N1903" s="9">
        <f>IF(ISNA(MATCH(1890,Engine!$C$2:$C$1960,0)),"",INDEX('Compliance Database'!$N$2:$N$1960,MATCH(1890,Engine!$C$2:$C$1960,0)))</f>
        <v/>
      </c>
      <c r="O1903" s="9">
        <f>IF(ISNA(MATCH(1890,Engine!$C$2:$C$1960,0)),"",INDEX('Compliance Database'!$O$2:$O$1960,MATCH(1890,Engine!$C$2:$C$1960,0)))</f>
        <v/>
      </c>
      <c r="P1903" s="8">
        <f>IF(ISNA(MATCH(1890,Engine!$C$2:$C$1960,0)),"",HYPERLINK("#Acts!A"&amp;INDEX('Compliance Database'!$P$2:$P$1960,MATCH(1890,Engine!$C$2:$C$1960,0)),"Go to Act"))</f>
        <v/>
      </c>
    </row>
    <row r="1904" ht="158" customHeight="1">
      <c r="A1904" s="8">
        <f>IF(ISNA(MATCH(1891,Engine!$C$2:$C$1960,0)),"",INDEX('Compliance Database'!$A$2:$A$1960,MATCH(1891,Engine!$C$2:$C$1960,0)))</f>
        <v/>
      </c>
      <c r="B1904" s="8">
        <f>IF(ISNA(MATCH(1891,Engine!$C$2:$C$1960,0)),"",INDEX('Compliance Database'!$B$2:$B$1960,MATCH(1891,Engine!$C$2:$C$1960,0)))</f>
        <v/>
      </c>
      <c r="C1904" s="8">
        <f>IF(ISNA(MATCH(1891,Engine!$C$2:$C$1960,0)),"",INDEX('Compliance Database'!$C$2:$C$1960,MATCH(1891,Engine!$C$2:$C$1960,0)))</f>
        <v/>
      </c>
      <c r="D1904" s="9">
        <f>IF(ISNA(MATCH(1891,Engine!$C$2:$C$1960,0)),"",INDEX('Compliance Database'!$D$2:$D$1960,MATCH(1891,Engine!$C$2:$C$1960,0)))</f>
        <v/>
      </c>
      <c r="E1904" s="8">
        <f>IF(ISNA(MATCH(1891,Engine!$C$2:$C$1960,0)),"",INDEX('Compliance Database'!$E$2:$E$1960,MATCH(1891,Engine!$C$2:$C$1960,0)))</f>
        <v/>
      </c>
      <c r="F1904" s="8">
        <f>IF(ISNA(MATCH(1891,Engine!$C$2:$C$1960,0)),"",INDEX('Compliance Database'!$F$2:$F$1960,MATCH(1891,Engine!$C$2:$C$1960,0)))</f>
        <v/>
      </c>
      <c r="G1904" s="8">
        <f>IF(ISNA(MATCH(1891,Engine!$C$2:$C$1960,0)),"",INDEX('Compliance Database'!$G$2:$G$1960,MATCH(1891,Engine!$C$2:$C$1960,0)))</f>
        <v/>
      </c>
      <c r="H1904" s="9">
        <f>IF(ISNA(MATCH(1891,Engine!$C$2:$C$1960,0)),"",INDEX('Compliance Database'!$H$2:$H$1960,MATCH(1891,Engine!$C$2:$C$1960,0)))</f>
        <v/>
      </c>
      <c r="I1904" s="9">
        <f>IF(ISNA(MATCH(1891,Engine!$C$2:$C$1960,0)),"",INDEX('Compliance Database'!$I$2:$I$1960,MATCH(1891,Engine!$C$2:$C$1960,0)))</f>
        <v/>
      </c>
      <c r="J1904" s="8">
        <f>IF(ISNA(MATCH(1891,Engine!$C$2:$C$1960,0)),"",INDEX('Compliance Database'!$J$2:$J$1960,MATCH(1891,Engine!$C$2:$C$1960,0)))</f>
        <v/>
      </c>
      <c r="K1904" s="9">
        <f>IF(ISNA(MATCH(1891,Engine!$C$2:$C$1960,0)),"",INDEX('Compliance Database'!$K$2:$K$1960,MATCH(1891,Engine!$C$2:$C$1960,0)))</f>
        <v/>
      </c>
      <c r="L1904" s="9">
        <f>IF(ISNA(MATCH(1891,Engine!$C$2:$C$1960,0)),"",INDEX('Compliance Database'!$L$2:$L$1960,MATCH(1891,Engine!$C$2:$C$1960,0)))</f>
        <v/>
      </c>
      <c r="M1904" s="9">
        <f>IF(ISNA(MATCH(1891,Engine!$C$2:$C$1960,0)),"",INDEX('Compliance Database'!$M$2:$M$1960,MATCH(1891,Engine!$C$2:$C$1960,0)))</f>
        <v/>
      </c>
      <c r="N1904" s="9">
        <f>IF(ISNA(MATCH(1891,Engine!$C$2:$C$1960,0)),"",INDEX('Compliance Database'!$N$2:$N$1960,MATCH(1891,Engine!$C$2:$C$1960,0)))</f>
        <v/>
      </c>
      <c r="O1904" s="9">
        <f>IF(ISNA(MATCH(1891,Engine!$C$2:$C$1960,0)),"",INDEX('Compliance Database'!$O$2:$O$1960,MATCH(1891,Engine!$C$2:$C$1960,0)))</f>
        <v/>
      </c>
      <c r="P1904" s="8">
        <f>IF(ISNA(MATCH(1891,Engine!$C$2:$C$1960,0)),"",HYPERLINK("#Acts!A"&amp;INDEX('Compliance Database'!$P$2:$P$1960,MATCH(1891,Engine!$C$2:$C$1960,0)),"Go to Act"))</f>
        <v/>
      </c>
    </row>
    <row r="1905" ht="158" customHeight="1">
      <c r="A1905" s="8">
        <f>IF(ISNA(MATCH(1892,Engine!$C$2:$C$1960,0)),"",INDEX('Compliance Database'!$A$2:$A$1960,MATCH(1892,Engine!$C$2:$C$1960,0)))</f>
        <v/>
      </c>
      <c r="B1905" s="8">
        <f>IF(ISNA(MATCH(1892,Engine!$C$2:$C$1960,0)),"",INDEX('Compliance Database'!$B$2:$B$1960,MATCH(1892,Engine!$C$2:$C$1960,0)))</f>
        <v/>
      </c>
      <c r="C1905" s="8">
        <f>IF(ISNA(MATCH(1892,Engine!$C$2:$C$1960,0)),"",INDEX('Compliance Database'!$C$2:$C$1960,MATCH(1892,Engine!$C$2:$C$1960,0)))</f>
        <v/>
      </c>
      <c r="D1905" s="9">
        <f>IF(ISNA(MATCH(1892,Engine!$C$2:$C$1960,0)),"",INDEX('Compliance Database'!$D$2:$D$1960,MATCH(1892,Engine!$C$2:$C$1960,0)))</f>
        <v/>
      </c>
      <c r="E1905" s="8">
        <f>IF(ISNA(MATCH(1892,Engine!$C$2:$C$1960,0)),"",INDEX('Compliance Database'!$E$2:$E$1960,MATCH(1892,Engine!$C$2:$C$1960,0)))</f>
        <v/>
      </c>
      <c r="F1905" s="8">
        <f>IF(ISNA(MATCH(1892,Engine!$C$2:$C$1960,0)),"",INDEX('Compliance Database'!$F$2:$F$1960,MATCH(1892,Engine!$C$2:$C$1960,0)))</f>
        <v/>
      </c>
      <c r="G1905" s="8">
        <f>IF(ISNA(MATCH(1892,Engine!$C$2:$C$1960,0)),"",INDEX('Compliance Database'!$G$2:$G$1960,MATCH(1892,Engine!$C$2:$C$1960,0)))</f>
        <v/>
      </c>
      <c r="H1905" s="9">
        <f>IF(ISNA(MATCH(1892,Engine!$C$2:$C$1960,0)),"",INDEX('Compliance Database'!$H$2:$H$1960,MATCH(1892,Engine!$C$2:$C$1960,0)))</f>
        <v/>
      </c>
      <c r="I1905" s="9">
        <f>IF(ISNA(MATCH(1892,Engine!$C$2:$C$1960,0)),"",INDEX('Compliance Database'!$I$2:$I$1960,MATCH(1892,Engine!$C$2:$C$1960,0)))</f>
        <v/>
      </c>
      <c r="J1905" s="8">
        <f>IF(ISNA(MATCH(1892,Engine!$C$2:$C$1960,0)),"",INDEX('Compliance Database'!$J$2:$J$1960,MATCH(1892,Engine!$C$2:$C$1960,0)))</f>
        <v/>
      </c>
      <c r="K1905" s="9">
        <f>IF(ISNA(MATCH(1892,Engine!$C$2:$C$1960,0)),"",INDEX('Compliance Database'!$K$2:$K$1960,MATCH(1892,Engine!$C$2:$C$1960,0)))</f>
        <v/>
      </c>
      <c r="L1905" s="9">
        <f>IF(ISNA(MATCH(1892,Engine!$C$2:$C$1960,0)),"",INDEX('Compliance Database'!$L$2:$L$1960,MATCH(1892,Engine!$C$2:$C$1960,0)))</f>
        <v/>
      </c>
      <c r="M1905" s="9">
        <f>IF(ISNA(MATCH(1892,Engine!$C$2:$C$1960,0)),"",INDEX('Compliance Database'!$M$2:$M$1960,MATCH(1892,Engine!$C$2:$C$1960,0)))</f>
        <v/>
      </c>
      <c r="N1905" s="9">
        <f>IF(ISNA(MATCH(1892,Engine!$C$2:$C$1960,0)),"",INDEX('Compliance Database'!$N$2:$N$1960,MATCH(1892,Engine!$C$2:$C$1960,0)))</f>
        <v/>
      </c>
      <c r="O1905" s="9">
        <f>IF(ISNA(MATCH(1892,Engine!$C$2:$C$1960,0)),"",INDEX('Compliance Database'!$O$2:$O$1960,MATCH(1892,Engine!$C$2:$C$1960,0)))</f>
        <v/>
      </c>
      <c r="P1905" s="8">
        <f>IF(ISNA(MATCH(1892,Engine!$C$2:$C$1960,0)),"",HYPERLINK("#Acts!A"&amp;INDEX('Compliance Database'!$P$2:$P$1960,MATCH(1892,Engine!$C$2:$C$1960,0)),"Go to Act"))</f>
        <v/>
      </c>
    </row>
    <row r="1906" ht="158" customHeight="1">
      <c r="A1906" s="8">
        <f>IF(ISNA(MATCH(1893,Engine!$C$2:$C$1960,0)),"",INDEX('Compliance Database'!$A$2:$A$1960,MATCH(1893,Engine!$C$2:$C$1960,0)))</f>
        <v/>
      </c>
      <c r="B1906" s="8">
        <f>IF(ISNA(MATCH(1893,Engine!$C$2:$C$1960,0)),"",INDEX('Compliance Database'!$B$2:$B$1960,MATCH(1893,Engine!$C$2:$C$1960,0)))</f>
        <v/>
      </c>
      <c r="C1906" s="8">
        <f>IF(ISNA(MATCH(1893,Engine!$C$2:$C$1960,0)),"",INDEX('Compliance Database'!$C$2:$C$1960,MATCH(1893,Engine!$C$2:$C$1960,0)))</f>
        <v/>
      </c>
      <c r="D1906" s="9">
        <f>IF(ISNA(MATCH(1893,Engine!$C$2:$C$1960,0)),"",INDEX('Compliance Database'!$D$2:$D$1960,MATCH(1893,Engine!$C$2:$C$1960,0)))</f>
        <v/>
      </c>
      <c r="E1906" s="8">
        <f>IF(ISNA(MATCH(1893,Engine!$C$2:$C$1960,0)),"",INDEX('Compliance Database'!$E$2:$E$1960,MATCH(1893,Engine!$C$2:$C$1960,0)))</f>
        <v/>
      </c>
      <c r="F1906" s="8">
        <f>IF(ISNA(MATCH(1893,Engine!$C$2:$C$1960,0)),"",INDEX('Compliance Database'!$F$2:$F$1960,MATCH(1893,Engine!$C$2:$C$1960,0)))</f>
        <v/>
      </c>
      <c r="G1906" s="8">
        <f>IF(ISNA(MATCH(1893,Engine!$C$2:$C$1960,0)),"",INDEX('Compliance Database'!$G$2:$G$1960,MATCH(1893,Engine!$C$2:$C$1960,0)))</f>
        <v/>
      </c>
      <c r="H1906" s="9">
        <f>IF(ISNA(MATCH(1893,Engine!$C$2:$C$1960,0)),"",INDEX('Compliance Database'!$H$2:$H$1960,MATCH(1893,Engine!$C$2:$C$1960,0)))</f>
        <v/>
      </c>
      <c r="I1906" s="9">
        <f>IF(ISNA(MATCH(1893,Engine!$C$2:$C$1960,0)),"",INDEX('Compliance Database'!$I$2:$I$1960,MATCH(1893,Engine!$C$2:$C$1960,0)))</f>
        <v/>
      </c>
      <c r="J1906" s="8">
        <f>IF(ISNA(MATCH(1893,Engine!$C$2:$C$1960,0)),"",INDEX('Compliance Database'!$J$2:$J$1960,MATCH(1893,Engine!$C$2:$C$1960,0)))</f>
        <v/>
      </c>
      <c r="K1906" s="9">
        <f>IF(ISNA(MATCH(1893,Engine!$C$2:$C$1960,0)),"",INDEX('Compliance Database'!$K$2:$K$1960,MATCH(1893,Engine!$C$2:$C$1960,0)))</f>
        <v/>
      </c>
      <c r="L1906" s="9">
        <f>IF(ISNA(MATCH(1893,Engine!$C$2:$C$1960,0)),"",INDEX('Compliance Database'!$L$2:$L$1960,MATCH(1893,Engine!$C$2:$C$1960,0)))</f>
        <v/>
      </c>
      <c r="M1906" s="9">
        <f>IF(ISNA(MATCH(1893,Engine!$C$2:$C$1960,0)),"",INDEX('Compliance Database'!$M$2:$M$1960,MATCH(1893,Engine!$C$2:$C$1960,0)))</f>
        <v/>
      </c>
      <c r="N1906" s="9">
        <f>IF(ISNA(MATCH(1893,Engine!$C$2:$C$1960,0)),"",INDEX('Compliance Database'!$N$2:$N$1960,MATCH(1893,Engine!$C$2:$C$1960,0)))</f>
        <v/>
      </c>
      <c r="O1906" s="9">
        <f>IF(ISNA(MATCH(1893,Engine!$C$2:$C$1960,0)),"",INDEX('Compliance Database'!$O$2:$O$1960,MATCH(1893,Engine!$C$2:$C$1960,0)))</f>
        <v/>
      </c>
      <c r="P1906" s="8">
        <f>IF(ISNA(MATCH(1893,Engine!$C$2:$C$1960,0)),"",HYPERLINK("#Acts!A"&amp;INDEX('Compliance Database'!$P$2:$P$1960,MATCH(1893,Engine!$C$2:$C$1960,0)),"Go to Act"))</f>
        <v/>
      </c>
    </row>
    <row r="1907" ht="158" customHeight="1">
      <c r="A1907" s="8">
        <f>IF(ISNA(MATCH(1894,Engine!$C$2:$C$1960,0)),"",INDEX('Compliance Database'!$A$2:$A$1960,MATCH(1894,Engine!$C$2:$C$1960,0)))</f>
        <v/>
      </c>
      <c r="B1907" s="8">
        <f>IF(ISNA(MATCH(1894,Engine!$C$2:$C$1960,0)),"",INDEX('Compliance Database'!$B$2:$B$1960,MATCH(1894,Engine!$C$2:$C$1960,0)))</f>
        <v/>
      </c>
      <c r="C1907" s="8">
        <f>IF(ISNA(MATCH(1894,Engine!$C$2:$C$1960,0)),"",INDEX('Compliance Database'!$C$2:$C$1960,MATCH(1894,Engine!$C$2:$C$1960,0)))</f>
        <v/>
      </c>
      <c r="D1907" s="9">
        <f>IF(ISNA(MATCH(1894,Engine!$C$2:$C$1960,0)),"",INDEX('Compliance Database'!$D$2:$D$1960,MATCH(1894,Engine!$C$2:$C$1960,0)))</f>
        <v/>
      </c>
      <c r="E1907" s="8">
        <f>IF(ISNA(MATCH(1894,Engine!$C$2:$C$1960,0)),"",INDEX('Compliance Database'!$E$2:$E$1960,MATCH(1894,Engine!$C$2:$C$1960,0)))</f>
        <v/>
      </c>
      <c r="F1907" s="8">
        <f>IF(ISNA(MATCH(1894,Engine!$C$2:$C$1960,0)),"",INDEX('Compliance Database'!$F$2:$F$1960,MATCH(1894,Engine!$C$2:$C$1960,0)))</f>
        <v/>
      </c>
      <c r="G1907" s="8">
        <f>IF(ISNA(MATCH(1894,Engine!$C$2:$C$1960,0)),"",INDEX('Compliance Database'!$G$2:$G$1960,MATCH(1894,Engine!$C$2:$C$1960,0)))</f>
        <v/>
      </c>
      <c r="H1907" s="9">
        <f>IF(ISNA(MATCH(1894,Engine!$C$2:$C$1960,0)),"",INDEX('Compliance Database'!$H$2:$H$1960,MATCH(1894,Engine!$C$2:$C$1960,0)))</f>
        <v/>
      </c>
      <c r="I1907" s="9">
        <f>IF(ISNA(MATCH(1894,Engine!$C$2:$C$1960,0)),"",INDEX('Compliance Database'!$I$2:$I$1960,MATCH(1894,Engine!$C$2:$C$1960,0)))</f>
        <v/>
      </c>
      <c r="J1907" s="8">
        <f>IF(ISNA(MATCH(1894,Engine!$C$2:$C$1960,0)),"",INDEX('Compliance Database'!$J$2:$J$1960,MATCH(1894,Engine!$C$2:$C$1960,0)))</f>
        <v/>
      </c>
      <c r="K1907" s="9">
        <f>IF(ISNA(MATCH(1894,Engine!$C$2:$C$1960,0)),"",INDEX('Compliance Database'!$K$2:$K$1960,MATCH(1894,Engine!$C$2:$C$1960,0)))</f>
        <v/>
      </c>
      <c r="L1907" s="9">
        <f>IF(ISNA(MATCH(1894,Engine!$C$2:$C$1960,0)),"",INDEX('Compliance Database'!$L$2:$L$1960,MATCH(1894,Engine!$C$2:$C$1960,0)))</f>
        <v/>
      </c>
      <c r="M1907" s="9">
        <f>IF(ISNA(MATCH(1894,Engine!$C$2:$C$1960,0)),"",INDEX('Compliance Database'!$M$2:$M$1960,MATCH(1894,Engine!$C$2:$C$1960,0)))</f>
        <v/>
      </c>
      <c r="N1907" s="9">
        <f>IF(ISNA(MATCH(1894,Engine!$C$2:$C$1960,0)),"",INDEX('Compliance Database'!$N$2:$N$1960,MATCH(1894,Engine!$C$2:$C$1960,0)))</f>
        <v/>
      </c>
      <c r="O1907" s="9">
        <f>IF(ISNA(MATCH(1894,Engine!$C$2:$C$1960,0)),"",INDEX('Compliance Database'!$O$2:$O$1960,MATCH(1894,Engine!$C$2:$C$1960,0)))</f>
        <v/>
      </c>
      <c r="P1907" s="8">
        <f>IF(ISNA(MATCH(1894,Engine!$C$2:$C$1960,0)),"",HYPERLINK("#Acts!A"&amp;INDEX('Compliance Database'!$P$2:$P$1960,MATCH(1894,Engine!$C$2:$C$1960,0)),"Go to Act"))</f>
        <v/>
      </c>
    </row>
    <row r="1908" ht="158" customHeight="1">
      <c r="A1908" s="8">
        <f>IF(ISNA(MATCH(1895,Engine!$C$2:$C$1960,0)),"",INDEX('Compliance Database'!$A$2:$A$1960,MATCH(1895,Engine!$C$2:$C$1960,0)))</f>
        <v/>
      </c>
      <c r="B1908" s="8">
        <f>IF(ISNA(MATCH(1895,Engine!$C$2:$C$1960,0)),"",INDEX('Compliance Database'!$B$2:$B$1960,MATCH(1895,Engine!$C$2:$C$1960,0)))</f>
        <v/>
      </c>
      <c r="C1908" s="8">
        <f>IF(ISNA(MATCH(1895,Engine!$C$2:$C$1960,0)),"",INDEX('Compliance Database'!$C$2:$C$1960,MATCH(1895,Engine!$C$2:$C$1960,0)))</f>
        <v/>
      </c>
      <c r="D1908" s="9">
        <f>IF(ISNA(MATCH(1895,Engine!$C$2:$C$1960,0)),"",INDEX('Compliance Database'!$D$2:$D$1960,MATCH(1895,Engine!$C$2:$C$1960,0)))</f>
        <v/>
      </c>
      <c r="E1908" s="8">
        <f>IF(ISNA(MATCH(1895,Engine!$C$2:$C$1960,0)),"",INDEX('Compliance Database'!$E$2:$E$1960,MATCH(1895,Engine!$C$2:$C$1960,0)))</f>
        <v/>
      </c>
      <c r="F1908" s="8">
        <f>IF(ISNA(MATCH(1895,Engine!$C$2:$C$1960,0)),"",INDEX('Compliance Database'!$F$2:$F$1960,MATCH(1895,Engine!$C$2:$C$1960,0)))</f>
        <v/>
      </c>
      <c r="G1908" s="8">
        <f>IF(ISNA(MATCH(1895,Engine!$C$2:$C$1960,0)),"",INDEX('Compliance Database'!$G$2:$G$1960,MATCH(1895,Engine!$C$2:$C$1960,0)))</f>
        <v/>
      </c>
      <c r="H1908" s="9">
        <f>IF(ISNA(MATCH(1895,Engine!$C$2:$C$1960,0)),"",INDEX('Compliance Database'!$H$2:$H$1960,MATCH(1895,Engine!$C$2:$C$1960,0)))</f>
        <v/>
      </c>
      <c r="I1908" s="9">
        <f>IF(ISNA(MATCH(1895,Engine!$C$2:$C$1960,0)),"",INDEX('Compliance Database'!$I$2:$I$1960,MATCH(1895,Engine!$C$2:$C$1960,0)))</f>
        <v/>
      </c>
      <c r="J1908" s="8">
        <f>IF(ISNA(MATCH(1895,Engine!$C$2:$C$1960,0)),"",INDEX('Compliance Database'!$J$2:$J$1960,MATCH(1895,Engine!$C$2:$C$1960,0)))</f>
        <v/>
      </c>
      <c r="K1908" s="9">
        <f>IF(ISNA(MATCH(1895,Engine!$C$2:$C$1960,0)),"",INDEX('Compliance Database'!$K$2:$K$1960,MATCH(1895,Engine!$C$2:$C$1960,0)))</f>
        <v/>
      </c>
      <c r="L1908" s="9">
        <f>IF(ISNA(MATCH(1895,Engine!$C$2:$C$1960,0)),"",INDEX('Compliance Database'!$L$2:$L$1960,MATCH(1895,Engine!$C$2:$C$1960,0)))</f>
        <v/>
      </c>
      <c r="M1908" s="9">
        <f>IF(ISNA(MATCH(1895,Engine!$C$2:$C$1960,0)),"",INDEX('Compliance Database'!$M$2:$M$1960,MATCH(1895,Engine!$C$2:$C$1960,0)))</f>
        <v/>
      </c>
      <c r="N1908" s="9">
        <f>IF(ISNA(MATCH(1895,Engine!$C$2:$C$1960,0)),"",INDEX('Compliance Database'!$N$2:$N$1960,MATCH(1895,Engine!$C$2:$C$1960,0)))</f>
        <v/>
      </c>
      <c r="O1908" s="9">
        <f>IF(ISNA(MATCH(1895,Engine!$C$2:$C$1960,0)),"",INDEX('Compliance Database'!$O$2:$O$1960,MATCH(1895,Engine!$C$2:$C$1960,0)))</f>
        <v/>
      </c>
      <c r="P1908" s="8">
        <f>IF(ISNA(MATCH(1895,Engine!$C$2:$C$1960,0)),"",HYPERLINK("#Acts!A"&amp;INDEX('Compliance Database'!$P$2:$P$1960,MATCH(1895,Engine!$C$2:$C$1960,0)),"Go to Act"))</f>
        <v/>
      </c>
    </row>
    <row r="1909" ht="158" customHeight="1">
      <c r="A1909" s="8">
        <f>IF(ISNA(MATCH(1896,Engine!$C$2:$C$1960,0)),"",INDEX('Compliance Database'!$A$2:$A$1960,MATCH(1896,Engine!$C$2:$C$1960,0)))</f>
        <v/>
      </c>
      <c r="B1909" s="8">
        <f>IF(ISNA(MATCH(1896,Engine!$C$2:$C$1960,0)),"",INDEX('Compliance Database'!$B$2:$B$1960,MATCH(1896,Engine!$C$2:$C$1960,0)))</f>
        <v/>
      </c>
      <c r="C1909" s="8">
        <f>IF(ISNA(MATCH(1896,Engine!$C$2:$C$1960,0)),"",INDEX('Compliance Database'!$C$2:$C$1960,MATCH(1896,Engine!$C$2:$C$1960,0)))</f>
        <v/>
      </c>
      <c r="D1909" s="9">
        <f>IF(ISNA(MATCH(1896,Engine!$C$2:$C$1960,0)),"",INDEX('Compliance Database'!$D$2:$D$1960,MATCH(1896,Engine!$C$2:$C$1960,0)))</f>
        <v/>
      </c>
      <c r="E1909" s="8">
        <f>IF(ISNA(MATCH(1896,Engine!$C$2:$C$1960,0)),"",INDEX('Compliance Database'!$E$2:$E$1960,MATCH(1896,Engine!$C$2:$C$1960,0)))</f>
        <v/>
      </c>
      <c r="F1909" s="8">
        <f>IF(ISNA(MATCH(1896,Engine!$C$2:$C$1960,0)),"",INDEX('Compliance Database'!$F$2:$F$1960,MATCH(1896,Engine!$C$2:$C$1960,0)))</f>
        <v/>
      </c>
      <c r="G1909" s="8">
        <f>IF(ISNA(MATCH(1896,Engine!$C$2:$C$1960,0)),"",INDEX('Compliance Database'!$G$2:$G$1960,MATCH(1896,Engine!$C$2:$C$1960,0)))</f>
        <v/>
      </c>
      <c r="H1909" s="9">
        <f>IF(ISNA(MATCH(1896,Engine!$C$2:$C$1960,0)),"",INDEX('Compliance Database'!$H$2:$H$1960,MATCH(1896,Engine!$C$2:$C$1960,0)))</f>
        <v/>
      </c>
      <c r="I1909" s="9">
        <f>IF(ISNA(MATCH(1896,Engine!$C$2:$C$1960,0)),"",INDEX('Compliance Database'!$I$2:$I$1960,MATCH(1896,Engine!$C$2:$C$1960,0)))</f>
        <v/>
      </c>
      <c r="J1909" s="8">
        <f>IF(ISNA(MATCH(1896,Engine!$C$2:$C$1960,0)),"",INDEX('Compliance Database'!$J$2:$J$1960,MATCH(1896,Engine!$C$2:$C$1960,0)))</f>
        <v/>
      </c>
      <c r="K1909" s="9">
        <f>IF(ISNA(MATCH(1896,Engine!$C$2:$C$1960,0)),"",INDEX('Compliance Database'!$K$2:$K$1960,MATCH(1896,Engine!$C$2:$C$1960,0)))</f>
        <v/>
      </c>
      <c r="L1909" s="9">
        <f>IF(ISNA(MATCH(1896,Engine!$C$2:$C$1960,0)),"",INDEX('Compliance Database'!$L$2:$L$1960,MATCH(1896,Engine!$C$2:$C$1960,0)))</f>
        <v/>
      </c>
      <c r="M1909" s="9">
        <f>IF(ISNA(MATCH(1896,Engine!$C$2:$C$1960,0)),"",INDEX('Compliance Database'!$M$2:$M$1960,MATCH(1896,Engine!$C$2:$C$1960,0)))</f>
        <v/>
      </c>
      <c r="N1909" s="9">
        <f>IF(ISNA(MATCH(1896,Engine!$C$2:$C$1960,0)),"",INDEX('Compliance Database'!$N$2:$N$1960,MATCH(1896,Engine!$C$2:$C$1960,0)))</f>
        <v/>
      </c>
      <c r="O1909" s="9">
        <f>IF(ISNA(MATCH(1896,Engine!$C$2:$C$1960,0)),"",INDEX('Compliance Database'!$O$2:$O$1960,MATCH(1896,Engine!$C$2:$C$1960,0)))</f>
        <v/>
      </c>
      <c r="P1909" s="8">
        <f>IF(ISNA(MATCH(1896,Engine!$C$2:$C$1960,0)),"",HYPERLINK("#Acts!A"&amp;INDEX('Compliance Database'!$P$2:$P$1960,MATCH(1896,Engine!$C$2:$C$1960,0)),"Go to Act"))</f>
        <v/>
      </c>
    </row>
    <row r="1910" ht="158" customHeight="1">
      <c r="A1910" s="8">
        <f>IF(ISNA(MATCH(1897,Engine!$C$2:$C$1960,0)),"",INDEX('Compliance Database'!$A$2:$A$1960,MATCH(1897,Engine!$C$2:$C$1960,0)))</f>
        <v/>
      </c>
      <c r="B1910" s="8">
        <f>IF(ISNA(MATCH(1897,Engine!$C$2:$C$1960,0)),"",INDEX('Compliance Database'!$B$2:$B$1960,MATCH(1897,Engine!$C$2:$C$1960,0)))</f>
        <v/>
      </c>
      <c r="C1910" s="8">
        <f>IF(ISNA(MATCH(1897,Engine!$C$2:$C$1960,0)),"",INDEX('Compliance Database'!$C$2:$C$1960,MATCH(1897,Engine!$C$2:$C$1960,0)))</f>
        <v/>
      </c>
      <c r="D1910" s="9">
        <f>IF(ISNA(MATCH(1897,Engine!$C$2:$C$1960,0)),"",INDEX('Compliance Database'!$D$2:$D$1960,MATCH(1897,Engine!$C$2:$C$1960,0)))</f>
        <v/>
      </c>
      <c r="E1910" s="8">
        <f>IF(ISNA(MATCH(1897,Engine!$C$2:$C$1960,0)),"",INDEX('Compliance Database'!$E$2:$E$1960,MATCH(1897,Engine!$C$2:$C$1960,0)))</f>
        <v/>
      </c>
      <c r="F1910" s="8">
        <f>IF(ISNA(MATCH(1897,Engine!$C$2:$C$1960,0)),"",INDEX('Compliance Database'!$F$2:$F$1960,MATCH(1897,Engine!$C$2:$C$1960,0)))</f>
        <v/>
      </c>
      <c r="G1910" s="8">
        <f>IF(ISNA(MATCH(1897,Engine!$C$2:$C$1960,0)),"",INDEX('Compliance Database'!$G$2:$G$1960,MATCH(1897,Engine!$C$2:$C$1960,0)))</f>
        <v/>
      </c>
      <c r="H1910" s="9">
        <f>IF(ISNA(MATCH(1897,Engine!$C$2:$C$1960,0)),"",INDEX('Compliance Database'!$H$2:$H$1960,MATCH(1897,Engine!$C$2:$C$1960,0)))</f>
        <v/>
      </c>
      <c r="I1910" s="9">
        <f>IF(ISNA(MATCH(1897,Engine!$C$2:$C$1960,0)),"",INDEX('Compliance Database'!$I$2:$I$1960,MATCH(1897,Engine!$C$2:$C$1960,0)))</f>
        <v/>
      </c>
      <c r="J1910" s="8">
        <f>IF(ISNA(MATCH(1897,Engine!$C$2:$C$1960,0)),"",INDEX('Compliance Database'!$J$2:$J$1960,MATCH(1897,Engine!$C$2:$C$1960,0)))</f>
        <v/>
      </c>
      <c r="K1910" s="9">
        <f>IF(ISNA(MATCH(1897,Engine!$C$2:$C$1960,0)),"",INDEX('Compliance Database'!$K$2:$K$1960,MATCH(1897,Engine!$C$2:$C$1960,0)))</f>
        <v/>
      </c>
      <c r="L1910" s="9">
        <f>IF(ISNA(MATCH(1897,Engine!$C$2:$C$1960,0)),"",INDEX('Compliance Database'!$L$2:$L$1960,MATCH(1897,Engine!$C$2:$C$1960,0)))</f>
        <v/>
      </c>
      <c r="M1910" s="9">
        <f>IF(ISNA(MATCH(1897,Engine!$C$2:$C$1960,0)),"",INDEX('Compliance Database'!$M$2:$M$1960,MATCH(1897,Engine!$C$2:$C$1960,0)))</f>
        <v/>
      </c>
      <c r="N1910" s="9">
        <f>IF(ISNA(MATCH(1897,Engine!$C$2:$C$1960,0)),"",INDEX('Compliance Database'!$N$2:$N$1960,MATCH(1897,Engine!$C$2:$C$1960,0)))</f>
        <v/>
      </c>
      <c r="O1910" s="9">
        <f>IF(ISNA(MATCH(1897,Engine!$C$2:$C$1960,0)),"",INDEX('Compliance Database'!$O$2:$O$1960,MATCH(1897,Engine!$C$2:$C$1960,0)))</f>
        <v/>
      </c>
      <c r="P1910" s="8">
        <f>IF(ISNA(MATCH(1897,Engine!$C$2:$C$1960,0)),"",HYPERLINK("#Acts!A"&amp;INDEX('Compliance Database'!$P$2:$P$1960,MATCH(1897,Engine!$C$2:$C$1960,0)),"Go to Act"))</f>
        <v/>
      </c>
    </row>
    <row r="1911" ht="158" customHeight="1">
      <c r="A1911" s="8">
        <f>IF(ISNA(MATCH(1898,Engine!$C$2:$C$1960,0)),"",INDEX('Compliance Database'!$A$2:$A$1960,MATCH(1898,Engine!$C$2:$C$1960,0)))</f>
        <v/>
      </c>
      <c r="B1911" s="8">
        <f>IF(ISNA(MATCH(1898,Engine!$C$2:$C$1960,0)),"",INDEX('Compliance Database'!$B$2:$B$1960,MATCH(1898,Engine!$C$2:$C$1960,0)))</f>
        <v/>
      </c>
      <c r="C1911" s="8">
        <f>IF(ISNA(MATCH(1898,Engine!$C$2:$C$1960,0)),"",INDEX('Compliance Database'!$C$2:$C$1960,MATCH(1898,Engine!$C$2:$C$1960,0)))</f>
        <v/>
      </c>
      <c r="D1911" s="9">
        <f>IF(ISNA(MATCH(1898,Engine!$C$2:$C$1960,0)),"",INDEX('Compliance Database'!$D$2:$D$1960,MATCH(1898,Engine!$C$2:$C$1960,0)))</f>
        <v/>
      </c>
      <c r="E1911" s="8">
        <f>IF(ISNA(MATCH(1898,Engine!$C$2:$C$1960,0)),"",INDEX('Compliance Database'!$E$2:$E$1960,MATCH(1898,Engine!$C$2:$C$1960,0)))</f>
        <v/>
      </c>
      <c r="F1911" s="8">
        <f>IF(ISNA(MATCH(1898,Engine!$C$2:$C$1960,0)),"",INDEX('Compliance Database'!$F$2:$F$1960,MATCH(1898,Engine!$C$2:$C$1960,0)))</f>
        <v/>
      </c>
      <c r="G1911" s="8">
        <f>IF(ISNA(MATCH(1898,Engine!$C$2:$C$1960,0)),"",INDEX('Compliance Database'!$G$2:$G$1960,MATCH(1898,Engine!$C$2:$C$1960,0)))</f>
        <v/>
      </c>
      <c r="H1911" s="9">
        <f>IF(ISNA(MATCH(1898,Engine!$C$2:$C$1960,0)),"",INDEX('Compliance Database'!$H$2:$H$1960,MATCH(1898,Engine!$C$2:$C$1960,0)))</f>
        <v/>
      </c>
      <c r="I1911" s="9">
        <f>IF(ISNA(MATCH(1898,Engine!$C$2:$C$1960,0)),"",INDEX('Compliance Database'!$I$2:$I$1960,MATCH(1898,Engine!$C$2:$C$1960,0)))</f>
        <v/>
      </c>
      <c r="J1911" s="8">
        <f>IF(ISNA(MATCH(1898,Engine!$C$2:$C$1960,0)),"",INDEX('Compliance Database'!$J$2:$J$1960,MATCH(1898,Engine!$C$2:$C$1960,0)))</f>
        <v/>
      </c>
      <c r="K1911" s="9">
        <f>IF(ISNA(MATCH(1898,Engine!$C$2:$C$1960,0)),"",INDEX('Compliance Database'!$K$2:$K$1960,MATCH(1898,Engine!$C$2:$C$1960,0)))</f>
        <v/>
      </c>
      <c r="L1911" s="9">
        <f>IF(ISNA(MATCH(1898,Engine!$C$2:$C$1960,0)),"",INDEX('Compliance Database'!$L$2:$L$1960,MATCH(1898,Engine!$C$2:$C$1960,0)))</f>
        <v/>
      </c>
      <c r="M1911" s="9">
        <f>IF(ISNA(MATCH(1898,Engine!$C$2:$C$1960,0)),"",INDEX('Compliance Database'!$M$2:$M$1960,MATCH(1898,Engine!$C$2:$C$1960,0)))</f>
        <v/>
      </c>
      <c r="N1911" s="9">
        <f>IF(ISNA(MATCH(1898,Engine!$C$2:$C$1960,0)),"",INDEX('Compliance Database'!$N$2:$N$1960,MATCH(1898,Engine!$C$2:$C$1960,0)))</f>
        <v/>
      </c>
      <c r="O1911" s="9">
        <f>IF(ISNA(MATCH(1898,Engine!$C$2:$C$1960,0)),"",INDEX('Compliance Database'!$O$2:$O$1960,MATCH(1898,Engine!$C$2:$C$1960,0)))</f>
        <v/>
      </c>
      <c r="P1911" s="8">
        <f>IF(ISNA(MATCH(1898,Engine!$C$2:$C$1960,0)),"",HYPERLINK("#Acts!A"&amp;INDEX('Compliance Database'!$P$2:$P$1960,MATCH(1898,Engine!$C$2:$C$1960,0)),"Go to Act"))</f>
        <v/>
      </c>
    </row>
    <row r="1912" ht="158" customHeight="1">
      <c r="A1912" s="8">
        <f>IF(ISNA(MATCH(1899,Engine!$C$2:$C$1960,0)),"",INDEX('Compliance Database'!$A$2:$A$1960,MATCH(1899,Engine!$C$2:$C$1960,0)))</f>
        <v/>
      </c>
      <c r="B1912" s="8">
        <f>IF(ISNA(MATCH(1899,Engine!$C$2:$C$1960,0)),"",INDEX('Compliance Database'!$B$2:$B$1960,MATCH(1899,Engine!$C$2:$C$1960,0)))</f>
        <v/>
      </c>
      <c r="C1912" s="8">
        <f>IF(ISNA(MATCH(1899,Engine!$C$2:$C$1960,0)),"",INDEX('Compliance Database'!$C$2:$C$1960,MATCH(1899,Engine!$C$2:$C$1960,0)))</f>
        <v/>
      </c>
      <c r="D1912" s="9">
        <f>IF(ISNA(MATCH(1899,Engine!$C$2:$C$1960,0)),"",INDEX('Compliance Database'!$D$2:$D$1960,MATCH(1899,Engine!$C$2:$C$1960,0)))</f>
        <v/>
      </c>
      <c r="E1912" s="8">
        <f>IF(ISNA(MATCH(1899,Engine!$C$2:$C$1960,0)),"",INDEX('Compliance Database'!$E$2:$E$1960,MATCH(1899,Engine!$C$2:$C$1960,0)))</f>
        <v/>
      </c>
      <c r="F1912" s="8">
        <f>IF(ISNA(MATCH(1899,Engine!$C$2:$C$1960,0)),"",INDEX('Compliance Database'!$F$2:$F$1960,MATCH(1899,Engine!$C$2:$C$1960,0)))</f>
        <v/>
      </c>
      <c r="G1912" s="8">
        <f>IF(ISNA(MATCH(1899,Engine!$C$2:$C$1960,0)),"",INDEX('Compliance Database'!$G$2:$G$1960,MATCH(1899,Engine!$C$2:$C$1960,0)))</f>
        <v/>
      </c>
      <c r="H1912" s="9">
        <f>IF(ISNA(MATCH(1899,Engine!$C$2:$C$1960,0)),"",INDEX('Compliance Database'!$H$2:$H$1960,MATCH(1899,Engine!$C$2:$C$1960,0)))</f>
        <v/>
      </c>
      <c r="I1912" s="9">
        <f>IF(ISNA(MATCH(1899,Engine!$C$2:$C$1960,0)),"",INDEX('Compliance Database'!$I$2:$I$1960,MATCH(1899,Engine!$C$2:$C$1960,0)))</f>
        <v/>
      </c>
      <c r="J1912" s="8">
        <f>IF(ISNA(MATCH(1899,Engine!$C$2:$C$1960,0)),"",INDEX('Compliance Database'!$J$2:$J$1960,MATCH(1899,Engine!$C$2:$C$1960,0)))</f>
        <v/>
      </c>
      <c r="K1912" s="9">
        <f>IF(ISNA(MATCH(1899,Engine!$C$2:$C$1960,0)),"",INDEX('Compliance Database'!$K$2:$K$1960,MATCH(1899,Engine!$C$2:$C$1960,0)))</f>
        <v/>
      </c>
      <c r="L1912" s="9">
        <f>IF(ISNA(MATCH(1899,Engine!$C$2:$C$1960,0)),"",INDEX('Compliance Database'!$L$2:$L$1960,MATCH(1899,Engine!$C$2:$C$1960,0)))</f>
        <v/>
      </c>
      <c r="M1912" s="9">
        <f>IF(ISNA(MATCH(1899,Engine!$C$2:$C$1960,0)),"",INDEX('Compliance Database'!$M$2:$M$1960,MATCH(1899,Engine!$C$2:$C$1960,0)))</f>
        <v/>
      </c>
      <c r="N1912" s="9">
        <f>IF(ISNA(MATCH(1899,Engine!$C$2:$C$1960,0)),"",INDEX('Compliance Database'!$N$2:$N$1960,MATCH(1899,Engine!$C$2:$C$1960,0)))</f>
        <v/>
      </c>
      <c r="O1912" s="9">
        <f>IF(ISNA(MATCH(1899,Engine!$C$2:$C$1960,0)),"",INDEX('Compliance Database'!$O$2:$O$1960,MATCH(1899,Engine!$C$2:$C$1960,0)))</f>
        <v/>
      </c>
      <c r="P1912" s="8">
        <f>IF(ISNA(MATCH(1899,Engine!$C$2:$C$1960,0)),"",HYPERLINK("#Acts!A"&amp;INDEX('Compliance Database'!$P$2:$P$1960,MATCH(1899,Engine!$C$2:$C$1960,0)),"Go to Act"))</f>
        <v/>
      </c>
    </row>
    <row r="1913" ht="158" customHeight="1">
      <c r="A1913" s="8">
        <f>IF(ISNA(MATCH(1900,Engine!$C$2:$C$1960,0)),"",INDEX('Compliance Database'!$A$2:$A$1960,MATCH(1900,Engine!$C$2:$C$1960,0)))</f>
        <v/>
      </c>
      <c r="B1913" s="8">
        <f>IF(ISNA(MATCH(1900,Engine!$C$2:$C$1960,0)),"",INDEX('Compliance Database'!$B$2:$B$1960,MATCH(1900,Engine!$C$2:$C$1960,0)))</f>
        <v/>
      </c>
      <c r="C1913" s="8">
        <f>IF(ISNA(MATCH(1900,Engine!$C$2:$C$1960,0)),"",INDEX('Compliance Database'!$C$2:$C$1960,MATCH(1900,Engine!$C$2:$C$1960,0)))</f>
        <v/>
      </c>
      <c r="D1913" s="9">
        <f>IF(ISNA(MATCH(1900,Engine!$C$2:$C$1960,0)),"",INDEX('Compliance Database'!$D$2:$D$1960,MATCH(1900,Engine!$C$2:$C$1960,0)))</f>
        <v/>
      </c>
      <c r="E1913" s="8">
        <f>IF(ISNA(MATCH(1900,Engine!$C$2:$C$1960,0)),"",INDEX('Compliance Database'!$E$2:$E$1960,MATCH(1900,Engine!$C$2:$C$1960,0)))</f>
        <v/>
      </c>
      <c r="F1913" s="8">
        <f>IF(ISNA(MATCH(1900,Engine!$C$2:$C$1960,0)),"",INDEX('Compliance Database'!$F$2:$F$1960,MATCH(1900,Engine!$C$2:$C$1960,0)))</f>
        <v/>
      </c>
      <c r="G1913" s="8">
        <f>IF(ISNA(MATCH(1900,Engine!$C$2:$C$1960,0)),"",INDEX('Compliance Database'!$G$2:$G$1960,MATCH(1900,Engine!$C$2:$C$1960,0)))</f>
        <v/>
      </c>
      <c r="H1913" s="9">
        <f>IF(ISNA(MATCH(1900,Engine!$C$2:$C$1960,0)),"",INDEX('Compliance Database'!$H$2:$H$1960,MATCH(1900,Engine!$C$2:$C$1960,0)))</f>
        <v/>
      </c>
      <c r="I1913" s="9">
        <f>IF(ISNA(MATCH(1900,Engine!$C$2:$C$1960,0)),"",INDEX('Compliance Database'!$I$2:$I$1960,MATCH(1900,Engine!$C$2:$C$1960,0)))</f>
        <v/>
      </c>
      <c r="J1913" s="8">
        <f>IF(ISNA(MATCH(1900,Engine!$C$2:$C$1960,0)),"",INDEX('Compliance Database'!$J$2:$J$1960,MATCH(1900,Engine!$C$2:$C$1960,0)))</f>
        <v/>
      </c>
      <c r="K1913" s="9">
        <f>IF(ISNA(MATCH(1900,Engine!$C$2:$C$1960,0)),"",INDEX('Compliance Database'!$K$2:$K$1960,MATCH(1900,Engine!$C$2:$C$1960,0)))</f>
        <v/>
      </c>
      <c r="L1913" s="9">
        <f>IF(ISNA(MATCH(1900,Engine!$C$2:$C$1960,0)),"",INDEX('Compliance Database'!$L$2:$L$1960,MATCH(1900,Engine!$C$2:$C$1960,0)))</f>
        <v/>
      </c>
      <c r="M1913" s="9">
        <f>IF(ISNA(MATCH(1900,Engine!$C$2:$C$1960,0)),"",INDEX('Compliance Database'!$M$2:$M$1960,MATCH(1900,Engine!$C$2:$C$1960,0)))</f>
        <v/>
      </c>
      <c r="N1913" s="9">
        <f>IF(ISNA(MATCH(1900,Engine!$C$2:$C$1960,0)),"",INDEX('Compliance Database'!$N$2:$N$1960,MATCH(1900,Engine!$C$2:$C$1960,0)))</f>
        <v/>
      </c>
      <c r="O1913" s="9">
        <f>IF(ISNA(MATCH(1900,Engine!$C$2:$C$1960,0)),"",INDEX('Compliance Database'!$O$2:$O$1960,MATCH(1900,Engine!$C$2:$C$1960,0)))</f>
        <v/>
      </c>
      <c r="P1913" s="8">
        <f>IF(ISNA(MATCH(1900,Engine!$C$2:$C$1960,0)),"",HYPERLINK("#Acts!A"&amp;INDEX('Compliance Database'!$P$2:$P$1960,MATCH(1900,Engine!$C$2:$C$1960,0)),"Go to Act"))</f>
        <v/>
      </c>
    </row>
    <row r="1914" ht="158" customHeight="1">
      <c r="A1914" s="8">
        <f>IF(ISNA(MATCH(1901,Engine!$C$2:$C$1960,0)),"",INDEX('Compliance Database'!$A$2:$A$1960,MATCH(1901,Engine!$C$2:$C$1960,0)))</f>
        <v/>
      </c>
      <c r="B1914" s="8">
        <f>IF(ISNA(MATCH(1901,Engine!$C$2:$C$1960,0)),"",INDEX('Compliance Database'!$B$2:$B$1960,MATCH(1901,Engine!$C$2:$C$1960,0)))</f>
        <v/>
      </c>
      <c r="C1914" s="8">
        <f>IF(ISNA(MATCH(1901,Engine!$C$2:$C$1960,0)),"",INDEX('Compliance Database'!$C$2:$C$1960,MATCH(1901,Engine!$C$2:$C$1960,0)))</f>
        <v/>
      </c>
      <c r="D1914" s="9">
        <f>IF(ISNA(MATCH(1901,Engine!$C$2:$C$1960,0)),"",INDEX('Compliance Database'!$D$2:$D$1960,MATCH(1901,Engine!$C$2:$C$1960,0)))</f>
        <v/>
      </c>
      <c r="E1914" s="8">
        <f>IF(ISNA(MATCH(1901,Engine!$C$2:$C$1960,0)),"",INDEX('Compliance Database'!$E$2:$E$1960,MATCH(1901,Engine!$C$2:$C$1960,0)))</f>
        <v/>
      </c>
      <c r="F1914" s="8">
        <f>IF(ISNA(MATCH(1901,Engine!$C$2:$C$1960,0)),"",INDEX('Compliance Database'!$F$2:$F$1960,MATCH(1901,Engine!$C$2:$C$1960,0)))</f>
        <v/>
      </c>
      <c r="G1914" s="8">
        <f>IF(ISNA(MATCH(1901,Engine!$C$2:$C$1960,0)),"",INDEX('Compliance Database'!$G$2:$G$1960,MATCH(1901,Engine!$C$2:$C$1960,0)))</f>
        <v/>
      </c>
      <c r="H1914" s="9">
        <f>IF(ISNA(MATCH(1901,Engine!$C$2:$C$1960,0)),"",INDEX('Compliance Database'!$H$2:$H$1960,MATCH(1901,Engine!$C$2:$C$1960,0)))</f>
        <v/>
      </c>
      <c r="I1914" s="9">
        <f>IF(ISNA(MATCH(1901,Engine!$C$2:$C$1960,0)),"",INDEX('Compliance Database'!$I$2:$I$1960,MATCH(1901,Engine!$C$2:$C$1960,0)))</f>
        <v/>
      </c>
      <c r="J1914" s="8">
        <f>IF(ISNA(MATCH(1901,Engine!$C$2:$C$1960,0)),"",INDEX('Compliance Database'!$J$2:$J$1960,MATCH(1901,Engine!$C$2:$C$1960,0)))</f>
        <v/>
      </c>
      <c r="K1914" s="9">
        <f>IF(ISNA(MATCH(1901,Engine!$C$2:$C$1960,0)),"",INDEX('Compliance Database'!$K$2:$K$1960,MATCH(1901,Engine!$C$2:$C$1960,0)))</f>
        <v/>
      </c>
      <c r="L1914" s="9">
        <f>IF(ISNA(MATCH(1901,Engine!$C$2:$C$1960,0)),"",INDEX('Compliance Database'!$L$2:$L$1960,MATCH(1901,Engine!$C$2:$C$1960,0)))</f>
        <v/>
      </c>
      <c r="M1914" s="9">
        <f>IF(ISNA(MATCH(1901,Engine!$C$2:$C$1960,0)),"",INDEX('Compliance Database'!$M$2:$M$1960,MATCH(1901,Engine!$C$2:$C$1960,0)))</f>
        <v/>
      </c>
      <c r="N1914" s="9">
        <f>IF(ISNA(MATCH(1901,Engine!$C$2:$C$1960,0)),"",INDEX('Compliance Database'!$N$2:$N$1960,MATCH(1901,Engine!$C$2:$C$1960,0)))</f>
        <v/>
      </c>
      <c r="O1914" s="9">
        <f>IF(ISNA(MATCH(1901,Engine!$C$2:$C$1960,0)),"",INDEX('Compliance Database'!$O$2:$O$1960,MATCH(1901,Engine!$C$2:$C$1960,0)))</f>
        <v/>
      </c>
      <c r="P1914" s="8">
        <f>IF(ISNA(MATCH(1901,Engine!$C$2:$C$1960,0)),"",HYPERLINK("#Acts!A"&amp;INDEX('Compliance Database'!$P$2:$P$1960,MATCH(1901,Engine!$C$2:$C$1960,0)),"Go to Act"))</f>
        <v/>
      </c>
    </row>
    <row r="1915" ht="158" customHeight="1">
      <c r="A1915" s="8">
        <f>IF(ISNA(MATCH(1902,Engine!$C$2:$C$1960,0)),"",INDEX('Compliance Database'!$A$2:$A$1960,MATCH(1902,Engine!$C$2:$C$1960,0)))</f>
        <v/>
      </c>
      <c r="B1915" s="8">
        <f>IF(ISNA(MATCH(1902,Engine!$C$2:$C$1960,0)),"",INDEX('Compliance Database'!$B$2:$B$1960,MATCH(1902,Engine!$C$2:$C$1960,0)))</f>
        <v/>
      </c>
      <c r="C1915" s="8">
        <f>IF(ISNA(MATCH(1902,Engine!$C$2:$C$1960,0)),"",INDEX('Compliance Database'!$C$2:$C$1960,MATCH(1902,Engine!$C$2:$C$1960,0)))</f>
        <v/>
      </c>
      <c r="D1915" s="9">
        <f>IF(ISNA(MATCH(1902,Engine!$C$2:$C$1960,0)),"",INDEX('Compliance Database'!$D$2:$D$1960,MATCH(1902,Engine!$C$2:$C$1960,0)))</f>
        <v/>
      </c>
      <c r="E1915" s="8">
        <f>IF(ISNA(MATCH(1902,Engine!$C$2:$C$1960,0)),"",INDEX('Compliance Database'!$E$2:$E$1960,MATCH(1902,Engine!$C$2:$C$1960,0)))</f>
        <v/>
      </c>
      <c r="F1915" s="8">
        <f>IF(ISNA(MATCH(1902,Engine!$C$2:$C$1960,0)),"",INDEX('Compliance Database'!$F$2:$F$1960,MATCH(1902,Engine!$C$2:$C$1960,0)))</f>
        <v/>
      </c>
      <c r="G1915" s="8">
        <f>IF(ISNA(MATCH(1902,Engine!$C$2:$C$1960,0)),"",INDEX('Compliance Database'!$G$2:$G$1960,MATCH(1902,Engine!$C$2:$C$1960,0)))</f>
        <v/>
      </c>
      <c r="H1915" s="9">
        <f>IF(ISNA(MATCH(1902,Engine!$C$2:$C$1960,0)),"",INDEX('Compliance Database'!$H$2:$H$1960,MATCH(1902,Engine!$C$2:$C$1960,0)))</f>
        <v/>
      </c>
      <c r="I1915" s="9">
        <f>IF(ISNA(MATCH(1902,Engine!$C$2:$C$1960,0)),"",INDEX('Compliance Database'!$I$2:$I$1960,MATCH(1902,Engine!$C$2:$C$1960,0)))</f>
        <v/>
      </c>
      <c r="J1915" s="8">
        <f>IF(ISNA(MATCH(1902,Engine!$C$2:$C$1960,0)),"",INDEX('Compliance Database'!$J$2:$J$1960,MATCH(1902,Engine!$C$2:$C$1960,0)))</f>
        <v/>
      </c>
      <c r="K1915" s="9">
        <f>IF(ISNA(MATCH(1902,Engine!$C$2:$C$1960,0)),"",INDEX('Compliance Database'!$K$2:$K$1960,MATCH(1902,Engine!$C$2:$C$1960,0)))</f>
        <v/>
      </c>
      <c r="L1915" s="9">
        <f>IF(ISNA(MATCH(1902,Engine!$C$2:$C$1960,0)),"",INDEX('Compliance Database'!$L$2:$L$1960,MATCH(1902,Engine!$C$2:$C$1960,0)))</f>
        <v/>
      </c>
      <c r="M1915" s="9">
        <f>IF(ISNA(MATCH(1902,Engine!$C$2:$C$1960,0)),"",INDEX('Compliance Database'!$M$2:$M$1960,MATCH(1902,Engine!$C$2:$C$1960,0)))</f>
        <v/>
      </c>
      <c r="N1915" s="9">
        <f>IF(ISNA(MATCH(1902,Engine!$C$2:$C$1960,0)),"",INDEX('Compliance Database'!$N$2:$N$1960,MATCH(1902,Engine!$C$2:$C$1960,0)))</f>
        <v/>
      </c>
      <c r="O1915" s="9">
        <f>IF(ISNA(MATCH(1902,Engine!$C$2:$C$1960,0)),"",INDEX('Compliance Database'!$O$2:$O$1960,MATCH(1902,Engine!$C$2:$C$1960,0)))</f>
        <v/>
      </c>
      <c r="P1915" s="8">
        <f>IF(ISNA(MATCH(1902,Engine!$C$2:$C$1960,0)),"",HYPERLINK("#Acts!A"&amp;INDEX('Compliance Database'!$P$2:$P$1960,MATCH(1902,Engine!$C$2:$C$1960,0)),"Go to Act"))</f>
        <v/>
      </c>
    </row>
    <row r="1916" ht="158" customHeight="1">
      <c r="A1916" s="8">
        <f>IF(ISNA(MATCH(1903,Engine!$C$2:$C$1960,0)),"",INDEX('Compliance Database'!$A$2:$A$1960,MATCH(1903,Engine!$C$2:$C$1960,0)))</f>
        <v/>
      </c>
      <c r="B1916" s="8">
        <f>IF(ISNA(MATCH(1903,Engine!$C$2:$C$1960,0)),"",INDEX('Compliance Database'!$B$2:$B$1960,MATCH(1903,Engine!$C$2:$C$1960,0)))</f>
        <v/>
      </c>
      <c r="C1916" s="8">
        <f>IF(ISNA(MATCH(1903,Engine!$C$2:$C$1960,0)),"",INDEX('Compliance Database'!$C$2:$C$1960,MATCH(1903,Engine!$C$2:$C$1960,0)))</f>
        <v/>
      </c>
      <c r="D1916" s="9">
        <f>IF(ISNA(MATCH(1903,Engine!$C$2:$C$1960,0)),"",INDEX('Compliance Database'!$D$2:$D$1960,MATCH(1903,Engine!$C$2:$C$1960,0)))</f>
        <v/>
      </c>
      <c r="E1916" s="8">
        <f>IF(ISNA(MATCH(1903,Engine!$C$2:$C$1960,0)),"",INDEX('Compliance Database'!$E$2:$E$1960,MATCH(1903,Engine!$C$2:$C$1960,0)))</f>
        <v/>
      </c>
      <c r="F1916" s="8">
        <f>IF(ISNA(MATCH(1903,Engine!$C$2:$C$1960,0)),"",INDEX('Compliance Database'!$F$2:$F$1960,MATCH(1903,Engine!$C$2:$C$1960,0)))</f>
        <v/>
      </c>
      <c r="G1916" s="8">
        <f>IF(ISNA(MATCH(1903,Engine!$C$2:$C$1960,0)),"",INDEX('Compliance Database'!$G$2:$G$1960,MATCH(1903,Engine!$C$2:$C$1960,0)))</f>
        <v/>
      </c>
      <c r="H1916" s="9">
        <f>IF(ISNA(MATCH(1903,Engine!$C$2:$C$1960,0)),"",INDEX('Compliance Database'!$H$2:$H$1960,MATCH(1903,Engine!$C$2:$C$1960,0)))</f>
        <v/>
      </c>
      <c r="I1916" s="9">
        <f>IF(ISNA(MATCH(1903,Engine!$C$2:$C$1960,0)),"",INDEX('Compliance Database'!$I$2:$I$1960,MATCH(1903,Engine!$C$2:$C$1960,0)))</f>
        <v/>
      </c>
      <c r="J1916" s="8">
        <f>IF(ISNA(MATCH(1903,Engine!$C$2:$C$1960,0)),"",INDEX('Compliance Database'!$J$2:$J$1960,MATCH(1903,Engine!$C$2:$C$1960,0)))</f>
        <v/>
      </c>
      <c r="K1916" s="9">
        <f>IF(ISNA(MATCH(1903,Engine!$C$2:$C$1960,0)),"",INDEX('Compliance Database'!$K$2:$K$1960,MATCH(1903,Engine!$C$2:$C$1960,0)))</f>
        <v/>
      </c>
      <c r="L1916" s="9">
        <f>IF(ISNA(MATCH(1903,Engine!$C$2:$C$1960,0)),"",INDEX('Compliance Database'!$L$2:$L$1960,MATCH(1903,Engine!$C$2:$C$1960,0)))</f>
        <v/>
      </c>
      <c r="M1916" s="9">
        <f>IF(ISNA(MATCH(1903,Engine!$C$2:$C$1960,0)),"",INDEX('Compliance Database'!$M$2:$M$1960,MATCH(1903,Engine!$C$2:$C$1960,0)))</f>
        <v/>
      </c>
      <c r="N1916" s="9">
        <f>IF(ISNA(MATCH(1903,Engine!$C$2:$C$1960,0)),"",INDEX('Compliance Database'!$N$2:$N$1960,MATCH(1903,Engine!$C$2:$C$1960,0)))</f>
        <v/>
      </c>
      <c r="O1916" s="9">
        <f>IF(ISNA(MATCH(1903,Engine!$C$2:$C$1960,0)),"",INDEX('Compliance Database'!$O$2:$O$1960,MATCH(1903,Engine!$C$2:$C$1960,0)))</f>
        <v/>
      </c>
      <c r="P1916" s="8">
        <f>IF(ISNA(MATCH(1903,Engine!$C$2:$C$1960,0)),"",HYPERLINK("#Acts!A"&amp;INDEX('Compliance Database'!$P$2:$P$1960,MATCH(1903,Engine!$C$2:$C$1960,0)),"Go to Act"))</f>
        <v/>
      </c>
    </row>
    <row r="1917" ht="158" customHeight="1">
      <c r="A1917" s="8">
        <f>IF(ISNA(MATCH(1904,Engine!$C$2:$C$1960,0)),"",INDEX('Compliance Database'!$A$2:$A$1960,MATCH(1904,Engine!$C$2:$C$1960,0)))</f>
        <v/>
      </c>
      <c r="B1917" s="8">
        <f>IF(ISNA(MATCH(1904,Engine!$C$2:$C$1960,0)),"",INDEX('Compliance Database'!$B$2:$B$1960,MATCH(1904,Engine!$C$2:$C$1960,0)))</f>
        <v/>
      </c>
      <c r="C1917" s="8">
        <f>IF(ISNA(MATCH(1904,Engine!$C$2:$C$1960,0)),"",INDEX('Compliance Database'!$C$2:$C$1960,MATCH(1904,Engine!$C$2:$C$1960,0)))</f>
        <v/>
      </c>
      <c r="D1917" s="9">
        <f>IF(ISNA(MATCH(1904,Engine!$C$2:$C$1960,0)),"",INDEX('Compliance Database'!$D$2:$D$1960,MATCH(1904,Engine!$C$2:$C$1960,0)))</f>
        <v/>
      </c>
      <c r="E1917" s="8">
        <f>IF(ISNA(MATCH(1904,Engine!$C$2:$C$1960,0)),"",INDEX('Compliance Database'!$E$2:$E$1960,MATCH(1904,Engine!$C$2:$C$1960,0)))</f>
        <v/>
      </c>
      <c r="F1917" s="8">
        <f>IF(ISNA(MATCH(1904,Engine!$C$2:$C$1960,0)),"",INDEX('Compliance Database'!$F$2:$F$1960,MATCH(1904,Engine!$C$2:$C$1960,0)))</f>
        <v/>
      </c>
      <c r="G1917" s="8">
        <f>IF(ISNA(MATCH(1904,Engine!$C$2:$C$1960,0)),"",INDEX('Compliance Database'!$G$2:$G$1960,MATCH(1904,Engine!$C$2:$C$1960,0)))</f>
        <v/>
      </c>
      <c r="H1917" s="9">
        <f>IF(ISNA(MATCH(1904,Engine!$C$2:$C$1960,0)),"",INDEX('Compliance Database'!$H$2:$H$1960,MATCH(1904,Engine!$C$2:$C$1960,0)))</f>
        <v/>
      </c>
      <c r="I1917" s="9">
        <f>IF(ISNA(MATCH(1904,Engine!$C$2:$C$1960,0)),"",INDEX('Compliance Database'!$I$2:$I$1960,MATCH(1904,Engine!$C$2:$C$1960,0)))</f>
        <v/>
      </c>
      <c r="J1917" s="8">
        <f>IF(ISNA(MATCH(1904,Engine!$C$2:$C$1960,0)),"",INDEX('Compliance Database'!$J$2:$J$1960,MATCH(1904,Engine!$C$2:$C$1960,0)))</f>
        <v/>
      </c>
      <c r="K1917" s="9">
        <f>IF(ISNA(MATCH(1904,Engine!$C$2:$C$1960,0)),"",INDEX('Compliance Database'!$K$2:$K$1960,MATCH(1904,Engine!$C$2:$C$1960,0)))</f>
        <v/>
      </c>
      <c r="L1917" s="9">
        <f>IF(ISNA(MATCH(1904,Engine!$C$2:$C$1960,0)),"",INDEX('Compliance Database'!$L$2:$L$1960,MATCH(1904,Engine!$C$2:$C$1960,0)))</f>
        <v/>
      </c>
      <c r="M1917" s="9">
        <f>IF(ISNA(MATCH(1904,Engine!$C$2:$C$1960,0)),"",INDEX('Compliance Database'!$M$2:$M$1960,MATCH(1904,Engine!$C$2:$C$1960,0)))</f>
        <v/>
      </c>
      <c r="N1917" s="9">
        <f>IF(ISNA(MATCH(1904,Engine!$C$2:$C$1960,0)),"",INDEX('Compliance Database'!$N$2:$N$1960,MATCH(1904,Engine!$C$2:$C$1960,0)))</f>
        <v/>
      </c>
      <c r="O1917" s="9">
        <f>IF(ISNA(MATCH(1904,Engine!$C$2:$C$1960,0)),"",INDEX('Compliance Database'!$O$2:$O$1960,MATCH(1904,Engine!$C$2:$C$1960,0)))</f>
        <v/>
      </c>
      <c r="P1917" s="8">
        <f>IF(ISNA(MATCH(1904,Engine!$C$2:$C$1960,0)),"",HYPERLINK("#Acts!A"&amp;INDEX('Compliance Database'!$P$2:$P$1960,MATCH(1904,Engine!$C$2:$C$1960,0)),"Go to Act"))</f>
        <v/>
      </c>
    </row>
    <row r="1918" ht="158" customHeight="1">
      <c r="A1918" s="8">
        <f>IF(ISNA(MATCH(1905,Engine!$C$2:$C$1960,0)),"",INDEX('Compliance Database'!$A$2:$A$1960,MATCH(1905,Engine!$C$2:$C$1960,0)))</f>
        <v/>
      </c>
      <c r="B1918" s="8">
        <f>IF(ISNA(MATCH(1905,Engine!$C$2:$C$1960,0)),"",INDEX('Compliance Database'!$B$2:$B$1960,MATCH(1905,Engine!$C$2:$C$1960,0)))</f>
        <v/>
      </c>
      <c r="C1918" s="8">
        <f>IF(ISNA(MATCH(1905,Engine!$C$2:$C$1960,0)),"",INDEX('Compliance Database'!$C$2:$C$1960,MATCH(1905,Engine!$C$2:$C$1960,0)))</f>
        <v/>
      </c>
      <c r="D1918" s="9">
        <f>IF(ISNA(MATCH(1905,Engine!$C$2:$C$1960,0)),"",INDEX('Compliance Database'!$D$2:$D$1960,MATCH(1905,Engine!$C$2:$C$1960,0)))</f>
        <v/>
      </c>
      <c r="E1918" s="8">
        <f>IF(ISNA(MATCH(1905,Engine!$C$2:$C$1960,0)),"",INDEX('Compliance Database'!$E$2:$E$1960,MATCH(1905,Engine!$C$2:$C$1960,0)))</f>
        <v/>
      </c>
      <c r="F1918" s="8">
        <f>IF(ISNA(MATCH(1905,Engine!$C$2:$C$1960,0)),"",INDEX('Compliance Database'!$F$2:$F$1960,MATCH(1905,Engine!$C$2:$C$1960,0)))</f>
        <v/>
      </c>
      <c r="G1918" s="8">
        <f>IF(ISNA(MATCH(1905,Engine!$C$2:$C$1960,0)),"",INDEX('Compliance Database'!$G$2:$G$1960,MATCH(1905,Engine!$C$2:$C$1960,0)))</f>
        <v/>
      </c>
      <c r="H1918" s="9">
        <f>IF(ISNA(MATCH(1905,Engine!$C$2:$C$1960,0)),"",INDEX('Compliance Database'!$H$2:$H$1960,MATCH(1905,Engine!$C$2:$C$1960,0)))</f>
        <v/>
      </c>
      <c r="I1918" s="9">
        <f>IF(ISNA(MATCH(1905,Engine!$C$2:$C$1960,0)),"",INDEX('Compliance Database'!$I$2:$I$1960,MATCH(1905,Engine!$C$2:$C$1960,0)))</f>
        <v/>
      </c>
      <c r="J1918" s="8">
        <f>IF(ISNA(MATCH(1905,Engine!$C$2:$C$1960,0)),"",INDEX('Compliance Database'!$J$2:$J$1960,MATCH(1905,Engine!$C$2:$C$1960,0)))</f>
        <v/>
      </c>
      <c r="K1918" s="9">
        <f>IF(ISNA(MATCH(1905,Engine!$C$2:$C$1960,0)),"",INDEX('Compliance Database'!$K$2:$K$1960,MATCH(1905,Engine!$C$2:$C$1960,0)))</f>
        <v/>
      </c>
      <c r="L1918" s="9">
        <f>IF(ISNA(MATCH(1905,Engine!$C$2:$C$1960,0)),"",INDEX('Compliance Database'!$L$2:$L$1960,MATCH(1905,Engine!$C$2:$C$1960,0)))</f>
        <v/>
      </c>
      <c r="M1918" s="9">
        <f>IF(ISNA(MATCH(1905,Engine!$C$2:$C$1960,0)),"",INDEX('Compliance Database'!$M$2:$M$1960,MATCH(1905,Engine!$C$2:$C$1960,0)))</f>
        <v/>
      </c>
      <c r="N1918" s="9">
        <f>IF(ISNA(MATCH(1905,Engine!$C$2:$C$1960,0)),"",INDEX('Compliance Database'!$N$2:$N$1960,MATCH(1905,Engine!$C$2:$C$1960,0)))</f>
        <v/>
      </c>
      <c r="O1918" s="9">
        <f>IF(ISNA(MATCH(1905,Engine!$C$2:$C$1960,0)),"",INDEX('Compliance Database'!$O$2:$O$1960,MATCH(1905,Engine!$C$2:$C$1960,0)))</f>
        <v/>
      </c>
      <c r="P1918" s="8">
        <f>IF(ISNA(MATCH(1905,Engine!$C$2:$C$1960,0)),"",HYPERLINK("#Acts!A"&amp;INDEX('Compliance Database'!$P$2:$P$1960,MATCH(1905,Engine!$C$2:$C$1960,0)),"Go to Act"))</f>
        <v/>
      </c>
    </row>
    <row r="1919" ht="158" customHeight="1">
      <c r="A1919" s="8">
        <f>IF(ISNA(MATCH(1906,Engine!$C$2:$C$1960,0)),"",INDEX('Compliance Database'!$A$2:$A$1960,MATCH(1906,Engine!$C$2:$C$1960,0)))</f>
        <v/>
      </c>
      <c r="B1919" s="8">
        <f>IF(ISNA(MATCH(1906,Engine!$C$2:$C$1960,0)),"",INDEX('Compliance Database'!$B$2:$B$1960,MATCH(1906,Engine!$C$2:$C$1960,0)))</f>
        <v/>
      </c>
      <c r="C1919" s="8">
        <f>IF(ISNA(MATCH(1906,Engine!$C$2:$C$1960,0)),"",INDEX('Compliance Database'!$C$2:$C$1960,MATCH(1906,Engine!$C$2:$C$1960,0)))</f>
        <v/>
      </c>
      <c r="D1919" s="9">
        <f>IF(ISNA(MATCH(1906,Engine!$C$2:$C$1960,0)),"",INDEX('Compliance Database'!$D$2:$D$1960,MATCH(1906,Engine!$C$2:$C$1960,0)))</f>
        <v/>
      </c>
      <c r="E1919" s="8">
        <f>IF(ISNA(MATCH(1906,Engine!$C$2:$C$1960,0)),"",INDEX('Compliance Database'!$E$2:$E$1960,MATCH(1906,Engine!$C$2:$C$1960,0)))</f>
        <v/>
      </c>
      <c r="F1919" s="8">
        <f>IF(ISNA(MATCH(1906,Engine!$C$2:$C$1960,0)),"",INDEX('Compliance Database'!$F$2:$F$1960,MATCH(1906,Engine!$C$2:$C$1960,0)))</f>
        <v/>
      </c>
      <c r="G1919" s="8">
        <f>IF(ISNA(MATCH(1906,Engine!$C$2:$C$1960,0)),"",INDEX('Compliance Database'!$G$2:$G$1960,MATCH(1906,Engine!$C$2:$C$1960,0)))</f>
        <v/>
      </c>
      <c r="H1919" s="9">
        <f>IF(ISNA(MATCH(1906,Engine!$C$2:$C$1960,0)),"",INDEX('Compliance Database'!$H$2:$H$1960,MATCH(1906,Engine!$C$2:$C$1960,0)))</f>
        <v/>
      </c>
      <c r="I1919" s="9">
        <f>IF(ISNA(MATCH(1906,Engine!$C$2:$C$1960,0)),"",INDEX('Compliance Database'!$I$2:$I$1960,MATCH(1906,Engine!$C$2:$C$1960,0)))</f>
        <v/>
      </c>
      <c r="J1919" s="8">
        <f>IF(ISNA(MATCH(1906,Engine!$C$2:$C$1960,0)),"",INDEX('Compliance Database'!$J$2:$J$1960,MATCH(1906,Engine!$C$2:$C$1960,0)))</f>
        <v/>
      </c>
      <c r="K1919" s="9">
        <f>IF(ISNA(MATCH(1906,Engine!$C$2:$C$1960,0)),"",INDEX('Compliance Database'!$K$2:$K$1960,MATCH(1906,Engine!$C$2:$C$1960,0)))</f>
        <v/>
      </c>
      <c r="L1919" s="9">
        <f>IF(ISNA(MATCH(1906,Engine!$C$2:$C$1960,0)),"",INDEX('Compliance Database'!$L$2:$L$1960,MATCH(1906,Engine!$C$2:$C$1960,0)))</f>
        <v/>
      </c>
      <c r="M1919" s="9">
        <f>IF(ISNA(MATCH(1906,Engine!$C$2:$C$1960,0)),"",INDEX('Compliance Database'!$M$2:$M$1960,MATCH(1906,Engine!$C$2:$C$1960,0)))</f>
        <v/>
      </c>
      <c r="N1919" s="9">
        <f>IF(ISNA(MATCH(1906,Engine!$C$2:$C$1960,0)),"",INDEX('Compliance Database'!$N$2:$N$1960,MATCH(1906,Engine!$C$2:$C$1960,0)))</f>
        <v/>
      </c>
      <c r="O1919" s="9">
        <f>IF(ISNA(MATCH(1906,Engine!$C$2:$C$1960,0)),"",INDEX('Compliance Database'!$O$2:$O$1960,MATCH(1906,Engine!$C$2:$C$1960,0)))</f>
        <v/>
      </c>
      <c r="P1919" s="8">
        <f>IF(ISNA(MATCH(1906,Engine!$C$2:$C$1960,0)),"",HYPERLINK("#Acts!A"&amp;INDEX('Compliance Database'!$P$2:$P$1960,MATCH(1906,Engine!$C$2:$C$1960,0)),"Go to Act"))</f>
        <v/>
      </c>
    </row>
    <row r="1920" ht="158" customHeight="1">
      <c r="A1920" s="8">
        <f>IF(ISNA(MATCH(1907,Engine!$C$2:$C$1960,0)),"",INDEX('Compliance Database'!$A$2:$A$1960,MATCH(1907,Engine!$C$2:$C$1960,0)))</f>
        <v/>
      </c>
      <c r="B1920" s="8">
        <f>IF(ISNA(MATCH(1907,Engine!$C$2:$C$1960,0)),"",INDEX('Compliance Database'!$B$2:$B$1960,MATCH(1907,Engine!$C$2:$C$1960,0)))</f>
        <v/>
      </c>
      <c r="C1920" s="8">
        <f>IF(ISNA(MATCH(1907,Engine!$C$2:$C$1960,0)),"",INDEX('Compliance Database'!$C$2:$C$1960,MATCH(1907,Engine!$C$2:$C$1960,0)))</f>
        <v/>
      </c>
      <c r="D1920" s="9">
        <f>IF(ISNA(MATCH(1907,Engine!$C$2:$C$1960,0)),"",INDEX('Compliance Database'!$D$2:$D$1960,MATCH(1907,Engine!$C$2:$C$1960,0)))</f>
        <v/>
      </c>
      <c r="E1920" s="8">
        <f>IF(ISNA(MATCH(1907,Engine!$C$2:$C$1960,0)),"",INDEX('Compliance Database'!$E$2:$E$1960,MATCH(1907,Engine!$C$2:$C$1960,0)))</f>
        <v/>
      </c>
      <c r="F1920" s="8">
        <f>IF(ISNA(MATCH(1907,Engine!$C$2:$C$1960,0)),"",INDEX('Compliance Database'!$F$2:$F$1960,MATCH(1907,Engine!$C$2:$C$1960,0)))</f>
        <v/>
      </c>
      <c r="G1920" s="8">
        <f>IF(ISNA(MATCH(1907,Engine!$C$2:$C$1960,0)),"",INDEX('Compliance Database'!$G$2:$G$1960,MATCH(1907,Engine!$C$2:$C$1960,0)))</f>
        <v/>
      </c>
      <c r="H1920" s="9">
        <f>IF(ISNA(MATCH(1907,Engine!$C$2:$C$1960,0)),"",INDEX('Compliance Database'!$H$2:$H$1960,MATCH(1907,Engine!$C$2:$C$1960,0)))</f>
        <v/>
      </c>
      <c r="I1920" s="9">
        <f>IF(ISNA(MATCH(1907,Engine!$C$2:$C$1960,0)),"",INDEX('Compliance Database'!$I$2:$I$1960,MATCH(1907,Engine!$C$2:$C$1960,0)))</f>
        <v/>
      </c>
      <c r="J1920" s="8">
        <f>IF(ISNA(MATCH(1907,Engine!$C$2:$C$1960,0)),"",INDEX('Compliance Database'!$J$2:$J$1960,MATCH(1907,Engine!$C$2:$C$1960,0)))</f>
        <v/>
      </c>
      <c r="K1920" s="9">
        <f>IF(ISNA(MATCH(1907,Engine!$C$2:$C$1960,0)),"",INDEX('Compliance Database'!$K$2:$K$1960,MATCH(1907,Engine!$C$2:$C$1960,0)))</f>
        <v/>
      </c>
      <c r="L1920" s="9">
        <f>IF(ISNA(MATCH(1907,Engine!$C$2:$C$1960,0)),"",INDEX('Compliance Database'!$L$2:$L$1960,MATCH(1907,Engine!$C$2:$C$1960,0)))</f>
        <v/>
      </c>
      <c r="M1920" s="9">
        <f>IF(ISNA(MATCH(1907,Engine!$C$2:$C$1960,0)),"",INDEX('Compliance Database'!$M$2:$M$1960,MATCH(1907,Engine!$C$2:$C$1960,0)))</f>
        <v/>
      </c>
      <c r="N1920" s="9">
        <f>IF(ISNA(MATCH(1907,Engine!$C$2:$C$1960,0)),"",INDEX('Compliance Database'!$N$2:$N$1960,MATCH(1907,Engine!$C$2:$C$1960,0)))</f>
        <v/>
      </c>
      <c r="O1920" s="9">
        <f>IF(ISNA(MATCH(1907,Engine!$C$2:$C$1960,0)),"",INDEX('Compliance Database'!$O$2:$O$1960,MATCH(1907,Engine!$C$2:$C$1960,0)))</f>
        <v/>
      </c>
      <c r="P1920" s="8">
        <f>IF(ISNA(MATCH(1907,Engine!$C$2:$C$1960,0)),"",HYPERLINK("#Acts!A"&amp;INDEX('Compliance Database'!$P$2:$P$1960,MATCH(1907,Engine!$C$2:$C$1960,0)),"Go to Act"))</f>
        <v/>
      </c>
    </row>
    <row r="1921" ht="158" customHeight="1">
      <c r="A1921" s="8">
        <f>IF(ISNA(MATCH(1908,Engine!$C$2:$C$1960,0)),"",INDEX('Compliance Database'!$A$2:$A$1960,MATCH(1908,Engine!$C$2:$C$1960,0)))</f>
        <v/>
      </c>
      <c r="B1921" s="8">
        <f>IF(ISNA(MATCH(1908,Engine!$C$2:$C$1960,0)),"",INDEX('Compliance Database'!$B$2:$B$1960,MATCH(1908,Engine!$C$2:$C$1960,0)))</f>
        <v/>
      </c>
      <c r="C1921" s="8">
        <f>IF(ISNA(MATCH(1908,Engine!$C$2:$C$1960,0)),"",INDEX('Compliance Database'!$C$2:$C$1960,MATCH(1908,Engine!$C$2:$C$1960,0)))</f>
        <v/>
      </c>
      <c r="D1921" s="9">
        <f>IF(ISNA(MATCH(1908,Engine!$C$2:$C$1960,0)),"",INDEX('Compliance Database'!$D$2:$D$1960,MATCH(1908,Engine!$C$2:$C$1960,0)))</f>
        <v/>
      </c>
      <c r="E1921" s="8">
        <f>IF(ISNA(MATCH(1908,Engine!$C$2:$C$1960,0)),"",INDEX('Compliance Database'!$E$2:$E$1960,MATCH(1908,Engine!$C$2:$C$1960,0)))</f>
        <v/>
      </c>
      <c r="F1921" s="8">
        <f>IF(ISNA(MATCH(1908,Engine!$C$2:$C$1960,0)),"",INDEX('Compliance Database'!$F$2:$F$1960,MATCH(1908,Engine!$C$2:$C$1960,0)))</f>
        <v/>
      </c>
      <c r="G1921" s="8">
        <f>IF(ISNA(MATCH(1908,Engine!$C$2:$C$1960,0)),"",INDEX('Compliance Database'!$G$2:$G$1960,MATCH(1908,Engine!$C$2:$C$1960,0)))</f>
        <v/>
      </c>
      <c r="H1921" s="9">
        <f>IF(ISNA(MATCH(1908,Engine!$C$2:$C$1960,0)),"",INDEX('Compliance Database'!$H$2:$H$1960,MATCH(1908,Engine!$C$2:$C$1960,0)))</f>
        <v/>
      </c>
      <c r="I1921" s="9">
        <f>IF(ISNA(MATCH(1908,Engine!$C$2:$C$1960,0)),"",INDEX('Compliance Database'!$I$2:$I$1960,MATCH(1908,Engine!$C$2:$C$1960,0)))</f>
        <v/>
      </c>
      <c r="J1921" s="8">
        <f>IF(ISNA(MATCH(1908,Engine!$C$2:$C$1960,0)),"",INDEX('Compliance Database'!$J$2:$J$1960,MATCH(1908,Engine!$C$2:$C$1960,0)))</f>
        <v/>
      </c>
      <c r="K1921" s="9">
        <f>IF(ISNA(MATCH(1908,Engine!$C$2:$C$1960,0)),"",INDEX('Compliance Database'!$K$2:$K$1960,MATCH(1908,Engine!$C$2:$C$1960,0)))</f>
        <v/>
      </c>
      <c r="L1921" s="9">
        <f>IF(ISNA(MATCH(1908,Engine!$C$2:$C$1960,0)),"",INDEX('Compliance Database'!$L$2:$L$1960,MATCH(1908,Engine!$C$2:$C$1960,0)))</f>
        <v/>
      </c>
      <c r="M1921" s="9">
        <f>IF(ISNA(MATCH(1908,Engine!$C$2:$C$1960,0)),"",INDEX('Compliance Database'!$M$2:$M$1960,MATCH(1908,Engine!$C$2:$C$1960,0)))</f>
        <v/>
      </c>
      <c r="N1921" s="9">
        <f>IF(ISNA(MATCH(1908,Engine!$C$2:$C$1960,0)),"",INDEX('Compliance Database'!$N$2:$N$1960,MATCH(1908,Engine!$C$2:$C$1960,0)))</f>
        <v/>
      </c>
      <c r="O1921" s="9">
        <f>IF(ISNA(MATCH(1908,Engine!$C$2:$C$1960,0)),"",INDEX('Compliance Database'!$O$2:$O$1960,MATCH(1908,Engine!$C$2:$C$1960,0)))</f>
        <v/>
      </c>
      <c r="P1921" s="8">
        <f>IF(ISNA(MATCH(1908,Engine!$C$2:$C$1960,0)),"",HYPERLINK("#Acts!A"&amp;INDEX('Compliance Database'!$P$2:$P$1960,MATCH(1908,Engine!$C$2:$C$1960,0)),"Go to Act"))</f>
        <v/>
      </c>
    </row>
    <row r="1922" ht="158" customHeight="1">
      <c r="A1922" s="8">
        <f>IF(ISNA(MATCH(1909,Engine!$C$2:$C$1960,0)),"",INDEX('Compliance Database'!$A$2:$A$1960,MATCH(1909,Engine!$C$2:$C$1960,0)))</f>
        <v/>
      </c>
      <c r="B1922" s="8">
        <f>IF(ISNA(MATCH(1909,Engine!$C$2:$C$1960,0)),"",INDEX('Compliance Database'!$B$2:$B$1960,MATCH(1909,Engine!$C$2:$C$1960,0)))</f>
        <v/>
      </c>
      <c r="C1922" s="8">
        <f>IF(ISNA(MATCH(1909,Engine!$C$2:$C$1960,0)),"",INDEX('Compliance Database'!$C$2:$C$1960,MATCH(1909,Engine!$C$2:$C$1960,0)))</f>
        <v/>
      </c>
      <c r="D1922" s="9">
        <f>IF(ISNA(MATCH(1909,Engine!$C$2:$C$1960,0)),"",INDEX('Compliance Database'!$D$2:$D$1960,MATCH(1909,Engine!$C$2:$C$1960,0)))</f>
        <v/>
      </c>
      <c r="E1922" s="8">
        <f>IF(ISNA(MATCH(1909,Engine!$C$2:$C$1960,0)),"",INDEX('Compliance Database'!$E$2:$E$1960,MATCH(1909,Engine!$C$2:$C$1960,0)))</f>
        <v/>
      </c>
      <c r="F1922" s="8">
        <f>IF(ISNA(MATCH(1909,Engine!$C$2:$C$1960,0)),"",INDEX('Compliance Database'!$F$2:$F$1960,MATCH(1909,Engine!$C$2:$C$1960,0)))</f>
        <v/>
      </c>
      <c r="G1922" s="8">
        <f>IF(ISNA(MATCH(1909,Engine!$C$2:$C$1960,0)),"",INDEX('Compliance Database'!$G$2:$G$1960,MATCH(1909,Engine!$C$2:$C$1960,0)))</f>
        <v/>
      </c>
      <c r="H1922" s="9">
        <f>IF(ISNA(MATCH(1909,Engine!$C$2:$C$1960,0)),"",INDEX('Compliance Database'!$H$2:$H$1960,MATCH(1909,Engine!$C$2:$C$1960,0)))</f>
        <v/>
      </c>
      <c r="I1922" s="9">
        <f>IF(ISNA(MATCH(1909,Engine!$C$2:$C$1960,0)),"",INDEX('Compliance Database'!$I$2:$I$1960,MATCH(1909,Engine!$C$2:$C$1960,0)))</f>
        <v/>
      </c>
      <c r="J1922" s="8">
        <f>IF(ISNA(MATCH(1909,Engine!$C$2:$C$1960,0)),"",INDEX('Compliance Database'!$J$2:$J$1960,MATCH(1909,Engine!$C$2:$C$1960,0)))</f>
        <v/>
      </c>
      <c r="K1922" s="9">
        <f>IF(ISNA(MATCH(1909,Engine!$C$2:$C$1960,0)),"",INDEX('Compliance Database'!$K$2:$K$1960,MATCH(1909,Engine!$C$2:$C$1960,0)))</f>
        <v/>
      </c>
      <c r="L1922" s="9">
        <f>IF(ISNA(MATCH(1909,Engine!$C$2:$C$1960,0)),"",INDEX('Compliance Database'!$L$2:$L$1960,MATCH(1909,Engine!$C$2:$C$1960,0)))</f>
        <v/>
      </c>
      <c r="M1922" s="9">
        <f>IF(ISNA(MATCH(1909,Engine!$C$2:$C$1960,0)),"",INDEX('Compliance Database'!$M$2:$M$1960,MATCH(1909,Engine!$C$2:$C$1960,0)))</f>
        <v/>
      </c>
      <c r="N1922" s="9">
        <f>IF(ISNA(MATCH(1909,Engine!$C$2:$C$1960,0)),"",INDEX('Compliance Database'!$N$2:$N$1960,MATCH(1909,Engine!$C$2:$C$1960,0)))</f>
        <v/>
      </c>
      <c r="O1922" s="9">
        <f>IF(ISNA(MATCH(1909,Engine!$C$2:$C$1960,0)),"",INDEX('Compliance Database'!$O$2:$O$1960,MATCH(1909,Engine!$C$2:$C$1960,0)))</f>
        <v/>
      </c>
      <c r="P1922" s="8">
        <f>IF(ISNA(MATCH(1909,Engine!$C$2:$C$1960,0)),"",HYPERLINK("#Acts!A"&amp;INDEX('Compliance Database'!$P$2:$P$1960,MATCH(1909,Engine!$C$2:$C$1960,0)),"Go to Act"))</f>
        <v/>
      </c>
    </row>
    <row r="1923" ht="158" customHeight="1">
      <c r="A1923" s="8">
        <f>IF(ISNA(MATCH(1910,Engine!$C$2:$C$1960,0)),"",INDEX('Compliance Database'!$A$2:$A$1960,MATCH(1910,Engine!$C$2:$C$1960,0)))</f>
        <v/>
      </c>
      <c r="B1923" s="8">
        <f>IF(ISNA(MATCH(1910,Engine!$C$2:$C$1960,0)),"",INDEX('Compliance Database'!$B$2:$B$1960,MATCH(1910,Engine!$C$2:$C$1960,0)))</f>
        <v/>
      </c>
      <c r="C1923" s="8">
        <f>IF(ISNA(MATCH(1910,Engine!$C$2:$C$1960,0)),"",INDEX('Compliance Database'!$C$2:$C$1960,MATCH(1910,Engine!$C$2:$C$1960,0)))</f>
        <v/>
      </c>
      <c r="D1923" s="9">
        <f>IF(ISNA(MATCH(1910,Engine!$C$2:$C$1960,0)),"",INDEX('Compliance Database'!$D$2:$D$1960,MATCH(1910,Engine!$C$2:$C$1960,0)))</f>
        <v/>
      </c>
      <c r="E1923" s="8">
        <f>IF(ISNA(MATCH(1910,Engine!$C$2:$C$1960,0)),"",INDEX('Compliance Database'!$E$2:$E$1960,MATCH(1910,Engine!$C$2:$C$1960,0)))</f>
        <v/>
      </c>
      <c r="F1923" s="8">
        <f>IF(ISNA(MATCH(1910,Engine!$C$2:$C$1960,0)),"",INDEX('Compliance Database'!$F$2:$F$1960,MATCH(1910,Engine!$C$2:$C$1960,0)))</f>
        <v/>
      </c>
      <c r="G1923" s="8">
        <f>IF(ISNA(MATCH(1910,Engine!$C$2:$C$1960,0)),"",INDEX('Compliance Database'!$G$2:$G$1960,MATCH(1910,Engine!$C$2:$C$1960,0)))</f>
        <v/>
      </c>
      <c r="H1923" s="9">
        <f>IF(ISNA(MATCH(1910,Engine!$C$2:$C$1960,0)),"",INDEX('Compliance Database'!$H$2:$H$1960,MATCH(1910,Engine!$C$2:$C$1960,0)))</f>
        <v/>
      </c>
      <c r="I1923" s="9">
        <f>IF(ISNA(MATCH(1910,Engine!$C$2:$C$1960,0)),"",INDEX('Compliance Database'!$I$2:$I$1960,MATCH(1910,Engine!$C$2:$C$1960,0)))</f>
        <v/>
      </c>
      <c r="J1923" s="8">
        <f>IF(ISNA(MATCH(1910,Engine!$C$2:$C$1960,0)),"",INDEX('Compliance Database'!$J$2:$J$1960,MATCH(1910,Engine!$C$2:$C$1960,0)))</f>
        <v/>
      </c>
      <c r="K1923" s="9">
        <f>IF(ISNA(MATCH(1910,Engine!$C$2:$C$1960,0)),"",INDEX('Compliance Database'!$K$2:$K$1960,MATCH(1910,Engine!$C$2:$C$1960,0)))</f>
        <v/>
      </c>
      <c r="L1923" s="9">
        <f>IF(ISNA(MATCH(1910,Engine!$C$2:$C$1960,0)),"",INDEX('Compliance Database'!$L$2:$L$1960,MATCH(1910,Engine!$C$2:$C$1960,0)))</f>
        <v/>
      </c>
      <c r="M1923" s="9">
        <f>IF(ISNA(MATCH(1910,Engine!$C$2:$C$1960,0)),"",INDEX('Compliance Database'!$M$2:$M$1960,MATCH(1910,Engine!$C$2:$C$1960,0)))</f>
        <v/>
      </c>
      <c r="N1923" s="9">
        <f>IF(ISNA(MATCH(1910,Engine!$C$2:$C$1960,0)),"",INDEX('Compliance Database'!$N$2:$N$1960,MATCH(1910,Engine!$C$2:$C$1960,0)))</f>
        <v/>
      </c>
      <c r="O1923" s="9">
        <f>IF(ISNA(MATCH(1910,Engine!$C$2:$C$1960,0)),"",INDEX('Compliance Database'!$O$2:$O$1960,MATCH(1910,Engine!$C$2:$C$1960,0)))</f>
        <v/>
      </c>
      <c r="P1923" s="8">
        <f>IF(ISNA(MATCH(1910,Engine!$C$2:$C$1960,0)),"",HYPERLINK("#Acts!A"&amp;INDEX('Compliance Database'!$P$2:$P$1960,MATCH(1910,Engine!$C$2:$C$1960,0)),"Go to Act"))</f>
        <v/>
      </c>
    </row>
    <row r="1924" ht="158" customHeight="1">
      <c r="A1924" s="8">
        <f>IF(ISNA(MATCH(1911,Engine!$C$2:$C$1960,0)),"",INDEX('Compliance Database'!$A$2:$A$1960,MATCH(1911,Engine!$C$2:$C$1960,0)))</f>
        <v/>
      </c>
      <c r="B1924" s="8">
        <f>IF(ISNA(MATCH(1911,Engine!$C$2:$C$1960,0)),"",INDEX('Compliance Database'!$B$2:$B$1960,MATCH(1911,Engine!$C$2:$C$1960,0)))</f>
        <v/>
      </c>
      <c r="C1924" s="8">
        <f>IF(ISNA(MATCH(1911,Engine!$C$2:$C$1960,0)),"",INDEX('Compliance Database'!$C$2:$C$1960,MATCH(1911,Engine!$C$2:$C$1960,0)))</f>
        <v/>
      </c>
      <c r="D1924" s="9">
        <f>IF(ISNA(MATCH(1911,Engine!$C$2:$C$1960,0)),"",INDEX('Compliance Database'!$D$2:$D$1960,MATCH(1911,Engine!$C$2:$C$1960,0)))</f>
        <v/>
      </c>
      <c r="E1924" s="8">
        <f>IF(ISNA(MATCH(1911,Engine!$C$2:$C$1960,0)),"",INDEX('Compliance Database'!$E$2:$E$1960,MATCH(1911,Engine!$C$2:$C$1960,0)))</f>
        <v/>
      </c>
      <c r="F1924" s="8">
        <f>IF(ISNA(MATCH(1911,Engine!$C$2:$C$1960,0)),"",INDEX('Compliance Database'!$F$2:$F$1960,MATCH(1911,Engine!$C$2:$C$1960,0)))</f>
        <v/>
      </c>
      <c r="G1924" s="8">
        <f>IF(ISNA(MATCH(1911,Engine!$C$2:$C$1960,0)),"",INDEX('Compliance Database'!$G$2:$G$1960,MATCH(1911,Engine!$C$2:$C$1960,0)))</f>
        <v/>
      </c>
      <c r="H1924" s="9">
        <f>IF(ISNA(MATCH(1911,Engine!$C$2:$C$1960,0)),"",INDEX('Compliance Database'!$H$2:$H$1960,MATCH(1911,Engine!$C$2:$C$1960,0)))</f>
        <v/>
      </c>
      <c r="I1924" s="9">
        <f>IF(ISNA(MATCH(1911,Engine!$C$2:$C$1960,0)),"",INDEX('Compliance Database'!$I$2:$I$1960,MATCH(1911,Engine!$C$2:$C$1960,0)))</f>
        <v/>
      </c>
      <c r="J1924" s="8">
        <f>IF(ISNA(MATCH(1911,Engine!$C$2:$C$1960,0)),"",INDEX('Compliance Database'!$J$2:$J$1960,MATCH(1911,Engine!$C$2:$C$1960,0)))</f>
        <v/>
      </c>
      <c r="K1924" s="9">
        <f>IF(ISNA(MATCH(1911,Engine!$C$2:$C$1960,0)),"",INDEX('Compliance Database'!$K$2:$K$1960,MATCH(1911,Engine!$C$2:$C$1960,0)))</f>
        <v/>
      </c>
      <c r="L1924" s="9">
        <f>IF(ISNA(MATCH(1911,Engine!$C$2:$C$1960,0)),"",INDEX('Compliance Database'!$L$2:$L$1960,MATCH(1911,Engine!$C$2:$C$1960,0)))</f>
        <v/>
      </c>
      <c r="M1924" s="9">
        <f>IF(ISNA(MATCH(1911,Engine!$C$2:$C$1960,0)),"",INDEX('Compliance Database'!$M$2:$M$1960,MATCH(1911,Engine!$C$2:$C$1960,0)))</f>
        <v/>
      </c>
      <c r="N1924" s="9">
        <f>IF(ISNA(MATCH(1911,Engine!$C$2:$C$1960,0)),"",INDEX('Compliance Database'!$N$2:$N$1960,MATCH(1911,Engine!$C$2:$C$1960,0)))</f>
        <v/>
      </c>
      <c r="O1924" s="9">
        <f>IF(ISNA(MATCH(1911,Engine!$C$2:$C$1960,0)),"",INDEX('Compliance Database'!$O$2:$O$1960,MATCH(1911,Engine!$C$2:$C$1960,0)))</f>
        <v/>
      </c>
      <c r="P1924" s="8">
        <f>IF(ISNA(MATCH(1911,Engine!$C$2:$C$1960,0)),"",HYPERLINK("#Acts!A"&amp;INDEX('Compliance Database'!$P$2:$P$1960,MATCH(1911,Engine!$C$2:$C$1960,0)),"Go to Act"))</f>
        <v/>
      </c>
    </row>
    <row r="1925" ht="158" customHeight="1">
      <c r="A1925" s="8">
        <f>IF(ISNA(MATCH(1912,Engine!$C$2:$C$1960,0)),"",INDEX('Compliance Database'!$A$2:$A$1960,MATCH(1912,Engine!$C$2:$C$1960,0)))</f>
        <v/>
      </c>
      <c r="B1925" s="8">
        <f>IF(ISNA(MATCH(1912,Engine!$C$2:$C$1960,0)),"",INDEX('Compliance Database'!$B$2:$B$1960,MATCH(1912,Engine!$C$2:$C$1960,0)))</f>
        <v/>
      </c>
      <c r="C1925" s="8">
        <f>IF(ISNA(MATCH(1912,Engine!$C$2:$C$1960,0)),"",INDEX('Compliance Database'!$C$2:$C$1960,MATCH(1912,Engine!$C$2:$C$1960,0)))</f>
        <v/>
      </c>
      <c r="D1925" s="9">
        <f>IF(ISNA(MATCH(1912,Engine!$C$2:$C$1960,0)),"",INDEX('Compliance Database'!$D$2:$D$1960,MATCH(1912,Engine!$C$2:$C$1960,0)))</f>
        <v/>
      </c>
      <c r="E1925" s="8">
        <f>IF(ISNA(MATCH(1912,Engine!$C$2:$C$1960,0)),"",INDEX('Compliance Database'!$E$2:$E$1960,MATCH(1912,Engine!$C$2:$C$1960,0)))</f>
        <v/>
      </c>
      <c r="F1925" s="8">
        <f>IF(ISNA(MATCH(1912,Engine!$C$2:$C$1960,0)),"",INDEX('Compliance Database'!$F$2:$F$1960,MATCH(1912,Engine!$C$2:$C$1960,0)))</f>
        <v/>
      </c>
      <c r="G1925" s="8">
        <f>IF(ISNA(MATCH(1912,Engine!$C$2:$C$1960,0)),"",INDEX('Compliance Database'!$G$2:$G$1960,MATCH(1912,Engine!$C$2:$C$1960,0)))</f>
        <v/>
      </c>
      <c r="H1925" s="9">
        <f>IF(ISNA(MATCH(1912,Engine!$C$2:$C$1960,0)),"",INDEX('Compliance Database'!$H$2:$H$1960,MATCH(1912,Engine!$C$2:$C$1960,0)))</f>
        <v/>
      </c>
      <c r="I1925" s="9">
        <f>IF(ISNA(MATCH(1912,Engine!$C$2:$C$1960,0)),"",INDEX('Compliance Database'!$I$2:$I$1960,MATCH(1912,Engine!$C$2:$C$1960,0)))</f>
        <v/>
      </c>
      <c r="J1925" s="8">
        <f>IF(ISNA(MATCH(1912,Engine!$C$2:$C$1960,0)),"",INDEX('Compliance Database'!$J$2:$J$1960,MATCH(1912,Engine!$C$2:$C$1960,0)))</f>
        <v/>
      </c>
      <c r="K1925" s="9">
        <f>IF(ISNA(MATCH(1912,Engine!$C$2:$C$1960,0)),"",INDEX('Compliance Database'!$K$2:$K$1960,MATCH(1912,Engine!$C$2:$C$1960,0)))</f>
        <v/>
      </c>
      <c r="L1925" s="9">
        <f>IF(ISNA(MATCH(1912,Engine!$C$2:$C$1960,0)),"",INDEX('Compliance Database'!$L$2:$L$1960,MATCH(1912,Engine!$C$2:$C$1960,0)))</f>
        <v/>
      </c>
      <c r="M1925" s="9">
        <f>IF(ISNA(MATCH(1912,Engine!$C$2:$C$1960,0)),"",INDEX('Compliance Database'!$M$2:$M$1960,MATCH(1912,Engine!$C$2:$C$1960,0)))</f>
        <v/>
      </c>
      <c r="N1925" s="9">
        <f>IF(ISNA(MATCH(1912,Engine!$C$2:$C$1960,0)),"",INDEX('Compliance Database'!$N$2:$N$1960,MATCH(1912,Engine!$C$2:$C$1960,0)))</f>
        <v/>
      </c>
      <c r="O1925" s="9">
        <f>IF(ISNA(MATCH(1912,Engine!$C$2:$C$1960,0)),"",INDEX('Compliance Database'!$O$2:$O$1960,MATCH(1912,Engine!$C$2:$C$1960,0)))</f>
        <v/>
      </c>
      <c r="P1925" s="8">
        <f>IF(ISNA(MATCH(1912,Engine!$C$2:$C$1960,0)),"",HYPERLINK("#Acts!A"&amp;INDEX('Compliance Database'!$P$2:$P$1960,MATCH(1912,Engine!$C$2:$C$1960,0)),"Go to Act"))</f>
        <v/>
      </c>
    </row>
    <row r="1926" ht="158" customHeight="1">
      <c r="A1926" s="8">
        <f>IF(ISNA(MATCH(1913,Engine!$C$2:$C$1960,0)),"",INDEX('Compliance Database'!$A$2:$A$1960,MATCH(1913,Engine!$C$2:$C$1960,0)))</f>
        <v/>
      </c>
      <c r="B1926" s="8">
        <f>IF(ISNA(MATCH(1913,Engine!$C$2:$C$1960,0)),"",INDEX('Compliance Database'!$B$2:$B$1960,MATCH(1913,Engine!$C$2:$C$1960,0)))</f>
        <v/>
      </c>
      <c r="C1926" s="8">
        <f>IF(ISNA(MATCH(1913,Engine!$C$2:$C$1960,0)),"",INDEX('Compliance Database'!$C$2:$C$1960,MATCH(1913,Engine!$C$2:$C$1960,0)))</f>
        <v/>
      </c>
      <c r="D1926" s="9">
        <f>IF(ISNA(MATCH(1913,Engine!$C$2:$C$1960,0)),"",INDEX('Compliance Database'!$D$2:$D$1960,MATCH(1913,Engine!$C$2:$C$1960,0)))</f>
        <v/>
      </c>
      <c r="E1926" s="8">
        <f>IF(ISNA(MATCH(1913,Engine!$C$2:$C$1960,0)),"",INDEX('Compliance Database'!$E$2:$E$1960,MATCH(1913,Engine!$C$2:$C$1960,0)))</f>
        <v/>
      </c>
      <c r="F1926" s="8">
        <f>IF(ISNA(MATCH(1913,Engine!$C$2:$C$1960,0)),"",INDEX('Compliance Database'!$F$2:$F$1960,MATCH(1913,Engine!$C$2:$C$1960,0)))</f>
        <v/>
      </c>
      <c r="G1926" s="8">
        <f>IF(ISNA(MATCH(1913,Engine!$C$2:$C$1960,0)),"",INDEX('Compliance Database'!$G$2:$G$1960,MATCH(1913,Engine!$C$2:$C$1960,0)))</f>
        <v/>
      </c>
      <c r="H1926" s="9">
        <f>IF(ISNA(MATCH(1913,Engine!$C$2:$C$1960,0)),"",INDEX('Compliance Database'!$H$2:$H$1960,MATCH(1913,Engine!$C$2:$C$1960,0)))</f>
        <v/>
      </c>
      <c r="I1926" s="9">
        <f>IF(ISNA(MATCH(1913,Engine!$C$2:$C$1960,0)),"",INDEX('Compliance Database'!$I$2:$I$1960,MATCH(1913,Engine!$C$2:$C$1960,0)))</f>
        <v/>
      </c>
      <c r="J1926" s="8">
        <f>IF(ISNA(MATCH(1913,Engine!$C$2:$C$1960,0)),"",INDEX('Compliance Database'!$J$2:$J$1960,MATCH(1913,Engine!$C$2:$C$1960,0)))</f>
        <v/>
      </c>
      <c r="K1926" s="9">
        <f>IF(ISNA(MATCH(1913,Engine!$C$2:$C$1960,0)),"",INDEX('Compliance Database'!$K$2:$K$1960,MATCH(1913,Engine!$C$2:$C$1960,0)))</f>
        <v/>
      </c>
      <c r="L1926" s="9">
        <f>IF(ISNA(MATCH(1913,Engine!$C$2:$C$1960,0)),"",INDEX('Compliance Database'!$L$2:$L$1960,MATCH(1913,Engine!$C$2:$C$1960,0)))</f>
        <v/>
      </c>
      <c r="M1926" s="9">
        <f>IF(ISNA(MATCH(1913,Engine!$C$2:$C$1960,0)),"",INDEX('Compliance Database'!$M$2:$M$1960,MATCH(1913,Engine!$C$2:$C$1960,0)))</f>
        <v/>
      </c>
      <c r="N1926" s="9">
        <f>IF(ISNA(MATCH(1913,Engine!$C$2:$C$1960,0)),"",INDEX('Compliance Database'!$N$2:$N$1960,MATCH(1913,Engine!$C$2:$C$1960,0)))</f>
        <v/>
      </c>
      <c r="O1926" s="9">
        <f>IF(ISNA(MATCH(1913,Engine!$C$2:$C$1960,0)),"",INDEX('Compliance Database'!$O$2:$O$1960,MATCH(1913,Engine!$C$2:$C$1960,0)))</f>
        <v/>
      </c>
      <c r="P1926" s="8">
        <f>IF(ISNA(MATCH(1913,Engine!$C$2:$C$1960,0)),"",HYPERLINK("#Acts!A"&amp;INDEX('Compliance Database'!$P$2:$P$1960,MATCH(1913,Engine!$C$2:$C$1960,0)),"Go to Act"))</f>
        <v/>
      </c>
    </row>
    <row r="1927" ht="158" customHeight="1">
      <c r="A1927" s="8">
        <f>IF(ISNA(MATCH(1914,Engine!$C$2:$C$1960,0)),"",INDEX('Compliance Database'!$A$2:$A$1960,MATCH(1914,Engine!$C$2:$C$1960,0)))</f>
        <v/>
      </c>
      <c r="B1927" s="8">
        <f>IF(ISNA(MATCH(1914,Engine!$C$2:$C$1960,0)),"",INDEX('Compliance Database'!$B$2:$B$1960,MATCH(1914,Engine!$C$2:$C$1960,0)))</f>
        <v/>
      </c>
      <c r="C1927" s="8">
        <f>IF(ISNA(MATCH(1914,Engine!$C$2:$C$1960,0)),"",INDEX('Compliance Database'!$C$2:$C$1960,MATCH(1914,Engine!$C$2:$C$1960,0)))</f>
        <v/>
      </c>
      <c r="D1927" s="9">
        <f>IF(ISNA(MATCH(1914,Engine!$C$2:$C$1960,0)),"",INDEX('Compliance Database'!$D$2:$D$1960,MATCH(1914,Engine!$C$2:$C$1960,0)))</f>
        <v/>
      </c>
      <c r="E1927" s="8">
        <f>IF(ISNA(MATCH(1914,Engine!$C$2:$C$1960,0)),"",INDEX('Compliance Database'!$E$2:$E$1960,MATCH(1914,Engine!$C$2:$C$1960,0)))</f>
        <v/>
      </c>
      <c r="F1927" s="8">
        <f>IF(ISNA(MATCH(1914,Engine!$C$2:$C$1960,0)),"",INDEX('Compliance Database'!$F$2:$F$1960,MATCH(1914,Engine!$C$2:$C$1960,0)))</f>
        <v/>
      </c>
      <c r="G1927" s="8">
        <f>IF(ISNA(MATCH(1914,Engine!$C$2:$C$1960,0)),"",INDEX('Compliance Database'!$G$2:$G$1960,MATCH(1914,Engine!$C$2:$C$1960,0)))</f>
        <v/>
      </c>
      <c r="H1927" s="9">
        <f>IF(ISNA(MATCH(1914,Engine!$C$2:$C$1960,0)),"",INDEX('Compliance Database'!$H$2:$H$1960,MATCH(1914,Engine!$C$2:$C$1960,0)))</f>
        <v/>
      </c>
      <c r="I1927" s="9">
        <f>IF(ISNA(MATCH(1914,Engine!$C$2:$C$1960,0)),"",INDEX('Compliance Database'!$I$2:$I$1960,MATCH(1914,Engine!$C$2:$C$1960,0)))</f>
        <v/>
      </c>
      <c r="J1927" s="8">
        <f>IF(ISNA(MATCH(1914,Engine!$C$2:$C$1960,0)),"",INDEX('Compliance Database'!$J$2:$J$1960,MATCH(1914,Engine!$C$2:$C$1960,0)))</f>
        <v/>
      </c>
      <c r="K1927" s="9">
        <f>IF(ISNA(MATCH(1914,Engine!$C$2:$C$1960,0)),"",INDEX('Compliance Database'!$K$2:$K$1960,MATCH(1914,Engine!$C$2:$C$1960,0)))</f>
        <v/>
      </c>
      <c r="L1927" s="9">
        <f>IF(ISNA(MATCH(1914,Engine!$C$2:$C$1960,0)),"",INDEX('Compliance Database'!$L$2:$L$1960,MATCH(1914,Engine!$C$2:$C$1960,0)))</f>
        <v/>
      </c>
      <c r="M1927" s="9">
        <f>IF(ISNA(MATCH(1914,Engine!$C$2:$C$1960,0)),"",INDEX('Compliance Database'!$M$2:$M$1960,MATCH(1914,Engine!$C$2:$C$1960,0)))</f>
        <v/>
      </c>
      <c r="N1927" s="9">
        <f>IF(ISNA(MATCH(1914,Engine!$C$2:$C$1960,0)),"",INDEX('Compliance Database'!$N$2:$N$1960,MATCH(1914,Engine!$C$2:$C$1960,0)))</f>
        <v/>
      </c>
      <c r="O1927" s="9">
        <f>IF(ISNA(MATCH(1914,Engine!$C$2:$C$1960,0)),"",INDEX('Compliance Database'!$O$2:$O$1960,MATCH(1914,Engine!$C$2:$C$1960,0)))</f>
        <v/>
      </c>
      <c r="P1927" s="8">
        <f>IF(ISNA(MATCH(1914,Engine!$C$2:$C$1960,0)),"",HYPERLINK("#Acts!A"&amp;INDEX('Compliance Database'!$P$2:$P$1960,MATCH(1914,Engine!$C$2:$C$1960,0)),"Go to Act"))</f>
        <v/>
      </c>
    </row>
    <row r="1928" ht="158" customHeight="1">
      <c r="A1928" s="8">
        <f>IF(ISNA(MATCH(1915,Engine!$C$2:$C$1960,0)),"",INDEX('Compliance Database'!$A$2:$A$1960,MATCH(1915,Engine!$C$2:$C$1960,0)))</f>
        <v/>
      </c>
      <c r="B1928" s="8">
        <f>IF(ISNA(MATCH(1915,Engine!$C$2:$C$1960,0)),"",INDEX('Compliance Database'!$B$2:$B$1960,MATCH(1915,Engine!$C$2:$C$1960,0)))</f>
        <v/>
      </c>
      <c r="C1928" s="8">
        <f>IF(ISNA(MATCH(1915,Engine!$C$2:$C$1960,0)),"",INDEX('Compliance Database'!$C$2:$C$1960,MATCH(1915,Engine!$C$2:$C$1960,0)))</f>
        <v/>
      </c>
      <c r="D1928" s="9">
        <f>IF(ISNA(MATCH(1915,Engine!$C$2:$C$1960,0)),"",INDEX('Compliance Database'!$D$2:$D$1960,MATCH(1915,Engine!$C$2:$C$1960,0)))</f>
        <v/>
      </c>
      <c r="E1928" s="8">
        <f>IF(ISNA(MATCH(1915,Engine!$C$2:$C$1960,0)),"",INDEX('Compliance Database'!$E$2:$E$1960,MATCH(1915,Engine!$C$2:$C$1960,0)))</f>
        <v/>
      </c>
      <c r="F1928" s="8">
        <f>IF(ISNA(MATCH(1915,Engine!$C$2:$C$1960,0)),"",INDEX('Compliance Database'!$F$2:$F$1960,MATCH(1915,Engine!$C$2:$C$1960,0)))</f>
        <v/>
      </c>
      <c r="G1928" s="8">
        <f>IF(ISNA(MATCH(1915,Engine!$C$2:$C$1960,0)),"",INDEX('Compliance Database'!$G$2:$G$1960,MATCH(1915,Engine!$C$2:$C$1960,0)))</f>
        <v/>
      </c>
      <c r="H1928" s="9">
        <f>IF(ISNA(MATCH(1915,Engine!$C$2:$C$1960,0)),"",INDEX('Compliance Database'!$H$2:$H$1960,MATCH(1915,Engine!$C$2:$C$1960,0)))</f>
        <v/>
      </c>
      <c r="I1928" s="9">
        <f>IF(ISNA(MATCH(1915,Engine!$C$2:$C$1960,0)),"",INDEX('Compliance Database'!$I$2:$I$1960,MATCH(1915,Engine!$C$2:$C$1960,0)))</f>
        <v/>
      </c>
      <c r="J1928" s="8">
        <f>IF(ISNA(MATCH(1915,Engine!$C$2:$C$1960,0)),"",INDEX('Compliance Database'!$J$2:$J$1960,MATCH(1915,Engine!$C$2:$C$1960,0)))</f>
        <v/>
      </c>
      <c r="K1928" s="9">
        <f>IF(ISNA(MATCH(1915,Engine!$C$2:$C$1960,0)),"",INDEX('Compliance Database'!$K$2:$K$1960,MATCH(1915,Engine!$C$2:$C$1960,0)))</f>
        <v/>
      </c>
      <c r="L1928" s="9">
        <f>IF(ISNA(MATCH(1915,Engine!$C$2:$C$1960,0)),"",INDEX('Compliance Database'!$L$2:$L$1960,MATCH(1915,Engine!$C$2:$C$1960,0)))</f>
        <v/>
      </c>
      <c r="M1928" s="9">
        <f>IF(ISNA(MATCH(1915,Engine!$C$2:$C$1960,0)),"",INDEX('Compliance Database'!$M$2:$M$1960,MATCH(1915,Engine!$C$2:$C$1960,0)))</f>
        <v/>
      </c>
      <c r="N1928" s="9">
        <f>IF(ISNA(MATCH(1915,Engine!$C$2:$C$1960,0)),"",INDEX('Compliance Database'!$N$2:$N$1960,MATCH(1915,Engine!$C$2:$C$1960,0)))</f>
        <v/>
      </c>
      <c r="O1928" s="9">
        <f>IF(ISNA(MATCH(1915,Engine!$C$2:$C$1960,0)),"",INDEX('Compliance Database'!$O$2:$O$1960,MATCH(1915,Engine!$C$2:$C$1960,0)))</f>
        <v/>
      </c>
      <c r="P1928" s="8">
        <f>IF(ISNA(MATCH(1915,Engine!$C$2:$C$1960,0)),"",HYPERLINK("#Acts!A"&amp;INDEX('Compliance Database'!$P$2:$P$1960,MATCH(1915,Engine!$C$2:$C$1960,0)),"Go to Act"))</f>
        <v/>
      </c>
    </row>
    <row r="1929" ht="158" customHeight="1">
      <c r="A1929" s="8">
        <f>IF(ISNA(MATCH(1916,Engine!$C$2:$C$1960,0)),"",INDEX('Compliance Database'!$A$2:$A$1960,MATCH(1916,Engine!$C$2:$C$1960,0)))</f>
        <v/>
      </c>
      <c r="B1929" s="8">
        <f>IF(ISNA(MATCH(1916,Engine!$C$2:$C$1960,0)),"",INDEX('Compliance Database'!$B$2:$B$1960,MATCH(1916,Engine!$C$2:$C$1960,0)))</f>
        <v/>
      </c>
      <c r="C1929" s="8">
        <f>IF(ISNA(MATCH(1916,Engine!$C$2:$C$1960,0)),"",INDEX('Compliance Database'!$C$2:$C$1960,MATCH(1916,Engine!$C$2:$C$1960,0)))</f>
        <v/>
      </c>
      <c r="D1929" s="9">
        <f>IF(ISNA(MATCH(1916,Engine!$C$2:$C$1960,0)),"",INDEX('Compliance Database'!$D$2:$D$1960,MATCH(1916,Engine!$C$2:$C$1960,0)))</f>
        <v/>
      </c>
      <c r="E1929" s="8">
        <f>IF(ISNA(MATCH(1916,Engine!$C$2:$C$1960,0)),"",INDEX('Compliance Database'!$E$2:$E$1960,MATCH(1916,Engine!$C$2:$C$1960,0)))</f>
        <v/>
      </c>
      <c r="F1929" s="8">
        <f>IF(ISNA(MATCH(1916,Engine!$C$2:$C$1960,0)),"",INDEX('Compliance Database'!$F$2:$F$1960,MATCH(1916,Engine!$C$2:$C$1960,0)))</f>
        <v/>
      </c>
      <c r="G1929" s="8">
        <f>IF(ISNA(MATCH(1916,Engine!$C$2:$C$1960,0)),"",INDEX('Compliance Database'!$G$2:$G$1960,MATCH(1916,Engine!$C$2:$C$1960,0)))</f>
        <v/>
      </c>
      <c r="H1929" s="9">
        <f>IF(ISNA(MATCH(1916,Engine!$C$2:$C$1960,0)),"",INDEX('Compliance Database'!$H$2:$H$1960,MATCH(1916,Engine!$C$2:$C$1960,0)))</f>
        <v/>
      </c>
      <c r="I1929" s="9">
        <f>IF(ISNA(MATCH(1916,Engine!$C$2:$C$1960,0)),"",INDEX('Compliance Database'!$I$2:$I$1960,MATCH(1916,Engine!$C$2:$C$1960,0)))</f>
        <v/>
      </c>
      <c r="J1929" s="8">
        <f>IF(ISNA(MATCH(1916,Engine!$C$2:$C$1960,0)),"",INDEX('Compliance Database'!$J$2:$J$1960,MATCH(1916,Engine!$C$2:$C$1960,0)))</f>
        <v/>
      </c>
      <c r="K1929" s="9">
        <f>IF(ISNA(MATCH(1916,Engine!$C$2:$C$1960,0)),"",INDEX('Compliance Database'!$K$2:$K$1960,MATCH(1916,Engine!$C$2:$C$1960,0)))</f>
        <v/>
      </c>
      <c r="L1929" s="9">
        <f>IF(ISNA(MATCH(1916,Engine!$C$2:$C$1960,0)),"",INDEX('Compliance Database'!$L$2:$L$1960,MATCH(1916,Engine!$C$2:$C$1960,0)))</f>
        <v/>
      </c>
      <c r="M1929" s="9">
        <f>IF(ISNA(MATCH(1916,Engine!$C$2:$C$1960,0)),"",INDEX('Compliance Database'!$M$2:$M$1960,MATCH(1916,Engine!$C$2:$C$1960,0)))</f>
        <v/>
      </c>
      <c r="N1929" s="9">
        <f>IF(ISNA(MATCH(1916,Engine!$C$2:$C$1960,0)),"",INDEX('Compliance Database'!$N$2:$N$1960,MATCH(1916,Engine!$C$2:$C$1960,0)))</f>
        <v/>
      </c>
      <c r="O1929" s="9">
        <f>IF(ISNA(MATCH(1916,Engine!$C$2:$C$1960,0)),"",INDEX('Compliance Database'!$O$2:$O$1960,MATCH(1916,Engine!$C$2:$C$1960,0)))</f>
        <v/>
      </c>
      <c r="P1929" s="8">
        <f>IF(ISNA(MATCH(1916,Engine!$C$2:$C$1960,0)),"",HYPERLINK("#Acts!A"&amp;INDEX('Compliance Database'!$P$2:$P$1960,MATCH(1916,Engine!$C$2:$C$1960,0)),"Go to Act"))</f>
        <v/>
      </c>
    </row>
    <row r="1930" ht="158" customHeight="1">
      <c r="A1930" s="8">
        <f>IF(ISNA(MATCH(1917,Engine!$C$2:$C$1960,0)),"",INDEX('Compliance Database'!$A$2:$A$1960,MATCH(1917,Engine!$C$2:$C$1960,0)))</f>
        <v/>
      </c>
      <c r="B1930" s="8">
        <f>IF(ISNA(MATCH(1917,Engine!$C$2:$C$1960,0)),"",INDEX('Compliance Database'!$B$2:$B$1960,MATCH(1917,Engine!$C$2:$C$1960,0)))</f>
        <v/>
      </c>
      <c r="C1930" s="8">
        <f>IF(ISNA(MATCH(1917,Engine!$C$2:$C$1960,0)),"",INDEX('Compliance Database'!$C$2:$C$1960,MATCH(1917,Engine!$C$2:$C$1960,0)))</f>
        <v/>
      </c>
      <c r="D1930" s="9">
        <f>IF(ISNA(MATCH(1917,Engine!$C$2:$C$1960,0)),"",INDEX('Compliance Database'!$D$2:$D$1960,MATCH(1917,Engine!$C$2:$C$1960,0)))</f>
        <v/>
      </c>
      <c r="E1930" s="8">
        <f>IF(ISNA(MATCH(1917,Engine!$C$2:$C$1960,0)),"",INDEX('Compliance Database'!$E$2:$E$1960,MATCH(1917,Engine!$C$2:$C$1960,0)))</f>
        <v/>
      </c>
      <c r="F1930" s="8">
        <f>IF(ISNA(MATCH(1917,Engine!$C$2:$C$1960,0)),"",INDEX('Compliance Database'!$F$2:$F$1960,MATCH(1917,Engine!$C$2:$C$1960,0)))</f>
        <v/>
      </c>
      <c r="G1930" s="8">
        <f>IF(ISNA(MATCH(1917,Engine!$C$2:$C$1960,0)),"",INDEX('Compliance Database'!$G$2:$G$1960,MATCH(1917,Engine!$C$2:$C$1960,0)))</f>
        <v/>
      </c>
      <c r="H1930" s="9">
        <f>IF(ISNA(MATCH(1917,Engine!$C$2:$C$1960,0)),"",INDEX('Compliance Database'!$H$2:$H$1960,MATCH(1917,Engine!$C$2:$C$1960,0)))</f>
        <v/>
      </c>
      <c r="I1930" s="9">
        <f>IF(ISNA(MATCH(1917,Engine!$C$2:$C$1960,0)),"",INDEX('Compliance Database'!$I$2:$I$1960,MATCH(1917,Engine!$C$2:$C$1960,0)))</f>
        <v/>
      </c>
      <c r="J1930" s="8">
        <f>IF(ISNA(MATCH(1917,Engine!$C$2:$C$1960,0)),"",INDEX('Compliance Database'!$J$2:$J$1960,MATCH(1917,Engine!$C$2:$C$1960,0)))</f>
        <v/>
      </c>
      <c r="K1930" s="9">
        <f>IF(ISNA(MATCH(1917,Engine!$C$2:$C$1960,0)),"",INDEX('Compliance Database'!$K$2:$K$1960,MATCH(1917,Engine!$C$2:$C$1960,0)))</f>
        <v/>
      </c>
      <c r="L1930" s="9">
        <f>IF(ISNA(MATCH(1917,Engine!$C$2:$C$1960,0)),"",INDEX('Compliance Database'!$L$2:$L$1960,MATCH(1917,Engine!$C$2:$C$1960,0)))</f>
        <v/>
      </c>
      <c r="M1930" s="9">
        <f>IF(ISNA(MATCH(1917,Engine!$C$2:$C$1960,0)),"",INDEX('Compliance Database'!$M$2:$M$1960,MATCH(1917,Engine!$C$2:$C$1960,0)))</f>
        <v/>
      </c>
      <c r="N1930" s="9">
        <f>IF(ISNA(MATCH(1917,Engine!$C$2:$C$1960,0)),"",INDEX('Compliance Database'!$N$2:$N$1960,MATCH(1917,Engine!$C$2:$C$1960,0)))</f>
        <v/>
      </c>
      <c r="O1930" s="9">
        <f>IF(ISNA(MATCH(1917,Engine!$C$2:$C$1960,0)),"",INDEX('Compliance Database'!$O$2:$O$1960,MATCH(1917,Engine!$C$2:$C$1960,0)))</f>
        <v/>
      </c>
      <c r="P1930" s="8">
        <f>IF(ISNA(MATCH(1917,Engine!$C$2:$C$1960,0)),"",HYPERLINK("#Acts!A"&amp;INDEX('Compliance Database'!$P$2:$P$1960,MATCH(1917,Engine!$C$2:$C$1960,0)),"Go to Act"))</f>
        <v/>
      </c>
    </row>
    <row r="1931" ht="158" customHeight="1">
      <c r="A1931" s="8">
        <f>IF(ISNA(MATCH(1918,Engine!$C$2:$C$1960,0)),"",INDEX('Compliance Database'!$A$2:$A$1960,MATCH(1918,Engine!$C$2:$C$1960,0)))</f>
        <v/>
      </c>
      <c r="B1931" s="8">
        <f>IF(ISNA(MATCH(1918,Engine!$C$2:$C$1960,0)),"",INDEX('Compliance Database'!$B$2:$B$1960,MATCH(1918,Engine!$C$2:$C$1960,0)))</f>
        <v/>
      </c>
      <c r="C1931" s="8">
        <f>IF(ISNA(MATCH(1918,Engine!$C$2:$C$1960,0)),"",INDEX('Compliance Database'!$C$2:$C$1960,MATCH(1918,Engine!$C$2:$C$1960,0)))</f>
        <v/>
      </c>
      <c r="D1931" s="9">
        <f>IF(ISNA(MATCH(1918,Engine!$C$2:$C$1960,0)),"",INDEX('Compliance Database'!$D$2:$D$1960,MATCH(1918,Engine!$C$2:$C$1960,0)))</f>
        <v/>
      </c>
      <c r="E1931" s="8">
        <f>IF(ISNA(MATCH(1918,Engine!$C$2:$C$1960,0)),"",INDEX('Compliance Database'!$E$2:$E$1960,MATCH(1918,Engine!$C$2:$C$1960,0)))</f>
        <v/>
      </c>
      <c r="F1931" s="8">
        <f>IF(ISNA(MATCH(1918,Engine!$C$2:$C$1960,0)),"",INDEX('Compliance Database'!$F$2:$F$1960,MATCH(1918,Engine!$C$2:$C$1960,0)))</f>
        <v/>
      </c>
      <c r="G1931" s="8">
        <f>IF(ISNA(MATCH(1918,Engine!$C$2:$C$1960,0)),"",INDEX('Compliance Database'!$G$2:$G$1960,MATCH(1918,Engine!$C$2:$C$1960,0)))</f>
        <v/>
      </c>
      <c r="H1931" s="9">
        <f>IF(ISNA(MATCH(1918,Engine!$C$2:$C$1960,0)),"",INDEX('Compliance Database'!$H$2:$H$1960,MATCH(1918,Engine!$C$2:$C$1960,0)))</f>
        <v/>
      </c>
      <c r="I1931" s="9">
        <f>IF(ISNA(MATCH(1918,Engine!$C$2:$C$1960,0)),"",INDEX('Compliance Database'!$I$2:$I$1960,MATCH(1918,Engine!$C$2:$C$1960,0)))</f>
        <v/>
      </c>
      <c r="J1931" s="8">
        <f>IF(ISNA(MATCH(1918,Engine!$C$2:$C$1960,0)),"",INDEX('Compliance Database'!$J$2:$J$1960,MATCH(1918,Engine!$C$2:$C$1960,0)))</f>
        <v/>
      </c>
      <c r="K1931" s="9">
        <f>IF(ISNA(MATCH(1918,Engine!$C$2:$C$1960,0)),"",INDEX('Compliance Database'!$K$2:$K$1960,MATCH(1918,Engine!$C$2:$C$1960,0)))</f>
        <v/>
      </c>
      <c r="L1931" s="9">
        <f>IF(ISNA(MATCH(1918,Engine!$C$2:$C$1960,0)),"",INDEX('Compliance Database'!$L$2:$L$1960,MATCH(1918,Engine!$C$2:$C$1960,0)))</f>
        <v/>
      </c>
      <c r="M1931" s="9">
        <f>IF(ISNA(MATCH(1918,Engine!$C$2:$C$1960,0)),"",INDEX('Compliance Database'!$M$2:$M$1960,MATCH(1918,Engine!$C$2:$C$1960,0)))</f>
        <v/>
      </c>
      <c r="N1931" s="9">
        <f>IF(ISNA(MATCH(1918,Engine!$C$2:$C$1960,0)),"",INDEX('Compliance Database'!$N$2:$N$1960,MATCH(1918,Engine!$C$2:$C$1960,0)))</f>
        <v/>
      </c>
      <c r="O1931" s="9">
        <f>IF(ISNA(MATCH(1918,Engine!$C$2:$C$1960,0)),"",INDEX('Compliance Database'!$O$2:$O$1960,MATCH(1918,Engine!$C$2:$C$1960,0)))</f>
        <v/>
      </c>
      <c r="P1931" s="8">
        <f>IF(ISNA(MATCH(1918,Engine!$C$2:$C$1960,0)),"",HYPERLINK("#Acts!A"&amp;INDEX('Compliance Database'!$P$2:$P$1960,MATCH(1918,Engine!$C$2:$C$1960,0)),"Go to Act"))</f>
        <v/>
      </c>
    </row>
    <row r="1932" ht="158" customHeight="1">
      <c r="A1932" s="8">
        <f>IF(ISNA(MATCH(1919,Engine!$C$2:$C$1960,0)),"",INDEX('Compliance Database'!$A$2:$A$1960,MATCH(1919,Engine!$C$2:$C$1960,0)))</f>
        <v/>
      </c>
      <c r="B1932" s="8">
        <f>IF(ISNA(MATCH(1919,Engine!$C$2:$C$1960,0)),"",INDEX('Compliance Database'!$B$2:$B$1960,MATCH(1919,Engine!$C$2:$C$1960,0)))</f>
        <v/>
      </c>
      <c r="C1932" s="8">
        <f>IF(ISNA(MATCH(1919,Engine!$C$2:$C$1960,0)),"",INDEX('Compliance Database'!$C$2:$C$1960,MATCH(1919,Engine!$C$2:$C$1960,0)))</f>
        <v/>
      </c>
      <c r="D1932" s="9">
        <f>IF(ISNA(MATCH(1919,Engine!$C$2:$C$1960,0)),"",INDEX('Compliance Database'!$D$2:$D$1960,MATCH(1919,Engine!$C$2:$C$1960,0)))</f>
        <v/>
      </c>
      <c r="E1932" s="8">
        <f>IF(ISNA(MATCH(1919,Engine!$C$2:$C$1960,0)),"",INDEX('Compliance Database'!$E$2:$E$1960,MATCH(1919,Engine!$C$2:$C$1960,0)))</f>
        <v/>
      </c>
      <c r="F1932" s="8">
        <f>IF(ISNA(MATCH(1919,Engine!$C$2:$C$1960,0)),"",INDEX('Compliance Database'!$F$2:$F$1960,MATCH(1919,Engine!$C$2:$C$1960,0)))</f>
        <v/>
      </c>
      <c r="G1932" s="8">
        <f>IF(ISNA(MATCH(1919,Engine!$C$2:$C$1960,0)),"",INDEX('Compliance Database'!$G$2:$G$1960,MATCH(1919,Engine!$C$2:$C$1960,0)))</f>
        <v/>
      </c>
      <c r="H1932" s="9">
        <f>IF(ISNA(MATCH(1919,Engine!$C$2:$C$1960,0)),"",INDEX('Compliance Database'!$H$2:$H$1960,MATCH(1919,Engine!$C$2:$C$1960,0)))</f>
        <v/>
      </c>
      <c r="I1932" s="9">
        <f>IF(ISNA(MATCH(1919,Engine!$C$2:$C$1960,0)),"",INDEX('Compliance Database'!$I$2:$I$1960,MATCH(1919,Engine!$C$2:$C$1960,0)))</f>
        <v/>
      </c>
      <c r="J1932" s="8">
        <f>IF(ISNA(MATCH(1919,Engine!$C$2:$C$1960,0)),"",INDEX('Compliance Database'!$J$2:$J$1960,MATCH(1919,Engine!$C$2:$C$1960,0)))</f>
        <v/>
      </c>
      <c r="K1932" s="9">
        <f>IF(ISNA(MATCH(1919,Engine!$C$2:$C$1960,0)),"",INDEX('Compliance Database'!$K$2:$K$1960,MATCH(1919,Engine!$C$2:$C$1960,0)))</f>
        <v/>
      </c>
      <c r="L1932" s="9">
        <f>IF(ISNA(MATCH(1919,Engine!$C$2:$C$1960,0)),"",INDEX('Compliance Database'!$L$2:$L$1960,MATCH(1919,Engine!$C$2:$C$1960,0)))</f>
        <v/>
      </c>
      <c r="M1932" s="9">
        <f>IF(ISNA(MATCH(1919,Engine!$C$2:$C$1960,0)),"",INDEX('Compliance Database'!$M$2:$M$1960,MATCH(1919,Engine!$C$2:$C$1960,0)))</f>
        <v/>
      </c>
      <c r="N1932" s="9">
        <f>IF(ISNA(MATCH(1919,Engine!$C$2:$C$1960,0)),"",INDEX('Compliance Database'!$N$2:$N$1960,MATCH(1919,Engine!$C$2:$C$1960,0)))</f>
        <v/>
      </c>
      <c r="O1932" s="9">
        <f>IF(ISNA(MATCH(1919,Engine!$C$2:$C$1960,0)),"",INDEX('Compliance Database'!$O$2:$O$1960,MATCH(1919,Engine!$C$2:$C$1960,0)))</f>
        <v/>
      </c>
      <c r="P1932" s="8">
        <f>IF(ISNA(MATCH(1919,Engine!$C$2:$C$1960,0)),"",HYPERLINK("#Acts!A"&amp;INDEX('Compliance Database'!$P$2:$P$1960,MATCH(1919,Engine!$C$2:$C$1960,0)),"Go to Act"))</f>
        <v/>
      </c>
    </row>
    <row r="1933" ht="158" customHeight="1">
      <c r="A1933" s="8">
        <f>IF(ISNA(MATCH(1920,Engine!$C$2:$C$1960,0)),"",INDEX('Compliance Database'!$A$2:$A$1960,MATCH(1920,Engine!$C$2:$C$1960,0)))</f>
        <v/>
      </c>
      <c r="B1933" s="8">
        <f>IF(ISNA(MATCH(1920,Engine!$C$2:$C$1960,0)),"",INDEX('Compliance Database'!$B$2:$B$1960,MATCH(1920,Engine!$C$2:$C$1960,0)))</f>
        <v/>
      </c>
      <c r="C1933" s="8">
        <f>IF(ISNA(MATCH(1920,Engine!$C$2:$C$1960,0)),"",INDEX('Compliance Database'!$C$2:$C$1960,MATCH(1920,Engine!$C$2:$C$1960,0)))</f>
        <v/>
      </c>
      <c r="D1933" s="9">
        <f>IF(ISNA(MATCH(1920,Engine!$C$2:$C$1960,0)),"",INDEX('Compliance Database'!$D$2:$D$1960,MATCH(1920,Engine!$C$2:$C$1960,0)))</f>
        <v/>
      </c>
      <c r="E1933" s="8">
        <f>IF(ISNA(MATCH(1920,Engine!$C$2:$C$1960,0)),"",INDEX('Compliance Database'!$E$2:$E$1960,MATCH(1920,Engine!$C$2:$C$1960,0)))</f>
        <v/>
      </c>
      <c r="F1933" s="8">
        <f>IF(ISNA(MATCH(1920,Engine!$C$2:$C$1960,0)),"",INDEX('Compliance Database'!$F$2:$F$1960,MATCH(1920,Engine!$C$2:$C$1960,0)))</f>
        <v/>
      </c>
      <c r="G1933" s="8">
        <f>IF(ISNA(MATCH(1920,Engine!$C$2:$C$1960,0)),"",INDEX('Compliance Database'!$G$2:$G$1960,MATCH(1920,Engine!$C$2:$C$1960,0)))</f>
        <v/>
      </c>
      <c r="H1933" s="9">
        <f>IF(ISNA(MATCH(1920,Engine!$C$2:$C$1960,0)),"",INDEX('Compliance Database'!$H$2:$H$1960,MATCH(1920,Engine!$C$2:$C$1960,0)))</f>
        <v/>
      </c>
      <c r="I1933" s="9">
        <f>IF(ISNA(MATCH(1920,Engine!$C$2:$C$1960,0)),"",INDEX('Compliance Database'!$I$2:$I$1960,MATCH(1920,Engine!$C$2:$C$1960,0)))</f>
        <v/>
      </c>
      <c r="J1933" s="8">
        <f>IF(ISNA(MATCH(1920,Engine!$C$2:$C$1960,0)),"",INDEX('Compliance Database'!$J$2:$J$1960,MATCH(1920,Engine!$C$2:$C$1960,0)))</f>
        <v/>
      </c>
      <c r="K1933" s="9">
        <f>IF(ISNA(MATCH(1920,Engine!$C$2:$C$1960,0)),"",INDEX('Compliance Database'!$K$2:$K$1960,MATCH(1920,Engine!$C$2:$C$1960,0)))</f>
        <v/>
      </c>
      <c r="L1933" s="9">
        <f>IF(ISNA(MATCH(1920,Engine!$C$2:$C$1960,0)),"",INDEX('Compliance Database'!$L$2:$L$1960,MATCH(1920,Engine!$C$2:$C$1960,0)))</f>
        <v/>
      </c>
      <c r="M1933" s="9">
        <f>IF(ISNA(MATCH(1920,Engine!$C$2:$C$1960,0)),"",INDEX('Compliance Database'!$M$2:$M$1960,MATCH(1920,Engine!$C$2:$C$1960,0)))</f>
        <v/>
      </c>
      <c r="N1933" s="9">
        <f>IF(ISNA(MATCH(1920,Engine!$C$2:$C$1960,0)),"",INDEX('Compliance Database'!$N$2:$N$1960,MATCH(1920,Engine!$C$2:$C$1960,0)))</f>
        <v/>
      </c>
      <c r="O1933" s="9">
        <f>IF(ISNA(MATCH(1920,Engine!$C$2:$C$1960,0)),"",INDEX('Compliance Database'!$O$2:$O$1960,MATCH(1920,Engine!$C$2:$C$1960,0)))</f>
        <v/>
      </c>
      <c r="P1933" s="8">
        <f>IF(ISNA(MATCH(1920,Engine!$C$2:$C$1960,0)),"",HYPERLINK("#Acts!A"&amp;INDEX('Compliance Database'!$P$2:$P$1960,MATCH(1920,Engine!$C$2:$C$1960,0)),"Go to Act"))</f>
        <v/>
      </c>
    </row>
    <row r="1934" ht="158" customHeight="1">
      <c r="A1934" s="8">
        <f>IF(ISNA(MATCH(1921,Engine!$C$2:$C$1960,0)),"",INDEX('Compliance Database'!$A$2:$A$1960,MATCH(1921,Engine!$C$2:$C$1960,0)))</f>
        <v/>
      </c>
      <c r="B1934" s="8">
        <f>IF(ISNA(MATCH(1921,Engine!$C$2:$C$1960,0)),"",INDEX('Compliance Database'!$B$2:$B$1960,MATCH(1921,Engine!$C$2:$C$1960,0)))</f>
        <v/>
      </c>
      <c r="C1934" s="8">
        <f>IF(ISNA(MATCH(1921,Engine!$C$2:$C$1960,0)),"",INDEX('Compliance Database'!$C$2:$C$1960,MATCH(1921,Engine!$C$2:$C$1960,0)))</f>
        <v/>
      </c>
      <c r="D1934" s="9">
        <f>IF(ISNA(MATCH(1921,Engine!$C$2:$C$1960,0)),"",INDEX('Compliance Database'!$D$2:$D$1960,MATCH(1921,Engine!$C$2:$C$1960,0)))</f>
        <v/>
      </c>
      <c r="E1934" s="8">
        <f>IF(ISNA(MATCH(1921,Engine!$C$2:$C$1960,0)),"",INDEX('Compliance Database'!$E$2:$E$1960,MATCH(1921,Engine!$C$2:$C$1960,0)))</f>
        <v/>
      </c>
      <c r="F1934" s="8">
        <f>IF(ISNA(MATCH(1921,Engine!$C$2:$C$1960,0)),"",INDEX('Compliance Database'!$F$2:$F$1960,MATCH(1921,Engine!$C$2:$C$1960,0)))</f>
        <v/>
      </c>
      <c r="G1934" s="8">
        <f>IF(ISNA(MATCH(1921,Engine!$C$2:$C$1960,0)),"",INDEX('Compliance Database'!$G$2:$G$1960,MATCH(1921,Engine!$C$2:$C$1960,0)))</f>
        <v/>
      </c>
      <c r="H1934" s="9">
        <f>IF(ISNA(MATCH(1921,Engine!$C$2:$C$1960,0)),"",INDEX('Compliance Database'!$H$2:$H$1960,MATCH(1921,Engine!$C$2:$C$1960,0)))</f>
        <v/>
      </c>
      <c r="I1934" s="9">
        <f>IF(ISNA(MATCH(1921,Engine!$C$2:$C$1960,0)),"",INDEX('Compliance Database'!$I$2:$I$1960,MATCH(1921,Engine!$C$2:$C$1960,0)))</f>
        <v/>
      </c>
      <c r="J1934" s="8">
        <f>IF(ISNA(MATCH(1921,Engine!$C$2:$C$1960,0)),"",INDEX('Compliance Database'!$J$2:$J$1960,MATCH(1921,Engine!$C$2:$C$1960,0)))</f>
        <v/>
      </c>
      <c r="K1934" s="9">
        <f>IF(ISNA(MATCH(1921,Engine!$C$2:$C$1960,0)),"",INDEX('Compliance Database'!$K$2:$K$1960,MATCH(1921,Engine!$C$2:$C$1960,0)))</f>
        <v/>
      </c>
      <c r="L1934" s="9">
        <f>IF(ISNA(MATCH(1921,Engine!$C$2:$C$1960,0)),"",INDEX('Compliance Database'!$L$2:$L$1960,MATCH(1921,Engine!$C$2:$C$1960,0)))</f>
        <v/>
      </c>
      <c r="M1934" s="9">
        <f>IF(ISNA(MATCH(1921,Engine!$C$2:$C$1960,0)),"",INDEX('Compliance Database'!$M$2:$M$1960,MATCH(1921,Engine!$C$2:$C$1960,0)))</f>
        <v/>
      </c>
      <c r="N1934" s="9">
        <f>IF(ISNA(MATCH(1921,Engine!$C$2:$C$1960,0)),"",INDEX('Compliance Database'!$N$2:$N$1960,MATCH(1921,Engine!$C$2:$C$1960,0)))</f>
        <v/>
      </c>
      <c r="O1934" s="9">
        <f>IF(ISNA(MATCH(1921,Engine!$C$2:$C$1960,0)),"",INDEX('Compliance Database'!$O$2:$O$1960,MATCH(1921,Engine!$C$2:$C$1960,0)))</f>
        <v/>
      </c>
      <c r="P1934" s="8">
        <f>IF(ISNA(MATCH(1921,Engine!$C$2:$C$1960,0)),"",HYPERLINK("#Acts!A"&amp;INDEX('Compliance Database'!$P$2:$P$1960,MATCH(1921,Engine!$C$2:$C$1960,0)),"Go to Act"))</f>
        <v/>
      </c>
    </row>
    <row r="1935" ht="158" customHeight="1">
      <c r="A1935" s="8">
        <f>IF(ISNA(MATCH(1922,Engine!$C$2:$C$1960,0)),"",INDEX('Compliance Database'!$A$2:$A$1960,MATCH(1922,Engine!$C$2:$C$1960,0)))</f>
        <v/>
      </c>
      <c r="B1935" s="8">
        <f>IF(ISNA(MATCH(1922,Engine!$C$2:$C$1960,0)),"",INDEX('Compliance Database'!$B$2:$B$1960,MATCH(1922,Engine!$C$2:$C$1960,0)))</f>
        <v/>
      </c>
      <c r="C1935" s="8">
        <f>IF(ISNA(MATCH(1922,Engine!$C$2:$C$1960,0)),"",INDEX('Compliance Database'!$C$2:$C$1960,MATCH(1922,Engine!$C$2:$C$1960,0)))</f>
        <v/>
      </c>
      <c r="D1935" s="9">
        <f>IF(ISNA(MATCH(1922,Engine!$C$2:$C$1960,0)),"",INDEX('Compliance Database'!$D$2:$D$1960,MATCH(1922,Engine!$C$2:$C$1960,0)))</f>
        <v/>
      </c>
      <c r="E1935" s="8">
        <f>IF(ISNA(MATCH(1922,Engine!$C$2:$C$1960,0)),"",INDEX('Compliance Database'!$E$2:$E$1960,MATCH(1922,Engine!$C$2:$C$1960,0)))</f>
        <v/>
      </c>
      <c r="F1935" s="8">
        <f>IF(ISNA(MATCH(1922,Engine!$C$2:$C$1960,0)),"",INDEX('Compliance Database'!$F$2:$F$1960,MATCH(1922,Engine!$C$2:$C$1960,0)))</f>
        <v/>
      </c>
      <c r="G1935" s="8">
        <f>IF(ISNA(MATCH(1922,Engine!$C$2:$C$1960,0)),"",INDEX('Compliance Database'!$G$2:$G$1960,MATCH(1922,Engine!$C$2:$C$1960,0)))</f>
        <v/>
      </c>
      <c r="H1935" s="9">
        <f>IF(ISNA(MATCH(1922,Engine!$C$2:$C$1960,0)),"",INDEX('Compliance Database'!$H$2:$H$1960,MATCH(1922,Engine!$C$2:$C$1960,0)))</f>
        <v/>
      </c>
      <c r="I1935" s="9">
        <f>IF(ISNA(MATCH(1922,Engine!$C$2:$C$1960,0)),"",INDEX('Compliance Database'!$I$2:$I$1960,MATCH(1922,Engine!$C$2:$C$1960,0)))</f>
        <v/>
      </c>
      <c r="J1935" s="8">
        <f>IF(ISNA(MATCH(1922,Engine!$C$2:$C$1960,0)),"",INDEX('Compliance Database'!$J$2:$J$1960,MATCH(1922,Engine!$C$2:$C$1960,0)))</f>
        <v/>
      </c>
      <c r="K1935" s="9">
        <f>IF(ISNA(MATCH(1922,Engine!$C$2:$C$1960,0)),"",INDEX('Compliance Database'!$K$2:$K$1960,MATCH(1922,Engine!$C$2:$C$1960,0)))</f>
        <v/>
      </c>
      <c r="L1935" s="9">
        <f>IF(ISNA(MATCH(1922,Engine!$C$2:$C$1960,0)),"",INDEX('Compliance Database'!$L$2:$L$1960,MATCH(1922,Engine!$C$2:$C$1960,0)))</f>
        <v/>
      </c>
      <c r="M1935" s="9">
        <f>IF(ISNA(MATCH(1922,Engine!$C$2:$C$1960,0)),"",INDEX('Compliance Database'!$M$2:$M$1960,MATCH(1922,Engine!$C$2:$C$1960,0)))</f>
        <v/>
      </c>
      <c r="N1935" s="9">
        <f>IF(ISNA(MATCH(1922,Engine!$C$2:$C$1960,0)),"",INDEX('Compliance Database'!$N$2:$N$1960,MATCH(1922,Engine!$C$2:$C$1960,0)))</f>
        <v/>
      </c>
      <c r="O1935" s="9">
        <f>IF(ISNA(MATCH(1922,Engine!$C$2:$C$1960,0)),"",INDEX('Compliance Database'!$O$2:$O$1960,MATCH(1922,Engine!$C$2:$C$1960,0)))</f>
        <v/>
      </c>
      <c r="P1935" s="8">
        <f>IF(ISNA(MATCH(1922,Engine!$C$2:$C$1960,0)),"",HYPERLINK("#Acts!A"&amp;INDEX('Compliance Database'!$P$2:$P$1960,MATCH(1922,Engine!$C$2:$C$1960,0)),"Go to Act"))</f>
        <v/>
      </c>
    </row>
    <row r="1936" ht="158" customHeight="1">
      <c r="A1936" s="8">
        <f>IF(ISNA(MATCH(1923,Engine!$C$2:$C$1960,0)),"",INDEX('Compliance Database'!$A$2:$A$1960,MATCH(1923,Engine!$C$2:$C$1960,0)))</f>
        <v/>
      </c>
      <c r="B1936" s="8">
        <f>IF(ISNA(MATCH(1923,Engine!$C$2:$C$1960,0)),"",INDEX('Compliance Database'!$B$2:$B$1960,MATCH(1923,Engine!$C$2:$C$1960,0)))</f>
        <v/>
      </c>
      <c r="C1936" s="8">
        <f>IF(ISNA(MATCH(1923,Engine!$C$2:$C$1960,0)),"",INDEX('Compliance Database'!$C$2:$C$1960,MATCH(1923,Engine!$C$2:$C$1960,0)))</f>
        <v/>
      </c>
      <c r="D1936" s="9">
        <f>IF(ISNA(MATCH(1923,Engine!$C$2:$C$1960,0)),"",INDEX('Compliance Database'!$D$2:$D$1960,MATCH(1923,Engine!$C$2:$C$1960,0)))</f>
        <v/>
      </c>
      <c r="E1936" s="8">
        <f>IF(ISNA(MATCH(1923,Engine!$C$2:$C$1960,0)),"",INDEX('Compliance Database'!$E$2:$E$1960,MATCH(1923,Engine!$C$2:$C$1960,0)))</f>
        <v/>
      </c>
      <c r="F1936" s="8">
        <f>IF(ISNA(MATCH(1923,Engine!$C$2:$C$1960,0)),"",INDEX('Compliance Database'!$F$2:$F$1960,MATCH(1923,Engine!$C$2:$C$1960,0)))</f>
        <v/>
      </c>
      <c r="G1936" s="8">
        <f>IF(ISNA(MATCH(1923,Engine!$C$2:$C$1960,0)),"",INDEX('Compliance Database'!$G$2:$G$1960,MATCH(1923,Engine!$C$2:$C$1960,0)))</f>
        <v/>
      </c>
      <c r="H1936" s="9">
        <f>IF(ISNA(MATCH(1923,Engine!$C$2:$C$1960,0)),"",INDEX('Compliance Database'!$H$2:$H$1960,MATCH(1923,Engine!$C$2:$C$1960,0)))</f>
        <v/>
      </c>
      <c r="I1936" s="9">
        <f>IF(ISNA(MATCH(1923,Engine!$C$2:$C$1960,0)),"",INDEX('Compliance Database'!$I$2:$I$1960,MATCH(1923,Engine!$C$2:$C$1960,0)))</f>
        <v/>
      </c>
      <c r="J1936" s="8">
        <f>IF(ISNA(MATCH(1923,Engine!$C$2:$C$1960,0)),"",INDEX('Compliance Database'!$J$2:$J$1960,MATCH(1923,Engine!$C$2:$C$1960,0)))</f>
        <v/>
      </c>
      <c r="K1936" s="9">
        <f>IF(ISNA(MATCH(1923,Engine!$C$2:$C$1960,0)),"",INDEX('Compliance Database'!$K$2:$K$1960,MATCH(1923,Engine!$C$2:$C$1960,0)))</f>
        <v/>
      </c>
      <c r="L1936" s="9">
        <f>IF(ISNA(MATCH(1923,Engine!$C$2:$C$1960,0)),"",INDEX('Compliance Database'!$L$2:$L$1960,MATCH(1923,Engine!$C$2:$C$1960,0)))</f>
        <v/>
      </c>
      <c r="M1936" s="9">
        <f>IF(ISNA(MATCH(1923,Engine!$C$2:$C$1960,0)),"",INDEX('Compliance Database'!$M$2:$M$1960,MATCH(1923,Engine!$C$2:$C$1960,0)))</f>
        <v/>
      </c>
      <c r="N1936" s="9">
        <f>IF(ISNA(MATCH(1923,Engine!$C$2:$C$1960,0)),"",INDEX('Compliance Database'!$N$2:$N$1960,MATCH(1923,Engine!$C$2:$C$1960,0)))</f>
        <v/>
      </c>
      <c r="O1936" s="9">
        <f>IF(ISNA(MATCH(1923,Engine!$C$2:$C$1960,0)),"",INDEX('Compliance Database'!$O$2:$O$1960,MATCH(1923,Engine!$C$2:$C$1960,0)))</f>
        <v/>
      </c>
      <c r="P1936" s="8">
        <f>IF(ISNA(MATCH(1923,Engine!$C$2:$C$1960,0)),"",HYPERLINK("#Acts!A"&amp;INDEX('Compliance Database'!$P$2:$P$1960,MATCH(1923,Engine!$C$2:$C$1960,0)),"Go to Act"))</f>
        <v/>
      </c>
    </row>
    <row r="1937" ht="158" customHeight="1">
      <c r="A1937" s="8">
        <f>IF(ISNA(MATCH(1924,Engine!$C$2:$C$1960,0)),"",INDEX('Compliance Database'!$A$2:$A$1960,MATCH(1924,Engine!$C$2:$C$1960,0)))</f>
        <v/>
      </c>
      <c r="B1937" s="8">
        <f>IF(ISNA(MATCH(1924,Engine!$C$2:$C$1960,0)),"",INDEX('Compliance Database'!$B$2:$B$1960,MATCH(1924,Engine!$C$2:$C$1960,0)))</f>
        <v/>
      </c>
      <c r="C1937" s="8">
        <f>IF(ISNA(MATCH(1924,Engine!$C$2:$C$1960,0)),"",INDEX('Compliance Database'!$C$2:$C$1960,MATCH(1924,Engine!$C$2:$C$1960,0)))</f>
        <v/>
      </c>
      <c r="D1937" s="9">
        <f>IF(ISNA(MATCH(1924,Engine!$C$2:$C$1960,0)),"",INDEX('Compliance Database'!$D$2:$D$1960,MATCH(1924,Engine!$C$2:$C$1960,0)))</f>
        <v/>
      </c>
      <c r="E1937" s="8">
        <f>IF(ISNA(MATCH(1924,Engine!$C$2:$C$1960,0)),"",INDEX('Compliance Database'!$E$2:$E$1960,MATCH(1924,Engine!$C$2:$C$1960,0)))</f>
        <v/>
      </c>
      <c r="F1937" s="8">
        <f>IF(ISNA(MATCH(1924,Engine!$C$2:$C$1960,0)),"",INDEX('Compliance Database'!$F$2:$F$1960,MATCH(1924,Engine!$C$2:$C$1960,0)))</f>
        <v/>
      </c>
      <c r="G1937" s="8">
        <f>IF(ISNA(MATCH(1924,Engine!$C$2:$C$1960,0)),"",INDEX('Compliance Database'!$G$2:$G$1960,MATCH(1924,Engine!$C$2:$C$1960,0)))</f>
        <v/>
      </c>
      <c r="H1937" s="9">
        <f>IF(ISNA(MATCH(1924,Engine!$C$2:$C$1960,0)),"",INDEX('Compliance Database'!$H$2:$H$1960,MATCH(1924,Engine!$C$2:$C$1960,0)))</f>
        <v/>
      </c>
      <c r="I1937" s="9">
        <f>IF(ISNA(MATCH(1924,Engine!$C$2:$C$1960,0)),"",INDEX('Compliance Database'!$I$2:$I$1960,MATCH(1924,Engine!$C$2:$C$1960,0)))</f>
        <v/>
      </c>
      <c r="J1937" s="8">
        <f>IF(ISNA(MATCH(1924,Engine!$C$2:$C$1960,0)),"",INDEX('Compliance Database'!$J$2:$J$1960,MATCH(1924,Engine!$C$2:$C$1960,0)))</f>
        <v/>
      </c>
      <c r="K1937" s="9">
        <f>IF(ISNA(MATCH(1924,Engine!$C$2:$C$1960,0)),"",INDEX('Compliance Database'!$K$2:$K$1960,MATCH(1924,Engine!$C$2:$C$1960,0)))</f>
        <v/>
      </c>
      <c r="L1937" s="9">
        <f>IF(ISNA(MATCH(1924,Engine!$C$2:$C$1960,0)),"",INDEX('Compliance Database'!$L$2:$L$1960,MATCH(1924,Engine!$C$2:$C$1960,0)))</f>
        <v/>
      </c>
      <c r="M1937" s="9">
        <f>IF(ISNA(MATCH(1924,Engine!$C$2:$C$1960,0)),"",INDEX('Compliance Database'!$M$2:$M$1960,MATCH(1924,Engine!$C$2:$C$1960,0)))</f>
        <v/>
      </c>
      <c r="N1937" s="9">
        <f>IF(ISNA(MATCH(1924,Engine!$C$2:$C$1960,0)),"",INDEX('Compliance Database'!$N$2:$N$1960,MATCH(1924,Engine!$C$2:$C$1960,0)))</f>
        <v/>
      </c>
      <c r="O1937" s="9">
        <f>IF(ISNA(MATCH(1924,Engine!$C$2:$C$1960,0)),"",INDEX('Compliance Database'!$O$2:$O$1960,MATCH(1924,Engine!$C$2:$C$1960,0)))</f>
        <v/>
      </c>
      <c r="P1937" s="8">
        <f>IF(ISNA(MATCH(1924,Engine!$C$2:$C$1960,0)),"",HYPERLINK("#Acts!A"&amp;INDEX('Compliance Database'!$P$2:$P$1960,MATCH(1924,Engine!$C$2:$C$1960,0)),"Go to Act"))</f>
        <v/>
      </c>
    </row>
    <row r="1938" ht="158" customHeight="1">
      <c r="A1938" s="8">
        <f>IF(ISNA(MATCH(1925,Engine!$C$2:$C$1960,0)),"",INDEX('Compliance Database'!$A$2:$A$1960,MATCH(1925,Engine!$C$2:$C$1960,0)))</f>
        <v/>
      </c>
      <c r="B1938" s="8">
        <f>IF(ISNA(MATCH(1925,Engine!$C$2:$C$1960,0)),"",INDEX('Compliance Database'!$B$2:$B$1960,MATCH(1925,Engine!$C$2:$C$1960,0)))</f>
        <v/>
      </c>
      <c r="C1938" s="8">
        <f>IF(ISNA(MATCH(1925,Engine!$C$2:$C$1960,0)),"",INDEX('Compliance Database'!$C$2:$C$1960,MATCH(1925,Engine!$C$2:$C$1960,0)))</f>
        <v/>
      </c>
      <c r="D1938" s="9">
        <f>IF(ISNA(MATCH(1925,Engine!$C$2:$C$1960,0)),"",INDEX('Compliance Database'!$D$2:$D$1960,MATCH(1925,Engine!$C$2:$C$1960,0)))</f>
        <v/>
      </c>
      <c r="E1938" s="8">
        <f>IF(ISNA(MATCH(1925,Engine!$C$2:$C$1960,0)),"",INDEX('Compliance Database'!$E$2:$E$1960,MATCH(1925,Engine!$C$2:$C$1960,0)))</f>
        <v/>
      </c>
      <c r="F1938" s="8">
        <f>IF(ISNA(MATCH(1925,Engine!$C$2:$C$1960,0)),"",INDEX('Compliance Database'!$F$2:$F$1960,MATCH(1925,Engine!$C$2:$C$1960,0)))</f>
        <v/>
      </c>
      <c r="G1938" s="8">
        <f>IF(ISNA(MATCH(1925,Engine!$C$2:$C$1960,0)),"",INDEX('Compliance Database'!$G$2:$G$1960,MATCH(1925,Engine!$C$2:$C$1960,0)))</f>
        <v/>
      </c>
      <c r="H1938" s="9">
        <f>IF(ISNA(MATCH(1925,Engine!$C$2:$C$1960,0)),"",INDEX('Compliance Database'!$H$2:$H$1960,MATCH(1925,Engine!$C$2:$C$1960,0)))</f>
        <v/>
      </c>
      <c r="I1938" s="9">
        <f>IF(ISNA(MATCH(1925,Engine!$C$2:$C$1960,0)),"",INDEX('Compliance Database'!$I$2:$I$1960,MATCH(1925,Engine!$C$2:$C$1960,0)))</f>
        <v/>
      </c>
      <c r="J1938" s="8">
        <f>IF(ISNA(MATCH(1925,Engine!$C$2:$C$1960,0)),"",INDEX('Compliance Database'!$J$2:$J$1960,MATCH(1925,Engine!$C$2:$C$1960,0)))</f>
        <v/>
      </c>
      <c r="K1938" s="9">
        <f>IF(ISNA(MATCH(1925,Engine!$C$2:$C$1960,0)),"",INDEX('Compliance Database'!$K$2:$K$1960,MATCH(1925,Engine!$C$2:$C$1960,0)))</f>
        <v/>
      </c>
      <c r="L1938" s="9">
        <f>IF(ISNA(MATCH(1925,Engine!$C$2:$C$1960,0)),"",INDEX('Compliance Database'!$L$2:$L$1960,MATCH(1925,Engine!$C$2:$C$1960,0)))</f>
        <v/>
      </c>
      <c r="M1938" s="9">
        <f>IF(ISNA(MATCH(1925,Engine!$C$2:$C$1960,0)),"",INDEX('Compliance Database'!$M$2:$M$1960,MATCH(1925,Engine!$C$2:$C$1960,0)))</f>
        <v/>
      </c>
      <c r="N1938" s="9">
        <f>IF(ISNA(MATCH(1925,Engine!$C$2:$C$1960,0)),"",INDEX('Compliance Database'!$N$2:$N$1960,MATCH(1925,Engine!$C$2:$C$1960,0)))</f>
        <v/>
      </c>
      <c r="O1938" s="9">
        <f>IF(ISNA(MATCH(1925,Engine!$C$2:$C$1960,0)),"",INDEX('Compliance Database'!$O$2:$O$1960,MATCH(1925,Engine!$C$2:$C$1960,0)))</f>
        <v/>
      </c>
      <c r="P1938" s="8">
        <f>IF(ISNA(MATCH(1925,Engine!$C$2:$C$1960,0)),"",HYPERLINK("#Acts!A"&amp;INDEX('Compliance Database'!$P$2:$P$1960,MATCH(1925,Engine!$C$2:$C$1960,0)),"Go to Act"))</f>
        <v/>
      </c>
    </row>
    <row r="1939" ht="158" customHeight="1">
      <c r="A1939" s="8">
        <f>IF(ISNA(MATCH(1926,Engine!$C$2:$C$1960,0)),"",INDEX('Compliance Database'!$A$2:$A$1960,MATCH(1926,Engine!$C$2:$C$1960,0)))</f>
        <v/>
      </c>
      <c r="B1939" s="8">
        <f>IF(ISNA(MATCH(1926,Engine!$C$2:$C$1960,0)),"",INDEX('Compliance Database'!$B$2:$B$1960,MATCH(1926,Engine!$C$2:$C$1960,0)))</f>
        <v/>
      </c>
      <c r="C1939" s="8">
        <f>IF(ISNA(MATCH(1926,Engine!$C$2:$C$1960,0)),"",INDEX('Compliance Database'!$C$2:$C$1960,MATCH(1926,Engine!$C$2:$C$1960,0)))</f>
        <v/>
      </c>
      <c r="D1939" s="9">
        <f>IF(ISNA(MATCH(1926,Engine!$C$2:$C$1960,0)),"",INDEX('Compliance Database'!$D$2:$D$1960,MATCH(1926,Engine!$C$2:$C$1960,0)))</f>
        <v/>
      </c>
      <c r="E1939" s="8">
        <f>IF(ISNA(MATCH(1926,Engine!$C$2:$C$1960,0)),"",INDEX('Compliance Database'!$E$2:$E$1960,MATCH(1926,Engine!$C$2:$C$1960,0)))</f>
        <v/>
      </c>
      <c r="F1939" s="8">
        <f>IF(ISNA(MATCH(1926,Engine!$C$2:$C$1960,0)),"",INDEX('Compliance Database'!$F$2:$F$1960,MATCH(1926,Engine!$C$2:$C$1960,0)))</f>
        <v/>
      </c>
      <c r="G1939" s="8">
        <f>IF(ISNA(MATCH(1926,Engine!$C$2:$C$1960,0)),"",INDEX('Compliance Database'!$G$2:$G$1960,MATCH(1926,Engine!$C$2:$C$1960,0)))</f>
        <v/>
      </c>
      <c r="H1939" s="9">
        <f>IF(ISNA(MATCH(1926,Engine!$C$2:$C$1960,0)),"",INDEX('Compliance Database'!$H$2:$H$1960,MATCH(1926,Engine!$C$2:$C$1960,0)))</f>
        <v/>
      </c>
      <c r="I1939" s="9">
        <f>IF(ISNA(MATCH(1926,Engine!$C$2:$C$1960,0)),"",INDEX('Compliance Database'!$I$2:$I$1960,MATCH(1926,Engine!$C$2:$C$1960,0)))</f>
        <v/>
      </c>
      <c r="J1939" s="8">
        <f>IF(ISNA(MATCH(1926,Engine!$C$2:$C$1960,0)),"",INDEX('Compliance Database'!$J$2:$J$1960,MATCH(1926,Engine!$C$2:$C$1960,0)))</f>
        <v/>
      </c>
      <c r="K1939" s="9">
        <f>IF(ISNA(MATCH(1926,Engine!$C$2:$C$1960,0)),"",INDEX('Compliance Database'!$K$2:$K$1960,MATCH(1926,Engine!$C$2:$C$1960,0)))</f>
        <v/>
      </c>
      <c r="L1939" s="9">
        <f>IF(ISNA(MATCH(1926,Engine!$C$2:$C$1960,0)),"",INDEX('Compliance Database'!$L$2:$L$1960,MATCH(1926,Engine!$C$2:$C$1960,0)))</f>
        <v/>
      </c>
      <c r="M1939" s="9">
        <f>IF(ISNA(MATCH(1926,Engine!$C$2:$C$1960,0)),"",INDEX('Compliance Database'!$M$2:$M$1960,MATCH(1926,Engine!$C$2:$C$1960,0)))</f>
        <v/>
      </c>
      <c r="N1939" s="9">
        <f>IF(ISNA(MATCH(1926,Engine!$C$2:$C$1960,0)),"",INDEX('Compliance Database'!$N$2:$N$1960,MATCH(1926,Engine!$C$2:$C$1960,0)))</f>
        <v/>
      </c>
      <c r="O1939" s="9">
        <f>IF(ISNA(MATCH(1926,Engine!$C$2:$C$1960,0)),"",INDEX('Compliance Database'!$O$2:$O$1960,MATCH(1926,Engine!$C$2:$C$1960,0)))</f>
        <v/>
      </c>
      <c r="P1939" s="8">
        <f>IF(ISNA(MATCH(1926,Engine!$C$2:$C$1960,0)),"",HYPERLINK("#Acts!A"&amp;INDEX('Compliance Database'!$P$2:$P$1960,MATCH(1926,Engine!$C$2:$C$1960,0)),"Go to Act"))</f>
        <v/>
      </c>
    </row>
    <row r="1940" ht="158" customHeight="1">
      <c r="A1940" s="8">
        <f>IF(ISNA(MATCH(1927,Engine!$C$2:$C$1960,0)),"",INDEX('Compliance Database'!$A$2:$A$1960,MATCH(1927,Engine!$C$2:$C$1960,0)))</f>
        <v/>
      </c>
      <c r="B1940" s="8">
        <f>IF(ISNA(MATCH(1927,Engine!$C$2:$C$1960,0)),"",INDEX('Compliance Database'!$B$2:$B$1960,MATCH(1927,Engine!$C$2:$C$1960,0)))</f>
        <v/>
      </c>
      <c r="C1940" s="8">
        <f>IF(ISNA(MATCH(1927,Engine!$C$2:$C$1960,0)),"",INDEX('Compliance Database'!$C$2:$C$1960,MATCH(1927,Engine!$C$2:$C$1960,0)))</f>
        <v/>
      </c>
      <c r="D1940" s="9">
        <f>IF(ISNA(MATCH(1927,Engine!$C$2:$C$1960,0)),"",INDEX('Compliance Database'!$D$2:$D$1960,MATCH(1927,Engine!$C$2:$C$1960,0)))</f>
        <v/>
      </c>
      <c r="E1940" s="8">
        <f>IF(ISNA(MATCH(1927,Engine!$C$2:$C$1960,0)),"",INDEX('Compliance Database'!$E$2:$E$1960,MATCH(1927,Engine!$C$2:$C$1960,0)))</f>
        <v/>
      </c>
      <c r="F1940" s="8">
        <f>IF(ISNA(MATCH(1927,Engine!$C$2:$C$1960,0)),"",INDEX('Compliance Database'!$F$2:$F$1960,MATCH(1927,Engine!$C$2:$C$1960,0)))</f>
        <v/>
      </c>
      <c r="G1940" s="8">
        <f>IF(ISNA(MATCH(1927,Engine!$C$2:$C$1960,0)),"",INDEX('Compliance Database'!$G$2:$G$1960,MATCH(1927,Engine!$C$2:$C$1960,0)))</f>
        <v/>
      </c>
      <c r="H1940" s="9">
        <f>IF(ISNA(MATCH(1927,Engine!$C$2:$C$1960,0)),"",INDEX('Compliance Database'!$H$2:$H$1960,MATCH(1927,Engine!$C$2:$C$1960,0)))</f>
        <v/>
      </c>
      <c r="I1940" s="9">
        <f>IF(ISNA(MATCH(1927,Engine!$C$2:$C$1960,0)),"",INDEX('Compliance Database'!$I$2:$I$1960,MATCH(1927,Engine!$C$2:$C$1960,0)))</f>
        <v/>
      </c>
      <c r="J1940" s="8">
        <f>IF(ISNA(MATCH(1927,Engine!$C$2:$C$1960,0)),"",INDEX('Compliance Database'!$J$2:$J$1960,MATCH(1927,Engine!$C$2:$C$1960,0)))</f>
        <v/>
      </c>
      <c r="K1940" s="9">
        <f>IF(ISNA(MATCH(1927,Engine!$C$2:$C$1960,0)),"",INDEX('Compliance Database'!$K$2:$K$1960,MATCH(1927,Engine!$C$2:$C$1960,0)))</f>
        <v/>
      </c>
      <c r="L1940" s="9">
        <f>IF(ISNA(MATCH(1927,Engine!$C$2:$C$1960,0)),"",INDEX('Compliance Database'!$L$2:$L$1960,MATCH(1927,Engine!$C$2:$C$1960,0)))</f>
        <v/>
      </c>
      <c r="M1940" s="9">
        <f>IF(ISNA(MATCH(1927,Engine!$C$2:$C$1960,0)),"",INDEX('Compliance Database'!$M$2:$M$1960,MATCH(1927,Engine!$C$2:$C$1960,0)))</f>
        <v/>
      </c>
      <c r="N1940" s="9">
        <f>IF(ISNA(MATCH(1927,Engine!$C$2:$C$1960,0)),"",INDEX('Compliance Database'!$N$2:$N$1960,MATCH(1927,Engine!$C$2:$C$1960,0)))</f>
        <v/>
      </c>
      <c r="O1940" s="9">
        <f>IF(ISNA(MATCH(1927,Engine!$C$2:$C$1960,0)),"",INDEX('Compliance Database'!$O$2:$O$1960,MATCH(1927,Engine!$C$2:$C$1960,0)))</f>
        <v/>
      </c>
      <c r="P1940" s="8">
        <f>IF(ISNA(MATCH(1927,Engine!$C$2:$C$1960,0)),"",HYPERLINK("#Acts!A"&amp;INDEX('Compliance Database'!$P$2:$P$1960,MATCH(1927,Engine!$C$2:$C$1960,0)),"Go to Act"))</f>
        <v/>
      </c>
    </row>
    <row r="1941" ht="158" customHeight="1">
      <c r="A1941" s="8">
        <f>IF(ISNA(MATCH(1928,Engine!$C$2:$C$1960,0)),"",INDEX('Compliance Database'!$A$2:$A$1960,MATCH(1928,Engine!$C$2:$C$1960,0)))</f>
        <v/>
      </c>
      <c r="B1941" s="8">
        <f>IF(ISNA(MATCH(1928,Engine!$C$2:$C$1960,0)),"",INDEX('Compliance Database'!$B$2:$B$1960,MATCH(1928,Engine!$C$2:$C$1960,0)))</f>
        <v/>
      </c>
      <c r="C1941" s="8">
        <f>IF(ISNA(MATCH(1928,Engine!$C$2:$C$1960,0)),"",INDEX('Compliance Database'!$C$2:$C$1960,MATCH(1928,Engine!$C$2:$C$1960,0)))</f>
        <v/>
      </c>
      <c r="D1941" s="9">
        <f>IF(ISNA(MATCH(1928,Engine!$C$2:$C$1960,0)),"",INDEX('Compliance Database'!$D$2:$D$1960,MATCH(1928,Engine!$C$2:$C$1960,0)))</f>
        <v/>
      </c>
      <c r="E1941" s="8">
        <f>IF(ISNA(MATCH(1928,Engine!$C$2:$C$1960,0)),"",INDEX('Compliance Database'!$E$2:$E$1960,MATCH(1928,Engine!$C$2:$C$1960,0)))</f>
        <v/>
      </c>
      <c r="F1941" s="8">
        <f>IF(ISNA(MATCH(1928,Engine!$C$2:$C$1960,0)),"",INDEX('Compliance Database'!$F$2:$F$1960,MATCH(1928,Engine!$C$2:$C$1960,0)))</f>
        <v/>
      </c>
      <c r="G1941" s="8">
        <f>IF(ISNA(MATCH(1928,Engine!$C$2:$C$1960,0)),"",INDEX('Compliance Database'!$G$2:$G$1960,MATCH(1928,Engine!$C$2:$C$1960,0)))</f>
        <v/>
      </c>
      <c r="H1941" s="9">
        <f>IF(ISNA(MATCH(1928,Engine!$C$2:$C$1960,0)),"",INDEX('Compliance Database'!$H$2:$H$1960,MATCH(1928,Engine!$C$2:$C$1960,0)))</f>
        <v/>
      </c>
      <c r="I1941" s="9">
        <f>IF(ISNA(MATCH(1928,Engine!$C$2:$C$1960,0)),"",INDEX('Compliance Database'!$I$2:$I$1960,MATCH(1928,Engine!$C$2:$C$1960,0)))</f>
        <v/>
      </c>
      <c r="J1941" s="8">
        <f>IF(ISNA(MATCH(1928,Engine!$C$2:$C$1960,0)),"",INDEX('Compliance Database'!$J$2:$J$1960,MATCH(1928,Engine!$C$2:$C$1960,0)))</f>
        <v/>
      </c>
      <c r="K1941" s="9">
        <f>IF(ISNA(MATCH(1928,Engine!$C$2:$C$1960,0)),"",INDEX('Compliance Database'!$K$2:$K$1960,MATCH(1928,Engine!$C$2:$C$1960,0)))</f>
        <v/>
      </c>
      <c r="L1941" s="9">
        <f>IF(ISNA(MATCH(1928,Engine!$C$2:$C$1960,0)),"",INDEX('Compliance Database'!$L$2:$L$1960,MATCH(1928,Engine!$C$2:$C$1960,0)))</f>
        <v/>
      </c>
      <c r="M1941" s="9">
        <f>IF(ISNA(MATCH(1928,Engine!$C$2:$C$1960,0)),"",INDEX('Compliance Database'!$M$2:$M$1960,MATCH(1928,Engine!$C$2:$C$1960,0)))</f>
        <v/>
      </c>
      <c r="N1941" s="9">
        <f>IF(ISNA(MATCH(1928,Engine!$C$2:$C$1960,0)),"",INDEX('Compliance Database'!$N$2:$N$1960,MATCH(1928,Engine!$C$2:$C$1960,0)))</f>
        <v/>
      </c>
      <c r="O1941" s="9">
        <f>IF(ISNA(MATCH(1928,Engine!$C$2:$C$1960,0)),"",INDEX('Compliance Database'!$O$2:$O$1960,MATCH(1928,Engine!$C$2:$C$1960,0)))</f>
        <v/>
      </c>
      <c r="P1941" s="8">
        <f>IF(ISNA(MATCH(1928,Engine!$C$2:$C$1960,0)),"",HYPERLINK("#Acts!A"&amp;INDEX('Compliance Database'!$P$2:$P$1960,MATCH(1928,Engine!$C$2:$C$1960,0)),"Go to Act"))</f>
        <v/>
      </c>
    </row>
    <row r="1942" ht="158" customHeight="1">
      <c r="A1942" s="8">
        <f>IF(ISNA(MATCH(1929,Engine!$C$2:$C$1960,0)),"",INDEX('Compliance Database'!$A$2:$A$1960,MATCH(1929,Engine!$C$2:$C$1960,0)))</f>
        <v/>
      </c>
      <c r="B1942" s="8">
        <f>IF(ISNA(MATCH(1929,Engine!$C$2:$C$1960,0)),"",INDEX('Compliance Database'!$B$2:$B$1960,MATCH(1929,Engine!$C$2:$C$1960,0)))</f>
        <v/>
      </c>
      <c r="C1942" s="8">
        <f>IF(ISNA(MATCH(1929,Engine!$C$2:$C$1960,0)),"",INDEX('Compliance Database'!$C$2:$C$1960,MATCH(1929,Engine!$C$2:$C$1960,0)))</f>
        <v/>
      </c>
      <c r="D1942" s="9">
        <f>IF(ISNA(MATCH(1929,Engine!$C$2:$C$1960,0)),"",INDEX('Compliance Database'!$D$2:$D$1960,MATCH(1929,Engine!$C$2:$C$1960,0)))</f>
        <v/>
      </c>
      <c r="E1942" s="8">
        <f>IF(ISNA(MATCH(1929,Engine!$C$2:$C$1960,0)),"",INDEX('Compliance Database'!$E$2:$E$1960,MATCH(1929,Engine!$C$2:$C$1960,0)))</f>
        <v/>
      </c>
      <c r="F1942" s="8">
        <f>IF(ISNA(MATCH(1929,Engine!$C$2:$C$1960,0)),"",INDEX('Compliance Database'!$F$2:$F$1960,MATCH(1929,Engine!$C$2:$C$1960,0)))</f>
        <v/>
      </c>
      <c r="G1942" s="8">
        <f>IF(ISNA(MATCH(1929,Engine!$C$2:$C$1960,0)),"",INDEX('Compliance Database'!$G$2:$G$1960,MATCH(1929,Engine!$C$2:$C$1960,0)))</f>
        <v/>
      </c>
      <c r="H1942" s="9">
        <f>IF(ISNA(MATCH(1929,Engine!$C$2:$C$1960,0)),"",INDEX('Compliance Database'!$H$2:$H$1960,MATCH(1929,Engine!$C$2:$C$1960,0)))</f>
        <v/>
      </c>
      <c r="I1942" s="9">
        <f>IF(ISNA(MATCH(1929,Engine!$C$2:$C$1960,0)),"",INDEX('Compliance Database'!$I$2:$I$1960,MATCH(1929,Engine!$C$2:$C$1960,0)))</f>
        <v/>
      </c>
      <c r="J1942" s="8">
        <f>IF(ISNA(MATCH(1929,Engine!$C$2:$C$1960,0)),"",INDEX('Compliance Database'!$J$2:$J$1960,MATCH(1929,Engine!$C$2:$C$1960,0)))</f>
        <v/>
      </c>
      <c r="K1942" s="9">
        <f>IF(ISNA(MATCH(1929,Engine!$C$2:$C$1960,0)),"",INDEX('Compliance Database'!$K$2:$K$1960,MATCH(1929,Engine!$C$2:$C$1960,0)))</f>
        <v/>
      </c>
      <c r="L1942" s="9">
        <f>IF(ISNA(MATCH(1929,Engine!$C$2:$C$1960,0)),"",INDEX('Compliance Database'!$L$2:$L$1960,MATCH(1929,Engine!$C$2:$C$1960,0)))</f>
        <v/>
      </c>
      <c r="M1942" s="9">
        <f>IF(ISNA(MATCH(1929,Engine!$C$2:$C$1960,0)),"",INDEX('Compliance Database'!$M$2:$M$1960,MATCH(1929,Engine!$C$2:$C$1960,0)))</f>
        <v/>
      </c>
      <c r="N1942" s="9">
        <f>IF(ISNA(MATCH(1929,Engine!$C$2:$C$1960,0)),"",INDEX('Compliance Database'!$N$2:$N$1960,MATCH(1929,Engine!$C$2:$C$1960,0)))</f>
        <v/>
      </c>
      <c r="O1942" s="9">
        <f>IF(ISNA(MATCH(1929,Engine!$C$2:$C$1960,0)),"",INDEX('Compliance Database'!$O$2:$O$1960,MATCH(1929,Engine!$C$2:$C$1960,0)))</f>
        <v/>
      </c>
      <c r="P1942" s="8">
        <f>IF(ISNA(MATCH(1929,Engine!$C$2:$C$1960,0)),"",HYPERLINK("#Acts!A"&amp;INDEX('Compliance Database'!$P$2:$P$1960,MATCH(1929,Engine!$C$2:$C$1960,0)),"Go to Act"))</f>
        <v/>
      </c>
    </row>
    <row r="1943" ht="158" customHeight="1">
      <c r="A1943" s="8">
        <f>IF(ISNA(MATCH(1930,Engine!$C$2:$C$1960,0)),"",INDEX('Compliance Database'!$A$2:$A$1960,MATCH(1930,Engine!$C$2:$C$1960,0)))</f>
        <v/>
      </c>
      <c r="B1943" s="8">
        <f>IF(ISNA(MATCH(1930,Engine!$C$2:$C$1960,0)),"",INDEX('Compliance Database'!$B$2:$B$1960,MATCH(1930,Engine!$C$2:$C$1960,0)))</f>
        <v/>
      </c>
      <c r="C1943" s="8">
        <f>IF(ISNA(MATCH(1930,Engine!$C$2:$C$1960,0)),"",INDEX('Compliance Database'!$C$2:$C$1960,MATCH(1930,Engine!$C$2:$C$1960,0)))</f>
        <v/>
      </c>
      <c r="D1943" s="9">
        <f>IF(ISNA(MATCH(1930,Engine!$C$2:$C$1960,0)),"",INDEX('Compliance Database'!$D$2:$D$1960,MATCH(1930,Engine!$C$2:$C$1960,0)))</f>
        <v/>
      </c>
      <c r="E1943" s="8">
        <f>IF(ISNA(MATCH(1930,Engine!$C$2:$C$1960,0)),"",INDEX('Compliance Database'!$E$2:$E$1960,MATCH(1930,Engine!$C$2:$C$1960,0)))</f>
        <v/>
      </c>
      <c r="F1943" s="8">
        <f>IF(ISNA(MATCH(1930,Engine!$C$2:$C$1960,0)),"",INDEX('Compliance Database'!$F$2:$F$1960,MATCH(1930,Engine!$C$2:$C$1960,0)))</f>
        <v/>
      </c>
      <c r="G1943" s="8">
        <f>IF(ISNA(MATCH(1930,Engine!$C$2:$C$1960,0)),"",INDEX('Compliance Database'!$G$2:$G$1960,MATCH(1930,Engine!$C$2:$C$1960,0)))</f>
        <v/>
      </c>
      <c r="H1943" s="9">
        <f>IF(ISNA(MATCH(1930,Engine!$C$2:$C$1960,0)),"",INDEX('Compliance Database'!$H$2:$H$1960,MATCH(1930,Engine!$C$2:$C$1960,0)))</f>
        <v/>
      </c>
      <c r="I1943" s="9">
        <f>IF(ISNA(MATCH(1930,Engine!$C$2:$C$1960,0)),"",INDEX('Compliance Database'!$I$2:$I$1960,MATCH(1930,Engine!$C$2:$C$1960,0)))</f>
        <v/>
      </c>
      <c r="J1943" s="8">
        <f>IF(ISNA(MATCH(1930,Engine!$C$2:$C$1960,0)),"",INDEX('Compliance Database'!$J$2:$J$1960,MATCH(1930,Engine!$C$2:$C$1960,0)))</f>
        <v/>
      </c>
      <c r="K1943" s="9">
        <f>IF(ISNA(MATCH(1930,Engine!$C$2:$C$1960,0)),"",INDEX('Compliance Database'!$K$2:$K$1960,MATCH(1930,Engine!$C$2:$C$1960,0)))</f>
        <v/>
      </c>
      <c r="L1943" s="9">
        <f>IF(ISNA(MATCH(1930,Engine!$C$2:$C$1960,0)),"",INDEX('Compliance Database'!$L$2:$L$1960,MATCH(1930,Engine!$C$2:$C$1960,0)))</f>
        <v/>
      </c>
      <c r="M1943" s="9">
        <f>IF(ISNA(MATCH(1930,Engine!$C$2:$C$1960,0)),"",INDEX('Compliance Database'!$M$2:$M$1960,MATCH(1930,Engine!$C$2:$C$1960,0)))</f>
        <v/>
      </c>
      <c r="N1943" s="9">
        <f>IF(ISNA(MATCH(1930,Engine!$C$2:$C$1960,0)),"",INDEX('Compliance Database'!$N$2:$N$1960,MATCH(1930,Engine!$C$2:$C$1960,0)))</f>
        <v/>
      </c>
      <c r="O1943" s="9">
        <f>IF(ISNA(MATCH(1930,Engine!$C$2:$C$1960,0)),"",INDEX('Compliance Database'!$O$2:$O$1960,MATCH(1930,Engine!$C$2:$C$1960,0)))</f>
        <v/>
      </c>
      <c r="P1943" s="8">
        <f>IF(ISNA(MATCH(1930,Engine!$C$2:$C$1960,0)),"",HYPERLINK("#Acts!A"&amp;INDEX('Compliance Database'!$P$2:$P$1960,MATCH(1930,Engine!$C$2:$C$1960,0)),"Go to Act"))</f>
        <v/>
      </c>
    </row>
    <row r="1944" ht="158" customHeight="1">
      <c r="A1944" s="8">
        <f>IF(ISNA(MATCH(1931,Engine!$C$2:$C$1960,0)),"",INDEX('Compliance Database'!$A$2:$A$1960,MATCH(1931,Engine!$C$2:$C$1960,0)))</f>
        <v/>
      </c>
      <c r="B1944" s="8">
        <f>IF(ISNA(MATCH(1931,Engine!$C$2:$C$1960,0)),"",INDEX('Compliance Database'!$B$2:$B$1960,MATCH(1931,Engine!$C$2:$C$1960,0)))</f>
        <v/>
      </c>
      <c r="C1944" s="8">
        <f>IF(ISNA(MATCH(1931,Engine!$C$2:$C$1960,0)),"",INDEX('Compliance Database'!$C$2:$C$1960,MATCH(1931,Engine!$C$2:$C$1960,0)))</f>
        <v/>
      </c>
      <c r="D1944" s="9">
        <f>IF(ISNA(MATCH(1931,Engine!$C$2:$C$1960,0)),"",INDEX('Compliance Database'!$D$2:$D$1960,MATCH(1931,Engine!$C$2:$C$1960,0)))</f>
        <v/>
      </c>
      <c r="E1944" s="8">
        <f>IF(ISNA(MATCH(1931,Engine!$C$2:$C$1960,0)),"",INDEX('Compliance Database'!$E$2:$E$1960,MATCH(1931,Engine!$C$2:$C$1960,0)))</f>
        <v/>
      </c>
      <c r="F1944" s="8">
        <f>IF(ISNA(MATCH(1931,Engine!$C$2:$C$1960,0)),"",INDEX('Compliance Database'!$F$2:$F$1960,MATCH(1931,Engine!$C$2:$C$1960,0)))</f>
        <v/>
      </c>
      <c r="G1944" s="8">
        <f>IF(ISNA(MATCH(1931,Engine!$C$2:$C$1960,0)),"",INDEX('Compliance Database'!$G$2:$G$1960,MATCH(1931,Engine!$C$2:$C$1960,0)))</f>
        <v/>
      </c>
      <c r="H1944" s="9">
        <f>IF(ISNA(MATCH(1931,Engine!$C$2:$C$1960,0)),"",INDEX('Compliance Database'!$H$2:$H$1960,MATCH(1931,Engine!$C$2:$C$1960,0)))</f>
        <v/>
      </c>
      <c r="I1944" s="9">
        <f>IF(ISNA(MATCH(1931,Engine!$C$2:$C$1960,0)),"",INDEX('Compliance Database'!$I$2:$I$1960,MATCH(1931,Engine!$C$2:$C$1960,0)))</f>
        <v/>
      </c>
      <c r="J1944" s="8">
        <f>IF(ISNA(MATCH(1931,Engine!$C$2:$C$1960,0)),"",INDEX('Compliance Database'!$J$2:$J$1960,MATCH(1931,Engine!$C$2:$C$1960,0)))</f>
        <v/>
      </c>
      <c r="K1944" s="9">
        <f>IF(ISNA(MATCH(1931,Engine!$C$2:$C$1960,0)),"",INDEX('Compliance Database'!$K$2:$K$1960,MATCH(1931,Engine!$C$2:$C$1960,0)))</f>
        <v/>
      </c>
      <c r="L1944" s="9">
        <f>IF(ISNA(MATCH(1931,Engine!$C$2:$C$1960,0)),"",INDEX('Compliance Database'!$L$2:$L$1960,MATCH(1931,Engine!$C$2:$C$1960,0)))</f>
        <v/>
      </c>
      <c r="M1944" s="9">
        <f>IF(ISNA(MATCH(1931,Engine!$C$2:$C$1960,0)),"",INDEX('Compliance Database'!$M$2:$M$1960,MATCH(1931,Engine!$C$2:$C$1960,0)))</f>
        <v/>
      </c>
      <c r="N1944" s="9">
        <f>IF(ISNA(MATCH(1931,Engine!$C$2:$C$1960,0)),"",INDEX('Compliance Database'!$N$2:$N$1960,MATCH(1931,Engine!$C$2:$C$1960,0)))</f>
        <v/>
      </c>
      <c r="O1944" s="9">
        <f>IF(ISNA(MATCH(1931,Engine!$C$2:$C$1960,0)),"",INDEX('Compliance Database'!$O$2:$O$1960,MATCH(1931,Engine!$C$2:$C$1960,0)))</f>
        <v/>
      </c>
      <c r="P1944" s="8">
        <f>IF(ISNA(MATCH(1931,Engine!$C$2:$C$1960,0)),"",HYPERLINK("#Acts!A"&amp;INDEX('Compliance Database'!$P$2:$P$1960,MATCH(1931,Engine!$C$2:$C$1960,0)),"Go to Act"))</f>
        <v/>
      </c>
    </row>
    <row r="1945" ht="158" customHeight="1">
      <c r="A1945" s="8">
        <f>IF(ISNA(MATCH(1932,Engine!$C$2:$C$1960,0)),"",INDEX('Compliance Database'!$A$2:$A$1960,MATCH(1932,Engine!$C$2:$C$1960,0)))</f>
        <v/>
      </c>
      <c r="B1945" s="8">
        <f>IF(ISNA(MATCH(1932,Engine!$C$2:$C$1960,0)),"",INDEX('Compliance Database'!$B$2:$B$1960,MATCH(1932,Engine!$C$2:$C$1960,0)))</f>
        <v/>
      </c>
      <c r="C1945" s="8">
        <f>IF(ISNA(MATCH(1932,Engine!$C$2:$C$1960,0)),"",INDEX('Compliance Database'!$C$2:$C$1960,MATCH(1932,Engine!$C$2:$C$1960,0)))</f>
        <v/>
      </c>
      <c r="D1945" s="9">
        <f>IF(ISNA(MATCH(1932,Engine!$C$2:$C$1960,0)),"",INDEX('Compliance Database'!$D$2:$D$1960,MATCH(1932,Engine!$C$2:$C$1960,0)))</f>
        <v/>
      </c>
      <c r="E1945" s="8">
        <f>IF(ISNA(MATCH(1932,Engine!$C$2:$C$1960,0)),"",INDEX('Compliance Database'!$E$2:$E$1960,MATCH(1932,Engine!$C$2:$C$1960,0)))</f>
        <v/>
      </c>
      <c r="F1945" s="8">
        <f>IF(ISNA(MATCH(1932,Engine!$C$2:$C$1960,0)),"",INDEX('Compliance Database'!$F$2:$F$1960,MATCH(1932,Engine!$C$2:$C$1960,0)))</f>
        <v/>
      </c>
      <c r="G1945" s="8">
        <f>IF(ISNA(MATCH(1932,Engine!$C$2:$C$1960,0)),"",INDEX('Compliance Database'!$G$2:$G$1960,MATCH(1932,Engine!$C$2:$C$1960,0)))</f>
        <v/>
      </c>
      <c r="H1945" s="9">
        <f>IF(ISNA(MATCH(1932,Engine!$C$2:$C$1960,0)),"",INDEX('Compliance Database'!$H$2:$H$1960,MATCH(1932,Engine!$C$2:$C$1960,0)))</f>
        <v/>
      </c>
      <c r="I1945" s="9">
        <f>IF(ISNA(MATCH(1932,Engine!$C$2:$C$1960,0)),"",INDEX('Compliance Database'!$I$2:$I$1960,MATCH(1932,Engine!$C$2:$C$1960,0)))</f>
        <v/>
      </c>
      <c r="J1945" s="8">
        <f>IF(ISNA(MATCH(1932,Engine!$C$2:$C$1960,0)),"",INDEX('Compliance Database'!$J$2:$J$1960,MATCH(1932,Engine!$C$2:$C$1960,0)))</f>
        <v/>
      </c>
      <c r="K1945" s="9">
        <f>IF(ISNA(MATCH(1932,Engine!$C$2:$C$1960,0)),"",INDEX('Compliance Database'!$K$2:$K$1960,MATCH(1932,Engine!$C$2:$C$1960,0)))</f>
        <v/>
      </c>
      <c r="L1945" s="9">
        <f>IF(ISNA(MATCH(1932,Engine!$C$2:$C$1960,0)),"",INDEX('Compliance Database'!$L$2:$L$1960,MATCH(1932,Engine!$C$2:$C$1960,0)))</f>
        <v/>
      </c>
      <c r="M1945" s="9">
        <f>IF(ISNA(MATCH(1932,Engine!$C$2:$C$1960,0)),"",INDEX('Compliance Database'!$M$2:$M$1960,MATCH(1932,Engine!$C$2:$C$1960,0)))</f>
        <v/>
      </c>
      <c r="N1945" s="9">
        <f>IF(ISNA(MATCH(1932,Engine!$C$2:$C$1960,0)),"",INDEX('Compliance Database'!$N$2:$N$1960,MATCH(1932,Engine!$C$2:$C$1960,0)))</f>
        <v/>
      </c>
      <c r="O1945" s="9">
        <f>IF(ISNA(MATCH(1932,Engine!$C$2:$C$1960,0)),"",INDEX('Compliance Database'!$O$2:$O$1960,MATCH(1932,Engine!$C$2:$C$1960,0)))</f>
        <v/>
      </c>
      <c r="P1945" s="8">
        <f>IF(ISNA(MATCH(1932,Engine!$C$2:$C$1960,0)),"",HYPERLINK("#Acts!A"&amp;INDEX('Compliance Database'!$P$2:$P$1960,MATCH(1932,Engine!$C$2:$C$1960,0)),"Go to Act"))</f>
        <v/>
      </c>
    </row>
    <row r="1946" ht="158" customHeight="1">
      <c r="A1946" s="8">
        <f>IF(ISNA(MATCH(1933,Engine!$C$2:$C$1960,0)),"",INDEX('Compliance Database'!$A$2:$A$1960,MATCH(1933,Engine!$C$2:$C$1960,0)))</f>
        <v/>
      </c>
      <c r="B1946" s="8">
        <f>IF(ISNA(MATCH(1933,Engine!$C$2:$C$1960,0)),"",INDEX('Compliance Database'!$B$2:$B$1960,MATCH(1933,Engine!$C$2:$C$1960,0)))</f>
        <v/>
      </c>
      <c r="C1946" s="8">
        <f>IF(ISNA(MATCH(1933,Engine!$C$2:$C$1960,0)),"",INDEX('Compliance Database'!$C$2:$C$1960,MATCH(1933,Engine!$C$2:$C$1960,0)))</f>
        <v/>
      </c>
      <c r="D1946" s="9">
        <f>IF(ISNA(MATCH(1933,Engine!$C$2:$C$1960,0)),"",INDEX('Compliance Database'!$D$2:$D$1960,MATCH(1933,Engine!$C$2:$C$1960,0)))</f>
        <v/>
      </c>
      <c r="E1946" s="8">
        <f>IF(ISNA(MATCH(1933,Engine!$C$2:$C$1960,0)),"",INDEX('Compliance Database'!$E$2:$E$1960,MATCH(1933,Engine!$C$2:$C$1960,0)))</f>
        <v/>
      </c>
      <c r="F1946" s="8">
        <f>IF(ISNA(MATCH(1933,Engine!$C$2:$C$1960,0)),"",INDEX('Compliance Database'!$F$2:$F$1960,MATCH(1933,Engine!$C$2:$C$1960,0)))</f>
        <v/>
      </c>
      <c r="G1946" s="8">
        <f>IF(ISNA(MATCH(1933,Engine!$C$2:$C$1960,0)),"",INDEX('Compliance Database'!$G$2:$G$1960,MATCH(1933,Engine!$C$2:$C$1960,0)))</f>
        <v/>
      </c>
      <c r="H1946" s="9">
        <f>IF(ISNA(MATCH(1933,Engine!$C$2:$C$1960,0)),"",INDEX('Compliance Database'!$H$2:$H$1960,MATCH(1933,Engine!$C$2:$C$1960,0)))</f>
        <v/>
      </c>
      <c r="I1946" s="9">
        <f>IF(ISNA(MATCH(1933,Engine!$C$2:$C$1960,0)),"",INDEX('Compliance Database'!$I$2:$I$1960,MATCH(1933,Engine!$C$2:$C$1960,0)))</f>
        <v/>
      </c>
      <c r="J1946" s="8">
        <f>IF(ISNA(MATCH(1933,Engine!$C$2:$C$1960,0)),"",INDEX('Compliance Database'!$J$2:$J$1960,MATCH(1933,Engine!$C$2:$C$1960,0)))</f>
        <v/>
      </c>
      <c r="K1946" s="9">
        <f>IF(ISNA(MATCH(1933,Engine!$C$2:$C$1960,0)),"",INDEX('Compliance Database'!$K$2:$K$1960,MATCH(1933,Engine!$C$2:$C$1960,0)))</f>
        <v/>
      </c>
      <c r="L1946" s="9">
        <f>IF(ISNA(MATCH(1933,Engine!$C$2:$C$1960,0)),"",INDEX('Compliance Database'!$L$2:$L$1960,MATCH(1933,Engine!$C$2:$C$1960,0)))</f>
        <v/>
      </c>
      <c r="M1946" s="9">
        <f>IF(ISNA(MATCH(1933,Engine!$C$2:$C$1960,0)),"",INDEX('Compliance Database'!$M$2:$M$1960,MATCH(1933,Engine!$C$2:$C$1960,0)))</f>
        <v/>
      </c>
      <c r="N1946" s="9">
        <f>IF(ISNA(MATCH(1933,Engine!$C$2:$C$1960,0)),"",INDEX('Compliance Database'!$N$2:$N$1960,MATCH(1933,Engine!$C$2:$C$1960,0)))</f>
        <v/>
      </c>
      <c r="O1946" s="9">
        <f>IF(ISNA(MATCH(1933,Engine!$C$2:$C$1960,0)),"",INDEX('Compliance Database'!$O$2:$O$1960,MATCH(1933,Engine!$C$2:$C$1960,0)))</f>
        <v/>
      </c>
      <c r="P1946" s="8">
        <f>IF(ISNA(MATCH(1933,Engine!$C$2:$C$1960,0)),"",HYPERLINK("#Acts!A"&amp;INDEX('Compliance Database'!$P$2:$P$1960,MATCH(1933,Engine!$C$2:$C$1960,0)),"Go to Act"))</f>
        <v/>
      </c>
    </row>
    <row r="1947" ht="158" customHeight="1">
      <c r="A1947" s="8">
        <f>IF(ISNA(MATCH(1934,Engine!$C$2:$C$1960,0)),"",INDEX('Compliance Database'!$A$2:$A$1960,MATCH(1934,Engine!$C$2:$C$1960,0)))</f>
        <v/>
      </c>
      <c r="B1947" s="8">
        <f>IF(ISNA(MATCH(1934,Engine!$C$2:$C$1960,0)),"",INDEX('Compliance Database'!$B$2:$B$1960,MATCH(1934,Engine!$C$2:$C$1960,0)))</f>
        <v/>
      </c>
      <c r="C1947" s="8">
        <f>IF(ISNA(MATCH(1934,Engine!$C$2:$C$1960,0)),"",INDEX('Compliance Database'!$C$2:$C$1960,MATCH(1934,Engine!$C$2:$C$1960,0)))</f>
        <v/>
      </c>
      <c r="D1947" s="9">
        <f>IF(ISNA(MATCH(1934,Engine!$C$2:$C$1960,0)),"",INDEX('Compliance Database'!$D$2:$D$1960,MATCH(1934,Engine!$C$2:$C$1960,0)))</f>
        <v/>
      </c>
      <c r="E1947" s="8">
        <f>IF(ISNA(MATCH(1934,Engine!$C$2:$C$1960,0)),"",INDEX('Compliance Database'!$E$2:$E$1960,MATCH(1934,Engine!$C$2:$C$1960,0)))</f>
        <v/>
      </c>
      <c r="F1947" s="8">
        <f>IF(ISNA(MATCH(1934,Engine!$C$2:$C$1960,0)),"",INDEX('Compliance Database'!$F$2:$F$1960,MATCH(1934,Engine!$C$2:$C$1960,0)))</f>
        <v/>
      </c>
      <c r="G1947" s="8">
        <f>IF(ISNA(MATCH(1934,Engine!$C$2:$C$1960,0)),"",INDEX('Compliance Database'!$G$2:$G$1960,MATCH(1934,Engine!$C$2:$C$1960,0)))</f>
        <v/>
      </c>
      <c r="H1947" s="9">
        <f>IF(ISNA(MATCH(1934,Engine!$C$2:$C$1960,0)),"",INDEX('Compliance Database'!$H$2:$H$1960,MATCH(1934,Engine!$C$2:$C$1960,0)))</f>
        <v/>
      </c>
      <c r="I1947" s="9">
        <f>IF(ISNA(MATCH(1934,Engine!$C$2:$C$1960,0)),"",INDEX('Compliance Database'!$I$2:$I$1960,MATCH(1934,Engine!$C$2:$C$1960,0)))</f>
        <v/>
      </c>
      <c r="J1947" s="8">
        <f>IF(ISNA(MATCH(1934,Engine!$C$2:$C$1960,0)),"",INDEX('Compliance Database'!$J$2:$J$1960,MATCH(1934,Engine!$C$2:$C$1960,0)))</f>
        <v/>
      </c>
      <c r="K1947" s="9">
        <f>IF(ISNA(MATCH(1934,Engine!$C$2:$C$1960,0)),"",INDEX('Compliance Database'!$K$2:$K$1960,MATCH(1934,Engine!$C$2:$C$1960,0)))</f>
        <v/>
      </c>
      <c r="L1947" s="9">
        <f>IF(ISNA(MATCH(1934,Engine!$C$2:$C$1960,0)),"",INDEX('Compliance Database'!$L$2:$L$1960,MATCH(1934,Engine!$C$2:$C$1960,0)))</f>
        <v/>
      </c>
      <c r="M1947" s="9">
        <f>IF(ISNA(MATCH(1934,Engine!$C$2:$C$1960,0)),"",INDEX('Compliance Database'!$M$2:$M$1960,MATCH(1934,Engine!$C$2:$C$1960,0)))</f>
        <v/>
      </c>
      <c r="N1947" s="9">
        <f>IF(ISNA(MATCH(1934,Engine!$C$2:$C$1960,0)),"",INDEX('Compliance Database'!$N$2:$N$1960,MATCH(1934,Engine!$C$2:$C$1960,0)))</f>
        <v/>
      </c>
      <c r="O1947" s="9">
        <f>IF(ISNA(MATCH(1934,Engine!$C$2:$C$1960,0)),"",INDEX('Compliance Database'!$O$2:$O$1960,MATCH(1934,Engine!$C$2:$C$1960,0)))</f>
        <v/>
      </c>
      <c r="P1947" s="8">
        <f>IF(ISNA(MATCH(1934,Engine!$C$2:$C$1960,0)),"",HYPERLINK("#Acts!A"&amp;INDEX('Compliance Database'!$P$2:$P$1960,MATCH(1934,Engine!$C$2:$C$1960,0)),"Go to Act"))</f>
        <v/>
      </c>
    </row>
    <row r="1948" ht="158" customHeight="1">
      <c r="A1948" s="8">
        <f>IF(ISNA(MATCH(1935,Engine!$C$2:$C$1960,0)),"",INDEX('Compliance Database'!$A$2:$A$1960,MATCH(1935,Engine!$C$2:$C$1960,0)))</f>
        <v/>
      </c>
      <c r="B1948" s="8">
        <f>IF(ISNA(MATCH(1935,Engine!$C$2:$C$1960,0)),"",INDEX('Compliance Database'!$B$2:$B$1960,MATCH(1935,Engine!$C$2:$C$1960,0)))</f>
        <v/>
      </c>
      <c r="C1948" s="8">
        <f>IF(ISNA(MATCH(1935,Engine!$C$2:$C$1960,0)),"",INDEX('Compliance Database'!$C$2:$C$1960,MATCH(1935,Engine!$C$2:$C$1960,0)))</f>
        <v/>
      </c>
      <c r="D1948" s="9">
        <f>IF(ISNA(MATCH(1935,Engine!$C$2:$C$1960,0)),"",INDEX('Compliance Database'!$D$2:$D$1960,MATCH(1935,Engine!$C$2:$C$1960,0)))</f>
        <v/>
      </c>
      <c r="E1948" s="8">
        <f>IF(ISNA(MATCH(1935,Engine!$C$2:$C$1960,0)),"",INDEX('Compliance Database'!$E$2:$E$1960,MATCH(1935,Engine!$C$2:$C$1960,0)))</f>
        <v/>
      </c>
      <c r="F1948" s="8">
        <f>IF(ISNA(MATCH(1935,Engine!$C$2:$C$1960,0)),"",INDEX('Compliance Database'!$F$2:$F$1960,MATCH(1935,Engine!$C$2:$C$1960,0)))</f>
        <v/>
      </c>
      <c r="G1948" s="8">
        <f>IF(ISNA(MATCH(1935,Engine!$C$2:$C$1960,0)),"",INDEX('Compliance Database'!$G$2:$G$1960,MATCH(1935,Engine!$C$2:$C$1960,0)))</f>
        <v/>
      </c>
      <c r="H1948" s="9">
        <f>IF(ISNA(MATCH(1935,Engine!$C$2:$C$1960,0)),"",INDEX('Compliance Database'!$H$2:$H$1960,MATCH(1935,Engine!$C$2:$C$1960,0)))</f>
        <v/>
      </c>
      <c r="I1948" s="9">
        <f>IF(ISNA(MATCH(1935,Engine!$C$2:$C$1960,0)),"",INDEX('Compliance Database'!$I$2:$I$1960,MATCH(1935,Engine!$C$2:$C$1960,0)))</f>
        <v/>
      </c>
      <c r="J1948" s="8">
        <f>IF(ISNA(MATCH(1935,Engine!$C$2:$C$1960,0)),"",INDEX('Compliance Database'!$J$2:$J$1960,MATCH(1935,Engine!$C$2:$C$1960,0)))</f>
        <v/>
      </c>
      <c r="K1948" s="9">
        <f>IF(ISNA(MATCH(1935,Engine!$C$2:$C$1960,0)),"",INDEX('Compliance Database'!$K$2:$K$1960,MATCH(1935,Engine!$C$2:$C$1960,0)))</f>
        <v/>
      </c>
      <c r="L1948" s="9">
        <f>IF(ISNA(MATCH(1935,Engine!$C$2:$C$1960,0)),"",INDEX('Compliance Database'!$L$2:$L$1960,MATCH(1935,Engine!$C$2:$C$1960,0)))</f>
        <v/>
      </c>
      <c r="M1948" s="9">
        <f>IF(ISNA(MATCH(1935,Engine!$C$2:$C$1960,0)),"",INDEX('Compliance Database'!$M$2:$M$1960,MATCH(1935,Engine!$C$2:$C$1960,0)))</f>
        <v/>
      </c>
      <c r="N1948" s="9">
        <f>IF(ISNA(MATCH(1935,Engine!$C$2:$C$1960,0)),"",INDEX('Compliance Database'!$N$2:$N$1960,MATCH(1935,Engine!$C$2:$C$1960,0)))</f>
        <v/>
      </c>
      <c r="O1948" s="9">
        <f>IF(ISNA(MATCH(1935,Engine!$C$2:$C$1960,0)),"",INDEX('Compliance Database'!$O$2:$O$1960,MATCH(1935,Engine!$C$2:$C$1960,0)))</f>
        <v/>
      </c>
      <c r="P1948" s="8">
        <f>IF(ISNA(MATCH(1935,Engine!$C$2:$C$1960,0)),"",HYPERLINK("#Acts!A"&amp;INDEX('Compliance Database'!$P$2:$P$1960,MATCH(1935,Engine!$C$2:$C$1960,0)),"Go to Act"))</f>
        <v/>
      </c>
    </row>
    <row r="1949" ht="158" customHeight="1">
      <c r="A1949" s="8">
        <f>IF(ISNA(MATCH(1936,Engine!$C$2:$C$1960,0)),"",INDEX('Compliance Database'!$A$2:$A$1960,MATCH(1936,Engine!$C$2:$C$1960,0)))</f>
        <v/>
      </c>
      <c r="B1949" s="8">
        <f>IF(ISNA(MATCH(1936,Engine!$C$2:$C$1960,0)),"",INDEX('Compliance Database'!$B$2:$B$1960,MATCH(1936,Engine!$C$2:$C$1960,0)))</f>
        <v/>
      </c>
      <c r="C1949" s="8">
        <f>IF(ISNA(MATCH(1936,Engine!$C$2:$C$1960,0)),"",INDEX('Compliance Database'!$C$2:$C$1960,MATCH(1936,Engine!$C$2:$C$1960,0)))</f>
        <v/>
      </c>
      <c r="D1949" s="9">
        <f>IF(ISNA(MATCH(1936,Engine!$C$2:$C$1960,0)),"",INDEX('Compliance Database'!$D$2:$D$1960,MATCH(1936,Engine!$C$2:$C$1960,0)))</f>
        <v/>
      </c>
      <c r="E1949" s="8">
        <f>IF(ISNA(MATCH(1936,Engine!$C$2:$C$1960,0)),"",INDEX('Compliance Database'!$E$2:$E$1960,MATCH(1936,Engine!$C$2:$C$1960,0)))</f>
        <v/>
      </c>
      <c r="F1949" s="8">
        <f>IF(ISNA(MATCH(1936,Engine!$C$2:$C$1960,0)),"",INDEX('Compliance Database'!$F$2:$F$1960,MATCH(1936,Engine!$C$2:$C$1960,0)))</f>
        <v/>
      </c>
      <c r="G1949" s="8">
        <f>IF(ISNA(MATCH(1936,Engine!$C$2:$C$1960,0)),"",INDEX('Compliance Database'!$G$2:$G$1960,MATCH(1936,Engine!$C$2:$C$1960,0)))</f>
        <v/>
      </c>
      <c r="H1949" s="9">
        <f>IF(ISNA(MATCH(1936,Engine!$C$2:$C$1960,0)),"",INDEX('Compliance Database'!$H$2:$H$1960,MATCH(1936,Engine!$C$2:$C$1960,0)))</f>
        <v/>
      </c>
      <c r="I1949" s="9">
        <f>IF(ISNA(MATCH(1936,Engine!$C$2:$C$1960,0)),"",INDEX('Compliance Database'!$I$2:$I$1960,MATCH(1936,Engine!$C$2:$C$1960,0)))</f>
        <v/>
      </c>
      <c r="J1949" s="8">
        <f>IF(ISNA(MATCH(1936,Engine!$C$2:$C$1960,0)),"",INDEX('Compliance Database'!$J$2:$J$1960,MATCH(1936,Engine!$C$2:$C$1960,0)))</f>
        <v/>
      </c>
      <c r="K1949" s="9">
        <f>IF(ISNA(MATCH(1936,Engine!$C$2:$C$1960,0)),"",INDEX('Compliance Database'!$K$2:$K$1960,MATCH(1936,Engine!$C$2:$C$1960,0)))</f>
        <v/>
      </c>
      <c r="L1949" s="9">
        <f>IF(ISNA(MATCH(1936,Engine!$C$2:$C$1960,0)),"",INDEX('Compliance Database'!$L$2:$L$1960,MATCH(1936,Engine!$C$2:$C$1960,0)))</f>
        <v/>
      </c>
      <c r="M1949" s="9">
        <f>IF(ISNA(MATCH(1936,Engine!$C$2:$C$1960,0)),"",INDEX('Compliance Database'!$M$2:$M$1960,MATCH(1936,Engine!$C$2:$C$1960,0)))</f>
        <v/>
      </c>
      <c r="N1949" s="9">
        <f>IF(ISNA(MATCH(1936,Engine!$C$2:$C$1960,0)),"",INDEX('Compliance Database'!$N$2:$N$1960,MATCH(1936,Engine!$C$2:$C$1960,0)))</f>
        <v/>
      </c>
      <c r="O1949" s="9">
        <f>IF(ISNA(MATCH(1936,Engine!$C$2:$C$1960,0)),"",INDEX('Compliance Database'!$O$2:$O$1960,MATCH(1936,Engine!$C$2:$C$1960,0)))</f>
        <v/>
      </c>
      <c r="P1949" s="8">
        <f>IF(ISNA(MATCH(1936,Engine!$C$2:$C$1960,0)),"",HYPERLINK("#Acts!A"&amp;INDEX('Compliance Database'!$P$2:$P$1960,MATCH(1936,Engine!$C$2:$C$1960,0)),"Go to Act"))</f>
        <v/>
      </c>
    </row>
    <row r="1950" ht="158" customHeight="1">
      <c r="A1950" s="8">
        <f>IF(ISNA(MATCH(1937,Engine!$C$2:$C$1960,0)),"",INDEX('Compliance Database'!$A$2:$A$1960,MATCH(1937,Engine!$C$2:$C$1960,0)))</f>
        <v/>
      </c>
      <c r="B1950" s="8">
        <f>IF(ISNA(MATCH(1937,Engine!$C$2:$C$1960,0)),"",INDEX('Compliance Database'!$B$2:$B$1960,MATCH(1937,Engine!$C$2:$C$1960,0)))</f>
        <v/>
      </c>
      <c r="C1950" s="8">
        <f>IF(ISNA(MATCH(1937,Engine!$C$2:$C$1960,0)),"",INDEX('Compliance Database'!$C$2:$C$1960,MATCH(1937,Engine!$C$2:$C$1960,0)))</f>
        <v/>
      </c>
      <c r="D1950" s="9">
        <f>IF(ISNA(MATCH(1937,Engine!$C$2:$C$1960,0)),"",INDEX('Compliance Database'!$D$2:$D$1960,MATCH(1937,Engine!$C$2:$C$1960,0)))</f>
        <v/>
      </c>
      <c r="E1950" s="8">
        <f>IF(ISNA(MATCH(1937,Engine!$C$2:$C$1960,0)),"",INDEX('Compliance Database'!$E$2:$E$1960,MATCH(1937,Engine!$C$2:$C$1960,0)))</f>
        <v/>
      </c>
      <c r="F1950" s="8">
        <f>IF(ISNA(MATCH(1937,Engine!$C$2:$C$1960,0)),"",INDEX('Compliance Database'!$F$2:$F$1960,MATCH(1937,Engine!$C$2:$C$1960,0)))</f>
        <v/>
      </c>
      <c r="G1950" s="8">
        <f>IF(ISNA(MATCH(1937,Engine!$C$2:$C$1960,0)),"",INDEX('Compliance Database'!$G$2:$G$1960,MATCH(1937,Engine!$C$2:$C$1960,0)))</f>
        <v/>
      </c>
      <c r="H1950" s="9">
        <f>IF(ISNA(MATCH(1937,Engine!$C$2:$C$1960,0)),"",INDEX('Compliance Database'!$H$2:$H$1960,MATCH(1937,Engine!$C$2:$C$1960,0)))</f>
        <v/>
      </c>
      <c r="I1950" s="9">
        <f>IF(ISNA(MATCH(1937,Engine!$C$2:$C$1960,0)),"",INDEX('Compliance Database'!$I$2:$I$1960,MATCH(1937,Engine!$C$2:$C$1960,0)))</f>
        <v/>
      </c>
      <c r="J1950" s="8">
        <f>IF(ISNA(MATCH(1937,Engine!$C$2:$C$1960,0)),"",INDEX('Compliance Database'!$J$2:$J$1960,MATCH(1937,Engine!$C$2:$C$1960,0)))</f>
        <v/>
      </c>
      <c r="K1950" s="9">
        <f>IF(ISNA(MATCH(1937,Engine!$C$2:$C$1960,0)),"",INDEX('Compliance Database'!$K$2:$K$1960,MATCH(1937,Engine!$C$2:$C$1960,0)))</f>
        <v/>
      </c>
      <c r="L1950" s="9">
        <f>IF(ISNA(MATCH(1937,Engine!$C$2:$C$1960,0)),"",INDEX('Compliance Database'!$L$2:$L$1960,MATCH(1937,Engine!$C$2:$C$1960,0)))</f>
        <v/>
      </c>
      <c r="M1950" s="9">
        <f>IF(ISNA(MATCH(1937,Engine!$C$2:$C$1960,0)),"",INDEX('Compliance Database'!$M$2:$M$1960,MATCH(1937,Engine!$C$2:$C$1960,0)))</f>
        <v/>
      </c>
      <c r="N1950" s="9">
        <f>IF(ISNA(MATCH(1937,Engine!$C$2:$C$1960,0)),"",INDEX('Compliance Database'!$N$2:$N$1960,MATCH(1937,Engine!$C$2:$C$1960,0)))</f>
        <v/>
      </c>
      <c r="O1950" s="9">
        <f>IF(ISNA(MATCH(1937,Engine!$C$2:$C$1960,0)),"",INDEX('Compliance Database'!$O$2:$O$1960,MATCH(1937,Engine!$C$2:$C$1960,0)))</f>
        <v/>
      </c>
      <c r="P1950" s="8">
        <f>IF(ISNA(MATCH(1937,Engine!$C$2:$C$1960,0)),"",HYPERLINK("#Acts!A"&amp;INDEX('Compliance Database'!$P$2:$P$1960,MATCH(1937,Engine!$C$2:$C$1960,0)),"Go to Act"))</f>
        <v/>
      </c>
    </row>
    <row r="1951" ht="158" customHeight="1">
      <c r="A1951" s="8">
        <f>IF(ISNA(MATCH(1938,Engine!$C$2:$C$1960,0)),"",INDEX('Compliance Database'!$A$2:$A$1960,MATCH(1938,Engine!$C$2:$C$1960,0)))</f>
        <v/>
      </c>
      <c r="B1951" s="8">
        <f>IF(ISNA(MATCH(1938,Engine!$C$2:$C$1960,0)),"",INDEX('Compliance Database'!$B$2:$B$1960,MATCH(1938,Engine!$C$2:$C$1960,0)))</f>
        <v/>
      </c>
      <c r="C1951" s="8">
        <f>IF(ISNA(MATCH(1938,Engine!$C$2:$C$1960,0)),"",INDEX('Compliance Database'!$C$2:$C$1960,MATCH(1938,Engine!$C$2:$C$1960,0)))</f>
        <v/>
      </c>
      <c r="D1951" s="9">
        <f>IF(ISNA(MATCH(1938,Engine!$C$2:$C$1960,0)),"",INDEX('Compliance Database'!$D$2:$D$1960,MATCH(1938,Engine!$C$2:$C$1960,0)))</f>
        <v/>
      </c>
      <c r="E1951" s="8">
        <f>IF(ISNA(MATCH(1938,Engine!$C$2:$C$1960,0)),"",INDEX('Compliance Database'!$E$2:$E$1960,MATCH(1938,Engine!$C$2:$C$1960,0)))</f>
        <v/>
      </c>
      <c r="F1951" s="8">
        <f>IF(ISNA(MATCH(1938,Engine!$C$2:$C$1960,0)),"",INDEX('Compliance Database'!$F$2:$F$1960,MATCH(1938,Engine!$C$2:$C$1960,0)))</f>
        <v/>
      </c>
      <c r="G1951" s="8">
        <f>IF(ISNA(MATCH(1938,Engine!$C$2:$C$1960,0)),"",INDEX('Compliance Database'!$G$2:$G$1960,MATCH(1938,Engine!$C$2:$C$1960,0)))</f>
        <v/>
      </c>
      <c r="H1951" s="9">
        <f>IF(ISNA(MATCH(1938,Engine!$C$2:$C$1960,0)),"",INDEX('Compliance Database'!$H$2:$H$1960,MATCH(1938,Engine!$C$2:$C$1960,0)))</f>
        <v/>
      </c>
      <c r="I1951" s="9">
        <f>IF(ISNA(MATCH(1938,Engine!$C$2:$C$1960,0)),"",INDEX('Compliance Database'!$I$2:$I$1960,MATCH(1938,Engine!$C$2:$C$1960,0)))</f>
        <v/>
      </c>
      <c r="J1951" s="8">
        <f>IF(ISNA(MATCH(1938,Engine!$C$2:$C$1960,0)),"",INDEX('Compliance Database'!$J$2:$J$1960,MATCH(1938,Engine!$C$2:$C$1960,0)))</f>
        <v/>
      </c>
      <c r="K1951" s="9">
        <f>IF(ISNA(MATCH(1938,Engine!$C$2:$C$1960,0)),"",INDEX('Compliance Database'!$K$2:$K$1960,MATCH(1938,Engine!$C$2:$C$1960,0)))</f>
        <v/>
      </c>
      <c r="L1951" s="9">
        <f>IF(ISNA(MATCH(1938,Engine!$C$2:$C$1960,0)),"",INDEX('Compliance Database'!$L$2:$L$1960,MATCH(1938,Engine!$C$2:$C$1960,0)))</f>
        <v/>
      </c>
      <c r="M1951" s="9">
        <f>IF(ISNA(MATCH(1938,Engine!$C$2:$C$1960,0)),"",INDEX('Compliance Database'!$M$2:$M$1960,MATCH(1938,Engine!$C$2:$C$1960,0)))</f>
        <v/>
      </c>
      <c r="N1951" s="9">
        <f>IF(ISNA(MATCH(1938,Engine!$C$2:$C$1960,0)),"",INDEX('Compliance Database'!$N$2:$N$1960,MATCH(1938,Engine!$C$2:$C$1960,0)))</f>
        <v/>
      </c>
      <c r="O1951" s="9">
        <f>IF(ISNA(MATCH(1938,Engine!$C$2:$C$1960,0)),"",INDEX('Compliance Database'!$O$2:$O$1960,MATCH(1938,Engine!$C$2:$C$1960,0)))</f>
        <v/>
      </c>
      <c r="P1951" s="8">
        <f>IF(ISNA(MATCH(1938,Engine!$C$2:$C$1960,0)),"",HYPERLINK("#Acts!A"&amp;INDEX('Compliance Database'!$P$2:$P$1960,MATCH(1938,Engine!$C$2:$C$1960,0)),"Go to Act"))</f>
        <v/>
      </c>
    </row>
    <row r="1952" ht="158" customHeight="1">
      <c r="A1952" s="8">
        <f>IF(ISNA(MATCH(1939,Engine!$C$2:$C$1960,0)),"",INDEX('Compliance Database'!$A$2:$A$1960,MATCH(1939,Engine!$C$2:$C$1960,0)))</f>
        <v/>
      </c>
      <c r="B1952" s="8">
        <f>IF(ISNA(MATCH(1939,Engine!$C$2:$C$1960,0)),"",INDEX('Compliance Database'!$B$2:$B$1960,MATCH(1939,Engine!$C$2:$C$1960,0)))</f>
        <v/>
      </c>
      <c r="C1952" s="8">
        <f>IF(ISNA(MATCH(1939,Engine!$C$2:$C$1960,0)),"",INDEX('Compliance Database'!$C$2:$C$1960,MATCH(1939,Engine!$C$2:$C$1960,0)))</f>
        <v/>
      </c>
      <c r="D1952" s="9">
        <f>IF(ISNA(MATCH(1939,Engine!$C$2:$C$1960,0)),"",INDEX('Compliance Database'!$D$2:$D$1960,MATCH(1939,Engine!$C$2:$C$1960,0)))</f>
        <v/>
      </c>
      <c r="E1952" s="8">
        <f>IF(ISNA(MATCH(1939,Engine!$C$2:$C$1960,0)),"",INDEX('Compliance Database'!$E$2:$E$1960,MATCH(1939,Engine!$C$2:$C$1960,0)))</f>
        <v/>
      </c>
      <c r="F1952" s="8">
        <f>IF(ISNA(MATCH(1939,Engine!$C$2:$C$1960,0)),"",INDEX('Compliance Database'!$F$2:$F$1960,MATCH(1939,Engine!$C$2:$C$1960,0)))</f>
        <v/>
      </c>
      <c r="G1952" s="8">
        <f>IF(ISNA(MATCH(1939,Engine!$C$2:$C$1960,0)),"",INDEX('Compliance Database'!$G$2:$G$1960,MATCH(1939,Engine!$C$2:$C$1960,0)))</f>
        <v/>
      </c>
      <c r="H1952" s="9">
        <f>IF(ISNA(MATCH(1939,Engine!$C$2:$C$1960,0)),"",INDEX('Compliance Database'!$H$2:$H$1960,MATCH(1939,Engine!$C$2:$C$1960,0)))</f>
        <v/>
      </c>
      <c r="I1952" s="9">
        <f>IF(ISNA(MATCH(1939,Engine!$C$2:$C$1960,0)),"",INDEX('Compliance Database'!$I$2:$I$1960,MATCH(1939,Engine!$C$2:$C$1960,0)))</f>
        <v/>
      </c>
      <c r="J1952" s="8">
        <f>IF(ISNA(MATCH(1939,Engine!$C$2:$C$1960,0)),"",INDEX('Compliance Database'!$J$2:$J$1960,MATCH(1939,Engine!$C$2:$C$1960,0)))</f>
        <v/>
      </c>
      <c r="K1952" s="9">
        <f>IF(ISNA(MATCH(1939,Engine!$C$2:$C$1960,0)),"",INDEX('Compliance Database'!$K$2:$K$1960,MATCH(1939,Engine!$C$2:$C$1960,0)))</f>
        <v/>
      </c>
      <c r="L1952" s="9">
        <f>IF(ISNA(MATCH(1939,Engine!$C$2:$C$1960,0)),"",INDEX('Compliance Database'!$L$2:$L$1960,MATCH(1939,Engine!$C$2:$C$1960,0)))</f>
        <v/>
      </c>
      <c r="M1952" s="9">
        <f>IF(ISNA(MATCH(1939,Engine!$C$2:$C$1960,0)),"",INDEX('Compliance Database'!$M$2:$M$1960,MATCH(1939,Engine!$C$2:$C$1960,0)))</f>
        <v/>
      </c>
      <c r="N1952" s="9">
        <f>IF(ISNA(MATCH(1939,Engine!$C$2:$C$1960,0)),"",INDEX('Compliance Database'!$N$2:$N$1960,MATCH(1939,Engine!$C$2:$C$1960,0)))</f>
        <v/>
      </c>
      <c r="O1952" s="9">
        <f>IF(ISNA(MATCH(1939,Engine!$C$2:$C$1960,0)),"",INDEX('Compliance Database'!$O$2:$O$1960,MATCH(1939,Engine!$C$2:$C$1960,0)))</f>
        <v/>
      </c>
      <c r="P1952" s="8">
        <f>IF(ISNA(MATCH(1939,Engine!$C$2:$C$1960,0)),"",HYPERLINK("#Acts!A"&amp;INDEX('Compliance Database'!$P$2:$P$1960,MATCH(1939,Engine!$C$2:$C$1960,0)),"Go to Act"))</f>
        <v/>
      </c>
    </row>
    <row r="1953" ht="158" customHeight="1">
      <c r="A1953" s="8">
        <f>IF(ISNA(MATCH(1940,Engine!$C$2:$C$1960,0)),"",INDEX('Compliance Database'!$A$2:$A$1960,MATCH(1940,Engine!$C$2:$C$1960,0)))</f>
        <v/>
      </c>
      <c r="B1953" s="8">
        <f>IF(ISNA(MATCH(1940,Engine!$C$2:$C$1960,0)),"",INDEX('Compliance Database'!$B$2:$B$1960,MATCH(1940,Engine!$C$2:$C$1960,0)))</f>
        <v/>
      </c>
      <c r="C1953" s="8">
        <f>IF(ISNA(MATCH(1940,Engine!$C$2:$C$1960,0)),"",INDEX('Compliance Database'!$C$2:$C$1960,MATCH(1940,Engine!$C$2:$C$1960,0)))</f>
        <v/>
      </c>
      <c r="D1953" s="9">
        <f>IF(ISNA(MATCH(1940,Engine!$C$2:$C$1960,0)),"",INDEX('Compliance Database'!$D$2:$D$1960,MATCH(1940,Engine!$C$2:$C$1960,0)))</f>
        <v/>
      </c>
      <c r="E1953" s="8">
        <f>IF(ISNA(MATCH(1940,Engine!$C$2:$C$1960,0)),"",INDEX('Compliance Database'!$E$2:$E$1960,MATCH(1940,Engine!$C$2:$C$1960,0)))</f>
        <v/>
      </c>
      <c r="F1953" s="8">
        <f>IF(ISNA(MATCH(1940,Engine!$C$2:$C$1960,0)),"",INDEX('Compliance Database'!$F$2:$F$1960,MATCH(1940,Engine!$C$2:$C$1960,0)))</f>
        <v/>
      </c>
      <c r="G1953" s="8">
        <f>IF(ISNA(MATCH(1940,Engine!$C$2:$C$1960,0)),"",INDEX('Compliance Database'!$G$2:$G$1960,MATCH(1940,Engine!$C$2:$C$1960,0)))</f>
        <v/>
      </c>
      <c r="H1953" s="9">
        <f>IF(ISNA(MATCH(1940,Engine!$C$2:$C$1960,0)),"",INDEX('Compliance Database'!$H$2:$H$1960,MATCH(1940,Engine!$C$2:$C$1960,0)))</f>
        <v/>
      </c>
      <c r="I1953" s="9">
        <f>IF(ISNA(MATCH(1940,Engine!$C$2:$C$1960,0)),"",INDEX('Compliance Database'!$I$2:$I$1960,MATCH(1940,Engine!$C$2:$C$1960,0)))</f>
        <v/>
      </c>
      <c r="J1953" s="8">
        <f>IF(ISNA(MATCH(1940,Engine!$C$2:$C$1960,0)),"",INDEX('Compliance Database'!$J$2:$J$1960,MATCH(1940,Engine!$C$2:$C$1960,0)))</f>
        <v/>
      </c>
      <c r="K1953" s="9">
        <f>IF(ISNA(MATCH(1940,Engine!$C$2:$C$1960,0)),"",INDEX('Compliance Database'!$K$2:$K$1960,MATCH(1940,Engine!$C$2:$C$1960,0)))</f>
        <v/>
      </c>
      <c r="L1953" s="9">
        <f>IF(ISNA(MATCH(1940,Engine!$C$2:$C$1960,0)),"",INDEX('Compliance Database'!$L$2:$L$1960,MATCH(1940,Engine!$C$2:$C$1960,0)))</f>
        <v/>
      </c>
      <c r="M1953" s="9">
        <f>IF(ISNA(MATCH(1940,Engine!$C$2:$C$1960,0)),"",INDEX('Compliance Database'!$M$2:$M$1960,MATCH(1940,Engine!$C$2:$C$1960,0)))</f>
        <v/>
      </c>
      <c r="N1953" s="9">
        <f>IF(ISNA(MATCH(1940,Engine!$C$2:$C$1960,0)),"",INDEX('Compliance Database'!$N$2:$N$1960,MATCH(1940,Engine!$C$2:$C$1960,0)))</f>
        <v/>
      </c>
      <c r="O1953" s="9">
        <f>IF(ISNA(MATCH(1940,Engine!$C$2:$C$1960,0)),"",INDEX('Compliance Database'!$O$2:$O$1960,MATCH(1940,Engine!$C$2:$C$1960,0)))</f>
        <v/>
      </c>
      <c r="P1953" s="8">
        <f>IF(ISNA(MATCH(1940,Engine!$C$2:$C$1960,0)),"",HYPERLINK("#Acts!A"&amp;INDEX('Compliance Database'!$P$2:$P$1960,MATCH(1940,Engine!$C$2:$C$1960,0)),"Go to Act"))</f>
        <v/>
      </c>
    </row>
    <row r="1954" ht="158" customHeight="1">
      <c r="A1954" s="8">
        <f>IF(ISNA(MATCH(1941,Engine!$C$2:$C$1960,0)),"",INDEX('Compliance Database'!$A$2:$A$1960,MATCH(1941,Engine!$C$2:$C$1960,0)))</f>
        <v/>
      </c>
      <c r="B1954" s="8">
        <f>IF(ISNA(MATCH(1941,Engine!$C$2:$C$1960,0)),"",INDEX('Compliance Database'!$B$2:$B$1960,MATCH(1941,Engine!$C$2:$C$1960,0)))</f>
        <v/>
      </c>
      <c r="C1954" s="8">
        <f>IF(ISNA(MATCH(1941,Engine!$C$2:$C$1960,0)),"",INDEX('Compliance Database'!$C$2:$C$1960,MATCH(1941,Engine!$C$2:$C$1960,0)))</f>
        <v/>
      </c>
      <c r="D1954" s="9">
        <f>IF(ISNA(MATCH(1941,Engine!$C$2:$C$1960,0)),"",INDEX('Compliance Database'!$D$2:$D$1960,MATCH(1941,Engine!$C$2:$C$1960,0)))</f>
        <v/>
      </c>
      <c r="E1954" s="8">
        <f>IF(ISNA(MATCH(1941,Engine!$C$2:$C$1960,0)),"",INDEX('Compliance Database'!$E$2:$E$1960,MATCH(1941,Engine!$C$2:$C$1960,0)))</f>
        <v/>
      </c>
      <c r="F1954" s="8">
        <f>IF(ISNA(MATCH(1941,Engine!$C$2:$C$1960,0)),"",INDEX('Compliance Database'!$F$2:$F$1960,MATCH(1941,Engine!$C$2:$C$1960,0)))</f>
        <v/>
      </c>
      <c r="G1954" s="8">
        <f>IF(ISNA(MATCH(1941,Engine!$C$2:$C$1960,0)),"",INDEX('Compliance Database'!$G$2:$G$1960,MATCH(1941,Engine!$C$2:$C$1960,0)))</f>
        <v/>
      </c>
      <c r="H1954" s="9">
        <f>IF(ISNA(MATCH(1941,Engine!$C$2:$C$1960,0)),"",INDEX('Compliance Database'!$H$2:$H$1960,MATCH(1941,Engine!$C$2:$C$1960,0)))</f>
        <v/>
      </c>
      <c r="I1954" s="9">
        <f>IF(ISNA(MATCH(1941,Engine!$C$2:$C$1960,0)),"",INDEX('Compliance Database'!$I$2:$I$1960,MATCH(1941,Engine!$C$2:$C$1960,0)))</f>
        <v/>
      </c>
      <c r="J1954" s="8">
        <f>IF(ISNA(MATCH(1941,Engine!$C$2:$C$1960,0)),"",INDEX('Compliance Database'!$J$2:$J$1960,MATCH(1941,Engine!$C$2:$C$1960,0)))</f>
        <v/>
      </c>
      <c r="K1954" s="9">
        <f>IF(ISNA(MATCH(1941,Engine!$C$2:$C$1960,0)),"",INDEX('Compliance Database'!$K$2:$K$1960,MATCH(1941,Engine!$C$2:$C$1960,0)))</f>
        <v/>
      </c>
      <c r="L1954" s="9">
        <f>IF(ISNA(MATCH(1941,Engine!$C$2:$C$1960,0)),"",INDEX('Compliance Database'!$L$2:$L$1960,MATCH(1941,Engine!$C$2:$C$1960,0)))</f>
        <v/>
      </c>
      <c r="M1954" s="9">
        <f>IF(ISNA(MATCH(1941,Engine!$C$2:$C$1960,0)),"",INDEX('Compliance Database'!$M$2:$M$1960,MATCH(1941,Engine!$C$2:$C$1960,0)))</f>
        <v/>
      </c>
      <c r="N1954" s="9">
        <f>IF(ISNA(MATCH(1941,Engine!$C$2:$C$1960,0)),"",INDEX('Compliance Database'!$N$2:$N$1960,MATCH(1941,Engine!$C$2:$C$1960,0)))</f>
        <v/>
      </c>
      <c r="O1954" s="9">
        <f>IF(ISNA(MATCH(1941,Engine!$C$2:$C$1960,0)),"",INDEX('Compliance Database'!$O$2:$O$1960,MATCH(1941,Engine!$C$2:$C$1960,0)))</f>
        <v/>
      </c>
      <c r="P1954" s="8">
        <f>IF(ISNA(MATCH(1941,Engine!$C$2:$C$1960,0)),"",HYPERLINK("#Acts!A"&amp;INDEX('Compliance Database'!$P$2:$P$1960,MATCH(1941,Engine!$C$2:$C$1960,0)),"Go to Act"))</f>
        <v/>
      </c>
    </row>
    <row r="1955" ht="158" customHeight="1">
      <c r="A1955" s="8">
        <f>IF(ISNA(MATCH(1942,Engine!$C$2:$C$1960,0)),"",INDEX('Compliance Database'!$A$2:$A$1960,MATCH(1942,Engine!$C$2:$C$1960,0)))</f>
        <v/>
      </c>
      <c r="B1955" s="8">
        <f>IF(ISNA(MATCH(1942,Engine!$C$2:$C$1960,0)),"",INDEX('Compliance Database'!$B$2:$B$1960,MATCH(1942,Engine!$C$2:$C$1960,0)))</f>
        <v/>
      </c>
      <c r="C1955" s="8">
        <f>IF(ISNA(MATCH(1942,Engine!$C$2:$C$1960,0)),"",INDEX('Compliance Database'!$C$2:$C$1960,MATCH(1942,Engine!$C$2:$C$1960,0)))</f>
        <v/>
      </c>
      <c r="D1955" s="9">
        <f>IF(ISNA(MATCH(1942,Engine!$C$2:$C$1960,0)),"",INDEX('Compliance Database'!$D$2:$D$1960,MATCH(1942,Engine!$C$2:$C$1960,0)))</f>
        <v/>
      </c>
      <c r="E1955" s="8">
        <f>IF(ISNA(MATCH(1942,Engine!$C$2:$C$1960,0)),"",INDEX('Compliance Database'!$E$2:$E$1960,MATCH(1942,Engine!$C$2:$C$1960,0)))</f>
        <v/>
      </c>
      <c r="F1955" s="8">
        <f>IF(ISNA(MATCH(1942,Engine!$C$2:$C$1960,0)),"",INDEX('Compliance Database'!$F$2:$F$1960,MATCH(1942,Engine!$C$2:$C$1960,0)))</f>
        <v/>
      </c>
      <c r="G1955" s="8">
        <f>IF(ISNA(MATCH(1942,Engine!$C$2:$C$1960,0)),"",INDEX('Compliance Database'!$G$2:$G$1960,MATCH(1942,Engine!$C$2:$C$1960,0)))</f>
        <v/>
      </c>
      <c r="H1955" s="9">
        <f>IF(ISNA(MATCH(1942,Engine!$C$2:$C$1960,0)),"",INDEX('Compliance Database'!$H$2:$H$1960,MATCH(1942,Engine!$C$2:$C$1960,0)))</f>
        <v/>
      </c>
      <c r="I1955" s="9">
        <f>IF(ISNA(MATCH(1942,Engine!$C$2:$C$1960,0)),"",INDEX('Compliance Database'!$I$2:$I$1960,MATCH(1942,Engine!$C$2:$C$1960,0)))</f>
        <v/>
      </c>
      <c r="J1955" s="8">
        <f>IF(ISNA(MATCH(1942,Engine!$C$2:$C$1960,0)),"",INDEX('Compliance Database'!$J$2:$J$1960,MATCH(1942,Engine!$C$2:$C$1960,0)))</f>
        <v/>
      </c>
      <c r="K1955" s="9">
        <f>IF(ISNA(MATCH(1942,Engine!$C$2:$C$1960,0)),"",INDEX('Compliance Database'!$K$2:$K$1960,MATCH(1942,Engine!$C$2:$C$1960,0)))</f>
        <v/>
      </c>
      <c r="L1955" s="9">
        <f>IF(ISNA(MATCH(1942,Engine!$C$2:$C$1960,0)),"",INDEX('Compliance Database'!$L$2:$L$1960,MATCH(1942,Engine!$C$2:$C$1960,0)))</f>
        <v/>
      </c>
      <c r="M1955" s="9">
        <f>IF(ISNA(MATCH(1942,Engine!$C$2:$C$1960,0)),"",INDEX('Compliance Database'!$M$2:$M$1960,MATCH(1942,Engine!$C$2:$C$1960,0)))</f>
        <v/>
      </c>
      <c r="N1955" s="9">
        <f>IF(ISNA(MATCH(1942,Engine!$C$2:$C$1960,0)),"",INDEX('Compliance Database'!$N$2:$N$1960,MATCH(1942,Engine!$C$2:$C$1960,0)))</f>
        <v/>
      </c>
      <c r="O1955" s="9">
        <f>IF(ISNA(MATCH(1942,Engine!$C$2:$C$1960,0)),"",INDEX('Compliance Database'!$O$2:$O$1960,MATCH(1942,Engine!$C$2:$C$1960,0)))</f>
        <v/>
      </c>
      <c r="P1955" s="8">
        <f>IF(ISNA(MATCH(1942,Engine!$C$2:$C$1960,0)),"",HYPERLINK("#Acts!A"&amp;INDEX('Compliance Database'!$P$2:$P$1960,MATCH(1942,Engine!$C$2:$C$1960,0)),"Go to Act"))</f>
        <v/>
      </c>
    </row>
    <row r="1956" ht="158" customHeight="1">
      <c r="A1956" s="8">
        <f>IF(ISNA(MATCH(1943,Engine!$C$2:$C$1960,0)),"",INDEX('Compliance Database'!$A$2:$A$1960,MATCH(1943,Engine!$C$2:$C$1960,0)))</f>
        <v/>
      </c>
      <c r="B1956" s="8">
        <f>IF(ISNA(MATCH(1943,Engine!$C$2:$C$1960,0)),"",INDEX('Compliance Database'!$B$2:$B$1960,MATCH(1943,Engine!$C$2:$C$1960,0)))</f>
        <v/>
      </c>
      <c r="C1956" s="8">
        <f>IF(ISNA(MATCH(1943,Engine!$C$2:$C$1960,0)),"",INDEX('Compliance Database'!$C$2:$C$1960,MATCH(1943,Engine!$C$2:$C$1960,0)))</f>
        <v/>
      </c>
      <c r="D1956" s="9">
        <f>IF(ISNA(MATCH(1943,Engine!$C$2:$C$1960,0)),"",INDEX('Compliance Database'!$D$2:$D$1960,MATCH(1943,Engine!$C$2:$C$1960,0)))</f>
        <v/>
      </c>
      <c r="E1956" s="8">
        <f>IF(ISNA(MATCH(1943,Engine!$C$2:$C$1960,0)),"",INDEX('Compliance Database'!$E$2:$E$1960,MATCH(1943,Engine!$C$2:$C$1960,0)))</f>
        <v/>
      </c>
      <c r="F1956" s="8">
        <f>IF(ISNA(MATCH(1943,Engine!$C$2:$C$1960,0)),"",INDEX('Compliance Database'!$F$2:$F$1960,MATCH(1943,Engine!$C$2:$C$1960,0)))</f>
        <v/>
      </c>
      <c r="G1956" s="8">
        <f>IF(ISNA(MATCH(1943,Engine!$C$2:$C$1960,0)),"",INDEX('Compliance Database'!$G$2:$G$1960,MATCH(1943,Engine!$C$2:$C$1960,0)))</f>
        <v/>
      </c>
      <c r="H1956" s="9">
        <f>IF(ISNA(MATCH(1943,Engine!$C$2:$C$1960,0)),"",INDEX('Compliance Database'!$H$2:$H$1960,MATCH(1943,Engine!$C$2:$C$1960,0)))</f>
        <v/>
      </c>
      <c r="I1956" s="9">
        <f>IF(ISNA(MATCH(1943,Engine!$C$2:$C$1960,0)),"",INDEX('Compliance Database'!$I$2:$I$1960,MATCH(1943,Engine!$C$2:$C$1960,0)))</f>
        <v/>
      </c>
      <c r="J1956" s="8">
        <f>IF(ISNA(MATCH(1943,Engine!$C$2:$C$1960,0)),"",INDEX('Compliance Database'!$J$2:$J$1960,MATCH(1943,Engine!$C$2:$C$1960,0)))</f>
        <v/>
      </c>
      <c r="K1956" s="9">
        <f>IF(ISNA(MATCH(1943,Engine!$C$2:$C$1960,0)),"",INDEX('Compliance Database'!$K$2:$K$1960,MATCH(1943,Engine!$C$2:$C$1960,0)))</f>
        <v/>
      </c>
      <c r="L1956" s="9">
        <f>IF(ISNA(MATCH(1943,Engine!$C$2:$C$1960,0)),"",INDEX('Compliance Database'!$L$2:$L$1960,MATCH(1943,Engine!$C$2:$C$1960,0)))</f>
        <v/>
      </c>
      <c r="M1956" s="9">
        <f>IF(ISNA(MATCH(1943,Engine!$C$2:$C$1960,0)),"",INDEX('Compliance Database'!$M$2:$M$1960,MATCH(1943,Engine!$C$2:$C$1960,0)))</f>
        <v/>
      </c>
      <c r="N1956" s="9">
        <f>IF(ISNA(MATCH(1943,Engine!$C$2:$C$1960,0)),"",INDEX('Compliance Database'!$N$2:$N$1960,MATCH(1943,Engine!$C$2:$C$1960,0)))</f>
        <v/>
      </c>
      <c r="O1956" s="9">
        <f>IF(ISNA(MATCH(1943,Engine!$C$2:$C$1960,0)),"",INDEX('Compliance Database'!$O$2:$O$1960,MATCH(1943,Engine!$C$2:$C$1960,0)))</f>
        <v/>
      </c>
      <c r="P1956" s="8">
        <f>IF(ISNA(MATCH(1943,Engine!$C$2:$C$1960,0)),"",HYPERLINK("#Acts!A"&amp;INDEX('Compliance Database'!$P$2:$P$1960,MATCH(1943,Engine!$C$2:$C$1960,0)),"Go to Act"))</f>
        <v/>
      </c>
    </row>
    <row r="1957" ht="158" customHeight="1">
      <c r="A1957" s="8">
        <f>IF(ISNA(MATCH(1944,Engine!$C$2:$C$1960,0)),"",INDEX('Compliance Database'!$A$2:$A$1960,MATCH(1944,Engine!$C$2:$C$1960,0)))</f>
        <v/>
      </c>
      <c r="B1957" s="8">
        <f>IF(ISNA(MATCH(1944,Engine!$C$2:$C$1960,0)),"",INDEX('Compliance Database'!$B$2:$B$1960,MATCH(1944,Engine!$C$2:$C$1960,0)))</f>
        <v/>
      </c>
      <c r="C1957" s="8">
        <f>IF(ISNA(MATCH(1944,Engine!$C$2:$C$1960,0)),"",INDEX('Compliance Database'!$C$2:$C$1960,MATCH(1944,Engine!$C$2:$C$1960,0)))</f>
        <v/>
      </c>
      <c r="D1957" s="9">
        <f>IF(ISNA(MATCH(1944,Engine!$C$2:$C$1960,0)),"",INDEX('Compliance Database'!$D$2:$D$1960,MATCH(1944,Engine!$C$2:$C$1960,0)))</f>
        <v/>
      </c>
      <c r="E1957" s="8">
        <f>IF(ISNA(MATCH(1944,Engine!$C$2:$C$1960,0)),"",INDEX('Compliance Database'!$E$2:$E$1960,MATCH(1944,Engine!$C$2:$C$1960,0)))</f>
        <v/>
      </c>
      <c r="F1957" s="8">
        <f>IF(ISNA(MATCH(1944,Engine!$C$2:$C$1960,0)),"",INDEX('Compliance Database'!$F$2:$F$1960,MATCH(1944,Engine!$C$2:$C$1960,0)))</f>
        <v/>
      </c>
      <c r="G1957" s="8">
        <f>IF(ISNA(MATCH(1944,Engine!$C$2:$C$1960,0)),"",INDEX('Compliance Database'!$G$2:$G$1960,MATCH(1944,Engine!$C$2:$C$1960,0)))</f>
        <v/>
      </c>
      <c r="H1957" s="9">
        <f>IF(ISNA(MATCH(1944,Engine!$C$2:$C$1960,0)),"",INDEX('Compliance Database'!$H$2:$H$1960,MATCH(1944,Engine!$C$2:$C$1960,0)))</f>
        <v/>
      </c>
      <c r="I1957" s="9">
        <f>IF(ISNA(MATCH(1944,Engine!$C$2:$C$1960,0)),"",INDEX('Compliance Database'!$I$2:$I$1960,MATCH(1944,Engine!$C$2:$C$1960,0)))</f>
        <v/>
      </c>
      <c r="J1957" s="8">
        <f>IF(ISNA(MATCH(1944,Engine!$C$2:$C$1960,0)),"",INDEX('Compliance Database'!$J$2:$J$1960,MATCH(1944,Engine!$C$2:$C$1960,0)))</f>
        <v/>
      </c>
      <c r="K1957" s="9">
        <f>IF(ISNA(MATCH(1944,Engine!$C$2:$C$1960,0)),"",INDEX('Compliance Database'!$K$2:$K$1960,MATCH(1944,Engine!$C$2:$C$1960,0)))</f>
        <v/>
      </c>
      <c r="L1957" s="9">
        <f>IF(ISNA(MATCH(1944,Engine!$C$2:$C$1960,0)),"",INDEX('Compliance Database'!$L$2:$L$1960,MATCH(1944,Engine!$C$2:$C$1960,0)))</f>
        <v/>
      </c>
      <c r="M1957" s="9">
        <f>IF(ISNA(MATCH(1944,Engine!$C$2:$C$1960,0)),"",INDEX('Compliance Database'!$M$2:$M$1960,MATCH(1944,Engine!$C$2:$C$1960,0)))</f>
        <v/>
      </c>
      <c r="N1957" s="9">
        <f>IF(ISNA(MATCH(1944,Engine!$C$2:$C$1960,0)),"",INDEX('Compliance Database'!$N$2:$N$1960,MATCH(1944,Engine!$C$2:$C$1960,0)))</f>
        <v/>
      </c>
      <c r="O1957" s="9">
        <f>IF(ISNA(MATCH(1944,Engine!$C$2:$C$1960,0)),"",INDEX('Compliance Database'!$O$2:$O$1960,MATCH(1944,Engine!$C$2:$C$1960,0)))</f>
        <v/>
      </c>
      <c r="P1957" s="8">
        <f>IF(ISNA(MATCH(1944,Engine!$C$2:$C$1960,0)),"",HYPERLINK("#Acts!A"&amp;INDEX('Compliance Database'!$P$2:$P$1960,MATCH(1944,Engine!$C$2:$C$1960,0)),"Go to Act"))</f>
        <v/>
      </c>
    </row>
    <row r="1958" ht="158" customHeight="1">
      <c r="A1958" s="8">
        <f>IF(ISNA(MATCH(1945,Engine!$C$2:$C$1960,0)),"",INDEX('Compliance Database'!$A$2:$A$1960,MATCH(1945,Engine!$C$2:$C$1960,0)))</f>
        <v/>
      </c>
      <c r="B1958" s="8">
        <f>IF(ISNA(MATCH(1945,Engine!$C$2:$C$1960,0)),"",INDEX('Compliance Database'!$B$2:$B$1960,MATCH(1945,Engine!$C$2:$C$1960,0)))</f>
        <v/>
      </c>
      <c r="C1958" s="8">
        <f>IF(ISNA(MATCH(1945,Engine!$C$2:$C$1960,0)),"",INDEX('Compliance Database'!$C$2:$C$1960,MATCH(1945,Engine!$C$2:$C$1960,0)))</f>
        <v/>
      </c>
      <c r="D1958" s="9">
        <f>IF(ISNA(MATCH(1945,Engine!$C$2:$C$1960,0)),"",INDEX('Compliance Database'!$D$2:$D$1960,MATCH(1945,Engine!$C$2:$C$1960,0)))</f>
        <v/>
      </c>
      <c r="E1958" s="8">
        <f>IF(ISNA(MATCH(1945,Engine!$C$2:$C$1960,0)),"",INDEX('Compliance Database'!$E$2:$E$1960,MATCH(1945,Engine!$C$2:$C$1960,0)))</f>
        <v/>
      </c>
      <c r="F1958" s="8">
        <f>IF(ISNA(MATCH(1945,Engine!$C$2:$C$1960,0)),"",INDEX('Compliance Database'!$F$2:$F$1960,MATCH(1945,Engine!$C$2:$C$1960,0)))</f>
        <v/>
      </c>
      <c r="G1958" s="8">
        <f>IF(ISNA(MATCH(1945,Engine!$C$2:$C$1960,0)),"",INDEX('Compliance Database'!$G$2:$G$1960,MATCH(1945,Engine!$C$2:$C$1960,0)))</f>
        <v/>
      </c>
      <c r="H1958" s="9">
        <f>IF(ISNA(MATCH(1945,Engine!$C$2:$C$1960,0)),"",INDEX('Compliance Database'!$H$2:$H$1960,MATCH(1945,Engine!$C$2:$C$1960,0)))</f>
        <v/>
      </c>
      <c r="I1958" s="9">
        <f>IF(ISNA(MATCH(1945,Engine!$C$2:$C$1960,0)),"",INDEX('Compliance Database'!$I$2:$I$1960,MATCH(1945,Engine!$C$2:$C$1960,0)))</f>
        <v/>
      </c>
      <c r="J1958" s="8">
        <f>IF(ISNA(MATCH(1945,Engine!$C$2:$C$1960,0)),"",INDEX('Compliance Database'!$J$2:$J$1960,MATCH(1945,Engine!$C$2:$C$1960,0)))</f>
        <v/>
      </c>
      <c r="K1958" s="9">
        <f>IF(ISNA(MATCH(1945,Engine!$C$2:$C$1960,0)),"",INDEX('Compliance Database'!$K$2:$K$1960,MATCH(1945,Engine!$C$2:$C$1960,0)))</f>
        <v/>
      </c>
      <c r="L1958" s="9">
        <f>IF(ISNA(MATCH(1945,Engine!$C$2:$C$1960,0)),"",INDEX('Compliance Database'!$L$2:$L$1960,MATCH(1945,Engine!$C$2:$C$1960,0)))</f>
        <v/>
      </c>
      <c r="M1958" s="9">
        <f>IF(ISNA(MATCH(1945,Engine!$C$2:$C$1960,0)),"",INDEX('Compliance Database'!$M$2:$M$1960,MATCH(1945,Engine!$C$2:$C$1960,0)))</f>
        <v/>
      </c>
      <c r="N1958" s="9">
        <f>IF(ISNA(MATCH(1945,Engine!$C$2:$C$1960,0)),"",INDEX('Compliance Database'!$N$2:$N$1960,MATCH(1945,Engine!$C$2:$C$1960,0)))</f>
        <v/>
      </c>
      <c r="O1958" s="9">
        <f>IF(ISNA(MATCH(1945,Engine!$C$2:$C$1960,0)),"",INDEX('Compliance Database'!$O$2:$O$1960,MATCH(1945,Engine!$C$2:$C$1960,0)))</f>
        <v/>
      </c>
      <c r="P1958" s="8">
        <f>IF(ISNA(MATCH(1945,Engine!$C$2:$C$1960,0)),"",HYPERLINK("#Acts!A"&amp;INDEX('Compliance Database'!$P$2:$P$1960,MATCH(1945,Engine!$C$2:$C$1960,0)),"Go to Act"))</f>
        <v/>
      </c>
    </row>
    <row r="1959" ht="158" customHeight="1">
      <c r="A1959" s="8">
        <f>IF(ISNA(MATCH(1946,Engine!$C$2:$C$1960,0)),"",INDEX('Compliance Database'!$A$2:$A$1960,MATCH(1946,Engine!$C$2:$C$1960,0)))</f>
        <v/>
      </c>
      <c r="B1959" s="8">
        <f>IF(ISNA(MATCH(1946,Engine!$C$2:$C$1960,0)),"",INDEX('Compliance Database'!$B$2:$B$1960,MATCH(1946,Engine!$C$2:$C$1960,0)))</f>
        <v/>
      </c>
      <c r="C1959" s="8">
        <f>IF(ISNA(MATCH(1946,Engine!$C$2:$C$1960,0)),"",INDEX('Compliance Database'!$C$2:$C$1960,MATCH(1946,Engine!$C$2:$C$1960,0)))</f>
        <v/>
      </c>
      <c r="D1959" s="9">
        <f>IF(ISNA(MATCH(1946,Engine!$C$2:$C$1960,0)),"",INDEX('Compliance Database'!$D$2:$D$1960,MATCH(1946,Engine!$C$2:$C$1960,0)))</f>
        <v/>
      </c>
      <c r="E1959" s="8">
        <f>IF(ISNA(MATCH(1946,Engine!$C$2:$C$1960,0)),"",INDEX('Compliance Database'!$E$2:$E$1960,MATCH(1946,Engine!$C$2:$C$1960,0)))</f>
        <v/>
      </c>
      <c r="F1959" s="8">
        <f>IF(ISNA(MATCH(1946,Engine!$C$2:$C$1960,0)),"",INDEX('Compliance Database'!$F$2:$F$1960,MATCH(1946,Engine!$C$2:$C$1960,0)))</f>
        <v/>
      </c>
      <c r="G1959" s="8">
        <f>IF(ISNA(MATCH(1946,Engine!$C$2:$C$1960,0)),"",INDEX('Compliance Database'!$G$2:$G$1960,MATCH(1946,Engine!$C$2:$C$1960,0)))</f>
        <v/>
      </c>
      <c r="H1959" s="9">
        <f>IF(ISNA(MATCH(1946,Engine!$C$2:$C$1960,0)),"",INDEX('Compliance Database'!$H$2:$H$1960,MATCH(1946,Engine!$C$2:$C$1960,0)))</f>
        <v/>
      </c>
      <c r="I1959" s="9">
        <f>IF(ISNA(MATCH(1946,Engine!$C$2:$C$1960,0)),"",INDEX('Compliance Database'!$I$2:$I$1960,MATCH(1946,Engine!$C$2:$C$1960,0)))</f>
        <v/>
      </c>
      <c r="J1959" s="8">
        <f>IF(ISNA(MATCH(1946,Engine!$C$2:$C$1960,0)),"",INDEX('Compliance Database'!$J$2:$J$1960,MATCH(1946,Engine!$C$2:$C$1960,0)))</f>
        <v/>
      </c>
      <c r="K1959" s="9">
        <f>IF(ISNA(MATCH(1946,Engine!$C$2:$C$1960,0)),"",INDEX('Compliance Database'!$K$2:$K$1960,MATCH(1946,Engine!$C$2:$C$1960,0)))</f>
        <v/>
      </c>
      <c r="L1959" s="9">
        <f>IF(ISNA(MATCH(1946,Engine!$C$2:$C$1960,0)),"",INDEX('Compliance Database'!$L$2:$L$1960,MATCH(1946,Engine!$C$2:$C$1960,0)))</f>
        <v/>
      </c>
      <c r="M1959" s="9">
        <f>IF(ISNA(MATCH(1946,Engine!$C$2:$C$1960,0)),"",INDEX('Compliance Database'!$M$2:$M$1960,MATCH(1946,Engine!$C$2:$C$1960,0)))</f>
        <v/>
      </c>
      <c r="N1959" s="9">
        <f>IF(ISNA(MATCH(1946,Engine!$C$2:$C$1960,0)),"",INDEX('Compliance Database'!$N$2:$N$1960,MATCH(1946,Engine!$C$2:$C$1960,0)))</f>
        <v/>
      </c>
      <c r="O1959" s="9">
        <f>IF(ISNA(MATCH(1946,Engine!$C$2:$C$1960,0)),"",INDEX('Compliance Database'!$O$2:$O$1960,MATCH(1946,Engine!$C$2:$C$1960,0)))</f>
        <v/>
      </c>
      <c r="P1959" s="8">
        <f>IF(ISNA(MATCH(1946,Engine!$C$2:$C$1960,0)),"",HYPERLINK("#Acts!A"&amp;INDEX('Compliance Database'!$P$2:$P$1960,MATCH(1946,Engine!$C$2:$C$1960,0)),"Go to Act"))</f>
        <v/>
      </c>
    </row>
    <row r="1960" ht="158" customHeight="1">
      <c r="A1960" s="8">
        <f>IF(ISNA(MATCH(1947,Engine!$C$2:$C$1960,0)),"",INDEX('Compliance Database'!$A$2:$A$1960,MATCH(1947,Engine!$C$2:$C$1960,0)))</f>
        <v/>
      </c>
      <c r="B1960" s="8">
        <f>IF(ISNA(MATCH(1947,Engine!$C$2:$C$1960,0)),"",INDEX('Compliance Database'!$B$2:$B$1960,MATCH(1947,Engine!$C$2:$C$1960,0)))</f>
        <v/>
      </c>
      <c r="C1960" s="8">
        <f>IF(ISNA(MATCH(1947,Engine!$C$2:$C$1960,0)),"",INDEX('Compliance Database'!$C$2:$C$1960,MATCH(1947,Engine!$C$2:$C$1960,0)))</f>
        <v/>
      </c>
      <c r="D1960" s="9">
        <f>IF(ISNA(MATCH(1947,Engine!$C$2:$C$1960,0)),"",INDEX('Compliance Database'!$D$2:$D$1960,MATCH(1947,Engine!$C$2:$C$1960,0)))</f>
        <v/>
      </c>
      <c r="E1960" s="8">
        <f>IF(ISNA(MATCH(1947,Engine!$C$2:$C$1960,0)),"",INDEX('Compliance Database'!$E$2:$E$1960,MATCH(1947,Engine!$C$2:$C$1960,0)))</f>
        <v/>
      </c>
      <c r="F1960" s="8">
        <f>IF(ISNA(MATCH(1947,Engine!$C$2:$C$1960,0)),"",INDEX('Compliance Database'!$F$2:$F$1960,MATCH(1947,Engine!$C$2:$C$1960,0)))</f>
        <v/>
      </c>
      <c r="G1960" s="8">
        <f>IF(ISNA(MATCH(1947,Engine!$C$2:$C$1960,0)),"",INDEX('Compliance Database'!$G$2:$G$1960,MATCH(1947,Engine!$C$2:$C$1960,0)))</f>
        <v/>
      </c>
      <c r="H1960" s="9">
        <f>IF(ISNA(MATCH(1947,Engine!$C$2:$C$1960,0)),"",INDEX('Compliance Database'!$H$2:$H$1960,MATCH(1947,Engine!$C$2:$C$1960,0)))</f>
        <v/>
      </c>
      <c r="I1960" s="9">
        <f>IF(ISNA(MATCH(1947,Engine!$C$2:$C$1960,0)),"",INDEX('Compliance Database'!$I$2:$I$1960,MATCH(1947,Engine!$C$2:$C$1960,0)))</f>
        <v/>
      </c>
      <c r="J1960" s="8">
        <f>IF(ISNA(MATCH(1947,Engine!$C$2:$C$1960,0)),"",INDEX('Compliance Database'!$J$2:$J$1960,MATCH(1947,Engine!$C$2:$C$1960,0)))</f>
        <v/>
      </c>
      <c r="K1960" s="9">
        <f>IF(ISNA(MATCH(1947,Engine!$C$2:$C$1960,0)),"",INDEX('Compliance Database'!$K$2:$K$1960,MATCH(1947,Engine!$C$2:$C$1960,0)))</f>
        <v/>
      </c>
      <c r="L1960" s="9">
        <f>IF(ISNA(MATCH(1947,Engine!$C$2:$C$1960,0)),"",INDEX('Compliance Database'!$L$2:$L$1960,MATCH(1947,Engine!$C$2:$C$1960,0)))</f>
        <v/>
      </c>
      <c r="M1960" s="9">
        <f>IF(ISNA(MATCH(1947,Engine!$C$2:$C$1960,0)),"",INDEX('Compliance Database'!$M$2:$M$1960,MATCH(1947,Engine!$C$2:$C$1960,0)))</f>
        <v/>
      </c>
      <c r="N1960" s="9">
        <f>IF(ISNA(MATCH(1947,Engine!$C$2:$C$1960,0)),"",INDEX('Compliance Database'!$N$2:$N$1960,MATCH(1947,Engine!$C$2:$C$1960,0)))</f>
        <v/>
      </c>
      <c r="O1960" s="9">
        <f>IF(ISNA(MATCH(1947,Engine!$C$2:$C$1960,0)),"",INDEX('Compliance Database'!$O$2:$O$1960,MATCH(1947,Engine!$C$2:$C$1960,0)))</f>
        <v/>
      </c>
      <c r="P1960" s="8">
        <f>IF(ISNA(MATCH(1947,Engine!$C$2:$C$1960,0)),"",HYPERLINK("#Acts!A"&amp;INDEX('Compliance Database'!$P$2:$P$1960,MATCH(1947,Engine!$C$2:$C$1960,0)),"Go to Act"))</f>
        <v/>
      </c>
    </row>
    <row r="1961" ht="158" customHeight="1">
      <c r="A1961" s="8">
        <f>IF(ISNA(MATCH(1948,Engine!$C$2:$C$1960,0)),"",INDEX('Compliance Database'!$A$2:$A$1960,MATCH(1948,Engine!$C$2:$C$1960,0)))</f>
        <v/>
      </c>
      <c r="B1961" s="8">
        <f>IF(ISNA(MATCH(1948,Engine!$C$2:$C$1960,0)),"",INDEX('Compliance Database'!$B$2:$B$1960,MATCH(1948,Engine!$C$2:$C$1960,0)))</f>
        <v/>
      </c>
      <c r="C1961" s="8">
        <f>IF(ISNA(MATCH(1948,Engine!$C$2:$C$1960,0)),"",INDEX('Compliance Database'!$C$2:$C$1960,MATCH(1948,Engine!$C$2:$C$1960,0)))</f>
        <v/>
      </c>
      <c r="D1961" s="9">
        <f>IF(ISNA(MATCH(1948,Engine!$C$2:$C$1960,0)),"",INDEX('Compliance Database'!$D$2:$D$1960,MATCH(1948,Engine!$C$2:$C$1960,0)))</f>
        <v/>
      </c>
      <c r="E1961" s="8">
        <f>IF(ISNA(MATCH(1948,Engine!$C$2:$C$1960,0)),"",INDEX('Compliance Database'!$E$2:$E$1960,MATCH(1948,Engine!$C$2:$C$1960,0)))</f>
        <v/>
      </c>
      <c r="F1961" s="8">
        <f>IF(ISNA(MATCH(1948,Engine!$C$2:$C$1960,0)),"",INDEX('Compliance Database'!$F$2:$F$1960,MATCH(1948,Engine!$C$2:$C$1960,0)))</f>
        <v/>
      </c>
      <c r="G1961" s="8">
        <f>IF(ISNA(MATCH(1948,Engine!$C$2:$C$1960,0)),"",INDEX('Compliance Database'!$G$2:$G$1960,MATCH(1948,Engine!$C$2:$C$1960,0)))</f>
        <v/>
      </c>
      <c r="H1961" s="9">
        <f>IF(ISNA(MATCH(1948,Engine!$C$2:$C$1960,0)),"",INDEX('Compliance Database'!$H$2:$H$1960,MATCH(1948,Engine!$C$2:$C$1960,0)))</f>
        <v/>
      </c>
      <c r="I1961" s="9">
        <f>IF(ISNA(MATCH(1948,Engine!$C$2:$C$1960,0)),"",INDEX('Compliance Database'!$I$2:$I$1960,MATCH(1948,Engine!$C$2:$C$1960,0)))</f>
        <v/>
      </c>
      <c r="J1961" s="8">
        <f>IF(ISNA(MATCH(1948,Engine!$C$2:$C$1960,0)),"",INDEX('Compliance Database'!$J$2:$J$1960,MATCH(1948,Engine!$C$2:$C$1960,0)))</f>
        <v/>
      </c>
      <c r="K1961" s="9">
        <f>IF(ISNA(MATCH(1948,Engine!$C$2:$C$1960,0)),"",INDEX('Compliance Database'!$K$2:$K$1960,MATCH(1948,Engine!$C$2:$C$1960,0)))</f>
        <v/>
      </c>
      <c r="L1961" s="9">
        <f>IF(ISNA(MATCH(1948,Engine!$C$2:$C$1960,0)),"",INDEX('Compliance Database'!$L$2:$L$1960,MATCH(1948,Engine!$C$2:$C$1960,0)))</f>
        <v/>
      </c>
      <c r="M1961" s="9">
        <f>IF(ISNA(MATCH(1948,Engine!$C$2:$C$1960,0)),"",INDEX('Compliance Database'!$M$2:$M$1960,MATCH(1948,Engine!$C$2:$C$1960,0)))</f>
        <v/>
      </c>
      <c r="N1961" s="9">
        <f>IF(ISNA(MATCH(1948,Engine!$C$2:$C$1960,0)),"",INDEX('Compliance Database'!$N$2:$N$1960,MATCH(1948,Engine!$C$2:$C$1960,0)))</f>
        <v/>
      </c>
      <c r="O1961" s="9">
        <f>IF(ISNA(MATCH(1948,Engine!$C$2:$C$1960,0)),"",INDEX('Compliance Database'!$O$2:$O$1960,MATCH(1948,Engine!$C$2:$C$1960,0)))</f>
        <v/>
      </c>
      <c r="P1961" s="8">
        <f>IF(ISNA(MATCH(1948,Engine!$C$2:$C$1960,0)),"",HYPERLINK("#Acts!A"&amp;INDEX('Compliance Database'!$P$2:$P$1960,MATCH(1948,Engine!$C$2:$C$1960,0)),"Go to Act"))</f>
        <v/>
      </c>
    </row>
    <row r="1962" ht="158" customHeight="1">
      <c r="A1962" s="8">
        <f>IF(ISNA(MATCH(1949,Engine!$C$2:$C$1960,0)),"",INDEX('Compliance Database'!$A$2:$A$1960,MATCH(1949,Engine!$C$2:$C$1960,0)))</f>
        <v/>
      </c>
      <c r="B1962" s="8">
        <f>IF(ISNA(MATCH(1949,Engine!$C$2:$C$1960,0)),"",INDEX('Compliance Database'!$B$2:$B$1960,MATCH(1949,Engine!$C$2:$C$1960,0)))</f>
        <v/>
      </c>
      <c r="C1962" s="8">
        <f>IF(ISNA(MATCH(1949,Engine!$C$2:$C$1960,0)),"",INDEX('Compliance Database'!$C$2:$C$1960,MATCH(1949,Engine!$C$2:$C$1960,0)))</f>
        <v/>
      </c>
      <c r="D1962" s="9">
        <f>IF(ISNA(MATCH(1949,Engine!$C$2:$C$1960,0)),"",INDEX('Compliance Database'!$D$2:$D$1960,MATCH(1949,Engine!$C$2:$C$1960,0)))</f>
        <v/>
      </c>
      <c r="E1962" s="8">
        <f>IF(ISNA(MATCH(1949,Engine!$C$2:$C$1960,0)),"",INDEX('Compliance Database'!$E$2:$E$1960,MATCH(1949,Engine!$C$2:$C$1960,0)))</f>
        <v/>
      </c>
      <c r="F1962" s="8">
        <f>IF(ISNA(MATCH(1949,Engine!$C$2:$C$1960,0)),"",INDEX('Compliance Database'!$F$2:$F$1960,MATCH(1949,Engine!$C$2:$C$1960,0)))</f>
        <v/>
      </c>
      <c r="G1962" s="8">
        <f>IF(ISNA(MATCH(1949,Engine!$C$2:$C$1960,0)),"",INDEX('Compliance Database'!$G$2:$G$1960,MATCH(1949,Engine!$C$2:$C$1960,0)))</f>
        <v/>
      </c>
      <c r="H1962" s="9">
        <f>IF(ISNA(MATCH(1949,Engine!$C$2:$C$1960,0)),"",INDEX('Compliance Database'!$H$2:$H$1960,MATCH(1949,Engine!$C$2:$C$1960,0)))</f>
        <v/>
      </c>
      <c r="I1962" s="9">
        <f>IF(ISNA(MATCH(1949,Engine!$C$2:$C$1960,0)),"",INDEX('Compliance Database'!$I$2:$I$1960,MATCH(1949,Engine!$C$2:$C$1960,0)))</f>
        <v/>
      </c>
      <c r="J1962" s="8">
        <f>IF(ISNA(MATCH(1949,Engine!$C$2:$C$1960,0)),"",INDEX('Compliance Database'!$J$2:$J$1960,MATCH(1949,Engine!$C$2:$C$1960,0)))</f>
        <v/>
      </c>
      <c r="K1962" s="9">
        <f>IF(ISNA(MATCH(1949,Engine!$C$2:$C$1960,0)),"",INDEX('Compliance Database'!$K$2:$K$1960,MATCH(1949,Engine!$C$2:$C$1960,0)))</f>
        <v/>
      </c>
      <c r="L1962" s="9">
        <f>IF(ISNA(MATCH(1949,Engine!$C$2:$C$1960,0)),"",INDEX('Compliance Database'!$L$2:$L$1960,MATCH(1949,Engine!$C$2:$C$1960,0)))</f>
        <v/>
      </c>
      <c r="M1962" s="9">
        <f>IF(ISNA(MATCH(1949,Engine!$C$2:$C$1960,0)),"",INDEX('Compliance Database'!$M$2:$M$1960,MATCH(1949,Engine!$C$2:$C$1960,0)))</f>
        <v/>
      </c>
      <c r="N1962" s="9">
        <f>IF(ISNA(MATCH(1949,Engine!$C$2:$C$1960,0)),"",INDEX('Compliance Database'!$N$2:$N$1960,MATCH(1949,Engine!$C$2:$C$1960,0)))</f>
        <v/>
      </c>
      <c r="O1962" s="9">
        <f>IF(ISNA(MATCH(1949,Engine!$C$2:$C$1960,0)),"",INDEX('Compliance Database'!$O$2:$O$1960,MATCH(1949,Engine!$C$2:$C$1960,0)))</f>
        <v/>
      </c>
      <c r="P1962" s="8">
        <f>IF(ISNA(MATCH(1949,Engine!$C$2:$C$1960,0)),"",HYPERLINK("#Acts!A"&amp;INDEX('Compliance Database'!$P$2:$P$1960,MATCH(1949,Engine!$C$2:$C$1960,0)),"Go to Act"))</f>
        <v/>
      </c>
    </row>
    <row r="1963" ht="158" customHeight="1">
      <c r="A1963" s="8">
        <f>IF(ISNA(MATCH(1950,Engine!$C$2:$C$1960,0)),"",INDEX('Compliance Database'!$A$2:$A$1960,MATCH(1950,Engine!$C$2:$C$1960,0)))</f>
        <v/>
      </c>
      <c r="B1963" s="8">
        <f>IF(ISNA(MATCH(1950,Engine!$C$2:$C$1960,0)),"",INDEX('Compliance Database'!$B$2:$B$1960,MATCH(1950,Engine!$C$2:$C$1960,0)))</f>
        <v/>
      </c>
      <c r="C1963" s="8">
        <f>IF(ISNA(MATCH(1950,Engine!$C$2:$C$1960,0)),"",INDEX('Compliance Database'!$C$2:$C$1960,MATCH(1950,Engine!$C$2:$C$1960,0)))</f>
        <v/>
      </c>
      <c r="D1963" s="9">
        <f>IF(ISNA(MATCH(1950,Engine!$C$2:$C$1960,0)),"",INDEX('Compliance Database'!$D$2:$D$1960,MATCH(1950,Engine!$C$2:$C$1960,0)))</f>
        <v/>
      </c>
      <c r="E1963" s="8">
        <f>IF(ISNA(MATCH(1950,Engine!$C$2:$C$1960,0)),"",INDEX('Compliance Database'!$E$2:$E$1960,MATCH(1950,Engine!$C$2:$C$1960,0)))</f>
        <v/>
      </c>
      <c r="F1963" s="8">
        <f>IF(ISNA(MATCH(1950,Engine!$C$2:$C$1960,0)),"",INDEX('Compliance Database'!$F$2:$F$1960,MATCH(1950,Engine!$C$2:$C$1960,0)))</f>
        <v/>
      </c>
      <c r="G1963" s="8">
        <f>IF(ISNA(MATCH(1950,Engine!$C$2:$C$1960,0)),"",INDEX('Compliance Database'!$G$2:$G$1960,MATCH(1950,Engine!$C$2:$C$1960,0)))</f>
        <v/>
      </c>
      <c r="H1963" s="9">
        <f>IF(ISNA(MATCH(1950,Engine!$C$2:$C$1960,0)),"",INDEX('Compliance Database'!$H$2:$H$1960,MATCH(1950,Engine!$C$2:$C$1960,0)))</f>
        <v/>
      </c>
      <c r="I1963" s="9">
        <f>IF(ISNA(MATCH(1950,Engine!$C$2:$C$1960,0)),"",INDEX('Compliance Database'!$I$2:$I$1960,MATCH(1950,Engine!$C$2:$C$1960,0)))</f>
        <v/>
      </c>
      <c r="J1963" s="8">
        <f>IF(ISNA(MATCH(1950,Engine!$C$2:$C$1960,0)),"",INDEX('Compliance Database'!$J$2:$J$1960,MATCH(1950,Engine!$C$2:$C$1960,0)))</f>
        <v/>
      </c>
      <c r="K1963" s="9">
        <f>IF(ISNA(MATCH(1950,Engine!$C$2:$C$1960,0)),"",INDEX('Compliance Database'!$K$2:$K$1960,MATCH(1950,Engine!$C$2:$C$1960,0)))</f>
        <v/>
      </c>
      <c r="L1963" s="9">
        <f>IF(ISNA(MATCH(1950,Engine!$C$2:$C$1960,0)),"",INDEX('Compliance Database'!$L$2:$L$1960,MATCH(1950,Engine!$C$2:$C$1960,0)))</f>
        <v/>
      </c>
      <c r="M1963" s="9">
        <f>IF(ISNA(MATCH(1950,Engine!$C$2:$C$1960,0)),"",INDEX('Compliance Database'!$M$2:$M$1960,MATCH(1950,Engine!$C$2:$C$1960,0)))</f>
        <v/>
      </c>
      <c r="N1963" s="9">
        <f>IF(ISNA(MATCH(1950,Engine!$C$2:$C$1960,0)),"",INDEX('Compliance Database'!$N$2:$N$1960,MATCH(1950,Engine!$C$2:$C$1960,0)))</f>
        <v/>
      </c>
      <c r="O1963" s="9">
        <f>IF(ISNA(MATCH(1950,Engine!$C$2:$C$1960,0)),"",INDEX('Compliance Database'!$O$2:$O$1960,MATCH(1950,Engine!$C$2:$C$1960,0)))</f>
        <v/>
      </c>
      <c r="P1963" s="8">
        <f>IF(ISNA(MATCH(1950,Engine!$C$2:$C$1960,0)),"",HYPERLINK("#Acts!A"&amp;INDEX('Compliance Database'!$P$2:$P$1960,MATCH(1950,Engine!$C$2:$C$1960,0)),"Go to Act"))</f>
        <v/>
      </c>
    </row>
    <row r="1964" ht="158" customHeight="1">
      <c r="A1964" s="8">
        <f>IF(ISNA(MATCH(1951,Engine!$C$2:$C$1960,0)),"",INDEX('Compliance Database'!$A$2:$A$1960,MATCH(1951,Engine!$C$2:$C$1960,0)))</f>
        <v/>
      </c>
      <c r="B1964" s="8">
        <f>IF(ISNA(MATCH(1951,Engine!$C$2:$C$1960,0)),"",INDEX('Compliance Database'!$B$2:$B$1960,MATCH(1951,Engine!$C$2:$C$1960,0)))</f>
        <v/>
      </c>
      <c r="C1964" s="8">
        <f>IF(ISNA(MATCH(1951,Engine!$C$2:$C$1960,0)),"",INDEX('Compliance Database'!$C$2:$C$1960,MATCH(1951,Engine!$C$2:$C$1960,0)))</f>
        <v/>
      </c>
      <c r="D1964" s="9">
        <f>IF(ISNA(MATCH(1951,Engine!$C$2:$C$1960,0)),"",INDEX('Compliance Database'!$D$2:$D$1960,MATCH(1951,Engine!$C$2:$C$1960,0)))</f>
        <v/>
      </c>
      <c r="E1964" s="8">
        <f>IF(ISNA(MATCH(1951,Engine!$C$2:$C$1960,0)),"",INDEX('Compliance Database'!$E$2:$E$1960,MATCH(1951,Engine!$C$2:$C$1960,0)))</f>
        <v/>
      </c>
      <c r="F1964" s="8">
        <f>IF(ISNA(MATCH(1951,Engine!$C$2:$C$1960,0)),"",INDEX('Compliance Database'!$F$2:$F$1960,MATCH(1951,Engine!$C$2:$C$1960,0)))</f>
        <v/>
      </c>
      <c r="G1964" s="8">
        <f>IF(ISNA(MATCH(1951,Engine!$C$2:$C$1960,0)),"",INDEX('Compliance Database'!$G$2:$G$1960,MATCH(1951,Engine!$C$2:$C$1960,0)))</f>
        <v/>
      </c>
      <c r="H1964" s="9">
        <f>IF(ISNA(MATCH(1951,Engine!$C$2:$C$1960,0)),"",INDEX('Compliance Database'!$H$2:$H$1960,MATCH(1951,Engine!$C$2:$C$1960,0)))</f>
        <v/>
      </c>
      <c r="I1964" s="9">
        <f>IF(ISNA(MATCH(1951,Engine!$C$2:$C$1960,0)),"",INDEX('Compliance Database'!$I$2:$I$1960,MATCH(1951,Engine!$C$2:$C$1960,0)))</f>
        <v/>
      </c>
      <c r="J1964" s="8">
        <f>IF(ISNA(MATCH(1951,Engine!$C$2:$C$1960,0)),"",INDEX('Compliance Database'!$J$2:$J$1960,MATCH(1951,Engine!$C$2:$C$1960,0)))</f>
        <v/>
      </c>
      <c r="K1964" s="9">
        <f>IF(ISNA(MATCH(1951,Engine!$C$2:$C$1960,0)),"",INDEX('Compliance Database'!$K$2:$K$1960,MATCH(1951,Engine!$C$2:$C$1960,0)))</f>
        <v/>
      </c>
      <c r="L1964" s="9">
        <f>IF(ISNA(MATCH(1951,Engine!$C$2:$C$1960,0)),"",INDEX('Compliance Database'!$L$2:$L$1960,MATCH(1951,Engine!$C$2:$C$1960,0)))</f>
        <v/>
      </c>
      <c r="M1964" s="9">
        <f>IF(ISNA(MATCH(1951,Engine!$C$2:$C$1960,0)),"",INDEX('Compliance Database'!$M$2:$M$1960,MATCH(1951,Engine!$C$2:$C$1960,0)))</f>
        <v/>
      </c>
      <c r="N1964" s="9">
        <f>IF(ISNA(MATCH(1951,Engine!$C$2:$C$1960,0)),"",INDEX('Compliance Database'!$N$2:$N$1960,MATCH(1951,Engine!$C$2:$C$1960,0)))</f>
        <v/>
      </c>
      <c r="O1964" s="9">
        <f>IF(ISNA(MATCH(1951,Engine!$C$2:$C$1960,0)),"",INDEX('Compliance Database'!$O$2:$O$1960,MATCH(1951,Engine!$C$2:$C$1960,0)))</f>
        <v/>
      </c>
      <c r="P1964" s="8">
        <f>IF(ISNA(MATCH(1951,Engine!$C$2:$C$1960,0)),"",HYPERLINK("#Acts!A"&amp;INDEX('Compliance Database'!$P$2:$P$1960,MATCH(1951,Engine!$C$2:$C$1960,0)),"Go to Act"))</f>
        <v/>
      </c>
    </row>
    <row r="1965" ht="158" customHeight="1">
      <c r="A1965" s="8">
        <f>IF(ISNA(MATCH(1952,Engine!$C$2:$C$1960,0)),"",INDEX('Compliance Database'!$A$2:$A$1960,MATCH(1952,Engine!$C$2:$C$1960,0)))</f>
        <v/>
      </c>
      <c r="B1965" s="8">
        <f>IF(ISNA(MATCH(1952,Engine!$C$2:$C$1960,0)),"",INDEX('Compliance Database'!$B$2:$B$1960,MATCH(1952,Engine!$C$2:$C$1960,0)))</f>
        <v/>
      </c>
      <c r="C1965" s="8">
        <f>IF(ISNA(MATCH(1952,Engine!$C$2:$C$1960,0)),"",INDEX('Compliance Database'!$C$2:$C$1960,MATCH(1952,Engine!$C$2:$C$1960,0)))</f>
        <v/>
      </c>
      <c r="D1965" s="9">
        <f>IF(ISNA(MATCH(1952,Engine!$C$2:$C$1960,0)),"",INDEX('Compliance Database'!$D$2:$D$1960,MATCH(1952,Engine!$C$2:$C$1960,0)))</f>
        <v/>
      </c>
      <c r="E1965" s="8">
        <f>IF(ISNA(MATCH(1952,Engine!$C$2:$C$1960,0)),"",INDEX('Compliance Database'!$E$2:$E$1960,MATCH(1952,Engine!$C$2:$C$1960,0)))</f>
        <v/>
      </c>
      <c r="F1965" s="8">
        <f>IF(ISNA(MATCH(1952,Engine!$C$2:$C$1960,0)),"",INDEX('Compliance Database'!$F$2:$F$1960,MATCH(1952,Engine!$C$2:$C$1960,0)))</f>
        <v/>
      </c>
      <c r="G1965" s="8">
        <f>IF(ISNA(MATCH(1952,Engine!$C$2:$C$1960,0)),"",INDEX('Compliance Database'!$G$2:$G$1960,MATCH(1952,Engine!$C$2:$C$1960,0)))</f>
        <v/>
      </c>
      <c r="H1965" s="9">
        <f>IF(ISNA(MATCH(1952,Engine!$C$2:$C$1960,0)),"",INDEX('Compliance Database'!$H$2:$H$1960,MATCH(1952,Engine!$C$2:$C$1960,0)))</f>
        <v/>
      </c>
      <c r="I1965" s="9">
        <f>IF(ISNA(MATCH(1952,Engine!$C$2:$C$1960,0)),"",INDEX('Compliance Database'!$I$2:$I$1960,MATCH(1952,Engine!$C$2:$C$1960,0)))</f>
        <v/>
      </c>
      <c r="J1965" s="8">
        <f>IF(ISNA(MATCH(1952,Engine!$C$2:$C$1960,0)),"",INDEX('Compliance Database'!$J$2:$J$1960,MATCH(1952,Engine!$C$2:$C$1960,0)))</f>
        <v/>
      </c>
      <c r="K1965" s="9">
        <f>IF(ISNA(MATCH(1952,Engine!$C$2:$C$1960,0)),"",INDEX('Compliance Database'!$K$2:$K$1960,MATCH(1952,Engine!$C$2:$C$1960,0)))</f>
        <v/>
      </c>
      <c r="L1965" s="9">
        <f>IF(ISNA(MATCH(1952,Engine!$C$2:$C$1960,0)),"",INDEX('Compliance Database'!$L$2:$L$1960,MATCH(1952,Engine!$C$2:$C$1960,0)))</f>
        <v/>
      </c>
      <c r="M1965" s="9">
        <f>IF(ISNA(MATCH(1952,Engine!$C$2:$C$1960,0)),"",INDEX('Compliance Database'!$M$2:$M$1960,MATCH(1952,Engine!$C$2:$C$1960,0)))</f>
        <v/>
      </c>
      <c r="N1965" s="9">
        <f>IF(ISNA(MATCH(1952,Engine!$C$2:$C$1960,0)),"",INDEX('Compliance Database'!$N$2:$N$1960,MATCH(1952,Engine!$C$2:$C$1960,0)))</f>
        <v/>
      </c>
      <c r="O1965" s="9">
        <f>IF(ISNA(MATCH(1952,Engine!$C$2:$C$1960,0)),"",INDEX('Compliance Database'!$O$2:$O$1960,MATCH(1952,Engine!$C$2:$C$1960,0)))</f>
        <v/>
      </c>
      <c r="P1965" s="8">
        <f>IF(ISNA(MATCH(1952,Engine!$C$2:$C$1960,0)),"",HYPERLINK("#Acts!A"&amp;INDEX('Compliance Database'!$P$2:$P$1960,MATCH(1952,Engine!$C$2:$C$1960,0)),"Go to Act"))</f>
        <v/>
      </c>
    </row>
    <row r="1966" ht="158" customHeight="1">
      <c r="A1966" s="8">
        <f>IF(ISNA(MATCH(1953,Engine!$C$2:$C$1960,0)),"",INDEX('Compliance Database'!$A$2:$A$1960,MATCH(1953,Engine!$C$2:$C$1960,0)))</f>
        <v/>
      </c>
      <c r="B1966" s="8">
        <f>IF(ISNA(MATCH(1953,Engine!$C$2:$C$1960,0)),"",INDEX('Compliance Database'!$B$2:$B$1960,MATCH(1953,Engine!$C$2:$C$1960,0)))</f>
        <v/>
      </c>
      <c r="C1966" s="8">
        <f>IF(ISNA(MATCH(1953,Engine!$C$2:$C$1960,0)),"",INDEX('Compliance Database'!$C$2:$C$1960,MATCH(1953,Engine!$C$2:$C$1960,0)))</f>
        <v/>
      </c>
      <c r="D1966" s="9">
        <f>IF(ISNA(MATCH(1953,Engine!$C$2:$C$1960,0)),"",INDEX('Compliance Database'!$D$2:$D$1960,MATCH(1953,Engine!$C$2:$C$1960,0)))</f>
        <v/>
      </c>
      <c r="E1966" s="8">
        <f>IF(ISNA(MATCH(1953,Engine!$C$2:$C$1960,0)),"",INDEX('Compliance Database'!$E$2:$E$1960,MATCH(1953,Engine!$C$2:$C$1960,0)))</f>
        <v/>
      </c>
      <c r="F1966" s="8">
        <f>IF(ISNA(MATCH(1953,Engine!$C$2:$C$1960,0)),"",INDEX('Compliance Database'!$F$2:$F$1960,MATCH(1953,Engine!$C$2:$C$1960,0)))</f>
        <v/>
      </c>
      <c r="G1966" s="8">
        <f>IF(ISNA(MATCH(1953,Engine!$C$2:$C$1960,0)),"",INDEX('Compliance Database'!$G$2:$G$1960,MATCH(1953,Engine!$C$2:$C$1960,0)))</f>
        <v/>
      </c>
      <c r="H1966" s="9">
        <f>IF(ISNA(MATCH(1953,Engine!$C$2:$C$1960,0)),"",INDEX('Compliance Database'!$H$2:$H$1960,MATCH(1953,Engine!$C$2:$C$1960,0)))</f>
        <v/>
      </c>
      <c r="I1966" s="9">
        <f>IF(ISNA(MATCH(1953,Engine!$C$2:$C$1960,0)),"",INDEX('Compliance Database'!$I$2:$I$1960,MATCH(1953,Engine!$C$2:$C$1960,0)))</f>
        <v/>
      </c>
      <c r="J1966" s="8">
        <f>IF(ISNA(MATCH(1953,Engine!$C$2:$C$1960,0)),"",INDEX('Compliance Database'!$J$2:$J$1960,MATCH(1953,Engine!$C$2:$C$1960,0)))</f>
        <v/>
      </c>
      <c r="K1966" s="9">
        <f>IF(ISNA(MATCH(1953,Engine!$C$2:$C$1960,0)),"",INDEX('Compliance Database'!$K$2:$K$1960,MATCH(1953,Engine!$C$2:$C$1960,0)))</f>
        <v/>
      </c>
      <c r="L1966" s="9">
        <f>IF(ISNA(MATCH(1953,Engine!$C$2:$C$1960,0)),"",INDEX('Compliance Database'!$L$2:$L$1960,MATCH(1953,Engine!$C$2:$C$1960,0)))</f>
        <v/>
      </c>
      <c r="M1966" s="9">
        <f>IF(ISNA(MATCH(1953,Engine!$C$2:$C$1960,0)),"",INDEX('Compliance Database'!$M$2:$M$1960,MATCH(1953,Engine!$C$2:$C$1960,0)))</f>
        <v/>
      </c>
      <c r="N1966" s="9">
        <f>IF(ISNA(MATCH(1953,Engine!$C$2:$C$1960,0)),"",INDEX('Compliance Database'!$N$2:$N$1960,MATCH(1953,Engine!$C$2:$C$1960,0)))</f>
        <v/>
      </c>
      <c r="O1966" s="9">
        <f>IF(ISNA(MATCH(1953,Engine!$C$2:$C$1960,0)),"",INDEX('Compliance Database'!$O$2:$O$1960,MATCH(1953,Engine!$C$2:$C$1960,0)))</f>
        <v/>
      </c>
      <c r="P1966" s="8">
        <f>IF(ISNA(MATCH(1953,Engine!$C$2:$C$1960,0)),"",HYPERLINK("#Acts!A"&amp;INDEX('Compliance Database'!$P$2:$P$1960,MATCH(1953,Engine!$C$2:$C$1960,0)),"Go to Act"))</f>
        <v/>
      </c>
    </row>
    <row r="1967" ht="158" customHeight="1">
      <c r="A1967" s="8">
        <f>IF(ISNA(MATCH(1954,Engine!$C$2:$C$1960,0)),"",INDEX('Compliance Database'!$A$2:$A$1960,MATCH(1954,Engine!$C$2:$C$1960,0)))</f>
        <v/>
      </c>
      <c r="B1967" s="8">
        <f>IF(ISNA(MATCH(1954,Engine!$C$2:$C$1960,0)),"",INDEX('Compliance Database'!$B$2:$B$1960,MATCH(1954,Engine!$C$2:$C$1960,0)))</f>
        <v/>
      </c>
      <c r="C1967" s="8">
        <f>IF(ISNA(MATCH(1954,Engine!$C$2:$C$1960,0)),"",INDEX('Compliance Database'!$C$2:$C$1960,MATCH(1954,Engine!$C$2:$C$1960,0)))</f>
        <v/>
      </c>
      <c r="D1967" s="9">
        <f>IF(ISNA(MATCH(1954,Engine!$C$2:$C$1960,0)),"",INDEX('Compliance Database'!$D$2:$D$1960,MATCH(1954,Engine!$C$2:$C$1960,0)))</f>
        <v/>
      </c>
      <c r="E1967" s="8">
        <f>IF(ISNA(MATCH(1954,Engine!$C$2:$C$1960,0)),"",INDEX('Compliance Database'!$E$2:$E$1960,MATCH(1954,Engine!$C$2:$C$1960,0)))</f>
        <v/>
      </c>
      <c r="F1967" s="8">
        <f>IF(ISNA(MATCH(1954,Engine!$C$2:$C$1960,0)),"",INDEX('Compliance Database'!$F$2:$F$1960,MATCH(1954,Engine!$C$2:$C$1960,0)))</f>
        <v/>
      </c>
      <c r="G1967" s="8">
        <f>IF(ISNA(MATCH(1954,Engine!$C$2:$C$1960,0)),"",INDEX('Compliance Database'!$G$2:$G$1960,MATCH(1954,Engine!$C$2:$C$1960,0)))</f>
        <v/>
      </c>
      <c r="H1967" s="9">
        <f>IF(ISNA(MATCH(1954,Engine!$C$2:$C$1960,0)),"",INDEX('Compliance Database'!$H$2:$H$1960,MATCH(1954,Engine!$C$2:$C$1960,0)))</f>
        <v/>
      </c>
      <c r="I1967" s="9">
        <f>IF(ISNA(MATCH(1954,Engine!$C$2:$C$1960,0)),"",INDEX('Compliance Database'!$I$2:$I$1960,MATCH(1954,Engine!$C$2:$C$1960,0)))</f>
        <v/>
      </c>
      <c r="J1967" s="8">
        <f>IF(ISNA(MATCH(1954,Engine!$C$2:$C$1960,0)),"",INDEX('Compliance Database'!$J$2:$J$1960,MATCH(1954,Engine!$C$2:$C$1960,0)))</f>
        <v/>
      </c>
      <c r="K1967" s="9">
        <f>IF(ISNA(MATCH(1954,Engine!$C$2:$C$1960,0)),"",INDEX('Compliance Database'!$K$2:$K$1960,MATCH(1954,Engine!$C$2:$C$1960,0)))</f>
        <v/>
      </c>
      <c r="L1967" s="9">
        <f>IF(ISNA(MATCH(1954,Engine!$C$2:$C$1960,0)),"",INDEX('Compliance Database'!$L$2:$L$1960,MATCH(1954,Engine!$C$2:$C$1960,0)))</f>
        <v/>
      </c>
      <c r="M1967" s="9">
        <f>IF(ISNA(MATCH(1954,Engine!$C$2:$C$1960,0)),"",INDEX('Compliance Database'!$M$2:$M$1960,MATCH(1954,Engine!$C$2:$C$1960,0)))</f>
        <v/>
      </c>
      <c r="N1967" s="9">
        <f>IF(ISNA(MATCH(1954,Engine!$C$2:$C$1960,0)),"",INDEX('Compliance Database'!$N$2:$N$1960,MATCH(1954,Engine!$C$2:$C$1960,0)))</f>
        <v/>
      </c>
      <c r="O1967" s="9">
        <f>IF(ISNA(MATCH(1954,Engine!$C$2:$C$1960,0)),"",INDEX('Compliance Database'!$O$2:$O$1960,MATCH(1954,Engine!$C$2:$C$1960,0)))</f>
        <v/>
      </c>
      <c r="P1967" s="8">
        <f>IF(ISNA(MATCH(1954,Engine!$C$2:$C$1960,0)),"",HYPERLINK("#Acts!A"&amp;INDEX('Compliance Database'!$P$2:$P$1960,MATCH(1954,Engine!$C$2:$C$1960,0)),"Go to Act"))</f>
        <v/>
      </c>
    </row>
    <row r="1968" ht="158" customHeight="1">
      <c r="A1968" s="8">
        <f>IF(ISNA(MATCH(1955,Engine!$C$2:$C$1960,0)),"",INDEX('Compliance Database'!$A$2:$A$1960,MATCH(1955,Engine!$C$2:$C$1960,0)))</f>
        <v/>
      </c>
      <c r="B1968" s="8">
        <f>IF(ISNA(MATCH(1955,Engine!$C$2:$C$1960,0)),"",INDEX('Compliance Database'!$B$2:$B$1960,MATCH(1955,Engine!$C$2:$C$1960,0)))</f>
        <v/>
      </c>
      <c r="C1968" s="8">
        <f>IF(ISNA(MATCH(1955,Engine!$C$2:$C$1960,0)),"",INDEX('Compliance Database'!$C$2:$C$1960,MATCH(1955,Engine!$C$2:$C$1960,0)))</f>
        <v/>
      </c>
      <c r="D1968" s="9">
        <f>IF(ISNA(MATCH(1955,Engine!$C$2:$C$1960,0)),"",INDEX('Compliance Database'!$D$2:$D$1960,MATCH(1955,Engine!$C$2:$C$1960,0)))</f>
        <v/>
      </c>
      <c r="E1968" s="8">
        <f>IF(ISNA(MATCH(1955,Engine!$C$2:$C$1960,0)),"",INDEX('Compliance Database'!$E$2:$E$1960,MATCH(1955,Engine!$C$2:$C$1960,0)))</f>
        <v/>
      </c>
      <c r="F1968" s="8">
        <f>IF(ISNA(MATCH(1955,Engine!$C$2:$C$1960,0)),"",INDEX('Compliance Database'!$F$2:$F$1960,MATCH(1955,Engine!$C$2:$C$1960,0)))</f>
        <v/>
      </c>
      <c r="G1968" s="8">
        <f>IF(ISNA(MATCH(1955,Engine!$C$2:$C$1960,0)),"",INDEX('Compliance Database'!$G$2:$G$1960,MATCH(1955,Engine!$C$2:$C$1960,0)))</f>
        <v/>
      </c>
      <c r="H1968" s="9">
        <f>IF(ISNA(MATCH(1955,Engine!$C$2:$C$1960,0)),"",INDEX('Compliance Database'!$H$2:$H$1960,MATCH(1955,Engine!$C$2:$C$1960,0)))</f>
        <v/>
      </c>
      <c r="I1968" s="9">
        <f>IF(ISNA(MATCH(1955,Engine!$C$2:$C$1960,0)),"",INDEX('Compliance Database'!$I$2:$I$1960,MATCH(1955,Engine!$C$2:$C$1960,0)))</f>
        <v/>
      </c>
      <c r="J1968" s="8">
        <f>IF(ISNA(MATCH(1955,Engine!$C$2:$C$1960,0)),"",INDEX('Compliance Database'!$J$2:$J$1960,MATCH(1955,Engine!$C$2:$C$1960,0)))</f>
        <v/>
      </c>
      <c r="K1968" s="9">
        <f>IF(ISNA(MATCH(1955,Engine!$C$2:$C$1960,0)),"",INDEX('Compliance Database'!$K$2:$K$1960,MATCH(1955,Engine!$C$2:$C$1960,0)))</f>
        <v/>
      </c>
      <c r="L1968" s="9">
        <f>IF(ISNA(MATCH(1955,Engine!$C$2:$C$1960,0)),"",INDEX('Compliance Database'!$L$2:$L$1960,MATCH(1955,Engine!$C$2:$C$1960,0)))</f>
        <v/>
      </c>
      <c r="M1968" s="9">
        <f>IF(ISNA(MATCH(1955,Engine!$C$2:$C$1960,0)),"",INDEX('Compliance Database'!$M$2:$M$1960,MATCH(1955,Engine!$C$2:$C$1960,0)))</f>
        <v/>
      </c>
      <c r="N1968" s="9">
        <f>IF(ISNA(MATCH(1955,Engine!$C$2:$C$1960,0)),"",INDEX('Compliance Database'!$N$2:$N$1960,MATCH(1955,Engine!$C$2:$C$1960,0)))</f>
        <v/>
      </c>
      <c r="O1968" s="9">
        <f>IF(ISNA(MATCH(1955,Engine!$C$2:$C$1960,0)),"",INDEX('Compliance Database'!$O$2:$O$1960,MATCH(1955,Engine!$C$2:$C$1960,0)))</f>
        <v/>
      </c>
      <c r="P1968" s="8">
        <f>IF(ISNA(MATCH(1955,Engine!$C$2:$C$1960,0)),"",HYPERLINK("#Acts!A"&amp;INDEX('Compliance Database'!$P$2:$P$1960,MATCH(1955,Engine!$C$2:$C$1960,0)),"Go to Act"))</f>
        <v/>
      </c>
    </row>
    <row r="1969" ht="158" customHeight="1">
      <c r="A1969" s="8">
        <f>IF(ISNA(MATCH(1956,Engine!$C$2:$C$1960,0)),"",INDEX('Compliance Database'!$A$2:$A$1960,MATCH(1956,Engine!$C$2:$C$1960,0)))</f>
        <v/>
      </c>
      <c r="B1969" s="8">
        <f>IF(ISNA(MATCH(1956,Engine!$C$2:$C$1960,0)),"",INDEX('Compliance Database'!$B$2:$B$1960,MATCH(1956,Engine!$C$2:$C$1960,0)))</f>
        <v/>
      </c>
      <c r="C1969" s="8">
        <f>IF(ISNA(MATCH(1956,Engine!$C$2:$C$1960,0)),"",INDEX('Compliance Database'!$C$2:$C$1960,MATCH(1956,Engine!$C$2:$C$1960,0)))</f>
        <v/>
      </c>
      <c r="D1969" s="9">
        <f>IF(ISNA(MATCH(1956,Engine!$C$2:$C$1960,0)),"",INDEX('Compliance Database'!$D$2:$D$1960,MATCH(1956,Engine!$C$2:$C$1960,0)))</f>
        <v/>
      </c>
      <c r="E1969" s="8">
        <f>IF(ISNA(MATCH(1956,Engine!$C$2:$C$1960,0)),"",INDEX('Compliance Database'!$E$2:$E$1960,MATCH(1956,Engine!$C$2:$C$1960,0)))</f>
        <v/>
      </c>
      <c r="F1969" s="8">
        <f>IF(ISNA(MATCH(1956,Engine!$C$2:$C$1960,0)),"",INDEX('Compliance Database'!$F$2:$F$1960,MATCH(1956,Engine!$C$2:$C$1960,0)))</f>
        <v/>
      </c>
      <c r="G1969" s="8">
        <f>IF(ISNA(MATCH(1956,Engine!$C$2:$C$1960,0)),"",INDEX('Compliance Database'!$G$2:$G$1960,MATCH(1956,Engine!$C$2:$C$1960,0)))</f>
        <v/>
      </c>
      <c r="H1969" s="9">
        <f>IF(ISNA(MATCH(1956,Engine!$C$2:$C$1960,0)),"",INDEX('Compliance Database'!$H$2:$H$1960,MATCH(1956,Engine!$C$2:$C$1960,0)))</f>
        <v/>
      </c>
      <c r="I1969" s="9">
        <f>IF(ISNA(MATCH(1956,Engine!$C$2:$C$1960,0)),"",INDEX('Compliance Database'!$I$2:$I$1960,MATCH(1956,Engine!$C$2:$C$1960,0)))</f>
        <v/>
      </c>
      <c r="J1969" s="8">
        <f>IF(ISNA(MATCH(1956,Engine!$C$2:$C$1960,0)),"",INDEX('Compliance Database'!$J$2:$J$1960,MATCH(1956,Engine!$C$2:$C$1960,0)))</f>
        <v/>
      </c>
      <c r="K1969" s="9">
        <f>IF(ISNA(MATCH(1956,Engine!$C$2:$C$1960,0)),"",INDEX('Compliance Database'!$K$2:$K$1960,MATCH(1956,Engine!$C$2:$C$1960,0)))</f>
        <v/>
      </c>
      <c r="L1969" s="9">
        <f>IF(ISNA(MATCH(1956,Engine!$C$2:$C$1960,0)),"",INDEX('Compliance Database'!$L$2:$L$1960,MATCH(1956,Engine!$C$2:$C$1960,0)))</f>
        <v/>
      </c>
      <c r="M1969" s="9">
        <f>IF(ISNA(MATCH(1956,Engine!$C$2:$C$1960,0)),"",INDEX('Compliance Database'!$M$2:$M$1960,MATCH(1956,Engine!$C$2:$C$1960,0)))</f>
        <v/>
      </c>
      <c r="N1969" s="9">
        <f>IF(ISNA(MATCH(1956,Engine!$C$2:$C$1960,0)),"",INDEX('Compliance Database'!$N$2:$N$1960,MATCH(1956,Engine!$C$2:$C$1960,0)))</f>
        <v/>
      </c>
      <c r="O1969" s="9">
        <f>IF(ISNA(MATCH(1956,Engine!$C$2:$C$1960,0)),"",INDEX('Compliance Database'!$O$2:$O$1960,MATCH(1956,Engine!$C$2:$C$1960,0)))</f>
        <v/>
      </c>
      <c r="P1969" s="8">
        <f>IF(ISNA(MATCH(1956,Engine!$C$2:$C$1960,0)),"",HYPERLINK("#Acts!A"&amp;INDEX('Compliance Database'!$P$2:$P$1960,MATCH(1956,Engine!$C$2:$C$1960,0)),"Go to Act"))</f>
        <v/>
      </c>
    </row>
    <row r="1970" ht="158" customHeight="1">
      <c r="A1970" s="8">
        <f>IF(ISNA(MATCH(1957,Engine!$C$2:$C$1960,0)),"",INDEX('Compliance Database'!$A$2:$A$1960,MATCH(1957,Engine!$C$2:$C$1960,0)))</f>
        <v/>
      </c>
      <c r="B1970" s="8">
        <f>IF(ISNA(MATCH(1957,Engine!$C$2:$C$1960,0)),"",INDEX('Compliance Database'!$B$2:$B$1960,MATCH(1957,Engine!$C$2:$C$1960,0)))</f>
        <v/>
      </c>
      <c r="C1970" s="8">
        <f>IF(ISNA(MATCH(1957,Engine!$C$2:$C$1960,0)),"",INDEX('Compliance Database'!$C$2:$C$1960,MATCH(1957,Engine!$C$2:$C$1960,0)))</f>
        <v/>
      </c>
      <c r="D1970" s="9">
        <f>IF(ISNA(MATCH(1957,Engine!$C$2:$C$1960,0)),"",INDEX('Compliance Database'!$D$2:$D$1960,MATCH(1957,Engine!$C$2:$C$1960,0)))</f>
        <v/>
      </c>
      <c r="E1970" s="8">
        <f>IF(ISNA(MATCH(1957,Engine!$C$2:$C$1960,0)),"",INDEX('Compliance Database'!$E$2:$E$1960,MATCH(1957,Engine!$C$2:$C$1960,0)))</f>
        <v/>
      </c>
      <c r="F1970" s="8">
        <f>IF(ISNA(MATCH(1957,Engine!$C$2:$C$1960,0)),"",INDEX('Compliance Database'!$F$2:$F$1960,MATCH(1957,Engine!$C$2:$C$1960,0)))</f>
        <v/>
      </c>
      <c r="G1970" s="8">
        <f>IF(ISNA(MATCH(1957,Engine!$C$2:$C$1960,0)),"",INDEX('Compliance Database'!$G$2:$G$1960,MATCH(1957,Engine!$C$2:$C$1960,0)))</f>
        <v/>
      </c>
      <c r="H1970" s="9">
        <f>IF(ISNA(MATCH(1957,Engine!$C$2:$C$1960,0)),"",INDEX('Compliance Database'!$H$2:$H$1960,MATCH(1957,Engine!$C$2:$C$1960,0)))</f>
        <v/>
      </c>
      <c r="I1970" s="9">
        <f>IF(ISNA(MATCH(1957,Engine!$C$2:$C$1960,0)),"",INDEX('Compliance Database'!$I$2:$I$1960,MATCH(1957,Engine!$C$2:$C$1960,0)))</f>
        <v/>
      </c>
      <c r="J1970" s="8">
        <f>IF(ISNA(MATCH(1957,Engine!$C$2:$C$1960,0)),"",INDEX('Compliance Database'!$J$2:$J$1960,MATCH(1957,Engine!$C$2:$C$1960,0)))</f>
        <v/>
      </c>
      <c r="K1970" s="9">
        <f>IF(ISNA(MATCH(1957,Engine!$C$2:$C$1960,0)),"",INDEX('Compliance Database'!$K$2:$K$1960,MATCH(1957,Engine!$C$2:$C$1960,0)))</f>
        <v/>
      </c>
      <c r="L1970" s="9">
        <f>IF(ISNA(MATCH(1957,Engine!$C$2:$C$1960,0)),"",INDEX('Compliance Database'!$L$2:$L$1960,MATCH(1957,Engine!$C$2:$C$1960,0)))</f>
        <v/>
      </c>
      <c r="M1970" s="9">
        <f>IF(ISNA(MATCH(1957,Engine!$C$2:$C$1960,0)),"",INDEX('Compliance Database'!$M$2:$M$1960,MATCH(1957,Engine!$C$2:$C$1960,0)))</f>
        <v/>
      </c>
      <c r="N1970" s="9">
        <f>IF(ISNA(MATCH(1957,Engine!$C$2:$C$1960,0)),"",INDEX('Compliance Database'!$N$2:$N$1960,MATCH(1957,Engine!$C$2:$C$1960,0)))</f>
        <v/>
      </c>
      <c r="O1970" s="9">
        <f>IF(ISNA(MATCH(1957,Engine!$C$2:$C$1960,0)),"",INDEX('Compliance Database'!$O$2:$O$1960,MATCH(1957,Engine!$C$2:$C$1960,0)))</f>
        <v/>
      </c>
      <c r="P1970" s="8">
        <f>IF(ISNA(MATCH(1957,Engine!$C$2:$C$1960,0)),"",HYPERLINK("#Acts!A"&amp;INDEX('Compliance Database'!$P$2:$P$1960,MATCH(1957,Engine!$C$2:$C$1960,0)),"Go to Act"))</f>
        <v/>
      </c>
    </row>
    <row r="1971" ht="158" customHeight="1">
      <c r="A1971" s="8">
        <f>IF(ISNA(MATCH(1958,Engine!$C$2:$C$1960,0)),"",INDEX('Compliance Database'!$A$2:$A$1960,MATCH(1958,Engine!$C$2:$C$1960,0)))</f>
        <v/>
      </c>
      <c r="B1971" s="8">
        <f>IF(ISNA(MATCH(1958,Engine!$C$2:$C$1960,0)),"",INDEX('Compliance Database'!$B$2:$B$1960,MATCH(1958,Engine!$C$2:$C$1960,0)))</f>
        <v/>
      </c>
      <c r="C1971" s="8">
        <f>IF(ISNA(MATCH(1958,Engine!$C$2:$C$1960,0)),"",INDEX('Compliance Database'!$C$2:$C$1960,MATCH(1958,Engine!$C$2:$C$1960,0)))</f>
        <v/>
      </c>
      <c r="D1971" s="9">
        <f>IF(ISNA(MATCH(1958,Engine!$C$2:$C$1960,0)),"",INDEX('Compliance Database'!$D$2:$D$1960,MATCH(1958,Engine!$C$2:$C$1960,0)))</f>
        <v/>
      </c>
      <c r="E1971" s="8">
        <f>IF(ISNA(MATCH(1958,Engine!$C$2:$C$1960,0)),"",INDEX('Compliance Database'!$E$2:$E$1960,MATCH(1958,Engine!$C$2:$C$1960,0)))</f>
        <v/>
      </c>
      <c r="F1971" s="8">
        <f>IF(ISNA(MATCH(1958,Engine!$C$2:$C$1960,0)),"",INDEX('Compliance Database'!$F$2:$F$1960,MATCH(1958,Engine!$C$2:$C$1960,0)))</f>
        <v/>
      </c>
      <c r="G1971" s="8">
        <f>IF(ISNA(MATCH(1958,Engine!$C$2:$C$1960,0)),"",INDEX('Compliance Database'!$G$2:$G$1960,MATCH(1958,Engine!$C$2:$C$1960,0)))</f>
        <v/>
      </c>
      <c r="H1971" s="9">
        <f>IF(ISNA(MATCH(1958,Engine!$C$2:$C$1960,0)),"",INDEX('Compliance Database'!$H$2:$H$1960,MATCH(1958,Engine!$C$2:$C$1960,0)))</f>
        <v/>
      </c>
      <c r="I1971" s="9">
        <f>IF(ISNA(MATCH(1958,Engine!$C$2:$C$1960,0)),"",INDEX('Compliance Database'!$I$2:$I$1960,MATCH(1958,Engine!$C$2:$C$1960,0)))</f>
        <v/>
      </c>
      <c r="J1971" s="8">
        <f>IF(ISNA(MATCH(1958,Engine!$C$2:$C$1960,0)),"",INDEX('Compliance Database'!$J$2:$J$1960,MATCH(1958,Engine!$C$2:$C$1960,0)))</f>
        <v/>
      </c>
      <c r="K1971" s="9">
        <f>IF(ISNA(MATCH(1958,Engine!$C$2:$C$1960,0)),"",INDEX('Compliance Database'!$K$2:$K$1960,MATCH(1958,Engine!$C$2:$C$1960,0)))</f>
        <v/>
      </c>
      <c r="L1971" s="9">
        <f>IF(ISNA(MATCH(1958,Engine!$C$2:$C$1960,0)),"",INDEX('Compliance Database'!$L$2:$L$1960,MATCH(1958,Engine!$C$2:$C$1960,0)))</f>
        <v/>
      </c>
      <c r="M1971" s="9">
        <f>IF(ISNA(MATCH(1958,Engine!$C$2:$C$1960,0)),"",INDEX('Compliance Database'!$M$2:$M$1960,MATCH(1958,Engine!$C$2:$C$1960,0)))</f>
        <v/>
      </c>
      <c r="N1971" s="9">
        <f>IF(ISNA(MATCH(1958,Engine!$C$2:$C$1960,0)),"",INDEX('Compliance Database'!$N$2:$N$1960,MATCH(1958,Engine!$C$2:$C$1960,0)))</f>
        <v/>
      </c>
      <c r="O1971" s="9">
        <f>IF(ISNA(MATCH(1958,Engine!$C$2:$C$1960,0)),"",INDEX('Compliance Database'!$O$2:$O$1960,MATCH(1958,Engine!$C$2:$C$1960,0)))</f>
        <v/>
      </c>
      <c r="P1971" s="8">
        <f>IF(ISNA(MATCH(1958,Engine!$C$2:$C$1960,0)),"",HYPERLINK("#Acts!A"&amp;INDEX('Compliance Database'!$P$2:$P$1960,MATCH(1958,Engine!$C$2:$C$1960,0)),"Go to Act"))</f>
        <v/>
      </c>
    </row>
    <row r="1972" ht="158" customHeight="1">
      <c r="A1972" s="8">
        <f>IF(ISNA(MATCH(1959,Engine!$C$2:$C$1960,0)),"",INDEX('Compliance Database'!$A$2:$A$1960,MATCH(1959,Engine!$C$2:$C$1960,0)))</f>
        <v/>
      </c>
      <c r="B1972" s="8">
        <f>IF(ISNA(MATCH(1959,Engine!$C$2:$C$1960,0)),"",INDEX('Compliance Database'!$B$2:$B$1960,MATCH(1959,Engine!$C$2:$C$1960,0)))</f>
        <v/>
      </c>
      <c r="C1972" s="8">
        <f>IF(ISNA(MATCH(1959,Engine!$C$2:$C$1960,0)),"",INDEX('Compliance Database'!$C$2:$C$1960,MATCH(1959,Engine!$C$2:$C$1960,0)))</f>
        <v/>
      </c>
      <c r="D1972" s="9">
        <f>IF(ISNA(MATCH(1959,Engine!$C$2:$C$1960,0)),"",INDEX('Compliance Database'!$D$2:$D$1960,MATCH(1959,Engine!$C$2:$C$1960,0)))</f>
        <v/>
      </c>
      <c r="E1972" s="8">
        <f>IF(ISNA(MATCH(1959,Engine!$C$2:$C$1960,0)),"",INDEX('Compliance Database'!$E$2:$E$1960,MATCH(1959,Engine!$C$2:$C$1960,0)))</f>
        <v/>
      </c>
      <c r="F1972" s="8">
        <f>IF(ISNA(MATCH(1959,Engine!$C$2:$C$1960,0)),"",INDEX('Compliance Database'!$F$2:$F$1960,MATCH(1959,Engine!$C$2:$C$1960,0)))</f>
        <v/>
      </c>
      <c r="G1972" s="8">
        <f>IF(ISNA(MATCH(1959,Engine!$C$2:$C$1960,0)),"",INDEX('Compliance Database'!$G$2:$G$1960,MATCH(1959,Engine!$C$2:$C$1960,0)))</f>
        <v/>
      </c>
      <c r="H1972" s="9">
        <f>IF(ISNA(MATCH(1959,Engine!$C$2:$C$1960,0)),"",INDEX('Compliance Database'!$H$2:$H$1960,MATCH(1959,Engine!$C$2:$C$1960,0)))</f>
        <v/>
      </c>
      <c r="I1972" s="9">
        <f>IF(ISNA(MATCH(1959,Engine!$C$2:$C$1960,0)),"",INDEX('Compliance Database'!$I$2:$I$1960,MATCH(1959,Engine!$C$2:$C$1960,0)))</f>
        <v/>
      </c>
      <c r="J1972" s="8">
        <f>IF(ISNA(MATCH(1959,Engine!$C$2:$C$1960,0)),"",INDEX('Compliance Database'!$J$2:$J$1960,MATCH(1959,Engine!$C$2:$C$1960,0)))</f>
        <v/>
      </c>
      <c r="K1972" s="9">
        <f>IF(ISNA(MATCH(1959,Engine!$C$2:$C$1960,0)),"",INDEX('Compliance Database'!$K$2:$K$1960,MATCH(1959,Engine!$C$2:$C$1960,0)))</f>
        <v/>
      </c>
      <c r="L1972" s="9">
        <f>IF(ISNA(MATCH(1959,Engine!$C$2:$C$1960,0)),"",INDEX('Compliance Database'!$L$2:$L$1960,MATCH(1959,Engine!$C$2:$C$1960,0)))</f>
        <v/>
      </c>
      <c r="M1972" s="9">
        <f>IF(ISNA(MATCH(1959,Engine!$C$2:$C$1960,0)),"",INDEX('Compliance Database'!$M$2:$M$1960,MATCH(1959,Engine!$C$2:$C$1960,0)))</f>
        <v/>
      </c>
      <c r="N1972" s="9">
        <f>IF(ISNA(MATCH(1959,Engine!$C$2:$C$1960,0)),"",INDEX('Compliance Database'!$N$2:$N$1960,MATCH(1959,Engine!$C$2:$C$1960,0)))</f>
        <v/>
      </c>
      <c r="O1972" s="9">
        <f>IF(ISNA(MATCH(1959,Engine!$C$2:$C$1960,0)),"",INDEX('Compliance Database'!$O$2:$O$1960,MATCH(1959,Engine!$C$2:$C$1960,0)))</f>
        <v/>
      </c>
      <c r="P1972" s="8">
        <f>IF(ISNA(MATCH(1959,Engine!$C$2:$C$1960,0)),"",HYPERLINK("#Acts!A"&amp;INDEX('Compliance Database'!$P$2:$P$1960,MATCH(1959,Engine!$C$2:$C$1960,0)),"Go to Act"))</f>
        <v/>
      </c>
    </row>
  </sheetData>
  <mergeCells count="1">
    <mergeCell ref="A1:D1"/>
  </mergeCells>
  <dataValidations count="6">
    <dataValidation sqref="B4" showDropDown="0" showInputMessage="0" showErrorMessage="0" allowBlank="1" type="list">
      <formula1>Lists!$A$2:$A$9</formula1>
    </dataValidation>
    <dataValidation sqref="B5" showDropDown="0" showInputMessage="0" showErrorMessage="0" allowBlank="1" type="list">
      <formula1>Lists!$B$2:$B$29</formula1>
    </dataValidation>
    <dataValidation sqref="B6" showDropDown="0" showInputMessage="0" showErrorMessage="0" allowBlank="1" type="list">
      <formula1>Lists!$C$2:$C$10</formula1>
    </dataValidation>
    <dataValidation sqref="B7" showDropDown="0" showInputMessage="0" showErrorMessage="0" allowBlank="1" type="list">
      <formula1>Lists!$D$2:$D$6</formula1>
    </dataValidation>
    <dataValidation sqref="B8" showDropDown="0" showInputMessage="0" showErrorMessage="0" allowBlank="1" type="list">
      <formula1>Lists!$E$2:$E$163</formula1>
    </dataValidation>
    <dataValidation sqref="B1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968"/>
  <sheetViews>
    <sheetView showGridLines="0" workbookViewId="0">
      <pane ySplit="9" topLeftCell="A10" activePane="bottomLeft" state="frozen"/>
      <selection pane="bottomLeft" activeCell="A1" sqref="A1"/>
    </sheetView>
  </sheetViews>
  <sheetFormatPr baseColWidth="8" defaultRowHeight="15"/>
  <cols>
    <col width="18" customWidth="1" min="1" max="1"/>
    <col width="18" customWidth="1" min="2" max="2"/>
    <col width="18" customWidth="1" min="3" max="3"/>
    <col width="45" customWidth="1" min="4" max="4"/>
    <col width="18" customWidth="1" min="5" max="5"/>
    <col width="18" customWidth="1" min="6" max="6"/>
    <col width="18" customWidth="1" min="7" max="7"/>
    <col width="45" customWidth="1" min="8" max="8"/>
    <col width="45" customWidth="1" min="9" max="9"/>
    <col width="18" customWidth="1" min="10" max="10"/>
    <col width="45" customWidth="1" min="11" max="11"/>
    <col width="45" customWidth="1" min="12" max="12"/>
    <col width="78" customWidth="1" min="13" max="13"/>
    <col width="78" customWidth="1" min="14" max="14"/>
    <col width="45" customWidth="1" min="15" max="15"/>
    <col width="18" customWidth="1" min="16" max="16"/>
  </cols>
  <sheetData>
    <row r="1">
      <c r="A1" s="1" t="inlineStr">
        <is>
          <t>Cross-Border Data Transfer</t>
        </is>
      </c>
    </row>
    <row r="3">
      <c r="A3" s="5" t="inlineStr">
        <is>
          <t>Pick the two countries involved in the transfer. Every relevant act/section from either country is listed below; add a keyword to narrow it.</t>
        </is>
      </c>
    </row>
    <row r="4">
      <c r="A4" s="2" t="inlineStr">
        <is>
          <t>Country A (from)</t>
        </is>
      </c>
      <c r="B4" s="6" t="inlineStr">
        <is>
          <t>Australia</t>
        </is>
      </c>
    </row>
    <row r="5">
      <c r="A5" s="2" t="inlineStr">
        <is>
          <t>Country B (to)</t>
        </is>
      </c>
      <c r="B5" s="6" t="inlineStr">
        <is>
          <t>GDPR</t>
        </is>
      </c>
    </row>
    <row r="6">
      <c r="A6" s="2" t="inlineStr">
        <is>
          <t>Keyword (free text)</t>
        </is>
      </c>
      <c r="B6" s="6" t="inlineStr"/>
    </row>
    <row r="8">
      <c r="A8" s="2" t="inlineStr">
        <is>
          <t>Matching sections (of 1959 total):</t>
        </is>
      </c>
      <c r="C8" s="2">
        <f>'Transfer Engine'!$D$1</f>
        <v/>
      </c>
    </row>
    <row r="9">
      <c r="A9" s="7" t="inlineStr">
        <is>
          <t>Country</t>
        </is>
      </c>
      <c r="B9" s="7" t="inlineStr">
        <is>
          <t>Act</t>
        </is>
      </c>
      <c r="C9" s="7" t="inlineStr">
        <is>
          <t>Section</t>
        </is>
      </c>
      <c r="D9" s="7" t="inlineStr">
        <is>
          <t>Heading</t>
        </is>
      </c>
      <c r="E9" s="7" t="inlineStr">
        <is>
          <t>Pages</t>
        </is>
      </c>
      <c r="F9" s="7" t="inlineStr">
        <is>
          <t>Financial Relevance</t>
        </is>
      </c>
      <c r="G9" s="7" t="inlineStr">
        <is>
          <t>Confidence</t>
        </is>
      </c>
      <c r="H9" s="7" t="inlineStr">
        <is>
          <t>Topics</t>
        </is>
      </c>
      <c r="I9" s="7" t="inlineStr">
        <is>
          <t>Data Types</t>
        </is>
      </c>
      <c r="J9" s="7" t="inlineStr">
        <is>
          <t>Authority</t>
        </is>
      </c>
      <c r="K9" s="7" t="inlineStr">
        <is>
          <t>Summary</t>
        </is>
      </c>
      <c r="L9" s="7" t="inlineStr">
        <is>
          <t>DTIA Summary</t>
        </is>
      </c>
      <c r="M9" s="7" t="inlineStr">
        <is>
          <t>Requirements</t>
        </is>
      </c>
      <c r="N9" s="7" t="inlineStr">
        <is>
          <t>Requirements (2)</t>
        </is>
      </c>
      <c r="O9" s="7" t="inlineStr">
        <is>
          <t>Source Quote</t>
        </is>
      </c>
      <c r="P9" s="7" t="inlineStr">
        <is>
          <t>Source</t>
        </is>
      </c>
    </row>
    <row r="10" ht="158" customHeight="1">
      <c r="A10" s="8">
        <f>IF(ISNA(MATCH(1,'Transfer Engine'!$C$2:$C$1960,0)),"",INDEX('Compliance Database'!$A$2:$A$1960,MATCH(1,'Transfer Engine'!$C$2:$C$1960,0)))</f>
        <v/>
      </c>
      <c r="B10" s="8">
        <f>IF(ISNA(MATCH(1,'Transfer Engine'!$C$2:$C$1960,0)),"",INDEX('Compliance Database'!$B$2:$B$1960,MATCH(1,'Transfer Engine'!$C$2:$C$1960,0)))</f>
        <v/>
      </c>
      <c r="C10" s="8">
        <f>IF(ISNA(MATCH(1,'Transfer Engine'!$C$2:$C$1960,0)),"",INDEX('Compliance Database'!$C$2:$C$1960,MATCH(1,'Transfer Engine'!$C$2:$C$1960,0)))</f>
        <v/>
      </c>
      <c r="D10" s="9">
        <f>IF(ISNA(MATCH(1,'Transfer Engine'!$C$2:$C$1960,0)),"",INDEX('Compliance Database'!$D$2:$D$1960,MATCH(1,'Transfer Engine'!$C$2:$C$1960,0)))</f>
        <v/>
      </c>
      <c r="E10" s="8">
        <f>IF(ISNA(MATCH(1,'Transfer Engine'!$C$2:$C$1960,0)),"",INDEX('Compliance Database'!$E$2:$E$1960,MATCH(1,'Transfer Engine'!$C$2:$C$1960,0)))</f>
        <v/>
      </c>
      <c r="F10" s="8">
        <f>IF(ISNA(MATCH(1,'Transfer Engine'!$C$2:$C$1960,0)),"",INDEX('Compliance Database'!$F$2:$F$1960,MATCH(1,'Transfer Engine'!$C$2:$C$1960,0)))</f>
        <v/>
      </c>
      <c r="G10" s="8">
        <f>IF(ISNA(MATCH(1,'Transfer Engine'!$C$2:$C$1960,0)),"",INDEX('Compliance Database'!$G$2:$G$1960,MATCH(1,'Transfer Engine'!$C$2:$C$1960,0)))</f>
        <v/>
      </c>
      <c r="H10" s="9">
        <f>IF(ISNA(MATCH(1,'Transfer Engine'!$C$2:$C$1960,0)),"",INDEX('Compliance Database'!$H$2:$H$1960,MATCH(1,'Transfer Engine'!$C$2:$C$1960,0)))</f>
        <v/>
      </c>
      <c r="I10" s="9">
        <f>IF(ISNA(MATCH(1,'Transfer Engine'!$C$2:$C$1960,0)),"",INDEX('Compliance Database'!$I$2:$I$1960,MATCH(1,'Transfer Engine'!$C$2:$C$1960,0)))</f>
        <v/>
      </c>
      <c r="J10" s="8">
        <f>IF(ISNA(MATCH(1,'Transfer Engine'!$C$2:$C$1960,0)),"",INDEX('Compliance Database'!$J$2:$J$1960,MATCH(1,'Transfer Engine'!$C$2:$C$1960,0)))</f>
        <v/>
      </c>
      <c r="K10" s="9">
        <f>IF(ISNA(MATCH(1,'Transfer Engine'!$C$2:$C$1960,0)),"",INDEX('Compliance Database'!$K$2:$K$1960,MATCH(1,'Transfer Engine'!$C$2:$C$1960,0)))</f>
        <v/>
      </c>
      <c r="L10" s="9">
        <f>IF(ISNA(MATCH(1,'Transfer Engine'!$C$2:$C$1960,0)),"",INDEX('Compliance Database'!$L$2:$L$1960,MATCH(1,'Transfer Engine'!$C$2:$C$1960,0)))</f>
        <v/>
      </c>
      <c r="M10" s="9">
        <f>IF(ISNA(MATCH(1,'Transfer Engine'!$C$2:$C$1960,0)),"",INDEX('Compliance Database'!$M$2:$M$1960,MATCH(1,'Transfer Engine'!$C$2:$C$1960,0)))</f>
        <v/>
      </c>
      <c r="N10" s="9">
        <f>IF(ISNA(MATCH(1,'Transfer Engine'!$C$2:$C$1960,0)),"",INDEX('Compliance Database'!$N$2:$N$1960,MATCH(1,'Transfer Engine'!$C$2:$C$1960,0)))</f>
        <v/>
      </c>
      <c r="O10" s="9">
        <f>IF(ISNA(MATCH(1,'Transfer Engine'!$C$2:$C$1960,0)),"",INDEX('Compliance Database'!$O$2:$O$1960,MATCH(1,'Transfer Engine'!$C$2:$C$1960,0)))</f>
        <v/>
      </c>
      <c r="P10" s="8">
        <f>IF(ISNA(MATCH(1,'Transfer Engine'!$C$2:$C$1960,0)),"",HYPERLINK("#Acts!A"&amp;INDEX('Compliance Database'!$P$2:$P$1960,MATCH(1,'Transfer Engine'!$C$2:$C$1960,0)),"Go to Act"))</f>
        <v/>
      </c>
    </row>
    <row r="11" ht="158" customHeight="1">
      <c r="A11" s="8">
        <f>IF(ISNA(MATCH(2,'Transfer Engine'!$C$2:$C$1960,0)),"",INDEX('Compliance Database'!$A$2:$A$1960,MATCH(2,'Transfer Engine'!$C$2:$C$1960,0)))</f>
        <v/>
      </c>
      <c r="B11" s="8">
        <f>IF(ISNA(MATCH(2,'Transfer Engine'!$C$2:$C$1960,0)),"",INDEX('Compliance Database'!$B$2:$B$1960,MATCH(2,'Transfer Engine'!$C$2:$C$1960,0)))</f>
        <v/>
      </c>
      <c r="C11" s="8">
        <f>IF(ISNA(MATCH(2,'Transfer Engine'!$C$2:$C$1960,0)),"",INDEX('Compliance Database'!$C$2:$C$1960,MATCH(2,'Transfer Engine'!$C$2:$C$1960,0)))</f>
        <v/>
      </c>
      <c r="D11" s="9">
        <f>IF(ISNA(MATCH(2,'Transfer Engine'!$C$2:$C$1960,0)),"",INDEX('Compliance Database'!$D$2:$D$1960,MATCH(2,'Transfer Engine'!$C$2:$C$1960,0)))</f>
        <v/>
      </c>
      <c r="E11" s="8">
        <f>IF(ISNA(MATCH(2,'Transfer Engine'!$C$2:$C$1960,0)),"",INDEX('Compliance Database'!$E$2:$E$1960,MATCH(2,'Transfer Engine'!$C$2:$C$1960,0)))</f>
        <v/>
      </c>
      <c r="F11" s="8">
        <f>IF(ISNA(MATCH(2,'Transfer Engine'!$C$2:$C$1960,0)),"",INDEX('Compliance Database'!$F$2:$F$1960,MATCH(2,'Transfer Engine'!$C$2:$C$1960,0)))</f>
        <v/>
      </c>
      <c r="G11" s="8">
        <f>IF(ISNA(MATCH(2,'Transfer Engine'!$C$2:$C$1960,0)),"",INDEX('Compliance Database'!$G$2:$G$1960,MATCH(2,'Transfer Engine'!$C$2:$C$1960,0)))</f>
        <v/>
      </c>
      <c r="H11" s="9">
        <f>IF(ISNA(MATCH(2,'Transfer Engine'!$C$2:$C$1960,0)),"",INDEX('Compliance Database'!$H$2:$H$1960,MATCH(2,'Transfer Engine'!$C$2:$C$1960,0)))</f>
        <v/>
      </c>
      <c r="I11" s="9">
        <f>IF(ISNA(MATCH(2,'Transfer Engine'!$C$2:$C$1960,0)),"",INDEX('Compliance Database'!$I$2:$I$1960,MATCH(2,'Transfer Engine'!$C$2:$C$1960,0)))</f>
        <v/>
      </c>
      <c r="J11" s="8">
        <f>IF(ISNA(MATCH(2,'Transfer Engine'!$C$2:$C$1960,0)),"",INDEX('Compliance Database'!$J$2:$J$1960,MATCH(2,'Transfer Engine'!$C$2:$C$1960,0)))</f>
        <v/>
      </c>
      <c r="K11" s="9">
        <f>IF(ISNA(MATCH(2,'Transfer Engine'!$C$2:$C$1960,0)),"",INDEX('Compliance Database'!$K$2:$K$1960,MATCH(2,'Transfer Engine'!$C$2:$C$1960,0)))</f>
        <v/>
      </c>
      <c r="L11" s="9">
        <f>IF(ISNA(MATCH(2,'Transfer Engine'!$C$2:$C$1960,0)),"",INDEX('Compliance Database'!$L$2:$L$1960,MATCH(2,'Transfer Engine'!$C$2:$C$1960,0)))</f>
        <v/>
      </c>
      <c r="M11" s="9">
        <f>IF(ISNA(MATCH(2,'Transfer Engine'!$C$2:$C$1960,0)),"",INDEX('Compliance Database'!$M$2:$M$1960,MATCH(2,'Transfer Engine'!$C$2:$C$1960,0)))</f>
        <v/>
      </c>
      <c r="N11" s="9">
        <f>IF(ISNA(MATCH(2,'Transfer Engine'!$C$2:$C$1960,0)),"",INDEX('Compliance Database'!$N$2:$N$1960,MATCH(2,'Transfer Engine'!$C$2:$C$1960,0)))</f>
        <v/>
      </c>
      <c r="O11" s="9">
        <f>IF(ISNA(MATCH(2,'Transfer Engine'!$C$2:$C$1960,0)),"",INDEX('Compliance Database'!$O$2:$O$1960,MATCH(2,'Transfer Engine'!$C$2:$C$1960,0)))</f>
        <v/>
      </c>
      <c r="P11" s="8">
        <f>IF(ISNA(MATCH(2,'Transfer Engine'!$C$2:$C$1960,0)),"",HYPERLINK("#Acts!A"&amp;INDEX('Compliance Database'!$P$2:$P$1960,MATCH(2,'Transfer Engine'!$C$2:$C$1960,0)),"Go to Act"))</f>
        <v/>
      </c>
    </row>
    <row r="12" ht="158" customHeight="1">
      <c r="A12" s="8">
        <f>IF(ISNA(MATCH(3,'Transfer Engine'!$C$2:$C$1960,0)),"",INDEX('Compliance Database'!$A$2:$A$1960,MATCH(3,'Transfer Engine'!$C$2:$C$1960,0)))</f>
        <v/>
      </c>
      <c r="B12" s="8">
        <f>IF(ISNA(MATCH(3,'Transfer Engine'!$C$2:$C$1960,0)),"",INDEX('Compliance Database'!$B$2:$B$1960,MATCH(3,'Transfer Engine'!$C$2:$C$1960,0)))</f>
        <v/>
      </c>
      <c r="C12" s="8">
        <f>IF(ISNA(MATCH(3,'Transfer Engine'!$C$2:$C$1960,0)),"",INDEX('Compliance Database'!$C$2:$C$1960,MATCH(3,'Transfer Engine'!$C$2:$C$1960,0)))</f>
        <v/>
      </c>
      <c r="D12" s="9">
        <f>IF(ISNA(MATCH(3,'Transfer Engine'!$C$2:$C$1960,0)),"",INDEX('Compliance Database'!$D$2:$D$1960,MATCH(3,'Transfer Engine'!$C$2:$C$1960,0)))</f>
        <v/>
      </c>
      <c r="E12" s="8">
        <f>IF(ISNA(MATCH(3,'Transfer Engine'!$C$2:$C$1960,0)),"",INDEX('Compliance Database'!$E$2:$E$1960,MATCH(3,'Transfer Engine'!$C$2:$C$1960,0)))</f>
        <v/>
      </c>
      <c r="F12" s="8">
        <f>IF(ISNA(MATCH(3,'Transfer Engine'!$C$2:$C$1960,0)),"",INDEX('Compliance Database'!$F$2:$F$1960,MATCH(3,'Transfer Engine'!$C$2:$C$1960,0)))</f>
        <v/>
      </c>
      <c r="G12" s="8">
        <f>IF(ISNA(MATCH(3,'Transfer Engine'!$C$2:$C$1960,0)),"",INDEX('Compliance Database'!$G$2:$G$1960,MATCH(3,'Transfer Engine'!$C$2:$C$1960,0)))</f>
        <v/>
      </c>
      <c r="H12" s="9">
        <f>IF(ISNA(MATCH(3,'Transfer Engine'!$C$2:$C$1960,0)),"",INDEX('Compliance Database'!$H$2:$H$1960,MATCH(3,'Transfer Engine'!$C$2:$C$1960,0)))</f>
        <v/>
      </c>
      <c r="I12" s="9">
        <f>IF(ISNA(MATCH(3,'Transfer Engine'!$C$2:$C$1960,0)),"",INDEX('Compliance Database'!$I$2:$I$1960,MATCH(3,'Transfer Engine'!$C$2:$C$1960,0)))</f>
        <v/>
      </c>
      <c r="J12" s="8">
        <f>IF(ISNA(MATCH(3,'Transfer Engine'!$C$2:$C$1960,0)),"",INDEX('Compliance Database'!$J$2:$J$1960,MATCH(3,'Transfer Engine'!$C$2:$C$1960,0)))</f>
        <v/>
      </c>
      <c r="K12" s="9">
        <f>IF(ISNA(MATCH(3,'Transfer Engine'!$C$2:$C$1960,0)),"",INDEX('Compliance Database'!$K$2:$K$1960,MATCH(3,'Transfer Engine'!$C$2:$C$1960,0)))</f>
        <v/>
      </c>
      <c r="L12" s="9">
        <f>IF(ISNA(MATCH(3,'Transfer Engine'!$C$2:$C$1960,0)),"",INDEX('Compliance Database'!$L$2:$L$1960,MATCH(3,'Transfer Engine'!$C$2:$C$1960,0)))</f>
        <v/>
      </c>
      <c r="M12" s="9">
        <f>IF(ISNA(MATCH(3,'Transfer Engine'!$C$2:$C$1960,0)),"",INDEX('Compliance Database'!$M$2:$M$1960,MATCH(3,'Transfer Engine'!$C$2:$C$1960,0)))</f>
        <v/>
      </c>
      <c r="N12" s="9">
        <f>IF(ISNA(MATCH(3,'Transfer Engine'!$C$2:$C$1960,0)),"",INDEX('Compliance Database'!$N$2:$N$1960,MATCH(3,'Transfer Engine'!$C$2:$C$1960,0)))</f>
        <v/>
      </c>
      <c r="O12" s="9">
        <f>IF(ISNA(MATCH(3,'Transfer Engine'!$C$2:$C$1960,0)),"",INDEX('Compliance Database'!$O$2:$O$1960,MATCH(3,'Transfer Engine'!$C$2:$C$1960,0)))</f>
        <v/>
      </c>
      <c r="P12" s="8">
        <f>IF(ISNA(MATCH(3,'Transfer Engine'!$C$2:$C$1960,0)),"",HYPERLINK("#Acts!A"&amp;INDEX('Compliance Database'!$P$2:$P$1960,MATCH(3,'Transfer Engine'!$C$2:$C$1960,0)),"Go to Act"))</f>
        <v/>
      </c>
    </row>
    <row r="13" ht="158" customHeight="1">
      <c r="A13" s="8">
        <f>IF(ISNA(MATCH(4,'Transfer Engine'!$C$2:$C$1960,0)),"",INDEX('Compliance Database'!$A$2:$A$1960,MATCH(4,'Transfer Engine'!$C$2:$C$1960,0)))</f>
        <v/>
      </c>
      <c r="B13" s="8">
        <f>IF(ISNA(MATCH(4,'Transfer Engine'!$C$2:$C$1960,0)),"",INDEX('Compliance Database'!$B$2:$B$1960,MATCH(4,'Transfer Engine'!$C$2:$C$1960,0)))</f>
        <v/>
      </c>
      <c r="C13" s="8">
        <f>IF(ISNA(MATCH(4,'Transfer Engine'!$C$2:$C$1960,0)),"",INDEX('Compliance Database'!$C$2:$C$1960,MATCH(4,'Transfer Engine'!$C$2:$C$1960,0)))</f>
        <v/>
      </c>
      <c r="D13" s="9">
        <f>IF(ISNA(MATCH(4,'Transfer Engine'!$C$2:$C$1960,0)),"",INDEX('Compliance Database'!$D$2:$D$1960,MATCH(4,'Transfer Engine'!$C$2:$C$1960,0)))</f>
        <v/>
      </c>
      <c r="E13" s="8">
        <f>IF(ISNA(MATCH(4,'Transfer Engine'!$C$2:$C$1960,0)),"",INDEX('Compliance Database'!$E$2:$E$1960,MATCH(4,'Transfer Engine'!$C$2:$C$1960,0)))</f>
        <v/>
      </c>
      <c r="F13" s="8">
        <f>IF(ISNA(MATCH(4,'Transfer Engine'!$C$2:$C$1960,0)),"",INDEX('Compliance Database'!$F$2:$F$1960,MATCH(4,'Transfer Engine'!$C$2:$C$1960,0)))</f>
        <v/>
      </c>
      <c r="G13" s="8">
        <f>IF(ISNA(MATCH(4,'Transfer Engine'!$C$2:$C$1960,0)),"",INDEX('Compliance Database'!$G$2:$G$1960,MATCH(4,'Transfer Engine'!$C$2:$C$1960,0)))</f>
        <v/>
      </c>
      <c r="H13" s="9">
        <f>IF(ISNA(MATCH(4,'Transfer Engine'!$C$2:$C$1960,0)),"",INDEX('Compliance Database'!$H$2:$H$1960,MATCH(4,'Transfer Engine'!$C$2:$C$1960,0)))</f>
        <v/>
      </c>
      <c r="I13" s="9">
        <f>IF(ISNA(MATCH(4,'Transfer Engine'!$C$2:$C$1960,0)),"",INDEX('Compliance Database'!$I$2:$I$1960,MATCH(4,'Transfer Engine'!$C$2:$C$1960,0)))</f>
        <v/>
      </c>
      <c r="J13" s="8">
        <f>IF(ISNA(MATCH(4,'Transfer Engine'!$C$2:$C$1960,0)),"",INDEX('Compliance Database'!$J$2:$J$1960,MATCH(4,'Transfer Engine'!$C$2:$C$1960,0)))</f>
        <v/>
      </c>
      <c r="K13" s="9">
        <f>IF(ISNA(MATCH(4,'Transfer Engine'!$C$2:$C$1960,0)),"",INDEX('Compliance Database'!$K$2:$K$1960,MATCH(4,'Transfer Engine'!$C$2:$C$1960,0)))</f>
        <v/>
      </c>
      <c r="L13" s="9">
        <f>IF(ISNA(MATCH(4,'Transfer Engine'!$C$2:$C$1960,0)),"",INDEX('Compliance Database'!$L$2:$L$1960,MATCH(4,'Transfer Engine'!$C$2:$C$1960,0)))</f>
        <v/>
      </c>
      <c r="M13" s="9">
        <f>IF(ISNA(MATCH(4,'Transfer Engine'!$C$2:$C$1960,0)),"",INDEX('Compliance Database'!$M$2:$M$1960,MATCH(4,'Transfer Engine'!$C$2:$C$1960,0)))</f>
        <v/>
      </c>
      <c r="N13" s="9">
        <f>IF(ISNA(MATCH(4,'Transfer Engine'!$C$2:$C$1960,0)),"",INDEX('Compliance Database'!$N$2:$N$1960,MATCH(4,'Transfer Engine'!$C$2:$C$1960,0)))</f>
        <v/>
      </c>
      <c r="O13" s="9">
        <f>IF(ISNA(MATCH(4,'Transfer Engine'!$C$2:$C$1960,0)),"",INDEX('Compliance Database'!$O$2:$O$1960,MATCH(4,'Transfer Engine'!$C$2:$C$1960,0)))</f>
        <v/>
      </c>
      <c r="P13" s="8">
        <f>IF(ISNA(MATCH(4,'Transfer Engine'!$C$2:$C$1960,0)),"",HYPERLINK("#Acts!A"&amp;INDEX('Compliance Database'!$P$2:$P$1960,MATCH(4,'Transfer Engine'!$C$2:$C$1960,0)),"Go to Act"))</f>
        <v/>
      </c>
    </row>
    <row r="14" ht="158" customHeight="1">
      <c r="A14" s="8">
        <f>IF(ISNA(MATCH(5,'Transfer Engine'!$C$2:$C$1960,0)),"",INDEX('Compliance Database'!$A$2:$A$1960,MATCH(5,'Transfer Engine'!$C$2:$C$1960,0)))</f>
        <v/>
      </c>
      <c r="B14" s="8">
        <f>IF(ISNA(MATCH(5,'Transfer Engine'!$C$2:$C$1960,0)),"",INDEX('Compliance Database'!$B$2:$B$1960,MATCH(5,'Transfer Engine'!$C$2:$C$1960,0)))</f>
        <v/>
      </c>
      <c r="C14" s="8">
        <f>IF(ISNA(MATCH(5,'Transfer Engine'!$C$2:$C$1960,0)),"",INDEX('Compliance Database'!$C$2:$C$1960,MATCH(5,'Transfer Engine'!$C$2:$C$1960,0)))</f>
        <v/>
      </c>
      <c r="D14" s="9">
        <f>IF(ISNA(MATCH(5,'Transfer Engine'!$C$2:$C$1960,0)),"",INDEX('Compliance Database'!$D$2:$D$1960,MATCH(5,'Transfer Engine'!$C$2:$C$1960,0)))</f>
        <v/>
      </c>
      <c r="E14" s="8">
        <f>IF(ISNA(MATCH(5,'Transfer Engine'!$C$2:$C$1960,0)),"",INDEX('Compliance Database'!$E$2:$E$1960,MATCH(5,'Transfer Engine'!$C$2:$C$1960,0)))</f>
        <v/>
      </c>
      <c r="F14" s="8">
        <f>IF(ISNA(MATCH(5,'Transfer Engine'!$C$2:$C$1960,0)),"",INDEX('Compliance Database'!$F$2:$F$1960,MATCH(5,'Transfer Engine'!$C$2:$C$1960,0)))</f>
        <v/>
      </c>
      <c r="G14" s="8">
        <f>IF(ISNA(MATCH(5,'Transfer Engine'!$C$2:$C$1960,0)),"",INDEX('Compliance Database'!$G$2:$G$1960,MATCH(5,'Transfer Engine'!$C$2:$C$1960,0)))</f>
        <v/>
      </c>
      <c r="H14" s="9">
        <f>IF(ISNA(MATCH(5,'Transfer Engine'!$C$2:$C$1960,0)),"",INDEX('Compliance Database'!$H$2:$H$1960,MATCH(5,'Transfer Engine'!$C$2:$C$1960,0)))</f>
        <v/>
      </c>
      <c r="I14" s="9">
        <f>IF(ISNA(MATCH(5,'Transfer Engine'!$C$2:$C$1960,0)),"",INDEX('Compliance Database'!$I$2:$I$1960,MATCH(5,'Transfer Engine'!$C$2:$C$1960,0)))</f>
        <v/>
      </c>
      <c r="J14" s="8">
        <f>IF(ISNA(MATCH(5,'Transfer Engine'!$C$2:$C$1960,0)),"",INDEX('Compliance Database'!$J$2:$J$1960,MATCH(5,'Transfer Engine'!$C$2:$C$1960,0)))</f>
        <v/>
      </c>
      <c r="K14" s="9">
        <f>IF(ISNA(MATCH(5,'Transfer Engine'!$C$2:$C$1960,0)),"",INDEX('Compliance Database'!$K$2:$K$1960,MATCH(5,'Transfer Engine'!$C$2:$C$1960,0)))</f>
        <v/>
      </c>
      <c r="L14" s="9">
        <f>IF(ISNA(MATCH(5,'Transfer Engine'!$C$2:$C$1960,0)),"",INDEX('Compliance Database'!$L$2:$L$1960,MATCH(5,'Transfer Engine'!$C$2:$C$1960,0)))</f>
        <v/>
      </c>
      <c r="M14" s="9">
        <f>IF(ISNA(MATCH(5,'Transfer Engine'!$C$2:$C$1960,0)),"",INDEX('Compliance Database'!$M$2:$M$1960,MATCH(5,'Transfer Engine'!$C$2:$C$1960,0)))</f>
        <v/>
      </c>
      <c r="N14" s="9">
        <f>IF(ISNA(MATCH(5,'Transfer Engine'!$C$2:$C$1960,0)),"",INDEX('Compliance Database'!$N$2:$N$1960,MATCH(5,'Transfer Engine'!$C$2:$C$1960,0)))</f>
        <v/>
      </c>
      <c r="O14" s="9">
        <f>IF(ISNA(MATCH(5,'Transfer Engine'!$C$2:$C$1960,0)),"",INDEX('Compliance Database'!$O$2:$O$1960,MATCH(5,'Transfer Engine'!$C$2:$C$1960,0)))</f>
        <v/>
      </c>
      <c r="P14" s="8">
        <f>IF(ISNA(MATCH(5,'Transfer Engine'!$C$2:$C$1960,0)),"",HYPERLINK("#Acts!A"&amp;INDEX('Compliance Database'!$P$2:$P$1960,MATCH(5,'Transfer Engine'!$C$2:$C$1960,0)),"Go to Act"))</f>
        <v/>
      </c>
    </row>
    <row r="15" ht="158" customHeight="1">
      <c r="A15" s="8">
        <f>IF(ISNA(MATCH(6,'Transfer Engine'!$C$2:$C$1960,0)),"",INDEX('Compliance Database'!$A$2:$A$1960,MATCH(6,'Transfer Engine'!$C$2:$C$1960,0)))</f>
        <v/>
      </c>
      <c r="B15" s="8">
        <f>IF(ISNA(MATCH(6,'Transfer Engine'!$C$2:$C$1960,0)),"",INDEX('Compliance Database'!$B$2:$B$1960,MATCH(6,'Transfer Engine'!$C$2:$C$1960,0)))</f>
        <v/>
      </c>
      <c r="C15" s="8">
        <f>IF(ISNA(MATCH(6,'Transfer Engine'!$C$2:$C$1960,0)),"",INDEX('Compliance Database'!$C$2:$C$1960,MATCH(6,'Transfer Engine'!$C$2:$C$1960,0)))</f>
        <v/>
      </c>
      <c r="D15" s="9">
        <f>IF(ISNA(MATCH(6,'Transfer Engine'!$C$2:$C$1960,0)),"",INDEX('Compliance Database'!$D$2:$D$1960,MATCH(6,'Transfer Engine'!$C$2:$C$1960,0)))</f>
        <v/>
      </c>
      <c r="E15" s="8">
        <f>IF(ISNA(MATCH(6,'Transfer Engine'!$C$2:$C$1960,0)),"",INDEX('Compliance Database'!$E$2:$E$1960,MATCH(6,'Transfer Engine'!$C$2:$C$1960,0)))</f>
        <v/>
      </c>
      <c r="F15" s="8">
        <f>IF(ISNA(MATCH(6,'Transfer Engine'!$C$2:$C$1960,0)),"",INDEX('Compliance Database'!$F$2:$F$1960,MATCH(6,'Transfer Engine'!$C$2:$C$1960,0)))</f>
        <v/>
      </c>
      <c r="G15" s="8">
        <f>IF(ISNA(MATCH(6,'Transfer Engine'!$C$2:$C$1960,0)),"",INDEX('Compliance Database'!$G$2:$G$1960,MATCH(6,'Transfer Engine'!$C$2:$C$1960,0)))</f>
        <v/>
      </c>
      <c r="H15" s="9">
        <f>IF(ISNA(MATCH(6,'Transfer Engine'!$C$2:$C$1960,0)),"",INDEX('Compliance Database'!$H$2:$H$1960,MATCH(6,'Transfer Engine'!$C$2:$C$1960,0)))</f>
        <v/>
      </c>
      <c r="I15" s="9">
        <f>IF(ISNA(MATCH(6,'Transfer Engine'!$C$2:$C$1960,0)),"",INDEX('Compliance Database'!$I$2:$I$1960,MATCH(6,'Transfer Engine'!$C$2:$C$1960,0)))</f>
        <v/>
      </c>
      <c r="J15" s="8">
        <f>IF(ISNA(MATCH(6,'Transfer Engine'!$C$2:$C$1960,0)),"",INDEX('Compliance Database'!$J$2:$J$1960,MATCH(6,'Transfer Engine'!$C$2:$C$1960,0)))</f>
        <v/>
      </c>
      <c r="K15" s="9">
        <f>IF(ISNA(MATCH(6,'Transfer Engine'!$C$2:$C$1960,0)),"",INDEX('Compliance Database'!$K$2:$K$1960,MATCH(6,'Transfer Engine'!$C$2:$C$1960,0)))</f>
        <v/>
      </c>
      <c r="L15" s="9">
        <f>IF(ISNA(MATCH(6,'Transfer Engine'!$C$2:$C$1960,0)),"",INDEX('Compliance Database'!$L$2:$L$1960,MATCH(6,'Transfer Engine'!$C$2:$C$1960,0)))</f>
        <v/>
      </c>
      <c r="M15" s="9">
        <f>IF(ISNA(MATCH(6,'Transfer Engine'!$C$2:$C$1960,0)),"",INDEX('Compliance Database'!$M$2:$M$1960,MATCH(6,'Transfer Engine'!$C$2:$C$1960,0)))</f>
        <v/>
      </c>
      <c r="N15" s="9">
        <f>IF(ISNA(MATCH(6,'Transfer Engine'!$C$2:$C$1960,0)),"",INDEX('Compliance Database'!$N$2:$N$1960,MATCH(6,'Transfer Engine'!$C$2:$C$1960,0)))</f>
        <v/>
      </c>
      <c r="O15" s="9">
        <f>IF(ISNA(MATCH(6,'Transfer Engine'!$C$2:$C$1960,0)),"",INDEX('Compliance Database'!$O$2:$O$1960,MATCH(6,'Transfer Engine'!$C$2:$C$1960,0)))</f>
        <v/>
      </c>
      <c r="P15" s="8">
        <f>IF(ISNA(MATCH(6,'Transfer Engine'!$C$2:$C$1960,0)),"",HYPERLINK("#Acts!A"&amp;INDEX('Compliance Database'!$P$2:$P$1960,MATCH(6,'Transfer Engine'!$C$2:$C$1960,0)),"Go to Act"))</f>
        <v/>
      </c>
    </row>
    <row r="16" ht="158" customHeight="1">
      <c r="A16" s="8">
        <f>IF(ISNA(MATCH(7,'Transfer Engine'!$C$2:$C$1960,0)),"",INDEX('Compliance Database'!$A$2:$A$1960,MATCH(7,'Transfer Engine'!$C$2:$C$1960,0)))</f>
        <v/>
      </c>
      <c r="B16" s="8">
        <f>IF(ISNA(MATCH(7,'Transfer Engine'!$C$2:$C$1960,0)),"",INDEX('Compliance Database'!$B$2:$B$1960,MATCH(7,'Transfer Engine'!$C$2:$C$1960,0)))</f>
        <v/>
      </c>
      <c r="C16" s="8">
        <f>IF(ISNA(MATCH(7,'Transfer Engine'!$C$2:$C$1960,0)),"",INDEX('Compliance Database'!$C$2:$C$1960,MATCH(7,'Transfer Engine'!$C$2:$C$1960,0)))</f>
        <v/>
      </c>
      <c r="D16" s="9">
        <f>IF(ISNA(MATCH(7,'Transfer Engine'!$C$2:$C$1960,0)),"",INDEX('Compliance Database'!$D$2:$D$1960,MATCH(7,'Transfer Engine'!$C$2:$C$1960,0)))</f>
        <v/>
      </c>
      <c r="E16" s="8">
        <f>IF(ISNA(MATCH(7,'Transfer Engine'!$C$2:$C$1960,0)),"",INDEX('Compliance Database'!$E$2:$E$1960,MATCH(7,'Transfer Engine'!$C$2:$C$1960,0)))</f>
        <v/>
      </c>
      <c r="F16" s="8">
        <f>IF(ISNA(MATCH(7,'Transfer Engine'!$C$2:$C$1960,0)),"",INDEX('Compliance Database'!$F$2:$F$1960,MATCH(7,'Transfer Engine'!$C$2:$C$1960,0)))</f>
        <v/>
      </c>
      <c r="G16" s="8">
        <f>IF(ISNA(MATCH(7,'Transfer Engine'!$C$2:$C$1960,0)),"",INDEX('Compliance Database'!$G$2:$G$1960,MATCH(7,'Transfer Engine'!$C$2:$C$1960,0)))</f>
        <v/>
      </c>
      <c r="H16" s="9">
        <f>IF(ISNA(MATCH(7,'Transfer Engine'!$C$2:$C$1960,0)),"",INDEX('Compliance Database'!$H$2:$H$1960,MATCH(7,'Transfer Engine'!$C$2:$C$1960,0)))</f>
        <v/>
      </c>
      <c r="I16" s="9">
        <f>IF(ISNA(MATCH(7,'Transfer Engine'!$C$2:$C$1960,0)),"",INDEX('Compliance Database'!$I$2:$I$1960,MATCH(7,'Transfer Engine'!$C$2:$C$1960,0)))</f>
        <v/>
      </c>
      <c r="J16" s="8">
        <f>IF(ISNA(MATCH(7,'Transfer Engine'!$C$2:$C$1960,0)),"",INDEX('Compliance Database'!$J$2:$J$1960,MATCH(7,'Transfer Engine'!$C$2:$C$1960,0)))</f>
        <v/>
      </c>
      <c r="K16" s="9">
        <f>IF(ISNA(MATCH(7,'Transfer Engine'!$C$2:$C$1960,0)),"",INDEX('Compliance Database'!$K$2:$K$1960,MATCH(7,'Transfer Engine'!$C$2:$C$1960,0)))</f>
        <v/>
      </c>
      <c r="L16" s="9">
        <f>IF(ISNA(MATCH(7,'Transfer Engine'!$C$2:$C$1960,0)),"",INDEX('Compliance Database'!$L$2:$L$1960,MATCH(7,'Transfer Engine'!$C$2:$C$1960,0)))</f>
        <v/>
      </c>
      <c r="M16" s="9">
        <f>IF(ISNA(MATCH(7,'Transfer Engine'!$C$2:$C$1960,0)),"",INDEX('Compliance Database'!$M$2:$M$1960,MATCH(7,'Transfer Engine'!$C$2:$C$1960,0)))</f>
        <v/>
      </c>
      <c r="N16" s="9">
        <f>IF(ISNA(MATCH(7,'Transfer Engine'!$C$2:$C$1960,0)),"",INDEX('Compliance Database'!$N$2:$N$1960,MATCH(7,'Transfer Engine'!$C$2:$C$1960,0)))</f>
        <v/>
      </c>
      <c r="O16" s="9">
        <f>IF(ISNA(MATCH(7,'Transfer Engine'!$C$2:$C$1960,0)),"",INDEX('Compliance Database'!$O$2:$O$1960,MATCH(7,'Transfer Engine'!$C$2:$C$1960,0)))</f>
        <v/>
      </c>
      <c r="P16" s="8">
        <f>IF(ISNA(MATCH(7,'Transfer Engine'!$C$2:$C$1960,0)),"",HYPERLINK("#Acts!A"&amp;INDEX('Compliance Database'!$P$2:$P$1960,MATCH(7,'Transfer Engine'!$C$2:$C$1960,0)),"Go to Act"))</f>
        <v/>
      </c>
    </row>
    <row r="17" ht="158" customHeight="1">
      <c r="A17" s="8">
        <f>IF(ISNA(MATCH(8,'Transfer Engine'!$C$2:$C$1960,0)),"",INDEX('Compliance Database'!$A$2:$A$1960,MATCH(8,'Transfer Engine'!$C$2:$C$1960,0)))</f>
        <v/>
      </c>
      <c r="B17" s="8">
        <f>IF(ISNA(MATCH(8,'Transfer Engine'!$C$2:$C$1960,0)),"",INDEX('Compliance Database'!$B$2:$B$1960,MATCH(8,'Transfer Engine'!$C$2:$C$1960,0)))</f>
        <v/>
      </c>
      <c r="C17" s="8">
        <f>IF(ISNA(MATCH(8,'Transfer Engine'!$C$2:$C$1960,0)),"",INDEX('Compliance Database'!$C$2:$C$1960,MATCH(8,'Transfer Engine'!$C$2:$C$1960,0)))</f>
        <v/>
      </c>
      <c r="D17" s="9">
        <f>IF(ISNA(MATCH(8,'Transfer Engine'!$C$2:$C$1960,0)),"",INDEX('Compliance Database'!$D$2:$D$1960,MATCH(8,'Transfer Engine'!$C$2:$C$1960,0)))</f>
        <v/>
      </c>
      <c r="E17" s="8">
        <f>IF(ISNA(MATCH(8,'Transfer Engine'!$C$2:$C$1960,0)),"",INDEX('Compliance Database'!$E$2:$E$1960,MATCH(8,'Transfer Engine'!$C$2:$C$1960,0)))</f>
        <v/>
      </c>
      <c r="F17" s="8">
        <f>IF(ISNA(MATCH(8,'Transfer Engine'!$C$2:$C$1960,0)),"",INDEX('Compliance Database'!$F$2:$F$1960,MATCH(8,'Transfer Engine'!$C$2:$C$1960,0)))</f>
        <v/>
      </c>
      <c r="G17" s="8">
        <f>IF(ISNA(MATCH(8,'Transfer Engine'!$C$2:$C$1960,0)),"",INDEX('Compliance Database'!$G$2:$G$1960,MATCH(8,'Transfer Engine'!$C$2:$C$1960,0)))</f>
        <v/>
      </c>
      <c r="H17" s="9">
        <f>IF(ISNA(MATCH(8,'Transfer Engine'!$C$2:$C$1960,0)),"",INDEX('Compliance Database'!$H$2:$H$1960,MATCH(8,'Transfer Engine'!$C$2:$C$1960,0)))</f>
        <v/>
      </c>
      <c r="I17" s="9">
        <f>IF(ISNA(MATCH(8,'Transfer Engine'!$C$2:$C$1960,0)),"",INDEX('Compliance Database'!$I$2:$I$1960,MATCH(8,'Transfer Engine'!$C$2:$C$1960,0)))</f>
        <v/>
      </c>
      <c r="J17" s="8">
        <f>IF(ISNA(MATCH(8,'Transfer Engine'!$C$2:$C$1960,0)),"",INDEX('Compliance Database'!$J$2:$J$1960,MATCH(8,'Transfer Engine'!$C$2:$C$1960,0)))</f>
        <v/>
      </c>
      <c r="K17" s="9">
        <f>IF(ISNA(MATCH(8,'Transfer Engine'!$C$2:$C$1960,0)),"",INDEX('Compliance Database'!$K$2:$K$1960,MATCH(8,'Transfer Engine'!$C$2:$C$1960,0)))</f>
        <v/>
      </c>
      <c r="L17" s="9">
        <f>IF(ISNA(MATCH(8,'Transfer Engine'!$C$2:$C$1960,0)),"",INDEX('Compliance Database'!$L$2:$L$1960,MATCH(8,'Transfer Engine'!$C$2:$C$1960,0)))</f>
        <v/>
      </c>
      <c r="M17" s="9">
        <f>IF(ISNA(MATCH(8,'Transfer Engine'!$C$2:$C$1960,0)),"",INDEX('Compliance Database'!$M$2:$M$1960,MATCH(8,'Transfer Engine'!$C$2:$C$1960,0)))</f>
        <v/>
      </c>
      <c r="N17" s="9">
        <f>IF(ISNA(MATCH(8,'Transfer Engine'!$C$2:$C$1960,0)),"",INDEX('Compliance Database'!$N$2:$N$1960,MATCH(8,'Transfer Engine'!$C$2:$C$1960,0)))</f>
        <v/>
      </c>
      <c r="O17" s="9">
        <f>IF(ISNA(MATCH(8,'Transfer Engine'!$C$2:$C$1960,0)),"",INDEX('Compliance Database'!$O$2:$O$1960,MATCH(8,'Transfer Engine'!$C$2:$C$1960,0)))</f>
        <v/>
      </c>
      <c r="P17" s="8">
        <f>IF(ISNA(MATCH(8,'Transfer Engine'!$C$2:$C$1960,0)),"",HYPERLINK("#Acts!A"&amp;INDEX('Compliance Database'!$P$2:$P$1960,MATCH(8,'Transfer Engine'!$C$2:$C$1960,0)),"Go to Act"))</f>
        <v/>
      </c>
    </row>
    <row r="18" ht="158" customHeight="1">
      <c r="A18" s="8">
        <f>IF(ISNA(MATCH(9,'Transfer Engine'!$C$2:$C$1960,0)),"",INDEX('Compliance Database'!$A$2:$A$1960,MATCH(9,'Transfer Engine'!$C$2:$C$1960,0)))</f>
        <v/>
      </c>
      <c r="B18" s="8">
        <f>IF(ISNA(MATCH(9,'Transfer Engine'!$C$2:$C$1960,0)),"",INDEX('Compliance Database'!$B$2:$B$1960,MATCH(9,'Transfer Engine'!$C$2:$C$1960,0)))</f>
        <v/>
      </c>
      <c r="C18" s="8">
        <f>IF(ISNA(MATCH(9,'Transfer Engine'!$C$2:$C$1960,0)),"",INDEX('Compliance Database'!$C$2:$C$1960,MATCH(9,'Transfer Engine'!$C$2:$C$1960,0)))</f>
        <v/>
      </c>
      <c r="D18" s="9">
        <f>IF(ISNA(MATCH(9,'Transfer Engine'!$C$2:$C$1960,0)),"",INDEX('Compliance Database'!$D$2:$D$1960,MATCH(9,'Transfer Engine'!$C$2:$C$1960,0)))</f>
        <v/>
      </c>
      <c r="E18" s="8">
        <f>IF(ISNA(MATCH(9,'Transfer Engine'!$C$2:$C$1960,0)),"",INDEX('Compliance Database'!$E$2:$E$1960,MATCH(9,'Transfer Engine'!$C$2:$C$1960,0)))</f>
        <v/>
      </c>
      <c r="F18" s="8">
        <f>IF(ISNA(MATCH(9,'Transfer Engine'!$C$2:$C$1960,0)),"",INDEX('Compliance Database'!$F$2:$F$1960,MATCH(9,'Transfer Engine'!$C$2:$C$1960,0)))</f>
        <v/>
      </c>
      <c r="G18" s="8">
        <f>IF(ISNA(MATCH(9,'Transfer Engine'!$C$2:$C$1960,0)),"",INDEX('Compliance Database'!$G$2:$G$1960,MATCH(9,'Transfer Engine'!$C$2:$C$1960,0)))</f>
        <v/>
      </c>
      <c r="H18" s="9">
        <f>IF(ISNA(MATCH(9,'Transfer Engine'!$C$2:$C$1960,0)),"",INDEX('Compliance Database'!$H$2:$H$1960,MATCH(9,'Transfer Engine'!$C$2:$C$1960,0)))</f>
        <v/>
      </c>
      <c r="I18" s="9">
        <f>IF(ISNA(MATCH(9,'Transfer Engine'!$C$2:$C$1960,0)),"",INDEX('Compliance Database'!$I$2:$I$1960,MATCH(9,'Transfer Engine'!$C$2:$C$1960,0)))</f>
        <v/>
      </c>
      <c r="J18" s="8">
        <f>IF(ISNA(MATCH(9,'Transfer Engine'!$C$2:$C$1960,0)),"",INDEX('Compliance Database'!$J$2:$J$1960,MATCH(9,'Transfer Engine'!$C$2:$C$1960,0)))</f>
        <v/>
      </c>
      <c r="K18" s="9">
        <f>IF(ISNA(MATCH(9,'Transfer Engine'!$C$2:$C$1960,0)),"",INDEX('Compliance Database'!$K$2:$K$1960,MATCH(9,'Transfer Engine'!$C$2:$C$1960,0)))</f>
        <v/>
      </c>
      <c r="L18" s="9">
        <f>IF(ISNA(MATCH(9,'Transfer Engine'!$C$2:$C$1960,0)),"",INDEX('Compliance Database'!$L$2:$L$1960,MATCH(9,'Transfer Engine'!$C$2:$C$1960,0)))</f>
        <v/>
      </c>
      <c r="M18" s="9">
        <f>IF(ISNA(MATCH(9,'Transfer Engine'!$C$2:$C$1960,0)),"",INDEX('Compliance Database'!$M$2:$M$1960,MATCH(9,'Transfer Engine'!$C$2:$C$1960,0)))</f>
        <v/>
      </c>
      <c r="N18" s="9">
        <f>IF(ISNA(MATCH(9,'Transfer Engine'!$C$2:$C$1960,0)),"",INDEX('Compliance Database'!$N$2:$N$1960,MATCH(9,'Transfer Engine'!$C$2:$C$1960,0)))</f>
        <v/>
      </c>
      <c r="O18" s="9">
        <f>IF(ISNA(MATCH(9,'Transfer Engine'!$C$2:$C$1960,0)),"",INDEX('Compliance Database'!$O$2:$O$1960,MATCH(9,'Transfer Engine'!$C$2:$C$1960,0)))</f>
        <v/>
      </c>
      <c r="P18" s="8">
        <f>IF(ISNA(MATCH(9,'Transfer Engine'!$C$2:$C$1960,0)),"",HYPERLINK("#Acts!A"&amp;INDEX('Compliance Database'!$P$2:$P$1960,MATCH(9,'Transfer Engine'!$C$2:$C$1960,0)),"Go to Act"))</f>
        <v/>
      </c>
    </row>
    <row r="19" ht="158" customHeight="1">
      <c r="A19" s="8">
        <f>IF(ISNA(MATCH(10,'Transfer Engine'!$C$2:$C$1960,0)),"",INDEX('Compliance Database'!$A$2:$A$1960,MATCH(10,'Transfer Engine'!$C$2:$C$1960,0)))</f>
        <v/>
      </c>
      <c r="B19" s="8">
        <f>IF(ISNA(MATCH(10,'Transfer Engine'!$C$2:$C$1960,0)),"",INDEX('Compliance Database'!$B$2:$B$1960,MATCH(10,'Transfer Engine'!$C$2:$C$1960,0)))</f>
        <v/>
      </c>
      <c r="C19" s="8">
        <f>IF(ISNA(MATCH(10,'Transfer Engine'!$C$2:$C$1960,0)),"",INDEX('Compliance Database'!$C$2:$C$1960,MATCH(10,'Transfer Engine'!$C$2:$C$1960,0)))</f>
        <v/>
      </c>
      <c r="D19" s="9">
        <f>IF(ISNA(MATCH(10,'Transfer Engine'!$C$2:$C$1960,0)),"",INDEX('Compliance Database'!$D$2:$D$1960,MATCH(10,'Transfer Engine'!$C$2:$C$1960,0)))</f>
        <v/>
      </c>
      <c r="E19" s="8">
        <f>IF(ISNA(MATCH(10,'Transfer Engine'!$C$2:$C$1960,0)),"",INDEX('Compliance Database'!$E$2:$E$1960,MATCH(10,'Transfer Engine'!$C$2:$C$1960,0)))</f>
        <v/>
      </c>
      <c r="F19" s="8">
        <f>IF(ISNA(MATCH(10,'Transfer Engine'!$C$2:$C$1960,0)),"",INDEX('Compliance Database'!$F$2:$F$1960,MATCH(10,'Transfer Engine'!$C$2:$C$1960,0)))</f>
        <v/>
      </c>
      <c r="G19" s="8">
        <f>IF(ISNA(MATCH(10,'Transfer Engine'!$C$2:$C$1960,0)),"",INDEX('Compliance Database'!$G$2:$G$1960,MATCH(10,'Transfer Engine'!$C$2:$C$1960,0)))</f>
        <v/>
      </c>
      <c r="H19" s="9">
        <f>IF(ISNA(MATCH(10,'Transfer Engine'!$C$2:$C$1960,0)),"",INDEX('Compliance Database'!$H$2:$H$1960,MATCH(10,'Transfer Engine'!$C$2:$C$1960,0)))</f>
        <v/>
      </c>
      <c r="I19" s="9">
        <f>IF(ISNA(MATCH(10,'Transfer Engine'!$C$2:$C$1960,0)),"",INDEX('Compliance Database'!$I$2:$I$1960,MATCH(10,'Transfer Engine'!$C$2:$C$1960,0)))</f>
        <v/>
      </c>
      <c r="J19" s="8">
        <f>IF(ISNA(MATCH(10,'Transfer Engine'!$C$2:$C$1960,0)),"",INDEX('Compliance Database'!$J$2:$J$1960,MATCH(10,'Transfer Engine'!$C$2:$C$1960,0)))</f>
        <v/>
      </c>
      <c r="K19" s="9">
        <f>IF(ISNA(MATCH(10,'Transfer Engine'!$C$2:$C$1960,0)),"",INDEX('Compliance Database'!$K$2:$K$1960,MATCH(10,'Transfer Engine'!$C$2:$C$1960,0)))</f>
        <v/>
      </c>
      <c r="L19" s="9">
        <f>IF(ISNA(MATCH(10,'Transfer Engine'!$C$2:$C$1960,0)),"",INDEX('Compliance Database'!$L$2:$L$1960,MATCH(10,'Transfer Engine'!$C$2:$C$1960,0)))</f>
        <v/>
      </c>
      <c r="M19" s="9">
        <f>IF(ISNA(MATCH(10,'Transfer Engine'!$C$2:$C$1960,0)),"",INDEX('Compliance Database'!$M$2:$M$1960,MATCH(10,'Transfer Engine'!$C$2:$C$1960,0)))</f>
        <v/>
      </c>
      <c r="N19" s="9">
        <f>IF(ISNA(MATCH(10,'Transfer Engine'!$C$2:$C$1960,0)),"",INDEX('Compliance Database'!$N$2:$N$1960,MATCH(10,'Transfer Engine'!$C$2:$C$1960,0)))</f>
        <v/>
      </c>
      <c r="O19" s="9">
        <f>IF(ISNA(MATCH(10,'Transfer Engine'!$C$2:$C$1960,0)),"",INDEX('Compliance Database'!$O$2:$O$1960,MATCH(10,'Transfer Engine'!$C$2:$C$1960,0)))</f>
        <v/>
      </c>
      <c r="P19" s="8">
        <f>IF(ISNA(MATCH(10,'Transfer Engine'!$C$2:$C$1960,0)),"",HYPERLINK("#Acts!A"&amp;INDEX('Compliance Database'!$P$2:$P$1960,MATCH(10,'Transfer Engine'!$C$2:$C$1960,0)),"Go to Act"))</f>
        <v/>
      </c>
    </row>
    <row r="20" ht="158" customHeight="1">
      <c r="A20" s="8">
        <f>IF(ISNA(MATCH(11,'Transfer Engine'!$C$2:$C$1960,0)),"",INDEX('Compliance Database'!$A$2:$A$1960,MATCH(11,'Transfer Engine'!$C$2:$C$1960,0)))</f>
        <v/>
      </c>
      <c r="B20" s="8">
        <f>IF(ISNA(MATCH(11,'Transfer Engine'!$C$2:$C$1960,0)),"",INDEX('Compliance Database'!$B$2:$B$1960,MATCH(11,'Transfer Engine'!$C$2:$C$1960,0)))</f>
        <v/>
      </c>
      <c r="C20" s="8">
        <f>IF(ISNA(MATCH(11,'Transfer Engine'!$C$2:$C$1960,0)),"",INDEX('Compliance Database'!$C$2:$C$1960,MATCH(11,'Transfer Engine'!$C$2:$C$1960,0)))</f>
        <v/>
      </c>
      <c r="D20" s="9">
        <f>IF(ISNA(MATCH(11,'Transfer Engine'!$C$2:$C$1960,0)),"",INDEX('Compliance Database'!$D$2:$D$1960,MATCH(11,'Transfer Engine'!$C$2:$C$1960,0)))</f>
        <v/>
      </c>
      <c r="E20" s="8">
        <f>IF(ISNA(MATCH(11,'Transfer Engine'!$C$2:$C$1960,0)),"",INDEX('Compliance Database'!$E$2:$E$1960,MATCH(11,'Transfer Engine'!$C$2:$C$1960,0)))</f>
        <v/>
      </c>
      <c r="F20" s="8">
        <f>IF(ISNA(MATCH(11,'Transfer Engine'!$C$2:$C$1960,0)),"",INDEX('Compliance Database'!$F$2:$F$1960,MATCH(11,'Transfer Engine'!$C$2:$C$1960,0)))</f>
        <v/>
      </c>
      <c r="G20" s="8">
        <f>IF(ISNA(MATCH(11,'Transfer Engine'!$C$2:$C$1960,0)),"",INDEX('Compliance Database'!$G$2:$G$1960,MATCH(11,'Transfer Engine'!$C$2:$C$1960,0)))</f>
        <v/>
      </c>
      <c r="H20" s="9">
        <f>IF(ISNA(MATCH(11,'Transfer Engine'!$C$2:$C$1960,0)),"",INDEX('Compliance Database'!$H$2:$H$1960,MATCH(11,'Transfer Engine'!$C$2:$C$1960,0)))</f>
        <v/>
      </c>
      <c r="I20" s="9">
        <f>IF(ISNA(MATCH(11,'Transfer Engine'!$C$2:$C$1960,0)),"",INDEX('Compliance Database'!$I$2:$I$1960,MATCH(11,'Transfer Engine'!$C$2:$C$1960,0)))</f>
        <v/>
      </c>
      <c r="J20" s="8">
        <f>IF(ISNA(MATCH(11,'Transfer Engine'!$C$2:$C$1960,0)),"",INDEX('Compliance Database'!$J$2:$J$1960,MATCH(11,'Transfer Engine'!$C$2:$C$1960,0)))</f>
        <v/>
      </c>
      <c r="K20" s="9">
        <f>IF(ISNA(MATCH(11,'Transfer Engine'!$C$2:$C$1960,0)),"",INDEX('Compliance Database'!$K$2:$K$1960,MATCH(11,'Transfer Engine'!$C$2:$C$1960,0)))</f>
        <v/>
      </c>
      <c r="L20" s="9">
        <f>IF(ISNA(MATCH(11,'Transfer Engine'!$C$2:$C$1960,0)),"",INDEX('Compliance Database'!$L$2:$L$1960,MATCH(11,'Transfer Engine'!$C$2:$C$1960,0)))</f>
        <v/>
      </c>
      <c r="M20" s="9">
        <f>IF(ISNA(MATCH(11,'Transfer Engine'!$C$2:$C$1960,0)),"",INDEX('Compliance Database'!$M$2:$M$1960,MATCH(11,'Transfer Engine'!$C$2:$C$1960,0)))</f>
        <v/>
      </c>
      <c r="N20" s="9">
        <f>IF(ISNA(MATCH(11,'Transfer Engine'!$C$2:$C$1960,0)),"",INDEX('Compliance Database'!$N$2:$N$1960,MATCH(11,'Transfer Engine'!$C$2:$C$1960,0)))</f>
        <v/>
      </c>
      <c r="O20" s="9">
        <f>IF(ISNA(MATCH(11,'Transfer Engine'!$C$2:$C$1960,0)),"",INDEX('Compliance Database'!$O$2:$O$1960,MATCH(11,'Transfer Engine'!$C$2:$C$1960,0)))</f>
        <v/>
      </c>
      <c r="P20" s="8">
        <f>IF(ISNA(MATCH(11,'Transfer Engine'!$C$2:$C$1960,0)),"",HYPERLINK("#Acts!A"&amp;INDEX('Compliance Database'!$P$2:$P$1960,MATCH(11,'Transfer Engine'!$C$2:$C$1960,0)),"Go to Act"))</f>
        <v/>
      </c>
    </row>
    <row r="21" ht="158" customHeight="1">
      <c r="A21" s="8">
        <f>IF(ISNA(MATCH(12,'Transfer Engine'!$C$2:$C$1960,0)),"",INDEX('Compliance Database'!$A$2:$A$1960,MATCH(12,'Transfer Engine'!$C$2:$C$1960,0)))</f>
        <v/>
      </c>
      <c r="B21" s="8">
        <f>IF(ISNA(MATCH(12,'Transfer Engine'!$C$2:$C$1960,0)),"",INDEX('Compliance Database'!$B$2:$B$1960,MATCH(12,'Transfer Engine'!$C$2:$C$1960,0)))</f>
        <v/>
      </c>
      <c r="C21" s="8">
        <f>IF(ISNA(MATCH(12,'Transfer Engine'!$C$2:$C$1960,0)),"",INDEX('Compliance Database'!$C$2:$C$1960,MATCH(12,'Transfer Engine'!$C$2:$C$1960,0)))</f>
        <v/>
      </c>
      <c r="D21" s="9">
        <f>IF(ISNA(MATCH(12,'Transfer Engine'!$C$2:$C$1960,0)),"",INDEX('Compliance Database'!$D$2:$D$1960,MATCH(12,'Transfer Engine'!$C$2:$C$1960,0)))</f>
        <v/>
      </c>
      <c r="E21" s="8">
        <f>IF(ISNA(MATCH(12,'Transfer Engine'!$C$2:$C$1960,0)),"",INDEX('Compliance Database'!$E$2:$E$1960,MATCH(12,'Transfer Engine'!$C$2:$C$1960,0)))</f>
        <v/>
      </c>
      <c r="F21" s="8">
        <f>IF(ISNA(MATCH(12,'Transfer Engine'!$C$2:$C$1960,0)),"",INDEX('Compliance Database'!$F$2:$F$1960,MATCH(12,'Transfer Engine'!$C$2:$C$1960,0)))</f>
        <v/>
      </c>
      <c r="G21" s="8">
        <f>IF(ISNA(MATCH(12,'Transfer Engine'!$C$2:$C$1960,0)),"",INDEX('Compliance Database'!$G$2:$G$1960,MATCH(12,'Transfer Engine'!$C$2:$C$1960,0)))</f>
        <v/>
      </c>
      <c r="H21" s="9">
        <f>IF(ISNA(MATCH(12,'Transfer Engine'!$C$2:$C$1960,0)),"",INDEX('Compliance Database'!$H$2:$H$1960,MATCH(12,'Transfer Engine'!$C$2:$C$1960,0)))</f>
        <v/>
      </c>
      <c r="I21" s="9">
        <f>IF(ISNA(MATCH(12,'Transfer Engine'!$C$2:$C$1960,0)),"",INDEX('Compliance Database'!$I$2:$I$1960,MATCH(12,'Transfer Engine'!$C$2:$C$1960,0)))</f>
        <v/>
      </c>
      <c r="J21" s="8">
        <f>IF(ISNA(MATCH(12,'Transfer Engine'!$C$2:$C$1960,0)),"",INDEX('Compliance Database'!$J$2:$J$1960,MATCH(12,'Transfer Engine'!$C$2:$C$1960,0)))</f>
        <v/>
      </c>
      <c r="K21" s="9">
        <f>IF(ISNA(MATCH(12,'Transfer Engine'!$C$2:$C$1960,0)),"",INDEX('Compliance Database'!$K$2:$K$1960,MATCH(12,'Transfer Engine'!$C$2:$C$1960,0)))</f>
        <v/>
      </c>
      <c r="L21" s="9">
        <f>IF(ISNA(MATCH(12,'Transfer Engine'!$C$2:$C$1960,0)),"",INDEX('Compliance Database'!$L$2:$L$1960,MATCH(12,'Transfer Engine'!$C$2:$C$1960,0)))</f>
        <v/>
      </c>
      <c r="M21" s="9">
        <f>IF(ISNA(MATCH(12,'Transfer Engine'!$C$2:$C$1960,0)),"",INDEX('Compliance Database'!$M$2:$M$1960,MATCH(12,'Transfer Engine'!$C$2:$C$1960,0)))</f>
        <v/>
      </c>
      <c r="N21" s="9">
        <f>IF(ISNA(MATCH(12,'Transfer Engine'!$C$2:$C$1960,0)),"",INDEX('Compliance Database'!$N$2:$N$1960,MATCH(12,'Transfer Engine'!$C$2:$C$1960,0)))</f>
        <v/>
      </c>
      <c r="O21" s="9">
        <f>IF(ISNA(MATCH(12,'Transfer Engine'!$C$2:$C$1960,0)),"",INDEX('Compliance Database'!$O$2:$O$1960,MATCH(12,'Transfer Engine'!$C$2:$C$1960,0)))</f>
        <v/>
      </c>
      <c r="P21" s="8">
        <f>IF(ISNA(MATCH(12,'Transfer Engine'!$C$2:$C$1960,0)),"",HYPERLINK("#Acts!A"&amp;INDEX('Compliance Database'!$P$2:$P$1960,MATCH(12,'Transfer Engine'!$C$2:$C$1960,0)),"Go to Act"))</f>
        <v/>
      </c>
    </row>
    <row r="22" ht="158" customHeight="1">
      <c r="A22" s="8">
        <f>IF(ISNA(MATCH(13,'Transfer Engine'!$C$2:$C$1960,0)),"",INDEX('Compliance Database'!$A$2:$A$1960,MATCH(13,'Transfer Engine'!$C$2:$C$1960,0)))</f>
        <v/>
      </c>
      <c r="B22" s="8">
        <f>IF(ISNA(MATCH(13,'Transfer Engine'!$C$2:$C$1960,0)),"",INDEX('Compliance Database'!$B$2:$B$1960,MATCH(13,'Transfer Engine'!$C$2:$C$1960,0)))</f>
        <v/>
      </c>
      <c r="C22" s="8">
        <f>IF(ISNA(MATCH(13,'Transfer Engine'!$C$2:$C$1960,0)),"",INDEX('Compliance Database'!$C$2:$C$1960,MATCH(13,'Transfer Engine'!$C$2:$C$1960,0)))</f>
        <v/>
      </c>
      <c r="D22" s="9">
        <f>IF(ISNA(MATCH(13,'Transfer Engine'!$C$2:$C$1960,0)),"",INDEX('Compliance Database'!$D$2:$D$1960,MATCH(13,'Transfer Engine'!$C$2:$C$1960,0)))</f>
        <v/>
      </c>
      <c r="E22" s="8">
        <f>IF(ISNA(MATCH(13,'Transfer Engine'!$C$2:$C$1960,0)),"",INDEX('Compliance Database'!$E$2:$E$1960,MATCH(13,'Transfer Engine'!$C$2:$C$1960,0)))</f>
        <v/>
      </c>
      <c r="F22" s="8">
        <f>IF(ISNA(MATCH(13,'Transfer Engine'!$C$2:$C$1960,0)),"",INDEX('Compliance Database'!$F$2:$F$1960,MATCH(13,'Transfer Engine'!$C$2:$C$1960,0)))</f>
        <v/>
      </c>
      <c r="G22" s="8">
        <f>IF(ISNA(MATCH(13,'Transfer Engine'!$C$2:$C$1960,0)),"",INDEX('Compliance Database'!$G$2:$G$1960,MATCH(13,'Transfer Engine'!$C$2:$C$1960,0)))</f>
        <v/>
      </c>
      <c r="H22" s="9">
        <f>IF(ISNA(MATCH(13,'Transfer Engine'!$C$2:$C$1960,0)),"",INDEX('Compliance Database'!$H$2:$H$1960,MATCH(13,'Transfer Engine'!$C$2:$C$1960,0)))</f>
        <v/>
      </c>
      <c r="I22" s="9">
        <f>IF(ISNA(MATCH(13,'Transfer Engine'!$C$2:$C$1960,0)),"",INDEX('Compliance Database'!$I$2:$I$1960,MATCH(13,'Transfer Engine'!$C$2:$C$1960,0)))</f>
        <v/>
      </c>
      <c r="J22" s="8">
        <f>IF(ISNA(MATCH(13,'Transfer Engine'!$C$2:$C$1960,0)),"",INDEX('Compliance Database'!$J$2:$J$1960,MATCH(13,'Transfer Engine'!$C$2:$C$1960,0)))</f>
        <v/>
      </c>
      <c r="K22" s="9">
        <f>IF(ISNA(MATCH(13,'Transfer Engine'!$C$2:$C$1960,0)),"",INDEX('Compliance Database'!$K$2:$K$1960,MATCH(13,'Transfer Engine'!$C$2:$C$1960,0)))</f>
        <v/>
      </c>
      <c r="L22" s="9">
        <f>IF(ISNA(MATCH(13,'Transfer Engine'!$C$2:$C$1960,0)),"",INDEX('Compliance Database'!$L$2:$L$1960,MATCH(13,'Transfer Engine'!$C$2:$C$1960,0)))</f>
        <v/>
      </c>
      <c r="M22" s="9">
        <f>IF(ISNA(MATCH(13,'Transfer Engine'!$C$2:$C$1960,0)),"",INDEX('Compliance Database'!$M$2:$M$1960,MATCH(13,'Transfer Engine'!$C$2:$C$1960,0)))</f>
        <v/>
      </c>
      <c r="N22" s="9">
        <f>IF(ISNA(MATCH(13,'Transfer Engine'!$C$2:$C$1960,0)),"",INDEX('Compliance Database'!$N$2:$N$1960,MATCH(13,'Transfer Engine'!$C$2:$C$1960,0)))</f>
        <v/>
      </c>
      <c r="O22" s="9">
        <f>IF(ISNA(MATCH(13,'Transfer Engine'!$C$2:$C$1960,0)),"",INDEX('Compliance Database'!$O$2:$O$1960,MATCH(13,'Transfer Engine'!$C$2:$C$1960,0)))</f>
        <v/>
      </c>
      <c r="P22" s="8">
        <f>IF(ISNA(MATCH(13,'Transfer Engine'!$C$2:$C$1960,0)),"",HYPERLINK("#Acts!A"&amp;INDEX('Compliance Database'!$P$2:$P$1960,MATCH(13,'Transfer Engine'!$C$2:$C$1960,0)),"Go to Act"))</f>
        <v/>
      </c>
    </row>
    <row r="23" ht="158" customHeight="1">
      <c r="A23" s="8">
        <f>IF(ISNA(MATCH(14,'Transfer Engine'!$C$2:$C$1960,0)),"",INDEX('Compliance Database'!$A$2:$A$1960,MATCH(14,'Transfer Engine'!$C$2:$C$1960,0)))</f>
        <v/>
      </c>
      <c r="B23" s="8">
        <f>IF(ISNA(MATCH(14,'Transfer Engine'!$C$2:$C$1960,0)),"",INDEX('Compliance Database'!$B$2:$B$1960,MATCH(14,'Transfer Engine'!$C$2:$C$1960,0)))</f>
        <v/>
      </c>
      <c r="C23" s="8">
        <f>IF(ISNA(MATCH(14,'Transfer Engine'!$C$2:$C$1960,0)),"",INDEX('Compliance Database'!$C$2:$C$1960,MATCH(14,'Transfer Engine'!$C$2:$C$1960,0)))</f>
        <v/>
      </c>
      <c r="D23" s="9">
        <f>IF(ISNA(MATCH(14,'Transfer Engine'!$C$2:$C$1960,0)),"",INDEX('Compliance Database'!$D$2:$D$1960,MATCH(14,'Transfer Engine'!$C$2:$C$1960,0)))</f>
        <v/>
      </c>
      <c r="E23" s="8">
        <f>IF(ISNA(MATCH(14,'Transfer Engine'!$C$2:$C$1960,0)),"",INDEX('Compliance Database'!$E$2:$E$1960,MATCH(14,'Transfer Engine'!$C$2:$C$1960,0)))</f>
        <v/>
      </c>
      <c r="F23" s="8">
        <f>IF(ISNA(MATCH(14,'Transfer Engine'!$C$2:$C$1960,0)),"",INDEX('Compliance Database'!$F$2:$F$1960,MATCH(14,'Transfer Engine'!$C$2:$C$1960,0)))</f>
        <v/>
      </c>
      <c r="G23" s="8">
        <f>IF(ISNA(MATCH(14,'Transfer Engine'!$C$2:$C$1960,0)),"",INDEX('Compliance Database'!$G$2:$G$1960,MATCH(14,'Transfer Engine'!$C$2:$C$1960,0)))</f>
        <v/>
      </c>
      <c r="H23" s="9">
        <f>IF(ISNA(MATCH(14,'Transfer Engine'!$C$2:$C$1960,0)),"",INDEX('Compliance Database'!$H$2:$H$1960,MATCH(14,'Transfer Engine'!$C$2:$C$1960,0)))</f>
        <v/>
      </c>
      <c r="I23" s="9">
        <f>IF(ISNA(MATCH(14,'Transfer Engine'!$C$2:$C$1960,0)),"",INDEX('Compliance Database'!$I$2:$I$1960,MATCH(14,'Transfer Engine'!$C$2:$C$1960,0)))</f>
        <v/>
      </c>
      <c r="J23" s="8">
        <f>IF(ISNA(MATCH(14,'Transfer Engine'!$C$2:$C$1960,0)),"",INDEX('Compliance Database'!$J$2:$J$1960,MATCH(14,'Transfer Engine'!$C$2:$C$1960,0)))</f>
        <v/>
      </c>
      <c r="K23" s="9">
        <f>IF(ISNA(MATCH(14,'Transfer Engine'!$C$2:$C$1960,0)),"",INDEX('Compliance Database'!$K$2:$K$1960,MATCH(14,'Transfer Engine'!$C$2:$C$1960,0)))</f>
        <v/>
      </c>
      <c r="L23" s="9">
        <f>IF(ISNA(MATCH(14,'Transfer Engine'!$C$2:$C$1960,0)),"",INDEX('Compliance Database'!$L$2:$L$1960,MATCH(14,'Transfer Engine'!$C$2:$C$1960,0)))</f>
        <v/>
      </c>
      <c r="M23" s="9">
        <f>IF(ISNA(MATCH(14,'Transfer Engine'!$C$2:$C$1960,0)),"",INDEX('Compliance Database'!$M$2:$M$1960,MATCH(14,'Transfer Engine'!$C$2:$C$1960,0)))</f>
        <v/>
      </c>
      <c r="N23" s="9">
        <f>IF(ISNA(MATCH(14,'Transfer Engine'!$C$2:$C$1960,0)),"",INDEX('Compliance Database'!$N$2:$N$1960,MATCH(14,'Transfer Engine'!$C$2:$C$1960,0)))</f>
        <v/>
      </c>
      <c r="O23" s="9">
        <f>IF(ISNA(MATCH(14,'Transfer Engine'!$C$2:$C$1960,0)),"",INDEX('Compliance Database'!$O$2:$O$1960,MATCH(14,'Transfer Engine'!$C$2:$C$1960,0)))</f>
        <v/>
      </c>
      <c r="P23" s="8">
        <f>IF(ISNA(MATCH(14,'Transfer Engine'!$C$2:$C$1960,0)),"",HYPERLINK("#Acts!A"&amp;INDEX('Compliance Database'!$P$2:$P$1960,MATCH(14,'Transfer Engine'!$C$2:$C$1960,0)),"Go to Act"))</f>
        <v/>
      </c>
    </row>
    <row r="24" ht="158" customHeight="1">
      <c r="A24" s="8">
        <f>IF(ISNA(MATCH(15,'Transfer Engine'!$C$2:$C$1960,0)),"",INDEX('Compliance Database'!$A$2:$A$1960,MATCH(15,'Transfer Engine'!$C$2:$C$1960,0)))</f>
        <v/>
      </c>
      <c r="B24" s="8">
        <f>IF(ISNA(MATCH(15,'Transfer Engine'!$C$2:$C$1960,0)),"",INDEX('Compliance Database'!$B$2:$B$1960,MATCH(15,'Transfer Engine'!$C$2:$C$1960,0)))</f>
        <v/>
      </c>
      <c r="C24" s="8">
        <f>IF(ISNA(MATCH(15,'Transfer Engine'!$C$2:$C$1960,0)),"",INDEX('Compliance Database'!$C$2:$C$1960,MATCH(15,'Transfer Engine'!$C$2:$C$1960,0)))</f>
        <v/>
      </c>
      <c r="D24" s="9">
        <f>IF(ISNA(MATCH(15,'Transfer Engine'!$C$2:$C$1960,0)),"",INDEX('Compliance Database'!$D$2:$D$1960,MATCH(15,'Transfer Engine'!$C$2:$C$1960,0)))</f>
        <v/>
      </c>
      <c r="E24" s="8">
        <f>IF(ISNA(MATCH(15,'Transfer Engine'!$C$2:$C$1960,0)),"",INDEX('Compliance Database'!$E$2:$E$1960,MATCH(15,'Transfer Engine'!$C$2:$C$1960,0)))</f>
        <v/>
      </c>
      <c r="F24" s="8">
        <f>IF(ISNA(MATCH(15,'Transfer Engine'!$C$2:$C$1960,0)),"",INDEX('Compliance Database'!$F$2:$F$1960,MATCH(15,'Transfer Engine'!$C$2:$C$1960,0)))</f>
        <v/>
      </c>
      <c r="G24" s="8">
        <f>IF(ISNA(MATCH(15,'Transfer Engine'!$C$2:$C$1960,0)),"",INDEX('Compliance Database'!$G$2:$G$1960,MATCH(15,'Transfer Engine'!$C$2:$C$1960,0)))</f>
        <v/>
      </c>
      <c r="H24" s="9">
        <f>IF(ISNA(MATCH(15,'Transfer Engine'!$C$2:$C$1960,0)),"",INDEX('Compliance Database'!$H$2:$H$1960,MATCH(15,'Transfer Engine'!$C$2:$C$1960,0)))</f>
        <v/>
      </c>
      <c r="I24" s="9">
        <f>IF(ISNA(MATCH(15,'Transfer Engine'!$C$2:$C$1960,0)),"",INDEX('Compliance Database'!$I$2:$I$1960,MATCH(15,'Transfer Engine'!$C$2:$C$1960,0)))</f>
        <v/>
      </c>
      <c r="J24" s="8">
        <f>IF(ISNA(MATCH(15,'Transfer Engine'!$C$2:$C$1960,0)),"",INDEX('Compliance Database'!$J$2:$J$1960,MATCH(15,'Transfer Engine'!$C$2:$C$1960,0)))</f>
        <v/>
      </c>
      <c r="K24" s="9">
        <f>IF(ISNA(MATCH(15,'Transfer Engine'!$C$2:$C$1960,0)),"",INDEX('Compliance Database'!$K$2:$K$1960,MATCH(15,'Transfer Engine'!$C$2:$C$1960,0)))</f>
        <v/>
      </c>
      <c r="L24" s="9">
        <f>IF(ISNA(MATCH(15,'Transfer Engine'!$C$2:$C$1960,0)),"",INDEX('Compliance Database'!$L$2:$L$1960,MATCH(15,'Transfer Engine'!$C$2:$C$1960,0)))</f>
        <v/>
      </c>
      <c r="M24" s="9">
        <f>IF(ISNA(MATCH(15,'Transfer Engine'!$C$2:$C$1960,0)),"",INDEX('Compliance Database'!$M$2:$M$1960,MATCH(15,'Transfer Engine'!$C$2:$C$1960,0)))</f>
        <v/>
      </c>
      <c r="N24" s="9">
        <f>IF(ISNA(MATCH(15,'Transfer Engine'!$C$2:$C$1960,0)),"",INDEX('Compliance Database'!$N$2:$N$1960,MATCH(15,'Transfer Engine'!$C$2:$C$1960,0)))</f>
        <v/>
      </c>
      <c r="O24" s="9">
        <f>IF(ISNA(MATCH(15,'Transfer Engine'!$C$2:$C$1960,0)),"",INDEX('Compliance Database'!$O$2:$O$1960,MATCH(15,'Transfer Engine'!$C$2:$C$1960,0)))</f>
        <v/>
      </c>
      <c r="P24" s="8">
        <f>IF(ISNA(MATCH(15,'Transfer Engine'!$C$2:$C$1960,0)),"",HYPERLINK("#Acts!A"&amp;INDEX('Compliance Database'!$P$2:$P$1960,MATCH(15,'Transfer Engine'!$C$2:$C$1960,0)),"Go to Act"))</f>
        <v/>
      </c>
    </row>
    <row r="25" ht="158" customHeight="1">
      <c r="A25" s="8">
        <f>IF(ISNA(MATCH(16,'Transfer Engine'!$C$2:$C$1960,0)),"",INDEX('Compliance Database'!$A$2:$A$1960,MATCH(16,'Transfer Engine'!$C$2:$C$1960,0)))</f>
        <v/>
      </c>
      <c r="B25" s="8">
        <f>IF(ISNA(MATCH(16,'Transfer Engine'!$C$2:$C$1960,0)),"",INDEX('Compliance Database'!$B$2:$B$1960,MATCH(16,'Transfer Engine'!$C$2:$C$1960,0)))</f>
        <v/>
      </c>
      <c r="C25" s="8">
        <f>IF(ISNA(MATCH(16,'Transfer Engine'!$C$2:$C$1960,0)),"",INDEX('Compliance Database'!$C$2:$C$1960,MATCH(16,'Transfer Engine'!$C$2:$C$1960,0)))</f>
        <v/>
      </c>
      <c r="D25" s="9">
        <f>IF(ISNA(MATCH(16,'Transfer Engine'!$C$2:$C$1960,0)),"",INDEX('Compliance Database'!$D$2:$D$1960,MATCH(16,'Transfer Engine'!$C$2:$C$1960,0)))</f>
        <v/>
      </c>
      <c r="E25" s="8">
        <f>IF(ISNA(MATCH(16,'Transfer Engine'!$C$2:$C$1960,0)),"",INDEX('Compliance Database'!$E$2:$E$1960,MATCH(16,'Transfer Engine'!$C$2:$C$1960,0)))</f>
        <v/>
      </c>
      <c r="F25" s="8">
        <f>IF(ISNA(MATCH(16,'Transfer Engine'!$C$2:$C$1960,0)),"",INDEX('Compliance Database'!$F$2:$F$1960,MATCH(16,'Transfer Engine'!$C$2:$C$1960,0)))</f>
        <v/>
      </c>
      <c r="G25" s="8">
        <f>IF(ISNA(MATCH(16,'Transfer Engine'!$C$2:$C$1960,0)),"",INDEX('Compliance Database'!$G$2:$G$1960,MATCH(16,'Transfer Engine'!$C$2:$C$1960,0)))</f>
        <v/>
      </c>
      <c r="H25" s="9">
        <f>IF(ISNA(MATCH(16,'Transfer Engine'!$C$2:$C$1960,0)),"",INDEX('Compliance Database'!$H$2:$H$1960,MATCH(16,'Transfer Engine'!$C$2:$C$1960,0)))</f>
        <v/>
      </c>
      <c r="I25" s="9">
        <f>IF(ISNA(MATCH(16,'Transfer Engine'!$C$2:$C$1960,0)),"",INDEX('Compliance Database'!$I$2:$I$1960,MATCH(16,'Transfer Engine'!$C$2:$C$1960,0)))</f>
        <v/>
      </c>
      <c r="J25" s="8">
        <f>IF(ISNA(MATCH(16,'Transfer Engine'!$C$2:$C$1960,0)),"",INDEX('Compliance Database'!$J$2:$J$1960,MATCH(16,'Transfer Engine'!$C$2:$C$1960,0)))</f>
        <v/>
      </c>
      <c r="K25" s="9">
        <f>IF(ISNA(MATCH(16,'Transfer Engine'!$C$2:$C$1960,0)),"",INDEX('Compliance Database'!$K$2:$K$1960,MATCH(16,'Transfer Engine'!$C$2:$C$1960,0)))</f>
        <v/>
      </c>
      <c r="L25" s="9">
        <f>IF(ISNA(MATCH(16,'Transfer Engine'!$C$2:$C$1960,0)),"",INDEX('Compliance Database'!$L$2:$L$1960,MATCH(16,'Transfer Engine'!$C$2:$C$1960,0)))</f>
        <v/>
      </c>
      <c r="M25" s="9">
        <f>IF(ISNA(MATCH(16,'Transfer Engine'!$C$2:$C$1960,0)),"",INDEX('Compliance Database'!$M$2:$M$1960,MATCH(16,'Transfer Engine'!$C$2:$C$1960,0)))</f>
        <v/>
      </c>
      <c r="N25" s="9">
        <f>IF(ISNA(MATCH(16,'Transfer Engine'!$C$2:$C$1960,0)),"",INDEX('Compliance Database'!$N$2:$N$1960,MATCH(16,'Transfer Engine'!$C$2:$C$1960,0)))</f>
        <v/>
      </c>
      <c r="O25" s="9">
        <f>IF(ISNA(MATCH(16,'Transfer Engine'!$C$2:$C$1960,0)),"",INDEX('Compliance Database'!$O$2:$O$1960,MATCH(16,'Transfer Engine'!$C$2:$C$1960,0)))</f>
        <v/>
      </c>
      <c r="P25" s="8">
        <f>IF(ISNA(MATCH(16,'Transfer Engine'!$C$2:$C$1960,0)),"",HYPERLINK("#Acts!A"&amp;INDEX('Compliance Database'!$P$2:$P$1960,MATCH(16,'Transfer Engine'!$C$2:$C$1960,0)),"Go to Act"))</f>
        <v/>
      </c>
    </row>
    <row r="26" ht="158" customHeight="1">
      <c r="A26" s="8">
        <f>IF(ISNA(MATCH(17,'Transfer Engine'!$C$2:$C$1960,0)),"",INDEX('Compliance Database'!$A$2:$A$1960,MATCH(17,'Transfer Engine'!$C$2:$C$1960,0)))</f>
        <v/>
      </c>
      <c r="B26" s="8">
        <f>IF(ISNA(MATCH(17,'Transfer Engine'!$C$2:$C$1960,0)),"",INDEX('Compliance Database'!$B$2:$B$1960,MATCH(17,'Transfer Engine'!$C$2:$C$1960,0)))</f>
        <v/>
      </c>
      <c r="C26" s="8">
        <f>IF(ISNA(MATCH(17,'Transfer Engine'!$C$2:$C$1960,0)),"",INDEX('Compliance Database'!$C$2:$C$1960,MATCH(17,'Transfer Engine'!$C$2:$C$1960,0)))</f>
        <v/>
      </c>
      <c r="D26" s="9">
        <f>IF(ISNA(MATCH(17,'Transfer Engine'!$C$2:$C$1960,0)),"",INDEX('Compliance Database'!$D$2:$D$1960,MATCH(17,'Transfer Engine'!$C$2:$C$1960,0)))</f>
        <v/>
      </c>
      <c r="E26" s="8">
        <f>IF(ISNA(MATCH(17,'Transfer Engine'!$C$2:$C$1960,0)),"",INDEX('Compliance Database'!$E$2:$E$1960,MATCH(17,'Transfer Engine'!$C$2:$C$1960,0)))</f>
        <v/>
      </c>
      <c r="F26" s="8">
        <f>IF(ISNA(MATCH(17,'Transfer Engine'!$C$2:$C$1960,0)),"",INDEX('Compliance Database'!$F$2:$F$1960,MATCH(17,'Transfer Engine'!$C$2:$C$1960,0)))</f>
        <v/>
      </c>
      <c r="G26" s="8">
        <f>IF(ISNA(MATCH(17,'Transfer Engine'!$C$2:$C$1960,0)),"",INDEX('Compliance Database'!$G$2:$G$1960,MATCH(17,'Transfer Engine'!$C$2:$C$1960,0)))</f>
        <v/>
      </c>
      <c r="H26" s="9">
        <f>IF(ISNA(MATCH(17,'Transfer Engine'!$C$2:$C$1960,0)),"",INDEX('Compliance Database'!$H$2:$H$1960,MATCH(17,'Transfer Engine'!$C$2:$C$1960,0)))</f>
        <v/>
      </c>
      <c r="I26" s="9">
        <f>IF(ISNA(MATCH(17,'Transfer Engine'!$C$2:$C$1960,0)),"",INDEX('Compliance Database'!$I$2:$I$1960,MATCH(17,'Transfer Engine'!$C$2:$C$1960,0)))</f>
        <v/>
      </c>
      <c r="J26" s="8">
        <f>IF(ISNA(MATCH(17,'Transfer Engine'!$C$2:$C$1960,0)),"",INDEX('Compliance Database'!$J$2:$J$1960,MATCH(17,'Transfer Engine'!$C$2:$C$1960,0)))</f>
        <v/>
      </c>
      <c r="K26" s="9">
        <f>IF(ISNA(MATCH(17,'Transfer Engine'!$C$2:$C$1960,0)),"",INDEX('Compliance Database'!$K$2:$K$1960,MATCH(17,'Transfer Engine'!$C$2:$C$1960,0)))</f>
        <v/>
      </c>
      <c r="L26" s="9">
        <f>IF(ISNA(MATCH(17,'Transfer Engine'!$C$2:$C$1960,0)),"",INDEX('Compliance Database'!$L$2:$L$1960,MATCH(17,'Transfer Engine'!$C$2:$C$1960,0)))</f>
        <v/>
      </c>
      <c r="M26" s="9">
        <f>IF(ISNA(MATCH(17,'Transfer Engine'!$C$2:$C$1960,0)),"",INDEX('Compliance Database'!$M$2:$M$1960,MATCH(17,'Transfer Engine'!$C$2:$C$1960,0)))</f>
        <v/>
      </c>
      <c r="N26" s="9">
        <f>IF(ISNA(MATCH(17,'Transfer Engine'!$C$2:$C$1960,0)),"",INDEX('Compliance Database'!$N$2:$N$1960,MATCH(17,'Transfer Engine'!$C$2:$C$1960,0)))</f>
        <v/>
      </c>
      <c r="O26" s="9">
        <f>IF(ISNA(MATCH(17,'Transfer Engine'!$C$2:$C$1960,0)),"",INDEX('Compliance Database'!$O$2:$O$1960,MATCH(17,'Transfer Engine'!$C$2:$C$1960,0)))</f>
        <v/>
      </c>
      <c r="P26" s="8">
        <f>IF(ISNA(MATCH(17,'Transfer Engine'!$C$2:$C$1960,0)),"",HYPERLINK("#Acts!A"&amp;INDEX('Compliance Database'!$P$2:$P$1960,MATCH(17,'Transfer Engine'!$C$2:$C$1960,0)),"Go to Act"))</f>
        <v/>
      </c>
    </row>
    <row r="27" ht="158" customHeight="1">
      <c r="A27" s="8">
        <f>IF(ISNA(MATCH(18,'Transfer Engine'!$C$2:$C$1960,0)),"",INDEX('Compliance Database'!$A$2:$A$1960,MATCH(18,'Transfer Engine'!$C$2:$C$1960,0)))</f>
        <v/>
      </c>
      <c r="B27" s="8">
        <f>IF(ISNA(MATCH(18,'Transfer Engine'!$C$2:$C$1960,0)),"",INDEX('Compliance Database'!$B$2:$B$1960,MATCH(18,'Transfer Engine'!$C$2:$C$1960,0)))</f>
        <v/>
      </c>
      <c r="C27" s="8">
        <f>IF(ISNA(MATCH(18,'Transfer Engine'!$C$2:$C$1960,0)),"",INDEX('Compliance Database'!$C$2:$C$1960,MATCH(18,'Transfer Engine'!$C$2:$C$1960,0)))</f>
        <v/>
      </c>
      <c r="D27" s="9">
        <f>IF(ISNA(MATCH(18,'Transfer Engine'!$C$2:$C$1960,0)),"",INDEX('Compliance Database'!$D$2:$D$1960,MATCH(18,'Transfer Engine'!$C$2:$C$1960,0)))</f>
        <v/>
      </c>
      <c r="E27" s="8">
        <f>IF(ISNA(MATCH(18,'Transfer Engine'!$C$2:$C$1960,0)),"",INDEX('Compliance Database'!$E$2:$E$1960,MATCH(18,'Transfer Engine'!$C$2:$C$1960,0)))</f>
        <v/>
      </c>
      <c r="F27" s="8">
        <f>IF(ISNA(MATCH(18,'Transfer Engine'!$C$2:$C$1960,0)),"",INDEX('Compliance Database'!$F$2:$F$1960,MATCH(18,'Transfer Engine'!$C$2:$C$1960,0)))</f>
        <v/>
      </c>
      <c r="G27" s="8">
        <f>IF(ISNA(MATCH(18,'Transfer Engine'!$C$2:$C$1960,0)),"",INDEX('Compliance Database'!$G$2:$G$1960,MATCH(18,'Transfer Engine'!$C$2:$C$1960,0)))</f>
        <v/>
      </c>
      <c r="H27" s="9">
        <f>IF(ISNA(MATCH(18,'Transfer Engine'!$C$2:$C$1960,0)),"",INDEX('Compliance Database'!$H$2:$H$1960,MATCH(18,'Transfer Engine'!$C$2:$C$1960,0)))</f>
        <v/>
      </c>
      <c r="I27" s="9">
        <f>IF(ISNA(MATCH(18,'Transfer Engine'!$C$2:$C$1960,0)),"",INDEX('Compliance Database'!$I$2:$I$1960,MATCH(18,'Transfer Engine'!$C$2:$C$1960,0)))</f>
        <v/>
      </c>
      <c r="J27" s="8">
        <f>IF(ISNA(MATCH(18,'Transfer Engine'!$C$2:$C$1960,0)),"",INDEX('Compliance Database'!$J$2:$J$1960,MATCH(18,'Transfer Engine'!$C$2:$C$1960,0)))</f>
        <v/>
      </c>
      <c r="K27" s="9">
        <f>IF(ISNA(MATCH(18,'Transfer Engine'!$C$2:$C$1960,0)),"",INDEX('Compliance Database'!$K$2:$K$1960,MATCH(18,'Transfer Engine'!$C$2:$C$1960,0)))</f>
        <v/>
      </c>
      <c r="L27" s="9">
        <f>IF(ISNA(MATCH(18,'Transfer Engine'!$C$2:$C$1960,0)),"",INDEX('Compliance Database'!$L$2:$L$1960,MATCH(18,'Transfer Engine'!$C$2:$C$1960,0)))</f>
        <v/>
      </c>
      <c r="M27" s="9">
        <f>IF(ISNA(MATCH(18,'Transfer Engine'!$C$2:$C$1960,0)),"",INDEX('Compliance Database'!$M$2:$M$1960,MATCH(18,'Transfer Engine'!$C$2:$C$1960,0)))</f>
        <v/>
      </c>
      <c r="N27" s="9">
        <f>IF(ISNA(MATCH(18,'Transfer Engine'!$C$2:$C$1960,0)),"",INDEX('Compliance Database'!$N$2:$N$1960,MATCH(18,'Transfer Engine'!$C$2:$C$1960,0)))</f>
        <v/>
      </c>
      <c r="O27" s="9">
        <f>IF(ISNA(MATCH(18,'Transfer Engine'!$C$2:$C$1960,0)),"",INDEX('Compliance Database'!$O$2:$O$1960,MATCH(18,'Transfer Engine'!$C$2:$C$1960,0)))</f>
        <v/>
      </c>
      <c r="P27" s="8">
        <f>IF(ISNA(MATCH(18,'Transfer Engine'!$C$2:$C$1960,0)),"",HYPERLINK("#Acts!A"&amp;INDEX('Compliance Database'!$P$2:$P$1960,MATCH(18,'Transfer Engine'!$C$2:$C$1960,0)),"Go to Act"))</f>
        <v/>
      </c>
    </row>
    <row r="28" ht="158" customHeight="1">
      <c r="A28" s="8">
        <f>IF(ISNA(MATCH(19,'Transfer Engine'!$C$2:$C$1960,0)),"",INDEX('Compliance Database'!$A$2:$A$1960,MATCH(19,'Transfer Engine'!$C$2:$C$1960,0)))</f>
        <v/>
      </c>
      <c r="B28" s="8">
        <f>IF(ISNA(MATCH(19,'Transfer Engine'!$C$2:$C$1960,0)),"",INDEX('Compliance Database'!$B$2:$B$1960,MATCH(19,'Transfer Engine'!$C$2:$C$1960,0)))</f>
        <v/>
      </c>
      <c r="C28" s="8">
        <f>IF(ISNA(MATCH(19,'Transfer Engine'!$C$2:$C$1960,0)),"",INDEX('Compliance Database'!$C$2:$C$1960,MATCH(19,'Transfer Engine'!$C$2:$C$1960,0)))</f>
        <v/>
      </c>
      <c r="D28" s="9">
        <f>IF(ISNA(MATCH(19,'Transfer Engine'!$C$2:$C$1960,0)),"",INDEX('Compliance Database'!$D$2:$D$1960,MATCH(19,'Transfer Engine'!$C$2:$C$1960,0)))</f>
        <v/>
      </c>
      <c r="E28" s="8">
        <f>IF(ISNA(MATCH(19,'Transfer Engine'!$C$2:$C$1960,0)),"",INDEX('Compliance Database'!$E$2:$E$1960,MATCH(19,'Transfer Engine'!$C$2:$C$1960,0)))</f>
        <v/>
      </c>
      <c r="F28" s="8">
        <f>IF(ISNA(MATCH(19,'Transfer Engine'!$C$2:$C$1960,0)),"",INDEX('Compliance Database'!$F$2:$F$1960,MATCH(19,'Transfer Engine'!$C$2:$C$1960,0)))</f>
        <v/>
      </c>
      <c r="G28" s="8">
        <f>IF(ISNA(MATCH(19,'Transfer Engine'!$C$2:$C$1960,0)),"",INDEX('Compliance Database'!$G$2:$G$1960,MATCH(19,'Transfer Engine'!$C$2:$C$1960,0)))</f>
        <v/>
      </c>
      <c r="H28" s="9">
        <f>IF(ISNA(MATCH(19,'Transfer Engine'!$C$2:$C$1960,0)),"",INDEX('Compliance Database'!$H$2:$H$1960,MATCH(19,'Transfer Engine'!$C$2:$C$1960,0)))</f>
        <v/>
      </c>
      <c r="I28" s="9">
        <f>IF(ISNA(MATCH(19,'Transfer Engine'!$C$2:$C$1960,0)),"",INDEX('Compliance Database'!$I$2:$I$1960,MATCH(19,'Transfer Engine'!$C$2:$C$1960,0)))</f>
        <v/>
      </c>
      <c r="J28" s="8">
        <f>IF(ISNA(MATCH(19,'Transfer Engine'!$C$2:$C$1960,0)),"",INDEX('Compliance Database'!$J$2:$J$1960,MATCH(19,'Transfer Engine'!$C$2:$C$1960,0)))</f>
        <v/>
      </c>
      <c r="K28" s="9">
        <f>IF(ISNA(MATCH(19,'Transfer Engine'!$C$2:$C$1960,0)),"",INDEX('Compliance Database'!$K$2:$K$1960,MATCH(19,'Transfer Engine'!$C$2:$C$1960,0)))</f>
        <v/>
      </c>
      <c r="L28" s="9">
        <f>IF(ISNA(MATCH(19,'Transfer Engine'!$C$2:$C$1960,0)),"",INDEX('Compliance Database'!$L$2:$L$1960,MATCH(19,'Transfer Engine'!$C$2:$C$1960,0)))</f>
        <v/>
      </c>
      <c r="M28" s="9">
        <f>IF(ISNA(MATCH(19,'Transfer Engine'!$C$2:$C$1960,0)),"",INDEX('Compliance Database'!$M$2:$M$1960,MATCH(19,'Transfer Engine'!$C$2:$C$1960,0)))</f>
        <v/>
      </c>
      <c r="N28" s="9">
        <f>IF(ISNA(MATCH(19,'Transfer Engine'!$C$2:$C$1960,0)),"",INDEX('Compliance Database'!$N$2:$N$1960,MATCH(19,'Transfer Engine'!$C$2:$C$1960,0)))</f>
        <v/>
      </c>
      <c r="O28" s="9">
        <f>IF(ISNA(MATCH(19,'Transfer Engine'!$C$2:$C$1960,0)),"",INDEX('Compliance Database'!$O$2:$O$1960,MATCH(19,'Transfer Engine'!$C$2:$C$1960,0)))</f>
        <v/>
      </c>
      <c r="P28" s="8">
        <f>IF(ISNA(MATCH(19,'Transfer Engine'!$C$2:$C$1960,0)),"",HYPERLINK("#Acts!A"&amp;INDEX('Compliance Database'!$P$2:$P$1960,MATCH(19,'Transfer Engine'!$C$2:$C$1960,0)),"Go to Act"))</f>
        <v/>
      </c>
    </row>
    <row r="29" ht="158" customHeight="1">
      <c r="A29" s="8">
        <f>IF(ISNA(MATCH(20,'Transfer Engine'!$C$2:$C$1960,0)),"",INDEX('Compliance Database'!$A$2:$A$1960,MATCH(20,'Transfer Engine'!$C$2:$C$1960,0)))</f>
        <v/>
      </c>
      <c r="B29" s="8">
        <f>IF(ISNA(MATCH(20,'Transfer Engine'!$C$2:$C$1960,0)),"",INDEX('Compliance Database'!$B$2:$B$1960,MATCH(20,'Transfer Engine'!$C$2:$C$1960,0)))</f>
        <v/>
      </c>
      <c r="C29" s="8">
        <f>IF(ISNA(MATCH(20,'Transfer Engine'!$C$2:$C$1960,0)),"",INDEX('Compliance Database'!$C$2:$C$1960,MATCH(20,'Transfer Engine'!$C$2:$C$1960,0)))</f>
        <v/>
      </c>
      <c r="D29" s="9">
        <f>IF(ISNA(MATCH(20,'Transfer Engine'!$C$2:$C$1960,0)),"",INDEX('Compliance Database'!$D$2:$D$1960,MATCH(20,'Transfer Engine'!$C$2:$C$1960,0)))</f>
        <v/>
      </c>
      <c r="E29" s="8">
        <f>IF(ISNA(MATCH(20,'Transfer Engine'!$C$2:$C$1960,0)),"",INDEX('Compliance Database'!$E$2:$E$1960,MATCH(20,'Transfer Engine'!$C$2:$C$1960,0)))</f>
        <v/>
      </c>
      <c r="F29" s="8">
        <f>IF(ISNA(MATCH(20,'Transfer Engine'!$C$2:$C$1960,0)),"",INDEX('Compliance Database'!$F$2:$F$1960,MATCH(20,'Transfer Engine'!$C$2:$C$1960,0)))</f>
        <v/>
      </c>
      <c r="G29" s="8">
        <f>IF(ISNA(MATCH(20,'Transfer Engine'!$C$2:$C$1960,0)),"",INDEX('Compliance Database'!$G$2:$G$1960,MATCH(20,'Transfer Engine'!$C$2:$C$1960,0)))</f>
        <v/>
      </c>
      <c r="H29" s="9">
        <f>IF(ISNA(MATCH(20,'Transfer Engine'!$C$2:$C$1960,0)),"",INDEX('Compliance Database'!$H$2:$H$1960,MATCH(20,'Transfer Engine'!$C$2:$C$1960,0)))</f>
        <v/>
      </c>
      <c r="I29" s="9">
        <f>IF(ISNA(MATCH(20,'Transfer Engine'!$C$2:$C$1960,0)),"",INDEX('Compliance Database'!$I$2:$I$1960,MATCH(20,'Transfer Engine'!$C$2:$C$1960,0)))</f>
        <v/>
      </c>
      <c r="J29" s="8">
        <f>IF(ISNA(MATCH(20,'Transfer Engine'!$C$2:$C$1960,0)),"",INDEX('Compliance Database'!$J$2:$J$1960,MATCH(20,'Transfer Engine'!$C$2:$C$1960,0)))</f>
        <v/>
      </c>
      <c r="K29" s="9">
        <f>IF(ISNA(MATCH(20,'Transfer Engine'!$C$2:$C$1960,0)),"",INDEX('Compliance Database'!$K$2:$K$1960,MATCH(20,'Transfer Engine'!$C$2:$C$1960,0)))</f>
        <v/>
      </c>
      <c r="L29" s="9">
        <f>IF(ISNA(MATCH(20,'Transfer Engine'!$C$2:$C$1960,0)),"",INDEX('Compliance Database'!$L$2:$L$1960,MATCH(20,'Transfer Engine'!$C$2:$C$1960,0)))</f>
        <v/>
      </c>
      <c r="M29" s="9">
        <f>IF(ISNA(MATCH(20,'Transfer Engine'!$C$2:$C$1960,0)),"",INDEX('Compliance Database'!$M$2:$M$1960,MATCH(20,'Transfer Engine'!$C$2:$C$1960,0)))</f>
        <v/>
      </c>
      <c r="N29" s="9">
        <f>IF(ISNA(MATCH(20,'Transfer Engine'!$C$2:$C$1960,0)),"",INDEX('Compliance Database'!$N$2:$N$1960,MATCH(20,'Transfer Engine'!$C$2:$C$1960,0)))</f>
        <v/>
      </c>
      <c r="O29" s="9">
        <f>IF(ISNA(MATCH(20,'Transfer Engine'!$C$2:$C$1960,0)),"",INDEX('Compliance Database'!$O$2:$O$1960,MATCH(20,'Transfer Engine'!$C$2:$C$1960,0)))</f>
        <v/>
      </c>
      <c r="P29" s="8">
        <f>IF(ISNA(MATCH(20,'Transfer Engine'!$C$2:$C$1960,0)),"",HYPERLINK("#Acts!A"&amp;INDEX('Compliance Database'!$P$2:$P$1960,MATCH(20,'Transfer Engine'!$C$2:$C$1960,0)),"Go to Act"))</f>
        <v/>
      </c>
    </row>
    <row r="30" ht="158" customHeight="1">
      <c r="A30" s="8">
        <f>IF(ISNA(MATCH(21,'Transfer Engine'!$C$2:$C$1960,0)),"",INDEX('Compliance Database'!$A$2:$A$1960,MATCH(21,'Transfer Engine'!$C$2:$C$1960,0)))</f>
        <v/>
      </c>
      <c r="B30" s="8">
        <f>IF(ISNA(MATCH(21,'Transfer Engine'!$C$2:$C$1960,0)),"",INDEX('Compliance Database'!$B$2:$B$1960,MATCH(21,'Transfer Engine'!$C$2:$C$1960,0)))</f>
        <v/>
      </c>
      <c r="C30" s="8">
        <f>IF(ISNA(MATCH(21,'Transfer Engine'!$C$2:$C$1960,0)),"",INDEX('Compliance Database'!$C$2:$C$1960,MATCH(21,'Transfer Engine'!$C$2:$C$1960,0)))</f>
        <v/>
      </c>
      <c r="D30" s="9">
        <f>IF(ISNA(MATCH(21,'Transfer Engine'!$C$2:$C$1960,0)),"",INDEX('Compliance Database'!$D$2:$D$1960,MATCH(21,'Transfer Engine'!$C$2:$C$1960,0)))</f>
        <v/>
      </c>
      <c r="E30" s="8">
        <f>IF(ISNA(MATCH(21,'Transfer Engine'!$C$2:$C$1960,0)),"",INDEX('Compliance Database'!$E$2:$E$1960,MATCH(21,'Transfer Engine'!$C$2:$C$1960,0)))</f>
        <v/>
      </c>
      <c r="F30" s="8">
        <f>IF(ISNA(MATCH(21,'Transfer Engine'!$C$2:$C$1960,0)),"",INDEX('Compliance Database'!$F$2:$F$1960,MATCH(21,'Transfer Engine'!$C$2:$C$1960,0)))</f>
        <v/>
      </c>
      <c r="G30" s="8">
        <f>IF(ISNA(MATCH(21,'Transfer Engine'!$C$2:$C$1960,0)),"",INDEX('Compliance Database'!$G$2:$G$1960,MATCH(21,'Transfer Engine'!$C$2:$C$1960,0)))</f>
        <v/>
      </c>
      <c r="H30" s="9">
        <f>IF(ISNA(MATCH(21,'Transfer Engine'!$C$2:$C$1960,0)),"",INDEX('Compliance Database'!$H$2:$H$1960,MATCH(21,'Transfer Engine'!$C$2:$C$1960,0)))</f>
        <v/>
      </c>
      <c r="I30" s="9">
        <f>IF(ISNA(MATCH(21,'Transfer Engine'!$C$2:$C$1960,0)),"",INDEX('Compliance Database'!$I$2:$I$1960,MATCH(21,'Transfer Engine'!$C$2:$C$1960,0)))</f>
        <v/>
      </c>
      <c r="J30" s="8">
        <f>IF(ISNA(MATCH(21,'Transfer Engine'!$C$2:$C$1960,0)),"",INDEX('Compliance Database'!$J$2:$J$1960,MATCH(21,'Transfer Engine'!$C$2:$C$1960,0)))</f>
        <v/>
      </c>
      <c r="K30" s="9">
        <f>IF(ISNA(MATCH(21,'Transfer Engine'!$C$2:$C$1960,0)),"",INDEX('Compliance Database'!$K$2:$K$1960,MATCH(21,'Transfer Engine'!$C$2:$C$1960,0)))</f>
        <v/>
      </c>
      <c r="L30" s="9">
        <f>IF(ISNA(MATCH(21,'Transfer Engine'!$C$2:$C$1960,0)),"",INDEX('Compliance Database'!$L$2:$L$1960,MATCH(21,'Transfer Engine'!$C$2:$C$1960,0)))</f>
        <v/>
      </c>
      <c r="M30" s="9">
        <f>IF(ISNA(MATCH(21,'Transfer Engine'!$C$2:$C$1960,0)),"",INDEX('Compliance Database'!$M$2:$M$1960,MATCH(21,'Transfer Engine'!$C$2:$C$1960,0)))</f>
        <v/>
      </c>
      <c r="N30" s="9">
        <f>IF(ISNA(MATCH(21,'Transfer Engine'!$C$2:$C$1960,0)),"",INDEX('Compliance Database'!$N$2:$N$1960,MATCH(21,'Transfer Engine'!$C$2:$C$1960,0)))</f>
        <v/>
      </c>
      <c r="O30" s="9">
        <f>IF(ISNA(MATCH(21,'Transfer Engine'!$C$2:$C$1960,0)),"",INDEX('Compliance Database'!$O$2:$O$1960,MATCH(21,'Transfer Engine'!$C$2:$C$1960,0)))</f>
        <v/>
      </c>
      <c r="P30" s="8">
        <f>IF(ISNA(MATCH(21,'Transfer Engine'!$C$2:$C$1960,0)),"",HYPERLINK("#Acts!A"&amp;INDEX('Compliance Database'!$P$2:$P$1960,MATCH(21,'Transfer Engine'!$C$2:$C$1960,0)),"Go to Act"))</f>
        <v/>
      </c>
    </row>
    <row r="31" ht="158" customHeight="1">
      <c r="A31" s="8">
        <f>IF(ISNA(MATCH(22,'Transfer Engine'!$C$2:$C$1960,0)),"",INDEX('Compliance Database'!$A$2:$A$1960,MATCH(22,'Transfer Engine'!$C$2:$C$1960,0)))</f>
        <v/>
      </c>
      <c r="B31" s="8">
        <f>IF(ISNA(MATCH(22,'Transfer Engine'!$C$2:$C$1960,0)),"",INDEX('Compliance Database'!$B$2:$B$1960,MATCH(22,'Transfer Engine'!$C$2:$C$1960,0)))</f>
        <v/>
      </c>
      <c r="C31" s="8">
        <f>IF(ISNA(MATCH(22,'Transfer Engine'!$C$2:$C$1960,0)),"",INDEX('Compliance Database'!$C$2:$C$1960,MATCH(22,'Transfer Engine'!$C$2:$C$1960,0)))</f>
        <v/>
      </c>
      <c r="D31" s="9">
        <f>IF(ISNA(MATCH(22,'Transfer Engine'!$C$2:$C$1960,0)),"",INDEX('Compliance Database'!$D$2:$D$1960,MATCH(22,'Transfer Engine'!$C$2:$C$1960,0)))</f>
        <v/>
      </c>
      <c r="E31" s="8">
        <f>IF(ISNA(MATCH(22,'Transfer Engine'!$C$2:$C$1960,0)),"",INDEX('Compliance Database'!$E$2:$E$1960,MATCH(22,'Transfer Engine'!$C$2:$C$1960,0)))</f>
        <v/>
      </c>
      <c r="F31" s="8">
        <f>IF(ISNA(MATCH(22,'Transfer Engine'!$C$2:$C$1960,0)),"",INDEX('Compliance Database'!$F$2:$F$1960,MATCH(22,'Transfer Engine'!$C$2:$C$1960,0)))</f>
        <v/>
      </c>
      <c r="G31" s="8">
        <f>IF(ISNA(MATCH(22,'Transfer Engine'!$C$2:$C$1960,0)),"",INDEX('Compliance Database'!$G$2:$G$1960,MATCH(22,'Transfer Engine'!$C$2:$C$1960,0)))</f>
        <v/>
      </c>
      <c r="H31" s="9">
        <f>IF(ISNA(MATCH(22,'Transfer Engine'!$C$2:$C$1960,0)),"",INDEX('Compliance Database'!$H$2:$H$1960,MATCH(22,'Transfer Engine'!$C$2:$C$1960,0)))</f>
        <v/>
      </c>
      <c r="I31" s="9">
        <f>IF(ISNA(MATCH(22,'Transfer Engine'!$C$2:$C$1960,0)),"",INDEX('Compliance Database'!$I$2:$I$1960,MATCH(22,'Transfer Engine'!$C$2:$C$1960,0)))</f>
        <v/>
      </c>
      <c r="J31" s="8">
        <f>IF(ISNA(MATCH(22,'Transfer Engine'!$C$2:$C$1960,0)),"",INDEX('Compliance Database'!$J$2:$J$1960,MATCH(22,'Transfer Engine'!$C$2:$C$1960,0)))</f>
        <v/>
      </c>
      <c r="K31" s="9">
        <f>IF(ISNA(MATCH(22,'Transfer Engine'!$C$2:$C$1960,0)),"",INDEX('Compliance Database'!$K$2:$K$1960,MATCH(22,'Transfer Engine'!$C$2:$C$1960,0)))</f>
        <v/>
      </c>
      <c r="L31" s="9">
        <f>IF(ISNA(MATCH(22,'Transfer Engine'!$C$2:$C$1960,0)),"",INDEX('Compliance Database'!$L$2:$L$1960,MATCH(22,'Transfer Engine'!$C$2:$C$1960,0)))</f>
        <v/>
      </c>
      <c r="M31" s="9">
        <f>IF(ISNA(MATCH(22,'Transfer Engine'!$C$2:$C$1960,0)),"",INDEX('Compliance Database'!$M$2:$M$1960,MATCH(22,'Transfer Engine'!$C$2:$C$1960,0)))</f>
        <v/>
      </c>
      <c r="N31" s="9">
        <f>IF(ISNA(MATCH(22,'Transfer Engine'!$C$2:$C$1960,0)),"",INDEX('Compliance Database'!$N$2:$N$1960,MATCH(22,'Transfer Engine'!$C$2:$C$1960,0)))</f>
        <v/>
      </c>
      <c r="O31" s="9">
        <f>IF(ISNA(MATCH(22,'Transfer Engine'!$C$2:$C$1960,0)),"",INDEX('Compliance Database'!$O$2:$O$1960,MATCH(22,'Transfer Engine'!$C$2:$C$1960,0)))</f>
        <v/>
      </c>
      <c r="P31" s="8">
        <f>IF(ISNA(MATCH(22,'Transfer Engine'!$C$2:$C$1960,0)),"",HYPERLINK("#Acts!A"&amp;INDEX('Compliance Database'!$P$2:$P$1960,MATCH(22,'Transfer Engine'!$C$2:$C$1960,0)),"Go to Act"))</f>
        <v/>
      </c>
    </row>
    <row r="32" ht="158" customHeight="1">
      <c r="A32" s="8">
        <f>IF(ISNA(MATCH(23,'Transfer Engine'!$C$2:$C$1960,0)),"",INDEX('Compliance Database'!$A$2:$A$1960,MATCH(23,'Transfer Engine'!$C$2:$C$1960,0)))</f>
        <v/>
      </c>
      <c r="B32" s="8">
        <f>IF(ISNA(MATCH(23,'Transfer Engine'!$C$2:$C$1960,0)),"",INDEX('Compliance Database'!$B$2:$B$1960,MATCH(23,'Transfer Engine'!$C$2:$C$1960,0)))</f>
        <v/>
      </c>
      <c r="C32" s="8">
        <f>IF(ISNA(MATCH(23,'Transfer Engine'!$C$2:$C$1960,0)),"",INDEX('Compliance Database'!$C$2:$C$1960,MATCH(23,'Transfer Engine'!$C$2:$C$1960,0)))</f>
        <v/>
      </c>
      <c r="D32" s="9">
        <f>IF(ISNA(MATCH(23,'Transfer Engine'!$C$2:$C$1960,0)),"",INDEX('Compliance Database'!$D$2:$D$1960,MATCH(23,'Transfer Engine'!$C$2:$C$1960,0)))</f>
        <v/>
      </c>
      <c r="E32" s="8">
        <f>IF(ISNA(MATCH(23,'Transfer Engine'!$C$2:$C$1960,0)),"",INDEX('Compliance Database'!$E$2:$E$1960,MATCH(23,'Transfer Engine'!$C$2:$C$1960,0)))</f>
        <v/>
      </c>
      <c r="F32" s="8">
        <f>IF(ISNA(MATCH(23,'Transfer Engine'!$C$2:$C$1960,0)),"",INDEX('Compliance Database'!$F$2:$F$1960,MATCH(23,'Transfer Engine'!$C$2:$C$1960,0)))</f>
        <v/>
      </c>
      <c r="G32" s="8">
        <f>IF(ISNA(MATCH(23,'Transfer Engine'!$C$2:$C$1960,0)),"",INDEX('Compliance Database'!$G$2:$G$1960,MATCH(23,'Transfer Engine'!$C$2:$C$1960,0)))</f>
        <v/>
      </c>
      <c r="H32" s="9">
        <f>IF(ISNA(MATCH(23,'Transfer Engine'!$C$2:$C$1960,0)),"",INDEX('Compliance Database'!$H$2:$H$1960,MATCH(23,'Transfer Engine'!$C$2:$C$1960,0)))</f>
        <v/>
      </c>
      <c r="I32" s="9">
        <f>IF(ISNA(MATCH(23,'Transfer Engine'!$C$2:$C$1960,0)),"",INDEX('Compliance Database'!$I$2:$I$1960,MATCH(23,'Transfer Engine'!$C$2:$C$1960,0)))</f>
        <v/>
      </c>
      <c r="J32" s="8">
        <f>IF(ISNA(MATCH(23,'Transfer Engine'!$C$2:$C$1960,0)),"",INDEX('Compliance Database'!$J$2:$J$1960,MATCH(23,'Transfer Engine'!$C$2:$C$1960,0)))</f>
        <v/>
      </c>
      <c r="K32" s="9">
        <f>IF(ISNA(MATCH(23,'Transfer Engine'!$C$2:$C$1960,0)),"",INDEX('Compliance Database'!$K$2:$K$1960,MATCH(23,'Transfer Engine'!$C$2:$C$1960,0)))</f>
        <v/>
      </c>
      <c r="L32" s="9">
        <f>IF(ISNA(MATCH(23,'Transfer Engine'!$C$2:$C$1960,0)),"",INDEX('Compliance Database'!$L$2:$L$1960,MATCH(23,'Transfer Engine'!$C$2:$C$1960,0)))</f>
        <v/>
      </c>
      <c r="M32" s="9">
        <f>IF(ISNA(MATCH(23,'Transfer Engine'!$C$2:$C$1960,0)),"",INDEX('Compliance Database'!$M$2:$M$1960,MATCH(23,'Transfer Engine'!$C$2:$C$1960,0)))</f>
        <v/>
      </c>
      <c r="N32" s="9">
        <f>IF(ISNA(MATCH(23,'Transfer Engine'!$C$2:$C$1960,0)),"",INDEX('Compliance Database'!$N$2:$N$1960,MATCH(23,'Transfer Engine'!$C$2:$C$1960,0)))</f>
        <v/>
      </c>
      <c r="O32" s="9">
        <f>IF(ISNA(MATCH(23,'Transfer Engine'!$C$2:$C$1960,0)),"",INDEX('Compliance Database'!$O$2:$O$1960,MATCH(23,'Transfer Engine'!$C$2:$C$1960,0)))</f>
        <v/>
      </c>
      <c r="P32" s="8">
        <f>IF(ISNA(MATCH(23,'Transfer Engine'!$C$2:$C$1960,0)),"",HYPERLINK("#Acts!A"&amp;INDEX('Compliance Database'!$P$2:$P$1960,MATCH(23,'Transfer Engine'!$C$2:$C$1960,0)),"Go to Act"))</f>
        <v/>
      </c>
    </row>
    <row r="33" ht="158" customHeight="1">
      <c r="A33" s="8">
        <f>IF(ISNA(MATCH(24,'Transfer Engine'!$C$2:$C$1960,0)),"",INDEX('Compliance Database'!$A$2:$A$1960,MATCH(24,'Transfer Engine'!$C$2:$C$1960,0)))</f>
        <v/>
      </c>
      <c r="B33" s="8">
        <f>IF(ISNA(MATCH(24,'Transfer Engine'!$C$2:$C$1960,0)),"",INDEX('Compliance Database'!$B$2:$B$1960,MATCH(24,'Transfer Engine'!$C$2:$C$1960,0)))</f>
        <v/>
      </c>
      <c r="C33" s="8">
        <f>IF(ISNA(MATCH(24,'Transfer Engine'!$C$2:$C$1960,0)),"",INDEX('Compliance Database'!$C$2:$C$1960,MATCH(24,'Transfer Engine'!$C$2:$C$1960,0)))</f>
        <v/>
      </c>
      <c r="D33" s="9">
        <f>IF(ISNA(MATCH(24,'Transfer Engine'!$C$2:$C$1960,0)),"",INDEX('Compliance Database'!$D$2:$D$1960,MATCH(24,'Transfer Engine'!$C$2:$C$1960,0)))</f>
        <v/>
      </c>
      <c r="E33" s="8">
        <f>IF(ISNA(MATCH(24,'Transfer Engine'!$C$2:$C$1960,0)),"",INDEX('Compliance Database'!$E$2:$E$1960,MATCH(24,'Transfer Engine'!$C$2:$C$1960,0)))</f>
        <v/>
      </c>
      <c r="F33" s="8">
        <f>IF(ISNA(MATCH(24,'Transfer Engine'!$C$2:$C$1960,0)),"",INDEX('Compliance Database'!$F$2:$F$1960,MATCH(24,'Transfer Engine'!$C$2:$C$1960,0)))</f>
        <v/>
      </c>
      <c r="G33" s="8">
        <f>IF(ISNA(MATCH(24,'Transfer Engine'!$C$2:$C$1960,0)),"",INDEX('Compliance Database'!$G$2:$G$1960,MATCH(24,'Transfer Engine'!$C$2:$C$1960,0)))</f>
        <v/>
      </c>
      <c r="H33" s="9">
        <f>IF(ISNA(MATCH(24,'Transfer Engine'!$C$2:$C$1960,0)),"",INDEX('Compliance Database'!$H$2:$H$1960,MATCH(24,'Transfer Engine'!$C$2:$C$1960,0)))</f>
        <v/>
      </c>
      <c r="I33" s="9">
        <f>IF(ISNA(MATCH(24,'Transfer Engine'!$C$2:$C$1960,0)),"",INDEX('Compliance Database'!$I$2:$I$1960,MATCH(24,'Transfer Engine'!$C$2:$C$1960,0)))</f>
        <v/>
      </c>
      <c r="J33" s="8">
        <f>IF(ISNA(MATCH(24,'Transfer Engine'!$C$2:$C$1960,0)),"",INDEX('Compliance Database'!$J$2:$J$1960,MATCH(24,'Transfer Engine'!$C$2:$C$1960,0)))</f>
        <v/>
      </c>
      <c r="K33" s="9">
        <f>IF(ISNA(MATCH(24,'Transfer Engine'!$C$2:$C$1960,0)),"",INDEX('Compliance Database'!$K$2:$K$1960,MATCH(24,'Transfer Engine'!$C$2:$C$1960,0)))</f>
        <v/>
      </c>
      <c r="L33" s="9">
        <f>IF(ISNA(MATCH(24,'Transfer Engine'!$C$2:$C$1960,0)),"",INDEX('Compliance Database'!$L$2:$L$1960,MATCH(24,'Transfer Engine'!$C$2:$C$1960,0)))</f>
        <v/>
      </c>
      <c r="M33" s="9">
        <f>IF(ISNA(MATCH(24,'Transfer Engine'!$C$2:$C$1960,0)),"",INDEX('Compliance Database'!$M$2:$M$1960,MATCH(24,'Transfer Engine'!$C$2:$C$1960,0)))</f>
        <v/>
      </c>
      <c r="N33" s="9">
        <f>IF(ISNA(MATCH(24,'Transfer Engine'!$C$2:$C$1960,0)),"",INDEX('Compliance Database'!$N$2:$N$1960,MATCH(24,'Transfer Engine'!$C$2:$C$1960,0)))</f>
        <v/>
      </c>
      <c r="O33" s="9">
        <f>IF(ISNA(MATCH(24,'Transfer Engine'!$C$2:$C$1960,0)),"",INDEX('Compliance Database'!$O$2:$O$1960,MATCH(24,'Transfer Engine'!$C$2:$C$1960,0)))</f>
        <v/>
      </c>
      <c r="P33" s="8">
        <f>IF(ISNA(MATCH(24,'Transfer Engine'!$C$2:$C$1960,0)),"",HYPERLINK("#Acts!A"&amp;INDEX('Compliance Database'!$P$2:$P$1960,MATCH(24,'Transfer Engine'!$C$2:$C$1960,0)),"Go to Act"))</f>
        <v/>
      </c>
    </row>
    <row r="34" ht="158" customHeight="1">
      <c r="A34" s="8">
        <f>IF(ISNA(MATCH(25,'Transfer Engine'!$C$2:$C$1960,0)),"",INDEX('Compliance Database'!$A$2:$A$1960,MATCH(25,'Transfer Engine'!$C$2:$C$1960,0)))</f>
        <v/>
      </c>
      <c r="B34" s="8">
        <f>IF(ISNA(MATCH(25,'Transfer Engine'!$C$2:$C$1960,0)),"",INDEX('Compliance Database'!$B$2:$B$1960,MATCH(25,'Transfer Engine'!$C$2:$C$1960,0)))</f>
        <v/>
      </c>
      <c r="C34" s="8">
        <f>IF(ISNA(MATCH(25,'Transfer Engine'!$C$2:$C$1960,0)),"",INDEX('Compliance Database'!$C$2:$C$1960,MATCH(25,'Transfer Engine'!$C$2:$C$1960,0)))</f>
        <v/>
      </c>
      <c r="D34" s="9">
        <f>IF(ISNA(MATCH(25,'Transfer Engine'!$C$2:$C$1960,0)),"",INDEX('Compliance Database'!$D$2:$D$1960,MATCH(25,'Transfer Engine'!$C$2:$C$1960,0)))</f>
        <v/>
      </c>
      <c r="E34" s="8">
        <f>IF(ISNA(MATCH(25,'Transfer Engine'!$C$2:$C$1960,0)),"",INDEX('Compliance Database'!$E$2:$E$1960,MATCH(25,'Transfer Engine'!$C$2:$C$1960,0)))</f>
        <v/>
      </c>
      <c r="F34" s="8">
        <f>IF(ISNA(MATCH(25,'Transfer Engine'!$C$2:$C$1960,0)),"",INDEX('Compliance Database'!$F$2:$F$1960,MATCH(25,'Transfer Engine'!$C$2:$C$1960,0)))</f>
        <v/>
      </c>
      <c r="G34" s="8">
        <f>IF(ISNA(MATCH(25,'Transfer Engine'!$C$2:$C$1960,0)),"",INDEX('Compliance Database'!$G$2:$G$1960,MATCH(25,'Transfer Engine'!$C$2:$C$1960,0)))</f>
        <v/>
      </c>
      <c r="H34" s="9">
        <f>IF(ISNA(MATCH(25,'Transfer Engine'!$C$2:$C$1960,0)),"",INDEX('Compliance Database'!$H$2:$H$1960,MATCH(25,'Transfer Engine'!$C$2:$C$1960,0)))</f>
        <v/>
      </c>
      <c r="I34" s="9">
        <f>IF(ISNA(MATCH(25,'Transfer Engine'!$C$2:$C$1960,0)),"",INDEX('Compliance Database'!$I$2:$I$1960,MATCH(25,'Transfer Engine'!$C$2:$C$1960,0)))</f>
        <v/>
      </c>
      <c r="J34" s="8">
        <f>IF(ISNA(MATCH(25,'Transfer Engine'!$C$2:$C$1960,0)),"",INDEX('Compliance Database'!$J$2:$J$1960,MATCH(25,'Transfer Engine'!$C$2:$C$1960,0)))</f>
        <v/>
      </c>
      <c r="K34" s="9">
        <f>IF(ISNA(MATCH(25,'Transfer Engine'!$C$2:$C$1960,0)),"",INDEX('Compliance Database'!$K$2:$K$1960,MATCH(25,'Transfer Engine'!$C$2:$C$1960,0)))</f>
        <v/>
      </c>
      <c r="L34" s="9">
        <f>IF(ISNA(MATCH(25,'Transfer Engine'!$C$2:$C$1960,0)),"",INDEX('Compliance Database'!$L$2:$L$1960,MATCH(25,'Transfer Engine'!$C$2:$C$1960,0)))</f>
        <v/>
      </c>
      <c r="M34" s="9">
        <f>IF(ISNA(MATCH(25,'Transfer Engine'!$C$2:$C$1960,0)),"",INDEX('Compliance Database'!$M$2:$M$1960,MATCH(25,'Transfer Engine'!$C$2:$C$1960,0)))</f>
        <v/>
      </c>
      <c r="N34" s="9">
        <f>IF(ISNA(MATCH(25,'Transfer Engine'!$C$2:$C$1960,0)),"",INDEX('Compliance Database'!$N$2:$N$1960,MATCH(25,'Transfer Engine'!$C$2:$C$1960,0)))</f>
        <v/>
      </c>
      <c r="O34" s="9">
        <f>IF(ISNA(MATCH(25,'Transfer Engine'!$C$2:$C$1960,0)),"",INDEX('Compliance Database'!$O$2:$O$1960,MATCH(25,'Transfer Engine'!$C$2:$C$1960,0)))</f>
        <v/>
      </c>
      <c r="P34" s="8">
        <f>IF(ISNA(MATCH(25,'Transfer Engine'!$C$2:$C$1960,0)),"",HYPERLINK("#Acts!A"&amp;INDEX('Compliance Database'!$P$2:$P$1960,MATCH(25,'Transfer Engine'!$C$2:$C$1960,0)),"Go to Act"))</f>
        <v/>
      </c>
    </row>
    <row r="35" ht="158" customHeight="1">
      <c r="A35" s="8">
        <f>IF(ISNA(MATCH(26,'Transfer Engine'!$C$2:$C$1960,0)),"",INDEX('Compliance Database'!$A$2:$A$1960,MATCH(26,'Transfer Engine'!$C$2:$C$1960,0)))</f>
        <v/>
      </c>
      <c r="B35" s="8">
        <f>IF(ISNA(MATCH(26,'Transfer Engine'!$C$2:$C$1960,0)),"",INDEX('Compliance Database'!$B$2:$B$1960,MATCH(26,'Transfer Engine'!$C$2:$C$1960,0)))</f>
        <v/>
      </c>
      <c r="C35" s="8">
        <f>IF(ISNA(MATCH(26,'Transfer Engine'!$C$2:$C$1960,0)),"",INDEX('Compliance Database'!$C$2:$C$1960,MATCH(26,'Transfer Engine'!$C$2:$C$1960,0)))</f>
        <v/>
      </c>
      <c r="D35" s="9">
        <f>IF(ISNA(MATCH(26,'Transfer Engine'!$C$2:$C$1960,0)),"",INDEX('Compliance Database'!$D$2:$D$1960,MATCH(26,'Transfer Engine'!$C$2:$C$1960,0)))</f>
        <v/>
      </c>
      <c r="E35" s="8">
        <f>IF(ISNA(MATCH(26,'Transfer Engine'!$C$2:$C$1960,0)),"",INDEX('Compliance Database'!$E$2:$E$1960,MATCH(26,'Transfer Engine'!$C$2:$C$1960,0)))</f>
        <v/>
      </c>
      <c r="F35" s="8">
        <f>IF(ISNA(MATCH(26,'Transfer Engine'!$C$2:$C$1960,0)),"",INDEX('Compliance Database'!$F$2:$F$1960,MATCH(26,'Transfer Engine'!$C$2:$C$1960,0)))</f>
        <v/>
      </c>
      <c r="G35" s="8">
        <f>IF(ISNA(MATCH(26,'Transfer Engine'!$C$2:$C$1960,0)),"",INDEX('Compliance Database'!$G$2:$G$1960,MATCH(26,'Transfer Engine'!$C$2:$C$1960,0)))</f>
        <v/>
      </c>
      <c r="H35" s="9">
        <f>IF(ISNA(MATCH(26,'Transfer Engine'!$C$2:$C$1960,0)),"",INDEX('Compliance Database'!$H$2:$H$1960,MATCH(26,'Transfer Engine'!$C$2:$C$1960,0)))</f>
        <v/>
      </c>
      <c r="I35" s="9">
        <f>IF(ISNA(MATCH(26,'Transfer Engine'!$C$2:$C$1960,0)),"",INDEX('Compliance Database'!$I$2:$I$1960,MATCH(26,'Transfer Engine'!$C$2:$C$1960,0)))</f>
        <v/>
      </c>
      <c r="J35" s="8">
        <f>IF(ISNA(MATCH(26,'Transfer Engine'!$C$2:$C$1960,0)),"",INDEX('Compliance Database'!$J$2:$J$1960,MATCH(26,'Transfer Engine'!$C$2:$C$1960,0)))</f>
        <v/>
      </c>
      <c r="K35" s="9">
        <f>IF(ISNA(MATCH(26,'Transfer Engine'!$C$2:$C$1960,0)),"",INDEX('Compliance Database'!$K$2:$K$1960,MATCH(26,'Transfer Engine'!$C$2:$C$1960,0)))</f>
        <v/>
      </c>
      <c r="L35" s="9">
        <f>IF(ISNA(MATCH(26,'Transfer Engine'!$C$2:$C$1960,0)),"",INDEX('Compliance Database'!$L$2:$L$1960,MATCH(26,'Transfer Engine'!$C$2:$C$1960,0)))</f>
        <v/>
      </c>
      <c r="M35" s="9">
        <f>IF(ISNA(MATCH(26,'Transfer Engine'!$C$2:$C$1960,0)),"",INDEX('Compliance Database'!$M$2:$M$1960,MATCH(26,'Transfer Engine'!$C$2:$C$1960,0)))</f>
        <v/>
      </c>
      <c r="N35" s="9">
        <f>IF(ISNA(MATCH(26,'Transfer Engine'!$C$2:$C$1960,0)),"",INDEX('Compliance Database'!$N$2:$N$1960,MATCH(26,'Transfer Engine'!$C$2:$C$1960,0)))</f>
        <v/>
      </c>
      <c r="O35" s="9">
        <f>IF(ISNA(MATCH(26,'Transfer Engine'!$C$2:$C$1960,0)),"",INDEX('Compliance Database'!$O$2:$O$1960,MATCH(26,'Transfer Engine'!$C$2:$C$1960,0)))</f>
        <v/>
      </c>
      <c r="P35" s="8">
        <f>IF(ISNA(MATCH(26,'Transfer Engine'!$C$2:$C$1960,0)),"",HYPERLINK("#Acts!A"&amp;INDEX('Compliance Database'!$P$2:$P$1960,MATCH(26,'Transfer Engine'!$C$2:$C$1960,0)),"Go to Act"))</f>
        <v/>
      </c>
    </row>
    <row r="36" ht="158" customHeight="1">
      <c r="A36" s="8">
        <f>IF(ISNA(MATCH(27,'Transfer Engine'!$C$2:$C$1960,0)),"",INDEX('Compliance Database'!$A$2:$A$1960,MATCH(27,'Transfer Engine'!$C$2:$C$1960,0)))</f>
        <v/>
      </c>
      <c r="B36" s="8">
        <f>IF(ISNA(MATCH(27,'Transfer Engine'!$C$2:$C$1960,0)),"",INDEX('Compliance Database'!$B$2:$B$1960,MATCH(27,'Transfer Engine'!$C$2:$C$1960,0)))</f>
        <v/>
      </c>
      <c r="C36" s="8">
        <f>IF(ISNA(MATCH(27,'Transfer Engine'!$C$2:$C$1960,0)),"",INDEX('Compliance Database'!$C$2:$C$1960,MATCH(27,'Transfer Engine'!$C$2:$C$1960,0)))</f>
        <v/>
      </c>
      <c r="D36" s="9">
        <f>IF(ISNA(MATCH(27,'Transfer Engine'!$C$2:$C$1960,0)),"",INDEX('Compliance Database'!$D$2:$D$1960,MATCH(27,'Transfer Engine'!$C$2:$C$1960,0)))</f>
        <v/>
      </c>
      <c r="E36" s="8">
        <f>IF(ISNA(MATCH(27,'Transfer Engine'!$C$2:$C$1960,0)),"",INDEX('Compliance Database'!$E$2:$E$1960,MATCH(27,'Transfer Engine'!$C$2:$C$1960,0)))</f>
        <v/>
      </c>
      <c r="F36" s="8">
        <f>IF(ISNA(MATCH(27,'Transfer Engine'!$C$2:$C$1960,0)),"",INDEX('Compliance Database'!$F$2:$F$1960,MATCH(27,'Transfer Engine'!$C$2:$C$1960,0)))</f>
        <v/>
      </c>
      <c r="G36" s="8">
        <f>IF(ISNA(MATCH(27,'Transfer Engine'!$C$2:$C$1960,0)),"",INDEX('Compliance Database'!$G$2:$G$1960,MATCH(27,'Transfer Engine'!$C$2:$C$1960,0)))</f>
        <v/>
      </c>
      <c r="H36" s="9">
        <f>IF(ISNA(MATCH(27,'Transfer Engine'!$C$2:$C$1960,0)),"",INDEX('Compliance Database'!$H$2:$H$1960,MATCH(27,'Transfer Engine'!$C$2:$C$1960,0)))</f>
        <v/>
      </c>
      <c r="I36" s="9">
        <f>IF(ISNA(MATCH(27,'Transfer Engine'!$C$2:$C$1960,0)),"",INDEX('Compliance Database'!$I$2:$I$1960,MATCH(27,'Transfer Engine'!$C$2:$C$1960,0)))</f>
        <v/>
      </c>
      <c r="J36" s="8">
        <f>IF(ISNA(MATCH(27,'Transfer Engine'!$C$2:$C$1960,0)),"",INDEX('Compliance Database'!$J$2:$J$1960,MATCH(27,'Transfer Engine'!$C$2:$C$1960,0)))</f>
        <v/>
      </c>
      <c r="K36" s="9">
        <f>IF(ISNA(MATCH(27,'Transfer Engine'!$C$2:$C$1960,0)),"",INDEX('Compliance Database'!$K$2:$K$1960,MATCH(27,'Transfer Engine'!$C$2:$C$1960,0)))</f>
        <v/>
      </c>
      <c r="L36" s="9">
        <f>IF(ISNA(MATCH(27,'Transfer Engine'!$C$2:$C$1960,0)),"",INDEX('Compliance Database'!$L$2:$L$1960,MATCH(27,'Transfer Engine'!$C$2:$C$1960,0)))</f>
        <v/>
      </c>
      <c r="M36" s="9">
        <f>IF(ISNA(MATCH(27,'Transfer Engine'!$C$2:$C$1960,0)),"",INDEX('Compliance Database'!$M$2:$M$1960,MATCH(27,'Transfer Engine'!$C$2:$C$1960,0)))</f>
        <v/>
      </c>
      <c r="N36" s="9">
        <f>IF(ISNA(MATCH(27,'Transfer Engine'!$C$2:$C$1960,0)),"",INDEX('Compliance Database'!$N$2:$N$1960,MATCH(27,'Transfer Engine'!$C$2:$C$1960,0)))</f>
        <v/>
      </c>
      <c r="O36" s="9">
        <f>IF(ISNA(MATCH(27,'Transfer Engine'!$C$2:$C$1960,0)),"",INDEX('Compliance Database'!$O$2:$O$1960,MATCH(27,'Transfer Engine'!$C$2:$C$1960,0)))</f>
        <v/>
      </c>
      <c r="P36" s="8">
        <f>IF(ISNA(MATCH(27,'Transfer Engine'!$C$2:$C$1960,0)),"",HYPERLINK("#Acts!A"&amp;INDEX('Compliance Database'!$P$2:$P$1960,MATCH(27,'Transfer Engine'!$C$2:$C$1960,0)),"Go to Act"))</f>
        <v/>
      </c>
    </row>
    <row r="37" ht="158" customHeight="1">
      <c r="A37" s="8">
        <f>IF(ISNA(MATCH(28,'Transfer Engine'!$C$2:$C$1960,0)),"",INDEX('Compliance Database'!$A$2:$A$1960,MATCH(28,'Transfer Engine'!$C$2:$C$1960,0)))</f>
        <v/>
      </c>
      <c r="B37" s="8">
        <f>IF(ISNA(MATCH(28,'Transfer Engine'!$C$2:$C$1960,0)),"",INDEX('Compliance Database'!$B$2:$B$1960,MATCH(28,'Transfer Engine'!$C$2:$C$1960,0)))</f>
        <v/>
      </c>
      <c r="C37" s="8">
        <f>IF(ISNA(MATCH(28,'Transfer Engine'!$C$2:$C$1960,0)),"",INDEX('Compliance Database'!$C$2:$C$1960,MATCH(28,'Transfer Engine'!$C$2:$C$1960,0)))</f>
        <v/>
      </c>
      <c r="D37" s="9">
        <f>IF(ISNA(MATCH(28,'Transfer Engine'!$C$2:$C$1960,0)),"",INDEX('Compliance Database'!$D$2:$D$1960,MATCH(28,'Transfer Engine'!$C$2:$C$1960,0)))</f>
        <v/>
      </c>
      <c r="E37" s="8">
        <f>IF(ISNA(MATCH(28,'Transfer Engine'!$C$2:$C$1960,0)),"",INDEX('Compliance Database'!$E$2:$E$1960,MATCH(28,'Transfer Engine'!$C$2:$C$1960,0)))</f>
        <v/>
      </c>
      <c r="F37" s="8">
        <f>IF(ISNA(MATCH(28,'Transfer Engine'!$C$2:$C$1960,0)),"",INDEX('Compliance Database'!$F$2:$F$1960,MATCH(28,'Transfer Engine'!$C$2:$C$1960,0)))</f>
        <v/>
      </c>
      <c r="G37" s="8">
        <f>IF(ISNA(MATCH(28,'Transfer Engine'!$C$2:$C$1960,0)),"",INDEX('Compliance Database'!$G$2:$G$1960,MATCH(28,'Transfer Engine'!$C$2:$C$1960,0)))</f>
        <v/>
      </c>
      <c r="H37" s="9">
        <f>IF(ISNA(MATCH(28,'Transfer Engine'!$C$2:$C$1960,0)),"",INDEX('Compliance Database'!$H$2:$H$1960,MATCH(28,'Transfer Engine'!$C$2:$C$1960,0)))</f>
        <v/>
      </c>
      <c r="I37" s="9">
        <f>IF(ISNA(MATCH(28,'Transfer Engine'!$C$2:$C$1960,0)),"",INDEX('Compliance Database'!$I$2:$I$1960,MATCH(28,'Transfer Engine'!$C$2:$C$1960,0)))</f>
        <v/>
      </c>
      <c r="J37" s="8">
        <f>IF(ISNA(MATCH(28,'Transfer Engine'!$C$2:$C$1960,0)),"",INDEX('Compliance Database'!$J$2:$J$1960,MATCH(28,'Transfer Engine'!$C$2:$C$1960,0)))</f>
        <v/>
      </c>
      <c r="K37" s="9">
        <f>IF(ISNA(MATCH(28,'Transfer Engine'!$C$2:$C$1960,0)),"",INDEX('Compliance Database'!$K$2:$K$1960,MATCH(28,'Transfer Engine'!$C$2:$C$1960,0)))</f>
        <v/>
      </c>
      <c r="L37" s="9">
        <f>IF(ISNA(MATCH(28,'Transfer Engine'!$C$2:$C$1960,0)),"",INDEX('Compliance Database'!$L$2:$L$1960,MATCH(28,'Transfer Engine'!$C$2:$C$1960,0)))</f>
        <v/>
      </c>
      <c r="M37" s="9">
        <f>IF(ISNA(MATCH(28,'Transfer Engine'!$C$2:$C$1960,0)),"",INDEX('Compliance Database'!$M$2:$M$1960,MATCH(28,'Transfer Engine'!$C$2:$C$1960,0)))</f>
        <v/>
      </c>
      <c r="N37" s="9">
        <f>IF(ISNA(MATCH(28,'Transfer Engine'!$C$2:$C$1960,0)),"",INDEX('Compliance Database'!$N$2:$N$1960,MATCH(28,'Transfer Engine'!$C$2:$C$1960,0)))</f>
        <v/>
      </c>
      <c r="O37" s="9">
        <f>IF(ISNA(MATCH(28,'Transfer Engine'!$C$2:$C$1960,0)),"",INDEX('Compliance Database'!$O$2:$O$1960,MATCH(28,'Transfer Engine'!$C$2:$C$1960,0)))</f>
        <v/>
      </c>
      <c r="P37" s="8">
        <f>IF(ISNA(MATCH(28,'Transfer Engine'!$C$2:$C$1960,0)),"",HYPERLINK("#Acts!A"&amp;INDEX('Compliance Database'!$P$2:$P$1960,MATCH(28,'Transfer Engine'!$C$2:$C$1960,0)),"Go to Act"))</f>
        <v/>
      </c>
    </row>
    <row r="38" ht="158" customHeight="1">
      <c r="A38" s="8">
        <f>IF(ISNA(MATCH(29,'Transfer Engine'!$C$2:$C$1960,0)),"",INDEX('Compliance Database'!$A$2:$A$1960,MATCH(29,'Transfer Engine'!$C$2:$C$1960,0)))</f>
        <v/>
      </c>
      <c r="B38" s="8">
        <f>IF(ISNA(MATCH(29,'Transfer Engine'!$C$2:$C$1960,0)),"",INDEX('Compliance Database'!$B$2:$B$1960,MATCH(29,'Transfer Engine'!$C$2:$C$1960,0)))</f>
        <v/>
      </c>
      <c r="C38" s="8">
        <f>IF(ISNA(MATCH(29,'Transfer Engine'!$C$2:$C$1960,0)),"",INDEX('Compliance Database'!$C$2:$C$1960,MATCH(29,'Transfer Engine'!$C$2:$C$1960,0)))</f>
        <v/>
      </c>
      <c r="D38" s="9">
        <f>IF(ISNA(MATCH(29,'Transfer Engine'!$C$2:$C$1960,0)),"",INDEX('Compliance Database'!$D$2:$D$1960,MATCH(29,'Transfer Engine'!$C$2:$C$1960,0)))</f>
        <v/>
      </c>
      <c r="E38" s="8">
        <f>IF(ISNA(MATCH(29,'Transfer Engine'!$C$2:$C$1960,0)),"",INDEX('Compliance Database'!$E$2:$E$1960,MATCH(29,'Transfer Engine'!$C$2:$C$1960,0)))</f>
        <v/>
      </c>
      <c r="F38" s="8">
        <f>IF(ISNA(MATCH(29,'Transfer Engine'!$C$2:$C$1960,0)),"",INDEX('Compliance Database'!$F$2:$F$1960,MATCH(29,'Transfer Engine'!$C$2:$C$1960,0)))</f>
        <v/>
      </c>
      <c r="G38" s="8">
        <f>IF(ISNA(MATCH(29,'Transfer Engine'!$C$2:$C$1960,0)),"",INDEX('Compliance Database'!$G$2:$G$1960,MATCH(29,'Transfer Engine'!$C$2:$C$1960,0)))</f>
        <v/>
      </c>
      <c r="H38" s="9">
        <f>IF(ISNA(MATCH(29,'Transfer Engine'!$C$2:$C$1960,0)),"",INDEX('Compliance Database'!$H$2:$H$1960,MATCH(29,'Transfer Engine'!$C$2:$C$1960,0)))</f>
        <v/>
      </c>
      <c r="I38" s="9">
        <f>IF(ISNA(MATCH(29,'Transfer Engine'!$C$2:$C$1960,0)),"",INDEX('Compliance Database'!$I$2:$I$1960,MATCH(29,'Transfer Engine'!$C$2:$C$1960,0)))</f>
        <v/>
      </c>
      <c r="J38" s="8">
        <f>IF(ISNA(MATCH(29,'Transfer Engine'!$C$2:$C$1960,0)),"",INDEX('Compliance Database'!$J$2:$J$1960,MATCH(29,'Transfer Engine'!$C$2:$C$1960,0)))</f>
        <v/>
      </c>
      <c r="K38" s="9">
        <f>IF(ISNA(MATCH(29,'Transfer Engine'!$C$2:$C$1960,0)),"",INDEX('Compliance Database'!$K$2:$K$1960,MATCH(29,'Transfer Engine'!$C$2:$C$1960,0)))</f>
        <v/>
      </c>
      <c r="L38" s="9">
        <f>IF(ISNA(MATCH(29,'Transfer Engine'!$C$2:$C$1960,0)),"",INDEX('Compliance Database'!$L$2:$L$1960,MATCH(29,'Transfer Engine'!$C$2:$C$1960,0)))</f>
        <v/>
      </c>
      <c r="M38" s="9">
        <f>IF(ISNA(MATCH(29,'Transfer Engine'!$C$2:$C$1960,0)),"",INDEX('Compliance Database'!$M$2:$M$1960,MATCH(29,'Transfer Engine'!$C$2:$C$1960,0)))</f>
        <v/>
      </c>
      <c r="N38" s="9">
        <f>IF(ISNA(MATCH(29,'Transfer Engine'!$C$2:$C$1960,0)),"",INDEX('Compliance Database'!$N$2:$N$1960,MATCH(29,'Transfer Engine'!$C$2:$C$1960,0)))</f>
        <v/>
      </c>
      <c r="O38" s="9">
        <f>IF(ISNA(MATCH(29,'Transfer Engine'!$C$2:$C$1960,0)),"",INDEX('Compliance Database'!$O$2:$O$1960,MATCH(29,'Transfer Engine'!$C$2:$C$1960,0)))</f>
        <v/>
      </c>
      <c r="P38" s="8">
        <f>IF(ISNA(MATCH(29,'Transfer Engine'!$C$2:$C$1960,0)),"",HYPERLINK("#Acts!A"&amp;INDEX('Compliance Database'!$P$2:$P$1960,MATCH(29,'Transfer Engine'!$C$2:$C$1960,0)),"Go to Act"))</f>
        <v/>
      </c>
    </row>
    <row r="39" ht="158" customHeight="1">
      <c r="A39" s="8">
        <f>IF(ISNA(MATCH(30,'Transfer Engine'!$C$2:$C$1960,0)),"",INDEX('Compliance Database'!$A$2:$A$1960,MATCH(30,'Transfer Engine'!$C$2:$C$1960,0)))</f>
        <v/>
      </c>
      <c r="B39" s="8">
        <f>IF(ISNA(MATCH(30,'Transfer Engine'!$C$2:$C$1960,0)),"",INDEX('Compliance Database'!$B$2:$B$1960,MATCH(30,'Transfer Engine'!$C$2:$C$1960,0)))</f>
        <v/>
      </c>
      <c r="C39" s="8">
        <f>IF(ISNA(MATCH(30,'Transfer Engine'!$C$2:$C$1960,0)),"",INDEX('Compliance Database'!$C$2:$C$1960,MATCH(30,'Transfer Engine'!$C$2:$C$1960,0)))</f>
        <v/>
      </c>
      <c r="D39" s="9">
        <f>IF(ISNA(MATCH(30,'Transfer Engine'!$C$2:$C$1960,0)),"",INDEX('Compliance Database'!$D$2:$D$1960,MATCH(30,'Transfer Engine'!$C$2:$C$1960,0)))</f>
        <v/>
      </c>
      <c r="E39" s="8">
        <f>IF(ISNA(MATCH(30,'Transfer Engine'!$C$2:$C$1960,0)),"",INDEX('Compliance Database'!$E$2:$E$1960,MATCH(30,'Transfer Engine'!$C$2:$C$1960,0)))</f>
        <v/>
      </c>
      <c r="F39" s="8">
        <f>IF(ISNA(MATCH(30,'Transfer Engine'!$C$2:$C$1960,0)),"",INDEX('Compliance Database'!$F$2:$F$1960,MATCH(30,'Transfer Engine'!$C$2:$C$1960,0)))</f>
        <v/>
      </c>
      <c r="G39" s="8">
        <f>IF(ISNA(MATCH(30,'Transfer Engine'!$C$2:$C$1960,0)),"",INDEX('Compliance Database'!$G$2:$G$1960,MATCH(30,'Transfer Engine'!$C$2:$C$1960,0)))</f>
        <v/>
      </c>
      <c r="H39" s="9">
        <f>IF(ISNA(MATCH(30,'Transfer Engine'!$C$2:$C$1960,0)),"",INDEX('Compliance Database'!$H$2:$H$1960,MATCH(30,'Transfer Engine'!$C$2:$C$1960,0)))</f>
        <v/>
      </c>
      <c r="I39" s="9">
        <f>IF(ISNA(MATCH(30,'Transfer Engine'!$C$2:$C$1960,0)),"",INDEX('Compliance Database'!$I$2:$I$1960,MATCH(30,'Transfer Engine'!$C$2:$C$1960,0)))</f>
        <v/>
      </c>
      <c r="J39" s="8">
        <f>IF(ISNA(MATCH(30,'Transfer Engine'!$C$2:$C$1960,0)),"",INDEX('Compliance Database'!$J$2:$J$1960,MATCH(30,'Transfer Engine'!$C$2:$C$1960,0)))</f>
        <v/>
      </c>
      <c r="K39" s="9">
        <f>IF(ISNA(MATCH(30,'Transfer Engine'!$C$2:$C$1960,0)),"",INDEX('Compliance Database'!$K$2:$K$1960,MATCH(30,'Transfer Engine'!$C$2:$C$1960,0)))</f>
        <v/>
      </c>
      <c r="L39" s="9">
        <f>IF(ISNA(MATCH(30,'Transfer Engine'!$C$2:$C$1960,0)),"",INDEX('Compliance Database'!$L$2:$L$1960,MATCH(30,'Transfer Engine'!$C$2:$C$1960,0)))</f>
        <v/>
      </c>
      <c r="M39" s="9">
        <f>IF(ISNA(MATCH(30,'Transfer Engine'!$C$2:$C$1960,0)),"",INDEX('Compliance Database'!$M$2:$M$1960,MATCH(30,'Transfer Engine'!$C$2:$C$1960,0)))</f>
        <v/>
      </c>
      <c r="N39" s="9">
        <f>IF(ISNA(MATCH(30,'Transfer Engine'!$C$2:$C$1960,0)),"",INDEX('Compliance Database'!$N$2:$N$1960,MATCH(30,'Transfer Engine'!$C$2:$C$1960,0)))</f>
        <v/>
      </c>
      <c r="O39" s="9">
        <f>IF(ISNA(MATCH(30,'Transfer Engine'!$C$2:$C$1960,0)),"",INDEX('Compliance Database'!$O$2:$O$1960,MATCH(30,'Transfer Engine'!$C$2:$C$1960,0)))</f>
        <v/>
      </c>
      <c r="P39" s="8">
        <f>IF(ISNA(MATCH(30,'Transfer Engine'!$C$2:$C$1960,0)),"",HYPERLINK("#Acts!A"&amp;INDEX('Compliance Database'!$P$2:$P$1960,MATCH(30,'Transfer Engine'!$C$2:$C$1960,0)),"Go to Act"))</f>
        <v/>
      </c>
    </row>
    <row r="40" ht="158" customHeight="1">
      <c r="A40" s="8">
        <f>IF(ISNA(MATCH(31,'Transfer Engine'!$C$2:$C$1960,0)),"",INDEX('Compliance Database'!$A$2:$A$1960,MATCH(31,'Transfer Engine'!$C$2:$C$1960,0)))</f>
        <v/>
      </c>
      <c r="B40" s="8">
        <f>IF(ISNA(MATCH(31,'Transfer Engine'!$C$2:$C$1960,0)),"",INDEX('Compliance Database'!$B$2:$B$1960,MATCH(31,'Transfer Engine'!$C$2:$C$1960,0)))</f>
        <v/>
      </c>
      <c r="C40" s="8">
        <f>IF(ISNA(MATCH(31,'Transfer Engine'!$C$2:$C$1960,0)),"",INDEX('Compliance Database'!$C$2:$C$1960,MATCH(31,'Transfer Engine'!$C$2:$C$1960,0)))</f>
        <v/>
      </c>
      <c r="D40" s="9">
        <f>IF(ISNA(MATCH(31,'Transfer Engine'!$C$2:$C$1960,0)),"",INDEX('Compliance Database'!$D$2:$D$1960,MATCH(31,'Transfer Engine'!$C$2:$C$1960,0)))</f>
        <v/>
      </c>
      <c r="E40" s="8">
        <f>IF(ISNA(MATCH(31,'Transfer Engine'!$C$2:$C$1960,0)),"",INDEX('Compliance Database'!$E$2:$E$1960,MATCH(31,'Transfer Engine'!$C$2:$C$1960,0)))</f>
        <v/>
      </c>
      <c r="F40" s="8">
        <f>IF(ISNA(MATCH(31,'Transfer Engine'!$C$2:$C$1960,0)),"",INDEX('Compliance Database'!$F$2:$F$1960,MATCH(31,'Transfer Engine'!$C$2:$C$1960,0)))</f>
        <v/>
      </c>
      <c r="G40" s="8">
        <f>IF(ISNA(MATCH(31,'Transfer Engine'!$C$2:$C$1960,0)),"",INDEX('Compliance Database'!$G$2:$G$1960,MATCH(31,'Transfer Engine'!$C$2:$C$1960,0)))</f>
        <v/>
      </c>
      <c r="H40" s="9">
        <f>IF(ISNA(MATCH(31,'Transfer Engine'!$C$2:$C$1960,0)),"",INDEX('Compliance Database'!$H$2:$H$1960,MATCH(31,'Transfer Engine'!$C$2:$C$1960,0)))</f>
        <v/>
      </c>
      <c r="I40" s="9">
        <f>IF(ISNA(MATCH(31,'Transfer Engine'!$C$2:$C$1960,0)),"",INDEX('Compliance Database'!$I$2:$I$1960,MATCH(31,'Transfer Engine'!$C$2:$C$1960,0)))</f>
        <v/>
      </c>
      <c r="J40" s="8">
        <f>IF(ISNA(MATCH(31,'Transfer Engine'!$C$2:$C$1960,0)),"",INDEX('Compliance Database'!$J$2:$J$1960,MATCH(31,'Transfer Engine'!$C$2:$C$1960,0)))</f>
        <v/>
      </c>
      <c r="K40" s="9">
        <f>IF(ISNA(MATCH(31,'Transfer Engine'!$C$2:$C$1960,0)),"",INDEX('Compliance Database'!$K$2:$K$1960,MATCH(31,'Transfer Engine'!$C$2:$C$1960,0)))</f>
        <v/>
      </c>
      <c r="L40" s="9">
        <f>IF(ISNA(MATCH(31,'Transfer Engine'!$C$2:$C$1960,0)),"",INDEX('Compliance Database'!$L$2:$L$1960,MATCH(31,'Transfer Engine'!$C$2:$C$1960,0)))</f>
        <v/>
      </c>
      <c r="M40" s="9">
        <f>IF(ISNA(MATCH(31,'Transfer Engine'!$C$2:$C$1960,0)),"",INDEX('Compliance Database'!$M$2:$M$1960,MATCH(31,'Transfer Engine'!$C$2:$C$1960,0)))</f>
        <v/>
      </c>
      <c r="N40" s="9">
        <f>IF(ISNA(MATCH(31,'Transfer Engine'!$C$2:$C$1960,0)),"",INDEX('Compliance Database'!$N$2:$N$1960,MATCH(31,'Transfer Engine'!$C$2:$C$1960,0)))</f>
        <v/>
      </c>
      <c r="O40" s="9">
        <f>IF(ISNA(MATCH(31,'Transfer Engine'!$C$2:$C$1960,0)),"",INDEX('Compliance Database'!$O$2:$O$1960,MATCH(31,'Transfer Engine'!$C$2:$C$1960,0)))</f>
        <v/>
      </c>
      <c r="P40" s="8">
        <f>IF(ISNA(MATCH(31,'Transfer Engine'!$C$2:$C$1960,0)),"",HYPERLINK("#Acts!A"&amp;INDEX('Compliance Database'!$P$2:$P$1960,MATCH(31,'Transfer Engine'!$C$2:$C$1960,0)),"Go to Act"))</f>
        <v/>
      </c>
    </row>
    <row r="41" ht="158" customHeight="1">
      <c r="A41" s="8">
        <f>IF(ISNA(MATCH(32,'Transfer Engine'!$C$2:$C$1960,0)),"",INDEX('Compliance Database'!$A$2:$A$1960,MATCH(32,'Transfer Engine'!$C$2:$C$1960,0)))</f>
        <v/>
      </c>
      <c r="B41" s="8">
        <f>IF(ISNA(MATCH(32,'Transfer Engine'!$C$2:$C$1960,0)),"",INDEX('Compliance Database'!$B$2:$B$1960,MATCH(32,'Transfer Engine'!$C$2:$C$1960,0)))</f>
        <v/>
      </c>
      <c r="C41" s="8">
        <f>IF(ISNA(MATCH(32,'Transfer Engine'!$C$2:$C$1960,0)),"",INDEX('Compliance Database'!$C$2:$C$1960,MATCH(32,'Transfer Engine'!$C$2:$C$1960,0)))</f>
        <v/>
      </c>
      <c r="D41" s="9">
        <f>IF(ISNA(MATCH(32,'Transfer Engine'!$C$2:$C$1960,0)),"",INDEX('Compliance Database'!$D$2:$D$1960,MATCH(32,'Transfer Engine'!$C$2:$C$1960,0)))</f>
        <v/>
      </c>
      <c r="E41" s="8">
        <f>IF(ISNA(MATCH(32,'Transfer Engine'!$C$2:$C$1960,0)),"",INDEX('Compliance Database'!$E$2:$E$1960,MATCH(32,'Transfer Engine'!$C$2:$C$1960,0)))</f>
        <v/>
      </c>
      <c r="F41" s="8">
        <f>IF(ISNA(MATCH(32,'Transfer Engine'!$C$2:$C$1960,0)),"",INDEX('Compliance Database'!$F$2:$F$1960,MATCH(32,'Transfer Engine'!$C$2:$C$1960,0)))</f>
        <v/>
      </c>
      <c r="G41" s="8">
        <f>IF(ISNA(MATCH(32,'Transfer Engine'!$C$2:$C$1960,0)),"",INDEX('Compliance Database'!$G$2:$G$1960,MATCH(32,'Transfer Engine'!$C$2:$C$1960,0)))</f>
        <v/>
      </c>
      <c r="H41" s="9">
        <f>IF(ISNA(MATCH(32,'Transfer Engine'!$C$2:$C$1960,0)),"",INDEX('Compliance Database'!$H$2:$H$1960,MATCH(32,'Transfer Engine'!$C$2:$C$1960,0)))</f>
        <v/>
      </c>
      <c r="I41" s="9">
        <f>IF(ISNA(MATCH(32,'Transfer Engine'!$C$2:$C$1960,0)),"",INDEX('Compliance Database'!$I$2:$I$1960,MATCH(32,'Transfer Engine'!$C$2:$C$1960,0)))</f>
        <v/>
      </c>
      <c r="J41" s="8">
        <f>IF(ISNA(MATCH(32,'Transfer Engine'!$C$2:$C$1960,0)),"",INDEX('Compliance Database'!$J$2:$J$1960,MATCH(32,'Transfer Engine'!$C$2:$C$1960,0)))</f>
        <v/>
      </c>
      <c r="K41" s="9">
        <f>IF(ISNA(MATCH(32,'Transfer Engine'!$C$2:$C$1960,0)),"",INDEX('Compliance Database'!$K$2:$K$1960,MATCH(32,'Transfer Engine'!$C$2:$C$1960,0)))</f>
        <v/>
      </c>
      <c r="L41" s="9">
        <f>IF(ISNA(MATCH(32,'Transfer Engine'!$C$2:$C$1960,0)),"",INDEX('Compliance Database'!$L$2:$L$1960,MATCH(32,'Transfer Engine'!$C$2:$C$1960,0)))</f>
        <v/>
      </c>
      <c r="M41" s="9">
        <f>IF(ISNA(MATCH(32,'Transfer Engine'!$C$2:$C$1960,0)),"",INDEX('Compliance Database'!$M$2:$M$1960,MATCH(32,'Transfer Engine'!$C$2:$C$1960,0)))</f>
        <v/>
      </c>
      <c r="N41" s="9">
        <f>IF(ISNA(MATCH(32,'Transfer Engine'!$C$2:$C$1960,0)),"",INDEX('Compliance Database'!$N$2:$N$1960,MATCH(32,'Transfer Engine'!$C$2:$C$1960,0)))</f>
        <v/>
      </c>
      <c r="O41" s="9">
        <f>IF(ISNA(MATCH(32,'Transfer Engine'!$C$2:$C$1960,0)),"",INDEX('Compliance Database'!$O$2:$O$1960,MATCH(32,'Transfer Engine'!$C$2:$C$1960,0)))</f>
        <v/>
      </c>
      <c r="P41" s="8">
        <f>IF(ISNA(MATCH(32,'Transfer Engine'!$C$2:$C$1960,0)),"",HYPERLINK("#Acts!A"&amp;INDEX('Compliance Database'!$P$2:$P$1960,MATCH(32,'Transfer Engine'!$C$2:$C$1960,0)),"Go to Act"))</f>
        <v/>
      </c>
    </row>
    <row r="42" ht="158" customHeight="1">
      <c r="A42" s="8">
        <f>IF(ISNA(MATCH(33,'Transfer Engine'!$C$2:$C$1960,0)),"",INDEX('Compliance Database'!$A$2:$A$1960,MATCH(33,'Transfer Engine'!$C$2:$C$1960,0)))</f>
        <v/>
      </c>
      <c r="B42" s="8">
        <f>IF(ISNA(MATCH(33,'Transfer Engine'!$C$2:$C$1960,0)),"",INDEX('Compliance Database'!$B$2:$B$1960,MATCH(33,'Transfer Engine'!$C$2:$C$1960,0)))</f>
        <v/>
      </c>
      <c r="C42" s="8">
        <f>IF(ISNA(MATCH(33,'Transfer Engine'!$C$2:$C$1960,0)),"",INDEX('Compliance Database'!$C$2:$C$1960,MATCH(33,'Transfer Engine'!$C$2:$C$1960,0)))</f>
        <v/>
      </c>
      <c r="D42" s="9">
        <f>IF(ISNA(MATCH(33,'Transfer Engine'!$C$2:$C$1960,0)),"",INDEX('Compliance Database'!$D$2:$D$1960,MATCH(33,'Transfer Engine'!$C$2:$C$1960,0)))</f>
        <v/>
      </c>
      <c r="E42" s="8">
        <f>IF(ISNA(MATCH(33,'Transfer Engine'!$C$2:$C$1960,0)),"",INDEX('Compliance Database'!$E$2:$E$1960,MATCH(33,'Transfer Engine'!$C$2:$C$1960,0)))</f>
        <v/>
      </c>
      <c r="F42" s="8">
        <f>IF(ISNA(MATCH(33,'Transfer Engine'!$C$2:$C$1960,0)),"",INDEX('Compliance Database'!$F$2:$F$1960,MATCH(33,'Transfer Engine'!$C$2:$C$1960,0)))</f>
        <v/>
      </c>
      <c r="G42" s="8">
        <f>IF(ISNA(MATCH(33,'Transfer Engine'!$C$2:$C$1960,0)),"",INDEX('Compliance Database'!$G$2:$G$1960,MATCH(33,'Transfer Engine'!$C$2:$C$1960,0)))</f>
        <v/>
      </c>
      <c r="H42" s="9">
        <f>IF(ISNA(MATCH(33,'Transfer Engine'!$C$2:$C$1960,0)),"",INDEX('Compliance Database'!$H$2:$H$1960,MATCH(33,'Transfer Engine'!$C$2:$C$1960,0)))</f>
        <v/>
      </c>
      <c r="I42" s="9">
        <f>IF(ISNA(MATCH(33,'Transfer Engine'!$C$2:$C$1960,0)),"",INDEX('Compliance Database'!$I$2:$I$1960,MATCH(33,'Transfer Engine'!$C$2:$C$1960,0)))</f>
        <v/>
      </c>
      <c r="J42" s="8">
        <f>IF(ISNA(MATCH(33,'Transfer Engine'!$C$2:$C$1960,0)),"",INDEX('Compliance Database'!$J$2:$J$1960,MATCH(33,'Transfer Engine'!$C$2:$C$1960,0)))</f>
        <v/>
      </c>
      <c r="K42" s="9">
        <f>IF(ISNA(MATCH(33,'Transfer Engine'!$C$2:$C$1960,0)),"",INDEX('Compliance Database'!$K$2:$K$1960,MATCH(33,'Transfer Engine'!$C$2:$C$1960,0)))</f>
        <v/>
      </c>
      <c r="L42" s="9">
        <f>IF(ISNA(MATCH(33,'Transfer Engine'!$C$2:$C$1960,0)),"",INDEX('Compliance Database'!$L$2:$L$1960,MATCH(33,'Transfer Engine'!$C$2:$C$1960,0)))</f>
        <v/>
      </c>
      <c r="M42" s="9">
        <f>IF(ISNA(MATCH(33,'Transfer Engine'!$C$2:$C$1960,0)),"",INDEX('Compliance Database'!$M$2:$M$1960,MATCH(33,'Transfer Engine'!$C$2:$C$1960,0)))</f>
        <v/>
      </c>
      <c r="N42" s="9">
        <f>IF(ISNA(MATCH(33,'Transfer Engine'!$C$2:$C$1960,0)),"",INDEX('Compliance Database'!$N$2:$N$1960,MATCH(33,'Transfer Engine'!$C$2:$C$1960,0)))</f>
        <v/>
      </c>
      <c r="O42" s="9">
        <f>IF(ISNA(MATCH(33,'Transfer Engine'!$C$2:$C$1960,0)),"",INDEX('Compliance Database'!$O$2:$O$1960,MATCH(33,'Transfer Engine'!$C$2:$C$1960,0)))</f>
        <v/>
      </c>
      <c r="P42" s="8">
        <f>IF(ISNA(MATCH(33,'Transfer Engine'!$C$2:$C$1960,0)),"",HYPERLINK("#Acts!A"&amp;INDEX('Compliance Database'!$P$2:$P$1960,MATCH(33,'Transfer Engine'!$C$2:$C$1960,0)),"Go to Act"))</f>
        <v/>
      </c>
    </row>
    <row r="43" ht="158" customHeight="1">
      <c r="A43" s="8">
        <f>IF(ISNA(MATCH(34,'Transfer Engine'!$C$2:$C$1960,0)),"",INDEX('Compliance Database'!$A$2:$A$1960,MATCH(34,'Transfer Engine'!$C$2:$C$1960,0)))</f>
        <v/>
      </c>
      <c r="B43" s="8">
        <f>IF(ISNA(MATCH(34,'Transfer Engine'!$C$2:$C$1960,0)),"",INDEX('Compliance Database'!$B$2:$B$1960,MATCH(34,'Transfer Engine'!$C$2:$C$1960,0)))</f>
        <v/>
      </c>
      <c r="C43" s="8">
        <f>IF(ISNA(MATCH(34,'Transfer Engine'!$C$2:$C$1960,0)),"",INDEX('Compliance Database'!$C$2:$C$1960,MATCH(34,'Transfer Engine'!$C$2:$C$1960,0)))</f>
        <v/>
      </c>
      <c r="D43" s="9">
        <f>IF(ISNA(MATCH(34,'Transfer Engine'!$C$2:$C$1960,0)),"",INDEX('Compliance Database'!$D$2:$D$1960,MATCH(34,'Transfer Engine'!$C$2:$C$1960,0)))</f>
        <v/>
      </c>
      <c r="E43" s="8">
        <f>IF(ISNA(MATCH(34,'Transfer Engine'!$C$2:$C$1960,0)),"",INDEX('Compliance Database'!$E$2:$E$1960,MATCH(34,'Transfer Engine'!$C$2:$C$1960,0)))</f>
        <v/>
      </c>
      <c r="F43" s="8">
        <f>IF(ISNA(MATCH(34,'Transfer Engine'!$C$2:$C$1960,0)),"",INDEX('Compliance Database'!$F$2:$F$1960,MATCH(34,'Transfer Engine'!$C$2:$C$1960,0)))</f>
        <v/>
      </c>
      <c r="G43" s="8">
        <f>IF(ISNA(MATCH(34,'Transfer Engine'!$C$2:$C$1960,0)),"",INDEX('Compliance Database'!$G$2:$G$1960,MATCH(34,'Transfer Engine'!$C$2:$C$1960,0)))</f>
        <v/>
      </c>
      <c r="H43" s="9">
        <f>IF(ISNA(MATCH(34,'Transfer Engine'!$C$2:$C$1960,0)),"",INDEX('Compliance Database'!$H$2:$H$1960,MATCH(34,'Transfer Engine'!$C$2:$C$1960,0)))</f>
        <v/>
      </c>
      <c r="I43" s="9">
        <f>IF(ISNA(MATCH(34,'Transfer Engine'!$C$2:$C$1960,0)),"",INDEX('Compliance Database'!$I$2:$I$1960,MATCH(34,'Transfer Engine'!$C$2:$C$1960,0)))</f>
        <v/>
      </c>
      <c r="J43" s="8">
        <f>IF(ISNA(MATCH(34,'Transfer Engine'!$C$2:$C$1960,0)),"",INDEX('Compliance Database'!$J$2:$J$1960,MATCH(34,'Transfer Engine'!$C$2:$C$1960,0)))</f>
        <v/>
      </c>
      <c r="K43" s="9">
        <f>IF(ISNA(MATCH(34,'Transfer Engine'!$C$2:$C$1960,0)),"",INDEX('Compliance Database'!$K$2:$K$1960,MATCH(34,'Transfer Engine'!$C$2:$C$1960,0)))</f>
        <v/>
      </c>
      <c r="L43" s="9">
        <f>IF(ISNA(MATCH(34,'Transfer Engine'!$C$2:$C$1960,0)),"",INDEX('Compliance Database'!$L$2:$L$1960,MATCH(34,'Transfer Engine'!$C$2:$C$1960,0)))</f>
        <v/>
      </c>
      <c r="M43" s="9">
        <f>IF(ISNA(MATCH(34,'Transfer Engine'!$C$2:$C$1960,0)),"",INDEX('Compliance Database'!$M$2:$M$1960,MATCH(34,'Transfer Engine'!$C$2:$C$1960,0)))</f>
        <v/>
      </c>
      <c r="N43" s="9">
        <f>IF(ISNA(MATCH(34,'Transfer Engine'!$C$2:$C$1960,0)),"",INDEX('Compliance Database'!$N$2:$N$1960,MATCH(34,'Transfer Engine'!$C$2:$C$1960,0)))</f>
        <v/>
      </c>
      <c r="O43" s="9">
        <f>IF(ISNA(MATCH(34,'Transfer Engine'!$C$2:$C$1960,0)),"",INDEX('Compliance Database'!$O$2:$O$1960,MATCH(34,'Transfer Engine'!$C$2:$C$1960,0)))</f>
        <v/>
      </c>
      <c r="P43" s="8">
        <f>IF(ISNA(MATCH(34,'Transfer Engine'!$C$2:$C$1960,0)),"",HYPERLINK("#Acts!A"&amp;INDEX('Compliance Database'!$P$2:$P$1960,MATCH(34,'Transfer Engine'!$C$2:$C$1960,0)),"Go to Act"))</f>
        <v/>
      </c>
    </row>
    <row r="44" ht="158" customHeight="1">
      <c r="A44" s="8">
        <f>IF(ISNA(MATCH(35,'Transfer Engine'!$C$2:$C$1960,0)),"",INDEX('Compliance Database'!$A$2:$A$1960,MATCH(35,'Transfer Engine'!$C$2:$C$1960,0)))</f>
        <v/>
      </c>
      <c r="B44" s="8">
        <f>IF(ISNA(MATCH(35,'Transfer Engine'!$C$2:$C$1960,0)),"",INDEX('Compliance Database'!$B$2:$B$1960,MATCH(35,'Transfer Engine'!$C$2:$C$1960,0)))</f>
        <v/>
      </c>
      <c r="C44" s="8">
        <f>IF(ISNA(MATCH(35,'Transfer Engine'!$C$2:$C$1960,0)),"",INDEX('Compliance Database'!$C$2:$C$1960,MATCH(35,'Transfer Engine'!$C$2:$C$1960,0)))</f>
        <v/>
      </c>
      <c r="D44" s="9">
        <f>IF(ISNA(MATCH(35,'Transfer Engine'!$C$2:$C$1960,0)),"",INDEX('Compliance Database'!$D$2:$D$1960,MATCH(35,'Transfer Engine'!$C$2:$C$1960,0)))</f>
        <v/>
      </c>
      <c r="E44" s="8">
        <f>IF(ISNA(MATCH(35,'Transfer Engine'!$C$2:$C$1960,0)),"",INDEX('Compliance Database'!$E$2:$E$1960,MATCH(35,'Transfer Engine'!$C$2:$C$1960,0)))</f>
        <v/>
      </c>
      <c r="F44" s="8">
        <f>IF(ISNA(MATCH(35,'Transfer Engine'!$C$2:$C$1960,0)),"",INDEX('Compliance Database'!$F$2:$F$1960,MATCH(35,'Transfer Engine'!$C$2:$C$1960,0)))</f>
        <v/>
      </c>
      <c r="G44" s="8">
        <f>IF(ISNA(MATCH(35,'Transfer Engine'!$C$2:$C$1960,0)),"",INDEX('Compliance Database'!$G$2:$G$1960,MATCH(35,'Transfer Engine'!$C$2:$C$1960,0)))</f>
        <v/>
      </c>
      <c r="H44" s="9">
        <f>IF(ISNA(MATCH(35,'Transfer Engine'!$C$2:$C$1960,0)),"",INDEX('Compliance Database'!$H$2:$H$1960,MATCH(35,'Transfer Engine'!$C$2:$C$1960,0)))</f>
        <v/>
      </c>
      <c r="I44" s="9">
        <f>IF(ISNA(MATCH(35,'Transfer Engine'!$C$2:$C$1960,0)),"",INDEX('Compliance Database'!$I$2:$I$1960,MATCH(35,'Transfer Engine'!$C$2:$C$1960,0)))</f>
        <v/>
      </c>
      <c r="J44" s="8">
        <f>IF(ISNA(MATCH(35,'Transfer Engine'!$C$2:$C$1960,0)),"",INDEX('Compliance Database'!$J$2:$J$1960,MATCH(35,'Transfer Engine'!$C$2:$C$1960,0)))</f>
        <v/>
      </c>
      <c r="K44" s="9">
        <f>IF(ISNA(MATCH(35,'Transfer Engine'!$C$2:$C$1960,0)),"",INDEX('Compliance Database'!$K$2:$K$1960,MATCH(35,'Transfer Engine'!$C$2:$C$1960,0)))</f>
        <v/>
      </c>
      <c r="L44" s="9">
        <f>IF(ISNA(MATCH(35,'Transfer Engine'!$C$2:$C$1960,0)),"",INDEX('Compliance Database'!$L$2:$L$1960,MATCH(35,'Transfer Engine'!$C$2:$C$1960,0)))</f>
        <v/>
      </c>
      <c r="M44" s="9">
        <f>IF(ISNA(MATCH(35,'Transfer Engine'!$C$2:$C$1960,0)),"",INDEX('Compliance Database'!$M$2:$M$1960,MATCH(35,'Transfer Engine'!$C$2:$C$1960,0)))</f>
        <v/>
      </c>
      <c r="N44" s="9">
        <f>IF(ISNA(MATCH(35,'Transfer Engine'!$C$2:$C$1960,0)),"",INDEX('Compliance Database'!$N$2:$N$1960,MATCH(35,'Transfer Engine'!$C$2:$C$1960,0)))</f>
        <v/>
      </c>
      <c r="O44" s="9">
        <f>IF(ISNA(MATCH(35,'Transfer Engine'!$C$2:$C$1960,0)),"",INDEX('Compliance Database'!$O$2:$O$1960,MATCH(35,'Transfer Engine'!$C$2:$C$1960,0)))</f>
        <v/>
      </c>
      <c r="P44" s="8">
        <f>IF(ISNA(MATCH(35,'Transfer Engine'!$C$2:$C$1960,0)),"",HYPERLINK("#Acts!A"&amp;INDEX('Compliance Database'!$P$2:$P$1960,MATCH(35,'Transfer Engine'!$C$2:$C$1960,0)),"Go to Act"))</f>
        <v/>
      </c>
    </row>
    <row r="45" ht="158" customHeight="1">
      <c r="A45" s="8">
        <f>IF(ISNA(MATCH(36,'Transfer Engine'!$C$2:$C$1960,0)),"",INDEX('Compliance Database'!$A$2:$A$1960,MATCH(36,'Transfer Engine'!$C$2:$C$1960,0)))</f>
        <v/>
      </c>
      <c r="B45" s="8">
        <f>IF(ISNA(MATCH(36,'Transfer Engine'!$C$2:$C$1960,0)),"",INDEX('Compliance Database'!$B$2:$B$1960,MATCH(36,'Transfer Engine'!$C$2:$C$1960,0)))</f>
        <v/>
      </c>
      <c r="C45" s="8">
        <f>IF(ISNA(MATCH(36,'Transfer Engine'!$C$2:$C$1960,0)),"",INDEX('Compliance Database'!$C$2:$C$1960,MATCH(36,'Transfer Engine'!$C$2:$C$1960,0)))</f>
        <v/>
      </c>
      <c r="D45" s="9">
        <f>IF(ISNA(MATCH(36,'Transfer Engine'!$C$2:$C$1960,0)),"",INDEX('Compliance Database'!$D$2:$D$1960,MATCH(36,'Transfer Engine'!$C$2:$C$1960,0)))</f>
        <v/>
      </c>
      <c r="E45" s="8">
        <f>IF(ISNA(MATCH(36,'Transfer Engine'!$C$2:$C$1960,0)),"",INDEX('Compliance Database'!$E$2:$E$1960,MATCH(36,'Transfer Engine'!$C$2:$C$1960,0)))</f>
        <v/>
      </c>
      <c r="F45" s="8">
        <f>IF(ISNA(MATCH(36,'Transfer Engine'!$C$2:$C$1960,0)),"",INDEX('Compliance Database'!$F$2:$F$1960,MATCH(36,'Transfer Engine'!$C$2:$C$1960,0)))</f>
        <v/>
      </c>
      <c r="G45" s="8">
        <f>IF(ISNA(MATCH(36,'Transfer Engine'!$C$2:$C$1960,0)),"",INDEX('Compliance Database'!$G$2:$G$1960,MATCH(36,'Transfer Engine'!$C$2:$C$1960,0)))</f>
        <v/>
      </c>
      <c r="H45" s="9">
        <f>IF(ISNA(MATCH(36,'Transfer Engine'!$C$2:$C$1960,0)),"",INDEX('Compliance Database'!$H$2:$H$1960,MATCH(36,'Transfer Engine'!$C$2:$C$1960,0)))</f>
        <v/>
      </c>
      <c r="I45" s="9">
        <f>IF(ISNA(MATCH(36,'Transfer Engine'!$C$2:$C$1960,0)),"",INDEX('Compliance Database'!$I$2:$I$1960,MATCH(36,'Transfer Engine'!$C$2:$C$1960,0)))</f>
        <v/>
      </c>
      <c r="J45" s="8">
        <f>IF(ISNA(MATCH(36,'Transfer Engine'!$C$2:$C$1960,0)),"",INDEX('Compliance Database'!$J$2:$J$1960,MATCH(36,'Transfer Engine'!$C$2:$C$1960,0)))</f>
        <v/>
      </c>
      <c r="K45" s="9">
        <f>IF(ISNA(MATCH(36,'Transfer Engine'!$C$2:$C$1960,0)),"",INDEX('Compliance Database'!$K$2:$K$1960,MATCH(36,'Transfer Engine'!$C$2:$C$1960,0)))</f>
        <v/>
      </c>
      <c r="L45" s="9">
        <f>IF(ISNA(MATCH(36,'Transfer Engine'!$C$2:$C$1960,0)),"",INDEX('Compliance Database'!$L$2:$L$1960,MATCH(36,'Transfer Engine'!$C$2:$C$1960,0)))</f>
        <v/>
      </c>
      <c r="M45" s="9">
        <f>IF(ISNA(MATCH(36,'Transfer Engine'!$C$2:$C$1960,0)),"",INDEX('Compliance Database'!$M$2:$M$1960,MATCH(36,'Transfer Engine'!$C$2:$C$1960,0)))</f>
        <v/>
      </c>
      <c r="N45" s="9">
        <f>IF(ISNA(MATCH(36,'Transfer Engine'!$C$2:$C$1960,0)),"",INDEX('Compliance Database'!$N$2:$N$1960,MATCH(36,'Transfer Engine'!$C$2:$C$1960,0)))</f>
        <v/>
      </c>
      <c r="O45" s="9">
        <f>IF(ISNA(MATCH(36,'Transfer Engine'!$C$2:$C$1960,0)),"",INDEX('Compliance Database'!$O$2:$O$1960,MATCH(36,'Transfer Engine'!$C$2:$C$1960,0)))</f>
        <v/>
      </c>
      <c r="P45" s="8">
        <f>IF(ISNA(MATCH(36,'Transfer Engine'!$C$2:$C$1960,0)),"",HYPERLINK("#Acts!A"&amp;INDEX('Compliance Database'!$P$2:$P$1960,MATCH(36,'Transfer Engine'!$C$2:$C$1960,0)),"Go to Act"))</f>
        <v/>
      </c>
    </row>
    <row r="46" ht="158" customHeight="1">
      <c r="A46" s="8">
        <f>IF(ISNA(MATCH(37,'Transfer Engine'!$C$2:$C$1960,0)),"",INDEX('Compliance Database'!$A$2:$A$1960,MATCH(37,'Transfer Engine'!$C$2:$C$1960,0)))</f>
        <v/>
      </c>
      <c r="B46" s="8">
        <f>IF(ISNA(MATCH(37,'Transfer Engine'!$C$2:$C$1960,0)),"",INDEX('Compliance Database'!$B$2:$B$1960,MATCH(37,'Transfer Engine'!$C$2:$C$1960,0)))</f>
        <v/>
      </c>
      <c r="C46" s="8">
        <f>IF(ISNA(MATCH(37,'Transfer Engine'!$C$2:$C$1960,0)),"",INDEX('Compliance Database'!$C$2:$C$1960,MATCH(37,'Transfer Engine'!$C$2:$C$1960,0)))</f>
        <v/>
      </c>
      <c r="D46" s="9">
        <f>IF(ISNA(MATCH(37,'Transfer Engine'!$C$2:$C$1960,0)),"",INDEX('Compliance Database'!$D$2:$D$1960,MATCH(37,'Transfer Engine'!$C$2:$C$1960,0)))</f>
        <v/>
      </c>
      <c r="E46" s="8">
        <f>IF(ISNA(MATCH(37,'Transfer Engine'!$C$2:$C$1960,0)),"",INDEX('Compliance Database'!$E$2:$E$1960,MATCH(37,'Transfer Engine'!$C$2:$C$1960,0)))</f>
        <v/>
      </c>
      <c r="F46" s="8">
        <f>IF(ISNA(MATCH(37,'Transfer Engine'!$C$2:$C$1960,0)),"",INDEX('Compliance Database'!$F$2:$F$1960,MATCH(37,'Transfer Engine'!$C$2:$C$1960,0)))</f>
        <v/>
      </c>
      <c r="G46" s="8">
        <f>IF(ISNA(MATCH(37,'Transfer Engine'!$C$2:$C$1960,0)),"",INDEX('Compliance Database'!$G$2:$G$1960,MATCH(37,'Transfer Engine'!$C$2:$C$1960,0)))</f>
        <v/>
      </c>
      <c r="H46" s="9">
        <f>IF(ISNA(MATCH(37,'Transfer Engine'!$C$2:$C$1960,0)),"",INDEX('Compliance Database'!$H$2:$H$1960,MATCH(37,'Transfer Engine'!$C$2:$C$1960,0)))</f>
        <v/>
      </c>
      <c r="I46" s="9">
        <f>IF(ISNA(MATCH(37,'Transfer Engine'!$C$2:$C$1960,0)),"",INDEX('Compliance Database'!$I$2:$I$1960,MATCH(37,'Transfer Engine'!$C$2:$C$1960,0)))</f>
        <v/>
      </c>
      <c r="J46" s="8">
        <f>IF(ISNA(MATCH(37,'Transfer Engine'!$C$2:$C$1960,0)),"",INDEX('Compliance Database'!$J$2:$J$1960,MATCH(37,'Transfer Engine'!$C$2:$C$1960,0)))</f>
        <v/>
      </c>
      <c r="K46" s="9">
        <f>IF(ISNA(MATCH(37,'Transfer Engine'!$C$2:$C$1960,0)),"",INDEX('Compliance Database'!$K$2:$K$1960,MATCH(37,'Transfer Engine'!$C$2:$C$1960,0)))</f>
        <v/>
      </c>
      <c r="L46" s="9">
        <f>IF(ISNA(MATCH(37,'Transfer Engine'!$C$2:$C$1960,0)),"",INDEX('Compliance Database'!$L$2:$L$1960,MATCH(37,'Transfer Engine'!$C$2:$C$1960,0)))</f>
        <v/>
      </c>
      <c r="M46" s="9">
        <f>IF(ISNA(MATCH(37,'Transfer Engine'!$C$2:$C$1960,0)),"",INDEX('Compliance Database'!$M$2:$M$1960,MATCH(37,'Transfer Engine'!$C$2:$C$1960,0)))</f>
        <v/>
      </c>
      <c r="N46" s="9">
        <f>IF(ISNA(MATCH(37,'Transfer Engine'!$C$2:$C$1960,0)),"",INDEX('Compliance Database'!$N$2:$N$1960,MATCH(37,'Transfer Engine'!$C$2:$C$1960,0)))</f>
        <v/>
      </c>
      <c r="O46" s="9">
        <f>IF(ISNA(MATCH(37,'Transfer Engine'!$C$2:$C$1960,0)),"",INDEX('Compliance Database'!$O$2:$O$1960,MATCH(37,'Transfer Engine'!$C$2:$C$1960,0)))</f>
        <v/>
      </c>
      <c r="P46" s="8">
        <f>IF(ISNA(MATCH(37,'Transfer Engine'!$C$2:$C$1960,0)),"",HYPERLINK("#Acts!A"&amp;INDEX('Compliance Database'!$P$2:$P$1960,MATCH(37,'Transfer Engine'!$C$2:$C$1960,0)),"Go to Act"))</f>
        <v/>
      </c>
    </row>
    <row r="47" ht="158" customHeight="1">
      <c r="A47" s="8">
        <f>IF(ISNA(MATCH(38,'Transfer Engine'!$C$2:$C$1960,0)),"",INDEX('Compliance Database'!$A$2:$A$1960,MATCH(38,'Transfer Engine'!$C$2:$C$1960,0)))</f>
        <v/>
      </c>
      <c r="B47" s="8">
        <f>IF(ISNA(MATCH(38,'Transfer Engine'!$C$2:$C$1960,0)),"",INDEX('Compliance Database'!$B$2:$B$1960,MATCH(38,'Transfer Engine'!$C$2:$C$1960,0)))</f>
        <v/>
      </c>
      <c r="C47" s="8">
        <f>IF(ISNA(MATCH(38,'Transfer Engine'!$C$2:$C$1960,0)),"",INDEX('Compliance Database'!$C$2:$C$1960,MATCH(38,'Transfer Engine'!$C$2:$C$1960,0)))</f>
        <v/>
      </c>
      <c r="D47" s="9">
        <f>IF(ISNA(MATCH(38,'Transfer Engine'!$C$2:$C$1960,0)),"",INDEX('Compliance Database'!$D$2:$D$1960,MATCH(38,'Transfer Engine'!$C$2:$C$1960,0)))</f>
        <v/>
      </c>
      <c r="E47" s="8">
        <f>IF(ISNA(MATCH(38,'Transfer Engine'!$C$2:$C$1960,0)),"",INDEX('Compliance Database'!$E$2:$E$1960,MATCH(38,'Transfer Engine'!$C$2:$C$1960,0)))</f>
        <v/>
      </c>
      <c r="F47" s="8">
        <f>IF(ISNA(MATCH(38,'Transfer Engine'!$C$2:$C$1960,0)),"",INDEX('Compliance Database'!$F$2:$F$1960,MATCH(38,'Transfer Engine'!$C$2:$C$1960,0)))</f>
        <v/>
      </c>
      <c r="G47" s="8">
        <f>IF(ISNA(MATCH(38,'Transfer Engine'!$C$2:$C$1960,0)),"",INDEX('Compliance Database'!$G$2:$G$1960,MATCH(38,'Transfer Engine'!$C$2:$C$1960,0)))</f>
        <v/>
      </c>
      <c r="H47" s="9">
        <f>IF(ISNA(MATCH(38,'Transfer Engine'!$C$2:$C$1960,0)),"",INDEX('Compliance Database'!$H$2:$H$1960,MATCH(38,'Transfer Engine'!$C$2:$C$1960,0)))</f>
        <v/>
      </c>
      <c r="I47" s="9">
        <f>IF(ISNA(MATCH(38,'Transfer Engine'!$C$2:$C$1960,0)),"",INDEX('Compliance Database'!$I$2:$I$1960,MATCH(38,'Transfer Engine'!$C$2:$C$1960,0)))</f>
        <v/>
      </c>
      <c r="J47" s="8">
        <f>IF(ISNA(MATCH(38,'Transfer Engine'!$C$2:$C$1960,0)),"",INDEX('Compliance Database'!$J$2:$J$1960,MATCH(38,'Transfer Engine'!$C$2:$C$1960,0)))</f>
        <v/>
      </c>
      <c r="K47" s="9">
        <f>IF(ISNA(MATCH(38,'Transfer Engine'!$C$2:$C$1960,0)),"",INDEX('Compliance Database'!$K$2:$K$1960,MATCH(38,'Transfer Engine'!$C$2:$C$1960,0)))</f>
        <v/>
      </c>
      <c r="L47" s="9">
        <f>IF(ISNA(MATCH(38,'Transfer Engine'!$C$2:$C$1960,0)),"",INDEX('Compliance Database'!$L$2:$L$1960,MATCH(38,'Transfer Engine'!$C$2:$C$1960,0)))</f>
        <v/>
      </c>
      <c r="M47" s="9">
        <f>IF(ISNA(MATCH(38,'Transfer Engine'!$C$2:$C$1960,0)),"",INDEX('Compliance Database'!$M$2:$M$1960,MATCH(38,'Transfer Engine'!$C$2:$C$1960,0)))</f>
        <v/>
      </c>
      <c r="N47" s="9">
        <f>IF(ISNA(MATCH(38,'Transfer Engine'!$C$2:$C$1960,0)),"",INDEX('Compliance Database'!$N$2:$N$1960,MATCH(38,'Transfer Engine'!$C$2:$C$1960,0)))</f>
        <v/>
      </c>
      <c r="O47" s="9">
        <f>IF(ISNA(MATCH(38,'Transfer Engine'!$C$2:$C$1960,0)),"",INDEX('Compliance Database'!$O$2:$O$1960,MATCH(38,'Transfer Engine'!$C$2:$C$1960,0)))</f>
        <v/>
      </c>
      <c r="P47" s="8">
        <f>IF(ISNA(MATCH(38,'Transfer Engine'!$C$2:$C$1960,0)),"",HYPERLINK("#Acts!A"&amp;INDEX('Compliance Database'!$P$2:$P$1960,MATCH(38,'Transfer Engine'!$C$2:$C$1960,0)),"Go to Act"))</f>
        <v/>
      </c>
    </row>
    <row r="48" ht="158" customHeight="1">
      <c r="A48" s="8">
        <f>IF(ISNA(MATCH(39,'Transfer Engine'!$C$2:$C$1960,0)),"",INDEX('Compliance Database'!$A$2:$A$1960,MATCH(39,'Transfer Engine'!$C$2:$C$1960,0)))</f>
        <v/>
      </c>
      <c r="B48" s="8">
        <f>IF(ISNA(MATCH(39,'Transfer Engine'!$C$2:$C$1960,0)),"",INDEX('Compliance Database'!$B$2:$B$1960,MATCH(39,'Transfer Engine'!$C$2:$C$1960,0)))</f>
        <v/>
      </c>
      <c r="C48" s="8">
        <f>IF(ISNA(MATCH(39,'Transfer Engine'!$C$2:$C$1960,0)),"",INDEX('Compliance Database'!$C$2:$C$1960,MATCH(39,'Transfer Engine'!$C$2:$C$1960,0)))</f>
        <v/>
      </c>
      <c r="D48" s="9">
        <f>IF(ISNA(MATCH(39,'Transfer Engine'!$C$2:$C$1960,0)),"",INDEX('Compliance Database'!$D$2:$D$1960,MATCH(39,'Transfer Engine'!$C$2:$C$1960,0)))</f>
        <v/>
      </c>
      <c r="E48" s="8">
        <f>IF(ISNA(MATCH(39,'Transfer Engine'!$C$2:$C$1960,0)),"",INDEX('Compliance Database'!$E$2:$E$1960,MATCH(39,'Transfer Engine'!$C$2:$C$1960,0)))</f>
        <v/>
      </c>
      <c r="F48" s="8">
        <f>IF(ISNA(MATCH(39,'Transfer Engine'!$C$2:$C$1960,0)),"",INDEX('Compliance Database'!$F$2:$F$1960,MATCH(39,'Transfer Engine'!$C$2:$C$1960,0)))</f>
        <v/>
      </c>
      <c r="G48" s="8">
        <f>IF(ISNA(MATCH(39,'Transfer Engine'!$C$2:$C$1960,0)),"",INDEX('Compliance Database'!$G$2:$G$1960,MATCH(39,'Transfer Engine'!$C$2:$C$1960,0)))</f>
        <v/>
      </c>
      <c r="H48" s="9">
        <f>IF(ISNA(MATCH(39,'Transfer Engine'!$C$2:$C$1960,0)),"",INDEX('Compliance Database'!$H$2:$H$1960,MATCH(39,'Transfer Engine'!$C$2:$C$1960,0)))</f>
        <v/>
      </c>
      <c r="I48" s="9">
        <f>IF(ISNA(MATCH(39,'Transfer Engine'!$C$2:$C$1960,0)),"",INDEX('Compliance Database'!$I$2:$I$1960,MATCH(39,'Transfer Engine'!$C$2:$C$1960,0)))</f>
        <v/>
      </c>
      <c r="J48" s="8">
        <f>IF(ISNA(MATCH(39,'Transfer Engine'!$C$2:$C$1960,0)),"",INDEX('Compliance Database'!$J$2:$J$1960,MATCH(39,'Transfer Engine'!$C$2:$C$1960,0)))</f>
        <v/>
      </c>
      <c r="K48" s="9">
        <f>IF(ISNA(MATCH(39,'Transfer Engine'!$C$2:$C$1960,0)),"",INDEX('Compliance Database'!$K$2:$K$1960,MATCH(39,'Transfer Engine'!$C$2:$C$1960,0)))</f>
        <v/>
      </c>
      <c r="L48" s="9">
        <f>IF(ISNA(MATCH(39,'Transfer Engine'!$C$2:$C$1960,0)),"",INDEX('Compliance Database'!$L$2:$L$1960,MATCH(39,'Transfer Engine'!$C$2:$C$1960,0)))</f>
        <v/>
      </c>
      <c r="M48" s="9">
        <f>IF(ISNA(MATCH(39,'Transfer Engine'!$C$2:$C$1960,0)),"",INDEX('Compliance Database'!$M$2:$M$1960,MATCH(39,'Transfer Engine'!$C$2:$C$1960,0)))</f>
        <v/>
      </c>
      <c r="N48" s="9">
        <f>IF(ISNA(MATCH(39,'Transfer Engine'!$C$2:$C$1960,0)),"",INDEX('Compliance Database'!$N$2:$N$1960,MATCH(39,'Transfer Engine'!$C$2:$C$1960,0)))</f>
        <v/>
      </c>
      <c r="O48" s="9">
        <f>IF(ISNA(MATCH(39,'Transfer Engine'!$C$2:$C$1960,0)),"",INDEX('Compliance Database'!$O$2:$O$1960,MATCH(39,'Transfer Engine'!$C$2:$C$1960,0)))</f>
        <v/>
      </c>
      <c r="P48" s="8">
        <f>IF(ISNA(MATCH(39,'Transfer Engine'!$C$2:$C$1960,0)),"",HYPERLINK("#Acts!A"&amp;INDEX('Compliance Database'!$P$2:$P$1960,MATCH(39,'Transfer Engine'!$C$2:$C$1960,0)),"Go to Act"))</f>
        <v/>
      </c>
    </row>
    <row r="49" ht="158" customHeight="1">
      <c r="A49" s="8">
        <f>IF(ISNA(MATCH(40,'Transfer Engine'!$C$2:$C$1960,0)),"",INDEX('Compliance Database'!$A$2:$A$1960,MATCH(40,'Transfer Engine'!$C$2:$C$1960,0)))</f>
        <v/>
      </c>
      <c r="B49" s="8">
        <f>IF(ISNA(MATCH(40,'Transfer Engine'!$C$2:$C$1960,0)),"",INDEX('Compliance Database'!$B$2:$B$1960,MATCH(40,'Transfer Engine'!$C$2:$C$1960,0)))</f>
        <v/>
      </c>
      <c r="C49" s="8">
        <f>IF(ISNA(MATCH(40,'Transfer Engine'!$C$2:$C$1960,0)),"",INDEX('Compliance Database'!$C$2:$C$1960,MATCH(40,'Transfer Engine'!$C$2:$C$1960,0)))</f>
        <v/>
      </c>
      <c r="D49" s="9">
        <f>IF(ISNA(MATCH(40,'Transfer Engine'!$C$2:$C$1960,0)),"",INDEX('Compliance Database'!$D$2:$D$1960,MATCH(40,'Transfer Engine'!$C$2:$C$1960,0)))</f>
        <v/>
      </c>
      <c r="E49" s="8">
        <f>IF(ISNA(MATCH(40,'Transfer Engine'!$C$2:$C$1960,0)),"",INDEX('Compliance Database'!$E$2:$E$1960,MATCH(40,'Transfer Engine'!$C$2:$C$1960,0)))</f>
        <v/>
      </c>
      <c r="F49" s="8">
        <f>IF(ISNA(MATCH(40,'Transfer Engine'!$C$2:$C$1960,0)),"",INDEX('Compliance Database'!$F$2:$F$1960,MATCH(40,'Transfer Engine'!$C$2:$C$1960,0)))</f>
        <v/>
      </c>
      <c r="G49" s="8">
        <f>IF(ISNA(MATCH(40,'Transfer Engine'!$C$2:$C$1960,0)),"",INDEX('Compliance Database'!$G$2:$G$1960,MATCH(40,'Transfer Engine'!$C$2:$C$1960,0)))</f>
        <v/>
      </c>
      <c r="H49" s="9">
        <f>IF(ISNA(MATCH(40,'Transfer Engine'!$C$2:$C$1960,0)),"",INDEX('Compliance Database'!$H$2:$H$1960,MATCH(40,'Transfer Engine'!$C$2:$C$1960,0)))</f>
        <v/>
      </c>
      <c r="I49" s="9">
        <f>IF(ISNA(MATCH(40,'Transfer Engine'!$C$2:$C$1960,0)),"",INDEX('Compliance Database'!$I$2:$I$1960,MATCH(40,'Transfer Engine'!$C$2:$C$1960,0)))</f>
        <v/>
      </c>
      <c r="J49" s="8">
        <f>IF(ISNA(MATCH(40,'Transfer Engine'!$C$2:$C$1960,0)),"",INDEX('Compliance Database'!$J$2:$J$1960,MATCH(40,'Transfer Engine'!$C$2:$C$1960,0)))</f>
        <v/>
      </c>
      <c r="K49" s="9">
        <f>IF(ISNA(MATCH(40,'Transfer Engine'!$C$2:$C$1960,0)),"",INDEX('Compliance Database'!$K$2:$K$1960,MATCH(40,'Transfer Engine'!$C$2:$C$1960,0)))</f>
        <v/>
      </c>
      <c r="L49" s="9">
        <f>IF(ISNA(MATCH(40,'Transfer Engine'!$C$2:$C$1960,0)),"",INDEX('Compliance Database'!$L$2:$L$1960,MATCH(40,'Transfer Engine'!$C$2:$C$1960,0)))</f>
        <v/>
      </c>
      <c r="M49" s="9">
        <f>IF(ISNA(MATCH(40,'Transfer Engine'!$C$2:$C$1960,0)),"",INDEX('Compliance Database'!$M$2:$M$1960,MATCH(40,'Transfer Engine'!$C$2:$C$1960,0)))</f>
        <v/>
      </c>
      <c r="N49" s="9">
        <f>IF(ISNA(MATCH(40,'Transfer Engine'!$C$2:$C$1960,0)),"",INDEX('Compliance Database'!$N$2:$N$1960,MATCH(40,'Transfer Engine'!$C$2:$C$1960,0)))</f>
        <v/>
      </c>
      <c r="O49" s="9">
        <f>IF(ISNA(MATCH(40,'Transfer Engine'!$C$2:$C$1960,0)),"",INDEX('Compliance Database'!$O$2:$O$1960,MATCH(40,'Transfer Engine'!$C$2:$C$1960,0)))</f>
        <v/>
      </c>
      <c r="P49" s="8">
        <f>IF(ISNA(MATCH(40,'Transfer Engine'!$C$2:$C$1960,0)),"",HYPERLINK("#Acts!A"&amp;INDEX('Compliance Database'!$P$2:$P$1960,MATCH(40,'Transfer Engine'!$C$2:$C$1960,0)),"Go to Act"))</f>
        <v/>
      </c>
    </row>
    <row r="50" ht="158" customHeight="1">
      <c r="A50" s="8">
        <f>IF(ISNA(MATCH(41,'Transfer Engine'!$C$2:$C$1960,0)),"",INDEX('Compliance Database'!$A$2:$A$1960,MATCH(41,'Transfer Engine'!$C$2:$C$1960,0)))</f>
        <v/>
      </c>
      <c r="B50" s="8">
        <f>IF(ISNA(MATCH(41,'Transfer Engine'!$C$2:$C$1960,0)),"",INDEX('Compliance Database'!$B$2:$B$1960,MATCH(41,'Transfer Engine'!$C$2:$C$1960,0)))</f>
        <v/>
      </c>
      <c r="C50" s="8">
        <f>IF(ISNA(MATCH(41,'Transfer Engine'!$C$2:$C$1960,0)),"",INDEX('Compliance Database'!$C$2:$C$1960,MATCH(41,'Transfer Engine'!$C$2:$C$1960,0)))</f>
        <v/>
      </c>
      <c r="D50" s="9">
        <f>IF(ISNA(MATCH(41,'Transfer Engine'!$C$2:$C$1960,0)),"",INDEX('Compliance Database'!$D$2:$D$1960,MATCH(41,'Transfer Engine'!$C$2:$C$1960,0)))</f>
        <v/>
      </c>
      <c r="E50" s="8">
        <f>IF(ISNA(MATCH(41,'Transfer Engine'!$C$2:$C$1960,0)),"",INDEX('Compliance Database'!$E$2:$E$1960,MATCH(41,'Transfer Engine'!$C$2:$C$1960,0)))</f>
        <v/>
      </c>
      <c r="F50" s="8">
        <f>IF(ISNA(MATCH(41,'Transfer Engine'!$C$2:$C$1960,0)),"",INDEX('Compliance Database'!$F$2:$F$1960,MATCH(41,'Transfer Engine'!$C$2:$C$1960,0)))</f>
        <v/>
      </c>
      <c r="G50" s="8">
        <f>IF(ISNA(MATCH(41,'Transfer Engine'!$C$2:$C$1960,0)),"",INDEX('Compliance Database'!$G$2:$G$1960,MATCH(41,'Transfer Engine'!$C$2:$C$1960,0)))</f>
        <v/>
      </c>
      <c r="H50" s="9">
        <f>IF(ISNA(MATCH(41,'Transfer Engine'!$C$2:$C$1960,0)),"",INDEX('Compliance Database'!$H$2:$H$1960,MATCH(41,'Transfer Engine'!$C$2:$C$1960,0)))</f>
        <v/>
      </c>
      <c r="I50" s="9">
        <f>IF(ISNA(MATCH(41,'Transfer Engine'!$C$2:$C$1960,0)),"",INDEX('Compliance Database'!$I$2:$I$1960,MATCH(41,'Transfer Engine'!$C$2:$C$1960,0)))</f>
        <v/>
      </c>
      <c r="J50" s="8">
        <f>IF(ISNA(MATCH(41,'Transfer Engine'!$C$2:$C$1960,0)),"",INDEX('Compliance Database'!$J$2:$J$1960,MATCH(41,'Transfer Engine'!$C$2:$C$1960,0)))</f>
        <v/>
      </c>
      <c r="K50" s="9">
        <f>IF(ISNA(MATCH(41,'Transfer Engine'!$C$2:$C$1960,0)),"",INDEX('Compliance Database'!$K$2:$K$1960,MATCH(41,'Transfer Engine'!$C$2:$C$1960,0)))</f>
        <v/>
      </c>
      <c r="L50" s="9">
        <f>IF(ISNA(MATCH(41,'Transfer Engine'!$C$2:$C$1960,0)),"",INDEX('Compliance Database'!$L$2:$L$1960,MATCH(41,'Transfer Engine'!$C$2:$C$1960,0)))</f>
        <v/>
      </c>
      <c r="M50" s="9">
        <f>IF(ISNA(MATCH(41,'Transfer Engine'!$C$2:$C$1960,0)),"",INDEX('Compliance Database'!$M$2:$M$1960,MATCH(41,'Transfer Engine'!$C$2:$C$1960,0)))</f>
        <v/>
      </c>
      <c r="N50" s="9">
        <f>IF(ISNA(MATCH(41,'Transfer Engine'!$C$2:$C$1960,0)),"",INDEX('Compliance Database'!$N$2:$N$1960,MATCH(41,'Transfer Engine'!$C$2:$C$1960,0)))</f>
        <v/>
      </c>
      <c r="O50" s="9">
        <f>IF(ISNA(MATCH(41,'Transfer Engine'!$C$2:$C$1960,0)),"",INDEX('Compliance Database'!$O$2:$O$1960,MATCH(41,'Transfer Engine'!$C$2:$C$1960,0)))</f>
        <v/>
      </c>
      <c r="P50" s="8">
        <f>IF(ISNA(MATCH(41,'Transfer Engine'!$C$2:$C$1960,0)),"",HYPERLINK("#Acts!A"&amp;INDEX('Compliance Database'!$P$2:$P$1960,MATCH(41,'Transfer Engine'!$C$2:$C$1960,0)),"Go to Act"))</f>
        <v/>
      </c>
    </row>
    <row r="51" ht="158" customHeight="1">
      <c r="A51" s="8">
        <f>IF(ISNA(MATCH(42,'Transfer Engine'!$C$2:$C$1960,0)),"",INDEX('Compliance Database'!$A$2:$A$1960,MATCH(42,'Transfer Engine'!$C$2:$C$1960,0)))</f>
        <v/>
      </c>
      <c r="B51" s="8">
        <f>IF(ISNA(MATCH(42,'Transfer Engine'!$C$2:$C$1960,0)),"",INDEX('Compliance Database'!$B$2:$B$1960,MATCH(42,'Transfer Engine'!$C$2:$C$1960,0)))</f>
        <v/>
      </c>
      <c r="C51" s="8">
        <f>IF(ISNA(MATCH(42,'Transfer Engine'!$C$2:$C$1960,0)),"",INDEX('Compliance Database'!$C$2:$C$1960,MATCH(42,'Transfer Engine'!$C$2:$C$1960,0)))</f>
        <v/>
      </c>
      <c r="D51" s="9">
        <f>IF(ISNA(MATCH(42,'Transfer Engine'!$C$2:$C$1960,0)),"",INDEX('Compliance Database'!$D$2:$D$1960,MATCH(42,'Transfer Engine'!$C$2:$C$1960,0)))</f>
        <v/>
      </c>
      <c r="E51" s="8">
        <f>IF(ISNA(MATCH(42,'Transfer Engine'!$C$2:$C$1960,0)),"",INDEX('Compliance Database'!$E$2:$E$1960,MATCH(42,'Transfer Engine'!$C$2:$C$1960,0)))</f>
        <v/>
      </c>
      <c r="F51" s="8">
        <f>IF(ISNA(MATCH(42,'Transfer Engine'!$C$2:$C$1960,0)),"",INDEX('Compliance Database'!$F$2:$F$1960,MATCH(42,'Transfer Engine'!$C$2:$C$1960,0)))</f>
        <v/>
      </c>
      <c r="G51" s="8">
        <f>IF(ISNA(MATCH(42,'Transfer Engine'!$C$2:$C$1960,0)),"",INDEX('Compliance Database'!$G$2:$G$1960,MATCH(42,'Transfer Engine'!$C$2:$C$1960,0)))</f>
        <v/>
      </c>
      <c r="H51" s="9">
        <f>IF(ISNA(MATCH(42,'Transfer Engine'!$C$2:$C$1960,0)),"",INDEX('Compliance Database'!$H$2:$H$1960,MATCH(42,'Transfer Engine'!$C$2:$C$1960,0)))</f>
        <v/>
      </c>
      <c r="I51" s="9">
        <f>IF(ISNA(MATCH(42,'Transfer Engine'!$C$2:$C$1960,0)),"",INDEX('Compliance Database'!$I$2:$I$1960,MATCH(42,'Transfer Engine'!$C$2:$C$1960,0)))</f>
        <v/>
      </c>
      <c r="J51" s="8">
        <f>IF(ISNA(MATCH(42,'Transfer Engine'!$C$2:$C$1960,0)),"",INDEX('Compliance Database'!$J$2:$J$1960,MATCH(42,'Transfer Engine'!$C$2:$C$1960,0)))</f>
        <v/>
      </c>
      <c r="K51" s="9">
        <f>IF(ISNA(MATCH(42,'Transfer Engine'!$C$2:$C$1960,0)),"",INDEX('Compliance Database'!$K$2:$K$1960,MATCH(42,'Transfer Engine'!$C$2:$C$1960,0)))</f>
        <v/>
      </c>
      <c r="L51" s="9">
        <f>IF(ISNA(MATCH(42,'Transfer Engine'!$C$2:$C$1960,0)),"",INDEX('Compliance Database'!$L$2:$L$1960,MATCH(42,'Transfer Engine'!$C$2:$C$1960,0)))</f>
        <v/>
      </c>
      <c r="M51" s="9">
        <f>IF(ISNA(MATCH(42,'Transfer Engine'!$C$2:$C$1960,0)),"",INDEX('Compliance Database'!$M$2:$M$1960,MATCH(42,'Transfer Engine'!$C$2:$C$1960,0)))</f>
        <v/>
      </c>
      <c r="N51" s="9">
        <f>IF(ISNA(MATCH(42,'Transfer Engine'!$C$2:$C$1960,0)),"",INDEX('Compliance Database'!$N$2:$N$1960,MATCH(42,'Transfer Engine'!$C$2:$C$1960,0)))</f>
        <v/>
      </c>
      <c r="O51" s="9">
        <f>IF(ISNA(MATCH(42,'Transfer Engine'!$C$2:$C$1960,0)),"",INDEX('Compliance Database'!$O$2:$O$1960,MATCH(42,'Transfer Engine'!$C$2:$C$1960,0)))</f>
        <v/>
      </c>
      <c r="P51" s="8">
        <f>IF(ISNA(MATCH(42,'Transfer Engine'!$C$2:$C$1960,0)),"",HYPERLINK("#Acts!A"&amp;INDEX('Compliance Database'!$P$2:$P$1960,MATCH(42,'Transfer Engine'!$C$2:$C$1960,0)),"Go to Act"))</f>
        <v/>
      </c>
    </row>
    <row r="52" ht="158" customHeight="1">
      <c r="A52" s="8">
        <f>IF(ISNA(MATCH(43,'Transfer Engine'!$C$2:$C$1960,0)),"",INDEX('Compliance Database'!$A$2:$A$1960,MATCH(43,'Transfer Engine'!$C$2:$C$1960,0)))</f>
        <v/>
      </c>
      <c r="B52" s="8">
        <f>IF(ISNA(MATCH(43,'Transfer Engine'!$C$2:$C$1960,0)),"",INDEX('Compliance Database'!$B$2:$B$1960,MATCH(43,'Transfer Engine'!$C$2:$C$1960,0)))</f>
        <v/>
      </c>
      <c r="C52" s="8">
        <f>IF(ISNA(MATCH(43,'Transfer Engine'!$C$2:$C$1960,0)),"",INDEX('Compliance Database'!$C$2:$C$1960,MATCH(43,'Transfer Engine'!$C$2:$C$1960,0)))</f>
        <v/>
      </c>
      <c r="D52" s="9">
        <f>IF(ISNA(MATCH(43,'Transfer Engine'!$C$2:$C$1960,0)),"",INDEX('Compliance Database'!$D$2:$D$1960,MATCH(43,'Transfer Engine'!$C$2:$C$1960,0)))</f>
        <v/>
      </c>
      <c r="E52" s="8">
        <f>IF(ISNA(MATCH(43,'Transfer Engine'!$C$2:$C$1960,0)),"",INDEX('Compliance Database'!$E$2:$E$1960,MATCH(43,'Transfer Engine'!$C$2:$C$1960,0)))</f>
        <v/>
      </c>
      <c r="F52" s="8">
        <f>IF(ISNA(MATCH(43,'Transfer Engine'!$C$2:$C$1960,0)),"",INDEX('Compliance Database'!$F$2:$F$1960,MATCH(43,'Transfer Engine'!$C$2:$C$1960,0)))</f>
        <v/>
      </c>
      <c r="G52" s="8">
        <f>IF(ISNA(MATCH(43,'Transfer Engine'!$C$2:$C$1960,0)),"",INDEX('Compliance Database'!$G$2:$G$1960,MATCH(43,'Transfer Engine'!$C$2:$C$1960,0)))</f>
        <v/>
      </c>
      <c r="H52" s="9">
        <f>IF(ISNA(MATCH(43,'Transfer Engine'!$C$2:$C$1960,0)),"",INDEX('Compliance Database'!$H$2:$H$1960,MATCH(43,'Transfer Engine'!$C$2:$C$1960,0)))</f>
        <v/>
      </c>
      <c r="I52" s="9">
        <f>IF(ISNA(MATCH(43,'Transfer Engine'!$C$2:$C$1960,0)),"",INDEX('Compliance Database'!$I$2:$I$1960,MATCH(43,'Transfer Engine'!$C$2:$C$1960,0)))</f>
        <v/>
      </c>
      <c r="J52" s="8">
        <f>IF(ISNA(MATCH(43,'Transfer Engine'!$C$2:$C$1960,0)),"",INDEX('Compliance Database'!$J$2:$J$1960,MATCH(43,'Transfer Engine'!$C$2:$C$1960,0)))</f>
        <v/>
      </c>
      <c r="K52" s="9">
        <f>IF(ISNA(MATCH(43,'Transfer Engine'!$C$2:$C$1960,0)),"",INDEX('Compliance Database'!$K$2:$K$1960,MATCH(43,'Transfer Engine'!$C$2:$C$1960,0)))</f>
        <v/>
      </c>
      <c r="L52" s="9">
        <f>IF(ISNA(MATCH(43,'Transfer Engine'!$C$2:$C$1960,0)),"",INDEX('Compliance Database'!$L$2:$L$1960,MATCH(43,'Transfer Engine'!$C$2:$C$1960,0)))</f>
        <v/>
      </c>
      <c r="M52" s="9">
        <f>IF(ISNA(MATCH(43,'Transfer Engine'!$C$2:$C$1960,0)),"",INDEX('Compliance Database'!$M$2:$M$1960,MATCH(43,'Transfer Engine'!$C$2:$C$1960,0)))</f>
        <v/>
      </c>
      <c r="N52" s="9">
        <f>IF(ISNA(MATCH(43,'Transfer Engine'!$C$2:$C$1960,0)),"",INDEX('Compliance Database'!$N$2:$N$1960,MATCH(43,'Transfer Engine'!$C$2:$C$1960,0)))</f>
        <v/>
      </c>
      <c r="O52" s="9">
        <f>IF(ISNA(MATCH(43,'Transfer Engine'!$C$2:$C$1960,0)),"",INDEX('Compliance Database'!$O$2:$O$1960,MATCH(43,'Transfer Engine'!$C$2:$C$1960,0)))</f>
        <v/>
      </c>
      <c r="P52" s="8">
        <f>IF(ISNA(MATCH(43,'Transfer Engine'!$C$2:$C$1960,0)),"",HYPERLINK("#Acts!A"&amp;INDEX('Compliance Database'!$P$2:$P$1960,MATCH(43,'Transfer Engine'!$C$2:$C$1960,0)),"Go to Act"))</f>
        <v/>
      </c>
    </row>
    <row r="53" ht="158" customHeight="1">
      <c r="A53" s="8">
        <f>IF(ISNA(MATCH(44,'Transfer Engine'!$C$2:$C$1960,0)),"",INDEX('Compliance Database'!$A$2:$A$1960,MATCH(44,'Transfer Engine'!$C$2:$C$1960,0)))</f>
        <v/>
      </c>
      <c r="B53" s="8">
        <f>IF(ISNA(MATCH(44,'Transfer Engine'!$C$2:$C$1960,0)),"",INDEX('Compliance Database'!$B$2:$B$1960,MATCH(44,'Transfer Engine'!$C$2:$C$1960,0)))</f>
        <v/>
      </c>
      <c r="C53" s="8">
        <f>IF(ISNA(MATCH(44,'Transfer Engine'!$C$2:$C$1960,0)),"",INDEX('Compliance Database'!$C$2:$C$1960,MATCH(44,'Transfer Engine'!$C$2:$C$1960,0)))</f>
        <v/>
      </c>
      <c r="D53" s="9">
        <f>IF(ISNA(MATCH(44,'Transfer Engine'!$C$2:$C$1960,0)),"",INDEX('Compliance Database'!$D$2:$D$1960,MATCH(44,'Transfer Engine'!$C$2:$C$1960,0)))</f>
        <v/>
      </c>
      <c r="E53" s="8">
        <f>IF(ISNA(MATCH(44,'Transfer Engine'!$C$2:$C$1960,0)),"",INDEX('Compliance Database'!$E$2:$E$1960,MATCH(44,'Transfer Engine'!$C$2:$C$1960,0)))</f>
        <v/>
      </c>
      <c r="F53" s="8">
        <f>IF(ISNA(MATCH(44,'Transfer Engine'!$C$2:$C$1960,0)),"",INDEX('Compliance Database'!$F$2:$F$1960,MATCH(44,'Transfer Engine'!$C$2:$C$1960,0)))</f>
        <v/>
      </c>
      <c r="G53" s="8">
        <f>IF(ISNA(MATCH(44,'Transfer Engine'!$C$2:$C$1960,0)),"",INDEX('Compliance Database'!$G$2:$G$1960,MATCH(44,'Transfer Engine'!$C$2:$C$1960,0)))</f>
        <v/>
      </c>
      <c r="H53" s="9">
        <f>IF(ISNA(MATCH(44,'Transfer Engine'!$C$2:$C$1960,0)),"",INDEX('Compliance Database'!$H$2:$H$1960,MATCH(44,'Transfer Engine'!$C$2:$C$1960,0)))</f>
        <v/>
      </c>
      <c r="I53" s="9">
        <f>IF(ISNA(MATCH(44,'Transfer Engine'!$C$2:$C$1960,0)),"",INDEX('Compliance Database'!$I$2:$I$1960,MATCH(44,'Transfer Engine'!$C$2:$C$1960,0)))</f>
        <v/>
      </c>
      <c r="J53" s="8">
        <f>IF(ISNA(MATCH(44,'Transfer Engine'!$C$2:$C$1960,0)),"",INDEX('Compliance Database'!$J$2:$J$1960,MATCH(44,'Transfer Engine'!$C$2:$C$1960,0)))</f>
        <v/>
      </c>
      <c r="K53" s="9">
        <f>IF(ISNA(MATCH(44,'Transfer Engine'!$C$2:$C$1960,0)),"",INDEX('Compliance Database'!$K$2:$K$1960,MATCH(44,'Transfer Engine'!$C$2:$C$1960,0)))</f>
        <v/>
      </c>
      <c r="L53" s="9">
        <f>IF(ISNA(MATCH(44,'Transfer Engine'!$C$2:$C$1960,0)),"",INDEX('Compliance Database'!$L$2:$L$1960,MATCH(44,'Transfer Engine'!$C$2:$C$1960,0)))</f>
        <v/>
      </c>
      <c r="M53" s="9">
        <f>IF(ISNA(MATCH(44,'Transfer Engine'!$C$2:$C$1960,0)),"",INDEX('Compliance Database'!$M$2:$M$1960,MATCH(44,'Transfer Engine'!$C$2:$C$1960,0)))</f>
        <v/>
      </c>
      <c r="N53" s="9">
        <f>IF(ISNA(MATCH(44,'Transfer Engine'!$C$2:$C$1960,0)),"",INDEX('Compliance Database'!$N$2:$N$1960,MATCH(44,'Transfer Engine'!$C$2:$C$1960,0)))</f>
        <v/>
      </c>
      <c r="O53" s="9">
        <f>IF(ISNA(MATCH(44,'Transfer Engine'!$C$2:$C$1960,0)),"",INDEX('Compliance Database'!$O$2:$O$1960,MATCH(44,'Transfer Engine'!$C$2:$C$1960,0)))</f>
        <v/>
      </c>
      <c r="P53" s="8">
        <f>IF(ISNA(MATCH(44,'Transfer Engine'!$C$2:$C$1960,0)),"",HYPERLINK("#Acts!A"&amp;INDEX('Compliance Database'!$P$2:$P$1960,MATCH(44,'Transfer Engine'!$C$2:$C$1960,0)),"Go to Act"))</f>
        <v/>
      </c>
    </row>
    <row r="54" ht="158" customHeight="1">
      <c r="A54" s="8">
        <f>IF(ISNA(MATCH(45,'Transfer Engine'!$C$2:$C$1960,0)),"",INDEX('Compliance Database'!$A$2:$A$1960,MATCH(45,'Transfer Engine'!$C$2:$C$1960,0)))</f>
        <v/>
      </c>
      <c r="B54" s="8">
        <f>IF(ISNA(MATCH(45,'Transfer Engine'!$C$2:$C$1960,0)),"",INDEX('Compliance Database'!$B$2:$B$1960,MATCH(45,'Transfer Engine'!$C$2:$C$1960,0)))</f>
        <v/>
      </c>
      <c r="C54" s="8">
        <f>IF(ISNA(MATCH(45,'Transfer Engine'!$C$2:$C$1960,0)),"",INDEX('Compliance Database'!$C$2:$C$1960,MATCH(45,'Transfer Engine'!$C$2:$C$1960,0)))</f>
        <v/>
      </c>
      <c r="D54" s="9">
        <f>IF(ISNA(MATCH(45,'Transfer Engine'!$C$2:$C$1960,0)),"",INDEX('Compliance Database'!$D$2:$D$1960,MATCH(45,'Transfer Engine'!$C$2:$C$1960,0)))</f>
        <v/>
      </c>
      <c r="E54" s="8">
        <f>IF(ISNA(MATCH(45,'Transfer Engine'!$C$2:$C$1960,0)),"",INDEX('Compliance Database'!$E$2:$E$1960,MATCH(45,'Transfer Engine'!$C$2:$C$1960,0)))</f>
        <v/>
      </c>
      <c r="F54" s="8">
        <f>IF(ISNA(MATCH(45,'Transfer Engine'!$C$2:$C$1960,0)),"",INDEX('Compliance Database'!$F$2:$F$1960,MATCH(45,'Transfer Engine'!$C$2:$C$1960,0)))</f>
        <v/>
      </c>
      <c r="G54" s="8">
        <f>IF(ISNA(MATCH(45,'Transfer Engine'!$C$2:$C$1960,0)),"",INDEX('Compliance Database'!$G$2:$G$1960,MATCH(45,'Transfer Engine'!$C$2:$C$1960,0)))</f>
        <v/>
      </c>
      <c r="H54" s="9">
        <f>IF(ISNA(MATCH(45,'Transfer Engine'!$C$2:$C$1960,0)),"",INDEX('Compliance Database'!$H$2:$H$1960,MATCH(45,'Transfer Engine'!$C$2:$C$1960,0)))</f>
        <v/>
      </c>
      <c r="I54" s="9">
        <f>IF(ISNA(MATCH(45,'Transfer Engine'!$C$2:$C$1960,0)),"",INDEX('Compliance Database'!$I$2:$I$1960,MATCH(45,'Transfer Engine'!$C$2:$C$1960,0)))</f>
        <v/>
      </c>
      <c r="J54" s="8">
        <f>IF(ISNA(MATCH(45,'Transfer Engine'!$C$2:$C$1960,0)),"",INDEX('Compliance Database'!$J$2:$J$1960,MATCH(45,'Transfer Engine'!$C$2:$C$1960,0)))</f>
        <v/>
      </c>
      <c r="K54" s="9">
        <f>IF(ISNA(MATCH(45,'Transfer Engine'!$C$2:$C$1960,0)),"",INDEX('Compliance Database'!$K$2:$K$1960,MATCH(45,'Transfer Engine'!$C$2:$C$1960,0)))</f>
        <v/>
      </c>
      <c r="L54" s="9">
        <f>IF(ISNA(MATCH(45,'Transfer Engine'!$C$2:$C$1960,0)),"",INDEX('Compliance Database'!$L$2:$L$1960,MATCH(45,'Transfer Engine'!$C$2:$C$1960,0)))</f>
        <v/>
      </c>
      <c r="M54" s="9">
        <f>IF(ISNA(MATCH(45,'Transfer Engine'!$C$2:$C$1960,0)),"",INDEX('Compliance Database'!$M$2:$M$1960,MATCH(45,'Transfer Engine'!$C$2:$C$1960,0)))</f>
        <v/>
      </c>
      <c r="N54" s="9">
        <f>IF(ISNA(MATCH(45,'Transfer Engine'!$C$2:$C$1960,0)),"",INDEX('Compliance Database'!$N$2:$N$1960,MATCH(45,'Transfer Engine'!$C$2:$C$1960,0)))</f>
        <v/>
      </c>
      <c r="O54" s="9">
        <f>IF(ISNA(MATCH(45,'Transfer Engine'!$C$2:$C$1960,0)),"",INDEX('Compliance Database'!$O$2:$O$1960,MATCH(45,'Transfer Engine'!$C$2:$C$1960,0)))</f>
        <v/>
      </c>
      <c r="P54" s="8">
        <f>IF(ISNA(MATCH(45,'Transfer Engine'!$C$2:$C$1960,0)),"",HYPERLINK("#Acts!A"&amp;INDEX('Compliance Database'!$P$2:$P$1960,MATCH(45,'Transfer Engine'!$C$2:$C$1960,0)),"Go to Act"))</f>
        <v/>
      </c>
    </row>
    <row r="55" ht="158" customHeight="1">
      <c r="A55" s="8">
        <f>IF(ISNA(MATCH(46,'Transfer Engine'!$C$2:$C$1960,0)),"",INDEX('Compliance Database'!$A$2:$A$1960,MATCH(46,'Transfer Engine'!$C$2:$C$1960,0)))</f>
        <v/>
      </c>
      <c r="B55" s="8">
        <f>IF(ISNA(MATCH(46,'Transfer Engine'!$C$2:$C$1960,0)),"",INDEX('Compliance Database'!$B$2:$B$1960,MATCH(46,'Transfer Engine'!$C$2:$C$1960,0)))</f>
        <v/>
      </c>
      <c r="C55" s="8">
        <f>IF(ISNA(MATCH(46,'Transfer Engine'!$C$2:$C$1960,0)),"",INDEX('Compliance Database'!$C$2:$C$1960,MATCH(46,'Transfer Engine'!$C$2:$C$1960,0)))</f>
        <v/>
      </c>
      <c r="D55" s="9">
        <f>IF(ISNA(MATCH(46,'Transfer Engine'!$C$2:$C$1960,0)),"",INDEX('Compliance Database'!$D$2:$D$1960,MATCH(46,'Transfer Engine'!$C$2:$C$1960,0)))</f>
        <v/>
      </c>
      <c r="E55" s="8">
        <f>IF(ISNA(MATCH(46,'Transfer Engine'!$C$2:$C$1960,0)),"",INDEX('Compliance Database'!$E$2:$E$1960,MATCH(46,'Transfer Engine'!$C$2:$C$1960,0)))</f>
        <v/>
      </c>
      <c r="F55" s="8">
        <f>IF(ISNA(MATCH(46,'Transfer Engine'!$C$2:$C$1960,0)),"",INDEX('Compliance Database'!$F$2:$F$1960,MATCH(46,'Transfer Engine'!$C$2:$C$1960,0)))</f>
        <v/>
      </c>
      <c r="G55" s="8">
        <f>IF(ISNA(MATCH(46,'Transfer Engine'!$C$2:$C$1960,0)),"",INDEX('Compliance Database'!$G$2:$G$1960,MATCH(46,'Transfer Engine'!$C$2:$C$1960,0)))</f>
        <v/>
      </c>
      <c r="H55" s="9">
        <f>IF(ISNA(MATCH(46,'Transfer Engine'!$C$2:$C$1960,0)),"",INDEX('Compliance Database'!$H$2:$H$1960,MATCH(46,'Transfer Engine'!$C$2:$C$1960,0)))</f>
        <v/>
      </c>
      <c r="I55" s="9">
        <f>IF(ISNA(MATCH(46,'Transfer Engine'!$C$2:$C$1960,0)),"",INDEX('Compliance Database'!$I$2:$I$1960,MATCH(46,'Transfer Engine'!$C$2:$C$1960,0)))</f>
        <v/>
      </c>
      <c r="J55" s="8">
        <f>IF(ISNA(MATCH(46,'Transfer Engine'!$C$2:$C$1960,0)),"",INDEX('Compliance Database'!$J$2:$J$1960,MATCH(46,'Transfer Engine'!$C$2:$C$1960,0)))</f>
        <v/>
      </c>
      <c r="K55" s="9">
        <f>IF(ISNA(MATCH(46,'Transfer Engine'!$C$2:$C$1960,0)),"",INDEX('Compliance Database'!$K$2:$K$1960,MATCH(46,'Transfer Engine'!$C$2:$C$1960,0)))</f>
        <v/>
      </c>
      <c r="L55" s="9">
        <f>IF(ISNA(MATCH(46,'Transfer Engine'!$C$2:$C$1960,0)),"",INDEX('Compliance Database'!$L$2:$L$1960,MATCH(46,'Transfer Engine'!$C$2:$C$1960,0)))</f>
        <v/>
      </c>
      <c r="M55" s="9">
        <f>IF(ISNA(MATCH(46,'Transfer Engine'!$C$2:$C$1960,0)),"",INDEX('Compliance Database'!$M$2:$M$1960,MATCH(46,'Transfer Engine'!$C$2:$C$1960,0)))</f>
        <v/>
      </c>
      <c r="N55" s="9">
        <f>IF(ISNA(MATCH(46,'Transfer Engine'!$C$2:$C$1960,0)),"",INDEX('Compliance Database'!$N$2:$N$1960,MATCH(46,'Transfer Engine'!$C$2:$C$1960,0)))</f>
        <v/>
      </c>
      <c r="O55" s="9">
        <f>IF(ISNA(MATCH(46,'Transfer Engine'!$C$2:$C$1960,0)),"",INDEX('Compliance Database'!$O$2:$O$1960,MATCH(46,'Transfer Engine'!$C$2:$C$1960,0)))</f>
        <v/>
      </c>
      <c r="P55" s="8">
        <f>IF(ISNA(MATCH(46,'Transfer Engine'!$C$2:$C$1960,0)),"",HYPERLINK("#Acts!A"&amp;INDEX('Compliance Database'!$P$2:$P$1960,MATCH(46,'Transfer Engine'!$C$2:$C$1960,0)),"Go to Act"))</f>
        <v/>
      </c>
    </row>
    <row r="56" ht="158" customHeight="1">
      <c r="A56" s="8">
        <f>IF(ISNA(MATCH(47,'Transfer Engine'!$C$2:$C$1960,0)),"",INDEX('Compliance Database'!$A$2:$A$1960,MATCH(47,'Transfer Engine'!$C$2:$C$1960,0)))</f>
        <v/>
      </c>
      <c r="B56" s="8">
        <f>IF(ISNA(MATCH(47,'Transfer Engine'!$C$2:$C$1960,0)),"",INDEX('Compliance Database'!$B$2:$B$1960,MATCH(47,'Transfer Engine'!$C$2:$C$1960,0)))</f>
        <v/>
      </c>
      <c r="C56" s="8">
        <f>IF(ISNA(MATCH(47,'Transfer Engine'!$C$2:$C$1960,0)),"",INDEX('Compliance Database'!$C$2:$C$1960,MATCH(47,'Transfer Engine'!$C$2:$C$1960,0)))</f>
        <v/>
      </c>
      <c r="D56" s="9">
        <f>IF(ISNA(MATCH(47,'Transfer Engine'!$C$2:$C$1960,0)),"",INDEX('Compliance Database'!$D$2:$D$1960,MATCH(47,'Transfer Engine'!$C$2:$C$1960,0)))</f>
        <v/>
      </c>
      <c r="E56" s="8">
        <f>IF(ISNA(MATCH(47,'Transfer Engine'!$C$2:$C$1960,0)),"",INDEX('Compliance Database'!$E$2:$E$1960,MATCH(47,'Transfer Engine'!$C$2:$C$1960,0)))</f>
        <v/>
      </c>
      <c r="F56" s="8">
        <f>IF(ISNA(MATCH(47,'Transfer Engine'!$C$2:$C$1960,0)),"",INDEX('Compliance Database'!$F$2:$F$1960,MATCH(47,'Transfer Engine'!$C$2:$C$1960,0)))</f>
        <v/>
      </c>
      <c r="G56" s="8">
        <f>IF(ISNA(MATCH(47,'Transfer Engine'!$C$2:$C$1960,0)),"",INDEX('Compliance Database'!$G$2:$G$1960,MATCH(47,'Transfer Engine'!$C$2:$C$1960,0)))</f>
        <v/>
      </c>
      <c r="H56" s="9">
        <f>IF(ISNA(MATCH(47,'Transfer Engine'!$C$2:$C$1960,0)),"",INDEX('Compliance Database'!$H$2:$H$1960,MATCH(47,'Transfer Engine'!$C$2:$C$1960,0)))</f>
        <v/>
      </c>
      <c r="I56" s="9">
        <f>IF(ISNA(MATCH(47,'Transfer Engine'!$C$2:$C$1960,0)),"",INDEX('Compliance Database'!$I$2:$I$1960,MATCH(47,'Transfer Engine'!$C$2:$C$1960,0)))</f>
        <v/>
      </c>
      <c r="J56" s="8">
        <f>IF(ISNA(MATCH(47,'Transfer Engine'!$C$2:$C$1960,0)),"",INDEX('Compliance Database'!$J$2:$J$1960,MATCH(47,'Transfer Engine'!$C$2:$C$1960,0)))</f>
        <v/>
      </c>
      <c r="K56" s="9">
        <f>IF(ISNA(MATCH(47,'Transfer Engine'!$C$2:$C$1960,0)),"",INDEX('Compliance Database'!$K$2:$K$1960,MATCH(47,'Transfer Engine'!$C$2:$C$1960,0)))</f>
        <v/>
      </c>
      <c r="L56" s="9">
        <f>IF(ISNA(MATCH(47,'Transfer Engine'!$C$2:$C$1960,0)),"",INDEX('Compliance Database'!$L$2:$L$1960,MATCH(47,'Transfer Engine'!$C$2:$C$1960,0)))</f>
        <v/>
      </c>
      <c r="M56" s="9">
        <f>IF(ISNA(MATCH(47,'Transfer Engine'!$C$2:$C$1960,0)),"",INDEX('Compliance Database'!$M$2:$M$1960,MATCH(47,'Transfer Engine'!$C$2:$C$1960,0)))</f>
        <v/>
      </c>
      <c r="N56" s="9">
        <f>IF(ISNA(MATCH(47,'Transfer Engine'!$C$2:$C$1960,0)),"",INDEX('Compliance Database'!$N$2:$N$1960,MATCH(47,'Transfer Engine'!$C$2:$C$1960,0)))</f>
        <v/>
      </c>
      <c r="O56" s="9">
        <f>IF(ISNA(MATCH(47,'Transfer Engine'!$C$2:$C$1960,0)),"",INDEX('Compliance Database'!$O$2:$O$1960,MATCH(47,'Transfer Engine'!$C$2:$C$1960,0)))</f>
        <v/>
      </c>
      <c r="P56" s="8">
        <f>IF(ISNA(MATCH(47,'Transfer Engine'!$C$2:$C$1960,0)),"",HYPERLINK("#Acts!A"&amp;INDEX('Compliance Database'!$P$2:$P$1960,MATCH(47,'Transfer Engine'!$C$2:$C$1960,0)),"Go to Act"))</f>
        <v/>
      </c>
    </row>
    <row r="57" ht="158" customHeight="1">
      <c r="A57" s="8">
        <f>IF(ISNA(MATCH(48,'Transfer Engine'!$C$2:$C$1960,0)),"",INDEX('Compliance Database'!$A$2:$A$1960,MATCH(48,'Transfer Engine'!$C$2:$C$1960,0)))</f>
        <v/>
      </c>
      <c r="B57" s="8">
        <f>IF(ISNA(MATCH(48,'Transfer Engine'!$C$2:$C$1960,0)),"",INDEX('Compliance Database'!$B$2:$B$1960,MATCH(48,'Transfer Engine'!$C$2:$C$1960,0)))</f>
        <v/>
      </c>
      <c r="C57" s="8">
        <f>IF(ISNA(MATCH(48,'Transfer Engine'!$C$2:$C$1960,0)),"",INDEX('Compliance Database'!$C$2:$C$1960,MATCH(48,'Transfer Engine'!$C$2:$C$1960,0)))</f>
        <v/>
      </c>
      <c r="D57" s="9">
        <f>IF(ISNA(MATCH(48,'Transfer Engine'!$C$2:$C$1960,0)),"",INDEX('Compliance Database'!$D$2:$D$1960,MATCH(48,'Transfer Engine'!$C$2:$C$1960,0)))</f>
        <v/>
      </c>
      <c r="E57" s="8">
        <f>IF(ISNA(MATCH(48,'Transfer Engine'!$C$2:$C$1960,0)),"",INDEX('Compliance Database'!$E$2:$E$1960,MATCH(48,'Transfer Engine'!$C$2:$C$1960,0)))</f>
        <v/>
      </c>
      <c r="F57" s="8">
        <f>IF(ISNA(MATCH(48,'Transfer Engine'!$C$2:$C$1960,0)),"",INDEX('Compliance Database'!$F$2:$F$1960,MATCH(48,'Transfer Engine'!$C$2:$C$1960,0)))</f>
        <v/>
      </c>
      <c r="G57" s="8">
        <f>IF(ISNA(MATCH(48,'Transfer Engine'!$C$2:$C$1960,0)),"",INDEX('Compliance Database'!$G$2:$G$1960,MATCH(48,'Transfer Engine'!$C$2:$C$1960,0)))</f>
        <v/>
      </c>
      <c r="H57" s="9">
        <f>IF(ISNA(MATCH(48,'Transfer Engine'!$C$2:$C$1960,0)),"",INDEX('Compliance Database'!$H$2:$H$1960,MATCH(48,'Transfer Engine'!$C$2:$C$1960,0)))</f>
        <v/>
      </c>
      <c r="I57" s="9">
        <f>IF(ISNA(MATCH(48,'Transfer Engine'!$C$2:$C$1960,0)),"",INDEX('Compliance Database'!$I$2:$I$1960,MATCH(48,'Transfer Engine'!$C$2:$C$1960,0)))</f>
        <v/>
      </c>
      <c r="J57" s="8">
        <f>IF(ISNA(MATCH(48,'Transfer Engine'!$C$2:$C$1960,0)),"",INDEX('Compliance Database'!$J$2:$J$1960,MATCH(48,'Transfer Engine'!$C$2:$C$1960,0)))</f>
        <v/>
      </c>
      <c r="K57" s="9">
        <f>IF(ISNA(MATCH(48,'Transfer Engine'!$C$2:$C$1960,0)),"",INDEX('Compliance Database'!$K$2:$K$1960,MATCH(48,'Transfer Engine'!$C$2:$C$1960,0)))</f>
        <v/>
      </c>
      <c r="L57" s="9">
        <f>IF(ISNA(MATCH(48,'Transfer Engine'!$C$2:$C$1960,0)),"",INDEX('Compliance Database'!$L$2:$L$1960,MATCH(48,'Transfer Engine'!$C$2:$C$1960,0)))</f>
        <v/>
      </c>
      <c r="M57" s="9">
        <f>IF(ISNA(MATCH(48,'Transfer Engine'!$C$2:$C$1960,0)),"",INDEX('Compliance Database'!$M$2:$M$1960,MATCH(48,'Transfer Engine'!$C$2:$C$1960,0)))</f>
        <v/>
      </c>
      <c r="N57" s="9">
        <f>IF(ISNA(MATCH(48,'Transfer Engine'!$C$2:$C$1960,0)),"",INDEX('Compliance Database'!$N$2:$N$1960,MATCH(48,'Transfer Engine'!$C$2:$C$1960,0)))</f>
        <v/>
      </c>
      <c r="O57" s="9">
        <f>IF(ISNA(MATCH(48,'Transfer Engine'!$C$2:$C$1960,0)),"",INDEX('Compliance Database'!$O$2:$O$1960,MATCH(48,'Transfer Engine'!$C$2:$C$1960,0)))</f>
        <v/>
      </c>
      <c r="P57" s="8">
        <f>IF(ISNA(MATCH(48,'Transfer Engine'!$C$2:$C$1960,0)),"",HYPERLINK("#Acts!A"&amp;INDEX('Compliance Database'!$P$2:$P$1960,MATCH(48,'Transfer Engine'!$C$2:$C$1960,0)),"Go to Act"))</f>
        <v/>
      </c>
    </row>
    <row r="58" ht="158" customHeight="1">
      <c r="A58" s="8">
        <f>IF(ISNA(MATCH(49,'Transfer Engine'!$C$2:$C$1960,0)),"",INDEX('Compliance Database'!$A$2:$A$1960,MATCH(49,'Transfer Engine'!$C$2:$C$1960,0)))</f>
        <v/>
      </c>
      <c r="B58" s="8">
        <f>IF(ISNA(MATCH(49,'Transfer Engine'!$C$2:$C$1960,0)),"",INDEX('Compliance Database'!$B$2:$B$1960,MATCH(49,'Transfer Engine'!$C$2:$C$1960,0)))</f>
        <v/>
      </c>
      <c r="C58" s="8">
        <f>IF(ISNA(MATCH(49,'Transfer Engine'!$C$2:$C$1960,0)),"",INDEX('Compliance Database'!$C$2:$C$1960,MATCH(49,'Transfer Engine'!$C$2:$C$1960,0)))</f>
        <v/>
      </c>
      <c r="D58" s="9">
        <f>IF(ISNA(MATCH(49,'Transfer Engine'!$C$2:$C$1960,0)),"",INDEX('Compliance Database'!$D$2:$D$1960,MATCH(49,'Transfer Engine'!$C$2:$C$1960,0)))</f>
        <v/>
      </c>
      <c r="E58" s="8">
        <f>IF(ISNA(MATCH(49,'Transfer Engine'!$C$2:$C$1960,0)),"",INDEX('Compliance Database'!$E$2:$E$1960,MATCH(49,'Transfer Engine'!$C$2:$C$1960,0)))</f>
        <v/>
      </c>
      <c r="F58" s="8">
        <f>IF(ISNA(MATCH(49,'Transfer Engine'!$C$2:$C$1960,0)),"",INDEX('Compliance Database'!$F$2:$F$1960,MATCH(49,'Transfer Engine'!$C$2:$C$1960,0)))</f>
        <v/>
      </c>
      <c r="G58" s="8">
        <f>IF(ISNA(MATCH(49,'Transfer Engine'!$C$2:$C$1960,0)),"",INDEX('Compliance Database'!$G$2:$G$1960,MATCH(49,'Transfer Engine'!$C$2:$C$1960,0)))</f>
        <v/>
      </c>
      <c r="H58" s="9">
        <f>IF(ISNA(MATCH(49,'Transfer Engine'!$C$2:$C$1960,0)),"",INDEX('Compliance Database'!$H$2:$H$1960,MATCH(49,'Transfer Engine'!$C$2:$C$1960,0)))</f>
        <v/>
      </c>
      <c r="I58" s="9">
        <f>IF(ISNA(MATCH(49,'Transfer Engine'!$C$2:$C$1960,0)),"",INDEX('Compliance Database'!$I$2:$I$1960,MATCH(49,'Transfer Engine'!$C$2:$C$1960,0)))</f>
        <v/>
      </c>
      <c r="J58" s="8">
        <f>IF(ISNA(MATCH(49,'Transfer Engine'!$C$2:$C$1960,0)),"",INDEX('Compliance Database'!$J$2:$J$1960,MATCH(49,'Transfer Engine'!$C$2:$C$1960,0)))</f>
        <v/>
      </c>
      <c r="K58" s="9">
        <f>IF(ISNA(MATCH(49,'Transfer Engine'!$C$2:$C$1960,0)),"",INDEX('Compliance Database'!$K$2:$K$1960,MATCH(49,'Transfer Engine'!$C$2:$C$1960,0)))</f>
        <v/>
      </c>
      <c r="L58" s="9">
        <f>IF(ISNA(MATCH(49,'Transfer Engine'!$C$2:$C$1960,0)),"",INDEX('Compliance Database'!$L$2:$L$1960,MATCH(49,'Transfer Engine'!$C$2:$C$1960,0)))</f>
        <v/>
      </c>
      <c r="M58" s="9">
        <f>IF(ISNA(MATCH(49,'Transfer Engine'!$C$2:$C$1960,0)),"",INDEX('Compliance Database'!$M$2:$M$1960,MATCH(49,'Transfer Engine'!$C$2:$C$1960,0)))</f>
        <v/>
      </c>
      <c r="N58" s="9">
        <f>IF(ISNA(MATCH(49,'Transfer Engine'!$C$2:$C$1960,0)),"",INDEX('Compliance Database'!$N$2:$N$1960,MATCH(49,'Transfer Engine'!$C$2:$C$1960,0)))</f>
        <v/>
      </c>
      <c r="O58" s="9">
        <f>IF(ISNA(MATCH(49,'Transfer Engine'!$C$2:$C$1960,0)),"",INDEX('Compliance Database'!$O$2:$O$1960,MATCH(49,'Transfer Engine'!$C$2:$C$1960,0)))</f>
        <v/>
      </c>
      <c r="P58" s="8">
        <f>IF(ISNA(MATCH(49,'Transfer Engine'!$C$2:$C$1960,0)),"",HYPERLINK("#Acts!A"&amp;INDEX('Compliance Database'!$P$2:$P$1960,MATCH(49,'Transfer Engine'!$C$2:$C$1960,0)),"Go to Act"))</f>
        <v/>
      </c>
    </row>
    <row r="59" ht="158" customHeight="1">
      <c r="A59" s="8">
        <f>IF(ISNA(MATCH(50,'Transfer Engine'!$C$2:$C$1960,0)),"",INDEX('Compliance Database'!$A$2:$A$1960,MATCH(50,'Transfer Engine'!$C$2:$C$1960,0)))</f>
        <v/>
      </c>
      <c r="B59" s="8">
        <f>IF(ISNA(MATCH(50,'Transfer Engine'!$C$2:$C$1960,0)),"",INDEX('Compliance Database'!$B$2:$B$1960,MATCH(50,'Transfer Engine'!$C$2:$C$1960,0)))</f>
        <v/>
      </c>
      <c r="C59" s="8">
        <f>IF(ISNA(MATCH(50,'Transfer Engine'!$C$2:$C$1960,0)),"",INDEX('Compliance Database'!$C$2:$C$1960,MATCH(50,'Transfer Engine'!$C$2:$C$1960,0)))</f>
        <v/>
      </c>
      <c r="D59" s="9">
        <f>IF(ISNA(MATCH(50,'Transfer Engine'!$C$2:$C$1960,0)),"",INDEX('Compliance Database'!$D$2:$D$1960,MATCH(50,'Transfer Engine'!$C$2:$C$1960,0)))</f>
        <v/>
      </c>
      <c r="E59" s="8">
        <f>IF(ISNA(MATCH(50,'Transfer Engine'!$C$2:$C$1960,0)),"",INDEX('Compliance Database'!$E$2:$E$1960,MATCH(50,'Transfer Engine'!$C$2:$C$1960,0)))</f>
        <v/>
      </c>
      <c r="F59" s="8">
        <f>IF(ISNA(MATCH(50,'Transfer Engine'!$C$2:$C$1960,0)),"",INDEX('Compliance Database'!$F$2:$F$1960,MATCH(50,'Transfer Engine'!$C$2:$C$1960,0)))</f>
        <v/>
      </c>
      <c r="G59" s="8">
        <f>IF(ISNA(MATCH(50,'Transfer Engine'!$C$2:$C$1960,0)),"",INDEX('Compliance Database'!$G$2:$G$1960,MATCH(50,'Transfer Engine'!$C$2:$C$1960,0)))</f>
        <v/>
      </c>
      <c r="H59" s="9">
        <f>IF(ISNA(MATCH(50,'Transfer Engine'!$C$2:$C$1960,0)),"",INDEX('Compliance Database'!$H$2:$H$1960,MATCH(50,'Transfer Engine'!$C$2:$C$1960,0)))</f>
        <v/>
      </c>
      <c r="I59" s="9">
        <f>IF(ISNA(MATCH(50,'Transfer Engine'!$C$2:$C$1960,0)),"",INDEX('Compliance Database'!$I$2:$I$1960,MATCH(50,'Transfer Engine'!$C$2:$C$1960,0)))</f>
        <v/>
      </c>
      <c r="J59" s="8">
        <f>IF(ISNA(MATCH(50,'Transfer Engine'!$C$2:$C$1960,0)),"",INDEX('Compliance Database'!$J$2:$J$1960,MATCH(50,'Transfer Engine'!$C$2:$C$1960,0)))</f>
        <v/>
      </c>
      <c r="K59" s="9">
        <f>IF(ISNA(MATCH(50,'Transfer Engine'!$C$2:$C$1960,0)),"",INDEX('Compliance Database'!$K$2:$K$1960,MATCH(50,'Transfer Engine'!$C$2:$C$1960,0)))</f>
        <v/>
      </c>
      <c r="L59" s="9">
        <f>IF(ISNA(MATCH(50,'Transfer Engine'!$C$2:$C$1960,0)),"",INDEX('Compliance Database'!$L$2:$L$1960,MATCH(50,'Transfer Engine'!$C$2:$C$1960,0)))</f>
        <v/>
      </c>
      <c r="M59" s="9">
        <f>IF(ISNA(MATCH(50,'Transfer Engine'!$C$2:$C$1960,0)),"",INDEX('Compliance Database'!$M$2:$M$1960,MATCH(50,'Transfer Engine'!$C$2:$C$1960,0)))</f>
        <v/>
      </c>
      <c r="N59" s="9">
        <f>IF(ISNA(MATCH(50,'Transfer Engine'!$C$2:$C$1960,0)),"",INDEX('Compliance Database'!$N$2:$N$1960,MATCH(50,'Transfer Engine'!$C$2:$C$1960,0)))</f>
        <v/>
      </c>
      <c r="O59" s="9">
        <f>IF(ISNA(MATCH(50,'Transfer Engine'!$C$2:$C$1960,0)),"",INDEX('Compliance Database'!$O$2:$O$1960,MATCH(50,'Transfer Engine'!$C$2:$C$1960,0)))</f>
        <v/>
      </c>
      <c r="P59" s="8">
        <f>IF(ISNA(MATCH(50,'Transfer Engine'!$C$2:$C$1960,0)),"",HYPERLINK("#Acts!A"&amp;INDEX('Compliance Database'!$P$2:$P$1960,MATCH(50,'Transfer Engine'!$C$2:$C$1960,0)),"Go to Act"))</f>
        <v/>
      </c>
    </row>
    <row r="60" ht="158" customHeight="1">
      <c r="A60" s="8">
        <f>IF(ISNA(MATCH(51,'Transfer Engine'!$C$2:$C$1960,0)),"",INDEX('Compliance Database'!$A$2:$A$1960,MATCH(51,'Transfer Engine'!$C$2:$C$1960,0)))</f>
        <v/>
      </c>
      <c r="B60" s="8">
        <f>IF(ISNA(MATCH(51,'Transfer Engine'!$C$2:$C$1960,0)),"",INDEX('Compliance Database'!$B$2:$B$1960,MATCH(51,'Transfer Engine'!$C$2:$C$1960,0)))</f>
        <v/>
      </c>
      <c r="C60" s="8">
        <f>IF(ISNA(MATCH(51,'Transfer Engine'!$C$2:$C$1960,0)),"",INDEX('Compliance Database'!$C$2:$C$1960,MATCH(51,'Transfer Engine'!$C$2:$C$1960,0)))</f>
        <v/>
      </c>
      <c r="D60" s="9">
        <f>IF(ISNA(MATCH(51,'Transfer Engine'!$C$2:$C$1960,0)),"",INDEX('Compliance Database'!$D$2:$D$1960,MATCH(51,'Transfer Engine'!$C$2:$C$1960,0)))</f>
        <v/>
      </c>
      <c r="E60" s="8">
        <f>IF(ISNA(MATCH(51,'Transfer Engine'!$C$2:$C$1960,0)),"",INDEX('Compliance Database'!$E$2:$E$1960,MATCH(51,'Transfer Engine'!$C$2:$C$1960,0)))</f>
        <v/>
      </c>
      <c r="F60" s="8">
        <f>IF(ISNA(MATCH(51,'Transfer Engine'!$C$2:$C$1960,0)),"",INDEX('Compliance Database'!$F$2:$F$1960,MATCH(51,'Transfer Engine'!$C$2:$C$1960,0)))</f>
        <v/>
      </c>
      <c r="G60" s="8">
        <f>IF(ISNA(MATCH(51,'Transfer Engine'!$C$2:$C$1960,0)),"",INDEX('Compliance Database'!$G$2:$G$1960,MATCH(51,'Transfer Engine'!$C$2:$C$1960,0)))</f>
        <v/>
      </c>
      <c r="H60" s="9">
        <f>IF(ISNA(MATCH(51,'Transfer Engine'!$C$2:$C$1960,0)),"",INDEX('Compliance Database'!$H$2:$H$1960,MATCH(51,'Transfer Engine'!$C$2:$C$1960,0)))</f>
        <v/>
      </c>
      <c r="I60" s="9">
        <f>IF(ISNA(MATCH(51,'Transfer Engine'!$C$2:$C$1960,0)),"",INDEX('Compliance Database'!$I$2:$I$1960,MATCH(51,'Transfer Engine'!$C$2:$C$1960,0)))</f>
        <v/>
      </c>
      <c r="J60" s="8">
        <f>IF(ISNA(MATCH(51,'Transfer Engine'!$C$2:$C$1960,0)),"",INDEX('Compliance Database'!$J$2:$J$1960,MATCH(51,'Transfer Engine'!$C$2:$C$1960,0)))</f>
        <v/>
      </c>
      <c r="K60" s="9">
        <f>IF(ISNA(MATCH(51,'Transfer Engine'!$C$2:$C$1960,0)),"",INDEX('Compliance Database'!$K$2:$K$1960,MATCH(51,'Transfer Engine'!$C$2:$C$1960,0)))</f>
        <v/>
      </c>
      <c r="L60" s="9">
        <f>IF(ISNA(MATCH(51,'Transfer Engine'!$C$2:$C$1960,0)),"",INDEX('Compliance Database'!$L$2:$L$1960,MATCH(51,'Transfer Engine'!$C$2:$C$1960,0)))</f>
        <v/>
      </c>
      <c r="M60" s="9">
        <f>IF(ISNA(MATCH(51,'Transfer Engine'!$C$2:$C$1960,0)),"",INDEX('Compliance Database'!$M$2:$M$1960,MATCH(51,'Transfer Engine'!$C$2:$C$1960,0)))</f>
        <v/>
      </c>
      <c r="N60" s="9">
        <f>IF(ISNA(MATCH(51,'Transfer Engine'!$C$2:$C$1960,0)),"",INDEX('Compliance Database'!$N$2:$N$1960,MATCH(51,'Transfer Engine'!$C$2:$C$1960,0)))</f>
        <v/>
      </c>
      <c r="O60" s="9">
        <f>IF(ISNA(MATCH(51,'Transfer Engine'!$C$2:$C$1960,0)),"",INDEX('Compliance Database'!$O$2:$O$1960,MATCH(51,'Transfer Engine'!$C$2:$C$1960,0)))</f>
        <v/>
      </c>
      <c r="P60" s="8">
        <f>IF(ISNA(MATCH(51,'Transfer Engine'!$C$2:$C$1960,0)),"",HYPERLINK("#Acts!A"&amp;INDEX('Compliance Database'!$P$2:$P$1960,MATCH(51,'Transfer Engine'!$C$2:$C$1960,0)),"Go to Act"))</f>
        <v/>
      </c>
    </row>
    <row r="61" ht="158" customHeight="1">
      <c r="A61" s="8">
        <f>IF(ISNA(MATCH(52,'Transfer Engine'!$C$2:$C$1960,0)),"",INDEX('Compliance Database'!$A$2:$A$1960,MATCH(52,'Transfer Engine'!$C$2:$C$1960,0)))</f>
        <v/>
      </c>
      <c r="B61" s="8">
        <f>IF(ISNA(MATCH(52,'Transfer Engine'!$C$2:$C$1960,0)),"",INDEX('Compliance Database'!$B$2:$B$1960,MATCH(52,'Transfer Engine'!$C$2:$C$1960,0)))</f>
        <v/>
      </c>
      <c r="C61" s="8">
        <f>IF(ISNA(MATCH(52,'Transfer Engine'!$C$2:$C$1960,0)),"",INDEX('Compliance Database'!$C$2:$C$1960,MATCH(52,'Transfer Engine'!$C$2:$C$1960,0)))</f>
        <v/>
      </c>
      <c r="D61" s="9">
        <f>IF(ISNA(MATCH(52,'Transfer Engine'!$C$2:$C$1960,0)),"",INDEX('Compliance Database'!$D$2:$D$1960,MATCH(52,'Transfer Engine'!$C$2:$C$1960,0)))</f>
        <v/>
      </c>
      <c r="E61" s="8">
        <f>IF(ISNA(MATCH(52,'Transfer Engine'!$C$2:$C$1960,0)),"",INDEX('Compliance Database'!$E$2:$E$1960,MATCH(52,'Transfer Engine'!$C$2:$C$1960,0)))</f>
        <v/>
      </c>
      <c r="F61" s="8">
        <f>IF(ISNA(MATCH(52,'Transfer Engine'!$C$2:$C$1960,0)),"",INDEX('Compliance Database'!$F$2:$F$1960,MATCH(52,'Transfer Engine'!$C$2:$C$1960,0)))</f>
        <v/>
      </c>
      <c r="G61" s="8">
        <f>IF(ISNA(MATCH(52,'Transfer Engine'!$C$2:$C$1960,0)),"",INDEX('Compliance Database'!$G$2:$G$1960,MATCH(52,'Transfer Engine'!$C$2:$C$1960,0)))</f>
        <v/>
      </c>
      <c r="H61" s="9">
        <f>IF(ISNA(MATCH(52,'Transfer Engine'!$C$2:$C$1960,0)),"",INDEX('Compliance Database'!$H$2:$H$1960,MATCH(52,'Transfer Engine'!$C$2:$C$1960,0)))</f>
        <v/>
      </c>
      <c r="I61" s="9">
        <f>IF(ISNA(MATCH(52,'Transfer Engine'!$C$2:$C$1960,0)),"",INDEX('Compliance Database'!$I$2:$I$1960,MATCH(52,'Transfer Engine'!$C$2:$C$1960,0)))</f>
        <v/>
      </c>
      <c r="J61" s="8">
        <f>IF(ISNA(MATCH(52,'Transfer Engine'!$C$2:$C$1960,0)),"",INDEX('Compliance Database'!$J$2:$J$1960,MATCH(52,'Transfer Engine'!$C$2:$C$1960,0)))</f>
        <v/>
      </c>
      <c r="K61" s="9">
        <f>IF(ISNA(MATCH(52,'Transfer Engine'!$C$2:$C$1960,0)),"",INDEX('Compliance Database'!$K$2:$K$1960,MATCH(52,'Transfer Engine'!$C$2:$C$1960,0)))</f>
        <v/>
      </c>
      <c r="L61" s="9">
        <f>IF(ISNA(MATCH(52,'Transfer Engine'!$C$2:$C$1960,0)),"",INDEX('Compliance Database'!$L$2:$L$1960,MATCH(52,'Transfer Engine'!$C$2:$C$1960,0)))</f>
        <v/>
      </c>
      <c r="M61" s="9">
        <f>IF(ISNA(MATCH(52,'Transfer Engine'!$C$2:$C$1960,0)),"",INDEX('Compliance Database'!$M$2:$M$1960,MATCH(52,'Transfer Engine'!$C$2:$C$1960,0)))</f>
        <v/>
      </c>
      <c r="N61" s="9">
        <f>IF(ISNA(MATCH(52,'Transfer Engine'!$C$2:$C$1960,0)),"",INDEX('Compliance Database'!$N$2:$N$1960,MATCH(52,'Transfer Engine'!$C$2:$C$1960,0)))</f>
        <v/>
      </c>
      <c r="O61" s="9">
        <f>IF(ISNA(MATCH(52,'Transfer Engine'!$C$2:$C$1960,0)),"",INDEX('Compliance Database'!$O$2:$O$1960,MATCH(52,'Transfer Engine'!$C$2:$C$1960,0)))</f>
        <v/>
      </c>
      <c r="P61" s="8">
        <f>IF(ISNA(MATCH(52,'Transfer Engine'!$C$2:$C$1960,0)),"",HYPERLINK("#Acts!A"&amp;INDEX('Compliance Database'!$P$2:$P$1960,MATCH(52,'Transfer Engine'!$C$2:$C$1960,0)),"Go to Act"))</f>
        <v/>
      </c>
    </row>
    <row r="62" ht="158" customHeight="1">
      <c r="A62" s="8">
        <f>IF(ISNA(MATCH(53,'Transfer Engine'!$C$2:$C$1960,0)),"",INDEX('Compliance Database'!$A$2:$A$1960,MATCH(53,'Transfer Engine'!$C$2:$C$1960,0)))</f>
        <v/>
      </c>
      <c r="B62" s="8">
        <f>IF(ISNA(MATCH(53,'Transfer Engine'!$C$2:$C$1960,0)),"",INDEX('Compliance Database'!$B$2:$B$1960,MATCH(53,'Transfer Engine'!$C$2:$C$1960,0)))</f>
        <v/>
      </c>
      <c r="C62" s="8">
        <f>IF(ISNA(MATCH(53,'Transfer Engine'!$C$2:$C$1960,0)),"",INDEX('Compliance Database'!$C$2:$C$1960,MATCH(53,'Transfer Engine'!$C$2:$C$1960,0)))</f>
        <v/>
      </c>
      <c r="D62" s="9">
        <f>IF(ISNA(MATCH(53,'Transfer Engine'!$C$2:$C$1960,0)),"",INDEX('Compliance Database'!$D$2:$D$1960,MATCH(53,'Transfer Engine'!$C$2:$C$1960,0)))</f>
        <v/>
      </c>
      <c r="E62" s="8">
        <f>IF(ISNA(MATCH(53,'Transfer Engine'!$C$2:$C$1960,0)),"",INDEX('Compliance Database'!$E$2:$E$1960,MATCH(53,'Transfer Engine'!$C$2:$C$1960,0)))</f>
        <v/>
      </c>
      <c r="F62" s="8">
        <f>IF(ISNA(MATCH(53,'Transfer Engine'!$C$2:$C$1960,0)),"",INDEX('Compliance Database'!$F$2:$F$1960,MATCH(53,'Transfer Engine'!$C$2:$C$1960,0)))</f>
        <v/>
      </c>
      <c r="G62" s="8">
        <f>IF(ISNA(MATCH(53,'Transfer Engine'!$C$2:$C$1960,0)),"",INDEX('Compliance Database'!$G$2:$G$1960,MATCH(53,'Transfer Engine'!$C$2:$C$1960,0)))</f>
        <v/>
      </c>
      <c r="H62" s="9">
        <f>IF(ISNA(MATCH(53,'Transfer Engine'!$C$2:$C$1960,0)),"",INDEX('Compliance Database'!$H$2:$H$1960,MATCH(53,'Transfer Engine'!$C$2:$C$1960,0)))</f>
        <v/>
      </c>
      <c r="I62" s="9">
        <f>IF(ISNA(MATCH(53,'Transfer Engine'!$C$2:$C$1960,0)),"",INDEX('Compliance Database'!$I$2:$I$1960,MATCH(53,'Transfer Engine'!$C$2:$C$1960,0)))</f>
        <v/>
      </c>
      <c r="J62" s="8">
        <f>IF(ISNA(MATCH(53,'Transfer Engine'!$C$2:$C$1960,0)),"",INDEX('Compliance Database'!$J$2:$J$1960,MATCH(53,'Transfer Engine'!$C$2:$C$1960,0)))</f>
        <v/>
      </c>
      <c r="K62" s="9">
        <f>IF(ISNA(MATCH(53,'Transfer Engine'!$C$2:$C$1960,0)),"",INDEX('Compliance Database'!$K$2:$K$1960,MATCH(53,'Transfer Engine'!$C$2:$C$1960,0)))</f>
        <v/>
      </c>
      <c r="L62" s="9">
        <f>IF(ISNA(MATCH(53,'Transfer Engine'!$C$2:$C$1960,0)),"",INDEX('Compliance Database'!$L$2:$L$1960,MATCH(53,'Transfer Engine'!$C$2:$C$1960,0)))</f>
        <v/>
      </c>
      <c r="M62" s="9">
        <f>IF(ISNA(MATCH(53,'Transfer Engine'!$C$2:$C$1960,0)),"",INDEX('Compliance Database'!$M$2:$M$1960,MATCH(53,'Transfer Engine'!$C$2:$C$1960,0)))</f>
        <v/>
      </c>
      <c r="N62" s="9">
        <f>IF(ISNA(MATCH(53,'Transfer Engine'!$C$2:$C$1960,0)),"",INDEX('Compliance Database'!$N$2:$N$1960,MATCH(53,'Transfer Engine'!$C$2:$C$1960,0)))</f>
        <v/>
      </c>
      <c r="O62" s="9">
        <f>IF(ISNA(MATCH(53,'Transfer Engine'!$C$2:$C$1960,0)),"",INDEX('Compliance Database'!$O$2:$O$1960,MATCH(53,'Transfer Engine'!$C$2:$C$1960,0)))</f>
        <v/>
      </c>
      <c r="P62" s="8">
        <f>IF(ISNA(MATCH(53,'Transfer Engine'!$C$2:$C$1960,0)),"",HYPERLINK("#Acts!A"&amp;INDEX('Compliance Database'!$P$2:$P$1960,MATCH(53,'Transfer Engine'!$C$2:$C$1960,0)),"Go to Act"))</f>
        <v/>
      </c>
    </row>
    <row r="63" ht="158" customHeight="1">
      <c r="A63" s="8">
        <f>IF(ISNA(MATCH(54,'Transfer Engine'!$C$2:$C$1960,0)),"",INDEX('Compliance Database'!$A$2:$A$1960,MATCH(54,'Transfer Engine'!$C$2:$C$1960,0)))</f>
        <v/>
      </c>
      <c r="B63" s="8">
        <f>IF(ISNA(MATCH(54,'Transfer Engine'!$C$2:$C$1960,0)),"",INDEX('Compliance Database'!$B$2:$B$1960,MATCH(54,'Transfer Engine'!$C$2:$C$1960,0)))</f>
        <v/>
      </c>
      <c r="C63" s="8">
        <f>IF(ISNA(MATCH(54,'Transfer Engine'!$C$2:$C$1960,0)),"",INDEX('Compliance Database'!$C$2:$C$1960,MATCH(54,'Transfer Engine'!$C$2:$C$1960,0)))</f>
        <v/>
      </c>
      <c r="D63" s="9">
        <f>IF(ISNA(MATCH(54,'Transfer Engine'!$C$2:$C$1960,0)),"",INDEX('Compliance Database'!$D$2:$D$1960,MATCH(54,'Transfer Engine'!$C$2:$C$1960,0)))</f>
        <v/>
      </c>
      <c r="E63" s="8">
        <f>IF(ISNA(MATCH(54,'Transfer Engine'!$C$2:$C$1960,0)),"",INDEX('Compliance Database'!$E$2:$E$1960,MATCH(54,'Transfer Engine'!$C$2:$C$1960,0)))</f>
        <v/>
      </c>
      <c r="F63" s="8">
        <f>IF(ISNA(MATCH(54,'Transfer Engine'!$C$2:$C$1960,0)),"",INDEX('Compliance Database'!$F$2:$F$1960,MATCH(54,'Transfer Engine'!$C$2:$C$1960,0)))</f>
        <v/>
      </c>
      <c r="G63" s="8">
        <f>IF(ISNA(MATCH(54,'Transfer Engine'!$C$2:$C$1960,0)),"",INDEX('Compliance Database'!$G$2:$G$1960,MATCH(54,'Transfer Engine'!$C$2:$C$1960,0)))</f>
        <v/>
      </c>
      <c r="H63" s="9">
        <f>IF(ISNA(MATCH(54,'Transfer Engine'!$C$2:$C$1960,0)),"",INDEX('Compliance Database'!$H$2:$H$1960,MATCH(54,'Transfer Engine'!$C$2:$C$1960,0)))</f>
        <v/>
      </c>
      <c r="I63" s="9">
        <f>IF(ISNA(MATCH(54,'Transfer Engine'!$C$2:$C$1960,0)),"",INDEX('Compliance Database'!$I$2:$I$1960,MATCH(54,'Transfer Engine'!$C$2:$C$1960,0)))</f>
        <v/>
      </c>
      <c r="J63" s="8">
        <f>IF(ISNA(MATCH(54,'Transfer Engine'!$C$2:$C$1960,0)),"",INDEX('Compliance Database'!$J$2:$J$1960,MATCH(54,'Transfer Engine'!$C$2:$C$1960,0)))</f>
        <v/>
      </c>
      <c r="K63" s="9">
        <f>IF(ISNA(MATCH(54,'Transfer Engine'!$C$2:$C$1960,0)),"",INDEX('Compliance Database'!$K$2:$K$1960,MATCH(54,'Transfer Engine'!$C$2:$C$1960,0)))</f>
        <v/>
      </c>
      <c r="L63" s="9">
        <f>IF(ISNA(MATCH(54,'Transfer Engine'!$C$2:$C$1960,0)),"",INDEX('Compliance Database'!$L$2:$L$1960,MATCH(54,'Transfer Engine'!$C$2:$C$1960,0)))</f>
        <v/>
      </c>
      <c r="M63" s="9">
        <f>IF(ISNA(MATCH(54,'Transfer Engine'!$C$2:$C$1960,0)),"",INDEX('Compliance Database'!$M$2:$M$1960,MATCH(54,'Transfer Engine'!$C$2:$C$1960,0)))</f>
        <v/>
      </c>
      <c r="N63" s="9">
        <f>IF(ISNA(MATCH(54,'Transfer Engine'!$C$2:$C$1960,0)),"",INDEX('Compliance Database'!$N$2:$N$1960,MATCH(54,'Transfer Engine'!$C$2:$C$1960,0)))</f>
        <v/>
      </c>
      <c r="O63" s="9">
        <f>IF(ISNA(MATCH(54,'Transfer Engine'!$C$2:$C$1960,0)),"",INDEX('Compliance Database'!$O$2:$O$1960,MATCH(54,'Transfer Engine'!$C$2:$C$1960,0)))</f>
        <v/>
      </c>
      <c r="P63" s="8">
        <f>IF(ISNA(MATCH(54,'Transfer Engine'!$C$2:$C$1960,0)),"",HYPERLINK("#Acts!A"&amp;INDEX('Compliance Database'!$P$2:$P$1960,MATCH(54,'Transfer Engine'!$C$2:$C$1960,0)),"Go to Act"))</f>
        <v/>
      </c>
    </row>
    <row r="64" ht="158" customHeight="1">
      <c r="A64" s="8">
        <f>IF(ISNA(MATCH(55,'Transfer Engine'!$C$2:$C$1960,0)),"",INDEX('Compliance Database'!$A$2:$A$1960,MATCH(55,'Transfer Engine'!$C$2:$C$1960,0)))</f>
        <v/>
      </c>
      <c r="B64" s="8">
        <f>IF(ISNA(MATCH(55,'Transfer Engine'!$C$2:$C$1960,0)),"",INDEX('Compliance Database'!$B$2:$B$1960,MATCH(55,'Transfer Engine'!$C$2:$C$1960,0)))</f>
        <v/>
      </c>
      <c r="C64" s="8">
        <f>IF(ISNA(MATCH(55,'Transfer Engine'!$C$2:$C$1960,0)),"",INDEX('Compliance Database'!$C$2:$C$1960,MATCH(55,'Transfer Engine'!$C$2:$C$1960,0)))</f>
        <v/>
      </c>
      <c r="D64" s="9">
        <f>IF(ISNA(MATCH(55,'Transfer Engine'!$C$2:$C$1960,0)),"",INDEX('Compliance Database'!$D$2:$D$1960,MATCH(55,'Transfer Engine'!$C$2:$C$1960,0)))</f>
        <v/>
      </c>
      <c r="E64" s="8">
        <f>IF(ISNA(MATCH(55,'Transfer Engine'!$C$2:$C$1960,0)),"",INDEX('Compliance Database'!$E$2:$E$1960,MATCH(55,'Transfer Engine'!$C$2:$C$1960,0)))</f>
        <v/>
      </c>
      <c r="F64" s="8">
        <f>IF(ISNA(MATCH(55,'Transfer Engine'!$C$2:$C$1960,0)),"",INDEX('Compliance Database'!$F$2:$F$1960,MATCH(55,'Transfer Engine'!$C$2:$C$1960,0)))</f>
        <v/>
      </c>
      <c r="G64" s="8">
        <f>IF(ISNA(MATCH(55,'Transfer Engine'!$C$2:$C$1960,0)),"",INDEX('Compliance Database'!$G$2:$G$1960,MATCH(55,'Transfer Engine'!$C$2:$C$1960,0)))</f>
        <v/>
      </c>
      <c r="H64" s="9">
        <f>IF(ISNA(MATCH(55,'Transfer Engine'!$C$2:$C$1960,0)),"",INDEX('Compliance Database'!$H$2:$H$1960,MATCH(55,'Transfer Engine'!$C$2:$C$1960,0)))</f>
        <v/>
      </c>
      <c r="I64" s="9">
        <f>IF(ISNA(MATCH(55,'Transfer Engine'!$C$2:$C$1960,0)),"",INDEX('Compliance Database'!$I$2:$I$1960,MATCH(55,'Transfer Engine'!$C$2:$C$1960,0)))</f>
        <v/>
      </c>
      <c r="J64" s="8">
        <f>IF(ISNA(MATCH(55,'Transfer Engine'!$C$2:$C$1960,0)),"",INDEX('Compliance Database'!$J$2:$J$1960,MATCH(55,'Transfer Engine'!$C$2:$C$1960,0)))</f>
        <v/>
      </c>
      <c r="K64" s="9">
        <f>IF(ISNA(MATCH(55,'Transfer Engine'!$C$2:$C$1960,0)),"",INDEX('Compliance Database'!$K$2:$K$1960,MATCH(55,'Transfer Engine'!$C$2:$C$1960,0)))</f>
        <v/>
      </c>
      <c r="L64" s="9">
        <f>IF(ISNA(MATCH(55,'Transfer Engine'!$C$2:$C$1960,0)),"",INDEX('Compliance Database'!$L$2:$L$1960,MATCH(55,'Transfer Engine'!$C$2:$C$1960,0)))</f>
        <v/>
      </c>
      <c r="M64" s="9">
        <f>IF(ISNA(MATCH(55,'Transfer Engine'!$C$2:$C$1960,0)),"",INDEX('Compliance Database'!$M$2:$M$1960,MATCH(55,'Transfer Engine'!$C$2:$C$1960,0)))</f>
        <v/>
      </c>
      <c r="N64" s="9">
        <f>IF(ISNA(MATCH(55,'Transfer Engine'!$C$2:$C$1960,0)),"",INDEX('Compliance Database'!$N$2:$N$1960,MATCH(55,'Transfer Engine'!$C$2:$C$1960,0)))</f>
        <v/>
      </c>
      <c r="O64" s="9">
        <f>IF(ISNA(MATCH(55,'Transfer Engine'!$C$2:$C$1960,0)),"",INDEX('Compliance Database'!$O$2:$O$1960,MATCH(55,'Transfer Engine'!$C$2:$C$1960,0)))</f>
        <v/>
      </c>
      <c r="P64" s="8">
        <f>IF(ISNA(MATCH(55,'Transfer Engine'!$C$2:$C$1960,0)),"",HYPERLINK("#Acts!A"&amp;INDEX('Compliance Database'!$P$2:$P$1960,MATCH(55,'Transfer Engine'!$C$2:$C$1960,0)),"Go to Act"))</f>
        <v/>
      </c>
    </row>
    <row r="65" ht="158" customHeight="1">
      <c r="A65" s="8">
        <f>IF(ISNA(MATCH(56,'Transfer Engine'!$C$2:$C$1960,0)),"",INDEX('Compliance Database'!$A$2:$A$1960,MATCH(56,'Transfer Engine'!$C$2:$C$1960,0)))</f>
        <v/>
      </c>
      <c r="B65" s="8">
        <f>IF(ISNA(MATCH(56,'Transfer Engine'!$C$2:$C$1960,0)),"",INDEX('Compliance Database'!$B$2:$B$1960,MATCH(56,'Transfer Engine'!$C$2:$C$1960,0)))</f>
        <v/>
      </c>
      <c r="C65" s="8">
        <f>IF(ISNA(MATCH(56,'Transfer Engine'!$C$2:$C$1960,0)),"",INDEX('Compliance Database'!$C$2:$C$1960,MATCH(56,'Transfer Engine'!$C$2:$C$1960,0)))</f>
        <v/>
      </c>
      <c r="D65" s="9">
        <f>IF(ISNA(MATCH(56,'Transfer Engine'!$C$2:$C$1960,0)),"",INDEX('Compliance Database'!$D$2:$D$1960,MATCH(56,'Transfer Engine'!$C$2:$C$1960,0)))</f>
        <v/>
      </c>
      <c r="E65" s="8">
        <f>IF(ISNA(MATCH(56,'Transfer Engine'!$C$2:$C$1960,0)),"",INDEX('Compliance Database'!$E$2:$E$1960,MATCH(56,'Transfer Engine'!$C$2:$C$1960,0)))</f>
        <v/>
      </c>
      <c r="F65" s="8">
        <f>IF(ISNA(MATCH(56,'Transfer Engine'!$C$2:$C$1960,0)),"",INDEX('Compliance Database'!$F$2:$F$1960,MATCH(56,'Transfer Engine'!$C$2:$C$1960,0)))</f>
        <v/>
      </c>
      <c r="G65" s="8">
        <f>IF(ISNA(MATCH(56,'Transfer Engine'!$C$2:$C$1960,0)),"",INDEX('Compliance Database'!$G$2:$G$1960,MATCH(56,'Transfer Engine'!$C$2:$C$1960,0)))</f>
        <v/>
      </c>
      <c r="H65" s="9">
        <f>IF(ISNA(MATCH(56,'Transfer Engine'!$C$2:$C$1960,0)),"",INDEX('Compliance Database'!$H$2:$H$1960,MATCH(56,'Transfer Engine'!$C$2:$C$1960,0)))</f>
        <v/>
      </c>
      <c r="I65" s="9">
        <f>IF(ISNA(MATCH(56,'Transfer Engine'!$C$2:$C$1960,0)),"",INDEX('Compliance Database'!$I$2:$I$1960,MATCH(56,'Transfer Engine'!$C$2:$C$1960,0)))</f>
        <v/>
      </c>
      <c r="J65" s="8">
        <f>IF(ISNA(MATCH(56,'Transfer Engine'!$C$2:$C$1960,0)),"",INDEX('Compliance Database'!$J$2:$J$1960,MATCH(56,'Transfer Engine'!$C$2:$C$1960,0)))</f>
        <v/>
      </c>
      <c r="K65" s="9">
        <f>IF(ISNA(MATCH(56,'Transfer Engine'!$C$2:$C$1960,0)),"",INDEX('Compliance Database'!$K$2:$K$1960,MATCH(56,'Transfer Engine'!$C$2:$C$1960,0)))</f>
        <v/>
      </c>
      <c r="L65" s="9">
        <f>IF(ISNA(MATCH(56,'Transfer Engine'!$C$2:$C$1960,0)),"",INDEX('Compliance Database'!$L$2:$L$1960,MATCH(56,'Transfer Engine'!$C$2:$C$1960,0)))</f>
        <v/>
      </c>
      <c r="M65" s="9">
        <f>IF(ISNA(MATCH(56,'Transfer Engine'!$C$2:$C$1960,0)),"",INDEX('Compliance Database'!$M$2:$M$1960,MATCH(56,'Transfer Engine'!$C$2:$C$1960,0)))</f>
        <v/>
      </c>
      <c r="N65" s="9">
        <f>IF(ISNA(MATCH(56,'Transfer Engine'!$C$2:$C$1960,0)),"",INDEX('Compliance Database'!$N$2:$N$1960,MATCH(56,'Transfer Engine'!$C$2:$C$1960,0)))</f>
        <v/>
      </c>
      <c r="O65" s="9">
        <f>IF(ISNA(MATCH(56,'Transfer Engine'!$C$2:$C$1960,0)),"",INDEX('Compliance Database'!$O$2:$O$1960,MATCH(56,'Transfer Engine'!$C$2:$C$1960,0)))</f>
        <v/>
      </c>
      <c r="P65" s="8">
        <f>IF(ISNA(MATCH(56,'Transfer Engine'!$C$2:$C$1960,0)),"",HYPERLINK("#Acts!A"&amp;INDEX('Compliance Database'!$P$2:$P$1960,MATCH(56,'Transfer Engine'!$C$2:$C$1960,0)),"Go to Act"))</f>
        <v/>
      </c>
    </row>
    <row r="66" ht="158" customHeight="1">
      <c r="A66" s="8">
        <f>IF(ISNA(MATCH(57,'Transfer Engine'!$C$2:$C$1960,0)),"",INDEX('Compliance Database'!$A$2:$A$1960,MATCH(57,'Transfer Engine'!$C$2:$C$1960,0)))</f>
        <v/>
      </c>
      <c r="B66" s="8">
        <f>IF(ISNA(MATCH(57,'Transfer Engine'!$C$2:$C$1960,0)),"",INDEX('Compliance Database'!$B$2:$B$1960,MATCH(57,'Transfer Engine'!$C$2:$C$1960,0)))</f>
        <v/>
      </c>
      <c r="C66" s="8">
        <f>IF(ISNA(MATCH(57,'Transfer Engine'!$C$2:$C$1960,0)),"",INDEX('Compliance Database'!$C$2:$C$1960,MATCH(57,'Transfer Engine'!$C$2:$C$1960,0)))</f>
        <v/>
      </c>
      <c r="D66" s="9">
        <f>IF(ISNA(MATCH(57,'Transfer Engine'!$C$2:$C$1960,0)),"",INDEX('Compliance Database'!$D$2:$D$1960,MATCH(57,'Transfer Engine'!$C$2:$C$1960,0)))</f>
        <v/>
      </c>
      <c r="E66" s="8">
        <f>IF(ISNA(MATCH(57,'Transfer Engine'!$C$2:$C$1960,0)),"",INDEX('Compliance Database'!$E$2:$E$1960,MATCH(57,'Transfer Engine'!$C$2:$C$1960,0)))</f>
        <v/>
      </c>
      <c r="F66" s="8">
        <f>IF(ISNA(MATCH(57,'Transfer Engine'!$C$2:$C$1960,0)),"",INDEX('Compliance Database'!$F$2:$F$1960,MATCH(57,'Transfer Engine'!$C$2:$C$1960,0)))</f>
        <v/>
      </c>
      <c r="G66" s="8">
        <f>IF(ISNA(MATCH(57,'Transfer Engine'!$C$2:$C$1960,0)),"",INDEX('Compliance Database'!$G$2:$G$1960,MATCH(57,'Transfer Engine'!$C$2:$C$1960,0)))</f>
        <v/>
      </c>
      <c r="H66" s="9">
        <f>IF(ISNA(MATCH(57,'Transfer Engine'!$C$2:$C$1960,0)),"",INDEX('Compliance Database'!$H$2:$H$1960,MATCH(57,'Transfer Engine'!$C$2:$C$1960,0)))</f>
        <v/>
      </c>
      <c r="I66" s="9">
        <f>IF(ISNA(MATCH(57,'Transfer Engine'!$C$2:$C$1960,0)),"",INDEX('Compliance Database'!$I$2:$I$1960,MATCH(57,'Transfer Engine'!$C$2:$C$1960,0)))</f>
        <v/>
      </c>
      <c r="J66" s="8">
        <f>IF(ISNA(MATCH(57,'Transfer Engine'!$C$2:$C$1960,0)),"",INDEX('Compliance Database'!$J$2:$J$1960,MATCH(57,'Transfer Engine'!$C$2:$C$1960,0)))</f>
        <v/>
      </c>
      <c r="K66" s="9">
        <f>IF(ISNA(MATCH(57,'Transfer Engine'!$C$2:$C$1960,0)),"",INDEX('Compliance Database'!$K$2:$K$1960,MATCH(57,'Transfer Engine'!$C$2:$C$1960,0)))</f>
        <v/>
      </c>
      <c r="L66" s="9">
        <f>IF(ISNA(MATCH(57,'Transfer Engine'!$C$2:$C$1960,0)),"",INDEX('Compliance Database'!$L$2:$L$1960,MATCH(57,'Transfer Engine'!$C$2:$C$1960,0)))</f>
        <v/>
      </c>
      <c r="M66" s="9">
        <f>IF(ISNA(MATCH(57,'Transfer Engine'!$C$2:$C$1960,0)),"",INDEX('Compliance Database'!$M$2:$M$1960,MATCH(57,'Transfer Engine'!$C$2:$C$1960,0)))</f>
        <v/>
      </c>
      <c r="N66" s="9">
        <f>IF(ISNA(MATCH(57,'Transfer Engine'!$C$2:$C$1960,0)),"",INDEX('Compliance Database'!$N$2:$N$1960,MATCH(57,'Transfer Engine'!$C$2:$C$1960,0)))</f>
        <v/>
      </c>
      <c r="O66" s="9">
        <f>IF(ISNA(MATCH(57,'Transfer Engine'!$C$2:$C$1960,0)),"",INDEX('Compliance Database'!$O$2:$O$1960,MATCH(57,'Transfer Engine'!$C$2:$C$1960,0)))</f>
        <v/>
      </c>
      <c r="P66" s="8">
        <f>IF(ISNA(MATCH(57,'Transfer Engine'!$C$2:$C$1960,0)),"",HYPERLINK("#Acts!A"&amp;INDEX('Compliance Database'!$P$2:$P$1960,MATCH(57,'Transfer Engine'!$C$2:$C$1960,0)),"Go to Act"))</f>
        <v/>
      </c>
    </row>
    <row r="67" ht="158" customHeight="1">
      <c r="A67" s="8">
        <f>IF(ISNA(MATCH(58,'Transfer Engine'!$C$2:$C$1960,0)),"",INDEX('Compliance Database'!$A$2:$A$1960,MATCH(58,'Transfer Engine'!$C$2:$C$1960,0)))</f>
        <v/>
      </c>
      <c r="B67" s="8">
        <f>IF(ISNA(MATCH(58,'Transfer Engine'!$C$2:$C$1960,0)),"",INDEX('Compliance Database'!$B$2:$B$1960,MATCH(58,'Transfer Engine'!$C$2:$C$1960,0)))</f>
        <v/>
      </c>
      <c r="C67" s="8">
        <f>IF(ISNA(MATCH(58,'Transfer Engine'!$C$2:$C$1960,0)),"",INDEX('Compliance Database'!$C$2:$C$1960,MATCH(58,'Transfer Engine'!$C$2:$C$1960,0)))</f>
        <v/>
      </c>
      <c r="D67" s="9">
        <f>IF(ISNA(MATCH(58,'Transfer Engine'!$C$2:$C$1960,0)),"",INDEX('Compliance Database'!$D$2:$D$1960,MATCH(58,'Transfer Engine'!$C$2:$C$1960,0)))</f>
        <v/>
      </c>
      <c r="E67" s="8">
        <f>IF(ISNA(MATCH(58,'Transfer Engine'!$C$2:$C$1960,0)),"",INDEX('Compliance Database'!$E$2:$E$1960,MATCH(58,'Transfer Engine'!$C$2:$C$1960,0)))</f>
        <v/>
      </c>
      <c r="F67" s="8">
        <f>IF(ISNA(MATCH(58,'Transfer Engine'!$C$2:$C$1960,0)),"",INDEX('Compliance Database'!$F$2:$F$1960,MATCH(58,'Transfer Engine'!$C$2:$C$1960,0)))</f>
        <v/>
      </c>
      <c r="G67" s="8">
        <f>IF(ISNA(MATCH(58,'Transfer Engine'!$C$2:$C$1960,0)),"",INDEX('Compliance Database'!$G$2:$G$1960,MATCH(58,'Transfer Engine'!$C$2:$C$1960,0)))</f>
        <v/>
      </c>
      <c r="H67" s="9">
        <f>IF(ISNA(MATCH(58,'Transfer Engine'!$C$2:$C$1960,0)),"",INDEX('Compliance Database'!$H$2:$H$1960,MATCH(58,'Transfer Engine'!$C$2:$C$1960,0)))</f>
        <v/>
      </c>
      <c r="I67" s="9">
        <f>IF(ISNA(MATCH(58,'Transfer Engine'!$C$2:$C$1960,0)),"",INDEX('Compliance Database'!$I$2:$I$1960,MATCH(58,'Transfer Engine'!$C$2:$C$1960,0)))</f>
        <v/>
      </c>
      <c r="J67" s="8">
        <f>IF(ISNA(MATCH(58,'Transfer Engine'!$C$2:$C$1960,0)),"",INDEX('Compliance Database'!$J$2:$J$1960,MATCH(58,'Transfer Engine'!$C$2:$C$1960,0)))</f>
        <v/>
      </c>
      <c r="K67" s="9">
        <f>IF(ISNA(MATCH(58,'Transfer Engine'!$C$2:$C$1960,0)),"",INDEX('Compliance Database'!$K$2:$K$1960,MATCH(58,'Transfer Engine'!$C$2:$C$1960,0)))</f>
        <v/>
      </c>
      <c r="L67" s="9">
        <f>IF(ISNA(MATCH(58,'Transfer Engine'!$C$2:$C$1960,0)),"",INDEX('Compliance Database'!$L$2:$L$1960,MATCH(58,'Transfer Engine'!$C$2:$C$1960,0)))</f>
        <v/>
      </c>
      <c r="M67" s="9">
        <f>IF(ISNA(MATCH(58,'Transfer Engine'!$C$2:$C$1960,0)),"",INDEX('Compliance Database'!$M$2:$M$1960,MATCH(58,'Transfer Engine'!$C$2:$C$1960,0)))</f>
        <v/>
      </c>
      <c r="N67" s="9">
        <f>IF(ISNA(MATCH(58,'Transfer Engine'!$C$2:$C$1960,0)),"",INDEX('Compliance Database'!$N$2:$N$1960,MATCH(58,'Transfer Engine'!$C$2:$C$1960,0)))</f>
        <v/>
      </c>
      <c r="O67" s="9">
        <f>IF(ISNA(MATCH(58,'Transfer Engine'!$C$2:$C$1960,0)),"",INDEX('Compliance Database'!$O$2:$O$1960,MATCH(58,'Transfer Engine'!$C$2:$C$1960,0)))</f>
        <v/>
      </c>
      <c r="P67" s="8">
        <f>IF(ISNA(MATCH(58,'Transfer Engine'!$C$2:$C$1960,0)),"",HYPERLINK("#Acts!A"&amp;INDEX('Compliance Database'!$P$2:$P$1960,MATCH(58,'Transfer Engine'!$C$2:$C$1960,0)),"Go to Act"))</f>
        <v/>
      </c>
    </row>
    <row r="68" ht="158" customHeight="1">
      <c r="A68" s="8">
        <f>IF(ISNA(MATCH(59,'Transfer Engine'!$C$2:$C$1960,0)),"",INDEX('Compliance Database'!$A$2:$A$1960,MATCH(59,'Transfer Engine'!$C$2:$C$1960,0)))</f>
        <v/>
      </c>
      <c r="B68" s="8">
        <f>IF(ISNA(MATCH(59,'Transfer Engine'!$C$2:$C$1960,0)),"",INDEX('Compliance Database'!$B$2:$B$1960,MATCH(59,'Transfer Engine'!$C$2:$C$1960,0)))</f>
        <v/>
      </c>
      <c r="C68" s="8">
        <f>IF(ISNA(MATCH(59,'Transfer Engine'!$C$2:$C$1960,0)),"",INDEX('Compliance Database'!$C$2:$C$1960,MATCH(59,'Transfer Engine'!$C$2:$C$1960,0)))</f>
        <v/>
      </c>
      <c r="D68" s="9">
        <f>IF(ISNA(MATCH(59,'Transfer Engine'!$C$2:$C$1960,0)),"",INDEX('Compliance Database'!$D$2:$D$1960,MATCH(59,'Transfer Engine'!$C$2:$C$1960,0)))</f>
        <v/>
      </c>
      <c r="E68" s="8">
        <f>IF(ISNA(MATCH(59,'Transfer Engine'!$C$2:$C$1960,0)),"",INDEX('Compliance Database'!$E$2:$E$1960,MATCH(59,'Transfer Engine'!$C$2:$C$1960,0)))</f>
        <v/>
      </c>
      <c r="F68" s="8">
        <f>IF(ISNA(MATCH(59,'Transfer Engine'!$C$2:$C$1960,0)),"",INDEX('Compliance Database'!$F$2:$F$1960,MATCH(59,'Transfer Engine'!$C$2:$C$1960,0)))</f>
        <v/>
      </c>
      <c r="G68" s="8">
        <f>IF(ISNA(MATCH(59,'Transfer Engine'!$C$2:$C$1960,0)),"",INDEX('Compliance Database'!$G$2:$G$1960,MATCH(59,'Transfer Engine'!$C$2:$C$1960,0)))</f>
        <v/>
      </c>
      <c r="H68" s="9">
        <f>IF(ISNA(MATCH(59,'Transfer Engine'!$C$2:$C$1960,0)),"",INDEX('Compliance Database'!$H$2:$H$1960,MATCH(59,'Transfer Engine'!$C$2:$C$1960,0)))</f>
        <v/>
      </c>
      <c r="I68" s="9">
        <f>IF(ISNA(MATCH(59,'Transfer Engine'!$C$2:$C$1960,0)),"",INDEX('Compliance Database'!$I$2:$I$1960,MATCH(59,'Transfer Engine'!$C$2:$C$1960,0)))</f>
        <v/>
      </c>
      <c r="J68" s="8">
        <f>IF(ISNA(MATCH(59,'Transfer Engine'!$C$2:$C$1960,0)),"",INDEX('Compliance Database'!$J$2:$J$1960,MATCH(59,'Transfer Engine'!$C$2:$C$1960,0)))</f>
        <v/>
      </c>
      <c r="K68" s="9">
        <f>IF(ISNA(MATCH(59,'Transfer Engine'!$C$2:$C$1960,0)),"",INDEX('Compliance Database'!$K$2:$K$1960,MATCH(59,'Transfer Engine'!$C$2:$C$1960,0)))</f>
        <v/>
      </c>
      <c r="L68" s="9">
        <f>IF(ISNA(MATCH(59,'Transfer Engine'!$C$2:$C$1960,0)),"",INDEX('Compliance Database'!$L$2:$L$1960,MATCH(59,'Transfer Engine'!$C$2:$C$1960,0)))</f>
        <v/>
      </c>
      <c r="M68" s="9">
        <f>IF(ISNA(MATCH(59,'Transfer Engine'!$C$2:$C$1960,0)),"",INDEX('Compliance Database'!$M$2:$M$1960,MATCH(59,'Transfer Engine'!$C$2:$C$1960,0)))</f>
        <v/>
      </c>
      <c r="N68" s="9">
        <f>IF(ISNA(MATCH(59,'Transfer Engine'!$C$2:$C$1960,0)),"",INDEX('Compliance Database'!$N$2:$N$1960,MATCH(59,'Transfer Engine'!$C$2:$C$1960,0)))</f>
        <v/>
      </c>
      <c r="O68" s="9">
        <f>IF(ISNA(MATCH(59,'Transfer Engine'!$C$2:$C$1960,0)),"",INDEX('Compliance Database'!$O$2:$O$1960,MATCH(59,'Transfer Engine'!$C$2:$C$1960,0)))</f>
        <v/>
      </c>
      <c r="P68" s="8">
        <f>IF(ISNA(MATCH(59,'Transfer Engine'!$C$2:$C$1960,0)),"",HYPERLINK("#Acts!A"&amp;INDEX('Compliance Database'!$P$2:$P$1960,MATCH(59,'Transfer Engine'!$C$2:$C$1960,0)),"Go to Act"))</f>
        <v/>
      </c>
    </row>
    <row r="69" ht="158" customHeight="1">
      <c r="A69" s="8">
        <f>IF(ISNA(MATCH(60,'Transfer Engine'!$C$2:$C$1960,0)),"",INDEX('Compliance Database'!$A$2:$A$1960,MATCH(60,'Transfer Engine'!$C$2:$C$1960,0)))</f>
        <v/>
      </c>
      <c r="B69" s="8">
        <f>IF(ISNA(MATCH(60,'Transfer Engine'!$C$2:$C$1960,0)),"",INDEX('Compliance Database'!$B$2:$B$1960,MATCH(60,'Transfer Engine'!$C$2:$C$1960,0)))</f>
        <v/>
      </c>
      <c r="C69" s="8">
        <f>IF(ISNA(MATCH(60,'Transfer Engine'!$C$2:$C$1960,0)),"",INDEX('Compliance Database'!$C$2:$C$1960,MATCH(60,'Transfer Engine'!$C$2:$C$1960,0)))</f>
        <v/>
      </c>
      <c r="D69" s="9">
        <f>IF(ISNA(MATCH(60,'Transfer Engine'!$C$2:$C$1960,0)),"",INDEX('Compliance Database'!$D$2:$D$1960,MATCH(60,'Transfer Engine'!$C$2:$C$1960,0)))</f>
        <v/>
      </c>
      <c r="E69" s="8">
        <f>IF(ISNA(MATCH(60,'Transfer Engine'!$C$2:$C$1960,0)),"",INDEX('Compliance Database'!$E$2:$E$1960,MATCH(60,'Transfer Engine'!$C$2:$C$1960,0)))</f>
        <v/>
      </c>
      <c r="F69" s="8">
        <f>IF(ISNA(MATCH(60,'Transfer Engine'!$C$2:$C$1960,0)),"",INDEX('Compliance Database'!$F$2:$F$1960,MATCH(60,'Transfer Engine'!$C$2:$C$1960,0)))</f>
        <v/>
      </c>
      <c r="G69" s="8">
        <f>IF(ISNA(MATCH(60,'Transfer Engine'!$C$2:$C$1960,0)),"",INDEX('Compliance Database'!$G$2:$G$1960,MATCH(60,'Transfer Engine'!$C$2:$C$1960,0)))</f>
        <v/>
      </c>
      <c r="H69" s="9">
        <f>IF(ISNA(MATCH(60,'Transfer Engine'!$C$2:$C$1960,0)),"",INDEX('Compliance Database'!$H$2:$H$1960,MATCH(60,'Transfer Engine'!$C$2:$C$1960,0)))</f>
        <v/>
      </c>
      <c r="I69" s="9">
        <f>IF(ISNA(MATCH(60,'Transfer Engine'!$C$2:$C$1960,0)),"",INDEX('Compliance Database'!$I$2:$I$1960,MATCH(60,'Transfer Engine'!$C$2:$C$1960,0)))</f>
        <v/>
      </c>
      <c r="J69" s="8">
        <f>IF(ISNA(MATCH(60,'Transfer Engine'!$C$2:$C$1960,0)),"",INDEX('Compliance Database'!$J$2:$J$1960,MATCH(60,'Transfer Engine'!$C$2:$C$1960,0)))</f>
        <v/>
      </c>
      <c r="K69" s="9">
        <f>IF(ISNA(MATCH(60,'Transfer Engine'!$C$2:$C$1960,0)),"",INDEX('Compliance Database'!$K$2:$K$1960,MATCH(60,'Transfer Engine'!$C$2:$C$1960,0)))</f>
        <v/>
      </c>
      <c r="L69" s="9">
        <f>IF(ISNA(MATCH(60,'Transfer Engine'!$C$2:$C$1960,0)),"",INDEX('Compliance Database'!$L$2:$L$1960,MATCH(60,'Transfer Engine'!$C$2:$C$1960,0)))</f>
        <v/>
      </c>
      <c r="M69" s="9">
        <f>IF(ISNA(MATCH(60,'Transfer Engine'!$C$2:$C$1960,0)),"",INDEX('Compliance Database'!$M$2:$M$1960,MATCH(60,'Transfer Engine'!$C$2:$C$1960,0)))</f>
        <v/>
      </c>
      <c r="N69" s="9">
        <f>IF(ISNA(MATCH(60,'Transfer Engine'!$C$2:$C$1960,0)),"",INDEX('Compliance Database'!$N$2:$N$1960,MATCH(60,'Transfer Engine'!$C$2:$C$1960,0)))</f>
        <v/>
      </c>
      <c r="O69" s="9">
        <f>IF(ISNA(MATCH(60,'Transfer Engine'!$C$2:$C$1960,0)),"",INDEX('Compliance Database'!$O$2:$O$1960,MATCH(60,'Transfer Engine'!$C$2:$C$1960,0)))</f>
        <v/>
      </c>
      <c r="P69" s="8">
        <f>IF(ISNA(MATCH(60,'Transfer Engine'!$C$2:$C$1960,0)),"",HYPERLINK("#Acts!A"&amp;INDEX('Compliance Database'!$P$2:$P$1960,MATCH(60,'Transfer Engine'!$C$2:$C$1960,0)),"Go to Act"))</f>
        <v/>
      </c>
    </row>
    <row r="70" ht="158" customHeight="1">
      <c r="A70" s="8">
        <f>IF(ISNA(MATCH(61,'Transfer Engine'!$C$2:$C$1960,0)),"",INDEX('Compliance Database'!$A$2:$A$1960,MATCH(61,'Transfer Engine'!$C$2:$C$1960,0)))</f>
        <v/>
      </c>
      <c r="B70" s="8">
        <f>IF(ISNA(MATCH(61,'Transfer Engine'!$C$2:$C$1960,0)),"",INDEX('Compliance Database'!$B$2:$B$1960,MATCH(61,'Transfer Engine'!$C$2:$C$1960,0)))</f>
        <v/>
      </c>
      <c r="C70" s="8">
        <f>IF(ISNA(MATCH(61,'Transfer Engine'!$C$2:$C$1960,0)),"",INDEX('Compliance Database'!$C$2:$C$1960,MATCH(61,'Transfer Engine'!$C$2:$C$1960,0)))</f>
        <v/>
      </c>
      <c r="D70" s="9">
        <f>IF(ISNA(MATCH(61,'Transfer Engine'!$C$2:$C$1960,0)),"",INDEX('Compliance Database'!$D$2:$D$1960,MATCH(61,'Transfer Engine'!$C$2:$C$1960,0)))</f>
        <v/>
      </c>
      <c r="E70" s="8">
        <f>IF(ISNA(MATCH(61,'Transfer Engine'!$C$2:$C$1960,0)),"",INDEX('Compliance Database'!$E$2:$E$1960,MATCH(61,'Transfer Engine'!$C$2:$C$1960,0)))</f>
        <v/>
      </c>
      <c r="F70" s="8">
        <f>IF(ISNA(MATCH(61,'Transfer Engine'!$C$2:$C$1960,0)),"",INDEX('Compliance Database'!$F$2:$F$1960,MATCH(61,'Transfer Engine'!$C$2:$C$1960,0)))</f>
        <v/>
      </c>
      <c r="G70" s="8">
        <f>IF(ISNA(MATCH(61,'Transfer Engine'!$C$2:$C$1960,0)),"",INDEX('Compliance Database'!$G$2:$G$1960,MATCH(61,'Transfer Engine'!$C$2:$C$1960,0)))</f>
        <v/>
      </c>
      <c r="H70" s="9">
        <f>IF(ISNA(MATCH(61,'Transfer Engine'!$C$2:$C$1960,0)),"",INDEX('Compliance Database'!$H$2:$H$1960,MATCH(61,'Transfer Engine'!$C$2:$C$1960,0)))</f>
        <v/>
      </c>
      <c r="I70" s="9">
        <f>IF(ISNA(MATCH(61,'Transfer Engine'!$C$2:$C$1960,0)),"",INDEX('Compliance Database'!$I$2:$I$1960,MATCH(61,'Transfer Engine'!$C$2:$C$1960,0)))</f>
        <v/>
      </c>
      <c r="J70" s="8">
        <f>IF(ISNA(MATCH(61,'Transfer Engine'!$C$2:$C$1960,0)),"",INDEX('Compliance Database'!$J$2:$J$1960,MATCH(61,'Transfer Engine'!$C$2:$C$1960,0)))</f>
        <v/>
      </c>
      <c r="K70" s="9">
        <f>IF(ISNA(MATCH(61,'Transfer Engine'!$C$2:$C$1960,0)),"",INDEX('Compliance Database'!$K$2:$K$1960,MATCH(61,'Transfer Engine'!$C$2:$C$1960,0)))</f>
        <v/>
      </c>
      <c r="L70" s="9">
        <f>IF(ISNA(MATCH(61,'Transfer Engine'!$C$2:$C$1960,0)),"",INDEX('Compliance Database'!$L$2:$L$1960,MATCH(61,'Transfer Engine'!$C$2:$C$1960,0)))</f>
        <v/>
      </c>
      <c r="M70" s="9">
        <f>IF(ISNA(MATCH(61,'Transfer Engine'!$C$2:$C$1960,0)),"",INDEX('Compliance Database'!$M$2:$M$1960,MATCH(61,'Transfer Engine'!$C$2:$C$1960,0)))</f>
        <v/>
      </c>
      <c r="N70" s="9">
        <f>IF(ISNA(MATCH(61,'Transfer Engine'!$C$2:$C$1960,0)),"",INDEX('Compliance Database'!$N$2:$N$1960,MATCH(61,'Transfer Engine'!$C$2:$C$1960,0)))</f>
        <v/>
      </c>
      <c r="O70" s="9">
        <f>IF(ISNA(MATCH(61,'Transfer Engine'!$C$2:$C$1960,0)),"",INDEX('Compliance Database'!$O$2:$O$1960,MATCH(61,'Transfer Engine'!$C$2:$C$1960,0)))</f>
        <v/>
      </c>
      <c r="P70" s="8">
        <f>IF(ISNA(MATCH(61,'Transfer Engine'!$C$2:$C$1960,0)),"",HYPERLINK("#Acts!A"&amp;INDEX('Compliance Database'!$P$2:$P$1960,MATCH(61,'Transfer Engine'!$C$2:$C$1960,0)),"Go to Act"))</f>
        <v/>
      </c>
    </row>
    <row r="71" ht="158" customHeight="1">
      <c r="A71" s="8">
        <f>IF(ISNA(MATCH(62,'Transfer Engine'!$C$2:$C$1960,0)),"",INDEX('Compliance Database'!$A$2:$A$1960,MATCH(62,'Transfer Engine'!$C$2:$C$1960,0)))</f>
        <v/>
      </c>
      <c r="B71" s="8">
        <f>IF(ISNA(MATCH(62,'Transfer Engine'!$C$2:$C$1960,0)),"",INDEX('Compliance Database'!$B$2:$B$1960,MATCH(62,'Transfer Engine'!$C$2:$C$1960,0)))</f>
        <v/>
      </c>
      <c r="C71" s="8">
        <f>IF(ISNA(MATCH(62,'Transfer Engine'!$C$2:$C$1960,0)),"",INDEX('Compliance Database'!$C$2:$C$1960,MATCH(62,'Transfer Engine'!$C$2:$C$1960,0)))</f>
        <v/>
      </c>
      <c r="D71" s="9">
        <f>IF(ISNA(MATCH(62,'Transfer Engine'!$C$2:$C$1960,0)),"",INDEX('Compliance Database'!$D$2:$D$1960,MATCH(62,'Transfer Engine'!$C$2:$C$1960,0)))</f>
        <v/>
      </c>
      <c r="E71" s="8">
        <f>IF(ISNA(MATCH(62,'Transfer Engine'!$C$2:$C$1960,0)),"",INDEX('Compliance Database'!$E$2:$E$1960,MATCH(62,'Transfer Engine'!$C$2:$C$1960,0)))</f>
        <v/>
      </c>
      <c r="F71" s="8">
        <f>IF(ISNA(MATCH(62,'Transfer Engine'!$C$2:$C$1960,0)),"",INDEX('Compliance Database'!$F$2:$F$1960,MATCH(62,'Transfer Engine'!$C$2:$C$1960,0)))</f>
        <v/>
      </c>
      <c r="G71" s="8">
        <f>IF(ISNA(MATCH(62,'Transfer Engine'!$C$2:$C$1960,0)),"",INDEX('Compliance Database'!$G$2:$G$1960,MATCH(62,'Transfer Engine'!$C$2:$C$1960,0)))</f>
        <v/>
      </c>
      <c r="H71" s="9">
        <f>IF(ISNA(MATCH(62,'Transfer Engine'!$C$2:$C$1960,0)),"",INDEX('Compliance Database'!$H$2:$H$1960,MATCH(62,'Transfer Engine'!$C$2:$C$1960,0)))</f>
        <v/>
      </c>
      <c r="I71" s="9">
        <f>IF(ISNA(MATCH(62,'Transfer Engine'!$C$2:$C$1960,0)),"",INDEX('Compliance Database'!$I$2:$I$1960,MATCH(62,'Transfer Engine'!$C$2:$C$1960,0)))</f>
        <v/>
      </c>
      <c r="J71" s="8">
        <f>IF(ISNA(MATCH(62,'Transfer Engine'!$C$2:$C$1960,0)),"",INDEX('Compliance Database'!$J$2:$J$1960,MATCH(62,'Transfer Engine'!$C$2:$C$1960,0)))</f>
        <v/>
      </c>
      <c r="K71" s="9">
        <f>IF(ISNA(MATCH(62,'Transfer Engine'!$C$2:$C$1960,0)),"",INDEX('Compliance Database'!$K$2:$K$1960,MATCH(62,'Transfer Engine'!$C$2:$C$1960,0)))</f>
        <v/>
      </c>
      <c r="L71" s="9">
        <f>IF(ISNA(MATCH(62,'Transfer Engine'!$C$2:$C$1960,0)),"",INDEX('Compliance Database'!$L$2:$L$1960,MATCH(62,'Transfer Engine'!$C$2:$C$1960,0)))</f>
        <v/>
      </c>
      <c r="M71" s="9">
        <f>IF(ISNA(MATCH(62,'Transfer Engine'!$C$2:$C$1960,0)),"",INDEX('Compliance Database'!$M$2:$M$1960,MATCH(62,'Transfer Engine'!$C$2:$C$1960,0)))</f>
        <v/>
      </c>
      <c r="N71" s="9">
        <f>IF(ISNA(MATCH(62,'Transfer Engine'!$C$2:$C$1960,0)),"",INDEX('Compliance Database'!$N$2:$N$1960,MATCH(62,'Transfer Engine'!$C$2:$C$1960,0)))</f>
        <v/>
      </c>
      <c r="O71" s="9">
        <f>IF(ISNA(MATCH(62,'Transfer Engine'!$C$2:$C$1960,0)),"",INDEX('Compliance Database'!$O$2:$O$1960,MATCH(62,'Transfer Engine'!$C$2:$C$1960,0)))</f>
        <v/>
      </c>
      <c r="P71" s="8">
        <f>IF(ISNA(MATCH(62,'Transfer Engine'!$C$2:$C$1960,0)),"",HYPERLINK("#Acts!A"&amp;INDEX('Compliance Database'!$P$2:$P$1960,MATCH(62,'Transfer Engine'!$C$2:$C$1960,0)),"Go to Act"))</f>
        <v/>
      </c>
    </row>
    <row r="72" ht="158" customHeight="1">
      <c r="A72" s="8">
        <f>IF(ISNA(MATCH(63,'Transfer Engine'!$C$2:$C$1960,0)),"",INDEX('Compliance Database'!$A$2:$A$1960,MATCH(63,'Transfer Engine'!$C$2:$C$1960,0)))</f>
        <v/>
      </c>
      <c r="B72" s="8">
        <f>IF(ISNA(MATCH(63,'Transfer Engine'!$C$2:$C$1960,0)),"",INDEX('Compliance Database'!$B$2:$B$1960,MATCH(63,'Transfer Engine'!$C$2:$C$1960,0)))</f>
        <v/>
      </c>
      <c r="C72" s="8">
        <f>IF(ISNA(MATCH(63,'Transfer Engine'!$C$2:$C$1960,0)),"",INDEX('Compliance Database'!$C$2:$C$1960,MATCH(63,'Transfer Engine'!$C$2:$C$1960,0)))</f>
        <v/>
      </c>
      <c r="D72" s="9">
        <f>IF(ISNA(MATCH(63,'Transfer Engine'!$C$2:$C$1960,0)),"",INDEX('Compliance Database'!$D$2:$D$1960,MATCH(63,'Transfer Engine'!$C$2:$C$1960,0)))</f>
        <v/>
      </c>
      <c r="E72" s="8">
        <f>IF(ISNA(MATCH(63,'Transfer Engine'!$C$2:$C$1960,0)),"",INDEX('Compliance Database'!$E$2:$E$1960,MATCH(63,'Transfer Engine'!$C$2:$C$1960,0)))</f>
        <v/>
      </c>
      <c r="F72" s="8">
        <f>IF(ISNA(MATCH(63,'Transfer Engine'!$C$2:$C$1960,0)),"",INDEX('Compliance Database'!$F$2:$F$1960,MATCH(63,'Transfer Engine'!$C$2:$C$1960,0)))</f>
        <v/>
      </c>
      <c r="G72" s="8">
        <f>IF(ISNA(MATCH(63,'Transfer Engine'!$C$2:$C$1960,0)),"",INDEX('Compliance Database'!$G$2:$G$1960,MATCH(63,'Transfer Engine'!$C$2:$C$1960,0)))</f>
        <v/>
      </c>
      <c r="H72" s="9">
        <f>IF(ISNA(MATCH(63,'Transfer Engine'!$C$2:$C$1960,0)),"",INDEX('Compliance Database'!$H$2:$H$1960,MATCH(63,'Transfer Engine'!$C$2:$C$1960,0)))</f>
        <v/>
      </c>
      <c r="I72" s="9">
        <f>IF(ISNA(MATCH(63,'Transfer Engine'!$C$2:$C$1960,0)),"",INDEX('Compliance Database'!$I$2:$I$1960,MATCH(63,'Transfer Engine'!$C$2:$C$1960,0)))</f>
        <v/>
      </c>
      <c r="J72" s="8">
        <f>IF(ISNA(MATCH(63,'Transfer Engine'!$C$2:$C$1960,0)),"",INDEX('Compliance Database'!$J$2:$J$1960,MATCH(63,'Transfer Engine'!$C$2:$C$1960,0)))</f>
        <v/>
      </c>
      <c r="K72" s="9">
        <f>IF(ISNA(MATCH(63,'Transfer Engine'!$C$2:$C$1960,0)),"",INDEX('Compliance Database'!$K$2:$K$1960,MATCH(63,'Transfer Engine'!$C$2:$C$1960,0)))</f>
        <v/>
      </c>
      <c r="L72" s="9">
        <f>IF(ISNA(MATCH(63,'Transfer Engine'!$C$2:$C$1960,0)),"",INDEX('Compliance Database'!$L$2:$L$1960,MATCH(63,'Transfer Engine'!$C$2:$C$1960,0)))</f>
        <v/>
      </c>
      <c r="M72" s="9">
        <f>IF(ISNA(MATCH(63,'Transfer Engine'!$C$2:$C$1960,0)),"",INDEX('Compliance Database'!$M$2:$M$1960,MATCH(63,'Transfer Engine'!$C$2:$C$1960,0)))</f>
        <v/>
      </c>
      <c r="N72" s="9">
        <f>IF(ISNA(MATCH(63,'Transfer Engine'!$C$2:$C$1960,0)),"",INDEX('Compliance Database'!$N$2:$N$1960,MATCH(63,'Transfer Engine'!$C$2:$C$1960,0)))</f>
        <v/>
      </c>
      <c r="O72" s="9">
        <f>IF(ISNA(MATCH(63,'Transfer Engine'!$C$2:$C$1960,0)),"",INDEX('Compliance Database'!$O$2:$O$1960,MATCH(63,'Transfer Engine'!$C$2:$C$1960,0)))</f>
        <v/>
      </c>
      <c r="P72" s="8">
        <f>IF(ISNA(MATCH(63,'Transfer Engine'!$C$2:$C$1960,0)),"",HYPERLINK("#Acts!A"&amp;INDEX('Compliance Database'!$P$2:$P$1960,MATCH(63,'Transfer Engine'!$C$2:$C$1960,0)),"Go to Act"))</f>
        <v/>
      </c>
    </row>
    <row r="73" ht="158" customHeight="1">
      <c r="A73" s="8">
        <f>IF(ISNA(MATCH(64,'Transfer Engine'!$C$2:$C$1960,0)),"",INDEX('Compliance Database'!$A$2:$A$1960,MATCH(64,'Transfer Engine'!$C$2:$C$1960,0)))</f>
        <v/>
      </c>
      <c r="B73" s="8">
        <f>IF(ISNA(MATCH(64,'Transfer Engine'!$C$2:$C$1960,0)),"",INDEX('Compliance Database'!$B$2:$B$1960,MATCH(64,'Transfer Engine'!$C$2:$C$1960,0)))</f>
        <v/>
      </c>
      <c r="C73" s="8">
        <f>IF(ISNA(MATCH(64,'Transfer Engine'!$C$2:$C$1960,0)),"",INDEX('Compliance Database'!$C$2:$C$1960,MATCH(64,'Transfer Engine'!$C$2:$C$1960,0)))</f>
        <v/>
      </c>
      <c r="D73" s="9">
        <f>IF(ISNA(MATCH(64,'Transfer Engine'!$C$2:$C$1960,0)),"",INDEX('Compliance Database'!$D$2:$D$1960,MATCH(64,'Transfer Engine'!$C$2:$C$1960,0)))</f>
        <v/>
      </c>
      <c r="E73" s="8">
        <f>IF(ISNA(MATCH(64,'Transfer Engine'!$C$2:$C$1960,0)),"",INDEX('Compliance Database'!$E$2:$E$1960,MATCH(64,'Transfer Engine'!$C$2:$C$1960,0)))</f>
        <v/>
      </c>
      <c r="F73" s="8">
        <f>IF(ISNA(MATCH(64,'Transfer Engine'!$C$2:$C$1960,0)),"",INDEX('Compliance Database'!$F$2:$F$1960,MATCH(64,'Transfer Engine'!$C$2:$C$1960,0)))</f>
        <v/>
      </c>
      <c r="G73" s="8">
        <f>IF(ISNA(MATCH(64,'Transfer Engine'!$C$2:$C$1960,0)),"",INDEX('Compliance Database'!$G$2:$G$1960,MATCH(64,'Transfer Engine'!$C$2:$C$1960,0)))</f>
        <v/>
      </c>
      <c r="H73" s="9">
        <f>IF(ISNA(MATCH(64,'Transfer Engine'!$C$2:$C$1960,0)),"",INDEX('Compliance Database'!$H$2:$H$1960,MATCH(64,'Transfer Engine'!$C$2:$C$1960,0)))</f>
        <v/>
      </c>
      <c r="I73" s="9">
        <f>IF(ISNA(MATCH(64,'Transfer Engine'!$C$2:$C$1960,0)),"",INDEX('Compliance Database'!$I$2:$I$1960,MATCH(64,'Transfer Engine'!$C$2:$C$1960,0)))</f>
        <v/>
      </c>
      <c r="J73" s="8">
        <f>IF(ISNA(MATCH(64,'Transfer Engine'!$C$2:$C$1960,0)),"",INDEX('Compliance Database'!$J$2:$J$1960,MATCH(64,'Transfer Engine'!$C$2:$C$1960,0)))</f>
        <v/>
      </c>
      <c r="K73" s="9">
        <f>IF(ISNA(MATCH(64,'Transfer Engine'!$C$2:$C$1960,0)),"",INDEX('Compliance Database'!$K$2:$K$1960,MATCH(64,'Transfer Engine'!$C$2:$C$1960,0)))</f>
        <v/>
      </c>
      <c r="L73" s="9">
        <f>IF(ISNA(MATCH(64,'Transfer Engine'!$C$2:$C$1960,0)),"",INDEX('Compliance Database'!$L$2:$L$1960,MATCH(64,'Transfer Engine'!$C$2:$C$1960,0)))</f>
        <v/>
      </c>
      <c r="M73" s="9">
        <f>IF(ISNA(MATCH(64,'Transfer Engine'!$C$2:$C$1960,0)),"",INDEX('Compliance Database'!$M$2:$M$1960,MATCH(64,'Transfer Engine'!$C$2:$C$1960,0)))</f>
        <v/>
      </c>
      <c r="N73" s="9">
        <f>IF(ISNA(MATCH(64,'Transfer Engine'!$C$2:$C$1960,0)),"",INDEX('Compliance Database'!$N$2:$N$1960,MATCH(64,'Transfer Engine'!$C$2:$C$1960,0)))</f>
        <v/>
      </c>
      <c r="O73" s="9">
        <f>IF(ISNA(MATCH(64,'Transfer Engine'!$C$2:$C$1960,0)),"",INDEX('Compliance Database'!$O$2:$O$1960,MATCH(64,'Transfer Engine'!$C$2:$C$1960,0)))</f>
        <v/>
      </c>
      <c r="P73" s="8">
        <f>IF(ISNA(MATCH(64,'Transfer Engine'!$C$2:$C$1960,0)),"",HYPERLINK("#Acts!A"&amp;INDEX('Compliance Database'!$P$2:$P$1960,MATCH(64,'Transfer Engine'!$C$2:$C$1960,0)),"Go to Act"))</f>
        <v/>
      </c>
    </row>
    <row r="74" ht="158" customHeight="1">
      <c r="A74" s="8">
        <f>IF(ISNA(MATCH(65,'Transfer Engine'!$C$2:$C$1960,0)),"",INDEX('Compliance Database'!$A$2:$A$1960,MATCH(65,'Transfer Engine'!$C$2:$C$1960,0)))</f>
        <v/>
      </c>
      <c r="B74" s="8">
        <f>IF(ISNA(MATCH(65,'Transfer Engine'!$C$2:$C$1960,0)),"",INDEX('Compliance Database'!$B$2:$B$1960,MATCH(65,'Transfer Engine'!$C$2:$C$1960,0)))</f>
        <v/>
      </c>
      <c r="C74" s="8">
        <f>IF(ISNA(MATCH(65,'Transfer Engine'!$C$2:$C$1960,0)),"",INDEX('Compliance Database'!$C$2:$C$1960,MATCH(65,'Transfer Engine'!$C$2:$C$1960,0)))</f>
        <v/>
      </c>
      <c r="D74" s="9">
        <f>IF(ISNA(MATCH(65,'Transfer Engine'!$C$2:$C$1960,0)),"",INDEX('Compliance Database'!$D$2:$D$1960,MATCH(65,'Transfer Engine'!$C$2:$C$1960,0)))</f>
        <v/>
      </c>
      <c r="E74" s="8">
        <f>IF(ISNA(MATCH(65,'Transfer Engine'!$C$2:$C$1960,0)),"",INDEX('Compliance Database'!$E$2:$E$1960,MATCH(65,'Transfer Engine'!$C$2:$C$1960,0)))</f>
        <v/>
      </c>
      <c r="F74" s="8">
        <f>IF(ISNA(MATCH(65,'Transfer Engine'!$C$2:$C$1960,0)),"",INDEX('Compliance Database'!$F$2:$F$1960,MATCH(65,'Transfer Engine'!$C$2:$C$1960,0)))</f>
        <v/>
      </c>
      <c r="G74" s="8">
        <f>IF(ISNA(MATCH(65,'Transfer Engine'!$C$2:$C$1960,0)),"",INDEX('Compliance Database'!$G$2:$G$1960,MATCH(65,'Transfer Engine'!$C$2:$C$1960,0)))</f>
        <v/>
      </c>
      <c r="H74" s="9">
        <f>IF(ISNA(MATCH(65,'Transfer Engine'!$C$2:$C$1960,0)),"",INDEX('Compliance Database'!$H$2:$H$1960,MATCH(65,'Transfer Engine'!$C$2:$C$1960,0)))</f>
        <v/>
      </c>
      <c r="I74" s="9">
        <f>IF(ISNA(MATCH(65,'Transfer Engine'!$C$2:$C$1960,0)),"",INDEX('Compliance Database'!$I$2:$I$1960,MATCH(65,'Transfer Engine'!$C$2:$C$1960,0)))</f>
        <v/>
      </c>
      <c r="J74" s="8">
        <f>IF(ISNA(MATCH(65,'Transfer Engine'!$C$2:$C$1960,0)),"",INDEX('Compliance Database'!$J$2:$J$1960,MATCH(65,'Transfer Engine'!$C$2:$C$1960,0)))</f>
        <v/>
      </c>
      <c r="K74" s="9">
        <f>IF(ISNA(MATCH(65,'Transfer Engine'!$C$2:$C$1960,0)),"",INDEX('Compliance Database'!$K$2:$K$1960,MATCH(65,'Transfer Engine'!$C$2:$C$1960,0)))</f>
        <v/>
      </c>
      <c r="L74" s="9">
        <f>IF(ISNA(MATCH(65,'Transfer Engine'!$C$2:$C$1960,0)),"",INDEX('Compliance Database'!$L$2:$L$1960,MATCH(65,'Transfer Engine'!$C$2:$C$1960,0)))</f>
        <v/>
      </c>
      <c r="M74" s="9">
        <f>IF(ISNA(MATCH(65,'Transfer Engine'!$C$2:$C$1960,0)),"",INDEX('Compliance Database'!$M$2:$M$1960,MATCH(65,'Transfer Engine'!$C$2:$C$1960,0)))</f>
        <v/>
      </c>
      <c r="N74" s="9">
        <f>IF(ISNA(MATCH(65,'Transfer Engine'!$C$2:$C$1960,0)),"",INDEX('Compliance Database'!$N$2:$N$1960,MATCH(65,'Transfer Engine'!$C$2:$C$1960,0)))</f>
        <v/>
      </c>
      <c r="O74" s="9">
        <f>IF(ISNA(MATCH(65,'Transfer Engine'!$C$2:$C$1960,0)),"",INDEX('Compliance Database'!$O$2:$O$1960,MATCH(65,'Transfer Engine'!$C$2:$C$1960,0)))</f>
        <v/>
      </c>
      <c r="P74" s="8">
        <f>IF(ISNA(MATCH(65,'Transfer Engine'!$C$2:$C$1960,0)),"",HYPERLINK("#Acts!A"&amp;INDEX('Compliance Database'!$P$2:$P$1960,MATCH(65,'Transfer Engine'!$C$2:$C$1960,0)),"Go to Act"))</f>
        <v/>
      </c>
    </row>
    <row r="75" ht="158" customHeight="1">
      <c r="A75" s="8">
        <f>IF(ISNA(MATCH(66,'Transfer Engine'!$C$2:$C$1960,0)),"",INDEX('Compliance Database'!$A$2:$A$1960,MATCH(66,'Transfer Engine'!$C$2:$C$1960,0)))</f>
        <v/>
      </c>
      <c r="B75" s="8">
        <f>IF(ISNA(MATCH(66,'Transfer Engine'!$C$2:$C$1960,0)),"",INDEX('Compliance Database'!$B$2:$B$1960,MATCH(66,'Transfer Engine'!$C$2:$C$1960,0)))</f>
        <v/>
      </c>
      <c r="C75" s="8">
        <f>IF(ISNA(MATCH(66,'Transfer Engine'!$C$2:$C$1960,0)),"",INDEX('Compliance Database'!$C$2:$C$1960,MATCH(66,'Transfer Engine'!$C$2:$C$1960,0)))</f>
        <v/>
      </c>
      <c r="D75" s="9">
        <f>IF(ISNA(MATCH(66,'Transfer Engine'!$C$2:$C$1960,0)),"",INDEX('Compliance Database'!$D$2:$D$1960,MATCH(66,'Transfer Engine'!$C$2:$C$1960,0)))</f>
        <v/>
      </c>
      <c r="E75" s="8">
        <f>IF(ISNA(MATCH(66,'Transfer Engine'!$C$2:$C$1960,0)),"",INDEX('Compliance Database'!$E$2:$E$1960,MATCH(66,'Transfer Engine'!$C$2:$C$1960,0)))</f>
        <v/>
      </c>
      <c r="F75" s="8">
        <f>IF(ISNA(MATCH(66,'Transfer Engine'!$C$2:$C$1960,0)),"",INDEX('Compliance Database'!$F$2:$F$1960,MATCH(66,'Transfer Engine'!$C$2:$C$1960,0)))</f>
        <v/>
      </c>
      <c r="G75" s="8">
        <f>IF(ISNA(MATCH(66,'Transfer Engine'!$C$2:$C$1960,0)),"",INDEX('Compliance Database'!$G$2:$G$1960,MATCH(66,'Transfer Engine'!$C$2:$C$1960,0)))</f>
        <v/>
      </c>
      <c r="H75" s="9">
        <f>IF(ISNA(MATCH(66,'Transfer Engine'!$C$2:$C$1960,0)),"",INDEX('Compliance Database'!$H$2:$H$1960,MATCH(66,'Transfer Engine'!$C$2:$C$1960,0)))</f>
        <v/>
      </c>
      <c r="I75" s="9">
        <f>IF(ISNA(MATCH(66,'Transfer Engine'!$C$2:$C$1960,0)),"",INDEX('Compliance Database'!$I$2:$I$1960,MATCH(66,'Transfer Engine'!$C$2:$C$1960,0)))</f>
        <v/>
      </c>
      <c r="J75" s="8">
        <f>IF(ISNA(MATCH(66,'Transfer Engine'!$C$2:$C$1960,0)),"",INDEX('Compliance Database'!$J$2:$J$1960,MATCH(66,'Transfer Engine'!$C$2:$C$1960,0)))</f>
        <v/>
      </c>
      <c r="K75" s="9">
        <f>IF(ISNA(MATCH(66,'Transfer Engine'!$C$2:$C$1960,0)),"",INDEX('Compliance Database'!$K$2:$K$1960,MATCH(66,'Transfer Engine'!$C$2:$C$1960,0)))</f>
        <v/>
      </c>
      <c r="L75" s="9">
        <f>IF(ISNA(MATCH(66,'Transfer Engine'!$C$2:$C$1960,0)),"",INDEX('Compliance Database'!$L$2:$L$1960,MATCH(66,'Transfer Engine'!$C$2:$C$1960,0)))</f>
        <v/>
      </c>
      <c r="M75" s="9">
        <f>IF(ISNA(MATCH(66,'Transfer Engine'!$C$2:$C$1960,0)),"",INDEX('Compliance Database'!$M$2:$M$1960,MATCH(66,'Transfer Engine'!$C$2:$C$1960,0)))</f>
        <v/>
      </c>
      <c r="N75" s="9">
        <f>IF(ISNA(MATCH(66,'Transfer Engine'!$C$2:$C$1960,0)),"",INDEX('Compliance Database'!$N$2:$N$1960,MATCH(66,'Transfer Engine'!$C$2:$C$1960,0)))</f>
        <v/>
      </c>
      <c r="O75" s="9">
        <f>IF(ISNA(MATCH(66,'Transfer Engine'!$C$2:$C$1960,0)),"",INDEX('Compliance Database'!$O$2:$O$1960,MATCH(66,'Transfer Engine'!$C$2:$C$1960,0)))</f>
        <v/>
      </c>
      <c r="P75" s="8">
        <f>IF(ISNA(MATCH(66,'Transfer Engine'!$C$2:$C$1960,0)),"",HYPERLINK("#Acts!A"&amp;INDEX('Compliance Database'!$P$2:$P$1960,MATCH(66,'Transfer Engine'!$C$2:$C$1960,0)),"Go to Act"))</f>
        <v/>
      </c>
    </row>
    <row r="76" ht="158" customHeight="1">
      <c r="A76" s="8">
        <f>IF(ISNA(MATCH(67,'Transfer Engine'!$C$2:$C$1960,0)),"",INDEX('Compliance Database'!$A$2:$A$1960,MATCH(67,'Transfer Engine'!$C$2:$C$1960,0)))</f>
        <v/>
      </c>
      <c r="B76" s="8">
        <f>IF(ISNA(MATCH(67,'Transfer Engine'!$C$2:$C$1960,0)),"",INDEX('Compliance Database'!$B$2:$B$1960,MATCH(67,'Transfer Engine'!$C$2:$C$1960,0)))</f>
        <v/>
      </c>
      <c r="C76" s="8">
        <f>IF(ISNA(MATCH(67,'Transfer Engine'!$C$2:$C$1960,0)),"",INDEX('Compliance Database'!$C$2:$C$1960,MATCH(67,'Transfer Engine'!$C$2:$C$1960,0)))</f>
        <v/>
      </c>
      <c r="D76" s="9">
        <f>IF(ISNA(MATCH(67,'Transfer Engine'!$C$2:$C$1960,0)),"",INDEX('Compliance Database'!$D$2:$D$1960,MATCH(67,'Transfer Engine'!$C$2:$C$1960,0)))</f>
        <v/>
      </c>
      <c r="E76" s="8">
        <f>IF(ISNA(MATCH(67,'Transfer Engine'!$C$2:$C$1960,0)),"",INDEX('Compliance Database'!$E$2:$E$1960,MATCH(67,'Transfer Engine'!$C$2:$C$1960,0)))</f>
        <v/>
      </c>
      <c r="F76" s="8">
        <f>IF(ISNA(MATCH(67,'Transfer Engine'!$C$2:$C$1960,0)),"",INDEX('Compliance Database'!$F$2:$F$1960,MATCH(67,'Transfer Engine'!$C$2:$C$1960,0)))</f>
        <v/>
      </c>
      <c r="G76" s="8">
        <f>IF(ISNA(MATCH(67,'Transfer Engine'!$C$2:$C$1960,0)),"",INDEX('Compliance Database'!$G$2:$G$1960,MATCH(67,'Transfer Engine'!$C$2:$C$1960,0)))</f>
        <v/>
      </c>
      <c r="H76" s="9">
        <f>IF(ISNA(MATCH(67,'Transfer Engine'!$C$2:$C$1960,0)),"",INDEX('Compliance Database'!$H$2:$H$1960,MATCH(67,'Transfer Engine'!$C$2:$C$1960,0)))</f>
        <v/>
      </c>
      <c r="I76" s="9">
        <f>IF(ISNA(MATCH(67,'Transfer Engine'!$C$2:$C$1960,0)),"",INDEX('Compliance Database'!$I$2:$I$1960,MATCH(67,'Transfer Engine'!$C$2:$C$1960,0)))</f>
        <v/>
      </c>
      <c r="J76" s="8">
        <f>IF(ISNA(MATCH(67,'Transfer Engine'!$C$2:$C$1960,0)),"",INDEX('Compliance Database'!$J$2:$J$1960,MATCH(67,'Transfer Engine'!$C$2:$C$1960,0)))</f>
        <v/>
      </c>
      <c r="K76" s="9">
        <f>IF(ISNA(MATCH(67,'Transfer Engine'!$C$2:$C$1960,0)),"",INDEX('Compliance Database'!$K$2:$K$1960,MATCH(67,'Transfer Engine'!$C$2:$C$1960,0)))</f>
        <v/>
      </c>
      <c r="L76" s="9">
        <f>IF(ISNA(MATCH(67,'Transfer Engine'!$C$2:$C$1960,0)),"",INDEX('Compliance Database'!$L$2:$L$1960,MATCH(67,'Transfer Engine'!$C$2:$C$1960,0)))</f>
        <v/>
      </c>
      <c r="M76" s="9">
        <f>IF(ISNA(MATCH(67,'Transfer Engine'!$C$2:$C$1960,0)),"",INDEX('Compliance Database'!$M$2:$M$1960,MATCH(67,'Transfer Engine'!$C$2:$C$1960,0)))</f>
        <v/>
      </c>
      <c r="N76" s="9">
        <f>IF(ISNA(MATCH(67,'Transfer Engine'!$C$2:$C$1960,0)),"",INDEX('Compliance Database'!$N$2:$N$1960,MATCH(67,'Transfer Engine'!$C$2:$C$1960,0)))</f>
        <v/>
      </c>
      <c r="O76" s="9">
        <f>IF(ISNA(MATCH(67,'Transfer Engine'!$C$2:$C$1960,0)),"",INDEX('Compliance Database'!$O$2:$O$1960,MATCH(67,'Transfer Engine'!$C$2:$C$1960,0)))</f>
        <v/>
      </c>
      <c r="P76" s="8">
        <f>IF(ISNA(MATCH(67,'Transfer Engine'!$C$2:$C$1960,0)),"",HYPERLINK("#Acts!A"&amp;INDEX('Compliance Database'!$P$2:$P$1960,MATCH(67,'Transfer Engine'!$C$2:$C$1960,0)),"Go to Act"))</f>
        <v/>
      </c>
    </row>
    <row r="77" ht="158" customHeight="1">
      <c r="A77" s="8">
        <f>IF(ISNA(MATCH(68,'Transfer Engine'!$C$2:$C$1960,0)),"",INDEX('Compliance Database'!$A$2:$A$1960,MATCH(68,'Transfer Engine'!$C$2:$C$1960,0)))</f>
        <v/>
      </c>
      <c r="B77" s="8">
        <f>IF(ISNA(MATCH(68,'Transfer Engine'!$C$2:$C$1960,0)),"",INDEX('Compliance Database'!$B$2:$B$1960,MATCH(68,'Transfer Engine'!$C$2:$C$1960,0)))</f>
        <v/>
      </c>
      <c r="C77" s="8">
        <f>IF(ISNA(MATCH(68,'Transfer Engine'!$C$2:$C$1960,0)),"",INDEX('Compliance Database'!$C$2:$C$1960,MATCH(68,'Transfer Engine'!$C$2:$C$1960,0)))</f>
        <v/>
      </c>
      <c r="D77" s="9">
        <f>IF(ISNA(MATCH(68,'Transfer Engine'!$C$2:$C$1960,0)),"",INDEX('Compliance Database'!$D$2:$D$1960,MATCH(68,'Transfer Engine'!$C$2:$C$1960,0)))</f>
        <v/>
      </c>
      <c r="E77" s="8">
        <f>IF(ISNA(MATCH(68,'Transfer Engine'!$C$2:$C$1960,0)),"",INDEX('Compliance Database'!$E$2:$E$1960,MATCH(68,'Transfer Engine'!$C$2:$C$1960,0)))</f>
        <v/>
      </c>
      <c r="F77" s="8">
        <f>IF(ISNA(MATCH(68,'Transfer Engine'!$C$2:$C$1960,0)),"",INDEX('Compliance Database'!$F$2:$F$1960,MATCH(68,'Transfer Engine'!$C$2:$C$1960,0)))</f>
        <v/>
      </c>
      <c r="G77" s="8">
        <f>IF(ISNA(MATCH(68,'Transfer Engine'!$C$2:$C$1960,0)),"",INDEX('Compliance Database'!$G$2:$G$1960,MATCH(68,'Transfer Engine'!$C$2:$C$1960,0)))</f>
        <v/>
      </c>
      <c r="H77" s="9">
        <f>IF(ISNA(MATCH(68,'Transfer Engine'!$C$2:$C$1960,0)),"",INDEX('Compliance Database'!$H$2:$H$1960,MATCH(68,'Transfer Engine'!$C$2:$C$1960,0)))</f>
        <v/>
      </c>
      <c r="I77" s="9">
        <f>IF(ISNA(MATCH(68,'Transfer Engine'!$C$2:$C$1960,0)),"",INDEX('Compliance Database'!$I$2:$I$1960,MATCH(68,'Transfer Engine'!$C$2:$C$1960,0)))</f>
        <v/>
      </c>
      <c r="J77" s="8">
        <f>IF(ISNA(MATCH(68,'Transfer Engine'!$C$2:$C$1960,0)),"",INDEX('Compliance Database'!$J$2:$J$1960,MATCH(68,'Transfer Engine'!$C$2:$C$1960,0)))</f>
        <v/>
      </c>
      <c r="K77" s="9">
        <f>IF(ISNA(MATCH(68,'Transfer Engine'!$C$2:$C$1960,0)),"",INDEX('Compliance Database'!$K$2:$K$1960,MATCH(68,'Transfer Engine'!$C$2:$C$1960,0)))</f>
        <v/>
      </c>
      <c r="L77" s="9">
        <f>IF(ISNA(MATCH(68,'Transfer Engine'!$C$2:$C$1960,0)),"",INDEX('Compliance Database'!$L$2:$L$1960,MATCH(68,'Transfer Engine'!$C$2:$C$1960,0)))</f>
        <v/>
      </c>
      <c r="M77" s="9">
        <f>IF(ISNA(MATCH(68,'Transfer Engine'!$C$2:$C$1960,0)),"",INDEX('Compliance Database'!$M$2:$M$1960,MATCH(68,'Transfer Engine'!$C$2:$C$1960,0)))</f>
        <v/>
      </c>
      <c r="N77" s="9">
        <f>IF(ISNA(MATCH(68,'Transfer Engine'!$C$2:$C$1960,0)),"",INDEX('Compliance Database'!$N$2:$N$1960,MATCH(68,'Transfer Engine'!$C$2:$C$1960,0)))</f>
        <v/>
      </c>
      <c r="O77" s="9">
        <f>IF(ISNA(MATCH(68,'Transfer Engine'!$C$2:$C$1960,0)),"",INDEX('Compliance Database'!$O$2:$O$1960,MATCH(68,'Transfer Engine'!$C$2:$C$1960,0)))</f>
        <v/>
      </c>
      <c r="P77" s="8">
        <f>IF(ISNA(MATCH(68,'Transfer Engine'!$C$2:$C$1960,0)),"",HYPERLINK("#Acts!A"&amp;INDEX('Compliance Database'!$P$2:$P$1960,MATCH(68,'Transfer Engine'!$C$2:$C$1960,0)),"Go to Act"))</f>
        <v/>
      </c>
    </row>
    <row r="78" ht="158" customHeight="1">
      <c r="A78" s="8">
        <f>IF(ISNA(MATCH(69,'Transfer Engine'!$C$2:$C$1960,0)),"",INDEX('Compliance Database'!$A$2:$A$1960,MATCH(69,'Transfer Engine'!$C$2:$C$1960,0)))</f>
        <v/>
      </c>
      <c r="B78" s="8">
        <f>IF(ISNA(MATCH(69,'Transfer Engine'!$C$2:$C$1960,0)),"",INDEX('Compliance Database'!$B$2:$B$1960,MATCH(69,'Transfer Engine'!$C$2:$C$1960,0)))</f>
        <v/>
      </c>
      <c r="C78" s="8">
        <f>IF(ISNA(MATCH(69,'Transfer Engine'!$C$2:$C$1960,0)),"",INDEX('Compliance Database'!$C$2:$C$1960,MATCH(69,'Transfer Engine'!$C$2:$C$1960,0)))</f>
        <v/>
      </c>
      <c r="D78" s="9">
        <f>IF(ISNA(MATCH(69,'Transfer Engine'!$C$2:$C$1960,0)),"",INDEX('Compliance Database'!$D$2:$D$1960,MATCH(69,'Transfer Engine'!$C$2:$C$1960,0)))</f>
        <v/>
      </c>
      <c r="E78" s="8">
        <f>IF(ISNA(MATCH(69,'Transfer Engine'!$C$2:$C$1960,0)),"",INDEX('Compliance Database'!$E$2:$E$1960,MATCH(69,'Transfer Engine'!$C$2:$C$1960,0)))</f>
        <v/>
      </c>
      <c r="F78" s="8">
        <f>IF(ISNA(MATCH(69,'Transfer Engine'!$C$2:$C$1960,0)),"",INDEX('Compliance Database'!$F$2:$F$1960,MATCH(69,'Transfer Engine'!$C$2:$C$1960,0)))</f>
        <v/>
      </c>
      <c r="G78" s="8">
        <f>IF(ISNA(MATCH(69,'Transfer Engine'!$C$2:$C$1960,0)),"",INDEX('Compliance Database'!$G$2:$G$1960,MATCH(69,'Transfer Engine'!$C$2:$C$1960,0)))</f>
        <v/>
      </c>
      <c r="H78" s="9">
        <f>IF(ISNA(MATCH(69,'Transfer Engine'!$C$2:$C$1960,0)),"",INDEX('Compliance Database'!$H$2:$H$1960,MATCH(69,'Transfer Engine'!$C$2:$C$1960,0)))</f>
        <v/>
      </c>
      <c r="I78" s="9">
        <f>IF(ISNA(MATCH(69,'Transfer Engine'!$C$2:$C$1960,0)),"",INDEX('Compliance Database'!$I$2:$I$1960,MATCH(69,'Transfer Engine'!$C$2:$C$1960,0)))</f>
        <v/>
      </c>
      <c r="J78" s="8">
        <f>IF(ISNA(MATCH(69,'Transfer Engine'!$C$2:$C$1960,0)),"",INDEX('Compliance Database'!$J$2:$J$1960,MATCH(69,'Transfer Engine'!$C$2:$C$1960,0)))</f>
        <v/>
      </c>
      <c r="K78" s="9">
        <f>IF(ISNA(MATCH(69,'Transfer Engine'!$C$2:$C$1960,0)),"",INDEX('Compliance Database'!$K$2:$K$1960,MATCH(69,'Transfer Engine'!$C$2:$C$1960,0)))</f>
        <v/>
      </c>
      <c r="L78" s="9">
        <f>IF(ISNA(MATCH(69,'Transfer Engine'!$C$2:$C$1960,0)),"",INDEX('Compliance Database'!$L$2:$L$1960,MATCH(69,'Transfer Engine'!$C$2:$C$1960,0)))</f>
        <v/>
      </c>
      <c r="M78" s="9">
        <f>IF(ISNA(MATCH(69,'Transfer Engine'!$C$2:$C$1960,0)),"",INDEX('Compliance Database'!$M$2:$M$1960,MATCH(69,'Transfer Engine'!$C$2:$C$1960,0)))</f>
        <v/>
      </c>
      <c r="N78" s="9">
        <f>IF(ISNA(MATCH(69,'Transfer Engine'!$C$2:$C$1960,0)),"",INDEX('Compliance Database'!$N$2:$N$1960,MATCH(69,'Transfer Engine'!$C$2:$C$1960,0)))</f>
        <v/>
      </c>
      <c r="O78" s="9">
        <f>IF(ISNA(MATCH(69,'Transfer Engine'!$C$2:$C$1960,0)),"",INDEX('Compliance Database'!$O$2:$O$1960,MATCH(69,'Transfer Engine'!$C$2:$C$1960,0)))</f>
        <v/>
      </c>
      <c r="P78" s="8">
        <f>IF(ISNA(MATCH(69,'Transfer Engine'!$C$2:$C$1960,0)),"",HYPERLINK("#Acts!A"&amp;INDEX('Compliance Database'!$P$2:$P$1960,MATCH(69,'Transfer Engine'!$C$2:$C$1960,0)),"Go to Act"))</f>
        <v/>
      </c>
    </row>
    <row r="79" ht="158" customHeight="1">
      <c r="A79" s="8">
        <f>IF(ISNA(MATCH(70,'Transfer Engine'!$C$2:$C$1960,0)),"",INDEX('Compliance Database'!$A$2:$A$1960,MATCH(70,'Transfer Engine'!$C$2:$C$1960,0)))</f>
        <v/>
      </c>
      <c r="B79" s="8">
        <f>IF(ISNA(MATCH(70,'Transfer Engine'!$C$2:$C$1960,0)),"",INDEX('Compliance Database'!$B$2:$B$1960,MATCH(70,'Transfer Engine'!$C$2:$C$1960,0)))</f>
        <v/>
      </c>
      <c r="C79" s="8">
        <f>IF(ISNA(MATCH(70,'Transfer Engine'!$C$2:$C$1960,0)),"",INDEX('Compliance Database'!$C$2:$C$1960,MATCH(70,'Transfer Engine'!$C$2:$C$1960,0)))</f>
        <v/>
      </c>
      <c r="D79" s="9">
        <f>IF(ISNA(MATCH(70,'Transfer Engine'!$C$2:$C$1960,0)),"",INDEX('Compliance Database'!$D$2:$D$1960,MATCH(70,'Transfer Engine'!$C$2:$C$1960,0)))</f>
        <v/>
      </c>
      <c r="E79" s="8">
        <f>IF(ISNA(MATCH(70,'Transfer Engine'!$C$2:$C$1960,0)),"",INDEX('Compliance Database'!$E$2:$E$1960,MATCH(70,'Transfer Engine'!$C$2:$C$1960,0)))</f>
        <v/>
      </c>
      <c r="F79" s="8">
        <f>IF(ISNA(MATCH(70,'Transfer Engine'!$C$2:$C$1960,0)),"",INDEX('Compliance Database'!$F$2:$F$1960,MATCH(70,'Transfer Engine'!$C$2:$C$1960,0)))</f>
        <v/>
      </c>
      <c r="G79" s="8">
        <f>IF(ISNA(MATCH(70,'Transfer Engine'!$C$2:$C$1960,0)),"",INDEX('Compliance Database'!$G$2:$G$1960,MATCH(70,'Transfer Engine'!$C$2:$C$1960,0)))</f>
        <v/>
      </c>
      <c r="H79" s="9">
        <f>IF(ISNA(MATCH(70,'Transfer Engine'!$C$2:$C$1960,0)),"",INDEX('Compliance Database'!$H$2:$H$1960,MATCH(70,'Transfer Engine'!$C$2:$C$1960,0)))</f>
        <v/>
      </c>
      <c r="I79" s="9">
        <f>IF(ISNA(MATCH(70,'Transfer Engine'!$C$2:$C$1960,0)),"",INDEX('Compliance Database'!$I$2:$I$1960,MATCH(70,'Transfer Engine'!$C$2:$C$1960,0)))</f>
        <v/>
      </c>
      <c r="J79" s="8">
        <f>IF(ISNA(MATCH(70,'Transfer Engine'!$C$2:$C$1960,0)),"",INDEX('Compliance Database'!$J$2:$J$1960,MATCH(70,'Transfer Engine'!$C$2:$C$1960,0)))</f>
        <v/>
      </c>
      <c r="K79" s="9">
        <f>IF(ISNA(MATCH(70,'Transfer Engine'!$C$2:$C$1960,0)),"",INDEX('Compliance Database'!$K$2:$K$1960,MATCH(70,'Transfer Engine'!$C$2:$C$1960,0)))</f>
        <v/>
      </c>
      <c r="L79" s="9">
        <f>IF(ISNA(MATCH(70,'Transfer Engine'!$C$2:$C$1960,0)),"",INDEX('Compliance Database'!$L$2:$L$1960,MATCH(70,'Transfer Engine'!$C$2:$C$1960,0)))</f>
        <v/>
      </c>
      <c r="M79" s="9">
        <f>IF(ISNA(MATCH(70,'Transfer Engine'!$C$2:$C$1960,0)),"",INDEX('Compliance Database'!$M$2:$M$1960,MATCH(70,'Transfer Engine'!$C$2:$C$1960,0)))</f>
        <v/>
      </c>
      <c r="N79" s="9">
        <f>IF(ISNA(MATCH(70,'Transfer Engine'!$C$2:$C$1960,0)),"",INDEX('Compliance Database'!$N$2:$N$1960,MATCH(70,'Transfer Engine'!$C$2:$C$1960,0)))</f>
        <v/>
      </c>
      <c r="O79" s="9">
        <f>IF(ISNA(MATCH(70,'Transfer Engine'!$C$2:$C$1960,0)),"",INDEX('Compliance Database'!$O$2:$O$1960,MATCH(70,'Transfer Engine'!$C$2:$C$1960,0)))</f>
        <v/>
      </c>
      <c r="P79" s="8">
        <f>IF(ISNA(MATCH(70,'Transfer Engine'!$C$2:$C$1960,0)),"",HYPERLINK("#Acts!A"&amp;INDEX('Compliance Database'!$P$2:$P$1960,MATCH(70,'Transfer Engine'!$C$2:$C$1960,0)),"Go to Act"))</f>
        <v/>
      </c>
    </row>
    <row r="80" ht="158" customHeight="1">
      <c r="A80" s="8">
        <f>IF(ISNA(MATCH(71,'Transfer Engine'!$C$2:$C$1960,0)),"",INDEX('Compliance Database'!$A$2:$A$1960,MATCH(71,'Transfer Engine'!$C$2:$C$1960,0)))</f>
        <v/>
      </c>
      <c r="B80" s="8">
        <f>IF(ISNA(MATCH(71,'Transfer Engine'!$C$2:$C$1960,0)),"",INDEX('Compliance Database'!$B$2:$B$1960,MATCH(71,'Transfer Engine'!$C$2:$C$1960,0)))</f>
        <v/>
      </c>
      <c r="C80" s="8">
        <f>IF(ISNA(MATCH(71,'Transfer Engine'!$C$2:$C$1960,0)),"",INDEX('Compliance Database'!$C$2:$C$1960,MATCH(71,'Transfer Engine'!$C$2:$C$1960,0)))</f>
        <v/>
      </c>
      <c r="D80" s="9">
        <f>IF(ISNA(MATCH(71,'Transfer Engine'!$C$2:$C$1960,0)),"",INDEX('Compliance Database'!$D$2:$D$1960,MATCH(71,'Transfer Engine'!$C$2:$C$1960,0)))</f>
        <v/>
      </c>
      <c r="E80" s="8">
        <f>IF(ISNA(MATCH(71,'Transfer Engine'!$C$2:$C$1960,0)),"",INDEX('Compliance Database'!$E$2:$E$1960,MATCH(71,'Transfer Engine'!$C$2:$C$1960,0)))</f>
        <v/>
      </c>
      <c r="F80" s="8">
        <f>IF(ISNA(MATCH(71,'Transfer Engine'!$C$2:$C$1960,0)),"",INDEX('Compliance Database'!$F$2:$F$1960,MATCH(71,'Transfer Engine'!$C$2:$C$1960,0)))</f>
        <v/>
      </c>
      <c r="G80" s="8">
        <f>IF(ISNA(MATCH(71,'Transfer Engine'!$C$2:$C$1960,0)),"",INDEX('Compliance Database'!$G$2:$G$1960,MATCH(71,'Transfer Engine'!$C$2:$C$1960,0)))</f>
        <v/>
      </c>
      <c r="H80" s="9">
        <f>IF(ISNA(MATCH(71,'Transfer Engine'!$C$2:$C$1960,0)),"",INDEX('Compliance Database'!$H$2:$H$1960,MATCH(71,'Transfer Engine'!$C$2:$C$1960,0)))</f>
        <v/>
      </c>
      <c r="I80" s="9">
        <f>IF(ISNA(MATCH(71,'Transfer Engine'!$C$2:$C$1960,0)),"",INDEX('Compliance Database'!$I$2:$I$1960,MATCH(71,'Transfer Engine'!$C$2:$C$1960,0)))</f>
        <v/>
      </c>
      <c r="J80" s="8">
        <f>IF(ISNA(MATCH(71,'Transfer Engine'!$C$2:$C$1960,0)),"",INDEX('Compliance Database'!$J$2:$J$1960,MATCH(71,'Transfer Engine'!$C$2:$C$1960,0)))</f>
        <v/>
      </c>
      <c r="K80" s="9">
        <f>IF(ISNA(MATCH(71,'Transfer Engine'!$C$2:$C$1960,0)),"",INDEX('Compliance Database'!$K$2:$K$1960,MATCH(71,'Transfer Engine'!$C$2:$C$1960,0)))</f>
        <v/>
      </c>
      <c r="L80" s="9">
        <f>IF(ISNA(MATCH(71,'Transfer Engine'!$C$2:$C$1960,0)),"",INDEX('Compliance Database'!$L$2:$L$1960,MATCH(71,'Transfer Engine'!$C$2:$C$1960,0)))</f>
        <v/>
      </c>
      <c r="M80" s="9">
        <f>IF(ISNA(MATCH(71,'Transfer Engine'!$C$2:$C$1960,0)),"",INDEX('Compliance Database'!$M$2:$M$1960,MATCH(71,'Transfer Engine'!$C$2:$C$1960,0)))</f>
        <v/>
      </c>
      <c r="N80" s="9">
        <f>IF(ISNA(MATCH(71,'Transfer Engine'!$C$2:$C$1960,0)),"",INDEX('Compliance Database'!$N$2:$N$1960,MATCH(71,'Transfer Engine'!$C$2:$C$1960,0)))</f>
        <v/>
      </c>
      <c r="O80" s="9">
        <f>IF(ISNA(MATCH(71,'Transfer Engine'!$C$2:$C$1960,0)),"",INDEX('Compliance Database'!$O$2:$O$1960,MATCH(71,'Transfer Engine'!$C$2:$C$1960,0)))</f>
        <v/>
      </c>
      <c r="P80" s="8">
        <f>IF(ISNA(MATCH(71,'Transfer Engine'!$C$2:$C$1960,0)),"",HYPERLINK("#Acts!A"&amp;INDEX('Compliance Database'!$P$2:$P$1960,MATCH(71,'Transfer Engine'!$C$2:$C$1960,0)),"Go to Act"))</f>
        <v/>
      </c>
    </row>
    <row r="81" ht="158" customHeight="1">
      <c r="A81" s="8">
        <f>IF(ISNA(MATCH(72,'Transfer Engine'!$C$2:$C$1960,0)),"",INDEX('Compliance Database'!$A$2:$A$1960,MATCH(72,'Transfer Engine'!$C$2:$C$1960,0)))</f>
        <v/>
      </c>
      <c r="B81" s="8">
        <f>IF(ISNA(MATCH(72,'Transfer Engine'!$C$2:$C$1960,0)),"",INDEX('Compliance Database'!$B$2:$B$1960,MATCH(72,'Transfer Engine'!$C$2:$C$1960,0)))</f>
        <v/>
      </c>
      <c r="C81" s="8">
        <f>IF(ISNA(MATCH(72,'Transfer Engine'!$C$2:$C$1960,0)),"",INDEX('Compliance Database'!$C$2:$C$1960,MATCH(72,'Transfer Engine'!$C$2:$C$1960,0)))</f>
        <v/>
      </c>
      <c r="D81" s="9">
        <f>IF(ISNA(MATCH(72,'Transfer Engine'!$C$2:$C$1960,0)),"",INDEX('Compliance Database'!$D$2:$D$1960,MATCH(72,'Transfer Engine'!$C$2:$C$1960,0)))</f>
        <v/>
      </c>
      <c r="E81" s="8">
        <f>IF(ISNA(MATCH(72,'Transfer Engine'!$C$2:$C$1960,0)),"",INDEX('Compliance Database'!$E$2:$E$1960,MATCH(72,'Transfer Engine'!$C$2:$C$1960,0)))</f>
        <v/>
      </c>
      <c r="F81" s="8">
        <f>IF(ISNA(MATCH(72,'Transfer Engine'!$C$2:$C$1960,0)),"",INDEX('Compliance Database'!$F$2:$F$1960,MATCH(72,'Transfer Engine'!$C$2:$C$1960,0)))</f>
        <v/>
      </c>
      <c r="G81" s="8">
        <f>IF(ISNA(MATCH(72,'Transfer Engine'!$C$2:$C$1960,0)),"",INDEX('Compliance Database'!$G$2:$G$1960,MATCH(72,'Transfer Engine'!$C$2:$C$1960,0)))</f>
        <v/>
      </c>
      <c r="H81" s="9">
        <f>IF(ISNA(MATCH(72,'Transfer Engine'!$C$2:$C$1960,0)),"",INDEX('Compliance Database'!$H$2:$H$1960,MATCH(72,'Transfer Engine'!$C$2:$C$1960,0)))</f>
        <v/>
      </c>
      <c r="I81" s="9">
        <f>IF(ISNA(MATCH(72,'Transfer Engine'!$C$2:$C$1960,0)),"",INDEX('Compliance Database'!$I$2:$I$1960,MATCH(72,'Transfer Engine'!$C$2:$C$1960,0)))</f>
        <v/>
      </c>
      <c r="J81" s="8">
        <f>IF(ISNA(MATCH(72,'Transfer Engine'!$C$2:$C$1960,0)),"",INDEX('Compliance Database'!$J$2:$J$1960,MATCH(72,'Transfer Engine'!$C$2:$C$1960,0)))</f>
        <v/>
      </c>
      <c r="K81" s="9">
        <f>IF(ISNA(MATCH(72,'Transfer Engine'!$C$2:$C$1960,0)),"",INDEX('Compliance Database'!$K$2:$K$1960,MATCH(72,'Transfer Engine'!$C$2:$C$1960,0)))</f>
        <v/>
      </c>
      <c r="L81" s="9">
        <f>IF(ISNA(MATCH(72,'Transfer Engine'!$C$2:$C$1960,0)),"",INDEX('Compliance Database'!$L$2:$L$1960,MATCH(72,'Transfer Engine'!$C$2:$C$1960,0)))</f>
        <v/>
      </c>
      <c r="M81" s="9">
        <f>IF(ISNA(MATCH(72,'Transfer Engine'!$C$2:$C$1960,0)),"",INDEX('Compliance Database'!$M$2:$M$1960,MATCH(72,'Transfer Engine'!$C$2:$C$1960,0)))</f>
        <v/>
      </c>
      <c r="N81" s="9">
        <f>IF(ISNA(MATCH(72,'Transfer Engine'!$C$2:$C$1960,0)),"",INDEX('Compliance Database'!$N$2:$N$1960,MATCH(72,'Transfer Engine'!$C$2:$C$1960,0)))</f>
        <v/>
      </c>
      <c r="O81" s="9">
        <f>IF(ISNA(MATCH(72,'Transfer Engine'!$C$2:$C$1960,0)),"",INDEX('Compliance Database'!$O$2:$O$1960,MATCH(72,'Transfer Engine'!$C$2:$C$1960,0)))</f>
        <v/>
      </c>
      <c r="P81" s="8">
        <f>IF(ISNA(MATCH(72,'Transfer Engine'!$C$2:$C$1960,0)),"",HYPERLINK("#Acts!A"&amp;INDEX('Compliance Database'!$P$2:$P$1960,MATCH(72,'Transfer Engine'!$C$2:$C$1960,0)),"Go to Act"))</f>
        <v/>
      </c>
    </row>
    <row r="82" ht="158" customHeight="1">
      <c r="A82" s="8">
        <f>IF(ISNA(MATCH(73,'Transfer Engine'!$C$2:$C$1960,0)),"",INDEX('Compliance Database'!$A$2:$A$1960,MATCH(73,'Transfer Engine'!$C$2:$C$1960,0)))</f>
        <v/>
      </c>
      <c r="B82" s="8">
        <f>IF(ISNA(MATCH(73,'Transfer Engine'!$C$2:$C$1960,0)),"",INDEX('Compliance Database'!$B$2:$B$1960,MATCH(73,'Transfer Engine'!$C$2:$C$1960,0)))</f>
        <v/>
      </c>
      <c r="C82" s="8">
        <f>IF(ISNA(MATCH(73,'Transfer Engine'!$C$2:$C$1960,0)),"",INDEX('Compliance Database'!$C$2:$C$1960,MATCH(73,'Transfer Engine'!$C$2:$C$1960,0)))</f>
        <v/>
      </c>
      <c r="D82" s="9">
        <f>IF(ISNA(MATCH(73,'Transfer Engine'!$C$2:$C$1960,0)),"",INDEX('Compliance Database'!$D$2:$D$1960,MATCH(73,'Transfer Engine'!$C$2:$C$1960,0)))</f>
        <v/>
      </c>
      <c r="E82" s="8">
        <f>IF(ISNA(MATCH(73,'Transfer Engine'!$C$2:$C$1960,0)),"",INDEX('Compliance Database'!$E$2:$E$1960,MATCH(73,'Transfer Engine'!$C$2:$C$1960,0)))</f>
        <v/>
      </c>
      <c r="F82" s="8">
        <f>IF(ISNA(MATCH(73,'Transfer Engine'!$C$2:$C$1960,0)),"",INDEX('Compliance Database'!$F$2:$F$1960,MATCH(73,'Transfer Engine'!$C$2:$C$1960,0)))</f>
        <v/>
      </c>
      <c r="G82" s="8">
        <f>IF(ISNA(MATCH(73,'Transfer Engine'!$C$2:$C$1960,0)),"",INDEX('Compliance Database'!$G$2:$G$1960,MATCH(73,'Transfer Engine'!$C$2:$C$1960,0)))</f>
        <v/>
      </c>
      <c r="H82" s="9">
        <f>IF(ISNA(MATCH(73,'Transfer Engine'!$C$2:$C$1960,0)),"",INDEX('Compliance Database'!$H$2:$H$1960,MATCH(73,'Transfer Engine'!$C$2:$C$1960,0)))</f>
        <v/>
      </c>
      <c r="I82" s="9">
        <f>IF(ISNA(MATCH(73,'Transfer Engine'!$C$2:$C$1960,0)),"",INDEX('Compliance Database'!$I$2:$I$1960,MATCH(73,'Transfer Engine'!$C$2:$C$1960,0)))</f>
        <v/>
      </c>
      <c r="J82" s="8">
        <f>IF(ISNA(MATCH(73,'Transfer Engine'!$C$2:$C$1960,0)),"",INDEX('Compliance Database'!$J$2:$J$1960,MATCH(73,'Transfer Engine'!$C$2:$C$1960,0)))</f>
        <v/>
      </c>
      <c r="K82" s="9">
        <f>IF(ISNA(MATCH(73,'Transfer Engine'!$C$2:$C$1960,0)),"",INDEX('Compliance Database'!$K$2:$K$1960,MATCH(73,'Transfer Engine'!$C$2:$C$1960,0)))</f>
        <v/>
      </c>
      <c r="L82" s="9">
        <f>IF(ISNA(MATCH(73,'Transfer Engine'!$C$2:$C$1960,0)),"",INDEX('Compliance Database'!$L$2:$L$1960,MATCH(73,'Transfer Engine'!$C$2:$C$1960,0)))</f>
        <v/>
      </c>
      <c r="M82" s="9">
        <f>IF(ISNA(MATCH(73,'Transfer Engine'!$C$2:$C$1960,0)),"",INDEX('Compliance Database'!$M$2:$M$1960,MATCH(73,'Transfer Engine'!$C$2:$C$1960,0)))</f>
        <v/>
      </c>
      <c r="N82" s="9">
        <f>IF(ISNA(MATCH(73,'Transfer Engine'!$C$2:$C$1960,0)),"",INDEX('Compliance Database'!$N$2:$N$1960,MATCH(73,'Transfer Engine'!$C$2:$C$1960,0)))</f>
        <v/>
      </c>
      <c r="O82" s="9">
        <f>IF(ISNA(MATCH(73,'Transfer Engine'!$C$2:$C$1960,0)),"",INDEX('Compliance Database'!$O$2:$O$1960,MATCH(73,'Transfer Engine'!$C$2:$C$1960,0)))</f>
        <v/>
      </c>
      <c r="P82" s="8">
        <f>IF(ISNA(MATCH(73,'Transfer Engine'!$C$2:$C$1960,0)),"",HYPERLINK("#Acts!A"&amp;INDEX('Compliance Database'!$P$2:$P$1960,MATCH(73,'Transfer Engine'!$C$2:$C$1960,0)),"Go to Act"))</f>
        <v/>
      </c>
    </row>
    <row r="83" ht="158" customHeight="1">
      <c r="A83" s="8">
        <f>IF(ISNA(MATCH(74,'Transfer Engine'!$C$2:$C$1960,0)),"",INDEX('Compliance Database'!$A$2:$A$1960,MATCH(74,'Transfer Engine'!$C$2:$C$1960,0)))</f>
        <v/>
      </c>
      <c r="B83" s="8">
        <f>IF(ISNA(MATCH(74,'Transfer Engine'!$C$2:$C$1960,0)),"",INDEX('Compliance Database'!$B$2:$B$1960,MATCH(74,'Transfer Engine'!$C$2:$C$1960,0)))</f>
        <v/>
      </c>
      <c r="C83" s="8">
        <f>IF(ISNA(MATCH(74,'Transfer Engine'!$C$2:$C$1960,0)),"",INDEX('Compliance Database'!$C$2:$C$1960,MATCH(74,'Transfer Engine'!$C$2:$C$1960,0)))</f>
        <v/>
      </c>
      <c r="D83" s="9">
        <f>IF(ISNA(MATCH(74,'Transfer Engine'!$C$2:$C$1960,0)),"",INDEX('Compliance Database'!$D$2:$D$1960,MATCH(74,'Transfer Engine'!$C$2:$C$1960,0)))</f>
        <v/>
      </c>
      <c r="E83" s="8">
        <f>IF(ISNA(MATCH(74,'Transfer Engine'!$C$2:$C$1960,0)),"",INDEX('Compliance Database'!$E$2:$E$1960,MATCH(74,'Transfer Engine'!$C$2:$C$1960,0)))</f>
        <v/>
      </c>
      <c r="F83" s="8">
        <f>IF(ISNA(MATCH(74,'Transfer Engine'!$C$2:$C$1960,0)),"",INDEX('Compliance Database'!$F$2:$F$1960,MATCH(74,'Transfer Engine'!$C$2:$C$1960,0)))</f>
        <v/>
      </c>
      <c r="G83" s="8">
        <f>IF(ISNA(MATCH(74,'Transfer Engine'!$C$2:$C$1960,0)),"",INDEX('Compliance Database'!$G$2:$G$1960,MATCH(74,'Transfer Engine'!$C$2:$C$1960,0)))</f>
        <v/>
      </c>
      <c r="H83" s="9">
        <f>IF(ISNA(MATCH(74,'Transfer Engine'!$C$2:$C$1960,0)),"",INDEX('Compliance Database'!$H$2:$H$1960,MATCH(74,'Transfer Engine'!$C$2:$C$1960,0)))</f>
        <v/>
      </c>
      <c r="I83" s="9">
        <f>IF(ISNA(MATCH(74,'Transfer Engine'!$C$2:$C$1960,0)),"",INDEX('Compliance Database'!$I$2:$I$1960,MATCH(74,'Transfer Engine'!$C$2:$C$1960,0)))</f>
        <v/>
      </c>
      <c r="J83" s="8">
        <f>IF(ISNA(MATCH(74,'Transfer Engine'!$C$2:$C$1960,0)),"",INDEX('Compliance Database'!$J$2:$J$1960,MATCH(74,'Transfer Engine'!$C$2:$C$1960,0)))</f>
        <v/>
      </c>
      <c r="K83" s="9">
        <f>IF(ISNA(MATCH(74,'Transfer Engine'!$C$2:$C$1960,0)),"",INDEX('Compliance Database'!$K$2:$K$1960,MATCH(74,'Transfer Engine'!$C$2:$C$1960,0)))</f>
        <v/>
      </c>
      <c r="L83" s="9">
        <f>IF(ISNA(MATCH(74,'Transfer Engine'!$C$2:$C$1960,0)),"",INDEX('Compliance Database'!$L$2:$L$1960,MATCH(74,'Transfer Engine'!$C$2:$C$1960,0)))</f>
        <v/>
      </c>
      <c r="M83" s="9">
        <f>IF(ISNA(MATCH(74,'Transfer Engine'!$C$2:$C$1960,0)),"",INDEX('Compliance Database'!$M$2:$M$1960,MATCH(74,'Transfer Engine'!$C$2:$C$1960,0)))</f>
        <v/>
      </c>
      <c r="N83" s="9">
        <f>IF(ISNA(MATCH(74,'Transfer Engine'!$C$2:$C$1960,0)),"",INDEX('Compliance Database'!$N$2:$N$1960,MATCH(74,'Transfer Engine'!$C$2:$C$1960,0)))</f>
        <v/>
      </c>
      <c r="O83" s="9">
        <f>IF(ISNA(MATCH(74,'Transfer Engine'!$C$2:$C$1960,0)),"",INDEX('Compliance Database'!$O$2:$O$1960,MATCH(74,'Transfer Engine'!$C$2:$C$1960,0)))</f>
        <v/>
      </c>
      <c r="P83" s="8">
        <f>IF(ISNA(MATCH(74,'Transfer Engine'!$C$2:$C$1960,0)),"",HYPERLINK("#Acts!A"&amp;INDEX('Compliance Database'!$P$2:$P$1960,MATCH(74,'Transfer Engine'!$C$2:$C$1960,0)),"Go to Act"))</f>
        <v/>
      </c>
    </row>
    <row r="84" ht="158" customHeight="1">
      <c r="A84" s="8">
        <f>IF(ISNA(MATCH(75,'Transfer Engine'!$C$2:$C$1960,0)),"",INDEX('Compliance Database'!$A$2:$A$1960,MATCH(75,'Transfer Engine'!$C$2:$C$1960,0)))</f>
        <v/>
      </c>
      <c r="B84" s="8">
        <f>IF(ISNA(MATCH(75,'Transfer Engine'!$C$2:$C$1960,0)),"",INDEX('Compliance Database'!$B$2:$B$1960,MATCH(75,'Transfer Engine'!$C$2:$C$1960,0)))</f>
        <v/>
      </c>
      <c r="C84" s="8">
        <f>IF(ISNA(MATCH(75,'Transfer Engine'!$C$2:$C$1960,0)),"",INDEX('Compliance Database'!$C$2:$C$1960,MATCH(75,'Transfer Engine'!$C$2:$C$1960,0)))</f>
        <v/>
      </c>
      <c r="D84" s="9">
        <f>IF(ISNA(MATCH(75,'Transfer Engine'!$C$2:$C$1960,0)),"",INDEX('Compliance Database'!$D$2:$D$1960,MATCH(75,'Transfer Engine'!$C$2:$C$1960,0)))</f>
        <v/>
      </c>
      <c r="E84" s="8">
        <f>IF(ISNA(MATCH(75,'Transfer Engine'!$C$2:$C$1960,0)),"",INDEX('Compliance Database'!$E$2:$E$1960,MATCH(75,'Transfer Engine'!$C$2:$C$1960,0)))</f>
        <v/>
      </c>
      <c r="F84" s="8">
        <f>IF(ISNA(MATCH(75,'Transfer Engine'!$C$2:$C$1960,0)),"",INDEX('Compliance Database'!$F$2:$F$1960,MATCH(75,'Transfer Engine'!$C$2:$C$1960,0)))</f>
        <v/>
      </c>
      <c r="G84" s="8">
        <f>IF(ISNA(MATCH(75,'Transfer Engine'!$C$2:$C$1960,0)),"",INDEX('Compliance Database'!$G$2:$G$1960,MATCH(75,'Transfer Engine'!$C$2:$C$1960,0)))</f>
        <v/>
      </c>
      <c r="H84" s="9">
        <f>IF(ISNA(MATCH(75,'Transfer Engine'!$C$2:$C$1960,0)),"",INDEX('Compliance Database'!$H$2:$H$1960,MATCH(75,'Transfer Engine'!$C$2:$C$1960,0)))</f>
        <v/>
      </c>
      <c r="I84" s="9">
        <f>IF(ISNA(MATCH(75,'Transfer Engine'!$C$2:$C$1960,0)),"",INDEX('Compliance Database'!$I$2:$I$1960,MATCH(75,'Transfer Engine'!$C$2:$C$1960,0)))</f>
        <v/>
      </c>
      <c r="J84" s="8">
        <f>IF(ISNA(MATCH(75,'Transfer Engine'!$C$2:$C$1960,0)),"",INDEX('Compliance Database'!$J$2:$J$1960,MATCH(75,'Transfer Engine'!$C$2:$C$1960,0)))</f>
        <v/>
      </c>
      <c r="K84" s="9">
        <f>IF(ISNA(MATCH(75,'Transfer Engine'!$C$2:$C$1960,0)),"",INDEX('Compliance Database'!$K$2:$K$1960,MATCH(75,'Transfer Engine'!$C$2:$C$1960,0)))</f>
        <v/>
      </c>
      <c r="L84" s="9">
        <f>IF(ISNA(MATCH(75,'Transfer Engine'!$C$2:$C$1960,0)),"",INDEX('Compliance Database'!$L$2:$L$1960,MATCH(75,'Transfer Engine'!$C$2:$C$1960,0)))</f>
        <v/>
      </c>
      <c r="M84" s="9">
        <f>IF(ISNA(MATCH(75,'Transfer Engine'!$C$2:$C$1960,0)),"",INDEX('Compliance Database'!$M$2:$M$1960,MATCH(75,'Transfer Engine'!$C$2:$C$1960,0)))</f>
        <v/>
      </c>
      <c r="N84" s="9">
        <f>IF(ISNA(MATCH(75,'Transfer Engine'!$C$2:$C$1960,0)),"",INDEX('Compliance Database'!$N$2:$N$1960,MATCH(75,'Transfer Engine'!$C$2:$C$1960,0)))</f>
        <v/>
      </c>
      <c r="O84" s="9">
        <f>IF(ISNA(MATCH(75,'Transfer Engine'!$C$2:$C$1960,0)),"",INDEX('Compliance Database'!$O$2:$O$1960,MATCH(75,'Transfer Engine'!$C$2:$C$1960,0)))</f>
        <v/>
      </c>
      <c r="P84" s="8">
        <f>IF(ISNA(MATCH(75,'Transfer Engine'!$C$2:$C$1960,0)),"",HYPERLINK("#Acts!A"&amp;INDEX('Compliance Database'!$P$2:$P$1960,MATCH(75,'Transfer Engine'!$C$2:$C$1960,0)),"Go to Act"))</f>
        <v/>
      </c>
    </row>
    <row r="85" ht="158" customHeight="1">
      <c r="A85" s="8">
        <f>IF(ISNA(MATCH(76,'Transfer Engine'!$C$2:$C$1960,0)),"",INDEX('Compliance Database'!$A$2:$A$1960,MATCH(76,'Transfer Engine'!$C$2:$C$1960,0)))</f>
        <v/>
      </c>
      <c r="B85" s="8">
        <f>IF(ISNA(MATCH(76,'Transfer Engine'!$C$2:$C$1960,0)),"",INDEX('Compliance Database'!$B$2:$B$1960,MATCH(76,'Transfer Engine'!$C$2:$C$1960,0)))</f>
        <v/>
      </c>
      <c r="C85" s="8">
        <f>IF(ISNA(MATCH(76,'Transfer Engine'!$C$2:$C$1960,0)),"",INDEX('Compliance Database'!$C$2:$C$1960,MATCH(76,'Transfer Engine'!$C$2:$C$1960,0)))</f>
        <v/>
      </c>
      <c r="D85" s="9">
        <f>IF(ISNA(MATCH(76,'Transfer Engine'!$C$2:$C$1960,0)),"",INDEX('Compliance Database'!$D$2:$D$1960,MATCH(76,'Transfer Engine'!$C$2:$C$1960,0)))</f>
        <v/>
      </c>
      <c r="E85" s="8">
        <f>IF(ISNA(MATCH(76,'Transfer Engine'!$C$2:$C$1960,0)),"",INDEX('Compliance Database'!$E$2:$E$1960,MATCH(76,'Transfer Engine'!$C$2:$C$1960,0)))</f>
        <v/>
      </c>
      <c r="F85" s="8">
        <f>IF(ISNA(MATCH(76,'Transfer Engine'!$C$2:$C$1960,0)),"",INDEX('Compliance Database'!$F$2:$F$1960,MATCH(76,'Transfer Engine'!$C$2:$C$1960,0)))</f>
        <v/>
      </c>
      <c r="G85" s="8">
        <f>IF(ISNA(MATCH(76,'Transfer Engine'!$C$2:$C$1960,0)),"",INDEX('Compliance Database'!$G$2:$G$1960,MATCH(76,'Transfer Engine'!$C$2:$C$1960,0)))</f>
        <v/>
      </c>
      <c r="H85" s="9">
        <f>IF(ISNA(MATCH(76,'Transfer Engine'!$C$2:$C$1960,0)),"",INDEX('Compliance Database'!$H$2:$H$1960,MATCH(76,'Transfer Engine'!$C$2:$C$1960,0)))</f>
        <v/>
      </c>
      <c r="I85" s="9">
        <f>IF(ISNA(MATCH(76,'Transfer Engine'!$C$2:$C$1960,0)),"",INDEX('Compliance Database'!$I$2:$I$1960,MATCH(76,'Transfer Engine'!$C$2:$C$1960,0)))</f>
        <v/>
      </c>
      <c r="J85" s="8">
        <f>IF(ISNA(MATCH(76,'Transfer Engine'!$C$2:$C$1960,0)),"",INDEX('Compliance Database'!$J$2:$J$1960,MATCH(76,'Transfer Engine'!$C$2:$C$1960,0)))</f>
        <v/>
      </c>
      <c r="K85" s="9">
        <f>IF(ISNA(MATCH(76,'Transfer Engine'!$C$2:$C$1960,0)),"",INDEX('Compliance Database'!$K$2:$K$1960,MATCH(76,'Transfer Engine'!$C$2:$C$1960,0)))</f>
        <v/>
      </c>
      <c r="L85" s="9">
        <f>IF(ISNA(MATCH(76,'Transfer Engine'!$C$2:$C$1960,0)),"",INDEX('Compliance Database'!$L$2:$L$1960,MATCH(76,'Transfer Engine'!$C$2:$C$1960,0)))</f>
        <v/>
      </c>
      <c r="M85" s="9">
        <f>IF(ISNA(MATCH(76,'Transfer Engine'!$C$2:$C$1960,0)),"",INDEX('Compliance Database'!$M$2:$M$1960,MATCH(76,'Transfer Engine'!$C$2:$C$1960,0)))</f>
        <v/>
      </c>
      <c r="N85" s="9">
        <f>IF(ISNA(MATCH(76,'Transfer Engine'!$C$2:$C$1960,0)),"",INDEX('Compliance Database'!$N$2:$N$1960,MATCH(76,'Transfer Engine'!$C$2:$C$1960,0)))</f>
        <v/>
      </c>
      <c r="O85" s="9">
        <f>IF(ISNA(MATCH(76,'Transfer Engine'!$C$2:$C$1960,0)),"",INDEX('Compliance Database'!$O$2:$O$1960,MATCH(76,'Transfer Engine'!$C$2:$C$1960,0)))</f>
        <v/>
      </c>
      <c r="P85" s="8">
        <f>IF(ISNA(MATCH(76,'Transfer Engine'!$C$2:$C$1960,0)),"",HYPERLINK("#Acts!A"&amp;INDEX('Compliance Database'!$P$2:$P$1960,MATCH(76,'Transfer Engine'!$C$2:$C$1960,0)),"Go to Act"))</f>
        <v/>
      </c>
    </row>
    <row r="86" ht="158" customHeight="1">
      <c r="A86" s="8">
        <f>IF(ISNA(MATCH(77,'Transfer Engine'!$C$2:$C$1960,0)),"",INDEX('Compliance Database'!$A$2:$A$1960,MATCH(77,'Transfer Engine'!$C$2:$C$1960,0)))</f>
        <v/>
      </c>
      <c r="B86" s="8">
        <f>IF(ISNA(MATCH(77,'Transfer Engine'!$C$2:$C$1960,0)),"",INDEX('Compliance Database'!$B$2:$B$1960,MATCH(77,'Transfer Engine'!$C$2:$C$1960,0)))</f>
        <v/>
      </c>
      <c r="C86" s="8">
        <f>IF(ISNA(MATCH(77,'Transfer Engine'!$C$2:$C$1960,0)),"",INDEX('Compliance Database'!$C$2:$C$1960,MATCH(77,'Transfer Engine'!$C$2:$C$1960,0)))</f>
        <v/>
      </c>
      <c r="D86" s="9">
        <f>IF(ISNA(MATCH(77,'Transfer Engine'!$C$2:$C$1960,0)),"",INDEX('Compliance Database'!$D$2:$D$1960,MATCH(77,'Transfer Engine'!$C$2:$C$1960,0)))</f>
        <v/>
      </c>
      <c r="E86" s="8">
        <f>IF(ISNA(MATCH(77,'Transfer Engine'!$C$2:$C$1960,0)),"",INDEX('Compliance Database'!$E$2:$E$1960,MATCH(77,'Transfer Engine'!$C$2:$C$1960,0)))</f>
        <v/>
      </c>
      <c r="F86" s="8">
        <f>IF(ISNA(MATCH(77,'Transfer Engine'!$C$2:$C$1960,0)),"",INDEX('Compliance Database'!$F$2:$F$1960,MATCH(77,'Transfer Engine'!$C$2:$C$1960,0)))</f>
        <v/>
      </c>
      <c r="G86" s="8">
        <f>IF(ISNA(MATCH(77,'Transfer Engine'!$C$2:$C$1960,0)),"",INDEX('Compliance Database'!$G$2:$G$1960,MATCH(77,'Transfer Engine'!$C$2:$C$1960,0)))</f>
        <v/>
      </c>
      <c r="H86" s="9">
        <f>IF(ISNA(MATCH(77,'Transfer Engine'!$C$2:$C$1960,0)),"",INDEX('Compliance Database'!$H$2:$H$1960,MATCH(77,'Transfer Engine'!$C$2:$C$1960,0)))</f>
        <v/>
      </c>
      <c r="I86" s="9">
        <f>IF(ISNA(MATCH(77,'Transfer Engine'!$C$2:$C$1960,0)),"",INDEX('Compliance Database'!$I$2:$I$1960,MATCH(77,'Transfer Engine'!$C$2:$C$1960,0)))</f>
        <v/>
      </c>
      <c r="J86" s="8">
        <f>IF(ISNA(MATCH(77,'Transfer Engine'!$C$2:$C$1960,0)),"",INDEX('Compliance Database'!$J$2:$J$1960,MATCH(77,'Transfer Engine'!$C$2:$C$1960,0)))</f>
        <v/>
      </c>
      <c r="K86" s="9">
        <f>IF(ISNA(MATCH(77,'Transfer Engine'!$C$2:$C$1960,0)),"",INDEX('Compliance Database'!$K$2:$K$1960,MATCH(77,'Transfer Engine'!$C$2:$C$1960,0)))</f>
        <v/>
      </c>
      <c r="L86" s="9">
        <f>IF(ISNA(MATCH(77,'Transfer Engine'!$C$2:$C$1960,0)),"",INDEX('Compliance Database'!$L$2:$L$1960,MATCH(77,'Transfer Engine'!$C$2:$C$1960,0)))</f>
        <v/>
      </c>
      <c r="M86" s="9">
        <f>IF(ISNA(MATCH(77,'Transfer Engine'!$C$2:$C$1960,0)),"",INDEX('Compliance Database'!$M$2:$M$1960,MATCH(77,'Transfer Engine'!$C$2:$C$1960,0)))</f>
        <v/>
      </c>
      <c r="N86" s="9">
        <f>IF(ISNA(MATCH(77,'Transfer Engine'!$C$2:$C$1960,0)),"",INDEX('Compliance Database'!$N$2:$N$1960,MATCH(77,'Transfer Engine'!$C$2:$C$1960,0)))</f>
        <v/>
      </c>
      <c r="O86" s="9">
        <f>IF(ISNA(MATCH(77,'Transfer Engine'!$C$2:$C$1960,0)),"",INDEX('Compliance Database'!$O$2:$O$1960,MATCH(77,'Transfer Engine'!$C$2:$C$1960,0)))</f>
        <v/>
      </c>
      <c r="P86" s="8">
        <f>IF(ISNA(MATCH(77,'Transfer Engine'!$C$2:$C$1960,0)),"",HYPERLINK("#Acts!A"&amp;INDEX('Compliance Database'!$P$2:$P$1960,MATCH(77,'Transfer Engine'!$C$2:$C$1960,0)),"Go to Act"))</f>
        <v/>
      </c>
    </row>
    <row r="87" ht="158" customHeight="1">
      <c r="A87" s="8">
        <f>IF(ISNA(MATCH(78,'Transfer Engine'!$C$2:$C$1960,0)),"",INDEX('Compliance Database'!$A$2:$A$1960,MATCH(78,'Transfer Engine'!$C$2:$C$1960,0)))</f>
        <v/>
      </c>
      <c r="B87" s="8">
        <f>IF(ISNA(MATCH(78,'Transfer Engine'!$C$2:$C$1960,0)),"",INDEX('Compliance Database'!$B$2:$B$1960,MATCH(78,'Transfer Engine'!$C$2:$C$1960,0)))</f>
        <v/>
      </c>
      <c r="C87" s="8">
        <f>IF(ISNA(MATCH(78,'Transfer Engine'!$C$2:$C$1960,0)),"",INDEX('Compliance Database'!$C$2:$C$1960,MATCH(78,'Transfer Engine'!$C$2:$C$1960,0)))</f>
        <v/>
      </c>
      <c r="D87" s="9">
        <f>IF(ISNA(MATCH(78,'Transfer Engine'!$C$2:$C$1960,0)),"",INDEX('Compliance Database'!$D$2:$D$1960,MATCH(78,'Transfer Engine'!$C$2:$C$1960,0)))</f>
        <v/>
      </c>
      <c r="E87" s="8">
        <f>IF(ISNA(MATCH(78,'Transfer Engine'!$C$2:$C$1960,0)),"",INDEX('Compliance Database'!$E$2:$E$1960,MATCH(78,'Transfer Engine'!$C$2:$C$1960,0)))</f>
        <v/>
      </c>
      <c r="F87" s="8">
        <f>IF(ISNA(MATCH(78,'Transfer Engine'!$C$2:$C$1960,0)),"",INDEX('Compliance Database'!$F$2:$F$1960,MATCH(78,'Transfer Engine'!$C$2:$C$1960,0)))</f>
        <v/>
      </c>
      <c r="G87" s="8">
        <f>IF(ISNA(MATCH(78,'Transfer Engine'!$C$2:$C$1960,0)),"",INDEX('Compliance Database'!$G$2:$G$1960,MATCH(78,'Transfer Engine'!$C$2:$C$1960,0)))</f>
        <v/>
      </c>
      <c r="H87" s="9">
        <f>IF(ISNA(MATCH(78,'Transfer Engine'!$C$2:$C$1960,0)),"",INDEX('Compliance Database'!$H$2:$H$1960,MATCH(78,'Transfer Engine'!$C$2:$C$1960,0)))</f>
        <v/>
      </c>
      <c r="I87" s="9">
        <f>IF(ISNA(MATCH(78,'Transfer Engine'!$C$2:$C$1960,0)),"",INDEX('Compliance Database'!$I$2:$I$1960,MATCH(78,'Transfer Engine'!$C$2:$C$1960,0)))</f>
        <v/>
      </c>
      <c r="J87" s="8">
        <f>IF(ISNA(MATCH(78,'Transfer Engine'!$C$2:$C$1960,0)),"",INDEX('Compliance Database'!$J$2:$J$1960,MATCH(78,'Transfer Engine'!$C$2:$C$1960,0)))</f>
        <v/>
      </c>
      <c r="K87" s="9">
        <f>IF(ISNA(MATCH(78,'Transfer Engine'!$C$2:$C$1960,0)),"",INDEX('Compliance Database'!$K$2:$K$1960,MATCH(78,'Transfer Engine'!$C$2:$C$1960,0)))</f>
        <v/>
      </c>
      <c r="L87" s="9">
        <f>IF(ISNA(MATCH(78,'Transfer Engine'!$C$2:$C$1960,0)),"",INDEX('Compliance Database'!$L$2:$L$1960,MATCH(78,'Transfer Engine'!$C$2:$C$1960,0)))</f>
        <v/>
      </c>
      <c r="M87" s="9">
        <f>IF(ISNA(MATCH(78,'Transfer Engine'!$C$2:$C$1960,0)),"",INDEX('Compliance Database'!$M$2:$M$1960,MATCH(78,'Transfer Engine'!$C$2:$C$1960,0)))</f>
        <v/>
      </c>
      <c r="N87" s="9">
        <f>IF(ISNA(MATCH(78,'Transfer Engine'!$C$2:$C$1960,0)),"",INDEX('Compliance Database'!$N$2:$N$1960,MATCH(78,'Transfer Engine'!$C$2:$C$1960,0)))</f>
        <v/>
      </c>
      <c r="O87" s="9">
        <f>IF(ISNA(MATCH(78,'Transfer Engine'!$C$2:$C$1960,0)),"",INDEX('Compliance Database'!$O$2:$O$1960,MATCH(78,'Transfer Engine'!$C$2:$C$1960,0)))</f>
        <v/>
      </c>
      <c r="P87" s="8">
        <f>IF(ISNA(MATCH(78,'Transfer Engine'!$C$2:$C$1960,0)),"",HYPERLINK("#Acts!A"&amp;INDEX('Compliance Database'!$P$2:$P$1960,MATCH(78,'Transfer Engine'!$C$2:$C$1960,0)),"Go to Act"))</f>
        <v/>
      </c>
    </row>
    <row r="88" ht="158" customHeight="1">
      <c r="A88" s="8">
        <f>IF(ISNA(MATCH(79,'Transfer Engine'!$C$2:$C$1960,0)),"",INDEX('Compliance Database'!$A$2:$A$1960,MATCH(79,'Transfer Engine'!$C$2:$C$1960,0)))</f>
        <v/>
      </c>
      <c r="B88" s="8">
        <f>IF(ISNA(MATCH(79,'Transfer Engine'!$C$2:$C$1960,0)),"",INDEX('Compliance Database'!$B$2:$B$1960,MATCH(79,'Transfer Engine'!$C$2:$C$1960,0)))</f>
        <v/>
      </c>
      <c r="C88" s="8">
        <f>IF(ISNA(MATCH(79,'Transfer Engine'!$C$2:$C$1960,0)),"",INDEX('Compliance Database'!$C$2:$C$1960,MATCH(79,'Transfer Engine'!$C$2:$C$1960,0)))</f>
        <v/>
      </c>
      <c r="D88" s="9">
        <f>IF(ISNA(MATCH(79,'Transfer Engine'!$C$2:$C$1960,0)),"",INDEX('Compliance Database'!$D$2:$D$1960,MATCH(79,'Transfer Engine'!$C$2:$C$1960,0)))</f>
        <v/>
      </c>
      <c r="E88" s="8">
        <f>IF(ISNA(MATCH(79,'Transfer Engine'!$C$2:$C$1960,0)),"",INDEX('Compliance Database'!$E$2:$E$1960,MATCH(79,'Transfer Engine'!$C$2:$C$1960,0)))</f>
        <v/>
      </c>
      <c r="F88" s="8">
        <f>IF(ISNA(MATCH(79,'Transfer Engine'!$C$2:$C$1960,0)),"",INDEX('Compliance Database'!$F$2:$F$1960,MATCH(79,'Transfer Engine'!$C$2:$C$1960,0)))</f>
        <v/>
      </c>
      <c r="G88" s="8">
        <f>IF(ISNA(MATCH(79,'Transfer Engine'!$C$2:$C$1960,0)),"",INDEX('Compliance Database'!$G$2:$G$1960,MATCH(79,'Transfer Engine'!$C$2:$C$1960,0)))</f>
        <v/>
      </c>
      <c r="H88" s="9">
        <f>IF(ISNA(MATCH(79,'Transfer Engine'!$C$2:$C$1960,0)),"",INDEX('Compliance Database'!$H$2:$H$1960,MATCH(79,'Transfer Engine'!$C$2:$C$1960,0)))</f>
        <v/>
      </c>
      <c r="I88" s="9">
        <f>IF(ISNA(MATCH(79,'Transfer Engine'!$C$2:$C$1960,0)),"",INDEX('Compliance Database'!$I$2:$I$1960,MATCH(79,'Transfer Engine'!$C$2:$C$1960,0)))</f>
        <v/>
      </c>
      <c r="J88" s="8">
        <f>IF(ISNA(MATCH(79,'Transfer Engine'!$C$2:$C$1960,0)),"",INDEX('Compliance Database'!$J$2:$J$1960,MATCH(79,'Transfer Engine'!$C$2:$C$1960,0)))</f>
        <v/>
      </c>
      <c r="K88" s="9">
        <f>IF(ISNA(MATCH(79,'Transfer Engine'!$C$2:$C$1960,0)),"",INDEX('Compliance Database'!$K$2:$K$1960,MATCH(79,'Transfer Engine'!$C$2:$C$1960,0)))</f>
        <v/>
      </c>
      <c r="L88" s="9">
        <f>IF(ISNA(MATCH(79,'Transfer Engine'!$C$2:$C$1960,0)),"",INDEX('Compliance Database'!$L$2:$L$1960,MATCH(79,'Transfer Engine'!$C$2:$C$1960,0)))</f>
        <v/>
      </c>
      <c r="M88" s="9">
        <f>IF(ISNA(MATCH(79,'Transfer Engine'!$C$2:$C$1960,0)),"",INDEX('Compliance Database'!$M$2:$M$1960,MATCH(79,'Transfer Engine'!$C$2:$C$1960,0)))</f>
        <v/>
      </c>
      <c r="N88" s="9">
        <f>IF(ISNA(MATCH(79,'Transfer Engine'!$C$2:$C$1960,0)),"",INDEX('Compliance Database'!$N$2:$N$1960,MATCH(79,'Transfer Engine'!$C$2:$C$1960,0)))</f>
        <v/>
      </c>
      <c r="O88" s="9">
        <f>IF(ISNA(MATCH(79,'Transfer Engine'!$C$2:$C$1960,0)),"",INDEX('Compliance Database'!$O$2:$O$1960,MATCH(79,'Transfer Engine'!$C$2:$C$1960,0)))</f>
        <v/>
      </c>
      <c r="P88" s="8">
        <f>IF(ISNA(MATCH(79,'Transfer Engine'!$C$2:$C$1960,0)),"",HYPERLINK("#Acts!A"&amp;INDEX('Compliance Database'!$P$2:$P$1960,MATCH(79,'Transfer Engine'!$C$2:$C$1960,0)),"Go to Act"))</f>
        <v/>
      </c>
    </row>
    <row r="89" ht="158" customHeight="1">
      <c r="A89" s="8">
        <f>IF(ISNA(MATCH(80,'Transfer Engine'!$C$2:$C$1960,0)),"",INDEX('Compliance Database'!$A$2:$A$1960,MATCH(80,'Transfer Engine'!$C$2:$C$1960,0)))</f>
        <v/>
      </c>
      <c r="B89" s="8">
        <f>IF(ISNA(MATCH(80,'Transfer Engine'!$C$2:$C$1960,0)),"",INDEX('Compliance Database'!$B$2:$B$1960,MATCH(80,'Transfer Engine'!$C$2:$C$1960,0)))</f>
        <v/>
      </c>
      <c r="C89" s="8">
        <f>IF(ISNA(MATCH(80,'Transfer Engine'!$C$2:$C$1960,0)),"",INDEX('Compliance Database'!$C$2:$C$1960,MATCH(80,'Transfer Engine'!$C$2:$C$1960,0)))</f>
        <v/>
      </c>
      <c r="D89" s="9">
        <f>IF(ISNA(MATCH(80,'Transfer Engine'!$C$2:$C$1960,0)),"",INDEX('Compliance Database'!$D$2:$D$1960,MATCH(80,'Transfer Engine'!$C$2:$C$1960,0)))</f>
        <v/>
      </c>
      <c r="E89" s="8">
        <f>IF(ISNA(MATCH(80,'Transfer Engine'!$C$2:$C$1960,0)),"",INDEX('Compliance Database'!$E$2:$E$1960,MATCH(80,'Transfer Engine'!$C$2:$C$1960,0)))</f>
        <v/>
      </c>
      <c r="F89" s="8">
        <f>IF(ISNA(MATCH(80,'Transfer Engine'!$C$2:$C$1960,0)),"",INDEX('Compliance Database'!$F$2:$F$1960,MATCH(80,'Transfer Engine'!$C$2:$C$1960,0)))</f>
        <v/>
      </c>
      <c r="G89" s="8">
        <f>IF(ISNA(MATCH(80,'Transfer Engine'!$C$2:$C$1960,0)),"",INDEX('Compliance Database'!$G$2:$G$1960,MATCH(80,'Transfer Engine'!$C$2:$C$1960,0)))</f>
        <v/>
      </c>
      <c r="H89" s="9">
        <f>IF(ISNA(MATCH(80,'Transfer Engine'!$C$2:$C$1960,0)),"",INDEX('Compliance Database'!$H$2:$H$1960,MATCH(80,'Transfer Engine'!$C$2:$C$1960,0)))</f>
        <v/>
      </c>
      <c r="I89" s="9">
        <f>IF(ISNA(MATCH(80,'Transfer Engine'!$C$2:$C$1960,0)),"",INDEX('Compliance Database'!$I$2:$I$1960,MATCH(80,'Transfer Engine'!$C$2:$C$1960,0)))</f>
        <v/>
      </c>
      <c r="J89" s="8">
        <f>IF(ISNA(MATCH(80,'Transfer Engine'!$C$2:$C$1960,0)),"",INDEX('Compliance Database'!$J$2:$J$1960,MATCH(80,'Transfer Engine'!$C$2:$C$1960,0)))</f>
        <v/>
      </c>
      <c r="K89" s="9">
        <f>IF(ISNA(MATCH(80,'Transfer Engine'!$C$2:$C$1960,0)),"",INDEX('Compliance Database'!$K$2:$K$1960,MATCH(80,'Transfer Engine'!$C$2:$C$1960,0)))</f>
        <v/>
      </c>
      <c r="L89" s="9">
        <f>IF(ISNA(MATCH(80,'Transfer Engine'!$C$2:$C$1960,0)),"",INDEX('Compliance Database'!$L$2:$L$1960,MATCH(80,'Transfer Engine'!$C$2:$C$1960,0)))</f>
        <v/>
      </c>
      <c r="M89" s="9">
        <f>IF(ISNA(MATCH(80,'Transfer Engine'!$C$2:$C$1960,0)),"",INDEX('Compliance Database'!$M$2:$M$1960,MATCH(80,'Transfer Engine'!$C$2:$C$1960,0)))</f>
        <v/>
      </c>
      <c r="N89" s="9">
        <f>IF(ISNA(MATCH(80,'Transfer Engine'!$C$2:$C$1960,0)),"",INDEX('Compliance Database'!$N$2:$N$1960,MATCH(80,'Transfer Engine'!$C$2:$C$1960,0)))</f>
        <v/>
      </c>
      <c r="O89" s="9">
        <f>IF(ISNA(MATCH(80,'Transfer Engine'!$C$2:$C$1960,0)),"",INDEX('Compliance Database'!$O$2:$O$1960,MATCH(80,'Transfer Engine'!$C$2:$C$1960,0)))</f>
        <v/>
      </c>
      <c r="P89" s="8">
        <f>IF(ISNA(MATCH(80,'Transfer Engine'!$C$2:$C$1960,0)),"",HYPERLINK("#Acts!A"&amp;INDEX('Compliance Database'!$P$2:$P$1960,MATCH(80,'Transfer Engine'!$C$2:$C$1960,0)),"Go to Act"))</f>
        <v/>
      </c>
    </row>
    <row r="90" ht="158" customHeight="1">
      <c r="A90" s="8">
        <f>IF(ISNA(MATCH(81,'Transfer Engine'!$C$2:$C$1960,0)),"",INDEX('Compliance Database'!$A$2:$A$1960,MATCH(81,'Transfer Engine'!$C$2:$C$1960,0)))</f>
        <v/>
      </c>
      <c r="B90" s="8">
        <f>IF(ISNA(MATCH(81,'Transfer Engine'!$C$2:$C$1960,0)),"",INDEX('Compliance Database'!$B$2:$B$1960,MATCH(81,'Transfer Engine'!$C$2:$C$1960,0)))</f>
        <v/>
      </c>
      <c r="C90" s="8">
        <f>IF(ISNA(MATCH(81,'Transfer Engine'!$C$2:$C$1960,0)),"",INDEX('Compliance Database'!$C$2:$C$1960,MATCH(81,'Transfer Engine'!$C$2:$C$1960,0)))</f>
        <v/>
      </c>
      <c r="D90" s="9">
        <f>IF(ISNA(MATCH(81,'Transfer Engine'!$C$2:$C$1960,0)),"",INDEX('Compliance Database'!$D$2:$D$1960,MATCH(81,'Transfer Engine'!$C$2:$C$1960,0)))</f>
        <v/>
      </c>
      <c r="E90" s="8">
        <f>IF(ISNA(MATCH(81,'Transfer Engine'!$C$2:$C$1960,0)),"",INDEX('Compliance Database'!$E$2:$E$1960,MATCH(81,'Transfer Engine'!$C$2:$C$1960,0)))</f>
        <v/>
      </c>
      <c r="F90" s="8">
        <f>IF(ISNA(MATCH(81,'Transfer Engine'!$C$2:$C$1960,0)),"",INDEX('Compliance Database'!$F$2:$F$1960,MATCH(81,'Transfer Engine'!$C$2:$C$1960,0)))</f>
        <v/>
      </c>
      <c r="G90" s="8">
        <f>IF(ISNA(MATCH(81,'Transfer Engine'!$C$2:$C$1960,0)),"",INDEX('Compliance Database'!$G$2:$G$1960,MATCH(81,'Transfer Engine'!$C$2:$C$1960,0)))</f>
        <v/>
      </c>
      <c r="H90" s="9">
        <f>IF(ISNA(MATCH(81,'Transfer Engine'!$C$2:$C$1960,0)),"",INDEX('Compliance Database'!$H$2:$H$1960,MATCH(81,'Transfer Engine'!$C$2:$C$1960,0)))</f>
        <v/>
      </c>
      <c r="I90" s="9">
        <f>IF(ISNA(MATCH(81,'Transfer Engine'!$C$2:$C$1960,0)),"",INDEX('Compliance Database'!$I$2:$I$1960,MATCH(81,'Transfer Engine'!$C$2:$C$1960,0)))</f>
        <v/>
      </c>
      <c r="J90" s="8">
        <f>IF(ISNA(MATCH(81,'Transfer Engine'!$C$2:$C$1960,0)),"",INDEX('Compliance Database'!$J$2:$J$1960,MATCH(81,'Transfer Engine'!$C$2:$C$1960,0)))</f>
        <v/>
      </c>
      <c r="K90" s="9">
        <f>IF(ISNA(MATCH(81,'Transfer Engine'!$C$2:$C$1960,0)),"",INDEX('Compliance Database'!$K$2:$K$1960,MATCH(81,'Transfer Engine'!$C$2:$C$1960,0)))</f>
        <v/>
      </c>
      <c r="L90" s="9">
        <f>IF(ISNA(MATCH(81,'Transfer Engine'!$C$2:$C$1960,0)),"",INDEX('Compliance Database'!$L$2:$L$1960,MATCH(81,'Transfer Engine'!$C$2:$C$1960,0)))</f>
        <v/>
      </c>
      <c r="M90" s="9">
        <f>IF(ISNA(MATCH(81,'Transfer Engine'!$C$2:$C$1960,0)),"",INDEX('Compliance Database'!$M$2:$M$1960,MATCH(81,'Transfer Engine'!$C$2:$C$1960,0)))</f>
        <v/>
      </c>
      <c r="N90" s="9">
        <f>IF(ISNA(MATCH(81,'Transfer Engine'!$C$2:$C$1960,0)),"",INDEX('Compliance Database'!$N$2:$N$1960,MATCH(81,'Transfer Engine'!$C$2:$C$1960,0)))</f>
        <v/>
      </c>
      <c r="O90" s="9">
        <f>IF(ISNA(MATCH(81,'Transfer Engine'!$C$2:$C$1960,0)),"",INDEX('Compliance Database'!$O$2:$O$1960,MATCH(81,'Transfer Engine'!$C$2:$C$1960,0)))</f>
        <v/>
      </c>
      <c r="P90" s="8">
        <f>IF(ISNA(MATCH(81,'Transfer Engine'!$C$2:$C$1960,0)),"",HYPERLINK("#Acts!A"&amp;INDEX('Compliance Database'!$P$2:$P$1960,MATCH(81,'Transfer Engine'!$C$2:$C$1960,0)),"Go to Act"))</f>
        <v/>
      </c>
    </row>
    <row r="91" ht="158" customHeight="1">
      <c r="A91" s="8">
        <f>IF(ISNA(MATCH(82,'Transfer Engine'!$C$2:$C$1960,0)),"",INDEX('Compliance Database'!$A$2:$A$1960,MATCH(82,'Transfer Engine'!$C$2:$C$1960,0)))</f>
        <v/>
      </c>
      <c r="B91" s="8">
        <f>IF(ISNA(MATCH(82,'Transfer Engine'!$C$2:$C$1960,0)),"",INDEX('Compliance Database'!$B$2:$B$1960,MATCH(82,'Transfer Engine'!$C$2:$C$1960,0)))</f>
        <v/>
      </c>
      <c r="C91" s="8">
        <f>IF(ISNA(MATCH(82,'Transfer Engine'!$C$2:$C$1960,0)),"",INDEX('Compliance Database'!$C$2:$C$1960,MATCH(82,'Transfer Engine'!$C$2:$C$1960,0)))</f>
        <v/>
      </c>
      <c r="D91" s="9">
        <f>IF(ISNA(MATCH(82,'Transfer Engine'!$C$2:$C$1960,0)),"",INDEX('Compliance Database'!$D$2:$D$1960,MATCH(82,'Transfer Engine'!$C$2:$C$1960,0)))</f>
        <v/>
      </c>
      <c r="E91" s="8">
        <f>IF(ISNA(MATCH(82,'Transfer Engine'!$C$2:$C$1960,0)),"",INDEX('Compliance Database'!$E$2:$E$1960,MATCH(82,'Transfer Engine'!$C$2:$C$1960,0)))</f>
        <v/>
      </c>
      <c r="F91" s="8">
        <f>IF(ISNA(MATCH(82,'Transfer Engine'!$C$2:$C$1960,0)),"",INDEX('Compliance Database'!$F$2:$F$1960,MATCH(82,'Transfer Engine'!$C$2:$C$1960,0)))</f>
        <v/>
      </c>
      <c r="G91" s="8">
        <f>IF(ISNA(MATCH(82,'Transfer Engine'!$C$2:$C$1960,0)),"",INDEX('Compliance Database'!$G$2:$G$1960,MATCH(82,'Transfer Engine'!$C$2:$C$1960,0)))</f>
        <v/>
      </c>
      <c r="H91" s="9">
        <f>IF(ISNA(MATCH(82,'Transfer Engine'!$C$2:$C$1960,0)),"",INDEX('Compliance Database'!$H$2:$H$1960,MATCH(82,'Transfer Engine'!$C$2:$C$1960,0)))</f>
        <v/>
      </c>
      <c r="I91" s="9">
        <f>IF(ISNA(MATCH(82,'Transfer Engine'!$C$2:$C$1960,0)),"",INDEX('Compliance Database'!$I$2:$I$1960,MATCH(82,'Transfer Engine'!$C$2:$C$1960,0)))</f>
        <v/>
      </c>
      <c r="J91" s="8">
        <f>IF(ISNA(MATCH(82,'Transfer Engine'!$C$2:$C$1960,0)),"",INDEX('Compliance Database'!$J$2:$J$1960,MATCH(82,'Transfer Engine'!$C$2:$C$1960,0)))</f>
        <v/>
      </c>
      <c r="K91" s="9">
        <f>IF(ISNA(MATCH(82,'Transfer Engine'!$C$2:$C$1960,0)),"",INDEX('Compliance Database'!$K$2:$K$1960,MATCH(82,'Transfer Engine'!$C$2:$C$1960,0)))</f>
        <v/>
      </c>
      <c r="L91" s="9">
        <f>IF(ISNA(MATCH(82,'Transfer Engine'!$C$2:$C$1960,0)),"",INDEX('Compliance Database'!$L$2:$L$1960,MATCH(82,'Transfer Engine'!$C$2:$C$1960,0)))</f>
        <v/>
      </c>
      <c r="M91" s="9">
        <f>IF(ISNA(MATCH(82,'Transfer Engine'!$C$2:$C$1960,0)),"",INDEX('Compliance Database'!$M$2:$M$1960,MATCH(82,'Transfer Engine'!$C$2:$C$1960,0)))</f>
        <v/>
      </c>
      <c r="N91" s="9">
        <f>IF(ISNA(MATCH(82,'Transfer Engine'!$C$2:$C$1960,0)),"",INDEX('Compliance Database'!$N$2:$N$1960,MATCH(82,'Transfer Engine'!$C$2:$C$1960,0)))</f>
        <v/>
      </c>
      <c r="O91" s="9">
        <f>IF(ISNA(MATCH(82,'Transfer Engine'!$C$2:$C$1960,0)),"",INDEX('Compliance Database'!$O$2:$O$1960,MATCH(82,'Transfer Engine'!$C$2:$C$1960,0)))</f>
        <v/>
      </c>
      <c r="P91" s="8">
        <f>IF(ISNA(MATCH(82,'Transfer Engine'!$C$2:$C$1960,0)),"",HYPERLINK("#Acts!A"&amp;INDEX('Compliance Database'!$P$2:$P$1960,MATCH(82,'Transfer Engine'!$C$2:$C$1960,0)),"Go to Act"))</f>
        <v/>
      </c>
    </row>
    <row r="92" ht="158" customHeight="1">
      <c r="A92" s="8">
        <f>IF(ISNA(MATCH(83,'Transfer Engine'!$C$2:$C$1960,0)),"",INDEX('Compliance Database'!$A$2:$A$1960,MATCH(83,'Transfer Engine'!$C$2:$C$1960,0)))</f>
        <v/>
      </c>
      <c r="B92" s="8">
        <f>IF(ISNA(MATCH(83,'Transfer Engine'!$C$2:$C$1960,0)),"",INDEX('Compliance Database'!$B$2:$B$1960,MATCH(83,'Transfer Engine'!$C$2:$C$1960,0)))</f>
        <v/>
      </c>
      <c r="C92" s="8">
        <f>IF(ISNA(MATCH(83,'Transfer Engine'!$C$2:$C$1960,0)),"",INDEX('Compliance Database'!$C$2:$C$1960,MATCH(83,'Transfer Engine'!$C$2:$C$1960,0)))</f>
        <v/>
      </c>
      <c r="D92" s="9">
        <f>IF(ISNA(MATCH(83,'Transfer Engine'!$C$2:$C$1960,0)),"",INDEX('Compliance Database'!$D$2:$D$1960,MATCH(83,'Transfer Engine'!$C$2:$C$1960,0)))</f>
        <v/>
      </c>
      <c r="E92" s="8">
        <f>IF(ISNA(MATCH(83,'Transfer Engine'!$C$2:$C$1960,0)),"",INDEX('Compliance Database'!$E$2:$E$1960,MATCH(83,'Transfer Engine'!$C$2:$C$1960,0)))</f>
        <v/>
      </c>
      <c r="F92" s="8">
        <f>IF(ISNA(MATCH(83,'Transfer Engine'!$C$2:$C$1960,0)),"",INDEX('Compliance Database'!$F$2:$F$1960,MATCH(83,'Transfer Engine'!$C$2:$C$1960,0)))</f>
        <v/>
      </c>
      <c r="G92" s="8">
        <f>IF(ISNA(MATCH(83,'Transfer Engine'!$C$2:$C$1960,0)),"",INDEX('Compliance Database'!$G$2:$G$1960,MATCH(83,'Transfer Engine'!$C$2:$C$1960,0)))</f>
        <v/>
      </c>
      <c r="H92" s="9">
        <f>IF(ISNA(MATCH(83,'Transfer Engine'!$C$2:$C$1960,0)),"",INDEX('Compliance Database'!$H$2:$H$1960,MATCH(83,'Transfer Engine'!$C$2:$C$1960,0)))</f>
        <v/>
      </c>
      <c r="I92" s="9">
        <f>IF(ISNA(MATCH(83,'Transfer Engine'!$C$2:$C$1960,0)),"",INDEX('Compliance Database'!$I$2:$I$1960,MATCH(83,'Transfer Engine'!$C$2:$C$1960,0)))</f>
        <v/>
      </c>
      <c r="J92" s="8">
        <f>IF(ISNA(MATCH(83,'Transfer Engine'!$C$2:$C$1960,0)),"",INDEX('Compliance Database'!$J$2:$J$1960,MATCH(83,'Transfer Engine'!$C$2:$C$1960,0)))</f>
        <v/>
      </c>
      <c r="K92" s="9">
        <f>IF(ISNA(MATCH(83,'Transfer Engine'!$C$2:$C$1960,0)),"",INDEX('Compliance Database'!$K$2:$K$1960,MATCH(83,'Transfer Engine'!$C$2:$C$1960,0)))</f>
        <v/>
      </c>
      <c r="L92" s="9">
        <f>IF(ISNA(MATCH(83,'Transfer Engine'!$C$2:$C$1960,0)),"",INDEX('Compliance Database'!$L$2:$L$1960,MATCH(83,'Transfer Engine'!$C$2:$C$1960,0)))</f>
        <v/>
      </c>
      <c r="M92" s="9">
        <f>IF(ISNA(MATCH(83,'Transfer Engine'!$C$2:$C$1960,0)),"",INDEX('Compliance Database'!$M$2:$M$1960,MATCH(83,'Transfer Engine'!$C$2:$C$1960,0)))</f>
        <v/>
      </c>
      <c r="N92" s="9">
        <f>IF(ISNA(MATCH(83,'Transfer Engine'!$C$2:$C$1960,0)),"",INDEX('Compliance Database'!$N$2:$N$1960,MATCH(83,'Transfer Engine'!$C$2:$C$1960,0)))</f>
        <v/>
      </c>
      <c r="O92" s="9">
        <f>IF(ISNA(MATCH(83,'Transfer Engine'!$C$2:$C$1960,0)),"",INDEX('Compliance Database'!$O$2:$O$1960,MATCH(83,'Transfer Engine'!$C$2:$C$1960,0)))</f>
        <v/>
      </c>
      <c r="P92" s="8">
        <f>IF(ISNA(MATCH(83,'Transfer Engine'!$C$2:$C$1960,0)),"",HYPERLINK("#Acts!A"&amp;INDEX('Compliance Database'!$P$2:$P$1960,MATCH(83,'Transfer Engine'!$C$2:$C$1960,0)),"Go to Act"))</f>
        <v/>
      </c>
    </row>
    <row r="93" ht="158" customHeight="1">
      <c r="A93" s="8">
        <f>IF(ISNA(MATCH(84,'Transfer Engine'!$C$2:$C$1960,0)),"",INDEX('Compliance Database'!$A$2:$A$1960,MATCH(84,'Transfer Engine'!$C$2:$C$1960,0)))</f>
        <v/>
      </c>
      <c r="B93" s="8">
        <f>IF(ISNA(MATCH(84,'Transfer Engine'!$C$2:$C$1960,0)),"",INDEX('Compliance Database'!$B$2:$B$1960,MATCH(84,'Transfer Engine'!$C$2:$C$1960,0)))</f>
        <v/>
      </c>
      <c r="C93" s="8">
        <f>IF(ISNA(MATCH(84,'Transfer Engine'!$C$2:$C$1960,0)),"",INDEX('Compliance Database'!$C$2:$C$1960,MATCH(84,'Transfer Engine'!$C$2:$C$1960,0)))</f>
        <v/>
      </c>
      <c r="D93" s="9">
        <f>IF(ISNA(MATCH(84,'Transfer Engine'!$C$2:$C$1960,0)),"",INDEX('Compliance Database'!$D$2:$D$1960,MATCH(84,'Transfer Engine'!$C$2:$C$1960,0)))</f>
        <v/>
      </c>
      <c r="E93" s="8">
        <f>IF(ISNA(MATCH(84,'Transfer Engine'!$C$2:$C$1960,0)),"",INDEX('Compliance Database'!$E$2:$E$1960,MATCH(84,'Transfer Engine'!$C$2:$C$1960,0)))</f>
        <v/>
      </c>
      <c r="F93" s="8">
        <f>IF(ISNA(MATCH(84,'Transfer Engine'!$C$2:$C$1960,0)),"",INDEX('Compliance Database'!$F$2:$F$1960,MATCH(84,'Transfer Engine'!$C$2:$C$1960,0)))</f>
        <v/>
      </c>
      <c r="G93" s="8">
        <f>IF(ISNA(MATCH(84,'Transfer Engine'!$C$2:$C$1960,0)),"",INDEX('Compliance Database'!$G$2:$G$1960,MATCH(84,'Transfer Engine'!$C$2:$C$1960,0)))</f>
        <v/>
      </c>
      <c r="H93" s="9">
        <f>IF(ISNA(MATCH(84,'Transfer Engine'!$C$2:$C$1960,0)),"",INDEX('Compliance Database'!$H$2:$H$1960,MATCH(84,'Transfer Engine'!$C$2:$C$1960,0)))</f>
        <v/>
      </c>
      <c r="I93" s="9">
        <f>IF(ISNA(MATCH(84,'Transfer Engine'!$C$2:$C$1960,0)),"",INDEX('Compliance Database'!$I$2:$I$1960,MATCH(84,'Transfer Engine'!$C$2:$C$1960,0)))</f>
        <v/>
      </c>
      <c r="J93" s="8">
        <f>IF(ISNA(MATCH(84,'Transfer Engine'!$C$2:$C$1960,0)),"",INDEX('Compliance Database'!$J$2:$J$1960,MATCH(84,'Transfer Engine'!$C$2:$C$1960,0)))</f>
        <v/>
      </c>
      <c r="K93" s="9">
        <f>IF(ISNA(MATCH(84,'Transfer Engine'!$C$2:$C$1960,0)),"",INDEX('Compliance Database'!$K$2:$K$1960,MATCH(84,'Transfer Engine'!$C$2:$C$1960,0)))</f>
        <v/>
      </c>
      <c r="L93" s="9">
        <f>IF(ISNA(MATCH(84,'Transfer Engine'!$C$2:$C$1960,0)),"",INDEX('Compliance Database'!$L$2:$L$1960,MATCH(84,'Transfer Engine'!$C$2:$C$1960,0)))</f>
        <v/>
      </c>
      <c r="M93" s="9">
        <f>IF(ISNA(MATCH(84,'Transfer Engine'!$C$2:$C$1960,0)),"",INDEX('Compliance Database'!$M$2:$M$1960,MATCH(84,'Transfer Engine'!$C$2:$C$1960,0)))</f>
        <v/>
      </c>
      <c r="N93" s="9">
        <f>IF(ISNA(MATCH(84,'Transfer Engine'!$C$2:$C$1960,0)),"",INDEX('Compliance Database'!$N$2:$N$1960,MATCH(84,'Transfer Engine'!$C$2:$C$1960,0)))</f>
        <v/>
      </c>
      <c r="O93" s="9">
        <f>IF(ISNA(MATCH(84,'Transfer Engine'!$C$2:$C$1960,0)),"",INDEX('Compliance Database'!$O$2:$O$1960,MATCH(84,'Transfer Engine'!$C$2:$C$1960,0)))</f>
        <v/>
      </c>
      <c r="P93" s="8">
        <f>IF(ISNA(MATCH(84,'Transfer Engine'!$C$2:$C$1960,0)),"",HYPERLINK("#Acts!A"&amp;INDEX('Compliance Database'!$P$2:$P$1960,MATCH(84,'Transfer Engine'!$C$2:$C$1960,0)),"Go to Act"))</f>
        <v/>
      </c>
    </row>
    <row r="94" ht="158" customHeight="1">
      <c r="A94" s="8">
        <f>IF(ISNA(MATCH(85,'Transfer Engine'!$C$2:$C$1960,0)),"",INDEX('Compliance Database'!$A$2:$A$1960,MATCH(85,'Transfer Engine'!$C$2:$C$1960,0)))</f>
        <v/>
      </c>
      <c r="B94" s="8">
        <f>IF(ISNA(MATCH(85,'Transfer Engine'!$C$2:$C$1960,0)),"",INDEX('Compliance Database'!$B$2:$B$1960,MATCH(85,'Transfer Engine'!$C$2:$C$1960,0)))</f>
        <v/>
      </c>
      <c r="C94" s="8">
        <f>IF(ISNA(MATCH(85,'Transfer Engine'!$C$2:$C$1960,0)),"",INDEX('Compliance Database'!$C$2:$C$1960,MATCH(85,'Transfer Engine'!$C$2:$C$1960,0)))</f>
        <v/>
      </c>
      <c r="D94" s="9">
        <f>IF(ISNA(MATCH(85,'Transfer Engine'!$C$2:$C$1960,0)),"",INDEX('Compliance Database'!$D$2:$D$1960,MATCH(85,'Transfer Engine'!$C$2:$C$1960,0)))</f>
        <v/>
      </c>
      <c r="E94" s="8">
        <f>IF(ISNA(MATCH(85,'Transfer Engine'!$C$2:$C$1960,0)),"",INDEX('Compliance Database'!$E$2:$E$1960,MATCH(85,'Transfer Engine'!$C$2:$C$1960,0)))</f>
        <v/>
      </c>
      <c r="F94" s="8">
        <f>IF(ISNA(MATCH(85,'Transfer Engine'!$C$2:$C$1960,0)),"",INDEX('Compliance Database'!$F$2:$F$1960,MATCH(85,'Transfer Engine'!$C$2:$C$1960,0)))</f>
        <v/>
      </c>
      <c r="G94" s="8">
        <f>IF(ISNA(MATCH(85,'Transfer Engine'!$C$2:$C$1960,0)),"",INDEX('Compliance Database'!$G$2:$G$1960,MATCH(85,'Transfer Engine'!$C$2:$C$1960,0)))</f>
        <v/>
      </c>
      <c r="H94" s="9">
        <f>IF(ISNA(MATCH(85,'Transfer Engine'!$C$2:$C$1960,0)),"",INDEX('Compliance Database'!$H$2:$H$1960,MATCH(85,'Transfer Engine'!$C$2:$C$1960,0)))</f>
        <v/>
      </c>
      <c r="I94" s="9">
        <f>IF(ISNA(MATCH(85,'Transfer Engine'!$C$2:$C$1960,0)),"",INDEX('Compliance Database'!$I$2:$I$1960,MATCH(85,'Transfer Engine'!$C$2:$C$1960,0)))</f>
        <v/>
      </c>
      <c r="J94" s="8">
        <f>IF(ISNA(MATCH(85,'Transfer Engine'!$C$2:$C$1960,0)),"",INDEX('Compliance Database'!$J$2:$J$1960,MATCH(85,'Transfer Engine'!$C$2:$C$1960,0)))</f>
        <v/>
      </c>
      <c r="K94" s="9">
        <f>IF(ISNA(MATCH(85,'Transfer Engine'!$C$2:$C$1960,0)),"",INDEX('Compliance Database'!$K$2:$K$1960,MATCH(85,'Transfer Engine'!$C$2:$C$1960,0)))</f>
        <v/>
      </c>
      <c r="L94" s="9">
        <f>IF(ISNA(MATCH(85,'Transfer Engine'!$C$2:$C$1960,0)),"",INDEX('Compliance Database'!$L$2:$L$1960,MATCH(85,'Transfer Engine'!$C$2:$C$1960,0)))</f>
        <v/>
      </c>
      <c r="M94" s="9">
        <f>IF(ISNA(MATCH(85,'Transfer Engine'!$C$2:$C$1960,0)),"",INDEX('Compliance Database'!$M$2:$M$1960,MATCH(85,'Transfer Engine'!$C$2:$C$1960,0)))</f>
        <v/>
      </c>
      <c r="N94" s="9">
        <f>IF(ISNA(MATCH(85,'Transfer Engine'!$C$2:$C$1960,0)),"",INDEX('Compliance Database'!$N$2:$N$1960,MATCH(85,'Transfer Engine'!$C$2:$C$1960,0)))</f>
        <v/>
      </c>
      <c r="O94" s="9">
        <f>IF(ISNA(MATCH(85,'Transfer Engine'!$C$2:$C$1960,0)),"",INDEX('Compliance Database'!$O$2:$O$1960,MATCH(85,'Transfer Engine'!$C$2:$C$1960,0)))</f>
        <v/>
      </c>
      <c r="P94" s="8">
        <f>IF(ISNA(MATCH(85,'Transfer Engine'!$C$2:$C$1960,0)),"",HYPERLINK("#Acts!A"&amp;INDEX('Compliance Database'!$P$2:$P$1960,MATCH(85,'Transfer Engine'!$C$2:$C$1960,0)),"Go to Act"))</f>
        <v/>
      </c>
    </row>
    <row r="95" ht="158" customHeight="1">
      <c r="A95" s="8">
        <f>IF(ISNA(MATCH(86,'Transfer Engine'!$C$2:$C$1960,0)),"",INDEX('Compliance Database'!$A$2:$A$1960,MATCH(86,'Transfer Engine'!$C$2:$C$1960,0)))</f>
        <v/>
      </c>
      <c r="B95" s="8">
        <f>IF(ISNA(MATCH(86,'Transfer Engine'!$C$2:$C$1960,0)),"",INDEX('Compliance Database'!$B$2:$B$1960,MATCH(86,'Transfer Engine'!$C$2:$C$1960,0)))</f>
        <v/>
      </c>
      <c r="C95" s="8">
        <f>IF(ISNA(MATCH(86,'Transfer Engine'!$C$2:$C$1960,0)),"",INDEX('Compliance Database'!$C$2:$C$1960,MATCH(86,'Transfer Engine'!$C$2:$C$1960,0)))</f>
        <v/>
      </c>
      <c r="D95" s="9">
        <f>IF(ISNA(MATCH(86,'Transfer Engine'!$C$2:$C$1960,0)),"",INDEX('Compliance Database'!$D$2:$D$1960,MATCH(86,'Transfer Engine'!$C$2:$C$1960,0)))</f>
        <v/>
      </c>
      <c r="E95" s="8">
        <f>IF(ISNA(MATCH(86,'Transfer Engine'!$C$2:$C$1960,0)),"",INDEX('Compliance Database'!$E$2:$E$1960,MATCH(86,'Transfer Engine'!$C$2:$C$1960,0)))</f>
        <v/>
      </c>
      <c r="F95" s="8">
        <f>IF(ISNA(MATCH(86,'Transfer Engine'!$C$2:$C$1960,0)),"",INDEX('Compliance Database'!$F$2:$F$1960,MATCH(86,'Transfer Engine'!$C$2:$C$1960,0)))</f>
        <v/>
      </c>
      <c r="G95" s="8">
        <f>IF(ISNA(MATCH(86,'Transfer Engine'!$C$2:$C$1960,0)),"",INDEX('Compliance Database'!$G$2:$G$1960,MATCH(86,'Transfer Engine'!$C$2:$C$1960,0)))</f>
        <v/>
      </c>
      <c r="H95" s="9">
        <f>IF(ISNA(MATCH(86,'Transfer Engine'!$C$2:$C$1960,0)),"",INDEX('Compliance Database'!$H$2:$H$1960,MATCH(86,'Transfer Engine'!$C$2:$C$1960,0)))</f>
        <v/>
      </c>
      <c r="I95" s="9">
        <f>IF(ISNA(MATCH(86,'Transfer Engine'!$C$2:$C$1960,0)),"",INDEX('Compliance Database'!$I$2:$I$1960,MATCH(86,'Transfer Engine'!$C$2:$C$1960,0)))</f>
        <v/>
      </c>
      <c r="J95" s="8">
        <f>IF(ISNA(MATCH(86,'Transfer Engine'!$C$2:$C$1960,0)),"",INDEX('Compliance Database'!$J$2:$J$1960,MATCH(86,'Transfer Engine'!$C$2:$C$1960,0)))</f>
        <v/>
      </c>
      <c r="K95" s="9">
        <f>IF(ISNA(MATCH(86,'Transfer Engine'!$C$2:$C$1960,0)),"",INDEX('Compliance Database'!$K$2:$K$1960,MATCH(86,'Transfer Engine'!$C$2:$C$1960,0)))</f>
        <v/>
      </c>
      <c r="L95" s="9">
        <f>IF(ISNA(MATCH(86,'Transfer Engine'!$C$2:$C$1960,0)),"",INDEX('Compliance Database'!$L$2:$L$1960,MATCH(86,'Transfer Engine'!$C$2:$C$1960,0)))</f>
        <v/>
      </c>
      <c r="M95" s="9">
        <f>IF(ISNA(MATCH(86,'Transfer Engine'!$C$2:$C$1960,0)),"",INDEX('Compliance Database'!$M$2:$M$1960,MATCH(86,'Transfer Engine'!$C$2:$C$1960,0)))</f>
        <v/>
      </c>
      <c r="N95" s="9">
        <f>IF(ISNA(MATCH(86,'Transfer Engine'!$C$2:$C$1960,0)),"",INDEX('Compliance Database'!$N$2:$N$1960,MATCH(86,'Transfer Engine'!$C$2:$C$1960,0)))</f>
        <v/>
      </c>
      <c r="O95" s="9">
        <f>IF(ISNA(MATCH(86,'Transfer Engine'!$C$2:$C$1960,0)),"",INDEX('Compliance Database'!$O$2:$O$1960,MATCH(86,'Transfer Engine'!$C$2:$C$1960,0)))</f>
        <v/>
      </c>
      <c r="P95" s="8">
        <f>IF(ISNA(MATCH(86,'Transfer Engine'!$C$2:$C$1960,0)),"",HYPERLINK("#Acts!A"&amp;INDEX('Compliance Database'!$P$2:$P$1960,MATCH(86,'Transfer Engine'!$C$2:$C$1960,0)),"Go to Act"))</f>
        <v/>
      </c>
    </row>
    <row r="96" ht="158" customHeight="1">
      <c r="A96" s="8">
        <f>IF(ISNA(MATCH(87,'Transfer Engine'!$C$2:$C$1960,0)),"",INDEX('Compliance Database'!$A$2:$A$1960,MATCH(87,'Transfer Engine'!$C$2:$C$1960,0)))</f>
        <v/>
      </c>
      <c r="B96" s="8">
        <f>IF(ISNA(MATCH(87,'Transfer Engine'!$C$2:$C$1960,0)),"",INDEX('Compliance Database'!$B$2:$B$1960,MATCH(87,'Transfer Engine'!$C$2:$C$1960,0)))</f>
        <v/>
      </c>
      <c r="C96" s="8">
        <f>IF(ISNA(MATCH(87,'Transfer Engine'!$C$2:$C$1960,0)),"",INDEX('Compliance Database'!$C$2:$C$1960,MATCH(87,'Transfer Engine'!$C$2:$C$1960,0)))</f>
        <v/>
      </c>
      <c r="D96" s="9">
        <f>IF(ISNA(MATCH(87,'Transfer Engine'!$C$2:$C$1960,0)),"",INDEX('Compliance Database'!$D$2:$D$1960,MATCH(87,'Transfer Engine'!$C$2:$C$1960,0)))</f>
        <v/>
      </c>
      <c r="E96" s="8">
        <f>IF(ISNA(MATCH(87,'Transfer Engine'!$C$2:$C$1960,0)),"",INDEX('Compliance Database'!$E$2:$E$1960,MATCH(87,'Transfer Engine'!$C$2:$C$1960,0)))</f>
        <v/>
      </c>
      <c r="F96" s="8">
        <f>IF(ISNA(MATCH(87,'Transfer Engine'!$C$2:$C$1960,0)),"",INDEX('Compliance Database'!$F$2:$F$1960,MATCH(87,'Transfer Engine'!$C$2:$C$1960,0)))</f>
        <v/>
      </c>
      <c r="G96" s="8">
        <f>IF(ISNA(MATCH(87,'Transfer Engine'!$C$2:$C$1960,0)),"",INDEX('Compliance Database'!$G$2:$G$1960,MATCH(87,'Transfer Engine'!$C$2:$C$1960,0)))</f>
        <v/>
      </c>
      <c r="H96" s="9">
        <f>IF(ISNA(MATCH(87,'Transfer Engine'!$C$2:$C$1960,0)),"",INDEX('Compliance Database'!$H$2:$H$1960,MATCH(87,'Transfer Engine'!$C$2:$C$1960,0)))</f>
        <v/>
      </c>
      <c r="I96" s="9">
        <f>IF(ISNA(MATCH(87,'Transfer Engine'!$C$2:$C$1960,0)),"",INDEX('Compliance Database'!$I$2:$I$1960,MATCH(87,'Transfer Engine'!$C$2:$C$1960,0)))</f>
        <v/>
      </c>
      <c r="J96" s="8">
        <f>IF(ISNA(MATCH(87,'Transfer Engine'!$C$2:$C$1960,0)),"",INDEX('Compliance Database'!$J$2:$J$1960,MATCH(87,'Transfer Engine'!$C$2:$C$1960,0)))</f>
        <v/>
      </c>
      <c r="K96" s="9">
        <f>IF(ISNA(MATCH(87,'Transfer Engine'!$C$2:$C$1960,0)),"",INDEX('Compliance Database'!$K$2:$K$1960,MATCH(87,'Transfer Engine'!$C$2:$C$1960,0)))</f>
        <v/>
      </c>
      <c r="L96" s="9">
        <f>IF(ISNA(MATCH(87,'Transfer Engine'!$C$2:$C$1960,0)),"",INDEX('Compliance Database'!$L$2:$L$1960,MATCH(87,'Transfer Engine'!$C$2:$C$1960,0)))</f>
        <v/>
      </c>
      <c r="M96" s="9">
        <f>IF(ISNA(MATCH(87,'Transfer Engine'!$C$2:$C$1960,0)),"",INDEX('Compliance Database'!$M$2:$M$1960,MATCH(87,'Transfer Engine'!$C$2:$C$1960,0)))</f>
        <v/>
      </c>
      <c r="N96" s="9">
        <f>IF(ISNA(MATCH(87,'Transfer Engine'!$C$2:$C$1960,0)),"",INDEX('Compliance Database'!$N$2:$N$1960,MATCH(87,'Transfer Engine'!$C$2:$C$1960,0)))</f>
        <v/>
      </c>
      <c r="O96" s="9">
        <f>IF(ISNA(MATCH(87,'Transfer Engine'!$C$2:$C$1960,0)),"",INDEX('Compliance Database'!$O$2:$O$1960,MATCH(87,'Transfer Engine'!$C$2:$C$1960,0)))</f>
        <v/>
      </c>
      <c r="P96" s="8">
        <f>IF(ISNA(MATCH(87,'Transfer Engine'!$C$2:$C$1960,0)),"",HYPERLINK("#Acts!A"&amp;INDEX('Compliance Database'!$P$2:$P$1960,MATCH(87,'Transfer Engine'!$C$2:$C$1960,0)),"Go to Act"))</f>
        <v/>
      </c>
    </row>
    <row r="97" ht="158" customHeight="1">
      <c r="A97" s="8">
        <f>IF(ISNA(MATCH(88,'Transfer Engine'!$C$2:$C$1960,0)),"",INDEX('Compliance Database'!$A$2:$A$1960,MATCH(88,'Transfer Engine'!$C$2:$C$1960,0)))</f>
        <v/>
      </c>
      <c r="B97" s="8">
        <f>IF(ISNA(MATCH(88,'Transfer Engine'!$C$2:$C$1960,0)),"",INDEX('Compliance Database'!$B$2:$B$1960,MATCH(88,'Transfer Engine'!$C$2:$C$1960,0)))</f>
        <v/>
      </c>
      <c r="C97" s="8">
        <f>IF(ISNA(MATCH(88,'Transfer Engine'!$C$2:$C$1960,0)),"",INDEX('Compliance Database'!$C$2:$C$1960,MATCH(88,'Transfer Engine'!$C$2:$C$1960,0)))</f>
        <v/>
      </c>
      <c r="D97" s="9">
        <f>IF(ISNA(MATCH(88,'Transfer Engine'!$C$2:$C$1960,0)),"",INDEX('Compliance Database'!$D$2:$D$1960,MATCH(88,'Transfer Engine'!$C$2:$C$1960,0)))</f>
        <v/>
      </c>
      <c r="E97" s="8">
        <f>IF(ISNA(MATCH(88,'Transfer Engine'!$C$2:$C$1960,0)),"",INDEX('Compliance Database'!$E$2:$E$1960,MATCH(88,'Transfer Engine'!$C$2:$C$1960,0)))</f>
        <v/>
      </c>
      <c r="F97" s="8">
        <f>IF(ISNA(MATCH(88,'Transfer Engine'!$C$2:$C$1960,0)),"",INDEX('Compliance Database'!$F$2:$F$1960,MATCH(88,'Transfer Engine'!$C$2:$C$1960,0)))</f>
        <v/>
      </c>
      <c r="G97" s="8">
        <f>IF(ISNA(MATCH(88,'Transfer Engine'!$C$2:$C$1960,0)),"",INDEX('Compliance Database'!$G$2:$G$1960,MATCH(88,'Transfer Engine'!$C$2:$C$1960,0)))</f>
        <v/>
      </c>
      <c r="H97" s="9">
        <f>IF(ISNA(MATCH(88,'Transfer Engine'!$C$2:$C$1960,0)),"",INDEX('Compliance Database'!$H$2:$H$1960,MATCH(88,'Transfer Engine'!$C$2:$C$1960,0)))</f>
        <v/>
      </c>
      <c r="I97" s="9">
        <f>IF(ISNA(MATCH(88,'Transfer Engine'!$C$2:$C$1960,0)),"",INDEX('Compliance Database'!$I$2:$I$1960,MATCH(88,'Transfer Engine'!$C$2:$C$1960,0)))</f>
        <v/>
      </c>
      <c r="J97" s="8">
        <f>IF(ISNA(MATCH(88,'Transfer Engine'!$C$2:$C$1960,0)),"",INDEX('Compliance Database'!$J$2:$J$1960,MATCH(88,'Transfer Engine'!$C$2:$C$1960,0)))</f>
        <v/>
      </c>
      <c r="K97" s="9">
        <f>IF(ISNA(MATCH(88,'Transfer Engine'!$C$2:$C$1960,0)),"",INDEX('Compliance Database'!$K$2:$K$1960,MATCH(88,'Transfer Engine'!$C$2:$C$1960,0)))</f>
        <v/>
      </c>
      <c r="L97" s="9">
        <f>IF(ISNA(MATCH(88,'Transfer Engine'!$C$2:$C$1960,0)),"",INDEX('Compliance Database'!$L$2:$L$1960,MATCH(88,'Transfer Engine'!$C$2:$C$1960,0)))</f>
        <v/>
      </c>
      <c r="M97" s="9">
        <f>IF(ISNA(MATCH(88,'Transfer Engine'!$C$2:$C$1960,0)),"",INDEX('Compliance Database'!$M$2:$M$1960,MATCH(88,'Transfer Engine'!$C$2:$C$1960,0)))</f>
        <v/>
      </c>
      <c r="N97" s="9">
        <f>IF(ISNA(MATCH(88,'Transfer Engine'!$C$2:$C$1960,0)),"",INDEX('Compliance Database'!$N$2:$N$1960,MATCH(88,'Transfer Engine'!$C$2:$C$1960,0)))</f>
        <v/>
      </c>
      <c r="O97" s="9">
        <f>IF(ISNA(MATCH(88,'Transfer Engine'!$C$2:$C$1960,0)),"",INDEX('Compliance Database'!$O$2:$O$1960,MATCH(88,'Transfer Engine'!$C$2:$C$1960,0)))</f>
        <v/>
      </c>
      <c r="P97" s="8">
        <f>IF(ISNA(MATCH(88,'Transfer Engine'!$C$2:$C$1960,0)),"",HYPERLINK("#Acts!A"&amp;INDEX('Compliance Database'!$P$2:$P$1960,MATCH(88,'Transfer Engine'!$C$2:$C$1960,0)),"Go to Act"))</f>
        <v/>
      </c>
    </row>
    <row r="98" ht="158" customHeight="1">
      <c r="A98" s="8">
        <f>IF(ISNA(MATCH(89,'Transfer Engine'!$C$2:$C$1960,0)),"",INDEX('Compliance Database'!$A$2:$A$1960,MATCH(89,'Transfer Engine'!$C$2:$C$1960,0)))</f>
        <v/>
      </c>
      <c r="B98" s="8">
        <f>IF(ISNA(MATCH(89,'Transfer Engine'!$C$2:$C$1960,0)),"",INDEX('Compliance Database'!$B$2:$B$1960,MATCH(89,'Transfer Engine'!$C$2:$C$1960,0)))</f>
        <v/>
      </c>
      <c r="C98" s="8">
        <f>IF(ISNA(MATCH(89,'Transfer Engine'!$C$2:$C$1960,0)),"",INDEX('Compliance Database'!$C$2:$C$1960,MATCH(89,'Transfer Engine'!$C$2:$C$1960,0)))</f>
        <v/>
      </c>
      <c r="D98" s="9">
        <f>IF(ISNA(MATCH(89,'Transfer Engine'!$C$2:$C$1960,0)),"",INDEX('Compliance Database'!$D$2:$D$1960,MATCH(89,'Transfer Engine'!$C$2:$C$1960,0)))</f>
        <v/>
      </c>
      <c r="E98" s="8">
        <f>IF(ISNA(MATCH(89,'Transfer Engine'!$C$2:$C$1960,0)),"",INDEX('Compliance Database'!$E$2:$E$1960,MATCH(89,'Transfer Engine'!$C$2:$C$1960,0)))</f>
        <v/>
      </c>
      <c r="F98" s="8">
        <f>IF(ISNA(MATCH(89,'Transfer Engine'!$C$2:$C$1960,0)),"",INDEX('Compliance Database'!$F$2:$F$1960,MATCH(89,'Transfer Engine'!$C$2:$C$1960,0)))</f>
        <v/>
      </c>
      <c r="G98" s="8">
        <f>IF(ISNA(MATCH(89,'Transfer Engine'!$C$2:$C$1960,0)),"",INDEX('Compliance Database'!$G$2:$G$1960,MATCH(89,'Transfer Engine'!$C$2:$C$1960,0)))</f>
        <v/>
      </c>
      <c r="H98" s="9">
        <f>IF(ISNA(MATCH(89,'Transfer Engine'!$C$2:$C$1960,0)),"",INDEX('Compliance Database'!$H$2:$H$1960,MATCH(89,'Transfer Engine'!$C$2:$C$1960,0)))</f>
        <v/>
      </c>
      <c r="I98" s="9">
        <f>IF(ISNA(MATCH(89,'Transfer Engine'!$C$2:$C$1960,0)),"",INDEX('Compliance Database'!$I$2:$I$1960,MATCH(89,'Transfer Engine'!$C$2:$C$1960,0)))</f>
        <v/>
      </c>
      <c r="J98" s="8">
        <f>IF(ISNA(MATCH(89,'Transfer Engine'!$C$2:$C$1960,0)),"",INDEX('Compliance Database'!$J$2:$J$1960,MATCH(89,'Transfer Engine'!$C$2:$C$1960,0)))</f>
        <v/>
      </c>
      <c r="K98" s="9">
        <f>IF(ISNA(MATCH(89,'Transfer Engine'!$C$2:$C$1960,0)),"",INDEX('Compliance Database'!$K$2:$K$1960,MATCH(89,'Transfer Engine'!$C$2:$C$1960,0)))</f>
        <v/>
      </c>
      <c r="L98" s="9">
        <f>IF(ISNA(MATCH(89,'Transfer Engine'!$C$2:$C$1960,0)),"",INDEX('Compliance Database'!$L$2:$L$1960,MATCH(89,'Transfer Engine'!$C$2:$C$1960,0)))</f>
        <v/>
      </c>
      <c r="M98" s="9">
        <f>IF(ISNA(MATCH(89,'Transfer Engine'!$C$2:$C$1960,0)),"",INDEX('Compliance Database'!$M$2:$M$1960,MATCH(89,'Transfer Engine'!$C$2:$C$1960,0)))</f>
        <v/>
      </c>
      <c r="N98" s="9">
        <f>IF(ISNA(MATCH(89,'Transfer Engine'!$C$2:$C$1960,0)),"",INDEX('Compliance Database'!$N$2:$N$1960,MATCH(89,'Transfer Engine'!$C$2:$C$1960,0)))</f>
        <v/>
      </c>
      <c r="O98" s="9">
        <f>IF(ISNA(MATCH(89,'Transfer Engine'!$C$2:$C$1960,0)),"",INDEX('Compliance Database'!$O$2:$O$1960,MATCH(89,'Transfer Engine'!$C$2:$C$1960,0)))</f>
        <v/>
      </c>
      <c r="P98" s="8">
        <f>IF(ISNA(MATCH(89,'Transfer Engine'!$C$2:$C$1960,0)),"",HYPERLINK("#Acts!A"&amp;INDEX('Compliance Database'!$P$2:$P$1960,MATCH(89,'Transfer Engine'!$C$2:$C$1960,0)),"Go to Act"))</f>
        <v/>
      </c>
    </row>
    <row r="99" ht="158" customHeight="1">
      <c r="A99" s="8">
        <f>IF(ISNA(MATCH(90,'Transfer Engine'!$C$2:$C$1960,0)),"",INDEX('Compliance Database'!$A$2:$A$1960,MATCH(90,'Transfer Engine'!$C$2:$C$1960,0)))</f>
        <v/>
      </c>
      <c r="B99" s="8">
        <f>IF(ISNA(MATCH(90,'Transfer Engine'!$C$2:$C$1960,0)),"",INDEX('Compliance Database'!$B$2:$B$1960,MATCH(90,'Transfer Engine'!$C$2:$C$1960,0)))</f>
        <v/>
      </c>
      <c r="C99" s="8">
        <f>IF(ISNA(MATCH(90,'Transfer Engine'!$C$2:$C$1960,0)),"",INDEX('Compliance Database'!$C$2:$C$1960,MATCH(90,'Transfer Engine'!$C$2:$C$1960,0)))</f>
        <v/>
      </c>
      <c r="D99" s="9">
        <f>IF(ISNA(MATCH(90,'Transfer Engine'!$C$2:$C$1960,0)),"",INDEX('Compliance Database'!$D$2:$D$1960,MATCH(90,'Transfer Engine'!$C$2:$C$1960,0)))</f>
        <v/>
      </c>
      <c r="E99" s="8">
        <f>IF(ISNA(MATCH(90,'Transfer Engine'!$C$2:$C$1960,0)),"",INDEX('Compliance Database'!$E$2:$E$1960,MATCH(90,'Transfer Engine'!$C$2:$C$1960,0)))</f>
        <v/>
      </c>
      <c r="F99" s="8">
        <f>IF(ISNA(MATCH(90,'Transfer Engine'!$C$2:$C$1960,0)),"",INDEX('Compliance Database'!$F$2:$F$1960,MATCH(90,'Transfer Engine'!$C$2:$C$1960,0)))</f>
        <v/>
      </c>
      <c r="G99" s="8">
        <f>IF(ISNA(MATCH(90,'Transfer Engine'!$C$2:$C$1960,0)),"",INDEX('Compliance Database'!$G$2:$G$1960,MATCH(90,'Transfer Engine'!$C$2:$C$1960,0)))</f>
        <v/>
      </c>
      <c r="H99" s="9">
        <f>IF(ISNA(MATCH(90,'Transfer Engine'!$C$2:$C$1960,0)),"",INDEX('Compliance Database'!$H$2:$H$1960,MATCH(90,'Transfer Engine'!$C$2:$C$1960,0)))</f>
        <v/>
      </c>
      <c r="I99" s="9">
        <f>IF(ISNA(MATCH(90,'Transfer Engine'!$C$2:$C$1960,0)),"",INDEX('Compliance Database'!$I$2:$I$1960,MATCH(90,'Transfer Engine'!$C$2:$C$1960,0)))</f>
        <v/>
      </c>
      <c r="J99" s="8">
        <f>IF(ISNA(MATCH(90,'Transfer Engine'!$C$2:$C$1960,0)),"",INDEX('Compliance Database'!$J$2:$J$1960,MATCH(90,'Transfer Engine'!$C$2:$C$1960,0)))</f>
        <v/>
      </c>
      <c r="K99" s="9">
        <f>IF(ISNA(MATCH(90,'Transfer Engine'!$C$2:$C$1960,0)),"",INDEX('Compliance Database'!$K$2:$K$1960,MATCH(90,'Transfer Engine'!$C$2:$C$1960,0)))</f>
        <v/>
      </c>
      <c r="L99" s="9">
        <f>IF(ISNA(MATCH(90,'Transfer Engine'!$C$2:$C$1960,0)),"",INDEX('Compliance Database'!$L$2:$L$1960,MATCH(90,'Transfer Engine'!$C$2:$C$1960,0)))</f>
        <v/>
      </c>
      <c r="M99" s="9">
        <f>IF(ISNA(MATCH(90,'Transfer Engine'!$C$2:$C$1960,0)),"",INDEX('Compliance Database'!$M$2:$M$1960,MATCH(90,'Transfer Engine'!$C$2:$C$1960,0)))</f>
        <v/>
      </c>
      <c r="N99" s="9">
        <f>IF(ISNA(MATCH(90,'Transfer Engine'!$C$2:$C$1960,0)),"",INDEX('Compliance Database'!$N$2:$N$1960,MATCH(90,'Transfer Engine'!$C$2:$C$1960,0)))</f>
        <v/>
      </c>
      <c r="O99" s="9">
        <f>IF(ISNA(MATCH(90,'Transfer Engine'!$C$2:$C$1960,0)),"",INDEX('Compliance Database'!$O$2:$O$1960,MATCH(90,'Transfer Engine'!$C$2:$C$1960,0)))</f>
        <v/>
      </c>
      <c r="P99" s="8">
        <f>IF(ISNA(MATCH(90,'Transfer Engine'!$C$2:$C$1960,0)),"",HYPERLINK("#Acts!A"&amp;INDEX('Compliance Database'!$P$2:$P$1960,MATCH(90,'Transfer Engine'!$C$2:$C$1960,0)),"Go to Act"))</f>
        <v/>
      </c>
    </row>
    <row r="100" ht="158" customHeight="1">
      <c r="A100" s="8">
        <f>IF(ISNA(MATCH(91,'Transfer Engine'!$C$2:$C$1960,0)),"",INDEX('Compliance Database'!$A$2:$A$1960,MATCH(91,'Transfer Engine'!$C$2:$C$1960,0)))</f>
        <v/>
      </c>
      <c r="B100" s="8">
        <f>IF(ISNA(MATCH(91,'Transfer Engine'!$C$2:$C$1960,0)),"",INDEX('Compliance Database'!$B$2:$B$1960,MATCH(91,'Transfer Engine'!$C$2:$C$1960,0)))</f>
        <v/>
      </c>
      <c r="C100" s="8">
        <f>IF(ISNA(MATCH(91,'Transfer Engine'!$C$2:$C$1960,0)),"",INDEX('Compliance Database'!$C$2:$C$1960,MATCH(91,'Transfer Engine'!$C$2:$C$1960,0)))</f>
        <v/>
      </c>
      <c r="D100" s="9">
        <f>IF(ISNA(MATCH(91,'Transfer Engine'!$C$2:$C$1960,0)),"",INDEX('Compliance Database'!$D$2:$D$1960,MATCH(91,'Transfer Engine'!$C$2:$C$1960,0)))</f>
        <v/>
      </c>
      <c r="E100" s="8">
        <f>IF(ISNA(MATCH(91,'Transfer Engine'!$C$2:$C$1960,0)),"",INDEX('Compliance Database'!$E$2:$E$1960,MATCH(91,'Transfer Engine'!$C$2:$C$1960,0)))</f>
        <v/>
      </c>
      <c r="F100" s="8">
        <f>IF(ISNA(MATCH(91,'Transfer Engine'!$C$2:$C$1960,0)),"",INDEX('Compliance Database'!$F$2:$F$1960,MATCH(91,'Transfer Engine'!$C$2:$C$1960,0)))</f>
        <v/>
      </c>
      <c r="G100" s="8">
        <f>IF(ISNA(MATCH(91,'Transfer Engine'!$C$2:$C$1960,0)),"",INDEX('Compliance Database'!$G$2:$G$1960,MATCH(91,'Transfer Engine'!$C$2:$C$1960,0)))</f>
        <v/>
      </c>
      <c r="H100" s="9">
        <f>IF(ISNA(MATCH(91,'Transfer Engine'!$C$2:$C$1960,0)),"",INDEX('Compliance Database'!$H$2:$H$1960,MATCH(91,'Transfer Engine'!$C$2:$C$1960,0)))</f>
        <v/>
      </c>
      <c r="I100" s="9">
        <f>IF(ISNA(MATCH(91,'Transfer Engine'!$C$2:$C$1960,0)),"",INDEX('Compliance Database'!$I$2:$I$1960,MATCH(91,'Transfer Engine'!$C$2:$C$1960,0)))</f>
        <v/>
      </c>
      <c r="J100" s="8">
        <f>IF(ISNA(MATCH(91,'Transfer Engine'!$C$2:$C$1960,0)),"",INDEX('Compliance Database'!$J$2:$J$1960,MATCH(91,'Transfer Engine'!$C$2:$C$1960,0)))</f>
        <v/>
      </c>
      <c r="K100" s="9">
        <f>IF(ISNA(MATCH(91,'Transfer Engine'!$C$2:$C$1960,0)),"",INDEX('Compliance Database'!$K$2:$K$1960,MATCH(91,'Transfer Engine'!$C$2:$C$1960,0)))</f>
        <v/>
      </c>
      <c r="L100" s="9">
        <f>IF(ISNA(MATCH(91,'Transfer Engine'!$C$2:$C$1960,0)),"",INDEX('Compliance Database'!$L$2:$L$1960,MATCH(91,'Transfer Engine'!$C$2:$C$1960,0)))</f>
        <v/>
      </c>
      <c r="M100" s="9">
        <f>IF(ISNA(MATCH(91,'Transfer Engine'!$C$2:$C$1960,0)),"",INDEX('Compliance Database'!$M$2:$M$1960,MATCH(91,'Transfer Engine'!$C$2:$C$1960,0)))</f>
        <v/>
      </c>
      <c r="N100" s="9">
        <f>IF(ISNA(MATCH(91,'Transfer Engine'!$C$2:$C$1960,0)),"",INDEX('Compliance Database'!$N$2:$N$1960,MATCH(91,'Transfer Engine'!$C$2:$C$1960,0)))</f>
        <v/>
      </c>
      <c r="O100" s="9">
        <f>IF(ISNA(MATCH(91,'Transfer Engine'!$C$2:$C$1960,0)),"",INDEX('Compliance Database'!$O$2:$O$1960,MATCH(91,'Transfer Engine'!$C$2:$C$1960,0)))</f>
        <v/>
      </c>
      <c r="P100" s="8">
        <f>IF(ISNA(MATCH(91,'Transfer Engine'!$C$2:$C$1960,0)),"",HYPERLINK("#Acts!A"&amp;INDEX('Compliance Database'!$P$2:$P$1960,MATCH(91,'Transfer Engine'!$C$2:$C$1960,0)),"Go to Act"))</f>
        <v/>
      </c>
    </row>
    <row r="101" ht="158" customHeight="1">
      <c r="A101" s="8">
        <f>IF(ISNA(MATCH(92,'Transfer Engine'!$C$2:$C$1960,0)),"",INDEX('Compliance Database'!$A$2:$A$1960,MATCH(92,'Transfer Engine'!$C$2:$C$1960,0)))</f>
        <v/>
      </c>
      <c r="B101" s="8">
        <f>IF(ISNA(MATCH(92,'Transfer Engine'!$C$2:$C$1960,0)),"",INDEX('Compliance Database'!$B$2:$B$1960,MATCH(92,'Transfer Engine'!$C$2:$C$1960,0)))</f>
        <v/>
      </c>
      <c r="C101" s="8">
        <f>IF(ISNA(MATCH(92,'Transfer Engine'!$C$2:$C$1960,0)),"",INDEX('Compliance Database'!$C$2:$C$1960,MATCH(92,'Transfer Engine'!$C$2:$C$1960,0)))</f>
        <v/>
      </c>
      <c r="D101" s="9">
        <f>IF(ISNA(MATCH(92,'Transfer Engine'!$C$2:$C$1960,0)),"",INDEX('Compliance Database'!$D$2:$D$1960,MATCH(92,'Transfer Engine'!$C$2:$C$1960,0)))</f>
        <v/>
      </c>
      <c r="E101" s="8">
        <f>IF(ISNA(MATCH(92,'Transfer Engine'!$C$2:$C$1960,0)),"",INDEX('Compliance Database'!$E$2:$E$1960,MATCH(92,'Transfer Engine'!$C$2:$C$1960,0)))</f>
        <v/>
      </c>
      <c r="F101" s="8">
        <f>IF(ISNA(MATCH(92,'Transfer Engine'!$C$2:$C$1960,0)),"",INDEX('Compliance Database'!$F$2:$F$1960,MATCH(92,'Transfer Engine'!$C$2:$C$1960,0)))</f>
        <v/>
      </c>
      <c r="G101" s="8">
        <f>IF(ISNA(MATCH(92,'Transfer Engine'!$C$2:$C$1960,0)),"",INDEX('Compliance Database'!$G$2:$G$1960,MATCH(92,'Transfer Engine'!$C$2:$C$1960,0)))</f>
        <v/>
      </c>
      <c r="H101" s="9">
        <f>IF(ISNA(MATCH(92,'Transfer Engine'!$C$2:$C$1960,0)),"",INDEX('Compliance Database'!$H$2:$H$1960,MATCH(92,'Transfer Engine'!$C$2:$C$1960,0)))</f>
        <v/>
      </c>
      <c r="I101" s="9">
        <f>IF(ISNA(MATCH(92,'Transfer Engine'!$C$2:$C$1960,0)),"",INDEX('Compliance Database'!$I$2:$I$1960,MATCH(92,'Transfer Engine'!$C$2:$C$1960,0)))</f>
        <v/>
      </c>
      <c r="J101" s="8">
        <f>IF(ISNA(MATCH(92,'Transfer Engine'!$C$2:$C$1960,0)),"",INDEX('Compliance Database'!$J$2:$J$1960,MATCH(92,'Transfer Engine'!$C$2:$C$1960,0)))</f>
        <v/>
      </c>
      <c r="K101" s="9">
        <f>IF(ISNA(MATCH(92,'Transfer Engine'!$C$2:$C$1960,0)),"",INDEX('Compliance Database'!$K$2:$K$1960,MATCH(92,'Transfer Engine'!$C$2:$C$1960,0)))</f>
        <v/>
      </c>
      <c r="L101" s="9">
        <f>IF(ISNA(MATCH(92,'Transfer Engine'!$C$2:$C$1960,0)),"",INDEX('Compliance Database'!$L$2:$L$1960,MATCH(92,'Transfer Engine'!$C$2:$C$1960,0)))</f>
        <v/>
      </c>
      <c r="M101" s="9">
        <f>IF(ISNA(MATCH(92,'Transfer Engine'!$C$2:$C$1960,0)),"",INDEX('Compliance Database'!$M$2:$M$1960,MATCH(92,'Transfer Engine'!$C$2:$C$1960,0)))</f>
        <v/>
      </c>
      <c r="N101" s="9">
        <f>IF(ISNA(MATCH(92,'Transfer Engine'!$C$2:$C$1960,0)),"",INDEX('Compliance Database'!$N$2:$N$1960,MATCH(92,'Transfer Engine'!$C$2:$C$1960,0)))</f>
        <v/>
      </c>
      <c r="O101" s="9">
        <f>IF(ISNA(MATCH(92,'Transfer Engine'!$C$2:$C$1960,0)),"",INDEX('Compliance Database'!$O$2:$O$1960,MATCH(92,'Transfer Engine'!$C$2:$C$1960,0)))</f>
        <v/>
      </c>
      <c r="P101" s="8">
        <f>IF(ISNA(MATCH(92,'Transfer Engine'!$C$2:$C$1960,0)),"",HYPERLINK("#Acts!A"&amp;INDEX('Compliance Database'!$P$2:$P$1960,MATCH(92,'Transfer Engine'!$C$2:$C$1960,0)),"Go to Act"))</f>
        <v/>
      </c>
    </row>
    <row r="102" ht="158" customHeight="1">
      <c r="A102" s="8">
        <f>IF(ISNA(MATCH(93,'Transfer Engine'!$C$2:$C$1960,0)),"",INDEX('Compliance Database'!$A$2:$A$1960,MATCH(93,'Transfer Engine'!$C$2:$C$1960,0)))</f>
        <v/>
      </c>
      <c r="B102" s="8">
        <f>IF(ISNA(MATCH(93,'Transfer Engine'!$C$2:$C$1960,0)),"",INDEX('Compliance Database'!$B$2:$B$1960,MATCH(93,'Transfer Engine'!$C$2:$C$1960,0)))</f>
        <v/>
      </c>
      <c r="C102" s="8">
        <f>IF(ISNA(MATCH(93,'Transfer Engine'!$C$2:$C$1960,0)),"",INDEX('Compliance Database'!$C$2:$C$1960,MATCH(93,'Transfer Engine'!$C$2:$C$1960,0)))</f>
        <v/>
      </c>
      <c r="D102" s="9">
        <f>IF(ISNA(MATCH(93,'Transfer Engine'!$C$2:$C$1960,0)),"",INDEX('Compliance Database'!$D$2:$D$1960,MATCH(93,'Transfer Engine'!$C$2:$C$1960,0)))</f>
        <v/>
      </c>
      <c r="E102" s="8">
        <f>IF(ISNA(MATCH(93,'Transfer Engine'!$C$2:$C$1960,0)),"",INDEX('Compliance Database'!$E$2:$E$1960,MATCH(93,'Transfer Engine'!$C$2:$C$1960,0)))</f>
        <v/>
      </c>
      <c r="F102" s="8">
        <f>IF(ISNA(MATCH(93,'Transfer Engine'!$C$2:$C$1960,0)),"",INDEX('Compliance Database'!$F$2:$F$1960,MATCH(93,'Transfer Engine'!$C$2:$C$1960,0)))</f>
        <v/>
      </c>
      <c r="G102" s="8">
        <f>IF(ISNA(MATCH(93,'Transfer Engine'!$C$2:$C$1960,0)),"",INDEX('Compliance Database'!$G$2:$G$1960,MATCH(93,'Transfer Engine'!$C$2:$C$1960,0)))</f>
        <v/>
      </c>
      <c r="H102" s="9">
        <f>IF(ISNA(MATCH(93,'Transfer Engine'!$C$2:$C$1960,0)),"",INDEX('Compliance Database'!$H$2:$H$1960,MATCH(93,'Transfer Engine'!$C$2:$C$1960,0)))</f>
        <v/>
      </c>
      <c r="I102" s="9">
        <f>IF(ISNA(MATCH(93,'Transfer Engine'!$C$2:$C$1960,0)),"",INDEX('Compliance Database'!$I$2:$I$1960,MATCH(93,'Transfer Engine'!$C$2:$C$1960,0)))</f>
        <v/>
      </c>
      <c r="J102" s="8">
        <f>IF(ISNA(MATCH(93,'Transfer Engine'!$C$2:$C$1960,0)),"",INDEX('Compliance Database'!$J$2:$J$1960,MATCH(93,'Transfer Engine'!$C$2:$C$1960,0)))</f>
        <v/>
      </c>
      <c r="K102" s="9">
        <f>IF(ISNA(MATCH(93,'Transfer Engine'!$C$2:$C$1960,0)),"",INDEX('Compliance Database'!$K$2:$K$1960,MATCH(93,'Transfer Engine'!$C$2:$C$1960,0)))</f>
        <v/>
      </c>
      <c r="L102" s="9">
        <f>IF(ISNA(MATCH(93,'Transfer Engine'!$C$2:$C$1960,0)),"",INDEX('Compliance Database'!$L$2:$L$1960,MATCH(93,'Transfer Engine'!$C$2:$C$1960,0)))</f>
        <v/>
      </c>
      <c r="M102" s="9">
        <f>IF(ISNA(MATCH(93,'Transfer Engine'!$C$2:$C$1960,0)),"",INDEX('Compliance Database'!$M$2:$M$1960,MATCH(93,'Transfer Engine'!$C$2:$C$1960,0)))</f>
        <v/>
      </c>
      <c r="N102" s="9">
        <f>IF(ISNA(MATCH(93,'Transfer Engine'!$C$2:$C$1960,0)),"",INDEX('Compliance Database'!$N$2:$N$1960,MATCH(93,'Transfer Engine'!$C$2:$C$1960,0)))</f>
        <v/>
      </c>
      <c r="O102" s="9">
        <f>IF(ISNA(MATCH(93,'Transfer Engine'!$C$2:$C$1960,0)),"",INDEX('Compliance Database'!$O$2:$O$1960,MATCH(93,'Transfer Engine'!$C$2:$C$1960,0)))</f>
        <v/>
      </c>
      <c r="P102" s="8">
        <f>IF(ISNA(MATCH(93,'Transfer Engine'!$C$2:$C$1960,0)),"",HYPERLINK("#Acts!A"&amp;INDEX('Compliance Database'!$P$2:$P$1960,MATCH(93,'Transfer Engine'!$C$2:$C$1960,0)),"Go to Act"))</f>
        <v/>
      </c>
    </row>
    <row r="103" ht="158" customHeight="1">
      <c r="A103" s="8">
        <f>IF(ISNA(MATCH(94,'Transfer Engine'!$C$2:$C$1960,0)),"",INDEX('Compliance Database'!$A$2:$A$1960,MATCH(94,'Transfer Engine'!$C$2:$C$1960,0)))</f>
        <v/>
      </c>
      <c r="B103" s="8">
        <f>IF(ISNA(MATCH(94,'Transfer Engine'!$C$2:$C$1960,0)),"",INDEX('Compliance Database'!$B$2:$B$1960,MATCH(94,'Transfer Engine'!$C$2:$C$1960,0)))</f>
        <v/>
      </c>
      <c r="C103" s="8">
        <f>IF(ISNA(MATCH(94,'Transfer Engine'!$C$2:$C$1960,0)),"",INDEX('Compliance Database'!$C$2:$C$1960,MATCH(94,'Transfer Engine'!$C$2:$C$1960,0)))</f>
        <v/>
      </c>
      <c r="D103" s="9">
        <f>IF(ISNA(MATCH(94,'Transfer Engine'!$C$2:$C$1960,0)),"",INDEX('Compliance Database'!$D$2:$D$1960,MATCH(94,'Transfer Engine'!$C$2:$C$1960,0)))</f>
        <v/>
      </c>
      <c r="E103" s="8">
        <f>IF(ISNA(MATCH(94,'Transfer Engine'!$C$2:$C$1960,0)),"",INDEX('Compliance Database'!$E$2:$E$1960,MATCH(94,'Transfer Engine'!$C$2:$C$1960,0)))</f>
        <v/>
      </c>
      <c r="F103" s="8">
        <f>IF(ISNA(MATCH(94,'Transfer Engine'!$C$2:$C$1960,0)),"",INDEX('Compliance Database'!$F$2:$F$1960,MATCH(94,'Transfer Engine'!$C$2:$C$1960,0)))</f>
        <v/>
      </c>
      <c r="G103" s="8">
        <f>IF(ISNA(MATCH(94,'Transfer Engine'!$C$2:$C$1960,0)),"",INDEX('Compliance Database'!$G$2:$G$1960,MATCH(94,'Transfer Engine'!$C$2:$C$1960,0)))</f>
        <v/>
      </c>
      <c r="H103" s="9">
        <f>IF(ISNA(MATCH(94,'Transfer Engine'!$C$2:$C$1960,0)),"",INDEX('Compliance Database'!$H$2:$H$1960,MATCH(94,'Transfer Engine'!$C$2:$C$1960,0)))</f>
        <v/>
      </c>
      <c r="I103" s="9">
        <f>IF(ISNA(MATCH(94,'Transfer Engine'!$C$2:$C$1960,0)),"",INDEX('Compliance Database'!$I$2:$I$1960,MATCH(94,'Transfer Engine'!$C$2:$C$1960,0)))</f>
        <v/>
      </c>
      <c r="J103" s="8">
        <f>IF(ISNA(MATCH(94,'Transfer Engine'!$C$2:$C$1960,0)),"",INDEX('Compliance Database'!$J$2:$J$1960,MATCH(94,'Transfer Engine'!$C$2:$C$1960,0)))</f>
        <v/>
      </c>
      <c r="K103" s="9">
        <f>IF(ISNA(MATCH(94,'Transfer Engine'!$C$2:$C$1960,0)),"",INDEX('Compliance Database'!$K$2:$K$1960,MATCH(94,'Transfer Engine'!$C$2:$C$1960,0)))</f>
        <v/>
      </c>
      <c r="L103" s="9">
        <f>IF(ISNA(MATCH(94,'Transfer Engine'!$C$2:$C$1960,0)),"",INDEX('Compliance Database'!$L$2:$L$1960,MATCH(94,'Transfer Engine'!$C$2:$C$1960,0)))</f>
        <v/>
      </c>
      <c r="M103" s="9">
        <f>IF(ISNA(MATCH(94,'Transfer Engine'!$C$2:$C$1960,0)),"",INDEX('Compliance Database'!$M$2:$M$1960,MATCH(94,'Transfer Engine'!$C$2:$C$1960,0)))</f>
        <v/>
      </c>
      <c r="N103" s="9">
        <f>IF(ISNA(MATCH(94,'Transfer Engine'!$C$2:$C$1960,0)),"",INDEX('Compliance Database'!$N$2:$N$1960,MATCH(94,'Transfer Engine'!$C$2:$C$1960,0)))</f>
        <v/>
      </c>
      <c r="O103" s="9">
        <f>IF(ISNA(MATCH(94,'Transfer Engine'!$C$2:$C$1960,0)),"",INDEX('Compliance Database'!$O$2:$O$1960,MATCH(94,'Transfer Engine'!$C$2:$C$1960,0)))</f>
        <v/>
      </c>
      <c r="P103" s="8">
        <f>IF(ISNA(MATCH(94,'Transfer Engine'!$C$2:$C$1960,0)),"",HYPERLINK("#Acts!A"&amp;INDEX('Compliance Database'!$P$2:$P$1960,MATCH(94,'Transfer Engine'!$C$2:$C$1960,0)),"Go to Act"))</f>
        <v/>
      </c>
    </row>
    <row r="104" ht="158" customHeight="1">
      <c r="A104" s="8">
        <f>IF(ISNA(MATCH(95,'Transfer Engine'!$C$2:$C$1960,0)),"",INDEX('Compliance Database'!$A$2:$A$1960,MATCH(95,'Transfer Engine'!$C$2:$C$1960,0)))</f>
        <v/>
      </c>
      <c r="B104" s="8">
        <f>IF(ISNA(MATCH(95,'Transfer Engine'!$C$2:$C$1960,0)),"",INDEX('Compliance Database'!$B$2:$B$1960,MATCH(95,'Transfer Engine'!$C$2:$C$1960,0)))</f>
        <v/>
      </c>
      <c r="C104" s="8">
        <f>IF(ISNA(MATCH(95,'Transfer Engine'!$C$2:$C$1960,0)),"",INDEX('Compliance Database'!$C$2:$C$1960,MATCH(95,'Transfer Engine'!$C$2:$C$1960,0)))</f>
        <v/>
      </c>
      <c r="D104" s="9">
        <f>IF(ISNA(MATCH(95,'Transfer Engine'!$C$2:$C$1960,0)),"",INDEX('Compliance Database'!$D$2:$D$1960,MATCH(95,'Transfer Engine'!$C$2:$C$1960,0)))</f>
        <v/>
      </c>
      <c r="E104" s="8">
        <f>IF(ISNA(MATCH(95,'Transfer Engine'!$C$2:$C$1960,0)),"",INDEX('Compliance Database'!$E$2:$E$1960,MATCH(95,'Transfer Engine'!$C$2:$C$1960,0)))</f>
        <v/>
      </c>
      <c r="F104" s="8">
        <f>IF(ISNA(MATCH(95,'Transfer Engine'!$C$2:$C$1960,0)),"",INDEX('Compliance Database'!$F$2:$F$1960,MATCH(95,'Transfer Engine'!$C$2:$C$1960,0)))</f>
        <v/>
      </c>
      <c r="G104" s="8">
        <f>IF(ISNA(MATCH(95,'Transfer Engine'!$C$2:$C$1960,0)),"",INDEX('Compliance Database'!$G$2:$G$1960,MATCH(95,'Transfer Engine'!$C$2:$C$1960,0)))</f>
        <v/>
      </c>
      <c r="H104" s="9">
        <f>IF(ISNA(MATCH(95,'Transfer Engine'!$C$2:$C$1960,0)),"",INDEX('Compliance Database'!$H$2:$H$1960,MATCH(95,'Transfer Engine'!$C$2:$C$1960,0)))</f>
        <v/>
      </c>
      <c r="I104" s="9">
        <f>IF(ISNA(MATCH(95,'Transfer Engine'!$C$2:$C$1960,0)),"",INDEX('Compliance Database'!$I$2:$I$1960,MATCH(95,'Transfer Engine'!$C$2:$C$1960,0)))</f>
        <v/>
      </c>
      <c r="J104" s="8">
        <f>IF(ISNA(MATCH(95,'Transfer Engine'!$C$2:$C$1960,0)),"",INDEX('Compliance Database'!$J$2:$J$1960,MATCH(95,'Transfer Engine'!$C$2:$C$1960,0)))</f>
        <v/>
      </c>
      <c r="K104" s="9">
        <f>IF(ISNA(MATCH(95,'Transfer Engine'!$C$2:$C$1960,0)),"",INDEX('Compliance Database'!$K$2:$K$1960,MATCH(95,'Transfer Engine'!$C$2:$C$1960,0)))</f>
        <v/>
      </c>
      <c r="L104" s="9">
        <f>IF(ISNA(MATCH(95,'Transfer Engine'!$C$2:$C$1960,0)),"",INDEX('Compliance Database'!$L$2:$L$1960,MATCH(95,'Transfer Engine'!$C$2:$C$1960,0)))</f>
        <v/>
      </c>
      <c r="M104" s="9">
        <f>IF(ISNA(MATCH(95,'Transfer Engine'!$C$2:$C$1960,0)),"",INDEX('Compliance Database'!$M$2:$M$1960,MATCH(95,'Transfer Engine'!$C$2:$C$1960,0)))</f>
        <v/>
      </c>
      <c r="N104" s="9">
        <f>IF(ISNA(MATCH(95,'Transfer Engine'!$C$2:$C$1960,0)),"",INDEX('Compliance Database'!$N$2:$N$1960,MATCH(95,'Transfer Engine'!$C$2:$C$1960,0)))</f>
        <v/>
      </c>
      <c r="O104" s="9">
        <f>IF(ISNA(MATCH(95,'Transfer Engine'!$C$2:$C$1960,0)),"",INDEX('Compliance Database'!$O$2:$O$1960,MATCH(95,'Transfer Engine'!$C$2:$C$1960,0)))</f>
        <v/>
      </c>
      <c r="P104" s="8">
        <f>IF(ISNA(MATCH(95,'Transfer Engine'!$C$2:$C$1960,0)),"",HYPERLINK("#Acts!A"&amp;INDEX('Compliance Database'!$P$2:$P$1960,MATCH(95,'Transfer Engine'!$C$2:$C$1960,0)),"Go to Act"))</f>
        <v/>
      </c>
    </row>
    <row r="105" ht="158" customHeight="1">
      <c r="A105" s="8">
        <f>IF(ISNA(MATCH(96,'Transfer Engine'!$C$2:$C$1960,0)),"",INDEX('Compliance Database'!$A$2:$A$1960,MATCH(96,'Transfer Engine'!$C$2:$C$1960,0)))</f>
        <v/>
      </c>
      <c r="B105" s="8">
        <f>IF(ISNA(MATCH(96,'Transfer Engine'!$C$2:$C$1960,0)),"",INDEX('Compliance Database'!$B$2:$B$1960,MATCH(96,'Transfer Engine'!$C$2:$C$1960,0)))</f>
        <v/>
      </c>
      <c r="C105" s="8">
        <f>IF(ISNA(MATCH(96,'Transfer Engine'!$C$2:$C$1960,0)),"",INDEX('Compliance Database'!$C$2:$C$1960,MATCH(96,'Transfer Engine'!$C$2:$C$1960,0)))</f>
        <v/>
      </c>
      <c r="D105" s="9">
        <f>IF(ISNA(MATCH(96,'Transfer Engine'!$C$2:$C$1960,0)),"",INDEX('Compliance Database'!$D$2:$D$1960,MATCH(96,'Transfer Engine'!$C$2:$C$1960,0)))</f>
        <v/>
      </c>
      <c r="E105" s="8">
        <f>IF(ISNA(MATCH(96,'Transfer Engine'!$C$2:$C$1960,0)),"",INDEX('Compliance Database'!$E$2:$E$1960,MATCH(96,'Transfer Engine'!$C$2:$C$1960,0)))</f>
        <v/>
      </c>
      <c r="F105" s="8">
        <f>IF(ISNA(MATCH(96,'Transfer Engine'!$C$2:$C$1960,0)),"",INDEX('Compliance Database'!$F$2:$F$1960,MATCH(96,'Transfer Engine'!$C$2:$C$1960,0)))</f>
        <v/>
      </c>
      <c r="G105" s="8">
        <f>IF(ISNA(MATCH(96,'Transfer Engine'!$C$2:$C$1960,0)),"",INDEX('Compliance Database'!$G$2:$G$1960,MATCH(96,'Transfer Engine'!$C$2:$C$1960,0)))</f>
        <v/>
      </c>
      <c r="H105" s="9">
        <f>IF(ISNA(MATCH(96,'Transfer Engine'!$C$2:$C$1960,0)),"",INDEX('Compliance Database'!$H$2:$H$1960,MATCH(96,'Transfer Engine'!$C$2:$C$1960,0)))</f>
        <v/>
      </c>
      <c r="I105" s="9">
        <f>IF(ISNA(MATCH(96,'Transfer Engine'!$C$2:$C$1960,0)),"",INDEX('Compliance Database'!$I$2:$I$1960,MATCH(96,'Transfer Engine'!$C$2:$C$1960,0)))</f>
        <v/>
      </c>
      <c r="J105" s="8">
        <f>IF(ISNA(MATCH(96,'Transfer Engine'!$C$2:$C$1960,0)),"",INDEX('Compliance Database'!$J$2:$J$1960,MATCH(96,'Transfer Engine'!$C$2:$C$1960,0)))</f>
        <v/>
      </c>
      <c r="K105" s="9">
        <f>IF(ISNA(MATCH(96,'Transfer Engine'!$C$2:$C$1960,0)),"",INDEX('Compliance Database'!$K$2:$K$1960,MATCH(96,'Transfer Engine'!$C$2:$C$1960,0)))</f>
        <v/>
      </c>
      <c r="L105" s="9">
        <f>IF(ISNA(MATCH(96,'Transfer Engine'!$C$2:$C$1960,0)),"",INDEX('Compliance Database'!$L$2:$L$1960,MATCH(96,'Transfer Engine'!$C$2:$C$1960,0)))</f>
        <v/>
      </c>
      <c r="M105" s="9">
        <f>IF(ISNA(MATCH(96,'Transfer Engine'!$C$2:$C$1960,0)),"",INDEX('Compliance Database'!$M$2:$M$1960,MATCH(96,'Transfer Engine'!$C$2:$C$1960,0)))</f>
        <v/>
      </c>
      <c r="N105" s="9">
        <f>IF(ISNA(MATCH(96,'Transfer Engine'!$C$2:$C$1960,0)),"",INDEX('Compliance Database'!$N$2:$N$1960,MATCH(96,'Transfer Engine'!$C$2:$C$1960,0)))</f>
        <v/>
      </c>
      <c r="O105" s="9">
        <f>IF(ISNA(MATCH(96,'Transfer Engine'!$C$2:$C$1960,0)),"",INDEX('Compliance Database'!$O$2:$O$1960,MATCH(96,'Transfer Engine'!$C$2:$C$1960,0)))</f>
        <v/>
      </c>
      <c r="P105" s="8">
        <f>IF(ISNA(MATCH(96,'Transfer Engine'!$C$2:$C$1960,0)),"",HYPERLINK("#Acts!A"&amp;INDEX('Compliance Database'!$P$2:$P$1960,MATCH(96,'Transfer Engine'!$C$2:$C$1960,0)),"Go to Act"))</f>
        <v/>
      </c>
    </row>
    <row r="106" ht="158" customHeight="1">
      <c r="A106" s="8">
        <f>IF(ISNA(MATCH(97,'Transfer Engine'!$C$2:$C$1960,0)),"",INDEX('Compliance Database'!$A$2:$A$1960,MATCH(97,'Transfer Engine'!$C$2:$C$1960,0)))</f>
        <v/>
      </c>
      <c r="B106" s="8">
        <f>IF(ISNA(MATCH(97,'Transfer Engine'!$C$2:$C$1960,0)),"",INDEX('Compliance Database'!$B$2:$B$1960,MATCH(97,'Transfer Engine'!$C$2:$C$1960,0)))</f>
        <v/>
      </c>
      <c r="C106" s="8">
        <f>IF(ISNA(MATCH(97,'Transfer Engine'!$C$2:$C$1960,0)),"",INDEX('Compliance Database'!$C$2:$C$1960,MATCH(97,'Transfer Engine'!$C$2:$C$1960,0)))</f>
        <v/>
      </c>
      <c r="D106" s="9">
        <f>IF(ISNA(MATCH(97,'Transfer Engine'!$C$2:$C$1960,0)),"",INDEX('Compliance Database'!$D$2:$D$1960,MATCH(97,'Transfer Engine'!$C$2:$C$1960,0)))</f>
        <v/>
      </c>
      <c r="E106" s="8">
        <f>IF(ISNA(MATCH(97,'Transfer Engine'!$C$2:$C$1960,0)),"",INDEX('Compliance Database'!$E$2:$E$1960,MATCH(97,'Transfer Engine'!$C$2:$C$1960,0)))</f>
        <v/>
      </c>
      <c r="F106" s="8">
        <f>IF(ISNA(MATCH(97,'Transfer Engine'!$C$2:$C$1960,0)),"",INDEX('Compliance Database'!$F$2:$F$1960,MATCH(97,'Transfer Engine'!$C$2:$C$1960,0)))</f>
        <v/>
      </c>
      <c r="G106" s="8">
        <f>IF(ISNA(MATCH(97,'Transfer Engine'!$C$2:$C$1960,0)),"",INDEX('Compliance Database'!$G$2:$G$1960,MATCH(97,'Transfer Engine'!$C$2:$C$1960,0)))</f>
        <v/>
      </c>
      <c r="H106" s="9">
        <f>IF(ISNA(MATCH(97,'Transfer Engine'!$C$2:$C$1960,0)),"",INDEX('Compliance Database'!$H$2:$H$1960,MATCH(97,'Transfer Engine'!$C$2:$C$1960,0)))</f>
        <v/>
      </c>
      <c r="I106" s="9">
        <f>IF(ISNA(MATCH(97,'Transfer Engine'!$C$2:$C$1960,0)),"",INDEX('Compliance Database'!$I$2:$I$1960,MATCH(97,'Transfer Engine'!$C$2:$C$1960,0)))</f>
        <v/>
      </c>
      <c r="J106" s="8">
        <f>IF(ISNA(MATCH(97,'Transfer Engine'!$C$2:$C$1960,0)),"",INDEX('Compliance Database'!$J$2:$J$1960,MATCH(97,'Transfer Engine'!$C$2:$C$1960,0)))</f>
        <v/>
      </c>
      <c r="K106" s="9">
        <f>IF(ISNA(MATCH(97,'Transfer Engine'!$C$2:$C$1960,0)),"",INDEX('Compliance Database'!$K$2:$K$1960,MATCH(97,'Transfer Engine'!$C$2:$C$1960,0)))</f>
        <v/>
      </c>
      <c r="L106" s="9">
        <f>IF(ISNA(MATCH(97,'Transfer Engine'!$C$2:$C$1960,0)),"",INDEX('Compliance Database'!$L$2:$L$1960,MATCH(97,'Transfer Engine'!$C$2:$C$1960,0)))</f>
        <v/>
      </c>
      <c r="M106" s="9">
        <f>IF(ISNA(MATCH(97,'Transfer Engine'!$C$2:$C$1960,0)),"",INDEX('Compliance Database'!$M$2:$M$1960,MATCH(97,'Transfer Engine'!$C$2:$C$1960,0)))</f>
        <v/>
      </c>
      <c r="N106" s="9">
        <f>IF(ISNA(MATCH(97,'Transfer Engine'!$C$2:$C$1960,0)),"",INDEX('Compliance Database'!$N$2:$N$1960,MATCH(97,'Transfer Engine'!$C$2:$C$1960,0)))</f>
        <v/>
      </c>
      <c r="O106" s="9">
        <f>IF(ISNA(MATCH(97,'Transfer Engine'!$C$2:$C$1960,0)),"",INDEX('Compliance Database'!$O$2:$O$1960,MATCH(97,'Transfer Engine'!$C$2:$C$1960,0)))</f>
        <v/>
      </c>
      <c r="P106" s="8">
        <f>IF(ISNA(MATCH(97,'Transfer Engine'!$C$2:$C$1960,0)),"",HYPERLINK("#Acts!A"&amp;INDEX('Compliance Database'!$P$2:$P$1960,MATCH(97,'Transfer Engine'!$C$2:$C$1960,0)),"Go to Act"))</f>
        <v/>
      </c>
    </row>
    <row r="107" ht="158" customHeight="1">
      <c r="A107" s="8">
        <f>IF(ISNA(MATCH(98,'Transfer Engine'!$C$2:$C$1960,0)),"",INDEX('Compliance Database'!$A$2:$A$1960,MATCH(98,'Transfer Engine'!$C$2:$C$1960,0)))</f>
        <v/>
      </c>
      <c r="B107" s="8">
        <f>IF(ISNA(MATCH(98,'Transfer Engine'!$C$2:$C$1960,0)),"",INDEX('Compliance Database'!$B$2:$B$1960,MATCH(98,'Transfer Engine'!$C$2:$C$1960,0)))</f>
        <v/>
      </c>
      <c r="C107" s="8">
        <f>IF(ISNA(MATCH(98,'Transfer Engine'!$C$2:$C$1960,0)),"",INDEX('Compliance Database'!$C$2:$C$1960,MATCH(98,'Transfer Engine'!$C$2:$C$1960,0)))</f>
        <v/>
      </c>
      <c r="D107" s="9">
        <f>IF(ISNA(MATCH(98,'Transfer Engine'!$C$2:$C$1960,0)),"",INDEX('Compliance Database'!$D$2:$D$1960,MATCH(98,'Transfer Engine'!$C$2:$C$1960,0)))</f>
        <v/>
      </c>
      <c r="E107" s="8">
        <f>IF(ISNA(MATCH(98,'Transfer Engine'!$C$2:$C$1960,0)),"",INDEX('Compliance Database'!$E$2:$E$1960,MATCH(98,'Transfer Engine'!$C$2:$C$1960,0)))</f>
        <v/>
      </c>
      <c r="F107" s="8">
        <f>IF(ISNA(MATCH(98,'Transfer Engine'!$C$2:$C$1960,0)),"",INDEX('Compliance Database'!$F$2:$F$1960,MATCH(98,'Transfer Engine'!$C$2:$C$1960,0)))</f>
        <v/>
      </c>
      <c r="G107" s="8">
        <f>IF(ISNA(MATCH(98,'Transfer Engine'!$C$2:$C$1960,0)),"",INDEX('Compliance Database'!$G$2:$G$1960,MATCH(98,'Transfer Engine'!$C$2:$C$1960,0)))</f>
        <v/>
      </c>
      <c r="H107" s="9">
        <f>IF(ISNA(MATCH(98,'Transfer Engine'!$C$2:$C$1960,0)),"",INDEX('Compliance Database'!$H$2:$H$1960,MATCH(98,'Transfer Engine'!$C$2:$C$1960,0)))</f>
        <v/>
      </c>
      <c r="I107" s="9">
        <f>IF(ISNA(MATCH(98,'Transfer Engine'!$C$2:$C$1960,0)),"",INDEX('Compliance Database'!$I$2:$I$1960,MATCH(98,'Transfer Engine'!$C$2:$C$1960,0)))</f>
        <v/>
      </c>
      <c r="J107" s="8">
        <f>IF(ISNA(MATCH(98,'Transfer Engine'!$C$2:$C$1960,0)),"",INDEX('Compliance Database'!$J$2:$J$1960,MATCH(98,'Transfer Engine'!$C$2:$C$1960,0)))</f>
        <v/>
      </c>
      <c r="K107" s="9">
        <f>IF(ISNA(MATCH(98,'Transfer Engine'!$C$2:$C$1960,0)),"",INDEX('Compliance Database'!$K$2:$K$1960,MATCH(98,'Transfer Engine'!$C$2:$C$1960,0)))</f>
        <v/>
      </c>
      <c r="L107" s="9">
        <f>IF(ISNA(MATCH(98,'Transfer Engine'!$C$2:$C$1960,0)),"",INDEX('Compliance Database'!$L$2:$L$1960,MATCH(98,'Transfer Engine'!$C$2:$C$1960,0)))</f>
        <v/>
      </c>
      <c r="M107" s="9">
        <f>IF(ISNA(MATCH(98,'Transfer Engine'!$C$2:$C$1960,0)),"",INDEX('Compliance Database'!$M$2:$M$1960,MATCH(98,'Transfer Engine'!$C$2:$C$1960,0)))</f>
        <v/>
      </c>
      <c r="N107" s="9">
        <f>IF(ISNA(MATCH(98,'Transfer Engine'!$C$2:$C$1960,0)),"",INDEX('Compliance Database'!$N$2:$N$1960,MATCH(98,'Transfer Engine'!$C$2:$C$1960,0)))</f>
        <v/>
      </c>
      <c r="O107" s="9">
        <f>IF(ISNA(MATCH(98,'Transfer Engine'!$C$2:$C$1960,0)),"",INDEX('Compliance Database'!$O$2:$O$1960,MATCH(98,'Transfer Engine'!$C$2:$C$1960,0)))</f>
        <v/>
      </c>
      <c r="P107" s="8">
        <f>IF(ISNA(MATCH(98,'Transfer Engine'!$C$2:$C$1960,0)),"",HYPERLINK("#Acts!A"&amp;INDEX('Compliance Database'!$P$2:$P$1960,MATCH(98,'Transfer Engine'!$C$2:$C$1960,0)),"Go to Act"))</f>
        <v/>
      </c>
    </row>
    <row r="108" ht="158" customHeight="1">
      <c r="A108" s="8">
        <f>IF(ISNA(MATCH(99,'Transfer Engine'!$C$2:$C$1960,0)),"",INDEX('Compliance Database'!$A$2:$A$1960,MATCH(99,'Transfer Engine'!$C$2:$C$1960,0)))</f>
        <v/>
      </c>
      <c r="B108" s="8">
        <f>IF(ISNA(MATCH(99,'Transfer Engine'!$C$2:$C$1960,0)),"",INDEX('Compliance Database'!$B$2:$B$1960,MATCH(99,'Transfer Engine'!$C$2:$C$1960,0)))</f>
        <v/>
      </c>
      <c r="C108" s="8">
        <f>IF(ISNA(MATCH(99,'Transfer Engine'!$C$2:$C$1960,0)),"",INDEX('Compliance Database'!$C$2:$C$1960,MATCH(99,'Transfer Engine'!$C$2:$C$1960,0)))</f>
        <v/>
      </c>
      <c r="D108" s="9">
        <f>IF(ISNA(MATCH(99,'Transfer Engine'!$C$2:$C$1960,0)),"",INDEX('Compliance Database'!$D$2:$D$1960,MATCH(99,'Transfer Engine'!$C$2:$C$1960,0)))</f>
        <v/>
      </c>
      <c r="E108" s="8">
        <f>IF(ISNA(MATCH(99,'Transfer Engine'!$C$2:$C$1960,0)),"",INDEX('Compliance Database'!$E$2:$E$1960,MATCH(99,'Transfer Engine'!$C$2:$C$1960,0)))</f>
        <v/>
      </c>
      <c r="F108" s="8">
        <f>IF(ISNA(MATCH(99,'Transfer Engine'!$C$2:$C$1960,0)),"",INDEX('Compliance Database'!$F$2:$F$1960,MATCH(99,'Transfer Engine'!$C$2:$C$1960,0)))</f>
        <v/>
      </c>
      <c r="G108" s="8">
        <f>IF(ISNA(MATCH(99,'Transfer Engine'!$C$2:$C$1960,0)),"",INDEX('Compliance Database'!$G$2:$G$1960,MATCH(99,'Transfer Engine'!$C$2:$C$1960,0)))</f>
        <v/>
      </c>
      <c r="H108" s="9">
        <f>IF(ISNA(MATCH(99,'Transfer Engine'!$C$2:$C$1960,0)),"",INDEX('Compliance Database'!$H$2:$H$1960,MATCH(99,'Transfer Engine'!$C$2:$C$1960,0)))</f>
        <v/>
      </c>
      <c r="I108" s="9">
        <f>IF(ISNA(MATCH(99,'Transfer Engine'!$C$2:$C$1960,0)),"",INDEX('Compliance Database'!$I$2:$I$1960,MATCH(99,'Transfer Engine'!$C$2:$C$1960,0)))</f>
        <v/>
      </c>
      <c r="J108" s="8">
        <f>IF(ISNA(MATCH(99,'Transfer Engine'!$C$2:$C$1960,0)),"",INDEX('Compliance Database'!$J$2:$J$1960,MATCH(99,'Transfer Engine'!$C$2:$C$1960,0)))</f>
        <v/>
      </c>
      <c r="K108" s="9">
        <f>IF(ISNA(MATCH(99,'Transfer Engine'!$C$2:$C$1960,0)),"",INDEX('Compliance Database'!$K$2:$K$1960,MATCH(99,'Transfer Engine'!$C$2:$C$1960,0)))</f>
        <v/>
      </c>
      <c r="L108" s="9">
        <f>IF(ISNA(MATCH(99,'Transfer Engine'!$C$2:$C$1960,0)),"",INDEX('Compliance Database'!$L$2:$L$1960,MATCH(99,'Transfer Engine'!$C$2:$C$1960,0)))</f>
        <v/>
      </c>
      <c r="M108" s="9">
        <f>IF(ISNA(MATCH(99,'Transfer Engine'!$C$2:$C$1960,0)),"",INDEX('Compliance Database'!$M$2:$M$1960,MATCH(99,'Transfer Engine'!$C$2:$C$1960,0)))</f>
        <v/>
      </c>
      <c r="N108" s="9">
        <f>IF(ISNA(MATCH(99,'Transfer Engine'!$C$2:$C$1960,0)),"",INDEX('Compliance Database'!$N$2:$N$1960,MATCH(99,'Transfer Engine'!$C$2:$C$1960,0)))</f>
        <v/>
      </c>
      <c r="O108" s="9">
        <f>IF(ISNA(MATCH(99,'Transfer Engine'!$C$2:$C$1960,0)),"",INDEX('Compliance Database'!$O$2:$O$1960,MATCH(99,'Transfer Engine'!$C$2:$C$1960,0)))</f>
        <v/>
      </c>
      <c r="P108" s="8">
        <f>IF(ISNA(MATCH(99,'Transfer Engine'!$C$2:$C$1960,0)),"",HYPERLINK("#Acts!A"&amp;INDEX('Compliance Database'!$P$2:$P$1960,MATCH(99,'Transfer Engine'!$C$2:$C$1960,0)),"Go to Act"))</f>
        <v/>
      </c>
    </row>
    <row r="109" ht="158" customHeight="1">
      <c r="A109" s="8">
        <f>IF(ISNA(MATCH(100,'Transfer Engine'!$C$2:$C$1960,0)),"",INDEX('Compliance Database'!$A$2:$A$1960,MATCH(100,'Transfer Engine'!$C$2:$C$1960,0)))</f>
        <v/>
      </c>
      <c r="B109" s="8">
        <f>IF(ISNA(MATCH(100,'Transfer Engine'!$C$2:$C$1960,0)),"",INDEX('Compliance Database'!$B$2:$B$1960,MATCH(100,'Transfer Engine'!$C$2:$C$1960,0)))</f>
        <v/>
      </c>
      <c r="C109" s="8">
        <f>IF(ISNA(MATCH(100,'Transfer Engine'!$C$2:$C$1960,0)),"",INDEX('Compliance Database'!$C$2:$C$1960,MATCH(100,'Transfer Engine'!$C$2:$C$1960,0)))</f>
        <v/>
      </c>
      <c r="D109" s="9">
        <f>IF(ISNA(MATCH(100,'Transfer Engine'!$C$2:$C$1960,0)),"",INDEX('Compliance Database'!$D$2:$D$1960,MATCH(100,'Transfer Engine'!$C$2:$C$1960,0)))</f>
        <v/>
      </c>
      <c r="E109" s="8">
        <f>IF(ISNA(MATCH(100,'Transfer Engine'!$C$2:$C$1960,0)),"",INDEX('Compliance Database'!$E$2:$E$1960,MATCH(100,'Transfer Engine'!$C$2:$C$1960,0)))</f>
        <v/>
      </c>
      <c r="F109" s="8">
        <f>IF(ISNA(MATCH(100,'Transfer Engine'!$C$2:$C$1960,0)),"",INDEX('Compliance Database'!$F$2:$F$1960,MATCH(100,'Transfer Engine'!$C$2:$C$1960,0)))</f>
        <v/>
      </c>
      <c r="G109" s="8">
        <f>IF(ISNA(MATCH(100,'Transfer Engine'!$C$2:$C$1960,0)),"",INDEX('Compliance Database'!$G$2:$G$1960,MATCH(100,'Transfer Engine'!$C$2:$C$1960,0)))</f>
        <v/>
      </c>
      <c r="H109" s="9">
        <f>IF(ISNA(MATCH(100,'Transfer Engine'!$C$2:$C$1960,0)),"",INDEX('Compliance Database'!$H$2:$H$1960,MATCH(100,'Transfer Engine'!$C$2:$C$1960,0)))</f>
        <v/>
      </c>
      <c r="I109" s="9">
        <f>IF(ISNA(MATCH(100,'Transfer Engine'!$C$2:$C$1960,0)),"",INDEX('Compliance Database'!$I$2:$I$1960,MATCH(100,'Transfer Engine'!$C$2:$C$1960,0)))</f>
        <v/>
      </c>
      <c r="J109" s="8">
        <f>IF(ISNA(MATCH(100,'Transfer Engine'!$C$2:$C$1960,0)),"",INDEX('Compliance Database'!$J$2:$J$1960,MATCH(100,'Transfer Engine'!$C$2:$C$1960,0)))</f>
        <v/>
      </c>
      <c r="K109" s="9">
        <f>IF(ISNA(MATCH(100,'Transfer Engine'!$C$2:$C$1960,0)),"",INDEX('Compliance Database'!$K$2:$K$1960,MATCH(100,'Transfer Engine'!$C$2:$C$1960,0)))</f>
        <v/>
      </c>
      <c r="L109" s="9">
        <f>IF(ISNA(MATCH(100,'Transfer Engine'!$C$2:$C$1960,0)),"",INDEX('Compliance Database'!$L$2:$L$1960,MATCH(100,'Transfer Engine'!$C$2:$C$1960,0)))</f>
        <v/>
      </c>
      <c r="M109" s="9">
        <f>IF(ISNA(MATCH(100,'Transfer Engine'!$C$2:$C$1960,0)),"",INDEX('Compliance Database'!$M$2:$M$1960,MATCH(100,'Transfer Engine'!$C$2:$C$1960,0)))</f>
        <v/>
      </c>
      <c r="N109" s="9">
        <f>IF(ISNA(MATCH(100,'Transfer Engine'!$C$2:$C$1960,0)),"",INDEX('Compliance Database'!$N$2:$N$1960,MATCH(100,'Transfer Engine'!$C$2:$C$1960,0)))</f>
        <v/>
      </c>
      <c r="O109" s="9">
        <f>IF(ISNA(MATCH(100,'Transfer Engine'!$C$2:$C$1960,0)),"",INDEX('Compliance Database'!$O$2:$O$1960,MATCH(100,'Transfer Engine'!$C$2:$C$1960,0)))</f>
        <v/>
      </c>
      <c r="P109" s="8">
        <f>IF(ISNA(MATCH(100,'Transfer Engine'!$C$2:$C$1960,0)),"",HYPERLINK("#Acts!A"&amp;INDEX('Compliance Database'!$P$2:$P$1960,MATCH(100,'Transfer Engine'!$C$2:$C$1960,0)),"Go to Act"))</f>
        <v/>
      </c>
    </row>
    <row r="110" ht="158" customHeight="1">
      <c r="A110" s="8">
        <f>IF(ISNA(MATCH(101,'Transfer Engine'!$C$2:$C$1960,0)),"",INDEX('Compliance Database'!$A$2:$A$1960,MATCH(101,'Transfer Engine'!$C$2:$C$1960,0)))</f>
        <v/>
      </c>
      <c r="B110" s="8">
        <f>IF(ISNA(MATCH(101,'Transfer Engine'!$C$2:$C$1960,0)),"",INDEX('Compliance Database'!$B$2:$B$1960,MATCH(101,'Transfer Engine'!$C$2:$C$1960,0)))</f>
        <v/>
      </c>
      <c r="C110" s="8">
        <f>IF(ISNA(MATCH(101,'Transfer Engine'!$C$2:$C$1960,0)),"",INDEX('Compliance Database'!$C$2:$C$1960,MATCH(101,'Transfer Engine'!$C$2:$C$1960,0)))</f>
        <v/>
      </c>
      <c r="D110" s="9">
        <f>IF(ISNA(MATCH(101,'Transfer Engine'!$C$2:$C$1960,0)),"",INDEX('Compliance Database'!$D$2:$D$1960,MATCH(101,'Transfer Engine'!$C$2:$C$1960,0)))</f>
        <v/>
      </c>
      <c r="E110" s="8">
        <f>IF(ISNA(MATCH(101,'Transfer Engine'!$C$2:$C$1960,0)),"",INDEX('Compliance Database'!$E$2:$E$1960,MATCH(101,'Transfer Engine'!$C$2:$C$1960,0)))</f>
        <v/>
      </c>
      <c r="F110" s="8">
        <f>IF(ISNA(MATCH(101,'Transfer Engine'!$C$2:$C$1960,0)),"",INDEX('Compliance Database'!$F$2:$F$1960,MATCH(101,'Transfer Engine'!$C$2:$C$1960,0)))</f>
        <v/>
      </c>
      <c r="G110" s="8">
        <f>IF(ISNA(MATCH(101,'Transfer Engine'!$C$2:$C$1960,0)),"",INDEX('Compliance Database'!$G$2:$G$1960,MATCH(101,'Transfer Engine'!$C$2:$C$1960,0)))</f>
        <v/>
      </c>
      <c r="H110" s="9">
        <f>IF(ISNA(MATCH(101,'Transfer Engine'!$C$2:$C$1960,0)),"",INDEX('Compliance Database'!$H$2:$H$1960,MATCH(101,'Transfer Engine'!$C$2:$C$1960,0)))</f>
        <v/>
      </c>
      <c r="I110" s="9">
        <f>IF(ISNA(MATCH(101,'Transfer Engine'!$C$2:$C$1960,0)),"",INDEX('Compliance Database'!$I$2:$I$1960,MATCH(101,'Transfer Engine'!$C$2:$C$1960,0)))</f>
        <v/>
      </c>
      <c r="J110" s="8">
        <f>IF(ISNA(MATCH(101,'Transfer Engine'!$C$2:$C$1960,0)),"",INDEX('Compliance Database'!$J$2:$J$1960,MATCH(101,'Transfer Engine'!$C$2:$C$1960,0)))</f>
        <v/>
      </c>
      <c r="K110" s="9">
        <f>IF(ISNA(MATCH(101,'Transfer Engine'!$C$2:$C$1960,0)),"",INDEX('Compliance Database'!$K$2:$K$1960,MATCH(101,'Transfer Engine'!$C$2:$C$1960,0)))</f>
        <v/>
      </c>
      <c r="L110" s="9">
        <f>IF(ISNA(MATCH(101,'Transfer Engine'!$C$2:$C$1960,0)),"",INDEX('Compliance Database'!$L$2:$L$1960,MATCH(101,'Transfer Engine'!$C$2:$C$1960,0)))</f>
        <v/>
      </c>
      <c r="M110" s="9">
        <f>IF(ISNA(MATCH(101,'Transfer Engine'!$C$2:$C$1960,0)),"",INDEX('Compliance Database'!$M$2:$M$1960,MATCH(101,'Transfer Engine'!$C$2:$C$1960,0)))</f>
        <v/>
      </c>
      <c r="N110" s="9">
        <f>IF(ISNA(MATCH(101,'Transfer Engine'!$C$2:$C$1960,0)),"",INDEX('Compliance Database'!$N$2:$N$1960,MATCH(101,'Transfer Engine'!$C$2:$C$1960,0)))</f>
        <v/>
      </c>
      <c r="O110" s="9">
        <f>IF(ISNA(MATCH(101,'Transfer Engine'!$C$2:$C$1960,0)),"",INDEX('Compliance Database'!$O$2:$O$1960,MATCH(101,'Transfer Engine'!$C$2:$C$1960,0)))</f>
        <v/>
      </c>
      <c r="P110" s="8">
        <f>IF(ISNA(MATCH(101,'Transfer Engine'!$C$2:$C$1960,0)),"",HYPERLINK("#Acts!A"&amp;INDEX('Compliance Database'!$P$2:$P$1960,MATCH(101,'Transfer Engine'!$C$2:$C$1960,0)),"Go to Act"))</f>
        <v/>
      </c>
    </row>
    <row r="111" ht="158" customHeight="1">
      <c r="A111" s="8">
        <f>IF(ISNA(MATCH(102,'Transfer Engine'!$C$2:$C$1960,0)),"",INDEX('Compliance Database'!$A$2:$A$1960,MATCH(102,'Transfer Engine'!$C$2:$C$1960,0)))</f>
        <v/>
      </c>
      <c r="B111" s="8">
        <f>IF(ISNA(MATCH(102,'Transfer Engine'!$C$2:$C$1960,0)),"",INDEX('Compliance Database'!$B$2:$B$1960,MATCH(102,'Transfer Engine'!$C$2:$C$1960,0)))</f>
        <v/>
      </c>
      <c r="C111" s="8">
        <f>IF(ISNA(MATCH(102,'Transfer Engine'!$C$2:$C$1960,0)),"",INDEX('Compliance Database'!$C$2:$C$1960,MATCH(102,'Transfer Engine'!$C$2:$C$1960,0)))</f>
        <v/>
      </c>
      <c r="D111" s="9">
        <f>IF(ISNA(MATCH(102,'Transfer Engine'!$C$2:$C$1960,0)),"",INDEX('Compliance Database'!$D$2:$D$1960,MATCH(102,'Transfer Engine'!$C$2:$C$1960,0)))</f>
        <v/>
      </c>
      <c r="E111" s="8">
        <f>IF(ISNA(MATCH(102,'Transfer Engine'!$C$2:$C$1960,0)),"",INDEX('Compliance Database'!$E$2:$E$1960,MATCH(102,'Transfer Engine'!$C$2:$C$1960,0)))</f>
        <v/>
      </c>
      <c r="F111" s="8">
        <f>IF(ISNA(MATCH(102,'Transfer Engine'!$C$2:$C$1960,0)),"",INDEX('Compliance Database'!$F$2:$F$1960,MATCH(102,'Transfer Engine'!$C$2:$C$1960,0)))</f>
        <v/>
      </c>
      <c r="G111" s="8">
        <f>IF(ISNA(MATCH(102,'Transfer Engine'!$C$2:$C$1960,0)),"",INDEX('Compliance Database'!$G$2:$G$1960,MATCH(102,'Transfer Engine'!$C$2:$C$1960,0)))</f>
        <v/>
      </c>
      <c r="H111" s="9">
        <f>IF(ISNA(MATCH(102,'Transfer Engine'!$C$2:$C$1960,0)),"",INDEX('Compliance Database'!$H$2:$H$1960,MATCH(102,'Transfer Engine'!$C$2:$C$1960,0)))</f>
        <v/>
      </c>
      <c r="I111" s="9">
        <f>IF(ISNA(MATCH(102,'Transfer Engine'!$C$2:$C$1960,0)),"",INDEX('Compliance Database'!$I$2:$I$1960,MATCH(102,'Transfer Engine'!$C$2:$C$1960,0)))</f>
        <v/>
      </c>
      <c r="J111" s="8">
        <f>IF(ISNA(MATCH(102,'Transfer Engine'!$C$2:$C$1960,0)),"",INDEX('Compliance Database'!$J$2:$J$1960,MATCH(102,'Transfer Engine'!$C$2:$C$1960,0)))</f>
        <v/>
      </c>
      <c r="K111" s="9">
        <f>IF(ISNA(MATCH(102,'Transfer Engine'!$C$2:$C$1960,0)),"",INDEX('Compliance Database'!$K$2:$K$1960,MATCH(102,'Transfer Engine'!$C$2:$C$1960,0)))</f>
        <v/>
      </c>
      <c r="L111" s="9">
        <f>IF(ISNA(MATCH(102,'Transfer Engine'!$C$2:$C$1960,0)),"",INDEX('Compliance Database'!$L$2:$L$1960,MATCH(102,'Transfer Engine'!$C$2:$C$1960,0)))</f>
        <v/>
      </c>
      <c r="M111" s="9">
        <f>IF(ISNA(MATCH(102,'Transfer Engine'!$C$2:$C$1960,0)),"",INDEX('Compliance Database'!$M$2:$M$1960,MATCH(102,'Transfer Engine'!$C$2:$C$1960,0)))</f>
        <v/>
      </c>
      <c r="N111" s="9">
        <f>IF(ISNA(MATCH(102,'Transfer Engine'!$C$2:$C$1960,0)),"",INDEX('Compliance Database'!$N$2:$N$1960,MATCH(102,'Transfer Engine'!$C$2:$C$1960,0)))</f>
        <v/>
      </c>
      <c r="O111" s="9">
        <f>IF(ISNA(MATCH(102,'Transfer Engine'!$C$2:$C$1960,0)),"",INDEX('Compliance Database'!$O$2:$O$1960,MATCH(102,'Transfer Engine'!$C$2:$C$1960,0)))</f>
        <v/>
      </c>
      <c r="P111" s="8">
        <f>IF(ISNA(MATCH(102,'Transfer Engine'!$C$2:$C$1960,0)),"",HYPERLINK("#Acts!A"&amp;INDEX('Compliance Database'!$P$2:$P$1960,MATCH(102,'Transfer Engine'!$C$2:$C$1960,0)),"Go to Act"))</f>
        <v/>
      </c>
    </row>
    <row r="112" ht="158" customHeight="1">
      <c r="A112" s="8">
        <f>IF(ISNA(MATCH(103,'Transfer Engine'!$C$2:$C$1960,0)),"",INDEX('Compliance Database'!$A$2:$A$1960,MATCH(103,'Transfer Engine'!$C$2:$C$1960,0)))</f>
        <v/>
      </c>
      <c r="B112" s="8">
        <f>IF(ISNA(MATCH(103,'Transfer Engine'!$C$2:$C$1960,0)),"",INDEX('Compliance Database'!$B$2:$B$1960,MATCH(103,'Transfer Engine'!$C$2:$C$1960,0)))</f>
        <v/>
      </c>
      <c r="C112" s="8">
        <f>IF(ISNA(MATCH(103,'Transfer Engine'!$C$2:$C$1960,0)),"",INDEX('Compliance Database'!$C$2:$C$1960,MATCH(103,'Transfer Engine'!$C$2:$C$1960,0)))</f>
        <v/>
      </c>
      <c r="D112" s="9">
        <f>IF(ISNA(MATCH(103,'Transfer Engine'!$C$2:$C$1960,0)),"",INDEX('Compliance Database'!$D$2:$D$1960,MATCH(103,'Transfer Engine'!$C$2:$C$1960,0)))</f>
        <v/>
      </c>
      <c r="E112" s="8">
        <f>IF(ISNA(MATCH(103,'Transfer Engine'!$C$2:$C$1960,0)),"",INDEX('Compliance Database'!$E$2:$E$1960,MATCH(103,'Transfer Engine'!$C$2:$C$1960,0)))</f>
        <v/>
      </c>
      <c r="F112" s="8">
        <f>IF(ISNA(MATCH(103,'Transfer Engine'!$C$2:$C$1960,0)),"",INDEX('Compliance Database'!$F$2:$F$1960,MATCH(103,'Transfer Engine'!$C$2:$C$1960,0)))</f>
        <v/>
      </c>
      <c r="G112" s="8">
        <f>IF(ISNA(MATCH(103,'Transfer Engine'!$C$2:$C$1960,0)),"",INDEX('Compliance Database'!$G$2:$G$1960,MATCH(103,'Transfer Engine'!$C$2:$C$1960,0)))</f>
        <v/>
      </c>
      <c r="H112" s="9">
        <f>IF(ISNA(MATCH(103,'Transfer Engine'!$C$2:$C$1960,0)),"",INDEX('Compliance Database'!$H$2:$H$1960,MATCH(103,'Transfer Engine'!$C$2:$C$1960,0)))</f>
        <v/>
      </c>
      <c r="I112" s="9">
        <f>IF(ISNA(MATCH(103,'Transfer Engine'!$C$2:$C$1960,0)),"",INDEX('Compliance Database'!$I$2:$I$1960,MATCH(103,'Transfer Engine'!$C$2:$C$1960,0)))</f>
        <v/>
      </c>
      <c r="J112" s="8">
        <f>IF(ISNA(MATCH(103,'Transfer Engine'!$C$2:$C$1960,0)),"",INDEX('Compliance Database'!$J$2:$J$1960,MATCH(103,'Transfer Engine'!$C$2:$C$1960,0)))</f>
        <v/>
      </c>
      <c r="K112" s="9">
        <f>IF(ISNA(MATCH(103,'Transfer Engine'!$C$2:$C$1960,0)),"",INDEX('Compliance Database'!$K$2:$K$1960,MATCH(103,'Transfer Engine'!$C$2:$C$1960,0)))</f>
        <v/>
      </c>
      <c r="L112" s="9">
        <f>IF(ISNA(MATCH(103,'Transfer Engine'!$C$2:$C$1960,0)),"",INDEX('Compliance Database'!$L$2:$L$1960,MATCH(103,'Transfer Engine'!$C$2:$C$1960,0)))</f>
        <v/>
      </c>
      <c r="M112" s="9">
        <f>IF(ISNA(MATCH(103,'Transfer Engine'!$C$2:$C$1960,0)),"",INDEX('Compliance Database'!$M$2:$M$1960,MATCH(103,'Transfer Engine'!$C$2:$C$1960,0)))</f>
        <v/>
      </c>
      <c r="N112" s="9">
        <f>IF(ISNA(MATCH(103,'Transfer Engine'!$C$2:$C$1960,0)),"",INDEX('Compliance Database'!$N$2:$N$1960,MATCH(103,'Transfer Engine'!$C$2:$C$1960,0)))</f>
        <v/>
      </c>
      <c r="O112" s="9">
        <f>IF(ISNA(MATCH(103,'Transfer Engine'!$C$2:$C$1960,0)),"",INDEX('Compliance Database'!$O$2:$O$1960,MATCH(103,'Transfer Engine'!$C$2:$C$1960,0)))</f>
        <v/>
      </c>
      <c r="P112" s="8">
        <f>IF(ISNA(MATCH(103,'Transfer Engine'!$C$2:$C$1960,0)),"",HYPERLINK("#Acts!A"&amp;INDEX('Compliance Database'!$P$2:$P$1960,MATCH(103,'Transfer Engine'!$C$2:$C$1960,0)),"Go to Act"))</f>
        <v/>
      </c>
    </row>
    <row r="113" ht="158" customHeight="1">
      <c r="A113" s="8">
        <f>IF(ISNA(MATCH(104,'Transfer Engine'!$C$2:$C$1960,0)),"",INDEX('Compliance Database'!$A$2:$A$1960,MATCH(104,'Transfer Engine'!$C$2:$C$1960,0)))</f>
        <v/>
      </c>
      <c r="B113" s="8">
        <f>IF(ISNA(MATCH(104,'Transfer Engine'!$C$2:$C$1960,0)),"",INDEX('Compliance Database'!$B$2:$B$1960,MATCH(104,'Transfer Engine'!$C$2:$C$1960,0)))</f>
        <v/>
      </c>
      <c r="C113" s="8">
        <f>IF(ISNA(MATCH(104,'Transfer Engine'!$C$2:$C$1960,0)),"",INDEX('Compliance Database'!$C$2:$C$1960,MATCH(104,'Transfer Engine'!$C$2:$C$1960,0)))</f>
        <v/>
      </c>
      <c r="D113" s="9">
        <f>IF(ISNA(MATCH(104,'Transfer Engine'!$C$2:$C$1960,0)),"",INDEX('Compliance Database'!$D$2:$D$1960,MATCH(104,'Transfer Engine'!$C$2:$C$1960,0)))</f>
        <v/>
      </c>
      <c r="E113" s="8">
        <f>IF(ISNA(MATCH(104,'Transfer Engine'!$C$2:$C$1960,0)),"",INDEX('Compliance Database'!$E$2:$E$1960,MATCH(104,'Transfer Engine'!$C$2:$C$1960,0)))</f>
        <v/>
      </c>
      <c r="F113" s="8">
        <f>IF(ISNA(MATCH(104,'Transfer Engine'!$C$2:$C$1960,0)),"",INDEX('Compliance Database'!$F$2:$F$1960,MATCH(104,'Transfer Engine'!$C$2:$C$1960,0)))</f>
        <v/>
      </c>
      <c r="G113" s="8">
        <f>IF(ISNA(MATCH(104,'Transfer Engine'!$C$2:$C$1960,0)),"",INDEX('Compliance Database'!$G$2:$G$1960,MATCH(104,'Transfer Engine'!$C$2:$C$1960,0)))</f>
        <v/>
      </c>
      <c r="H113" s="9">
        <f>IF(ISNA(MATCH(104,'Transfer Engine'!$C$2:$C$1960,0)),"",INDEX('Compliance Database'!$H$2:$H$1960,MATCH(104,'Transfer Engine'!$C$2:$C$1960,0)))</f>
        <v/>
      </c>
      <c r="I113" s="9">
        <f>IF(ISNA(MATCH(104,'Transfer Engine'!$C$2:$C$1960,0)),"",INDEX('Compliance Database'!$I$2:$I$1960,MATCH(104,'Transfer Engine'!$C$2:$C$1960,0)))</f>
        <v/>
      </c>
      <c r="J113" s="8">
        <f>IF(ISNA(MATCH(104,'Transfer Engine'!$C$2:$C$1960,0)),"",INDEX('Compliance Database'!$J$2:$J$1960,MATCH(104,'Transfer Engine'!$C$2:$C$1960,0)))</f>
        <v/>
      </c>
      <c r="K113" s="9">
        <f>IF(ISNA(MATCH(104,'Transfer Engine'!$C$2:$C$1960,0)),"",INDEX('Compliance Database'!$K$2:$K$1960,MATCH(104,'Transfer Engine'!$C$2:$C$1960,0)))</f>
        <v/>
      </c>
      <c r="L113" s="9">
        <f>IF(ISNA(MATCH(104,'Transfer Engine'!$C$2:$C$1960,0)),"",INDEX('Compliance Database'!$L$2:$L$1960,MATCH(104,'Transfer Engine'!$C$2:$C$1960,0)))</f>
        <v/>
      </c>
      <c r="M113" s="9">
        <f>IF(ISNA(MATCH(104,'Transfer Engine'!$C$2:$C$1960,0)),"",INDEX('Compliance Database'!$M$2:$M$1960,MATCH(104,'Transfer Engine'!$C$2:$C$1960,0)))</f>
        <v/>
      </c>
      <c r="N113" s="9">
        <f>IF(ISNA(MATCH(104,'Transfer Engine'!$C$2:$C$1960,0)),"",INDEX('Compliance Database'!$N$2:$N$1960,MATCH(104,'Transfer Engine'!$C$2:$C$1960,0)))</f>
        <v/>
      </c>
      <c r="O113" s="9">
        <f>IF(ISNA(MATCH(104,'Transfer Engine'!$C$2:$C$1960,0)),"",INDEX('Compliance Database'!$O$2:$O$1960,MATCH(104,'Transfer Engine'!$C$2:$C$1960,0)))</f>
        <v/>
      </c>
      <c r="P113" s="8">
        <f>IF(ISNA(MATCH(104,'Transfer Engine'!$C$2:$C$1960,0)),"",HYPERLINK("#Acts!A"&amp;INDEX('Compliance Database'!$P$2:$P$1960,MATCH(104,'Transfer Engine'!$C$2:$C$1960,0)),"Go to Act"))</f>
        <v/>
      </c>
    </row>
    <row r="114" ht="158" customHeight="1">
      <c r="A114" s="8">
        <f>IF(ISNA(MATCH(105,'Transfer Engine'!$C$2:$C$1960,0)),"",INDEX('Compliance Database'!$A$2:$A$1960,MATCH(105,'Transfer Engine'!$C$2:$C$1960,0)))</f>
        <v/>
      </c>
      <c r="B114" s="8">
        <f>IF(ISNA(MATCH(105,'Transfer Engine'!$C$2:$C$1960,0)),"",INDEX('Compliance Database'!$B$2:$B$1960,MATCH(105,'Transfer Engine'!$C$2:$C$1960,0)))</f>
        <v/>
      </c>
      <c r="C114" s="8">
        <f>IF(ISNA(MATCH(105,'Transfer Engine'!$C$2:$C$1960,0)),"",INDEX('Compliance Database'!$C$2:$C$1960,MATCH(105,'Transfer Engine'!$C$2:$C$1960,0)))</f>
        <v/>
      </c>
      <c r="D114" s="9">
        <f>IF(ISNA(MATCH(105,'Transfer Engine'!$C$2:$C$1960,0)),"",INDEX('Compliance Database'!$D$2:$D$1960,MATCH(105,'Transfer Engine'!$C$2:$C$1960,0)))</f>
        <v/>
      </c>
      <c r="E114" s="8">
        <f>IF(ISNA(MATCH(105,'Transfer Engine'!$C$2:$C$1960,0)),"",INDEX('Compliance Database'!$E$2:$E$1960,MATCH(105,'Transfer Engine'!$C$2:$C$1960,0)))</f>
        <v/>
      </c>
      <c r="F114" s="8">
        <f>IF(ISNA(MATCH(105,'Transfer Engine'!$C$2:$C$1960,0)),"",INDEX('Compliance Database'!$F$2:$F$1960,MATCH(105,'Transfer Engine'!$C$2:$C$1960,0)))</f>
        <v/>
      </c>
      <c r="G114" s="8">
        <f>IF(ISNA(MATCH(105,'Transfer Engine'!$C$2:$C$1960,0)),"",INDEX('Compliance Database'!$G$2:$G$1960,MATCH(105,'Transfer Engine'!$C$2:$C$1960,0)))</f>
        <v/>
      </c>
      <c r="H114" s="9">
        <f>IF(ISNA(MATCH(105,'Transfer Engine'!$C$2:$C$1960,0)),"",INDEX('Compliance Database'!$H$2:$H$1960,MATCH(105,'Transfer Engine'!$C$2:$C$1960,0)))</f>
        <v/>
      </c>
      <c r="I114" s="9">
        <f>IF(ISNA(MATCH(105,'Transfer Engine'!$C$2:$C$1960,0)),"",INDEX('Compliance Database'!$I$2:$I$1960,MATCH(105,'Transfer Engine'!$C$2:$C$1960,0)))</f>
        <v/>
      </c>
      <c r="J114" s="8">
        <f>IF(ISNA(MATCH(105,'Transfer Engine'!$C$2:$C$1960,0)),"",INDEX('Compliance Database'!$J$2:$J$1960,MATCH(105,'Transfer Engine'!$C$2:$C$1960,0)))</f>
        <v/>
      </c>
      <c r="K114" s="9">
        <f>IF(ISNA(MATCH(105,'Transfer Engine'!$C$2:$C$1960,0)),"",INDEX('Compliance Database'!$K$2:$K$1960,MATCH(105,'Transfer Engine'!$C$2:$C$1960,0)))</f>
        <v/>
      </c>
      <c r="L114" s="9">
        <f>IF(ISNA(MATCH(105,'Transfer Engine'!$C$2:$C$1960,0)),"",INDEX('Compliance Database'!$L$2:$L$1960,MATCH(105,'Transfer Engine'!$C$2:$C$1960,0)))</f>
        <v/>
      </c>
      <c r="M114" s="9">
        <f>IF(ISNA(MATCH(105,'Transfer Engine'!$C$2:$C$1960,0)),"",INDEX('Compliance Database'!$M$2:$M$1960,MATCH(105,'Transfer Engine'!$C$2:$C$1960,0)))</f>
        <v/>
      </c>
      <c r="N114" s="9">
        <f>IF(ISNA(MATCH(105,'Transfer Engine'!$C$2:$C$1960,0)),"",INDEX('Compliance Database'!$N$2:$N$1960,MATCH(105,'Transfer Engine'!$C$2:$C$1960,0)))</f>
        <v/>
      </c>
      <c r="O114" s="9">
        <f>IF(ISNA(MATCH(105,'Transfer Engine'!$C$2:$C$1960,0)),"",INDEX('Compliance Database'!$O$2:$O$1960,MATCH(105,'Transfer Engine'!$C$2:$C$1960,0)))</f>
        <v/>
      </c>
      <c r="P114" s="8">
        <f>IF(ISNA(MATCH(105,'Transfer Engine'!$C$2:$C$1960,0)),"",HYPERLINK("#Acts!A"&amp;INDEX('Compliance Database'!$P$2:$P$1960,MATCH(105,'Transfer Engine'!$C$2:$C$1960,0)),"Go to Act"))</f>
        <v/>
      </c>
    </row>
    <row r="115" ht="158" customHeight="1">
      <c r="A115" s="8">
        <f>IF(ISNA(MATCH(106,'Transfer Engine'!$C$2:$C$1960,0)),"",INDEX('Compliance Database'!$A$2:$A$1960,MATCH(106,'Transfer Engine'!$C$2:$C$1960,0)))</f>
        <v/>
      </c>
      <c r="B115" s="8">
        <f>IF(ISNA(MATCH(106,'Transfer Engine'!$C$2:$C$1960,0)),"",INDEX('Compliance Database'!$B$2:$B$1960,MATCH(106,'Transfer Engine'!$C$2:$C$1960,0)))</f>
        <v/>
      </c>
      <c r="C115" s="8">
        <f>IF(ISNA(MATCH(106,'Transfer Engine'!$C$2:$C$1960,0)),"",INDEX('Compliance Database'!$C$2:$C$1960,MATCH(106,'Transfer Engine'!$C$2:$C$1960,0)))</f>
        <v/>
      </c>
      <c r="D115" s="9">
        <f>IF(ISNA(MATCH(106,'Transfer Engine'!$C$2:$C$1960,0)),"",INDEX('Compliance Database'!$D$2:$D$1960,MATCH(106,'Transfer Engine'!$C$2:$C$1960,0)))</f>
        <v/>
      </c>
      <c r="E115" s="8">
        <f>IF(ISNA(MATCH(106,'Transfer Engine'!$C$2:$C$1960,0)),"",INDEX('Compliance Database'!$E$2:$E$1960,MATCH(106,'Transfer Engine'!$C$2:$C$1960,0)))</f>
        <v/>
      </c>
      <c r="F115" s="8">
        <f>IF(ISNA(MATCH(106,'Transfer Engine'!$C$2:$C$1960,0)),"",INDEX('Compliance Database'!$F$2:$F$1960,MATCH(106,'Transfer Engine'!$C$2:$C$1960,0)))</f>
        <v/>
      </c>
      <c r="G115" s="8">
        <f>IF(ISNA(MATCH(106,'Transfer Engine'!$C$2:$C$1960,0)),"",INDEX('Compliance Database'!$G$2:$G$1960,MATCH(106,'Transfer Engine'!$C$2:$C$1960,0)))</f>
        <v/>
      </c>
      <c r="H115" s="9">
        <f>IF(ISNA(MATCH(106,'Transfer Engine'!$C$2:$C$1960,0)),"",INDEX('Compliance Database'!$H$2:$H$1960,MATCH(106,'Transfer Engine'!$C$2:$C$1960,0)))</f>
        <v/>
      </c>
      <c r="I115" s="9">
        <f>IF(ISNA(MATCH(106,'Transfer Engine'!$C$2:$C$1960,0)),"",INDEX('Compliance Database'!$I$2:$I$1960,MATCH(106,'Transfer Engine'!$C$2:$C$1960,0)))</f>
        <v/>
      </c>
      <c r="J115" s="8">
        <f>IF(ISNA(MATCH(106,'Transfer Engine'!$C$2:$C$1960,0)),"",INDEX('Compliance Database'!$J$2:$J$1960,MATCH(106,'Transfer Engine'!$C$2:$C$1960,0)))</f>
        <v/>
      </c>
      <c r="K115" s="9">
        <f>IF(ISNA(MATCH(106,'Transfer Engine'!$C$2:$C$1960,0)),"",INDEX('Compliance Database'!$K$2:$K$1960,MATCH(106,'Transfer Engine'!$C$2:$C$1960,0)))</f>
        <v/>
      </c>
      <c r="L115" s="9">
        <f>IF(ISNA(MATCH(106,'Transfer Engine'!$C$2:$C$1960,0)),"",INDEX('Compliance Database'!$L$2:$L$1960,MATCH(106,'Transfer Engine'!$C$2:$C$1960,0)))</f>
        <v/>
      </c>
      <c r="M115" s="9">
        <f>IF(ISNA(MATCH(106,'Transfer Engine'!$C$2:$C$1960,0)),"",INDEX('Compliance Database'!$M$2:$M$1960,MATCH(106,'Transfer Engine'!$C$2:$C$1960,0)))</f>
        <v/>
      </c>
      <c r="N115" s="9">
        <f>IF(ISNA(MATCH(106,'Transfer Engine'!$C$2:$C$1960,0)),"",INDEX('Compliance Database'!$N$2:$N$1960,MATCH(106,'Transfer Engine'!$C$2:$C$1960,0)))</f>
        <v/>
      </c>
      <c r="O115" s="9">
        <f>IF(ISNA(MATCH(106,'Transfer Engine'!$C$2:$C$1960,0)),"",INDEX('Compliance Database'!$O$2:$O$1960,MATCH(106,'Transfer Engine'!$C$2:$C$1960,0)))</f>
        <v/>
      </c>
      <c r="P115" s="8">
        <f>IF(ISNA(MATCH(106,'Transfer Engine'!$C$2:$C$1960,0)),"",HYPERLINK("#Acts!A"&amp;INDEX('Compliance Database'!$P$2:$P$1960,MATCH(106,'Transfer Engine'!$C$2:$C$1960,0)),"Go to Act"))</f>
        <v/>
      </c>
    </row>
    <row r="116" ht="158" customHeight="1">
      <c r="A116" s="8">
        <f>IF(ISNA(MATCH(107,'Transfer Engine'!$C$2:$C$1960,0)),"",INDEX('Compliance Database'!$A$2:$A$1960,MATCH(107,'Transfer Engine'!$C$2:$C$1960,0)))</f>
        <v/>
      </c>
      <c r="B116" s="8">
        <f>IF(ISNA(MATCH(107,'Transfer Engine'!$C$2:$C$1960,0)),"",INDEX('Compliance Database'!$B$2:$B$1960,MATCH(107,'Transfer Engine'!$C$2:$C$1960,0)))</f>
        <v/>
      </c>
      <c r="C116" s="8">
        <f>IF(ISNA(MATCH(107,'Transfer Engine'!$C$2:$C$1960,0)),"",INDEX('Compliance Database'!$C$2:$C$1960,MATCH(107,'Transfer Engine'!$C$2:$C$1960,0)))</f>
        <v/>
      </c>
      <c r="D116" s="9">
        <f>IF(ISNA(MATCH(107,'Transfer Engine'!$C$2:$C$1960,0)),"",INDEX('Compliance Database'!$D$2:$D$1960,MATCH(107,'Transfer Engine'!$C$2:$C$1960,0)))</f>
        <v/>
      </c>
      <c r="E116" s="8">
        <f>IF(ISNA(MATCH(107,'Transfer Engine'!$C$2:$C$1960,0)),"",INDEX('Compliance Database'!$E$2:$E$1960,MATCH(107,'Transfer Engine'!$C$2:$C$1960,0)))</f>
        <v/>
      </c>
      <c r="F116" s="8">
        <f>IF(ISNA(MATCH(107,'Transfer Engine'!$C$2:$C$1960,0)),"",INDEX('Compliance Database'!$F$2:$F$1960,MATCH(107,'Transfer Engine'!$C$2:$C$1960,0)))</f>
        <v/>
      </c>
      <c r="G116" s="8">
        <f>IF(ISNA(MATCH(107,'Transfer Engine'!$C$2:$C$1960,0)),"",INDEX('Compliance Database'!$G$2:$G$1960,MATCH(107,'Transfer Engine'!$C$2:$C$1960,0)))</f>
        <v/>
      </c>
      <c r="H116" s="9">
        <f>IF(ISNA(MATCH(107,'Transfer Engine'!$C$2:$C$1960,0)),"",INDEX('Compliance Database'!$H$2:$H$1960,MATCH(107,'Transfer Engine'!$C$2:$C$1960,0)))</f>
        <v/>
      </c>
      <c r="I116" s="9">
        <f>IF(ISNA(MATCH(107,'Transfer Engine'!$C$2:$C$1960,0)),"",INDEX('Compliance Database'!$I$2:$I$1960,MATCH(107,'Transfer Engine'!$C$2:$C$1960,0)))</f>
        <v/>
      </c>
      <c r="J116" s="8">
        <f>IF(ISNA(MATCH(107,'Transfer Engine'!$C$2:$C$1960,0)),"",INDEX('Compliance Database'!$J$2:$J$1960,MATCH(107,'Transfer Engine'!$C$2:$C$1960,0)))</f>
        <v/>
      </c>
      <c r="K116" s="9">
        <f>IF(ISNA(MATCH(107,'Transfer Engine'!$C$2:$C$1960,0)),"",INDEX('Compliance Database'!$K$2:$K$1960,MATCH(107,'Transfer Engine'!$C$2:$C$1960,0)))</f>
        <v/>
      </c>
      <c r="L116" s="9">
        <f>IF(ISNA(MATCH(107,'Transfer Engine'!$C$2:$C$1960,0)),"",INDEX('Compliance Database'!$L$2:$L$1960,MATCH(107,'Transfer Engine'!$C$2:$C$1960,0)))</f>
        <v/>
      </c>
      <c r="M116" s="9">
        <f>IF(ISNA(MATCH(107,'Transfer Engine'!$C$2:$C$1960,0)),"",INDEX('Compliance Database'!$M$2:$M$1960,MATCH(107,'Transfer Engine'!$C$2:$C$1960,0)))</f>
        <v/>
      </c>
      <c r="N116" s="9">
        <f>IF(ISNA(MATCH(107,'Transfer Engine'!$C$2:$C$1960,0)),"",INDEX('Compliance Database'!$N$2:$N$1960,MATCH(107,'Transfer Engine'!$C$2:$C$1960,0)))</f>
        <v/>
      </c>
      <c r="O116" s="9">
        <f>IF(ISNA(MATCH(107,'Transfer Engine'!$C$2:$C$1960,0)),"",INDEX('Compliance Database'!$O$2:$O$1960,MATCH(107,'Transfer Engine'!$C$2:$C$1960,0)))</f>
        <v/>
      </c>
      <c r="P116" s="8">
        <f>IF(ISNA(MATCH(107,'Transfer Engine'!$C$2:$C$1960,0)),"",HYPERLINK("#Acts!A"&amp;INDEX('Compliance Database'!$P$2:$P$1960,MATCH(107,'Transfer Engine'!$C$2:$C$1960,0)),"Go to Act"))</f>
        <v/>
      </c>
    </row>
    <row r="117" ht="158" customHeight="1">
      <c r="A117" s="8">
        <f>IF(ISNA(MATCH(108,'Transfer Engine'!$C$2:$C$1960,0)),"",INDEX('Compliance Database'!$A$2:$A$1960,MATCH(108,'Transfer Engine'!$C$2:$C$1960,0)))</f>
        <v/>
      </c>
      <c r="B117" s="8">
        <f>IF(ISNA(MATCH(108,'Transfer Engine'!$C$2:$C$1960,0)),"",INDEX('Compliance Database'!$B$2:$B$1960,MATCH(108,'Transfer Engine'!$C$2:$C$1960,0)))</f>
        <v/>
      </c>
      <c r="C117" s="8">
        <f>IF(ISNA(MATCH(108,'Transfer Engine'!$C$2:$C$1960,0)),"",INDEX('Compliance Database'!$C$2:$C$1960,MATCH(108,'Transfer Engine'!$C$2:$C$1960,0)))</f>
        <v/>
      </c>
      <c r="D117" s="9">
        <f>IF(ISNA(MATCH(108,'Transfer Engine'!$C$2:$C$1960,0)),"",INDEX('Compliance Database'!$D$2:$D$1960,MATCH(108,'Transfer Engine'!$C$2:$C$1960,0)))</f>
        <v/>
      </c>
      <c r="E117" s="8">
        <f>IF(ISNA(MATCH(108,'Transfer Engine'!$C$2:$C$1960,0)),"",INDEX('Compliance Database'!$E$2:$E$1960,MATCH(108,'Transfer Engine'!$C$2:$C$1960,0)))</f>
        <v/>
      </c>
      <c r="F117" s="8">
        <f>IF(ISNA(MATCH(108,'Transfer Engine'!$C$2:$C$1960,0)),"",INDEX('Compliance Database'!$F$2:$F$1960,MATCH(108,'Transfer Engine'!$C$2:$C$1960,0)))</f>
        <v/>
      </c>
      <c r="G117" s="8">
        <f>IF(ISNA(MATCH(108,'Transfer Engine'!$C$2:$C$1960,0)),"",INDEX('Compliance Database'!$G$2:$G$1960,MATCH(108,'Transfer Engine'!$C$2:$C$1960,0)))</f>
        <v/>
      </c>
      <c r="H117" s="9">
        <f>IF(ISNA(MATCH(108,'Transfer Engine'!$C$2:$C$1960,0)),"",INDEX('Compliance Database'!$H$2:$H$1960,MATCH(108,'Transfer Engine'!$C$2:$C$1960,0)))</f>
        <v/>
      </c>
      <c r="I117" s="9">
        <f>IF(ISNA(MATCH(108,'Transfer Engine'!$C$2:$C$1960,0)),"",INDEX('Compliance Database'!$I$2:$I$1960,MATCH(108,'Transfer Engine'!$C$2:$C$1960,0)))</f>
        <v/>
      </c>
      <c r="J117" s="8">
        <f>IF(ISNA(MATCH(108,'Transfer Engine'!$C$2:$C$1960,0)),"",INDEX('Compliance Database'!$J$2:$J$1960,MATCH(108,'Transfer Engine'!$C$2:$C$1960,0)))</f>
        <v/>
      </c>
      <c r="K117" s="9">
        <f>IF(ISNA(MATCH(108,'Transfer Engine'!$C$2:$C$1960,0)),"",INDEX('Compliance Database'!$K$2:$K$1960,MATCH(108,'Transfer Engine'!$C$2:$C$1960,0)))</f>
        <v/>
      </c>
      <c r="L117" s="9">
        <f>IF(ISNA(MATCH(108,'Transfer Engine'!$C$2:$C$1960,0)),"",INDEX('Compliance Database'!$L$2:$L$1960,MATCH(108,'Transfer Engine'!$C$2:$C$1960,0)))</f>
        <v/>
      </c>
      <c r="M117" s="9">
        <f>IF(ISNA(MATCH(108,'Transfer Engine'!$C$2:$C$1960,0)),"",INDEX('Compliance Database'!$M$2:$M$1960,MATCH(108,'Transfer Engine'!$C$2:$C$1960,0)))</f>
        <v/>
      </c>
      <c r="N117" s="9">
        <f>IF(ISNA(MATCH(108,'Transfer Engine'!$C$2:$C$1960,0)),"",INDEX('Compliance Database'!$N$2:$N$1960,MATCH(108,'Transfer Engine'!$C$2:$C$1960,0)))</f>
        <v/>
      </c>
      <c r="O117" s="9">
        <f>IF(ISNA(MATCH(108,'Transfer Engine'!$C$2:$C$1960,0)),"",INDEX('Compliance Database'!$O$2:$O$1960,MATCH(108,'Transfer Engine'!$C$2:$C$1960,0)))</f>
        <v/>
      </c>
      <c r="P117" s="8">
        <f>IF(ISNA(MATCH(108,'Transfer Engine'!$C$2:$C$1960,0)),"",HYPERLINK("#Acts!A"&amp;INDEX('Compliance Database'!$P$2:$P$1960,MATCH(108,'Transfer Engine'!$C$2:$C$1960,0)),"Go to Act"))</f>
        <v/>
      </c>
    </row>
    <row r="118" ht="158" customHeight="1">
      <c r="A118" s="8">
        <f>IF(ISNA(MATCH(109,'Transfer Engine'!$C$2:$C$1960,0)),"",INDEX('Compliance Database'!$A$2:$A$1960,MATCH(109,'Transfer Engine'!$C$2:$C$1960,0)))</f>
        <v/>
      </c>
      <c r="B118" s="8">
        <f>IF(ISNA(MATCH(109,'Transfer Engine'!$C$2:$C$1960,0)),"",INDEX('Compliance Database'!$B$2:$B$1960,MATCH(109,'Transfer Engine'!$C$2:$C$1960,0)))</f>
        <v/>
      </c>
      <c r="C118" s="8">
        <f>IF(ISNA(MATCH(109,'Transfer Engine'!$C$2:$C$1960,0)),"",INDEX('Compliance Database'!$C$2:$C$1960,MATCH(109,'Transfer Engine'!$C$2:$C$1960,0)))</f>
        <v/>
      </c>
      <c r="D118" s="9">
        <f>IF(ISNA(MATCH(109,'Transfer Engine'!$C$2:$C$1960,0)),"",INDEX('Compliance Database'!$D$2:$D$1960,MATCH(109,'Transfer Engine'!$C$2:$C$1960,0)))</f>
        <v/>
      </c>
      <c r="E118" s="8">
        <f>IF(ISNA(MATCH(109,'Transfer Engine'!$C$2:$C$1960,0)),"",INDEX('Compliance Database'!$E$2:$E$1960,MATCH(109,'Transfer Engine'!$C$2:$C$1960,0)))</f>
        <v/>
      </c>
      <c r="F118" s="8">
        <f>IF(ISNA(MATCH(109,'Transfer Engine'!$C$2:$C$1960,0)),"",INDEX('Compliance Database'!$F$2:$F$1960,MATCH(109,'Transfer Engine'!$C$2:$C$1960,0)))</f>
        <v/>
      </c>
      <c r="G118" s="8">
        <f>IF(ISNA(MATCH(109,'Transfer Engine'!$C$2:$C$1960,0)),"",INDEX('Compliance Database'!$G$2:$G$1960,MATCH(109,'Transfer Engine'!$C$2:$C$1960,0)))</f>
        <v/>
      </c>
      <c r="H118" s="9">
        <f>IF(ISNA(MATCH(109,'Transfer Engine'!$C$2:$C$1960,0)),"",INDEX('Compliance Database'!$H$2:$H$1960,MATCH(109,'Transfer Engine'!$C$2:$C$1960,0)))</f>
        <v/>
      </c>
      <c r="I118" s="9">
        <f>IF(ISNA(MATCH(109,'Transfer Engine'!$C$2:$C$1960,0)),"",INDEX('Compliance Database'!$I$2:$I$1960,MATCH(109,'Transfer Engine'!$C$2:$C$1960,0)))</f>
        <v/>
      </c>
      <c r="J118" s="8">
        <f>IF(ISNA(MATCH(109,'Transfer Engine'!$C$2:$C$1960,0)),"",INDEX('Compliance Database'!$J$2:$J$1960,MATCH(109,'Transfer Engine'!$C$2:$C$1960,0)))</f>
        <v/>
      </c>
      <c r="K118" s="9">
        <f>IF(ISNA(MATCH(109,'Transfer Engine'!$C$2:$C$1960,0)),"",INDEX('Compliance Database'!$K$2:$K$1960,MATCH(109,'Transfer Engine'!$C$2:$C$1960,0)))</f>
        <v/>
      </c>
      <c r="L118" s="9">
        <f>IF(ISNA(MATCH(109,'Transfer Engine'!$C$2:$C$1960,0)),"",INDEX('Compliance Database'!$L$2:$L$1960,MATCH(109,'Transfer Engine'!$C$2:$C$1960,0)))</f>
        <v/>
      </c>
      <c r="M118" s="9">
        <f>IF(ISNA(MATCH(109,'Transfer Engine'!$C$2:$C$1960,0)),"",INDEX('Compliance Database'!$M$2:$M$1960,MATCH(109,'Transfer Engine'!$C$2:$C$1960,0)))</f>
        <v/>
      </c>
      <c r="N118" s="9">
        <f>IF(ISNA(MATCH(109,'Transfer Engine'!$C$2:$C$1960,0)),"",INDEX('Compliance Database'!$N$2:$N$1960,MATCH(109,'Transfer Engine'!$C$2:$C$1960,0)))</f>
        <v/>
      </c>
      <c r="O118" s="9">
        <f>IF(ISNA(MATCH(109,'Transfer Engine'!$C$2:$C$1960,0)),"",INDEX('Compliance Database'!$O$2:$O$1960,MATCH(109,'Transfer Engine'!$C$2:$C$1960,0)))</f>
        <v/>
      </c>
      <c r="P118" s="8">
        <f>IF(ISNA(MATCH(109,'Transfer Engine'!$C$2:$C$1960,0)),"",HYPERLINK("#Acts!A"&amp;INDEX('Compliance Database'!$P$2:$P$1960,MATCH(109,'Transfer Engine'!$C$2:$C$1960,0)),"Go to Act"))</f>
        <v/>
      </c>
    </row>
    <row r="119" ht="158" customHeight="1">
      <c r="A119" s="8">
        <f>IF(ISNA(MATCH(110,'Transfer Engine'!$C$2:$C$1960,0)),"",INDEX('Compliance Database'!$A$2:$A$1960,MATCH(110,'Transfer Engine'!$C$2:$C$1960,0)))</f>
        <v/>
      </c>
      <c r="B119" s="8">
        <f>IF(ISNA(MATCH(110,'Transfer Engine'!$C$2:$C$1960,0)),"",INDEX('Compliance Database'!$B$2:$B$1960,MATCH(110,'Transfer Engine'!$C$2:$C$1960,0)))</f>
        <v/>
      </c>
      <c r="C119" s="8">
        <f>IF(ISNA(MATCH(110,'Transfer Engine'!$C$2:$C$1960,0)),"",INDEX('Compliance Database'!$C$2:$C$1960,MATCH(110,'Transfer Engine'!$C$2:$C$1960,0)))</f>
        <v/>
      </c>
      <c r="D119" s="9">
        <f>IF(ISNA(MATCH(110,'Transfer Engine'!$C$2:$C$1960,0)),"",INDEX('Compliance Database'!$D$2:$D$1960,MATCH(110,'Transfer Engine'!$C$2:$C$1960,0)))</f>
        <v/>
      </c>
      <c r="E119" s="8">
        <f>IF(ISNA(MATCH(110,'Transfer Engine'!$C$2:$C$1960,0)),"",INDEX('Compliance Database'!$E$2:$E$1960,MATCH(110,'Transfer Engine'!$C$2:$C$1960,0)))</f>
        <v/>
      </c>
      <c r="F119" s="8">
        <f>IF(ISNA(MATCH(110,'Transfer Engine'!$C$2:$C$1960,0)),"",INDEX('Compliance Database'!$F$2:$F$1960,MATCH(110,'Transfer Engine'!$C$2:$C$1960,0)))</f>
        <v/>
      </c>
      <c r="G119" s="8">
        <f>IF(ISNA(MATCH(110,'Transfer Engine'!$C$2:$C$1960,0)),"",INDEX('Compliance Database'!$G$2:$G$1960,MATCH(110,'Transfer Engine'!$C$2:$C$1960,0)))</f>
        <v/>
      </c>
      <c r="H119" s="9">
        <f>IF(ISNA(MATCH(110,'Transfer Engine'!$C$2:$C$1960,0)),"",INDEX('Compliance Database'!$H$2:$H$1960,MATCH(110,'Transfer Engine'!$C$2:$C$1960,0)))</f>
        <v/>
      </c>
      <c r="I119" s="9">
        <f>IF(ISNA(MATCH(110,'Transfer Engine'!$C$2:$C$1960,0)),"",INDEX('Compliance Database'!$I$2:$I$1960,MATCH(110,'Transfer Engine'!$C$2:$C$1960,0)))</f>
        <v/>
      </c>
      <c r="J119" s="8">
        <f>IF(ISNA(MATCH(110,'Transfer Engine'!$C$2:$C$1960,0)),"",INDEX('Compliance Database'!$J$2:$J$1960,MATCH(110,'Transfer Engine'!$C$2:$C$1960,0)))</f>
        <v/>
      </c>
      <c r="K119" s="9">
        <f>IF(ISNA(MATCH(110,'Transfer Engine'!$C$2:$C$1960,0)),"",INDEX('Compliance Database'!$K$2:$K$1960,MATCH(110,'Transfer Engine'!$C$2:$C$1960,0)))</f>
        <v/>
      </c>
      <c r="L119" s="9">
        <f>IF(ISNA(MATCH(110,'Transfer Engine'!$C$2:$C$1960,0)),"",INDEX('Compliance Database'!$L$2:$L$1960,MATCH(110,'Transfer Engine'!$C$2:$C$1960,0)))</f>
        <v/>
      </c>
      <c r="M119" s="9">
        <f>IF(ISNA(MATCH(110,'Transfer Engine'!$C$2:$C$1960,0)),"",INDEX('Compliance Database'!$M$2:$M$1960,MATCH(110,'Transfer Engine'!$C$2:$C$1960,0)))</f>
        <v/>
      </c>
      <c r="N119" s="9">
        <f>IF(ISNA(MATCH(110,'Transfer Engine'!$C$2:$C$1960,0)),"",INDEX('Compliance Database'!$N$2:$N$1960,MATCH(110,'Transfer Engine'!$C$2:$C$1960,0)))</f>
        <v/>
      </c>
      <c r="O119" s="9">
        <f>IF(ISNA(MATCH(110,'Transfer Engine'!$C$2:$C$1960,0)),"",INDEX('Compliance Database'!$O$2:$O$1960,MATCH(110,'Transfer Engine'!$C$2:$C$1960,0)))</f>
        <v/>
      </c>
      <c r="P119" s="8">
        <f>IF(ISNA(MATCH(110,'Transfer Engine'!$C$2:$C$1960,0)),"",HYPERLINK("#Acts!A"&amp;INDEX('Compliance Database'!$P$2:$P$1960,MATCH(110,'Transfer Engine'!$C$2:$C$1960,0)),"Go to Act"))</f>
        <v/>
      </c>
    </row>
    <row r="120" ht="158" customHeight="1">
      <c r="A120" s="8">
        <f>IF(ISNA(MATCH(111,'Transfer Engine'!$C$2:$C$1960,0)),"",INDEX('Compliance Database'!$A$2:$A$1960,MATCH(111,'Transfer Engine'!$C$2:$C$1960,0)))</f>
        <v/>
      </c>
      <c r="B120" s="8">
        <f>IF(ISNA(MATCH(111,'Transfer Engine'!$C$2:$C$1960,0)),"",INDEX('Compliance Database'!$B$2:$B$1960,MATCH(111,'Transfer Engine'!$C$2:$C$1960,0)))</f>
        <v/>
      </c>
      <c r="C120" s="8">
        <f>IF(ISNA(MATCH(111,'Transfer Engine'!$C$2:$C$1960,0)),"",INDEX('Compliance Database'!$C$2:$C$1960,MATCH(111,'Transfer Engine'!$C$2:$C$1960,0)))</f>
        <v/>
      </c>
      <c r="D120" s="9">
        <f>IF(ISNA(MATCH(111,'Transfer Engine'!$C$2:$C$1960,0)),"",INDEX('Compliance Database'!$D$2:$D$1960,MATCH(111,'Transfer Engine'!$C$2:$C$1960,0)))</f>
        <v/>
      </c>
      <c r="E120" s="8">
        <f>IF(ISNA(MATCH(111,'Transfer Engine'!$C$2:$C$1960,0)),"",INDEX('Compliance Database'!$E$2:$E$1960,MATCH(111,'Transfer Engine'!$C$2:$C$1960,0)))</f>
        <v/>
      </c>
      <c r="F120" s="8">
        <f>IF(ISNA(MATCH(111,'Transfer Engine'!$C$2:$C$1960,0)),"",INDEX('Compliance Database'!$F$2:$F$1960,MATCH(111,'Transfer Engine'!$C$2:$C$1960,0)))</f>
        <v/>
      </c>
      <c r="G120" s="8">
        <f>IF(ISNA(MATCH(111,'Transfer Engine'!$C$2:$C$1960,0)),"",INDEX('Compliance Database'!$G$2:$G$1960,MATCH(111,'Transfer Engine'!$C$2:$C$1960,0)))</f>
        <v/>
      </c>
      <c r="H120" s="9">
        <f>IF(ISNA(MATCH(111,'Transfer Engine'!$C$2:$C$1960,0)),"",INDEX('Compliance Database'!$H$2:$H$1960,MATCH(111,'Transfer Engine'!$C$2:$C$1960,0)))</f>
        <v/>
      </c>
      <c r="I120" s="9">
        <f>IF(ISNA(MATCH(111,'Transfer Engine'!$C$2:$C$1960,0)),"",INDEX('Compliance Database'!$I$2:$I$1960,MATCH(111,'Transfer Engine'!$C$2:$C$1960,0)))</f>
        <v/>
      </c>
      <c r="J120" s="8">
        <f>IF(ISNA(MATCH(111,'Transfer Engine'!$C$2:$C$1960,0)),"",INDEX('Compliance Database'!$J$2:$J$1960,MATCH(111,'Transfer Engine'!$C$2:$C$1960,0)))</f>
        <v/>
      </c>
      <c r="K120" s="9">
        <f>IF(ISNA(MATCH(111,'Transfer Engine'!$C$2:$C$1960,0)),"",INDEX('Compliance Database'!$K$2:$K$1960,MATCH(111,'Transfer Engine'!$C$2:$C$1960,0)))</f>
        <v/>
      </c>
      <c r="L120" s="9">
        <f>IF(ISNA(MATCH(111,'Transfer Engine'!$C$2:$C$1960,0)),"",INDEX('Compliance Database'!$L$2:$L$1960,MATCH(111,'Transfer Engine'!$C$2:$C$1960,0)))</f>
        <v/>
      </c>
      <c r="M120" s="9">
        <f>IF(ISNA(MATCH(111,'Transfer Engine'!$C$2:$C$1960,0)),"",INDEX('Compliance Database'!$M$2:$M$1960,MATCH(111,'Transfer Engine'!$C$2:$C$1960,0)))</f>
        <v/>
      </c>
      <c r="N120" s="9">
        <f>IF(ISNA(MATCH(111,'Transfer Engine'!$C$2:$C$1960,0)),"",INDEX('Compliance Database'!$N$2:$N$1960,MATCH(111,'Transfer Engine'!$C$2:$C$1960,0)))</f>
        <v/>
      </c>
      <c r="O120" s="9">
        <f>IF(ISNA(MATCH(111,'Transfer Engine'!$C$2:$C$1960,0)),"",INDEX('Compliance Database'!$O$2:$O$1960,MATCH(111,'Transfer Engine'!$C$2:$C$1960,0)))</f>
        <v/>
      </c>
      <c r="P120" s="8">
        <f>IF(ISNA(MATCH(111,'Transfer Engine'!$C$2:$C$1960,0)),"",HYPERLINK("#Acts!A"&amp;INDEX('Compliance Database'!$P$2:$P$1960,MATCH(111,'Transfer Engine'!$C$2:$C$1960,0)),"Go to Act"))</f>
        <v/>
      </c>
    </row>
    <row r="121" ht="158" customHeight="1">
      <c r="A121" s="8">
        <f>IF(ISNA(MATCH(112,'Transfer Engine'!$C$2:$C$1960,0)),"",INDEX('Compliance Database'!$A$2:$A$1960,MATCH(112,'Transfer Engine'!$C$2:$C$1960,0)))</f>
        <v/>
      </c>
      <c r="B121" s="8">
        <f>IF(ISNA(MATCH(112,'Transfer Engine'!$C$2:$C$1960,0)),"",INDEX('Compliance Database'!$B$2:$B$1960,MATCH(112,'Transfer Engine'!$C$2:$C$1960,0)))</f>
        <v/>
      </c>
      <c r="C121" s="8">
        <f>IF(ISNA(MATCH(112,'Transfer Engine'!$C$2:$C$1960,0)),"",INDEX('Compliance Database'!$C$2:$C$1960,MATCH(112,'Transfer Engine'!$C$2:$C$1960,0)))</f>
        <v/>
      </c>
      <c r="D121" s="9">
        <f>IF(ISNA(MATCH(112,'Transfer Engine'!$C$2:$C$1960,0)),"",INDEX('Compliance Database'!$D$2:$D$1960,MATCH(112,'Transfer Engine'!$C$2:$C$1960,0)))</f>
        <v/>
      </c>
      <c r="E121" s="8">
        <f>IF(ISNA(MATCH(112,'Transfer Engine'!$C$2:$C$1960,0)),"",INDEX('Compliance Database'!$E$2:$E$1960,MATCH(112,'Transfer Engine'!$C$2:$C$1960,0)))</f>
        <v/>
      </c>
      <c r="F121" s="8">
        <f>IF(ISNA(MATCH(112,'Transfer Engine'!$C$2:$C$1960,0)),"",INDEX('Compliance Database'!$F$2:$F$1960,MATCH(112,'Transfer Engine'!$C$2:$C$1960,0)))</f>
        <v/>
      </c>
      <c r="G121" s="8">
        <f>IF(ISNA(MATCH(112,'Transfer Engine'!$C$2:$C$1960,0)),"",INDEX('Compliance Database'!$G$2:$G$1960,MATCH(112,'Transfer Engine'!$C$2:$C$1960,0)))</f>
        <v/>
      </c>
      <c r="H121" s="9">
        <f>IF(ISNA(MATCH(112,'Transfer Engine'!$C$2:$C$1960,0)),"",INDEX('Compliance Database'!$H$2:$H$1960,MATCH(112,'Transfer Engine'!$C$2:$C$1960,0)))</f>
        <v/>
      </c>
      <c r="I121" s="9">
        <f>IF(ISNA(MATCH(112,'Transfer Engine'!$C$2:$C$1960,0)),"",INDEX('Compliance Database'!$I$2:$I$1960,MATCH(112,'Transfer Engine'!$C$2:$C$1960,0)))</f>
        <v/>
      </c>
      <c r="J121" s="8">
        <f>IF(ISNA(MATCH(112,'Transfer Engine'!$C$2:$C$1960,0)),"",INDEX('Compliance Database'!$J$2:$J$1960,MATCH(112,'Transfer Engine'!$C$2:$C$1960,0)))</f>
        <v/>
      </c>
      <c r="K121" s="9">
        <f>IF(ISNA(MATCH(112,'Transfer Engine'!$C$2:$C$1960,0)),"",INDEX('Compliance Database'!$K$2:$K$1960,MATCH(112,'Transfer Engine'!$C$2:$C$1960,0)))</f>
        <v/>
      </c>
      <c r="L121" s="9">
        <f>IF(ISNA(MATCH(112,'Transfer Engine'!$C$2:$C$1960,0)),"",INDEX('Compliance Database'!$L$2:$L$1960,MATCH(112,'Transfer Engine'!$C$2:$C$1960,0)))</f>
        <v/>
      </c>
      <c r="M121" s="9">
        <f>IF(ISNA(MATCH(112,'Transfer Engine'!$C$2:$C$1960,0)),"",INDEX('Compliance Database'!$M$2:$M$1960,MATCH(112,'Transfer Engine'!$C$2:$C$1960,0)))</f>
        <v/>
      </c>
      <c r="N121" s="9">
        <f>IF(ISNA(MATCH(112,'Transfer Engine'!$C$2:$C$1960,0)),"",INDEX('Compliance Database'!$N$2:$N$1960,MATCH(112,'Transfer Engine'!$C$2:$C$1960,0)))</f>
        <v/>
      </c>
      <c r="O121" s="9">
        <f>IF(ISNA(MATCH(112,'Transfer Engine'!$C$2:$C$1960,0)),"",INDEX('Compliance Database'!$O$2:$O$1960,MATCH(112,'Transfer Engine'!$C$2:$C$1960,0)))</f>
        <v/>
      </c>
      <c r="P121" s="8">
        <f>IF(ISNA(MATCH(112,'Transfer Engine'!$C$2:$C$1960,0)),"",HYPERLINK("#Acts!A"&amp;INDEX('Compliance Database'!$P$2:$P$1960,MATCH(112,'Transfer Engine'!$C$2:$C$1960,0)),"Go to Act"))</f>
        <v/>
      </c>
    </row>
    <row r="122" ht="158" customHeight="1">
      <c r="A122" s="8">
        <f>IF(ISNA(MATCH(113,'Transfer Engine'!$C$2:$C$1960,0)),"",INDEX('Compliance Database'!$A$2:$A$1960,MATCH(113,'Transfer Engine'!$C$2:$C$1960,0)))</f>
        <v/>
      </c>
      <c r="B122" s="8">
        <f>IF(ISNA(MATCH(113,'Transfer Engine'!$C$2:$C$1960,0)),"",INDEX('Compliance Database'!$B$2:$B$1960,MATCH(113,'Transfer Engine'!$C$2:$C$1960,0)))</f>
        <v/>
      </c>
      <c r="C122" s="8">
        <f>IF(ISNA(MATCH(113,'Transfer Engine'!$C$2:$C$1960,0)),"",INDEX('Compliance Database'!$C$2:$C$1960,MATCH(113,'Transfer Engine'!$C$2:$C$1960,0)))</f>
        <v/>
      </c>
      <c r="D122" s="9">
        <f>IF(ISNA(MATCH(113,'Transfer Engine'!$C$2:$C$1960,0)),"",INDEX('Compliance Database'!$D$2:$D$1960,MATCH(113,'Transfer Engine'!$C$2:$C$1960,0)))</f>
        <v/>
      </c>
      <c r="E122" s="8">
        <f>IF(ISNA(MATCH(113,'Transfer Engine'!$C$2:$C$1960,0)),"",INDEX('Compliance Database'!$E$2:$E$1960,MATCH(113,'Transfer Engine'!$C$2:$C$1960,0)))</f>
        <v/>
      </c>
      <c r="F122" s="8">
        <f>IF(ISNA(MATCH(113,'Transfer Engine'!$C$2:$C$1960,0)),"",INDEX('Compliance Database'!$F$2:$F$1960,MATCH(113,'Transfer Engine'!$C$2:$C$1960,0)))</f>
        <v/>
      </c>
      <c r="G122" s="8">
        <f>IF(ISNA(MATCH(113,'Transfer Engine'!$C$2:$C$1960,0)),"",INDEX('Compliance Database'!$G$2:$G$1960,MATCH(113,'Transfer Engine'!$C$2:$C$1960,0)))</f>
        <v/>
      </c>
      <c r="H122" s="9">
        <f>IF(ISNA(MATCH(113,'Transfer Engine'!$C$2:$C$1960,0)),"",INDEX('Compliance Database'!$H$2:$H$1960,MATCH(113,'Transfer Engine'!$C$2:$C$1960,0)))</f>
        <v/>
      </c>
      <c r="I122" s="9">
        <f>IF(ISNA(MATCH(113,'Transfer Engine'!$C$2:$C$1960,0)),"",INDEX('Compliance Database'!$I$2:$I$1960,MATCH(113,'Transfer Engine'!$C$2:$C$1960,0)))</f>
        <v/>
      </c>
      <c r="J122" s="8">
        <f>IF(ISNA(MATCH(113,'Transfer Engine'!$C$2:$C$1960,0)),"",INDEX('Compliance Database'!$J$2:$J$1960,MATCH(113,'Transfer Engine'!$C$2:$C$1960,0)))</f>
        <v/>
      </c>
      <c r="K122" s="9">
        <f>IF(ISNA(MATCH(113,'Transfer Engine'!$C$2:$C$1960,0)),"",INDEX('Compliance Database'!$K$2:$K$1960,MATCH(113,'Transfer Engine'!$C$2:$C$1960,0)))</f>
        <v/>
      </c>
      <c r="L122" s="9">
        <f>IF(ISNA(MATCH(113,'Transfer Engine'!$C$2:$C$1960,0)),"",INDEX('Compliance Database'!$L$2:$L$1960,MATCH(113,'Transfer Engine'!$C$2:$C$1960,0)))</f>
        <v/>
      </c>
      <c r="M122" s="9">
        <f>IF(ISNA(MATCH(113,'Transfer Engine'!$C$2:$C$1960,0)),"",INDEX('Compliance Database'!$M$2:$M$1960,MATCH(113,'Transfer Engine'!$C$2:$C$1960,0)))</f>
        <v/>
      </c>
      <c r="N122" s="9">
        <f>IF(ISNA(MATCH(113,'Transfer Engine'!$C$2:$C$1960,0)),"",INDEX('Compliance Database'!$N$2:$N$1960,MATCH(113,'Transfer Engine'!$C$2:$C$1960,0)))</f>
        <v/>
      </c>
      <c r="O122" s="9">
        <f>IF(ISNA(MATCH(113,'Transfer Engine'!$C$2:$C$1960,0)),"",INDEX('Compliance Database'!$O$2:$O$1960,MATCH(113,'Transfer Engine'!$C$2:$C$1960,0)))</f>
        <v/>
      </c>
      <c r="P122" s="8">
        <f>IF(ISNA(MATCH(113,'Transfer Engine'!$C$2:$C$1960,0)),"",HYPERLINK("#Acts!A"&amp;INDEX('Compliance Database'!$P$2:$P$1960,MATCH(113,'Transfer Engine'!$C$2:$C$1960,0)),"Go to Act"))</f>
        <v/>
      </c>
    </row>
    <row r="123" ht="158" customHeight="1">
      <c r="A123" s="8">
        <f>IF(ISNA(MATCH(114,'Transfer Engine'!$C$2:$C$1960,0)),"",INDEX('Compliance Database'!$A$2:$A$1960,MATCH(114,'Transfer Engine'!$C$2:$C$1960,0)))</f>
        <v/>
      </c>
      <c r="B123" s="8">
        <f>IF(ISNA(MATCH(114,'Transfer Engine'!$C$2:$C$1960,0)),"",INDEX('Compliance Database'!$B$2:$B$1960,MATCH(114,'Transfer Engine'!$C$2:$C$1960,0)))</f>
        <v/>
      </c>
      <c r="C123" s="8">
        <f>IF(ISNA(MATCH(114,'Transfer Engine'!$C$2:$C$1960,0)),"",INDEX('Compliance Database'!$C$2:$C$1960,MATCH(114,'Transfer Engine'!$C$2:$C$1960,0)))</f>
        <v/>
      </c>
      <c r="D123" s="9">
        <f>IF(ISNA(MATCH(114,'Transfer Engine'!$C$2:$C$1960,0)),"",INDEX('Compliance Database'!$D$2:$D$1960,MATCH(114,'Transfer Engine'!$C$2:$C$1960,0)))</f>
        <v/>
      </c>
      <c r="E123" s="8">
        <f>IF(ISNA(MATCH(114,'Transfer Engine'!$C$2:$C$1960,0)),"",INDEX('Compliance Database'!$E$2:$E$1960,MATCH(114,'Transfer Engine'!$C$2:$C$1960,0)))</f>
        <v/>
      </c>
      <c r="F123" s="8">
        <f>IF(ISNA(MATCH(114,'Transfer Engine'!$C$2:$C$1960,0)),"",INDEX('Compliance Database'!$F$2:$F$1960,MATCH(114,'Transfer Engine'!$C$2:$C$1960,0)))</f>
        <v/>
      </c>
      <c r="G123" s="8">
        <f>IF(ISNA(MATCH(114,'Transfer Engine'!$C$2:$C$1960,0)),"",INDEX('Compliance Database'!$G$2:$G$1960,MATCH(114,'Transfer Engine'!$C$2:$C$1960,0)))</f>
        <v/>
      </c>
      <c r="H123" s="9">
        <f>IF(ISNA(MATCH(114,'Transfer Engine'!$C$2:$C$1960,0)),"",INDEX('Compliance Database'!$H$2:$H$1960,MATCH(114,'Transfer Engine'!$C$2:$C$1960,0)))</f>
        <v/>
      </c>
      <c r="I123" s="9">
        <f>IF(ISNA(MATCH(114,'Transfer Engine'!$C$2:$C$1960,0)),"",INDEX('Compliance Database'!$I$2:$I$1960,MATCH(114,'Transfer Engine'!$C$2:$C$1960,0)))</f>
        <v/>
      </c>
      <c r="J123" s="8">
        <f>IF(ISNA(MATCH(114,'Transfer Engine'!$C$2:$C$1960,0)),"",INDEX('Compliance Database'!$J$2:$J$1960,MATCH(114,'Transfer Engine'!$C$2:$C$1960,0)))</f>
        <v/>
      </c>
      <c r="K123" s="9">
        <f>IF(ISNA(MATCH(114,'Transfer Engine'!$C$2:$C$1960,0)),"",INDEX('Compliance Database'!$K$2:$K$1960,MATCH(114,'Transfer Engine'!$C$2:$C$1960,0)))</f>
        <v/>
      </c>
      <c r="L123" s="9">
        <f>IF(ISNA(MATCH(114,'Transfer Engine'!$C$2:$C$1960,0)),"",INDEX('Compliance Database'!$L$2:$L$1960,MATCH(114,'Transfer Engine'!$C$2:$C$1960,0)))</f>
        <v/>
      </c>
      <c r="M123" s="9">
        <f>IF(ISNA(MATCH(114,'Transfer Engine'!$C$2:$C$1960,0)),"",INDEX('Compliance Database'!$M$2:$M$1960,MATCH(114,'Transfer Engine'!$C$2:$C$1960,0)))</f>
        <v/>
      </c>
      <c r="N123" s="9">
        <f>IF(ISNA(MATCH(114,'Transfer Engine'!$C$2:$C$1960,0)),"",INDEX('Compliance Database'!$N$2:$N$1960,MATCH(114,'Transfer Engine'!$C$2:$C$1960,0)))</f>
        <v/>
      </c>
      <c r="O123" s="9">
        <f>IF(ISNA(MATCH(114,'Transfer Engine'!$C$2:$C$1960,0)),"",INDEX('Compliance Database'!$O$2:$O$1960,MATCH(114,'Transfer Engine'!$C$2:$C$1960,0)))</f>
        <v/>
      </c>
      <c r="P123" s="8">
        <f>IF(ISNA(MATCH(114,'Transfer Engine'!$C$2:$C$1960,0)),"",HYPERLINK("#Acts!A"&amp;INDEX('Compliance Database'!$P$2:$P$1960,MATCH(114,'Transfer Engine'!$C$2:$C$1960,0)),"Go to Act"))</f>
        <v/>
      </c>
    </row>
    <row r="124" ht="158" customHeight="1">
      <c r="A124" s="8">
        <f>IF(ISNA(MATCH(115,'Transfer Engine'!$C$2:$C$1960,0)),"",INDEX('Compliance Database'!$A$2:$A$1960,MATCH(115,'Transfer Engine'!$C$2:$C$1960,0)))</f>
        <v/>
      </c>
      <c r="B124" s="8">
        <f>IF(ISNA(MATCH(115,'Transfer Engine'!$C$2:$C$1960,0)),"",INDEX('Compliance Database'!$B$2:$B$1960,MATCH(115,'Transfer Engine'!$C$2:$C$1960,0)))</f>
        <v/>
      </c>
      <c r="C124" s="8">
        <f>IF(ISNA(MATCH(115,'Transfer Engine'!$C$2:$C$1960,0)),"",INDEX('Compliance Database'!$C$2:$C$1960,MATCH(115,'Transfer Engine'!$C$2:$C$1960,0)))</f>
        <v/>
      </c>
      <c r="D124" s="9">
        <f>IF(ISNA(MATCH(115,'Transfer Engine'!$C$2:$C$1960,0)),"",INDEX('Compliance Database'!$D$2:$D$1960,MATCH(115,'Transfer Engine'!$C$2:$C$1960,0)))</f>
        <v/>
      </c>
      <c r="E124" s="8">
        <f>IF(ISNA(MATCH(115,'Transfer Engine'!$C$2:$C$1960,0)),"",INDEX('Compliance Database'!$E$2:$E$1960,MATCH(115,'Transfer Engine'!$C$2:$C$1960,0)))</f>
        <v/>
      </c>
      <c r="F124" s="8">
        <f>IF(ISNA(MATCH(115,'Transfer Engine'!$C$2:$C$1960,0)),"",INDEX('Compliance Database'!$F$2:$F$1960,MATCH(115,'Transfer Engine'!$C$2:$C$1960,0)))</f>
        <v/>
      </c>
      <c r="G124" s="8">
        <f>IF(ISNA(MATCH(115,'Transfer Engine'!$C$2:$C$1960,0)),"",INDEX('Compliance Database'!$G$2:$G$1960,MATCH(115,'Transfer Engine'!$C$2:$C$1960,0)))</f>
        <v/>
      </c>
      <c r="H124" s="9">
        <f>IF(ISNA(MATCH(115,'Transfer Engine'!$C$2:$C$1960,0)),"",INDEX('Compliance Database'!$H$2:$H$1960,MATCH(115,'Transfer Engine'!$C$2:$C$1960,0)))</f>
        <v/>
      </c>
      <c r="I124" s="9">
        <f>IF(ISNA(MATCH(115,'Transfer Engine'!$C$2:$C$1960,0)),"",INDEX('Compliance Database'!$I$2:$I$1960,MATCH(115,'Transfer Engine'!$C$2:$C$1960,0)))</f>
        <v/>
      </c>
      <c r="J124" s="8">
        <f>IF(ISNA(MATCH(115,'Transfer Engine'!$C$2:$C$1960,0)),"",INDEX('Compliance Database'!$J$2:$J$1960,MATCH(115,'Transfer Engine'!$C$2:$C$1960,0)))</f>
        <v/>
      </c>
      <c r="K124" s="9">
        <f>IF(ISNA(MATCH(115,'Transfer Engine'!$C$2:$C$1960,0)),"",INDEX('Compliance Database'!$K$2:$K$1960,MATCH(115,'Transfer Engine'!$C$2:$C$1960,0)))</f>
        <v/>
      </c>
      <c r="L124" s="9">
        <f>IF(ISNA(MATCH(115,'Transfer Engine'!$C$2:$C$1960,0)),"",INDEX('Compliance Database'!$L$2:$L$1960,MATCH(115,'Transfer Engine'!$C$2:$C$1960,0)))</f>
        <v/>
      </c>
      <c r="M124" s="9">
        <f>IF(ISNA(MATCH(115,'Transfer Engine'!$C$2:$C$1960,0)),"",INDEX('Compliance Database'!$M$2:$M$1960,MATCH(115,'Transfer Engine'!$C$2:$C$1960,0)))</f>
        <v/>
      </c>
      <c r="N124" s="9">
        <f>IF(ISNA(MATCH(115,'Transfer Engine'!$C$2:$C$1960,0)),"",INDEX('Compliance Database'!$N$2:$N$1960,MATCH(115,'Transfer Engine'!$C$2:$C$1960,0)))</f>
        <v/>
      </c>
      <c r="O124" s="9">
        <f>IF(ISNA(MATCH(115,'Transfer Engine'!$C$2:$C$1960,0)),"",INDEX('Compliance Database'!$O$2:$O$1960,MATCH(115,'Transfer Engine'!$C$2:$C$1960,0)))</f>
        <v/>
      </c>
      <c r="P124" s="8">
        <f>IF(ISNA(MATCH(115,'Transfer Engine'!$C$2:$C$1960,0)),"",HYPERLINK("#Acts!A"&amp;INDEX('Compliance Database'!$P$2:$P$1960,MATCH(115,'Transfer Engine'!$C$2:$C$1960,0)),"Go to Act"))</f>
        <v/>
      </c>
    </row>
    <row r="125" ht="158" customHeight="1">
      <c r="A125" s="8">
        <f>IF(ISNA(MATCH(116,'Transfer Engine'!$C$2:$C$1960,0)),"",INDEX('Compliance Database'!$A$2:$A$1960,MATCH(116,'Transfer Engine'!$C$2:$C$1960,0)))</f>
        <v/>
      </c>
      <c r="B125" s="8">
        <f>IF(ISNA(MATCH(116,'Transfer Engine'!$C$2:$C$1960,0)),"",INDEX('Compliance Database'!$B$2:$B$1960,MATCH(116,'Transfer Engine'!$C$2:$C$1960,0)))</f>
        <v/>
      </c>
      <c r="C125" s="8">
        <f>IF(ISNA(MATCH(116,'Transfer Engine'!$C$2:$C$1960,0)),"",INDEX('Compliance Database'!$C$2:$C$1960,MATCH(116,'Transfer Engine'!$C$2:$C$1960,0)))</f>
        <v/>
      </c>
      <c r="D125" s="9">
        <f>IF(ISNA(MATCH(116,'Transfer Engine'!$C$2:$C$1960,0)),"",INDEX('Compliance Database'!$D$2:$D$1960,MATCH(116,'Transfer Engine'!$C$2:$C$1960,0)))</f>
        <v/>
      </c>
      <c r="E125" s="8">
        <f>IF(ISNA(MATCH(116,'Transfer Engine'!$C$2:$C$1960,0)),"",INDEX('Compliance Database'!$E$2:$E$1960,MATCH(116,'Transfer Engine'!$C$2:$C$1960,0)))</f>
        <v/>
      </c>
      <c r="F125" s="8">
        <f>IF(ISNA(MATCH(116,'Transfer Engine'!$C$2:$C$1960,0)),"",INDEX('Compliance Database'!$F$2:$F$1960,MATCH(116,'Transfer Engine'!$C$2:$C$1960,0)))</f>
        <v/>
      </c>
      <c r="G125" s="8">
        <f>IF(ISNA(MATCH(116,'Transfer Engine'!$C$2:$C$1960,0)),"",INDEX('Compliance Database'!$G$2:$G$1960,MATCH(116,'Transfer Engine'!$C$2:$C$1960,0)))</f>
        <v/>
      </c>
      <c r="H125" s="9">
        <f>IF(ISNA(MATCH(116,'Transfer Engine'!$C$2:$C$1960,0)),"",INDEX('Compliance Database'!$H$2:$H$1960,MATCH(116,'Transfer Engine'!$C$2:$C$1960,0)))</f>
        <v/>
      </c>
      <c r="I125" s="9">
        <f>IF(ISNA(MATCH(116,'Transfer Engine'!$C$2:$C$1960,0)),"",INDEX('Compliance Database'!$I$2:$I$1960,MATCH(116,'Transfer Engine'!$C$2:$C$1960,0)))</f>
        <v/>
      </c>
      <c r="J125" s="8">
        <f>IF(ISNA(MATCH(116,'Transfer Engine'!$C$2:$C$1960,0)),"",INDEX('Compliance Database'!$J$2:$J$1960,MATCH(116,'Transfer Engine'!$C$2:$C$1960,0)))</f>
        <v/>
      </c>
      <c r="K125" s="9">
        <f>IF(ISNA(MATCH(116,'Transfer Engine'!$C$2:$C$1960,0)),"",INDEX('Compliance Database'!$K$2:$K$1960,MATCH(116,'Transfer Engine'!$C$2:$C$1960,0)))</f>
        <v/>
      </c>
      <c r="L125" s="9">
        <f>IF(ISNA(MATCH(116,'Transfer Engine'!$C$2:$C$1960,0)),"",INDEX('Compliance Database'!$L$2:$L$1960,MATCH(116,'Transfer Engine'!$C$2:$C$1960,0)))</f>
        <v/>
      </c>
      <c r="M125" s="9">
        <f>IF(ISNA(MATCH(116,'Transfer Engine'!$C$2:$C$1960,0)),"",INDEX('Compliance Database'!$M$2:$M$1960,MATCH(116,'Transfer Engine'!$C$2:$C$1960,0)))</f>
        <v/>
      </c>
      <c r="N125" s="9">
        <f>IF(ISNA(MATCH(116,'Transfer Engine'!$C$2:$C$1960,0)),"",INDEX('Compliance Database'!$N$2:$N$1960,MATCH(116,'Transfer Engine'!$C$2:$C$1960,0)))</f>
        <v/>
      </c>
      <c r="O125" s="9">
        <f>IF(ISNA(MATCH(116,'Transfer Engine'!$C$2:$C$1960,0)),"",INDEX('Compliance Database'!$O$2:$O$1960,MATCH(116,'Transfer Engine'!$C$2:$C$1960,0)))</f>
        <v/>
      </c>
      <c r="P125" s="8">
        <f>IF(ISNA(MATCH(116,'Transfer Engine'!$C$2:$C$1960,0)),"",HYPERLINK("#Acts!A"&amp;INDEX('Compliance Database'!$P$2:$P$1960,MATCH(116,'Transfer Engine'!$C$2:$C$1960,0)),"Go to Act"))</f>
        <v/>
      </c>
    </row>
    <row r="126" ht="158" customHeight="1">
      <c r="A126" s="8">
        <f>IF(ISNA(MATCH(117,'Transfer Engine'!$C$2:$C$1960,0)),"",INDEX('Compliance Database'!$A$2:$A$1960,MATCH(117,'Transfer Engine'!$C$2:$C$1960,0)))</f>
        <v/>
      </c>
      <c r="B126" s="8">
        <f>IF(ISNA(MATCH(117,'Transfer Engine'!$C$2:$C$1960,0)),"",INDEX('Compliance Database'!$B$2:$B$1960,MATCH(117,'Transfer Engine'!$C$2:$C$1960,0)))</f>
        <v/>
      </c>
      <c r="C126" s="8">
        <f>IF(ISNA(MATCH(117,'Transfer Engine'!$C$2:$C$1960,0)),"",INDEX('Compliance Database'!$C$2:$C$1960,MATCH(117,'Transfer Engine'!$C$2:$C$1960,0)))</f>
        <v/>
      </c>
      <c r="D126" s="9">
        <f>IF(ISNA(MATCH(117,'Transfer Engine'!$C$2:$C$1960,0)),"",INDEX('Compliance Database'!$D$2:$D$1960,MATCH(117,'Transfer Engine'!$C$2:$C$1960,0)))</f>
        <v/>
      </c>
      <c r="E126" s="8">
        <f>IF(ISNA(MATCH(117,'Transfer Engine'!$C$2:$C$1960,0)),"",INDEX('Compliance Database'!$E$2:$E$1960,MATCH(117,'Transfer Engine'!$C$2:$C$1960,0)))</f>
        <v/>
      </c>
      <c r="F126" s="8">
        <f>IF(ISNA(MATCH(117,'Transfer Engine'!$C$2:$C$1960,0)),"",INDEX('Compliance Database'!$F$2:$F$1960,MATCH(117,'Transfer Engine'!$C$2:$C$1960,0)))</f>
        <v/>
      </c>
      <c r="G126" s="8">
        <f>IF(ISNA(MATCH(117,'Transfer Engine'!$C$2:$C$1960,0)),"",INDEX('Compliance Database'!$G$2:$G$1960,MATCH(117,'Transfer Engine'!$C$2:$C$1960,0)))</f>
        <v/>
      </c>
      <c r="H126" s="9">
        <f>IF(ISNA(MATCH(117,'Transfer Engine'!$C$2:$C$1960,0)),"",INDEX('Compliance Database'!$H$2:$H$1960,MATCH(117,'Transfer Engine'!$C$2:$C$1960,0)))</f>
        <v/>
      </c>
      <c r="I126" s="9">
        <f>IF(ISNA(MATCH(117,'Transfer Engine'!$C$2:$C$1960,0)),"",INDEX('Compliance Database'!$I$2:$I$1960,MATCH(117,'Transfer Engine'!$C$2:$C$1960,0)))</f>
        <v/>
      </c>
      <c r="J126" s="8">
        <f>IF(ISNA(MATCH(117,'Transfer Engine'!$C$2:$C$1960,0)),"",INDEX('Compliance Database'!$J$2:$J$1960,MATCH(117,'Transfer Engine'!$C$2:$C$1960,0)))</f>
        <v/>
      </c>
      <c r="K126" s="9">
        <f>IF(ISNA(MATCH(117,'Transfer Engine'!$C$2:$C$1960,0)),"",INDEX('Compliance Database'!$K$2:$K$1960,MATCH(117,'Transfer Engine'!$C$2:$C$1960,0)))</f>
        <v/>
      </c>
      <c r="L126" s="9">
        <f>IF(ISNA(MATCH(117,'Transfer Engine'!$C$2:$C$1960,0)),"",INDEX('Compliance Database'!$L$2:$L$1960,MATCH(117,'Transfer Engine'!$C$2:$C$1960,0)))</f>
        <v/>
      </c>
      <c r="M126" s="9">
        <f>IF(ISNA(MATCH(117,'Transfer Engine'!$C$2:$C$1960,0)),"",INDEX('Compliance Database'!$M$2:$M$1960,MATCH(117,'Transfer Engine'!$C$2:$C$1960,0)))</f>
        <v/>
      </c>
      <c r="N126" s="9">
        <f>IF(ISNA(MATCH(117,'Transfer Engine'!$C$2:$C$1960,0)),"",INDEX('Compliance Database'!$N$2:$N$1960,MATCH(117,'Transfer Engine'!$C$2:$C$1960,0)))</f>
        <v/>
      </c>
      <c r="O126" s="9">
        <f>IF(ISNA(MATCH(117,'Transfer Engine'!$C$2:$C$1960,0)),"",INDEX('Compliance Database'!$O$2:$O$1960,MATCH(117,'Transfer Engine'!$C$2:$C$1960,0)))</f>
        <v/>
      </c>
      <c r="P126" s="8">
        <f>IF(ISNA(MATCH(117,'Transfer Engine'!$C$2:$C$1960,0)),"",HYPERLINK("#Acts!A"&amp;INDEX('Compliance Database'!$P$2:$P$1960,MATCH(117,'Transfer Engine'!$C$2:$C$1960,0)),"Go to Act"))</f>
        <v/>
      </c>
    </row>
    <row r="127" ht="158" customHeight="1">
      <c r="A127" s="8">
        <f>IF(ISNA(MATCH(118,'Transfer Engine'!$C$2:$C$1960,0)),"",INDEX('Compliance Database'!$A$2:$A$1960,MATCH(118,'Transfer Engine'!$C$2:$C$1960,0)))</f>
        <v/>
      </c>
      <c r="B127" s="8">
        <f>IF(ISNA(MATCH(118,'Transfer Engine'!$C$2:$C$1960,0)),"",INDEX('Compliance Database'!$B$2:$B$1960,MATCH(118,'Transfer Engine'!$C$2:$C$1960,0)))</f>
        <v/>
      </c>
      <c r="C127" s="8">
        <f>IF(ISNA(MATCH(118,'Transfer Engine'!$C$2:$C$1960,0)),"",INDEX('Compliance Database'!$C$2:$C$1960,MATCH(118,'Transfer Engine'!$C$2:$C$1960,0)))</f>
        <v/>
      </c>
      <c r="D127" s="9">
        <f>IF(ISNA(MATCH(118,'Transfer Engine'!$C$2:$C$1960,0)),"",INDEX('Compliance Database'!$D$2:$D$1960,MATCH(118,'Transfer Engine'!$C$2:$C$1960,0)))</f>
        <v/>
      </c>
      <c r="E127" s="8">
        <f>IF(ISNA(MATCH(118,'Transfer Engine'!$C$2:$C$1960,0)),"",INDEX('Compliance Database'!$E$2:$E$1960,MATCH(118,'Transfer Engine'!$C$2:$C$1960,0)))</f>
        <v/>
      </c>
      <c r="F127" s="8">
        <f>IF(ISNA(MATCH(118,'Transfer Engine'!$C$2:$C$1960,0)),"",INDEX('Compliance Database'!$F$2:$F$1960,MATCH(118,'Transfer Engine'!$C$2:$C$1960,0)))</f>
        <v/>
      </c>
      <c r="G127" s="8">
        <f>IF(ISNA(MATCH(118,'Transfer Engine'!$C$2:$C$1960,0)),"",INDEX('Compliance Database'!$G$2:$G$1960,MATCH(118,'Transfer Engine'!$C$2:$C$1960,0)))</f>
        <v/>
      </c>
      <c r="H127" s="9">
        <f>IF(ISNA(MATCH(118,'Transfer Engine'!$C$2:$C$1960,0)),"",INDEX('Compliance Database'!$H$2:$H$1960,MATCH(118,'Transfer Engine'!$C$2:$C$1960,0)))</f>
        <v/>
      </c>
      <c r="I127" s="9">
        <f>IF(ISNA(MATCH(118,'Transfer Engine'!$C$2:$C$1960,0)),"",INDEX('Compliance Database'!$I$2:$I$1960,MATCH(118,'Transfer Engine'!$C$2:$C$1960,0)))</f>
        <v/>
      </c>
      <c r="J127" s="8">
        <f>IF(ISNA(MATCH(118,'Transfer Engine'!$C$2:$C$1960,0)),"",INDEX('Compliance Database'!$J$2:$J$1960,MATCH(118,'Transfer Engine'!$C$2:$C$1960,0)))</f>
        <v/>
      </c>
      <c r="K127" s="9">
        <f>IF(ISNA(MATCH(118,'Transfer Engine'!$C$2:$C$1960,0)),"",INDEX('Compliance Database'!$K$2:$K$1960,MATCH(118,'Transfer Engine'!$C$2:$C$1960,0)))</f>
        <v/>
      </c>
      <c r="L127" s="9">
        <f>IF(ISNA(MATCH(118,'Transfer Engine'!$C$2:$C$1960,0)),"",INDEX('Compliance Database'!$L$2:$L$1960,MATCH(118,'Transfer Engine'!$C$2:$C$1960,0)))</f>
        <v/>
      </c>
      <c r="M127" s="9">
        <f>IF(ISNA(MATCH(118,'Transfer Engine'!$C$2:$C$1960,0)),"",INDEX('Compliance Database'!$M$2:$M$1960,MATCH(118,'Transfer Engine'!$C$2:$C$1960,0)))</f>
        <v/>
      </c>
      <c r="N127" s="9">
        <f>IF(ISNA(MATCH(118,'Transfer Engine'!$C$2:$C$1960,0)),"",INDEX('Compliance Database'!$N$2:$N$1960,MATCH(118,'Transfer Engine'!$C$2:$C$1960,0)))</f>
        <v/>
      </c>
      <c r="O127" s="9">
        <f>IF(ISNA(MATCH(118,'Transfer Engine'!$C$2:$C$1960,0)),"",INDEX('Compliance Database'!$O$2:$O$1960,MATCH(118,'Transfer Engine'!$C$2:$C$1960,0)))</f>
        <v/>
      </c>
      <c r="P127" s="8">
        <f>IF(ISNA(MATCH(118,'Transfer Engine'!$C$2:$C$1960,0)),"",HYPERLINK("#Acts!A"&amp;INDEX('Compliance Database'!$P$2:$P$1960,MATCH(118,'Transfer Engine'!$C$2:$C$1960,0)),"Go to Act"))</f>
        <v/>
      </c>
    </row>
    <row r="128" ht="158" customHeight="1">
      <c r="A128" s="8">
        <f>IF(ISNA(MATCH(119,'Transfer Engine'!$C$2:$C$1960,0)),"",INDEX('Compliance Database'!$A$2:$A$1960,MATCH(119,'Transfer Engine'!$C$2:$C$1960,0)))</f>
        <v/>
      </c>
      <c r="B128" s="8">
        <f>IF(ISNA(MATCH(119,'Transfer Engine'!$C$2:$C$1960,0)),"",INDEX('Compliance Database'!$B$2:$B$1960,MATCH(119,'Transfer Engine'!$C$2:$C$1960,0)))</f>
        <v/>
      </c>
      <c r="C128" s="8">
        <f>IF(ISNA(MATCH(119,'Transfer Engine'!$C$2:$C$1960,0)),"",INDEX('Compliance Database'!$C$2:$C$1960,MATCH(119,'Transfer Engine'!$C$2:$C$1960,0)))</f>
        <v/>
      </c>
      <c r="D128" s="9">
        <f>IF(ISNA(MATCH(119,'Transfer Engine'!$C$2:$C$1960,0)),"",INDEX('Compliance Database'!$D$2:$D$1960,MATCH(119,'Transfer Engine'!$C$2:$C$1960,0)))</f>
        <v/>
      </c>
      <c r="E128" s="8">
        <f>IF(ISNA(MATCH(119,'Transfer Engine'!$C$2:$C$1960,0)),"",INDEX('Compliance Database'!$E$2:$E$1960,MATCH(119,'Transfer Engine'!$C$2:$C$1960,0)))</f>
        <v/>
      </c>
      <c r="F128" s="8">
        <f>IF(ISNA(MATCH(119,'Transfer Engine'!$C$2:$C$1960,0)),"",INDEX('Compliance Database'!$F$2:$F$1960,MATCH(119,'Transfer Engine'!$C$2:$C$1960,0)))</f>
        <v/>
      </c>
      <c r="G128" s="8">
        <f>IF(ISNA(MATCH(119,'Transfer Engine'!$C$2:$C$1960,0)),"",INDEX('Compliance Database'!$G$2:$G$1960,MATCH(119,'Transfer Engine'!$C$2:$C$1960,0)))</f>
        <v/>
      </c>
      <c r="H128" s="9">
        <f>IF(ISNA(MATCH(119,'Transfer Engine'!$C$2:$C$1960,0)),"",INDEX('Compliance Database'!$H$2:$H$1960,MATCH(119,'Transfer Engine'!$C$2:$C$1960,0)))</f>
        <v/>
      </c>
      <c r="I128" s="9">
        <f>IF(ISNA(MATCH(119,'Transfer Engine'!$C$2:$C$1960,0)),"",INDEX('Compliance Database'!$I$2:$I$1960,MATCH(119,'Transfer Engine'!$C$2:$C$1960,0)))</f>
        <v/>
      </c>
      <c r="J128" s="8">
        <f>IF(ISNA(MATCH(119,'Transfer Engine'!$C$2:$C$1960,0)),"",INDEX('Compliance Database'!$J$2:$J$1960,MATCH(119,'Transfer Engine'!$C$2:$C$1960,0)))</f>
        <v/>
      </c>
      <c r="K128" s="9">
        <f>IF(ISNA(MATCH(119,'Transfer Engine'!$C$2:$C$1960,0)),"",INDEX('Compliance Database'!$K$2:$K$1960,MATCH(119,'Transfer Engine'!$C$2:$C$1960,0)))</f>
        <v/>
      </c>
      <c r="L128" s="9">
        <f>IF(ISNA(MATCH(119,'Transfer Engine'!$C$2:$C$1960,0)),"",INDEX('Compliance Database'!$L$2:$L$1960,MATCH(119,'Transfer Engine'!$C$2:$C$1960,0)))</f>
        <v/>
      </c>
      <c r="M128" s="9">
        <f>IF(ISNA(MATCH(119,'Transfer Engine'!$C$2:$C$1960,0)),"",INDEX('Compliance Database'!$M$2:$M$1960,MATCH(119,'Transfer Engine'!$C$2:$C$1960,0)))</f>
        <v/>
      </c>
      <c r="N128" s="9">
        <f>IF(ISNA(MATCH(119,'Transfer Engine'!$C$2:$C$1960,0)),"",INDEX('Compliance Database'!$N$2:$N$1960,MATCH(119,'Transfer Engine'!$C$2:$C$1960,0)))</f>
        <v/>
      </c>
      <c r="O128" s="9">
        <f>IF(ISNA(MATCH(119,'Transfer Engine'!$C$2:$C$1960,0)),"",INDEX('Compliance Database'!$O$2:$O$1960,MATCH(119,'Transfer Engine'!$C$2:$C$1960,0)))</f>
        <v/>
      </c>
      <c r="P128" s="8">
        <f>IF(ISNA(MATCH(119,'Transfer Engine'!$C$2:$C$1960,0)),"",HYPERLINK("#Acts!A"&amp;INDEX('Compliance Database'!$P$2:$P$1960,MATCH(119,'Transfer Engine'!$C$2:$C$1960,0)),"Go to Act"))</f>
        <v/>
      </c>
    </row>
    <row r="129" ht="158" customHeight="1">
      <c r="A129" s="8">
        <f>IF(ISNA(MATCH(120,'Transfer Engine'!$C$2:$C$1960,0)),"",INDEX('Compliance Database'!$A$2:$A$1960,MATCH(120,'Transfer Engine'!$C$2:$C$1960,0)))</f>
        <v/>
      </c>
      <c r="B129" s="8">
        <f>IF(ISNA(MATCH(120,'Transfer Engine'!$C$2:$C$1960,0)),"",INDEX('Compliance Database'!$B$2:$B$1960,MATCH(120,'Transfer Engine'!$C$2:$C$1960,0)))</f>
        <v/>
      </c>
      <c r="C129" s="8">
        <f>IF(ISNA(MATCH(120,'Transfer Engine'!$C$2:$C$1960,0)),"",INDEX('Compliance Database'!$C$2:$C$1960,MATCH(120,'Transfer Engine'!$C$2:$C$1960,0)))</f>
        <v/>
      </c>
      <c r="D129" s="9">
        <f>IF(ISNA(MATCH(120,'Transfer Engine'!$C$2:$C$1960,0)),"",INDEX('Compliance Database'!$D$2:$D$1960,MATCH(120,'Transfer Engine'!$C$2:$C$1960,0)))</f>
        <v/>
      </c>
      <c r="E129" s="8">
        <f>IF(ISNA(MATCH(120,'Transfer Engine'!$C$2:$C$1960,0)),"",INDEX('Compliance Database'!$E$2:$E$1960,MATCH(120,'Transfer Engine'!$C$2:$C$1960,0)))</f>
        <v/>
      </c>
      <c r="F129" s="8">
        <f>IF(ISNA(MATCH(120,'Transfer Engine'!$C$2:$C$1960,0)),"",INDEX('Compliance Database'!$F$2:$F$1960,MATCH(120,'Transfer Engine'!$C$2:$C$1960,0)))</f>
        <v/>
      </c>
      <c r="G129" s="8">
        <f>IF(ISNA(MATCH(120,'Transfer Engine'!$C$2:$C$1960,0)),"",INDEX('Compliance Database'!$G$2:$G$1960,MATCH(120,'Transfer Engine'!$C$2:$C$1960,0)))</f>
        <v/>
      </c>
      <c r="H129" s="9">
        <f>IF(ISNA(MATCH(120,'Transfer Engine'!$C$2:$C$1960,0)),"",INDEX('Compliance Database'!$H$2:$H$1960,MATCH(120,'Transfer Engine'!$C$2:$C$1960,0)))</f>
        <v/>
      </c>
      <c r="I129" s="9">
        <f>IF(ISNA(MATCH(120,'Transfer Engine'!$C$2:$C$1960,0)),"",INDEX('Compliance Database'!$I$2:$I$1960,MATCH(120,'Transfer Engine'!$C$2:$C$1960,0)))</f>
        <v/>
      </c>
      <c r="J129" s="8">
        <f>IF(ISNA(MATCH(120,'Transfer Engine'!$C$2:$C$1960,0)),"",INDEX('Compliance Database'!$J$2:$J$1960,MATCH(120,'Transfer Engine'!$C$2:$C$1960,0)))</f>
        <v/>
      </c>
      <c r="K129" s="9">
        <f>IF(ISNA(MATCH(120,'Transfer Engine'!$C$2:$C$1960,0)),"",INDEX('Compliance Database'!$K$2:$K$1960,MATCH(120,'Transfer Engine'!$C$2:$C$1960,0)))</f>
        <v/>
      </c>
      <c r="L129" s="9">
        <f>IF(ISNA(MATCH(120,'Transfer Engine'!$C$2:$C$1960,0)),"",INDEX('Compliance Database'!$L$2:$L$1960,MATCH(120,'Transfer Engine'!$C$2:$C$1960,0)))</f>
        <v/>
      </c>
      <c r="M129" s="9">
        <f>IF(ISNA(MATCH(120,'Transfer Engine'!$C$2:$C$1960,0)),"",INDEX('Compliance Database'!$M$2:$M$1960,MATCH(120,'Transfer Engine'!$C$2:$C$1960,0)))</f>
        <v/>
      </c>
      <c r="N129" s="9">
        <f>IF(ISNA(MATCH(120,'Transfer Engine'!$C$2:$C$1960,0)),"",INDEX('Compliance Database'!$N$2:$N$1960,MATCH(120,'Transfer Engine'!$C$2:$C$1960,0)))</f>
        <v/>
      </c>
      <c r="O129" s="9">
        <f>IF(ISNA(MATCH(120,'Transfer Engine'!$C$2:$C$1960,0)),"",INDEX('Compliance Database'!$O$2:$O$1960,MATCH(120,'Transfer Engine'!$C$2:$C$1960,0)))</f>
        <v/>
      </c>
      <c r="P129" s="8">
        <f>IF(ISNA(MATCH(120,'Transfer Engine'!$C$2:$C$1960,0)),"",HYPERLINK("#Acts!A"&amp;INDEX('Compliance Database'!$P$2:$P$1960,MATCH(120,'Transfer Engine'!$C$2:$C$1960,0)),"Go to Act"))</f>
        <v/>
      </c>
    </row>
    <row r="130" ht="158" customHeight="1">
      <c r="A130" s="8">
        <f>IF(ISNA(MATCH(121,'Transfer Engine'!$C$2:$C$1960,0)),"",INDEX('Compliance Database'!$A$2:$A$1960,MATCH(121,'Transfer Engine'!$C$2:$C$1960,0)))</f>
        <v/>
      </c>
      <c r="B130" s="8">
        <f>IF(ISNA(MATCH(121,'Transfer Engine'!$C$2:$C$1960,0)),"",INDEX('Compliance Database'!$B$2:$B$1960,MATCH(121,'Transfer Engine'!$C$2:$C$1960,0)))</f>
        <v/>
      </c>
      <c r="C130" s="8">
        <f>IF(ISNA(MATCH(121,'Transfer Engine'!$C$2:$C$1960,0)),"",INDEX('Compliance Database'!$C$2:$C$1960,MATCH(121,'Transfer Engine'!$C$2:$C$1960,0)))</f>
        <v/>
      </c>
      <c r="D130" s="9">
        <f>IF(ISNA(MATCH(121,'Transfer Engine'!$C$2:$C$1960,0)),"",INDEX('Compliance Database'!$D$2:$D$1960,MATCH(121,'Transfer Engine'!$C$2:$C$1960,0)))</f>
        <v/>
      </c>
      <c r="E130" s="8">
        <f>IF(ISNA(MATCH(121,'Transfer Engine'!$C$2:$C$1960,0)),"",INDEX('Compliance Database'!$E$2:$E$1960,MATCH(121,'Transfer Engine'!$C$2:$C$1960,0)))</f>
        <v/>
      </c>
      <c r="F130" s="8">
        <f>IF(ISNA(MATCH(121,'Transfer Engine'!$C$2:$C$1960,0)),"",INDEX('Compliance Database'!$F$2:$F$1960,MATCH(121,'Transfer Engine'!$C$2:$C$1960,0)))</f>
        <v/>
      </c>
      <c r="G130" s="8">
        <f>IF(ISNA(MATCH(121,'Transfer Engine'!$C$2:$C$1960,0)),"",INDEX('Compliance Database'!$G$2:$G$1960,MATCH(121,'Transfer Engine'!$C$2:$C$1960,0)))</f>
        <v/>
      </c>
      <c r="H130" s="9">
        <f>IF(ISNA(MATCH(121,'Transfer Engine'!$C$2:$C$1960,0)),"",INDEX('Compliance Database'!$H$2:$H$1960,MATCH(121,'Transfer Engine'!$C$2:$C$1960,0)))</f>
        <v/>
      </c>
      <c r="I130" s="9">
        <f>IF(ISNA(MATCH(121,'Transfer Engine'!$C$2:$C$1960,0)),"",INDEX('Compliance Database'!$I$2:$I$1960,MATCH(121,'Transfer Engine'!$C$2:$C$1960,0)))</f>
        <v/>
      </c>
      <c r="J130" s="8">
        <f>IF(ISNA(MATCH(121,'Transfer Engine'!$C$2:$C$1960,0)),"",INDEX('Compliance Database'!$J$2:$J$1960,MATCH(121,'Transfer Engine'!$C$2:$C$1960,0)))</f>
        <v/>
      </c>
      <c r="K130" s="9">
        <f>IF(ISNA(MATCH(121,'Transfer Engine'!$C$2:$C$1960,0)),"",INDEX('Compliance Database'!$K$2:$K$1960,MATCH(121,'Transfer Engine'!$C$2:$C$1960,0)))</f>
        <v/>
      </c>
      <c r="L130" s="9">
        <f>IF(ISNA(MATCH(121,'Transfer Engine'!$C$2:$C$1960,0)),"",INDEX('Compliance Database'!$L$2:$L$1960,MATCH(121,'Transfer Engine'!$C$2:$C$1960,0)))</f>
        <v/>
      </c>
      <c r="M130" s="9">
        <f>IF(ISNA(MATCH(121,'Transfer Engine'!$C$2:$C$1960,0)),"",INDEX('Compliance Database'!$M$2:$M$1960,MATCH(121,'Transfer Engine'!$C$2:$C$1960,0)))</f>
        <v/>
      </c>
      <c r="N130" s="9">
        <f>IF(ISNA(MATCH(121,'Transfer Engine'!$C$2:$C$1960,0)),"",INDEX('Compliance Database'!$N$2:$N$1960,MATCH(121,'Transfer Engine'!$C$2:$C$1960,0)))</f>
        <v/>
      </c>
      <c r="O130" s="9">
        <f>IF(ISNA(MATCH(121,'Transfer Engine'!$C$2:$C$1960,0)),"",INDEX('Compliance Database'!$O$2:$O$1960,MATCH(121,'Transfer Engine'!$C$2:$C$1960,0)))</f>
        <v/>
      </c>
      <c r="P130" s="8">
        <f>IF(ISNA(MATCH(121,'Transfer Engine'!$C$2:$C$1960,0)),"",HYPERLINK("#Acts!A"&amp;INDEX('Compliance Database'!$P$2:$P$1960,MATCH(121,'Transfer Engine'!$C$2:$C$1960,0)),"Go to Act"))</f>
        <v/>
      </c>
    </row>
    <row r="131" ht="158" customHeight="1">
      <c r="A131" s="8">
        <f>IF(ISNA(MATCH(122,'Transfer Engine'!$C$2:$C$1960,0)),"",INDEX('Compliance Database'!$A$2:$A$1960,MATCH(122,'Transfer Engine'!$C$2:$C$1960,0)))</f>
        <v/>
      </c>
      <c r="B131" s="8">
        <f>IF(ISNA(MATCH(122,'Transfer Engine'!$C$2:$C$1960,0)),"",INDEX('Compliance Database'!$B$2:$B$1960,MATCH(122,'Transfer Engine'!$C$2:$C$1960,0)))</f>
        <v/>
      </c>
      <c r="C131" s="8">
        <f>IF(ISNA(MATCH(122,'Transfer Engine'!$C$2:$C$1960,0)),"",INDEX('Compliance Database'!$C$2:$C$1960,MATCH(122,'Transfer Engine'!$C$2:$C$1960,0)))</f>
        <v/>
      </c>
      <c r="D131" s="9">
        <f>IF(ISNA(MATCH(122,'Transfer Engine'!$C$2:$C$1960,0)),"",INDEX('Compliance Database'!$D$2:$D$1960,MATCH(122,'Transfer Engine'!$C$2:$C$1960,0)))</f>
        <v/>
      </c>
      <c r="E131" s="8">
        <f>IF(ISNA(MATCH(122,'Transfer Engine'!$C$2:$C$1960,0)),"",INDEX('Compliance Database'!$E$2:$E$1960,MATCH(122,'Transfer Engine'!$C$2:$C$1960,0)))</f>
        <v/>
      </c>
      <c r="F131" s="8">
        <f>IF(ISNA(MATCH(122,'Transfer Engine'!$C$2:$C$1960,0)),"",INDEX('Compliance Database'!$F$2:$F$1960,MATCH(122,'Transfer Engine'!$C$2:$C$1960,0)))</f>
        <v/>
      </c>
      <c r="G131" s="8">
        <f>IF(ISNA(MATCH(122,'Transfer Engine'!$C$2:$C$1960,0)),"",INDEX('Compliance Database'!$G$2:$G$1960,MATCH(122,'Transfer Engine'!$C$2:$C$1960,0)))</f>
        <v/>
      </c>
      <c r="H131" s="9">
        <f>IF(ISNA(MATCH(122,'Transfer Engine'!$C$2:$C$1960,0)),"",INDEX('Compliance Database'!$H$2:$H$1960,MATCH(122,'Transfer Engine'!$C$2:$C$1960,0)))</f>
        <v/>
      </c>
      <c r="I131" s="9">
        <f>IF(ISNA(MATCH(122,'Transfer Engine'!$C$2:$C$1960,0)),"",INDEX('Compliance Database'!$I$2:$I$1960,MATCH(122,'Transfer Engine'!$C$2:$C$1960,0)))</f>
        <v/>
      </c>
      <c r="J131" s="8">
        <f>IF(ISNA(MATCH(122,'Transfer Engine'!$C$2:$C$1960,0)),"",INDEX('Compliance Database'!$J$2:$J$1960,MATCH(122,'Transfer Engine'!$C$2:$C$1960,0)))</f>
        <v/>
      </c>
      <c r="K131" s="9">
        <f>IF(ISNA(MATCH(122,'Transfer Engine'!$C$2:$C$1960,0)),"",INDEX('Compliance Database'!$K$2:$K$1960,MATCH(122,'Transfer Engine'!$C$2:$C$1960,0)))</f>
        <v/>
      </c>
      <c r="L131" s="9">
        <f>IF(ISNA(MATCH(122,'Transfer Engine'!$C$2:$C$1960,0)),"",INDEX('Compliance Database'!$L$2:$L$1960,MATCH(122,'Transfer Engine'!$C$2:$C$1960,0)))</f>
        <v/>
      </c>
      <c r="M131" s="9">
        <f>IF(ISNA(MATCH(122,'Transfer Engine'!$C$2:$C$1960,0)),"",INDEX('Compliance Database'!$M$2:$M$1960,MATCH(122,'Transfer Engine'!$C$2:$C$1960,0)))</f>
        <v/>
      </c>
      <c r="N131" s="9">
        <f>IF(ISNA(MATCH(122,'Transfer Engine'!$C$2:$C$1960,0)),"",INDEX('Compliance Database'!$N$2:$N$1960,MATCH(122,'Transfer Engine'!$C$2:$C$1960,0)))</f>
        <v/>
      </c>
      <c r="O131" s="9">
        <f>IF(ISNA(MATCH(122,'Transfer Engine'!$C$2:$C$1960,0)),"",INDEX('Compliance Database'!$O$2:$O$1960,MATCH(122,'Transfer Engine'!$C$2:$C$1960,0)))</f>
        <v/>
      </c>
      <c r="P131" s="8">
        <f>IF(ISNA(MATCH(122,'Transfer Engine'!$C$2:$C$1960,0)),"",HYPERLINK("#Acts!A"&amp;INDEX('Compliance Database'!$P$2:$P$1960,MATCH(122,'Transfer Engine'!$C$2:$C$1960,0)),"Go to Act"))</f>
        <v/>
      </c>
    </row>
    <row r="132" ht="158" customHeight="1">
      <c r="A132" s="8">
        <f>IF(ISNA(MATCH(123,'Transfer Engine'!$C$2:$C$1960,0)),"",INDEX('Compliance Database'!$A$2:$A$1960,MATCH(123,'Transfer Engine'!$C$2:$C$1960,0)))</f>
        <v/>
      </c>
      <c r="B132" s="8">
        <f>IF(ISNA(MATCH(123,'Transfer Engine'!$C$2:$C$1960,0)),"",INDEX('Compliance Database'!$B$2:$B$1960,MATCH(123,'Transfer Engine'!$C$2:$C$1960,0)))</f>
        <v/>
      </c>
      <c r="C132" s="8">
        <f>IF(ISNA(MATCH(123,'Transfer Engine'!$C$2:$C$1960,0)),"",INDEX('Compliance Database'!$C$2:$C$1960,MATCH(123,'Transfer Engine'!$C$2:$C$1960,0)))</f>
        <v/>
      </c>
      <c r="D132" s="9">
        <f>IF(ISNA(MATCH(123,'Transfer Engine'!$C$2:$C$1960,0)),"",INDEX('Compliance Database'!$D$2:$D$1960,MATCH(123,'Transfer Engine'!$C$2:$C$1960,0)))</f>
        <v/>
      </c>
      <c r="E132" s="8">
        <f>IF(ISNA(MATCH(123,'Transfer Engine'!$C$2:$C$1960,0)),"",INDEX('Compliance Database'!$E$2:$E$1960,MATCH(123,'Transfer Engine'!$C$2:$C$1960,0)))</f>
        <v/>
      </c>
      <c r="F132" s="8">
        <f>IF(ISNA(MATCH(123,'Transfer Engine'!$C$2:$C$1960,0)),"",INDEX('Compliance Database'!$F$2:$F$1960,MATCH(123,'Transfer Engine'!$C$2:$C$1960,0)))</f>
        <v/>
      </c>
      <c r="G132" s="8">
        <f>IF(ISNA(MATCH(123,'Transfer Engine'!$C$2:$C$1960,0)),"",INDEX('Compliance Database'!$G$2:$G$1960,MATCH(123,'Transfer Engine'!$C$2:$C$1960,0)))</f>
        <v/>
      </c>
      <c r="H132" s="9">
        <f>IF(ISNA(MATCH(123,'Transfer Engine'!$C$2:$C$1960,0)),"",INDEX('Compliance Database'!$H$2:$H$1960,MATCH(123,'Transfer Engine'!$C$2:$C$1960,0)))</f>
        <v/>
      </c>
      <c r="I132" s="9">
        <f>IF(ISNA(MATCH(123,'Transfer Engine'!$C$2:$C$1960,0)),"",INDEX('Compliance Database'!$I$2:$I$1960,MATCH(123,'Transfer Engine'!$C$2:$C$1960,0)))</f>
        <v/>
      </c>
      <c r="J132" s="8">
        <f>IF(ISNA(MATCH(123,'Transfer Engine'!$C$2:$C$1960,0)),"",INDEX('Compliance Database'!$J$2:$J$1960,MATCH(123,'Transfer Engine'!$C$2:$C$1960,0)))</f>
        <v/>
      </c>
      <c r="K132" s="9">
        <f>IF(ISNA(MATCH(123,'Transfer Engine'!$C$2:$C$1960,0)),"",INDEX('Compliance Database'!$K$2:$K$1960,MATCH(123,'Transfer Engine'!$C$2:$C$1960,0)))</f>
        <v/>
      </c>
      <c r="L132" s="9">
        <f>IF(ISNA(MATCH(123,'Transfer Engine'!$C$2:$C$1960,0)),"",INDEX('Compliance Database'!$L$2:$L$1960,MATCH(123,'Transfer Engine'!$C$2:$C$1960,0)))</f>
        <v/>
      </c>
      <c r="M132" s="9">
        <f>IF(ISNA(MATCH(123,'Transfer Engine'!$C$2:$C$1960,0)),"",INDEX('Compliance Database'!$M$2:$M$1960,MATCH(123,'Transfer Engine'!$C$2:$C$1960,0)))</f>
        <v/>
      </c>
      <c r="N132" s="9">
        <f>IF(ISNA(MATCH(123,'Transfer Engine'!$C$2:$C$1960,0)),"",INDEX('Compliance Database'!$N$2:$N$1960,MATCH(123,'Transfer Engine'!$C$2:$C$1960,0)))</f>
        <v/>
      </c>
      <c r="O132" s="9">
        <f>IF(ISNA(MATCH(123,'Transfer Engine'!$C$2:$C$1960,0)),"",INDEX('Compliance Database'!$O$2:$O$1960,MATCH(123,'Transfer Engine'!$C$2:$C$1960,0)))</f>
        <v/>
      </c>
      <c r="P132" s="8">
        <f>IF(ISNA(MATCH(123,'Transfer Engine'!$C$2:$C$1960,0)),"",HYPERLINK("#Acts!A"&amp;INDEX('Compliance Database'!$P$2:$P$1960,MATCH(123,'Transfer Engine'!$C$2:$C$1960,0)),"Go to Act"))</f>
        <v/>
      </c>
    </row>
    <row r="133" ht="158" customHeight="1">
      <c r="A133" s="8">
        <f>IF(ISNA(MATCH(124,'Transfer Engine'!$C$2:$C$1960,0)),"",INDEX('Compliance Database'!$A$2:$A$1960,MATCH(124,'Transfer Engine'!$C$2:$C$1960,0)))</f>
        <v/>
      </c>
      <c r="B133" s="8">
        <f>IF(ISNA(MATCH(124,'Transfer Engine'!$C$2:$C$1960,0)),"",INDEX('Compliance Database'!$B$2:$B$1960,MATCH(124,'Transfer Engine'!$C$2:$C$1960,0)))</f>
        <v/>
      </c>
      <c r="C133" s="8">
        <f>IF(ISNA(MATCH(124,'Transfer Engine'!$C$2:$C$1960,0)),"",INDEX('Compliance Database'!$C$2:$C$1960,MATCH(124,'Transfer Engine'!$C$2:$C$1960,0)))</f>
        <v/>
      </c>
      <c r="D133" s="9">
        <f>IF(ISNA(MATCH(124,'Transfer Engine'!$C$2:$C$1960,0)),"",INDEX('Compliance Database'!$D$2:$D$1960,MATCH(124,'Transfer Engine'!$C$2:$C$1960,0)))</f>
        <v/>
      </c>
      <c r="E133" s="8">
        <f>IF(ISNA(MATCH(124,'Transfer Engine'!$C$2:$C$1960,0)),"",INDEX('Compliance Database'!$E$2:$E$1960,MATCH(124,'Transfer Engine'!$C$2:$C$1960,0)))</f>
        <v/>
      </c>
      <c r="F133" s="8">
        <f>IF(ISNA(MATCH(124,'Transfer Engine'!$C$2:$C$1960,0)),"",INDEX('Compliance Database'!$F$2:$F$1960,MATCH(124,'Transfer Engine'!$C$2:$C$1960,0)))</f>
        <v/>
      </c>
      <c r="G133" s="8">
        <f>IF(ISNA(MATCH(124,'Transfer Engine'!$C$2:$C$1960,0)),"",INDEX('Compliance Database'!$G$2:$G$1960,MATCH(124,'Transfer Engine'!$C$2:$C$1960,0)))</f>
        <v/>
      </c>
      <c r="H133" s="9">
        <f>IF(ISNA(MATCH(124,'Transfer Engine'!$C$2:$C$1960,0)),"",INDEX('Compliance Database'!$H$2:$H$1960,MATCH(124,'Transfer Engine'!$C$2:$C$1960,0)))</f>
        <v/>
      </c>
      <c r="I133" s="9">
        <f>IF(ISNA(MATCH(124,'Transfer Engine'!$C$2:$C$1960,0)),"",INDEX('Compliance Database'!$I$2:$I$1960,MATCH(124,'Transfer Engine'!$C$2:$C$1960,0)))</f>
        <v/>
      </c>
      <c r="J133" s="8">
        <f>IF(ISNA(MATCH(124,'Transfer Engine'!$C$2:$C$1960,0)),"",INDEX('Compliance Database'!$J$2:$J$1960,MATCH(124,'Transfer Engine'!$C$2:$C$1960,0)))</f>
        <v/>
      </c>
      <c r="K133" s="9">
        <f>IF(ISNA(MATCH(124,'Transfer Engine'!$C$2:$C$1960,0)),"",INDEX('Compliance Database'!$K$2:$K$1960,MATCH(124,'Transfer Engine'!$C$2:$C$1960,0)))</f>
        <v/>
      </c>
      <c r="L133" s="9">
        <f>IF(ISNA(MATCH(124,'Transfer Engine'!$C$2:$C$1960,0)),"",INDEX('Compliance Database'!$L$2:$L$1960,MATCH(124,'Transfer Engine'!$C$2:$C$1960,0)))</f>
        <v/>
      </c>
      <c r="M133" s="9">
        <f>IF(ISNA(MATCH(124,'Transfer Engine'!$C$2:$C$1960,0)),"",INDEX('Compliance Database'!$M$2:$M$1960,MATCH(124,'Transfer Engine'!$C$2:$C$1960,0)))</f>
        <v/>
      </c>
      <c r="N133" s="9">
        <f>IF(ISNA(MATCH(124,'Transfer Engine'!$C$2:$C$1960,0)),"",INDEX('Compliance Database'!$N$2:$N$1960,MATCH(124,'Transfer Engine'!$C$2:$C$1960,0)))</f>
        <v/>
      </c>
      <c r="O133" s="9">
        <f>IF(ISNA(MATCH(124,'Transfer Engine'!$C$2:$C$1960,0)),"",INDEX('Compliance Database'!$O$2:$O$1960,MATCH(124,'Transfer Engine'!$C$2:$C$1960,0)))</f>
        <v/>
      </c>
      <c r="P133" s="8">
        <f>IF(ISNA(MATCH(124,'Transfer Engine'!$C$2:$C$1960,0)),"",HYPERLINK("#Acts!A"&amp;INDEX('Compliance Database'!$P$2:$P$1960,MATCH(124,'Transfer Engine'!$C$2:$C$1960,0)),"Go to Act"))</f>
        <v/>
      </c>
    </row>
    <row r="134" ht="158" customHeight="1">
      <c r="A134" s="8">
        <f>IF(ISNA(MATCH(125,'Transfer Engine'!$C$2:$C$1960,0)),"",INDEX('Compliance Database'!$A$2:$A$1960,MATCH(125,'Transfer Engine'!$C$2:$C$1960,0)))</f>
        <v/>
      </c>
      <c r="B134" s="8">
        <f>IF(ISNA(MATCH(125,'Transfer Engine'!$C$2:$C$1960,0)),"",INDEX('Compliance Database'!$B$2:$B$1960,MATCH(125,'Transfer Engine'!$C$2:$C$1960,0)))</f>
        <v/>
      </c>
      <c r="C134" s="8">
        <f>IF(ISNA(MATCH(125,'Transfer Engine'!$C$2:$C$1960,0)),"",INDEX('Compliance Database'!$C$2:$C$1960,MATCH(125,'Transfer Engine'!$C$2:$C$1960,0)))</f>
        <v/>
      </c>
      <c r="D134" s="9">
        <f>IF(ISNA(MATCH(125,'Transfer Engine'!$C$2:$C$1960,0)),"",INDEX('Compliance Database'!$D$2:$D$1960,MATCH(125,'Transfer Engine'!$C$2:$C$1960,0)))</f>
        <v/>
      </c>
      <c r="E134" s="8">
        <f>IF(ISNA(MATCH(125,'Transfer Engine'!$C$2:$C$1960,0)),"",INDEX('Compliance Database'!$E$2:$E$1960,MATCH(125,'Transfer Engine'!$C$2:$C$1960,0)))</f>
        <v/>
      </c>
      <c r="F134" s="8">
        <f>IF(ISNA(MATCH(125,'Transfer Engine'!$C$2:$C$1960,0)),"",INDEX('Compliance Database'!$F$2:$F$1960,MATCH(125,'Transfer Engine'!$C$2:$C$1960,0)))</f>
        <v/>
      </c>
      <c r="G134" s="8">
        <f>IF(ISNA(MATCH(125,'Transfer Engine'!$C$2:$C$1960,0)),"",INDEX('Compliance Database'!$G$2:$G$1960,MATCH(125,'Transfer Engine'!$C$2:$C$1960,0)))</f>
        <v/>
      </c>
      <c r="H134" s="9">
        <f>IF(ISNA(MATCH(125,'Transfer Engine'!$C$2:$C$1960,0)),"",INDEX('Compliance Database'!$H$2:$H$1960,MATCH(125,'Transfer Engine'!$C$2:$C$1960,0)))</f>
        <v/>
      </c>
      <c r="I134" s="9">
        <f>IF(ISNA(MATCH(125,'Transfer Engine'!$C$2:$C$1960,0)),"",INDEX('Compliance Database'!$I$2:$I$1960,MATCH(125,'Transfer Engine'!$C$2:$C$1960,0)))</f>
        <v/>
      </c>
      <c r="J134" s="8">
        <f>IF(ISNA(MATCH(125,'Transfer Engine'!$C$2:$C$1960,0)),"",INDEX('Compliance Database'!$J$2:$J$1960,MATCH(125,'Transfer Engine'!$C$2:$C$1960,0)))</f>
        <v/>
      </c>
      <c r="K134" s="9">
        <f>IF(ISNA(MATCH(125,'Transfer Engine'!$C$2:$C$1960,0)),"",INDEX('Compliance Database'!$K$2:$K$1960,MATCH(125,'Transfer Engine'!$C$2:$C$1960,0)))</f>
        <v/>
      </c>
      <c r="L134" s="9">
        <f>IF(ISNA(MATCH(125,'Transfer Engine'!$C$2:$C$1960,0)),"",INDEX('Compliance Database'!$L$2:$L$1960,MATCH(125,'Transfer Engine'!$C$2:$C$1960,0)))</f>
        <v/>
      </c>
      <c r="M134" s="9">
        <f>IF(ISNA(MATCH(125,'Transfer Engine'!$C$2:$C$1960,0)),"",INDEX('Compliance Database'!$M$2:$M$1960,MATCH(125,'Transfer Engine'!$C$2:$C$1960,0)))</f>
        <v/>
      </c>
      <c r="N134" s="9">
        <f>IF(ISNA(MATCH(125,'Transfer Engine'!$C$2:$C$1960,0)),"",INDEX('Compliance Database'!$N$2:$N$1960,MATCH(125,'Transfer Engine'!$C$2:$C$1960,0)))</f>
        <v/>
      </c>
      <c r="O134" s="9">
        <f>IF(ISNA(MATCH(125,'Transfer Engine'!$C$2:$C$1960,0)),"",INDEX('Compliance Database'!$O$2:$O$1960,MATCH(125,'Transfer Engine'!$C$2:$C$1960,0)))</f>
        <v/>
      </c>
      <c r="P134" s="8">
        <f>IF(ISNA(MATCH(125,'Transfer Engine'!$C$2:$C$1960,0)),"",HYPERLINK("#Acts!A"&amp;INDEX('Compliance Database'!$P$2:$P$1960,MATCH(125,'Transfer Engine'!$C$2:$C$1960,0)),"Go to Act"))</f>
        <v/>
      </c>
    </row>
    <row r="135" ht="158" customHeight="1">
      <c r="A135" s="8">
        <f>IF(ISNA(MATCH(126,'Transfer Engine'!$C$2:$C$1960,0)),"",INDEX('Compliance Database'!$A$2:$A$1960,MATCH(126,'Transfer Engine'!$C$2:$C$1960,0)))</f>
        <v/>
      </c>
      <c r="B135" s="8">
        <f>IF(ISNA(MATCH(126,'Transfer Engine'!$C$2:$C$1960,0)),"",INDEX('Compliance Database'!$B$2:$B$1960,MATCH(126,'Transfer Engine'!$C$2:$C$1960,0)))</f>
        <v/>
      </c>
      <c r="C135" s="8">
        <f>IF(ISNA(MATCH(126,'Transfer Engine'!$C$2:$C$1960,0)),"",INDEX('Compliance Database'!$C$2:$C$1960,MATCH(126,'Transfer Engine'!$C$2:$C$1960,0)))</f>
        <v/>
      </c>
      <c r="D135" s="9">
        <f>IF(ISNA(MATCH(126,'Transfer Engine'!$C$2:$C$1960,0)),"",INDEX('Compliance Database'!$D$2:$D$1960,MATCH(126,'Transfer Engine'!$C$2:$C$1960,0)))</f>
        <v/>
      </c>
      <c r="E135" s="8">
        <f>IF(ISNA(MATCH(126,'Transfer Engine'!$C$2:$C$1960,0)),"",INDEX('Compliance Database'!$E$2:$E$1960,MATCH(126,'Transfer Engine'!$C$2:$C$1960,0)))</f>
        <v/>
      </c>
      <c r="F135" s="8">
        <f>IF(ISNA(MATCH(126,'Transfer Engine'!$C$2:$C$1960,0)),"",INDEX('Compliance Database'!$F$2:$F$1960,MATCH(126,'Transfer Engine'!$C$2:$C$1960,0)))</f>
        <v/>
      </c>
      <c r="G135" s="8">
        <f>IF(ISNA(MATCH(126,'Transfer Engine'!$C$2:$C$1960,0)),"",INDEX('Compliance Database'!$G$2:$G$1960,MATCH(126,'Transfer Engine'!$C$2:$C$1960,0)))</f>
        <v/>
      </c>
      <c r="H135" s="9">
        <f>IF(ISNA(MATCH(126,'Transfer Engine'!$C$2:$C$1960,0)),"",INDEX('Compliance Database'!$H$2:$H$1960,MATCH(126,'Transfer Engine'!$C$2:$C$1960,0)))</f>
        <v/>
      </c>
      <c r="I135" s="9">
        <f>IF(ISNA(MATCH(126,'Transfer Engine'!$C$2:$C$1960,0)),"",INDEX('Compliance Database'!$I$2:$I$1960,MATCH(126,'Transfer Engine'!$C$2:$C$1960,0)))</f>
        <v/>
      </c>
      <c r="J135" s="8">
        <f>IF(ISNA(MATCH(126,'Transfer Engine'!$C$2:$C$1960,0)),"",INDEX('Compliance Database'!$J$2:$J$1960,MATCH(126,'Transfer Engine'!$C$2:$C$1960,0)))</f>
        <v/>
      </c>
      <c r="K135" s="9">
        <f>IF(ISNA(MATCH(126,'Transfer Engine'!$C$2:$C$1960,0)),"",INDEX('Compliance Database'!$K$2:$K$1960,MATCH(126,'Transfer Engine'!$C$2:$C$1960,0)))</f>
        <v/>
      </c>
      <c r="L135" s="9">
        <f>IF(ISNA(MATCH(126,'Transfer Engine'!$C$2:$C$1960,0)),"",INDEX('Compliance Database'!$L$2:$L$1960,MATCH(126,'Transfer Engine'!$C$2:$C$1960,0)))</f>
        <v/>
      </c>
      <c r="M135" s="9">
        <f>IF(ISNA(MATCH(126,'Transfer Engine'!$C$2:$C$1960,0)),"",INDEX('Compliance Database'!$M$2:$M$1960,MATCH(126,'Transfer Engine'!$C$2:$C$1960,0)))</f>
        <v/>
      </c>
      <c r="N135" s="9">
        <f>IF(ISNA(MATCH(126,'Transfer Engine'!$C$2:$C$1960,0)),"",INDEX('Compliance Database'!$N$2:$N$1960,MATCH(126,'Transfer Engine'!$C$2:$C$1960,0)))</f>
        <v/>
      </c>
      <c r="O135" s="9">
        <f>IF(ISNA(MATCH(126,'Transfer Engine'!$C$2:$C$1960,0)),"",INDEX('Compliance Database'!$O$2:$O$1960,MATCH(126,'Transfer Engine'!$C$2:$C$1960,0)))</f>
        <v/>
      </c>
      <c r="P135" s="8">
        <f>IF(ISNA(MATCH(126,'Transfer Engine'!$C$2:$C$1960,0)),"",HYPERLINK("#Acts!A"&amp;INDEX('Compliance Database'!$P$2:$P$1960,MATCH(126,'Transfer Engine'!$C$2:$C$1960,0)),"Go to Act"))</f>
        <v/>
      </c>
    </row>
    <row r="136" ht="158" customHeight="1">
      <c r="A136" s="8">
        <f>IF(ISNA(MATCH(127,'Transfer Engine'!$C$2:$C$1960,0)),"",INDEX('Compliance Database'!$A$2:$A$1960,MATCH(127,'Transfer Engine'!$C$2:$C$1960,0)))</f>
        <v/>
      </c>
      <c r="B136" s="8">
        <f>IF(ISNA(MATCH(127,'Transfer Engine'!$C$2:$C$1960,0)),"",INDEX('Compliance Database'!$B$2:$B$1960,MATCH(127,'Transfer Engine'!$C$2:$C$1960,0)))</f>
        <v/>
      </c>
      <c r="C136" s="8">
        <f>IF(ISNA(MATCH(127,'Transfer Engine'!$C$2:$C$1960,0)),"",INDEX('Compliance Database'!$C$2:$C$1960,MATCH(127,'Transfer Engine'!$C$2:$C$1960,0)))</f>
        <v/>
      </c>
      <c r="D136" s="9">
        <f>IF(ISNA(MATCH(127,'Transfer Engine'!$C$2:$C$1960,0)),"",INDEX('Compliance Database'!$D$2:$D$1960,MATCH(127,'Transfer Engine'!$C$2:$C$1960,0)))</f>
        <v/>
      </c>
      <c r="E136" s="8">
        <f>IF(ISNA(MATCH(127,'Transfer Engine'!$C$2:$C$1960,0)),"",INDEX('Compliance Database'!$E$2:$E$1960,MATCH(127,'Transfer Engine'!$C$2:$C$1960,0)))</f>
        <v/>
      </c>
      <c r="F136" s="8">
        <f>IF(ISNA(MATCH(127,'Transfer Engine'!$C$2:$C$1960,0)),"",INDEX('Compliance Database'!$F$2:$F$1960,MATCH(127,'Transfer Engine'!$C$2:$C$1960,0)))</f>
        <v/>
      </c>
      <c r="G136" s="8">
        <f>IF(ISNA(MATCH(127,'Transfer Engine'!$C$2:$C$1960,0)),"",INDEX('Compliance Database'!$G$2:$G$1960,MATCH(127,'Transfer Engine'!$C$2:$C$1960,0)))</f>
        <v/>
      </c>
      <c r="H136" s="9">
        <f>IF(ISNA(MATCH(127,'Transfer Engine'!$C$2:$C$1960,0)),"",INDEX('Compliance Database'!$H$2:$H$1960,MATCH(127,'Transfer Engine'!$C$2:$C$1960,0)))</f>
        <v/>
      </c>
      <c r="I136" s="9">
        <f>IF(ISNA(MATCH(127,'Transfer Engine'!$C$2:$C$1960,0)),"",INDEX('Compliance Database'!$I$2:$I$1960,MATCH(127,'Transfer Engine'!$C$2:$C$1960,0)))</f>
        <v/>
      </c>
      <c r="J136" s="8">
        <f>IF(ISNA(MATCH(127,'Transfer Engine'!$C$2:$C$1960,0)),"",INDEX('Compliance Database'!$J$2:$J$1960,MATCH(127,'Transfer Engine'!$C$2:$C$1960,0)))</f>
        <v/>
      </c>
      <c r="K136" s="9">
        <f>IF(ISNA(MATCH(127,'Transfer Engine'!$C$2:$C$1960,0)),"",INDEX('Compliance Database'!$K$2:$K$1960,MATCH(127,'Transfer Engine'!$C$2:$C$1960,0)))</f>
        <v/>
      </c>
      <c r="L136" s="9">
        <f>IF(ISNA(MATCH(127,'Transfer Engine'!$C$2:$C$1960,0)),"",INDEX('Compliance Database'!$L$2:$L$1960,MATCH(127,'Transfer Engine'!$C$2:$C$1960,0)))</f>
        <v/>
      </c>
      <c r="M136" s="9">
        <f>IF(ISNA(MATCH(127,'Transfer Engine'!$C$2:$C$1960,0)),"",INDEX('Compliance Database'!$M$2:$M$1960,MATCH(127,'Transfer Engine'!$C$2:$C$1960,0)))</f>
        <v/>
      </c>
      <c r="N136" s="9">
        <f>IF(ISNA(MATCH(127,'Transfer Engine'!$C$2:$C$1960,0)),"",INDEX('Compliance Database'!$N$2:$N$1960,MATCH(127,'Transfer Engine'!$C$2:$C$1960,0)))</f>
        <v/>
      </c>
      <c r="O136" s="9">
        <f>IF(ISNA(MATCH(127,'Transfer Engine'!$C$2:$C$1960,0)),"",INDEX('Compliance Database'!$O$2:$O$1960,MATCH(127,'Transfer Engine'!$C$2:$C$1960,0)))</f>
        <v/>
      </c>
      <c r="P136" s="8">
        <f>IF(ISNA(MATCH(127,'Transfer Engine'!$C$2:$C$1960,0)),"",HYPERLINK("#Acts!A"&amp;INDEX('Compliance Database'!$P$2:$P$1960,MATCH(127,'Transfer Engine'!$C$2:$C$1960,0)),"Go to Act"))</f>
        <v/>
      </c>
    </row>
    <row r="137" ht="158" customHeight="1">
      <c r="A137" s="8">
        <f>IF(ISNA(MATCH(128,'Transfer Engine'!$C$2:$C$1960,0)),"",INDEX('Compliance Database'!$A$2:$A$1960,MATCH(128,'Transfer Engine'!$C$2:$C$1960,0)))</f>
        <v/>
      </c>
      <c r="B137" s="8">
        <f>IF(ISNA(MATCH(128,'Transfer Engine'!$C$2:$C$1960,0)),"",INDEX('Compliance Database'!$B$2:$B$1960,MATCH(128,'Transfer Engine'!$C$2:$C$1960,0)))</f>
        <v/>
      </c>
      <c r="C137" s="8">
        <f>IF(ISNA(MATCH(128,'Transfer Engine'!$C$2:$C$1960,0)),"",INDEX('Compliance Database'!$C$2:$C$1960,MATCH(128,'Transfer Engine'!$C$2:$C$1960,0)))</f>
        <v/>
      </c>
      <c r="D137" s="9">
        <f>IF(ISNA(MATCH(128,'Transfer Engine'!$C$2:$C$1960,0)),"",INDEX('Compliance Database'!$D$2:$D$1960,MATCH(128,'Transfer Engine'!$C$2:$C$1960,0)))</f>
        <v/>
      </c>
      <c r="E137" s="8">
        <f>IF(ISNA(MATCH(128,'Transfer Engine'!$C$2:$C$1960,0)),"",INDEX('Compliance Database'!$E$2:$E$1960,MATCH(128,'Transfer Engine'!$C$2:$C$1960,0)))</f>
        <v/>
      </c>
      <c r="F137" s="8">
        <f>IF(ISNA(MATCH(128,'Transfer Engine'!$C$2:$C$1960,0)),"",INDEX('Compliance Database'!$F$2:$F$1960,MATCH(128,'Transfer Engine'!$C$2:$C$1960,0)))</f>
        <v/>
      </c>
      <c r="G137" s="8">
        <f>IF(ISNA(MATCH(128,'Transfer Engine'!$C$2:$C$1960,0)),"",INDEX('Compliance Database'!$G$2:$G$1960,MATCH(128,'Transfer Engine'!$C$2:$C$1960,0)))</f>
        <v/>
      </c>
      <c r="H137" s="9">
        <f>IF(ISNA(MATCH(128,'Transfer Engine'!$C$2:$C$1960,0)),"",INDEX('Compliance Database'!$H$2:$H$1960,MATCH(128,'Transfer Engine'!$C$2:$C$1960,0)))</f>
        <v/>
      </c>
      <c r="I137" s="9">
        <f>IF(ISNA(MATCH(128,'Transfer Engine'!$C$2:$C$1960,0)),"",INDEX('Compliance Database'!$I$2:$I$1960,MATCH(128,'Transfer Engine'!$C$2:$C$1960,0)))</f>
        <v/>
      </c>
      <c r="J137" s="8">
        <f>IF(ISNA(MATCH(128,'Transfer Engine'!$C$2:$C$1960,0)),"",INDEX('Compliance Database'!$J$2:$J$1960,MATCH(128,'Transfer Engine'!$C$2:$C$1960,0)))</f>
        <v/>
      </c>
      <c r="K137" s="9">
        <f>IF(ISNA(MATCH(128,'Transfer Engine'!$C$2:$C$1960,0)),"",INDEX('Compliance Database'!$K$2:$K$1960,MATCH(128,'Transfer Engine'!$C$2:$C$1960,0)))</f>
        <v/>
      </c>
      <c r="L137" s="9">
        <f>IF(ISNA(MATCH(128,'Transfer Engine'!$C$2:$C$1960,0)),"",INDEX('Compliance Database'!$L$2:$L$1960,MATCH(128,'Transfer Engine'!$C$2:$C$1960,0)))</f>
        <v/>
      </c>
      <c r="M137" s="9">
        <f>IF(ISNA(MATCH(128,'Transfer Engine'!$C$2:$C$1960,0)),"",INDEX('Compliance Database'!$M$2:$M$1960,MATCH(128,'Transfer Engine'!$C$2:$C$1960,0)))</f>
        <v/>
      </c>
      <c r="N137" s="9">
        <f>IF(ISNA(MATCH(128,'Transfer Engine'!$C$2:$C$1960,0)),"",INDEX('Compliance Database'!$N$2:$N$1960,MATCH(128,'Transfer Engine'!$C$2:$C$1960,0)))</f>
        <v/>
      </c>
      <c r="O137" s="9">
        <f>IF(ISNA(MATCH(128,'Transfer Engine'!$C$2:$C$1960,0)),"",INDEX('Compliance Database'!$O$2:$O$1960,MATCH(128,'Transfer Engine'!$C$2:$C$1960,0)))</f>
        <v/>
      </c>
      <c r="P137" s="8">
        <f>IF(ISNA(MATCH(128,'Transfer Engine'!$C$2:$C$1960,0)),"",HYPERLINK("#Acts!A"&amp;INDEX('Compliance Database'!$P$2:$P$1960,MATCH(128,'Transfer Engine'!$C$2:$C$1960,0)),"Go to Act"))</f>
        <v/>
      </c>
    </row>
    <row r="138" ht="158" customHeight="1">
      <c r="A138" s="8">
        <f>IF(ISNA(MATCH(129,'Transfer Engine'!$C$2:$C$1960,0)),"",INDEX('Compliance Database'!$A$2:$A$1960,MATCH(129,'Transfer Engine'!$C$2:$C$1960,0)))</f>
        <v/>
      </c>
      <c r="B138" s="8">
        <f>IF(ISNA(MATCH(129,'Transfer Engine'!$C$2:$C$1960,0)),"",INDEX('Compliance Database'!$B$2:$B$1960,MATCH(129,'Transfer Engine'!$C$2:$C$1960,0)))</f>
        <v/>
      </c>
      <c r="C138" s="8">
        <f>IF(ISNA(MATCH(129,'Transfer Engine'!$C$2:$C$1960,0)),"",INDEX('Compliance Database'!$C$2:$C$1960,MATCH(129,'Transfer Engine'!$C$2:$C$1960,0)))</f>
        <v/>
      </c>
      <c r="D138" s="9">
        <f>IF(ISNA(MATCH(129,'Transfer Engine'!$C$2:$C$1960,0)),"",INDEX('Compliance Database'!$D$2:$D$1960,MATCH(129,'Transfer Engine'!$C$2:$C$1960,0)))</f>
        <v/>
      </c>
      <c r="E138" s="8">
        <f>IF(ISNA(MATCH(129,'Transfer Engine'!$C$2:$C$1960,0)),"",INDEX('Compliance Database'!$E$2:$E$1960,MATCH(129,'Transfer Engine'!$C$2:$C$1960,0)))</f>
        <v/>
      </c>
      <c r="F138" s="8">
        <f>IF(ISNA(MATCH(129,'Transfer Engine'!$C$2:$C$1960,0)),"",INDEX('Compliance Database'!$F$2:$F$1960,MATCH(129,'Transfer Engine'!$C$2:$C$1960,0)))</f>
        <v/>
      </c>
      <c r="G138" s="8">
        <f>IF(ISNA(MATCH(129,'Transfer Engine'!$C$2:$C$1960,0)),"",INDEX('Compliance Database'!$G$2:$G$1960,MATCH(129,'Transfer Engine'!$C$2:$C$1960,0)))</f>
        <v/>
      </c>
      <c r="H138" s="9">
        <f>IF(ISNA(MATCH(129,'Transfer Engine'!$C$2:$C$1960,0)),"",INDEX('Compliance Database'!$H$2:$H$1960,MATCH(129,'Transfer Engine'!$C$2:$C$1960,0)))</f>
        <v/>
      </c>
      <c r="I138" s="9">
        <f>IF(ISNA(MATCH(129,'Transfer Engine'!$C$2:$C$1960,0)),"",INDEX('Compliance Database'!$I$2:$I$1960,MATCH(129,'Transfer Engine'!$C$2:$C$1960,0)))</f>
        <v/>
      </c>
      <c r="J138" s="8">
        <f>IF(ISNA(MATCH(129,'Transfer Engine'!$C$2:$C$1960,0)),"",INDEX('Compliance Database'!$J$2:$J$1960,MATCH(129,'Transfer Engine'!$C$2:$C$1960,0)))</f>
        <v/>
      </c>
      <c r="K138" s="9">
        <f>IF(ISNA(MATCH(129,'Transfer Engine'!$C$2:$C$1960,0)),"",INDEX('Compliance Database'!$K$2:$K$1960,MATCH(129,'Transfer Engine'!$C$2:$C$1960,0)))</f>
        <v/>
      </c>
      <c r="L138" s="9">
        <f>IF(ISNA(MATCH(129,'Transfer Engine'!$C$2:$C$1960,0)),"",INDEX('Compliance Database'!$L$2:$L$1960,MATCH(129,'Transfer Engine'!$C$2:$C$1960,0)))</f>
        <v/>
      </c>
      <c r="M138" s="9">
        <f>IF(ISNA(MATCH(129,'Transfer Engine'!$C$2:$C$1960,0)),"",INDEX('Compliance Database'!$M$2:$M$1960,MATCH(129,'Transfer Engine'!$C$2:$C$1960,0)))</f>
        <v/>
      </c>
      <c r="N138" s="9">
        <f>IF(ISNA(MATCH(129,'Transfer Engine'!$C$2:$C$1960,0)),"",INDEX('Compliance Database'!$N$2:$N$1960,MATCH(129,'Transfer Engine'!$C$2:$C$1960,0)))</f>
        <v/>
      </c>
      <c r="O138" s="9">
        <f>IF(ISNA(MATCH(129,'Transfer Engine'!$C$2:$C$1960,0)),"",INDEX('Compliance Database'!$O$2:$O$1960,MATCH(129,'Transfer Engine'!$C$2:$C$1960,0)))</f>
        <v/>
      </c>
      <c r="P138" s="8">
        <f>IF(ISNA(MATCH(129,'Transfer Engine'!$C$2:$C$1960,0)),"",HYPERLINK("#Acts!A"&amp;INDEX('Compliance Database'!$P$2:$P$1960,MATCH(129,'Transfer Engine'!$C$2:$C$1960,0)),"Go to Act"))</f>
        <v/>
      </c>
    </row>
    <row r="139" ht="158" customHeight="1">
      <c r="A139" s="8">
        <f>IF(ISNA(MATCH(130,'Transfer Engine'!$C$2:$C$1960,0)),"",INDEX('Compliance Database'!$A$2:$A$1960,MATCH(130,'Transfer Engine'!$C$2:$C$1960,0)))</f>
        <v/>
      </c>
      <c r="B139" s="8">
        <f>IF(ISNA(MATCH(130,'Transfer Engine'!$C$2:$C$1960,0)),"",INDEX('Compliance Database'!$B$2:$B$1960,MATCH(130,'Transfer Engine'!$C$2:$C$1960,0)))</f>
        <v/>
      </c>
      <c r="C139" s="8">
        <f>IF(ISNA(MATCH(130,'Transfer Engine'!$C$2:$C$1960,0)),"",INDEX('Compliance Database'!$C$2:$C$1960,MATCH(130,'Transfer Engine'!$C$2:$C$1960,0)))</f>
        <v/>
      </c>
      <c r="D139" s="9">
        <f>IF(ISNA(MATCH(130,'Transfer Engine'!$C$2:$C$1960,0)),"",INDEX('Compliance Database'!$D$2:$D$1960,MATCH(130,'Transfer Engine'!$C$2:$C$1960,0)))</f>
        <v/>
      </c>
      <c r="E139" s="8">
        <f>IF(ISNA(MATCH(130,'Transfer Engine'!$C$2:$C$1960,0)),"",INDEX('Compliance Database'!$E$2:$E$1960,MATCH(130,'Transfer Engine'!$C$2:$C$1960,0)))</f>
        <v/>
      </c>
      <c r="F139" s="8">
        <f>IF(ISNA(MATCH(130,'Transfer Engine'!$C$2:$C$1960,0)),"",INDEX('Compliance Database'!$F$2:$F$1960,MATCH(130,'Transfer Engine'!$C$2:$C$1960,0)))</f>
        <v/>
      </c>
      <c r="G139" s="8">
        <f>IF(ISNA(MATCH(130,'Transfer Engine'!$C$2:$C$1960,0)),"",INDEX('Compliance Database'!$G$2:$G$1960,MATCH(130,'Transfer Engine'!$C$2:$C$1960,0)))</f>
        <v/>
      </c>
      <c r="H139" s="9">
        <f>IF(ISNA(MATCH(130,'Transfer Engine'!$C$2:$C$1960,0)),"",INDEX('Compliance Database'!$H$2:$H$1960,MATCH(130,'Transfer Engine'!$C$2:$C$1960,0)))</f>
        <v/>
      </c>
      <c r="I139" s="9">
        <f>IF(ISNA(MATCH(130,'Transfer Engine'!$C$2:$C$1960,0)),"",INDEX('Compliance Database'!$I$2:$I$1960,MATCH(130,'Transfer Engine'!$C$2:$C$1960,0)))</f>
        <v/>
      </c>
      <c r="J139" s="8">
        <f>IF(ISNA(MATCH(130,'Transfer Engine'!$C$2:$C$1960,0)),"",INDEX('Compliance Database'!$J$2:$J$1960,MATCH(130,'Transfer Engine'!$C$2:$C$1960,0)))</f>
        <v/>
      </c>
      <c r="K139" s="9">
        <f>IF(ISNA(MATCH(130,'Transfer Engine'!$C$2:$C$1960,0)),"",INDEX('Compliance Database'!$K$2:$K$1960,MATCH(130,'Transfer Engine'!$C$2:$C$1960,0)))</f>
        <v/>
      </c>
      <c r="L139" s="9">
        <f>IF(ISNA(MATCH(130,'Transfer Engine'!$C$2:$C$1960,0)),"",INDEX('Compliance Database'!$L$2:$L$1960,MATCH(130,'Transfer Engine'!$C$2:$C$1960,0)))</f>
        <v/>
      </c>
      <c r="M139" s="9">
        <f>IF(ISNA(MATCH(130,'Transfer Engine'!$C$2:$C$1960,0)),"",INDEX('Compliance Database'!$M$2:$M$1960,MATCH(130,'Transfer Engine'!$C$2:$C$1960,0)))</f>
        <v/>
      </c>
      <c r="N139" s="9">
        <f>IF(ISNA(MATCH(130,'Transfer Engine'!$C$2:$C$1960,0)),"",INDEX('Compliance Database'!$N$2:$N$1960,MATCH(130,'Transfer Engine'!$C$2:$C$1960,0)))</f>
        <v/>
      </c>
      <c r="O139" s="9">
        <f>IF(ISNA(MATCH(130,'Transfer Engine'!$C$2:$C$1960,0)),"",INDEX('Compliance Database'!$O$2:$O$1960,MATCH(130,'Transfer Engine'!$C$2:$C$1960,0)))</f>
        <v/>
      </c>
      <c r="P139" s="8">
        <f>IF(ISNA(MATCH(130,'Transfer Engine'!$C$2:$C$1960,0)),"",HYPERLINK("#Acts!A"&amp;INDEX('Compliance Database'!$P$2:$P$1960,MATCH(130,'Transfer Engine'!$C$2:$C$1960,0)),"Go to Act"))</f>
        <v/>
      </c>
    </row>
    <row r="140" ht="158" customHeight="1">
      <c r="A140" s="8">
        <f>IF(ISNA(MATCH(131,'Transfer Engine'!$C$2:$C$1960,0)),"",INDEX('Compliance Database'!$A$2:$A$1960,MATCH(131,'Transfer Engine'!$C$2:$C$1960,0)))</f>
        <v/>
      </c>
      <c r="B140" s="8">
        <f>IF(ISNA(MATCH(131,'Transfer Engine'!$C$2:$C$1960,0)),"",INDEX('Compliance Database'!$B$2:$B$1960,MATCH(131,'Transfer Engine'!$C$2:$C$1960,0)))</f>
        <v/>
      </c>
      <c r="C140" s="8">
        <f>IF(ISNA(MATCH(131,'Transfer Engine'!$C$2:$C$1960,0)),"",INDEX('Compliance Database'!$C$2:$C$1960,MATCH(131,'Transfer Engine'!$C$2:$C$1960,0)))</f>
        <v/>
      </c>
      <c r="D140" s="9">
        <f>IF(ISNA(MATCH(131,'Transfer Engine'!$C$2:$C$1960,0)),"",INDEX('Compliance Database'!$D$2:$D$1960,MATCH(131,'Transfer Engine'!$C$2:$C$1960,0)))</f>
        <v/>
      </c>
      <c r="E140" s="8">
        <f>IF(ISNA(MATCH(131,'Transfer Engine'!$C$2:$C$1960,0)),"",INDEX('Compliance Database'!$E$2:$E$1960,MATCH(131,'Transfer Engine'!$C$2:$C$1960,0)))</f>
        <v/>
      </c>
      <c r="F140" s="8">
        <f>IF(ISNA(MATCH(131,'Transfer Engine'!$C$2:$C$1960,0)),"",INDEX('Compliance Database'!$F$2:$F$1960,MATCH(131,'Transfer Engine'!$C$2:$C$1960,0)))</f>
        <v/>
      </c>
      <c r="G140" s="8">
        <f>IF(ISNA(MATCH(131,'Transfer Engine'!$C$2:$C$1960,0)),"",INDEX('Compliance Database'!$G$2:$G$1960,MATCH(131,'Transfer Engine'!$C$2:$C$1960,0)))</f>
        <v/>
      </c>
      <c r="H140" s="9">
        <f>IF(ISNA(MATCH(131,'Transfer Engine'!$C$2:$C$1960,0)),"",INDEX('Compliance Database'!$H$2:$H$1960,MATCH(131,'Transfer Engine'!$C$2:$C$1960,0)))</f>
        <v/>
      </c>
      <c r="I140" s="9">
        <f>IF(ISNA(MATCH(131,'Transfer Engine'!$C$2:$C$1960,0)),"",INDEX('Compliance Database'!$I$2:$I$1960,MATCH(131,'Transfer Engine'!$C$2:$C$1960,0)))</f>
        <v/>
      </c>
      <c r="J140" s="8">
        <f>IF(ISNA(MATCH(131,'Transfer Engine'!$C$2:$C$1960,0)),"",INDEX('Compliance Database'!$J$2:$J$1960,MATCH(131,'Transfer Engine'!$C$2:$C$1960,0)))</f>
        <v/>
      </c>
      <c r="K140" s="9">
        <f>IF(ISNA(MATCH(131,'Transfer Engine'!$C$2:$C$1960,0)),"",INDEX('Compliance Database'!$K$2:$K$1960,MATCH(131,'Transfer Engine'!$C$2:$C$1960,0)))</f>
        <v/>
      </c>
      <c r="L140" s="9">
        <f>IF(ISNA(MATCH(131,'Transfer Engine'!$C$2:$C$1960,0)),"",INDEX('Compliance Database'!$L$2:$L$1960,MATCH(131,'Transfer Engine'!$C$2:$C$1960,0)))</f>
        <v/>
      </c>
      <c r="M140" s="9">
        <f>IF(ISNA(MATCH(131,'Transfer Engine'!$C$2:$C$1960,0)),"",INDEX('Compliance Database'!$M$2:$M$1960,MATCH(131,'Transfer Engine'!$C$2:$C$1960,0)))</f>
        <v/>
      </c>
      <c r="N140" s="9">
        <f>IF(ISNA(MATCH(131,'Transfer Engine'!$C$2:$C$1960,0)),"",INDEX('Compliance Database'!$N$2:$N$1960,MATCH(131,'Transfer Engine'!$C$2:$C$1960,0)))</f>
        <v/>
      </c>
      <c r="O140" s="9">
        <f>IF(ISNA(MATCH(131,'Transfer Engine'!$C$2:$C$1960,0)),"",INDEX('Compliance Database'!$O$2:$O$1960,MATCH(131,'Transfer Engine'!$C$2:$C$1960,0)))</f>
        <v/>
      </c>
      <c r="P140" s="8">
        <f>IF(ISNA(MATCH(131,'Transfer Engine'!$C$2:$C$1960,0)),"",HYPERLINK("#Acts!A"&amp;INDEX('Compliance Database'!$P$2:$P$1960,MATCH(131,'Transfer Engine'!$C$2:$C$1960,0)),"Go to Act"))</f>
        <v/>
      </c>
    </row>
    <row r="141" ht="158" customHeight="1">
      <c r="A141" s="8">
        <f>IF(ISNA(MATCH(132,'Transfer Engine'!$C$2:$C$1960,0)),"",INDEX('Compliance Database'!$A$2:$A$1960,MATCH(132,'Transfer Engine'!$C$2:$C$1960,0)))</f>
        <v/>
      </c>
      <c r="B141" s="8">
        <f>IF(ISNA(MATCH(132,'Transfer Engine'!$C$2:$C$1960,0)),"",INDEX('Compliance Database'!$B$2:$B$1960,MATCH(132,'Transfer Engine'!$C$2:$C$1960,0)))</f>
        <v/>
      </c>
      <c r="C141" s="8">
        <f>IF(ISNA(MATCH(132,'Transfer Engine'!$C$2:$C$1960,0)),"",INDEX('Compliance Database'!$C$2:$C$1960,MATCH(132,'Transfer Engine'!$C$2:$C$1960,0)))</f>
        <v/>
      </c>
      <c r="D141" s="9">
        <f>IF(ISNA(MATCH(132,'Transfer Engine'!$C$2:$C$1960,0)),"",INDEX('Compliance Database'!$D$2:$D$1960,MATCH(132,'Transfer Engine'!$C$2:$C$1960,0)))</f>
        <v/>
      </c>
      <c r="E141" s="8">
        <f>IF(ISNA(MATCH(132,'Transfer Engine'!$C$2:$C$1960,0)),"",INDEX('Compliance Database'!$E$2:$E$1960,MATCH(132,'Transfer Engine'!$C$2:$C$1960,0)))</f>
        <v/>
      </c>
      <c r="F141" s="8">
        <f>IF(ISNA(MATCH(132,'Transfer Engine'!$C$2:$C$1960,0)),"",INDEX('Compliance Database'!$F$2:$F$1960,MATCH(132,'Transfer Engine'!$C$2:$C$1960,0)))</f>
        <v/>
      </c>
      <c r="G141" s="8">
        <f>IF(ISNA(MATCH(132,'Transfer Engine'!$C$2:$C$1960,0)),"",INDEX('Compliance Database'!$G$2:$G$1960,MATCH(132,'Transfer Engine'!$C$2:$C$1960,0)))</f>
        <v/>
      </c>
      <c r="H141" s="9">
        <f>IF(ISNA(MATCH(132,'Transfer Engine'!$C$2:$C$1960,0)),"",INDEX('Compliance Database'!$H$2:$H$1960,MATCH(132,'Transfer Engine'!$C$2:$C$1960,0)))</f>
        <v/>
      </c>
      <c r="I141" s="9">
        <f>IF(ISNA(MATCH(132,'Transfer Engine'!$C$2:$C$1960,0)),"",INDEX('Compliance Database'!$I$2:$I$1960,MATCH(132,'Transfer Engine'!$C$2:$C$1960,0)))</f>
        <v/>
      </c>
      <c r="J141" s="8">
        <f>IF(ISNA(MATCH(132,'Transfer Engine'!$C$2:$C$1960,0)),"",INDEX('Compliance Database'!$J$2:$J$1960,MATCH(132,'Transfer Engine'!$C$2:$C$1960,0)))</f>
        <v/>
      </c>
      <c r="K141" s="9">
        <f>IF(ISNA(MATCH(132,'Transfer Engine'!$C$2:$C$1960,0)),"",INDEX('Compliance Database'!$K$2:$K$1960,MATCH(132,'Transfer Engine'!$C$2:$C$1960,0)))</f>
        <v/>
      </c>
      <c r="L141" s="9">
        <f>IF(ISNA(MATCH(132,'Transfer Engine'!$C$2:$C$1960,0)),"",INDEX('Compliance Database'!$L$2:$L$1960,MATCH(132,'Transfer Engine'!$C$2:$C$1960,0)))</f>
        <v/>
      </c>
      <c r="M141" s="9">
        <f>IF(ISNA(MATCH(132,'Transfer Engine'!$C$2:$C$1960,0)),"",INDEX('Compliance Database'!$M$2:$M$1960,MATCH(132,'Transfer Engine'!$C$2:$C$1960,0)))</f>
        <v/>
      </c>
      <c r="N141" s="9">
        <f>IF(ISNA(MATCH(132,'Transfer Engine'!$C$2:$C$1960,0)),"",INDEX('Compliance Database'!$N$2:$N$1960,MATCH(132,'Transfer Engine'!$C$2:$C$1960,0)))</f>
        <v/>
      </c>
      <c r="O141" s="9">
        <f>IF(ISNA(MATCH(132,'Transfer Engine'!$C$2:$C$1960,0)),"",INDEX('Compliance Database'!$O$2:$O$1960,MATCH(132,'Transfer Engine'!$C$2:$C$1960,0)))</f>
        <v/>
      </c>
      <c r="P141" s="8">
        <f>IF(ISNA(MATCH(132,'Transfer Engine'!$C$2:$C$1960,0)),"",HYPERLINK("#Acts!A"&amp;INDEX('Compliance Database'!$P$2:$P$1960,MATCH(132,'Transfer Engine'!$C$2:$C$1960,0)),"Go to Act"))</f>
        <v/>
      </c>
    </row>
    <row r="142" ht="158" customHeight="1">
      <c r="A142" s="8">
        <f>IF(ISNA(MATCH(133,'Transfer Engine'!$C$2:$C$1960,0)),"",INDEX('Compliance Database'!$A$2:$A$1960,MATCH(133,'Transfer Engine'!$C$2:$C$1960,0)))</f>
        <v/>
      </c>
      <c r="B142" s="8">
        <f>IF(ISNA(MATCH(133,'Transfer Engine'!$C$2:$C$1960,0)),"",INDEX('Compliance Database'!$B$2:$B$1960,MATCH(133,'Transfer Engine'!$C$2:$C$1960,0)))</f>
        <v/>
      </c>
      <c r="C142" s="8">
        <f>IF(ISNA(MATCH(133,'Transfer Engine'!$C$2:$C$1960,0)),"",INDEX('Compliance Database'!$C$2:$C$1960,MATCH(133,'Transfer Engine'!$C$2:$C$1960,0)))</f>
        <v/>
      </c>
      <c r="D142" s="9">
        <f>IF(ISNA(MATCH(133,'Transfer Engine'!$C$2:$C$1960,0)),"",INDEX('Compliance Database'!$D$2:$D$1960,MATCH(133,'Transfer Engine'!$C$2:$C$1960,0)))</f>
        <v/>
      </c>
      <c r="E142" s="8">
        <f>IF(ISNA(MATCH(133,'Transfer Engine'!$C$2:$C$1960,0)),"",INDEX('Compliance Database'!$E$2:$E$1960,MATCH(133,'Transfer Engine'!$C$2:$C$1960,0)))</f>
        <v/>
      </c>
      <c r="F142" s="8">
        <f>IF(ISNA(MATCH(133,'Transfer Engine'!$C$2:$C$1960,0)),"",INDEX('Compliance Database'!$F$2:$F$1960,MATCH(133,'Transfer Engine'!$C$2:$C$1960,0)))</f>
        <v/>
      </c>
      <c r="G142" s="8">
        <f>IF(ISNA(MATCH(133,'Transfer Engine'!$C$2:$C$1960,0)),"",INDEX('Compliance Database'!$G$2:$G$1960,MATCH(133,'Transfer Engine'!$C$2:$C$1960,0)))</f>
        <v/>
      </c>
      <c r="H142" s="9">
        <f>IF(ISNA(MATCH(133,'Transfer Engine'!$C$2:$C$1960,0)),"",INDEX('Compliance Database'!$H$2:$H$1960,MATCH(133,'Transfer Engine'!$C$2:$C$1960,0)))</f>
        <v/>
      </c>
      <c r="I142" s="9">
        <f>IF(ISNA(MATCH(133,'Transfer Engine'!$C$2:$C$1960,0)),"",INDEX('Compliance Database'!$I$2:$I$1960,MATCH(133,'Transfer Engine'!$C$2:$C$1960,0)))</f>
        <v/>
      </c>
      <c r="J142" s="8">
        <f>IF(ISNA(MATCH(133,'Transfer Engine'!$C$2:$C$1960,0)),"",INDEX('Compliance Database'!$J$2:$J$1960,MATCH(133,'Transfer Engine'!$C$2:$C$1960,0)))</f>
        <v/>
      </c>
      <c r="K142" s="9">
        <f>IF(ISNA(MATCH(133,'Transfer Engine'!$C$2:$C$1960,0)),"",INDEX('Compliance Database'!$K$2:$K$1960,MATCH(133,'Transfer Engine'!$C$2:$C$1960,0)))</f>
        <v/>
      </c>
      <c r="L142" s="9">
        <f>IF(ISNA(MATCH(133,'Transfer Engine'!$C$2:$C$1960,0)),"",INDEX('Compliance Database'!$L$2:$L$1960,MATCH(133,'Transfer Engine'!$C$2:$C$1960,0)))</f>
        <v/>
      </c>
      <c r="M142" s="9">
        <f>IF(ISNA(MATCH(133,'Transfer Engine'!$C$2:$C$1960,0)),"",INDEX('Compliance Database'!$M$2:$M$1960,MATCH(133,'Transfer Engine'!$C$2:$C$1960,0)))</f>
        <v/>
      </c>
      <c r="N142" s="9">
        <f>IF(ISNA(MATCH(133,'Transfer Engine'!$C$2:$C$1960,0)),"",INDEX('Compliance Database'!$N$2:$N$1960,MATCH(133,'Transfer Engine'!$C$2:$C$1960,0)))</f>
        <v/>
      </c>
      <c r="O142" s="9">
        <f>IF(ISNA(MATCH(133,'Transfer Engine'!$C$2:$C$1960,0)),"",INDEX('Compliance Database'!$O$2:$O$1960,MATCH(133,'Transfer Engine'!$C$2:$C$1960,0)))</f>
        <v/>
      </c>
      <c r="P142" s="8">
        <f>IF(ISNA(MATCH(133,'Transfer Engine'!$C$2:$C$1960,0)),"",HYPERLINK("#Acts!A"&amp;INDEX('Compliance Database'!$P$2:$P$1960,MATCH(133,'Transfer Engine'!$C$2:$C$1960,0)),"Go to Act"))</f>
        <v/>
      </c>
    </row>
    <row r="143" ht="158" customHeight="1">
      <c r="A143" s="8">
        <f>IF(ISNA(MATCH(134,'Transfer Engine'!$C$2:$C$1960,0)),"",INDEX('Compliance Database'!$A$2:$A$1960,MATCH(134,'Transfer Engine'!$C$2:$C$1960,0)))</f>
        <v/>
      </c>
      <c r="B143" s="8">
        <f>IF(ISNA(MATCH(134,'Transfer Engine'!$C$2:$C$1960,0)),"",INDEX('Compliance Database'!$B$2:$B$1960,MATCH(134,'Transfer Engine'!$C$2:$C$1960,0)))</f>
        <v/>
      </c>
      <c r="C143" s="8">
        <f>IF(ISNA(MATCH(134,'Transfer Engine'!$C$2:$C$1960,0)),"",INDEX('Compliance Database'!$C$2:$C$1960,MATCH(134,'Transfer Engine'!$C$2:$C$1960,0)))</f>
        <v/>
      </c>
      <c r="D143" s="9">
        <f>IF(ISNA(MATCH(134,'Transfer Engine'!$C$2:$C$1960,0)),"",INDEX('Compliance Database'!$D$2:$D$1960,MATCH(134,'Transfer Engine'!$C$2:$C$1960,0)))</f>
        <v/>
      </c>
      <c r="E143" s="8">
        <f>IF(ISNA(MATCH(134,'Transfer Engine'!$C$2:$C$1960,0)),"",INDEX('Compliance Database'!$E$2:$E$1960,MATCH(134,'Transfer Engine'!$C$2:$C$1960,0)))</f>
        <v/>
      </c>
      <c r="F143" s="8">
        <f>IF(ISNA(MATCH(134,'Transfer Engine'!$C$2:$C$1960,0)),"",INDEX('Compliance Database'!$F$2:$F$1960,MATCH(134,'Transfer Engine'!$C$2:$C$1960,0)))</f>
        <v/>
      </c>
      <c r="G143" s="8">
        <f>IF(ISNA(MATCH(134,'Transfer Engine'!$C$2:$C$1960,0)),"",INDEX('Compliance Database'!$G$2:$G$1960,MATCH(134,'Transfer Engine'!$C$2:$C$1960,0)))</f>
        <v/>
      </c>
      <c r="H143" s="9">
        <f>IF(ISNA(MATCH(134,'Transfer Engine'!$C$2:$C$1960,0)),"",INDEX('Compliance Database'!$H$2:$H$1960,MATCH(134,'Transfer Engine'!$C$2:$C$1960,0)))</f>
        <v/>
      </c>
      <c r="I143" s="9">
        <f>IF(ISNA(MATCH(134,'Transfer Engine'!$C$2:$C$1960,0)),"",INDEX('Compliance Database'!$I$2:$I$1960,MATCH(134,'Transfer Engine'!$C$2:$C$1960,0)))</f>
        <v/>
      </c>
      <c r="J143" s="8">
        <f>IF(ISNA(MATCH(134,'Transfer Engine'!$C$2:$C$1960,0)),"",INDEX('Compliance Database'!$J$2:$J$1960,MATCH(134,'Transfer Engine'!$C$2:$C$1960,0)))</f>
        <v/>
      </c>
      <c r="K143" s="9">
        <f>IF(ISNA(MATCH(134,'Transfer Engine'!$C$2:$C$1960,0)),"",INDEX('Compliance Database'!$K$2:$K$1960,MATCH(134,'Transfer Engine'!$C$2:$C$1960,0)))</f>
        <v/>
      </c>
      <c r="L143" s="9">
        <f>IF(ISNA(MATCH(134,'Transfer Engine'!$C$2:$C$1960,0)),"",INDEX('Compliance Database'!$L$2:$L$1960,MATCH(134,'Transfer Engine'!$C$2:$C$1960,0)))</f>
        <v/>
      </c>
      <c r="M143" s="9">
        <f>IF(ISNA(MATCH(134,'Transfer Engine'!$C$2:$C$1960,0)),"",INDEX('Compliance Database'!$M$2:$M$1960,MATCH(134,'Transfer Engine'!$C$2:$C$1960,0)))</f>
        <v/>
      </c>
      <c r="N143" s="9">
        <f>IF(ISNA(MATCH(134,'Transfer Engine'!$C$2:$C$1960,0)),"",INDEX('Compliance Database'!$N$2:$N$1960,MATCH(134,'Transfer Engine'!$C$2:$C$1960,0)))</f>
        <v/>
      </c>
      <c r="O143" s="9">
        <f>IF(ISNA(MATCH(134,'Transfer Engine'!$C$2:$C$1960,0)),"",INDEX('Compliance Database'!$O$2:$O$1960,MATCH(134,'Transfer Engine'!$C$2:$C$1960,0)))</f>
        <v/>
      </c>
      <c r="P143" s="8">
        <f>IF(ISNA(MATCH(134,'Transfer Engine'!$C$2:$C$1960,0)),"",HYPERLINK("#Acts!A"&amp;INDEX('Compliance Database'!$P$2:$P$1960,MATCH(134,'Transfer Engine'!$C$2:$C$1960,0)),"Go to Act"))</f>
        <v/>
      </c>
    </row>
    <row r="144" ht="158" customHeight="1">
      <c r="A144" s="8">
        <f>IF(ISNA(MATCH(135,'Transfer Engine'!$C$2:$C$1960,0)),"",INDEX('Compliance Database'!$A$2:$A$1960,MATCH(135,'Transfer Engine'!$C$2:$C$1960,0)))</f>
        <v/>
      </c>
      <c r="B144" s="8">
        <f>IF(ISNA(MATCH(135,'Transfer Engine'!$C$2:$C$1960,0)),"",INDEX('Compliance Database'!$B$2:$B$1960,MATCH(135,'Transfer Engine'!$C$2:$C$1960,0)))</f>
        <v/>
      </c>
      <c r="C144" s="8">
        <f>IF(ISNA(MATCH(135,'Transfer Engine'!$C$2:$C$1960,0)),"",INDEX('Compliance Database'!$C$2:$C$1960,MATCH(135,'Transfer Engine'!$C$2:$C$1960,0)))</f>
        <v/>
      </c>
      <c r="D144" s="9">
        <f>IF(ISNA(MATCH(135,'Transfer Engine'!$C$2:$C$1960,0)),"",INDEX('Compliance Database'!$D$2:$D$1960,MATCH(135,'Transfer Engine'!$C$2:$C$1960,0)))</f>
        <v/>
      </c>
      <c r="E144" s="8">
        <f>IF(ISNA(MATCH(135,'Transfer Engine'!$C$2:$C$1960,0)),"",INDEX('Compliance Database'!$E$2:$E$1960,MATCH(135,'Transfer Engine'!$C$2:$C$1960,0)))</f>
        <v/>
      </c>
      <c r="F144" s="8">
        <f>IF(ISNA(MATCH(135,'Transfer Engine'!$C$2:$C$1960,0)),"",INDEX('Compliance Database'!$F$2:$F$1960,MATCH(135,'Transfer Engine'!$C$2:$C$1960,0)))</f>
        <v/>
      </c>
      <c r="G144" s="8">
        <f>IF(ISNA(MATCH(135,'Transfer Engine'!$C$2:$C$1960,0)),"",INDEX('Compliance Database'!$G$2:$G$1960,MATCH(135,'Transfer Engine'!$C$2:$C$1960,0)))</f>
        <v/>
      </c>
      <c r="H144" s="9">
        <f>IF(ISNA(MATCH(135,'Transfer Engine'!$C$2:$C$1960,0)),"",INDEX('Compliance Database'!$H$2:$H$1960,MATCH(135,'Transfer Engine'!$C$2:$C$1960,0)))</f>
        <v/>
      </c>
      <c r="I144" s="9">
        <f>IF(ISNA(MATCH(135,'Transfer Engine'!$C$2:$C$1960,0)),"",INDEX('Compliance Database'!$I$2:$I$1960,MATCH(135,'Transfer Engine'!$C$2:$C$1960,0)))</f>
        <v/>
      </c>
      <c r="J144" s="8">
        <f>IF(ISNA(MATCH(135,'Transfer Engine'!$C$2:$C$1960,0)),"",INDEX('Compliance Database'!$J$2:$J$1960,MATCH(135,'Transfer Engine'!$C$2:$C$1960,0)))</f>
        <v/>
      </c>
      <c r="K144" s="9">
        <f>IF(ISNA(MATCH(135,'Transfer Engine'!$C$2:$C$1960,0)),"",INDEX('Compliance Database'!$K$2:$K$1960,MATCH(135,'Transfer Engine'!$C$2:$C$1960,0)))</f>
        <v/>
      </c>
      <c r="L144" s="9">
        <f>IF(ISNA(MATCH(135,'Transfer Engine'!$C$2:$C$1960,0)),"",INDEX('Compliance Database'!$L$2:$L$1960,MATCH(135,'Transfer Engine'!$C$2:$C$1960,0)))</f>
        <v/>
      </c>
      <c r="M144" s="9">
        <f>IF(ISNA(MATCH(135,'Transfer Engine'!$C$2:$C$1960,0)),"",INDEX('Compliance Database'!$M$2:$M$1960,MATCH(135,'Transfer Engine'!$C$2:$C$1960,0)))</f>
        <v/>
      </c>
      <c r="N144" s="9">
        <f>IF(ISNA(MATCH(135,'Transfer Engine'!$C$2:$C$1960,0)),"",INDEX('Compliance Database'!$N$2:$N$1960,MATCH(135,'Transfer Engine'!$C$2:$C$1960,0)))</f>
        <v/>
      </c>
      <c r="O144" s="9">
        <f>IF(ISNA(MATCH(135,'Transfer Engine'!$C$2:$C$1960,0)),"",INDEX('Compliance Database'!$O$2:$O$1960,MATCH(135,'Transfer Engine'!$C$2:$C$1960,0)))</f>
        <v/>
      </c>
      <c r="P144" s="8">
        <f>IF(ISNA(MATCH(135,'Transfer Engine'!$C$2:$C$1960,0)),"",HYPERLINK("#Acts!A"&amp;INDEX('Compliance Database'!$P$2:$P$1960,MATCH(135,'Transfer Engine'!$C$2:$C$1960,0)),"Go to Act"))</f>
        <v/>
      </c>
    </row>
    <row r="145" ht="158" customHeight="1">
      <c r="A145" s="8">
        <f>IF(ISNA(MATCH(136,'Transfer Engine'!$C$2:$C$1960,0)),"",INDEX('Compliance Database'!$A$2:$A$1960,MATCH(136,'Transfer Engine'!$C$2:$C$1960,0)))</f>
        <v/>
      </c>
      <c r="B145" s="8">
        <f>IF(ISNA(MATCH(136,'Transfer Engine'!$C$2:$C$1960,0)),"",INDEX('Compliance Database'!$B$2:$B$1960,MATCH(136,'Transfer Engine'!$C$2:$C$1960,0)))</f>
        <v/>
      </c>
      <c r="C145" s="8">
        <f>IF(ISNA(MATCH(136,'Transfer Engine'!$C$2:$C$1960,0)),"",INDEX('Compliance Database'!$C$2:$C$1960,MATCH(136,'Transfer Engine'!$C$2:$C$1960,0)))</f>
        <v/>
      </c>
      <c r="D145" s="9">
        <f>IF(ISNA(MATCH(136,'Transfer Engine'!$C$2:$C$1960,0)),"",INDEX('Compliance Database'!$D$2:$D$1960,MATCH(136,'Transfer Engine'!$C$2:$C$1960,0)))</f>
        <v/>
      </c>
      <c r="E145" s="8">
        <f>IF(ISNA(MATCH(136,'Transfer Engine'!$C$2:$C$1960,0)),"",INDEX('Compliance Database'!$E$2:$E$1960,MATCH(136,'Transfer Engine'!$C$2:$C$1960,0)))</f>
        <v/>
      </c>
      <c r="F145" s="8">
        <f>IF(ISNA(MATCH(136,'Transfer Engine'!$C$2:$C$1960,0)),"",INDEX('Compliance Database'!$F$2:$F$1960,MATCH(136,'Transfer Engine'!$C$2:$C$1960,0)))</f>
        <v/>
      </c>
      <c r="G145" s="8">
        <f>IF(ISNA(MATCH(136,'Transfer Engine'!$C$2:$C$1960,0)),"",INDEX('Compliance Database'!$G$2:$G$1960,MATCH(136,'Transfer Engine'!$C$2:$C$1960,0)))</f>
        <v/>
      </c>
      <c r="H145" s="9">
        <f>IF(ISNA(MATCH(136,'Transfer Engine'!$C$2:$C$1960,0)),"",INDEX('Compliance Database'!$H$2:$H$1960,MATCH(136,'Transfer Engine'!$C$2:$C$1960,0)))</f>
        <v/>
      </c>
      <c r="I145" s="9">
        <f>IF(ISNA(MATCH(136,'Transfer Engine'!$C$2:$C$1960,0)),"",INDEX('Compliance Database'!$I$2:$I$1960,MATCH(136,'Transfer Engine'!$C$2:$C$1960,0)))</f>
        <v/>
      </c>
      <c r="J145" s="8">
        <f>IF(ISNA(MATCH(136,'Transfer Engine'!$C$2:$C$1960,0)),"",INDEX('Compliance Database'!$J$2:$J$1960,MATCH(136,'Transfer Engine'!$C$2:$C$1960,0)))</f>
        <v/>
      </c>
      <c r="K145" s="9">
        <f>IF(ISNA(MATCH(136,'Transfer Engine'!$C$2:$C$1960,0)),"",INDEX('Compliance Database'!$K$2:$K$1960,MATCH(136,'Transfer Engine'!$C$2:$C$1960,0)))</f>
        <v/>
      </c>
      <c r="L145" s="9">
        <f>IF(ISNA(MATCH(136,'Transfer Engine'!$C$2:$C$1960,0)),"",INDEX('Compliance Database'!$L$2:$L$1960,MATCH(136,'Transfer Engine'!$C$2:$C$1960,0)))</f>
        <v/>
      </c>
      <c r="M145" s="9">
        <f>IF(ISNA(MATCH(136,'Transfer Engine'!$C$2:$C$1960,0)),"",INDEX('Compliance Database'!$M$2:$M$1960,MATCH(136,'Transfer Engine'!$C$2:$C$1960,0)))</f>
        <v/>
      </c>
      <c r="N145" s="9">
        <f>IF(ISNA(MATCH(136,'Transfer Engine'!$C$2:$C$1960,0)),"",INDEX('Compliance Database'!$N$2:$N$1960,MATCH(136,'Transfer Engine'!$C$2:$C$1960,0)))</f>
        <v/>
      </c>
      <c r="O145" s="9">
        <f>IF(ISNA(MATCH(136,'Transfer Engine'!$C$2:$C$1960,0)),"",INDEX('Compliance Database'!$O$2:$O$1960,MATCH(136,'Transfer Engine'!$C$2:$C$1960,0)))</f>
        <v/>
      </c>
      <c r="P145" s="8">
        <f>IF(ISNA(MATCH(136,'Transfer Engine'!$C$2:$C$1960,0)),"",HYPERLINK("#Acts!A"&amp;INDEX('Compliance Database'!$P$2:$P$1960,MATCH(136,'Transfer Engine'!$C$2:$C$1960,0)),"Go to Act"))</f>
        <v/>
      </c>
    </row>
    <row r="146" ht="158" customHeight="1">
      <c r="A146" s="8">
        <f>IF(ISNA(MATCH(137,'Transfer Engine'!$C$2:$C$1960,0)),"",INDEX('Compliance Database'!$A$2:$A$1960,MATCH(137,'Transfer Engine'!$C$2:$C$1960,0)))</f>
        <v/>
      </c>
      <c r="B146" s="8">
        <f>IF(ISNA(MATCH(137,'Transfer Engine'!$C$2:$C$1960,0)),"",INDEX('Compliance Database'!$B$2:$B$1960,MATCH(137,'Transfer Engine'!$C$2:$C$1960,0)))</f>
        <v/>
      </c>
      <c r="C146" s="8">
        <f>IF(ISNA(MATCH(137,'Transfer Engine'!$C$2:$C$1960,0)),"",INDEX('Compliance Database'!$C$2:$C$1960,MATCH(137,'Transfer Engine'!$C$2:$C$1960,0)))</f>
        <v/>
      </c>
      <c r="D146" s="9">
        <f>IF(ISNA(MATCH(137,'Transfer Engine'!$C$2:$C$1960,0)),"",INDEX('Compliance Database'!$D$2:$D$1960,MATCH(137,'Transfer Engine'!$C$2:$C$1960,0)))</f>
        <v/>
      </c>
      <c r="E146" s="8">
        <f>IF(ISNA(MATCH(137,'Transfer Engine'!$C$2:$C$1960,0)),"",INDEX('Compliance Database'!$E$2:$E$1960,MATCH(137,'Transfer Engine'!$C$2:$C$1960,0)))</f>
        <v/>
      </c>
      <c r="F146" s="8">
        <f>IF(ISNA(MATCH(137,'Transfer Engine'!$C$2:$C$1960,0)),"",INDEX('Compliance Database'!$F$2:$F$1960,MATCH(137,'Transfer Engine'!$C$2:$C$1960,0)))</f>
        <v/>
      </c>
      <c r="G146" s="8">
        <f>IF(ISNA(MATCH(137,'Transfer Engine'!$C$2:$C$1960,0)),"",INDEX('Compliance Database'!$G$2:$G$1960,MATCH(137,'Transfer Engine'!$C$2:$C$1960,0)))</f>
        <v/>
      </c>
      <c r="H146" s="9">
        <f>IF(ISNA(MATCH(137,'Transfer Engine'!$C$2:$C$1960,0)),"",INDEX('Compliance Database'!$H$2:$H$1960,MATCH(137,'Transfer Engine'!$C$2:$C$1960,0)))</f>
        <v/>
      </c>
      <c r="I146" s="9">
        <f>IF(ISNA(MATCH(137,'Transfer Engine'!$C$2:$C$1960,0)),"",INDEX('Compliance Database'!$I$2:$I$1960,MATCH(137,'Transfer Engine'!$C$2:$C$1960,0)))</f>
        <v/>
      </c>
      <c r="J146" s="8">
        <f>IF(ISNA(MATCH(137,'Transfer Engine'!$C$2:$C$1960,0)),"",INDEX('Compliance Database'!$J$2:$J$1960,MATCH(137,'Transfer Engine'!$C$2:$C$1960,0)))</f>
        <v/>
      </c>
      <c r="K146" s="9">
        <f>IF(ISNA(MATCH(137,'Transfer Engine'!$C$2:$C$1960,0)),"",INDEX('Compliance Database'!$K$2:$K$1960,MATCH(137,'Transfer Engine'!$C$2:$C$1960,0)))</f>
        <v/>
      </c>
      <c r="L146" s="9">
        <f>IF(ISNA(MATCH(137,'Transfer Engine'!$C$2:$C$1960,0)),"",INDEX('Compliance Database'!$L$2:$L$1960,MATCH(137,'Transfer Engine'!$C$2:$C$1960,0)))</f>
        <v/>
      </c>
      <c r="M146" s="9">
        <f>IF(ISNA(MATCH(137,'Transfer Engine'!$C$2:$C$1960,0)),"",INDEX('Compliance Database'!$M$2:$M$1960,MATCH(137,'Transfer Engine'!$C$2:$C$1960,0)))</f>
        <v/>
      </c>
      <c r="N146" s="9">
        <f>IF(ISNA(MATCH(137,'Transfer Engine'!$C$2:$C$1960,0)),"",INDEX('Compliance Database'!$N$2:$N$1960,MATCH(137,'Transfer Engine'!$C$2:$C$1960,0)))</f>
        <v/>
      </c>
      <c r="O146" s="9">
        <f>IF(ISNA(MATCH(137,'Transfer Engine'!$C$2:$C$1960,0)),"",INDEX('Compliance Database'!$O$2:$O$1960,MATCH(137,'Transfer Engine'!$C$2:$C$1960,0)))</f>
        <v/>
      </c>
      <c r="P146" s="8">
        <f>IF(ISNA(MATCH(137,'Transfer Engine'!$C$2:$C$1960,0)),"",HYPERLINK("#Acts!A"&amp;INDEX('Compliance Database'!$P$2:$P$1960,MATCH(137,'Transfer Engine'!$C$2:$C$1960,0)),"Go to Act"))</f>
        <v/>
      </c>
    </row>
    <row r="147" ht="158" customHeight="1">
      <c r="A147" s="8">
        <f>IF(ISNA(MATCH(138,'Transfer Engine'!$C$2:$C$1960,0)),"",INDEX('Compliance Database'!$A$2:$A$1960,MATCH(138,'Transfer Engine'!$C$2:$C$1960,0)))</f>
        <v/>
      </c>
      <c r="B147" s="8">
        <f>IF(ISNA(MATCH(138,'Transfer Engine'!$C$2:$C$1960,0)),"",INDEX('Compliance Database'!$B$2:$B$1960,MATCH(138,'Transfer Engine'!$C$2:$C$1960,0)))</f>
        <v/>
      </c>
      <c r="C147" s="8">
        <f>IF(ISNA(MATCH(138,'Transfer Engine'!$C$2:$C$1960,0)),"",INDEX('Compliance Database'!$C$2:$C$1960,MATCH(138,'Transfer Engine'!$C$2:$C$1960,0)))</f>
        <v/>
      </c>
      <c r="D147" s="9">
        <f>IF(ISNA(MATCH(138,'Transfer Engine'!$C$2:$C$1960,0)),"",INDEX('Compliance Database'!$D$2:$D$1960,MATCH(138,'Transfer Engine'!$C$2:$C$1960,0)))</f>
        <v/>
      </c>
      <c r="E147" s="8">
        <f>IF(ISNA(MATCH(138,'Transfer Engine'!$C$2:$C$1960,0)),"",INDEX('Compliance Database'!$E$2:$E$1960,MATCH(138,'Transfer Engine'!$C$2:$C$1960,0)))</f>
        <v/>
      </c>
      <c r="F147" s="8">
        <f>IF(ISNA(MATCH(138,'Transfer Engine'!$C$2:$C$1960,0)),"",INDEX('Compliance Database'!$F$2:$F$1960,MATCH(138,'Transfer Engine'!$C$2:$C$1960,0)))</f>
        <v/>
      </c>
      <c r="G147" s="8">
        <f>IF(ISNA(MATCH(138,'Transfer Engine'!$C$2:$C$1960,0)),"",INDEX('Compliance Database'!$G$2:$G$1960,MATCH(138,'Transfer Engine'!$C$2:$C$1960,0)))</f>
        <v/>
      </c>
      <c r="H147" s="9">
        <f>IF(ISNA(MATCH(138,'Transfer Engine'!$C$2:$C$1960,0)),"",INDEX('Compliance Database'!$H$2:$H$1960,MATCH(138,'Transfer Engine'!$C$2:$C$1960,0)))</f>
        <v/>
      </c>
      <c r="I147" s="9">
        <f>IF(ISNA(MATCH(138,'Transfer Engine'!$C$2:$C$1960,0)),"",INDEX('Compliance Database'!$I$2:$I$1960,MATCH(138,'Transfer Engine'!$C$2:$C$1960,0)))</f>
        <v/>
      </c>
      <c r="J147" s="8">
        <f>IF(ISNA(MATCH(138,'Transfer Engine'!$C$2:$C$1960,0)),"",INDEX('Compliance Database'!$J$2:$J$1960,MATCH(138,'Transfer Engine'!$C$2:$C$1960,0)))</f>
        <v/>
      </c>
      <c r="K147" s="9">
        <f>IF(ISNA(MATCH(138,'Transfer Engine'!$C$2:$C$1960,0)),"",INDEX('Compliance Database'!$K$2:$K$1960,MATCH(138,'Transfer Engine'!$C$2:$C$1960,0)))</f>
        <v/>
      </c>
      <c r="L147" s="9">
        <f>IF(ISNA(MATCH(138,'Transfer Engine'!$C$2:$C$1960,0)),"",INDEX('Compliance Database'!$L$2:$L$1960,MATCH(138,'Transfer Engine'!$C$2:$C$1960,0)))</f>
        <v/>
      </c>
      <c r="M147" s="9">
        <f>IF(ISNA(MATCH(138,'Transfer Engine'!$C$2:$C$1960,0)),"",INDEX('Compliance Database'!$M$2:$M$1960,MATCH(138,'Transfer Engine'!$C$2:$C$1960,0)))</f>
        <v/>
      </c>
      <c r="N147" s="9">
        <f>IF(ISNA(MATCH(138,'Transfer Engine'!$C$2:$C$1960,0)),"",INDEX('Compliance Database'!$N$2:$N$1960,MATCH(138,'Transfer Engine'!$C$2:$C$1960,0)))</f>
        <v/>
      </c>
      <c r="O147" s="9">
        <f>IF(ISNA(MATCH(138,'Transfer Engine'!$C$2:$C$1960,0)),"",INDEX('Compliance Database'!$O$2:$O$1960,MATCH(138,'Transfer Engine'!$C$2:$C$1960,0)))</f>
        <v/>
      </c>
      <c r="P147" s="8">
        <f>IF(ISNA(MATCH(138,'Transfer Engine'!$C$2:$C$1960,0)),"",HYPERLINK("#Acts!A"&amp;INDEX('Compliance Database'!$P$2:$P$1960,MATCH(138,'Transfer Engine'!$C$2:$C$1960,0)),"Go to Act"))</f>
        <v/>
      </c>
    </row>
    <row r="148" ht="158" customHeight="1">
      <c r="A148" s="8">
        <f>IF(ISNA(MATCH(139,'Transfer Engine'!$C$2:$C$1960,0)),"",INDEX('Compliance Database'!$A$2:$A$1960,MATCH(139,'Transfer Engine'!$C$2:$C$1960,0)))</f>
        <v/>
      </c>
      <c r="B148" s="8">
        <f>IF(ISNA(MATCH(139,'Transfer Engine'!$C$2:$C$1960,0)),"",INDEX('Compliance Database'!$B$2:$B$1960,MATCH(139,'Transfer Engine'!$C$2:$C$1960,0)))</f>
        <v/>
      </c>
      <c r="C148" s="8">
        <f>IF(ISNA(MATCH(139,'Transfer Engine'!$C$2:$C$1960,0)),"",INDEX('Compliance Database'!$C$2:$C$1960,MATCH(139,'Transfer Engine'!$C$2:$C$1960,0)))</f>
        <v/>
      </c>
      <c r="D148" s="9">
        <f>IF(ISNA(MATCH(139,'Transfer Engine'!$C$2:$C$1960,0)),"",INDEX('Compliance Database'!$D$2:$D$1960,MATCH(139,'Transfer Engine'!$C$2:$C$1960,0)))</f>
        <v/>
      </c>
      <c r="E148" s="8">
        <f>IF(ISNA(MATCH(139,'Transfer Engine'!$C$2:$C$1960,0)),"",INDEX('Compliance Database'!$E$2:$E$1960,MATCH(139,'Transfer Engine'!$C$2:$C$1960,0)))</f>
        <v/>
      </c>
      <c r="F148" s="8">
        <f>IF(ISNA(MATCH(139,'Transfer Engine'!$C$2:$C$1960,0)),"",INDEX('Compliance Database'!$F$2:$F$1960,MATCH(139,'Transfer Engine'!$C$2:$C$1960,0)))</f>
        <v/>
      </c>
      <c r="G148" s="8">
        <f>IF(ISNA(MATCH(139,'Transfer Engine'!$C$2:$C$1960,0)),"",INDEX('Compliance Database'!$G$2:$G$1960,MATCH(139,'Transfer Engine'!$C$2:$C$1960,0)))</f>
        <v/>
      </c>
      <c r="H148" s="9">
        <f>IF(ISNA(MATCH(139,'Transfer Engine'!$C$2:$C$1960,0)),"",INDEX('Compliance Database'!$H$2:$H$1960,MATCH(139,'Transfer Engine'!$C$2:$C$1960,0)))</f>
        <v/>
      </c>
      <c r="I148" s="9">
        <f>IF(ISNA(MATCH(139,'Transfer Engine'!$C$2:$C$1960,0)),"",INDEX('Compliance Database'!$I$2:$I$1960,MATCH(139,'Transfer Engine'!$C$2:$C$1960,0)))</f>
        <v/>
      </c>
      <c r="J148" s="8">
        <f>IF(ISNA(MATCH(139,'Transfer Engine'!$C$2:$C$1960,0)),"",INDEX('Compliance Database'!$J$2:$J$1960,MATCH(139,'Transfer Engine'!$C$2:$C$1960,0)))</f>
        <v/>
      </c>
      <c r="K148" s="9">
        <f>IF(ISNA(MATCH(139,'Transfer Engine'!$C$2:$C$1960,0)),"",INDEX('Compliance Database'!$K$2:$K$1960,MATCH(139,'Transfer Engine'!$C$2:$C$1960,0)))</f>
        <v/>
      </c>
      <c r="L148" s="9">
        <f>IF(ISNA(MATCH(139,'Transfer Engine'!$C$2:$C$1960,0)),"",INDEX('Compliance Database'!$L$2:$L$1960,MATCH(139,'Transfer Engine'!$C$2:$C$1960,0)))</f>
        <v/>
      </c>
      <c r="M148" s="9">
        <f>IF(ISNA(MATCH(139,'Transfer Engine'!$C$2:$C$1960,0)),"",INDEX('Compliance Database'!$M$2:$M$1960,MATCH(139,'Transfer Engine'!$C$2:$C$1960,0)))</f>
        <v/>
      </c>
      <c r="N148" s="9">
        <f>IF(ISNA(MATCH(139,'Transfer Engine'!$C$2:$C$1960,0)),"",INDEX('Compliance Database'!$N$2:$N$1960,MATCH(139,'Transfer Engine'!$C$2:$C$1960,0)))</f>
        <v/>
      </c>
      <c r="O148" s="9">
        <f>IF(ISNA(MATCH(139,'Transfer Engine'!$C$2:$C$1960,0)),"",INDEX('Compliance Database'!$O$2:$O$1960,MATCH(139,'Transfer Engine'!$C$2:$C$1960,0)))</f>
        <v/>
      </c>
      <c r="P148" s="8">
        <f>IF(ISNA(MATCH(139,'Transfer Engine'!$C$2:$C$1960,0)),"",HYPERLINK("#Acts!A"&amp;INDEX('Compliance Database'!$P$2:$P$1960,MATCH(139,'Transfer Engine'!$C$2:$C$1960,0)),"Go to Act"))</f>
        <v/>
      </c>
    </row>
    <row r="149" ht="158" customHeight="1">
      <c r="A149" s="8">
        <f>IF(ISNA(MATCH(140,'Transfer Engine'!$C$2:$C$1960,0)),"",INDEX('Compliance Database'!$A$2:$A$1960,MATCH(140,'Transfer Engine'!$C$2:$C$1960,0)))</f>
        <v/>
      </c>
      <c r="B149" s="8">
        <f>IF(ISNA(MATCH(140,'Transfer Engine'!$C$2:$C$1960,0)),"",INDEX('Compliance Database'!$B$2:$B$1960,MATCH(140,'Transfer Engine'!$C$2:$C$1960,0)))</f>
        <v/>
      </c>
      <c r="C149" s="8">
        <f>IF(ISNA(MATCH(140,'Transfer Engine'!$C$2:$C$1960,0)),"",INDEX('Compliance Database'!$C$2:$C$1960,MATCH(140,'Transfer Engine'!$C$2:$C$1960,0)))</f>
        <v/>
      </c>
      <c r="D149" s="9">
        <f>IF(ISNA(MATCH(140,'Transfer Engine'!$C$2:$C$1960,0)),"",INDEX('Compliance Database'!$D$2:$D$1960,MATCH(140,'Transfer Engine'!$C$2:$C$1960,0)))</f>
        <v/>
      </c>
      <c r="E149" s="8">
        <f>IF(ISNA(MATCH(140,'Transfer Engine'!$C$2:$C$1960,0)),"",INDEX('Compliance Database'!$E$2:$E$1960,MATCH(140,'Transfer Engine'!$C$2:$C$1960,0)))</f>
        <v/>
      </c>
      <c r="F149" s="8">
        <f>IF(ISNA(MATCH(140,'Transfer Engine'!$C$2:$C$1960,0)),"",INDEX('Compliance Database'!$F$2:$F$1960,MATCH(140,'Transfer Engine'!$C$2:$C$1960,0)))</f>
        <v/>
      </c>
      <c r="G149" s="8">
        <f>IF(ISNA(MATCH(140,'Transfer Engine'!$C$2:$C$1960,0)),"",INDEX('Compliance Database'!$G$2:$G$1960,MATCH(140,'Transfer Engine'!$C$2:$C$1960,0)))</f>
        <v/>
      </c>
      <c r="H149" s="9">
        <f>IF(ISNA(MATCH(140,'Transfer Engine'!$C$2:$C$1960,0)),"",INDEX('Compliance Database'!$H$2:$H$1960,MATCH(140,'Transfer Engine'!$C$2:$C$1960,0)))</f>
        <v/>
      </c>
      <c r="I149" s="9">
        <f>IF(ISNA(MATCH(140,'Transfer Engine'!$C$2:$C$1960,0)),"",INDEX('Compliance Database'!$I$2:$I$1960,MATCH(140,'Transfer Engine'!$C$2:$C$1960,0)))</f>
        <v/>
      </c>
      <c r="J149" s="8">
        <f>IF(ISNA(MATCH(140,'Transfer Engine'!$C$2:$C$1960,0)),"",INDEX('Compliance Database'!$J$2:$J$1960,MATCH(140,'Transfer Engine'!$C$2:$C$1960,0)))</f>
        <v/>
      </c>
      <c r="K149" s="9">
        <f>IF(ISNA(MATCH(140,'Transfer Engine'!$C$2:$C$1960,0)),"",INDEX('Compliance Database'!$K$2:$K$1960,MATCH(140,'Transfer Engine'!$C$2:$C$1960,0)))</f>
        <v/>
      </c>
      <c r="L149" s="9">
        <f>IF(ISNA(MATCH(140,'Transfer Engine'!$C$2:$C$1960,0)),"",INDEX('Compliance Database'!$L$2:$L$1960,MATCH(140,'Transfer Engine'!$C$2:$C$1960,0)))</f>
        <v/>
      </c>
      <c r="M149" s="9">
        <f>IF(ISNA(MATCH(140,'Transfer Engine'!$C$2:$C$1960,0)),"",INDEX('Compliance Database'!$M$2:$M$1960,MATCH(140,'Transfer Engine'!$C$2:$C$1960,0)))</f>
        <v/>
      </c>
      <c r="N149" s="9">
        <f>IF(ISNA(MATCH(140,'Transfer Engine'!$C$2:$C$1960,0)),"",INDEX('Compliance Database'!$N$2:$N$1960,MATCH(140,'Transfer Engine'!$C$2:$C$1960,0)))</f>
        <v/>
      </c>
      <c r="O149" s="9">
        <f>IF(ISNA(MATCH(140,'Transfer Engine'!$C$2:$C$1960,0)),"",INDEX('Compliance Database'!$O$2:$O$1960,MATCH(140,'Transfer Engine'!$C$2:$C$1960,0)))</f>
        <v/>
      </c>
      <c r="P149" s="8">
        <f>IF(ISNA(MATCH(140,'Transfer Engine'!$C$2:$C$1960,0)),"",HYPERLINK("#Acts!A"&amp;INDEX('Compliance Database'!$P$2:$P$1960,MATCH(140,'Transfer Engine'!$C$2:$C$1960,0)),"Go to Act"))</f>
        <v/>
      </c>
    </row>
    <row r="150" ht="158" customHeight="1">
      <c r="A150" s="8">
        <f>IF(ISNA(MATCH(141,'Transfer Engine'!$C$2:$C$1960,0)),"",INDEX('Compliance Database'!$A$2:$A$1960,MATCH(141,'Transfer Engine'!$C$2:$C$1960,0)))</f>
        <v/>
      </c>
      <c r="B150" s="8">
        <f>IF(ISNA(MATCH(141,'Transfer Engine'!$C$2:$C$1960,0)),"",INDEX('Compliance Database'!$B$2:$B$1960,MATCH(141,'Transfer Engine'!$C$2:$C$1960,0)))</f>
        <v/>
      </c>
      <c r="C150" s="8">
        <f>IF(ISNA(MATCH(141,'Transfer Engine'!$C$2:$C$1960,0)),"",INDEX('Compliance Database'!$C$2:$C$1960,MATCH(141,'Transfer Engine'!$C$2:$C$1960,0)))</f>
        <v/>
      </c>
      <c r="D150" s="9">
        <f>IF(ISNA(MATCH(141,'Transfer Engine'!$C$2:$C$1960,0)),"",INDEX('Compliance Database'!$D$2:$D$1960,MATCH(141,'Transfer Engine'!$C$2:$C$1960,0)))</f>
        <v/>
      </c>
      <c r="E150" s="8">
        <f>IF(ISNA(MATCH(141,'Transfer Engine'!$C$2:$C$1960,0)),"",INDEX('Compliance Database'!$E$2:$E$1960,MATCH(141,'Transfer Engine'!$C$2:$C$1960,0)))</f>
        <v/>
      </c>
      <c r="F150" s="8">
        <f>IF(ISNA(MATCH(141,'Transfer Engine'!$C$2:$C$1960,0)),"",INDEX('Compliance Database'!$F$2:$F$1960,MATCH(141,'Transfer Engine'!$C$2:$C$1960,0)))</f>
        <v/>
      </c>
      <c r="G150" s="8">
        <f>IF(ISNA(MATCH(141,'Transfer Engine'!$C$2:$C$1960,0)),"",INDEX('Compliance Database'!$G$2:$G$1960,MATCH(141,'Transfer Engine'!$C$2:$C$1960,0)))</f>
        <v/>
      </c>
      <c r="H150" s="9">
        <f>IF(ISNA(MATCH(141,'Transfer Engine'!$C$2:$C$1960,0)),"",INDEX('Compliance Database'!$H$2:$H$1960,MATCH(141,'Transfer Engine'!$C$2:$C$1960,0)))</f>
        <v/>
      </c>
      <c r="I150" s="9">
        <f>IF(ISNA(MATCH(141,'Transfer Engine'!$C$2:$C$1960,0)),"",INDEX('Compliance Database'!$I$2:$I$1960,MATCH(141,'Transfer Engine'!$C$2:$C$1960,0)))</f>
        <v/>
      </c>
      <c r="J150" s="8">
        <f>IF(ISNA(MATCH(141,'Transfer Engine'!$C$2:$C$1960,0)),"",INDEX('Compliance Database'!$J$2:$J$1960,MATCH(141,'Transfer Engine'!$C$2:$C$1960,0)))</f>
        <v/>
      </c>
      <c r="K150" s="9">
        <f>IF(ISNA(MATCH(141,'Transfer Engine'!$C$2:$C$1960,0)),"",INDEX('Compliance Database'!$K$2:$K$1960,MATCH(141,'Transfer Engine'!$C$2:$C$1960,0)))</f>
        <v/>
      </c>
      <c r="L150" s="9">
        <f>IF(ISNA(MATCH(141,'Transfer Engine'!$C$2:$C$1960,0)),"",INDEX('Compliance Database'!$L$2:$L$1960,MATCH(141,'Transfer Engine'!$C$2:$C$1960,0)))</f>
        <v/>
      </c>
      <c r="M150" s="9">
        <f>IF(ISNA(MATCH(141,'Transfer Engine'!$C$2:$C$1960,0)),"",INDEX('Compliance Database'!$M$2:$M$1960,MATCH(141,'Transfer Engine'!$C$2:$C$1960,0)))</f>
        <v/>
      </c>
      <c r="N150" s="9">
        <f>IF(ISNA(MATCH(141,'Transfer Engine'!$C$2:$C$1960,0)),"",INDEX('Compliance Database'!$N$2:$N$1960,MATCH(141,'Transfer Engine'!$C$2:$C$1960,0)))</f>
        <v/>
      </c>
      <c r="O150" s="9">
        <f>IF(ISNA(MATCH(141,'Transfer Engine'!$C$2:$C$1960,0)),"",INDEX('Compliance Database'!$O$2:$O$1960,MATCH(141,'Transfer Engine'!$C$2:$C$1960,0)))</f>
        <v/>
      </c>
      <c r="P150" s="8">
        <f>IF(ISNA(MATCH(141,'Transfer Engine'!$C$2:$C$1960,0)),"",HYPERLINK("#Acts!A"&amp;INDEX('Compliance Database'!$P$2:$P$1960,MATCH(141,'Transfer Engine'!$C$2:$C$1960,0)),"Go to Act"))</f>
        <v/>
      </c>
    </row>
    <row r="151" ht="158" customHeight="1">
      <c r="A151" s="8">
        <f>IF(ISNA(MATCH(142,'Transfer Engine'!$C$2:$C$1960,0)),"",INDEX('Compliance Database'!$A$2:$A$1960,MATCH(142,'Transfer Engine'!$C$2:$C$1960,0)))</f>
        <v/>
      </c>
      <c r="B151" s="8">
        <f>IF(ISNA(MATCH(142,'Transfer Engine'!$C$2:$C$1960,0)),"",INDEX('Compliance Database'!$B$2:$B$1960,MATCH(142,'Transfer Engine'!$C$2:$C$1960,0)))</f>
        <v/>
      </c>
      <c r="C151" s="8">
        <f>IF(ISNA(MATCH(142,'Transfer Engine'!$C$2:$C$1960,0)),"",INDEX('Compliance Database'!$C$2:$C$1960,MATCH(142,'Transfer Engine'!$C$2:$C$1960,0)))</f>
        <v/>
      </c>
      <c r="D151" s="9">
        <f>IF(ISNA(MATCH(142,'Transfer Engine'!$C$2:$C$1960,0)),"",INDEX('Compliance Database'!$D$2:$D$1960,MATCH(142,'Transfer Engine'!$C$2:$C$1960,0)))</f>
        <v/>
      </c>
      <c r="E151" s="8">
        <f>IF(ISNA(MATCH(142,'Transfer Engine'!$C$2:$C$1960,0)),"",INDEX('Compliance Database'!$E$2:$E$1960,MATCH(142,'Transfer Engine'!$C$2:$C$1960,0)))</f>
        <v/>
      </c>
      <c r="F151" s="8">
        <f>IF(ISNA(MATCH(142,'Transfer Engine'!$C$2:$C$1960,0)),"",INDEX('Compliance Database'!$F$2:$F$1960,MATCH(142,'Transfer Engine'!$C$2:$C$1960,0)))</f>
        <v/>
      </c>
      <c r="G151" s="8">
        <f>IF(ISNA(MATCH(142,'Transfer Engine'!$C$2:$C$1960,0)),"",INDEX('Compliance Database'!$G$2:$G$1960,MATCH(142,'Transfer Engine'!$C$2:$C$1960,0)))</f>
        <v/>
      </c>
      <c r="H151" s="9">
        <f>IF(ISNA(MATCH(142,'Transfer Engine'!$C$2:$C$1960,0)),"",INDEX('Compliance Database'!$H$2:$H$1960,MATCH(142,'Transfer Engine'!$C$2:$C$1960,0)))</f>
        <v/>
      </c>
      <c r="I151" s="9">
        <f>IF(ISNA(MATCH(142,'Transfer Engine'!$C$2:$C$1960,0)),"",INDEX('Compliance Database'!$I$2:$I$1960,MATCH(142,'Transfer Engine'!$C$2:$C$1960,0)))</f>
        <v/>
      </c>
      <c r="J151" s="8">
        <f>IF(ISNA(MATCH(142,'Transfer Engine'!$C$2:$C$1960,0)),"",INDEX('Compliance Database'!$J$2:$J$1960,MATCH(142,'Transfer Engine'!$C$2:$C$1960,0)))</f>
        <v/>
      </c>
      <c r="K151" s="9">
        <f>IF(ISNA(MATCH(142,'Transfer Engine'!$C$2:$C$1960,0)),"",INDEX('Compliance Database'!$K$2:$K$1960,MATCH(142,'Transfer Engine'!$C$2:$C$1960,0)))</f>
        <v/>
      </c>
      <c r="L151" s="9">
        <f>IF(ISNA(MATCH(142,'Transfer Engine'!$C$2:$C$1960,0)),"",INDEX('Compliance Database'!$L$2:$L$1960,MATCH(142,'Transfer Engine'!$C$2:$C$1960,0)))</f>
        <v/>
      </c>
      <c r="M151" s="9">
        <f>IF(ISNA(MATCH(142,'Transfer Engine'!$C$2:$C$1960,0)),"",INDEX('Compliance Database'!$M$2:$M$1960,MATCH(142,'Transfer Engine'!$C$2:$C$1960,0)))</f>
        <v/>
      </c>
      <c r="N151" s="9">
        <f>IF(ISNA(MATCH(142,'Transfer Engine'!$C$2:$C$1960,0)),"",INDEX('Compliance Database'!$N$2:$N$1960,MATCH(142,'Transfer Engine'!$C$2:$C$1960,0)))</f>
        <v/>
      </c>
      <c r="O151" s="9">
        <f>IF(ISNA(MATCH(142,'Transfer Engine'!$C$2:$C$1960,0)),"",INDEX('Compliance Database'!$O$2:$O$1960,MATCH(142,'Transfer Engine'!$C$2:$C$1960,0)))</f>
        <v/>
      </c>
      <c r="P151" s="8">
        <f>IF(ISNA(MATCH(142,'Transfer Engine'!$C$2:$C$1960,0)),"",HYPERLINK("#Acts!A"&amp;INDEX('Compliance Database'!$P$2:$P$1960,MATCH(142,'Transfer Engine'!$C$2:$C$1960,0)),"Go to Act"))</f>
        <v/>
      </c>
    </row>
    <row r="152" ht="158" customHeight="1">
      <c r="A152" s="8">
        <f>IF(ISNA(MATCH(143,'Transfer Engine'!$C$2:$C$1960,0)),"",INDEX('Compliance Database'!$A$2:$A$1960,MATCH(143,'Transfer Engine'!$C$2:$C$1960,0)))</f>
        <v/>
      </c>
      <c r="B152" s="8">
        <f>IF(ISNA(MATCH(143,'Transfer Engine'!$C$2:$C$1960,0)),"",INDEX('Compliance Database'!$B$2:$B$1960,MATCH(143,'Transfer Engine'!$C$2:$C$1960,0)))</f>
        <v/>
      </c>
      <c r="C152" s="8">
        <f>IF(ISNA(MATCH(143,'Transfer Engine'!$C$2:$C$1960,0)),"",INDEX('Compliance Database'!$C$2:$C$1960,MATCH(143,'Transfer Engine'!$C$2:$C$1960,0)))</f>
        <v/>
      </c>
      <c r="D152" s="9">
        <f>IF(ISNA(MATCH(143,'Transfer Engine'!$C$2:$C$1960,0)),"",INDEX('Compliance Database'!$D$2:$D$1960,MATCH(143,'Transfer Engine'!$C$2:$C$1960,0)))</f>
        <v/>
      </c>
      <c r="E152" s="8">
        <f>IF(ISNA(MATCH(143,'Transfer Engine'!$C$2:$C$1960,0)),"",INDEX('Compliance Database'!$E$2:$E$1960,MATCH(143,'Transfer Engine'!$C$2:$C$1960,0)))</f>
        <v/>
      </c>
      <c r="F152" s="8">
        <f>IF(ISNA(MATCH(143,'Transfer Engine'!$C$2:$C$1960,0)),"",INDEX('Compliance Database'!$F$2:$F$1960,MATCH(143,'Transfer Engine'!$C$2:$C$1960,0)))</f>
        <v/>
      </c>
      <c r="G152" s="8">
        <f>IF(ISNA(MATCH(143,'Transfer Engine'!$C$2:$C$1960,0)),"",INDEX('Compliance Database'!$G$2:$G$1960,MATCH(143,'Transfer Engine'!$C$2:$C$1960,0)))</f>
        <v/>
      </c>
      <c r="H152" s="9">
        <f>IF(ISNA(MATCH(143,'Transfer Engine'!$C$2:$C$1960,0)),"",INDEX('Compliance Database'!$H$2:$H$1960,MATCH(143,'Transfer Engine'!$C$2:$C$1960,0)))</f>
        <v/>
      </c>
      <c r="I152" s="9">
        <f>IF(ISNA(MATCH(143,'Transfer Engine'!$C$2:$C$1960,0)),"",INDEX('Compliance Database'!$I$2:$I$1960,MATCH(143,'Transfer Engine'!$C$2:$C$1960,0)))</f>
        <v/>
      </c>
      <c r="J152" s="8">
        <f>IF(ISNA(MATCH(143,'Transfer Engine'!$C$2:$C$1960,0)),"",INDEX('Compliance Database'!$J$2:$J$1960,MATCH(143,'Transfer Engine'!$C$2:$C$1960,0)))</f>
        <v/>
      </c>
      <c r="K152" s="9">
        <f>IF(ISNA(MATCH(143,'Transfer Engine'!$C$2:$C$1960,0)),"",INDEX('Compliance Database'!$K$2:$K$1960,MATCH(143,'Transfer Engine'!$C$2:$C$1960,0)))</f>
        <v/>
      </c>
      <c r="L152" s="9">
        <f>IF(ISNA(MATCH(143,'Transfer Engine'!$C$2:$C$1960,0)),"",INDEX('Compliance Database'!$L$2:$L$1960,MATCH(143,'Transfer Engine'!$C$2:$C$1960,0)))</f>
        <v/>
      </c>
      <c r="M152" s="9">
        <f>IF(ISNA(MATCH(143,'Transfer Engine'!$C$2:$C$1960,0)),"",INDEX('Compliance Database'!$M$2:$M$1960,MATCH(143,'Transfer Engine'!$C$2:$C$1960,0)))</f>
        <v/>
      </c>
      <c r="N152" s="9">
        <f>IF(ISNA(MATCH(143,'Transfer Engine'!$C$2:$C$1960,0)),"",INDEX('Compliance Database'!$N$2:$N$1960,MATCH(143,'Transfer Engine'!$C$2:$C$1960,0)))</f>
        <v/>
      </c>
      <c r="O152" s="9">
        <f>IF(ISNA(MATCH(143,'Transfer Engine'!$C$2:$C$1960,0)),"",INDEX('Compliance Database'!$O$2:$O$1960,MATCH(143,'Transfer Engine'!$C$2:$C$1960,0)))</f>
        <v/>
      </c>
      <c r="P152" s="8">
        <f>IF(ISNA(MATCH(143,'Transfer Engine'!$C$2:$C$1960,0)),"",HYPERLINK("#Acts!A"&amp;INDEX('Compliance Database'!$P$2:$P$1960,MATCH(143,'Transfer Engine'!$C$2:$C$1960,0)),"Go to Act"))</f>
        <v/>
      </c>
    </row>
    <row r="153" ht="158" customHeight="1">
      <c r="A153" s="8">
        <f>IF(ISNA(MATCH(144,'Transfer Engine'!$C$2:$C$1960,0)),"",INDEX('Compliance Database'!$A$2:$A$1960,MATCH(144,'Transfer Engine'!$C$2:$C$1960,0)))</f>
        <v/>
      </c>
      <c r="B153" s="8">
        <f>IF(ISNA(MATCH(144,'Transfer Engine'!$C$2:$C$1960,0)),"",INDEX('Compliance Database'!$B$2:$B$1960,MATCH(144,'Transfer Engine'!$C$2:$C$1960,0)))</f>
        <v/>
      </c>
      <c r="C153" s="8">
        <f>IF(ISNA(MATCH(144,'Transfer Engine'!$C$2:$C$1960,0)),"",INDEX('Compliance Database'!$C$2:$C$1960,MATCH(144,'Transfer Engine'!$C$2:$C$1960,0)))</f>
        <v/>
      </c>
      <c r="D153" s="9">
        <f>IF(ISNA(MATCH(144,'Transfer Engine'!$C$2:$C$1960,0)),"",INDEX('Compliance Database'!$D$2:$D$1960,MATCH(144,'Transfer Engine'!$C$2:$C$1960,0)))</f>
        <v/>
      </c>
      <c r="E153" s="8">
        <f>IF(ISNA(MATCH(144,'Transfer Engine'!$C$2:$C$1960,0)),"",INDEX('Compliance Database'!$E$2:$E$1960,MATCH(144,'Transfer Engine'!$C$2:$C$1960,0)))</f>
        <v/>
      </c>
      <c r="F153" s="8">
        <f>IF(ISNA(MATCH(144,'Transfer Engine'!$C$2:$C$1960,0)),"",INDEX('Compliance Database'!$F$2:$F$1960,MATCH(144,'Transfer Engine'!$C$2:$C$1960,0)))</f>
        <v/>
      </c>
      <c r="G153" s="8">
        <f>IF(ISNA(MATCH(144,'Transfer Engine'!$C$2:$C$1960,0)),"",INDEX('Compliance Database'!$G$2:$G$1960,MATCH(144,'Transfer Engine'!$C$2:$C$1960,0)))</f>
        <v/>
      </c>
      <c r="H153" s="9">
        <f>IF(ISNA(MATCH(144,'Transfer Engine'!$C$2:$C$1960,0)),"",INDEX('Compliance Database'!$H$2:$H$1960,MATCH(144,'Transfer Engine'!$C$2:$C$1960,0)))</f>
        <v/>
      </c>
      <c r="I153" s="9">
        <f>IF(ISNA(MATCH(144,'Transfer Engine'!$C$2:$C$1960,0)),"",INDEX('Compliance Database'!$I$2:$I$1960,MATCH(144,'Transfer Engine'!$C$2:$C$1960,0)))</f>
        <v/>
      </c>
      <c r="J153" s="8">
        <f>IF(ISNA(MATCH(144,'Transfer Engine'!$C$2:$C$1960,0)),"",INDEX('Compliance Database'!$J$2:$J$1960,MATCH(144,'Transfer Engine'!$C$2:$C$1960,0)))</f>
        <v/>
      </c>
      <c r="K153" s="9">
        <f>IF(ISNA(MATCH(144,'Transfer Engine'!$C$2:$C$1960,0)),"",INDEX('Compliance Database'!$K$2:$K$1960,MATCH(144,'Transfer Engine'!$C$2:$C$1960,0)))</f>
        <v/>
      </c>
      <c r="L153" s="9">
        <f>IF(ISNA(MATCH(144,'Transfer Engine'!$C$2:$C$1960,0)),"",INDEX('Compliance Database'!$L$2:$L$1960,MATCH(144,'Transfer Engine'!$C$2:$C$1960,0)))</f>
        <v/>
      </c>
      <c r="M153" s="9">
        <f>IF(ISNA(MATCH(144,'Transfer Engine'!$C$2:$C$1960,0)),"",INDEX('Compliance Database'!$M$2:$M$1960,MATCH(144,'Transfer Engine'!$C$2:$C$1960,0)))</f>
        <v/>
      </c>
      <c r="N153" s="9">
        <f>IF(ISNA(MATCH(144,'Transfer Engine'!$C$2:$C$1960,0)),"",INDEX('Compliance Database'!$N$2:$N$1960,MATCH(144,'Transfer Engine'!$C$2:$C$1960,0)))</f>
        <v/>
      </c>
      <c r="O153" s="9">
        <f>IF(ISNA(MATCH(144,'Transfer Engine'!$C$2:$C$1960,0)),"",INDEX('Compliance Database'!$O$2:$O$1960,MATCH(144,'Transfer Engine'!$C$2:$C$1960,0)))</f>
        <v/>
      </c>
      <c r="P153" s="8">
        <f>IF(ISNA(MATCH(144,'Transfer Engine'!$C$2:$C$1960,0)),"",HYPERLINK("#Acts!A"&amp;INDEX('Compliance Database'!$P$2:$P$1960,MATCH(144,'Transfer Engine'!$C$2:$C$1960,0)),"Go to Act"))</f>
        <v/>
      </c>
    </row>
    <row r="154" ht="158" customHeight="1">
      <c r="A154" s="8">
        <f>IF(ISNA(MATCH(145,'Transfer Engine'!$C$2:$C$1960,0)),"",INDEX('Compliance Database'!$A$2:$A$1960,MATCH(145,'Transfer Engine'!$C$2:$C$1960,0)))</f>
        <v/>
      </c>
      <c r="B154" s="8">
        <f>IF(ISNA(MATCH(145,'Transfer Engine'!$C$2:$C$1960,0)),"",INDEX('Compliance Database'!$B$2:$B$1960,MATCH(145,'Transfer Engine'!$C$2:$C$1960,0)))</f>
        <v/>
      </c>
      <c r="C154" s="8">
        <f>IF(ISNA(MATCH(145,'Transfer Engine'!$C$2:$C$1960,0)),"",INDEX('Compliance Database'!$C$2:$C$1960,MATCH(145,'Transfer Engine'!$C$2:$C$1960,0)))</f>
        <v/>
      </c>
      <c r="D154" s="9">
        <f>IF(ISNA(MATCH(145,'Transfer Engine'!$C$2:$C$1960,0)),"",INDEX('Compliance Database'!$D$2:$D$1960,MATCH(145,'Transfer Engine'!$C$2:$C$1960,0)))</f>
        <v/>
      </c>
      <c r="E154" s="8">
        <f>IF(ISNA(MATCH(145,'Transfer Engine'!$C$2:$C$1960,0)),"",INDEX('Compliance Database'!$E$2:$E$1960,MATCH(145,'Transfer Engine'!$C$2:$C$1960,0)))</f>
        <v/>
      </c>
      <c r="F154" s="8">
        <f>IF(ISNA(MATCH(145,'Transfer Engine'!$C$2:$C$1960,0)),"",INDEX('Compliance Database'!$F$2:$F$1960,MATCH(145,'Transfer Engine'!$C$2:$C$1960,0)))</f>
        <v/>
      </c>
      <c r="G154" s="8">
        <f>IF(ISNA(MATCH(145,'Transfer Engine'!$C$2:$C$1960,0)),"",INDEX('Compliance Database'!$G$2:$G$1960,MATCH(145,'Transfer Engine'!$C$2:$C$1960,0)))</f>
        <v/>
      </c>
      <c r="H154" s="9">
        <f>IF(ISNA(MATCH(145,'Transfer Engine'!$C$2:$C$1960,0)),"",INDEX('Compliance Database'!$H$2:$H$1960,MATCH(145,'Transfer Engine'!$C$2:$C$1960,0)))</f>
        <v/>
      </c>
      <c r="I154" s="9">
        <f>IF(ISNA(MATCH(145,'Transfer Engine'!$C$2:$C$1960,0)),"",INDEX('Compliance Database'!$I$2:$I$1960,MATCH(145,'Transfer Engine'!$C$2:$C$1960,0)))</f>
        <v/>
      </c>
      <c r="J154" s="8">
        <f>IF(ISNA(MATCH(145,'Transfer Engine'!$C$2:$C$1960,0)),"",INDEX('Compliance Database'!$J$2:$J$1960,MATCH(145,'Transfer Engine'!$C$2:$C$1960,0)))</f>
        <v/>
      </c>
      <c r="K154" s="9">
        <f>IF(ISNA(MATCH(145,'Transfer Engine'!$C$2:$C$1960,0)),"",INDEX('Compliance Database'!$K$2:$K$1960,MATCH(145,'Transfer Engine'!$C$2:$C$1960,0)))</f>
        <v/>
      </c>
      <c r="L154" s="9">
        <f>IF(ISNA(MATCH(145,'Transfer Engine'!$C$2:$C$1960,0)),"",INDEX('Compliance Database'!$L$2:$L$1960,MATCH(145,'Transfer Engine'!$C$2:$C$1960,0)))</f>
        <v/>
      </c>
      <c r="M154" s="9">
        <f>IF(ISNA(MATCH(145,'Transfer Engine'!$C$2:$C$1960,0)),"",INDEX('Compliance Database'!$M$2:$M$1960,MATCH(145,'Transfer Engine'!$C$2:$C$1960,0)))</f>
        <v/>
      </c>
      <c r="N154" s="9">
        <f>IF(ISNA(MATCH(145,'Transfer Engine'!$C$2:$C$1960,0)),"",INDEX('Compliance Database'!$N$2:$N$1960,MATCH(145,'Transfer Engine'!$C$2:$C$1960,0)))</f>
        <v/>
      </c>
      <c r="O154" s="9">
        <f>IF(ISNA(MATCH(145,'Transfer Engine'!$C$2:$C$1960,0)),"",INDEX('Compliance Database'!$O$2:$O$1960,MATCH(145,'Transfer Engine'!$C$2:$C$1960,0)))</f>
        <v/>
      </c>
      <c r="P154" s="8">
        <f>IF(ISNA(MATCH(145,'Transfer Engine'!$C$2:$C$1960,0)),"",HYPERLINK("#Acts!A"&amp;INDEX('Compliance Database'!$P$2:$P$1960,MATCH(145,'Transfer Engine'!$C$2:$C$1960,0)),"Go to Act"))</f>
        <v/>
      </c>
    </row>
    <row r="155" ht="158" customHeight="1">
      <c r="A155" s="8">
        <f>IF(ISNA(MATCH(146,'Transfer Engine'!$C$2:$C$1960,0)),"",INDEX('Compliance Database'!$A$2:$A$1960,MATCH(146,'Transfer Engine'!$C$2:$C$1960,0)))</f>
        <v/>
      </c>
      <c r="B155" s="8">
        <f>IF(ISNA(MATCH(146,'Transfer Engine'!$C$2:$C$1960,0)),"",INDEX('Compliance Database'!$B$2:$B$1960,MATCH(146,'Transfer Engine'!$C$2:$C$1960,0)))</f>
        <v/>
      </c>
      <c r="C155" s="8">
        <f>IF(ISNA(MATCH(146,'Transfer Engine'!$C$2:$C$1960,0)),"",INDEX('Compliance Database'!$C$2:$C$1960,MATCH(146,'Transfer Engine'!$C$2:$C$1960,0)))</f>
        <v/>
      </c>
      <c r="D155" s="9">
        <f>IF(ISNA(MATCH(146,'Transfer Engine'!$C$2:$C$1960,0)),"",INDEX('Compliance Database'!$D$2:$D$1960,MATCH(146,'Transfer Engine'!$C$2:$C$1960,0)))</f>
        <v/>
      </c>
      <c r="E155" s="8">
        <f>IF(ISNA(MATCH(146,'Transfer Engine'!$C$2:$C$1960,0)),"",INDEX('Compliance Database'!$E$2:$E$1960,MATCH(146,'Transfer Engine'!$C$2:$C$1960,0)))</f>
        <v/>
      </c>
      <c r="F155" s="8">
        <f>IF(ISNA(MATCH(146,'Transfer Engine'!$C$2:$C$1960,0)),"",INDEX('Compliance Database'!$F$2:$F$1960,MATCH(146,'Transfer Engine'!$C$2:$C$1960,0)))</f>
        <v/>
      </c>
      <c r="G155" s="8">
        <f>IF(ISNA(MATCH(146,'Transfer Engine'!$C$2:$C$1960,0)),"",INDEX('Compliance Database'!$G$2:$G$1960,MATCH(146,'Transfer Engine'!$C$2:$C$1960,0)))</f>
        <v/>
      </c>
      <c r="H155" s="9">
        <f>IF(ISNA(MATCH(146,'Transfer Engine'!$C$2:$C$1960,0)),"",INDEX('Compliance Database'!$H$2:$H$1960,MATCH(146,'Transfer Engine'!$C$2:$C$1960,0)))</f>
        <v/>
      </c>
      <c r="I155" s="9">
        <f>IF(ISNA(MATCH(146,'Transfer Engine'!$C$2:$C$1960,0)),"",INDEX('Compliance Database'!$I$2:$I$1960,MATCH(146,'Transfer Engine'!$C$2:$C$1960,0)))</f>
        <v/>
      </c>
      <c r="J155" s="8">
        <f>IF(ISNA(MATCH(146,'Transfer Engine'!$C$2:$C$1960,0)),"",INDEX('Compliance Database'!$J$2:$J$1960,MATCH(146,'Transfer Engine'!$C$2:$C$1960,0)))</f>
        <v/>
      </c>
      <c r="K155" s="9">
        <f>IF(ISNA(MATCH(146,'Transfer Engine'!$C$2:$C$1960,0)),"",INDEX('Compliance Database'!$K$2:$K$1960,MATCH(146,'Transfer Engine'!$C$2:$C$1960,0)))</f>
        <v/>
      </c>
      <c r="L155" s="9">
        <f>IF(ISNA(MATCH(146,'Transfer Engine'!$C$2:$C$1960,0)),"",INDEX('Compliance Database'!$L$2:$L$1960,MATCH(146,'Transfer Engine'!$C$2:$C$1960,0)))</f>
        <v/>
      </c>
      <c r="M155" s="9">
        <f>IF(ISNA(MATCH(146,'Transfer Engine'!$C$2:$C$1960,0)),"",INDEX('Compliance Database'!$M$2:$M$1960,MATCH(146,'Transfer Engine'!$C$2:$C$1960,0)))</f>
        <v/>
      </c>
      <c r="N155" s="9">
        <f>IF(ISNA(MATCH(146,'Transfer Engine'!$C$2:$C$1960,0)),"",INDEX('Compliance Database'!$N$2:$N$1960,MATCH(146,'Transfer Engine'!$C$2:$C$1960,0)))</f>
        <v/>
      </c>
      <c r="O155" s="9">
        <f>IF(ISNA(MATCH(146,'Transfer Engine'!$C$2:$C$1960,0)),"",INDEX('Compliance Database'!$O$2:$O$1960,MATCH(146,'Transfer Engine'!$C$2:$C$1960,0)))</f>
        <v/>
      </c>
      <c r="P155" s="8">
        <f>IF(ISNA(MATCH(146,'Transfer Engine'!$C$2:$C$1960,0)),"",HYPERLINK("#Acts!A"&amp;INDEX('Compliance Database'!$P$2:$P$1960,MATCH(146,'Transfer Engine'!$C$2:$C$1960,0)),"Go to Act"))</f>
        <v/>
      </c>
    </row>
    <row r="156" ht="158" customHeight="1">
      <c r="A156" s="8">
        <f>IF(ISNA(MATCH(147,'Transfer Engine'!$C$2:$C$1960,0)),"",INDEX('Compliance Database'!$A$2:$A$1960,MATCH(147,'Transfer Engine'!$C$2:$C$1960,0)))</f>
        <v/>
      </c>
      <c r="B156" s="8">
        <f>IF(ISNA(MATCH(147,'Transfer Engine'!$C$2:$C$1960,0)),"",INDEX('Compliance Database'!$B$2:$B$1960,MATCH(147,'Transfer Engine'!$C$2:$C$1960,0)))</f>
        <v/>
      </c>
      <c r="C156" s="8">
        <f>IF(ISNA(MATCH(147,'Transfer Engine'!$C$2:$C$1960,0)),"",INDEX('Compliance Database'!$C$2:$C$1960,MATCH(147,'Transfer Engine'!$C$2:$C$1960,0)))</f>
        <v/>
      </c>
      <c r="D156" s="9">
        <f>IF(ISNA(MATCH(147,'Transfer Engine'!$C$2:$C$1960,0)),"",INDEX('Compliance Database'!$D$2:$D$1960,MATCH(147,'Transfer Engine'!$C$2:$C$1960,0)))</f>
        <v/>
      </c>
      <c r="E156" s="8">
        <f>IF(ISNA(MATCH(147,'Transfer Engine'!$C$2:$C$1960,0)),"",INDEX('Compliance Database'!$E$2:$E$1960,MATCH(147,'Transfer Engine'!$C$2:$C$1960,0)))</f>
        <v/>
      </c>
      <c r="F156" s="8">
        <f>IF(ISNA(MATCH(147,'Transfer Engine'!$C$2:$C$1960,0)),"",INDEX('Compliance Database'!$F$2:$F$1960,MATCH(147,'Transfer Engine'!$C$2:$C$1960,0)))</f>
        <v/>
      </c>
      <c r="G156" s="8">
        <f>IF(ISNA(MATCH(147,'Transfer Engine'!$C$2:$C$1960,0)),"",INDEX('Compliance Database'!$G$2:$G$1960,MATCH(147,'Transfer Engine'!$C$2:$C$1960,0)))</f>
        <v/>
      </c>
      <c r="H156" s="9">
        <f>IF(ISNA(MATCH(147,'Transfer Engine'!$C$2:$C$1960,0)),"",INDEX('Compliance Database'!$H$2:$H$1960,MATCH(147,'Transfer Engine'!$C$2:$C$1960,0)))</f>
        <v/>
      </c>
      <c r="I156" s="9">
        <f>IF(ISNA(MATCH(147,'Transfer Engine'!$C$2:$C$1960,0)),"",INDEX('Compliance Database'!$I$2:$I$1960,MATCH(147,'Transfer Engine'!$C$2:$C$1960,0)))</f>
        <v/>
      </c>
      <c r="J156" s="8">
        <f>IF(ISNA(MATCH(147,'Transfer Engine'!$C$2:$C$1960,0)),"",INDEX('Compliance Database'!$J$2:$J$1960,MATCH(147,'Transfer Engine'!$C$2:$C$1960,0)))</f>
        <v/>
      </c>
      <c r="K156" s="9">
        <f>IF(ISNA(MATCH(147,'Transfer Engine'!$C$2:$C$1960,0)),"",INDEX('Compliance Database'!$K$2:$K$1960,MATCH(147,'Transfer Engine'!$C$2:$C$1960,0)))</f>
        <v/>
      </c>
      <c r="L156" s="9">
        <f>IF(ISNA(MATCH(147,'Transfer Engine'!$C$2:$C$1960,0)),"",INDEX('Compliance Database'!$L$2:$L$1960,MATCH(147,'Transfer Engine'!$C$2:$C$1960,0)))</f>
        <v/>
      </c>
      <c r="M156" s="9">
        <f>IF(ISNA(MATCH(147,'Transfer Engine'!$C$2:$C$1960,0)),"",INDEX('Compliance Database'!$M$2:$M$1960,MATCH(147,'Transfer Engine'!$C$2:$C$1960,0)))</f>
        <v/>
      </c>
      <c r="N156" s="9">
        <f>IF(ISNA(MATCH(147,'Transfer Engine'!$C$2:$C$1960,0)),"",INDEX('Compliance Database'!$N$2:$N$1960,MATCH(147,'Transfer Engine'!$C$2:$C$1960,0)))</f>
        <v/>
      </c>
      <c r="O156" s="9">
        <f>IF(ISNA(MATCH(147,'Transfer Engine'!$C$2:$C$1960,0)),"",INDEX('Compliance Database'!$O$2:$O$1960,MATCH(147,'Transfer Engine'!$C$2:$C$1960,0)))</f>
        <v/>
      </c>
      <c r="P156" s="8">
        <f>IF(ISNA(MATCH(147,'Transfer Engine'!$C$2:$C$1960,0)),"",HYPERLINK("#Acts!A"&amp;INDEX('Compliance Database'!$P$2:$P$1960,MATCH(147,'Transfer Engine'!$C$2:$C$1960,0)),"Go to Act"))</f>
        <v/>
      </c>
    </row>
    <row r="157" ht="158" customHeight="1">
      <c r="A157" s="8">
        <f>IF(ISNA(MATCH(148,'Transfer Engine'!$C$2:$C$1960,0)),"",INDEX('Compliance Database'!$A$2:$A$1960,MATCH(148,'Transfer Engine'!$C$2:$C$1960,0)))</f>
        <v/>
      </c>
      <c r="B157" s="8">
        <f>IF(ISNA(MATCH(148,'Transfer Engine'!$C$2:$C$1960,0)),"",INDEX('Compliance Database'!$B$2:$B$1960,MATCH(148,'Transfer Engine'!$C$2:$C$1960,0)))</f>
        <v/>
      </c>
      <c r="C157" s="8">
        <f>IF(ISNA(MATCH(148,'Transfer Engine'!$C$2:$C$1960,0)),"",INDEX('Compliance Database'!$C$2:$C$1960,MATCH(148,'Transfer Engine'!$C$2:$C$1960,0)))</f>
        <v/>
      </c>
      <c r="D157" s="9">
        <f>IF(ISNA(MATCH(148,'Transfer Engine'!$C$2:$C$1960,0)),"",INDEX('Compliance Database'!$D$2:$D$1960,MATCH(148,'Transfer Engine'!$C$2:$C$1960,0)))</f>
        <v/>
      </c>
      <c r="E157" s="8">
        <f>IF(ISNA(MATCH(148,'Transfer Engine'!$C$2:$C$1960,0)),"",INDEX('Compliance Database'!$E$2:$E$1960,MATCH(148,'Transfer Engine'!$C$2:$C$1960,0)))</f>
        <v/>
      </c>
      <c r="F157" s="8">
        <f>IF(ISNA(MATCH(148,'Transfer Engine'!$C$2:$C$1960,0)),"",INDEX('Compliance Database'!$F$2:$F$1960,MATCH(148,'Transfer Engine'!$C$2:$C$1960,0)))</f>
        <v/>
      </c>
      <c r="G157" s="8">
        <f>IF(ISNA(MATCH(148,'Transfer Engine'!$C$2:$C$1960,0)),"",INDEX('Compliance Database'!$G$2:$G$1960,MATCH(148,'Transfer Engine'!$C$2:$C$1960,0)))</f>
        <v/>
      </c>
      <c r="H157" s="9">
        <f>IF(ISNA(MATCH(148,'Transfer Engine'!$C$2:$C$1960,0)),"",INDEX('Compliance Database'!$H$2:$H$1960,MATCH(148,'Transfer Engine'!$C$2:$C$1960,0)))</f>
        <v/>
      </c>
      <c r="I157" s="9">
        <f>IF(ISNA(MATCH(148,'Transfer Engine'!$C$2:$C$1960,0)),"",INDEX('Compliance Database'!$I$2:$I$1960,MATCH(148,'Transfer Engine'!$C$2:$C$1960,0)))</f>
        <v/>
      </c>
      <c r="J157" s="8">
        <f>IF(ISNA(MATCH(148,'Transfer Engine'!$C$2:$C$1960,0)),"",INDEX('Compliance Database'!$J$2:$J$1960,MATCH(148,'Transfer Engine'!$C$2:$C$1960,0)))</f>
        <v/>
      </c>
      <c r="K157" s="9">
        <f>IF(ISNA(MATCH(148,'Transfer Engine'!$C$2:$C$1960,0)),"",INDEX('Compliance Database'!$K$2:$K$1960,MATCH(148,'Transfer Engine'!$C$2:$C$1960,0)))</f>
        <v/>
      </c>
      <c r="L157" s="9">
        <f>IF(ISNA(MATCH(148,'Transfer Engine'!$C$2:$C$1960,0)),"",INDEX('Compliance Database'!$L$2:$L$1960,MATCH(148,'Transfer Engine'!$C$2:$C$1960,0)))</f>
        <v/>
      </c>
      <c r="M157" s="9">
        <f>IF(ISNA(MATCH(148,'Transfer Engine'!$C$2:$C$1960,0)),"",INDEX('Compliance Database'!$M$2:$M$1960,MATCH(148,'Transfer Engine'!$C$2:$C$1960,0)))</f>
        <v/>
      </c>
      <c r="N157" s="9">
        <f>IF(ISNA(MATCH(148,'Transfer Engine'!$C$2:$C$1960,0)),"",INDEX('Compliance Database'!$N$2:$N$1960,MATCH(148,'Transfer Engine'!$C$2:$C$1960,0)))</f>
        <v/>
      </c>
      <c r="O157" s="9">
        <f>IF(ISNA(MATCH(148,'Transfer Engine'!$C$2:$C$1960,0)),"",INDEX('Compliance Database'!$O$2:$O$1960,MATCH(148,'Transfer Engine'!$C$2:$C$1960,0)))</f>
        <v/>
      </c>
      <c r="P157" s="8">
        <f>IF(ISNA(MATCH(148,'Transfer Engine'!$C$2:$C$1960,0)),"",HYPERLINK("#Acts!A"&amp;INDEX('Compliance Database'!$P$2:$P$1960,MATCH(148,'Transfer Engine'!$C$2:$C$1960,0)),"Go to Act"))</f>
        <v/>
      </c>
    </row>
    <row r="158" ht="158" customHeight="1">
      <c r="A158" s="8">
        <f>IF(ISNA(MATCH(149,'Transfer Engine'!$C$2:$C$1960,0)),"",INDEX('Compliance Database'!$A$2:$A$1960,MATCH(149,'Transfer Engine'!$C$2:$C$1960,0)))</f>
        <v/>
      </c>
      <c r="B158" s="8">
        <f>IF(ISNA(MATCH(149,'Transfer Engine'!$C$2:$C$1960,0)),"",INDEX('Compliance Database'!$B$2:$B$1960,MATCH(149,'Transfer Engine'!$C$2:$C$1960,0)))</f>
        <v/>
      </c>
      <c r="C158" s="8">
        <f>IF(ISNA(MATCH(149,'Transfer Engine'!$C$2:$C$1960,0)),"",INDEX('Compliance Database'!$C$2:$C$1960,MATCH(149,'Transfer Engine'!$C$2:$C$1960,0)))</f>
        <v/>
      </c>
      <c r="D158" s="9">
        <f>IF(ISNA(MATCH(149,'Transfer Engine'!$C$2:$C$1960,0)),"",INDEX('Compliance Database'!$D$2:$D$1960,MATCH(149,'Transfer Engine'!$C$2:$C$1960,0)))</f>
        <v/>
      </c>
      <c r="E158" s="8">
        <f>IF(ISNA(MATCH(149,'Transfer Engine'!$C$2:$C$1960,0)),"",INDEX('Compliance Database'!$E$2:$E$1960,MATCH(149,'Transfer Engine'!$C$2:$C$1960,0)))</f>
        <v/>
      </c>
      <c r="F158" s="8">
        <f>IF(ISNA(MATCH(149,'Transfer Engine'!$C$2:$C$1960,0)),"",INDEX('Compliance Database'!$F$2:$F$1960,MATCH(149,'Transfer Engine'!$C$2:$C$1960,0)))</f>
        <v/>
      </c>
      <c r="G158" s="8">
        <f>IF(ISNA(MATCH(149,'Transfer Engine'!$C$2:$C$1960,0)),"",INDEX('Compliance Database'!$G$2:$G$1960,MATCH(149,'Transfer Engine'!$C$2:$C$1960,0)))</f>
        <v/>
      </c>
      <c r="H158" s="9">
        <f>IF(ISNA(MATCH(149,'Transfer Engine'!$C$2:$C$1960,0)),"",INDEX('Compliance Database'!$H$2:$H$1960,MATCH(149,'Transfer Engine'!$C$2:$C$1960,0)))</f>
        <v/>
      </c>
      <c r="I158" s="9">
        <f>IF(ISNA(MATCH(149,'Transfer Engine'!$C$2:$C$1960,0)),"",INDEX('Compliance Database'!$I$2:$I$1960,MATCH(149,'Transfer Engine'!$C$2:$C$1960,0)))</f>
        <v/>
      </c>
      <c r="J158" s="8">
        <f>IF(ISNA(MATCH(149,'Transfer Engine'!$C$2:$C$1960,0)),"",INDEX('Compliance Database'!$J$2:$J$1960,MATCH(149,'Transfer Engine'!$C$2:$C$1960,0)))</f>
        <v/>
      </c>
      <c r="K158" s="9">
        <f>IF(ISNA(MATCH(149,'Transfer Engine'!$C$2:$C$1960,0)),"",INDEX('Compliance Database'!$K$2:$K$1960,MATCH(149,'Transfer Engine'!$C$2:$C$1960,0)))</f>
        <v/>
      </c>
      <c r="L158" s="9">
        <f>IF(ISNA(MATCH(149,'Transfer Engine'!$C$2:$C$1960,0)),"",INDEX('Compliance Database'!$L$2:$L$1960,MATCH(149,'Transfer Engine'!$C$2:$C$1960,0)))</f>
        <v/>
      </c>
      <c r="M158" s="9">
        <f>IF(ISNA(MATCH(149,'Transfer Engine'!$C$2:$C$1960,0)),"",INDEX('Compliance Database'!$M$2:$M$1960,MATCH(149,'Transfer Engine'!$C$2:$C$1960,0)))</f>
        <v/>
      </c>
      <c r="N158" s="9">
        <f>IF(ISNA(MATCH(149,'Transfer Engine'!$C$2:$C$1960,0)),"",INDEX('Compliance Database'!$N$2:$N$1960,MATCH(149,'Transfer Engine'!$C$2:$C$1960,0)))</f>
        <v/>
      </c>
      <c r="O158" s="9">
        <f>IF(ISNA(MATCH(149,'Transfer Engine'!$C$2:$C$1960,0)),"",INDEX('Compliance Database'!$O$2:$O$1960,MATCH(149,'Transfer Engine'!$C$2:$C$1960,0)))</f>
        <v/>
      </c>
      <c r="P158" s="8">
        <f>IF(ISNA(MATCH(149,'Transfer Engine'!$C$2:$C$1960,0)),"",HYPERLINK("#Acts!A"&amp;INDEX('Compliance Database'!$P$2:$P$1960,MATCH(149,'Transfer Engine'!$C$2:$C$1960,0)),"Go to Act"))</f>
        <v/>
      </c>
    </row>
    <row r="159" ht="158" customHeight="1">
      <c r="A159" s="8">
        <f>IF(ISNA(MATCH(150,'Transfer Engine'!$C$2:$C$1960,0)),"",INDEX('Compliance Database'!$A$2:$A$1960,MATCH(150,'Transfer Engine'!$C$2:$C$1960,0)))</f>
        <v/>
      </c>
      <c r="B159" s="8">
        <f>IF(ISNA(MATCH(150,'Transfer Engine'!$C$2:$C$1960,0)),"",INDEX('Compliance Database'!$B$2:$B$1960,MATCH(150,'Transfer Engine'!$C$2:$C$1960,0)))</f>
        <v/>
      </c>
      <c r="C159" s="8">
        <f>IF(ISNA(MATCH(150,'Transfer Engine'!$C$2:$C$1960,0)),"",INDEX('Compliance Database'!$C$2:$C$1960,MATCH(150,'Transfer Engine'!$C$2:$C$1960,0)))</f>
        <v/>
      </c>
      <c r="D159" s="9">
        <f>IF(ISNA(MATCH(150,'Transfer Engine'!$C$2:$C$1960,0)),"",INDEX('Compliance Database'!$D$2:$D$1960,MATCH(150,'Transfer Engine'!$C$2:$C$1960,0)))</f>
        <v/>
      </c>
      <c r="E159" s="8">
        <f>IF(ISNA(MATCH(150,'Transfer Engine'!$C$2:$C$1960,0)),"",INDEX('Compliance Database'!$E$2:$E$1960,MATCH(150,'Transfer Engine'!$C$2:$C$1960,0)))</f>
        <v/>
      </c>
      <c r="F159" s="8">
        <f>IF(ISNA(MATCH(150,'Transfer Engine'!$C$2:$C$1960,0)),"",INDEX('Compliance Database'!$F$2:$F$1960,MATCH(150,'Transfer Engine'!$C$2:$C$1960,0)))</f>
        <v/>
      </c>
      <c r="G159" s="8">
        <f>IF(ISNA(MATCH(150,'Transfer Engine'!$C$2:$C$1960,0)),"",INDEX('Compliance Database'!$G$2:$G$1960,MATCH(150,'Transfer Engine'!$C$2:$C$1960,0)))</f>
        <v/>
      </c>
      <c r="H159" s="9">
        <f>IF(ISNA(MATCH(150,'Transfer Engine'!$C$2:$C$1960,0)),"",INDEX('Compliance Database'!$H$2:$H$1960,MATCH(150,'Transfer Engine'!$C$2:$C$1960,0)))</f>
        <v/>
      </c>
      <c r="I159" s="9">
        <f>IF(ISNA(MATCH(150,'Transfer Engine'!$C$2:$C$1960,0)),"",INDEX('Compliance Database'!$I$2:$I$1960,MATCH(150,'Transfer Engine'!$C$2:$C$1960,0)))</f>
        <v/>
      </c>
      <c r="J159" s="8">
        <f>IF(ISNA(MATCH(150,'Transfer Engine'!$C$2:$C$1960,0)),"",INDEX('Compliance Database'!$J$2:$J$1960,MATCH(150,'Transfer Engine'!$C$2:$C$1960,0)))</f>
        <v/>
      </c>
      <c r="K159" s="9">
        <f>IF(ISNA(MATCH(150,'Transfer Engine'!$C$2:$C$1960,0)),"",INDEX('Compliance Database'!$K$2:$K$1960,MATCH(150,'Transfer Engine'!$C$2:$C$1960,0)))</f>
        <v/>
      </c>
      <c r="L159" s="9">
        <f>IF(ISNA(MATCH(150,'Transfer Engine'!$C$2:$C$1960,0)),"",INDEX('Compliance Database'!$L$2:$L$1960,MATCH(150,'Transfer Engine'!$C$2:$C$1960,0)))</f>
        <v/>
      </c>
      <c r="M159" s="9">
        <f>IF(ISNA(MATCH(150,'Transfer Engine'!$C$2:$C$1960,0)),"",INDEX('Compliance Database'!$M$2:$M$1960,MATCH(150,'Transfer Engine'!$C$2:$C$1960,0)))</f>
        <v/>
      </c>
      <c r="N159" s="9">
        <f>IF(ISNA(MATCH(150,'Transfer Engine'!$C$2:$C$1960,0)),"",INDEX('Compliance Database'!$N$2:$N$1960,MATCH(150,'Transfer Engine'!$C$2:$C$1960,0)))</f>
        <v/>
      </c>
      <c r="O159" s="9">
        <f>IF(ISNA(MATCH(150,'Transfer Engine'!$C$2:$C$1960,0)),"",INDEX('Compliance Database'!$O$2:$O$1960,MATCH(150,'Transfer Engine'!$C$2:$C$1960,0)))</f>
        <v/>
      </c>
      <c r="P159" s="8">
        <f>IF(ISNA(MATCH(150,'Transfer Engine'!$C$2:$C$1960,0)),"",HYPERLINK("#Acts!A"&amp;INDEX('Compliance Database'!$P$2:$P$1960,MATCH(150,'Transfer Engine'!$C$2:$C$1960,0)),"Go to Act"))</f>
        <v/>
      </c>
    </row>
    <row r="160" ht="158" customHeight="1">
      <c r="A160" s="8">
        <f>IF(ISNA(MATCH(151,'Transfer Engine'!$C$2:$C$1960,0)),"",INDEX('Compliance Database'!$A$2:$A$1960,MATCH(151,'Transfer Engine'!$C$2:$C$1960,0)))</f>
        <v/>
      </c>
      <c r="B160" s="8">
        <f>IF(ISNA(MATCH(151,'Transfer Engine'!$C$2:$C$1960,0)),"",INDEX('Compliance Database'!$B$2:$B$1960,MATCH(151,'Transfer Engine'!$C$2:$C$1960,0)))</f>
        <v/>
      </c>
      <c r="C160" s="8">
        <f>IF(ISNA(MATCH(151,'Transfer Engine'!$C$2:$C$1960,0)),"",INDEX('Compliance Database'!$C$2:$C$1960,MATCH(151,'Transfer Engine'!$C$2:$C$1960,0)))</f>
        <v/>
      </c>
      <c r="D160" s="9">
        <f>IF(ISNA(MATCH(151,'Transfer Engine'!$C$2:$C$1960,0)),"",INDEX('Compliance Database'!$D$2:$D$1960,MATCH(151,'Transfer Engine'!$C$2:$C$1960,0)))</f>
        <v/>
      </c>
      <c r="E160" s="8">
        <f>IF(ISNA(MATCH(151,'Transfer Engine'!$C$2:$C$1960,0)),"",INDEX('Compliance Database'!$E$2:$E$1960,MATCH(151,'Transfer Engine'!$C$2:$C$1960,0)))</f>
        <v/>
      </c>
      <c r="F160" s="8">
        <f>IF(ISNA(MATCH(151,'Transfer Engine'!$C$2:$C$1960,0)),"",INDEX('Compliance Database'!$F$2:$F$1960,MATCH(151,'Transfer Engine'!$C$2:$C$1960,0)))</f>
        <v/>
      </c>
      <c r="G160" s="8">
        <f>IF(ISNA(MATCH(151,'Transfer Engine'!$C$2:$C$1960,0)),"",INDEX('Compliance Database'!$G$2:$G$1960,MATCH(151,'Transfer Engine'!$C$2:$C$1960,0)))</f>
        <v/>
      </c>
      <c r="H160" s="9">
        <f>IF(ISNA(MATCH(151,'Transfer Engine'!$C$2:$C$1960,0)),"",INDEX('Compliance Database'!$H$2:$H$1960,MATCH(151,'Transfer Engine'!$C$2:$C$1960,0)))</f>
        <v/>
      </c>
      <c r="I160" s="9">
        <f>IF(ISNA(MATCH(151,'Transfer Engine'!$C$2:$C$1960,0)),"",INDEX('Compliance Database'!$I$2:$I$1960,MATCH(151,'Transfer Engine'!$C$2:$C$1960,0)))</f>
        <v/>
      </c>
      <c r="J160" s="8">
        <f>IF(ISNA(MATCH(151,'Transfer Engine'!$C$2:$C$1960,0)),"",INDEX('Compliance Database'!$J$2:$J$1960,MATCH(151,'Transfer Engine'!$C$2:$C$1960,0)))</f>
        <v/>
      </c>
      <c r="K160" s="9">
        <f>IF(ISNA(MATCH(151,'Transfer Engine'!$C$2:$C$1960,0)),"",INDEX('Compliance Database'!$K$2:$K$1960,MATCH(151,'Transfer Engine'!$C$2:$C$1960,0)))</f>
        <v/>
      </c>
      <c r="L160" s="9">
        <f>IF(ISNA(MATCH(151,'Transfer Engine'!$C$2:$C$1960,0)),"",INDEX('Compliance Database'!$L$2:$L$1960,MATCH(151,'Transfer Engine'!$C$2:$C$1960,0)))</f>
        <v/>
      </c>
      <c r="M160" s="9">
        <f>IF(ISNA(MATCH(151,'Transfer Engine'!$C$2:$C$1960,0)),"",INDEX('Compliance Database'!$M$2:$M$1960,MATCH(151,'Transfer Engine'!$C$2:$C$1960,0)))</f>
        <v/>
      </c>
      <c r="N160" s="9">
        <f>IF(ISNA(MATCH(151,'Transfer Engine'!$C$2:$C$1960,0)),"",INDEX('Compliance Database'!$N$2:$N$1960,MATCH(151,'Transfer Engine'!$C$2:$C$1960,0)))</f>
        <v/>
      </c>
      <c r="O160" s="9">
        <f>IF(ISNA(MATCH(151,'Transfer Engine'!$C$2:$C$1960,0)),"",INDEX('Compliance Database'!$O$2:$O$1960,MATCH(151,'Transfer Engine'!$C$2:$C$1960,0)))</f>
        <v/>
      </c>
      <c r="P160" s="8">
        <f>IF(ISNA(MATCH(151,'Transfer Engine'!$C$2:$C$1960,0)),"",HYPERLINK("#Acts!A"&amp;INDEX('Compliance Database'!$P$2:$P$1960,MATCH(151,'Transfer Engine'!$C$2:$C$1960,0)),"Go to Act"))</f>
        <v/>
      </c>
    </row>
    <row r="161" ht="158" customHeight="1">
      <c r="A161" s="8">
        <f>IF(ISNA(MATCH(152,'Transfer Engine'!$C$2:$C$1960,0)),"",INDEX('Compliance Database'!$A$2:$A$1960,MATCH(152,'Transfer Engine'!$C$2:$C$1960,0)))</f>
        <v/>
      </c>
      <c r="B161" s="8">
        <f>IF(ISNA(MATCH(152,'Transfer Engine'!$C$2:$C$1960,0)),"",INDEX('Compliance Database'!$B$2:$B$1960,MATCH(152,'Transfer Engine'!$C$2:$C$1960,0)))</f>
        <v/>
      </c>
      <c r="C161" s="8">
        <f>IF(ISNA(MATCH(152,'Transfer Engine'!$C$2:$C$1960,0)),"",INDEX('Compliance Database'!$C$2:$C$1960,MATCH(152,'Transfer Engine'!$C$2:$C$1960,0)))</f>
        <v/>
      </c>
      <c r="D161" s="9">
        <f>IF(ISNA(MATCH(152,'Transfer Engine'!$C$2:$C$1960,0)),"",INDEX('Compliance Database'!$D$2:$D$1960,MATCH(152,'Transfer Engine'!$C$2:$C$1960,0)))</f>
        <v/>
      </c>
      <c r="E161" s="8">
        <f>IF(ISNA(MATCH(152,'Transfer Engine'!$C$2:$C$1960,0)),"",INDEX('Compliance Database'!$E$2:$E$1960,MATCH(152,'Transfer Engine'!$C$2:$C$1960,0)))</f>
        <v/>
      </c>
      <c r="F161" s="8">
        <f>IF(ISNA(MATCH(152,'Transfer Engine'!$C$2:$C$1960,0)),"",INDEX('Compliance Database'!$F$2:$F$1960,MATCH(152,'Transfer Engine'!$C$2:$C$1960,0)))</f>
        <v/>
      </c>
      <c r="G161" s="8">
        <f>IF(ISNA(MATCH(152,'Transfer Engine'!$C$2:$C$1960,0)),"",INDEX('Compliance Database'!$G$2:$G$1960,MATCH(152,'Transfer Engine'!$C$2:$C$1960,0)))</f>
        <v/>
      </c>
      <c r="H161" s="9">
        <f>IF(ISNA(MATCH(152,'Transfer Engine'!$C$2:$C$1960,0)),"",INDEX('Compliance Database'!$H$2:$H$1960,MATCH(152,'Transfer Engine'!$C$2:$C$1960,0)))</f>
        <v/>
      </c>
      <c r="I161" s="9">
        <f>IF(ISNA(MATCH(152,'Transfer Engine'!$C$2:$C$1960,0)),"",INDEX('Compliance Database'!$I$2:$I$1960,MATCH(152,'Transfer Engine'!$C$2:$C$1960,0)))</f>
        <v/>
      </c>
      <c r="J161" s="8">
        <f>IF(ISNA(MATCH(152,'Transfer Engine'!$C$2:$C$1960,0)),"",INDEX('Compliance Database'!$J$2:$J$1960,MATCH(152,'Transfer Engine'!$C$2:$C$1960,0)))</f>
        <v/>
      </c>
      <c r="K161" s="9">
        <f>IF(ISNA(MATCH(152,'Transfer Engine'!$C$2:$C$1960,0)),"",INDEX('Compliance Database'!$K$2:$K$1960,MATCH(152,'Transfer Engine'!$C$2:$C$1960,0)))</f>
        <v/>
      </c>
      <c r="L161" s="9">
        <f>IF(ISNA(MATCH(152,'Transfer Engine'!$C$2:$C$1960,0)),"",INDEX('Compliance Database'!$L$2:$L$1960,MATCH(152,'Transfer Engine'!$C$2:$C$1960,0)))</f>
        <v/>
      </c>
      <c r="M161" s="9">
        <f>IF(ISNA(MATCH(152,'Transfer Engine'!$C$2:$C$1960,0)),"",INDEX('Compliance Database'!$M$2:$M$1960,MATCH(152,'Transfer Engine'!$C$2:$C$1960,0)))</f>
        <v/>
      </c>
      <c r="N161" s="9">
        <f>IF(ISNA(MATCH(152,'Transfer Engine'!$C$2:$C$1960,0)),"",INDEX('Compliance Database'!$N$2:$N$1960,MATCH(152,'Transfer Engine'!$C$2:$C$1960,0)))</f>
        <v/>
      </c>
      <c r="O161" s="9">
        <f>IF(ISNA(MATCH(152,'Transfer Engine'!$C$2:$C$1960,0)),"",INDEX('Compliance Database'!$O$2:$O$1960,MATCH(152,'Transfer Engine'!$C$2:$C$1960,0)))</f>
        <v/>
      </c>
      <c r="P161" s="8">
        <f>IF(ISNA(MATCH(152,'Transfer Engine'!$C$2:$C$1960,0)),"",HYPERLINK("#Acts!A"&amp;INDEX('Compliance Database'!$P$2:$P$1960,MATCH(152,'Transfer Engine'!$C$2:$C$1960,0)),"Go to Act"))</f>
        <v/>
      </c>
    </row>
    <row r="162" ht="158" customHeight="1">
      <c r="A162" s="8">
        <f>IF(ISNA(MATCH(153,'Transfer Engine'!$C$2:$C$1960,0)),"",INDEX('Compliance Database'!$A$2:$A$1960,MATCH(153,'Transfer Engine'!$C$2:$C$1960,0)))</f>
        <v/>
      </c>
      <c r="B162" s="8">
        <f>IF(ISNA(MATCH(153,'Transfer Engine'!$C$2:$C$1960,0)),"",INDEX('Compliance Database'!$B$2:$B$1960,MATCH(153,'Transfer Engine'!$C$2:$C$1960,0)))</f>
        <v/>
      </c>
      <c r="C162" s="8">
        <f>IF(ISNA(MATCH(153,'Transfer Engine'!$C$2:$C$1960,0)),"",INDEX('Compliance Database'!$C$2:$C$1960,MATCH(153,'Transfer Engine'!$C$2:$C$1960,0)))</f>
        <v/>
      </c>
      <c r="D162" s="9">
        <f>IF(ISNA(MATCH(153,'Transfer Engine'!$C$2:$C$1960,0)),"",INDEX('Compliance Database'!$D$2:$D$1960,MATCH(153,'Transfer Engine'!$C$2:$C$1960,0)))</f>
        <v/>
      </c>
      <c r="E162" s="8">
        <f>IF(ISNA(MATCH(153,'Transfer Engine'!$C$2:$C$1960,0)),"",INDEX('Compliance Database'!$E$2:$E$1960,MATCH(153,'Transfer Engine'!$C$2:$C$1960,0)))</f>
        <v/>
      </c>
      <c r="F162" s="8">
        <f>IF(ISNA(MATCH(153,'Transfer Engine'!$C$2:$C$1960,0)),"",INDEX('Compliance Database'!$F$2:$F$1960,MATCH(153,'Transfer Engine'!$C$2:$C$1960,0)))</f>
        <v/>
      </c>
      <c r="G162" s="8">
        <f>IF(ISNA(MATCH(153,'Transfer Engine'!$C$2:$C$1960,0)),"",INDEX('Compliance Database'!$G$2:$G$1960,MATCH(153,'Transfer Engine'!$C$2:$C$1960,0)))</f>
        <v/>
      </c>
      <c r="H162" s="9">
        <f>IF(ISNA(MATCH(153,'Transfer Engine'!$C$2:$C$1960,0)),"",INDEX('Compliance Database'!$H$2:$H$1960,MATCH(153,'Transfer Engine'!$C$2:$C$1960,0)))</f>
        <v/>
      </c>
      <c r="I162" s="9">
        <f>IF(ISNA(MATCH(153,'Transfer Engine'!$C$2:$C$1960,0)),"",INDEX('Compliance Database'!$I$2:$I$1960,MATCH(153,'Transfer Engine'!$C$2:$C$1960,0)))</f>
        <v/>
      </c>
      <c r="J162" s="8">
        <f>IF(ISNA(MATCH(153,'Transfer Engine'!$C$2:$C$1960,0)),"",INDEX('Compliance Database'!$J$2:$J$1960,MATCH(153,'Transfer Engine'!$C$2:$C$1960,0)))</f>
        <v/>
      </c>
      <c r="K162" s="9">
        <f>IF(ISNA(MATCH(153,'Transfer Engine'!$C$2:$C$1960,0)),"",INDEX('Compliance Database'!$K$2:$K$1960,MATCH(153,'Transfer Engine'!$C$2:$C$1960,0)))</f>
        <v/>
      </c>
      <c r="L162" s="9">
        <f>IF(ISNA(MATCH(153,'Transfer Engine'!$C$2:$C$1960,0)),"",INDEX('Compliance Database'!$L$2:$L$1960,MATCH(153,'Transfer Engine'!$C$2:$C$1960,0)))</f>
        <v/>
      </c>
      <c r="M162" s="9">
        <f>IF(ISNA(MATCH(153,'Transfer Engine'!$C$2:$C$1960,0)),"",INDEX('Compliance Database'!$M$2:$M$1960,MATCH(153,'Transfer Engine'!$C$2:$C$1960,0)))</f>
        <v/>
      </c>
      <c r="N162" s="9">
        <f>IF(ISNA(MATCH(153,'Transfer Engine'!$C$2:$C$1960,0)),"",INDEX('Compliance Database'!$N$2:$N$1960,MATCH(153,'Transfer Engine'!$C$2:$C$1960,0)))</f>
        <v/>
      </c>
      <c r="O162" s="9">
        <f>IF(ISNA(MATCH(153,'Transfer Engine'!$C$2:$C$1960,0)),"",INDEX('Compliance Database'!$O$2:$O$1960,MATCH(153,'Transfer Engine'!$C$2:$C$1960,0)))</f>
        <v/>
      </c>
      <c r="P162" s="8">
        <f>IF(ISNA(MATCH(153,'Transfer Engine'!$C$2:$C$1960,0)),"",HYPERLINK("#Acts!A"&amp;INDEX('Compliance Database'!$P$2:$P$1960,MATCH(153,'Transfer Engine'!$C$2:$C$1960,0)),"Go to Act"))</f>
        <v/>
      </c>
    </row>
    <row r="163" ht="158" customHeight="1">
      <c r="A163" s="8">
        <f>IF(ISNA(MATCH(154,'Transfer Engine'!$C$2:$C$1960,0)),"",INDEX('Compliance Database'!$A$2:$A$1960,MATCH(154,'Transfer Engine'!$C$2:$C$1960,0)))</f>
        <v/>
      </c>
      <c r="B163" s="8">
        <f>IF(ISNA(MATCH(154,'Transfer Engine'!$C$2:$C$1960,0)),"",INDEX('Compliance Database'!$B$2:$B$1960,MATCH(154,'Transfer Engine'!$C$2:$C$1960,0)))</f>
        <v/>
      </c>
      <c r="C163" s="8">
        <f>IF(ISNA(MATCH(154,'Transfer Engine'!$C$2:$C$1960,0)),"",INDEX('Compliance Database'!$C$2:$C$1960,MATCH(154,'Transfer Engine'!$C$2:$C$1960,0)))</f>
        <v/>
      </c>
      <c r="D163" s="9">
        <f>IF(ISNA(MATCH(154,'Transfer Engine'!$C$2:$C$1960,0)),"",INDEX('Compliance Database'!$D$2:$D$1960,MATCH(154,'Transfer Engine'!$C$2:$C$1960,0)))</f>
        <v/>
      </c>
      <c r="E163" s="8">
        <f>IF(ISNA(MATCH(154,'Transfer Engine'!$C$2:$C$1960,0)),"",INDEX('Compliance Database'!$E$2:$E$1960,MATCH(154,'Transfer Engine'!$C$2:$C$1960,0)))</f>
        <v/>
      </c>
      <c r="F163" s="8">
        <f>IF(ISNA(MATCH(154,'Transfer Engine'!$C$2:$C$1960,0)),"",INDEX('Compliance Database'!$F$2:$F$1960,MATCH(154,'Transfer Engine'!$C$2:$C$1960,0)))</f>
        <v/>
      </c>
      <c r="G163" s="8">
        <f>IF(ISNA(MATCH(154,'Transfer Engine'!$C$2:$C$1960,0)),"",INDEX('Compliance Database'!$G$2:$G$1960,MATCH(154,'Transfer Engine'!$C$2:$C$1960,0)))</f>
        <v/>
      </c>
      <c r="H163" s="9">
        <f>IF(ISNA(MATCH(154,'Transfer Engine'!$C$2:$C$1960,0)),"",INDEX('Compliance Database'!$H$2:$H$1960,MATCH(154,'Transfer Engine'!$C$2:$C$1960,0)))</f>
        <v/>
      </c>
      <c r="I163" s="9">
        <f>IF(ISNA(MATCH(154,'Transfer Engine'!$C$2:$C$1960,0)),"",INDEX('Compliance Database'!$I$2:$I$1960,MATCH(154,'Transfer Engine'!$C$2:$C$1960,0)))</f>
        <v/>
      </c>
      <c r="J163" s="8">
        <f>IF(ISNA(MATCH(154,'Transfer Engine'!$C$2:$C$1960,0)),"",INDEX('Compliance Database'!$J$2:$J$1960,MATCH(154,'Transfer Engine'!$C$2:$C$1960,0)))</f>
        <v/>
      </c>
      <c r="K163" s="9">
        <f>IF(ISNA(MATCH(154,'Transfer Engine'!$C$2:$C$1960,0)),"",INDEX('Compliance Database'!$K$2:$K$1960,MATCH(154,'Transfer Engine'!$C$2:$C$1960,0)))</f>
        <v/>
      </c>
      <c r="L163" s="9">
        <f>IF(ISNA(MATCH(154,'Transfer Engine'!$C$2:$C$1960,0)),"",INDEX('Compliance Database'!$L$2:$L$1960,MATCH(154,'Transfer Engine'!$C$2:$C$1960,0)))</f>
        <v/>
      </c>
      <c r="M163" s="9">
        <f>IF(ISNA(MATCH(154,'Transfer Engine'!$C$2:$C$1960,0)),"",INDEX('Compliance Database'!$M$2:$M$1960,MATCH(154,'Transfer Engine'!$C$2:$C$1960,0)))</f>
        <v/>
      </c>
      <c r="N163" s="9">
        <f>IF(ISNA(MATCH(154,'Transfer Engine'!$C$2:$C$1960,0)),"",INDEX('Compliance Database'!$N$2:$N$1960,MATCH(154,'Transfer Engine'!$C$2:$C$1960,0)))</f>
        <v/>
      </c>
      <c r="O163" s="9">
        <f>IF(ISNA(MATCH(154,'Transfer Engine'!$C$2:$C$1960,0)),"",INDEX('Compliance Database'!$O$2:$O$1960,MATCH(154,'Transfer Engine'!$C$2:$C$1960,0)))</f>
        <v/>
      </c>
      <c r="P163" s="8">
        <f>IF(ISNA(MATCH(154,'Transfer Engine'!$C$2:$C$1960,0)),"",HYPERLINK("#Acts!A"&amp;INDEX('Compliance Database'!$P$2:$P$1960,MATCH(154,'Transfer Engine'!$C$2:$C$1960,0)),"Go to Act"))</f>
        <v/>
      </c>
    </row>
    <row r="164" ht="158" customHeight="1">
      <c r="A164" s="8">
        <f>IF(ISNA(MATCH(155,'Transfer Engine'!$C$2:$C$1960,0)),"",INDEX('Compliance Database'!$A$2:$A$1960,MATCH(155,'Transfer Engine'!$C$2:$C$1960,0)))</f>
        <v/>
      </c>
      <c r="B164" s="8">
        <f>IF(ISNA(MATCH(155,'Transfer Engine'!$C$2:$C$1960,0)),"",INDEX('Compliance Database'!$B$2:$B$1960,MATCH(155,'Transfer Engine'!$C$2:$C$1960,0)))</f>
        <v/>
      </c>
      <c r="C164" s="8">
        <f>IF(ISNA(MATCH(155,'Transfer Engine'!$C$2:$C$1960,0)),"",INDEX('Compliance Database'!$C$2:$C$1960,MATCH(155,'Transfer Engine'!$C$2:$C$1960,0)))</f>
        <v/>
      </c>
      <c r="D164" s="9">
        <f>IF(ISNA(MATCH(155,'Transfer Engine'!$C$2:$C$1960,0)),"",INDEX('Compliance Database'!$D$2:$D$1960,MATCH(155,'Transfer Engine'!$C$2:$C$1960,0)))</f>
        <v/>
      </c>
      <c r="E164" s="8">
        <f>IF(ISNA(MATCH(155,'Transfer Engine'!$C$2:$C$1960,0)),"",INDEX('Compliance Database'!$E$2:$E$1960,MATCH(155,'Transfer Engine'!$C$2:$C$1960,0)))</f>
        <v/>
      </c>
      <c r="F164" s="8">
        <f>IF(ISNA(MATCH(155,'Transfer Engine'!$C$2:$C$1960,0)),"",INDEX('Compliance Database'!$F$2:$F$1960,MATCH(155,'Transfer Engine'!$C$2:$C$1960,0)))</f>
        <v/>
      </c>
      <c r="G164" s="8">
        <f>IF(ISNA(MATCH(155,'Transfer Engine'!$C$2:$C$1960,0)),"",INDEX('Compliance Database'!$G$2:$G$1960,MATCH(155,'Transfer Engine'!$C$2:$C$1960,0)))</f>
        <v/>
      </c>
      <c r="H164" s="9">
        <f>IF(ISNA(MATCH(155,'Transfer Engine'!$C$2:$C$1960,0)),"",INDEX('Compliance Database'!$H$2:$H$1960,MATCH(155,'Transfer Engine'!$C$2:$C$1960,0)))</f>
        <v/>
      </c>
      <c r="I164" s="9">
        <f>IF(ISNA(MATCH(155,'Transfer Engine'!$C$2:$C$1960,0)),"",INDEX('Compliance Database'!$I$2:$I$1960,MATCH(155,'Transfer Engine'!$C$2:$C$1960,0)))</f>
        <v/>
      </c>
      <c r="J164" s="8">
        <f>IF(ISNA(MATCH(155,'Transfer Engine'!$C$2:$C$1960,0)),"",INDEX('Compliance Database'!$J$2:$J$1960,MATCH(155,'Transfer Engine'!$C$2:$C$1960,0)))</f>
        <v/>
      </c>
      <c r="K164" s="9">
        <f>IF(ISNA(MATCH(155,'Transfer Engine'!$C$2:$C$1960,0)),"",INDEX('Compliance Database'!$K$2:$K$1960,MATCH(155,'Transfer Engine'!$C$2:$C$1960,0)))</f>
        <v/>
      </c>
      <c r="L164" s="9">
        <f>IF(ISNA(MATCH(155,'Transfer Engine'!$C$2:$C$1960,0)),"",INDEX('Compliance Database'!$L$2:$L$1960,MATCH(155,'Transfer Engine'!$C$2:$C$1960,0)))</f>
        <v/>
      </c>
      <c r="M164" s="9">
        <f>IF(ISNA(MATCH(155,'Transfer Engine'!$C$2:$C$1960,0)),"",INDEX('Compliance Database'!$M$2:$M$1960,MATCH(155,'Transfer Engine'!$C$2:$C$1960,0)))</f>
        <v/>
      </c>
      <c r="N164" s="9">
        <f>IF(ISNA(MATCH(155,'Transfer Engine'!$C$2:$C$1960,0)),"",INDEX('Compliance Database'!$N$2:$N$1960,MATCH(155,'Transfer Engine'!$C$2:$C$1960,0)))</f>
        <v/>
      </c>
      <c r="O164" s="9">
        <f>IF(ISNA(MATCH(155,'Transfer Engine'!$C$2:$C$1960,0)),"",INDEX('Compliance Database'!$O$2:$O$1960,MATCH(155,'Transfer Engine'!$C$2:$C$1960,0)))</f>
        <v/>
      </c>
      <c r="P164" s="8">
        <f>IF(ISNA(MATCH(155,'Transfer Engine'!$C$2:$C$1960,0)),"",HYPERLINK("#Acts!A"&amp;INDEX('Compliance Database'!$P$2:$P$1960,MATCH(155,'Transfer Engine'!$C$2:$C$1960,0)),"Go to Act"))</f>
        <v/>
      </c>
    </row>
    <row r="165" ht="158" customHeight="1">
      <c r="A165" s="8">
        <f>IF(ISNA(MATCH(156,'Transfer Engine'!$C$2:$C$1960,0)),"",INDEX('Compliance Database'!$A$2:$A$1960,MATCH(156,'Transfer Engine'!$C$2:$C$1960,0)))</f>
        <v/>
      </c>
      <c r="B165" s="8">
        <f>IF(ISNA(MATCH(156,'Transfer Engine'!$C$2:$C$1960,0)),"",INDEX('Compliance Database'!$B$2:$B$1960,MATCH(156,'Transfer Engine'!$C$2:$C$1960,0)))</f>
        <v/>
      </c>
      <c r="C165" s="8">
        <f>IF(ISNA(MATCH(156,'Transfer Engine'!$C$2:$C$1960,0)),"",INDEX('Compliance Database'!$C$2:$C$1960,MATCH(156,'Transfer Engine'!$C$2:$C$1960,0)))</f>
        <v/>
      </c>
      <c r="D165" s="9">
        <f>IF(ISNA(MATCH(156,'Transfer Engine'!$C$2:$C$1960,0)),"",INDEX('Compliance Database'!$D$2:$D$1960,MATCH(156,'Transfer Engine'!$C$2:$C$1960,0)))</f>
        <v/>
      </c>
      <c r="E165" s="8">
        <f>IF(ISNA(MATCH(156,'Transfer Engine'!$C$2:$C$1960,0)),"",INDEX('Compliance Database'!$E$2:$E$1960,MATCH(156,'Transfer Engine'!$C$2:$C$1960,0)))</f>
        <v/>
      </c>
      <c r="F165" s="8">
        <f>IF(ISNA(MATCH(156,'Transfer Engine'!$C$2:$C$1960,0)),"",INDEX('Compliance Database'!$F$2:$F$1960,MATCH(156,'Transfer Engine'!$C$2:$C$1960,0)))</f>
        <v/>
      </c>
      <c r="G165" s="8">
        <f>IF(ISNA(MATCH(156,'Transfer Engine'!$C$2:$C$1960,0)),"",INDEX('Compliance Database'!$G$2:$G$1960,MATCH(156,'Transfer Engine'!$C$2:$C$1960,0)))</f>
        <v/>
      </c>
      <c r="H165" s="9">
        <f>IF(ISNA(MATCH(156,'Transfer Engine'!$C$2:$C$1960,0)),"",INDEX('Compliance Database'!$H$2:$H$1960,MATCH(156,'Transfer Engine'!$C$2:$C$1960,0)))</f>
        <v/>
      </c>
      <c r="I165" s="9">
        <f>IF(ISNA(MATCH(156,'Transfer Engine'!$C$2:$C$1960,0)),"",INDEX('Compliance Database'!$I$2:$I$1960,MATCH(156,'Transfer Engine'!$C$2:$C$1960,0)))</f>
        <v/>
      </c>
      <c r="J165" s="8">
        <f>IF(ISNA(MATCH(156,'Transfer Engine'!$C$2:$C$1960,0)),"",INDEX('Compliance Database'!$J$2:$J$1960,MATCH(156,'Transfer Engine'!$C$2:$C$1960,0)))</f>
        <v/>
      </c>
      <c r="K165" s="9">
        <f>IF(ISNA(MATCH(156,'Transfer Engine'!$C$2:$C$1960,0)),"",INDEX('Compliance Database'!$K$2:$K$1960,MATCH(156,'Transfer Engine'!$C$2:$C$1960,0)))</f>
        <v/>
      </c>
      <c r="L165" s="9">
        <f>IF(ISNA(MATCH(156,'Transfer Engine'!$C$2:$C$1960,0)),"",INDEX('Compliance Database'!$L$2:$L$1960,MATCH(156,'Transfer Engine'!$C$2:$C$1960,0)))</f>
        <v/>
      </c>
      <c r="M165" s="9">
        <f>IF(ISNA(MATCH(156,'Transfer Engine'!$C$2:$C$1960,0)),"",INDEX('Compliance Database'!$M$2:$M$1960,MATCH(156,'Transfer Engine'!$C$2:$C$1960,0)))</f>
        <v/>
      </c>
      <c r="N165" s="9">
        <f>IF(ISNA(MATCH(156,'Transfer Engine'!$C$2:$C$1960,0)),"",INDEX('Compliance Database'!$N$2:$N$1960,MATCH(156,'Transfer Engine'!$C$2:$C$1960,0)))</f>
        <v/>
      </c>
      <c r="O165" s="9">
        <f>IF(ISNA(MATCH(156,'Transfer Engine'!$C$2:$C$1960,0)),"",INDEX('Compliance Database'!$O$2:$O$1960,MATCH(156,'Transfer Engine'!$C$2:$C$1960,0)))</f>
        <v/>
      </c>
      <c r="P165" s="8">
        <f>IF(ISNA(MATCH(156,'Transfer Engine'!$C$2:$C$1960,0)),"",HYPERLINK("#Acts!A"&amp;INDEX('Compliance Database'!$P$2:$P$1960,MATCH(156,'Transfer Engine'!$C$2:$C$1960,0)),"Go to Act"))</f>
        <v/>
      </c>
    </row>
    <row r="166" ht="158" customHeight="1">
      <c r="A166" s="8">
        <f>IF(ISNA(MATCH(157,'Transfer Engine'!$C$2:$C$1960,0)),"",INDEX('Compliance Database'!$A$2:$A$1960,MATCH(157,'Transfer Engine'!$C$2:$C$1960,0)))</f>
        <v/>
      </c>
      <c r="B166" s="8">
        <f>IF(ISNA(MATCH(157,'Transfer Engine'!$C$2:$C$1960,0)),"",INDEX('Compliance Database'!$B$2:$B$1960,MATCH(157,'Transfer Engine'!$C$2:$C$1960,0)))</f>
        <v/>
      </c>
      <c r="C166" s="8">
        <f>IF(ISNA(MATCH(157,'Transfer Engine'!$C$2:$C$1960,0)),"",INDEX('Compliance Database'!$C$2:$C$1960,MATCH(157,'Transfer Engine'!$C$2:$C$1960,0)))</f>
        <v/>
      </c>
      <c r="D166" s="9">
        <f>IF(ISNA(MATCH(157,'Transfer Engine'!$C$2:$C$1960,0)),"",INDEX('Compliance Database'!$D$2:$D$1960,MATCH(157,'Transfer Engine'!$C$2:$C$1960,0)))</f>
        <v/>
      </c>
      <c r="E166" s="8">
        <f>IF(ISNA(MATCH(157,'Transfer Engine'!$C$2:$C$1960,0)),"",INDEX('Compliance Database'!$E$2:$E$1960,MATCH(157,'Transfer Engine'!$C$2:$C$1960,0)))</f>
        <v/>
      </c>
      <c r="F166" s="8">
        <f>IF(ISNA(MATCH(157,'Transfer Engine'!$C$2:$C$1960,0)),"",INDEX('Compliance Database'!$F$2:$F$1960,MATCH(157,'Transfer Engine'!$C$2:$C$1960,0)))</f>
        <v/>
      </c>
      <c r="G166" s="8">
        <f>IF(ISNA(MATCH(157,'Transfer Engine'!$C$2:$C$1960,0)),"",INDEX('Compliance Database'!$G$2:$G$1960,MATCH(157,'Transfer Engine'!$C$2:$C$1960,0)))</f>
        <v/>
      </c>
      <c r="H166" s="9">
        <f>IF(ISNA(MATCH(157,'Transfer Engine'!$C$2:$C$1960,0)),"",INDEX('Compliance Database'!$H$2:$H$1960,MATCH(157,'Transfer Engine'!$C$2:$C$1960,0)))</f>
        <v/>
      </c>
      <c r="I166" s="9">
        <f>IF(ISNA(MATCH(157,'Transfer Engine'!$C$2:$C$1960,0)),"",INDEX('Compliance Database'!$I$2:$I$1960,MATCH(157,'Transfer Engine'!$C$2:$C$1960,0)))</f>
        <v/>
      </c>
      <c r="J166" s="8">
        <f>IF(ISNA(MATCH(157,'Transfer Engine'!$C$2:$C$1960,0)),"",INDEX('Compliance Database'!$J$2:$J$1960,MATCH(157,'Transfer Engine'!$C$2:$C$1960,0)))</f>
        <v/>
      </c>
      <c r="K166" s="9">
        <f>IF(ISNA(MATCH(157,'Transfer Engine'!$C$2:$C$1960,0)),"",INDEX('Compliance Database'!$K$2:$K$1960,MATCH(157,'Transfer Engine'!$C$2:$C$1960,0)))</f>
        <v/>
      </c>
      <c r="L166" s="9">
        <f>IF(ISNA(MATCH(157,'Transfer Engine'!$C$2:$C$1960,0)),"",INDEX('Compliance Database'!$L$2:$L$1960,MATCH(157,'Transfer Engine'!$C$2:$C$1960,0)))</f>
        <v/>
      </c>
      <c r="M166" s="9">
        <f>IF(ISNA(MATCH(157,'Transfer Engine'!$C$2:$C$1960,0)),"",INDEX('Compliance Database'!$M$2:$M$1960,MATCH(157,'Transfer Engine'!$C$2:$C$1960,0)))</f>
        <v/>
      </c>
      <c r="N166" s="9">
        <f>IF(ISNA(MATCH(157,'Transfer Engine'!$C$2:$C$1960,0)),"",INDEX('Compliance Database'!$N$2:$N$1960,MATCH(157,'Transfer Engine'!$C$2:$C$1960,0)))</f>
        <v/>
      </c>
      <c r="O166" s="9">
        <f>IF(ISNA(MATCH(157,'Transfer Engine'!$C$2:$C$1960,0)),"",INDEX('Compliance Database'!$O$2:$O$1960,MATCH(157,'Transfer Engine'!$C$2:$C$1960,0)))</f>
        <v/>
      </c>
      <c r="P166" s="8">
        <f>IF(ISNA(MATCH(157,'Transfer Engine'!$C$2:$C$1960,0)),"",HYPERLINK("#Acts!A"&amp;INDEX('Compliance Database'!$P$2:$P$1960,MATCH(157,'Transfer Engine'!$C$2:$C$1960,0)),"Go to Act"))</f>
        <v/>
      </c>
    </row>
    <row r="167" ht="158" customHeight="1">
      <c r="A167" s="8">
        <f>IF(ISNA(MATCH(158,'Transfer Engine'!$C$2:$C$1960,0)),"",INDEX('Compliance Database'!$A$2:$A$1960,MATCH(158,'Transfer Engine'!$C$2:$C$1960,0)))</f>
        <v/>
      </c>
      <c r="B167" s="8">
        <f>IF(ISNA(MATCH(158,'Transfer Engine'!$C$2:$C$1960,0)),"",INDEX('Compliance Database'!$B$2:$B$1960,MATCH(158,'Transfer Engine'!$C$2:$C$1960,0)))</f>
        <v/>
      </c>
      <c r="C167" s="8">
        <f>IF(ISNA(MATCH(158,'Transfer Engine'!$C$2:$C$1960,0)),"",INDEX('Compliance Database'!$C$2:$C$1960,MATCH(158,'Transfer Engine'!$C$2:$C$1960,0)))</f>
        <v/>
      </c>
      <c r="D167" s="9">
        <f>IF(ISNA(MATCH(158,'Transfer Engine'!$C$2:$C$1960,0)),"",INDEX('Compliance Database'!$D$2:$D$1960,MATCH(158,'Transfer Engine'!$C$2:$C$1960,0)))</f>
        <v/>
      </c>
      <c r="E167" s="8">
        <f>IF(ISNA(MATCH(158,'Transfer Engine'!$C$2:$C$1960,0)),"",INDEX('Compliance Database'!$E$2:$E$1960,MATCH(158,'Transfer Engine'!$C$2:$C$1960,0)))</f>
        <v/>
      </c>
      <c r="F167" s="8">
        <f>IF(ISNA(MATCH(158,'Transfer Engine'!$C$2:$C$1960,0)),"",INDEX('Compliance Database'!$F$2:$F$1960,MATCH(158,'Transfer Engine'!$C$2:$C$1960,0)))</f>
        <v/>
      </c>
      <c r="G167" s="8">
        <f>IF(ISNA(MATCH(158,'Transfer Engine'!$C$2:$C$1960,0)),"",INDEX('Compliance Database'!$G$2:$G$1960,MATCH(158,'Transfer Engine'!$C$2:$C$1960,0)))</f>
        <v/>
      </c>
      <c r="H167" s="9">
        <f>IF(ISNA(MATCH(158,'Transfer Engine'!$C$2:$C$1960,0)),"",INDEX('Compliance Database'!$H$2:$H$1960,MATCH(158,'Transfer Engine'!$C$2:$C$1960,0)))</f>
        <v/>
      </c>
      <c r="I167" s="9">
        <f>IF(ISNA(MATCH(158,'Transfer Engine'!$C$2:$C$1960,0)),"",INDEX('Compliance Database'!$I$2:$I$1960,MATCH(158,'Transfer Engine'!$C$2:$C$1960,0)))</f>
        <v/>
      </c>
      <c r="J167" s="8">
        <f>IF(ISNA(MATCH(158,'Transfer Engine'!$C$2:$C$1960,0)),"",INDEX('Compliance Database'!$J$2:$J$1960,MATCH(158,'Transfer Engine'!$C$2:$C$1960,0)))</f>
        <v/>
      </c>
      <c r="K167" s="9">
        <f>IF(ISNA(MATCH(158,'Transfer Engine'!$C$2:$C$1960,0)),"",INDEX('Compliance Database'!$K$2:$K$1960,MATCH(158,'Transfer Engine'!$C$2:$C$1960,0)))</f>
        <v/>
      </c>
      <c r="L167" s="9">
        <f>IF(ISNA(MATCH(158,'Transfer Engine'!$C$2:$C$1960,0)),"",INDEX('Compliance Database'!$L$2:$L$1960,MATCH(158,'Transfer Engine'!$C$2:$C$1960,0)))</f>
        <v/>
      </c>
      <c r="M167" s="9">
        <f>IF(ISNA(MATCH(158,'Transfer Engine'!$C$2:$C$1960,0)),"",INDEX('Compliance Database'!$M$2:$M$1960,MATCH(158,'Transfer Engine'!$C$2:$C$1960,0)))</f>
        <v/>
      </c>
      <c r="N167" s="9">
        <f>IF(ISNA(MATCH(158,'Transfer Engine'!$C$2:$C$1960,0)),"",INDEX('Compliance Database'!$N$2:$N$1960,MATCH(158,'Transfer Engine'!$C$2:$C$1960,0)))</f>
        <v/>
      </c>
      <c r="O167" s="9">
        <f>IF(ISNA(MATCH(158,'Transfer Engine'!$C$2:$C$1960,0)),"",INDEX('Compliance Database'!$O$2:$O$1960,MATCH(158,'Transfer Engine'!$C$2:$C$1960,0)))</f>
        <v/>
      </c>
      <c r="P167" s="8">
        <f>IF(ISNA(MATCH(158,'Transfer Engine'!$C$2:$C$1960,0)),"",HYPERLINK("#Acts!A"&amp;INDEX('Compliance Database'!$P$2:$P$1960,MATCH(158,'Transfer Engine'!$C$2:$C$1960,0)),"Go to Act"))</f>
        <v/>
      </c>
    </row>
    <row r="168" ht="158" customHeight="1">
      <c r="A168" s="8">
        <f>IF(ISNA(MATCH(159,'Transfer Engine'!$C$2:$C$1960,0)),"",INDEX('Compliance Database'!$A$2:$A$1960,MATCH(159,'Transfer Engine'!$C$2:$C$1960,0)))</f>
        <v/>
      </c>
      <c r="B168" s="8">
        <f>IF(ISNA(MATCH(159,'Transfer Engine'!$C$2:$C$1960,0)),"",INDEX('Compliance Database'!$B$2:$B$1960,MATCH(159,'Transfer Engine'!$C$2:$C$1960,0)))</f>
        <v/>
      </c>
      <c r="C168" s="8">
        <f>IF(ISNA(MATCH(159,'Transfer Engine'!$C$2:$C$1960,0)),"",INDEX('Compliance Database'!$C$2:$C$1960,MATCH(159,'Transfer Engine'!$C$2:$C$1960,0)))</f>
        <v/>
      </c>
      <c r="D168" s="9">
        <f>IF(ISNA(MATCH(159,'Transfer Engine'!$C$2:$C$1960,0)),"",INDEX('Compliance Database'!$D$2:$D$1960,MATCH(159,'Transfer Engine'!$C$2:$C$1960,0)))</f>
        <v/>
      </c>
      <c r="E168" s="8">
        <f>IF(ISNA(MATCH(159,'Transfer Engine'!$C$2:$C$1960,0)),"",INDEX('Compliance Database'!$E$2:$E$1960,MATCH(159,'Transfer Engine'!$C$2:$C$1960,0)))</f>
        <v/>
      </c>
      <c r="F168" s="8">
        <f>IF(ISNA(MATCH(159,'Transfer Engine'!$C$2:$C$1960,0)),"",INDEX('Compliance Database'!$F$2:$F$1960,MATCH(159,'Transfer Engine'!$C$2:$C$1960,0)))</f>
        <v/>
      </c>
      <c r="G168" s="8">
        <f>IF(ISNA(MATCH(159,'Transfer Engine'!$C$2:$C$1960,0)),"",INDEX('Compliance Database'!$G$2:$G$1960,MATCH(159,'Transfer Engine'!$C$2:$C$1960,0)))</f>
        <v/>
      </c>
      <c r="H168" s="9">
        <f>IF(ISNA(MATCH(159,'Transfer Engine'!$C$2:$C$1960,0)),"",INDEX('Compliance Database'!$H$2:$H$1960,MATCH(159,'Transfer Engine'!$C$2:$C$1960,0)))</f>
        <v/>
      </c>
      <c r="I168" s="9">
        <f>IF(ISNA(MATCH(159,'Transfer Engine'!$C$2:$C$1960,0)),"",INDEX('Compliance Database'!$I$2:$I$1960,MATCH(159,'Transfer Engine'!$C$2:$C$1960,0)))</f>
        <v/>
      </c>
      <c r="J168" s="8">
        <f>IF(ISNA(MATCH(159,'Transfer Engine'!$C$2:$C$1960,0)),"",INDEX('Compliance Database'!$J$2:$J$1960,MATCH(159,'Transfer Engine'!$C$2:$C$1960,0)))</f>
        <v/>
      </c>
      <c r="K168" s="9">
        <f>IF(ISNA(MATCH(159,'Transfer Engine'!$C$2:$C$1960,0)),"",INDEX('Compliance Database'!$K$2:$K$1960,MATCH(159,'Transfer Engine'!$C$2:$C$1960,0)))</f>
        <v/>
      </c>
      <c r="L168" s="9">
        <f>IF(ISNA(MATCH(159,'Transfer Engine'!$C$2:$C$1960,0)),"",INDEX('Compliance Database'!$L$2:$L$1960,MATCH(159,'Transfer Engine'!$C$2:$C$1960,0)))</f>
        <v/>
      </c>
      <c r="M168" s="9">
        <f>IF(ISNA(MATCH(159,'Transfer Engine'!$C$2:$C$1960,0)),"",INDEX('Compliance Database'!$M$2:$M$1960,MATCH(159,'Transfer Engine'!$C$2:$C$1960,0)))</f>
        <v/>
      </c>
      <c r="N168" s="9">
        <f>IF(ISNA(MATCH(159,'Transfer Engine'!$C$2:$C$1960,0)),"",INDEX('Compliance Database'!$N$2:$N$1960,MATCH(159,'Transfer Engine'!$C$2:$C$1960,0)))</f>
        <v/>
      </c>
      <c r="O168" s="9">
        <f>IF(ISNA(MATCH(159,'Transfer Engine'!$C$2:$C$1960,0)),"",INDEX('Compliance Database'!$O$2:$O$1960,MATCH(159,'Transfer Engine'!$C$2:$C$1960,0)))</f>
        <v/>
      </c>
      <c r="P168" s="8">
        <f>IF(ISNA(MATCH(159,'Transfer Engine'!$C$2:$C$1960,0)),"",HYPERLINK("#Acts!A"&amp;INDEX('Compliance Database'!$P$2:$P$1960,MATCH(159,'Transfer Engine'!$C$2:$C$1960,0)),"Go to Act"))</f>
        <v/>
      </c>
    </row>
    <row r="169" ht="158" customHeight="1">
      <c r="A169" s="8">
        <f>IF(ISNA(MATCH(160,'Transfer Engine'!$C$2:$C$1960,0)),"",INDEX('Compliance Database'!$A$2:$A$1960,MATCH(160,'Transfer Engine'!$C$2:$C$1960,0)))</f>
        <v/>
      </c>
      <c r="B169" s="8">
        <f>IF(ISNA(MATCH(160,'Transfer Engine'!$C$2:$C$1960,0)),"",INDEX('Compliance Database'!$B$2:$B$1960,MATCH(160,'Transfer Engine'!$C$2:$C$1960,0)))</f>
        <v/>
      </c>
      <c r="C169" s="8">
        <f>IF(ISNA(MATCH(160,'Transfer Engine'!$C$2:$C$1960,0)),"",INDEX('Compliance Database'!$C$2:$C$1960,MATCH(160,'Transfer Engine'!$C$2:$C$1960,0)))</f>
        <v/>
      </c>
      <c r="D169" s="9">
        <f>IF(ISNA(MATCH(160,'Transfer Engine'!$C$2:$C$1960,0)),"",INDEX('Compliance Database'!$D$2:$D$1960,MATCH(160,'Transfer Engine'!$C$2:$C$1960,0)))</f>
        <v/>
      </c>
      <c r="E169" s="8">
        <f>IF(ISNA(MATCH(160,'Transfer Engine'!$C$2:$C$1960,0)),"",INDEX('Compliance Database'!$E$2:$E$1960,MATCH(160,'Transfer Engine'!$C$2:$C$1960,0)))</f>
        <v/>
      </c>
      <c r="F169" s="8">
        <f>IF(ISNA(MATCH(160,'Transfer Engine'!$C$2:$C$1960,0)),"",INDEX('Compliance Database'!$F$2:$F$1960,MATCH(160,'Transfer Engine'!$C$2:$C$1960,0)))</f>
        <v/>
      </c>
      <c r="G169" s="8">
        <f>IF(ISNA(MATCH(160,'Transfer Engine'!$C$2:$C$1960,0)),"",INDEX('Compliance Database'!$G$2:$G$1960,MATCH(160,'Transfer Engine'!$C$2:$C$1960,0)))</f>
        <v/>
      </c>
      <c r="H169" s="9">
        <f>IF(ISNA(MATCH(160,'Transfer Engine'!$C$2:$C$1960,0)),"",INDEX('Compliance Database'!$H$2:$H$1960,MATCH(160,'Transfer Engine'!$C$2:$C$1960,0)))</f>
        <v/>
      </c>
      <c r="I169" s="9">
        <f>IF(ISNA(MATCH(160,'Transfer Engine'!$C$2:$C$1960,0)),"",INDEX('Compliance Database'!$I$2:$I$1960,MATCH(160,'Transfer Engine'!$C$2:$C$1960,0)))</f>
        <v/>
      </c>
      <c r="J169" s="8">
        <f>IF(ISNA(MATCH(160,'Transfer Engine'!$C$2:$C$1960,0)),"",INDEX('Compliance Database'!$J$2:$J$1960,MATCH(160,'Transfer Engine'!$C$2:$C$1960,0)))</f>
        <v/>
      </c>
      <c r="K169" s="9">
        <f>IF(ISNA(MATCH(160,'Transfer Engine'!$C$2:$C$1960,0)),"",INDEX('Compliance Database'!$K$2:$K$1960,MATCH(160,'Transfer Engine'!$C$2:$C$1960,0)))</f>
        <v/>
      </c>
      <c r="L169" s="9">
        <f>IF(ISNA(MATCH(160,'Transfer Engine'!$C$2:$C$1960,0)),"",INDEX('Compliance Database'!$L$2:$L$1960,MATCH(160,'Transfer Engine'!$C$2:$C$1960,0)))</f>
        <v/>
      </c>
      <c r="M169" s="9">
        <f>IF(ISNA(MATCH(160,'Transfer Engine'!$C$2:$C$1960,0)),"",INDEX('Compliance Database'!$M$2:$M$1960,MATCH(160,'Transfer Engine'!$C$2:$C$1960,0)))</f>
        <v/>
      </c>
      <c r="N169" s="9">
        <f>IF(ISNA(MATCH(160,'Transfer Engine'!$C$2:$C$1960,0)),"",INDEX('Compliance Database'!$N$2:$N$1960,MATCH(160,'Transfer Engine'!$C$2:$C$1960,0)))</f>
        <v/>
      </c>
      <c r="O169" s="9">
        <f>IF(ISNA(MATCH(160,'Transfer Engine'!$C$2:$C$1960,0)),"",INDEX('Compliance Database'!$O$2:$O$1960,MATCH(160,'Transfer Engine'!$C$2:$C$1960,0)))</f>
        <v/>
      </c>
      <c r="P169" s="8">
        <f>IF(ISNA(MATCH(160,'Transfer Engine'!$C$2:$C$1960,0)),"",HYPERLINK("#Acts!A"&amp;INDEX('Compliance Database'!$P$2:$P$1960,MATCH(160,'Transfer Engine'!$C$2:$C$1960,0)),"Go to Act"))</f>
        <v/>
      </c>
    </row>
    <row r="170" ht="158" customHeight="1">
      <c r="A170" s="8">
        <f>IF(ISNA(MATCH(161,'Transfer Engine'!$C$2:$C$1960,0)),"",INDEX('Compliance Database'!$A$2:$A$1960,MATCH(161,'Transfer Engine'!$C$2:$C$1960,0)))</f>
        <v/>
      </c>
      <c r="B170" s="8">
        <f>IF(ISNA(MATCH(161,'Transfer Engine'!$C$2:$C$1960,0)),"",INDEX('Compliance Database'!$B$2:$B$1960,MATCH(161,'Transfer Engine'!$C$2:$C$1960,0)))</f>
        <v/>
      </c>
      <c r="C170" s="8">
        <f>IF(ISNA(MATCH(161,'Transfer Engine'!$C$2:$C$1960,0)),"",INDEX('Compliance Database'!$C$2:$C$1960,MATCH(161,'Transfer Engine'!$C$2:$C$1960,0)))</f>
        <v/>
      </c>
      <c r="D170" s="9">
        <f>IF(ISNA(MATCH(161,'Transfer Engine'!$C$2:$C$1960,0)),"",INDEX('Compliance Database'!$D$2:$D$1960,MATCH(161,'Transfer Engine'!$C$2:$C$1960,0)))</f>
        <v/>
      </c>
      <c r="E170" s="8">
        <f>IF(ISNA(MATCH(161,'Transfer Engine'!$C$2:$C$1960,0)),"",INDEX('Compliance Database'!$E$2:$E$1960,MATCH(161,'Transfer Engine'!$C$2:$C$1960,0)))</f>
        <v/>
      </c>
      <c r="F170" s="8">
        <f>IF(ISNA(MATCH(161,'Transfer Engine'!$C$2:$C$1960,0)),"",INDEX('Compliance Database'!$F$2:$F$1960,MATCH(161,'Transfer Engine'!$C$2:$C$1960,0)))</f>
        <v/>
      </c>
      <c r="G170" s="8">
        <f>IF(ISNA(MATCH(161,'Transfer Engine'!$C$2:$C$1960,0)),"",INDEX('Compliance Database'!$G$2:$G$1960,MATCH(161,'Transfer Engine'!$C$2:$C$1960,0)))</f>
        <v/>
      </c>
      <c r="H170" s="9">
        <f>IF(ISNA(MATCH(161,'Transfer Engine'!$C$2:$C$1960,0)),"",INDEX('Compliance Database'!$H$2:$H$1960,MATCH(161,'Transfer Engine'!$C$2:$C$1960,0)))</f>
        <v/>
      </c>
      <c r="I170" s="9">
        <f>IF(ISNA(MATCH(161,'Transfer Engine'!$C$2:$C$1960,0)),"",INDEX('Compliance Database'!$I$2:$I$1960,MATCH(161,'Transfer Engine'!$C$2:$C$1960,0)))</f>
        <v/>
      </c>
      <c r="J170" s="8">
        <f>IF(ISNA(MATCH(161,'Transfer Engine'!$C$2:$C$1960,0)),"",INDEX('Compliance Database'!$J$2:$J$1960,MATCH(161,'Transfer Engine'!$C$2:$C$1960,0)))</f>
        <v/>
      </c>
      <c r="K170" s="9">
        <f>IF(ISNA(MATCH(161,'Transfer Engine'!$C$2:$C$1960,0)),"",INDEX('Compliance Database'!$K$2:$K$1960,MATCH(161,'Transfer Engine'!$C$2:$C$1960,0)))</f>
        <v/>
      </c>
      <c r="L170" s="9">
        <f>IF(ISNA(MATCH(161,'Transfer Engine'!$C$2:$C$1960,0)),"",INDEX('Compliance Database'!$L$2:$L$1960,MATCH(161,'Transfer Engine'!$C$2:$C$1960,0)))</f>
        <v/>
      </c>
      <c r="M170" s="9">
        <f>IF(ISNA(MATCH(161,'Transfer Engine'!$C$2:$C$1960,0)),"",INDEX('Compliance Database'!$M$2:$M$1960,MATCH(161,'Transfer Engine'!$C$2:$C$1960,0)))</f>
        <v/>
      </c>
      <c r="N170" s="9">
        <f>IF(ISNA(MATCH(161,'Transfer Engine'!$C$2:$C$1960,0)),"",INDEX('Compliance Database'!$N$2:$N$1960,MATCH(161,'Transfer Engine'!$C$2:$C$1960,0)))</f>
        <v/>
      </c>
      <c r="O170" s="9">
        <f>IF(ISNA(MATCH(161,'Transfer Engine'!$C$2:$C$1960,0)),"",INDEX('Compliance Database'!$O$2:$O$1960,MATCH(161,'Transfer Engine'!$C$2:$C$1960,0)))</f>
        <v/>
      </c>
      <c r="P170" s="8">
        <f>IF(ISNA(MATCH(161,'Transfer Engine'!$C$2:$C$1960,0)),"",HYPERLINK("#Acts!A"&amp;INDEX('Compliance Database'!$P$2:$P$1960,MATCH(161,'Transfer Engine'!$C$2:$C$1960,0)),"Go to Act"))</f>
        <v/>
      </c>
    </row>
    <row r="171" ht="158" customHeight="1">
      <c r="A171" s="8">
        <f>IF(ISNA(MATCH(162,'Transfer Engine'!$C$2:$C$1960,0)),"",INDEX('Compliance Database'!$A$2:$A$1960,MATCH(162,'Transfer Engine'!$C$2:$C$1960,0)))</f>
        <v/>
      </c>
      <c r="B171" s="8">
        <f>IF(ISNA(MATCH(162,'Transfer Engine'!$C$2:$C$1960,0)),"",INDEX('Compliance Database'!$B$2:$B$1960,MATCH(162,'Transfer Engine'!$C$2:$C$1960,0)))</f>
        <v/>
      </c>
      <c r="C171" s="8">
        <f>IF(ISNA(MATCH(162,'Transfer Engine'!$C$2:$C$1960,0)),"",INDEX('Compliance Database'!$C$2:$C$1960,MATCH(162,'Transfer Engine'!$C$2:$C$1960,0)))</f>
        <v/>
      </c>
      <c r="D171" s="9">
        <f>IF(ISNA(MATCH(162,'Transfer Engine'!$C$2:$C$1960,0)),"",INDEX('Compliance Database'!$D$2:$D$1960,MATCH(162,'Transfer Engine'!$C$2:$C$1960,0)))</f>
        <v/>
      </c>
      <c r="E171" s="8">
        <f>IF(ISNA(MATCH(162,'Transfer Engine'!$C$2:$C$1960,0)),"",INDEX('Compliance Database'!$E$2:$E$1960,MATCH(162,'Transfer Engine'!$C$2:$C$1960,0)))</f>
        <v/>
      </c>
      <c r="F171" s="8">
        <f>IF(ISNA(MATCH(162,'Transfer Engine'!$C$2:$C$1960,0)),"",INDEX('Compliance Database'!$F$2:$F$1960,MATCH(162,'Transfer Engine'!$C$2:$C$1960,0)))</f>
        <v/>
      </c>
      <c r="G171" s="8">
        <f>IF(ISNA(MATCH(162,'Transfer Engine'!$C$2:$C$1960,0)),"",INDEX('Compliance Database'!$G$2:$G$1960,MATCH(162,'Transfer Engine'!$C$2:$C$1960,0)))</f>
        <v/>
      </c>
      <c r="H171" s="9">
        <f>IF(ISNA(MATCH(162,'Transfer Engine'!$C$2:$C$1960,0)),"",INDEX('Compliance Database'!$H$2:$H$1960,MATCH(162,'Transfer Engine'!$C$2:$C$1960,0)))</f>
        <v/>
      </c>
      <c r="I171" s="9">
        <f>IF(ISNA(MATCH(162,'Transfer Engine'!$C$2:$C$1960,0)),"",INDEX('Compliance Database'!$I$2:$I$1960,MATCH(162,'Transfer Engine'!$C$2:$C$1960,0)))</f>
        <v/>
      </c>
      <c r="J171" s="8">
        <f>IF(ISNA(MATCH(162,'Transfer Engine'!$C$2:$C$1960,0)),"",INDEX('Compliance Database'!$J$2:$J$1960,MATCH(162,'Transfer Engine'!$C$2:$C$1960,0)))</f>
        <v/>
      </c>
      <c r="K171" s="9">
        <f>IF(ISNA(MATCH(162,'Transfer Engine'!$C$2:$C$1960,0)),"",INDEX('Compliance Database'!$K$2:$K$1960,MATCH(162,'Transfer Engine'!$C$2:$C$1960,0)))</f>
        <v/>
      </c>
      <c r="L171" s="9">
        <f>IF(ISNA(MATCH(162,'Transfer Engine'!$C$2:$C$1960,0)),"",INDEX('Compliance Database'!$L$2:$L$1960,MATCH(162,'Transfer Engine'!$C$2:$C$1960,0)))</f>
        <v/>
      </c>
      <c r="M171" s="9">
        <f>IF(ISNA(MATCH(162,'Transfer Engine'!$C$2:$C$1960,0)),"",INDEX('Compliance Database'!$M$2:$M$1960,MATCH(162,'Transfer Engine'!$C$2:$C$1960,0)))</f>
        <v/>
      </c>
      <c r="N171" s="9">
        <f>IF(ISNA(MATCH(162,'Transfer Engine'!$C$2:$C$1960,0)),"",INDEX('Compliance Database'!$N$2:$N$1960,MATCH(162,'Transfer Engine'!$C$2:$C$1960,0)))</f>
        <v/>
      </c>
      <c r="O171" s="9">
        <f>IF(ISNA(MATCH(162,'Transfer Engine'!$C$2:$C$1960,0)),"",INDEX('Compliance Database'!$O$2:$O$1960,MATCH(162,'Transfer Engine'!$C$2:$C$1960,0)))</f>
        <v/>
      </c>
      <c r="P171" s="8">
        <f>IF(ISNA(MATCH(162,'Transfer Engine'!$C$2:$C$1960,0)),"",HYPERLINK("#Acts!A"&amp;INDEX('Compliance Database'!$P$2:$P$1960,MATCH(162,'Transfer Engine'!$C$2:$C$1960,0)),"Go to Act"))</f>
        <v/>
      </c>
    </row>
    <row r="172" ht="158" customHeight="1">
      <c r="A172" s="8">
        <f>IF(ISNA(MATCH(163,'Transfer Engine'!$C$2:$C$1960,0)),"",INDEX('Compliance Database'!$A$2:$A$1960,MATCH(163,'Transfer Engine'!$C$2:$C$1960,0)))</f>
        <v/>
      </c>
      <c r="B172" s="8">
        <f>IF(ISNA(MATCH(163,'Transfer Engine'!$C$2:$C$1960,0)),"",INDEX('Compliance Database'!$B$2:$B$1960,MATCH(163,'Transfer Engine'!$C$2:$C$1960,0)))</f>
        <v/>
      </c>
      <c r="C172" s="8">
        <f>IF(ISNA(MATCH(163,'Transfer Engine'!$C$2:$C$1960,0)),"",INDEX('Compliance Database'!$C$2:$C$1960,MATCH(163,'Transfer Engine'!$C$2:$C$1960,0)))</f>
        <v/>
      </c>
      <c r="D172" s="9">
        <f>IF(ISNA(MATCH(163,'Transfer Engine'!$C$2:$C$1960,0)),"",INDEX('Compliance Database'!$D$2:$D$1960,MATCH(163,'Transfer Engine'!$C$2:$C$1960,0)))</f>
        <v/>
      </c>
      <c r="E172" s="8">
        <f>IF(ISNA(MATCH(163,'Transfer Engine'!$C$2:$C$1960,0)),"",INDEX('Compliance Database'!$E$2:$E$1960,MATCH(163,'Transfer Engine'!$C$2:$C$1960,0)))</f>
        <v/>
      </c>
      <c r="F172" s="8">
        <f>IF(ISNA(MATCH(163,'Transfer Engine'!$C$2:$C$1960,0)),"",INDEX('Compliance Database'!$F$2:$F$1960,MATCH(163,'Transfer Engine'!$C$2:$C$1960,0)))</f>
        <v/>
      </c>
      <c r="G172" s="8">
        <f>IF(ISNA(MATCH(163,'Transfer Engine'!$C$2:$C$1960,0)),"",INDEX('Compliance Database'!$G$2:$G$1960,MATCH(163,'Transfer Engine'!$C$2:$C$1960,0)))</f>
        <v/>
      </c>
      <c r="H172" s="9">
        <f>IF(ISNA(MATCH(163,'Transfer Engine'!$C$2:$C$1960,0)),"",INDEX('Compliance Database'!$H$2:$H$1960,MATCH(163,'Transfer Engine'!$C$2:$C$1960,0)))</f>
        <v/>
      </c>
      <c r="I172" s="9">
        <f>IF(ISNA(MATCH(163,'Transfer Engine'!$C$2:$C$1960,0)),"",INDEX('Compliance Database'!$I$2:$I$1960,MATCH(163,'Transfer Engine'!$C$2:$C$1960,0)))</f>
        <v/>
      </c>
      <c r="J172" s="8">
        <f>IF(ISNA(MATCH(163,'Transfer Engine'!$C$2:$C$1960,0)),"",INDEX('Compliance Database'!$J$2:$J$1960,MATCH(163,'Transfer Engine'!$C$2:$C$1960,0)))</f>
        <v/>
      </c>
      <c r="K172" s="9">
        <f>IF(ISNA(MATCH(163,'Transfer Engine'!$C$2:$C$1960,0)),"",INDEX('Compliance Database'!$K$2:$K$1960,MATCH(163,'Transfer Engine'!$C$2:$C$1960,0)))</f>
        <v/>
      </c>
      <c r="L172" s="9">
        <f>IF(ISNA(MATCH(163,'Transfer Engine'!$C$2:$C$1960,0)),"",INDEX('Compliance Database'!$L$2:$L$1960,MATCH(163,'Transfer Engine'!$C$2:$C$1960,0)))</f>
        <v/>
      </c>
      <c r="M172" s="9">
        <f>IF(ISNA(MATCH(163,'Transfer Engine'!$C$2:$C$1960,0)),"",INDEX('Compliance Database'!$M$2:$M$1960,MATCH(163,'Transfer Engine'!$C$2:$C$1960,0)))</f>
        <v/>
      </c>
      <c r="N172" s="9">
        <f>IF(ISNA(MATCH(163,'Transfer Engine'!$C$2:$C$1960,0)),"",INDEX('Compliance Database'!$N$2:$N$1960,MATCH(163,'Transfer Engine'!$C$2:$C$1960,0)))</f>
        <v/>
      </c>
      <c r="O172" s="9">
        <f>IF(ISNA(MATCH(163,'Transfer Engine'!$C$2:$C$1960,0)),"",INDEX('Compliance Database'!$O$2:$O$1960,MATCH(163,'Transfer Engine'!$C$2:$C$1960,0)))</f>
        <v/>
      </c>
      <c r="P172" s="8">
        <f>IF(ISNA(MATCH(163,'Transfer Engine'!$C$2:$C$1960,0)),"",HYPERLINK("#Acts!A"&amp;INDEX('Compliance Database'!$P$2:$P$1960,MATCH(163,'Transfer Engine'!$C$2:$C$1960,0)),"Go to Act"))</f>
        <v/>
      </c>
    </row>
    <row r="173" ht="158" customHeight="1">
      <c r="A173" s="8">
        <f>IF(ISNA(MATCH(164,'Transfer Engine'!$C$2:$C$1960,0)),"",INDEX('Compliance Database'!$A$2:$A$1960,MATCH(164,'Transfer Engine'!$C$2:$C$1960,0)))</f>
        <v/>
      </c>
      <c r="B173" s="8">
        <f>IF(ISNA(MATCH(164,'Transfer Engine'!$C$2:$C$1960,0)),"",INDEX('Compliance Database'!$B$2:$B$1960,MATCH(164,'Transfer Engine'!$C$2:$C$1960,0)))</f>
        <v/>
      </c>
      <c r="C173" s="8">
        <f>IF(ISNA(MATCH(164,'Transfer Engine'!$C$2:$C$1960,0)),"",INDEX('Compliance Database'!$C$2:$C$1960,MATCH(164,'Transfer Engine'!$C$2:$C$1960,0)))</f>
        <v/>
      </c>
      <c r="D173" s="9">
        <f>IF(ISNA(MATCH(164,'Transfer Engine'!$C$2:$C$1960,0)),"",INDEX('Compliance Database'!$D$2:$D$1960,MATCH(164,'Transfer Engine'!$C$2:$C$1960,0)))</f>
        <v/>
      </c>
      <c r="E173" s="8">
        <f>IF(ISNA(MATCH(164,'Transfer Engine'!$C$2:$C$1960,0)),"",INDEX('Compliance Database'!$E$2:$E$1960,MATCH(164,'Transfer Engine'!$C$2:$C$1960,0)))</f>
        <v/>
      </c>
      <c r="F173" s="8">
        <f>IF(ISNA(MATCH(164,'Transfer Engine'!$C$2:$C$1960,0)),"",INDEX('Compliance Database'!$F$2:$F$1960,MATCH(164,'Transfer Engine'!$C$2:$C$1960,0)))</f>
        <v/>
      </c>
      <c r="G173" s="8">
        <f>IF(ISNA(MATCH(164,'Transfer Engine'!$C$2:$C$1960,0)),"",INDEX('Compliance Database'!$G$2:$G$1960,MATCH(164,'Transfer Engine'!$C$2:$C$1960,0)))</f>
        <v/>
      </c>
      <c r="H173" s="9">
        <f>IF(ISNA(MATCH(164,'Transfer Engine'!$C$2:$C$1960,0)),"",INDEX('Compliance Database'!$H$2:$H$1960,MATCH(164,'Transfer Engine'!$C$2:$C$1960,0)))</f>
        <v/>
      </c>
      <c r="I173" s="9">
        <f>IF(ISNA(MATCH(164,'Transfer Engine'!$C$2:$C$1960,0)),"",INDEX('Compliance Database'!$I$2:$I$1960,MATCH(164,'Transfer Engine'!$C$2:$C$1960,0)))</f>
        <v/>
      </c>
      <c r="J173" s="8">
        <f>IF(ISNA(MATCH(164,'Transfer Engine'!$C$2:$C$1960,0)),"",INDEX('Compliance Database'!$J$2:$J$1960,MATCH(164,'Transfer Engine'!$C$2:$C$1960,0)))</f>
        <v/>
      </c>
      <c r="K173" s="9">
        <f>IF(ISNA(MATCH(164,'Transfer Engine'!$C$2:$C$1960,0)),"",INDEX('Compliance Database'!$K$2:$K$1960,MATCH(164,'Transfer Engine'!$C$2:$C$1960,0)))</f>
        <v/>
      </c>
      <c r="L173" s="9">
        <f>IF(ISNA(MATCH(164,'Transfer Engine'!$C$2:$C$1960,0)),"",INDEX('Compliance Database'!$L$2:$L$1960,MATCH(164,'Transfer Engine'!$C$2:$C$1960,0)))</f>
        <v/>
      </c>
      <c r="M173" s="9">
        <f>IF(ISNA(MATCH(164,'Transfer Engine'!$C$2:$C$1960,0)),"",INDEX('Compliance Database'!$M$2:$M$1960,MATCH(164,'Transfer Engine'!$C$2:$C$1960,0)))</f>
        <v/>
      </c>
      <c r="N173" s="9">
        <f>IF(ISNA(MATCH(164,'Transfer Engine'!$C$2:$C$1960,0)),"",INDEX('Compliance Database'!$N$2:$N$1960,MATCH(164,'Transfer Engine'!$C$2:$C$1960,0)))</f>
        <v/>
      </c>
      <c r="O173" s="9">
        <f>IF(ISNA(MATCH(164,'Transfer Engine'!$C$2:$C$1960,0)),"",INDEX('Compliance Database'!$O$2:$O$1960,MATCH(164,'Transfer Engine'!$C$2:$C$1960,0)))</f>
        <v/>
      </c>
      <c r="P173" s="8">
        <f>IF(ISNA(MATCH(164,'Transfer Engine'!$C$2:$C$1960,0)),"",HYPERLINK("#Acts!A"&amp;INDEX('Compliance Database'!$P$2:$P$1960,MATCH(164,'Transfer Engine'!$C$2:$C$1960,0)),"Go to Act"))</f>
        <v/>
      </c>
    </row>
    <row r="174" ht="158" customHeight="1">
      <c r="A174" s="8">
        <f>IF(ISNA(MATCH(165,'Transfer Engine'!$C$2:$C$1960,0)),"",INDEX('Compliance Database'!$A$2:$A$1960,MATCH(165,'Transfer Engine'!$C$2:$C$1960,0)))</f>
        <v/>
      </c>
      <c r="B174" s="8">
        <f>IF(ISNA(MATCH(165,'Transfer Engine'!$C$2:$C$1960,0)),"",INDEX('Compliance Database'!$B$2:$B$1960,MATCH(165,'Transfer Engine'!$C$2:$C$1960,0)))</f>
        <v/>
      </c>
      <c r="C174" s="8">
        <f>IF(ISNA(MATCH(165,'Transfer Engine'!$C$2:$C$1960,0)),"",INDEX('Compliance Database'!$C$2:$C$1960,MATCH(165,'Transfer Engine'!$C$2:$C$1960,0)))</f>
        <v/>
      </c>
      <c r="D174" s="9">
        <f>IF(ISNA(MATCH(165,'Transfer Engine'!$C$2:$C$1960,0)),"",INDEX('Compliance Database'!$D$2:$D$1960,MATCH(165,'Transfer Engine'!$C$2:$C$1960,0)))</f>
        <v/>
      </c>
      <c r="E174" s="8">
        <f>IF(ISNA(MATCH(165,'Transfer Engine'!$C$2:$C$1960,0)),"",INDEX('Compliance Database'!$E$2:$E$1960,MATCH(165,'Transfer Engine'!$C$2:$C$1960,0)))</f>
        <v/>
      </c>
      <c r="F174" s="8">
        <f>IF(ISNA(MATCH(165,'Transfer Engine'!$C$2:$C$1960,0)),"",INDEX('Compliance Database'!$F$2:$F$1960,MATCH(165,'Transfer Engine'!$C$2:$C$1960,0)))</f>
        <v/>
      </c>
      <c r="G174" s="8">
        <f>IF(ISNA(MATCH(165,'Transfer Engine'!$C$2:$C$1960,0)),"",INDEX('Compliance Database'!$G$2:$G$1960,MATCH(165,'Transfer Engine'!$C$2:$C$1960,0)))</f>
        <v/>
      </c>
      <c r="H174" s="9">
        <f>IF(ISNA(MATCH(165,'Transfer Engine'!$C$2:$C$1960,0)),"",INDEX('Compliance Database'!$H$2:$H$1960,MATCH(165,'Transfer Engine'!$C$2:$C$1960,0)))</f>
        <v/>
      </c>
      <c r="I174" s="9">
        <f>IF(ISNA(MATCH(165,'Transfer Engine'!$C$2:$C$1960,0)),"",INDEX('Compliance Database'!$I$2:$I$1960,MATCH(165,'Transfer Engine'!$C$2:$C$1960,0)))</f>
        <v/>
      </c>
      <c r="J174" s="8">
        <f>IF(ISNA(MATCH(165,'Transfer Engine'!$C$2:$C$1960,0)),"",INDEX('Compliance Database'!$J$2:$J$1960,MATCH(165,'Transfer Engine'!$C$2:$C$1960,0)))</f>
        <v/>
      </c>
      <c r="K174" s="9">
        <f>IF(ISNA(MATCH(165,'Transfer Engine'!$C$2:$C$1960,0)),"",INDEX('Compliance Database'!$K$2:$K$1960,MATCH(165,'Transfer Engine'!$C$2:$C$1960,0)))</f>
        <v/>
      </c>
      <c r="L174" s="9">
        <f>IF(ISNA(MATCH(165,'Transfer Engine'!$C$2:$C$1960,0)),"",INDEX('Compliance Database'!$L$2:$L$1960,MATCH(165,'Transfer Engine'!$C$2:$C$1960,0)))</f>
        <v/>
      </c>
      <c r="M174" s="9">
        <f>IF(ISNA(MATCH(165,'Transfer Engine'!$C$2:$C$1960,0)),"",INDEX('Compliance Database'!$M$2:$M$1960,MATCH(165,'Transfer Engine'!$C$2:$C$1960,0)))</f>
        <v/>
      </c>
      <c r="N174" s="9">
        <f>IF(ISNA(MATCH(165,'Transfer Engine'!$C$2:$C$1960,0)),"",INDEX('Compliance Database'!$N$2:$N$1960,MATCH(165,'Transfer Engine'!$C$2:$C$1960,0)))</f>
        <v/>
      </c>
      <c r="O174" s="9">
        <f>IF(ISNA(MATCH(165,'Transfer Engine'!$C$2:$C$1960,0)),"",INDEX('Compliance Database'!$O$2:$O$1960,MATCH(165,'Transfer Engine'!$C$2:$C$1960,0)))</f>
        <v/>
      </c>
      <c r="P174" s="8">
        <f>IF(ISNA(MATCH(165,'Transfer Engine'!$C$2:$C$1960,0)),"",HYPERLINK("#Acts!A"&amp;INDEX('Compliance Database'!$P$2:$P$1960,MATCH(165,'Transfer Engine'!$C$2:$C$1960,0)),"Go to Act"))</f>
        <v/>
      </c>
    </row>
    <row r="175" ht="158" customHeight="1">
      <c r="A175" s="8">
        <f>IF(ISNA(MATCH(166,'Transfer Engine'!$C$2:$C$1960,0)),"",INDEX('Compliance Database'!$A$2:$A$1960,MATCH(166,'Transfer Engine'!$C$2:$C$1960,0)))</f>
        <v/>
      </c>
      <c r="B175" s="8">
        <f>IF(ISNA(MATCH(166,'Transfer Engine'!$C$2:$C$1960,0)),"",INDEX('Compliance Database'!$B$2:$B$1960,MATCH(166,'Transfer Engine'!$C$2:$C$1960,0)))</f>
        <v/>
      </c>
      <c r="C175" s="8">
        <f>IF(ISNA(MATCH(166,'Transfer Engine'!$C$2:$C$1960,0)),"",INDEX('Compliance Database'!$C$2:$C$1960,MATCH(166,'Transfer Engine'!$C$2:$C$1960,0)))</f>
        <v/>
      </c>
      <c r="D175" s="9">
        <f>IF(ISNA(MATCH(166,'Transfer Engine'!$C$2:$C$1960,0)),"",INDEX('Compliance Database'!$D$2:$D$1960,MATCH(166,'Transfer Engine'!$C$2:$C$1960,0)))</f>
        <v/>
      </c>
      <c r="E175" s="8">
        <f>IF(ISNA(MATCH(166,'Transfer Engine'!$C$2:$C$1960,0)),"",INDEX('Compliance Database'!$E$2:$E$1960,MATCH(166,'Transfer Engine'!$C$2:$C$1960,0)))</f>
        <v/>
      </c>
      <c r="F175" s="8">
        <f>IF(ISNA(MATCH(166,'Transfer Engine'!$C$2:$C$1960,0)),"",INDEX('Compliance Database'!$F$2:$F$1960,MATCH(166,'Transfer Engine'!$C$2:$C$1960,0)))</f>
        <v/>
      </c>
      <c r="G175" s="8">
        <f>IF(ISNA(MATCH(166,'Transfer Engine'!$C$2:$C$1960,0)),"",INDEX('Compliance Database'!$G$2:$G$1960,MATCH(166,'Transfer Engine'!$C$2:$C$1960,0)))</f>
        <v/>
      </c>
      <c r="H175" s="9">
        <f>IF(ISNA(MATCH(166,'Transfer Engine'!$C$2:$C$1960,0)),"",INDEX('Compliance Database'!$H$2:$H$1960,MATCH(166,'Transfer Engine'!$C$2:$C$1960,0)))</f>
        <v/>
      </c>
      <c r="I175" s="9">
        <f>IF(ISNA(MATCH(166,'Transfer Engine'!$C$2:$C$1960,0)),"",INDEX('Compliance Database'!$I$2:$I$1960,MATCH(166,'Transfer Engine'!$C$2:$C$1960,0)))</f>
        <v/>
      </c>
      <c r="J175" s="8">
        <f>IF(ISNA(MATCH(166,'Transfer Engine'!$C$2:$C$1960,0)),"",INDEX('Compliance Database'!$J$2:$J$1960,MATCH(166,'Transfer Engine'!$C$2:$C$1960,0)))</f>
        <v/>
      </c>
      <c r="K175" s="9">
        <f>IF(ISNA(MATCH(166,'Transfer Engine'!$C$2:$C$1960,0)),"",INDEX('Compliance Database'!$K$2:$K$1960,MATCH(166,'Transfer Engine'!$C$2:$C$1960,0)))</f>
        <v/>
      </c>
      <c r="L175" s="9">
        <f>IF(ISNA(MATCH(166,'Transfer Engine'!$C$2:$C$1960,0)),"",INDEX('Compliance Database'!$L$2:$L$1960,MATCH(166,'Transfer Engine'!$C$2:$C$1960,0)))</f>
        <v/>
      </c>
      <c r="M175" s="9">
        <f>IF(ISNA(MATCH(166,'Transfer Engine'!$C$2:$C$1960,0)),"",INDEX('Compliance Database'!$M$2:$M$1960,MATCH(166,'Transfer Engine'!$C$2:$C$1960,0)))</f>
        <v/>
      </c>
      <c r="N175" s="9">
        <f>IF(ISNA(MATCH(166,'Transfer Engine'!$C$2:$C$1960,0)),"",INDEX('Compliance Database'!$N$2:$N$1960,MATCH(166,'Transfer Engine'!$C$2:$C$1960,0)))</f>
        <v/>
      </c>
      <c r="O175" s="9">
        <f>IF(ISNA(MATCH(166,'Transfer Engine'!$C$2:$C$1960,0)),"",INDEX('Compliance Database'!$O$2:$O$1960,MATCH(166,'Transfer Engine'!$C$2:$C$1960,0)))</f>
        <v/>
      </c>
      <c r="P175" s="8">
        <f>IF(ISNA(MATCH(166,'Transfer Engine'!$C$2:$C$1960,0)),"",HYPERLINK("#Acts!A"&amp;INDEX('Compliance Database'!$P$2:$P$1960,MATCH(166,'Transfer Engine'!$C$2:$C$1960,0)),"Go to Act"))</f>
        <v/>
      </c>
    </row>
    <row r="176" ht="158" customHeight="1">
      <c r="A176" s="8">
        <f>IF(ISNA(MATCH(167,'Transfer Engine'!$C$2:$C$1960,0)),"",INDEX('Compliance Database'!$A$2:$A$1960,MATCH(167,'Transfer Engine'!$C$2:$C$1960,0)))</f>
        <v/>
      </c>
      <c r="B176" s="8">
        <f>IF(ISNA(MATCH(167,'Transfer Engine'!$C$2:$C$1960,0)),"",INDEX('Compliance Database'!$B$2:$B$1960,MATCH(167,'Transfer Engine'!$C$2:$C$1960,0)))</f>
        <v/>
      </c>
      <c r="C176" s="8">
        <f>IF(ISNA(MATCH(167,'Transfer Engine'!$C$2:$C$1960,0)),"",INDEX('Compliance Database'!$C$2:$C$1960,MATCH(167,'Transfer Engine'!$C$2:$C$1960,0)))</f>
        <v/>
      </c>
      <c r="D176" s="9">
        <f>IF(ISNA(MATCH(167,'Transfer Engine'!$C$2:$C$1960,0)),"",INDEX('Compliance Database'!$D$2:$D$1960,MATCH(167,'Transfer Engine'!$C$2:$C$1960,0)))</f>
        <v/>
      </c>
      <c r="E176" s="8">
        <f>IF(ISNA(MATCH(167,'Transfer Engine'!$C$2:$C$1960,0)),"",INDEX('Compliance Database'!$E$2:$E$1960,MATCH(167,'Transfer Engine'!$C$2:$C$1960,0)))</f>
        <v/>
      </c>
      <c r="F176" s="8">
        <f>IF(ISNA(MATCH(167,'Transfer Engine'!$C$2:$C$1960,0)),"",INDEX('Compliance Database'!$F$2:$F$1960,MATCH(167,'Transfer Engine'!$C$2:$C$1960,0)))</f>
        <v/>
      </c>
      <c r="G176" s="8">
        <f>IF(ISNA(MATCH(167,'Transfer Engine'!$C$2:$C$1960,0)),"",INDEX('Compliance Database'!$G$2:$G$1960,MATCH(167,'Transfer Engine'!$C$2:$C$1960,0)))</f>
        <v/>
      </c>
      <c r="H176" s="9">
        <f>IF(ISNA(MATCH(167,'Transfer Engine'!$C$2:$C$1960,0)),"",INDEX('Compliance Database'!$H$2:$H$1960,MATCH(167,'Transfer Engine'!$C$2:$C$1960,0)))</f>
        <v/>
      </c>
      <c r="I176" s="9">
        <f>IF(ISNA(MATCH(167,'Transfer Engine'!$C$2:$C$1960,0)),"",INDEX('Compliance Database'!$I$2:$I$1960,MATCH(167,'Transfer Engine'!$C$2:$C$1960,0)))</f>
        <v/>
      </c>
      <c r="J176" s="8">
        <f>IF(ISNA(MATCH(167,'Transfer Engine'!$C$2:$C$1960,0)),"",INDEX('Compliance Database'!$J$2:$J$1960,MATCH(167,'Transfer Engine'!$C$2:$C$1960,0)))</f>
        <v/>
      </c>
      <c r="K176" s="9">
        <f>IF(ISNA(MATCH(167,'Transfer Engine'!$C$2:$C$1960,0)),"",INDEX('Compliance Database'!$K$2:$K$1960,MATCH(167,'Transfer Engine'!$C$2:$C$1960,0)))</f>
        <v/>
      </c>
      <c r="L176" s="9">
        <f>IF(ISNA(MATCH(167,'Transfer Engine'!$C$2:$C$1960,0)),"",INDEX('Compliance Database'!$L$2:$L$1960,MATCH(167,'Transfer Engine'!$C$2:$C$1960,0)))</f>
        <v/>
      </c>
      <c r="M176" s="9">
        <f>IF(ISNA(MATCH(167,'Transfer Engine'!$C$2:$C$1960,0)),"",INDEX('Compliance Database'!$M$2:$M$1960,MATCH(167,'Transfer Engine'!$C$2:$C$1960,0)))</f>
        <v/>
      </c>
      <c r="N176" s="9">
        <f>IF(ISNA(MATCH(167,'Transfer Engine'!$C$2:$C$1960,0)),"",INDEX('Compliance Database'!$N$2:$N$1960,MATCH(167,'Transfer Engine'!$C$2:$C$1960,0)))</f>
        <v/>
      </c>
      <c r="O176" s="9">
        <f>IF(ISNA(MATCH(167,'Transfer Engine'!$C$2:$C$1960,0)),"",INDEX('Compliance Database'!$O$2:$O$1960,MATCH(167,'Transfer Engine'!$C$2:$C$1960,0)))</f>
        <v/>
      </c>
      <c r="P176" s="8">
        <f>IF(ISNA(MATCH(167,'Transfer Engine'!$C$2:$C$1960,0)),"",HYPERLINK("#Acts!A"&amp;INDEX('Compliance Database'!$P$2:$P$1960,MATCH(167,'Transfer Engine'!$C$2:$C$1960,0)),"Go to Act"))</f>
        <v/>
      </c>
    </row>
    <row r="177" ht="158" customHeight="1">
      <c r="A177" s="8">
        <f>IF(ISNA(MATCH(168,'Transfer Engine'!$C$2:$C$1960,0)),"",INDEX('Compliance Database'!$A$2:$A$1960,MATCH(168,'Transfer Engine'!$C$2:$C$1960,0)))</f>
        <v/>
      </c>
      <c r="B177" s="8">
        <f>IF(ISNA(MATCH(168,'Transfer Engine'!$C$2:$C$1960,0)),"",INDEX('Compliance Database'!$B$2:$B$1960,MATCH(168,'Transfer Engine'!$C$2:$C$1960,0)))</f>
        <v/>
      </c>
      <c r="C177" s="8">
        <f>IF(ISNA(MATCH(168,'Transfer Engine'!$C$2:$C$1960,0)),"",INDEX('Compliance Database'!$C$2:$C$1960,MATCH(168,'Transfer Engine'!$C$2:$C$1960,0)))</f>
        <v/>
      </c>
      <c r="D177" s="9">
        <f>IF(ISNA(MATCH(168,'Transfer Engine'!$C$2:$C$1960,0)),"",INDEX('Compliance Database'!$D$2:$D$1960,MATCH(168,'Transfer Engine'!$C$2:$C$1960,0)))</f>
        <v/>
      </c>
      <c r="E177" s="8">
        <f>IF(ISNA(MATCH(168,'Transfer Engine'!$C$2:$C$1960,0)),"",INDEX('Compliance Database'!$E$2:$E$1960,MATCH(168,'Transfer Engine'!$C$2:$C$1960,0)))</f>
        <v/>
      </c>
      <c r="F177" s="8">
        <f>IF(ISNA(MATCH(168,'Transfer Engine'!$C$2:$C$1960,0)),"",INDEX('Compliance Database'!$F$2:$F$1960,MATCH(168,'Transfer Engine'!$C$2:$C$1960,0)))</f>
        <v/>
      </c>
      <c r="G177" s="8">
        <f>IF(ISNA(MATCH(168,'Transfer Engine'!$C$2:$C$1960,0)),"",INDEX('Compliance Database'!$G$2:$G$1960,MATCH(168,'Transfer Engine'!$C$2:$C$1960,0)))</f>
        <v/>
      </c>
      <c r="H177" s="9">
        <f>IF(ISNA(MATCH(168,'Transfer Engine'!$C$2:$C$1960,0)),"",INDEX('Compliance Database'!$H$2:$H$1960,MATCH(168,'Transfer Engine'!$C$2:$C$1960,0)))</f>
        <v/>
      </c>
      <c r="I177" s="9">
        <f>IF(ISNA(MATCH(168,'Transfer Engine'!$C$2:$C$1960,0)),"",INDEX('Compliance Database'!$I$2:$I$1960,MATCH(168,'Transfer Engine'!$C$2:$C$1960,0)))</f>
        <v/>
      </c>
      <c r="J177" s="8">
        <f>IF(ISNA(MATCH(168,'Transfer Engine'!$C$2:$C$1960,0)),"",INDEX('Compliance Database'!$J$2:$J$1960,MATCH(168,'Transfer Engine'!$C$2:$C$1960,0)))</f>
        <v/>
      </c>
      <c r="K177" s="9">
        <f>IF(ISNA(MATCH(168,'Transfer Engine'!$C$2:$C$1960,0)),"",INDEX('Compliance Database'!$K$2:$K$1960,MATCH(168,'Transfer Engine'!$C$2:$C$1960,0)))</f>
        <v/>
      </c>
      <c r="L177" s="9">
        <f>IF(ISNA(MATCH(168,'Transfer Engine'!$C$2:$C$1960,0)),"",INDEX('Compliance Database'!$L$2:$L$1960,MATCH(168,'Transfer Engine'!$C$2:$C$1960,0)))</f>
        <v/>
      </c>
      <c r="M177" s="9">
        <f>IF(ISNA(MATCH(168,'Transfer Engine'!$C$2:$C$1960,0)),"",INDEX('Compliance Database'!$M$2:$M$1960,MATCH(168,'Transfer Engine'!$C$2:$C$1960,0)))</f>
        <v/>
      </c>
      <c r="N177" s="9">
        <f>IF(ISNA(MATCH(168,'Transfer Engine'!$C$2:$C$1960,0)),"",INDEX('Compliance Database'!$N$2:$N$1960,MATCH(168,'Transfer Engine'!$C$2:$C$1960,0)))</f>
        <v/>
      </c>
      <c r="O177" s="9">
        <f>IF(ISNA(MATCH(168,'Transfer Engine'!$C$2:$C$1960,0)),"",INDEX('Compliance Database'!$O$2:$O$1960,MATCH(168,'Transfer Engine'!$C$2:$C$1960,0)))</f>
        <v/>
      </c>
      <c r="P177" s="8">
        <f>IF(ISNA(MATCH(168,'Transfer Engine'!$C$2:$C$1960,0)),"",HYPERLINK("#Acts!A"&amp;INDEX('Compliance Database'!$P$2:$P$1960,MATCH(168,'Transfer Engine'!$C$2:$C$1960,0)),"Go to Act"))</f>
        <v/>
      </c>
    </row>
    <row r="178" ht="158" customHeight="1">
      <c r="A178" s="8">
        <f>IF(ISNA(MATCH(169,'Transfer Engine'!$C$2:$C$1960,0)),"",INDEX('Compliance Database'!$A$2:$A$1960,MATCH(169,'Transfer Engine'!$C$2:$C$1960,0)))</f>
        <v/>
      </c>
      <c r="B178" s="8">
        <f>IF(ISNA(MATCH(169,'Transfer Engine'!$C$2:$C$1960,0)),"",INDEX('Compliance Database'!$B$2:$B$1960,MATCH(169,'Transfer Engine'!$C$2:$C$1960,0)))</f>
        <v/>
      </c>
      <c r="C178" s="8">
        <f>IF(ISNA(MATCH(169,'Transfer Engine'!$C$2:$C$1960,0)),"",INDEX('Compliance Database'!$C$2:$C$1960,MATCH(169,'Transfer Engine'!$C$2:$C$1960,0)))</f>
        <v/>
      </c>
      <c r="D178" s="9">
        <f>IF(ISNA(MATCH(169,'Transfer Engine'!$C$2:$C$1960,0)),"",INDEX('Compliance Database'!$D$2:$D$1960,MATCH(169,'Transfer Engine'!$C$2:$C$1960,0)))</f>
        <v/>
      </c>
      <c r="E178" s="8">
        <f>IF(ISNA(MATCH(169,'Transfer Engine'!$C$2:$C$1960,0)),"",INDEX('Compliance Database'!$E$2:$E$1960,MATCH(169,'Transfer Engine'!$C$2:$C$1960,0)))</f>
        <v/>
      </c>
      <c r="F178" s="8">
        <f>IF(ISNA(MATCH(169,'Transfer Engine'!$C$2:$C$1960,0)),"",INDEX('Compliance Database'!$F$2:$F$1960,MATCH(169,'Transfer Engine'!$C$2:$C$1960,0)))</f>
        <v/>
      </c>
      <c r="G178" s="8">
        <f>IF(ISNA(MATCH(169,'Transfer Engine'!$C$2:$C$1960,0)),"",INDEX('Compliance Database'!$G$2:$G$1960,MATCH(169,'Transfer Engine'!$C$2:$C$1960,0)))</f>
        <v/>
      </c>
      <c r="H178" s="9">
        <f>IF(ISNA(MATCH(169,'Transfer Engine'!$C$2:$C$1960,0)),"",INDEX('Compliance Database'!$H$2:$H$1960,MATCH(169,'Transfer Engine'!$C$2:$C$1960,0)))</f>
        <v/>
      </c>
      <c r="I178" s="9">
        <f>IF(ISNA(MATCH(169,'Transfer Engine'!$C$2:$C$1960,0)),"",INDEX('Compliance Database'!$I$2:$I$1960,MATCH(169,'Transfer Engine'!$C$2:$C$1960,0)))</f>
        <v/>
      </c>
      <c r="J178" s="8">
        <f>IF(ISNA(MATCH(169,'Transfer Engine'!$C$2:$C$1960,0)),"",INDEX('Compliance Database'!$J$2:$J$1960,MATCH(169,'Transfer Engine'!$C$2:$C$1960,0)))</f>
        <v/>
      </c>
      <c r="K178" s="9">
        <f>IF(ISNA(MATCH(169,'Transfer Engine'!$C$2:$C$1960,0)),"",INDEX('Compliance Database'!$K$2:$K$1960,MATCH(169,'Transfer Engine'!$C$2:$C$1960,0)))</f>
        <v/>
      </c>
      <c r="L178" s="9">
        <f>IF(ISNA(MATCH(169,'Transfer Engine'!$C$2:$C$1960,0)),"",INDEX('Compliance Database'!$L$2:$L$1960,MATCH(169,'Transfer Engine'!$C$2:$C$1960,0)))</f>
        <v/>
      </c>
      <c r="M178" s="9">
        <f>IF(ISNA(MATCH(169,'Transfer Engine'!$C$2:$C$1960,0)),"",INDEX('Compliance Database'!$M$2:$M$1960,MATCH(169,'Transfer Engine'!$C$2:$C$1960,0)))</f>
        <v/>
      </c>
      <c r="N178" s="9">
        <f>IF(ISNA(MATCH(169,'Transfer Engine'!$C$2:$C$1960,0)),"",INDEX('Compliance Database'!$N$2:$N$1960,MATCH(169,'Transfer Engine'!$C$2:$C$1960,0)))</f>
        <v/>
      </c>
      <c r="O178" s="9">
        <f>IF(ISNA(MATCH(169,'Transfer Engine'!$C$2:$C$1960,0)),"",INDEX('Compliance Database'!$O$2:$O$1960,MATCH(169,'Transfer Engine'!$C$2:$C$1960,0)))</f>
        <v/>
      </c>
      <c r="P178" s="8">
        <f>IF(ISNA(MATCH(169,'Transfer Engine'!$C$2:$C$1960,0)),"",HYPERLINK("#Acts!A"&amp;INDEX('Compliance Database'!$P$2:$P$1960,MATCH(169,'Transfer Engine'!$C$2:$C$1960,0)),"Go to Act"))</f>
        <v/>
      </c>
    </row>
    <row r="179" ht="158" customHeight="1">
      <c r="A179" s="8">
        <f>IF(ISNA(MATCH(170,'Transfer Engine'!$C$2:$C$1960,0)),"",INDEX('Compliance Database'!$A$2:$A$1960,MATCH(170,'Transfer Engine'!$C$2:$C$1960,0)))</f>
        <v/>
      </c>
      <c r="B179" s="8">
        <f>IF(ISNA(MATCH(170,'Transfer Engine'!$C$2:$C$1960,0)),"",INDEX('Compliance Database'!$B$2:$B$1960,MATCH(170,'Transfer Engine'!$C$2:$C$1960,0)))</f>
        <v/>
      </c>
      <c r="C179" s="8">
        <f>IF(ISNA(MATCH(170,'Transfer Engine'!$C$2:$C$1960,0)),"",INDEX('Compliance Database'!$C$2:$C$1960,MATCH(170,'Transfer Engine'!$C$2:$C$1960,0)))</f>
        <v/>
      </c>
      <c r="D179" s="9">
        <f>IF(ISNA(MATCH(170,'Transfer Engine'!$C$2:$C$1960,0)),"",INDEX('Compliance Database'!$D$2:$D$1960,MATCH(170,'Transfer Engine'!$C$2:$C$1960,0)))</f>
        <v/>
      </c>
      <c r="E179" s="8">
        <f>IF(ISNA(MATCH(170,'Transfer Engine'!$C$2:$C$1960,0)),"",INDEX('Compliance Database'!$E$2:$E$1960,MATCH(170,'Transfer Engine'!$C$2:$C$1960,0)))</f>
        <v/>
      </c>
      <c r="F179" s="8">
        <f>IF(ISNA(MATCH(170,'Transfer Engine'!$C$2:$C$1960,0)),"",INDEX('Compliance Database'!$F$2:$F$1960,MATCH(170,'Transfer Engine'!$C$2:$C$1960,0)))</f>
        <v/>
      </c>
      <c r="G179" s="8">
        <f>IF(ISNA(MATCH(170,'Transfer Engine'!$C$2:$C$1960,0)),"",INDEX('Compliance Database'!$G$2:$G$1960,MATCH(170,'Transfer Engine'!$C$2:$C$1960,0)))</f>
        <v/>
      </c>
      <c r="H179" s="9">
        <f>IF(ISNA(MATCH(170,'Transfer Engine'!$C$2:$C$1960,0)),"",INDEX('Compliance Database'!$H$2:$H$1960,MATCH(170,'Transfer Engine'!$C$2:$C$1960,0)))</f>
        <v/>
      </c>
      <c r="I179" s="9">
        <f>IF(ISNA(MATCH(170,'Transfer Engine'!$C$2:$C$1960,0)),"",INDEX('Compliance Database'!$I$2:$I$1960,MATCH(170,'Transfer Engine'!$C$2:$C$1960,0)))</f>
        <v/>
      </c>
      <c r="J179" s="8">
        <f>IF(ISNA(MATCH(170,'Transfer Engine'!$C$2:$C$1960,0)),"",INDEX('Compliance Database'!$J$2:$J$1960,MATCH(170,'Transfer Engine'!$C$2:$C$1960,0)))</f>
        <v/>
      </c>
      <c r="K179" s="9">
        <f>IF(ISNA(MATCH(170,'Transfer Engine'!$C$2:$C$1960,0)),"",INDEX('Compliance Database'!$K$2:$K$1960,MATCH(170,'Transfer Engine'!$C$2:$C$1960,0)))</f>
        <v/>
      </c>
      <c r="L179" s="9">
        <f>IF(ISNA(MATCH(170,'Transfer Engine'!$C$2:$C$1960,0)),"",INDEX('Compliance Database'!$L$2:$L$1960,MATCH(170,'Transfer Engine'!$C$2:$C$1960,0)))</f>
        <v/>
      </c>
      <c r="M179" s="9">
        <f>IF(ISNA(MATCH(170,'Transfer Engine'!$C$2:$C$1960,0)),"",INDEX('Compliance Database'!$M$2:$M$1960,MATCH(170,'Transfer Engine'!$C$2:$C$1960,0)))</f>
        <v/>
      </c>
      <c r="N179" s="9">
        <f>IF(ISNA(MATCH(170,'Transfer Engine'!$C$2:$C$1960,0)),"",INDEX('Compliance Database'!$N$2:$N$1960,MATCH(170,'Transfer Engine'!$C$2:$C$1960,0)))</f>
        <v/>
      </c>
      <c r="O179" s="9">
        <f>IF(ISNA(MATCH(170,'Transfer Engine'!$C$2:$C$1960,0)),"",INDEX('Compliance Database'!$O$2:$O$1960,MATCH(170,'Transfer Engine'!$C$2:$C$1960,0)))</f>
        <v/>
      </c>
      <c r="P179" s="8">
        <f>IF(ISNA(MATCH(170,'Transfer Engine'!$C$2:$C$1960,0)),"",HYPERLINK("#Acts!A"&amp;INDEX('Compliance Database'!$P$2:$P$1960,MATCH(170,'Transfer Engine'!$C$2:$C$1960,0)),"Go to Act"))</f>
        <v/>
      </c>
    </row>
    <row r="180" ht="158" customHeight="1">
      <c r="A180" s="8">
        <f>IF(ISNA(MATCH(171,'Transfer Engine'!$C$2:$C$1960,0)),"",INDEX('Compliance Database'!$A$2:$A$1960,MATCH(171,'Transfer Engine'!$C$2:$C$1960,0)))</f>
        <v/>
      </c>
      <c r="B180" s="8">
        <f>IF(ISNA(MATCH(171,'Transfer Engine'!$C$2:$C$1960,0)),"",INDEX('Compliance Database'!$B$2:$B$1960,MATCH(171,'Transfer Engine'!$C$2:$C$1960,0)))</f>
        <v/>
      </c>
      <c r="C180" s="8">
        <f>IF(ISNA(MATCH(171,'Transfer Engine'!$C$2:$C$1960,0)),"",INDEX('Compliance Database'!$C$2:$C$1960,MATCH(171,'Transfer Engine'!$C$2:$C$1960,0)))</f>
        <v/>
      </c>
      <c r="D180" s="9">
        <f>IF(ISNA(MATCH(171,'Transfer Engine'!$C$2:$C$1960,0)),"",INDEX('Compliance Database'!$D$2:$D$1960,MATCH(171,'Transfer Engine'!$C$2:$C$1960,0)))</f>
        <v/>
      </c>
      <c r="E180" s="8">
        <f>IF(ISNA(MATCH(171,'Transfer Engine'!$C$2:$C$1960,0)),"",INDEX('Compliance Database'!$E$2:$E$1960,MATCH(171,'Transfer Engine'!$C$2:$C$1960,0)))</f>
        <v/>
      </c>
      <c r="F180" s="8">
        <f>IF(ISNA(MATCH(171,'Transfer Engine'!$C$2:$C$1960,0)),"",INDEX('Compliance Database'!$F$2:$F$1960,MATCH(171,'Transfer Engine'!$C$2:$C$1960,0)))</f>
        <v/>
      </c>
      <c r="G180" s="8">
        <f>IF(ISNA(MATCH(171,'Transfer Engine'!$C$2:$C$1960,0)),"",INDEX('Compliance Database'!$G$2:$G$1960,MATCH(171,'Transfer Engine'!$C$2:$C$1960,0)))</f>
        <v/>
      </c>
      <c r="H180" s="9">
        <f>IF(ISNA(MATCH(171,'Transfer Engine'!$C$2:$C$1960,0)),"",INDEX('Compliance Database'!$H$2:$H$1960,MATCH(171,'Transfer Engine'!$C$2:$C$1960,0)))</f>
        <v/>
      </c>
      <c r="I180" s="9">
        <f>IF(ISNA(MATCH(171,'Transfer Engine'!$C$2:$C$1960,0)),"",INDEX('Compliance Database'!$I$2:$I$1960,MATCH(171,'Transfer Engine'!$C$2:$C$1960,0)))</f>
        <v/>
      </c>
      <c r="J180" s="8">
        <f>IF(ISNA(MATCH(171,'Transfer Engine'!$C$2:$C$1960,0)),"",INDEX('Compliance Database'!$J$2:$J$1960,MATCH(171,'Transfer Engine'!$C$2:$C$1960,0)))</f>
        <v/>
      </c>
      <c r="K180" s="9">
        <f>IF(ISNA(MATCH(171,'Transfer Engine'!$C$2:$C$1960,0)),"",INDEX('Compliance Database'!$K$2:$K$1960,MATCH(171,'Transfer Engine'!$C$2:$C$1960,0)))</f>
        <v/>
      </c>
      <c r="L180" s="9">
        <f>IF(ISNA(MATCH(171,'Transfer Engine'!$C$2:$C$1960,0)),"",INDEX('Compliance Database'!$L$2:$L$1960,MATCH(171,'Transfer Engine'!$C$2:$C$1960,0)))</f>
        <v/>
      </c>
      <c r="M180" s="9">
        <f>IF(ISNA(MATCH(171,'Transfer Engine'!$C$2:$C$1960,0)),"",INDEX('Compliance Database'!$M$2:$M$1960,MATCH(171,'Transfer Engine'!$C$2:$C$1960,0)))</f>
        <v/>
      </c>
      <c r="N180" s="9">
        <f>IF(ISNA(MATCH(171,'Transfer Engine'!$C$2:$C$1960,0)),"",INDEX('Compliance Database'!$N$2:$N$1960,MATCH(171,'Transfer Engine'!$C$2:$C$1960,0)))</f>
        <v/>
      </c>
      <c r="O180" s="9">
        <f>IF(ISNA(MATCH(171,'Transfer Engine'!$C$2:$C$1960,0)),"",INDEX('Compliance Database'!$O$2:$O$1960,MATCH(171,'Transfer Engine'!$C$2:$C$1960,0)))</f>
        <v/>
      </c>
      <c r="P180" s="8">
        <f>IF(ISNA(MATCH(171,'Transfer Engine'!$C$2:$C$1960,0)),"",HYPERLINK("#Acts!A"&amp;INDEX('Compliance Database'!$P$2:$P$1960,MATCH(171,'Transfer Engine'!$C$2:$C$1960,0)),"Go to Act"))</f>
        <v/>
      </c>
    </row>
    <row r="181" ht="158" customHeight="1">
      <c r="A181" s="8">
        <f>IF(ISNA(MATCH(172,'Transfer Engine'!$C$2:$C$1960,0)),"",INDEX('Compliance Database'!$A$2:$A$1960,MATCH(172,'Transfer Engine'!$C$2:$C$1960,0)))</f>
        <v/>
      </c>
      <c r="B181" s="8">
        <f>IF(ISNA(MATCH(172,'Transfer Engine'!$C$2:$C$1960,0)),"",INDEX('Compliance Database'!$B$2:$B$1960,MATCH(172,'Transfer Engine'!$C$2:$C$1960,0)))</f>
        <v/>
      </c>
      <c r="C181" s="8">
        <f>IF(ISNA(MATCH(172,'Transfer Engine'!$C$2:$C$1960,0)),"",INDEX('Compliance Database'!$C$2:$C$1960,MATCH(172,'Transfer Engine'!$C$2:$C$1960,0)))</f>
        <v/>
      </c>
      <c r="D181" s="9">
        <f>IF(ISNA(MATCH(172,'Transfer Engine'!$C$2:$C$1960,0)),"",INDEX('Compliance Database'!$D$2:$D$1960,MATCH(172,'Transfer Engine'!$C$2:$C$1960,0)))</f>
        <v/>
      </c>
      <c r="E181" s="8">
        <f>IF(ISNA(MATCH(172,'Transfer Engine'!$C$2:$C$1960,0)),"",INDEX('Compliance Database'!$E$2:$E$1960,MATCH(172,'Transfer Engine'!$C$2:$C$1960,0)))</f>
        <v/>
      </c>
      <c r="F181" s="8">
        <f>IF(ISNA(MATCH(172,'Transfer Engine'!$C$2:$C$1960,0)),"",INDEX('Compliance Database'!$F$2:$F$1960,MATCH(172,'Transfer Engine'!$C$2:$C$1960,0)))</f>
        <v/>
      </c>
      <c r="G181" s="8">
        <f>IF(ISNA(MATCH(172,'Transfer Engine'!$C$2:$C$1960,0)),"",INDEX('Compliance Database'!$G$2:$G$1960,MATCH(172,'Transfer Engine'!$C$2:$C$1960,0)))</f>
        <v/>
      </c>
      <c r="H181" s="9">
        <f>IF(ISNA(MATCH(172,'Transfer Engine'!$C$2:$C$1960,0)),"",INDEX('Compliance Database'!$H$2:$H$1960,MATCH(172,'Transfer Engine'!$C$2:$C$1960,0)))</f>
        <v/>
      </c>
      <c r="I181" s="9">
        <f>IF(ISNA(MATCH(172,'Transfer Engine'!$C$2:$C$1960,0)),"",INDEX('Compliance Database'!$I$2:$I$1960,MATCH(172,'Transfer Engine'!$C$2:$C$1960,0)))</f>
        <v/>
      </c>
      <c r="J181" s="8">
        <f>IF(ISNA(MATCH(172,'Transfer Engine'!$C$2:$C$1960,0)),"",INDEX('Compliance Database'!$J$2:$J$1960,MATCH(172,'Transfer Engine'!$C$2:$C$1960,0)))</f>
        <v/>
      </c>
      <c r="K181" s="9">
        <f>IF(ISNA(MATCH(172,'Transfer Engine'!$C$2:$C$1960,0)),"",INDEX('Compliance Database'!$K$2:$K$1960,MATCH(172,'Transfer Engine'!$C$2:$C$1960,0)))</f>
        <v/>
      </c>
      <c r="L181" s="9">
        <f>IF(ISNA(MATCH(172,'Transfer Engine'!$C$2:$C$1960,0)),"",INDEX('Compliance Database'!$L$2:$L$1960,MATCH(172,'Transfer Engine'!$C$2:$C$1960,0)))</f>
        <v/>
      </c>
      <c r="M181" s="9">
        <f>IF(ISNA(MATCH(172,'Transfer Engine'!$C$2:$C$1960,0)),"",INDEX('Compliance Database'!$M$2:$M$1960,MATCH(172,'Transfer Engine'!$C$2:$C$1960,0)))</f>
        <v/>
      </c>
      <c r="N181" s="9">
        <f>IF(ISNA(MATCH(172,'Transfer Engine'!$C$2:$C$1960,0)),"",INDEX('Compliance Database'!$N$2:$N$1960,MATCH(172,'Transfer Engine'!$C$2:$C$1960,0)))</f>
        <v/>
      </c>
      <c r="O181" s="9">
        <f>IF(ISNA(MATCH(172,'Transfer Engine'!$C$2:$C$1960,0)),"",INDEX('Compliance Database'!$O$2:$O$1960,MATCH(172,'Transfer Engine'!$C$2:$C$1960,0)))</f>
        <v/>
      </c>
      <c r="P181" s="8">
        <f>IF(ISNA(MATCH(172,'Transfer Engine'!$C$2:$C$1960,0)),"",HYPERLINK("#Acts!A"&amp;INDEX('Compliance Database'!$P$2:$P$1960,MATCH(172,'Transfer Engine'!$C$2:$C$1960,0)),"Go to Act"))</f>
        <v/>
      </c>
    </row>
    <row r="182" ht="158" customHeight="1">
      <c r="A182" s="8">
        <f>IF(ISNA(MATCH(173,'Transfer Engine'!$C$2:$C$1960,0)),"",INDEX('Compliance Database'!$A$2:$A$1960,MATCH(173,'Transfer Engine'!$C$2:$C$1960,0)))</f>
        <v/>
      </c>
      <c r="B182" s="8">
        <f>IF(ISNA(MATCH(173,'Transfer Engine'!$C$2:$C$1960,0)),"",INDEX('Compliance Database'!$B$2:$B$1960,MATCH(173,'Transfer Engine'!$C$2:$C$1960,0)))</f>
        <v/>
      </c>
      <c r="C182" s="8">
        <f>IF(ISNA(MATCH(173,'Transfer Engine'!$C$2:$C$1960,0)),"",INDEX('Compliance Database'!$C$2:$C$1960,MATCH(173,'Transfer Engine'!$C$2:$C$1960,0)))</f>
        <v/>
      </c>
      <c r="D182" s="9">
        <f>IF(ISNA(MATCH(173,'Transfer Engine'!$C$2:$C$1960,0)),"",INDEX('Compliance Database'!$D$2:$D$1960,MATCH(173,'Transfer Engine'!$C$2:$C$1960,0)))</f>
        <v/>
      </c>
      <c r="E182" s="8">
        <f>IF(ISNA(MATCH(173,'Transfer Engine'!$C$2:$C$1960,0)),"",INDEX('Compliance Database'!$E$2:$E$1960,MATCH(173,'Transfer Engine'!$C$2:$C$1960,0)))</f>
        <v/>
      </c>
      <c r="F182" s="8">
        <f>IF(ISNA(MATCH(173,'Transfer Engine'!$C$2:$C$1960,0)),"",INDEX('Compliance Database'!$F$2:$F$1960,MATCH(173,'Transfer Engine'!$C$2:$C$1960,0)))</f>
        <v/>
      </c>
      <c r="G182" s="8">
        <f>IF(ISNA(MATCH(173,'Transfer Engine'!$C$2:$C$1960,0)),"",INDEX('Compliance Database'!$G$2:$G$1960,MATCH(173,'Transfer Engine'!$C$2:$C$1960,0)))</f>
        <v/>
      </c>
      <c r="H182" s="9">
        <f>IF(ISNA(MATCH(173,'Transfer Engine'!$C$2:$C$1960,0)),"",INDEX('Compliance Database'!$H$2:$H$1960,MATCH(173,'Transfer Engine'!$C$2:$C$1960,0)))</f>
        <v/>
      </c>
      <c r="I182" s="9">
        <f>IF(ISNA(MATCH(173,'Transfer Engine'!$C$2:$C$1960,0)),"",INDEX('Compliance Database'!$I$2:$I$1960,MATCH(173,'Transfer Engine'!$C$2:$C$1960,0)))</f>
        <v/>
      </c>
      <c r="J182" s="8">
        <f>IF(ISNA(MATCH(173,'Transfer Engine'!$C$2:$C$1960,0)),"",INDEX('Compliance Database'!$J$2:$J$1960,MATCH(173,'Transfer Engine'!$C$2:$C$1960,0)))</f>
        <v/>
      </c>
      <c r="K182" s="9">
        <f>IF(ISNA(MATCH(173,'Transfer Engine'!$C$2:$C$1960,0)),"",INDEX('Compliance Database'!$K$2:$K$1960,MATCH(173,'Transfer Engine'!$C$2:$C$1960,0)))</f>
        <v/>
      </c>
      <c r="L182" s="9">
        <f>IF(ISNA(MATCH(173,'Transfer Engine'!$C$2:$C$1960,0)),"",INDEX('Compliance Database'!$L$2:$L$1960,MATCH(173,'Transfer Engine'!$C$2:$C$1960,0)))</f>
        <v/>
      </c>
      <c r="M182" s="9">
        <f>IF(ISNA(MATCH(173,'Transfer Engine'!$C$2:$C$1960,0)),"",INDEX('Compliance Database'!$M$2:$M$1960,MATCH(173,'Transfer Engine'!$C$2:$C$1960,0)))</f>
        <v/>
      </c>
      <c r="N182" s="9">
        <f>IF(ISNA(MATCH(173,'Transfer Engine'!$C$2:$C$1960,0)),"",INDEX('Compliance Database'!$N$2:$N$1960,MATCH(173,'Transfer Engine'!$C$2:$C$1960,0)))</f>
        <v/>
      </c>
      <c r="O182" s="9">
        <f>IF(ISNA(MATCH(173,'Transfer Engine'!$C$2:$C$1960,0)),"",INDEX('Compliance Database'!$O$2:$O$1960,MATCH(173,'Transfer Engine'!$C$2:$C$1960,0)))</f>
        <v/>
      </c>
      <c r="P182" s="8">
        <f>IF(ISNA(MATCH(173,'Transfer Engine'!$C$2:$C$1960,0)),"",HYPERLINK("#Acts!A"&amp;INDEX('Compliance Database'!$P$2:$P$1960,MATCH(173,'Transfer Engine'!$C$2:$C$1960,0)),"Go to Act"))</f>
        <v/>
      </c>
    </row>
    <row r="183" ht="158" customHeight="1">
      <c r="A183" s="8">
        <f>IF(ISNA(MATCH(174,'Transfer Engine'!$C$2:$C$1960,0)),"",INDEX('Compliance Database'!$A$2:$A$1960,MATCH(174,'Transfer Engine'!$C$2:$C$1960,0)))</f>
        <v/>
      </c>
      <c r="B183" s="8">
        <f>IF(ISNA(MATCH(174,'Transfer Engine'!$C$2:$C$1960,0)),"",INDEX('Compliance Database'!$B$2:$B$1960,MATCH(174,'Transfer Engine'!$C$2:$C$1960,0)))</f>
        <v/>
      </c>
      <c r="C183" s="8">
        <f>IF(ISNA(MATCH(174,'Transfer Engine'!$C$2:$C$1960,0)),"",INDEX('Compliance Database'!$C$2:$C$1960,MATCH(174,'Transfer Engine'!$C$2:$C$1960,0)))</f>
        <v/>
      </c>
      <c r="D183" s="9">
        <f>IF(ISNA(MATCH(174,'Transfer Engine'!$C$2:$C$1960,0)),"",INDEX('Compliance Database'!$D$2:$D$1960,MATCH(174,'Transfer Engine'!$C$2:$C$1960,0)))</f>
        <v/>
      </c>
      <c r="E183" s="8">
        <f>IF(ISNA(MATCH(174,'Transfer Engine'!$C$2:$C$1960,0)),"",INDEX('Compliance Database'!$E$2:$E$1960,MATCH(174,'Transfer Engine'!$C$2:$C$1960,0)))</f>
        <v/>
      </c>
      <c r="F183" s="8">
        <f>IF(ISNA(MATCH(174,'Transfer Engine'!$C$2:$C$1960,0)),"",INDEX('Compliance Database'!$F$2:$F$1960,MATCH(174,'Transfer Engine'!$C$2:$C$1960,0)))</f>
        <v/>
      </c>
      <c r="G183" s="8">
        <f>IF(ISNA(MATCH(174,'Transfer Engine'!$C$2:$C$1960,0)),"",INDEX('Compliance Database'!$G$2:$G$1960,MATCH(174,'Transfer Engine'!$C$2:$C$1960,0)))</f>
        <v/>
      </c>
      <c r="H183" s="9">
        <f>IF(ISNA(MATCH(174,'Transfer Engine'!$C$2:$C$1960,0)),"",INDEX('Compliance Database'!$H$2:$H$1960,MATCH(174,'Transfer Engine'!$C$2:$C$1960,0)))</f>
        <v/>
      </c>
      <c r="I183" s="9">
        <f>IF(ISNA(MATCH(174,'Transfer Engine'!$C$2:$C$1960,0)),"",INDEX('Compliance Database'!$I$2:$I$1960,MATCH(174,'Transfer Engine'!$C$2:$C$1960,0)))</f>
        <v/>
      </c>
      <c r="J183" s="8">
        <f>IF(ISNA(MATCH(174,'Transfer Engine'!$C$2:$C$1960,0)),"",INDEX('Compliance Database'!$J$2:$J$1960,MATCH(174,'Transfer Engine'!$C$2:$C$1960,0)))</f>
        <v/>
      </c>
      <c r="K183" s="9">
        <f>IF(ISNA(MATCH(174,'Transfer Engine'!$C$2:$C$1960,0)),"",INDEX('Compliance Database'!$K$2:$K$1960,MATCH(174,'Transfer Engine'!$C$2:$C$1960,0)))</f>
        <v/>
      </c>
      <c r="L183" s="9">
        <f>IF(ISNA(MATCH(174,'Transfer Engine'!$C$2:$C$1960,0)),"",INDEX('Compliance Database'!$L$2:$L$1960,MATCH(174,'Transfer Engine'!$C$2:$C$1960,0)))</f>
        <v/>
      </c>
      <c r="M183" s="9">
        <f>IF(ISNA(MATCH(174,'Transfer Engine'!$C$2:$C$1960,0)),"",INDEX('Compliance Database'!$M$2:$M$1960,MATCH(174,'Transfer Engine'!$C$2:$C$1960,0)))</f>
        <v/>
      </c>
      <c r="N183" s="9">
        <f>IF(ISNA(MATCH(174,'Transfer Engine'!$C$2:$C$1960,0)),"",INDEX('Compliance Database'!$N$2:$N$1960,MATCH(174,'Transfer Engine'!$C$2:$C$1960,0)))</f>
        <v/>
      </c>
      <c r="O183" s="9">
        <f>IF(ISNA(MATCH(174,'Transfer Engine'!$C$2:$C$1960,0)),"",INDEX('Compliance Database'!$O$2:$O$1960,MATCH(174,'Transfer Engine'!$C$2:$C$1960,0)))</f>
        <v/>
      </c>
      <c r="P183" s="8">
        <f>IF(ISNA(MATCH(174,'Transfer Engine'!$C$2:$C$1960,0)),"",HYPERLINK("#Acts!A"&amp;INDEX('Compliance Database'!$P$2:$P$1960,MATCH(174,'Transfer Engine'!$C$2:$C$1960,0)),"Go to Act"))</f>
        <v/>
      </c>
    </row>
    <row r="184" ht="158" customHeight="1">
      <c r="A184" s="8">
        <f>IF(ISNA(MATCH(175,'Transfer Engine'!$C$2:$C$1960,0)),"",INDEX('Compliance Database'!$A$2:$A$1960,MATCH(175,'Transfer Engine'!$C$2:$C$1960,0)))</f>
        <v/>
      </c>
      <c r="B184" s="8">
        <f>IF(ISNA(MATCH(175,'Transfer Engine'!$C$2:$C$1960,0)),"",INDEX('Compliance Database'!$B$2:$B$1960,MATCH(175,'Transfer Engine'!$C$2:$C$1960,0)))</f>
        <v/>
      </c>
      <c r="C184" s="8">
        <f>IF(ISNA(MATCH(175,'Transfer Engine'!$C$2:$C$1960,0)),"",INDEX('Compliance Database'!$C$2:$C$1960,MATCH(175,'Transfer Engine'!$C$2:$C$1960,0)))</f>
        <v/>
      </c>
      <c r="D184" s="9">
        <f>IF(ISNA(MATCH(175,'Transfer Engine'!$C$2:$C$1960,0)),"",INDEX('Compliance Database'!$D$2:$D$1960,MATCH(175,'Transfer Engine'!$C$2:$C$1960,0)))</f>
        <v/>
      </c>
      <c r="E184" s="8">
        <f>IF(ISNA(MATCH(175,'Transfer Engine'!$C$2:$C$1960,0)),"",INDEX('Compliance Database'!$E$2:$E$1960,MATCH(175,'Transfer Engine'!$C$2:$C$1960,0)))</f>
        <v/>
      </c>
      <c r="F184" s="8">
        <f>IF(ISNA(MATCH(175,'Transfer Engine'!$C$2:$C$1960,0)),"",INDEX('Compliance Database'!$F$2:$F$1960,MATCH(175,'Transfer Engine'!$C$2:$C$1960,0)))</f>
        <v/>
      </c>
      <c r="G184" s="8">
        <f>IF(ISNA(MATCH(175,'Transfer Engine'!$C$2:$C$1960,0)),"",INDEX('Compliance Database'!$G$2:$G$1960,MATCH(175,'Transfer Engine'!$C$2:$C$1960,0)))</f>
        <v/>
      </c>
      <c r="H184" s="9">
        <f>IF(ISNA(MATCH(175,'Transfer Engine'!$C$2:$C$1960,0)),"",INDEX('Compliance Database'!$H$2:$H$1960,MATCH(175,'Transfer Engine'!$C$2:$C$1960,0)))</f>
        <v/>
      </c>
      <c r="I184" s="9">
        <f>IF(ISNA(MATCH(175,'Transfer Engine'!$C$2:$C$1960,0)),"",INDEX('Compliance Database'!$I$2:$I$1960,MATCH(175,'Transfer Engine'!$C$2:$C$1960,0)))</f>
        <v/>
      </c>
      <c r="J184" s="8">
        <f>IF(ISNA(MATCH(175,'Transfer Engine'!$C$2:$C$1960,0)),"",INDEX('Compliance Database'!$J$2:$J$1960,MATCH(175,'Transfer Engine'!$C$2:$C$1960,0)))</f>
        <v/>
      </c>
      <c r="K184" s="9">
        <f>IF(ISNA(MATCH(175,'Transfer Engine'!$C$2:$C$1960,0)),"",INDEX('Compliance Database'!$K$2:$K$1960,MATCH(175,'Transfer Engine'!$C$2:$C$1960,0)))</f>
        <v/>
      </c>
      <c r="L184" s="9">
        <f>IF(ISNA(MATCH(175,'Transfer Engine'!$C$2:$C$1960,0)),"",INDEX('Compliance Database'!$L$2:$L$1960,MATCH(175,'Transfer Engine'!$C$2:$C$1960,0)))</f>
        <v/>
      </c>
      <c r="M184" s="9">
        <f>IF(ISNA(MATCH(175,'Transfer Engine'!$C$2:$C$1960,0)),"",INDEX('Compliance Database'!$M$2:$M$1960,MATCH(175,'Transfer Engine'!$C$2:$C$1960,0)))</f>
        <v/>
      </c>
      <c r="N184" s="9">
        <f>IF(ISNA(MATCH(175,'Transfer Engine'!$C$2:$C$1960,0)),"",INDEX('Compliance Database'!$N$2:$N$1960,MATCH(175,'Transfer Engine'!$C$2:$C$1960,0)))</f>
        <v/>
      </c>
      <c r="O184" s="9">
        <f>IF(ISNA(MATCH(175,'Transfer Engine'!$C$2:$C$1960,0)),"",INDEX('Compliance Database'!$O$2:$O$1960,MATCH(175,'Transfer Engine'!$C$2:$C$1960,0)))</f>
        <v/>
      </c>
      <c r="P184" s="8">
        <f>IF(ISNA(MATCH(175,'Transfer Engine'!$C$2:$C$1960,0)),"",HYPERLINK("#Acts!A"&amp;INDEX('Compliance Database'!$P$2:$P$1960,MATCH(175,'Transfer Engine'!$C$2:$C$1960,0)),"Go to Act"))</f>
        <v/>
      </c>
    </row>
    <row r="185" ht="158" customHeight="1">
      <c r="A185" s="8">
        <f>IF(ISNA(MATCH(176,'Transfer Engine'!$C$2:$C$1960,0)),"",INDEX('Compliance Database'!$A$2:$A$1960,MATCH(176,'Transfer Engine'!$C$2:$C$1960,0)))</f>
        <v/>
      </c>
      <c r="B185" s="8">
        <f>IF(ISNA(MATCH(176,'Transfer Engine'!$C$2:$C$1960,0)),"",INDEX('Compliance Database'!$B$2:$B$1960,MATCH(176,'Transfer Engine'!$C$2:$C$1960,0)))</f>
        <v/>
      </c>
      <c r="C185" s="8">
        <f>IF(ISNA(MATCH(176,'Transfer Engine'!$C$2:$C$1960,0)),"",INDEX('Compliance Database'!$C$2:$C$1960,MATCH(176,'Transfer Engine'!$C$2:$C$1960,0)))</f>
        <v/>
      </c>
      <c r="D185" s="9">
        <f>IF(ISNA(MATCH(176,'Transfer Engine'!$C$2:$C$1960,0)),"",INDEX('Compliance Database'!$D$2:$D$1960,MATCH(176,'Transfer Engine'!$C$2:$C$1960,0)))</f>
        <v/>
      </c>
      <c r="E185" s="8">
        <f>IF(ISNA(MATCH(176,'Transfer Engine'!$C$2:$C$1960,0)),"",INDEX('Compliance Database'!$E$2:$E$1960,MATCH(176,'Transfer Engine'!$C$2:$C$1960,0)))</f>
        <v/>
      </c>
      <c r="F185" s="8">
        <f>IF(ISNA(MATCH(176,'Transfer Engine'!$C$2:$C$1960,0)),"",INDEX('Compliance Database'!$F$2:$F$1960,MATCH(176,'Transfer Engine'!$C$2:$C$1960,0)))</f>
        <v/>
      </c>
      <c r="G185" s="8">
        <f>IF(ISNA(MATCH(176,'Transfer Engine'!$C$2:$C$1960,0)),"",INDEX('Compliance Database'!$G$2:$G$1960,MATCH(176,'Transfer Engine'!$C$2:$C$1960,0)))</f>
        <v/>
      </c>
      <c r="H185" s="9">
        <f>IF(ISNA(MATCH(176,'Transfer Engine'!$C$2:$C$1960,0)),"",INDEX('Compliance Database'!$H$2:$H$1960,MATCH(176,'Transfer Engine'!$C$2:$C$1960,0)))</f>
        <v/>
      </c>
      <c r="I185" s="9">
        <f>IF(ISNA(MATCH(176,'Transfer Engine'!$C$2:$C$1960,0)),"",INDEX('Compliance Database'!$I$2:$I$1960,MATCH(176,'Transfer Engine'!$C$2:$C$1960,0)))</f>
        <v/>
      </c>
      <c r="J185" s="8">
        <f>IF(ISNA(MATCH(176,'Transfer Engine'!$C$2:$C$1960,0)),"",INDEX('Compliance Database'!$J$2:$J$1960,MATCH(176,'Transfer Engine'!$C$2:$C$1960,0)))</f>
        <v/>
      </c>
      <c r="K185" s="9">
        <f>IF(ISNA(MATCH(176,'Transfer Engine'!$C$2:$C$1960,0)),"",INDEX('Compliance Database'!$K$2:$K$1960,MATCH(176,'Transfer Engine'!$C$2:$C$1960,0)))</f>
        <v/>
      </c>
      <c r="L185" s="9">
        <f>IF(ISNA(MATCH(176,'Transfer Engine'!$C$2:$C$1960,0)),"",INDEX('Compliance Database'!$L$2:$L$1960,MATCH(176,'Transfer Engine'!$C$2:$C$1960,0)))</f>
        <v/>
      </c>
      <c r="M185" s="9">
        <f>IF(ISNA(MATCH(176,'Transfer Engine'!$C$2:$C$1960,0)),"",INDEX('Compliance Database'!$M$2:$M$1960,MATCH(176,'Transfer Engine'!$C$2:$C$1960,0)))</f>
        <v/>
      </c>
      <c r="N185" s="9">
        <f>IF(ISNA(MATCH(176,'Transfer Engine'!$C$2:$C$1960,0)),"",INDEX('Compliance Database'!$N$2:$N$1960,MATCH(176,'Transfer Engine'!$C$2:$C$1960,0)))</f>
        <v/>
      </c>
      <c r="O185" s="9">
        <f>IF(ISNA(MATCH(176,'Transfer Engine'!$C$2:$C$1960,0)),"",INDEX('Compliance Database'!$O$2:$O$1960,MATCH(176,'Transfer Engine'!$C$2:$C$1960,0)))</f>
        <v/>
      </c>
      <c r="P185" s="8">
        <f>IF(ISNA(MATCH(176,'Transfer Engine'!$C$2:$C$1960,0)),"",HYPERLINK("#Acts!A"&amp;INDEX('Compliance Database'!$P$2:$P$1960,MATCH(176,'Transfer Engine'!$C$2:$C$1960,0)),"Go to Act"))</f>
        <v/>
      </c>
    </row>
    <row r="186" ht="158" customHeight="1">
      <c r="A186" s="8">
        <f>IF(ISNA(MATCH(177,'Transfer Engine'!$C$2:$C$1960,0)),"",INDEX('Compliance Database'!$A$2:$A$1960,MATCH(177,'Transfer Engine'!$C$2:$C$1960,0)))</f>
        <v/>
      </c>
      <c r="B186" s="8">
        <f>IF(ISNA(MATCH(177,'Transfer Engine'!$C$2:$C$1960,0)),"",INDEX('Compliance Database'!$B$2:$B$1960,MATCH(177,'Transfer Engine'!$C$2:$C$1960,0)))</f>
        <v/>
      </c>
      <c r="C186" s="8">
        <f>IF(ISNA(MATCH(177,'Transfer Engine'!$C$2:$C$1960,0)),"",INDEX('Compliance Database'!$C$2:$C$1960,MATCH(177,'Transfer Engine'!$C$2:$C$1960,0)))</f>
        <v/>
      </c>
      <c r="D186" s="9">
        <f>IF(ISNA(MATCH(177,'Transfer Engine'!$C$2:$C$1960,0)),"",INDEX('Compliance Database'!$D$2:$D$1960,MATCH(177,'Transfer Engine'!$C$2:$C$1960,0)))</f>
        <v/>
      </c>
      <c r="E186" s="8">
        <f>IF(ISNA(MATCH(177,'Transfer Engine'!$C$2:$C$1960,0)),"",INDEX('Compliance Database'!$E$2:$E$1960,MATCH(177,'Transfer Engine'!$C$2:$C$1960,0)))</f>
        <v/>
      </c>
      <c r="F186" s="8">
        <f>IF(ISNA(MATCH(177,'Transfer Engine'!$C$2:$C$1960,0)),"",INDEX('Compliance Database'!$F$2:$F$1960,MATCH(177,'Transfer Engine'!$C$2:$C$1960,0)))</f>
        <v/>
      </c>
      <c r="G186" s="8">
        <f>IF(ISNA(MATCH(177,'Transfer Engine'!$C$2:$C$1960,0)),"",INDEX('Compliance Database'!$G$2:$G$1960,MATCH(177,'Transfer Engine'!$C$2:$C$1960,0)))</f>
        <v/>
      </c>
      <c r="H186" s="9">
        <f>IF(ISNA(MATCH(177,'Transfer Engine'!$C$2:$C$1960,0)),"",INDEX('Compliance Database'!$H$2:$H$1960,MATCH(177,'Transfer Engine'!$C$2:$C$1960,0)))</f>
        <v/>
      </c>
      <c r="I186" s="9">
        <f>IF(ISNA(MATCH(177,'Transfer Engine'!$C$2:$C$1960,0)),"",INDEX('Compliance Database'!$I$2:$I$1960,MATCH(177,'Transfer Engine'!$C$2:$C$1960,0)))</f>
        <v/>
      </c>
      <c r="J186" s="8">
        <f>IF(ISNA(MATCH(177,'Transfer Engine'!$C$2:$C$1960,0)),"",INDEX('Compliance Database'!$J$2:$J$1960,MATCH(177,'Transfer Engine'!$C$2:$C$1960,0)))</f>
        <v/>
      </c>
      <c r="K186" s="9">
        <f>IF(ISNA(MATCH(177,'Transfer Engine'!$C$2:$C$1960,0)),"",INDEX('Compliance Database'!$K$2:$K$1960,MATCH(177,'Transfer Engine'!$C$2:$C$1960,0)))</f>
        <v/>
      </c>
      <c r="L186" s="9">
        <f>IF(ISNA(MATCH(177,'Transfer Engine'!$C$2:$C$1960,0)),"",INDEX('Compliance Database'!$L$2:$L$1960,MATCH(177,'Transfer Engine'!$C$2:$C$1960,0)))</f>
        <v/>
      </c>
      <c r="M186" s="9">
        <f>IF(ISNA(MATCH(177,'Transfer Engine'!$C$2:$C$1960,0)),"",INDEX('Compliance Database'!$M$2:$M$1960,MATCH(177,'Transfer Engine'!$C$2:$C$1960,0)))</f>
        <v/>
      </c>
      <c r="N186" s="9">
        <f>IF(ISNA(MATCH(177,'Transfer Engine'!$C$2:$C$1960,0)),"",INDEX('Compliance Database'!$N$2:$N$1960,MATCH(177,'Transfer Engine'!$C$2:$C$1960,0)))</f>
        <v/>
      </c>
      <c r="O186" s="9">
        <f>IF(ISNA(MATCH(177,'Transfer Engine'!$C$2:$C$1960,0)),"",INDEX('Compliance Database'!$O$2:$O$1960,MATCH(177,'Transfer Engine'!$C$2:$C$1960,0)))</f>
        <v/>
      </c>
      <c r="P186" s="8">
        <f>IF(ISNA(MATCH(177,'Transfer Engine'!$C$2:$C$1960,0)),"",HYPERLINK("#Acts!A"&amp;INDEX('Compliance Database'!$P$2:$P$1960,MATCH(177,'Transfer Engine'!$C$2:$C$1960,0)),"Go to Act"))</f>
        <v/>
      </c>
    </row>
    <row r="187" ht="158" customHeight="1">
      <c r="A187" s="8">
        <f>IF(ISNA(MATCH(178,'Transfer Engine'!$C$2:$C$1960,0)),"",INDEX('Compliance Database'!$A$2:$A$1960,MATCH(178,'Transfer Engine'!$C$2:$C$1960,0)))</f>
        <v/>
      </c>
      <c r="B187" s="8">
        <f>IF(ISNA(MATCH(178,'Transfer Engine'!$C$2:$C$1960,0)),"",INDEX('Compliance Database'!$B$2:$B$1960,MATCH(178,'Transfer Engine'!$C$2:$C$1960,0)))</f>
        <v/>
      </c>
      <c r="C187" s="8">
        <f>IF(ISNA(MATCH(178,'Transfer Engine'!$C$2:$C$1960,0)),"",INDEX('Compliance Database'!$C$2:$C$1960,MATCH(178,'Transfer Engine'!$C$2:$C$1960,0)))</f>
        <v/>
      </c>
      <c r="D187" s="9">
        <f>IF(ISNA(MATCH(178,'Transfer Engine'!$C$2:$C$1960,0)),"",INDEX('Compliance Database'!$D$2:$D$1960,MATCH(178,'Transfer Engine'!$C$2:$C$1960,0)))</f>
        <v/>
      </c>
      <c r="E187" s="8">
        <f>IF(ISNA(MATCH(178,'Transfer Engine'!$C$2:$C$1960,0)),"",INDEX('Compliance Database'!$E$2:$E$1960,MATCH(178,'Transfer Engine'!$C$2:$C$1960,0)))</f>
        <v/>
      </c>
      <c r="F187" s="8">
        <f>IF(ISNA(MATCH(178,'Transfer Engine'!$C$2:$C$1960,0)),"",INDEX('Compliance Database'!$F$2:$F$1960,MATCH(178,'Transfer Engine'!$C$2:$C$1960,0)))</f>
        <v/>
      </c>
      <c r="G187" s="8">
        <f>IF(ISNA(MATCH(178,'Transfer Engine'!$C$2:$C$1960,0)),"",INDEX('Compliance Database'!$G$2:$G$1960,MATCH(178,'Transfer Engine'!$C$2:$C$1960,0)))</f>
        <v/>
      </c>
      <c r="H187" s="9">
        <f>IF(ISNA(MATCH(178,'Transfer Engine'!$C$2:$C$1960,0)),"",INDEX('Compliance Database'!$H$2:$H$1960,MATCH(178,'Transfer Engine'!$C$2:$C$1960,0)))</f>
        <v/>
      </c>
      <c r="I187" s="9">
        <f>IF(ISNA(MATCH(178,'Transfer Engine'!$C$2:$C$1960,0)),"",INDEX('Compliance Database'!$I$2:$I$1960,MATCH(178,'Transfer Engine'!$C$2:$C$1960,0)))</f>
        <v/>
      </c>
      <c r="J187" s="8">
        <f>IF(ISNA(MATCH(178,'Transfer Engine'!$C$2:$C$1960,0)),"",INDEX('Compliance Database'!$J$2:$J$1960,MATCH(178,'Transfer Engine'!$C$2:$C$1960,0)))</f>
        <v/>
      </c>
      <c r="K187" s="9">
        <f>IF(ISNA(MATCH(178,'Transfer Engine'!$C$2:$C$1960,0)),"",INDEX('Compliance Database'!$K$2:$K$1960,MATCH(178,'Transfer Engine'!$C$2:$C$1960,0)))</f>
        <v/>
      </c>
      <c r="L187" s="9">
        <f>IF(ISNA(MATCH(178,'Transfer Engine'!$C$2:$C$1960,0)),"",INDEX('Compliance Database'!$L$2:$L$1960,MATCH(178,'Transfer Engine'!$C$2:$C$1960,0)))</f>
        <v/>
      </c>
      <c r="M187" s="9">
        <f>IF(ISNA(MATCH(178,'Transfer Engine'!$C$2:$C$1960,0)),"",INDEX('Compliance Database'!$M$2:$M$1960,MATCH(178,'Transfer Engine'!$C$2:$C$1960,0)))</f>
        <v/>
      </c>
      <c r="N187" s="9">
        <f>IF(ISNA(MATCH(178,'Transfer Engine'!$C$2:$C$1960,0)),"",INDEX('Compliance Database'!$N$2:$N$1960,MATCH(178,'Transfer Engine'!$C$2:$C$1960,0)))</f>
        <v/>
      </c>
      <c r="O187" s="9">
        <f>IF(ISNA(MATCH(178,'Transfer Engine'!$C$2:$C$1960,0)),"",INDEX('Compliance Database'!$O$2:$O$1960,MATCH(178,'Transfer Engine'!$C$2:$C$1960,0)))</f>
        <v/>
      </c>
      <c r="P187" s="8">
        <f>IF(ISNA(MATCH(178,'Transfer Engine'!$C$2:$C$1960,0)),"",HYPERLINK("#Acts!A"&amp;INDEX('Compliance Database'!$P$2:$P$1960,MATCH(178,'Transfer Engine'!$C$2:$C$1960,0)),"Go to Act"))</f>
        <v/>
      </c>
    </row>
    <row r="188" ht="158" customHeight="1">
      <c r="A188" s="8">
        <f>IF(ISNA(MATCH(179,'Transfer Engine'!$C$2:$C$1960,0)),"",INDEX('Compliance Database'!$A$2:$A$1960,MATCH(179,'Transfer Engine'!$C$2:$C$1960,0)))</f>
        <v/>
      </c>
      <c r="B188" s="8">
        <f>IF(ISNA(MATCH(179,'Transfer Engine'!$C$2:$C$1960,0)),"",INDEX('Compliance Database'!$B$2:$B$1960,MATCH(179,'Transfer Engine'!$C$2:$C$1960,0)))</f>
        <v/>
      </c>
      <c r="C188" s="8">
        <f>IF(ISNA(MATCH(179,'Transfer Engine'!$C$2:$C$1960,0)),"",INDEX('Compliance Database'!$C$2:$C$1960,MATCH(179,'Transfer Engine'!$C$2:$C$1960,0)))</f>
        <v/>
      </c>
      <c r="D188" s="9">
        <f>IF(ISNA(MATCH(179,'Transfer Engine'!$C$2:$C$1960,0)),"",INDEX('Compliance Database'!$D$2:$D$1960,MATCH(179,'Transfer Engine'!$C$2:$C$1960,0)))</f>
        <v/>
      </c>
      <c r="E188" s="8">
        <f>IF(ISNA(MATCH(179,'Transfer Engine'!$C$2:$C$1960,0)),"",INDEX('Compliance Database'!$E$2:$E$1960,MATCH(179,'Transfer Engine'!$C$2:$C$1960,0)))</f>
        <v/>
      </c>
      <c r="F188" s="8">
        <f>IF(ISNA(MATCH(179,'Transfer Engine'!$C$2:$C$1960,0)),"",INDEX('Compliance Database'!$F$2:$F$1960,MATCH(179,'Transfer Engine'!$C$2:$C$1960,0)))</f>
        <v/>
      </c>
      <c r="G188" s="8">
        <f>IF(ISNA(MATCH(179,'Transfer Engine'!$C$2:$C$1960,0)),"",INDEX('Compliance Database'!$G$2:$G$1960,MATCH(179,'Transfer Engine'!$C$2:$C$1960,0)))</f>
        <v/>
      </c>
      <c r="H188" s="9">
        <f>IF(ISNA(MATCH(179,'Transfer Engine'!$C$2:$C$1960,0)),"",INDEX('Compliance Database'!$H$2:$H$1960,MATCH(179,'Transfer Engine'!$C$2:$C$1960,0)))</f>
        <v/>
      </c>
      <c r="I188" s="9">
        <f>IF(ISNA(MATCH(179,'Transfer Engine'!$C$2:$C$1960,0)),"",INDEX('Compliance Database'!$I$2:$I$1960,MATCH(179,'Transfer Engine'!$C$2:$C$1960,0)))</f>
        <v/>
      </c>
      <c r="J188" s="8">
        <f>IF(ISNA(MATCH(179,'Transfer Engine'!$C$2:$C$1960,0)),"",INDEX('Compliance Database'!$J$2:$J$1960,MATCH(179,'Transfer Engine'!$C$2:$C$1960,0)))</f>
        <v/>
      </c>
      <c r="K188" s="9">
        <f>IF(ISNA(MATCH(179,'Transfer Engine'!$C$2:$C$1960,0)),"",INDEX('Compliance Database'!$K$2:$K$1960,MATCH(179,'Transfer Engine'!$C$2:$C$1960,0)))</f>
        <v/>
      </c>
      <c r="L188" s="9">
        <f>IF(ISNA(MATCH(179,'Transfer Engine'!$C$2:$C$1960,0)),"",INDEX('Compliance Database'!$L$2:$L$1960,MATCH(179,'Transfer Engine'!$C$2:$C$1960,0)))</f>
        <v/>
      </c>
      <c r="M188" s="9">
        <f>IF(ISNA(MATCH(179,'Transfer Engine'!$C$2:$C$1960,0)),"",INDEX('Compliance Database'!$M$2:$M$1960,MATCH(179,'Transfer Engine'!$C$2:$C$1960,0)))</f>
        <v/>
      </c>
      <c r="N188" s="9">
        <f>IF(ISNA(MATCH(179,'Transfer Engine'!$C$2:$C$1960,0)),"",INDEX('Compliance Database'!$N$2:$N$1960,MATCH(179,'Transfer Engine'!$C$2:$C$1960,0)))</f>
        <v/>
      </c>
      <c r="O188" s="9">
        <f>IF(ISNA(MATCH(179,'Transfer Engine'!$C$2:$C$1960,0)),"",INDEX('Compliance Database'!$O$2:$O$1960,MATCH(179,'Transfer Engine'!$C$2:$C$1960,0)))</f>
        <v/>
      </c>
      <c r="P188" s="8">
        <f>IF(ISNA(MATCH(179,'Transfer Engine'!$C$2:$C$1960,0)),"",HYPERLINK("#Acts!A"&amp;INDEX('Compliance Database'!$P$2:$P$1960,MATCH(179,'Transfer Engine'!$C$2:$C$1960,0)),"Go to Act"))</f>
        <v/>
      </c>
    </row>
    <row r="189" ht="158" customHeight="1">
      <c r="A189" s="8">
        <f>IF(ISNA(MATCH(180,'Transfer Engine'!$C$2:$C$1960,0)),"",INDEX('Compliance Database'!$A$2:$A$1960,MATCH(180,'Transfer Engine'!$C$2:$C$1960,0)))</f>
        <v/>
      </c>
      <c r="B189" s="8">
        <f>IF(ISNA(MATCH(180,'Transfer Engine'!$C$2:$C$1960,0)),"",INDEX('Compliance Database'!$B$2:$B$1960,MATCH(180,'Transfer Engine'!$C$2:$C$1960,0)))</f>
        <v/>
      </c>
      <c r="C189" s="8">
        <f>IF(ISNA(MATCH(180,'Transfer Engine'!$C$2:$C$1960,0)),"",INDEX('Compliance Database'!$C$2:$C$1960,MATCH(180,'Transfer Engine'!$C$2:$C$1960,0)))</f>
        <v/>
      </c>
      <c r="D189" s="9">
        <f>IF(ISNA(MATCH(180,'Transfer Engine'!$C$2:$C$1960,0)),"",INDEX('Compliance Database'!$D$2:$D$1960,MATCH(180,'Transfer Engine'!$C$2:$C$1960,0)))</f>
        <v/>
      </c>
      <c r="E189" s="8">
        <f>IF(ISNA(MATCH(180,'Transfer Engine'!$C$2:$C$1960,0)),"",INDEX('Compliance Database'!$E$2:$E$1960,MATCH(180,'Transfer Engine'!$C$2:$C$1960,0)))</f>
        <v/>
      </c>
      <c r="F189" s="8">
        <f>IF(ISNA(MATCH(180,'Transfer Engine'!$C$2:$C$1960,0)),"",INDEX('Compliance Database'!$F$2:$F$1960,MATCH(180,'Transfer Engine'!$C$2:$C$1960,0)))</f>
        <v/>
      </c>
      <c r="G189" s="8">
        <f>IF(ISNA(MATCH(180,'Transfer Engine'!$C$2:$C$1960,0)),"",INDEX('Compliance Database'!$G$2:$G$1960,MATCH(180,'Transfer Engine'!$C$2:$C$1960,0)))</f>
        <v/>
      </c>
      <c r="H189" s="9">
        <f>IF(ISNA(MATCH(180,'Transfer Engine'!$C$2:$C$1960,0)),"",INDEX('Compliance Database'!$H$2:$H$1960,MATCH(180,'Transfer Engine'!$C$2:$C$1960,0)))</f>
        <v/>
      </c>
      <c r="I189" s="9">
        <f>IF(ISNA(MATCH(180,'Transfer Engine'!$C$2:$C$1960,0)),"",INDEX('Compliance Database'!$I$2:$I$1960,MATCH(180,'Transfer Engine'!$C$2:$C$1960,0)))</f>
        <v/>
      </c>
      <c r="J189" s="8">
        <f>IF(ISNA(MATCH(180,'Transfer Engine'!$C$2:$C$1960,0)),"",INDEX('Compliance Database'!$J$2:$J$1960,MATCH(180,'Transfer Engine'!$C$2:$C$1960,0)))</f>
        <v/>
      </c>
      <c r="K189" s="9">
        <f>IF(ISNA(MATCH(180,'Transfer Engine'!$C$2:$C$1960,0)),"",INDEX('Compliance Database'!$K$2:$K$1960,MATCH(180,'Transfer Engine'!$C$2:$C$1960,0)))</f>
        <v/>
      </c>
      <c r="L189" s="9">
        <f>IF(ISNA(MATCH(180,'Transfer Engine'!$C$2:$C$1960,0)),"",INDEX('Compliance Database'!$L$2:$L$1960,MATCH(180,'Transfer Engine'!$C$2:$C$1960,0)))</f>
        <v/>
      </c>
      <c r="M189" s="9">
        <f>IF(ISNA(MATCH(180,'Transfer Engine'!$C$2:$C$1960,0)),"",INDEX('Compliance Database'!$M$2:$M$1960,MATCH(180,'Transfer Engine'!$C$2:$C$1960,0)))</f>
        <v/>
      </c>
      <c r="N189" s="9">
        <f>IF(ISNA(MATCH(180,'Transfer Engine'!$C$2:$C$1960,0)),"",INDEX('Compliance Database'!$N$2:$N$1960,MATCH(180,'Transfer Engine'!$C$2:$C$1960,0)))</f>
        <v/>
      </c>
      <c r="O189" s="9">
        <f>IF(ISNA(MATCH(180,'Transfer Engine'!$C$2:$C$1960,0)),"",INDEX('Compliance Database'!$O$2:$O$1960,MATCH(180,'Transfer Engine'!$C$2:$C$1960,0)))</f>
        <v/>
      </c>
      <c r="P189" s="8">
        <f>IF(ISNA(MATCH(180,'Transfer Engine'!$C$2:$C$1960,0)),"",HYPERLINK("#Acts!A"&amp;INDEX('Compliance Database'!$P$2:$P$1960,MATCH(180,'Transfer Engine'!$C$2:$C$1960,0)),"Go to Act"))</f>
        <v/>
      </c>
    </row>
    <row r="190" ht="158" customHeight="1">
      <c r="A190" s="8">
        <f>IF(ISNA(MATCH(181,'Transfer Engine'!$C$2:$C$1960,0)),"",INDEX('Compliance Database'!$A$2:$A$1960,MATCH(181,'Transfer Engine'!$C$2:$C$1960,0)))</f>
        <v/>
      </c>
      <c r="B190" s="8">
        <f>IF(ISNA(MATCH(181,'Transfer Engine'!$C$2:$C$1960,0)),"",INDEX('Compliance Database'!$B$2:$B$1960,MATCH(181,'Transfer Engine'!$C$2:$C$1960,0)))</f>
        <v/>
      </c>
      <c r="C190" s="8">
        <f>IF(ISNA(MATCH(181,'Transfer Engine'!$C$2:$C$1960,0)),"",INDEX('Compliance Database'!$C$2:$C$1960,MATCH(181,'Transfer Engine'!$C$2:$C$1960,0)))</f>
        <v/>
      </c>
      <c r="D190" s="9">
        <f>IF(ISNA(MATCH(181,'Transfer Engine'!$C$2:$C$1960,0)),"",INDEX('Compliance Database'!$D$2:$D$1960,MATCH(181,'Transfer Engine'!$C$2:$C$1960,0)))</f>
        <v/>
      </c>
      <c r="E190" s="8">
        <f>IF(ISNA(MATCH(181,'Transfer Engine'!$C$2:$C$1960,0)),"",INDEX('Compliance Database'!$E$2:$E$1960,MATCH(181,'Transfer Engine'!$C$2:$C$1960,0)))</f>
        <v/>
      </c>
      <c r="F190" s="8">
        <f>IF(ISNA(MATCH(181,'Transfer Engine'!$C$2:$C$1960,0)),"",INDEX('Compliance Database'!$F$2:$F$1960,MATCH(181,'Transfer Engine'!$C$2:$C$1960,0)))</f>
        <v/>
      </c>
      <c r="G190" s="8">
        <f>IF(ISNA(MATCH(181,'Transfer Engine'!$C$2:$C$1960,0)),"",INDEX('Compliance Database'!$G$2:$G$1960,MATCH(181,'Transfer Engine'!$C$2:$C$1960,0)))</f>
        <v/>
      </c>
      <c r="H190" s="9">
        <f>IF(ISNA(MATCH(181,'Transfer Engine'!$C$2:$C$1960,0)),"",INDEX('Compliance Database'!$H$2:$H$1960,MATCH(181,'Transfer Engine'!$C$2:$C$1960,0)))</f>
        <v/>
      </c>
      <c r="I190" s="9">
        <f>IF(ISNA(MATCH(181,'Transfer Engine'!$C$2:$C$1960,0)),"",INDEX('Compliance Database'!$I$2:$I$1960,MATCH(181,'Transfer Engine'!$C$2:$C$1960,0)))</f>
        <v/>
      </c>
      <c r="J190" s="8">
        <f>IF(ISNA(MATCH(181,'Transfer Engine'!$C$2:$C$1960,0)),"",INDEX('Compliance Database'!$J$2:$J$1960,MATCH(181,'Transfer Engine'!$C$2:$C$1960,0)))</f>
        <v/>
      </c>
      <c r="K190" s="9">
        <f>IF(ISNA(MATCH(181,'Transfer Engine'!$C$2:$C$1960,0)),"",INDEX('Compliance Database'!$K$2:$K$1960,MATCH(181,'Transfer Engine'!$C$2:$C$1960,0)))</f>
        <v/>
      </c>
      <c r="L190" s="9">
        <f>IF(ISNA(MATCH(181,'Transfer Engine'!$C$2:$C$1960,0)),"",INDEX('Compliance Database'!$L$2:$L$1960,MATCH(181,'Transfer Engine'!$C$2:$C$1960,0)))</f>
        <v/>
      </c>
      <c r="M190" s="9">
        <f>IF(ISNA(MATCH(181,'Transfer Engine'!$C$2:$C$1960,0)),"",INDEX('Compliance Database'!$M$2:$M$1960,MATCH(181,'Transfer Engine'!$C$2:$C$1960,0)))</f>
        <v/>
      </c>
      <c r="N190" s="9">
        <f>IF(ISNA(MATCH(181,'Transfer Engine'!$C$2:$C$1960,0)),"",INDEX('Compliance Database'!$N$2:$N$1960,MATCH(181,'Transfer Engine'!$C$2:$C$1960,0)))</f>
        <v/>
      </c>
      <c r="O190" s="9">
        <f>IF(ISNA(MATCH(181,'Transfer Engine'!$C$2:$C$1960,0)),"",INDEX('Compliance Database'!$O$2:$O$1960,MATCH(181,'Transfer Engine'!$C$2:$C$1960,0)))</f>
        <v/>
      </c>
      <c r="P190" s="8">
        <f>IF(ISNA(MATCH(181,'Transfer Engine'!$C$2:$C$1960,0)),"",HYPERLINK("#Acts!A"&amp;INDEX('Compliance Database'!$P$2:$P$1960,MATCH(181,'Transfer Engine'!$C$2:$C$1960,0)),"Go to Act"))</f>
        <v/>
      </c>
    </row>
    <row r="191" ht="158" customHeight="1">
      <c r="A191" s="8">
        <f>IF(ISNA(MATCH(182,'Transfer Engine'!$C$2:$C$1960,0)),"",INDEX('Compliance Database'!$A$2:$A$1960,MATCH(182,'Transfer Engine'!$C$2:$C$1960,0)))</f>
        <v/>
      </c>
      <c r="B191" s="8">
        <f>IF(ISNA(MATCH(182,'Transfer Engine'!$C$2:$C$1960,0)),"",INDEX('Compliance Database'!$B$2:$B$1960,MATCH(182,'Transfer Engine'!$C$2:$C$1960,0)))</f>
        <v/>
      </c>
      <c r="C191" s="8">
        <f>IF(ISNA(MATCH(182,'Transfer Engine'!$C$2:$C$1960,0)),"",INDEX('Compliance Database'!$C$2:$C$1960,MATCH(182,'Transfer Engine'!$C$2:$C$1960,0)))</f>
        <v/>
      </c>
      <c r="D191" s="9">
        <f>IF(ISNA(MATCH(182,'Transfer Engine'!$C$2:$C$1960,0)),"",INDEX('Compliance Database'!$D$2:$D$1960,MATCH(182,'Transfer Engine'!$C$2:$C$1960,0)))</f>
        <v/>
      </c>
      <c r="E191" s="8">
        <f>IF(ISNA(MATCH(182,'Transfer Engine'!$C$2:$C$1960,0)),"",INDEX('Compliance Database'!$E$2:$E$1960,MATCH(182,'Transfer Engine'!$C$2:$C$1960,0)))</f>
        <v/>
      </c>
      <c r="F191" s="8">
        <f>IF(ISNA(MATCH(182,'Transfer Engine'!$C$2:$C$1960,0)),"",INDEX('Compliance Database'!$F$2:$F$1960,MATCH(182,'Transfer Engine'!$C$2:$C$1960,0)))</f>
        <v/>
      </c>
      <c r="G191" s="8">
        <f>IF(ISNA(MATCH(182,'Transfer Engine'!$C$2:$C$1960,0)),"",INDEX('Compliance Database'!$G$2:$G$1960,MATCH(182,'Transfer Engine'!$C$2:$C$1960,0)))</f>
        <v/>
      </c>
      <c r="H191" s="9">
        <f>IF(ISNA(MATCH(182,'Transfer Engine'!$C$2:$C$1960,0)),"",INDEX('Compliance Database'!$H$2:$H$1960,MATCH(182,'Transfer Engine'!$C$2:$C$1960,0)))</f>
        <v/>
      </c>
      <c r="I191" s="9">
        <f>IF(ISNA(MATCH(182,'Transfer Engine'!$C$2:$C$1960,0)),"",INDEX('Compliance Database'!$I$2:$I$1960,MATCH(182,'Transfer Engine'!$C$2:$C$1960,0)))</f>
        <v/>
      </c>
      <c r="J191" s="8">
        <f>IF(ISNA(MATCH(182,'Transfer Engine'!$C$2:$C$1960,0)),"",INDEX('Compliance Database'!$J$2:$J$1960,MATCH(182,'Transfer Engine'!$C$2:$C$1960,0)))</f>
        <v/>
      </c>
      <c r="K191" s="9">
        <f>IF(ISNA(MATCH(182,'Transfer Engine'!$C$2:$C$1960,0)),"",INDEX('Compliance Database'!$K$2:$K$1960,MATCH(182,'Transfer Engine'!$C$2:$C$1960,0)))</f>
        <v/>
      </c>
      <c r="L191" s="9">
        <f>IF(ISNA(MATCH(182,'Transfer Engine'!$C$2:$C$1960,0)),"",INDEX('Compliance Database'!$L$2:$L$1960,MATCH(182,'Transfer Engine'!$C$2:$C$1960,0)))</f>
        <v/>
      </c>
      <c r="M191" s="9">
        <f>IF(ISNA(MATCH(182,'Transfer Engine'!$C$2:$C$1960,0)),"",INDEX('Compliance Database'!$M$2:$M$1960,MATCH(182,'Transfer Engine'!$C$2:$C$1960,0)))</f>
        <v/>
      </c>
      <c r="N191" s="9">
        <f>IF(ISNA(MATCH(182,'Transfer Engine'!$C$2:$C$1960,0)),"",INDEX('Compliance Database'!$N$2:$N$1960,MATCH(182,'Transfer Engine'!$C$2:$C$1960,0)))</f>
        <v/>
      </c>
      <c r="O191" s="9">
        <f>IF(ISNA(MATCH(182,'Transfer Engine'!$C$2:$C$1960,0)),"",INDEX('Compliance Database'!$O$2:$O$1960,MATCH(182,'Transfer Engine'!$C$2:$C$1960,0)))</f>
        <v/>
      </c>
      <c r="P191" s="8">
        <f>IF(ISNA(MATCH(182,'Transfer Engine'!$C$2:$C$1960,0)),"",HYPERLINK("#Acts!A"&amp;INDEX('Compliance Database'!$P$2:$P$1960,MATCH(182,'Transfer Engine'!$C$2:$C$1960,0)),"Go to Act"))</f>
        <v/>
      </c>
    </row>
    <row r="192" ht="158" customHeight="1">
      <c r="A192" s="8">
        <f>IF(ISNA(MATCH(183,'Transfer Engine'!$C$2:$C$1960,0)),"",INDEX('Compliance Database'!$A$2:$A$1960,MATCH(183,'Transfer Engine'!$C$2:$C$1960,0)))</f>
        <v/>
      </c>
      <c r="B192" s="8">
        <f>IF(ISNA(MATCH(183,'Transfer Engine'!$C$2:$C$1960,0)),"",INDEX('Compliance Database'!$B$2:$B$1960,MATCH(183,'Transfer Engine'!$C$2:$C$1960,0)))</f>
        <v/>
      </c>
      <c r="C192" s="8">
        <f>IF(ISNA(MATCH(183,'Transfer Engine'!$C$2:$C$1960,0)),"",INDEX('Compliance Database'!$C$2:$C$1960,MATCH(183,'Transfer Engine'!$C$2:$C$1960,0)))</f>
        <v/>
      </c>
      <c r="D192" s="9">
        <f>IF(ISNA(MATCH(183,'Transfer Engine'!$C$2:$C$1960,0)),"",INDEX('Compliance Database'!$D$2:$D$1960,MATCH(183,'Transfer Engine'!$C$2:$C$1960,0)))</f>
        <v/>
      </c>
      <c r="E192" s="8">
        <f>IF(ISNA(MATCH(183,'Transfer Engine'!$C$2:$C$1960,0)),"",INDEX('Compliance Database'!$E$2:$E$1960,MATCH(183,'Transfer Engine'!$C$2:$C$1960,0)))</f>
        <v/>
      </c>
      <c r="F192" s="8">
        <f>IF(ISNA(MATCH(183,'Transfer Engine'!$C$2:$C$1960,0)),"",INDEX('Compliance Database'!$F$2:$F$1960,MATCH(183,'Transfer Engine'!$C$2:$C$1960,0)))</f>
        <v/>
      </c>
      <c r="G192" s="8">
        <f>IF(ISNA(MATCH(183,'Transfer Engine'!$C$2:$C$1960,0)),"",INDEX('Compliance Database'!$G$2:$G$1960,MATCH(183,'Transfer Engine'!$C$2:$C$1960,0)))</f>
        <v/>
      </c>
      <c r="H192" s="9">
        <f>IF(ISNA(MATCH(183,'Transfer Engine'!$C$2:$C$1960,0)),"",INDEX('Compliance Database'!$H$2:$H$1960,MATCH(183,'Transfer Engine'!$C$2:$C$1960,0)))</f>
        <v/>
      </c>
      <c r="I192" s="9">
        <f>IF(ISNA(MATCH(183,'Transfer Engine'!$C$2:$C$1960,0)),"",INDEX('Compliance Database'!$I$2:$I$1960,MATCH(183,'Transfer Engine'!$C$2:$C$1960,0)))</f>
        <v/>
      </c>
      <c r="J192" s="8">
        <f>IF(ISNA(MATCH(183,'Transfer Engine'!$C$2:$C$1960,0)),"",INDEX('Compliance Database'!$J$2:$J$1960,MATCH(183,'Transfer Engine'!$C$2:$C$1960,0)))</f>
        <v/>
      </c>
      <c r="K192" s="9">
        <f>IF(ISNA(MATCH(183,'Transfer Engine'!$C$2:$C$1960,0)),"",INDEX('Compliance Database'!$K$2:$K$1960,MATCH(183,'Transfer Engine'!$C$2:$C$1960,0)))</f>
        <v/>
      </c>
      <c r="L192" s="9">
        <f>IF(ISNA(MATCH(183,'Transfer Engine'!$C$2:$C$1960,0)),"",INDEX('Compliance Database'!$L$2:$L$1960,MATCH(183,'Transfer Engine'!$C$2:$C$1960,0)))</f>
        <v/>
      </c>
      <c r="M192" s="9">
        <f>IF(ISNA(MATCH(183,'Transfer Engine'!$C$2:$C$1960,0)),"",INDEX('Compliance Database'!$M$2:$M$1960,MATCH(183,'Transfer Engine'!$C$2:$C$1960,0)))</f>
        <v/>
      </c>
      <c r="N192" s="9">
        <f>IF(ISNA(MATCH(183,'Transfer Engine'!$C$2:$C$1960,0)),"",INDEX('Compliance Database'!$N$2:$N$1960,MATCH(183,'Transfer Engine'!$C$2:$C$1960,0)))</f>
        <v/>
      </c>
      <c r="O192" s="9">
        <f>IF(ISNA(MATCH(183,'Transfer Engine'!$C$2:$C$1960,0)),"",INDEX('Compliance Database'!$O$2:$O$1960,MATCH(183,'Transfer Engine'!$C$2:$C$1960,0)))</f>
        <v/>
      </c>
      <c r="P192" s="8">
        <f>IF(ISNA(MATCH(183,'Transfer Engine'!$C$2:$C$1960,0)),"",HYPERLINK("#Acts!A"&amp;INDEX('Compliance Database'!$P$2:$P$1960,MATCH(183,'Transfer Engine'!$C$2:$C$1960,0)),"Go to Act"))</f>
        <v/>
      </c>
    </row>
    <row r="193" ht="158" customHeight="1">
      <c r="A193" s="8">
        <f>IF(ISNA(MATCH(184,'Transfer Engine'!$C$2:$C$1960,0)),"",INDEX('Compliance Database'!$A$2:$A$1960,MATCH(184,'Transfer Engine'!$C$2:$C$1960,0)))</f>
        <v/>
      </c>
      <c r="B193" s="8">
        <f>IF(ISNA(MATCH(184,'Transfer Engine'!$C$2:$C$1960,0)),"",INDEX('Compliance Database'!$B$2:$B$1960,MATCH(184,'Transfer Engine'!$C$2:$C$1960,0)))</f>
        <v/>
      </c>
      <c r="C193" s="8">
        <f>IF(ISNA(MATCH(184,'Transfer Engine'!$C$2:$C$1960,0)),"",INDEX('Compliance Database'!$C$2:$C$1960,MATCH(184,'Transfer Engine'!$C$2:$C$1960,0)))</f>
        <v/>
      </c>
      <c r="D193" s="9">
        <f>IF(ISNA(MATCH(184,'Transfer Engine'!$C$2:$C$1960,0)),"",INDEX('Compliance Database'!$D$2:$D$1960,MATCH(184,'Transfer Engine'!$C$2:$C$1960,0)))</f>
        <v/>
      </c>
      <c r="E193" s="8">
        <f>IF(ISNA(MATCH(184,'Transfer Engine'!$C$2:$C$1960,0)),"",INDEX('Compliance Database'!$E$2:$E$1960,MATCH(184,'Transfer Engine'!$C$2:$C$1960,0)))</f>
        <v/>
      </c>
      <c r="F193" s="8">
        <f>IF(ISNA(MATCH(184,'Transfer Engine'!$C$2:$C$1960,0)),"",INDEX('Compliance Database'!$F$2:$F$1960,MATCH(184,'Transfer Engine'!$C$2:$C$1960,0)))</f>
        <v/>
      </c>
      <c r="G193" s="8">
        <f>IF(ISNA(MATCH(184,'Transfer Engine'!$C$2:$C$1960,0)),"",INDEX('Compliance Database'!$G$2:$G$1960,MATCH(184,'Transfer Engine'!$C$2:$C$1960,0)))</f>
        <v/>
      </c>
      <c r="H193" s="9">
        <f>IF(ISNA(MATCH(184,'Transfer Engine'!$C$2:$C$1960,0)),"",INDEX('Compliance Database'!$H$2:$H$1960,MATCH(184,'Transfer Engine'!$C$2:$C$1960,0)))</f>
        <v/>
      </c>
      <c r="I193" s="9">
        <f>IF(ISNA(MATCH(184,'Transfer Engine'!$C$2:$C$1960,0)),"",INDEX('Compliance Database'!$I$2:$I$1960,MATCH(184,'Transfer Engine'!$C$2:$C$1960,0)))</f>
        <v/>
      </c>
      <c r="J193" s="8">
        <f>IF(ISNA(MATCH(184,'Transfer Engine'!$C$2:$C$1960,0)),"",INDEX('Compliance Database'!$J$2:$J$1960,MATCH(184,'Transfer Engine'!$C$2:$C$1960,0)))</f>
        <v/>
      </c>
      <c r="K193" s="9">
        <f>IF(ISNA(MATCH(184,'Transfer Engine'!$C$2:$C$1960,0)),"",INDEX('Compliance Database'!$K$2:$K$1960,MATCH(184,'Transfer Engine'!$C$2:$C$1960,0)))</f>
        <v/>
      </c>
      <c r="L193" s="9">
        <f>IF(ISNA(MATCH(184,'Transfer Engine'!$C$2:$C$1960,0)),"",INDEX('Compliance Database'!$L$2:$L$1960,MATCH(184,'Transfer Engine'!$C$2:$C$1960,0)))</f>
        <v/>
      </c>
      <c r="M193" s="9">
        <f>IF(ISNA(MATCH(184,'Transfer Engine'!$C$2:$C$1960,0)),"",INDEX('Compliance Database'!$M$2:$M$1960,MATCH(184,'Transfer Engine'!$C$2:$C$1960,0)))</f>
        <v/>
      </c>
      <c r="N193" s="9">
        <f>IF(ISNA(MATCH(184,'Transfer Engine'!$C$2:$C$1960,0)),"",INDEX('Compliance Database'!$N$2:$N$1960,MATCH(184,'Transfer Engine'!$C$2:$C$1960,0)))</f>
        <v/>
      </c>
      <c r="O193" s="9">
        <f>IF(ISNA(MATCH(184,'Transfer Engine'!$C$2:$C$1960,0)),"",INDEX('Compliance Database'!$O$2:$O$1960,MATCH(184,'Transfer Engine'!$C$2:$C$1960,0)))</f>
        <v/>
      </c>
      <c r="P193" s="8">
        <f>IF(ISNA(MATCH(184,'Transfer Engine'!$C$2:$C$1960,0)),"",HYPERLINK("#Acts!A"&amp;INDEX('Compliance Database'!$P$2:$P$1960,MATCH(184,'Transfer Engine'!$C$2:$C$1960,0)),"Go to Act"))</f>
        <v/>
      </c>
    </row>
    <row r="194" ht="158" customHeight="1">
      <c r="A194" s="8">
        <f>IF(ISNA(MATCH(185,'Transfer Engine'!$C$2:$C$1960,0)),"",INDEX('Compliance Database'!$A$2:$A$1960,MATCH(185,'Transfer Engine'!$C$2:$C$1960,0)))</f>
        <v/>
      </c>
      <c r="B194" s="8">
        <f>IF(ISNA(MATCH(185,'Transfer Engine'!$C$2:$C$1960,0)),"",INDEX('Compliance Database'!$B$2:$B$1960,MATCH(185,'Transfer Engine'!$C$2:$C$1960,0)))</f>
        <v/>
      </c>
      <c r="C194" s="8">
        <f>IF(ISNA(MATCH(185,'Transfer Engine'!$C$2:$C$1960,0)),"",INDEX('Compliance Database'!$C$2:$C$1960,MATCH(185,'Transfer Engine'!$C$2:$C$1960,0)))</f>
        <v/>
      </c>
      <c r="D194" s="9">
        <f>IF(ISNA(MATCH(185,'Transfer Engine'!$C$2:$C$1960,0)),"",INDEX('Compliance Database'!$D$2:$D$1960,MATCH(185,'Transfer Engine'!$C$2:$C$1960,0)))</f>
        <v/>
      </c>
      <c r="E194" s="8">
        <f>IF(ISNA(MATCH(185,'Transfer Engine'!$C$2:$C$1960,0)),"",INDEX('Compliance Database'!$E$2:$E$1960,MATCH(185,'Transfer Engine'!$C$2:$C$1960,0)))</f>
        <v/>
      </c>
      <c r="F194" s="8">
        <f>IF(ISNA(MATCH(185,'Transfer Engine'!$C$2:$C$1960,0)),"",INDEX('Compliance Database'!$F$2:$F$1960,MATCH(185,'Transfer Engine'!$C$2:$C$1960,0)))</f>
        <v/>
      </c>
      <c r="G194" s="8">
        <f>IF(ISNA(MATCH(185,'Transfer Engine'!$C$2:$C$1960,0)),"",INDEX('Compliance Database'!$G$2:$G$1960,MATCH(185,'Transfer Engine'!$C$2:$C$1960,0)))</f>
        <v/>
      </c>
      <c r="H194" s="9">
        <f>IF(ISNA(MATCH(185,'Transfer Engine'!$C$2:$C$1960,0)),"",INDEX('Compliance Database'!$H$2:$H$1960,MATCH(185,'Transfer Engine'!$C$2:$C$1960,0)))</f>
        <v/>
      </c>
      <c r="I194" s="9">
        <f>IF(ISNA(MATCH(185,'Transfer Engine'!$C$2:$C$1960,0)),"",INDEX('Compliance Database'!$I$2:$I$1960,MATCH(185,'Transfer Engine'!$C$2:$C$1960,0)))</f>
        <v/>
      </c>
      <c r="J194" s="8">
        <f>IF(ISNA(MATCH(185,'Transfer Engine'!$C$2:$C$1960,0)),"",INDEX('Compliance Database'!$J$2:$J$1960,MATCH(185,'Transfer Engine'!$C$2:$C$1960,0)))</f>
        <v/>
      </c>
      <c r="K194" s="9">
        <f>IF(ISNA(MATCH(185,'Transfer Engine'!$C$2:$C$1960,0)),"",INDEX('Compliance Database'!$K$2:$K$1960,MATCH(185,'Transfer Engine'!$C$2:$C$1960,0)))</f>
        <v/>
      </c>
      <c r="L194" s="9">
        <f>IF(ISNA(MATCH(185,'Transfer Engine'!$C$2:$C$1960,0)),"",INDEX('Compliance Database'!$L$2:$L$1960,MATCH(185,'Transfer Engine'!$C$2:$C$1960,0)))</f>
        <v/>
      </c>
      <c r="M194" s="9">
        <f>IF(ISNA(MATCH(185,'Transfer Engine'!$C$2:$C$1960,0)),"",INDEX('Compliance Database'!$M$2:$M$1960,MATCH(185,'Transfer Engine'!$C$2:$C$1960,0)))</f>
        <v/>
      </c>
      <c r="N194" s="9">
        <f>IF(ISNA(MATCH(185,'Transfer Engine'!$C$2:$C$1960,0)),"",INDEX('Compliance Database'!$N$2:$N$1960,MATCH(185,'Transfer Engine'!$C$2:$C$1960,0)))</f>
        <v/>
      </c>
      <c r="O194" s="9">
        <f>IF(ISNA(MATCH(185,'Transfer Engine'!$C$2:$C$1960,0)),"",INDEX('Compliance Database'!$O$2:$O$1960,MATCH(185,'Transfer Engine'!$C$2:$C$1960,0)))</f>
        <v/>
      </c>
      <c r="P194" s="8">
        <f>IF(ISNA(MATCH(185,'Transfer Engine'!$C$2:$C$1960,0)),"",HYPERLINK("#Acts!A"&amp;INDEX('Compliance Database'!$P$2:$P$1960,MATCH(185,'Transfer Engine'!$C$2:$C$1960,0)),"Go to Act"))</f>
        <v/>
      </c>
    </row>
    <row r="195" ht="158" customHeight="1">
      <c r="A195" s="8">
        <f>IF(ISNA(MATCH(186,'Transfer Engine'!$C$2:$C$1960,0)),"",INDEX('Compliance Database'!$A$2:$A$1960,MATCH(186,'Transfer Engine'!$C$2:$C$1960,0)))</f>
        <v/>
      </c>
      <c r="B195" s="8">
        <f>IF(ISNA(MATCH(186,'Transfer Engine'!$C$2:$C$1960,0)),"",INDEX('Compliance Database'!$B$2:$B$1960,MATCH(186,'Transfer Engine'!$C$2:$C$1960,0)))</f>
        <v/>
      </c>
      <c r="C195" s="8">
        <f>IF(ISNA(MATCH(186,'Transfer Engine'!$C$2:$C$1960,0)),"",INDEX('Compliance Database'!$C$2:$C$1960,MATCH(186,'Transfer Engine'!$C$2:$C$1960,0)))</f>
        <v/>
      </c>
      <c r="D195" s="9">
        <f>IF(ISNA(MATCH(186,'Transfer Engine'!$C$2:$C$1960,0)),"",INDEX('Compliance Database'!$D$2:$D$1960,MATCH(186,'Transfer Engine'!$C$2:$C$1960,0)))</f>
        <v/>
      </c>
      <c r="E195" s="8">
        <f>IF(ISNA(MATCH(186,'Transfer Engine'!$C$2:$C$1960,0)),"",INDEX('Compliance Database'!$E$2:$E$1960,MATCH(186,'Transfer Engine'!$C$2:$C$1960,0)))</f>
        <v/>
      </c>
      <c r="F195" s="8">
        <f>IF(ISNA(MATCH(186,'Transfer Engine'!$C$2:$C$1960,0)),"",INDEX('Compliance Database'!$F$2:$F$1960,MATCH(186,'Transfer Engine'!$C$2:$C$1960,0)))</f>
        <v/>
      </c>
      <c r="G195" s="8">
        <f>IF(ISNA(MATCH(186,'Transfer Engine'!$C$2:$C$1960,0)),"",INDEX('Compliance Database'!$G$2:$G$1960,MATCH(186,'Transfer Engine'!$C$2:$C$1960,0)))</f>
        <v/>
      </c>
      <c r="H195" s="9">
        <f>IF(ISNA(MATCH(186,'Transfer Engine'!$C$2:$C$1960,0)),"",INDEX('Compliance Database'!$H$2:$H$1960,MATCH(186,'Transfer Engine'!$C$2:$C$1960,0)))</f>
        <v/>
      </c>
      <c r="I195" s="9">
        <f>IF(ISNA(MATCH(186,'Transfer Engine'!$C$2:$C$1960,0)),"",INDEX('Compliance Database'!$I$2:$I$1960,MATCH(186,'Transfer Engine'!$C$2:$C$1960,0)))</f>
        <v/>
      </c>
      <c r="J195" s="8">
        <f>IF(ISNA(MATCH(186,'Transfer Engine'!$C$2:$C$1960,0)),"",INDEX('Compliance Database'!$J$2:$J$1960,MATCH(186,'Transfer Engine'!$C$2:$C$1960,0)))</f>
        <v/>
      </c>
      <c r="K195" s="9">
        <f>IF(ISNA(MATCH(186,'Transfer Engine'!$C$2:$C$1960,0)),"",INDEX('Compliance Database'!$K$2:$K$1960,MATCH(186,'Transfer Engine'!$C$2:$C$1960,0)))</f>
        <v/>
      </c>
      <c r="L195" s="9">
        <f>IF(ISNA(MATCH(186,'Transfer Engine'!$C$2:$C$1960,0)),"",INDEX('Compliance Database'!$L$2:$L$1960,MATCH(186,'Transfer Engine'!$C$2:$C$1960,0)))</f>
        <v/>
      </c>
      <c r="M195" s="9">
        <f>IF(ISNA(MATCH(186,'Transfer Engine'!$C$2:$C$1960,0)),"",INDEX('Compliance Database'!$M$2:$M$1960,MATCH(186,'Transfer Engine'!$C$2:$C$1960,0)))</f>
        <v/>
      </c>
      <c r="N195" s="9">
        <f>IF(ISNA(MATCH(186,'Transfer Engine'!$C$2:$C$1960,0)),"",INDEX('Compliance Database'!$N$2:$N$1960,MATCH(186,'Transfer Engine'!$C$2:$C$1960,0)))</f>
        <v/>
      </c>
      <c r="O195" s="9">
        <f>IF(ISNA(MATCH(186,'Transfer Engine'!$C$2:$C$1960,0)),"",INDEX('Compliance Database'!$O$2:$O$1960,MATCH(186,'Transfer Engine'!$C$2:$C$1960,0)))</f>
        <v/>
      </c>
      <c r="P195" s="8">
        <f>IF(ISNA(MATCH(186,'Transfer Engine'!$C$2:$C$1960,0)),"",HYPERLINK("#Acts!A"&amp;INDEX('Compliance Database'!$P$2:$P$1960,MATCH(186,'Transfer Engine'!$C$2:$C$1960,0)),"Go to Act"))</f>
        <v/>
      </c>
    </row>
    <row r="196" ht="158" customHeight="1">
      <c r="A196" s="8">
        <f>IF(ISNA(MATCH(187,'Transfer Engine'!$C$2:$C$1960,0)),"",INDEX('Compliance Database'!$A$2:$A$1960,MATCH(187,'Transfer Engine'!$C$2:$C$1960,0)))</f>
        <v/>
      </c>
      <c r="B196" s="8">
        <f>IF(ISNA(MATCH(187,'Transfer Engine'!$C$2:$C$1960,0)),"",INDEX('Compliance Database'!$B$2:$B$1960,MATCH(187,'Transfer Engine'!$C$2:$C$1960,0)))</f>
        <v/>
      </c>
      <c r="C196" s="8">
        <f>IF(ISNA(MATCH(187,'Transfer Engine'!$C$2:$C$1960,0)),"",INDEX('Compliance Database'!$C$2:$C$1960,MATCH(187,'Transfer Engine'!$C$2:$C$1960,0)))</f>
        <v/>
      </c>
      <c r="D196" s="9">
        <f>IF(ISNA(MATCH(187,'Transfer Engine'!$C$2:$C$1960,0)),"",INDEX('Compliance Database'!$D$2:$D$1960,MATCH(187,'Transfer Engine'!$C$2:$C$1960,0)))</f>
        <v/>
      </c>
      <c r="E196" s="8">
        <f>IF(ISNA(MATCH(187,'Transfer Engine'!$C$2:$C$1960,0)),"",INDEX('Compliance Database'!$E$2:$E$1960,MATCH(187,'Transfer Engine'!$C$2:$C$1960,0)))</f>
        <v/>
      </c>
      <c r="F196" s="8">
        <f>IF(ISNA(MATCH(187,'Transfer Engine'!$C$2:$C$1960,0)),"",INDEX('Compliance Database'!$F$2:$F$1960,MATCH(187,'Transfer Engine'!$C$2:$C$1960,0)))</f>
        <v/>
      </c>
      <c r="G196" s="8">
        <f>IF(ISNA(MATCH(187,'Transfer Engine'!$C$2:$C$1960,0)),"",INDEX('Compliance Database'!$G$2:$G$1960,MATCH(187,'Transfer Engine'!$C$2:$C$1960,0)))</f>
        <v/>
      </c>
      <c r="H196" s="9">
        <f>IF(ISNA(MATCH(187,'Transfer Engine'!$C$2:$C$1960,0)),"",INDEX('Compliance Database'!$H$2:$H$1960,MATCH(187,'Transfer Engine'!$C$2:$C$1960,0)))</f>
        <v/>
      </c>
      <c r="I196" s="9">
        <f>IF(ISNA(MATCH(187,'Transfer Engine'!$C$2:$C$1960,0)),"",INDEX('Compliance Database'!$I$2:$I$1960,MATCH(187,'Transfer Engine'!$C$2:$C$1960,0)))</f>
        <v/>
      </c>
      <c r="J196" s="8">
        <f>IF(ISNA(MATCH(187,'Transfer Engine'!$C$2:$C$1960,0)),"",INDEX('Compliance Database'!$J$2:$J$1960,MATCH(187,'Transfer Engine'!$C$2:$C$1960,0)))</f>
        <v/>
      </c>
      <c r="K196" s="9">
        <f>IF(ISNA(MATCH(187,'Transfer Engine'!$C$2:$C$1960,0)),"",INDEX('Compliance Database'!$K$2:$K$1960,MATCH(187,'Transfer Engine'!$C$2:$C$1960,0)))</f>
        <v/>
      </c>
      <c r="L196" s="9">
        <f>IF(ISNA(MATCH(187,'Transfer Engine'!$C$2:$C$1960,0)),"",INDEX('Compliance Database'!$L$2:$L$1960,MATCH(187,'Transfer Engine'!$C$2:$C$1960,0)))</f>
        <v/>
      </c>
      <c r="M196" s="9">
        <f>IF(ISNA(MATCH(187,'Transfer Engine'!$C$2:$C$1960,0)),"",INDEX('Compliance Database'!$M$2:$M$1960,MATCH(187,'Transfer Engine'!$C$2:$C$1960,0)))</f>
        <v/>
      </c>
      <c r="N196" s="9">
        <f>IF(ISNA(MATCH(187,'Transfer Engine'!$C$2:$C$1960,0)),"",INDEX('Compliance Database'!$N$2:$N$1960,MATCH(187,'Transfer Engine'!$C$2:$C$1960,0)))</f>
        <v/>
      </c>
      <c r="O196" s="9">
        <f>IF(ISNA(MATCH(187,'Transfer Engine'!$C$2:$C$1960,0)),"",INDEX('Compliance Database'!$O$2:$O$1960,MATCH(187,'Transfer Engine'!$C$2:$C$1960,0)))</f>
        <v/>
      </c>
      <c r="P196" s="8">
        <f>IF(ISNA(MATCH(187,'Transfer Engine'!$C$2:$C$1960,0)),"",HYPERLINK("#Acts!A"&amp;INDEX('Compliance Database'!$P$2:$P$1960,MATCH(187,'Transfer Engine'!$C$2:$C$1960,0)),"Go to Act"))</f>
        <v/>
      </c>
    </row>
    <row r="197" ht="158" customHeight="1">
      <c r="A197" s="8">
        <f>IF(ISNA(MATCH(188,'Transfer Engine'!$C$2:$C$1960,0)),"",INDEX('Compliance Database'!$A$2:$A$1960,MATCH(188,'Transfer Engine'!$C$2:$C$1960,0)))</f>
        <v/>
      </c>
      <c r="B197" s="8">
        <f>IF(ISNA(MATCH(188,'Transfer Engine'!$C$2:$C$1960,0)),"",INDEX('Compliance Database'!$B$2:$B$1960,MATCH(188,'Transfer Engine'!$C$2:$C$1960,0)))</f>
        <v/>
      </c>
      <c r="C197" s="8">
        <f>IF(ISNA(MATCH(188,'Transfer Engine'!$C$2:$C$1960,0)),"",INDEX('Compliance Database'!$C$2:$C$1960,MATCH(188,'Transfer Engine'!$C$2:$C$1960,0)))</f>
        <v/>
      </c>
      <c r="D197" s="9">
        <f>IF(ISNA(MATCH(188,'Transfer Engine'!$C$2:$C$1960,0)),"",INDEX('Compliance Database'!$D$2:$D$1960,MATCH(188,'Transfer Engine'!$C$2:$C$1960,0)))</f>
        <v/>
      </c>
      <c r="E197" s="8">
        <f>IF(ISNA(MATCH(188,'Transfer Engine'!$C$2:$C$1960,0)),"",INDEX('Compliance Database'!$E$2:$E$1960,MATCH(188,'Transfer Engine'!$C$2:$C$1960,0)))</f>
        <v/>
      </c>
      <c r="F197" s="8">
        <f>IF(ISNA(MATCH(188,'Transfer Engine'!$C$2:$C$1960,0)),"",INDEX('Compliance Database'!$F$2:$F$1960,MATCH(188,'Transfer Engine'!$C$2:$C$1960,0)))</f>
        <v/>
      </c>
      <c r="G197" s="8">
        <f>IF(ISNA(MATCH(188,'Transfer Engine'!$C$2:$C$1960,0)),"",INDEX('Compliance Database'!$G$2:$G$1960,MATCH(188,'Transfer Engine'!$C$2:$C$1960,0)))</f>
        <v/>
      </c>
      <c r="H197" s="9">
        <f>IF(ISNA(MATCH(188,'Transfer Engine'!$C$2:$C$1960,0)),"",INDEX('Compliance Database'!$H$2:$H$1960,MATCH(188,'Transfer Engine'!$C$2:$C$1960,0)))</f>
        <v/>
      </c>
      <c r="I197" s="9">
        <f>IF(ISNA(MATCH(188,'Transfer Engine'!$C$2:$C$1960,0)),"",INDEX('Compliance Database'!$I$2:$I$1960,MATCH(188,'Transfer Engine'!$C$2:$C$1960,0)))</f>
        <v/>
      </c>
      <c r="J197" s="8">
        <f>IF(ISNA(MATCH(188,'Transfer Engine'!$C$2:$C$1960,0)),"",INDEX('Compliance Database'!$J$2:$J$1960,MATCH(188,'Transfer Engine'!$C$2:$C$1960,0)))</f>
        <v/>
      </c>
      <c r="K197" s="9">
        <f>IF(ISNA(MATCH(188,'Transfer Engine'!$C$2:$C$1960,0)),"",INDEX('Compliance Database'!$K$2:$K$1960,MATCH(188,'Transfer Engine'!$C$2:$C$1960,0)))</f>
        <v/>
      </c>
      <c r="L197" s="9">
        <f>IF(ISNA(MATCH(188,'Transfer Engine'!$C$2:$C$1960,0)),"",INDEX('Compliance Database'!$L$2:$L$1960,MATCH(188,'Transfer Engine'!$C$2:$C$1960,0)))</f>
        <v/>
      </c>
      <c r="M197" s="9">
        <f>IF(ISNA(MATCH(188,'Transfer Engine'!$C$2:$C$1960,0)),"",INDEX('Compliance Database'!$M$2:$M$1960,MATCH(188,'Transfer Engine'!$C$2:$C$1960,0)))</f>
        <v/>
      </c>
      <c r="N197" s="9">
        <f>IF(ISNA(MATCH(188,'Transfer Engine'!$C$2:$C$1960,0)),"",INDEX('Compliance Database'!$N$2:$N$1960,MATCH(188,'Transfer Engine'!$C$2:$C$1960,0)))</f>
        <v/>
      </c>
      <c r="O197" s="9">
        <f>IF(ISNA(MATCH(188,'Transfer Engine'!$C$2:$C$1960,0)),"",INDEX('Compliance Database'!$O$2:$O$1960,MATCH(188,'Transfer Engine'!$C$2:$C$1960,0)))</f>
        <v/>
      </c>
      <c r="P197" s="8">
        <f>IF(ISNA(MATCH(188,'Transfer Engine'!$C$2:$C$1960,0)),"",HYPERLINK("#Acts!A"&amp;INDEX('Compliance Database'!$P$2:$P$1960,MATCH(188,'Transfer Engine'!$C$2:$C$1960,0)),"Go to Act"))</f>
        <v/>
      </c>
    </row>
    <row r="198" ht="158" customHeight="1">
      <c r="A198" s="8">
        <f>IF(ISNA(MATCH(189,'Transfer Engine'!$C$2:$C$1960,0)),"",INDEX('Compliance Database'!$A$2:$A$1960,MATCH(189,'Transfer Engine'!$C$2:$C$1960,0)))</f>
        <v/>
      </c>
      <c r="B198" s="8">
        <f>IF(ISNA(MATCH(189,'Transfer Engine'!$C$2:$C$1960,0)),"",INDEX('Compliance Database'!$B$2:$B$1960,MATCH(189,'Transfer Engine'!$C$2:$C$1960,0)))</f>
        <v/>
      </c>
      <c r="C198" s="8">
        <f>IF(ISNA(MATCH(189,'Transfer Engine'!$C$2:$C$1960,0)),"",INDEX('Compliance Database'!$C$2:$C$1960,MATCH(189,'Transfer Engine'!$C$2:$C$1960,0)))</f>
        <v/>
      </c>
      <c r="D198" s="9">
        <f>IF(ISNA(MATCH(189,'Transfer Engine'!$C$2:$C$1960,0)),"",INDEX('Compliance Database'!$D$2:$D$1960,MATCH(189,'Transfer Engine'!$C$2:$C$1960,0)))</f>
        <v/>
      </c>
      <c r="E198" s="8">
        <f>IF(ISNA(MATCH(189,'Transfer Engine'!$C$2:$C$1960,0)),"",INDEX('Compliance Database'!$E$2:$E$1960,MATCH(189,'Transfer Engine'!$C$2:$C$1960,0)))</f>
        <v/>
      </c>
      <c r="F198" s="8">
        <f>IF(ISNA(MATCH(189,'Transfer Engine'!$C$2:$C$1960,0)),"",INDEX('Compliance Database'!$F$2:$F$1960,MATCH(189,'Transfer Engine'!$C$2:$C$1960,0)))</f>
        <v/>
      </c>
      <c r="G198" s="8">
        <f>IF(ISNA(MATCH(189,'Transfer Engine'!$C$2:$C$1960,0)),"",INDEX('Compliance Database'!$G$2:$G$1960,MATCH(189,'Transfer Engine'!$C$2:$C$1960,0)))</f>
        <v/>
      </c>
      <c r="H198" s="9">
        <f>IF(ISNA(MATCH(189,'Transfer Engine'!$C$2:$C$1960,0)),"",INDEX('Compliance Database'!$H$2:$H$1960,MATCH(189,'Transfer Engine'!$C$2:$C$1960,0)))</f>
        <v/>
      </c>
      <c r="I198" s="9">
        <f>IF(ISNA(MATCH(189,'Transfer Engine'!$C$2:$C$1960,0)),"",INDEX('Compliance Database'!$I$2:$I$1960,MATCH(189,'Transfer Engine'!$C$2:$C$1960,0)))</f>
        <v/>
      </c>
      <c r="J198" s="8">
        <f>IF(ISNA(MATCH(189,'Transfer Engine'!$C$2:$C$1960,0)),"",INDEX('Compliance Database'!$J$2:$J$1960,MATCH(189,'Transfer Engine'!$C$2:$C$1960,0)))</f>
        <v/>
      </c>
      <c r="K198" s="9">
        <f>IF(ISNA(MATCH(189,'Transfer Engine'!$C$2:$C$1960,0)),"",INDEX('Compliance Database'!$K$2:$K$1960,MATCH(189,'Transfer Engine'!$C$2:$C$1960,0)))</f>
        <v/>
      </c>
      <c r="L198" s="9">
        <f>IF(ISNA(MATCH(189,'Transfer Engine'!$C$2:$C$1960,0)),"",INDEX('Compliance Database'!$L$2:$L$1960,MATCH(189,'Transfer Engine'!$C$2:$C$1960,0)))</f>
        <v/>
      </c>
      <c r="M198" s="9">
        <f>IF(ISNA(MATCH(189,'Transfer Engine'!$C$2:$C$1960,0)),"",INDEX('Compliance Database'!$M$2:$M$1960,MATCH(189,'Transfer Engine'!$C$2:$C$1960,0)))</f>
        <v/>
      </c>
      <c r="N198" s="9">
        <f>IF(ISNA(MATCH(189,'Transfer Engine'!$C$2:$C$1960,0)),"",INDEX('Compliance Database'!$N$2:$N$1960,MATCH(189,'Transfer Engine'!$C$2:$C$1960,0)))</f>
        <v/>
      </c>
      <c r="O198" s="9">
        <f>IF(ISNA(MATCH(189,'Transfer Engine'!$C$2:$C$1960,0)),"",INDEX('Compliance Database'!$O$2:$O$1960,MATCH(189,'Transfer Engine'!$C$2:$C$1960,0)))</f>
        <v/>
      </c>
      <c r="P198" s="8">
        <f>IF(ISNA(MATCH(189,'Transfer Engine'!$C$2:$C$1960,0)),"",HYPERLINK("#Acts!A"&amp;INDEX('Compliance Database'!$P$2:$P$1960,MATCH(189,'Transfer Engine'!$C$2:$C$1960,0)),"Go to Act"))</f>
        <v/>
      </c>
    </row>
    <row r="199" ht="158" customHeight="1">
      <c r="A199" s="8">
        <f>IF(ISNA(MATCH(190,'Transfer Engine'!$C$2:$C$1960,0)),"",INDEX('Compliance Database'!$A$2:$A$1960,MATCH(190,'Transfer Engine'!$C$2:$C$1960,0)))</f>
        <v/>
      </c>
      <c r="B199" s="8">
        <f>IF(ISNA(MATCH(190,'Transfer Engine'!$C$2:$C$1960,0)),"",INDEX('Compliance Database'!$B$2:$B$1960,MATCH(190,'Transfer Engine'!$C$2:$C$1960,0)))</f>
        <v/>
      </c>
      <c r="C199" s="8">
        <f>IF(ISNA(MATCH(190,'Transfer Engine'!$C$2:$C$1960,0)),"",INDEX('Compliance Database'!$C$2:$C$1960,MATCH(190,'Transfer Engine'!$C$2:$C$1960,0)))</f>
        <v/>
      </c>
      <c r="D199" s="9">
        <f>IF(ISNA(MATCH(190,'Transfer Engine'!$C$2:$C$1960,0)),"",INDEX('Compliance Database'!$D$2:$D$1960,MATCH(190,'Transfer Engine'!$C$2:$C$1960,0)))</f>
        <v/>
      </c>
      <c r="E199" s="8">
        <f>IF(ISNA(MATCH(190,'Transfer Engine'!$C$2:$C$1960,0)),"",INDEX('Compliance Database'!$E$2:$E$1960,MATCH(190,'Transfer Engine'!$C$2:$C$1960,0)))</f>
        <v/>
      </c>
      <c r="F199" s="8">
        <f>IF(ISNA(MATCH(190,'Transfer Engine'!$C$2:$C$1960,0)),"",INDEX('Compliance Database'!$F$2:$F$1960,MATCH(190,'Transfer Engine'!$C$2:$C$1960,0)))</f>
        <v/>
      </c>
      <c r="G199" s="8">
        <f>IF(ISNA(MATCH(190,'Transfer Engine'!$C$2:$C$1960,0)),"",INDEX('Compliance Database'!$G$2:$G$1960,MATCH(190,'Transfer Engine'!$C$2:$C$1960,0)))</f>
        <v/>
      </c>
      <c r="H199" s="9">
        <f>IF(ISNA(MATCH(190,'Transfer Engine'!$C$2:$C$1960,0)),"",INDEX('Compliance Database'!$H$2:$H$1960,MATCH(190,'Transfer Engine'!$C$2:$C$1960,0)))</f>
        <v/>
      </c>
      <c r="I199" s="9">
        <f>IF(ISNA(MATCH(190,'Transfer Engine'!$C$2:$C$1960,0)),"",INDEX('Compliance Database'!$I$2:$I$1960,MATCH(190,'Transfer Engine'!$C$2:$C$1960,0)))</f>
        <v/>
      </c>
      <c r="J199" s="8">
        <f>IF(ISNA(MATCH(190,'Transfer Engine'!$C$2:$C$1960,0)),"",INDEX('Compliance Database'!$J$2:$J$1960,MATCH(190,'Transfer Engine'!$C$2:$C$1960,0)))</f>
        <v/>
      </c>
      <c r="K199" s="9">
        <f>IF(ISNA(MATCH(190,'Transfer Engine'!$C$2:$C$1960,0)),"",INDEX('Compliance Database'!$K$2:$K$1960,MATCH(190,'Transfer Engine'!$C$2:$C$1960,0)))</f>
        <v/>
      </c>
      <c r="L199" s="9">
        <f>IF(ISNA(MATCH(190,'Transfer Engine'!$C$2:$C$1960,0)),"",INDEX('Compliance Database'!$L$2:$L$1960,MATCH(190,'Transfer Engine'!$C$2:$C$1960,0)))</f>
        <v/>
      </c>
      <c r="M199" s="9">
        <f>IF(ISNA(MATCH(190,'Transfer Engine'!$C$2:$C$1960,0)),"",INDEX('Compliance Database'!$M$2:$M$1960,MATCH(190,'Transfer Engine'!$C$2:$C$1960,0)))</f>
        <v/>
      </c>
      <c r="N199" s="9">
        <f>IF(ISNA(MATCH(190,'Transfer Engine'!$C$2:$C$1960,0)),"",INDEX('Compliance Database'!$N$2:$N$1960,MATCH(190,'Transfer Engine'!$C$2:$C$1960,0)))</f>
        <v/>
      </c>
      <c r="O199" s="9">
        <f>IF(ISNA(MATCH(190,'Transfer Engine'!$C$2:$C$1960,0)),"",INDEX('Compliance Database'!$O$2:$O$1960,MATCH(190,'Transfer Engine'!$C$2:$C$1960,0)))</f>
        <v/>
      </c>
      <c r="P199" s="8">
        <f>IF(ISNA(MATCH(190,'Transfer Engine'!$C$2:$C$1960,0)),"",HYPERLINK("#Acts!A"&amp;INDEX('Compliance Database'!$P$2:$P$1960,MATCH(190,'Transfer Engine'!$C$2:$C$1960,0)),"Go to Act"))</f>
        <v/>
      </c>
    </row>
    <row r="200" ht="158" customHeight="1">
      <c r="A200" s="8">
        <f>IF(ISNA(MATCH(191,'Transfer Engine'!$C$2:$C$1960,0)),"",INDEX('Compliance Database'!$A$2:$A$1960,MATCH(191,'Transfer Engine'!$C$2:$C$1960,0)))</f>
        <v/>
      </c>
      <c r="B200" s="8">
        <f>IF(ISNA(MATCH(191,'Transfer Engine'!$C$2:$C$1960,0)),"",INDEX('Compliance Database'!$B$2:$B$1960,MATCH(191,'Transfer Engine'!$C$2:$C$1960,0)))</f>
        <v/>
      </c>
      <c r="C200" s="8">
        <f>IF(ISNA(MATCH(191,'Transfer Engine'!$C$2:$C$1960,0)),"",INDEX('Compliance Database'!$C$2:$C$1960,MATCH(191,'Transfer Engine'!$C$2:$C$1960,0)))</f>
        <v/>
      </c>
      <c r="D200" s="9">
        <f>IF(ISNA(MATCH(191,'Transfer Engine'!$C$2:$C$1960,0)),"",INDEX('Compliance Database'!$D$2:$D$1960,MATCH(191,'Transfer Engine'!$C$2:$C$1960,0)))</f>
        <v/>
      </c>
      <c r="E200" s="8">
        <f>IF(ISNA(MATCH(191,'Transfer Engine'!$C$2:$C$1960,0)),"",INDEX('Compliance Database'!$E$2:$E$1960,MATCH(191,'Transfer Engine'!$C$2:$C$1960,0)))</f>
        <v/>
      </c>
      <c r="F200" s="8">
        <f>IF(ISNA(MATCH(191,'Transfer Engine'!$C$2:$C$1960,0)),"",INDEX('Compliance Database'!$F$2:$F$1960,MATCH(191,'Transfer Engine'!$C$2:$C$1960,0)))</f>
        <v/>
      </c>
      <c r="G200" s="8">
        <f>IF(ISNA(MATCH(191,'Transfer Engine'!$C$2:$C$1960,0)),"",INDEX('Compliance Database'!$G$2:$G$1960,MATCH(191,'Transfer Engine'!$C$2:$C$1960,0)))</f>
        <v/>
      </c>
      <c r="H200" s="9">
        <f>IF(ISNA(MATCH(191,'Transfer Engine'!$C$2:$C$1960,0)),"",INDEX('Compliance Database'!$H$2:$H$1960,MATCH(191,'Transfer Engine'!$C$2:$C$1960,0)))</f>
        <v/>
      </c>
      <c r="I200" s="9">
        <f>IF(ISNA(MATCH(191,'Transfer Engine'!$C$2:$C$1960,0)),"",INDEX('Compliance Database'!$I$2:$I$1960,MATCH(191,'Transfer Engine'!$C$2:$C$1960,0)))</f>
        <v/>
      </c>
      <c r="J200" s="8">
        <f>IF(ISNA(MATCH(191,'Transfer Engine'!$C$2:$C$1960,0)),"",INDEX('Compliance Database'!$J$2:$J$1960,MATCH(191,'Transfer Engine'!$C$2:$C$1960,0)))</f>
        <v/>
      </c>
      <c r="K200" s="9">
        <f>IF(ISNA(MATCH(191,'Transfer Engine'!$C$2:$C$1960,0)),"",INDEX('Compliance Database'!$K$2:$K$1960,MATCH(191,'Transfer Engine'!$C$2:$C$1960,0)))</f>
        <v/>
      </c>
      <c r="L200" s="9">
        <f>IF(ISNA(MATCH(191,'Transfer Engine'!$C$2:$C$1960,0)),"",INDEX('Compliance Database'!$L$2:$L$1960,MATCH(191,'Transfer Engine'!$C$2:$C$1960,0)))</f>
        <v/>
      </c>
      <c r="M200" s="9">
        <f>IF(ISNA(MATCH(191,'Transfer Engine'!$C$2:$C$1960,0)),"",INDEX('Compliance Database'!$M$2:$M$1960,MATCH(191,'Transfer Engine'!$C$2:$C$1960,0)))</f>
        <v/>
      </c>
      <c r="N200" s="9">
        <f>IF(ISNA(MATCH(191,'Transfer Engine'!$C$2:$C$1960,0)),"",INDEX('Compliance Database'!$N$2:$N$1960,MATCH(191,'Transfer Engine'!$C$2:$C$1960,0)))</f>
        <v/>
      </c>
      <c r="O200" s="9">
        <f>IF(ISNA(MATCH(191,'Transfer Engine'!$C$2:$C$1960,0)),"",INDEX('Compliance Database'!$O$2:$O$1960,MATCH(191,'Transfer Engine'!$C$2:$C$1960,0)))</f>
        <v/>
      </c>
      <c r="P200" s="8">
        <f>IF(ISNA(MATCH(191,'Transfer Engine'!$C$2:$C$1960,0)),"",HYPERLINK("#Acts!A"&amp;INDEX('Compliance Database'!$P$2:$P$1960,MATCH(191,'Transfer Engine'!$C$2:$C$1960,0)),"Go to Act"))</f>
        <v/>
      </c>
    </row>
    <row r="201" ht="158" customHeight="1">
      <c r="A201" s="8">
        <f>IF(ISNA(MATCH(192,'Transfer Engine'!$C$2:$C$1960,0)),"",INDEX('Compliance Database'!$A$2:$A$1960,MATCH(192,'Transfer Engine'!$C$2:$C$1960,0)))</f>
        <v/>
      </c>
      <c r="B201" s="8">
        <f>IF(ISNA(MATCH(192,'Transfer Engine'!$C$2:$C$1960,0)),"",INDEX('Compliance Database'!$B$2:$B$1960,MATCH(192,'Transfer Engine'!$C$2:$C$1960,0)))</f>
        <v/>
      </c>
      <c r="C201" s="8">
        <f>IF(ISNA(MATCH(192,'Transfer Engine'!$C$2:$C$1960,0)),"",INDEX('Compliance Database'!$C$2:$C$1960,MATCH(192,'Transfer Engine'!$C$2:$C$1960,0)))</f>
        <v/>
      </c>
      <c r="D201" s="9">
        <f>IF(ISNA(MATCH(192,'Transfer Engine'!$C$2:$C$1960,0)),"",INDEX('Compliance Database'!$D$2:$D$1960,MATCH(192,'Transfer Engine'!$C$2:$C$1960,0)))</f>
        <v/>
      </c>
      <c r="E201" s="8">
        <f>IF(ISNA(MATCH(192,'Transfer Engine'!$C$2:$C$1960,0)),"",INDEX('Compliance Database'!$E$2:$E$1960,MATCH(192,'Transfer Engine'!$C$2:$C$1960,0)))</f>
        <v/>
      </c>
      <c r="F201" s="8">
        <f>IF(ISNA(MATCH(192,'Transfer Engine'!$C$2:$C$1960,0)),"",INDEX('Compliance Database'!$F$2:$F$1960,MATCH(192,'Transfer Engine'!$C$2:$C$1960,0)))</f>
        <v/>
      </c>
      <c r="G201" s="8">
        <f>IF(ISNA(MATCH(192,'Transfer Engine'!$C$2:$C$1960,0)),"",INDEX('Compliance Database'!$G$2:$G$1960,MATCH(192,'Transfer Engine'!$C$2:$C$1960,0)))</f>
        <v/>
      </c>
      <c r="H201" s="9">
        <f>IF(ISNA(MATCH(192,'Transfer Engine'!$C$2:$C$1960,0)),"",INDEX('Compliance Database'!$H$2:$H$1960,MATCH(192,'Transfer Engine'!$C$2:$C$1960,0)))</f>
        <v/>
      </c>
      <c r="I201" s="9">
        <f>IF(ISNA(MATCH(192,'Transfer Engine'!$C$2:$C$1960,0)),"",INDEX('Compliance Database'!$I$2:$I$1960,MATCH(192,'Transfer Engine'!$C$2:$C$1960,0)))</f>
        <v/>
      </c>
      <c r="J201" s="8">
        <f>IF(ISNA(MATCH(192,'Transfer Engine'!$C$2:$C$1960,0)),"",INDEX('Compliance Database'!$J$2:$J$1960,MATCH(192,'Transfer Engine'!$C$2:$C$1960,0)))</f>
        <v/>
      </c>
      <c r="K201" s="9">
        <f>IF(ISNA(MATCH(192,'Transfer Engine'!$C$2:$C$1960,0)),"",INDEX('Compliance Database'!$K$2:$K$1960,MATCH(192,'Transfer Engine'!$C$2:$C$1960,0)))</f>
        <v/>
      </c>
      <c r="L201" s="9">
        <f>IF(ISNA(MATCH(192,'Transfer Engine'!$C$2:$C$1960,0)),"",INDEX('Compliance Database'!$L$2:$L$1960,MATCH(192,'Transfer Engine'!$C$2:$C$1960,0)))</f>
        <v/>
      </c>
      <c r="M201" s="9">
        <f>IF(ISNA(MATCH(192,'Transfer Engine'!$C$2:$C$1960,0)),"",INDEX('Compliance Database'!$M$2:$M$1960,MATCH(192,'Transfer Engine'!$C$2:$C$1960,0)))</f>
        <v/>
      </c>
      <c r="N201" s="9">
        <f>IF(ISNA(MATCH(192,'Transfer Engine'!$C$2:$C$1960,0)),"",INDEX('Compliance Database'!$N$2:$N$1960,MATCH(192,'Transfer Engine'!$C$2:$C$1960,0)))</f>
        <v/>
      </c>
      <c r="O201" s="9">
        <f>IF(ISNA(MATCH(192,'Transfer Engine'!$C$2:$C$1960,0)),"",INDEX('Compliance Database'!$O$2:$O$1960,MATCH(192,'Transfer Engine'!$C$2:$C$1960,0)))</f>
        <v/>
      </c>
      <c r="P201" s="8">
        <f>IF(ISNA(MATCH(192,'Transfer Engine'!$C$2:$C$1960,0)),"",HYPERLINK("#Acts!A"&amp;INDEX('Compliance Database'!$P$2:$P$1960,MATCH(192,'Transfer Engine'!$C$2:$C$1960,0)),"Go to Act"))</f>
        <v/>
      </c>
    </row>
    <row r="202" ht="158" customHeight="1">
      <c r="A202" s="8">
        <f>IF(ISNA(MATCH(193,'Transfer Engine'!$C$2:$C$1960,0)),"",INDEX('Compliance Database'!$A$2:$A$1960,MATCH(193,'Transfer Engine'!$C$2:$C$1960,0)))</f>
        <v/>
      </c>
      <c r="B202" s="8">
        <f>IF(ISNA(MATCH(193,'Transfer Engine'!$C$2:$C$1960,0)),"",INDEX('Compliance Database'!$B$2:$B$1960,MATCH(193,'Transfer Engine'!$C$2:$C$1960,0)))</f>
        <v/>
      </c>
      <c r="C202" s="8">
        <f>IF(ISNA(MATCH(193,'Transfer Engine'!$C$2:$C$1960,0)),"",INDEX('Compliance Database'!$C$2:$C$1960,MATCH(193,'Transfer Engine'!$C$2:$C$1960,0)))</f>
        <v/>
      </c>
      <c r="D202" s="9">
        <f>IF(ISNA(MATCH(193,'Transfer Engine'!$C$2:$C$1960,0)),"",INDEX('Compliance Database'!$D$2:$D$1960,MATCH(193,'Transfer Engine'!$C$2:$C$1960,0)))</f>
        <v/>
      </c>
      <c r="E202" s="8">
        <f>IF(ISNA(MATCH(193,'Transfer Engine'!$C$2:$C$1960,0)),"",INDEX('Compliance Database'!$E$2:$E$1960,MATCH(193,'Transfer Engine'!$C$2:$C$1960,0)))</f>
        <v/>
      </c>
      <c r="F202" s="8">
        <f>IF(ISNA(MATCH(193,'Transfer Engine'!$C$2:$C$1960,0)),"",INDEX('Compliance Database'!$F$2:$F$1960,MATCH(193,'Transfer Engine'!$C$2:$C$1960,0)))</f>
        <v/>
      </c>
      <c r="G202" s="8">
        <f>IF(ISNA(MATCH(193,'Transfer Engine'!$C$2:$C$1960,0)),"",INDEX('Compliance Database'!$G$2:$G$1960,MATCH(193,'Transfer Engine'!$C$2:$C$1960,0)))</f>
        <v/>
      </c>
      <c r="H202" s="9">
        <f>IF(ISNA(MATCH(193,'Transfer Engine'!$C$2:$C$1960,0)),"",INDEX('Compliance Database'!$H$2:$H$1960,MATCH(193,'Transfer Engine'!$C$2:$C$1960,0)))</f>
        <v/>
      </c>
      <c r="I202" s="9">
        <f>IF(ISNA(MATCH(193,'Transfer Engine'!$C$2:$C$1960,0)),"",INDEX('Compliance Database'!$I$2:$I$1960,MATCH(193,'Transfer Engine'!$C$2:$C$1960,0)))</f>
        <v/>
      </c>
      <c r="J202" s="8">
        <f>IF(ISNA(MATCH(193,'Transfer Engine'!$C$2:$C$1960,0)),"",INDEX('Compliance Database'!$J$2:$J$1960,MATCH(193,'Transfer Engine'!$C$2:$C$1960,0)))</f>
        <v/>
      </c>
      <c r="K202" s="9">
        <f>IF(ISNA(MATCH(193,'Transfer Engine'!$C$2:$C$1960,0)),"",INDEX('Compliance Database'!$K$2:$K$1960,MATCH(193,'Transfer Engine'!$C$2:$C$1960,0)))</f>
        <v/>
      </c>
      <c r="L202" s="9">
        <f>IF(ISNA(MATCH(193,'Transfer Engine'!$C$2:$C$1960,0)),"",INDEX('Compliance Database'!$L$2:$L$1960,MATCH(193,'Transfer Engine'!$C$2:$C$1960,0)))</f>
        <v/>
      </c>
      <c r="M202" s="9">
        <f>IF(ISNA(MATCH(193,'Transfer Engine'!$C$2:$C$1960,0)),"",INDEX('Compliance Database'!$M$2:$M$1960,MATCH(193,'Transfer Engine'!$C$2:$C$1960,0)))</f>
        <v/>
      </c>
      <c r="N202" s="9">
        <f>IF(ISNA(MATCH(193,'Transfer Engine'!$C$2:$C$1960,0)),"",INDEX('Compliance Database'!$N$2:$N$1960,MATCH(193,'Transfer Engine'!$C$2:$C$1960,0)))</f>
        <v/>
      </c>
      <c r="O202" s="9">
        <f>IF(ISNA(MATCH(193,'Transfer Engine'!$C$2:$C$1960,0)),"",INDEX('Compliance Database'!$O$2:$O$1960,MATCH(193,'Transfer Engine'!$C$2:$C$1960,0)))</f>
        <v/>
      </c>
      <c r="P202" s="8">
        <f>IF(ISNA(MATCH(193,'Transfer Engine'!$C$2:$C$1960,0)),"",HYPERLINK("#Acts!A"&amp;INDEX('Compliance Database'!$P$2:$P$1960,MATCH(193,'Transfer Engine'!$C$2:$C$1960,0)),"Go to Act"))</f>
        <v/>
      </c>
    </row>
    <row r="203" ht="158" customHeight="1">
      <c r="A203" s="8">
        <f>IF(ISNA(MATCH(194,'Transfer Engine'!$C$2:$C$1960,0)),"",INDEX('Compliance Database'!$A$2:$A$1960,MATCH(194,'Transfer Engine'!$C$2:$C$1960,0)))</f>
        <v/>
      </c>
      <c r="B203" s="8">
        <f>IF(ISNA(MATCH(194,'Transfer Engine'!$C$2:$C$1960,0)),"",INDEX('Compliance Database'!$B$2:$B$1960,MATCH(194,'Transfer Engine'!$C$2:$C$1960,0)))</f>
        <v/>
      </c>
      <c r="C203" s="8">
        <f>IF(ISNA(MATCH(194,'Transfer Engine'!$C$2:$C$1960,0)),"",INDEX('Compliance Database'!$C$2:$C$1960,MATCH(194,'Transfer Engine'!$C$2:$C$1960,0)))</f>
        <v/>
      </c>
      <c r="D203" s="9">
        <f>IF(ISNA(MATCH(194,'Transfer Engine'!$C$2:$C$1960,0)),"",INDEX('Compliance Database'!$D$2:$D$1960,MATCH(194,'Transfer Engine'!$C$2:$C$1960,0)))</f>
        <v/>
      </c>
      <c r="E203" s="8">
        <f>IF(ISNA(MATCH(194,'Transfer Engine'!$C$2:$C$1960,0)),"",INDEX('Compliance Database'!$E$2:$E$1960,MATCH(194,'Transfer Engine'!$C$2:$C$1960,0)))</f>
        <v/>
      </c>
      <c r="F203" s="8">
        <f>IF(ISNA(MATCH(194,'Transfer Engine'!$C$2:$C$1960,0)),"",INDEX('Compliance Database'!$F$2:$F$1960,MATCH(194,'Transfer Engine'!$C$2:$C$1960,0)))</f>
        <v/>
      </c>
      <c r="G203" s="8">
        <f>IF(ISNA(MATCH(194,'Transfer Engine'!$C$2:$C$1960,0)),"",INDEX('Compliance Database'!$G$2:$G$1960,MATCH(194,'Transfer Engine'!$C$2:$C$1960,0)))</f>
        <v/>
      </c>
      <c r="H203" s="9">
        <f>IF(ISNA(MATCH(194,'Transfer Engine'!$C$2:$C$1960,0)),"",INDEX('Compliance Database'!$H$2:$H$1960,MATCH(194,'Transfer Engine'!$C$2:$C$1960,0)))</f>
        <v/>
      </c>
      <c r="I203" s="9">
        <f>IF(ISNA(MATCH(194,'Transfer Engine'!$C$2:$C$1960,0)),"",INDEX('Compliance Database'!$I$2:$I$1960,MATCH(194,'Transfer Engine'!$C$2:$C$1960,0)))</f>
        <v/>
      </c>
      <c r="J203" s="8">
        <f>IF(ISNA(MATCH(194,'Transfer Engine'!$C$2:$C$1960,0)),"",INDEX('Compliance Database'!$J$2:$J$1960,MATCH(194,'Transfer Engine'!$C$2:$C$1960,0)))</f>
        <v/>
      </c>
      <c r="K203" s="9">
        <f>IF(ISNA(MATCH(194,'Transfer Engine'!$C$2:$C$1960,0)),"",INDEX('Compliance Database'!$K$2:$K$1960,MATCH(194,'Transfer Engine'!$C$2:$C$1960,0)))</f>
        <v/>
      </c>
      <c r="L203" s="9">
        <f>IF(ISNA(MATCH(194,'Transfer Engine'!$C$2:$C$1960,0)),"",INDEX('Compliance Database'!$L$2:$L$1960,MATCH(194,'Transfer Engine'!$C$2:$C$1960,0)))</f>
        <v/>
      </c>
      <c r="M203" s="9">
        <f>IF(ISNA(MATCH(194,'Transfer Engine'!$C$2:$C$1960,0)),"",INDEX('Compliance Database'!$M$2:$M$1960,MATCH(194,'Transfer Engine'!$C$2:$C$1960,0)))</f>
        <v/>
      </c>
      <c r="N203" s="9">
        <f>IF(ISNA(MATCH(194,'Transfer Engine'!$C$2:$C$1960,0)),"",INDEX('Compliance Database'!$N$2:$N$1960,MATCH(194,'Transfer Engine'!$C$2:$C$1960,0)))</f>
        <v/>
      </c>
      <c r="O203" s="9">
        <f>IF(ISNA(MATCH(194,'Transfer Engine'!$C$2:$C$1960,0)),"",INDEX('Compliance Database'!$O$2:$O$1960,MATCH(194,'Transfer Engine'!$C$2:$C$1960,0)))</f>
        <v/>
      </c>
      <c r="P203" s="8">
        <f>IF(ISNA(MATCH(194,'Transfer Engine'!$C$2:$C$1960,0)),"",HYPERLINK("#Acts!A"&amp;INDEX('Compliance Database'!$P$2:$P$1960,MATCH(194,'Transfer Engine'!$C$2:$C$1960,0)),"Go to Act"))</f>
        <v/>
      </c>
    </row>
    <row r="204" ht="158" customHeight="1">
      <c r="A204" s="8">
        <f>IF(ISNA(MATCH(195,'Transfer Engine'!$C$2:$C$1960,0)),"",INDEX('Compliance Database'!$A$2:$A$1960,MATCH(195,'Transfer Engine'!$C$2:$C$1960,0)))</f>
        <v/>
      </c>
      <c r="B204" s="8">
        <f>IF(ISNA(MATCH(195,'Transfer Engine'!$C$2:$C$1960,0)),"",INDEX('Compliance Database'!$B$2:$B$1960,MATCH(195,'Transfer Engine'!$C$2:$C$1960,0)))</f>
        <v/>
      </c>
      <c r="C204" s="8">
        <f>IF(ISNA(MATCH(195,'Transfer Engine'!$C$2:$C$1960,0)),"",INDEX('Compliance Database'!$C$2:$C$1960,MATCH(195,'Transfer Engine'!$C$2:$C$1960,0)))</f>
        <v/>
      </c>
      <c r="D204" s="9">
        <f>IF(ISNA(MATCH(195,'Transfer Engine'!$C$2:$C$1960,0)),"",INDEX('Compliance Database'!$D$2:$D$1960,MATCH(195,'Transfer Engine'!$C$2:$C$1960,0)))</f>
        <v/>
      </c>
      <c r="E204" s="8">
        <f>IF(ISNA(MATCH(195,'Transfer Engine'!$C$2:$C$1960,0)),"",INDEX('Compliance Database'!$E$2:$E$1960,MATCH(195,'Transfer Engine'!$C$2:$C$1960,0)))</f>
        <v/>
      </c>
      <c r="F204" s="8">
        <f>IF(ISNA(MATCH(195,'Transfer Engine'!$C$2:$C$1960,0)),"",INDEX('Compliance Database'!$F$2:$F$1960,MATCH(195,'Transfer Engine'!$C$2:$C$1960,0)))</f>
        <v/>
      </c>
      <c r="G204" s="8">
        <f>IF(ISNA(MATCH(195,'Transfer Engine'!$C$2:$C$1960,0)),"",INDEX('Compliance Database'!$G$2:$G$1960,MATCH(195,'Transfer Engine'!$C$2:$C$1960,0)))</f>
        <v/>
      </c>
      <c r="H204" s="9">
        <f>IF(ISNA(MATCH(195,'Transfer Engine'!$C$2:$C$1960,0)),"",INDEX('Compliance Database'!$H$2:$H$1960,MATCH(195,'Transfer Engine'!$C$2:$C$1960,0)))</f>
        <v/>
      </c>
      <c r="I204" s="9">
        <f>IF(ISNA(MATCH(195,'Transfer Engine'!$C$2:$C$1960,0)),"",INDEX('Compliance Database'!$I$2:$I$1960,MATCH(195,'Transfer Engine'!$C$2:$C$1960,0)))</f>
        <v/>
      </c>
      <c r="J204" s="8">
        <f>IF(ISNA(MATCH(195,'Transfer Engine'!$C$2:$C$1960,0)),"",INDEX('Compliance Database'!$J$2:$J$1960,MATCH(195,'Transfer Engine'!$C$2:$C$1960,0)))</f>
        <v/>
      </c>
      <c r="K204" s="9">
        <f>IF(ISNA(MATCH(195,'Transfer Engine'!$C$2:$C$1960,0)),"",INDEX('Compliance Database'!$K$2:$K$1960,MATCH(195,'Transfer Engine'!$C$2:$C$1960,0)))</f>
        <v/>
      </c>
      <c r="L204" s="9">
        <f>IF(ISNA(MATCH(195,'Transfer Engine'!$C$2:$C$1960,0)),"",INDEX('Compliance Database'!$L$2:$L$1960,MATCH(195,'Transfer Engine'!$C$2:$C$1960,0)))</f>
        <v/>
      </c>
      <c r="M204" s="9">
        <f>IF(ISNA(MATCH(195,'Transfer Engine'!$C$2:$C$1960,0)),"",INDEX('Compliance Database'!$M$2:$M$1960,MATCH(195,'Transfer Engine'!$C$2:$C$1960,0)))</f>
        <v/>
      </c>
      <c r="N204" s="9">
        <f>IF(ISNA(MATCH(195,'Transfer Engine'!$C$2:$C$1960,0)),"",INDEX('Compliance Database'!$N$2:$N$1960,MATCH(195,'Transfer Engine'!$C$2:$C$1960,0)))</f>
        <v/>
      </c>
      <c r="O204" s="9">
        <f>IF(ISNA(MATCH(195,'Transfer Engine'!$C$2:$C$1960,0)),"",INDEX('Compliance Database'!$O$2:$O$1960,MATCH(195,'Transfer Engine'!$C$2:$C$1960,0)))</f>
        <v/>
      </c>
      <c r="P204" s="8">
        <f>IF(ISNA(MATCH(195,'Transfer Engine'!$C$2:$C$1960,0)),"",HYPERLINK("#Acts!A"&amp;INDEX('Compliance Database'!$P$2:$P$1960,MATCH(195,'Transfer Engine'!$C$2:$C$1960,0)),"Go to Act"))</f>
        <v/>
      </c>
    </row>
    <row r="205" ht="158" customHeight="1">
      <c r="A205" s="8">
        <f>IF(ISNA(MATCH(196,'Transfer Engine'!$C$2:$C$1960,0)),"",INDEX('Compliance Database'!$A$2:$A$1960,MATCH(196,'Transfer Engine'!$C$2:$C$1960,0)))</f>
        <v/>
      </c>
      <c r="B205" s="8">
        <f>IF(ISNA(MATCH(196,'Transfer Engine'!$C$2:$C$1960,0)),"",INDEX('Compliance Database'!$B$2:$B$1960,MATCH(196,'Transfer Engine'!$C$2:$C$1960,0)))</f>
        <v/>
      </c>
      <c r="C205" s="8">
        <f>IF(ISNA(MATCH(196,'Transfer Engine'!$C$2:$C$1960,0)),"",INDEX('Compliance Database'!$C$2:$C$1960,MATCH(196,'Transfer Engine'!$C$2:$C$1960,0)))</f>
        <v/>
      </c>
      <c r="D205" s="9">
        <f>IF(ISNA(MATCH(196,'Transfer Engine'!$C$2:$C$1960,0)),"",INDEX('Compliance Database'!$D$2:$D$1960,MATCH(196,'Transfer Engine'!$C$2:$C$1960,0)))</f>
        <v/>
      </c>
      <c r="E205" s="8">
        <f>IF(ISNA(MATCH(196,'Transfer Engine'!$C$2:$C$1960,0)),"",INDEX('Compliance Database'!$E$2:$E$1960,MATCH(196,'Transfer Engine'!$C$2:$C$1960,0)))</f>
        <v/>
      </c>
      <c r="F205" s="8">
        <f>IF(ISNA(MATCH(196,'Transfer Engine'!$C$2:$C$1960,0)),"",INDEX('Compliance Database'!$F$2:$F$1960,MATCH(196,'Transfer Engine'!$C$2:$C$1960,0)))</f>
        <v/>
      </c>
      <c r="G205" s="8">
        <f>IF(ISNA(MATCH(196,'Transfer Engine'!$C$2:$C$1960,0)),"",INDEX('Compliance Database'!$G$2:$G$1960,MATCH(196,'Transfer Engine'!$C$2:$C$1960,0)))</f>
        <v/>
      </c>
      <c r="H205" s="9">
        <f>IF(ISNA(MATCH(196,'Transfer Engine'!$C$2:$C$1960,0)),"",INDEX('Compliance Database'!$H$2:$H$1960,MATCH(196,'Transfer Engine'!$C$2:$C$1960,0)))</f>
        <v/>
      </c>
      <c r="I205" s="9">
        <f>IF(ISNA(MATCH(196,'Transfer Engine'!$C$2:$C$1960,0)),"",INDEX('Compliance Database'!$I$2:$I$1960,MATCH(196,'Transfer Engine'!$C$2:$C$1960,0)))</f>
        <v/>
      </c>
      <c r="J205" s="8">
        <f>IF(ISNA(MATCH(196,'Transfer Engine'!$C$2:$C$1960,0)),"",INDEX('Compliance Database'!$J$2:$J$1960,MATCH(196,'Transfer Engine'!$C$2:$C$1960,0)))</f>
        <v/>
      </c>
      <c r="K205" s="9">
        <f>IF(ISNA(MATCH(196,'Transfer Engine'!$C$2:$C$1960,0)),"",INDEX('Compliance Database'!$K$2:$K$1960,MATCH(196,'Transfer Engine'!$C$2:$C$1960,0)))</f>
        <v/>
      </c>
      <c r="L205" s="9">
        <f>IF(ISNA(MATCH(196,'Transfer Engine'!$C$2:$C$1960,0)),"",INDEX('Compliance Database'!$L$2:$L$1960,MATCH(196,'Transfer Engine'!$C$2:$C$1960,0)))</f>
        <v/>
      </c>
      <c r="M205" s="9">
        <f>IF(ISNA(MATCH(196,'Transfer Engine'!$C$2:$C$1960,0)),"",INDEX('Compliance Database'!$M$2:$M$1960,MATCH(196,'Transfer Engine'!$C$2:$C$1960,0)))</f>
        <v/>
      </c>
      <c r="N205" s="9">
        <f>IF(ISNA(MATCH(196,'Transfer Engine'!$C$2:$C$1960,0)),"",INDEX('Compliance Database'!$N$2:$N$1960,MATCH(196,'Transfer Engine'!$C$2:$C$1960,0)))</f>
        <v/>
      </c>
      <c r="O205" s="9">
        <f>IF(ISNA(MATCH(196,'Transfer Engine'!$C$2:$C$1960,0)),"",INDEX('Compliance Database'!$O$2:$O$1960,MATCH(196,'Transfer Engine'!$C$2:$C$1960,0)))</f>
        <v/>
      </c>
      <c r="P205" s="8">
        <f>IF(ISNA(MATCH(196,'Transfer Engine'!$C$2:$C$1960,0)),"",HYPERLINK("#Acts!A"&amp;INDEX('Compliance Database'!$P$2:$P$1960,MATCH(196,'Transfer Engine'!$C$2:$C$1960,0)),"Go to Act"))</f>
        <v/>
      </c>
    </row>
    <row r="206" ht="158" customHeight="1">
      <c r="A206" s="8">
        <f>IF(ISNA(MATCH(197,'Transfer Engine'!$C$2:$C$1960,0)),"",INDEX('Compliance Database'!$A$2:$A$1960,MATCH(197,'Transfer Engine'!$C$2:$C$1960,0)))</f>
        <v/>
      </c>
      <c r="B206" s="8">
        <f>IF(ISNA(MATCH(197,'Transfer Engine'!$C$2:$C$1960,0)),"",INDEX('Compliance Database'!$B$2:$B$1960,MATCH(197,'Transfer Engine'!$C$2:$C$1960,0)))</f>
        <v/>
      </c>
      <c r="C206" s="8">
        <f>IF(ISNA(MATCH(197,'Transfer Engine'!$C$2:$C$1960,0)),"",INDEX('Compliance Database'!$C$2:$C$1960,MATCH(197,'Transfer Engine'!$C$2:$C$1960,0)))</f>
        <v/>
      </c>
      <c r="D206" s="9">
        <f>IF(ISNA(MATCH(197,'Transfer Engine'!$C$2:$C$1960,0)),"",INDEX('Compliance Database'!$D$2:$D$1960,MATCH(197,'Transfer Engine'!$C$2:$C$1960,0)))</f>
        <v/>
      </c>
      <c r="E206" s="8">
        <f>IF(ISNA(MATCH(197,'Transfer Engine'!$C$2:$C$1960,0)),"",INDEX('Compliance Database'!$E$2:$E$1960,MATCH(197,'Transfer Engine'!$C$2:$C$1960,0)))</f>
        <v/>
      </c>
      <c r="F206" s="8">
        <f>IF(ISNA(MATCH(197,'Transfer Engine'!$C$2:$C$1960,0)),"",INDEX('Compliance Database'!$F$2:$F$1960,MATCH(197,'Transfer Engine'!$C$2:$C$1960,0)))</f>
        <v/>
      </c>
      <c r="G206" s="8">
        <f>IF(ISNA(MATCH(197,'Transfer Engine'!$C$2:$C$1960,0)),"",INDEX('Compliance Database'!$G$2:$G$1960,MATCH(197,'Transfer Engine'!$C$2:$C$1960,0)))</f>
        <v/>
      </c>
      <c r="H206" s="9">
        <f>IF(ISNA(MATCH(197,'Transfer Engine'!$C$2:$C$1960,0)),"",INDEX('Compliance Database'!$H$2:$H$1960,MATCH(197,'Transfer Engine'!$C$2:$C$1960,0)))</f>
        <v/>
      </c>
      <c r="I206" s="9">
        <f>IF(ISNA(MATCH(197,'Transfer Engine'!$C$2:$C$1960,0)),"",INDEX('Compliance Database'!$I$2:$I$1960,MATCH(197,'Transfer Engine'!$C$2:$C$1960,0)))</f>
        <v/>
      </c>
      <c r="J206" s="8">
        <f>IF(ISNA(MATCH(197,'Transfer Engine'!$C$2:$C$1960,0)),"",INDEX('Compliance Database'!$J$2:$J$1960,MATCH(197,'Transfer Engine'!$C$2:$C$1960,0)))</f>
        <v/>
      </c>
      <c r="K206" s="9">
        <f>IF(ISNA(MATCH(197,'Transfer Engine'!$C$2:$C$1960,0)),"",INDEX('Compliance Database'!$K$2:$K$1960,MATCH(197,'Transfer Engine'!$C$2:$C$1960,0)))</f>
        <v/>
      </c>
      <c r="L206" s="9">
        <f>IF(ISNA(MATCH(197,'Transfer Engine'!$C$2:$C$1960,0)),"",INDEX('Compliance Database'!$L$2:$L$1960,MATCH(197,'Transfer Engine'!$C$2:$C$1960,0)))</f>
        <v/>
      </c>
      <c r="M206" s="9">
        <f>IF(ISNA(MATCH(197,'Transfer Engine'!$C$2:$C$1960,0)),"",INDEX('Compliance Database'!$M$2:$M$1960,MATCH(197,'Transfer Engine'!$C$2:$C$1960,0)))</f>
        <v/>
      </c>
      <c r="N206" s="9">
        <f>IF(ISNA(MATCH(197,'Transfer Engine'!$C$2:$C$1960,0)),"",INDEX('Compliance Database'!$N$2:$N$1960,MATCH(197,'Transfer Engine'!$C$2:$C$1960,0)))</f>
        <v/>
      </c>
      <c r="O206" s="9">
        <f>IF(ISNA(MATCH(197,'Transfer Engine'!$C$2:$C$1960,0)),"",INDEX('Compliance Database'!$O$2:$O$1960,MATCH(197,'Transfer Engine'!$C$2:$C$1960,0)))</f>
        <v/>
      </c>
      <c r="P206" s="8">
        <f>IF(ISNA(MATCH(197,'Transfer Engine'!$C$2:$C$1960,0)),"",HYPERLINK("#Acts!A"&amp;INDEX('Compliance Database'!$P$2:$P$1960,MATCH(197,'Transfer Engine'!$C$2:$C$1960,0)),"Go to Act"))</f>
        <v/>
      </c>
    </row>
    <row r="207" ht="158" customHeight="1">
      <c r="A207" s="8">
        <f>IF(ISNA(MATCH(198,'Transfer Engine'!$C$2:$C$1960,0)),"",INDEX('Compliance Database'!$A$2:$A$1960,MATCH(198,'Transfer Engine'!$C$2:$C$1960,0)))</f>
        <v/>
      </c>
      <c r="B207" s="8">
        <f>IF(ISNA(MATCH(198,'Transfer Engine'!$C$2:$C$1960,0)),"",INDEX('Compliance Database'!$B$2:$B$1960,MATCH(198,'Transfer Engine'!$C$2:$C$1960,0)))</f>
        <v/>
      </c>
      <c r="C207" s="8">
        <f>IF(ISNA(MATCH(198,'Transfer Engine'!$C$2:$C$1960,0)),"",INDEX('Compliance Database'!$C$2:$C$1960,MATCH(198,'Transfer Engine'!$C$2:$C$1960,0)))</f>
        <v/>
      </c>
      <c r="D207" s="9">
        <f>IF(ISNA(MATCH(198,'Transfer Engine'!$C$2:$C$1960,0)),"",INDEX('Compliance Database'!$D$2:$D$1960,MATCH(198,'Transfer Engine'!$C$2:$C$1960,0)))</f>
        <v/>
      </c>
      <c r="E207" s="8">
        <f>IF(ISNA(MATCH(198,'Transfer Engine'!$C$2:$C$1960,0)),"",INDEX('Compliance Database'!$E$2:$E$1960,MATCH(198,'Transfer Engine'!$C$2:$C$1960,0)))</f>
        <v/>
      </c>
      <c r="F207" s="8">
        <f>IF(ISNA(MATCH(198,'Transfer Engine'!$C$2:$C$1960,0)),"",INDEX('Compliance Database'!$F$2:$F$1960,MATCH(198,'Transfer Engine'!$C$2:$C$1960,0)))</f>
        <v/>
      </c>
      <c r="G207" s="8">
        <f>IF(ISNA(MATCH(198,'Transfer Engine'!$C$2:$C$1960,0)),"",INDEX('Compliance Database'!$G$2:$G$1960,MATCH(198,'Transfer Engine'!$C$2:$C$1960,0)))</f>
        <v/>
      </c>
      <c r="H207" s="9">
        <f>IF(ISNA(MATCH(198,'Transfer Engine'!$C$2:$C$1960,0)),"",INDEX('Compliance Database'!$H$2:$H$1960,MATCH(198,'Transfer Engine'!$C$2:$C$1960,0)))</f>
        <v/>
      </c>
      <c r="I207" s="9">
        <f>IF(ISNA(MATCH(198,'Transfer Engine'!$C$2:$C$1960,0)),"",INDEX('Compliance Database'!$I$2:$I$1960,MATCH(198,'Transfer Engine'!$C$2:$C$1960,0)))</f>
        <v/>
      </c>
      <c r="J207" s="8">
        <f>IF(ISNA(MATCH(198,'Transfer Engine'!$C$2:$C$1960,0)),"",INDEX('Compliance Database'!$J$2:$J$1960,MATCH(198,'Transfer Engine'!$C$2:$C$1960,0)))</f>
        <v/>
      </c>
      <c r="K207" s="9">
        <f>IF(ISNA(MATCH(198,'Transfer Engine'!$C$2:$C$1960,0)),"",INDEX('Compliance Database'!$K$2:$K$1960,MATCH(198,'Transfer Engine'!$C$2:$C$1960,0)))</f>
        <v/>
      </c>
      <c r="L207" s="9">
        <f>IF(ISNA(MATCH(198,'Transfer Engine'!$C$2:$C$1960,0)),"",INDEX('Compliance Database'!$L$2:$L$1960,MATCH(198,'Transfer Engine'!$C$2:$C$1960,0)))</f>
        <v/>
      </c>
      <c r="M207" s="9">
        <f>IF(ISNA(MATCH(198,'Transfer Engine'!$C$2:$C$1960,0)),"",INDEX('Compliance Database'!$M$2:$M$1960,MATCH(198,'Transfer Engine'!$C$2:$C$1960,0)))</f>
        <v/>
      </c>
      <c r="N207" s="9">
        <f>IF(ISNA(MATCH(198,'Transfer Engine'!$C$2:$C$1960,0)),"",INDEX('Compliance Database'!$N$2:$N$1960,MATCH(198,'Transfer Engine'!$C$2:$C$1960,0)))</f>
        <v/>
      </c>
      <c r="O207" s="9">
        <f>IF(ISNA(MATCH(198,'Transfer Engine'!$C$2:$C$1960,0)),"",INDEX('Compliance Database'!$O$2:$O$1960,MATCH(198,'Transfer Engine'!$C$2:$C$1960,0)))</f>
        <v/>
      </c>
      <c r="P207" s="8">
        <f>IF(ISNA(MATCH(198,'Transfer Engine'!$C$2:$C$1960,0)),"",HYPERLINK("#Acts!A"&amp;INDEX('Compliance Database'!$P$2:$P$1960,MATCH(198,'Transfer Engine'!$C$2:$C$1960,0)),"Go to Act"))</f>
        <v/>
      </c>
    </row>
    <row r="208" ht="158" customHeight="1">
      <c r="A208" s="8">
        <f>IF(ISNA(MATCH(199,'Transfer Engine'!$C$2:$C$1960,0)),"",INDEX('Compliance Database'!$A$2:$A$1960,MATCH(199,'Transfer Engine'!$C$2:$C$1960,0)))</f>
        <v/>
      </c>
      <c r="B208" s="8">
        <f>IF(ISNA(MATCH(199,'Transfer Engine'!$C$2:$C$1960,0)),"",INDEX('Compliance Database'!$B$2:$B$1960,MATCH(199,'Transfer Engine'!$C$2:$C$1960,0)))</f>
        <v/>
      </c>
      <c r="C208" s="8">
        <f>IF(ISNA(MATCH(199,'Transfer Engine'!$C$2:$C$1960,0)),"",INDEX('Compliance Database'!$C$2:$C$1960,MATCH(199,'Transfer Engine'!$C$2:$C$1960,0)))</f>
        <v/>
      </c>
      <c r="D208" s="9">
        <f>IF(ISNA(MATCH(199,'Transfer Engine'!$C$2:$C$1960,0)),"",INDEX('Compliance Database'!$D$2:$D$1960,MATCH(199,'Transfer Engine'!$C$2:$C$1960,0)))</f>
        <v/>
      </c>
      <c r="E208" s="8">
        <f>IF(ISNA(MATCH(199,'Transfer Engine'!$C$2:$C$1960,0)),"",INDEX('Compliance Database'!$E$2:$E$1960,MATCH(199,'Transfer Engine'!$C$2:$C$1960,0)))</f>
        <v/>
      </c>
      <c r="F208" s="8">
        <f>IF(ISNA(MATCH(199,'Transfer Engine'!$C$2:$C$1960,0)),"",INDEX('Compliance Database'!$F$2:$F$1960,MATCH(199,'Transfer Engine'!$C$2:$C$1960,0)))</f>
        <v/>
      </c>
      <c r="G208" s="8">
        <f>IF(ISNA(MATCH(199,'Transfer Engine'!$C$2:$C$1960,0)),"",INDEX('Compliance Database'!$G$2:$G$1960,MATCH(199,'Transfer Engine'!$C$2:$C$1960,0)))</f>
        <v/>
      </c>
      <c r="H208" s="9">
        <f>IF(ISNA(MATCH(199,'Transfer Engine'!$C$2:$C$1960,0)),"",INDEX('Compliance Database'!$H$2:$H$1960,MATCH(199,'Transfer Engine'!$C$2:$C$1960,0)))</f>
        <v/>
      </c>
      <c r="I208" s="9">
        <f>IF(ISNA(MATCH(199,'Transfer Engine'!$C$2:$C$1960,0)),"",INDEX('Compliance Database'!$I$2:$I$1960,MATCH(199,'Transfer Engine'!$C$2:$C$1960,0)))</f>
        <v/>
      </c>
      <c r="J208" s="8">
        <f>IF(ISNA(MATCH(199,'Transfer Engine'!$C$2:$C$1960,0)),"",INDEX('Compliance Database'!$J$2:$J$1960,MATCH(199,'Transfer Engine'!$C$2:$C$1960,0)))</f>
        <v/>
      </c>
      <c r="K208" s="9">
        <f>IF(ISNA(MATCH(199,'Transfer Engine'!$C$2:$C$1960,0)),"",INDEX('Compliance Database'!$K$2:$K$1960,MATCH(199,'Transfer Engine'!$C$2:$C$1960,0)))</f>
        <v/>
      </c>
      <c r="L208" s="9">
        <f>IF(ISNA(MATCH(199,'Transfer Engine'!$C$2:$C$1960,0)),"",INDEX('Compliance Database'!$L$2:$L$1960,MATCH(199,'Transfer Engine'!$C$2:$C$1960,0)))</f>
        <v/>
      </c>
      <c r="M208" s="9">
        <f>IF(ISNA(MATCH(199,'Transfer Engine'!$C$2:$C$1960,0)),"",INDEX('Compliance Database'!$M$2:$M$1960,MATCH(199,'Transfer Engine'!$C$2:$C$1960,0)))</f>
        <v/>
      </c>
      <c r="N208" s="9">
        <f>IF(ISNA(MATCH(199,'Transfer Engine'!$C$2:$C$1960,0)),"",INDEX('Compliance Database'!$N$2:$N$1960,MATCH(199,'Transfer Engine'!$C$2:$C$1960,0)))</f>
        <v/>
      </c>
      <c r="O208" s="9">
        <f>IF(ISNA(MATCH(199,'Transfer Engine'!$C$2:$C$1960,0)),"",INDEX('Compliance Database'!$O$2:$O$1960,MATCH(199,'Transfer Engine'!$C$2:$C$1960,0)))</f>
        <v/>
      </c>
      <c r="P208" s="8">
        <f>IF(ISNA(MATCH(199,'Transfer Engine'!$C$2:$C$1960,0)),"",HYPERLINK("#Acts!A"&amp;INDEX('Compliance Database'!$P$2:$P$1960,MATCH(199,'Transfer Engine'!$C$2:$C$1960,0)),"Go to Act"))</f>
        <v/>
      </c>
    </row>
    <row r="209" ht="158" customHeight="1">
      <c r="A209" s="8">
        <f>IF(ISNA(MATCH(200,'Transfer Engine'!$C$2:$C$1960,0)),"",INDEX('Compliance Database'!$A$2:$A$1960,MATCH(200,'Transfer Engine'!$C$2:$C$1960,0)))</f>
        <v/>
      </c>
      <c r="B209" s="8">
        <f>IF(ISNA(MATCH(200,'Transfer Engine'!$C$2:$C$1960,0)),"",INDEX('Compliance Database'!$B$2:$B$1960,MATCH(200,'Transfer Engine'!$C$2:$C$1960,0)))</f>
        <v/>
      </c>
      <c r="C209" s="8">
        <f>IF(ISNA(MATCH(200,'Transfer Engine'!$C$2:$C$1960,0)),"",INDEX('Compliance Database'!$C$2:$C$1960,MATCH(200,'Transfer Engine'!$C$2:$C$1960,0)))</f>
        <v/>
      </c>
      <c r="D209" s="9">
        <f>IF(ISNA(MATCH(200,'Transfer Engine'!$C$2:$C$1960,0)),"",INDEX('Compliance Database'!$D$2:$D$1960,MATCH(200,'Transfer Engine'!$C$2:$C$1960,0)))</f>
        <v/>
      </c>
      <c r="E209" s="8">
        <f>IF(ISNA(MATCH(200,'Transfer Engine'!$C$2:$C$1960,0)),"",INDEX('Compliance Database'!$E$2:$E$1960,MATCH(200,'Transfer Engine'!$C$2:$C$1960,0)))</f>
        <v/>
      </c>
      <c r="F209" s="8">
        <f>IF(ISNA(MATCH(200,'Transfer Engine'!$C$2:$C$1960,0)),"",INDEX('Compliance Database'!$F$2:$F$1960,MATCH(200,'Transfer Engine'!$C$2:$C$1960,0)))</f>
        <v/>
      </c>
      <c r="G209" s="8">
        <f>IF(ISNA(MATCH(200,'Transfer Engine'!$C$2:$C$1960,0)),"",INDEX('Compliance Database'!$G$2:$G$1960,MATCH(200,'Transfer Engine'!$C$2:$C$1960,0)))</f>
        <v/>
      </c>
      <c r="H209" s="9">
        <f>IF(ISNA(MATCH(200,'Transfer Engine'!$C$2:$C$1960,0)),"",INDEX('Compliance Database'!$H$2:$H$1960,MATCH(200,'Transfer Engine'!$C$2:$C$1960,0)))</f>
        <v/>
      </c>
      <c r="I209" s="9">
        <f>IF(ISNA(MATCH(200,'Transfer Engine'!$C$2:$C$1960,0)),"",INDEX('Compliance Database'!$I$2:$I$1960,MATCH(200,'Transfer Engine'!$C$2:$C$1960,0)))</f>
        <v/>
      </c>
      <c r="J209" s="8">
        <f>IF(ISNA(MATCH(200,'Transfer Engine'!$C$2:$C$1960,0)),"",INDEX('Compliance Database'!$J$2:$J$1960,MATCH(200,'Transfer Engine'!$C$2:$C$1960,0)))</f>
        <v/>
      </c>
      <c r="K209" s="9">
        <f>IF(ISNA(MATCH(200,'Transfer Engine'!$C$2:$C$1960,0)),"",INDEX('Compliance Database'!$K$2:$K$1960,MATCH(200,'Transfer Engine'!$C$2:$C$1960,0)))</f>
        <v/>
      </c>
      <c r="L209" s="9">
        <f>IF(ISNA(MATCH(200,'Transfer Engine'!$C$2:$C$1960,0)),"",INDEX('Compliance Database'!$L$2:$L$1960,MATCH(200,'Transfer Engine'!$C$2:$C$1960,0)))</f>
        <v/>
      </c>
      <c r="M209" s="9">
        <f>IF(ISNA(MATCH(200,'Transfer Engine'!$C$2:$C$1960,0)),"",INDEX('Compliance Database'!$M$2:$M$1960,MATCH(200,'Transfer Engine'!$C$2:$C$1960,0)))</f>
        <v/>
      </c>
      <c r="N209" s="9">
        <f>IF(ISNA(MATCH(200,'Transfer Engine'!$C$2:$C$1960,0)),"",INDEX('Compliance Database'!$N$2:$N$1960,MATCH(200,'Transfer Engine'!$C$2:$C$1960,0)))</f>
        <v/>
      </c>
      <c r="O209" s="9">
        <f>IF(ISNA(MATCH(200,'Transfer Engine'!$C$2:$C$1960,0)),"",INDEX('Compliance Database'!$O$2:$O$1960,MATCH(200,'Transfer Engine'!$C$2:$C$1960,0)))</f>
        <v/>
      </c>
      <c r="P209" s="8">
        <f>IF(ISNA(MATCH(200,'Transfer Engine'!$C$2:$C$1960,0)),"",HYPERLINK("#Acts!A"&amp;INDEX('Compliance Database'!$P$2:$P$1960,MATCH(200,'Transfer Engine'!$C$2:$C$1960,0)),"Go to Act"))</f>
        <v/>
      </c>
    </row>
    <row r="210" ht="158" customHeight="1">
      <c r="A210" s="8">
        <f>IF(ISNA(MATCH(201,'Transfer Engine'!$C$2:$C$1960,0)),"",INDEX('Compliance Database'!$A$2:$A$1960,MATCH(201,'Transfer Engine'!$C$2:$C$1960,0)))</f>
        <v/>
      </c>
      <c r="B210" s="8">
        <f>IF(ISNA(MATCH(201,'Transfer Engine'!$C$2:$C$1960,0)),"",INDEX('Compliance Database'!$B$2:$B$1960,MATCH(201,'Transfer Engine'!$C$2:$C$1960,0)))</f>
        <v/>
      </c>
      <c r="C210" s="8">
        <f>IF(ISNA(MATCH(201,'Transfer Engine'!$C$2:$C$1960,0)),"",INDEX('Compliance Database'!$C$2:$C$1960,MATCH(201,'Transfer Engine'!$C$2:$C$1960,0)))</f>
        <v/>
      </c>
      <c r="D210" s="9">
        <f>IF(ISNA(MATCH(201,'Transfer Engine'!$C$2:$C$1960,0)),"",INDEX('Compliance Database'!$D$2:$D$1960,MATCH(201,'Transfer Engine'!$C$2:$C$1960,0)))</f>
        <v/>
      </c>
      <c r="E210" s="8">
        <f>IF(ISNA(MATCH(201,'Transfer Engine'!$C$2:$C$1960,0)),"",INDEX('Compliance Database'!$E$2:$E$1960,MATCH(201,'Transfer Engine'!$C$2:$C$1960,0)))</f>
        <v/>
      </c>
      <c r="F210" s="8">
        <f>IF(ISNA(MATCH(201,'Transfer Engine'!$C$2:$C$1960,0)),"",INDEX('Compliance Database'!$F$2:$F$1960,MATCH(201,'Transfer Engine'!$C$2:$C$1960,0)))</f>
        <v/>
      </c>
      <c r="G210" s="8">
        <f>IF(ISNA(MATCH(201,'Transfer Engine'!$C$2:$C$1960,0)),"",INDEX('Compliance Database'!$G$2:$G$1960,MATCH(201,'Transfer Engine'!$C$2:$C$1960,0)))</f>
        <v/>
      </c>
      <c r="H210" s="9">
        <f>IF(ISNA(MATCH(201,'Transfer Engine'!$C$2:$C$1960,0)),"",INDEX('Compliance Database'!$H$2:$H$1960,MATCH(201,'Transfer Engine'!$C$2:$C$1960,0)))</f>
        <v/>
      </c>
      <c r="I210" s="9">
        <f>IF(ISNA(MATCH(201,'Transfer Engine'!$C$2:$C$1960,0)),"",INDEX('Compliance Database'!$I$2:$I$1960,MATCH(201,'Transfer Engine'!$C$2:$C$1960,0)))</f>
        <v/>
      </c>
      <c r="J210" s="8">
        <f>IF(ISNA(MATCH(201,'Transfer Engine'!$C$2:$C$1960,0)),"",INDEX('Compliance Database'!$J$2:$J$1960,MATCH(201,'Transfer Engine'!$C$2:$C$1960,0)))</f>
        <v/>
      </c>
      <c r="K210" s="9">
        <f>IF(ISNA(MATCH(201,'Transfer Engine'!$C$2:$C$1960,0)),"",INDEX('Compliance Database'!$K$2:$K$1960,MATCH(201,'Transfer Engine'!$C$2:$C$1960,0)))</f>
        <v/>
      </c>
      <c r="L210" s="9">
        <f>IF(ISNA(MATCH(201,'Transfer Engine'!$C$2:$C$1960,0)),"",INDEX('Compliance Database'!$L$2:$L$1960,MATCH(201,'Transfer Engine'!$C$2:$C$1960,0)))</f>
        <v/>
      </c>
      <c r="M210" s="9">
        <f>IF(ISNA(MATCH(201,'Transfer Engine'!$C$2:$C$1960,0)),"",INDEX('Compliance Database'!$M$2:$M$1960,MATCH(201,'Transfer Engine'!$C$2:$C$1960,0)))</f>
        <v/>
      </c>
      <c r="N210" s="9">
        <f>IF(ISNA(MATCH(201,'Transfer Engine'!$C$2:$C$1960,0)),"",INDEX('Compliance Database'!$N$2:$N$1960,MATCH(201,'Transfer Engine'!$C$2:$C$1960,0)))</f>
        <v/>
      </c>
      <c r="O210" s="9">
        <f>IF(ISNA(MATCH(201,'Transfer Engine'!$C$2:$C$1960,0)),"",INDEX('Compliance Database'!$O$2:$O$1960,MATCH(201,'Transfer Engine'!$C$2:$C$1960,0)))</f>
        <v/>
      </c>
      <c r="P210" s="8">
        <f>IF(ISNA(MATCH(201,'Transfer Engine'!$C$2:$C$1960,0)),"",HYPERLINK("#Acts!A"&amp;INDEX('Compliance Database'!$P$2:$P$1960,MATCH(201,'Transfer Engine'!$C$2:$C$1960,0)),"Go to Act"))</f>
        <v/>
      </c>
    </row>
    <row r="211" ht="158" customHeight="1">
      <c r="A211" s="8">
        <f>IF(ISNA(MATCH(202,'Transfer Engine'!$C$2:$C$1960,0)),"",INDEX('Compliance Database'!$A$2:$A$1960,MATCH(202,'Transfer Engine'!$C$2:$C$1960,0)))</f>
        <v/>
      </c>
      <c r="B211" s="8">
        <f>IF(ISNA(MATCH(202,'Transfer Engine'!$C$2:$C$1960,0)),"",INDEX('Compliance Database'!$B$2:$B$1960,MATCH(202,'Transfer Engine'!$C$2:$C$1960,0)))</f>
        <v/>
      </c>
      <c r="C211" s="8">
        <f>IF(ISNA(MATCH(202,'Transfer Engine'!$C$2:$C$1960,0)),"",INDEX('Compliance Database'!$C$2:$C$1960,MATCH(202,'Transfer Engine'!$C$2:$C$1960,0)))</f>
        <v/>
      </c>
      <c r="D211" s="9">
        <f>IF(ISNA(MATCH(202,'Transfer Engine'!$C$2:$C$1960,0)),"",INDEX('Compliance Database'!$D$2:$D$1960,MATCH(202,'Transfer Engine'!$C$2:$C$1960,0)))</f>
        <v/>
      </c>
      <c r="E211" s="8">
        <f>IF(ISNA(MATCH(202,'Transfer Engine'!$C$2:$C$1960,0)),"",INDEX('Compliance Database'!$E$2:$E$1960,MATCH(202,'Transfer Engine'!$C$2:$C$1960,0)))</f>
        <v/>
      </c>
      <c r="F211" s="8">
        <f>IF(ISNA(MATCH(202,'Transfer Engine'!$C$2:$C$1960,0)),"",INDEX('Compliance Database'!$F$2:$F$1960,MATCH(202,'Transfer Engine'!$C$2:$C$1960,0)))</f>
        <v/>
      </c>
      <c r="G211" s="8">
        <f>IF(ISNA(MATCH(202,'Transfer Engine'!$C$2:$C$1960,0)),"",INDEX('Compliance Database'!$G$2:$G$1960,MATCH(202,'Transfer Engine'!$C$2:$C$1960,0)))</f>
        <v/>
      </c>
      <c r="H211" s="9">
        <f>IF(ISNA(MATCH(202,'Transfer Engine'!$C$2:$C$1960,0)),"",INDEX('Compliance Database'!$H$2:$H$1960,MATCH(202,'Transfer Engine'!$C$2:$C$1960,0)))</f>
        <v/>
      </c>
      <c r="I211" s="9">
        <f>IF(ISNA(MATCH(202,'Transfer Engine'!$C$2:$C$1960,0)),"",INDEX('Compliance Database'!$I$2:$I$1960,MATCH(202,'Transfer Engine'!$C$2:$C$1960,0)))</f>
        <v/>
      </c>
      <c r="J211" s="8">
        <f>IF(ISNA(MATCH(202,'Transfer Engine'!$C$2:$C$1960,0)),"",INDEX('Compliance Database'!$J$2:$J$1960,MATCH(202,'Transfer Engine'!$C$2:$C$1960,0)))</f>
        <v/>
      </c>
      <c r="K211" s="9">
        <f>IF(ISNA(MATCH(202,'Transfer Engine'!$C$2:$C$1960,0)),"",INDEX('Compliance Database'!$K$2:$K$1960,MATCH(202,'Transfer Engine'!$C$2:$C$1960,0)))</f>
        <v/>
      </c>
      <c r="L211" s="9">
        <f>IF(ISNA(MATCH(202,'Transfer Engine'!$C$2:$C$1960,0)),"",INDEX('Compliance Database'!$L$2:$L$1960,MATCH(202,'Transfer Engine'!$C$2:$C$1960,0)))</f>
        <v/>
      </c>
      <c r="M211" s="9">
        <f>IF(ISNA(MATCH(202,'Transfer Engine'!$C$2:$C$1960,0)),"",INDEX('Compliance Database'!$M$2:$M$1960,MATCH(202,'Transfer Engine'!$C$2:$C$1960,0)))</f>
        <v/>
      </c>
      <c r="N211" s="9">
        <f>IF(ISNA(MATCH(202,'Transfer Engine'!$C$2:$C$1960,0)),"",INDEX('Compliance Database'!$N$2:$N$1960,MATCH(202,'Transfer Engine'!$C$2:$C$1960,0)))</f>
        <v/>
      </c>
      <c r="O211" s="9">
        <f>IF(ISNA(MATCH(202,'Transfer Engine'!$C$2:$C$1960,0)),"",INDEX('Compliance Database'!$O$2:$O$1960,MATCH(202,'Transfer Engine'!$C$2:$C$1960,0)))</f>
        <v/>
      </c>
      <c r="P211" s="8">
        <f>IF(ISNA(MATCH(202,'Transfer Engine'!$C$2:$C$1960,0)),"",HYPERLINK("#Acts!A"&amp;INDEX('Compliance Database'!$P$2:$P$1960,MATCH(202,'Transfer Engine'!$C$2:$C$1960,0)),"Go to Act"))</f>
        <v/>
      </c>
    </row>
    <row r="212" ht="158" customHeight="1">
      <c r="A212" s="8">
        <f>IF(ISNA(MATCH(203,'Transfer Engine'!$C$2:$C$1960,0)),"",INDEX('Compliance Database'!$A$2:$A$1960,MATCH(203,'Transfer Engine'!$C$2:$C$1960,0)))</f>
        <v/>
      </c>
      <c r="B212" s="8">
        <f>IF(ISNA(MATCH(203,'Transfer Engine'!$C$2:$C$1960,0)),"",INDEX('Compliance Database'!$B$2:$B$1960,MATCH(203,'Transfer Engine'!$C$2:$C$1960,0)))</f>
        <v/>
      </c>
      <c r="C212" s="8">
        <f>IF(ISNA(MATCH(203,'Transfer Engine'!$C$2:$C$1960,0)),"",INDEX('Compliance Database'!$C$2:$C$1960,MATCH(203,'Transfer Engine'!$C$2:$C$1960,0)))</f>
        <v/>
      </c>
      <c r="D212" s="9">
        <f>IF(ISNA(MATCH(203,'Transfer Engine'!$C$2:$C$1960,0)),"",INDEX('Compliance Database'!$D$2:$D$1960,MATCH(203,'Transfer Engine'!$C$2:$C$1960,0)))</f>
        <v/>
      </c>
      <c r="E212" s="8">
        <f>IF(ISNA(MATCH(203,'Transfer Engine'!$C$2:$C$1960,0)),"",INDEX('Compliance Database'!$E$2:$E$1960,MATCH(203,'Transfer Engine'!$C$2:$C$1960,0)))</f>
        <v/>
      </c>
      <c r="F212" s="8">
        <f>IF(ISNA(MATCH(203,'Transfer Engine'!$C$2:$C$1960,0)),"",INDEX('Compliance Database'!$F$2:$F$1960,MATCH(203,'Transfer Engine'!$C$2:$C$1960,0)))</f>
        <v/>
      </c>
      <c r="G212" s="8">
        <f>IF(ISNA(MATCH(203,'Transfer Engine'!$C$2:$C$1960,0)),"",INDEX('Compliance Database'!$G$2:$G$1960,MATCH(203,'Transfer Engine'!$C$2:$C$1960,0)))</f>
        <v/>
      </c>
      <c r="H212" s="9">
        <f>IF(ISNA(MATCH(203,'Transfer Engine'!$C$2:$C$1960,0)),"",INDEX('Compliance Database'!$H$2:$H$1960,MATCH(203,'Transfer Engine'!$C$2:$C$1960,0)))</f>
        <v/>
      </c>
      <c r="I212" s="9">
        <f>IF(ISNA(MATCH(203,'Transfer Engine'!$C$2:$C$1960,0)),"",INDEX('Compliance Database'!$I$2:$I$1960,MATCH(203,'Transfer Engine'!$C$2:$C$1960,0)))</f>
        <v/>
      </c>
      <c r="J212" s="8">
        <f>IF(ISNA(MATCH(203,'Transfer Engine'!$C$2:$C$1960,0)),"",INDEX('Compliance Database'!$J$2:$J$1960,MATCH(203,'Transfer Engine'!$C$2:$C$1960,0)))</f>
        <v/>
      </c>
      <c r="K212" s="9">
        <f>IF(ISNA(MATCH(203,'Transfer Engine'!$C$2:$C$1960,0)),"",INDEX('Compliance Database'!$K$2:$K$1960,MATCH(203,'Transfer Engine'!$C$2:$C$1960,0)))</f>
        <v/>
      </c>
      <c r="L212" s="9">
        <f>IF(ISNA(MATCH(203,'Transfer Engine'!$C$2:$C$1960,0)),"",INDEX('Compliance Database'!$L$2:$L$1960,MATCH(203,'Transfer Engine'!$C$2:$C$1960,0)))</f>
        <v/>
      </c>
      <c r="M212" s="9">
        <f>IF(ISNA(MATCH(203,'Transfer Engine'!$C$2:$C$1960,0)),"",INDEX('Compliance Database'!$M$2:$M$1960,MATCH(203,'Transfer Engine'!$C$2:$C$1960,0)))</f>
        <v/>
      </c>
      <c r="N212" s="9">
        <f>IF(ISNA(MATCH(203,'Transfer Engine'!$C$2:$C$1960,0)),"",INDEX('Compliance Database'!$N$2:$N$1960,MATCH(203,'Transfer Engine'!$C$2:$C$1960,0)))</f>
        <v/>
      </c>
      <c r="O212" s="9">
        <f>IF(ISNA(MATCH(203,'Transfer Engine'!$C$2:$C$1960,0)),"",INDEX('Compliance Database'!$O$2:$O$1960,MATCH(203,'Transfer Engine'!$C$2:$C$1960,0)))</f>
        <v/>
      </c>
      <c r="P212" s="8">
        <f>IF(ISNA(MATCH(203,'Transfer Engine'!$C$2:$C$1960,0)),"",HYPERLINK("#Acts!A"&amp;INDEX('Compliance Database'!$P$2:$P$1960,MATCH(203,'Transfer Engine'!$C$2:$C$1960,0)),"Go to Act"))</f>
        <v/>
      </c>
    </row>
    <row r="213" ht="158" customHeight="1">
      <c r="A213" s="8">
        <f>IF(ISNA(MATCH(204,'Transfer Engine'!$C$2:$C$1960,0)),"",INDEX('Compliance Database'!$A$2:$A$1960,MATCH(204,'Transfer Engine'!$C$2:$C$1960,0)))</f>
        <v/>
      </c>
      <c r="B213" s="8">
        <f>IF(ISNA(MATCH(204,'Transfer Engine'!$C$2:$C$1960,0)),"",INDEX('Compliance Database'!$B$2:$B$1960,MATCH(204,'Transfer Engine'!$C$2:$C$1960,0)))</f>
        <v/>
      </c>
      <c r="C213" s="8">
        <f>IF(ISNA(MATCH(204,'Transfer Engine'!$C$2:$C$1960,0)),"",INDEX('Compliance Database'!$C$2:$C$1960,MATCH(204,'Transfer Engine'!$C$2:$C$1960,0)))</f>
        <v/>
      </c>
      <c r="D213" s="9">
        <f>IF(ISNA(MATCH(204,'Transfer Engine'!$C$2:$C$1960,0)),"",INDEX('Compliance Database'!$D$2:$D$1960,MATCH(204,'Transfer Engine'!$C$2:$C$1960,0)))</f>
        <v/>
      </c>
      <c r="E213" s="8">
        <f>IF(ISNA(MATCH(204,'Transfer Engine'!$C$2:$C$1960,0)),"",INDEX('Compliance Database'!$E$2:$E$1960,MATCH(204,'Transfer Engine'!$C$2:$C$1960,0)))</f>
        <v/>
      </c>
      <c r="F213" s="8">
        <f>IF(ISNA(MATCH(204,'Transfer Engine'!$C$2:$C$1960,0)),"",INDEX('Compliance Database'!$F$2:$F$1960,MATCH(204,'Transfer Engine'!$C$2:$C$1960,0)))</f>
        <v/>
      </c>
      <c r="G213" s="8">
        <f>IF(ISNA(MATCH(204,'Transfer Engine'!$C$2:$C$1960,0)),"",INDEX('Compliance Database'!$G$2:$G$1960,MATCH(204,'Transfer Engine'!$C$2:$C$1960,0)))</f>
        <v/>
      </c>
      <c r="H213" s="9">
        <f>IF(ISNA(MATCH(204,'Transfer Engine'!$C$2:$C$1960,0)),"",INDEX('Compliance Database'!$H$2:$H$1960,MATCH(204,'Transfer Engine'!$C$2:$C$1960,0)))</f>
        <v/>
      </c>
      <c r="I213" s="9">
        <f>IF(ISNA(MATCH(204,'Transfer Engine'!$C$2:$C$1960,0)),"",INDEX('Compliance Database'!$I$2:$I$1960,MATCH(204,'Transfer Engine'!$C$2:$C$1960,0)))</f>
        <v/>
      </c>
      <c r="J213" s="8">
        <f>IF(ISNA(MATCH(204,'Transfer Engine'!$C$2:$C$1960,0)),"",INDEX('Compliance Database'!$J$2:$J$1960,MATCH(204,'Transfer Engine'!$C$2:$C$1960,0)))</f>
        <v/>
      </c>
      <c r="K213" s="9">
        <f>IF(ISNA(MATCH(204,'Transfer Engine'!$C$2:$C$1960,0)),"",INDEX('Compliance Database'!$K$2:$K$1960,MATCH(204,'Transfer Engine'!$C$2:$C$1960,0)))</f>
        <v/>
      </c>
      <c r="L213" s="9">
        <f>IF(ISNA(MATCH(204,'Transfer Engine'!$C$2:$C$1960,0)),"",INDEX('Compliance Database'!$L$2:$L$1960,MATCH(204,'Transfer Engine'!$C$2:$C$1960,0)))</f>
        <v/>
      </c>
      <c r="M213" s="9">
        <f>IF(ISNA(MATCH(204,'Transfer Engine'!$C$2:$C$1960,0)),"",INDEX('Compliance Database'!$M$2:$M$1960,MATCH(204,'Transfer Engine'!$C$2:$C$1960,0)))</f>
        <v/>
      </c>
      <c r="N213" s="9">
        <f>IF(ISNA(MATCH(204,'Transfer Engine'!$C$2:$C$1960,0)),"",INDEX('Compliance Database'!$N$2:$N$1960,MATCH(204,'Transfer Engine'!$C$2:$C$1960,0)))</f>
        <v/>
      </c>
      <c r="O213" s="9">
        <f>IF(ISNA(MATCH(204,'Transfer Engine'!$C$2:$C$1960,0)),"",INDEX('Compliance Database'!$O$2:$O$1960,MATCH(204,'Transfer Engine'!$C$2:$C$1960,0)))</f>
        <v/>
      </c>
      <c r="P213" s="8">
        <f>IF(ISNA(MATCH(204,'Transfer Engine'!$C$2:$C$1960,0)),"",HYPERLINK("#Acts!A"&amp;INDEX('Compliance Database'!$P$2:$P$1960,MATCH(204,'Transfer Engine'!$C$2:$C$1960,0)),"Go to Act"))</f>
        <v/>
      </c>
    </row>
    <row r="214" ht="158" customHeight="1">
      <c r="A214" s="8">
        <f>IF(ISNA(MATCH(205,'Transfer Engine'!$C$2:$C$1960,0)),"",INDEX('Compliance Database'!$A$2:$A$1960,MATCH(205,'Transfer Engine'!$C$2:$C$1960,0)))</f>
        <v/>
      </c>
      <c r="B214" s="8">
        <f>IF(ISNA(MATCH(205,'Transfer Engine'!$C$2:$C$1960,0)),"",INDEX('Compliance Database'!$B$2:$B$1960,MATCH(205,'Transfer Engine'!$C$2:$C$1960,0)))</f>
        <v/>
      </c>
      <c r="C214" s="8">
        <f>IF(ISNA(MATCH(205,'Transfer Engine'!$C$2:$C$1960,0)),"",INDEX('Compliance Database'!$C$2:$C$1960,MATCH(205,'Transfer Engine'!$C$2:$C$1960,0)))</f>
        <v/>
      </c>
      <c r="D214" s="9">
        <f>IF(ISNA(MATCH(205,'Transfer Engine'!$C$2:$C$1960,0)),"",INDEX('Compliance Database'!$D$2:$D$1960,MATCH(205,'Transfer Engine'!$C$2:$C$1960,0)))</f>
        <v/>
      </c>
      <c r="E214" s="8">
        <f>IF(ISNA(MATCH(205,'Transfer Engine'!$C$2:$C$1960,0)),"",INDEX('Compliance Database'!$E$2:$E$1960,MATCH(205,'Transfer Engine'!$C$2:$C$1960,0)))</f>
        <v/>
      </c>
      <c r="F214" s="8">
        <f>IF(ISNA(MATCH(205,'Transfer Engine'!$C$2:$C$1960,0)),"",INDEX('Compliance Database'!$F$2:$F$1960,MATCH(205,'Transfer Engine'!$C$2:$C$1960,0)))</f>
        <v/>
      </c>
      <c r="G214" s="8">
        <f>IF(ISNA(MATCH(205,'Transfer Engine'!$C$2:$C$1960,0)),"",INDEX('Compliance Database'!$G$2:$G$1960,MATCH(205,'Transfer Engine'!$C$2:$C$1960,0)))</f>
        <v/>
      </c>
      <c r="H214" s="9">
        <f>IF(ISNA(MATCH(205,'Transfer Engine'!$C$2:$C$1960,0)),"",INDEX('Compliance Database'!$H$2:$H$1960,MATCH(205,'Transfer Engine'!$C$2:$C$1960,0)))</f>
        <v/>
      </c>
      <c r="I214" s="9">
        <f>IF(ISNA(MATCH(205,'Transfer Engine'!$C$2:$C$1960,0)),"",INDEX('Compliance Database'!$I$2:$I$1960,MATCH(205,'Transfer Engine'!$C$2:$C$1960,0)))</f>
        <v/>
      </c>
      <c r="J214" s="8">
        <f>IF(ISNA(MATCH(205,'Transfer Engine'!$C$2:$C$1960,0)),"",INDEX('Compliance Database'!$J$2:$J$1960,MATCH(205,'Transfer Engine'!$C$2:$C$1960,0)))</f>
        <v/>
      </c>
      <c r="K214" s="9">
        <f>IF(ISNA(MATCH(205,'Transfer Engine'!$C$2:$C$1960,0)),"",INDEX('Compliance Database'!$K$2:$K$1960,MATCH(205,'Transfer Engine'!$C$2:$C$1960,0)))</f>
        <v/>
      </c>
      <c r="L214" s="9">
        <f>IF(ISNA(MATCH(205,'Transfer Engine'!$C$2:$C$1960,0)),"",INDEX('Compliance Database'!$L$2:$L$1960,MATCH(205,'Transfer Engine'!$C$2:$C$1960,0)))</f>
        <v/>
      </c>
      <c r="M214" s="9">
        <f>IF(ISNA(MATCH(205,'Transfer Engine'!$C$2:$C$1960,0)),"",INDEX('Compliance Database'!$M$2:$M$1960,MATCH(205,'Transfer Engine'!$C$2:$C$1960,0)))</f>
        <v/>
      </c>
      <c r="N214" s="9">
        <f>IF(ISNA(MATCH(205,'Transfer Engine'!$C$2:$C$1960,0)),"",INDEX('Compliance Database'!$N$2:$N$1960,MATCH(205,'Transfer Engine'!$C$2:$C$1960,0)))</f>
        <v/>
      </c>
      <c r="O214" s="9">
        <f>IF(ISNA(MATCH(205,'Transfer Engine'!$C$2:$C$1960,0)),"",INDEX('Compliance Database'!$O$2:$O$1960,MATCH(205,'Transfer Engine'!$C$2:$C$1960,0)))</f>
        <v/>
      </c>
      <c r="P214" s="8">
        <f>IF(ISNA(MATCH(205,'Transfer Engine'!$C$2:$C$1960,0)),"",HYPERLINK("#Acts!A"&amp;INDEX('Compliance Database'!$P$2:$P$1960,MATCH(205,'Transfer Engine'!$C$2:$C$1960,0)),"Go to Act"))</f>
        <v/>
      </c>
    </row>
    <row r="215" ht="158" customHeight="1">
      <c r="A215" s="8">
        <f>IF(ISNA(MATCH(206,'Transfer Engine'!$C$2:$C$1960,0)),"",INDEX('Compliance Database'!$A$2:$A$1960,MATCH(206,'Transfer Engine'!$C$2:$C$1960,0)))</f>
        <v/>
      </c>
      <c r="B215" s="8">
        <f>IF(ISNA(MATCH(206,'Transfer Engine'!$C$2:$C$1960,0)),"",INDEX('Compliance Database'!$B$2:$B$1960,MATCH(206,'Transfer Engine'!$C$2:$C$1960,0)))</f>
        <v/>
      </c>
      <c r="C215" s="8">
        <f>IF(ISNA(MATCH(206,'Transfer Engine'!$C$2:$C$1960,0)),"",INDEX('Compliance Database'!$C$2:$C$1960,MATCH(206,'Transfer Engine'!$C$2:$C$1960,0)))</f>
        <v/>
      </c>
      <c r="D215" s="9">
        <f>IF(ISNA(MATCH(206,'Transfer Engine'!$C$2:$C$1960,0)),"",INDEX('Compliance Database'!$D$2:$D$1960,MATCH(206,'Transfer Engine'!$C$2:$C$1960,0)))</f>
        <v/>
      </c>
      <c r="E215" s="8">
        <f>IF(ISNA(MATCH(206,'Transfer Engine'!$C$2:$C$1960,0)),"",INDEX('Compliance Database'!$E$2:$E$1960,MATCH(206,'Transfer Engine'!$C$2:$C$1960,0)))</f>
        <v/>
      </c>
      <c r="F215" s="8">
        <f>IF(ISNA(MATCH(206,'Transfer Engine'!$C$2:$C$1960,0)),"",INDEX('Compliance Database'!$F$2:$F$1960,MATCH(206,'Transfer Engine'!$C$2:$C$1960,0)))</f>
        <v/>
      </c>
      <c r="G215" s="8">
        <f>IF(ISNA(MATCH(206,'Transfer Engine'!$C$2:$C$1960,0)),"",INDEX('Compliance Database'!$G$2:$G$1960,MATCH(206,'Transfer Engine'!$C$2:$C$1960,0)))</f>
        <v/>
      </c>
      <c r="H215" s="9">
        <f>IF(ISNA(MATCH(206,'Transfer Engine'!$C$2:$C$1960,0)),"",INDEX('Compliance Database'!$H$2:$H$1960,MATCH(206,'Transfer Engine'!$C$2:$C$1960,0)))</f>
        <v/>
      </c>
      <c r="I215" s="9">
        <f>IF(ISNA(MATCH(206,'Transfer Engine'!$C$2:$C$1960,0)),"",INDEX('Compliance Database'!$I$2:$I$1960,MATCH(206,'Transfer Engine'!$C$2:$C$1960,0)))</f>
        <v/>
      </c>
      <c r="J215" s="8">
        <f>IF(ISNA(MATCH(206,'Transfer Engine'!$C$2:$C$1960,0)),"",INDEX('Compliance Database'!$J$2:$J$1960,MATCH(206,'Transfer Engine'!$C$2:$C$1960,0)))</f>
        <v/>
      </c>
      <c r="K215" s="9">
        <f>IF(ISNA(MATCH(206,'Transfer Engine'!$C$2:$C$1960,0)),"",INDEX('Compliance Database'!$K$2:$K$1960,MATCH(206,'Transfer Engine'!$C$2:$C$1960,0)))</f>
        <v/>
      </c>
      <c r="L215" s="9">
        <f>IF(ISNA(MATCH(206,'Transfer Engine'!$C$2:$C$1960,0)),"",INDEX('Compliance Database'!$L$2:$L$1960,MATCH(206,'Transfer Engine'!$C$2:$C$1960,0)))</f>
        <v/>
      </c>
      <c r="M215" s="9">
        <f>IF(ISNA(MATCH(206,'Transfer Engine'!$C$2:$C$1960,0)),"",INDEX('Compliance Database'!$M$2:$M$1960,MATCH(206,'Transfer Engine'!$C$2:$C$1960,0)))</f>
        <v/>
      </c>
      <c r="N215" s="9">
        <f>IF(ISNA(MATCH(206,'Transfer Engine'!$C$2:$C$1960,0)),"",INDEX('Compliance Database'!$N$2:$N$1960,MATCH(206,'Transfer Engine'!$C$2:$C$1960,0)))</f>
        <v/>
      </c>
      <c r="O215" s="9">
        <f>IF(ISNA(MATCH(206,'Transfer Engine'!$C$2:$C$1960,0)),"",INDEX('Compliance Database'!$O$2:$O$1960,MATCH(206,'Transfer Engine'!$C$2:$C$1960,0)))</f>
        <v/>
      </c>
      <c r="P215" s="8">
        <f>IF(ISNA(MATCH(206,'Transfer Engine'!$C$2:$C$1960,0)),"",HYPERLINK("#Acts!A"&amp;INDEX('Compliance Database'!$P$2:$P$1960,MATCH(206,'Transfer Engine'!$C$2:$C$1960,0)),"Go to Act"))</f>
        <v/>
      </c>
    </row>
    <row r="216" ht="158" customHeight="1">
      <c r="A216" s="8">
        <f>IF(ISNA(MATCH(207,'Transfer Engine'!$C$2:$C$1960,0)),"",INDEX('Compliance Database'!$A$2:$A$1960,MATCH(207,'Transfer Engine'!$C$2:$C$1960,0)))</f>
        <v/>
      </c>
      <c r="B216" s="8">
        <f>IF(ISNA(MATCH(207,'Transfer Engine'!$C$2:$C$1960,0)),"",INDEX('Compliance Database'!$B$2:$B$1960,MATCH(207,'Transfer Engine'!$C$2:$C$1960,0)))</f>
        <v/>
      </c>
      <c r="C216" s="8">
        <f>IF(ISNA(MATCH(207,'Transfer Engine'!$C$2:$C$1960,0)),"",INDEX('Compliance Database'!$C$2:$C$1960,MATCH(207,'Transfer Engine'!$C$2:$C$1960,0)))</f>
        <v/>
      </c>
      <c r="D216" s="9">
        <f>IF(ISNA(MATCH(207,'Transfer Engine'!$C$2:$C$1960,0)),"",INDEX('Compliance Database'!$D$2:$D$1960,MATCH(207,'Transfer Engine'!$C$2:$C$1960,0)))</f>
        <v/>
      </c>
      <c r="E216" s="8">
        <f>IF(ISNA(MATCH(207,'Transfer Engine'!$C$2:$C$1960,0)),"",INDEX('Compliance Database'!$E$2:$E$1960,MATCH(207,'Transfer Engine'!$C$2:$C$1960,0)))</f>
        <v/>
      </c>
      <c r="F216" s="8">
        <f>IF(ISNA(MATCH(207,'Transfer Engine'!$C$2:$C$1960,0)),"",INDEX('Compliance Database'!$F$2:$F$1960,MATCH(207,'Transfer Engine'!$C$2:$C$1960,0)))</f>
        <v/>
      </c>
      <c r="G216" s="8">
        <f>IF(ISNA(MATCH(207,'Transfer Engine'!$C$2:$C$1960,0)),"",INDEX('Compliance Database'!$G$2:$G$1960,MATCH(207,'Transfer Engine'!$C$2:$C$1960,0)))</f>
        <v/>
      </c>
      <c r="H216" s="9">
        <f>IF(ISNA(MATCH(207,'Transfer Engine'!$C$2:$C$1960,0)),"",INDEX('Compliance Database'!$H$2:$H$1960,MATCH(207,'Transfer Engine'!$C$2:$C$1960,0)))</f>
        <v/>
      </c>
      <c r="I216" s="9">
        <f>IF(ISNA(MATCH(207,'Transfer Engine'!$C$2:$C$1960,0)),"",INDEX('Compliance Database'!$I$2:$I$1960,MATCH(207,'Transfer Engine'!$C$2:$C$1960,0)))</f>
        <v/>
      </c>
      <c r="J216" s="8">
        <f>IF(ISNA(MATCH(207,'Transfer Engine'!$C$2:$C$1960,0)),"",INDEX('Compliance Database'!$J$2:$J$1960,MATCH(207,'Transfer Engine'!$C$2:$C$1960,0)))</f>
        <v/>
      </c>
      <c r="K216" s="9">
        <f>IF(ISNA(MATCH(207,'Transfer Engine'!$C$2:$C$1960,0)),"",INDEX('Compliance Database'!$K$2:$K$1960,MATCH(207,'Transfer Engine'!$C$2:$C$1960,0)))</f>
        <v/>
      </c>
      <c r="L216" s="9">
        <f>IF(ISNA(MATCH(207,'Transfer Engine'!$C$2:$C$1960,0)),"",INDEX('Compliance Database'!$L$2:$L$1960,MATCH(207,'Transfer Engine'!$C$2:$C$1960,0)))</f>
        <v/>
      </c>
      <c r="M216" s="9">
        <f>IF(ISNA(MATCH(207,'Transfer Engine'!$C$2:$C$1960,0)),"",INDEX('Compliance Database'!$M$2:$M$1960,MATCH(207,'Transfer Engine'!$C$2:$C$1960,0)))</f>
        <v/>
      </c>
      <c r="N216" s="9">
        <f>IF(ISNA(MATCH(207,'Transfer Engine'!$C$2:$C$1960,0)),"",INDEX('Compliance Database'!$N$2:$N$1960,MATCH(207,'Transfer Engine'!$C$2:$C$1960,0)))</f>
        <v/>
      </c>
      <c r="O216" s="9">
        <f>IF(ISNA(MATCH(207,'Transfer Engine'!$C$2:$C$1960,0)),"",INDEX('Compliance Database'!$O$2:$O$1960,MATCH(207,'Transfer Engine'!$C$2:$C$1960,0)))</f>
        <v/>
      </c>
      <c r="P216" s="8">
        <f>IF(ISNA(MATCH(207,'Transfer Engine'!$C$2:$C$1960,0)),"",HYPERLINK("#Acts!A"&amp;INDEX('Compliance Database'!$P$2:$P$1960,MATCH(207,'Transfer Engine'!$C$2:$C$1960,0)),"Go to Act"))</f>
        <v/>
      </c>
    </row>
    <row r="217" ht="158" customHeight="1">
      <c r="A217" s="8">
        <f>IF(ISNA(MATCH(208,'Transfer Engine'!$C$2:$C$1960,0)),"",INDEX('Compliance Database'!$A$2:$A$1960,MATCH(208,'Transfer Engine'!$C$2:$C$1960,0)))</f>
        <v/>
      </c>
      <c r="B217" s="8">
        <f>IF(ISNA(MATCH(208,'Transfer Engine'!$C$2:$C$1960,0)),"",INDEX('Compliance Database'!$B$2:$B$1960,MATCH(208,'Transfer Engine'!$C$2:$C$1960,0)))</f>
        <v/>
      </c>
      <c r="C217" s="8">
        <f>IF(ISNA(MATCH(208,'Transfer Engine'!$C$2:$C$1960,0)),"",INDEX('Compliance Database'!$C$2:$C$1960,MATCH(208,'Transfer Engine'!$C$2:$C$1960,0)))</f>
        <v/>
      </c>
      <c r="D217" s="9">
        <f>IF(ISNA(MATCH(208,'Transfer Engine'!$C$2:$C$1960,0)),"",INDEX('Compliance Database'!$D$2:$D$1960,MATCH(208,'Transfer Engine'!$C$2:$C$1960,0)))</f>
        <v/>
      </c>
      <c r="E217" s="8">
        <f>IF(ISNA(MATCH(208,'Transfer Engine'!$C$2:$C$1960,0)),"",INDEX('Compliance Database'!$E$2:$E$1960,MATCH(208,'Transfer Engine'!$C$2:$C$1960,0)))</f>
        <v/>
      </c>
      <c r="F217" s="8">
        <f>IF(ISNA(MATCH(208,'Transfer Engine'!$C$2:$C$1960,0)),"",INDEX('Compliance Database'!$F$2:$F$1960,MATCH(208,'Transfer Engine'!$C$2:$C$1960,0)))</f>
        <v/>
      </c>
      <c r="G217" s="8">
        <f>IF(ISNA(MATCH(208,'Transfer Engine'!$C$2:$C$1960,0)),"",INDEX('Compliance Database'!$G$2:$G$1960,MATCH(208,'Transfer Engine'!$C$2:$C$1960,0)))</f>
        <v/>
      </c>
      <c r="H217" s="9">
        <f>IF(ISNA(MATCH(208,'Transfer Engine'!$C$2:$C$1960,0)),"",INDEX('Compliance Database'!$H$2:$H$1960,MATCH(208,'Transfer Engine'!$C$2:$C$1960,0)))</f>
        <v/>
      </c>
      <c r="I217" s="9">
        <f>IF(ISNA(MATCH(208,'Transfer Engine'!$C$2:$C$1960,0)),"",INDEX('Compliance Database'!$I$2:$I$1960,MATCH(208,'Transfer Engine'!$C$2:$C$1960,0)))</f>
        <v/>
      </c>
      <c r="J217" s="8">
        <f>IF(ISNA(MATCH(208,'Transfer Engine'!$C$2:$C$1960,0)),"",INDEX('Compliance Database'!$J$2:$J$1960,MATCH(208,'Transfer Engine'!$C$2:$C$1960,0)))</f>
        <v/>
      </c>
      <c r="K217" s="9">
        <f>IF(ISNA(MATCH(208,'Transfer Engine'!$C$2:$C$1960,0)),"",INDEX('Compliance Database'!$K$2:$K$1960,MATCH(208,'Transfer Engine'!$C$2:$C$1960,0)))</f>
        <v/>
      </c>
      <c r="L217" s="9">
        <f>IF(ISNA(MATCH(208,'Transfer Engine'!$C$2:$C$1960,0)),"",INDEX('Compliance Database'!$L$2:$L$1960,MATCH(208,'Transfer Engine'!$C$2:$C$1960,0)))</f>
        <v/>
      </c>
      <c r="M217" s="9">
        <f>IF(ISNA(MATCH(208,'Transfer Engine'!$C$2:$C$1960,0)),"",INDEX('Compliance Database'!$M$2:$M$1960,MATCH(208,'Transfer Engine'!$C$2:$C$1960,0)))</f>
        <v/>
      </c>
      <c r="N217" s="9">
        <f>IF(ISNA(MATCH(208,'Transfer Engine'!$C$2:$C$1960,0)),"",INDEX('Compliance Database'!$N$2:$N$1960,MATCH(208,'Transfer Engine'!$C$2:$C$1960,0)))</f>
        <v/>
      </c>
      <c r="O217" s="9">
        <f>IF(ISNA(MATCH(208,'Transfer Engine'!$C$2:$C$1960,0)),"",INDEX('Compliance Database'!$O$2:$O$1960,MATCH(208,'Transfer Engine'!$C$2:$C$1960,0)))</f>
        <v/>
      </c>
      <c r="P217" s="8">
        <f>IF(ISNA(MATCH(208,'Transfer Engine'!$C$2:$C$1960,0)),"",HYPERLINK("#Acts!A"&amp;INDEX('Compliance Database'!$P$2:$P$1960,MATCH(208,'Transfer Engine'!$C$2:$C$1960,0)),"Go to Act"))</f>
        <v/>
      </c>
    </row>
    <row r="218" ht="158" customHeight="1">
      <c r="A218" s="8">
        <f>IF(ISNA(MATCH(209,'Transfer Engine'!$C$2:$C$1960,0)),"",INDEX('Compliance Database'!$A$2:$A$1960,MATCH(209,'Transfer Engine'!$C$2:$C$1960,0)))</f>
        <v/>
      </c>
      <c r="B218" s="8">
        <f>IF(ISNA(MATCH(209,'Transfer Engine'!$C$2:$C$1960,0)),"",INDEX('Compliance Database'!$B$2:$B$1960,MATCH(209,'Transfer Engine'!$C$2:$C$1960,0)))</f>
        <v/>
      </c>
      <c r="C218" s="8">
        <f>IF(ISNA(MATCH(209,'Transfer Engine'!$C$2:$C$1960,0)),"",INDEX('Compliance Database'!$C$2:$C$1960,MATCH(209,'Transfer Engine'!$C$2:$C$1960,0)))</f>
        <v/>
      </c>
      <c r="D218" s="9">
        <f>IF(ISNA(MATCH(209,'Transfer Engine'!$C$2:$C$1960,0)),"",INDEX('Compliance Database'!$D$2:$D$1960,MATCH(209,'Transfer Engine'!$C$2:$C$1960,0)))</f>
        <v/>
      </c>
      <c r="E218" s="8">
        <f>IF(ISNA(MATCH(209,'Transfer Engine'!$C$2:$C$1960,0)),"",INDEX('Compliance Database'!$E$2:$E$1960,MATCH(209,'Transfer Engine'!$C$2:$C$1960,0)))</f>
        <v/>
      </c>
      <c r="F218" s="8">
        <f>IF(ISNA(MATCH(209,'Transfer Engine'!$C$2:$C$1960,0)),"",INDEX('Compliance Database'!$F$2:$F$1960,MATCH(209,'Transfer Engine'!$C$2:$C$1960,0)))</f>
        <v/>
      </c>
      <c r="G218" s="8">
        <f>IF(ISNA(MATCH(209,'Transfer Engine'!$C$2:$C$1960,0)),"",INDEX('Compliance Database'!$G$2:$G$1960,MATCH(209,'Transfer Engine'!$C$2:$C$1960,0)))</f>
        <v/>
      </c>
      <c r="H218" s="9">
        <f>IF(ISNA(MATCH(209,'Transfer Engine'!$C$2:$C$1960,0)),"",INDEX('Compliance Database'!$H$2:$H$1960,MATCH(209,'Transfer Engine'!$C$2:$C$1960,0)))</f>
        <v/>
      </c>
      <c r="I218" s="9">
        <f>IF(ISNA(MATCH(209,'Transfer Engine'!$C$2:$C$1960,0)),"",INDEX('Compliance Database'!$I$2:$I$1960,MATCH(209,'Transfer Engine'!$C$2:$C$1960,0)))</f>
        <v/>
      </c>
      <c r="J218" s="8">
        <f>IF(ISNA(MATCH(209,'Transfer Engine'!$C$2:$C$1960,0)),"",INDEX('Compliance Database'!$J$2:$J$1960,MATCH(209,'Transfer Engine'!$C$2:$C$1960,0)))</f>
        <v/>
      </c>
      <c r="K218" s="9">
        <f>IF(ISNA(MATCH(209,'Transfer Engine'!$C$2:$C$1960,0)),"",INDEX('Compliance Database'!$K$2:$K$1960,MATCH(209,'Transfer Engine'!$C$2:$C$1960,0)))</f>
        <v/>
      </c>
      <c r="L218" s="9">
        <f>IF(ISNA(MATCH(209,'Transfer Engine'!$C$2:$C$1960,0)),"",INDEX('Compliance Database'!$L$2:$L$1960,MATCH(209,'Transfer Engine'!$C$2:$C$1960,0)))</f>
        <v/>
      </c>
      <c r="M218" s="9">
        <f>IF(ISNA(MATCH(209,'Transfer Engine'!$C$2:$C$1960,0)),"",INDEX('Compliance Database'!$M$2:$M$1960,MATCH(209,'Transfer Engine'!$C$2:$C$1960,0)))</f>
        <v/>
      </c>
      <c r="N218" s="9">
        <f>IF(ISNA(MATCH(209,'Transfer Engine'!$C$2:$C$1960,0)),"",INDEX('Compliance Database'!$N$2:$N$1960,MATCH(209,'Transfer Engine'!$C$2:$C$1960,0)))</f>
        <v/>
      </c>
      <c r="O218" s="9">
        <f>IF(ISNA(MATCH(209,'Transfer Engine'!$C$2:$C$1960,0)),"",INDEX('Compliance Database'!$O$2:$O$1960,MATCH(209,'Transfer Engine'!$C$2:$C$1960,0)))</f>
        <v/>
      </c>
      <c r="P218" s="8">
        <f>IF(ISNA(MATCH(209,'Transfer Engine'!$C$2:$C$1960,0)),"",HYPERLINK("#Acts!A"&amp;INDEX('Compliance Database'!$P$2:$P$1960,MATCH(209,'Transfer Engine'!$C$2:$C$1960,0)),"Go to Act"))</f>
        <v/>
      </c>
    </row>
    <row r="219" ht="158" customHeight="1">
      <c r="A219" s="8">
        <f>IF(ISNA(MATCH(210,'Transfer Engine'!$C$2:$C$1960,0)),"",INDEX('Compliance Database'!$A$2:$A$1960,MATCH(210,'Transfer Engine'!$C$2:$C$1960,0)))</f>
        <v/>
      </c>
      <c r="B219" s="8">
        <f>IF(ISNA(MATCH(210,'Transfer Engine'!$C$2:$C$1960,0)),"",INDEX('Compliance Database'!$B$2:$B$1960,MATCH(210,'Transfer Engine'!$C$2:$C$1960,0)))</f>
        <v/>
      </c>
      <c r="C219" s="8">
        <f>IF(ISNA(MATCH(210,'Transfer Engine'!$C$2:$C$1960,0)),"",INDEX('Compliance Database'!$C$2:$C$1960,MATCH(210,'Transfer Engine'!$C$2:$C$1960,0)))</f>
        <v/>
      </c>
      <c r="D219" s="9">
        <f>IF(ISNA(MATCH(210,'Transfer Engine'!$C$2:$C$1960,0)),"",INDEX('Compliance Database'!$D$2:$D$1960,MATCH(210,'Transfer Engine'!$C$2:$C$1960,0)))</f>
        <v/>
      </c>
      <c r="E219" s="8">
        <f>IF(ISNA(MATCH(210,'Transfer Engine'!$C$2:$C$1960,0)),"",INDEX('Compliance Database'!$E$2:$E$1960,MATCH(210,'Transfer Engine'!$C$2:$C$1960,0)))</f>
        <v/>
      </c>
      <c r="F219" s="8">
        <f>IF(ISNA(MATCH(210,'Transfer Engine'!$C$2:$C$1960,0)),"",INDEX('Compliance Database'!$F$2:$F$1960,MATCH(210,'Transfer Engine'!$C$2:$C$1960,0)))</f>
        <v/>
      </c>
      <c r="G219" s="8">
        <f>IF(ISNA(MATCH(210,'Transfer Engine'!$C$2:$C$1960,0)),"",INDEX('Compliance Database'!$G$2:$G$1960,MATCH(210,'Transfer Engine'!$C$2:$C$1960,0)))</f>
        <v/>
      </c>
      <c r="H219" s="9">
        <f>IF(ISNA(MATCH(210,'Transfer Engine'!$C$2:$C$1960,0)),"",INDEX('Compliance Database'!$H$2:$H$1960,MATCH(210,'Transfer Engine'!$C$2:$C$1960,0)))</f>
        <v/>
      </c>
      <c r="I219" s="9">
        <f>IF(ISNA(MATCH(210,'Transfer Engine'!$C$2:$C$1960,0)),"",INDEX('Compliance Database'!$I$2:$I$1960,MATCH(210,'Transfer Engine'!$C$2:$C$1960,0)))</f>
        <v/>
      </c>
      <c r="J219" s="8">
        <f>IF(ISNA(MATCH(210,'Transfer Engine'!$C$2:$C$1960,0)),"",INDEX('Compliance Database'!$J$2:$J$1960,MATCH(210,'Transfer Engine'!$C$2:$C$1960,0)))</f>
        <v/>
      </c>
      <c r="K219" s="9">
        <f>IF(ISNA(MATCH(210,'Transfer Engine'!$C$2:$C$1960,0)),"",INDEX('Compliance Database'!$K$2:$K$1960,MATCH(210,'Transfer Engine'!$C$2:$C$1960,0)))</f>
        <v/>
      </c>
      <c r="L219" s="9">
        <f>IF(ISNA(MATCH(210,'Transfer Engine'!$C$2:$C$1960,0)),"",INDEX('Compliance Database'!$L$2:$L$1960,MATCH(210,'Transfer Engine'!$C$2:$C$1960,0)))</f>
        <v/>
      </c>
      <c r="M219" s="9">
        <f>IF(ISNA(MATCH(210,'Transfer Engine'!$C$2:$C$1960,0)),"",INDEX('Compliance Database'!$M$2:$M$1960,MATCH(210,'Transfer Engine'!$C$2:$C$1960,0)))</f>
        <v/>
      </c>
      <c r="N219" s="9">
        <f>IF(ISNA(MATCH(210,'Transfer Engine'!$C$2:$C$1960,0)),"",INDEX('Compliance Database'!$N$2:$N$1960,MATCH(210,'Transfer Engine'!$C$2:$C$1960,0)))</f>
        <v/>
      </c>
      <c r="O219" s="9">
        <f>IF(ISNA(MATCH(210,'Transfer Engine'!$C$2:$C$1960,0)),"",INDEX('Compliance Database'!$O$2:$O$1960,MATCH(210,'Transfer Engine'!$C$2:$C$1960,0)))</f>
        <v/>
      </c>
      <c r="P219" s="8">
        <f>IF(ISNA(MATCH(210,'Transfer Engine'!$C$2:$C$1960,0)),"",HYPERLINK("#Acts!A"&amp;INDEX('Compliance Database'!$P$2:$P$1960,MATCH(210,'Transfer Engine'!$C$2:$C$1960,0)),"Go to Act"))</f>
        <v/>
      </c>
    </row>
    <row r="220" ht="158" customHeight="1">
      <c r="A220" s="8">
        <f>IF(ISNA(MATCH(211,'Transfer Engine'!$C$2:$C$1960,0)),"",INDEX('Compliance Database'!$A$2:$A$1960,MATCH(211,'Transfer Engine'!$C$2:$C$1960,0)))</f>
        <v/>
      </c>
      <c r="B220" s="8">
        <f>IF(ISNA(MATCH(211,'Transfer Engine'!$C$2:$C$1960,0)),"",INDEX('Compliance Database'!$B$2:$B$1960,MATCH(211,'Transfer Engine'!$C$2:$C$1960,0)))</f>
        <v/>
      </c>
      <c r="C220" s="8">
        <f>IF(ISNA(MATCH(211,'Transfer Engine'!$C$2:$C$1960,0)),"",INDEX('Compliance Database'!$C$2:$C$1960,MATCH(211,'Transfer Engine'!$C$2:$C$1960,0)))</f>
        <v/>
      </c>
      <c r="D220" s="9">
        <f>IF(ISNA(MATCH(211,'Transfer Engine'!$C$2:$C$1960,0)),"",INDEX('Compliance Database'!$D$2:$D$1960,MATCH(211,'Transfer Engine'!$C$2:$C$1960,0)))</f>
        <v/>
      </c>
      <c r="E220" s="8">
        <f>IF(ISNA(MATCH(211,'Transfer Engine'!$C$2:$C$1960,0)),"",INDEX('Compliance Database'!$E$2:$E$1960,MATCH(211,'Transfer Engine'!$C$2:$C$1960,0)))</f>
        <v/>
      </c>
      <c r="F220" s="8">
        <f>IF(ISNA(MATCH(211,'Transfer Engine'!$C$2:$C$1960,0)),"",INDEX('Compliance Database'!$F$2:$F$1960,MATCH(211,'Transfer Engine'!$C$2:$C$1960,0)))</f>
        <v/>
      </c>
      <c r="G220" s="8">
        <f>IF(ISNA(MATCH(211,'Transfer Engine'!$C$2:$C$1960,0)),"",INDEX('Compliance Database'!$G$2:$G$1960,MATCH(211,'Transfer Engine'!$C$2:$C$1960,0)))</f>
        <v/>
      </c>
      <c r="H220" s="9">
        <f>IF(ISNA(MATCH(211,'Transfer Engine'!$C$2:$C$1960,0)),"",INDEX('Compliance Database'!$H$2:$H$1960,MATCH(211,'Transfer Engine'!$C$2:$C$1960,0)))</f>
        <v/>
      </c>
      <c r="I220" s="9">
        <f>IF(ISNA(MATCH(211,'Transfer Engine'!$C$2:$C$1960,0)),"",INDEX('Compliance Database'!$I$2:$I$1960,MATCH(211,'Transfer Engine'!$C$2:$C$1960,0)))</f>
        <v/>
      </c>
      <c r="J220" s="8">
        <f>IF(ISNA(MATCH(211,'Transfer Engine'!$C$2:$C$1960,0)),"",INDEX('Compliance Database'!$J$2:$J$1960,MATCH(211,'Transfer Engine'!$C$2:$C$1960,0)))</f>
        <v/>
      </c>
      <c r="K220" s="9">
        <f>IF(ISNA(MATCH(211,'Transfer Engine'!$C$2:$C$1960,0)),"",INDEX('Compliance Database'!$K$2:$K$1960,MATCH(211,'Transfer Engine'!$C$2:$C$1960,0)))</f>
        <v/>
      </c>
      <c r="L220" s="9">
        <f>IF(ISNA(MATCH(211,'Transfer Engine'!$C$2:$C$1960,0)),"",INDEX('Compliance Database'!$L$2:$L$1960,MATCH(211,'Transfer Engine'!$C$2:$C$1960,0)))</f>
        <v/>
      </c>
      <c r="M220" s="9">
        <f>IF(ISNA(MATCH(211,'Transfer Engine'!$C$2:$C$1960,0)),"",INDEX('Compliance Database'!$M$2:$M$1960,MATCH(211,'Transfer Engine'!$C$2:$C$1960,0)))</f>
        <v/>
      </c>
      <c r="N220" s="9">
        <f>IF(ISNA(MATCH(211,'Transfer Engine'!$C$2:$C$1960,0)),"",INDEX('Compliance Database'!$N$2:$N$1960,MATCH(211,'Transfer Engine'!$C$2:$C$1960,0)))</f>
        <v/>
      </c>
      <c r="O220" s="9">
        <f>IF(ISNA(MATCH(211,'Transfer Engine'!$C$2:$C$1960,0)),"",INDEX('Compliance Database'!$O$2:$O$1960,MATCH(211,'Transfer Engine'!$C$2:$C$1960,0)))</f>
        <v/>
      </c>
      <c r="P220" s="8">
        <f>IF(ISNA(MATCH(211,'Transfer Engine'!$C$2:$C$1960,0)),"",HYPERLINK("#Acts!A"&amp;INDEX('Compliance Database'!$P$2:$P$1960,MATCH(211,'Transfer Engine'!$C$2:$C$1960,0)),"Go to Act"))</f>
        <v/>
      </c>
    </row>
    <row r="221" ht="158" customHeight="1">
      <c r="A221" s="8">
        <f>IF(ISNA(MATCH(212,'Transfer Engine'!$C$2:$C$1960,0)),"",INDEX('Compliance Database'!$A$2:$A$1960,MATCH(212,'Transfer Engine'!$C$2:$C$1960,0)))</f>
        <v/>
      </c>
      <c r="B221" s="8">
        <f>IF(ISNA(MATCH(212,'Transfer Engine'!$C$2:$C$1960,0)),"",INDEX('Compliance Database'!$B$2:$B$1960,MATCH(212,'Transfer Engine'!$C$2:$C$1960,0)))</f>
        <v/>
      </c>
      <c r="C221" s="8">
        <f>IF(ISNA(MATCH(212,'Transfer Engine'!$C$2:$C$1960,0)),"",INDEX('Compliance Database'!$C$2:$C$1960,MATCH(212,'Transfer Engine'!$C$2:$C$1960,0)))</f>
        <v/>
      </c>
      <c r="D221" s="9">
        <f>IF(ISNA(MATCH(212,'Transfer Engine'!$C$2:$C$1960,0)),"",INDEX('Compliance Database'!$D$2:$D$1960,MATCH(212,'Transfer Engine'!$C$2:$C$1960,0)))</f>
        <v/>
      </c>
      <c r="E221" s="8">
        <f>IF(ISNA(MATCH(212,'Transfer Engine'!$C$2:$C$1960,0)),"",INDEX('Compliance Database'!$E$2:$E$1960,MATCH(212,'Transfer Engine'!$C$2:$C$1960,0)))</f>
        <v/>
      </c>
      <c r="F221" s="8">
        <f>IF(ISNA(MATCH(212,'Transfer Engine'!$C$2:$C$1960,0)),"",INDEX('Compliance Database'!$F$2:$F$1960,MATCH(212,'Transfer Engine'!$C$2:$C$1960,0)))</f>
        <v/>
      </c>
      <c r="G221" s="8">
        <f>IF(ISNA(MATCH(212,'Transfer Engine'!$C$2:$C$1960,0)),"",INDEX('Compliance Database'!$G$2:$G$1960,MATCH(212,'Transfer Engine'!$C$2:$C$1960,0)))</f>
        <v/>
      </c>
      <c r="H221" s="9">
        <f>IF(ISNA(MATCH(212,'Transfer Engine'!$C$2:$C$1960,0)),"",INDEX('Compliance Database'!$H$2:$H$1960,MATCH(212,'Transfer Engine'!$C$2:$C$1960,0)))</f>
        <v/>
      </c>
      <c r="I221" s="9">
        <f>IF(ISNA(MATCH(212,'Transfer Engine'!$C$2:$C$1960,0)),"",INDEX('Compliance Database'!$I$2:$I$1960,MATCH(212,'Transfer Engine'!$C$2:$C$1960,0)))</f>
        <v/>
      </c>
      <c r="J221" s="8">
        <f>IF(ISNA(MATCH(212,'Transfer Engine'!$C$2:$C$1960,0)),"",INDEX('Compliance Database'!$J$2:$J$1960,MATCH(212,'Transfer Engine'!$C$2:$C$1960,0)))</f>
        <v/>
      </c>
      <c r="K221" s="9">
        <f>IF(ISNA(MATCH(212,'Transfer Engine'!$C$2:$C$1960,0)),"",INDEX('Compliance Database'!$K$2:$K$1960,MATCH(212,'Transfer Engine'!$C$2:$C$1960,0)))</f>
        <v/>
      </c>
      <c r="L221" s="9">
        <f>IF(ISNA(MATCH(212,'Transfer Engine'!$C$2:$C$1960,0)),"",INDEX('Compliance Database'!$L$2:$L$1960,MATCH(212,'Transfer Engine'!$C$2:$C$1960,0)))</f>
        <v/>
      </c>
      <c r="M221" s="9">
        <f>IF(ISNA(MATCH(212,'Transfer Engine'!$C$2:$C$1960,0)),"",INDEX('Compliance Database'!$M$2:$M$1960,MATCH(212,'Transfer Engine'!$C$2:$C$1960,0)))</f>
        <v/>
      </c>
      <c r="N221" s="9">
        <f>IF(ISNA(MATCH(212,'Transfer Engine'!$C$2:$C$1960,0)),"",INDEX('Compliance Database'!$N$2:$N$1960,MATCH(212,'Transfer Engine'!$C$2:$C$1960,0)))</f>
        <v/>
      </c>
      <c r="O221" s="9">
        <f>IF(ISNA(MATCH(212,'Transfer Engine'!$C$2:$C$1960,0)),"",INDEX('Compliance Database'!$O$2:$O$1960,MATCH(212,'Transfer Engine'!$C$2:$C$1960,0)))</f>
        <v/>
      </c>
      <c r="P221" s="8">
        <f>IF(ISNA(MATCH(212,'Transfer Engine'!$C$2:$C$1960,0)),"",HYPERLINK("#Acts!A"&amp;INDEX('Compliance Database'!$P$2:$P$1960,MATCH(212,'Transfer Engine'!$C$2:$C$1960,0)),"Go to Act"))</f>
        <v/>
      </c>
    </row>
    <row r="222" ht="158" customHeight="1">
      <c r="A222" s="8">
        <f>IF(ISNA(MATCH(213,'Transfer Engine'!$C$2:$C$1960,0)),"",INDEX('Compliance Database'!$A$2:$A$1960,MATCH(213,'Transfer Engine'!$C$2:$C$1960,0)))</f>
        <v/>
      </c>
      <c r="B222" s="8">
        <f>IF(ISNA(MATCH(213,'Transfer Engine'!$C$2:$C$1960,0)),"",INDEX('Compliance Database'!$B$2:$B$1960,MATCH(213,'Transfer Engine'!$C$2:$C$1960,0)))</f>
        <v/>
      </c>
      <c r="C222" s="8">
        <f>IF(ISNA(MATCH(213,'Transfer Engine'!$C$2:$C$1960,0)),"",INDEX('Compliance Database'!$C$2:$C$1960,MATCH(213,'Transfer Engine'!$C$2:$C$1960,0)))</f>
        <v/>
      </c>
      <c r="D222" s="9">
        <f>IF(ISNA(MATCH(213,'Transfer Engine'!$C$2:$C$1960,0)),"",INDEX('Compliance Database'!$D$2:$D$1960,MATCH(213,'Transfer Engine'!$C$2:$C$1960,0)))</f>
        <v/>
      </c>
      <c r="E222" s="8">
        <f>IF(ISNA(MATCH(213,'Transfer Engine'!$C$2:$C$1960,0)),"",INDEX('Compliance Database'!$E$2:$E$1960,MATCH(213,'Transfer Engine'!$C$2:$C$1960,0)))</f>
        <v/>
      </c>
      <c r="F222" s="8">
        <f>IF(ISNA(MATCH(213,'Transfer Engine'!$C$2:$C$1960,0)),"",INDEX('Compliance Database'!$F$2:$F$1960,MATCH(213,'Transfer Engine'!$C$2:$C$1960,0)))</f>
        <v/>
      </c>
      <c r="G222" s="8">
        <f>IF(ISNA(MATCH(213,'Transfer Engine'!$C$2:$C$1960,0)),"",INDEX('Compliance Database'!$G$2:$G$1960,MATCH(213,'Transfer Engine'!$C$2:$C$1960,0)))</f>
        <v/>
      </c>
      <c r="H222" s="9">
        <f>IF(ISNA(MATCH(213,'Transfer Engine'!$C$2:$C$1960,0)),"",INDEX('Compliance Database'!$H$2:$H$1960,MATCH(213,'Transfer Engine'!$C$2:$C$1960,0)))</f>
        <v/>
      </c>
      <c r="I222" s="9">
        <f>IF(ISNA(MATCH(213,'Transfer Engine'!$C$2:$C$1960,0)),"",INDEX('Compliance Database'!$I$2:$I$1960,MATCH(213,'Transfer Engine'!$C$2:$C$1960,0)))</f>
        <v/>
      </c>
      <c r="J222" s="8">
        <f>IF(ISNA(MATCH(213,'Transfer Engine'!$C$2:$C$1960,0)),"",INDEX('Compliance Database'!$J$2:$J$1960,MATCH(213,'Transfer Engine'!$C$2:$C$1960,0)))</f>
        <v/>
      </c>
      <c r="K222" s="9">
        <f>IF(ISNA(MATCH(213,'Transfer Engine'!$C$2:$C$1960,0)),"",INDEX('Compliance Database'!$K$2:$K$1960,MATCH(213,'Transfer Engine'!$C$2:$C$1960,0)))</f>
        <v/>
      </c>
      <c r="L222" s="9">
        <f>IF(ISNA(MATCH(213,'Transfer Engine'!$C$2:$C$1960,0)),"",INDEX('Compliance Database'!$L$2:$L$1960,MATCH(213,'Transfer Engine'!$C$2:$C$1960,0)))</f>
        <v/>
      </c>
      <c r="M222" s="9">
        <f>IF(ISNA(MATCH(213,'Transfer Engine'!$C$2:$C$1960,0)),"",INDEX('Compliance Database'!$M$2:$M$1960,MATCH(213,'Transfer Engine'!$C$2:$C$1960,0)))</f>
        <v/>
      </c>
      <c r="N222" s="9">
        <f>IF(ISNA(MATCH(213,'Transfer Engine'!$C$2:$C$1960,0)),"",INDEX('Compliance Database'!$N$2:$N$1960,MATCH(213,'Transfer Engine'!$C$2:$C$1960,0)))</f>
        <v/>
      </c>
      <c r="O222" s="9">
        <f>IF(ISNA(MATCH(213,'Transfer Engine'!$C$2:$C$1960,0)),"",INDEX('Compliance Database'!$O$2:$O$1960,MATCH(213,'Transfer Engine'!$C$2:$C$1960,0)))</f>
        <v/>
      </c>
      <c r="P222" s="8">
        <f>IF(ISNA(MATCH(213,'Transfer Engine'!$C$2:$C$1960,0)),"",HYPERLINK("#Acts!A"&amp;INDEX('Compliance Database'!$P$2:$P$1960,MATCH(213,'Transfer Engine'!$C$2:$C$1960,0)),"Go to Act"))</f>
        <v/>
      </c>
    </row>
    <row r="223" ht="158" customHeight="1">
      <c r="A223" s="8">
        <f>IF(ISNA(MATCH(214,'Transfer Engine'!$C$2:$C$1960,0)),"",INDEX('Compliance Database'!$A$2:$A$1960,MATCH(214,'Transfer Engine'!$C$2:$C$1960,0)))</f>
        <v/>
      </c>
      <c r="B223" s="8">
        <f>IF(ISNA(MATCH(214,'Transfer Engine'!$C$2:$C$1960,0)),"",INDEX('Compliance Database'!$B$2:$B$1960,MATCH(214,'Transfer Engine'!$C$2:$C$1960,0)))</f>
        <v/>
      </c>
      <c r="C223" s="8">
        <f>IF(ISNA(MATCH(214,'Transfer Engine'!$C$2:$C$1960,0)),"",INDEX('Compliance Database'!$C$2:$C$1960,MATCH(214,'Transfer Engine'!$C$2:$C$1960,0)))</f>
        <v/>
      </c>
      <c r="D223" s="9">
        <f>IF(ISNA(MATCH(214,'Transfer Engine'!$C$2:$C$1960,0)),"",INDEX('Compliance Database'!$D$2:$D$1960,MATCH(214,'Transfer Engine'!$C$2:$C$1960,0)))</f>
        <v/>
      </c>
      <c r="E223" s="8">
        <f>IF(ISNA(MATCH(214,'Transfer Engine'!$C$2:$C$1960,0)),"",INDEX('Compliance Database'!$E$2:$E$1960,MATCH(214,'Transfer Engine'!$C$2:$C$1960,0)))</f>
        <v/>
      </c>
      <c r="F223" s="8">
        <f>IF(ISNA(MATCH(214,'Transfer Engine'!$C$2:$C$1960,0)),"",INDEX('Compliance Database'!$F$2:$F$1960,MATCH(214,'Transfer Engine'!$C$2:$C$1960,0)))</f>
        <v/>
      </c>
      <c r="G223" s="8">
        <f>IF(ISNA(MATCH(214,'Transfer Engine'!$C$2:$C$1960,0)),"",INDEX('Compliance Database'!$G$2:$G$1960,MATCH(214,'Transfer Engine'!$C$2:$C$1960,0)))</f>
        <v/>
      </c>
      <c r="H223" s="9">
        <f>IF(ISNA(MATCH(214,'Transfer Engine'!$C$2:$C$1960,0)),"",INDEX('Compliance Database'!$H$2:$H$1960,MATCH(214,'Transfer Engine'!$C$2:$C$1960,0)))</f>
        <v/>
      </c>
      <c r="I223" s="9">
        <f>IF(ISNA(MATCH(214,'Transfer Engine'!$C$2:$C$1960,0)),"",INDEX('Compliance Database'!$I$2:$I$1960,MATCH(214,'Transfer Engine'!$C$2:$C$1960,0)))</f>
        <v/>
      </c>
      <c r="J223" s="8">
        <f>IF(ISNA(MATCH(214,'Transfer Engine'!$C$2:$C$1960,0)),"",INDEX('Compliance Database'!$J$2:$J$1960,MATCH(214,'Transfer Engine'!$C$2:$C$1960,0)))</f>
        <v/>
      </c>
      <c r="K223" s="9">
        <f>IF(ISNA(MATCH(214,'Transfer Engine'!$C$2:$C$1960,0)),"",INDEX('Compliance Database'!$K$2:$K$1960,MATCH(214,'Transfer Engine'!$C$2:$C$1960,0)))</f>
        <v/>
      </c>
      <c r="L223" s="9">
        <f>IF(ISNA(MATCH(214,'Transfer Engine'!$C$2:$C$1960,0)),"",INDEX('Compliance Database'!$L$2:$L$1960,MATCH(214,'Transfer Engine'!$C$2:$C$1960,0)))</f>
        <v/>
      </c>
      <c r="M223" s="9">
        <f>IF(ISNA(MATCH(214,'Transfer Engine'!$C$2:$C$1960,0)),"",INDEX('Compliance Database'!$M$2:$M$1960,MATCH(214,'Transfer Engine'!$C$2:$C$1960,0)))</f>
        <v/>
      </c>
      <c r="N223" s="9">
        <f>IF(ISNA(MATCH(214,'Transfer Engine'!$C$2:$C$1960,0)),"",INDEX('Compliance Database'!$N$2:$N$1960,MATCH(214,'Transfer Engine'!$C$2:$C$1960,0)))</f>
        <v/>
      </c>
      <c r="O223" s="9">
        <f>IF(ISNA(MATCH(214,'Transfer Engine'!$C$2:$C$1960,0)),"",INDEX('Compliance Database'!$O$2:$O$1960,MATCH(214,'Transfer Engine'!$C$2:$C$1960,0)))</f>
        <v/>
      </c>
      <c r="P223" s="8">
        <f>IF(ISNA(MATCH(214,'Transfer Engine'!$C$2:$C$1960,0)),"",HYPERLINK("#Acts!A"&amp;INDEX('Compliance Database'!$P$2:$P$1960,MATCH(214,'Transfer Engine'!$C$2:$C$1960,0)),"Go to Act"))</f>
        <v/>
      </c>
    </row>
    <row r="224" ht="158" customHeight="1">
      <c r="A224" s="8">
        <f>IF(ISNA(MATCH(215,'Transfer Engine'!$C$2:$C$1960,0)),"",INDEX('Compliance Database'!$A$2:$A$1960,MATCH(215,'Transfer Engine'!$C$2:$C$1960,0)))</f>
        <v/>
      </c>
      <c r="B224" s="8">
        <f>IF(ISNA(MATCH(215,'Transfer Engine'!$C$2:$C$1960,0)),"",INDEX('Compliance Database'!$B$2:$B$1960,MATCH(215,'Transfer Engine'!$C$2:$C$1960,0)))</f>
        <v/>
      </c>
      <c r="C224" s="8">
        <f>IF(ISNA(MATCH(215,'Transfer Engine'!$C$2:$C$1960,0)),"",INDEX('Compliance Database'!$C$2:$C$1960,MATCH(215,'Transfer Engine'!$C$2:$C$1960,0)))</f>
        <v/>
      </c>
      <c r="D224" s="9">
        <f>IF(ISNA(MATCH(215,'Transfer Engine'!$C$2:$C$1960,0)),"",INDEX('Compliance Database'!$D$2:$D$1960,MATCH(215,'Transfer Engine'!$C$2:$C$1960,0)))</f>
        <v/>
      </c>
      <c r="E224" s="8">
        <f>IF(ISNA(MATCH(215,'Transfer Engine'!$C$2:$C$1960,0)),"",INDEX('Compliance Database'!$E$2:$E$1960,MATCH(215,'Transfer Engine'!$C$2:$C$1960,0)))</f>
        <v/>
      </c>
      <c r="F224" s="8">
        <f>IF(ISNA(MATCH(215,'Transfer Engine'!$C$2:$C$1960,0)),"",INDEX('Compliance Database'!$F$2:$F$1960,MATCH(215,'Transfer Engine'!$C$2:$C$1960,0)))</f>
        <v/>
      </c>
      <c r="G224" s="8">
        <f>IF(ISNA(MATCH(215,'Transfer Engine'!$C$2:$C$1960,0)),"",INDEX('Compliance Database'!$G$2:$G$1960,MATCH(215,'Transfer Engine'!$C$2:$C$1960,0)))</f>
        <v/>
      </c>
      <c r="H224" s="9">
        <f>IF(ISNA(MATCH(215,'Transfer Engine'!$C$2:$C$1960,0)),"",INDEX('Compliance Database'!$H$2:$H$1960,MATCH(215,'Transfer Engine'!$C$2:$C$1960,0)))</f>
        <v/>
      </c>
      <c r="I224" s="9">
        <f>IF(ISNA(MATCH(215,'Transfer Engine'!$C$2:$C$1960,0)),"",INDEX('Compliance Database'!$I$2:$I$1960,MATCH(215,'Transfer Engine'!$C$2:$C$1960,0)))</f>
        <v/>
      </c>
      <c r="J224" s="8">
        <f>IF(ISNA(MATCH(215,'Transfer Engine'!$C$2:$C$1960,0)),"",INDEX('Compliance Database'!$J$2:$J$1960,MATCH(215,'Transfer Engine'!$C$2:$C$1960,0)))</f>
        <v/>
      </c>
      <c r="K224" s="9">
        <f>IF(ISNA(MATCH(215,'Transfer Engine'!$C$2:$C$1960,0)),"",INDEX('Compliance Database'!$K$2:$K$1960,MATCH(215,'Transfer Engine'!$C$2:$C$1960,0)))</f>
        <v/>
      </c>
      <c r="L224" s="9">
        <f>IF(ISNA(MATCH(215,'Transfer Engine'!$C$2:$C$1960,0)),"",INDEX('Compliance Database'!$L$2:$L$1960,MATCH(215,'Transfer Engine'!$C$2:$C$1960,0)))</f>
        <v/>
      </c>
      <c r="M224" s="9">
        <f>IF(ISNA(MATCH(215,'Transfer Engine'!$C$2:$C$1960,0)),"",INDEX('Compliance Database'!$M$2:$M$1960,MATCH(215,'Transfer Engine'!$C$2:$C$1960,0)))</f>
        <v/>
      </c>
      <c r="N224" s="9">
        <f>IF(ISNA(MATCH(215,'Transfer Engine'!$C$2:$C$1960,0)),"",INDEX('Compliance Database'!$N$2:$N$1960,MATCH(215,'Transfer Engine'!$C$2:$C$1960,0)))</f>
        <v/>
      </c>
      <c r="O224" s="9">
        <f>IF(ISNA(MATCH(215,'Transfer Engine'!$C$2:$C$1960,0)),"",INDEX('Compliance Database'!$O$2:$O$1960,MATCH(215,'Transfer Engine'!$C$2:$C$1960,0)))</f>
        <v/>
      </c>
      <c r="P224" s="8">
        <f>IF(ISNA(MATCH(215,'Transfer Engine'!$C$2:$C$1960,0)),"",HYPERLINK("#Acts!A"&amp;INDEX('Compliance Database'!$P$2:$P$1960,MATCH(215,'Transfer Engine'!$C$2:$C$1960,0)),"Go to Act"))</f>
        <v/>
      </c>
    </row>
    <row r="225" ht="158" customHeight="1">
      <c r="A225" s="8">
        <f>IF(ISNA(MATCH(216,'Transfer Engine'!$C$2:$C$1960,0)),"",INDEX('Compliance Database'!$A$2:$A$1960,MATCH(216,'Transfer Engine'!$C$2:$C$1960,0)))</f>
        <v/>
      </c>
      <c r="B225" s="8">
        <f>IF(ISNA(MATCH(216,'Transfer Engine'!$C$2:$C$1960,0)),"",INDEX('Compliance Database'!$B$2:$B$1960,MATCH(216,'Transfer Engine'!$C$2:$C$1960,0)))</f>
        <v/>
      </c>
      <c r="C225" s="8">
        <f>IF(ISNA(MATCH(216,'Transfer Engine'!$C$2:$C$1960,0)),"",INDEX('Compliance Database'!$C$2:$C$1960,MATCH(216,'Transfer Engine'!$C$2:$C$1960,0)))</f>
        <v/>
      </c>
      <c r="D225" s="9">
        <f>IF(ISNA(MATCH(216,'Transfer Engine'!$C$2:$C$1960,0)),"",INDEX('Compliance Database'!$D$2:$D$1960,MATCH(216,'Transfer Engine'!$C$2:$C$1960,0)))</f>
        <v/>
      </c>
      <c r="E225" s="8">
        <f>IF(ISNA(MATCH(216,'Transfer Engine'!$C$2:$C$1960,0)),"",INDEX('Compliance Database'!$E$2:$E$1960,MATCH(216,'Transfer Engine'!$C$2:$C$1960,0)))</f>
        <v/>
      </c>
      <c r="F225" s="8">
        <f>IF(ISNA(MATCH(216,'Transfer Engine'!$C$2:$C$1960,0)),"",INDEX('Compliance Database'!$F$2:$F$1960,MATCH(216,'Transfer Engine'!$C$2:$C$1960,0)))</f>
        <v/>
      </c>
      <c r="G225" s="8">
        <f>IF(ISNA(MATCH(216,'Transfer Engine'!$C$2:$C$1960,0)),"",INDEX('Compliance Database'!$G$2:$G$1960,MATCH(216,'Transfer Engine'!$C$2:$C$1960,0)))</f>
        <v/>
      </c>
      <c r="H225" s="9">
        <f>IF(ISNA(MATCH(216,'Transfer Engine'!$C$2:$C$1960,0)),"",INDEX('Compliance Database'!$H$2:$H$1960,MATCH(216,'Transfer Engine'!$C$2:$C$1960,0)))</f>
        <v/>
      </c>
      <c r="I225" s="9">
        <f>IF(ISNA(MATCH(216,'Transfer Engine'!$C$2:$C$1960,0)),"",INDEX('Compliance Database'!$I$2:$I$1960,MATCH(216,'Transfer Engine'!$C$2:$C$1960,0)))</f>
        <v/>
      </c>
      <c r="J225" s="8">
        <f>IF(ISNA(MATCH(216,'Transfer Engine'!$C$2:$C$1960,0)),"",INDEX('Compliance Database'!$J$2:$J$1960,MATCH(216,'Transfer Engine'!$C$2:$C$1960,0)))</f>
        <v/>
      </c>
      <c r="K225" s="9">
        <f>IF(ISNA(MATCH(216,'Transfer Engine'!$C$2:$C$1960,0)),"",INDEX('Compliance Database'!$K$2:$K$1960,MATCH(216,'Transfer Engine'!$C$2:$C$1960,0)))</f>
        <v/>
      </c>
      <c r="L225" s="9">
        <f>IF(ISNA(MATCH(216,'Transfer Engine'!$C$2:$C$1960,0)),"",INDEX('Compliance Database'!$L$2:$L$1960,MATCH(216,'Transfer Engine'!$C$2:$C$1960,0)))</f>
        <v/>
      </c>
      <c r="M225" s="9">
        <f>IF(ISNA(MATCH(216,'Transfer Engine'!$C$2:$C$1960,0)),"",INDEX('Compliance Database'!$M$2:$M$1960,MATCH(216,'Transfer Engine'!$C$2:$C$1960,0)))</f>
        <v/>
      </c>
      <c r="N225" s="9">
        <f>IF(ISNA(MATCH(216,'Transfer Engine'!$C$2:$C$1960,0)),"",INDEX('Compliance Database'!$N$2:$N$1960,MATCH(216,'Transfer Engine'!$C$2:$C$1960,0)))</f>
        <v/>
      </c>
      <c r="O225" s="9">
        <f>IF(ISNA(MATCH(216,'Transfer Engine'!$C$2:$C$1960,0)),"",INDEX('Compliance Database'!$O$2:$O$1960,MATCH(216,'Transfer Engine'!$C$2:$C$1960,0)))</f>
        <v/>
      </c>
      <c r="P225" s="8">
        <f>IF(ISNA(MATCH(216,'Transfer Engine'!$C$2:$C$1960,0)),"",HYPERLINK("#Acts!A"&amp;INDEX('Compliance Database'!$P$2:$P$1960,MATCH(216,'Transfer Engine'!$C$2:$C$1960,0)),"Go to Act"))</f>
        <v/>
      </c>
    </row>
    <row r="226" ht="158" customHeight="1">
      <c r="A226" s="8">
        <f>IF(ISNA(MATCH(217,'Transfer Engine'!$C$2:$C$1960,0)),"",INDEX('Compliance Database'!$A$2:$A$1960,MATCH(217,'Transfer Engine'!$C$2:$C$1960,0)))</f>
        <v/>
      </c>
      <c r="B226" s="8">
        <f>IF(ISNA(MATCH(217,'Transfer Engine'!$C$2:$C$1960,0)),"",INDEX('Compliance Database'!$B$2:$B$1960,MATCH(217,'Transfer Engine'!$C$2:$C$1960,0)))</f>
        <v/>
      </c>
      <c r="C226" s="8">
        <f>IF(ISNA(MATCH(217,'Transfer Engine'!$C$2:$C$1960,0)),"",INDEX('Compliance Database'!$C$2:$C$1960,MATCH(217,'Transfer Engine'!$C$2:$C$1960,0)))</f>
        <v/>
      </c>
      <c r="D226" s="9">
        <f>IF(ISNA(MATCH(217,'Transfer Engine'!$C$2:$C$1960,0)),"",INDEX('Compliance Database'!$D$2:$D$1960,MATCH(217,'Transfer Engine'!$C$2:$C$1960,0)))</f>
        <v/>
      </c>
      <c r="E226" s="8">
        <f>IF(ISNA(MATCH(217,'Transfer Engine'!$C$2:$C$1960,0)),"",INDEX('Compliance Database'!$E$2:$E$1960,MATCH(217,'Transfer Engine'!$C$2:$C$1960,0)))</f>
        <v/>
      </c>
      <c r="F226" s="8">
        <f>IF(ISNA(MATCH(217,'Transfer Engine'!$C$2:$C$1960,0)),"",INDEX('Compliance Database'!$F$2:$F$1960,MATCH(217,'Transfer Engine'!$C$2:$C$1960,0)))</f>
        <v/>
      </c>
      <c r="G226" s="8">
        <f>IF(ISNA(MATCH(217,'Transfer Engine'!$C$2:$C$1960,0)),"",INDEX('Compliance Database'!$G$2:$G$1960,MATCH(217,'Transfer Engine'!$C$2:$C$1960,0)))</f>
        <v/>
      </c>
      <c r="H226" s="9">
        <f>IF(ISNA(MATCH(217,'Transfer Engine'!$C$2:$C$1960,0)),"",INDEX('Compliance Database'!$H$2:$H$1960,MATCH(217,'Transfer Engine'!$C$2:$C$1960,0)))</f>
        <v/>
      </c>
      <c r="I226" s="9">
        <f>IF(ISNA(MATCH(217,'Transfer Engine'!$C$2:$C$1960,0)),"",INDEX('Compliance Database'!$I$2:$I$1960,MATCH(217,'Transfer Engine'!$C$2:$C$1960,0)))</f>
        <v/>
      </c>
      <c r="J226" s="8">
        <f>IF(ISNA(MATCH(217,'Transfer Engine'!$C$2:$C$1960,0)),"",INDEX('Compliance Database'!$J$2:$J$1960,MATCH(217,'Transfer Engine'!$C$2:$C$1960,0)))</f>
        <v/>
      </c>
      <c r="K226" s="9">
        <f>IF(ISNA(MATCH(217,'Transfer Engine'!$C$2:$C$1960,0)),"",INDEX('Compliance Database'!$K$2:$K$1960,MATCH(217,'Transfer Engine'!$C$2:$C$1960,0)))</f>
        <v/>
      </c>
      <c r="L226" s="9">
        <f>IF(ISNA(MATCH(217,'Transfer Engine'!$C$2:$C$1960,0)),"",INDEX('Compliance Database'!$L$2:$L$1960,MATCH(217,'Transfer Engine'!$C$2:$C$1960,0)))</f>
        <v/>
      </c>
      <c r="M226" s="9">
        <f>IF(ISNA(MATCH(217,'Transfer Engine'!$C$2:$C$1960,0)),"",INDEX('Compliance Database'!$M$2:$M$1960,MATCH(217,'Transfer Engine'!$C$2:$C$1960,0)))</f>
        <v/>
      </c>
      <c r="N226" s="9">
        <f>IF(ISNA(MATCH(217,'Transfer Engine'!$C$2:$C$1960,0)),"",INDEX('Compliance Database'!$N$2:$N$1960,MATCH(217,'Transfer Engine'!$C$2:$C$1960,0)))</f>
        <v/>
      </c>
      <c r="O226" s="9">
        <f>IF(ISNA(MATCH(217,'Transfer Engine'!$C$2:$C$1960,0)),"",INDEX('Compliance Database'!$O$2:$O$1960,MATCH(217,'Transfer Engine'!$C$2:$C$1960,0)))</f>
        <v/>
      </c>
      <c r="P226" s="8">
        <f>IF(ISNA(MATCH(217,'Transfer Engine'!$C$2:$C$1960,0)),"",HYPERLINK("#Acts!A"&amp;INDEX('Compliance Database'!$P$2:$P$1960,MATCH(217,'Transfer Engine'!$C$2:$C$1960,0)),"Go to Act"))</f>
        <v/>
      </c>
    </row>
    <row r="227" ht="158" customHeight="1">
      <c r="A227" s="8">
        <f>IF(ISNA(MATCH(218,'Transfer Engine'!$C$2:$C$1960,0)),"",INDEX('Compliance Database'!$A$2:$A$1960,MATCH(218,'Transfer Engine'!$C$2:$C$1960,0)))</f>
        <v/>
      </c>
      <c r="B227" s="8">
        <f>IF(ISNA(MATCH(218,'Transfer Engine'!$C$2:$C$1960,0)),"",INDEX('Compliance Database'!$B$2:$B$1960,MATCH(218,'Transfer Engine'!$C$2:$C$1960,0)))</f>
        <v/>
      </c>
      <c r="C227" s="8">
        <f>IF(ISNA(MATCH(218,'Transfer Engine'!$C$2:$C$1960,0)),"",INDEX('Compliance Database'!$C$2:$C$1960,MATCH(218,'Transfer Engine'!$C$2:$C$1960,0)))</f>
        <v/>
      </c>
      <c r="D227" s="9">
        <f>IF(ISNA(MATCH(218,'Transfer Engine'!$C$2:$C$1960,0)),"",INDEX('Compliance Database'!$D$2:$D$1960,MATCH(218,'Transfer Engine'!$C$2:$C$1960,0)))</f>
        <v/>
      </c>
      <c r="E227" s="8">
        <f>IF(ISNA(MATCH(218,'Transfer Engine'!$C$2:$C$1960,0)),"",INDEX('Compliance Database'!$E$2:$E$1960,MATCH(218,'Transfer Engine'!$C$2:$C$1960,0)))</f>
        <v/>
      </c>
      <c r="F227" s="8">
        <f>IF(ISNA(MATCH(218,'Transfer Engine'!$C$2:$C$1960,0)),"",INDEX('Compliance Database'!$F$2:$F$1960,MATCH(218,'Transfer Engine'!$C$2:$C$1960,0)))</f>
        <v/>
      </c>
      <c r="G227" s="8">
        <f>IF(ISNA(MATCH(218,'Transfer Engine'!$C$2:$C$1960,0)),"",INDEX('Compliance Database'!$G$2:$G$1960,MATCH(218,'Transfer Engine'!$C$2:$C$1960,0)))</f>
        <v/>
      </c>
      <c r="H227" s="9">
        <f>IF(ISNA(MATCH(218,'Transfer Engine'!$C$2:$C$1960,0)),"",INDEX('Compliance Database'!$H$2:$H$1960,MATCH(218,'Transfer Engine'!$C$2:$C$1960,0)))</f>
        <v/>
      </c>
      <c r="I227" s="9">
        <f>IF(ISNA(MATCH(218,'Transfer Engine'!$C$2:$C$1960,0)),"",INDEX('Compliance Database'!$I$2:$I$1960,MATCH(218,'Transfer Engine'!$C$2:$C$1960,0)))</f>
        <v/>
      </c>
      <c r="J227" s="8">
        <f>IF(ISNA(MATCH(218,'Transfer Engine'!$C$2:$C$1960,0)),"",INDEX('Compliance Database'!$J$2:$J$1960,MATCH(218,'Transfer Engine'!$C$2:$C$1960,0)))</f>
        <v/>
      </c>
      <c r="K227" s="9">
        <f>IF(ISNA(MATCH(218,'Transfer Engine'!$C$2:$C$1960,0)),"",INDEX('Compliance Database'!$K$2:$K$1960,MATCH(218,'Transfer Engine'!$C$2:$C$1960,0)))</f>
        <v/>
      </c>
      <c r="L227" s="9">
        <f>IF(ISNA(MATCH(218,'Transfer Engine'!$C$2:$C$1960,0)),"",INDEX('Compliance Database'!$L$2:$L$1960,MATCH(218,'Transfer Engine'!$C$2:$C$1960,0)))</f>
        <v/>
      </c>
      <c r="M227" s="9">
        <f>IF(ISNA(MATCH(218,'Transfer Engine'!$C$2:$C$1960,0)),"",INDEX('Compliance Database'!$M$2:$M$1960,MATCH(218,'Transfer Engine'!$C$2:$C$1960,0)))</f>
        <v/>
      </c>
      <c r="N227" s="9">
        <f>IF(ISNA(MATCH(218,'Transfer Engine'!$C$2:$C$1960,0)),"",INDEX('Compliance Database'!$N$2:$N$1960,MATCH(218,'Transfer Engine'!$C$2:$C$1960,0)))</f>
        <v/>
      </c>
      <c r="O227" s="9">
        <f>IF(ISNA(MATCH(218,'Transfer Engine'!$C$2:$C$1960,0)),"",INDEX('Compliance Database'!$O$2:$O$1960,MATCH(218,'Transfer Engine'!$C$2:$C$1960,0)))</f>
        <v/>
      </c>
      <c r="P227" s="8">
        <f>IF(ISNA(MATCH(218,'Transfer Engine'!$C$2:$C$1960,0)),"",HYPERLINK("#Acts!A"&amp;INDEX('Compliance Database'!$P$2:$P$1960,MATCH(218,'Transfer Engine'!$C$2:$C$1960,0)),"Go to Act"))</f>
        <v/>
      </c>
    </row>
    <row r="228" ht="158" customHeight="1">
      <c r="A228" s="8">
        <f>IF(ISNA(MATCH(219,'Transfer Engine'!$C$2:$C$1960,0)),"",INDEX('Compliance Database'!$A$2:$A$1960,MATCH(219,'Transfer Engine'!$C$2:$C$1960,0)))</f>
        <v/>
      </c>
      <c r="B228" s="8">
        <f>IF(ISNA(MATCH(219,'Transfer Engine'!$C$2:$C$1960,0)),"",INDEX('Compliance Database'!$B$2:$B$1960,MATCH(219,'Transfer Engine'!$C$2:$C$1960,0)))</f>
        <v/>
      </c>
      <c r="C228" s="8">
        <f>IF(ISNA(MATCH(219,'Transfer Engine'!$C$2:$C$1960,0)),"",INDEX('Compliance Database'!$C$2:$C$1960,MATCH(219,'Transfer Engine'!$C$2:$C$1960,0)))</f>
        <v/>
      </c>
      <c r="D228" s="9">
        <f>IF(ISNA(MATCH(219,'Transfer Engine'!$C$2:$C$1960,0)),"",INDEX('Compliance Database'!$D$2:$D$1960,MATCH(219,'Transfer Engine'!$C$2:$C$1960,0)))</f>
        <v/>
      </c>
      <c r="E228" s="8">
        <f>IF(ISNA(MATCH(219,'Transfer Engine'!$C$2:$C$1960,0)),"",INDEX('Compliance Database'!$E$2:$E$1960,MATCH(219,'Transfer Engine'!$C$2:$C$1960,0)))</f>
        <v/>
      </c>
      <c r="F228" s="8">
        <f>IF(ISNA(MATCH(219,'Transfer Engine'!$C$2:$C$1960,0)),"",INDEX('Compliance Database'!$F$2:$F$1960,MATCH(219,'Transfer Engine'!$C$2:$C$1960,0)))</f>
        <v/>
      </c>
      <c r="G228" s="8">
        <f>IF(ISNA(MATCH(219,'Transfer Engine'!$C$2:$C$1960,0)),"",INDEX('Compliance Database'!$G$2:$G$1960,MATCH(219,'Transfer Engine'!$C$2:$C$1960,0)))</f>
        <v/>
      </c>
      <c r="H228" s="9">
        <f>IF(ISNA(MATCH(219,'Transfer Engine'!$C$2:$C$1960,0)),"",INDEX('Compliance Database'!$H$2:$H$1960,MATCH(219,'Transfer Engine'!$C$2:$C$1960,0)))</f>
        <v/>
      </c>
      <c r="I228" s="9">
        <f>IF(ISNA(MATCH(219,'Transfer Engine'!$C$2:$C$1960,0)),"",INDEX('Compliance Database'!$I$2:$I$1960,MATCH(219,'Transfer Engine'!$C$2:$C$1960,0)))</f>
        <v/>
      </c>
      <c r="J228" s="8">
        <f>IF(ISNA(MATCH(219,'Transfer Engine'!$C$2:$C$1960,0)),"",INDEX('Compliance Database'!$J$2:$J$1960,MATCH(219,'Transfer Engine'!$C$2:$C$1960,0)))</f>
        <v/>
      </c>
      <c r="K228" s="9">
        <f>IF(ISNA(MATCH(219,'Transfer Engine'!$C$2:$C$1960,0)),"",INDEX('Compliance Database'!$K$2:$K$1960,MATCH(219,'Transfer Engine'!$C$2:$C$1960,0)))</f>
        <v/>
      </c>
      <c r="L228" s="9">
        <f>IF(ISNA(MATCH(219,'Transfer Engine'!$C$2:$C$1960,0)),"",INDEX('Compliance Database'!$L$2:$L$1960,MATCH(219,'Transfer Engine'!$C$2:$C$1960,0)))</f>
        <v/>
      </c>
      <c r="M228" s="9">
        <f>IF(ISNA(MATCH(219,'Transfer Engine'!$C$2:$C$1960,0)),"",INDEX('Compliance Database'!$M$2:$M$1960,MATCH(219,'Transfer Engine'!$C$2:$C$1960,0)))</f>
        <v/>
      </c>
      <c r="N228" s="9">
        <f>IF(ISNA(MATCH(219,'Transfer Engine'!$C$2:$C$1960,0)),"",INDEX('Compliance Database'!$N$2:$N$1960,MATCH(219,'Transfer Engine'!$C$2:$C$1960,0)))</f>
        <v/>
      </c>
      <c r="O228" s="9">
        <f>IF(ISNA(MATCH(219,'Transfer Engine'!$C$2:$C$1960,0)),"",INDEX('Compliance Database'!$O$2:$O$1960,MATCH(219,'Transfer Engine'!$C$2:$C$1960,0)))</f>
        <v/>
      </c>
      <c r="P228" s="8">
        <f>IF(ISNA(MATCH(219,'Transfer Engine'!$C$2:$C$1960,0)),"",HYPERLINK("#Acts!A"&amp;INDEX('Compliance Database'!$P$2:$P$1960,MATCH(219,'Transfer Engine'!$C$2:$C$1960,0)),"Go to Act"))</f>
        <v/>
      </c>
    </row>
    <row r="229" ht="158" customHeight="1">
      <c r="A229" s="8">
        <f>IF(ISNA(MATCH(220,'Transfer Engine'!$C$2:$C$1960,0)),"",INDEX('Compliance Database'!$A$2:$A$1960,MATCH(220,'Transfer Engine'!$C$2:$C$1960,0)))</f>
        <v/>
      </c>
      <c r="B229" s="8">
        <f>IF(ISNA(MATCH(220,'Transfer Engine'!$C$2:$C$1960,0)),"",INDEX('Compliance Database'!$B$2:$B$1960,MATCH(220,'Transfer Engine'!$C$2:$C$1960,0)))</f>
        <v/>
      </c>
      <c r="C229" s="8">
        <f>IF(ISNA(MATCH(220,'Transfer Engine'!$C$2:$C$1960,0)),"",INDEX('Compliance Database'!$C$2:$C$1960,MATCH(220,'Transfer Engine'!$C$2:$C$1960,0)))</f>
        <v/>
      </c>
      <c r="D229" s="9">
        <f>IF(ISNA(MATCH(220,'Transfer Engine'!$C$2:$C$1960,0)),"",INDEX('Compliance Database'!$D$2:$D$1960,MATCH(220,'Transfer Engine'!$C$2:$C$1960,0)))</f>
        <v/>
      </c>
      <c r="E229" s="8">
        <f>IF(ISNA(MATCH(220,'Transfer Engine'!$C$2:$C$1960,0)),"",INDEX('Compliance Database'!$E$2:$E$1960,MATCH(220,'Transfer Engine'!$C$2:$C$1960,0)))</f>
        <v/>
      </c>
      <c r="F229" s="8">
        <f>IF(ISNA(MATCH(220,'Transfer Engine'!$C$2:$C$1960,0)),"",INDEX('Compliance Database'!$F$2:$F$1960,MATCH(220,'Transfer Engine'!$C$2:$C$1960,0)))</f>
        <v/>
      </c>
      <c r="G229" s="8">
        <f>IF(ISNA(MATCH(220,'Transfer Engine'!$C$2:$C$1960,0)),"",INDEX('Compliance Database'!$G$2:$G$1960,MATCH(220,'Transfer Engine'!$C$2:$C$1960,0)))</f>
        <v/>
      </c>
      <c r="H229" s="9">
        <f>IF(ISNA(MATCH(220,'Transfer Engine'!$C$2:$C$1960,0)),"",INDEX('Compliance Database'!$H$2:$H$1960,MATCH(220,'Transfer Engine'!$C$2:$C$1960,0)))</f>
        <v/>
      </c>
      <c r="I229" s="9">
        <f>IF(ISNA(MATCH(220,'Transfer Engine'!$C$2:$C$1960,0)),"",INDEX('Compliance Database'!$I$2:$I$1960,MATCH(220,'Transfer Engine'!$C$2:$C$1960,0)))</f>
        <v/>
      </c>
      <c r="J229" s="8">
        <f>IF(ISNA(MATCH(220,'Transfer Engine'!$C$2:$C$1960,0)),"",INDEX('Compliance Database'!$J$2:$J$1960,MATCH(220,'Transfer Engine'!$C$2:$C$1960,0)))</f>
        <v/>
      </c>
      <c r="K229" s="9">
        <f>IF(ISNA(MATCH(220,'Transfer Engine'!$C$2:$C$1960,0)),"",INDEX('Compliance Database'!$K$2:$K$1960,MATCH(220,'Transfer Engine'!$C$2:$C$1960,0)))</f>
        <v/>
      </c>
      <c r="L229" s="9">
        <f>IF(ISNA(MATCH(220,'Transfer Engine'!$C$2:$C$1960,0)),"",INDEX('Compliance Database'!$L$2:$L$1960,MATCH(220,'Transfer Engine'!$C$2:$C$1960,0)))</f>
        <v/>
      </c>
      <c r="M229" s="9">
        <f>IF(ISNA(MATCH(220,'Transfer Engine'!$C$2:$C$1960,0)),"",INDEX('Compliance Database'!$M$2:$M$1960,MATCH(220,'Transfer Engine'!$C$2:$C$1960,0)))</f>
        <v/>
      </c>
      <c r="N229" s="9">
        <f>IF(ISNA(MATCH(220,'Transfer Engine'!$C$2:$C$1960,0)),"",INDEX('Compliance Database'!$N$2:$N$1960,MATCH(220,'Transfer Engine'!$C$2:$C$1960,0)))</f>
        <v/>
      </c>
      <c r="O229" s="9">
        <f>IF(ISNA(MATCH(220,'Transfer Engine'!$C$2:$C$1960,0)),"",INDEX('Compliance Database'!$O$2:$O$1960,MATCH(220,'Transfer Engine'!$C$2:$C$1960,0)))</f>
        <v/>
      </c>
      <c r="P229" s="8">
        <f>IF(ISNA(MATCH(220,'Transfer Engine'!$C$2:$C$1960,0)),"",HYPERLINK("#Acts!A"&amp;INDEX('Compliance Database'!$P$2:$P$1960,MATCH(220,'Transfer Engine'!$C$2:$C$1960,0)),"Go to Act"))</f>
        <v/>
      </c>
    </row>
    <row r="230" ht="158" customHeight="1">
      <c r="A230" s="8">
        <f>IF(ISNA(MATCH(221,'Transfer Engine'!$C$2:$C$1960,0)),"",INDEX('Compliance Database'!$A$2:$A$1960,MATCH(221,'Transfer Engine'!$C$2:$C$1960,0)))</f>
        <v/>
      </c>
      <c r="B230" s="8">
        <f>IF(ISNA(MATCH(221,'Transfer Engine'!$C$2:$C$1960,0)),"",INDEX('Compliance Database'!$B$2:$B$1960,MATCH(221,'Transfer Engine'!$C$2:$C$1960,0)))</f>
        <v/>
      </c>
      <c r="C230" s="8">
        <f>IF(ISNA(MATCH(221,'Transfer Engine'!$C$2:$C$1960,0)),"",INDEX('Compliance Database'!$C$2:$C$1960,MATCH(221,'Transfer Engine'!$C$2:$C$1960,0)))</f>
        <v/>
      </c>
      <c r="D230" s="9">
        <f>IF(ISNA(MATCH(221,'Transfer Engine'!$C$2:$C$1960,0)),"",INDEX('Compliance Database'!$D$2:$D$1960,MATCH(221,'Transfer Engine'!$C$2:$C$1960,0)))</f>
        <v/>
      </c>
      <c r="E230" s="8">
        <f>IF(ISNA(MATCH(221,'Transfer Engine'!$C$2:$C$1960,0)),"",INDEX('Compliance Database'!$E$2:$E$1960,MATCH(221,'Transfer Engine'!$C$2:$C$1960,0)))</f>
        <v/>
      </c>
      <c r="F230" s="8">
        <f>IF(ISNA(MATCH(221,'Transfer Engine'!$C$2:$C$1960,0)),"",INDEX('Compliance Database'!$F$2:$F$1960,MATCH(221,'Transfer Engine'!$C$2:$C$1960,0)))</f>
        <v/>
      </c>
      <c r="G230" s="8">
        <f>IF(ISNA(MATCH(221,'Transfer Engine'!$C$2:$C$1960,0)),"",INDEX('Compliance Database'!$G$2:$G$1960,MATCH(221,'Transfer Engine'!$C$2:$C$1960,0)))</f>
        <v/>
      </c>
      <c r="H230" s="9">
        <f>IF(ISNA(MATCH(221,'Transfer Engine'!$C$2:$C$1960,0)),"",INDEX('Compliance Database'!$H$2:$H$1960,MATCH(221,'Transfer Engine'!$C$2:$C$1960,0)))</f>
        <v/>
      </c>
      <c r="I230" s="9">
        <f>IF(ISNA(MATCH(221,'Transfer Engine'!$C$2:$C$1960,0)),"",INDEX('Compliance Database'!$I$2:$I$1960,MATCH(221,'Transfer Engine'!$C$2:$C$1960,0)))</f>
        <v/>
      </c>
      <c r="J230" s="8">
        <f>IF(ISNA(MATCH(221,'Transfer Engine'!$C$2:$C$1960,0)),"",INDEX('Compliance Database'!$J$2:$J$1960,MATCH(221,'Transfer Engine'!$C$2:$C$1960,0)))</f>
        <v/>
      </c>
      <c r="K230" s="9">
        <f>IF(ISNA(MATCH(221,'Transfer Engine'!$C$2:$C$1960,0)),"",INDEX('Compliance Database'!$K$2:$K$1960,MATCH(221,'Transfer Engine'!$C$2:$C$1960,0)))</f>
        <v/>
      </c>
      <c r="L230" s="9">
        <f>IF(ISNA(MATCH(221,'Transfer Engine'!$C$2:$C$1960,0)),"",INDEX('Compliance Database'!$L$2:$L$1960,MATCH(221,'Transfer Engine'!$C$2:$C$1960,0)))</f>
        <v/>
      </c>
      <c r="M230" s="9">
        <f>IF(ISNA(MATCH(221,'Transfer Engine'!$C$2:$C$1960,0)),"",INDEX('Compliance Database'!$M$2:$M$1960,MATCH(221,'Transfer Engine'!$C$2:$C$1960,0)))</f>
        <v/>
      </c>
      <c r="N230" s="9">
        <f>IF(ISNA(MATCH(221,'Transfer Engine'!$C$2:$C$1960,0)),"",INDEX('Compliance Database'!$N$2:$N$1960,MATCH(221,'Transfer Engine'!$C$2:$C$1960,0)))</f>
        <v/>
      </c>
      <c r="O230" s="9">
        <f>IF(ISNA(MATCH(221,'Transfer Engine'!$C$2:$C$1960,0)),"",INDEX('Compliance Database'!$O$2:$O$1960,MATCH(221,'Transfer Engine'!$C$2:$C$1960,0)))</f>
        <v/>
      </c>
      <c r="P230" s="8">
        <f>IF(ISNA(MATCH(221,'Transfer Engine'!$C$2:$C$1960,0)),"",HYPERLINK("#Acts!A"&amp;INDEX('Compliance Database'!$P$2:$P$1960,MATCH(221,'Transfer Engine'!$C$2:$C$1960,0)),"Go to Act"))</f>
        <v/>
      </c>
    </row>
    <row r="231" ht="158" customHeight="1">
      <c r="A231" s="8">
        <f>IF(ISNA(MATCH(222,'Transfer Engine'!$C$2:$C$1960,0)),"",INDEX('Compliance Database'!$A$2:$A$1960,MATCH(222,'Transfer Engine'!$C$2:$C$1960,0)))</f>
        <v/>
      </c>
      <c r="B231" s="8">
        <f>IF(ISNA(MATCH(222,'Transfer Engine'!$C$2:$C$1960,0)),"",INDEX('Compliance Database'!$B$2:$B$1960,MATCH(222,'Transfer Engine'!$C$2:$C$1960,0)))</f>
        <v/>
      </c>
      <c r="C231" s="8">
        <f>IF(ISNA(MATCH(222,'Transfer Engine'!$C$2:$C$1960,0)),"",INDEX('Compliance Database'!$C$2:$C$1960,MATCH(222,'Transfer Engine'!$C$2:$C$1960,0)))</f>
        <v/>
      </c>
      <c r="D231" s="9">
        <f>IF(ISNA(MATCH(222,'Transfer Engine'!$C$2:$C$1960,0)),"",INDEX('Compliance Database'!$D$2:$D$1960,MATCH(222,'Transfer Engine'!$C$2:$C$1960,0)))</f>
        <v/>
      </c>
      <c r="E231" s="8">
        <f>IF(ISNA(MATCH(222,'Transfer Engine'!$C$2:$C$1960,0)),"",INDEX('Compliance Database'!$E$2:$E$1960,MATCH(222,'Transfer Engine'!$C$2:$C$1960,0)))</f>
        <v/>
      </c>
      <c r="F231" s="8">
        <f>IF(ISNA(MATCH(222,'Transfer Engine'!$C$2:$C$1960,0)),"",INDEX('Compliance Database'!$F$2:$F$1960,MATCH(222,'Transfer Engine'!$C$2:$C$1960,0)))</f>
        <v/>
      </c>
      <c r="G231" s="8">
        <f>IF(ISNA(MATCH(222,'Transfer Engine'!$C$2:$C$1960,0)),"",INDEX('Compliance Database'!$G$2:$G$1960,MATCH(222,'Transfer Engine'!$C$2:$C$1960,0)))</f>
        <v/>
      </c>
      <c r="H231" s="9">
        <f>IF(ISNA(MATCH(222,'Transfer Engine'!$C$2:$C$1960,0)),"",INDEX('Compliance Database'!$H$2:$H$1960,MATCH(222,'Transfer Engine'!$C$2:$C$1960,0)))</f>
        <v/>
      </c>
      <c r="I231" s="9">
        <f>IF(ISNA(MATCH(222,'Transfer Engine'!$C$2:$C$1960,0)),"",INDEX('Compliance Database'!$I$2:$I$1960,MATCH(222,'Transfer Engine'!$C$2:$C$1960,0)))</f>
        <v/>
      </c>
      <c r="J231" s="8">
        <f>IF(ISNA(MATCH(222,'Transfer Engine'!$C$2:$C$1960,0)),"",INDEX('Compliance Database'!$J$2:$J$1960,MATCH(222,'Transfer Engine'!$C$2:$C$1960,0)))</f>
        <v/>
      </c>
      <c r="K231" s="9">
        <f>IF(ISNA(MATCH(222,'Transfer Engine'!$C$2:$C$1960,0)),"",INDEX('Compliance Database'!$K$2:$K$1960,MATCH(222,'Transfer Engine'!$C$2:$C$1960,0)))</f>
        <v/>
      </c>
      <c r="L231" s="9">
        <f>IF(ISNA(MATCH(222,'Transfer Engine'!$C$2:$C$1960,0)),"",INDEX('Compliance Database'!$L$2:$L$1960,MATCH(222,'Transfer Engine'!$C$2:$C$1960,0)))</f>
        <v/>
      </c>
      <c r="M231" s="9">
        <f>IF(ISNA(MATCH(222,'Transfer Engine'!$C$2:$C$1960,0)),"",INDEX('Compliance Database'!$M$2:$M$1960,MATCH(222,'Transfer Engine'!$C$2:$C$1960,0)))</f>
        <v/>
      </c>
      <c r="N231" s="9">
        <f>IF(ISNA(MATCH(222,'Transfer Engine'!$C$2:$C$1960,0)),"",INDEX('Compliance Database'!$N$2:$N$1960,MATCH(222,'Transfer Engine'!$C$2:$C$1960,0)))</f>
        <v/>
      </c>
      <c r="O231" s="9">
        <f>IF(ISNA(MATCH(222,'Transfer Engine'!$C$2:$C$1960,0)),"",INDEX('Compliance Database'!$O$2:$O$1960,MATCH(222,'Transfer Engine'!$C$2:$C$1960,0)))</f>
        <v/>
      </c>
      <c r="P231" s="8">
        <f>IF(ISNA(MATCH(222,'Transfer Engine'!$C$2:$C$1960,0)),"",HYPERLINK("#Acts!A"&amp;INDEX('Compliance Database'!$P$2:$P$1960,MATCH(222,'Transfer Engine'!$C$2:$C$1960,0)),"Go to Act"))</f>
        <v/>
      </c>
    </row>
    <row r="232" ht="158" customHeight="1">
      <c r="A232" s="8">
        <f>IF(ISNA(MATCH(223,'Transfer Engine'!$C$2:$C$1960,0)),"",INDEX('Compliance Database'!$A$2:$A$1960,MATCH(223,'Transfer Engine'!$C$2:$C$1960,0)))</f>
        <v/>
      </c>
      <c r="B232" s="8">
        <f>IF(ISNA(MATCH(223,'Transfer Engine'!$C$2:$C$1960,0)),"",INDEX('Compliance Database'!$B$2:$B$1960,MATCH(223,'Transfer Engine'!$C$2:$C$1960,0)))</f>
        <v/>
      </c>
      <c r="C232" s="8">
        <f>IF(ISNA(MATCH(223,'Transfer Engine'!$C$2:$C$1960,0)),"",INDEX('Compliance Database'!$C$2:$C$1960,MATCH(223,'Transfer Engine'!$C$2:$C$1960,0)))</f>
        <v/>
      </c>
      <c r="D232" s="9">
        <f>IF(ISNA(MATCH(223,'Transfer Engine'!$C$2:$C$1960,0)),"",INDEX('Compliance Database'!$D$2:$D$1960,MATCH(223,'Transfer Engine'!$C$2:$C$1960,0)))</f>
        <v/>
      </c>
      <c r="E232" s="8">
        <f>IF(ISNA(MATCH(223,'Transfer Engine'!$C$2:$C$1960,0)),"",INDEX('Compliance Database'!$E$2:$E$1960,MATCH(223,'Transfer Engine'!$C$2:$C$1960,0)))</f>
        <v/>
      </c>
      <c r="F232" s="8">
        <f>IF(ISNA(MATCH(223,'Transfer Engine'!$C$2:$C$1960,0)),"",INDEX('Compliance Database'!$F$2:$F$1960,MATCH(223,'Transfer Engine'!$C$2:$C$1960,0)))</f>
        <v/>
      </c>
      <c r="G232" s="8">
        <f>IF(ISNA(MATCH(223,'Transfer Engine'!$C$2:$C$1960,0)),"",INDEX('Compliance Database'!$G$2:$G$1960,MATCH(223,'Transfer Engine'!$C$2:$C$1960,0)))</f>
        <v/>
      </c>
      <c r="H232" s="9">
        <f>IF(ISNA(MATCH(223,'Transfer Engine'!$C$2:$C$1960,0)),"",INDEX('Compliance Database'!$H$2:$H$1960,MATCH(223,'Transfer Engine'!$C$2:$C$1960,0)))</f>
        <v/>
      </c>
      <c r="I232" s="9">
        <f>IF(ISNA(MATCH(223,'Transfer Engine'!$C$2:$C$1960,0)),"",INDEX('Compliance Database'!$I$2:$I$1960,MATCH(223,'Transfer Engine'!$C$2:$C$1960,0)))</f>
        <v/>
      </c>
      <c r="J232" s="8">
        <f>IF(ISNA(MATCH(223,'Transfer Engine'!$C$2:$C$1960,0)),"",INDEX('Compliance Database'!$J$2:$J$1960,MATCH(223,'Transfer Engine'!$C$2:$C$1960,0)))</f>
        <v/>
      </c>
      <c r="K232" s="9">
        <f>IF(ISNA(MATCH(223,'Transfer Engine'!$C$2:$C$1960,0)),"",INDEX('Compliance Database'!$K$2:$K$1960,MATCH(223,'Transfer Engine'!$C$2:$C$1960,0)))</f>
        <v/>
      </c>
      <c r="L232" s="9">
        <f>IF(ISNA(MATCH(223,'Transfer Engine'!$C$2:$C$1960,0)),"",INDEX('Compliance Database'!$L$2:$L$1960,MATCH(223,'Transfer Engine'!$C$2:$C$1960,0)))</f>
        <v/>
      </c>
      <c r="M232" s="9">
        <f>IF(ISNA(MATCH(223,'Transfer Engine'!$C$2:$C$1960,0)),"",INDEX('Compliance Database'!$M$2:$M$1960,MATCH(223,'Transfer Engine'!$C$2:$C$1960,0)))</f>
        <v/>
      </c>
      <c r="N232" s="9">
        <f>IF(ISNA(MATCH(223,'Transfer Engine'!$C$2:$C$1960,0)),"",INDEX('Compliance Database'!$N$2:$N$1960,MATCH(223,'Transfer Engine'!$C$2:$C$1960,0)))</f>
        <v/>
      </c>
      <c r="O232" s="9">
        <f>IF(ISNA(MATCH(223,'Transfer Engine'!$C$2:$C$1960,0)),"",INDEX('Compliance Database'!$O$2:$O$1960,MATCH(223,'Transfer Engine'!$C$2:$C$1960,0)))</f>
        <v/>
      </c>
      <c r="P232" s="8">
        <f>IF(ISNA(MATCH(223,'Transfer Engine'!$C$2:$C$1960,0)),"",HYPERLINK("#Acts!A"&amp;INDEX('Compliance Database'!$P$2:$P$1960,MATCH(223,'Transfer Engine'!$C$2:$C$1960,0)),"Go to Act"))</f>
        <v/>
      </c>
    </row>
    <row r="233" ht="158" customHeight="1">
      <c r="A233" s="8">
        <f>IF(ISNA(MATCH(224,'Transfer Engine'!$C$2:$C$1960,0)),"",INDEX('Compliance Database'!$A$2:$A$1960,MATCH(224,'Transfer Engine'!$C$2:$C$1960,0)))</f>
        <v/>
      </c>
      <c r="B233" s="8">
        <f>IF(ISNA(MATCH(224,'Transfer Engine'!$C$2:$C$1960,0)),"",INDEX('Compliance Database'!$B$2:$B$1960,MATCH(224,'Transfer Engine'!$C$2:$C$1960,0)))</f>
        <v/>
      </c>
      <c r="C233" s="8">
        <f>IF(ISNA(MATCH(224,'Transfer Engine'!$C$2:$C$1960,0)),"",INDEX('Compliance Database'!$C$2:$C$1960,MATCH(224,'Transfer Engine'!$C$2:$C$1960,0)))</f>
        <v/>
      </c>
      <c r="D233" s="9">
        <f>IF(ISNA(MATCH(224,'Transfer Engine'!$C$2:$C$1960,0)),"",INDEX('Compliance Database'!$D$2:$D$1960,MATCH(224,'Transfer Engine'!$C$2:$C$1960,0)))</f>
        <v/>
      </c>
      <c r="E233" s="8">
        <f>IF(ISNA(MATCH(224,'Transfer Engine'!$C$2:$C$1960,0)),"",INDEX('Compliance Database'!$E$2:$E$1960,MATCH(224,'Transfer Engine'!$C$2:$C$1960,0)))</f>
        <v/>
      </c>
      <c r="F233" s="8">
        <f>IF(ISNA(MATCH(224,'Transfer Engine'!$C$2:$C$1960,0)),"",INDEX('Compliance Database'!$F$2:$F$1960,MATCH(224,'Transfer Engine'!$C$2:$C$1960,0)))</f>
        <v/>
      </c>
      <c r="G233" s="8">
        <f>IF(ISNA(MATCH(224,'Transfer Engine'!$C$2:$C$1960,0)),"",INDEX('Compliance Database'!$G$2:$G$1960,MATCH(224,'Transfer Engine'!$C$2:$C$1960,0)))</f>
        <v/>
      </c>
      <c r="H233" s="9">
        <f>IF(ISNA(MATCH(224,'Transfer Engine'!$C$2:$C$1960,0)),"",INDEX('Compliance Database'!$H$2:$H$1960,MATCH(224,'Transfer Engine'!$C$2:$C$1960,0)))</f>
        <v/>
      </c>
      <c r="I233" s="9">
        <f>IF(ISNA(MATCH(224,'Transfer Engine'!$C$2:$C$1960,0)),"",INDEX('Compliance Database'!$I$2:$I$1960,MATCH(224,'Transfer Engine'!$C$2:$C$1960,0)))</f>
        <v/>
      </c>
      <c r="J233" s="8">
        <f>IF(ISNA(MATCH(224,'Transfer Engine'!$C$2:$C$1960,0)),"",INDEX('Compliance Database'!$J$2:$J$1960,MATCH(224,'Transfer Engine'!$C$2:$C$1960,0)))</f>
        <v/>
      </c>
      <c r="K233" s="9">
        <f>IF(ISNA(MATCH(224,'Transfer Engine'!$C$2:$C$1960,0)),"",INDEX('Compliance Database'!$K$2:$K$1960,MATCH(224,'Transfer Engine'!$C$2:$C$1960,0)))</f>
        <v/>
      </c>
      <c r="L233" s="9">
        <f>IF(ISNA(MATCH(224,'Transfer Engine'!$C$2:$C$1960,0)),"",INDEX('Compliance Database'!$L$2:$L$1960,MATCH(224,'Transfer Engine'!$C$2:$C$1960,0)))</f>
        <v/>
      </c>
      <c r="M233" s="9">
        <f>IF(ISNA(MATCH(224,'Transfer Engine'!$C$2:$C$1960,0)),"",INDEX('Compliance Database'!$M$2:$M$1960,MATCH(224,'Transfer Engine'!$C$2:$C$1960,0)))</f>
        <v/>
      </c>
      <c r="N233" s="9">
        <f>IF(ISNA(MATCH(224,'Transfer Engine'!$C$2:$C$1960,0)),"",INDEX('Compliance Database'!$N$2:$N$1960,MATCH(224,'Transfer Engine'!$C$2:$C$1960,0)))</f>
        <v/>
      </c>
      <c r="O233" s="9">
        <f>IF(ISNA(MATCH(224,'Transfer Engine'!$C$2:$C$1960,0)),"",INDEX('Compliance Database'!$O$2:$O$1960,MATCH(224,'Transfer Engine'!$C$2:$C$1960,0)))</f>
        <v/>
      </c>
      <c r="P233" s="8">
        <f>IF(ISNA(MATCH(224,'Transfer Engine'!$C$2:$C$1960,0)),"",HYPERLINK("#Acts!A"&amp;INDEX('Compliance Database'!$P$2:$P$1960,MATCH(224,'Transfer Engine'!$C$2:$C$1960,0)),"Go to Act"))</f>
        <v/>
      </c>
    </row>
    <row r="234" ht="158" customHeight="1">
      <c r="A234" s="8">
        <f>IF(ISNA(MATCH(225,'Transfer Engine'!$C$2:$C$1960,0)),"",INDEX('Compliance Database'!$A$2:$A$1960,MATCH(225,'Transfer Engine'!$C$2:$C$1960,0)))</f>
        <v/>
      </c>
      <c r="B234" s="8">
        <f>IF(ISNA(MATCH(225,'Transfer Engine'!$C$2:$C$1960,0)),"",INDEX('Compliance Database'!$B$2:$B$1960,MATCH(225,'Transfer Engine'!$C$2:$C$1960,0)))</f>
        <v/>
      </c>
      <c r="C234" s="8">
        <f>IF(ISNA(MATCH(225,'Transfer Engine'!$C$2:$C$1960,0)),"",INDEX('Compliance Database'!$C$2:$C$1960,MATCH(225,'Transfer Engine'!$C$2:$C$1960,0)))</f>
        <v/>
      </c>
      <c r="D234" s="9">
        <f>IF(ISNA(MATCH(225,'Transfer Engine'!$C$2:$C$1960,0)),"",INDEX('Compliance Database'!$D$2:$D$1960,MATCH(225,'Transfer Engine'!$C$2:$C$1960,0)))</f>
        <v/>
      </c>
      <c r="E234" s="8">
        <f>IF(ISNA(MATCH(225,'Transfer Engine'!$C$2:$C$1960,0)),"",INDEX('Compliance Database'!$E$2:$E$1960,MATCH(225,'Transfer Engine'!$C$2:$C$1960,0)))</f>
        <v/>
      </c>
      <c r="F234" s="8">
        <f>IF(ISNA(MATCH(225,'Transfer Engine'!$C$2:$C$1960,0)),"",INDEX('Compliance Database'!$F$2:$F$1960,MATCH(225,'Transfer Engine'!$C$2:$C$1960,0)))</f>
        <v/>
      </c>
      <c r="G234" s="8">
        <f>IF(ISNA(MATCH(225,'Transfer Engine'!$C$2:$C$1960,0)),"",INDEX('Compliance Database'!$G$2:$G$1960,MATCH(225,'Transfer Engine'!$C$2:$C$1960,0)))</f>
        <v/>
      </c>
      <c r="H234" s="9">
        <f>IF(ISNA(MATCH(225,'Transfer Engine'!$C$2:$C$1960,0)),"",INDEX('Compliance Database'!$H$2:$H$1960,MATCH(225,'Transfer Engine'!$C$2:$C$1960,0)))</f>
        <v/>
      </c>
      <c r="I234" s="9">
        <f>IF(ISNA(MATCH(225,'Transfer Engine'!$C$2:$C$1960,0)),"",INDEX('Compliance Database'!$I$2:$I$1960,MATCH(225,'Transfer Engine'!$C$2:$C$1960,0)))</f>
        <v/>
      </c>
      <c r="J234" s="8">
        <f>IF(ISNA(MATCH(225,'Transfer Engine'!$C$2:$C$1960,0)),"",INDEX('Compliance Database'!$J$2:$J$1960,MATCH(225,'Transfer Engine'!$C$2:$C$1960,0)))</f>
        <v/>
      </c>
      <c r="K234" s="9">
        <f>IF(ISNA(MATCH(225,'Transfer Engine'!$C$2:$C$1960,0)),"",INDEX('Compliance Database'!$K$2:$K$1960,MATCH(225,'Transfer Engine'!$C$2:$C$1960,0)))</f>
        <v/>
      </c>
      <c r="L234" s="9">
        <f>IF(ISNA(MATCH(225,'Transfer Engine'!$C$2:$C$1960,0)),"",INDEX('Compliance Database'!$L$2:$L$1960,MATCH(225,'Transfer Engine'!$C$2:$C$1960,0)))</f>
        <v/>
      </c>
      <c r="M234" s="9">
        <f>IF(ISNA(MATCH(225,'Transfer Engine'!$C$2:$C$1960,0)),"",INDEX('Compliance Database'!$M$2:$M$1960,MATCH(225,'Transfer Engine'!$C$2:$C$1960,0)))</f>
        <v/>
      </c>
      <c r="N234" s="9">
        <f>IF(ISNA(MATCH(225,'Transfer Engine'!$C$2:$C$1960,0)),"",INDEX('Compliance Database'!$N$2:$N$1960,MATCH(225,'Transfer Engine'!$C$2:$C$1960,0)))</f>
        <v/>
      </c>
      <c r="O234" s="9">
        <f>IF(ISNA(MATCH(225,'Transfer Engine'!$C$2:$C$1960,0)),"",INDEX('Compliance Database'!$O$2:$O$1960,MATCH(225,'Transfer Engine'!$C$2:$C$1960,0)))</f>
        <v/>
      </c>
      <c r="P234" s="8">
        <f>IF(ISNA(MATCH(225,'Transfer Engine'!$C$2:$C$1960,0)),"",HYPERLINK("#Acts!A"&amp;INDEX('Compliance Database'!$P$2:$P$1960,MATCH(225,'Transfer Engine'!$C$2:$C$1960,0)),"Go to Act"))</f>
        <v/>
      </c>
    </row>
    <row r="235" ht="158" customHeight="1">
      <c r="A235" s="8">
        <f>IF(ISNA(MATCH(226,'Transfer Engine'!$C$2:$C$1960,0)),"",INDEX('Compliance Database'!$A$2:$A$1960,MATCH(226,'Transfer Engine'!$C$2:$C$1960,0)))</f>
        <v/>
      </c>
      <c r="B235" s="8">
        <f>IF(ISNA(MATCH(226,'Transfer Engine'!$C$2:$C$1960,0)),"",INDEX('Compliance Database'!$B$2:$B$1960,MATCH(226,'Transfer Engine'!$C$2:$C$1960,0)))</f>
        <v/>
      </c>
      <c r="C235" s="8">
        <f>IF(ISNA(MATCH(226,'Transfer Engine'!$C$2:$C$1960,0)),"",INDEX('Compliance Database'!$C$2:$C$1960,MATCH(226,'Transfer Engine'!$C$2:$C$1960,0)))</f>
        <v/>
      </c>
      <c r="D235" s="9">
        <f>IF(ISNA(MATCH(226,'Transfer Engine'!$C$2:$C$1960,0)),"",INDEX('Compliance Database'!$D$2:$D$1960,MATCH(226,'Transfer Engine'!$C$2:$C$1960,0)))</f>
        <v/>
      </c>
      <c r="E235" s="8">
        <f>IF(ISNA(MATCH(226,'Transfer Engine'!$C$2:$C$1960,0)),"",INDEX('Compliance Database'!$E$2:$E$1960,MATCH(226,'Transfer Engine'!$C$2:$C$1960,0)))</f>
        <v/>
      </c>
      <c r="F235" s="8">
        <f>IF(ISNA(MATCH(226,'Transfer Engine'!$C$2:$C$1960,0)),"",INDEX('Compliance Database'!$F$2:$F$1960,MATCH(226,'Transfer Engine'!$C$2:$C$1960,0)))</f>
        <v/>
      </c>
      <c r="G235" s="8">
        <f>IF(ISNA(MATCH(226,'Transfer Engine'!$C$2:$C$1960,0)),"",INDEX('Compliance Database'!$G$2:$G$1960,MATCH(226,'Transfer Engine'!$C$2:$C$1960,0)))</f>
        <v/>
      </c>
      <c r="H235" s="9">
        <f>IF(ISNA(MATCH(226,'Transfer Engine'!$C$2:$C$1960,0)),"",INDEX('Compliance Database'!$H$2:$H$1960,MATCH(226,'Transfer Engine'!$C$2:$C$1960,0)))</f>
        <v/>
      </c>
      <c r="I235" s="9">
        <f>IF(ISNA(MATCH(226,'Transfer Engine'!$C$2:$C$1960,0)),"",INDEX('Compliance Database'!$I$2:$I$1960,MATCH(226,'Transfer Engine'!$C$2:$C$1960,0)))</f>
        <v/>
      </c>
      <c r="J235" s="8">
        <f>IF(ISNA(MATCH(226,'Transfer Engine'!$C$2:$C$1960,0)),"",INDEX('Compliance Database'!$J$2:$J$1960,MATCH(226,'Transfer Engine'!$C$2:$C$1960,0)))</f>
        <v/>
      </c>
      <c r="K235" s="9">
        <f>IF(ISNA(MATCH(226,'Transfer Engine'!$C$2:$C$1960,0)),"",INDEX('Compliance Database'!$K$2:$K$1960,MATCH(226,'Transfer Engine'!$C$2:$C$1960,0)))</f>
        <v/>
      </c>
      <c r="L235" s="9">
        <f>IF(ISNA(MATCH(226,'Transfer Engine'!$C$2:$C$1960,0)),"",INDEX('Compliance Database'!$L$2:$L$1960,MATCH(226,'Transfer Engine'!$C$2:$C$1960,0)))</f>
        <v/>
      </c>
      <c r="M235" s="9">
        <f>IF(ISNA(MATCH(226,'Transfer Engine'!$C$2:$C$1960,0)),"",INDEX('Compliance Database'!$M$2:$M$1960,MATCH(226,'Transfer Engine'!$C$2:$C$1960,0)))</f>
        <v/>
      </c>
      <c r="N235" s="9">
        <f>IF(ISNA(MATCH(226,'Transfer Engine'!$C$2:$C$1960,0)),"",INDEX('Compliance Database'!$N$2:$N$1960,MATCH(226,'Transfer Engine'!$C$2:$C$1960,0)))</f>
        <v/>
      </c>
      <c r="O235" s="9">
        <f>IF(ISNA(MATCH(226,'Transfer Engine'!$C$2:$C$1960,0)),"",INDEX('Compliance Database'!$O$2:$O$1960,MATCH(226,'Transfer Engine'!$C$2:$C$1960,0)))</f>
        <v/>
      </c>
      <c r="P235" s="8">
        <f>IF(ISNA(MATCH(226,'Transfer Engine'!$C$2:$C$1960,0)),"",HYPERLINK("#Acts!A"&amp;INDEX('Compliance Database'!$P$2:$P$1960,MATCH(226,'Transfer Engine'!$C$2:$C$1960,0)),"Go to Act"))</f>
        <v/>
      </c>
    </row>
    <row r="236" ht="158" customHeight="1">
      <c r="A236" s="8">
        <f>IF(ISNA(MATCH(227,'Transfer Engine'!$C$2:$C$1960,0)),"",INDEX('Compliance Database'!$A$2:$A$1960,MATCH(227,'Transfer Engine'!$C$2:$C$1960,0)))</f>
        <v/>
      </c>
      <c r="B236" s="8">
        <f>IF(ISNA(MATCH(227,'Transfer Engine'!$C$2:$C$1960,0)),"",INDEX('Compliance Database'!$B$2:$B$1960,MATCH(227,'Transfer Engine'!$C$2:$C$1960,0)))</f>
        <v/>
      </c>
      <c r="C236" s="8">
        <f>IF(ISNA(MATCH(227,'Transfer Engine'!$C$2:$C$1960,0)),"",INDEX('Compliance Database'!$C$2:$C$1960,MATCH(227,'Transfer Engine'!$C$2:$C$1960,0)))</f>
        <v/>
      </c>
      <c r="D236" s="9">
        <f>IF(ISNA(MATCH(227,'Transfer Engine'!$C$2:$C$1960,0)),"",INDEX('Compliance Database'!$D$2:$D$1960,MATCH(227,'Transfer Engine'!$C$2:$C$1960,0)))</f>
        <v/>
      </c>
      <c r="E236" s="8">
        <f>IF(ISNA(MATCH(227,'Transfer Engine'!$C$2:$C$1960,0)),"",INDEX('Compliance Database'!$E$2:$E$1960,MATCH(227,'Transfer Engine'!$C$2:$C$1960,0)))</f>
        <v/>
      </c>
      <c r="F236" s="8">
        <f>IF(ISNA(MATCH(227,'Transfer Engine'!$C$2:$C$1960,0)),"",INDEX('Compliance Database'!$F$2:$F$1960,MATCH(227,'Transfer Engine'!$C$2:$C$1960,0)))</f>
        <v/>
      </c>
      <c r="G236" s="8">
        <f>IF(ISNA(MATCH(227,'Transfer Engine'!$C$2:$C$1960,0)),"",INDEX('Compliance Database'!$G$2:$G$1960,MATCH(227,'Transfer Engine'!$C$2:$C$1960,0)))</f>
        <v/>
      </c>
      <c r="H236" s="9">
        <f>IF(ISNA(MATCH(227,'Transfer Engine'!$C$2:$C$1960,0)),"",INDEX('Compliance Database'!$H$2:$H$1960,MATCH(227,'Transfer Engine'!$C$2:$C$1960,0)))</f>
        <v/>
      </c>
      <c r="I236" s="9">
        <f>IF(ISNA(MATCH(227,'Transfer Engine'!$C$2:$C$1960,0)),"",INDEX('Compliance Database'!$I$2:$I$1960,MATCH(227,'Transfer Engine'!$C$2:$C$1960,0)))</f>
        <v/>
      </c>
      <c r="J236" s="8">
        <f>IF(ISNA(MATCH(227,'Transfer Engine'!$C$2:$C$1960,0)),"",INDEX('Compliance Database'!$J$2:$J$1960,MATCH(227,'Transfer Engine'!$C$2:$C$1960,0)))</f>
        <v/>
      </c>
      <c r="K236" s="9">
        <f>IF(ISNA(MATCH(227,'Transfer Engine'!$C$2:$C$1960,0)),"",INDEX('Compliance Database'!$K$2:$K$1960,MATCH(227,'Transfer Engine'!$C$2:$C$1960,0)))</f>
        <v/>
      </c>
      <c r="L236" s="9">
        <f>IF(ISNA(MATCH(227,'Transfer Engine'!$C$2:$C$1960,0)),"",INDEX('Compliance Database'!$L$2:$L$1960,MATCH(227,'Transfer Engine'!$C$2:$C$1960,0)))</f>
        <v/>
      </c>
      <c r="M236" s="9">
        <f>IF(ISNA(MATCH(227,'Transfer Engine'!$C$2:$C$1960,0)),"",INDEX('Compliance Database'!$M$2:$M$1960,MATCH(227,'Transfer Engine'!$C$2:$C$1960,0)))</f>
        <v/>
      </c>
      <c r="N236" s="9">
        <f>IF(ISNA(MATCH(227,'Transfer Engine'!$C$2:$C$1960,0)),"",INDEX('Compliance Database'!$N$2:$N$1960,MATCH(227,'Transfer Engine'!$C$2:$C$1960,0)))</f>
        <v/>
      </c>
      <c r="O236" s="9">
        <f>IF(ISNA(MATCH(227,'Transfer Engine'!$C$2:$C$1960,0)),"",INDEX('Compliance Database'!$O$2:$O$1960,MATCH(227,'Transfer Engine'!$C$2:$C$1960,0)))</f>
        <v/>
      </c>
      <c r="P236" s="8">
        <f>IF(ISNA(MATCH(227,'Transfer Engine'!$C$2:$C$1960,0)),"",HYPERLINK("#Acts!A"&amp;INDEX('Compliance Database'!$P$2:$P$1960,MATCH(227,'Transfer Engine'!$C$2:$C$1960,0)),"Go to Act"))</f>
        <v/>
      </c>
    </row>
    <row r="237" ht="158" customHeight="1">
      <c r="A237" s="8">
        <f>IF(ISNA(MATCH(228,'Transfer Engine'!$C$2:$C$1960,0)),"",INDEX('Compliance Database'!$A$2:$A$1960,MATCH(228,'Transfer Engine'!$C$2:$C$1960,0)))</f>
        <v/>
      </c>
      <c r="B237" s="8">
        <f>IF(ISNA(MATCH(228,'Transfer Engine'!$C$2:$C$1960,0)),"",INDEX('Compliance Database'!$B$2:$B$1960,MATCH(228,'Transfer Engine'!$C$2:$C$1960,0)))</f>
        <v/>
      </c>
      <c r="C237" s="8">
        <f>IF(ISNA(MATCH(228,'Transfer Engine'!$C$2:$C$1960,0)),"",INDEX('Compliance Database'!$C$2:$C$1960,MATCH(228,'Transfer Engine'!$C$2:$C$1960,0)))</f>
        <v/>
      </c>
      <c r="D237" s="9">
        <f>IF(ISNA(MATCH(228,'Transfer Engine'!$C$2:$C$1960,0)),"",INDEX('Compliance Database'!$D$2:$D$1960,MATCH(228,'Transfer Engine'!$C$2:$C$1960,0)))</f>
        <v/>
      </c>
      <c r="E237" s="8">
        <f>IF(ISNA(MATCH(228,'Transfer Engine'!$C$2:$C$1960,0)),"",INDEX('Compliance Database'!$E$2:$E$1960,MATCH(228,'Transfer Engine'!$C$2:$C$1960,0)))</f>
        <v/>
      </c>
      <c r="F237" s="8">
        <f>IF(ISNA(MATCH(228,'Transfer Engine'!$C$2:$C$1960,0)),"",INDEX('Compliance Database'!$F$2:$F$1960,MATCH(228,'Transfer Engine'!$C$2:$C$1960,0)))</f>
        <v/>
      </c>
      <c r="G237" s="8">
        <f>IF(ISNA(MATCH(228,'Transfer Engine'!$C$2:$C$1960,0)),"",INDEX('Compliance Database'!$G$2:$G$1960,MATCH(228,'Transfer Engine'!$C$2:$C$1960,0)))</f>
        <v/>
      </c>
      <c r="H237" s="9">
        <f>IF(ISNA(MATCH(228,'Transfer Engine'!$C$2:$C$1960,0)),"",INDEX('Compliance Database'!$H$2:$H$1960,MATCH(228,'Transfer Engine'!$C$2:$C$1960,0)))</f>
        <v/>
      </c>
      <c r="I237" s="9">
        <f>IF(ISNA(MATCH(228,'Transfer Engine'!$C$2:$C$1960,0)),"",INDEX('Compliance Database'!$I$2:$I$1960,MATCH(228,'Transfer Engine'!$C$2:$C$1960,0)))</f>
        <v/>
      </c>
      <c r="J237" s="8">
        <f>IF(ISNA(MATCH(228,'Transfer Engine'!$C$2:$C$1960,0)),"",INDEX('Compliance Database'!$J$2:$J$1960,MATCH(228,'Transfer Engine'!$C$2:$C$1960,0)))</f>
        <v/>
      </c>
      <c r="K237" s="9">
        <f>IF(ISNA(MATCH(228,'Transfer Engine'!$C$2:$C$1960,0)),"",INDEX('Compliance Database'!$K$2:$K$1960,MATCH(228,'Transfer Engine'!$C$2:$C$1960,0)))</f>
        <v/>
      </c>
      <c r="L237" s="9">
        <f>IF(ISNA(MATCH(228,'Transfer Engine'!$C$2:$C$1960,0)),"",INDEX('Compliance Database'!$L$2:$L$1960,MATCH(228,'Transfer Engine'!$C$2:$C$1960,0)))</f>
        <v/>
      </c>
      <c r="M237" s="9">
        <f>IF(ISNA(MATCH(228,'Transfer Engine'!$C$2:$C$1960,0)),"",INDEX('Compliance Database'!$M$2:$M$1960,MATCH(228,'Transfer Engine'!$C$2:$C$1960,0)))</f>
        <v/>
      </c>
      <c r="N237" s="9">
        <f>IF(ISNA(MATCH(228,'Transfer Engine'!$C$2:$C$1960,0)),"",INDEX('Compliance Database'!$N$2:$N$1960,MATCH(228,'Transfer Engine'!$C$2:$C$1960,0)))</f>
        <v/>
      </c>
      <c r="O237" s="9">
        <f>IF(ISNA(MATCH(228,'Transfer Engine'!$C$2:$C$1960,0)),"",INDEX('Compliance Database'!$O$2:$O$1960,MATCH(228,'Transfer Engine'!$C$2:$C$1960,0)))</f>
        <v/>
      </c>
      <c r="P237" s="8">
        <f>IF(ISNA(MATCH(228,'Transfer Engine'!$C$2:$C$1960,0)),"",HYPERLINK("#Acts!A"&amp;INDEX('Compliance Database'!$P$2:$P$1960,MATCH(228,'Transfer Engine'!$C$2:$C$1960,0)),"Go to Act"))</f>
        <v/>
      </c>
    </row>
    <row r="238" ht="158" customHeight="1">
      <c r="A238" s="8">
        <f>IF(ISNA(MATCH(229,'Transfer Engine'!$C$2:$C$1960,0)),"",INDEX('Compliance Database'!$A$2:$A$1960,MATCH(229,'Transfer Engine'!$C$2:$C$1960,0)))</f>
        <v/>
      </c>
      <c r="B238" s="8">
        <f>IF(ISNA(MATCH(229,'Transfer Engine'!$C$2:$C$1960,0)),"",INDEX('Compliance Database'!$B$2:$B$1960,MATCH(229,'Transfer Engine'!$C$2:$C$1960,0)))</f>
        <v/>
      </c>
      <c r="C238" s="8">
        <f>IF(ISNA(MATCH(229,'Transfer Engine'!$C$2:$C$1960,0)),"",INDEX('Compliance Database'!$C$2:$C$1960,MATCH(229,'Transfer Engine'!$C$2:$C$1960,0)))</f>
        <v/>
      </c>
      <c r="D238" s="9">
        <f>IF(ISNA(MATCH(229,'Transfer Engine'!$C$2:$C$1960,0)),"",INDEX('Compliance Database'!$D$2:$D$1960,MATCH(229,'Transfer Engine'!$C$2:$C$1960,0)))</f>
        <v/>
      </c>
      <c r="E238" s="8">
        <f>IF(ISNA(MATCH(229,'Transfer Engine'!$C$2:$C$1960,0)),"",INDEX('Compliance Database'!$E$2:$E$1960,MATCH(229,'Transfer Engine'!$C$2:$C$1960,0)))</f>
        <v/>
      </c>
      <c r="F238" s="8">
        <f>IF(ISNA(MATCH(229,'Transfer Engine'!$C$2:$C$1960,0)),"",INDEX('Compliance Database'!$F$2:$F$1960,MATCH(229,'Transfer Engine'!$C$2:$C$1960,0)))</f>
        <v/>
      </c>
      <c r="G238" s="8">
        <f>IF(ISNA(MATCH(229,'Transfer Engine'!$C$2:$C$1960,0)),"",INDEX('Compliance Database'!$G$2:$G$1960,MATCH(229,'Transfer Engine'!$C$2:$C$1960,0)))</f>
        <v/>
      </c>
      <c r="H238" s="9">
        <f>IF(ISNA(MATCH(229,'Transfer Engine'!$C$2:$C$1960,0)),"",INDEX('Compliance Database'!$H$2:$H$1960,MATCH(229,'Transfer Engine'!$C$2:$C$1960,0)))</f>
        <v/>
      </c>
      <c r="I238" s="9">
        <f>IF(ISNA(MATCH(229,'Transfer Engine'!$C$2:$C$1960,0)),"",INDEX('Compliance Database'!$I$2:$I$1960,MATCH(229,'Transfer Engine'!$C$2:$C$1960,0)))</f>
        <v/>
      </c>
      <c r="J238" s="8">
        <f>IF(ISNA(MATCH(229,'Transfer Engine'!$C$2:$C$1960,0)),"",INDEX('Compliance Database'!$J$2:$J$1960,MATCH(229,'Transfer Engine'!$C$2:$C$1960,0)))</f>
        <v/>
      </c>
      <c r="K238" s="9">
        <f>IF(ISNA(MATCH(229,'Transfer Engine'!$C$2:$C$1960,0)),"",INDEX('Compliance Database'!$K$2:$K$1960,MATCH(229,'Transfer Engine'!$C$2:$C$1960,0)))</f>
        <v/>
      </c>
      <c r="L238" s="9">
        <f>IF(ISNA(MATCH(229,'Transfer Engine'!$C$2:$C$1960,0)),"",INDEX('Compliance Database'!$L$2:$L$1960,MATCH(229,'Transfer Engine'!$C$2:$C$1960,0)))</f>
        <v/>
      </c>
      <c r="M238" s="9">
        <f>IF(ISNA(MATCH(229,'Transfer Engine'!$C$2:$C$1960,0)),"",INDEX('Compliance Database'!$M$2:$M$1960,MATCH(229,'Transfer Engine'!$C$2:$C$1960,0)))</f>
        <v/>
      </c>
      <c r="N238" s="9">
        <f>IF(ISNA(MATCH(229,'Transfer Engine'!$C$2:$C$1960,0)),"",INDEX('Compliance Database'!$N$2:$N$1960,MATCH(229,'Transfer Engine'!$C$2:$C$1960,0)))</f>
        <v/>
      </c>
      <c r="O238" s="9">
        <f>IF(ISNA(MATCH(229,'Transfer Engine'!$C$2:$C$1960,0)),"",INDEX('Compliance Database'!$O$2:$O$1960,MATCH(229,'Transfer Engine'!$C$2:$C$1960,0)))</f>
        <v/>
      </c>
      <c r="P238" s="8">
        <f>IF(ISNA(MATCH(229,'Transfer Engine'!$C$2:$C$1960,0)),"",HYPERLINK("#Acts!A"&amp;INDEX('Compliance Database'!$P$2:$P$1960,MATCH(229,'Transfer Engine'!$C$2:$C$1960,0)),"Go to Act"))</f>
        <v/>
      </c>
    </row>
    <row r="239" ht="158" customHeight="1">
      <c r="A239" s="8">
        <f>IF(ISNA(MATCH(230,'Transfer Engine'!$C$2:$C$1960,0)),"",INDEX('Compliance Database'!$A$2:$A$1960,MATCH(230,'Transfer Engine'!$C$2:$C$1960,0)))</f>
        <v/>
      </c>
      <c r="B239" s="8">
        <f>IF(ISNA(MATCH(230,'Transfer Engine'!$C$2:$C$1960,0)),"",INDEX('Compliance Database'!$B$2:$B$1960,MATCH(230,'Transfer Engine'!$C$2:$C$1960,0)))</f>
        <v/>
      </c>
      <c r="C239" s="8">
        <f>IF(ISNA(MATCH(230,'Transfer Engine'!$C$2:$C$1960,0)),"",INDEX('Compliance Database'!$C$2:$C$1960,MATCH(230,'Transfer Engine'!$C$2:$C$1960,0)))</f>
        <v/>
      </c>
      <c r="D239" s="9">
        <f>IF(ISNA(MATCH(230,'Transfer Engine'!$C$2:$C$1960,0)),"",INDEX('Compliance Database'!$D$2:$D$1960,MATCH(230,'Transfer Engine'!$C$2:$C$1960,0)))</f>
        <v/>
      </c>
      <c r="E239" s="8">
        <f>IF(ISNA(MATCH(230,'Transfer Engine'!$C$2:$C$1960,0)),"",INDEX('Compliance Database'!$E$2:$E$1960,MATCH(230,'Transfer Engine'!$C$2:$C$1960,0)))</f>
        <v/>
      </c>
      <c r="F239" s="8">
        <f>IF(ISNA(MATCH(230,'Transfer Engine'!$C$2:$C$1960,0)),"",INDEX('Compliance Database'!$F$2:$F$1960,MATCH(230,'Transfer Engine'!$C$2:$C$1960,0)))</f>
        <v/>
      </c>
      <c r="G239" s="8">
        <f>IF(ISNA(MATCH(230,'Transfer Engine'!$C$2:$C$1960,0)),"",INDEX('Compliance Database'!$G$2:$G$1960,MATCH(230,'Transfer Engine'!$C$2:$C$1960,0)))</f>
        <v/>
      </c>
      <c r="H239" s="9">
        <f>IF(ISNA(MATCH(230,'Transfer Engine'!$C$2:$C$1960,0)),"",INDEX('Compliance Database'!$H$2:$H$1960,MATCH(230,'Transfer Engine'!$C$2:$C$1960,0)))</f>
        <v/>
      </c>
      <c r="I239" s="9">
        <f>IF(ISNA(MATCH(230,'Transfer Engine'!$C$2:$C$1960,0)),"",INDEX('Compliance Database'!$I$2:$I$1960,MATCH(230,'Transfer Engine'!$C$2:$C$1960,0)))</f>
        <v/>
      </c>
      <c r="J239" s="8">
        <f>IF(ISNA(MATCH(230,'Transfer Engine'!$C$2:$C$1960,0)),"",INDEX('Compliance Database'!$J$2:$J$1960,MATCH(230,'Transfer Engine'!$C$2:$C$1960,0)))</f>
        <v/>
      </c>
      <c r="K239" s="9">
        <f>IF(ISNA(MATCH(230,'Transfer Engine'!$C$2:$C$1960,0)),"",INDEX('Compliance Database'!$K$2:$K$1960,MATCH(230,'Transfer Engine'!$C$2:$C$1960,0)))</f>
        <v/>
      </c>
      <c r="L239" s="9">
        <f>IF(ISNA(MATCH(230,'Transfer Engine'!$C$2:$C$1960,0)),"",INDEX('Compliance Database'!$L$2:$L$1960,MATCH(230,'Transfer Engine'!$C$2:$C$1960,0)))</f>
        <v/>
      </c>
      <c r="M239" s="9">
        <f>IF(ISNA(MATCH(230,'Transfer Engine'!$C$2:$C$1960,0)),"",INDEX('Compliance Database'!$M$2:$M$1960,MATCH(230,'Transfer Engine'!$C$2:$C$1960,0)))</f>
        <v/>
      </c>
      <c r="N239" s="9">
        <f>IF(ISNA(MATCH(230,'Transfer Engine'!$C$2:$C$1960,0)),"",INDEX('Compliance Database'!$N$2:$N$1960,MATCH(230,'Transfer Engine'!$C$2:$C$1960,0)))</f>
        <v/>
      </c>
      <c r="O239" s="9">
        <f>IF(ISNA(MATCH(230,'Transfer Engine'!$C$2:$C$1960,0)),"",INDEX('Compliance Database'!$O$2:$O$1960,MATCH(230,'Transfer Engine'!$C$2:$C$1960,0)))</f>
        <v/>
      </c>
      <c r="P239" s="8">
        <f>IF(ISNA(MATCH(230,'Transfer Engine'!$C$2:$C$1960,0)),"",HYPERLINK("#Acts!A"&amp;INDEX('Compliance Database'!$P$2:$P$1960,MATCH(230,'Transfer Engine'!$C$2:$C$1960,0)),"Go to Act"))</f>
        <v/>
      </c>
    </row>
    <row r="240" ht="158" customHeight="1">
      <c r="A240" s="8">
        <f>IF(ISNA(MATCH(231,'Transfer Engine'!$C$2:$C$1960,0)),"",INDEX('Compliance Database'!$A$2:$A$1960,MATCH(231,'Transfer Engine'!$C$2:$C$1960,0)))</f>
        <v/>
      </c>
      <c r="B240" s="8">
        <f>IF(ISNA(MATCH(231,'Transfer Engine'!$C$2:$C$1960,0)),"",INDEX('Compliance Database'!$B$2:$B$1960,MATCH(231,'Transfer Engine'!$C$2:$C$1960,0)))</f>
        <v/>
      </c>
      <c r="C240" s="8">
        <f>IF(ISNA(MATCH(231,'Transfer Engine'!$C$2:$C$1960,0)),"",INDEX('Compliance Database'!$C$2:$C$1960,MATCH(231,'Transfer Engine'!$C$2:$C$1960,0)))</f>
        <v/>
      </c>
      <c r="D240" s="9">
        <f>IF(ISNA(MATCH(231,'Transfer Engine'!$C$2:$C$1960,0)),"",INDEX('Compliance Database'!$D$2:$D$1960,MATCH(231,'Transfer Engine'!$C$2:$C$1960,0)))</f>
        <v/>
      </c>
      <c r="E240" s="8">
        <f>IF(ISNA(MATCH(231,'Transfer Engine'!$C$2:$C$1960,0)),"",INDEX('Compliance Database'!$E$2:$E$1960,MATCH(231,'Transfer Engine'!$C$2:$C$1960,0)))</f>
        <v/>
      </c>
      <c r="F240" s="8">
        <f>IF(ISNA(MATCH(231,'Transfer Engine'!$C$2:$C$1960,0)),"",INDEX('Compliance Database'!$F$2:$F$1960,MATCH(231,'Transfer Engine'!$C$2:$C$1960,0)))</f>
        <v/>
      </c>
      <c r="G240" s="8">
        <f>IF(ISNA(MATCH(231,'Transfer Engine'!$C$2:$C$1960,0)),"",INDEX('Compliance Database'!$G$2:$G$1960,MATCH(231,'Transfer Engine'!$C$2:$C$1960,0)))</f>
        <v/>
      </c>
      <c r="H240" s="9">
        <f>IF(ISNA(MATCH(231,'Transfer Engine'!$C$2:$C$1960,0)),"",INDEX('Compliance Database'!$H$2:$H$1960,MATCH(231,'Transfer Engine'!$C$2:$C$1960,0)))</f>
        <v/>
      </c>
      <c r="I240" s="9">
        <f>IF(ISNA(MATCH(231,'Transfer Engine'!$C$2:$C$1960,0)),"",INDEX('Compliance Database'!$I$2:$I$1960,MATCH(231,'Transfer Engine'!$C$2:$C$1960,0)))</f>
        <v/>
      </c>
      <c r="J240" s="8">
        <f>IF(ISNA(MATCH(231,'Transfer Engine'!$C$2:$C$1960,0)),"",INDEX('Compliance Database'!$J$2:$J$1960,MATCH(231,'Transfer Engine'!$C$2:$C$1960,0)))</f>
        <v/>
      </c>
      <c r="K240" s="9">
        <f>IF(ISNA(MATCH(231,'Transfer Engine'!$C$2:$C$1960,0)),"",INDEX('Compliance Database'!$K$2:$K$1960,MATCH(231,'Transfer Engine'!$C$2:$C$1960,0)))</f>
        <v/>
      </c>
      <c r="L240" s="9">
        <f>IF(ISNA(MATCH(231,'Transfer Engine'!$C$2:$C$1960,0)),"",INDEX('Compliance Database'!$L$2:$L$1960,MATCH(231,'Transfer Engine'!$C$2:$C$1960,0)))</f>
        <v/>
      </c>
      <c r="M240" s="9">
        <f>IF(ISNA(MATCH(231,'Transfer Engine'!$C$2:$C$1960,0)),"",INDEX('Compliance Database'!$M$2:$M$1960,MATCH(231,'Transfer Engine'!$C$2:$C$1960,0)))</f>
        <v/>
      </c>
      <c r="N240" s="9">
        <f>IF(ISNA(MATCH(231,'Transfer Engine'!$C$2:$C$1960,0)),"",INDEX('Compliance Database'!$N$2:$N$1960,MATCH(231,'Transfer Engine'!$C$2:$C$1960,0)))</f>
        <v/>
      </c>
      <c r="O240" s="9">
        <f>IF(ISNA(MATCH(231,'Transfer Engine'!$C$2:$C$1960,0)),"",INDEX('Compliance Database'!$O$2:$O$1960,MATCH(231,'Transfer Engine'!$C$2:$C$1960,0)))</f>
        <v/>
      </c>
      <c r="P240" s="8">
        <f>IF(ISNA(MATCH(231,'Transfer Engine'!$C$2:$C$1960,0)),"",HYPERLINK("#Acts!A"&amp;INDEX('Compliance Database'!$P$2:$P$1960,MATCH(231,'Transfer Engine'!$C$2:$C$1960,0)),"Go to Act"))</f>
        <v/>
      </c>
    </row>
    <row r="241" ht="158" customHeight="1">
      <c r="A241" s="8">
        <f>IF(ISNA(MATCH(232,'Transfer Engine'!$C$2:$C$1960,0)),"",INDEX('Compliance Database'!$A$2:$A$1960,MATCH(232,'Transfer Engine'!$C$2:$C$1960,0)))</f>
        <v/>
      </c>
      <c r="B241" s="8">
        <f>IF(ISNA(MATCH(232,'Transfer Engine'!$C$2:$C$1960,0)),"",INDEX('Compliance Database'!$B$2:$B$1960,MATCH(232,'Transfer Engine'!$C$2:$C$1960,0)))</f>
        <v/>
      </c>
      <c r="C241" s="8">
        <f>IF(ISNA(MATCH(232,'Transfer Engine'!$C$2:$C$1960,0)),"",INDEX('Compliance Database'!$C$2:$C$1960,MATCH(232,'Transfer Engine'!$C$2:$C$1960,0)))</f>
        <v/>
      </c>
      <c r="D241" s="9">
        <f>IF(ISNA(MATCH(232,'Transfer Engine'!$C$2:$C$1960,0)),"",INDEX('Compliance Database'!$D$2:$D$1960,MATCH(232,'Transfer Engine'!$C$2:$C$1960,0)))</f>
        <v/>
      </c>
      <c r="E241" s="8">
        <f>IF(ISNA(MATCH(232,'Transfer Engine'!$C$2:$C$1960,0)),"",INDEX('Compliance Database'!$E$2:$E$1960,MATCH(232,'Transfer Engine'!$C$2:$C$1960,0)))</f>
        <v/>
      </c>
      <c r="F241" s="8">
        <f>IF(ISNA(MATCH(232,'Transfer Engine'!$C$2:$C$1960,0)),"",INDEX('Compliance Database'!$F$2:$F$1960,MATCH(232,'Transfer Engine'!$C$2:$C$1960,0)))</f>
        <v/>
      </c>
      <c r="G241" s="8">
        <f>IF(ISNA(MATCH(232,'Transfer Engine'!$C$2:$C$1960,0)),"",INDEX('Compliance Database'!$G$2:$G$1960,MATCH(232,'Transfer Engine'!$C$2:$C$1960,0)))</f>
        <v/>
      </c>
      <c r="H241" s="9">
        <f>IF(ISNA(MATCH(232,'Transfer Engine'!$C$2:$C$1960,0)),"",INDEX('Compliance Database'!$H$2:$H$1960,MATCH(232,'Transfer Engine'!$C$2:$C$1960,0)))</f>
        <v/>
      </c>
      <c r="I241" s="9">
        <f>IF(ISNA(MATCH(232,'Transfer Engine'!$C$2:$C$1960,0)),"",INDEX('Compliance Database'!$I$2:$I$1960,MATCH(232,'Transfer Engine'!$C$2:$C$1960,0)))</f>
        <v/>
      </c>
      <c r="J241" s="8">
        <f>IF(ISNA(MATCH(232,'Transfer Engine'!$C$2:$C$1960,0)),"",INDEX('Compliance Database'!$J$2:$J$1960,MATCH(232,'Transfer Engine'!$C$2:$C$1960,0)))</f>
        <v/>
      </c>
      <c r="K241" s="9">
        <f>IF(ISNA(MATCH(232,'Transfer Engine'!$C$2:$C$1960,0)),"",INDEX('Compliance Database'!$K$2:$K$1960,MATCH(232,'Transfer Engine'!$C$2:$C$1960,0)))</f>
        <v/>
      </c>
      <c r="L241" s="9">
        <f>IF(ISNA(MATCH(232,'Transfer Engine'!$C$2:$C$1960,0)),"",INDEX('Compliance Database'!$L$2:$L$1960,MATCH(232,'Transfer Engine'!$C$2:$C$1960,0)))</f>
        <v/>
      </c>
      <c r="M241" s="9">
        <f>IF(ISNA(MATCH(232,'Transfer Engine'!$C$2:$C$1960,0)),"",INDEX('Compliance Database'!$M$2:$M$1960,MATCH(232,'Transfer Engine'!$C$2:$C$1960,0)))</f>
        <v/>
      </c>
      <c r="N241" s="9">
        <f>IF(ISNA(MATCH(232,'Transfer Engine'!$C$2:$C$1960,0)),"",INDEX('Compliance Database'!$N$2:$N$1960,MATCH(232,'Transfer Engine'!$C$2:$C$1960,0)))</f>
        <v/>
      </c>
      <c r="O241" s="9">
        <f>IF(ISNA(MATCH(232,'Transfer Engine'!$C$2:$C$1960,0)),"",INDEX('Compliance Database'!$O$2:$O$1960,MATCH(232,'Transfer Engine'!$C$2:$C$1960,0)))</f>
        <v/>
      </c>
      <c r="P241" s="8">
        <f>IF(ISNA(MATCH(232,'Transfer Engine'!$C$2:$C$1960,0)),"",HYPERLINK("#Acts!A"&amp;INDEX('Compliance Database'!$P$2:$P$1960,MATCH(232,'Transfer Engine'!$C$2:$C$1960,0)),"Go to Act"))</f>
        <v/>
      </c>
    </row>
    <row r="242" ht="158" customHeight="1">
      <c r="A242" s="8">
        <f>IF(ISNA(MATCH(233,'Transfer Engine'!$C$2:$C$1960,0)),"",INDEX('Compliance Database'!$A$2:$A$1960,MATCH(233,'Transfer Engine'!$C$2:$C$1960,0)))</f>
        <v/>
      </c>
      <c r="B242" s="8">
        <f>IF(ISNA(MATCH(233,'Transfer Engine'!$C$2:$C$1960,0)),"",INDEX('Compliance Database'!$B$2:$B$1960,MATCH(233,'Transfer Engine'!$C$2:$C$1960,0)))</f>
        <v/>
      </c>
      <c r="C242" s="8">
        <f>IF(ISNA(MATCH(233,'Transfer Engine'!$C$2:$C$1960,0)),"",INDEX('Compliance Database'!$C$2:$C$1960,MATCH(233,'Transfer Engine'!$C$2:$C$1960,0)))</f>
        <v/>
      </c>
      <c r="D242" s="9">
        <f>IF(ISNA(MATCH(233,'Transfer Engine'!$C$2:$C$1960,0)),"",INDEX('Compliance Database'!$D$2:$D$1960,MATCH(233,'Transfer Engine'!$C$2:$C$1960,0)))</f>
        <v/>
      </c>
      <c r="E242" s="8">
        <f>IF(ISNA(MATCH(233,'Transfer Engine'!$C$2:$C$1960,0)),"",INDEX('Compliance Database'!$E$2:$E$1960,MATCH(233,'Transfer Engine'!$C$2:$C$1960,0)))</f>
        <v/>
      </c>
      <c r="F242" s="8">
        <f>IF(ISNA(MATCH(233,'Transfer Engine'!$C$2:$C$1960,0)),"",INDEX('Compliance Database'!$F$2:$F$1960,MATCH(233,'Transfer Engine'!$C$2:$C$1960,0)))</f>
        <v/>
      </c>
      <c r="G242" s="8">
        <f>IF(ISNA(MATCH(233,'Transfer Engine'!$C$2:$C$1960,0)),"",INDEX('Compliance Database'!$G$2:$G$1960,MATCH(233,'Transfer Engine'!$C$2:$C$1960,0)))</f>
        <v/>
      </c>
      <c r="H242" s="9">
        <f>IF(ISNA(MATCH(233,'Transfer Engine'!$C$2:$C$1960,0)),"",INDEX('Compliance Database'!$H$2:$H$1960,MATCH(233,'Transfer Engine'!$C$2:$C$1960,0)))</f>
        <v/>
      </c>
      <c r="I242" s="9">
        <f>IF(ISNA(MATCH(233,'Transfer Engine'!$C$2:$C$1960,0)),"",INDEX('Compliance Database'!$I$2:$I$1960,MATCH(233,'Transfer Engine'!$C$2:$C$1960,0)))</f>
        <v/>
      </c>
      <c r="J242" s="8">
        <f>IF(ISNA(MATCH(233,'Transfer Engine'!$C$2:$C$1960,0)),"",INDEX('Compliance Database'!$J$2:$J$1960,MATCH(233,'Transfer Engine'!$C$2:$C$1960,0)))</f>
        <v/>
      </c>
      <c r="K242" s="9">
        <f>IF(ISNA(MATCH(233,'Transfer Engine'!$C$2:$C$1960,0)),"",INDEX('Compliance Database'!$K$2:$K$1960,MATCH(233,'Transfer Engine'!$C$2:$C$1960,0)))</f>
        <v/>
      </c>
      <c r="L242" s="9">
        <f>IF(ISNA(MATCH(233,'Transfer Engine'!$C$2:$C$1960,0)),"",INDEX('Compliance Database'!$L$2:$L$1960,MATCH(233,'Transfer Engine'!$C$2:$C$1960,0)))</f>
        <v/>
      </c>
      <c r="M242" s="9">
        <f>IF(ISNA(MATCH(233,'Transfer Engine'!$C$2:$C$1960,0)),"",INDEX('Compliance Database'!$M$2:$M$1960,MATCH(233,'Transfer Engine'!$C$2:$C$1960,0)))</f>
        <v/>
      </c>
      <c r="N242" s="9">
        <f>IF(ISNA(MATCH(233,'Transfer Engine'!$C$2:$C$1960,0)),"",INDEX('Compliance Database'!$N$2:$N$1960,MATCH(233,'Transfer Engine'!$C$2:$C$1960,0)))</f>
        <v/>
      </c>
      <c r="O242" s="9">
        <f>IF(ISNA(MATCH(233,'Transfer Engine'!$C$2:$C$1960,0)),"",INDEX('Compliance Database'!$O$2:$O$1960,MATCH(233,'Transfer Engine'!$C$2:$C$1960,0)))</f>
        <v/>
      </c>
      <c r="P242" s="8">
        <f>IF(ISNA(MATCH(233,'Transfer Engine'!$C$2:$C$1960,0)),"",HYPERLINK("#Acts!A"&amp;INDEX('Compliance Database'!$P$2:$P$1960,MATCH(233,'Transfer Engine'!$C$2:$C$1960,0)),"Go to Act"))</f>
        <v/>
      </c>
    </row>
    <row r="243" ht="158" customHeight="1">
      <c r="A243" s="8">
        <f>IF(ISNA(MATCH(234,'Transfer Engine'!$C$2:$C$1960,0)),"",INDEX('Compliance Database'!$A$2:$A$1960,MATCH(234,'Transfer Engine'!$C$2:$C$1960,0)))</f>
        <v/>
      </c>
      <c r="B243" s="8">
        <f>IF(ISNA(MATCH(234,'Transfer Engine'!$C$2:$C$1960,0)),"",INDEX('Compliance Database'!$B$2:$B$1960,MATCH(234,'Transfer Engine'!$C$2:$C$1960,0)))</f>
        <v/>
      </c>
      <c r="C243" s="8">
        <f>IF(ISNA(MATCH(234,'Transfer Engine'!$C$2:$C$1960,0)),"",INDEX('Compliance Database'!$C$2:$C$1960,MATCH(234,'Transfer Engine'!$C$2:$C$1960,0)))</f>
        <v/>
      </c>
      <c r="D243" s="9">
        <f>IF(ISNA(MATCH(234,'Transfer Engine'!$C$2:$C$1960,0)),"",INDEX('Compliance Database'!$D$2:$D$1960,MATCH(234,'Transfer Engine'!$C$2:$C$1960,0)))</f>
        <v/>
      </c>
      <c r="E243" s="8">
        <f>IF(ISNA(MATCH(234,'Transfer Engine'!$C$2:$C$1960,0)),"",INDEX('Compliance Database'!$E$2:$E$1960,MATCH(234,'Transfer Engine'!$C$2:$C$1960,0)))</f>
        <v/>
      </c>
      <c r="F243" s="8">
        <f>IF(ISNA(MATCH(234,'Transfer Engine'!$C$2:$C$1960,0)),"",INDEX('Compliance Database'!$F$2:$F$1960,MATCH(234,'Transfer Engine'!$C$2:$C$1960,0)))</f>
        <v/>
      </c>
      <c r="G243" s="8">
        <f>IF(ISNA(MATCH(234,'Transfer Engine'!$C$2:$C$1960,0)),"",INDEX('Compliance Database'!$G$2:$G$1960,MATCH(234,'Transfer Engine'!$C$2:$C$1960,0)))</f>
        <v/>
      </c>
      <c r="H243" s="9">
        <f>IF(ISNA(MATCH(234,'Transfer Engine'!$C$2:$C$1960,0)),"",INDEX('Compliance Database'!$H$2:$H$1960,MATCH(234,'Transfer Engine'!$C$2:$C$1960,0)))</f>
        <v/>
      </c>
      <c r="I243" s="9">
        <f>IF(ISNA(MATCH(234,'Transfer Engine'!$C$2:$C$1960,0)),"",INDEX('Compliance Database'!$I$2:$I$1960,MATCH(234,'Transfer Engine'!$C$2:$C$1960,0)))</f>
        <v/>
      </c>
      <c r="J243" s="8">
        <f>IF(ISNA(MATCH(234,'Transfer Engine'!$C$2:$C$1960,0)),"",INDEX('Compliance Database'!$J$2:$J$1960,MATCH(234,'Transfer Engine'!$C$2:$C$1960,0)))</f>
        <v/>
      </c>
      <c r="K243" s="9">
        <f>IF(ISNA(MATCH(234,'Transfer Engine'!$C$2:$C$1960,0)),"",INDEX('Compliance Database'!$K$2:$K$1960,MATCH(234,'Transfer Engine'!$C$2:$C$1960,0)))</f>
        <v/>
      </c>
      <c r="L243" s="9">
        <f>IF(ISNA(MATCH(234,'Transfer Engine'!$C$2:$C$1960,0)),"",INDEX('Compliance Database'!$L$2:$L$1960,MATCH(234,'Transfer Engine'!$C$2:$C$1960,0)))</f>
        <v/>
      </c>
      <c r="M243" s="9">
        <f>IF(ISNA(MATCH(234,'Transfer Engine'!$C$2:$C$1960,0)),"",INDEX('Compliance Database'!$M$2:$M$1960,MATCH(234,'Transfer Engine'!$C$2:$C$1960,0)))</f>
        <v/>
      </c>
      <c r="N243" s="9">
        <f>IF(ISNA(MATCH(234,'Transfer Engine'!$C$2:$C$1960,0)),"",INDEX('Compliance Database'!$N$2:$N$1960,MATCH(234,'Transfer Engine'!$C$2:$C$1960,0)))</f>
        <v/>
      </c>
      <c r="O243" s="9">
        <f>IF(ISNA(MATCH(234,'Transfer Engine'!$C$2:$C$1960,0)),"",INDEX('Compliance Database'!$O$2:$O$1960,MATCH(234,'Transfer Engine'!$C$2:$C$1960,0)))</f>
        <v/>
      </c>
      <c r="P243" s="8">
        <f>IF(ISNA(MATCH(234,'Transfer Engine'!$C$2:$C$1960,0)),"",HYPERLINK("#Acts!A"&amp;INDEX('Compliance Database'!$P$2:$P$1960,MATCH(234,'Transfer Engine'!$C$2:$C$1960,0)),"Go to Act"))</f>
        <v/>
      </c>
    </row>
    <row r="244" ht="158" customHeight="1">
      <c r="A244" s="8">
        <f>IF(ISNA(MATCH(235,'Transfer Engine'!$C$2:$C$1960,0)),"",INDEX('Compliance Database'!$A$2:$A$1960,MATCH(235,'Transfer Engine'!$C$2:$C$1960,0)))</f>
        <v/>
      </c>
      <c r="B244" s="8">
        <f>IF(ISNA(MATCH(235,'Transfer Engine'!$C$2:$C$1960,0)),"",INDEX('Compliance Database'!$B$2:$B$1960,MATCH(235,'Transfer Engine'!$C$2:$C$1960,0)))</f>
        <v/>
      </c>
      <c r="C244" s="8">
        <f>IF(ISNA(MATCH(235,'Transfer Engine'!$C$2:$C$1960,0)),"",INDEX('Compliance Database'!$C$2:$C$1960,MATCH(235,'Transfer Engine'!$C$2:$C$1960,0)))</f>
        <v/>
      </c>
      <c r="D244" s="9">
        <f>IF(ISNA(MATCH(235,'Transfer Engine'!$C$2:$C$1960,0)),"",INDEX('Compliance Database'!$D$2:$D$1960,MATCH(235,'Transfer Engine'!$C$2:$C$1960,0)))</f>
        <v/>
      </c>
      <c r="E244" s="8">
        <f>IF(ISNA(MATCH(235,'Transfer Engine'!$C$2:$C$1960,0)),"",INDEX('Compliance Database'!$E$2:$E$1960,MATCH(235,'Transfer Engine'!$C$2:$C$1960,0)))</f>
        <v/>
      </c>
      <c r="F244" s="8">
        <f>IF(ISNA(MATCH(235,'Transfer Engine'!$C$2:$C$1960,0)),"",INDEX('Compliance Database'!$F$2:$F$1960,MATCH(235,'Transfer Engine'!$C$2:$C$1960,0)))</f>
        <v/>
      </c>
      <c r="G244" s="8">
        <f>IF(ISNA(MATCH(235,'Transfer Engine'!$C$2:$C$1960,0)),"",INDEX('Compliance Database'!$G$2:$G$1960,MATCH(235,'Transfer Engine'!$C$2:$C$1960,0)))</f>
        <v/>
      </c>
      <c r="H244" s="9">
        <f>IF(ISNA(MATCH(235,'Transfer Engine'!$C$2:$C$1960,0)),"",INDEX('Compliance Database'!$H$2:$H$1960,MATCH(235,'Transfer Engine'!$C$2:$C$1960,0)))</f>
        <v/>
      </c>
      <c r="I244" s="9">
        <f>IF(ISNA(MATCH(235,'Transfer Engine'!$C$2:$C$1960,0)),"",INDEX('Compliance Database'!$I$2:$I$1960,MATCH(235,'Transfer Engine'!$C$2:$C$1960,0)))</f>
        <v/>
      </c>
      <c r="J244" s="8">
        <f>IF(ISNA(MATCH(235,'Transfer Engine'!$C$2:$C$1960,0)),"",INDEX('Compliance Database'!$J$2:$J$1960,MATCH(235,'Transfer Engine'!$C$2:$C$1960,0)))</f>
        <v/>
      </c>
      <c r="K244" s="9">
        <f>IF(ISNA(MATCH(235,'Transfer Engine'!$C$2:$C$1960,0)),"",INDEX('Compliance Database'!$K$2:$K$1960,MATCH(235,'Transfer Engine'!$C$2:$C$1960,0)))</f>
        <v/>
      </c>
      <c r="L244" s="9">
        <f>IF(ISNA(MATCH(235,'Transfer Engine'!$C$2:$C$1960,0)),"",INDEX('Compliance Database'!$L$2:$L$1960,MATCH(235,'Transfer Engine'!$C$2:$C$1960,0)))</f>
        <v/>
      </c>
      <c r="M244" s="9">
        <f>IF(ISNA(MATCH(235,'Transfer Engine'!$C$2:$C$1960,0)),"",INDEX('Compliance Database'!$M$2:$M$1960,MATCH(235,'Transfer Engine'!$C$2:$C$1960,0)))</f>
        <v/>
      </c>
      <c r="N244" s="9">
        <f>IF(ISNA(MATCH(235,'Transfer Engine'!$C$2:$C$1960,0)),"",INDEX('Compliance Database'!$N$2:$N$1960,MATCH(235,'Transfer Engine'!$C$2:$C$1960,0)))</f>
        <v/>
      </c>
      <c r="O244" s="9">
        <f>IF(ISNA(MATCH(235,'Transfer Engine'!$C$2:$C$1960,0)),"",INDEX('Compliance Database'!$O$2:$O$1960,MATCH(235,'Transfer Engine'!$C$2:$C$1960,0)))</f>
        <v/>
      </c>
      <c r="P244" s="8">
        <f>IF(ISNA(MATCH(235,'Transfer Engine'!$C$2:$C$1960,0)),"",HYPERLINK("#Acts!A"&amp;INDEX('Compliance Database'!$P$2:$P$1960,MATCH(235,'Transfer Engine'!$C$2:$C$1960,0)),"Go to Act"))</f>
        <v/>
      </c>
    </row>
    <row r="245" ht="158" customHeight="1">
      <c r="A245" s="8">
        <f>IF(ISNA(MATCH(236,'Transfer Engine'!$C$2:$C$1960,0)),"",INDEX('Compliance Database'!$A$2:$A$1960,MATCH(236,'Transfer Engine'!$C$2:$C$1960,0)))</f>
        <v/>
      </c>
      <c r="B245" s="8">
        <f>IF(ISNA(MATCH(236,'Transfer Engine'!$C$2:$C$1960,0)),"",INDEX('Compliance Database'!$B$2:$B$1960,MATCH(236,'Transfer Engine'!$C$2:$C$1960,0)))</f>
        <v/>
      </c>
      <c r="C245" s="8">
        <f>IF(ISNA(MATCH(236,'Transfer Engine'!$C$2:$C$1960,0)),"",INDEX('Compliance Database'!$C$2:$C$1960,MATCH(236,'Transfer Engine'!$C$2:$C$1960,0)))</f>
        <v/>
      </c>
      <c r="D245" s="9">
        <f>IF(ISNA(MATCH(236,'Transfer Engine'!$C$2:$C$1960,0)),"",INDEX('Compliance Database'!$D$2:$D$1960,MATCH(236,'Transfer Engine'!$C$2:$C$1960,0)))</f>
        <v/>
      </c>
      <c r="E245" s="8">
        <f>IF(ISNA(MATCH(236,'Transfer Engine'!$C$2:$C$1960,0)),"",INDEX('Compliance Database'!$E$2:$E$1960,MATCH(236,'Transfer Engine'!$C$2:$C$1960,0)))</f>
        <v/>
      </c>
      <c r="F245" s="8">
        <f>IF(ISNA(MATCH(236,'Transfer Engine'!$C$2:$C$1960,0)),"",INDEX('Compliance Database'!$F$2:$F$1960,MATCH(236,'Transfer Engine'!$C$2:$C$1960,0)))</f>
        <v/>
      </c>
      <c r="G245" s="8">
        <f>IF(ISNA(MATCH(236,'Transfer Engine'!$C$2:$C$1960,0)),"",INDEX('Compliance Database'!$G$2:$G$1960,MATCH(236,'Transfer Engine'!$C$2:$C$1960,0)))</f>
        <v/>
      </c>
      <c r="H245" s="9">
        <f>IF(ISNA(MATCH(236,'Transfer Engine'!$C$2:$C$1960,0)),"",INDEX('Compliance Database'!$H$2:$H$1960,MATCH(236,'Transfer Engine'!$C$2:$C$1960,0)))</f>
        <v/>
      </c>
      <c r="I245" s="9">
        <f>IF(ISNA(MATCH(236,'Transfer Engine'!$C$2:$C$1960,0)),"",INDEX('Compliance Database'!$I$2:$I$1960,MATCH(236,'Transfer Engine'!$C$2:$C$1960,0)))</f>
        <v/>
      </c>
      <c r="J245" s="8">
        <f>IF(ISNA(MATCH(236,'Transfer Engine'!$C$2:$C$1960,0)),"",INDEX('Compliance Database'!$J$2:$J$1960,MATCH(236,'Transfer Engine'!$C$2:$C$1960,0)))</f>
        <v/>
      </c>
      <c r="K245" s="9">
        <f>IF(ISNA(MATCH(236,'Transfer Engine'!$C$2:$C$1960,0)),"",INDEX('Compliance Database'!$K$2:$K$1960,MATCH(236,'Transfer Engine'!$C$2:$C$1960,0)))</f>
        <v/>
      </c>
      <c r="L245" s="9">
        <f>IF(ISNA(MATCH(236,'Transfer Engine'!$C$2:$C$1960,0)),"",INDEX('Compliance Database'!$L$2:$L$1960,MATCH(236,'Transfer Engine'!$C$2:$C$1960,0)))</f>
        <v/>
      </c>
      <c r="M245" s="9">
        <f>IF(ISNA(MATCH(236,'Transfer Engine'!$C$2:$C$1960,0)),"",INDEX('Compliance Database'!$M$2:$M$1960,MATCH(236,'Transfer Engine'!$C$2:$C$1960,0)))</f>
        <v/>
      </c>
      <c r="N245" s="9">
        <f>IF(ISNA(MATCH(236,'Transfer Engine'!$C$2:$C$1960,0)),"",INDEX('Compliance Database'!$N$2:$N$1960,MATCH(236,'Transfer Engine'!$C$2:$C$1960,0)))</f>
        <v/>
      </c>
      <c r="O245" s="9">
        <f>IF(ISNA(MATCH(236,'Transfer Engine'!$C$2:$C$1960,0)),"",INDEX('Compliance Database'!$O$2:$O$1960,MATCH(236,'Transfer Engine'!$C$2:$C$1960,0)))</f>
        <v/>
      </c>
      <c r="P245" s="8">
        <f>IF(ISNA(MATCH(236,'Transfer Engine'!$C$2:$C$1960,0)),"",HYPERLINK("#Acts!A"&amp;INDEX('Compliance Database'!$P$2:$P$1960,MATCH(236,'Transfer Engine'!$C$2:$C$1960,0)),"Go to Act"))</f>
        <v/>
      </c>
    </row>
    <row r="246" ht="158" customHeight="1">
      <c r="A246" s="8">
        <f>IF(ISNA(MATCH(237,'Transfer Engine'!$C$2:$C$1960,0)),"",INDEX('Compliance Database'!$A$2:$A$1960,MATCH(237,'Transfer Engine'!$C$2:$C$1960,0)))</f>
        <v/>
      </c>
      <c r="B246" s="8">
        <f>IF(ISNA(MATCH(237,'Transfer Engine'!$C$2:$C$1960,0)),"",INDEX('Compliance Database'!$B$2:$B$1960,MATCH(237,'Transfer Engine'!$C$2:$C$1960,0)))</f>
        <v/>
      </c>
      <c r="C246" s="8">
        <f>IF(ISNA(MATCH(237,'Transfer Engine'!$C$2:$C$1960,0)),"",INDEX('Compliance Database'!$C$2:$C$1960,MATCH(237,'Transfer Engine'!$C$2:$C$1960,0)))</f>
        <v/>
      </c>
      <c r="D246" s="9">
        <f>IF(ISNA(MATCH(237,'Transfer Engine'!$C$2:$C$1960,0)),"",INDEX('Compliance Database'!$D$2:$D$1960,MATCH(237,'Transfer Engine'!$C$2:$C$1960,0)))</f>
        <v/>
      </c>
      <c r="E246" s="8">
        <f>IF(ISNA(MATCH(237,'Transfer Engine'!$C$2:$C$1960,0)),"",INDEX('Compliance Database'!$E$2:$E$1960,MATCH(237,'Transfer Engine'!$C$2:$C$1960,0)))</f>
        <v/>
      </c>
      <c r="F246" s="8">
        <f>IF(ISNA(MATCH(237,'Transfer Engine'!$C$2:$C$1960,0)),"",INDEX('Compliance Database'!$F$2:$F$1960,MATCH(237,'Transfer Engine'!$C$2:$C$1960,0)))</f>
        <v/>
      </c>
      <c r="G246" s="8">
        <f>IF(ISNA(MATCH(237,'Transfer Engine'!$C$2:$C$1960,0)),"",INDEX('Compliance Database'!$G$2:$G$1960,MATCH(237,'Transfer Engine'!$C$2:$C$1960,0)))</f>
        <v/>
      </c>
      <c r="H246" s="9">
        <f>IF(ISNA(MATCH(237,'Transfer Engine'!$C$2:$C$1960,0)),"",INDEX('Compliance Database'!$H$2:$H$1960,MATCH(237,'Transfer Engine'!$C$2:$C$1960,0)))</f>
        <v/>
      </c>
      <c r="I246" s="9">
        <f>IF(ISNA(MATCH(237,'Transfer Engine'!$C$2:$C$1960,0)),"",INDEX('Compliance Database'!$I$2:$I$1960,MATCH(237,'Transfer Engine'!$C$2:$C$1960,0)))</f>
        <v/>
      </c>
      <c r="J246" s="8">
        <f>IF(ISNA(MATCH(237,'Transfer Engine'!$C$2:$C$1960,0)),"",INDEX('Compliance Database'!$J$2:$J$1960,MATCH(237,'Transfer Engine'!$C$2:$C$1960,0)))</f>
        <v/>
      </c>
      <c r="K246" s="9">
        <f>IF(ISNA(MATCH(237,'Transfer Engine'!$C$2:$C$1960,0)),"",INDEX('Compliance Database'!$K$2:$K$1960,MATCH(237,'Transfer Engine'!$C$2:$C$1960,0)))</f>
        <v/>
      </c>
      <c r="L246" s="9">
        <f>IF(ISNA(MATCH(237,'Transfer Engine'!$C$2:$C$1960,0)),"",INDEX('Compliance Database'!$L$2:$L$1960,MATCH(237,'Transfer Engine'!$C$2:$C$1960,0)))</f>
        <v/>
      </c>
      <c r="M246" s="9">
        <f>IF(ISNA(MATCH(237,'Transfer Engine'!$C$2:$C$1960,0)),"",INDEX('Compliance Database'!$M$2:$M$1960,MATCH(237,'Transfer Engine'!$C$2:$C$1960,0)))</f>
        <v/>
      </c>
      <c r="N246" s="9">
        <f>IF(ISNA(MATCH(237,'Transfer Engine'!$C$2:$C$1960,0)),"",INDEX('Compliance Database'!$N$2:$N$1960,MATCH(237,'Transfer Engine'!$C$2:$C$1960,0)))</f>
        <v/>
      </c>
      <c r="O246" s="9">
        <f>IF(ISNA(MATCH(237,'Transfer Engine'!$C$2:$C$1960,0)),"",INDEX('Compliance Database'!$O$2:$O$1960,MATCH(237,'Transfer Engine'!$C$2:$C$1960,0)))</f>
        <v/>
      </c>
      <c r="P246" s="8">
        <f>IF(ISNA(MATCH(237,'Transfer Engine'!$C$2:$C$1960,0)),"",HYPERLINK("#Acts!A"&amp;INDEX('Compliance Database'!$P$2:$P$1960,MATCH(237,'Transfer Engine'!$C$2:$C$1960,0)),"Go to Act"))</f>
        <v/>
      </c>
    </row>
    <row r="247" ht="158" customHeight="1">
      <c r="A247" s="8">
        <f>IF(ISNA(MATCH(238,'Transfer Engine'!$C$2:$C$1960,0)),"",INDEX('Compliance Database'!$A$2:$A$1960,MATCH(238,'Transfer Engine'!$C$2:$C$1960,0)))</f>
        <v/>
      </c>
      <c r="B247" s="8">
        <f>IF(ISNA(MATCH(238,'Transfer Engine'!$C$2:$C$1960,0)),"",INDEX('Compliance Database'!$B$2:$B$1960,MATCH(238,'Transfer Engine'!$C$2:$C$1960,0)))</f>
        <v/>
      </c>
      <c r="C247" s="8">
        <f>IF(ISNA(MATCH(238,'Transfer Engine'!$C$2:$C$1960,0)),"",INDEX('Compliance Database'!$C$2:$C$1960,MATCH(238,'Transfer Engine'!$C$2:$C$1960,0)))</f>
        <v/>
      </c>
      <c r="D247" s="9">
        <f>IF(ISNA(MATCH(238,'Transfer Engine'!$C$2:$C$1960,0)),"",INDEX('Compliance Database'!$D$2:$D$1960,MATCH(238,'Transfer Engine'!$C$2:$C$1960,0)))</f>
        <v/>
      </c>
      <c r="E247" s="8">
        <f>IF(ISNA(MATCH(238,'Transfer Engine'!$C$2:$C$1960,0)),"",INDEX('Compliance Database'!$E$2:$E$1960,MATCH(238,'Transfer Engine'!$C$2:$C$1960,0)))</f>
        <v/>
      </c>
      <c r="F247" s="8">
        <f>IF(ISNA(MATCH(238,'Transfer Engine'!$C$2:$C$1960,0)),"",INDEX('Compliance Database'!$F$2:$F$1960,MATCH(238,'Transfer Engine'!$C$2:$C$1960,0)))</f>
        <v/>
      </c>
      <c r="G247" s="8">
        <f>IF(ISNA(MATCH(238,'Transfer Engine'!$C$2:$C$1960,0)),"",INDEX('Compliance Database'!$G$2:$G$1960,MATCH(238,'Transfer Engine'!$C$2:$C$1960,0)))</f>
        <v/>
      </c>
      <c r="H247" s="9">
        <f>IF(ISNA(MATCH(238,'Transfer Engine'!$C$2:$C$1960,0)),"",INDEX('Compliance Database'!$H$2:$H$1960,MATCH(238,'Transfer Engine'!$C$2:$C$1960,0)))</f>
        <v/>
      </c>
      <c r="I247" s="9">
        <f>IF(ISNA(MATCH(238,'Transfer Engine'!$C$2:$C$1960,0)),"",INDEX('Compliance Database'!$I$2:$I$1960,MATCH(238,'Transfer Engine'!$C$2:$C$1960,0)))</f>
        <v/>
      </c>
      <c r="J247" s="8">
        <f>IF(ISNA(MATCH(238,'Transfer Engine'!$C$2:$C$1960,0)),"",INDEX('Compliance Database'!$J$2:$J$1960,MATCH(238,'Transfer Engine'!$C$2:$C$1960,0)))</f>
        <v/>
      </c>
      <c r="K247" s="9">
        <f>IF(ISNA(MATCH(238,'Transfer Engine'!$C$2:$C$1960,0)),"",INDEX('Compliance Database'!$K$2:$K$1960,MATCH(238,'Transfer Engine'!$C$2:$C$1960,0)))</f>
        <v/>
      </c>
      <c r="L247" s="9">
        <f>IF(ISNA(MATCH(238,'Transfer Engine'!$C$2:$C$1960,0)),"",INDEX('Compliance Database'!$L$2:$L$1960,MATCH(238,'Transfer Engine'!$C$2:$C$1960,0)))</f>
        <v/>
      </c>
      <c r="M247" s="9">
        <f>IF(ISNA(MATCH(238,'Transfer Engine'!$C$2:$C$1960,0)),"",INDEX('Compliance Database'!$M$2:$M$1960,MATCH(238,'Transfer Engine'!$C$2:$C$1960,0)))</f>
        <v/>
      </c>
      <c r="N247" s="9">
        <f>IF(ISNA(MATCH(238,'Transfer Engine'!$C$2:$C$1960,0)),"",INDEX('Compliance Database'!$N$2:$N$1960,MATCH(238,'Transfer Engine'!$C$2:$C$1960,0)))</f>
        <v/>
      </c>
      <c r="O247" s="9">
        <f>IF(ISNA(MATCH(238,'Transfer Engine'!$C$2:$C$1960,0)),"",INDEX('Compliance Database'!$O$2:$O$1960,MATCH(238,'Transfer Engine'!$C$2:$C$1960,0)))</f>
        <v/>
      </c>
      <c r="P247" s="8">
        <f>IF(ISNA(MATCH(238,'Transfer Engine'!$C$2:$C$1960,0)),"",HYPERLINK("#Acts!A"&amp;INDEX('Compliance Database'!$P$2:$P$1960,MATCH(238,'Transfer Engine'!$C$2:$C$1960,0)),"Go to Act"))</f>
        <v/>
      </c>
    </row>
    <row r="248" ht="158" customHeight="1">
      <c r="A248" s="8">
        <f>IF(ISNA(MATCH(239,'Transfer Engine'!$C$2:$C$1960,0)),"",INDEX('Compliance Database'!$A$2:$A$1960,MATCH(239,'Transfer Engine'!$C$2:$C$1960,0)))</f>
        <v/>
      </c>
      <c r="B248" s="8">
        <f>IF(ISNA(MATCH(239,'Transfer Engine'!$C$2:$C$1960,0)),"",INDEX('Compliance Database'!$B$2:$B$1960,MATCH(239,'Transfer Engine'!$C$2:$C$1960,0)))</f>
        <v/>
      </c>
      <c r="C248" s="8">
        <f>IF(ISNA(MATCH(239,'Transfer Engine'!$C$2:$C$1960,0)),"",INDEX('Compliance Database'!$C$2:$C$1960,MATCH(239,'Transfer Engine'!$C$2:$C$1960,0)))</f>
        <v/>
      </c>
      <c r="D248" s="9">
        <f>IF(ISNA(MATCH(239,'Transfer Engine'!$C$2:$C$1960,0)),"",INDEX('Compliance Database'!$D$2:$D$1960,MATCH(239,'Transfer Engine'!$C$2:$C$1960,0)))</f>
        <v/>
      </c>
      <c r="E248" s="8">
        <f>IF(ISNA(MATCH(239,'Transfer Engine'!$C$2:$C$1960,0)),"",INDEX('Compliance Database'!$E$2:$E$1960,MATCH(239,'Transfer Engine'!$C$2:$C$1960,0)))</f>
        <v/>
      </c>
      <c r="F248" s="8">
        <f>IF(ISNA(MATCH(239,'Transfer Engine'!$C$2:$C$1960,0)),"",INDEX('Compliance Database'!$F$2:$F$1960,MATCH(239,'Transfer Engine'!$C$2:$C$1960,0)))</f>
        <v/>
      </c>
      <c r="G248" s="8">
        <f>IF(ISNA(MATCH(239,'Transfer Engine'!$C$2:$C$1960,0)),"",INDEX('Compliance Database'!$G$2:$G$1960,MATCH(239,'Transfer Engine'!$C$2:$C$1960,0)))</f>
        <v/>
      </c>
      <c r="H248" s="9">
        <f>IF(ISNA(MATCH(239,'Transfer Engine'!$C$2:$C$1960,0)),"",INDEX('Compliance Database'!$H$2:$H$1960,MATCH(239,'Transfer Engine'!$C$2:$C$1960,0)))</f>
        <v/>
      </c>
      <c r="I248" s="9">
        <f>IF(ISNA(MATCH(239,'Transfer Engine'!$C$2:$C$1960,0)),"",INDEX('Compliance Database'!$I$2:$I$1960,MATCH(239,'Transfer Engine'!$C$2:$C$1960,0)))</f>
        <v/>
      </c>
      <c r="J248" s="8">
        <f>IF(ISNA(MATCH(239,'Transfer Engine'!$C$2:$C$1960,0)),"",INDEX('Compliance Database'!$J$2:$J$1960,MATCH(239,'Transfer Engine'!$C$2:$C$1960,0)))</f>
        <v/>
      </c>
      <c r="K248" s="9">
        <f>IF(ISNA(MATCH(239,'Transfer Engine'!$C$2:$C$1960,0)),"",INDEX('Compliance Database'!$K$2:$K$1960,MATCH(239,'Transfer Engine'!$C$2:$C$1960,0)))</f>
        <v/>
      </c>
      <c r="L248" s="9">
        <f>IF(ISNA(MATCH(239,'Transfer Engine'!$C$2:$C$1960,0)),"",INDEX('Compliance Database'!$L$2:$L$1960,MATCH(239,'Transfer Engine'!$C$2:$C$1960,0)))</f>
        <v/>
      </c>
      <c r="M248" s="9">
        <f>IF(ISNA(MATCH(239,'Transfer Engine'!$C$2:$C$1960,0)),"",INDEX('Compliance Database'!$M$2:$M$1960,MATCH(239,'Transfer Engine'!$C$2:$C$1960,0)))</f>
        <v/>
      </c>
      <c r="N248" s="9">
        <f>IF(ISNA(MATCH(239,'Transfer Engine'!$C$2:$C$1960,0)),"",INDEX('Compliance Database'!$N$2:$N$1960,MATCH(239,'Transfer Engine'!$C$2:$C$1960,0)))</f>
        <v/>
      </c>
      <c r="O248" s="9">
        <f>IF(ISNA(MATCH(239,'Transfer Engine'!$C$2:$C$1960,0)),"",INDEX('Compliance Database'!$O$2:$O$1960,MATCH(239,'Transfer Engine'!$C$2:$C$1960,0)))</f>
        <v/>
      </c>
      <c r="P248" s="8">
        <f>IF(ISNA(MATCH(239,'Transfer Engine'!$C$2:$C$1960,0)),"",HYPERLINK("#Acts!A"&amp;INDEX('Compliance Database'!$P$2:$P$1960,MATCH(239,'Transfer Engine'!$C$2:$C$1960,0)),"Go to Act"))</f>
        <v/>
      </c>
    </row>
    <row r="249" ht="158" customHeight="1">
      <c r="A249" s="8">
        <f>IF(ISNA(MATCH(240,'Transfer Engine'!$C$2:$C$1960,0)),"",INDEX('Compliance Database'!$A$2:$A$1960,MATCH(240,'Transfer Engine'!$C$2:$C$1960,0)))</f>
        <v/>
      </c>
      <c r="B249" s="8">
        <f>IF(ISNA(MATCH(240,'Transfer Engine'!$C$2:$C$1960,0)),"",INDEX('Compliance Database'!$B$2:$B$1960,MATCH(240,'Transfer Engine'!$C$2:$C$1960,0)))</f>
        <v/>
      </c>
      <c r="C249" s="8">
        <f>IF(ISNA(MATCH(240,'Transfer Engine'!$C$2:$C$1960,0)),"",INDEX('Compliance Database'!$C$2:$C$1960,MATCH(240,'Transfer Engine'!$C$2:$C$1960,0)))</f>
        <v/>
      </c>
      <c r="D249" s="9">
        <f>IF(ISNA(MATCH(240,'Transfer Engine'!$C$2:$C$1960,0)),"",INDEX('Compliance Database'!$D$2:$D$1960,MATCH(240,'Transfer Engine'!$C$2:$C$1960,0)))</f>
        <v/>
      </c>
      <c r="E249" s="8">
        <f>IF(ISNA(MATCH(240,'Transfer Engine'!$C$2:$C$1960,0)),"",INDEX('Compliance Database'!$E$2:$E$1960,MATCH(240,'Transfer Engine'!$C$2:$C$1960,0)))</f>
        <v/>
      </c>
      <c r="F249" s="8">
        <f>IF(ISNA(MATCH(240,'Transfer Engine'!$C$2:$C$1960,0)),"",INDEX('Compliance Database'!$F$2:$F$1960,MATCH(240,'Transfer Engine'!$C$2:$C$1960,0)))</f>
        <v/>
      </c>
      <c r="G249" s="8">
        <f>IF(ISNA(MATCH(240,'Transfer Engine'!$C$2:$C$1960,0)),"",INDEX('Compliance Database'!$G$2:$G$1960,MATCH(240,'Transfer Engine'!$C$2:$C$1960,0)))</f>
        <v/>
      </c>
      <c r="H249" s="9">
        <f>IF(ISNA(MATCH(240,'Transfer Engine'!$C$2:$C$1960,0)),"",INDEX('Compliance Database'!$H$2:$H$1960,MATCH(240,'Transfer Engine'!$C$2:$C$1960,0)))</f>
        <v/>
      </c>
      <c r="I249" s="9">
        <f>IF(ISNA(MATCH(240,'Transfer Engine'!$C$2:$C$1960,0)),"",INDEX('Compliance Database'!$I$2:$I$1960,MATCH(240,'Transfer Engine'!$C$2:$C$1960,0)))</f>
        <v/>
      </c>
      <c r="J249" s="8">
        <f>IF(ISNA(MATCH(240,'Transfer Engine'!$C$2:$C$1960,0)),"",INDEX('Compliance Database'!$J$2:$J$1960,MATCH(240,'Transfer Engine'!$C$2:$C$1960,0)))</f>
        <v/>
      </c>
      <c r="K249" s="9">
        <f>IF(ISNA(MATCH(240,'Transfer Engine'!$C$2:$C$1960,0)),"",INDEX('Compliance Database'!$K$2:$K$1960,MATCH(240,'Transfer Engine'!$C$2:$C$1960,0)))</f>
        <v/>
      </c>
      <c r="L249" s="9">
        <f>IF(ISNA(MATCH(240,'Transfer Engine'!$C$2:$C$1960,0)),"",INDEX('Compliance Database'!$L$2:$L$1960,MATCH(240,'Transfer Engine'!$C$2:$C$1960,0)))</f>
        <v/>
      </c>
      <c r="M249" s="9">
        <f>IF(ISNA(MATCH(240,'Transfer Engine'!$C$2:$C$1960,0)),"",INDEX('Compliance Database'!$M$2:$M$1960,MATCH(240,'Transfer Engine'!$C$2:$C$1960,0)))</f>
        <v/>
      </c>
      <c r="N249" s="9">
        <f>IF(ISNA(MATCH(240,'Transfer Engine'!$C$2:$C$1960,0)),"",INDEX('Compliance Database'!$N$2:$N$1960,MATCH(240,'Transfer Engine'!$C$2:$C$1960,0)))</f>
        <v/>
      </c>
      <c r="O249" s="9">
        <f>IF(ISNA(MATCH(240,'Transfer Engine'!$C$2:$C$1960,0)),"",INDEX('Compliance Database'!$O$2:$O$1960,MATCH(240,'Transfer Engine'!$C$2:$C$1960,0)))</f>
        <v/>
      </c>
      <c r="P249" s="8">
        <f>IF(ISNA(MATCH(240,'Transfer Engine'!$C$2:$C$1960,0)),"",HYPERLINK("#Acts!A"&amp;INDEX('Compliance Database'!$P$2:$P$1960,MATCH(240,'Transfer Engine'!$C$2:$C$1960,0)),"Go to Act"))</f>
        <v/>
      </c>
    </row>
    <row r="250" ht="158" customHeight="1">
      <c r="A250" s="8">
        <f>IF(ISNA(MATCH(241,'Transfer Engine'!$C$2:$C$1960,0)),"",INDEX('Compliance Database'!$A$2:$A$1960,MATCH(241,'Transfer Engine'!$C$2:$C$1960,0)))</f>
        <v/>
      </c>
      <c r="B250" s="8">
        <f>IF(ISNA(MATCH(241,'Transfer Engine'!$C$2:$C$1960,0)),"",INDEX('Compliance Database'!$B$2:$B$1960,MATCH(241,'Transfer Engine'!$C$2:$C$1960,0)))</f>
        <v/>
      </c>
      <c r="C250" s="8">
        <f>IF(ISNA(MATCH(241,'Transfer Engine'!$C$2:$C$1960,0)),"",INDEX('Compliance Database'!$C$2:$C$1960,MATCH(241,'Transfer Engine'!$C$2:$C$1960,0)))</f>
        <v/>
      </c>
      <c r="D250" s="9">
        <f>IF(ISNA(MATCH(241,'Transfer Engine'!$C$2:$C$1960,0)),"",INDEX('Compliance Database'!$D$2:$D$1960,MATCH(241,'Transfer Engine'!$C$2:$C$1960,0)))</f>
        <v/>
      </c>
      <c r="E250" s="8">
        <f>IF(ISNA(MATCH(241,'Transfer Engine'!$C$2:$C$1960,0)),"",INDEX('Compliance Database'!$E$2:$E$1960,MATCH(241,'Transfer Engine'!$C$2:$C$1960,0)))</f>
        <v/>
      </c>
      <c r="F250" s="8">
        <f>IF(ISNA(MATCH(241,'Transfer Engine'!$C$2:$C$1960,0)),"",INDEX('Compliance Database'!$F$2:$F$1960,MATCH(241,'Transfer Engine'!$C$2:$C$1960,0)))</f>
        <v/>
      </c>
      <c r="G250" s="8">
        <f>IF(ISNA(MATCH(241,'Transfer Engine'!$C$2:$C$1960,0)),"",INDEX('Compliance Database'!$G$2:$G$1960,MATCH(241,'Transfer Engine'!$C$2:$C$1960,0)))</f>
        <v/>
      </c>
      <c r="H250" s="9">
        <f>IF(ISNA(MATCH(241,'Transfer Engine'!$C$2:$C$1960,0)),"",INDEX('Compliance Database'!$H$2:$H$1960,MATCH(241,'Transfer Engine'!$C$2:$C$1960,0)))</f>
        <v/>
      </c>
      <c r="I250" s="9">
        <f>IF(ISNA(MATCH(241,'Transfer Engine'!$C$2:$C$1960,0)),"",INDEX('Compliance Database'!$I$2:$I$1960,MATCH(241,'Transfer Engine'!$C$2:$C$1960,0)))</f>
        <v/>
      </c>
      <c r="J250" s="8">
        <f>IF(ISNA(MATCH(241,'Transfer Engine'!$C$2:$C$1960,0)),"",INDEX('Compliance Database'!$J$2:$J$1960,MATCH(241,'Transfer Engine'!$C$2:$C$1960,0)))</f>
        <v/>
      </c>
      <c r="K250" s="9">
        <f>IF(ISNA(MATCH(241,'Transfer Engine'!$C$2:$C$1960,0)),"",INDEX('Compliance Database'!$K$2:$K$1960,MATCH(241,'Transfer Engine'!$C$2:$C$1960,0)))</f>
        <v/>
      </c>
      <c r="L250" s="9">
        <f>IF(ISNA(MATCH(241,'Transfer Engine'!$C$2:$C$1960,0)),"",INDEX('Compliance Database'!$L$2:$L$1960,MATCH(241,'Transfer Engine'!$C$2:$C$1960,0)))</f>
        <v/>
      </c>
      <c r="M250" s="9">
        <f>IF(ISNA(MATCH(241,'Transfer Engine'!$C$2:$C$1960,0)),"",INDEX('Compliance Database'!$M$2:$M$1960,MATCH(241,'Transfer Engine'!$C$2:$C$1960,0)))</f>
        <v/>
      </c>
      <c r="N250" s="9">
        <f>IF(ISNA(MATCH(241,'Transfer Engine'!$C$2:$C$1960,0)),"",INDEX('Compliance Database'!$N$2:$N$1960,MATCH(241,'Transfer Engine'!$C$2:$C$1960,0)))</f>
        <v/>
      </c>
      <c r="O250" s="9">
        <f>IF(ISNA(MATCH(241,'Transfer Engine'!$C$2:$C$1960,0)),"",INDEX('Compliance Database'!$O$2:$O$1960,MATCH(241,'Transfer Engine'!$C$2:$C$1960,0)))</f>
        <v/>
      </c>
      <c r="P250" s="8">
        <f>IF(ISNA(MATCH(241,'Transfer Engine'!$C$2:$C$1960,0)),"",HYPERLINK("#Acts!A"&amp;INDEX('Compliance Database'!$P$2:$P$1960,MATCH(241,'Transfer Engine'!$C$2:$C$1960,0)),"Go to Act"))</f>
        <v/>
      </c>
    </row>
    <row r="251" ht="158" customHeight="1">
      <c r="A251" s="8">
        <f>IF(ISNA(MATCH(242,'Transfer Engine'!$C$2:$C$1960,0)),"",INDEX('Compliance Database'!$A$2:$A$1960,MATCH(242,'Transfer Engine'!$C$2:$C$1960,0)))</f>
        <v/>
      </c>
      <c r="B251" s="8">
        <f>IF(ISNA(MATCH(242,'Transfer Engine'!$C$2:$C$1960,0)),"",INDEX('Compliance Database'!$B$2:$B$1960,MATCH(242,'Transfer Engine'!$C$2:$C$1960,0)))</f>
        <v/>
      </c>
      <c r="C251" s="8">
        <f>IF(ISNA(MATCH(242,'Transfer Engine'!$C$2:$C$1960,0)),"",INDEX('Compliance Database'!$C$2:$C$1960,MATCH(242,'Transfer Engine'!$C$2:$C$1960,0)))</f>
        <v/>
      </c>
      <c r="D251" s="9">
        <f>IF(ISNA(MATCH(242,'Transfer Engine'!$C$2:$C$1960,0)),"",INDEX('Compliance Database'!$D$2:$D$1960,MATCH(242,'Transfer Engine'!$C$2:$C$1960,0)))</f>
        <v/>
      </c>
      <c r="E251" s="8">
        <f>IF(ISNA(MATCH(242,'Transfer Engine'!$C$2:$C$1960,0)),"",INDEX('Compliance Database'!$E$2:$E$1960,MATCH(242,'Transfer Engine'!$C$2:$C$1960,0)))</f>
        <v/>
      </c>
      <c r="F251" s="8">
        <f>IF(ISNA(MATCH(242,'Transfer Engine'!$C$2:$C$1960,0)),"",INDEX('Compliance Database'!$F$2:$F$1960,MATCH(242,'Transfer Engine'!$C$2:$C$1960,0)))</f>
        <v/>
      </c>
      <c r="G251" s="8">
        <f>IF(ISNA(MATCH(242,'Transfer Engine'!$C$2:$C$1960,0)),"",INDEX('Compliance Database'!$G$2:$G$1960,MATCH(242,'Transfer Engine'!$C$2:$C$1960,0)))</f>
        <v/>
      </c>
      <c r="H251" s="9">
        <f>IF(ISNA(MATCH(242,'Transfer Engine'!$C$2:$C$1960,0)),"",INDEX('Compliance Database'!$H$2:$H$1960,MATCH(242,'Transfer Engine'!$C$2:$C$1960,0)))</f>
        <v/>
      </c>
      <c r="I251" s="9">
        <f>IF(ISNA(MATCH(242,'Transfer Engine'!$C$2:$C$1960,0)),"",INDEX('Compliance Database'!$I$2:$I$1960,MATCH(242,'Transfer Engine'!$C$2:$C$1960,0)))</f>
        <v/>
      </c>
      <c r="J251" s="8">
        <f>IF(ISNA(MATCH(242,'Transfer Engine'!$C$2:$C$1960,0)),"",INDEX('Compliance Database'!$J$2:$J$1960,MATCH(242,'Transfer Engine'!$C$2:$C$1960,0)))</f>
        <v/>
      </c>
      <c r="K251" s="9">
        <f>IF(ISNA(MATCH(242,'Transfer Engine'!$C$2:$C$1960,0)),"",INDEX('Compliance Database'!$K$2:$K$1960,MATCH(242,'Transfer Engine'!$C$2:$C$1960,0)))</f>
        <v/>
      </c>
      <c r="L251" s="9">
        <f>IF(ISNA(MATCH(242,'Transfer Engine'!$C$2:$C$1960,0)),"",INDEX('Compliance Database'!$L$2:$L$1960,MATCH(242,'Transfer Engine'!$C$2:$C$1960,0)))</f>
        <v/>
      </c>
      <c r="M251" s="9">
        <f>IF(ISNA(MATCH(242,'Transfer Engine'!$C$2:$C$1960,0)),"",INDEX('Compliance Database'!$M$2:$M$1960,MATCH(242,'Transfer Engine'!$C$2:$C$1960,0)))</f>
        <v/>
      </c>
      <c r="N251" s="9">
        <f>IF(ISNA(MATCH(242,'Transfer Engine'!$C$2:$C$1960,0)),"",INDEX('Compliance Database'!$N$2:$N$1960,MATCH(242,'Transfer Engine'!$C$2:$C$1960,0)))</f>
        <v/>
      </c>
      <c r="O251" s="9">
        <f>IF(ISNA(MATCH(242,'Transfer Engine'!$C$2:$C$1960,0)),"",INDEX('Compliance Database'!$O$2:$O$1960,MATCH(242,'Transfer Engine'!$C$2:$C$1960,0)))</f>
        <v/>
      </c>
      <c r="P251" s="8">
        <f>IF(ISNA(MATCH(242,'Transfer Engine'!$C$2:$C$1960,0)),"",HYPERLINK("#Acts!A"&amp;INDEX('Compliance Database'!$P$2:$P$1960,MATCH(242,'Transfer Engine'!$C$2:$C$1960,0)),"Go to Act"))</f>
        <v/>
      </c>
    </row>
    <row r="252" ht="158" customHeight="1">
      <c r="A252" s="8">
        <f>IF(ISNA(MATCH(243,'Transfer Engine'!$C$2:$C$1960,0)),"",INDEX('Compliance Database'!$A$2:$A$1960,MATCH(243,'Transfer Engine'!$C$2:$C$1960,0)))</f>
        <v/>
      </c>
      <c r="B252" s="8">
        <f>IF(ISNA(MATCH(243,'Transfer Engine'!$C$2:$C$1960,0)),"",INDEX('Compliance Database'!$B$2:$B$1960,MATCH(243,'Transfer Engine'!$C$2:$C$1960,0)))</f>
        <v/>
      </c>
      <c r="C252" s="8">
        <f>IF(ISNA(MATCH(243,'Transfer Engine'!$C$2:$C$1960,0)),"",INDEX('Compliance Database'!$C$2:$C$1960,MATCH(243,'Transfer Engine'!$C$2:$C$1960,0)))</f>
        <v/>
      </c>
      <c r="D252" s="9">
        <f>IF(ISNA(MATCH(243,'Transfer Engine'!$C$2:$C$1960,0)),"",INDEX('Compliance Database'!$D$2:$D$1960,MATCH(243,'Transfer Engine'!$C$2:$C$1960,0)))</f>
        <v/>
      </c>
      <c r="E252" s="8">
        <f>IF(ISNA(MATCH(243,'Transfer Engine'!$C$2:$C$1960,0)),"",INDEX('Compliance Database'!$E$2:$E$1960,MATCH(243,'Transfer Engine'!$C$2:$C$1960,0)))</f>
        <v/>
      </c>
      <c r="F252" s="8">
        <f>IF(ISNA(MATCH(243,'Transfer Engine'!$C$2:$C$1960,0)),"",INDEX('Compliance Database'!$F$2:$F$1960,MATCH(243,'Transfer Engine'!$C$2:$C$1960,0)))</f>
        <v/>
      </c>
      <c r="G252" s="8">
        <f>IF(ISNA(MATCH(243,'Transfer Engine'!$C$2:$C$1960,0)),"",INDEX('Compliance Database'!$G$2:$G$1960,MATCH(243,'Transfer Engine'!$C$2:$C$1960,0)))</f>
        <v/>
      </c>
      <c r="H252" s="9">
        <f>IF(ISNA(MATCH(243,'Transfer Engine'!$C$2:$C$1960,0)),"",INDEX('Compliance Database'!$H$2:$H$1960,MATCH(243,'Transfer Engine'!$C$2:$C$1960,0)))</f>
        <v/>
      </c>
      <c r="I252" s="9">
        <f>IF(ISNA(MATCH(243,'Transfer Engine'!$C$2:$C$1960,0)),"",INDEX('Compliance Database'!$I$2:$I$1960,MATCH(243,'Transfer Engine'!$C$2:$C$1960,0)))</f>
        <v/>
      </c>
      <c r="J252" s="8">
        <f>IF(ISNA(MATCH(243,'Transfer Engine'!$C$2:$C$1960,0)),"",INDEX('Compliance Database'!$J$2:$J$1960,MATCH(243,'Transfer Engine'!$C$2:$C$1960,0)))</f>
        <v/>
      </c>
      <c r="K252" s="9">
        <f>IF(ISNA(MATCH(243,'Transfer Engine'!$C$2:$C$1960,0)),"",INDEX('Compliance Database'!$K$2:$K$1960,MATCH(243,'Transfer Engine'!$C$2:$C$1960,0)))</f>
        <v/>
      </c>
      <c r="L252" s="9">
        <f>IF(ISNA(MATCH(243,'Transfer Engine'!$C$2:$C$1960,0)),"",INDEX('Compliance Database'!$L$2:$L$1960,MATCH(243,'Transfer Engine'!$C$2:$C$1960,0)))</f>
        <v/>
      </c>
      <c r="M252" s="9">
        <f>IF(ISNA(MATCH(243,'Transfer Engine'!$C$2:$C$1960,0)),"",INDEX('Compliance Database'!$M$2:$M$1960,MATCH(243,'Transfer Engine'!$C$2:$C$1960,0)))</f>
        <v/>
      </c>
      <c r="N252" s="9">
        <f>IF(ISNA(MATCH(243,'Transfer Engine'!$C$2:$C$1960,0)),"",INDEX('Compliance Database'!$N$2:$N$1960,MATCH(243,'Transfer Engine'!$C$2:$C$1960,0)))</f>
        <v/>
      </c>
      <c r="O252" s="9">
        <f>IF(ISNA(MATCH(243,'Transfer Engine'!$C$2:$C$1960,0)),"",INDEX('Compliance Database'!$O$2:$O$1960,MATCH(243,'Transfer Engine'!$C$2:$C$1960,0)))</f>
        <v/>
      </c>
      <c r="P252" s="8">
        <f>IF(ISNA(MATCH(243,'Transfer Engine'!$C$2:$C$1960,0)),"",HYPERLINK("#Acts!A"&amp;INDEX('Compliance Database'!$P$2:$P$1960,MATCH(243,'Transfer Engine'!$C$2:$C$1960,0)),"Go to Act"))</f>
        <v/>
      </c>
    </row>
    <row r="253" ht="158" customHeight="1">
      <c r="A253" s="8">
        <f>IF(ISNA(MATCH(244,'Transfer Engine'!$C$2:$C$1960,0)),"",INDEX('Compliance Database'!$A$2:$A$1960,MATCH(244,'Transfer Engine'!$C$2:$C$1960,0)))</f>
        <v/>
      </c>
      <c r="B253" s="8">
        <f>IF(ISNA(MATCH(244,'Transfer Engine'!$C$2:$C$1960,0)),"",INDEX('Compliance Database'!$B$2:$B$1960,MATCH(244,'Transfer Engine'!$C$2:$C$1960,0)))</f>
        <v/>
      </c>
      <c r="C253" s="8">
        <f>IF(ISNA(MATCH(244,'Transfer Engine'!$C$2:$C$1960,0)),"",INDEX('Compliance Database'!$C$2:$C$1960,MATCH(244,'Transfer Engine'!$C$2:$C$1960,0)))</f>
        <v/>
      </c>
      <c r="D253" s="9">
        <f>IF(ISNA(MATCH(244,'Transfer Engine'!$C$2:$C$1960,0)),"",INDEX('Compliance Database'!$D$2:$D$1960,MATCH(244,'Transfer Engine'!$C$2:$C$1960,0)))</f>
        <v/>
      </c>
      <c r="E253" s="8">
        <f>IF(ISNA(MATCH(244,'Transfer Engine'!$C$2:$C$1960,0)),"",INDEX('Compliance Database'!$E$2:$E$1960,MATCH(244,'Transfer Engine'!$C$2:$C$1960,0)))</f>
        <v/>
      </c>
      <c r="F253" s="8">
        <f>IF(ISNA(MATCH(244,'Transfer Engine'!$C$2:$C$1960,0)),"",INDEX('Compliance Database'!$F$2:$F$1960,MATCH(244,'Transfer Engine'!$C$2:$C$1960,0)))</f>
        <v/>
      </c>
      <c r="G253" s="8">
        <f>IF(ISNA(MATCH(244,'Transfer Engine'!$C$2:$C$1960,0)),"",INDEX('Compliance Database'!$G$2:$G$1960,MATCH(244,'Transfer Engine'!$C$2:$C$1960,0)))</f>
        <v/>
      </c>
      <c r="H253" s="9">
        <f>IF(ISNA(MATCH(244,'Transfer Engine'!$C$2:$C$1960,0)),"",INDEX('Compliance Database'!$H$2:$H$1960,MATCH(244,'Transfer Engine'!$C$2:$C$1960,0)))</f>
        <v/>
      </c>
      <c r="I253" s="9">
        <f>IF(ISNA(MATCH(244,'Transfer Engine'!$C$2:$C$1960,0)),"",INDEX('Compliance Database'!$I$2:$I$1960,MATCH(244,'Transfer Engine'!$C$2:$C$1960,0)))</f>
        <v/>
      </c>
      <c r="J253" s="8">
        <f>IF(ISNA(MATCH(244,'Transfer Engine'!$C$2:$C$1960,0)),"",INDEX('Compliance Database'!$J$2:$J$1960,MATCH(244,'Transfer Engine'!$C$2:$C$1960,0)))</f>
        <v/>
      </c>
      <c r="K253" s="9">
        <f>IF(ISNA(MATCH(244,'Transfer Engine'!$C$2:$C$1960,0)),"",INDEX('Compliance Database'!$K$2:$K$1960,MATCH(244,'Transfer Engine'!$C$2:$C$1960,0)))</f>
        <v/>
      </c>
      <c r="L253" s="9">
        <f>IF(ISNA(MATCH(244,'Transfer Engine'!$C$2:$C$1960,0)),"",INDEX('Compliance Database'!$L$2:$L$1960,MATCH(244,'Transfer Engine'!$C$2:$C$1960,0)))</f>
        <v/>
      </c>
      <c r="M253" s="9">
        <f>IF(ISNA(MATCH(244,'Transfer Engine'!$C$2:$C$1960,0)),"",INDEX('Compliance Database'!$M$2:$M$1960,MATCH(244,'Transfer Engine'!$C$2:$C$1960,0)))</f>
        <v/>
      </c>
      <c r="N253" s="9">
        <f>IF(ISNA(MATCH(244,'Transfer Engine'!$C$2:$C$1960,0)),"",INDEX('Compliance Database'!$N$2:$N$1960,MATCH(244,'Transfer Engine'!$C$2:$C$1960,0)))</f>
        <v/>
      </c>
      <c r="O253" s="9">
        <f>IF(ISNA(MATCH(244,'Transfer Engine'!$C$2:$C$1960,0)),"",INDEX('Compliance Database'!$O$2:$O$1960,MATCH(244,'Transfer Engine'!$C$2:$C$1960,0)))</f>
        <v/>
      </c>
      <c r="P253" s="8">
        <f>IF(ISNA(MATCH(244,'Transfer Engine'!$C$2:$C$1960,0)),"",HYPERLINK("#Acts!A"&amp;INDEX('Compliance Database'!$P$2:$P$1960,MATCH(244,'Transfer Engine'!$C$2:$C$1960,0)),"Go to Act"))</f>
        <v/>
      </c>
    </row>
    <row r="254" ht="158" customHeight="1">
      <c r="A254" s="8">
        <f>IF(ISNA(MATCH(245,'Transfer Engine'!$C$2:$C$1960,0)),"",INDEX('Compliance Database'!$A$2:$A$1960,MATCH(245,'Transfer Engine'!$C$2:$C$1960,0)))</f>
        <v/>
      </c>
      <c r="B254" s="8">
        <f>IF(ISNA(MATCH(245,'Transfer Engine'!$C$2:$C$1960,0)),"",INDEX('Compliance Database'!$B$2:$B$1960,MATCH(245,'Transfer Engine'!$C$2:$C$1960,0)))</f>
        <v/>
      </c>
      <c r="C254" s="8">
        <f>IF(ISNA(MATCH(245,'Transfer Engine'!$C$2:$C$1960,0)),"",INDEX('Compliance Database'!$C$2:$C$1960,MATCH(245,'Transfer Engine'!$C$2:$C$1960,0)))</f>
        <v/>
      </c>
      <c r="D254" s="9">
        <f>IF(ISNA(MATCH(245,'Transfer Engine'!$C$2:$C$1960,0)),"",INDEX('Compliance Database'!$D$2:$D$1960,MATCH(245,'Transfer Engine'!$C$2:$C$1960,0)))</f>
        <v/>
      </c>
      <c r="E254" s="8">
        <f>IF(ISNA(MATCH(245,'Transfer Engine'!$C$2:$C$1960,0)),"",INDEX('Compliance Database'!$E$2:$E$1960,MATCH(245,'Transfer Engine'!$C$2:$C$1960,0)))</f>
        <v/>
      </c>
      <c r="F254" s="8">
        <f>IF(ISNA(MATCH(245,'Transfer Engine'!$C$2:$C$1960,0)),"",INDEX('Compliance Database'!$F$2:$F$1960,MATCH(245,'Transfer Engine'!$C$2:$C$1960,0)))</f>
        <v/>
      </c>
      <c r="G254" s="8">
        <f>IF(ISNA(MATCH(245,'Transfer Engine'!$C$2:$C$1960,0)),"",INDEX('Compliance Database'!$G$2:$G$1960,MATCH(245,'Transfer Engine'!$C$2:$C$1960,0)))</f>
        <v/>
      </c>
      <c r="H254" s="9">
        <f>IF(ISNA(MATCH(245,'Transfer Engine'!$C$2:$C$1960,0)),"",INDEX('Compliance Database'!$H$2:$H$1960,MATCH(245,'Transfer Engine'!$C$2:$C$1960,0)))</f>
        <v/>
      </c>
      <c r="I254" s="9">
        <f>IF(ISNA(MATCH(245,'Transfer Engine'!$C$2:$C$1960,0)),"",INDEX('Compliance Database'!$I$2:$I$1960,MATCH(245,'Transfer Engine'!$C$2:$C$1960,0)))</f>
        <v/>
      </c>
      <c r="J254" s="8">
        <f>IF(ISNA(MATCH(245,'Transfer Engine'!$C$2:$C$1960,0)),"",INDEX('Compliance Database'!$J$2:$J$1960,MATCH(245,'Transfer Engine'!$C$2:$C$1960,0)))</f>
        <v/>
      </c>
      <c r="K254" s="9">
        <f>IF(ISNA(MATCH(245,'Transfer Engine'!$C$2:$C$1960,0)),"",INDEX('Compliance Database'!$K$2:$K$1960,MATCH(245,'Transfer Engine'!$C$2:$C$1960,0)))</f>
        <v/>
      </c>
      <c r="L254" s="9">
        <f>IF(ISNA(MATCH(245,'Transfer Engine'!$C$2:$C$1960,0)),"",INDEX('Compliance Database'!$L$2:$L$1960,MATCH(245,'Transfer Engine'!$C$2:$C$1960,0)))</f>
        <v/>
      </c>
      <c r="M254" s="9">
        <f>IF(ISNA(MATCH(245,'Transfer Engine'!$C$2:$C$1960,0)),"",INDEX('Compliance Database'!$M$2:$M$1960,MATCH(245,'Transfer Engine'!$C$2:$C$1960,0)))</f>
        <v/>
      </c>
      <c r="N254" s="9">
        <f>IF(ISNA(MATCH(245,'Transfer Engine'!$C$2:$C$1960,0)),"",INDEX('Compliance Database'!$N$2:$N$1960,MATCH(245,'Transfer Engine'!$C$2:$C$1960,0)))</f>
        <v/>
      </c>
      <c r="O254" s="9">
        <f>IF(ISNA(MATCH(245,'Transfer Engine'!$C$2:$C$1960,0)),"",INDEX('Compliance Database'!$O$2:$O$1960,MATCH(245,'Transfer Engine'!$C$2:$C$1960,0)))</f>
        <v/>
      </c>
      <c r="P254" s="8">
        <f>IF(ISNA(MATCH(245,'Transfer Engine'!$C$2:$C$1960,0)),"",HYPERLINK("#Acts!A"&amp;INDEX('Compliance Database'!$P$2:$P$1960,MATCH(245,'Transfer Engine'!$C$2:$C$1960,0)),"Go to Act"))</f>
        <v/>
      </c>
    </row>
    <row r="255" ht="158" customHeight="1">
      <c r="A255" s="8">
        <f>IF(ISNA(MATCH(246,'Transfer Engine'!$C$2:$C$1960,0)),"",INDEX('Compliance Database'!$A$2:$A$1960,MATCH(246,'Transfer Engine'!$C$2:$C$1960,0)))</f>
        <v/>
      </c>
      <c r="B255" s="8">
        <f>IF(ISNA(MATCH(246,'Transfer Engine'!$C$2:$C$1960,0)),"",INDEX('Compliance Database'!$B$2:$B$1960,MATCH(246,'Transfer Engine'!$C$2:$C$1960,0)))</f>
        <v/>
      </c>
      <c r="C255" s="8">
        <f>IF(ISNA(MATCH(246,'Transfer Engine'!$C$2:$C$1960,0)),"",INDEX('Compliance Database'!$C$2:$C$1960,MATCH(246,'Transfer Engine'!$C$2:$C$1960,0)))</f>
        <v/>
      </c>
      <c r="D255" s="9">
        <f>IF(ISNA(MATCH(246,'Transfer Engine'!$C$2:$C$1960,0)),"",INDEX('Compliance Database'!$D$2:$D$1960,MATCH(246,'Transfer Engine'!$C$2:$C$1960,0)))</f>
        <v/>
      </c>
      <c r="E255" s="8">
        <f>IF(ISNA(MATCH(246,'Transfer Engine'!$C$2:$C$1960,0)),"",INDEX('Compliance Database'!$E$2:$E$1960,MATCH(246,'Transfer Engine'!$C$2:$C$1960,0)))</f>
        <v/>
      </c>
      <c r="F255" s="8">
        <f>IF(ISNA(MATCH(246,'Transfer Engine'!$C$2:$C$1960,0)),"",INDEX('Compliance Database'!$F$2:$F$1960,MATCH(246,'Transfer Engine'!$C$2:$C$1960,0)))</f>
        <v/>
      </c>
      <c r="G255" s="8">
        <f>IF(ISNA(MATCH(246,'Transfer Engine'!$C$2:$C$1960,0)),"",INDEX('Compliance Database'!$G$2:$G$1960,MATCH(246,'Transfer Engine'!$C$2:$C$1960,0)))</f>
        <v/>
      </c>
      <c r="H255" s="9">
        <f>IF(ISNA(MATCH(246,'Transfer Engine'!$C$2:$C$1960,0)),"",INDEX('Compliance Database'!$H$2:$H$1960,MATCH(246,'Transfer Engine'!$C$2:$C$1960,0)))</f>
        <v/>
      </c>
      <c r="I255" s="9">
        <f>IF(ISNA(MATCH(246,'Transfer Engine'!$C$2:$C$1960,0)),"",INDEX('Compliance Database'!$I$2:$I$1960,MATCH(246,'Transfer Engine'!$C$2:$C$1960,0)))</f>
        <v/>
      </c>
      <c r="J255" s="8">
        <f>IF(ISNA(MATCH(246,'Transfer Engine'!$C$2:$C$1960,0)),"",INDEX('Compliance Database'!$J$2:$J$1960,MATCH(246,'Transfer Engine'!$C$2:$C$1960,0)))</f>
        <v/>
      </c>
      <c r="K255" s="9">
        <f>IF(ISNA(MATCH(246,'Transfer Engine'!$C$2:$C$1960,0)),"",INDEX('Compliance Database'!$K$2:$K$1960,MATCH(246,'Transfer Engine'!$C$2:$C$1960,0)))</f>
        <v/>
      </c>
      <c r="L255" s="9">
        <f>IF(ISNA(MATCH(246,'Transfer Engine'!$C$2:$C$1960,0)),"",INDEX('Compliance Database'!$L$2:$L$1960,MATCH(246,'Transfer Engine'!$C$2:$C$1960,0)))</f>
        <v/>
      </c>
      <c r="M255" s="9">
        <f>IF(ISNA(MATCH(246,'Transfer Engine'!$C$2:$C$1960,0)),"",INDEX('Compliance Database'!$M$2:$M$1960,MATCH(246,'Transfer Engine'!$C$2:$C$1960,0)))</f>
        <v/>
      </c>
      <c r="N255" s="9">
        <f>IF(ISNA(MATCH(246,'Transfer Engine'!$C$2:$C$1960,0)),"",INDEX('Compliance Database'!$N$2:$N$1960,MATCH(246,'Transfer Engine'!$C$2:$C$1960,0)))</f>
        <v/>
      </c>
      <c r="O255" s="9">
        <f>IF(ISNA(MATCH(246,'Transfer Engine'!$C$2:$C$1960,0)),"",INDEX('Compliance Database'!$O$2:$O$1960,MATCH(246,'Transfer Engine'!$C$2:$C$1960,0)))</f>
        <v/>
      </c>
      <c r="P255" s="8">
        <f>IF(ISNA(MATCH(246,'Transfer Engine'!$C$2:$C$1960,0)),"",HYPERLINK("#Acts!A"&amp;INDEX('Compliance Database'!$P$2:$P$1960,MATCH(246,'Transfer Engine'!$C$2:$C$1960,0)),"Go to Act"))</f>
        <v/>
      </c>
    </row>
    <row r="256" ht="158" customHeight="1">
      <c r="A256" s="8">
        <f>IF(ISNA(MATCH(247,'Transfer Engine'!$C$2:$C$1960,0)),"",INDEX('Compliance Database'!$A$2:$A$1960,MATCH(247,'Transfer Engine'!$C$2:$C$1960,0)))</f>
        <v/>
      </c>
      <c r="B256" s="8">
        <f>IF(ISNA(MATCH(247,'Transfer Engine'!$C$2:$C$1960,0)),"",INDEX('Compliance Database'!$B$2:$B$1960,MATCH(247,'Transfer Engine'!$C$2:$C$1960,0)))</f>
        <v/>
      </c>
      <c r="C256" s="8">
        <f>IF(ISNA(MATCH(247,'Transfer Engine'!$C$2:$C$1960,0)),"",INDEX('Compliance Database'!$C$2:$C$1960,MATCH(247,'Transfer Engine'!$C$2:$C$1960,0)))</f>
        <v/>
      </c>
      <c r="D256" s="9">
        <f>IF(ISNA(MATCH(247,'Transfer Engine'!$C$2:$C$1960,0)),"",INDEX('Compliance Database'!$D$2:$D$1960,MATCH(247,'Transfer Engine'!$C$2:$C$1960,0)))</f>
        <v/>
      </c>
      <c r="E256" s="8">
        <f>IF(ISNA(MATCH(247,'Transfer Engine'!$C$2:$C$1960,0)),"",INDEX('Compliance Database'!$E$2:$E$1960,MATCH(247,'Transfer Engine'!$C$2:$C$1960,0)))</f>
        <v/>
      </c>
      <c r="F256" s="8">
        <f>IF(ISNA(MATCH(247,'Transfer Engine'!$C$2:$C$1960,0)),"",INDEX('Compliance Database'!$F$2:$F$1960,MATCH(247,'Transfer Engine'!$C$2:$C$1960,0)))</f>
        <v/>
      </c>
      <c r="G256" s="8">
        <f>IF(ISNA(MATCH(247,'Transfer Engine'!$C$2:$C$1960,0)),"",INDEX('Compliance Database'!$G$2:$G$1960,MATCH(247,'Transfer Engine'!$C$2:$C$1960,0)))</f>
        <v/>
      </c>
      <c r="H256" s="9">
        <f>IF(ISNA(MATCH(247,'Transfer Engine'!$C$2:$C$1960,0)),"",INDEX('Compliance Database'!$H$2:$H$1960,MATCH(247,'Transfer Engine'!$C$2:$C$1960,0)))</f>
        <v/>
      </c>
      <c r="I256" s="9">
        <f>IF(ISNA(MATCH(247,'Transfer Engine'!$C$2:$C$1960,0)),"",INDEX('Compliance Database'!$I$2:$I$1960,MATCH(247,'Transfer Engine'!$C$2:$C$1960,0)))</f>
        <v/>
      </c>
      <c r="J256" s="8">
        <f>IF(ISNA(MATCH(247,'Transfer Engine'!$C$2:$C$1960,0)),"",INDEX('Compliance Database'!$J$2:$J$1960,MATCH(247,'Transfer Engine'!$C$2:$C$1960,0)))</f>
        <v/>
      </c>
      <c r="K256" s="9">
        <f>IF(ISNA(MATCH(247,'Transfer Engine'!$C$2:$C$1960,0)),"",INDEX('Compliance Database'!$K$2:$K$1960,MATCH(247,'Transfer Engine'!$C$2:$C$1960,0)))</f>
        <v/>
      </c>
      <c r="L256" s="9">
        <f>IF(ISNA(MATCH(247,'Transfer Engine'!$C$2:$C$1960,0)),"",INDEX('Compliance Database'!$L$2:$L$1960,MATCH(247,'Transfer Engine'!$C$2:$C$1960,0)))</f>
        <v/>
      </c>
      <c r="M256" s="9">
        <f>IF(ISNA(MATCH(247,'Transfer Engine'!$C$2:$C$1960,0)),"",INDEX('Compliance Database'!$M$2:$M$1960,MATCH(247,'Transfer Engine'!$C$2:$C$1960,0)))</f>
        <v/>
      </c>
      <c r="N256" s="9">
        <f>IF(ISNA(MATCH(247,'Transfer Engine'!$C$2:$C$1960,0)),"",INDEX('Compliance Database'!$N$2:$N$1960,MATCH(247,'Transfer Engine'!$C$2:$C$1960,0)))</f>
        <v/>
      </c>
      <c r="O256" s="9">
        <f>IF(ISNA(MATCH(247,'Transfer Engine'!$C$2:$C$1960,0)),"",INDEX('Compliance Database'!$O$2:$O$1960,MATCH(247,'Transfer Engine'!$C$2:$C$1960,0)))</f>
        <v/>
      </c>
      <c r="P256" s="8">
        <f>IF(ISNA(MATCH(247,'Transfer Engine'!$C$2:$C$1960,0)),"",HYPERLINK("#Acts!A"&amp;INDEX('Compliance Database'!$P$2:$P$1960,MATCH(247,'Transfer Engine'!$C$2:$C$1960,0)),"Go to Act"))</f>
        <v/>
      </c>
    </row>
    <row r="257" ht="158" customHeight="1">
      <c r="A257" s="8">
        <f>IF(ISNA(MATCH(248,'Transfer Engine'!$C$2:$C$1960,0)),"",INDEX('Compliance Database'!$A$2:$A$1960,MATCH(248,'Transfer Engine'!$C$2:$C$1960,0)))</f>
        <v/>
      </c>
      <c r="B257" s="8">
        <f>IF(ISNA(MATCH(248,'Transfer Engine'!$C$2:$C$1960,0)),"",INDEX('Compliance Database'!$B$2:$B$1960,MATCH(248,'Transfer Engine'!$C$2:$C$1960,0)))</f>
        <v/>
      </c>
      <c r="C257" s="8">
        <f>IF(ISNA(MATCH(248,'Transfer Engine'!$C$2:$C$1960,0)),"",INDEX('Compliance Database'!$C$2:$C$1960,MATCH(248,'Transfer Engine'!$C$2:$C$1960,0)))</f>
        <v/>
      </c>
      <c r="D257" s="9">
        <f>IF(ISNA(MATCH(248,'Transfer Engine'!$C$2:$C$1960,0)),"",INDEX('Compliance Database'!$D$2:$D$1960,MATCH(248,'Transfer Engine'!$C$2:$C$1960,0)))</f>
        <v/>
      </c>
      <c r="E257" s="8">
        <f>IF(ISNA(MATCH(248,'Transfer Engine'!$C$2:$C$1960,0)),"",INDEX('Compliance Database'!$E$2:$E$1960,MATCH(248,'Transfer Engine'!$C$2:$C$1960,0)))</f>
        <v/>
      </c>
      <c r="F257" s="8">
        <f>IF(ISNA(MATCH(248,'Transfer Engine'!$C$2:$C$1960,0)),"",INDEX('Compliance Database'!$F$2:$F$1960,MATCH(248,'Transfer Engine'!$C$2:$C$1960,0)))</f>
        <v/>
      </c>
      <c r="G257" s="8">
        <f>IF(ISNA(MATCH(248,'Transfer Engine'!$C$2:$C$1960,0)),"",INDEX('Compliance Database'!$G$2:$G$1960,MATCH(248,'Transfer Engine'!$C$2:$C$1960,0)))</f>
        <v/>
      </c>
      <c r="H257" s="9">
        <f>IF(ISNA(MATCH(248,'Transfer Engine'!$C$2:$C$1960,0)),"",INDEX('Compliance Database'!$H$2:$H$1960,MATCH(248,'Transfer Engine'!$C$2:$C$1960,0)))</f>
        <v/>
      </c>
      <c r="I257" s="9">
        <f>IF(ISNA(MATCH(248,'Transfer Engine'!$C$2:$C$1960,0)),"",INDEX('Compliance Database'!$I$2:$I$1960,MATCH(248,'Transfer Engine'!$C$2:$C$1960,0)))</f>
        <v/>
      </c>
      <c r="J257" s="8">
        <f>IF(ISNA(MATCH(248,'Transfer Engine'!$C$2:$C$1960,0)),"",INDEX('Compliance Database'!$J$2:$J$1960,MATCH(248,'Transfer Engine'!$C$2:$C$1960,0)))</f>
        <v/>
      </c>
      <c r="K257" s="9">
        <f>IF(ISNA(MATCH(248,'Transfer Engine'!$C$2:$C$1960,0)),"",INDEX('Compliance Database'!$K$2:$K$1960,MATCH(248,'Transfer Engine'!$C$2:$C$1960,0)))</f>
        <v/>
      </c>
      <c r="L257" s="9">
        <f>IF(ISNA(MATCH(248,'Transfer Engine'!$C$2:$C$1960,0)),"",INDEX('Compliance Database'!$L$2:$L$1960,MATCH(248,'Transfer Engine'!$C$2:$C$1960,0)))</f>
        <v/>
      </c>
      <c r="M257" s="9">
        <f>IF(ISNA(MATCH(248,'Transfer Engine'!$C$2:$C$1960,0)),"",INDEX('Compliance Database'!$M$2:$M$1960,MATCH(248,'Transfer Engine'!$C$2:$C$1960,0)))</f>
        <v/>
      </c>
      <c r="N257" s="9">
        <f>IF(ISNA(MATCH(248,'Transfer Engine'!$C$2:$C$1960,0)),"",INDEX('Compliance Database'!$N$2:$N$1960,MATCH(248,'Transfer Engine'!$C$2:$C$1960,0)))</f>
        <v/>
      </c>
      <c r="O257" s="9">
        <f>IF(ISNA(MATCH(248,'Transfer Engine'!$C$2:$C$1960,0)),"",INDEX('Compliance Database'!$O$2:$O$1960,MATCH(248,'Transfer Engine'!$C$2:$C$1960,0)))</f>
        <v/>
      </c>
      <c r="P257" s="8">
        <f>IF(ISNA(MATCH(248,'Transfer Engine'!$C$2:$C$1960,0)),"",HYPERLINK("#Acts!A"&amp;INDEX('Compliance Database'!$P$2:$P$1960,MATCH(248,'Transfer Engine'!$C$2:$C$1960,0)),"Go to Act"))</f>
        <v/>
      </c>
    </row>
    <row r="258" ht="158" customHeight="1">
      <c r="A258" s="8">
        <f>IF(ISNA(MATCH(249,'Transfer Engine'!$C$2:$C$1960,0)),"",INDEX('Compliance Database'!$A$2:$A$1960,MATCH(249,'Transfer Engine'!$C$2:$C$1960,0)))</f>
        <v/>
      </c>
      <c r="B258" s="8">
        <f>IF(ISNA(MATCH(249,'Transfer Engine'!$C$2:$C$1960,0)),"",INDEX('Compliance Database'!$B$2:$B$1960,MATCH(249,'Transfer Engine'!$C$2:$C$1960,0)))</f>
        <v/>
      </c>
      <c r="C258" s="8">
        <f>IF(ISNA(MATCH(249,'Transfer Engine'!$C$2:$C$1960,0)),"",INDEX('Compliance Database'!$C$2:$C$1960,MATCH(249,'Transfer Engine'!$C$2:$C$1960,0)))</f>
        <v/>
      </c>
      <c r="D258" s="9">
        <f>IF(ISNA(MATCH(249,'Transfer Engine'!$C$2:$C$1960,0)),"",INDEX('Compliance Database'!$D$2:$D$1960,MATCH(249,'Transfer Engine'!$C$2:$C$1960,0)))</f>
        <v/>
      </c>
      <c r="E258" s="8">
        <f>IF(ISNA(MATCH(249,'Transfer Engine'!$C$2:$C$1960,0)),"",INDEX('Compliance Database'!$E$2:$E$1960,MATCH(249,'Transfer Engine'!$C$2:$C$1960,0)))</f>
        <v/>
      </c>
      <c r="F258" s="8">
        <f>IF(ISNA(MATCH(249,'Transfer Engine'!$C$2:$C$1960,0)),"",INDEX('Compliance Database'!$F$2:$F$1960,MATCH(249,'Transfer Engine'!$C$2:$C$1960,0)))</f>
        <v/>
      </c>
      <c r="G258" s="8">
        <f>IF(ISNA(MATCH(249,'Transfer Engine'!$C$2:$C$1960,0)),"",INDEX('Compliance Database'!$G$2:$G$1960,MATCH(249,'Transfer Engine'!$C$2:$C$1960,0)))</f>
        <v/>
      </c>
      <c r="H258" s="9">
        <f>IF(ISNA(MATCH(249,'Transfer Engine'!$C$2:$C$1960,0)),"",INDEX('Compliance Database'!$H$2:$H$1960,MATCH(249,'Transfer Engine'!$C$2:$C$1960,0)))</f>
        <v/>
      </c>
      <c r="I258" s="9">
        <f>IF(ISNA(MATCH(249,'Transfer Engine'!$C$2:$C$1960,0)),"",INDEX('Compliance Database'!$I$2:$I$1960,MATCH(249,'Transfer Engine'!$C$2:$C$1960,0)))</f>
        <v/>
      </c>
      <c r="J258" s="8">
        <f>IF(ISNA(MATCH(249,'Transfer Engine'!$C$2:$C$1960,0)),"",INDEX('Compliance Database'!$J$2:$J$1960,MATCH(249,'Transfer Engine'!$C$2:$C$1960,0)))</f>
        <v/>
      </c>
      <c r="K258" s="9">
        <f>IF(ISNA(MATCH(249,'Transfer Engine'!$C$2:$C$1960,0)),"",INDEX('Compliance Database'!$K$2:$K$1960,MATCH(249,'Transfer Engine'!$C$2:$C$1960,0)))</f>
        <v/>
      </c>
      <c r="L258" s="9">
        <f>IF(ISNA(MATCH(249,'Transfer Engine'!$C$2:$C$1960,0)),"",INDEX('Compliance Database'!$L$2:$L$1960,MATCH(249,'Transfer Engine'!$C$2:$C$1960,0)))</f>
        <v/>
      </c>
      <c r="M258" s="9">
        <f>IF(ISNA(MATCH(249,'Transfer Engine'!$C$2:$C$1960,0)),"",INDEX('Compliance Database'!$M$2:$M$1960,MATCH(249,'Transfer Engine'!$C$2:$C$1960,0)))</f>
        <v/>
      </c>
      <c r="N258" s="9">
        <f>IF(ISNA(MATCH(249,'Transfer Engine'!$C$2:$C$1960,0)),"",INDEX('Compliance Database'!$N$2:$N$1960,MATCH(249,'Transfer Engine'!$C$2:$C$1960,0)))</f>
        <v/>
      </c>
      <c r="O258" s="9">
        <f>IF(ISNA(MATCH(249,'Transfer Engine'!$C$2:$C$1960,0)),"",INDEX('Compliance Database'!$O$2:$O$1960,MATCH(249,'Transfer Engine'!$C$2:$C$1960,0)))</f>
        <v/>
      </c>
      <c r="P258" s="8">
        <f>IF(ISNA(MATCH(249,'Transfer Engine'!$C$2:$C$1960,0)),"",HYPERLINK("#Acts!A"&amp;INDEX('Compliance Database'!$P$2:$P$1960,MATCH(249,'Transfer Engine'!$C$2:$C$1960,0)),"Go to Act"))</f>
        <v/>
      </c>
    </row>
    <row r="259" ht="158" customHeight="1">
      <c r="A259" s="8">
        <f>IF(ISNA(MATCH(250,'Transfer Engine'!$C$2:$C$1960,0)),"",INDEX('Compliance Database'!$A$2:$A$1960,MATCH(250,'Transfer Engine'!$C$2:$C$1960,0)))</f>
        <v/>
      </c>
      <c r="B259" s="8">
        <f>IF(ISNA(MATCH(250,'Transfer Engine'!$C$2:$C$1960,0)),"",INDEX('Compliance Database'!$B$2:$B$1960,MATCH(250,'Transfer Engine'!$C$2:$C$1960,0)))</f>
        <v/>
      </c>
      <c r="C259" s="8">
        <f>IF(ISNA(MATCH(250,'Transfer Engine'!$C$2:$C$1960,0)),"",INDEX('Compliance Database'!$C$2:$C$1960,MATCH(250,'Transfer Engine'!$C$2:$C$1960,0)))</f>
        <v/>
      </c>
      <c r="D259" s="9">
        <f>IF(ISNA(MATCH(250,'Transfer Engine'!$C$2:$C$1960,0)),"",INDEX('Compliance Database'!$D$2:$D$1960,MATCH(250,'Transfer Engine'!$C$2:$C$1960,0)))</f>
        <v/>
      </c>
      <c r="E259" s="8">
        <f>IF(ISNA(MATCH(250,'Transfer Engine'!$C$2:$C$1960,0)),"",INDEX('Compliance Database'!$E$2:$E$1960,MATCH(250,'Transfer Engine'!$C$2:$C$1960,0)))</f>
        <v/>
      </c>
      <c r="F259" s="8">
        <f>IF(ISNA(MATCH(250,'Transfer Engine'!$C$2:$C$1960,0)),"",INDEX('Compliance Database'!$F$2:$F$1960,MATCH(250,'Transfer Engine'!$C$2:$C$1960,0)))</f>
        <v/>
      </c>
      <c r="G259" s="8">
        <f>IF(ISNA(MATCH(250,'Transfer Engine'!$C$2:$C$1960,0)),"",INDEX('Compliance Database'!$G$2:$G$1960,MATCH(250,'Transfer Engine'!$C$2:$C$1960,0)))</f>
        <v/>
      </c>
      <c r="H259" s="9">
        <f>IF(ISNA(MATCH(250,'Transfer Engine'!$C$2:$C$1960,0)),"",INDEX('Compliance Database'!$H$2:$H$1960,MATCH(250,'Transfer Engine'!$C$2:$C$1960,0)))</f>
        <v/>
      </c>
      <c r="I259" s="9">
        <f>IF(ISNA(MATCH(250,'Transfer Engine'!$C$2:$C$1960,0)),"",INDEX('Compliance Database'!$I$2:$I$1960,MATCH(250,'Transfer Engine'!$C$2:$C$1960,0)))</f>
        <v/>
      </c>
      <c r="J259" s="8">
        <f>IF(ISNA(MATCH(250,'Transfer Engine'!$C$2:$C$1960,0)),"",INDEX('Compliance Database'!$J$2:$J$1960,MATCH(250,'Transfer Engine'!$C$2:$C$1960,0)))</f>
        <v/>
      </c>
      <c r="K259" s="9">
        <f>IF(ISNA(MATCH(250,'Transfer Engine'!$C$2:$C$1960,0)),"",INDEX('Compliance Database'!$K$2:$K$1960,MATCH(250,'Transfer Engine'!$C$2:$C$1960,0)))</f>
        <v/>
      </c>
      <c r="L259" s="9">
        <f>IF(ISNA(MATCH(250,'Transfer Engine'!$C$2:$C$1960,0)),"",INDEX('Compliance Database'!$L$2:$L$1960,MATCH(250,'Transfer Engine'!$C$2:$C$1960,0)))</f>
        <v/>
      </c>
      <c r="M259" s="9">
        <f>IF(ISNA(MATCH(250,'Transfer Engine'!$C$2:$C$1960,0)),"",INDEX('Compliance Database'!$M$2:$M$1960,MATCH(250,'Transfer Engine'!$C$2:$C$1960,0)))</f>
        <v/>
      </c>
      <c r="N259" s="9">
        <f>IF(ISNA(MATCH(250,'Transfer Engine'!$C$2:$C$1960,0)),"",INDEX('Compliance Database'!$N$2:$N$1960,MATCH(250,'Transfer Engine'!$C$2:$C$1960,0)))</f>
        <v/>
      </c>
      <c r="O259" s="9">
        <f>IF(ISNA(MATCH(250,'Transfer Engine'!$C$2:$C$1960,0)),"",INDEX('Compliance Database'!$O$2:$O$1960,MATCH(250,'Transfer Engine'!$C$2:$C$1960,0)))</f>
        <v/>
      </c>
      <c r="P259" s="8">
        <f>IF(ISNA(MATCH(250,'Transfer Engine'!$C$2:$C$1960,0)),"",HYPERLINK("#Acts!A"&amp;INDEX('Compliance Database'!$P$2:$P$1960,MATCH(250,'Transfer Engine'!$C$2:$C$1960,0)),"Go to Act"))</f>
        <v/>
      </c>
    </row>
    <row r="260" ht="158" customHeight="1">
      <c r="A260" s="8">
        <f>IF(ISNA(MATCH(251,'Transfer Engine'!$C$2:$C$1960,0)),"",INDEX('Compliance Database'!$A$2:$A$1960,MATCH(251,'Transfer Engine'!$C$2:$C$1960,0)))</f>
        <v/>
      </c>
      <c r="B260" s="8">
        <f>IF(ISNA(MATCH(251,'Transfer Engine'!$C$2:$C$1960,0)),"",INDEX('Compliance Database'!$B$2:$B$1960,MATCH(251,'Transfer Engine'!$C$2:$C$1960,0)))</f>
        <v/>
      </c>
      <c r="C260" s="8">
        <f>IF(ISNA(MATCH(251,'Transfer Engine'!$C$2:$C$1960,0)),"",INDEX('Compliance Database'!$C$2:$C$1960,MATCH(251,'Transfer Engine'!$C$2:$C$1960,0)))</f>
        <v/>
      </c>
      <c r="D260" s="9">
        <f>IF(ISNA(MATCH(251,'Transfer Engine'!$C$2:$C$1960,0)),"",INDEX('Compliance Database'!$D$2:$D$1960,MATCH(251,'Transfer Engine'!$C$2:$C$1960,0)))</f>
        <v/>
      </c>
      <c r="E260" s="8">
        <f>IF(ISNA(MATCH(251,'Transfer Engine'!$C$2:$C$1960,0)),"",INDEX('Compliance Database'!$E$2:$E$1960,MATCH(251,'Transfer Engine'!$C$2:$C$1960,0)))</f>
        <v/>
      </c>
      <c r="F260" s="8">
        <f>IF(ISNA(MATCH(251,'Transfer Engine'!$C$2:$C$1960,0)),"",INDEX('Compliance Database'!$F$2:$F$1960,MATCH(251,'Transfer Engine'!$C$2:$C$1960,0)))</f>
        <v/>
      </c>
      <c r="G260" s="8">
        <f>IF(ISNA(MATCH(251,'Transfer Engine'!$C$2:$C$1960,0)),"",INDEX('Compliance Database'!$G$2:$G$1960,MATCH(251,'Transfer Engine'!$C$2:$C$1960,0)))</f>
        <v/>
      </c>
      <c r="H260" s="9">
        <f>IF(ISNA(MATCH(251,'Transfer Engine'!$C$2:$C$1960,0)),"",INDEX('Compliance Database'!$H$2:$H$1960,MATCH(251,'Transfer Engine'!$C$2:$C$1960,0)))</f>
        <v/>
      </c>
      <c r="I260" s="9">
        <f>IF(ISNA(MATCH(251,'Transfer Engine'!$C$2:$C$1960,0)),"",INDEX('Compliance Database'!$I$2:$I$1960,MATCH(251,'Transfer Engine'!$C$2:$C$1960,0)))</f>
        <v/>
      </c>
      <c r="J260" s="8">
        <f>IF(ISNA(MATCH(251,'Transfer Engine'!$C$2:$C$1960,0)),"",INDEX('Compliance Database'!$J$2:$J$1960,MATCH(251,'Transfer Engine'!$C$2:$C$1960,0)))</f>
        <v/>
      </c>
      <c r="K260" s="9">
        <f>IF(ISNA(MATCH(251,'Transfer Engine'!$C$2:$C$1960,0)),"",INDEX('Compliance Database'!$K$2:$K$1960,MATCH(251,'Transfer Engine'!$C$2:$C$1960,0)))</f>
        <v/>
      </c>
      <c r="L260" s="9">
        <f>IF(ISNA(MATCH(251,'Transfer Engine'!$C$2:$C$1960,0)),"",INDEX('Compliance Database'!$L$2:$L$1960,MATCH(251,'Transfer Engine'!$C$2:$C$1960,0)))</f>
        <v/>
      </c>
      <c r="M260" s="9">
        <f>IF(ISNA(MATCH(251,'Transfer Engine'!$C$2:$C$1960,0)),"",INDEX('Compliance Database'!$M$2:$M$1960,MATCH(251,'Transfer Engine'!$C$2:$C$1960,0)))</f>
        <v/>
      </c>
      <c r="N260" s="9">
        <f>IF(ISNA(MATCH(251,'Transfer Engine'!$C$2:$C$1960,0)),"",INDEX('Compliance Database'!$N$2:$N$1960,MATCH(251,'Transfer Engine'!$C$2:$C$1960,0)))</f>
        <v/>
      </c>
      <c r="O260" s="9">
        <f>IF(ISNA(MATCH(251,'Transfer Engine'!$C$2:$C$1960,0)),"",INDEX('Compliance Database'!$O$2:$O$1960,MATCH(251,'Transfer Engine'!$C$2:$C$1960,0)))</f>
        <v/>
      </c>
      <c r="P260" s="8">
        <f>IF(ISNA(MATCH(251,'Transfer Engine'!$C$2:$C$1960,0)),"",HYPERLINK("#Acts!A"&amp;INDEX('Compliance Database'!$P$2:$P$1960,MATCH(251,'Transfer Engine'!$C$2:$C$1960,0)),"Go to Act"))</f>
        <v/>
      </c>
    </row>
    <row r="261" ht="158" customHeight="1">
      <c r="A261" s="8">
        <f>IF(ISNA(MATCH(252,'Transfer Engine'!$C$2:$C$1960,0)),"",INDEX('Compliance Database'!$A$2:$A$1960,MATCH(252,'Transfer Engine'!$C$2:$C$1960,0)))</f>
        <v/>
      </c>
      <c r="B261" s="8">
        <f>IF(ISNA(MATCH(252,'Transfer Engine'!$C$2:$C$1960,0)),"",INDEX('Compliance Database'!$B$2:$B$1960,MATCH(252,'Transfer Engine'!$C$2:$C$1960,0)))</f>
        <v/>
      </c>
      <c r="C261" s="8">
        <f>IF(ISNA(MATCH(252,'Transfer Engine'!$C$2:$C$1960,0)),"",INDEX('Compliance Database'!$C$2:$C$1960,MATCH(252,'Transfer Engine'!$C$2:$C$1960,0)))</f>
        <v/>
      </c>
      <c r="D261" s="9">
        <f>IF(ISNA(MATCH(252,'Transfer Engine'!$C$2:$C$1960,0)),"",INDEX('Compliance Database'!$D$2:$D$1960,MATCH(252,'Transfer Engine'!$C$2:$C$1960,0)))</f>
        <v/>
      </c>
      <c r="E261" s="8">
        <f>IF(ISNA(MATCH(252,'Transfer Engine'!$C$2:$C$1960,0)),"",INDEX('Compliance Database'!$E$2:$E$1960,MATCH(252,'Transfer Engine'!$C$2:$C$1960,0)))</f>
        <v/>
      </c>
      <c r="F261" s="8">
        <f>IF(ISNA(MATCH(252,'Transfer Engine'!$C$2:$C$1960,0)),"",INDEX('Compliance Database'!$F$2:$F$1960,MATCH(252,'Transfer Engine'!$C$2:$C$1960,0)))</f>
        <v/>
      </c>
      <c r="G261" s="8">
        <f>IF(ISNA(MATCH(252,'Transfer Engine'!$C$2:$C$1960,0)),"",INDEX('Compliance Database'!$G$2:$G$1960,MATCH(252,'Transfer Engine'!$C$2:$C$1960,0)))</f>
        <v/>
      </c>
      <c r="H261" s="9">
        <f>IF(ISNA(MATCH(252,'Transfer Engine'!$C$2:$C$1960,0)),"",INDEX('Compliance Database'!$H$2:$H$1960,MATCH(252,'Transfer Engine'!$C$2:$C$1960,0)))</f>
        <v/>
      </c>
      <c r="I261" s="9">
        <f>IF(ISNA(MATCH(252,'Transfer Engine'!$C$2:$C$1960,0)),"",INDEX('Compliance Database'!$I$2:$I$1960,MATCH(252,'Transfer Engine'!$C$2:$C$1960,0)))</f>
        <v/>
      </c>
      <c r="J261" s="8">
        <f>IF(ISNA(MATCH(252,'Transfer Engine'!$C$2:$C$1960,0)),"",INDEX('Compliance Database'!$J$2:$J$1960,MATCH(252,'Transfer Engine'!$C$2:$C$1960,0)))</f>
        <v/>
      </c>
      <c r="K261" s="9">
        <f>IF(ISNA(MATCH(252,'Transfer Engine'!$C$2:$C$1960,0)),"",INDEX('Compliance Database'!$K$2:$K$1960,MATCH(252,'Transfer Engine'!$C$2:$C$1960,0)))</f>
        <v/>
      </c>
      <c r="L261" s="9">
        <f>IF(ISNA(MATCH(252,'Transfer Engine'!$C$2:$C$1960,0)),"",INDEX('Compliance Database'!$L$2:$L$1960,MATCH(252,'Transfer Engine'!$C$2:$C$1960,0)))</f>
        <v/>
      </c>
      <c r="M261" s="9">
        <f>IF(ISNA(MATCH(252,'Transfer Engine'!$C$2:$C$1960,0)),"",INDEX('Compliance Database'!$M$2:$M$1960,MATCH(252,'Transfer Engine'!$C$2:$C$1960,0)))</f>
        <v/>
      </c>
      <c r="N261" s="9">
        <f>IF(ISNA(MATCH(252,'Transfer Engine'!$C$2:$C$1960,0)),"",INDEX('Compliance Database'!$N$2:$N$1960,MATCH(252,'Transfer Engine'!$C$2:$C$1960,0)))</f>
        <v/>
      </c>
      <c r="O261" s="9">
        <f>IF(ISNA(MATCH(252,'Transfer Engine'!$C$2:$C$1960,0)),"",INDEX('Compliance Database'!$O$2:$O$1960,MATCH(252,'Transfer Engine'!$C$2:$C$1960,0)))</f>
        <v/>
      </c>
      <c r="P261" s="8">
        <f>IF(ISNA(MATCH(252,'Transfer Engine'!$C$2:$C$1960,0)),"",HYPERLINK("#Acts!A"&amp;INDEX('Compliance Database'!$P$2:$P$1960,MATCH(252,'Transfer Engine'!$C$2:$C$1960,0)),"Go to Act"))</f>
        <v/>
      </c>
    </row>
    <row r="262" ht="158" customHeight="1">
      <c r="A262" s="8">
        <f>IF(ISNA(MATCH(253,'Transfer Engine'!$C$2:$C$1960,0)),"",INDEX('Compliance Database'!$A$2:$A$1960,MATCH(253,'Transfer Engine'!$C$2:$C$1960,0)))</f>
        <v/>
      </c>
      <c r="B262" s="8">
        <f>IF(ISNA(MATCH(253,'Transfer Engine'!$C$2:$C$1960,0)),"",INDEX('Compliance Database'!$B$2:$B$1960,MATCH(253,'Transfer Engine'!$C$2:$C$1960,0)))</f>
        <v/>
      </c>
      <c r="C262" s="8">
        <f>IF(ISNA(MATCH(253,'Transfer Engine'!$C$2:$C$1960,0)),"",INDEX('Compliance Database'!$C$2:$C$1960,MATCH(253,'Transfer Engine'!$C$2:$C$1960,0)))</f>
        <v/>
      </c>
      <c r="D262" s="9">
        <f>IF(ISNA(MATCH(253,'Transfer Engine'!$C$2:$C$1960,0)),"",INDEX('Compliance Database'!$D$2:$D$1960,MATCH(253,'Transfer Engine'!$C$2:$C$1960,0)))</f>
        <v/>
      </c>
      <c r="E262" s="8">
        <f>IF(ISNA(MATCH(253,'Transfer Engine'!$C$2:$C$1960,0)),"",INDEX('Compliance Database'!$E$2:$E$1960,MATCH(253,'Transfer Engine'!$C$2:$C$1960,0)))</f>
        <v/>
      </c>
      <c r="F262" s="8">
        <f>IF(ISNA(MATCH(253,'Transfer Engine'!$C$2:$C$1960,0)),"",INDEX('Compliance Database'!$F$2:$F$1960,MATCH(253,'Transfer Engine'!$C$2:$C$1960,0)))</f>
        <v/>
      </c>
      <c r="G262" s="8">
        <f>IF(ISNA(MATCH(253,'Transfer Engine'!$C$2:$C$1960,0)),"",INDEX('Compliance Database'!$G$2:$G$1960,MATCH(253,'Transfer Engine'!$C$2:$C$1960,0)))</f>
        <v/>
      </c>
      <c r="H262" s="9">
        <f>IF(ISNA(MATCH(253,'Transfer Engine'!$C$2:$C$1960,0)),"",INDEX('Compliance Database'!$H$2:$H$1960,MATCH(253,'Transfer Engine'!$C$2:$C$1960,0)))</f>
        <v/>
      </c>
      <c r="I262" s="9">
        <f>IF(ISNA(MATCH(253,'Transfer Engine'!$C$2:$C$1960,0)),"",INDEX('Compliance Database'!$I$2:$I$1960,MATCH(253,'Transfer Engine'!$C$2:$C$1960,0)))</f>
        <v/>
      </c>
      <c r="J262" s="8">
        <f>IF(ISNA(MATCH(253,'Transfer Engine'!$C$2:$C$1960,0)),"",INDEX('Compliance Database'!$J$2:$J$1960,MATCH(253,'Transfer Engine'!$C$2:$C$1960,0)))</f>
        <v/>
      </c>
      <c r="K262" s="9">
        <f>IF(ISNA(MATCH(253,'Transfer Engine'!$C$2:$C$1960,0)),"",INDEX('Compliance Database'!$K$2:$K$1960,MATCH(253,'Transfer Engine'!$C$2:$C$1960,0)))</f>
        <v/>
      </c>
      <c r="L262" s="9">
        <f>IF(ISNA(MATCH(253,'Transfer Engine'!$C$2:$C$1960,0)),"",INDEX('Compliance Database'!$L$2:$L$1960,MATCH(253,'Transfer Engine'!$C$2:$C$1960,0)))</f>
        <v/>
      </c>
      <c r="M262" s="9">
        <f>IF(ISNA(MATCH(253,'Transfer Engine'!$C$2:$C$1960,0)),"",INDEX('Compliance Database'!$M$2:$M$1960,MATCH(253,'Transfer Engine'!$C$2:$C$1960,0)))</f>
        <v/>
      </c>
      <c r="N262" s="9">
        <f>IF(ISNA(MATCH(253,'Transfer Engine'!$C$2:$C$1960,0)),"",INDEX('Compliance Database'!$N$2:$N$1960,MATCH(253,'Transfer Engine'!$C$2:$C$1960,0)))</f>
        <v/>
      </c>
      <c r="O262" s="9">
        <f>IF(ISNA(MATCH(253,'Transfer Engine'!$C$2:$C$1960,0)),"",INDEX('Compliance Database'!$O$2:$O$1960,MATCH(253,'Transfer Engine'!$C$2:$C$1960,0)))</f>
        <v/>
      </c>
      <c r="P262" s="8">
        <f>IF(ISNA(MATCH(253,'Transfer Engine'!$C$2:$C$1960,0)),"",HYPERLINK("#Acts!A"&amp;INDEX('Compliance Database'!$P$2:$P$1960,MATCH(253,'Transfer Engine'!$C$2:$C$1960,0)),"Go to Act"))</f>
        <v/>
      </c>
    </row>
    <row r="263" ht="158" customHeight="1">
      <c r="A263" s="8">
        <f>IF(ISNA(MATCH(254,'Transfer Engine'!$C$2:$C$1960,0)),"",INDEX('Compliance Database'!$A$2:$A$1960,MATCH(254,'Transfer Engine'!$C$2:$C$1960,0)))</f>
        <v/>
      </c>
      <c r="B263" s="8">
        <f>IF(ISNA(MATCH(254,'Transfer Engine'!$C$2:$C$1960,0)),"",INDEX('Compliance Database'!$B$2:$B$1960,MATCH(254,'Transfer Engine'!$C$2:$C$1960,0)))</f>
        <v/>
      </c>
      <c r="C263" s="8">
        <f>IF(ISNA(MATCH(254,'Transfer Engine'!$C$2:$C$1960,0)),"",INDEX('Compliance Database'!$C$2:$C$1960,MATCH(254,'Transfer Engine'!$C$2:$C$1960,0)))</f>
        <v/>
      </c>
      <c r="D263" s="9">
        <f>IF(ISNA(MATCH(254,'Transfer Engine'!$C$2:$C$1960,0)),"",INDEX('Compliance Database'!$D$2:$D$1960,MATCH(254,'Transfer Engine'!$C$2:$C$1960,0)))</f>
        <v/>
      </c>
      <c r="E263" s="8">
        <f>IF(ISNA(MATCH(254,'Transfer Engine'!$C$2:$C$1960,0)),"",INDEX('Compliance Database'!$E$2:$E$1960,MATCH(254,'Transfer Engine'!$C$2:$C$1960,0)))</f>
        <v/>
      </c>
      <c r="F263" s="8">
        <f>IF(ISNA(MATCH(254,'Transfer Engine'!$C$2:$C$1960,0)),"",INDEX('Compliance Database'!$F$2:$F$1960,MATCH(254,'Transfer Engine'!$C$2:$C$1960,0)))</f>
        <v/>
      </c>
      <c r="G263" s="8">
        <f>IF(ISNA(MATCH(254,'Transfer Engine'!$C$2:$C$1960,0)),"",INDEX('Compliance Database'!$G$2:$G$1960,MATCH(254,'Transfer Engine'!$C$2:$C$1960,0)))</f>
        <v/>
      </c>
      <c r="H263" s="9">
        <f>IF(ISNA(MATCH(254,'Transfer Engine'!$C$2:$C$1960,0)),"",INDEX('Compliance Database'!$H$2:$H$1960,MATCH(254,'Transfer Engine'!$C$2:$C$1960,0)))</f>
        <v/>
      </c>
      <c r="I263" s="9">
        <f>IF(ISNA(MATCH(254,'Transfer Engine'!$C$2:$C$1960,0)),"",INDEX('Compliance Database'!$I$2:$I$1960,MATCH(254,'Transfer Engine'!$C$2:$C$1960,0)))</f>
        <v/>
      </c>
      <c r="J263" s="8">
        <f>IF(ISNA(MATCH(254,'Transfer Engine'!$C$2:$C$1960,0)),"",INDEX('Compliance Database'!$J$2:$J$1960,MATCH(254,'Transfer Engine'!$C$2:$C$1960,0)))</f>
        <v/>
      </c>
      <c r="K263" s="9">
        <f>IF(ISNA(MATCH(254,'Transfer Engine'!$C$2:$C$1960,0)),"",INDEX('Compliance Database'!$K$2:$K$1960,MATCH(254,'Transfer Engine'!$C$2:$C$1960,0)))</f>
        <v/>
      </c>
      <c r="L263" s="9">
        <f>IF(ISNA(MATCH(254,'Transfer Engine'!$C$2:$C$1960,0)),"",INDEX('Compliance Database'!$L$2:$L$1960,MATCH(254,'Transfer Engine'!$C$2:$C$1960,0)))</f>
        <v/>
      </c>
      <c r="M263" s="9">
        <f>IF(ISNA(MATCH(254,'Transfer Engine'!$C$2:$C$1960,0)),"",INDEX('Compliance Database'!$M$2:$M$1960,MATCH(254,'Transfer Engine'!$C$2:$C$1960,0)))</f>
        <v/>
      </c>
      <c r="N263" s="9">
        <f>IF(ISNA(MATCH(254,'Transfer Engine'!$C$2:$C$1960,0)),"",INDEX('Compliance Database'!$N$2:$N$1960,MATCH(254,'Transfer Engine'!$C$2:$C$1960,0)))</f>
        <v/>
      </c>
      <c r="O263" s="9">
        <f>IF(ISNA(MATCH(254,'Transfer Engine'!$C$2:$C$1960,0)),"",INDEX('Compliance Database'!$O$2:$O$1960,MATCH(254,'Transfer Engine'!$C$2:$C$1960,0)))</f>
        <v/>
      </c>
      <c r="P263" s="8">
        <f>IF(ISNA(MATCH(254,'Transfer Engine'!$C$2:$C$1960,0)),"",HYPERLINK("#Acts!A"&amp;INDEX('Compliance Database'!$P$2:$P$1960,MATCH(254,'Transfer Engine'!$C$2:$C$1960,0)),"Go to Act"))</f>
        <v/>
      </c>
    </row>
    <row r="264" ht="158" customHeight="1">
      <c r="A264" s="8">
        <f>IF(ISNA(MATCH(255,'Transfer Engine'!$C$2:$C$1960,0)),"",INDEX('Compliance Database'!$A$2:$A$1960,MATCH(255,'Transfer Engine'!$C$2:$C$1960,0)))</f>
        <v/>
      </c>
      <c r="B264" s="8">
        <f>IF(ISNA(MATCH(255,'Transfer Engine'!$C$2:$C$1960,0)),"",INDEX('Compliance Database'!$B$2:$B$1960,MATCH(255,'Transfer Engine'!$C$2:$C$1960,0)))</f>
        <v/>
      </c>
      <c r="C264" s="8">
        <f>IF(ISNA(MATCH(255,'Transfer Engine'!$C$2:$C$1960,0)),"",INDEX('Compliance Database'!$C$2:$C$1960,MATCH(255,'Transfer Engine'!$C$2:$C$1960,0)))</f>
        <v/>
      </c>
      <c r="D264" s="9">
        <f>IF(ISNA(MATCH(255,'Transfer Engine'!$C$2:$C$1960,0)),"",INDEX('Compliance Database'!$D$2:$D$1960,MATCH(255,'Transfer Engine'!$C$2:$C$1960,0)))</f>
        <v/>
      </c>
      <c r="E264" s="8">
        <f>IF(ISNA(MATCH(255,'Transfer Engine'!$C$2:$C$1960,0)),"",INDEX('Compliance Database'!$E$2:$E$1960,MATCH(255,'Transfer Engine'!$C$2:$C$1960,0)))</f>
        <v/>
      </c>
      <c r="F264" s="8">
        <f>IF(ISNA(MATCH(255,'Transfer Engine'!$C$2:$C$1960,0)),"",INDEX('Compliance Database'!$F$2:$F$1960,MATCH(255,'Transfer Engine'!$C$2:$C$1960,0)))</f>
        <v/>
      </c>
      <c r="G264" s="8">
        <f>IF(ISNA(MATCH(255,'Transfer Engine'!$C$2:$C$1960,0)),"",INDEX('Compliance Database'!$G$2:$G$1960,MATCH(255,'Transfer Engine'!$C$2:$C$1960,0)))</f>
        <v/>
      </c>
      <c r="H264" s="9">
        <f>IF(ISNA(MATCH(255,'Transfer Engine'!$C$2:$C$1960,0)),"",INDEX('Compliance Database'!$H$2:$H$1960,MATCH(255,'Transfer Engine'!$C$2:$C$1960,0)))</f>
        <v/>
      </c>
      <c r="I264" s="9">
        <f>IF(ISNA(MATCH(255,'Transfer Engine'!$C$2:$C$1960,0)),"",INDEX('Compliance Database'!$I$2:$I$1960,MATCH(255,'Transfer Engine'!$C$2:$C$1960,0)))</f>
        <v/>
      </c>
      <c r="J264" s="8">
        <f>IF(ISNA(MATCH(255,'Transfer Engine'!$C$2:$C$1960,0)),"",INDEX('Compliance Database'!$J$2:$J$1960,MATCH(255,'Transfer Engine'!$C$2:$C$1960,0)))</f>
        <v/>
      </c>
      <c r="K264" s="9">
        <f>IF(ISNA(MATCH(255,'Transfer Engine'!$C$2:$C$1960,0)),"",INDEX('Compliance Database'!$K$2:$K$1960,MATCH(255,'Transfer Engine'!$C$2:$C$1960,0)))</f>
        <v/>
      </c>
      <c r="L264" s="9">
        <f>IF(ISNA(MATCH(255,'Transfer Engine'!$C$2:$C$1960,0)),"",INDEX('Compliance Database'!$L$2:$L$1960,MATCH(255,'Transfer Engine'!$C$2:$C$1960,0)))</f>
        <v/>
      </c>
      <c r="M264" s="9">
        <f>IF(ISNA(MATCH(255,'Transfer Engine'!$C$2:$C$1960,0)),"",INDEX('Compliance Database'!$M$2:$M$1960,MATCH(255,'Transfer Engine'!$C$2:$C$1960,0)))</f>
        <v/>
      </c>
      <c r="N264" s="9">
        <f>IF(ISNA(MATCH(255,'Transfer Engine'!$C$2:$C$1960,0)),"",INDEX('Compliance Database'!$N$2:$N$1960,MATCH(255,'Transfer Engine'!$C$2:$C$1960,0)))</f>
        <v/>
      </c>
      <c r="O264" s="9">
        <f>IF(ISNA(MATCH(255,'Transfer Engine'!$C$2:$C$1960,0)),"",INDEX('Compliance Database'!$O$2:$O$1960,MATCH(255,'Transfer Engine'!$C$2:$C$1960,0)))</f>
        <v/>
      </c>
      <c r="P264" s="8">
        <f>IF(ISNA(MATCH(255,'Transfer Engine'!$C$2:$C$1960,0)),"",HYPERLINK("#Acts!A"&amp;INDEX('Compliance Database'!$P$2:$P$1960,MATCH(255,'Transfer Engine'!$C$2:$C$1960,0)),"Go to Act"))</f>
        <v/>
      </c>
    </row>
    <row r="265" ht="158" customHeight="1">
      <c r="A265" s="8">
        <f>IF(ISNA(MATCH(256,'Transfer Engine'!$C$2:$C$1960,0)),"",INDEX('Compliance Database'!$A$2:$A$1960,MATCH(256,'Transfer Engine'!$C$2:$C$1960,0)))</f>
        <v/>
      </c>
      <c r="B265" s="8">
        <f>IF(ISNA(MATCH(256,'Transfer Engine'!$C$2:$C$1960,0)),"",INDEX('Compliance Database'!$B$2:$B$1960,MATCH(256,'Transfer Engine'!$C$2:$C$1960,0)))</f>
        <v/>
      </c>
      <c r="C265" s="8">
        <f>IF(ISNA(MATCH(256,'Transfer Engine'!$C$2:$C$1960,0)),"",INDEX('Compliance Database'!$C$2:$C$1960,MATCH(256,'Transfer Engine'!$C$2:$C$1960,0)))</f>
        <v/>
      </c>
      <c r="D265" s="9">
        <f>IF(ISNA(MATCH(256,'Transfer Engine'!$C$2:$C$1960,0)),"",INDEX('Compliance Database'!$D$2:$D$1960,MATCH(256,'Transfer Engine'!$C$2:$C$1960,0)))</f>
        <v/>
      </c>
      <c r="E265" s="8">
        <f>IF(ISNA(MATCH(256,'Transfer Engine'!$C$2:$C$1960,0)),"",INDEX('Compliance Database'!$E$2:$E$1960,MATCH(256,'Transfer Engine'!$C$2:$C$1960,0)))</f>
        <v/>
      </c>
      <c r="F265" s="8">
        <f>IF(ISNA(MATCH(256,'Transfer Engine'!$C$2:$C$1960,0)),"",INDEX('Compliance Database'!$F$2:$F$1960,MATCH(256,'Transfer Engine'!$C$2:$C$1960,0)))</f>
        <v/>
      </c>
      <c r="G265" s="8">
        <f>IF(ISNA(MATCH(256,'Transfer Engine'!$C$2:$C$1960,0)),"",INDEX('Compliance Database'!$G$2:$G$1960,MATCH(256,'Transfer Engine'!$C$2:$C$1960,0)))</f>
        <v/>
      </c>
      <c r="H265" s="9">
        <f>IF(ISNA(MATCH(256,'Transfer Engine'!$C$2:$C$1960,0)),"",INDEX('Compliance Database'!$H$2:$H$1960,MATCH(256,'Transfer Engine'!$C$2:$C$1960,0)))</f>
        <v/>
      </c>
      <c r="I265" s="9">
        <f>IF(ISNA(MATCH(256,'Transfer Engine'!$C$2:$C$1960,0)),"",INDEX('Compliance Database'!$I$2:$I$1960,MATCH(256,'Transfer Engine'!$C$2:$C$1960,0)))</f>
        <v/>
      </c>
      <c r="J265" s="8">
        <f>IF(ISNA(MATCH(256,'Transfer Engine'!$C$2:$C$1960,0)),"",INDEX('Compliance Database'!$J$2:$J$1960,MATCH(256,'Transfer Engine'!$C$2:$C$1960,0)))</f>
        <v/>
      </c>
      <c r="K265" s="9">
        <f>IF(ISNA(MATCH(256,'Transfer Engine'!$C$2:$C$1960,0)),"",INDEX('Compliance Database'!$K$2:$K$1960,MATCH(256,'Transfer Engine'!$C$2:$C$1960,0)))</f>
        <v/>
      </c>
      <c r="L265" s="9">
        <f>IF(ISNA(MATCH(256,'Transfer Engine'!$C$2:$C$1960,0)),"",INDEX('Compliance Database'!$L$2:$L$1960,MATCH(256,'Transfer Engine'!$C$2:$C$1960,0)))</f>
        <v/>
      </c>
      <c r="M265" s="9">
        <f>IF(ISNA(MATCH(256,'Transfer Engine'!$C$2:$C$1960,0)),"",INDEX('Compliance Database'!$M$2:$M$1960,MATCH(256,'Transfer Engine'!$C$2:$C$1960,0)))</f>
        <v/>
      </c>
      <c r="N265" s="9">
        <f>IF(ISNA(MATCH(256,'Transfer Engine'!$C$2:$C$1960,0)),"",INDEX('Compliance Database'!$N$2:$N$1960,MATCH(256,'Transfer Engine'!$C$2:$C$1960,0)))</f>
        <v/>
      </c>
      <c r="O265" s="9">
        <f>IF(ISNA(MATCH(256,'Transfer Engine'!$C$2:$C$1960,0)),"",INDEX('Compliance Database'!$O$2:$O$1960,MATCH(256,'Transfer Engine'!$C$2:$C$1960,0)))</f>
        <v/>
      </c>
      <c r="P265" s="8">
        <f>IF(ISNA(MATCH(256,'Transfer Engine'!$C$2:$C$1960,0)),"",HYPERLINK("#Acts!A"&amp;INDEX('Compliance Database'!$P$2:$P$1960,MATCH(256,'Transfer Engine'!$C$2:$C$1960,0)),"Go to Act"))</f>
        <v/>
      </c>
    </row>
    <row r="266" ht="158" customHeight="1">
      <c r="A266" s="8">
        <f>IF(ISNA(MATCH(257,'Transfer Engine'!$C$2:$C$1960,0)),"",INDEX('Compliance Database'!$A$2:$A$1960,MATCH(257,'Transfer Engine'!$C$2:$C$1960,0)))</f>
        <v/>
      </c>
      <c r="B266" s="8">
        <f>IF(ISNA(MATCH(257,'Transfer Engine'!$C$2:$C$1960,0)),"",INDEX('Compliance Database'!$B$2:$B$1960,MATCH(257,'Transfer Engine'!$C$2:$C$1960,0)))</f>
        <v/>
      </c>
      <c r="C266" s="8">
        <f>IF(ISNA(MATCH(257,'Transfer Engine'!$C$2:$C$1960,0)),"",INDEX('Compliance Database'!$C$2:$C$1960,MATCH(257,'Transfer Engine'!$C$2:$C$1960,0)))</f>
        <v/>
      </c>
      <c r="D266" s="9">
        <f>IF(ISNA(MATCH(257,'Transfer Engine'!$C$2:$C$1960,0)),"",INDEX('Compliance Database'!$D$2:$D$1960,MATCH(257,'Transfer Engine'!$C$2:$C$1960,0)))</f>
        <v/>
      </c>
      <c r="E266" s="8">
        <f>IF(ISNA(MATCH(257,'Transfer Engine'!$C$2:$C$1960,0)),"",INDEX('Compliance Database'!$E$2:$E$1960,MATCH(257,'Transfer Engine'!$C$2:$C$1960,0)))</f>
        <v/>
      </c>
      <c r="F266" s="8">
        <f>IF(ISNA(MATCH(257,'Transfer Engine'!$C$2:$C$1960,0)),"",INDEX('Compliance Database'!$F$2:$F$1960,MATCH(257,'Transfer Engine'!$C$2:$C$1960,0)))</f>
        <v/>
      </c>
      <c r="G266" s="8">
        <f>IF(ISNA(MATCH(257,'Transfer Engine'!$C$2:$C$1960,0)),"",INDEX('Compliance Database'!$G$2:$G$1960,MATCH(257,'Transfer Engine'!$C$2:$C$1960,0)))</f>
        <v/>
      </c>
      <c r="H266" s="9">
        <f>IF(ISNA(MATCH(257,'Transfer Engine'!$C$2:$C$1960,0)),"",INDEX('Compliance Database'!$H$2:$H$1960,MATCH(257,'Transfer Engine'!$C$2:$C$1960,0)))</f>
        <v/>
      </c>
      <c r="I266" s="9">
        <f>IF(ISNA(MATCH(257,'Transfer Engine'!$C$2:$C$1960,0)),"",INDEX('Compliance Database'!$I$2:$I$1960,MATCH(257,'Transfer Engine'!$C$2:$C$1960,0)))</f>
        <v/>
      </c>
      <c r="J266" s="8">
        <f>IF(ISNA(MATCH(257,'Transfer Engine'!$C$2:$C$1960,0)),"",INDEX('Compliance Database'!$J$2:$J$1960,MATCH(257,'Transfer Engine'!$C$2:$C$1960,0)))</f>
        <v/>
      </c>
      <c r="K266" s="9">
        <f>IF(ISNA(MATCH(257,'Transfer Engine'!$C$2:$C$1960,0)),"",INDEX('Compliance Database'!$K$2:$K$1960,MATCH(257,'Transfer Engine'!$C$2:$C$1960,0)))</f>
        <v/>
      </c>
      <c r="L266" s="9">
        <f>IF(ISNA(MATCH(257,'Transfer Engine'!$C$2:$C$1960,0)),"",INDEX('Compliance Database'!$L$2:$L$1960,MATCH(257,'Transfer Engine'!$C$2:$C$1960,0)))</f>
        <v/>
      </c>
      <c r="M266" s="9">
        <f>IF(ISNA(MATCH(257,'Transfer Engine'!$C$2:$C$1960,0)),"",INDEX('Compliance Database'!$M$2:$M$1960,MATCH(257,'Transfer Engine'!$C$2:$C$1960,0)))</f>
        <v/>
      </c>
      <c r="N266" s="9">
        <f>IF(ISNA(MATCH(257,'Transfer Engine'!$C$2:$C$1960,0)),"",INDEX('Compliance Database'!$N$2:$N$1960,MATCH(257,'Transfer Engine'!$C$2:$C$1960,0)))</f>
        <v/>
      </c>
      <c r="O266" s="9">
        <f>IF(ISNA(MATCH(257,'Transfer Engine'!$C$2:$C$1960,0)),"",INDEX('Compliance Database'!$O$2:$O$1960,MATCH(257,'Transfer Engine'!$C$2:$C$1960,0)))</f>
        <v/>
      </c>
      <c r="P266" s="8">
        <f>IF(ISNA(MATCH(257,'Transfer Engine'!$C$2:$C$1960,0)),"",HYPERLINK("#Acts!A"&amp;INDEX('Compliance Database'!$P$2:$P$1960,MATCH(257,'Transfer Engine'!$C$2:$C$1960,0)),"Go to Act"))</f>
        <v/>
      </c>
    </row>
    <row r="267" ht="158" customHeight="1">
      <c r="A267" s="8">
        <f>IF(ISNA(MATCH(258,'Transfer Engine'!$C$2:$C$1960,0)),"",INDEX('Compliance Database'!$A$2:$A$1960,MATCH(258,'Transfer Engine'!$C$2:$C$1960,0)))</f>
        <v/>
      </c>
      <c r="B267" s="8">
        <f>IF(ISNA(MATCH(258,'Transfer Engine'!$C$2:$C$1960,0)),"",INDEX('Compliance Database'!$B$2:$B$1960,MATCH(258,'Transfer Engine'!$C$2:$C$1960,0)))</f>
        <v/>
      </c>
      <c r="C267" s="8">
        <f>IF(ISNA(MATCH(258,'Transfer Engine'!$C$2:$C$1960,0)),"",INDEX('Compliance Database'!$C$2:$C$1960,MATCH(258,'Transfer Engine'!$C$2:$C$1960,0)))</f>
        <v/>
      </c>
      <c r="D267" s="9">
        <f>IF(ISNA(MATCH(258,'Transfer Engine'!$C$2:$C$1960,0)),"",INDEX('Compliance Database'!$D$2:$D$1960,MATCH(258,'Transfer Engine'!$C$2:$C$1960,0)))</f>
        <v/>
      </c>
      <c r="E267" s="8">
        <f>IF(ISNA(MATCH(258,'Transfer Engine'!$C$2:$C$1960,0)),"",INDEX('Compliance Database'!$E$2:$E$1960,MATCH(258,'Transfer Engine'!$C$2:$C$1960,0)))</f>
        <v/>
      </c>
      <c r="F267" s="8">
        <f>IF(ISNA(MATCH(258,'Transfer Engine'!$C$2:$C$1960,0)),"",INDEX('Compliance Database'!$F$2:$F$1960,MATCH(258,'Transfer Engine'!$C$2:$C$1960,0)))</f>
        <v/>
      </c>
      <c r="G267" s="8">
        <f>IF(ISNA(MATCH(258,'Transfer Engine'!$C$2:$C$1960,0)),"",INDEX('Compliance Database'!$G$2:$G$1960,MATCH(258,'Transfer Engine'!$C$2:$C$1960,0)))</f>
        <v/>
      </c>
      <c r="H267" s="9">
        <f>IF(ISNA(MATCH(258,'Transfer Engine'!$C$2:$C$1960,0)),"",INDEX('Compliance Database'!$H$2:$H$1960,MATCH(258,'Transfer Engine'!$C$2:$C$1960,0)))</f>
        <v/>
      </c>
      <c r="I267" s="9">
        <f>IF(ISNA(MATCH(258,'Transfer Engine'!$C$2:$C$1960,0)),"",INDEX('Compliance Database'!$I$2:$I$1960,MATCH(258,'Transfer Engine'!$C$2:$C$1960,0)))</f>
        <v/>
      </c>
      <c r="J267" s="8">
        <f>IF(ISNA(MATCH(258,'Transfer Engine'!$C$2:$C$1960,0)),"",INDEX('Compliance Database'!$J$2:$J$1960,MATCH(258,'Transfer Engine'!$C$2:$C$1960,0)))</f>
        <v/>
      </c>
      <c r="K267" s="9">
        <f>IF(ISNA(MATCH(258,'Transfer Engine'!$C$2:$C$1960,0)),"",INDEX('Compliance Database'!$K$2:$K$1960,MATCH(258,'Transfer Engine'!$C$2:$C$1960,0)))</f>
        <v/>
      </c>
      <c r="L267" s="9">
        <f>IF(ISNA(MATCH(258,'Transfer Engine'!$C$2:$C$1960,0)),"",INDEX('Compliance Database'!$L$2:$L$1960,MATCH(258,'Transfer Engine'!$C$2:$C$1960,0)))</f>
        <v/>
      </c>
      <c r="M267" s="9">
        <f>IF(ISNA(MATCH(258,'Transfer Engine'!$C$2:$C$1960,0)),"",INDEX('Compliance Database'!$M$2:$M$1960,MATCH(258,'Transfer Engine'!$C$2:$C$1960,0)))</f>
        <v/>
      </c>
      <c r="N267" s="9">
        <f>IF(ISNA(MATCH(258,'Transfer Engine'!$C$2:$C$1960,0)),"",INDEX('Compliance Database'!$N$2:$N$1960,MATCH(258,'Transfer Engine'!$C$2:$C$1960,0)))</f>
        <v/>
      </c>
      <c r="O267" s="9">
        <f>IF(ISNA(MATCH(258,'Transfer Engine'!$C$2:$C$1960,0)),"",INDEX('Compliance Database'!$O$2:$O$1960,MATCH(258,'Transfer Engine'!$C$2:$C$1960,0)))</f>
        <v/>
      </c>
      <c r="P267" s="8">
        <f>IF(ISNA(MATCH(258,'Transfer Engine'!$C$2:$C$1960,0)),"",HYPERLINK("#Acts!A"&amp;INDEX('Compliance Database'!$P$2:$P$1960,MATCH(258,'Transfer Engine'!$C$2:$C$1960,0)),"Go to Act"))</f>
        <v/>
      </c>
    </row>
    <row r="268" ht="158" customHeight="1">
      <c r="A268" s="8">
        <f>IF(ISNA(MATCH(259,'Transfer Engine'!$C$2:$C$1960,0)),"",INDEX('Compliance Database'!$A$2:$A$1960,MATCH(259,'Transfer Engine'!$C$2:$C$1960,0)))</f>
        <v/>
      </c>
      <c r="B268" s="8">
        <f>IF(ISNA(MATCH(259,'Transfer Engine'!$C$2:$C$1960,0)),"",INDEX('Compliance Database'!$B$2:$B$1960,MATCH(259,'Transfer Engine'!$C$2:$C$1960,0)))</f>
        <v/>
      </c>
      <c r="C268" s="8">
        <f>IF(ISNA(MATCH(259,'Transfer Engine'!$C$2:$C$1960,0)),"",INDEX('Compliance Database'!$C$2:$C$1960,MATCH(259,'Transfer Engine'!$C$2:$C$1960,0)))</f>
        <v/>
      </c>
      <c r="D268" s="9">
        <f>IF(ISNA(MATCH(259,'Transfer Engine'!$C$2:$C$1960,0)),"",INDEX('Compliance Database'!$D$2:$D$1960,MATCH(259,'Transfer Engine'!$C$2:$C$1960,0)))</f>
        <v/>
      </c>
      <c r="E268" s="8">
        <f>IF(ISNA(MATCH(259,'Transfer Engine'!$C$2:$C$1960,0)),"",INDEX('Compliance Database'!$E$2:$E$1960,MATCH(259,'Transfer Engine'!$C$2:$C$1960,0)))</f>
        <v/>
      </c>
      <c r="F268" s="8">
        <f>IF(ISNA(MATCH(259,'Transfer Engine'!$C$2:$C$1960,0)),"",INDEX('Compliance Database'!$F$2:$F$1960,MATCH(259,'Transfer Engine'!$C$2:$C$1960,0)))</f>
        <v/>
      </c>
      <c r="G268" s="8">
        <f>IF(ISNA(MATCH(259,'Transfer Engine'!$C$2:$C$1960,0)),"",INDEX('Compliance Database'!$G$2:$G$1960,MATCH(259,'Transfer Engine'!$C$2:$C$1960,0)))</f>
        <v/>
      </c>
      <c r="H268" s="9">
        <f>IF(ISNA(MATCH(259,'Transfer Engine'!$C$2:$C$1960,0)),"",INDEX('Compliance Database'!$H$2:$H$1960,MATCH(259,'Transfer Engine'!$C$2:$C$1960,0)))</f>
        <v/>
      </c>
      <c r="I268" s="9">
        <f>IF(ISNA(MATCH(259,'Transfer Engine'!$C$2:$C$1960,0)),"",INDEX('Compliance Database'!$I$2:$I$1960,MATCH(259,'Transfer Engine'!$C$2:$C$1960,0)))</f>
        <v/>
      </c>
      <c r="J268" s="8">
        <f>IF(ISNA(MATCH(259,'Transfer Engine'!$C$2:$C$1960,0)),"",INDEX('Compliance Database'!$J$2:$J$1960,MATCH(259,'Transfer Engine'!$C$2:$C$1960,0)))</f>
        <v/>
      </c>
      <c r="K268" s="9">
        <f>IF(ISNA(MATCH(259,'Transfer Engine'!$C$2:$C$1960,0)),"",INDEX('Compliance Database'!$K$2:$K$1960,MATCH(259,'Transfer Engine'!$C$2:$C$1960,0)))</f>
        <v/>
      </c>
      <c r="L268" s="9">
        <f>IF(ISNA(MATCH(259,'Transfer Engine'!$C$2:$C$1960,0)),"",INDEX('Compliance Database'!$L$2:$L$1960,MATCH(259,'Transfer Engine'!$C$2:$C$1960,0)))</f>
        <v/>
      </c>
      <c r="M268" s="9">
        <f>IF(ISNA(MATCH(259,'Transfer Engine'!$C$2:$C$1960,0)),"",INDEX('Compliance Database'!$M$2:$M$1960,MATCH(259,'Transfer Engine'!$C$2:$C$1960,0)))</f>
        <v/>
      </c>
      <c r="N268" s="9">
        <f>IF(ISNA(MATCH(259,'Transfer Engine'!$C$2:$C$1960,0)),"",INDEX('Compliance Database'!$N$2:$N$1960,MATCH(259,'Transfer Engine'!$C$2:$C$1960,0)))</f>
        <v/>
      </c>
      <c r="O268" s="9">
        <f>IF(ISNA(MATCH(259,'Transfer Engine'!$C$2:$C$1960,0)),"",INDEX('Compliance Database'!$O$2:$O$1960,MATCH(259,'Transfer Engine'!$C$2:$C$1960,0)))</f>
        <v/>
      </c>
      <c r="P268" s="8">
        <f>IF(ISNA(MATCH(259,'Transfer Engine'!$C$2:$C$1960,0)),"",HYPERLINK("#Acts!A"&amp;INDEX('Compliance Database'!$P$2:$P$1960,MATCH(259,'Transfer Engine'!$C$2:$C$1960,0)),"Go to Act"))</f>
        <v/>
      </c>
    </row>
    <row r="269" ht="158" customHeight="1">
      <c r="A269" s="8">
        <f>IF(ISNA(MATCH(260,'Transfer Engine'!$C$2:$C$1960,0)),"",INDEX('Compliance Database'!$A$2:$A$1960,MATCH(260,'Transfer Engine'!$C$2:$C$1960,0)))</f>
        <v/>
      </c>
      <c r="B269" s="8">
        <f>IF(ISNA(MATCH(260,'Transfer Engine'!$C$2:$C$1960,0)),"",INDEX('Compliance Database'!$B$2:$B$1960,MATCH(260,'Transfer Engine'!$C$2:$C$1960,0)))</f>
        <v/>
      </c>
      <c r="C269" s="8">
        <f>IF(ISNA(MATCH(260,'Transfer Engine'!$C$2:$C$1960,0)),"",INDEX('Compliance Database'!$C$2:$C$1960,MATCH(260,'Transfer Engine'!$C$2:$C$1960,0)))</f>
        <v/>
      </c>
      <c r="D269" s="9">
        <f>IF(ISNA(MATCH(260,'Transfer Engine'!$C$2:$C$1960,0)),"",INDEX('Compliance Database'!$D$2:$D$1960,MATCH(260,'Transfer Engine'!$C$2:$C$1960,0)))</f>
        <v/>
      </c>
      <c r="E269" s="8">
        <f>IF(ISNA(MATCH(260,'Transfer Engine'!$C$2:$C$1960,0)),"",INDEX('Compliance Database'!$E$2:$E$1960,MATCH(260,'Transfer Engine'!$C$2:$C$1960,0)))</f>
        <v/>
      </c>
      <c r="F269" s="8">
        <f>IF(ISNA(MATCH(260,'Transfer Engine'!$C$2:$C$1960,0)),"",INDEX('Compliance Database'!$F$2:$F$1960,MATCH(260,'Transfer Engine'!$C$2:$C$1960,0)))</f>
        <v/>
      </c>
      <c r="G269" s="8">
        <f>IF(ISNA(MATCH(260,'Transfer Engine'!$C$2:$C$1960,0)),"",INDEX('Compliance Database'!$G$2:$G$1960,MATCH(260,'Transfer Engine'!$C$2:$C$1960,0)))</f>
        <v/>
      </c>
      <c r="H269" s="9">
        <f>IF(ISNA(MATCH(260,'Transfer Engine'!$C$2:$C$1960,0)),"",INDEX('Compliance Database'!$H$2:$H$1960,MATCH(260,'Transfer Engine'!$C$2:$C$1960,0)))</f>
        <v/>
      </c>
      <c r="I269" s="9">
        <f>IF(ISNA(MATCH(260,'Transfer Engine'!$C$2:$C$1960,0)),"",INDEX('Compliance Database'!$I$2:$I$1960,MATCH(260,'Transfer Engine'!$C$2:$C$1960,0)))</f>
        <v/>
      </c>
      <c r="J269" s="8">
        <f>IF(ISNA(MATCH(260,'Transfer Engine'!$C$2:$C$1960,0)),"",INDEX('Compliance Database'!$J$2:$J$1960,MATCH(260,'Transfer Engine'!$C$2:$C$1960,0)))</f>
        <v/>
      </c>
      <c r="K269" s="9">
        <f>IF(ISNA(MATCH(260,'Transfer Engine'!$C$2:$C$1960,0)),"",INDEX('Compliance Database'!$K$2:$K$1960,MATCH(260,'Transfer Engine'!$C$2:$C$1960,0)))</f>
        <v/>
      </c>
      <c r="L269" s="9">
        <f>IF(ISNA(MATCH(260,'Transfer Engine'!$C$2:$C$1960,0)),"",INDEX('Compliance Database'!$L$2:$L$1960,MATCH(260,'Transfer Engine'!$C$2:$C$1960,0)))</f>
        <v/>
      </c>
      <c r="M269" s="9">
        <f>IF(ISNA(MATCH(260,'Transfer Engine'!$C$2:$C$1960,0)),"",INDEX('Compliance Database'!$M$2:$M$1960,MATCH(260,'Transfer Engine'!$C$2:$C$1960,0)))</f>
        <v/>
      </c>
      <c r="N269" s="9">
        <f>IF(ISNA(MATCH(260,'Transfer Engine'!$C$2:$C$1960,0)),"",INDEX('Compliance Database'!$N$2:$N$1960,MATCH(260,'Transfer Engine'!$C$2:$C$1960,0)))</f>
        <v/>
      </c>
      <c r="O269" s="9">
        <f>IF(ISNA(MATCH(260,'Transfer Engine'!$C$2:$C$1960,0)),"",INDEX('Compliance Database'!$O$2:$O$1960,MATCH(260,'Transfer Engine'!$C$2:$C$1960,0)))</f>
        <v/>
      </c>
      <c r="P269" s="8">
        <f>IF(ISNA(MATCH(260,'Transfer Engine'!$C$2:$C$1960,0)),"",HYPERLINK("#Acts!A"&amp;INDEX('Compliance Database'!$P$2:$P$1960,MATCH(260,'Transfer Engine'!$C$2:$C$1960,0)),"Go to Act"))</f>
        <v/>
      </c>
    </row>
    <row r="270" ht="158" customHeight="1">
      <c r="A270" s="8">
        <f>IF(ISNA(MATCH(261,'Transfer Engine'!$C$2:$C$1960,0)),"",INDEX('Compliance Database'!$A$2:$A$1960,MATCH(261,'Transfer Engine'!$C$2:$C$1960,0)))</f>
        <v/>
      </c>
      <c r="B270" s="8">
        <f>IF(ISNA(MATCH(261,'Transfer Engine'!$C$2:$C$1960,0)),"",INDEX('Compliance Database'!$B$2:$B$1960,MATCH(261,'Transfer Engine'!$C$2:$C$1960,0)))</f>
        <v/>
      </c>
      <c r="C270" s="8">
        <f>IF(ISNA(MATCH(261,'Transfer Engine'!$C$2:$C$1960,0)),"",INDEX('Compliance Database'!$C$2:$C$1960,MATCH(261,'Transfer Engine'!$C$2:$C$1960,0)))</f>
        <v/>
      </c>
      <c r="D270" s="9">
        <f>IF(ISNA(MATCH(261,'Transfer Engine'!$C$2:$C$1960,0)),"",INDEX('Compliance Database'!$D$2:$D$1960,MATCH(261,'Transfer Engine'!$C$2:$C$1960,0)))</f>
        <v/>
      </c>
      <c r="E270" s="8">
        <f>IF(ISNA(MATCH(261,'Transfer Engine'!$C$2:$C$1960,0)),"",INDEX('Compliance Database'!$E$2:$E$1960,MATCH(261,'Transfer Engine'!$C$2:$C$1960,0)))</f>
        <v/>
      </c>
      <c r="F270" s="8">
        <f>IF(ISNA(MATCH(261,'Transfer Engine'!$C$2:$C$1960,0)),"",INDEX('Compliance Database'!$F$2:$F$1960,MATCH(261,'Transfer Engine'!$C$2:$C$1960,0)))</f>
        <v/>
      </c>
      <c r="G270" s="8">
        <f>IF(ISNA(MATCH(261,'Transfer Engine'!$C$2:$C$1960,0)),"",INDEX('Compliance Database'!$G$2:$G$1960,MATCH(261,'Transfer Engine'!$C$2:$C$1960,0)))</f>
        <v/>
      </c>
      <c r="H270" s="9">
        <f>IF(ISNA(MATCH(261,'Transfer Engine'!$C$2:$C$1960,0)),"",INDEX('Compliance Database'!$H$2:$H$1960,MATCH(261,'Transfer Engine'!$C$2:$C$1960,0)))</f>
        <v/>
      </c>
      <c r="I270" s="9">
        <f>IF(ISNA(MATCH(261,'Transfer Engine'!$C$2:$C$1960,0)),"",INDEX('Compliance Database'!$I$2:$I$1960,MATCH(261,'Transfer Engine'!$C$2:$C$1960,0)))</f>
        <v/>
      </c>
      <c r="J270" s="8">
        <f>IF(ISNA(MATCH(261,'Transfer Engine'!$C$2:$C$1960,0)),"",INDEX('Compliance Database'!$J$2:$J$1960,MATCH(261,'Transfer Engine'!$C$2:$C$1960,0)))</f>
        <v/>
      </c>
      <c r="K270" s="9">
        <f>IF(ISNA(MATCH(261,'Transfer Engine'!$C$2:$C$1960,0)),"",INDEX('Compliance Database'!$K$2:$K$1960,MATCH(261,'Transfer Engine'!$C$2:$C$1960,0)))</f>
        <v/>
      </c>
      <c r="L270" s="9">
        <f>IF(ISNA(MATCH(261,'Transfer Engine'!$C$2:$C$1960,0)),"",INDEX('Compliance Database'!$L$2:$L$1960,MATCH(261,'Transfer Engine'!$C$2:$C$1960,0)))</f>
        <v/>
      </c>
      <c r="M270" s="9">
        <f>IF(ISNA(MATCH(261,'Transfer Engine'!$C$2:$C$1960,0)),"",INDEX('Compliance Database'!$M$2:$M$1960,MATCH(261,'Transfer Engine'!$C$2:$C$1960,0)))</f>
        <v/>
      </c>
      <c r="N270" s="9">
        <f>IF(ISNA(MATCH(261,'Transfer Engine'!$C$2:$C$1960,0)),"",INDEX('Compliance Database'!$N$2:$N$1960,MATCH(261,'Transfer Engine'!$C$2:$C$1960,0)))</f>
        <v/>
      </c>
      <c r="O270" s="9">
        <f>IF(ISNA(MATCH(261,'Transfer Engine'!$C$2:$C$1960,0)),"",INDEX('Compliance Database'!$O$2:$O$1960,MATCH(261,'Transfer Engine'!$C$2:$C$1960,0)))</f>
        <v/>
      </c>
      <c r="P270" s="8">
        <f>IF(ISNA(MATCH(261,'Transfer Engine'!$C$2:$C$1960,0)),"",HYPERLINK("#Acts!A"&amp;INDEX('Compliance Database'!$P$2:$P$1960,MATCH(261,'Transfer Engine'!$C$2:$C$1960,0)),"Go to Act"))</f>
        <v/>
      </c>
    </row>
    <row r="271" ht="158" customHeight="1">
      <c r="A271" s="8">
        <f>IF(ISNA(MATCH(262,'Transfer Engine'!$C$2:$C$1960,0)),"",INDEX('Compliance Database'!$A$2:$A$1960,MATCH(262,'Transfer Engine'!$C$2:$C$1960,0)))</f>
        <v/>
      </c>
      <c r="B271" s="8">
        <f>IF(ISNA(MATCH(262,'Transfer Engine'!$C$2:$C$1960,0)),"",INDEX('Compliance Database'!$B$2:$B$1960,MATCH(262,'Transfer Engine'!$C$2:$C$1960,0)))</f>
        <v/>
      </c>
      <c r="C271" s="8">
        <f>IF(ISNA(MATCH(262,'Transfer Engine'!$C$2:$C$1960,0)),"",INDEX('Compliance Database'!$C$2:$C$1960,MATCH(262,'Transfer Engine'!$C$2:$C$1960,0)))</f>
        <v/>
      </c>
      <c r="D271" s="9">
        <f>IF(ISNA(MATCH(262,'Transfer Engine'!$C$2:$C$1960,0)),"",INDEX('Compliance Database'!$D$2:$D$1960,MATCH(262,'Transfer Engine'!$C$2:$C$1960,0)))</f>
        <v/>
      </c>
      <c r="E271" s="8">
        <f>IF(ISNA(MATCH(262,'Transfer Engine'!$C$2:$C$1960,0)),"",INDEX('Compliance Database'!$E$2:$E$1960,MATCH(262,'Transfer Engine'!$C$2:$C$1960,0)))</f>
        <v/>
      </c>
      <c r="F271" s="8">
        <f>IF(ISNA(MATCH(262,'Transfer Engine'!$C$2:$C$1960,0)),"",INDEX('Compliance Database'!$F$2:$F$1960,MATCH(262,'Transfer Engine'!$C$2:$C$1960,0)))</f>
        <v/>
      </c>
      <c r="G271" s="8">
        <f>IF(ISNA(MATCH(262,'Transfer Engine'!$C$2:$C$1960,0)),"",INDEX('Compliance Database'!$G$2:$G$1960,MATCH(262,'Transfer Engine'!$C$2:$C$1960,0)))</f>
        <v/>
      </c>
      <c r="H271" s="9">
        <f>IF(ISNA(MATCH(262,'Transfer Engine'!$C$2:$C$1960,0)),"",INDEX('Compliance Database'!$H$2:$H$1960,MATCH(262,'Transfer Engine'!$C$2:$C$1960,0)))</f>
        <v/>
      </c>
      <c r="I271" s="9">
        <f>IF(ISNA(MATCH(262,'Transfer Engine'!$C$2:$C$1960,0)),"",INDEX('Compliance Database'!$I$2:$I$1960,MATCH(262,'Transfer Engine'!$C$2:$C$1960,0)))</f>
        <v/>
      </c>
      <c r="J271" s="8">
        <f>IF(ISNA(MATCH(262,'Transfer Engine'!$C$2:$C$1960,0)),"",INDEX('Compliance Database'!$J$2:$J$1960,MATCH(262,'Transfer Engine'!$C$2:$C$1960,0)))</f>
        <v/>
      </c>
      <c r="K271" s="9">
        <f>IF(ISNA(MATCH(262,'Transfer Engine'!$C$2:$C$1960,0)),"",INDEX('Compliance Database'!$K$2:$K$1960,MATCH(262,'Transfer Engine'!$C$2:$C$1960,0)))</f>
        <v/>
      </c>
      <c r="L271" s="9">
        <f>IF(ISNA(MATCH(262,'Transfer Engine'!$C$2:$C$1960,0)),"",INDEX('Compliance Database'!$L$2:$L$1960,MATCH(262,'Transfer Engine'!$C$2:$C$1960,0)))</f>
        <v/>
      </c>
      <c r="M271" s="9">
        <f>IF(ISNA(MATCH(262,'Transfer Engine'!$C$2:$C$1960,0)),"",INDEX('Compliance Database'!$M$2:$M$1960,MATCH(262,'Transfer Engine'!$C$2:$C$1960,0)))</f>
        <v/>
      </c>
      <c r="N271" s="9">
        <f>IF(ISNA(MATCH(262,'Transfer Engine'!$C$2:$C$1960,0)),"",INDEX('Compliance Database'!$N$2:$N$1960,MATCH(262,'Transfer Engine'!$C$2:$C$1960,0)))</f>
        <v/>
      </c>
      <c r="O271" s="9">
        <f>IF(ISNA(MATCH(262,'Transfer Engine'!$C$2:$C$1960,0)),"",INDEX('Compliance Database'!$O$2:$O$1960,MATCH(262,'Transfer Engine'!$C$2:$C$1960,0)))</f>
        <v/>
      </c>
      <c r="P271" s="8">
        <f>IF(ISNA(MATCH(262,'Transfer Engine'!$C$2:$C$1960,0)),"",HYPERLINK("#Acts!A"&amp;INDEX('Compliance Database'!$P$2:$P$1960,MATCH(262,'Transfer Engine'!$C$2:$C$1960,0)),"Go to Act"))</f>
        <v/>
      </c>
    </row>
    <row r="272" ht="158" customHeight="1">
      <c r="A272" s="8">
        <f>IF(ISNA(MATCH(263,'Transfer Engine'!$C$2:$C$1960,0)),"",INDEX('Compliance Database'!$A$2:$A$1960,MATCH(263,'Transfer Engine'!$C$2:$C$1960,0)))</f>
        <v/>
      </c>
      <c r="B272" s="8">
        <f>IF(ISNA(MATCH(263,'Transfer Engine'!$C$2:$C$1960,0)),"",INDEX('Compliance Database'!$B$2:$B$1960,MATCH(263,'Transfer Engine'!$C$2:$C$1960,0)))</f>
        <v/>
      </c>
      <c r="C272" s="8">
        <f>IF(ISNA(MATCH(263,'Transfer Engine'!$C$2:$C$1960,0)),"",INDEX('Compliance Database'!$C$2:$C$1960,MATCH(263,'Transfer Engine'!$C$2:$C$1960,0)))</f>
        <v/>
      </c>
      <c r="D272" s="9">
        <f>IF(ISNA(MATCH(263,'Transfer Engine'!$C$2:$C$1960,0)),"",INDEX('Compliance Database'!$D$2:$D$1960,MATCH(263,'Transfer Engine'!$C$2:$C$1960,0)))</f>
        <v/>
      </c>
      <c r="E272" s="8">
        <f>IF(ISNA(MATCH(263,'Transfer Engine'!$C$2:$C$1960,0)),"",INDEX('Compliance Database'!$E$2:$E$1960,MATCH(263,'Transfer Engine'!$C$2:$C$1960,0)))</f>
        <v/>
      </c>
      <c r="F272" s="8">
        <f>IF(ISNA(MATCH(263,'Transfer Engine'!$C$2:$C$1960,0)),"",INDEX('Compliance Database'!$F$2:$F$1960,MATCH(263,'Transfer Engine'!$C$2:$C$1960,0)))</f>
        <v/>
      </c>
      <c r="G272" s="8">
        <f>IF(ISNA(MATCH(263,'Transfer Engine'!$C$2:$C$1960,0)),"",INDEX('Compliance Database'!$G$2:$G$1960,MATCH(263,'Transfer Engine'!$C$2:$C$1960,0)))</f>
        <v/>
      </c>
      <c r="H272" s="9">
        <f>IF(ISNA(MATCH(263,'Transfer Engine'!$C$2:$C$1960,0)),"",INDEX('Compliance Database'!$H$2:$H$1960,MATCH(263,'Transfer Engine'!$C$2:$C$1960,0)))</f>
        <v/>
      </c>
      <c r="I272" s="9">
        <f>IF(ISNA(MATCH(263,'Transfer Engine'!$C$2:$C$1960,0)),"",INDEX('Compliance Database'!$I$2:$I$1960,MATCH(263,'Transfer Engine'!$C$2:$C$1960,0)))</f>
        <v/>
      </c>
      <c r="J272" s="8">
        <f>IF(ISNA(MATCH(263,'Transfer Engine'!$C$2:$C$1960,0)),"",INDEX('Compliance Database'!$J$2:$J$1960,MATCH(263,'Transfer Engine'!$C$2:$C$1960,0)))</f>
        <v/>
      </c>
      <c r="K272" s="9">
        <f>IF(ISNA(MATCH(263,'Transfer Engine'!$C$2:$C$1960,0)),"",INDEX('Compliance Database'!$K$2:$K$1960,MATCH(263,'Transfer Engine'!$C$2:$C$1960,0)))</f>
        <v/>
      </c>
      <c r="L272" s="9">
        <f>IF(ISNA(MATCH(263,'Transfer Engine'!$C$2:$C$1960,0)),"",INDEX('Compliance Database'!$L$2:$L$1960,MATCH(263,'Transfer Engine'!$C$2:$C$1960,0)))</f>
        <v/>
      </c>
      <c r="M272" s="9">
        <f>IF(ISNA(MATCH(263,'Transfer Engine'!$C$2:$C$1960,0)),"",INDEX('Compliance Database'!$M$2:$M$1960,MATCH(263,'Transfer Engine'!$C$2:$C$1960,0)))</f>
        <v/>
      </c>
      <c r="N272" s="9">
        <f>IF(ISNA(MATCH(263,'Transfer Engine'!$C$2:$C$1960,0)),"",INDEX('Compliance Database'!$N$2:$N$1960,MATCH(263,'Transfer Engine'!$C$2:$C$1960,0)))</f>
        <v/>
      </c>
      <c r="O272" s="9">
        <f>IF(ISNA(MATCH(263,'Transfer Engine'!$C$2:$C$1960,0)),"",INDEX('Compliance Database'!$O$2:$O$1960,MATCH(263,'Transfer Engine'!$C$2:$C$1960,0)))</f>
        <v/>
      </c>
      <c r="P272" s="8">
        <f>IF(ISNA(MATCH(263,'Transfer Engine'!$C$2:$C$1960,0)),"",HYPERLINK("#Acts!A"&amp;INDEX('Compliance Database'!$P$2:$P$1960,MATCH(263,'Transfer Engine'!$C$2:$C$1960,0)),"Go to Act"))</f>
        <v/>
      </c>
    </row>
    <row r="273" ht="158" customHeight="1">
      <c r="A273" s="8">
        <f>IF(ISNA(MATCH(264,'Transfer Engine'!$C$2:$C$1960,0)),"",INDEX('Compliance Database'!$A$2:$A$1960,MATCH(264,'Transfer Engine'!$C$2:$C$1960,0)))</f>
        <v/>
      </c>
      <c r="B273" s="8">
        <f>IF(ISNA(MATCH(264,'Transfer Engine'!$C$2:$C$1960,0)),"",INDEX('Compliance Database'!$B$2:$B$1960,MATCH(264,'Transfer Engine'!$C$2:$C$1960,0)))</f>
        <v/>
      </c>
      <c r="C273" s="8">
        <f>IF(ISNA(MATCH(264,'Transfer Engine'!$C$2:$C$1960,0)),"",INDEX('Compliance Database'!$C$2:$C$1960,MATCH(264,'Transfer Engine'!$C$2:$C$1960,0)))</f>
        <v/>
      </c>
      <c r="D273" s="9">
        <f>IF(ISNA(MATCH(264,'Transfer Engine'!$C$2:$C$1960,0)),"",INDEX('Compliance Database'!$D$2:$D$1960,MATCH(264,'Transfer Engine'!$C$2:$C$1960,0)))</f>
        <v/>
      </c>
      <c r="E273" s="8">
        <f>IF(ISNA(MATCH(264,'Transfer Engine'!$C$2:$C$1960,0)),"",INDEX('Compliance Database'!$E$2:$E$1960,MATCH(264,'Transfer Engine'!$C$2:$C$1960,0)))</f>
        <v/>
      </c>
      <c r="F273" s="8">
        <f>IF(ISNA(MATCH(264,'Transfer Engine'!$C$2:$C$1960,0)),"",INDEX('Compliance Database'!$F$2:$F$1960,MATCH(264,'Transfer Engine'!$C$2:$C$1960,0)))</f>
        <v/>
      </c>
      <c r="G273" s="8">
        <f>IF(ISNA(MATCH(264,'Transfer Engine'!$C$2:$C$1960,0)),"",INDEX('Compliance Database'!$G$2:$G$1960,MATCH(264,'Transfer Engine'!$C$2:$C$1960,0)))</f>
        <v/>
      </c>
      <c r="H273" s="9">
        <f>IF(ISNA(MATCH(264,'Transfer Engine'!$C$2:$C$1960,0)),"",INDEX('Compliance Database'!$H$2:$H$1960,MATCH(264,'Transfer Engine'!$C$2:$C$1960,0)))</f>
        <v/>
      </c>
      <c r="I273" s="9">
        <f>IF(ISNA(MATCH(264,'Transfer Engine'!$C$2:$C$1960,0)),"",INDEX('Compliance Database'!$I$2:$I$1960,MATCH(264,'Transfer Engine'!$C$2:$C$1960,0)))</f>
        <v/>
      </c>
      <c r="J273" s="8">
        <f>IF(ISNA(MATCH(264,'Transfer Engine'!$C$2:$C$1960,0)),"",INDEX('Compliance Database'!$J$2:$J$1960,MATCH(264,'Transfer Engine'!$C$2:$C$1960,0)))</f>
        <v/>
      </c>
      <c r="K273" s="9">
        <f>IF(ISNA(MATCH(264,'Transfer Engine'!$C$2:$C$1960,0)),"",INDEX('Compliance Database'!$K$2:$K$1960,MATCH(264,'Transfer Engine'!$C$2:$C$1960,0)))</f>
        <v/>
      </c>
      <c r="L273" s="9">
        <f>IF(ISNA(MATCH(264,'Transfer Engine'!$C$2:$C$1960,0)),"",INDEX('Compliance Database'!$L$2:$L$1960,MATCH(264,'Transfer Engine'!$C$2:$C$1960,0)))</f>
        <v/>
      </c>
      <c r="M273" s="9">
        <f>IF(ISNA(MATCH(264,'Transfer Engine'!$C$2:$C$1960,0)),"",INDEX('Compliance Database'!$M$2:$M$1960,MATCH(264,'Transfer Engine'!$C$2:$C$1960,0)))</f>
        <v/>
      </c>
      <c r="N273" s="9">
        <f>IF(ISNA(MATCH(264,'Transfer Engine'!$C$2:$C$1960,0)),"",INDEX('Compliance Database'!$N$2:$N$1960,MATCH(264,'Transfer Engine'!$C$2:$C$1960,0)))</f>
        <v/>
      </c>
      <c r="O273" s="9">
        <f>IF(ISNA(MATCH(264,'Transfer Engine'!$C$2:$C$1960,0)),"",INDEX('Compliance Database'!$O$2:$O$1960,MATCH(264,'Transfer Engine'!$C$2:$C$1960,0)))</f>
        <v/>
      </c>
      <c r="P273" s="8">
        <f>IF(ISNA(MATCH(264,'Transfer Engine'!$C$2:$C$1960,0)),"",HYPERLINK("#Acts!A"&amp;INDEX('Compliance Database'!$P$2:$P$1960,MATCH(264,'Transfer Engine'!$C$2:$C$1960,0)),"Go to Act"))</f>
        <v/>
      </c>
    </row>
    <row r="274" ht="158" customHeight="1">
      <c r="A274" s="8">
        <f>IF(ISNA(MATCH(265,'Transfer Engine'!$C$2:$C$1960,0)),"",INDEX('Compliance Database'!$A$2:$A$1960,MATCH(265,'Transfer Engine'!$C$2:$C$1960,0)))</f>
        <v/>
      </c>
      <c r="B274" s="8">
        <f>IF(ISNA(MATCH(265,'Transfer Engine'!$C$2:$C$1960,0)),"",INDEX('Compliance Database'!$B$2:$B$1960,MATCH(265,'Transfer Engine'!$C$2:$C$1960,0)))</f>
        <v/>
      </c>
      <c r="C274" s="8">
        <f>IF(ISNA(MATCH(265,'Transfer Engine'!$C$2:$C$1960,0)),"",INDEX('Compliance Database'!$C$2:$C$1960,MATCH(265,'Transfer Engine'!$C$2:$C$1960,0)))</f>
        <v/>
      </c>
      <c r="D274" s="9">
        <f>IF(ISNA(MATCH(265,'Transfer Engine'!$C$2:$C$1960,0)),"",INDEX('Compliance Database'!$D$2:$D$1960,MATCH(265,'Transfer Engine'!$C$2:$C$1960,0)))</f>
        <v/>
      </c>
      <c r="E274" s="8">
        <f>IF(ISNA(MATCH(265,'Transfer Engine'!$C$2:$C$1960,0)),"",INDEX('Compliance Database'!$E$2:$E$1960,MATCH(265,'Transfer Engine'!$C$2:$C$1960,0)))</f>
        <v/>
      </c>
      <c r="F274" s="8">
        <f>IF(ISNA(MATCH(265,'Transfer Engine'!$C$2:$C$1960,0)),"",INDEX('Compliance Database'!$F$2:$F$1960,MATCH(265,'Transfer Engine'!$C$2:$C$1960,0)))</f>
        <v/>
      </c>
      <c r="G274" s="8">
        <f>IF(ISNA(MATCH(265,'Transfer Engine'!$C$2:$C$1960,0)),"",INDEX('Compliance Database'!$G$2:$G$1960,MATCH(265,'Transfer Engine'!$C$2:$C$1960,0)))</f>
        <v/>
      </c>
      <c r="H274" s="9">
        <f>IF(ISNA(MATCH(265,'Transfer Engine'!$C$2:$C$1960,0)),"",INDEX('Compliance Database'!$H$2:$H$1960,MATCH(265,'Transfer Engine'!$C$2:$C$1960,0)))</f>
        <v/>
      </c>
      <c r="I274" s="9">
        <f>IF(ISNA(MATCH(265,'Transfer Engine'!$C$2:$C$1960,0)),"",INDEX('Compliance Database'!$I$2:$I$1960,MATCH(265,'Transfer Engine'!$C$2:$C$1960,0)))</f>
        <v/>
      </c>
      <c r="J274" s="8">
        <f>IF(ISNA(MATCH(265,'Transfer Engine'!$C$2:$C$1960,0)),"",INDEX('Compliance Database'!$J$2:$J$1960,MATCH(265,'Transfer Engine'!$C$2:$C$1960,0)))</f>
        <v/>
      </c>
      <c r="K274" s="9">
        <f>IF(ISNA(MATCH(265,'Transfer Engine'!$C$2:$C$1960,0)),"",INDEX('Compliance Database'!$K$2:$K$1960,MATCH(265,'Transfer Engine'!$C$2:$C$1960,0)))</f>
        <v/>
      </c>
      <c r="L274" s="9">
        <f>IF(ISNA(MATCH(265,'Transfer Engine'!$C$2:$C$1960,0)),"",INDEX('Compliance Database'!$L$2:$L$1960,MATCH(265,'Transfer Engine'!$C$2:$C$1960,0)))</f>
        <v/>
      </c>
      <c r="M274" s="9">
        <f>IF(ISNA(MATCH(265,'Transfer Engine'!$C$2:$C$1960,0)),"",INDEX('Compliance Database'!$M$2:$M$1960,MATCH(265,'Transfer Engine'!$C$2:$C$1960,0)))</f>
        <v/>
      </c>
      <c r="N274" s="9">
        <f>IF(ISNA(MATCH(265,'Transfer Engine'!$C$2:$C$1960,0)),"",INDEX('Compliance Database'!$N$2:$N$1960,MATCH(265,'Transfer Engine'!$C$2:$C$1960,0)))</f>
        <v/>
      </c>
      <c r="O274" s="9">
        <f>IF(ISNA(MATCH(265,'Transfer Engine'!$C$2:$C$1960,0)),"",INDEX('Compliance Database'!$O$2:$O$1960,MATCH(265,'Transfer Engine'!$C$2:$C$1960,0)))</f>
        <v/>
      </c>
      <c r="P274" s="8">
        <f>IF(ISNA(MATCH(265,'Transfer Engine'!$C$2:$C$1960,0)),"",HYPERLINK("#Acts!A"&amp;INDEX('Compliance Database'!$P$2:$P$1960,MATCH(265,'Transfer Engine'!$C$2:$C$1960,0)),"Go to Act"))</f>
        <v/>
      </c>
    </row>
    <row r="275" ht="158" customHeight="1">
      <c r="A275" s="8">
        <f>IF(ISNA(MATCH(266,'Transfer Engine'!$C$2:$C$1960,0)),"",INDEX('Compliance Database'!$A$2:$A$1960,MATCH(266,'Transfer Engine'!$C$2:$C$1960,0)))</f>
        <v/>
      </c>
      <c r="B275" s="8">
        <f>IF(ISNA(MATCH(266,'Transfer Engine'!$C$2:$C$1960,0)),"",INDEX('Compliance Database'!$B$2:$B$1960,MATCH(266,'Transfer Engine'!$C$2:$C$1960,0)))</f>
        <v/>
      </c>
      <c r="C275" s="8">
        <f>IF(ISNA(MATCH(266,'Transfer Engine'!$C$2:$C$1960,0)),"",INDEX('Compliance Database'!$C$2:$C$1960,MATCH(266,'Transfer Engine'!$C$2:$C$1960,0)))</f>
        <v/>
      </c>
      <c r="D275" s="9">
        <f>IF(ISNA(MATCH(266,'Transfer Engine'!$C$2:$C$1960,0)),"",INDEX('Compliance Database'!$D$2:$D$1960,MATCH(266,'Transfer Engine'!$C$2:$C$1960,0)))</f>
        <v/>
      </c>
      <c r="E275" s="8">
        <f>IF(ISNA(MATCH(266,'Transfer Engine'!$C$2:$C$1960,0)),"",INDEX('Compliance Database'!$E$2:$E$1960,MATCH(266,'Transfer Engine'!$C$2:$C$1960,0)))</f>
        <v/>
      </c>
      <c r="F275" s="8">
        <f>IF(ISNA(MATCH(266,'Transfer Engine'!$C$2:$C$1960,0)),"",INDEX('Compliance Database'!$F$2:$F$1960,MATCH(266,'Transfer Engine'!$C$2:$C$1960,0)))</f>
        <v/>
      </c>
      <c r="G275" s="8">
        <f>IF(ISNA(MATCH(266,'Transfer Engine'!$C$2:$C$1960,0)),"",INDEX('Compliance Database'!$G$2:$G$1960,MATCH(266,'Transfer Engine'!$C$2:$C$1960,0)))</f>
        <v/>
      </c>
      <c r="H275" s="9">
        <f>IF(ISNA(MATCH(266,'Transfer Engine'!$C$2:$C$1960,0)),"",INDEX('Compliance Database'!$H$2:$H$1960,MATCH(266,'Transfer Engine'!$C$2:$C$1960,0)))</f>
        <v/>
      </c>
      <c r="I275" s="9">
        <f>IF(ISNA(MATCH(266,'Transfer Engine'!$C$2:$C$1960,0)),"",INDEX('Compliance Database'!$I$2:$I$1960,MATCH(266,'Transfer Engine'!$C$2:$C$1960,0)))</f>
        <v/>
      </c>
      <c r="J275" s="8">
        <f>IF(ISNA(MATCH(266,'Transfer Engine'!$C$2:$C$1960,0)),"",INDEX('Compliance Database'!$J$2:$J$1960,MATCH(266,'Transfer Engine'!$C$2:$C$1960,0)))</f>
        <v/>
      </c>
      <c r="K275" s="9">
        <f>IF(ISNA(MATCH(266,'Transfer Engine'!$C$2:$C$1960,0)),"",INDEX('Compliance Database'!$K$2:$K$1960,MATCH(266,'Transfer Engine'!$C$2:$C$1960,0)))</f>
        <v/>
      </c>
      <c r="L275" s="9">
        <f>IF(ISNA(MATCH(266,'Transfer Engine'!$C$2:$C$1960,0)),"",INDEX('Compliance Database'!$L$2:$L$1960,MATCH(266,'Transfer Engine'!$C$2:$C$1960,0)))</f>
        <v/>
      </c>
      <c r="M275" s="9">
        <f>IF(ISNA(MATCH(266,'Transfer Engine'!$C$2:$C$1960,0)),"",INDEX('Compliance Database'!$M$2:$M$1960,MATCH(266,'Transfer Engine'!$C$2:$C$1960,0)))</f>
        <v/>
      </c>
      <c r="N275" s="9">
        <f>IF(ISNA(MATCH(266,'Transfer Engine'!$C$2:$C$1960,0)),"",INDEX('Compliance Database'!$N$2:$N$1960,MATCH(266,'Transfer Engine'!$C$2:$C$1960,0)))</f>
        <v/>
      </c>
      <c r="O275" s="9">
        <f>IF(ISNA(MATCH(266,'Transfer Engine'!$C$2:$C$1960,0)),"",INDEX('Compliance Database'!$O$2:$O$1960,MATCH(266,'Transfer Engine'!$C$2:$C$1960,0)))</f>
        <v/>
      </c>
      <c r="P275" s="8">
        <f>IF(ISNA(MATCH(266,'Transfer Engine'!$C$2:$C$1960,0)),"",HYPERLINK("#Acts!A"&amp;INDEX('Compliance Database'!$P$2:$P$1960,MATCH(266,'Transfer Engine'!$C$2:$C$1960,0)),"Go to Act"))</f>
        <v/>
      </c>
    </row>
    <row r="276" ht="158" customHeight="1">
      <c r="A276" s="8">
        <f>IF(ISNA(MATCH(267,'Transfer Engine'!$C$2:$C$1960,0)),"",INDEX('Compliance Database'!$A$2:$A$1960,MATCH(267,'Transfer Engine'!$C$2:$C$1960,0)))</f>
        <v/>
      </c>
      <c r="B276" s="8">
        <f>IF(ISNA(MATCH(267,'Transfer Engine'!$C$2:$C$1960,0)),"",INDEX('Compliance Database'!$B$2:$B$1960,MATCH(267,'Transfer Engine'!$C$2:$C$1960,0)))</f>
        <v/>
      </c>
      <c r="C276" s="8">
        <f>IF(ISNA(MATCH(267,'Transfer Engine'!$C$2:$C$1960,0)),"",INDEX('Compliance Database'!$C$2:$C$1960,MATCH(267,'Transfer Engine'!$C$2:$C$1960,0)))</f>
        <v/>
      </c>
      <c r="D276" s="9">
        <f>IF(ISNA(MATCH(267,'Transfer Engine'!$C$2:$C$1960,0)),"",INDEX('Compliance Database'!$D$2:$D$1960,MATCH(267,'Transfer Engine'!$C$2:$C$1960,0)))</f>
        <v/>
      </c>
      <c r="E276" s="8">
        <f>IF(ISNA(MATCH(267,'Transfer Engine'!$C$2:$C$1960,0)),"",INDEX('Compliance Database'!$E$2:$E$1960,MATCH(267,'Transfer Engine'!$C$2:$C$1960,0)))</f>
        <v/>
      </c>
      <c r="F276" s="8">
        <f>IF(ISNA(MATCH(267,'Transfer Engine'!$C$2:$C$1960,0)),"",INDEX('Compliance Database'!$F$2:$F$1960,MATCH(267,'Transfer Engine'!$C$2:$C$1960,0)))</f>
        <v/>
      </c>
      <c r="G276" s="8">
        <f>IF(ISNA(MATCH(267,'Transfer Engine'!$C$2:$C$1960,0)),"",INDEX('Compliance Database'!$G$2:$G$1960,MATCH(267,'Transfer Engine'!$C$2:$C$1960,0)))</f>
        <v/>
      </c>
      <c r="H276" s="9">
        <f>IF(ISNA(MATCH(267,'Transfer Engine'!$C$2:$C$1960,0)),"",INDEX('Compliance Database'!$H$2:$H$1960,MATCH(267,'Transfer Engine'!$C$2:$C$1960,0)))</f>
        <v/>
      </c>
      <c r="I276" s="9">
        <f>IF(ISNA(MATCH(267,'Transfer Engine'!$C$2:$C$1960,0)),"",INDEX('Compliance Database'!$I$2:$I$1960,MATCH(267,'Transfer Engine'!$C$2:$C$1960,0)))</f>
        <v/>
      </c>
      <c r="J276" s="8">
        <f>IF(ISNA(MATCH(267,'Transfer Engine'!$C$2:$C$1960,0)),"",INDEX('Compliance Database'!$J$2:$J$1960,MATCH(267,'Transfer Engine'!$C$2:$C$1960,0)))</f>
        <v/>
      </c>
      <c r="K276" s="9">
        <f>IF(ISNA(MATCH(267,'Transfer Engine'!$C$2:$C$1960,0)),"",INDEX('Compliance Database'!$K$2:$K$1960,MATCH(267,'Transfer Engine'!$C$2:$C$1960,0)))</f>
        <v/>
      </c>
      <c r="L276" s="9">
        <f>IF(ISNA(MATCH(267,'Transfer Engine'!$C$2:$C$1960,0)),"",INDEX('Compliance Database'!$L$2:$L$1960,MATCH(267,'Transfer Engine'!$C$2:$C$1960,0)))</f>
        <v/>
      </c>
      <c r="M276" s="9">
        <f>IF(ISNA(MATCH(267,'Transfer Engine'!$C$2:$C$1960,0)),"",INDEX('Compliance Database'!$M$2:$M$1960,MATCH(267,'Transfer Engine'!$C$2:$C$1960,0)))</f>
        <v/>
      </c>
      <c r="N276" s="9">
        <f>IF(ISNA(MATCH(267,'Transfer Engine'!$C$2:$C$1960,0)),"",INDEX('Compliance Database'!$N$2:$N$1960,MATCH(267,'Transfer Engine'!$C$2:$C$1960,0)))</f>
        <v/>
      </c>
      <c r="O276" s="9">
        <f>IF(ISNA(MATCH(267,'Transfer Engine'!$C$2:$C$1960,0)),"",INDEX('Compliance Database'!$O$2:$O$1960,MATCH(267,'Transfer Engine'!$C$2:$C$1960,0)))</f>
        <v/>
      </c>
      <c r="P276" s="8">
        <f>IF(ISNA(MATCH(267,'Transfer Engine'!$C$2:$C$1960,0)),"",HYPERLINK("#Acts!A"&amp;INDEX('Compliance Database'!$P$2:$P$1960,MATCH(267,'Transfer Engine'!$C$2:$C$1960,0)),"Go to Act"))</f>
        <v/>
      </c>
    </row>
    <row r="277" ht="158" customHeight="1">
      <c r="A277" s="8">
        <f>IF(ISNA(MATCH(268,'Transfer Engine'!$C$2:$C$1960,0)),"",INDEX('Compliance Database'!$A$2:$A$1960,MATCH(268,'Transfer Engine'!$C$2:$C$1960,0)))</f>
        <v/>
      </c>
      <c r="B277" s="8">
        <f>IF(ISNA(MATCH(268,'Transfer Engine'!$C$2:$C$1960,0)),"",INDEX('Compliance Database'!$B$2:$B$1960,MATCH(268,'Transfer Engine'!$C$2:$C$1960,0)))</f>
        <v/>
      </c>
      <c r="C277" s="8">
        <f>IF(ISNA(MATCH(268,'Transfer Engine'!$C$2:$C$1960,0)),"",INDEX('Compliance Database'!$C$2:$C$1960,MATCH(268,'Transfer Engine'!$C$2:$C$1960,0)))</f>
        <v/>
      </c>
      <c r="D277" s="9">
        <f>IF(ISNA(MATCH(268,'Transfer Engine'!$C$2:$C$1960,0)),"",INDEX('Compliance Database'!$D$2:$D$1960,MATCH(268,'Transfer Engine'!$C$2:$C$1960,0)))</f>
        <v/>
      </c>
      <c r="E277" s="8">
        <f>IF(ISNA(MATCH(268,'Transfer Engine'!$C$2:$C$1960,0)),"",INDEX('Compliance Database'!$E$2:$E$1960,MATCH(268,'Transfer Engine'!$C$2:$C$1960,0)))</f>
        <v/>
      </c>
      <c r="F277" s="8">
        <f>IF(ISNA(MATCH(268,'Transfer Engine'!$C$2:$C$1960,0)),"",INDEX('Compliance Database'!$F$2:$F$1960,MATCH(268,'Transfer Engine'!$C$2:$C$1960,0)))</f>
        <v/>
      </c>
      <c r="G277" s="8">
        <f>IF(ISNA(MATCH(268,'Transfer Engine'!$C$2:$C$1960,0)),"",INDEX('Compliance Database'!$G$2:$G$1960,MATCH(268,'Transfer Engine'!$C$2:$C$1960,0)))</f>
        <v/>
      </c>
      <c r="H277" s="9">
        <f>IF(ISNA(MATCH(268,'Transfer Engine'!$C$2:$C$1960,0)),"",INDEX('Compliance Database'!$H$2:$H$1960,MATCH(268,'Transfer Engine'!$C$2:$C$1960,0)))</f>
        <v/>
      </c>
      <c r="I277" s="9">
        <f>IF(ISNA(MATCH(268,'Transfer Engine'!$C$2:$C$1960,0)),"",INDEX('Compliance Database'!$I$2:$I$1960,MATCH(268,'Transfer Engine'!$C$2:$C$1960,0)))</f>
        <v/>
      </c>
      <c r="J277" s="8">
        <f>IF(ISNA(MATCH(268,'Transfer Engine'!$C$2:$C$1960,0)),"",INDEX('Compliance Database'!$J$2:$J$1960,MATCH(268,'Transfer Engine'!$C$2:$C$1960,0)))</f>
        <v/>
      </c>
      <c r="K277" s="9">
        <f>IF(ISNA(MATCH(268,'Transfer Engine'!$C$2:$C$1960,0)),"",INDEX('Compliance Database'!$K$2:$K$1960,MATCH(268,'Transfer Engine'!$C$2:$C$1960,0)))</f>
        <v/>
      </c>
      <c r="L277" s="9">
        <f>IF(ISNA(MATCH(268,'Transfer Engine'!$C$2:$C$1960,0)),"",INDEX('Compliance Database'!$L$2:$L$1960,MATCH(268,'Transfer Engine'!$C$2:$C$1960,0)))</f>
        <v/>
      </c>
      <c r="M277" s="9">
        <f>IF(ISNA(MATCH(268,'Transfer Engine'!$C$2:$C$1960,0)),"",INDEX('Compliance Database'!$M$2:$M$1960,MATCH(268,'Transfer Engine'!$C$2:$C$1960,0)))</f>
        <v/>
      </c>
      <c r="N277" s="9">
        <f>IF(ISNA(MATCH(268,'Transfer Engine'!$C$2:$C$1960,0)),"",INDEX('Compliance Database'!$N$2:$N$1960,MATCH(268,'Transfer Engine'!$C$2:$C$1960,0)))</f>
        <v/>
      </c>
      <c r="O277" s="9">
        <f>IF(ISNA(MATCH(268,'Transfer Engine'!$C$2:$C$1960,0)),"",INDEX('Compliance Database'!$O$2:$O$1960,MATCH(268,'Transfer Engine'!$C$2:$C$1960,0)))</f>
        <v/>
      </c>
      <c r="P277" s="8">
        <f>IF(ISNA(MATCH(268,'Transfer Engine'!$C$2:$C$1960,0)),"",HYPERLINK("#Acts!A"&amp;INDEX('Compliance Database'!$P$2:$P$1960,MATCH(268,'Transfer Engine'!$C$2:$C$1960,0)),"Go to Act"))</f>
        <v/>
      </c>
    </row>
    <row r="278" ht="158" customHeight="1">
      <c r="A278" s="8">
        <f>IF(ISNA(MATCH(269,'Transfer Engine'!$C$2:$C$1960,0)),"",INDEX('Compliance Database'!$A$2:$A$1960,MATCH(269,'Transfer Engine'!$C$2:$C$1960,0)))</f>
        <v/>
      </c>
      <c r="B278" s="8">
        <f>IF(ISNA(MATCH(269,'Transfer Engine'!$C$2:$C$1960,0)),"",INDEX('Compliance Database'!$B$2:$B$1960,MATCH(269,'Transfer Engine'!$C$2:$C$1960,0)))</f>
        <v/>
      </c>
      <c r="C278" s="8">
        <f>IF(ISNA(MATCH(269,'Transfer Engine'!$C$2:$C$1960,0)),"",INDEX('Compliance Database'!$C$2:$C$1960,MATCH(269,'Transfer Engine'!$C$2:$C$1960,0)))</f>
        <v/>
      </c>
      <c r="D278" s="9">
        <f>IF(ISNA(MATCH(269,'Transfer Engine'!$C$2:$C$1960,0)),"",INDEX('Compliance Database'!$D$2:$D$1960,MATCH(269,'Transfer Engine'!$C$2:$C$1960,0)))</f>
        <v/>
      </c>
      <c r="E278" s="8">
        <f>IF(ISNA(MATCH(269,'Transfer Engine'!$C$2:$C$1960,0)),"",INDEX('Compliance Database'!$E$2:$E$1960,MATCH(269,'Transfer Engine'!$C$2:$C$1960,0)))</f>
        <v/>
      </c>
      <c r="F278" s="8">
        <f>IF(ISNA(MATCH(269,'Transfer Engine'!$C$2:$C$1960,0)),"",INDEX('Compliance Database'!$F$2:$F$1960,MATCH(269,'Transfer Engine'!$C$2:$C$1960,0)))</f>
        <v/>
      </c>
      <c r="G278" s="8">
        <f>IF(ISNA(MATCH(269,'Transfer Engine'!$C$2:$C$1960,0)),"",INDEX('Compliance Database'!$G$2:$G$1960,MATCH(269,'Transfer Engine'!$C$2:$C$1960,0)))</f>
        <v/>
      </c>
      <c r="H278" s="9">
        <f>IF(ISNA(MATCH(269,'Transfer Engine'!$C$2:$C$1960,0)),"",INDEX('Compliance Database'!$H$2:$H$1960,MATCH(269,'Transfer Engine'!$C$2:$C$1960,0)))</f>
        <v/>
      </c>
      <c r="I278" s="9">
        <f>IF(ISNA(MATCH(269,'Transfer Engine'!$C$2:$C$1960,0)),"",INDEX('Compliance Database'!$I$2:$I$1960,MATCH(269,'Transfer Engine'!$C$2:$C$1960,0)))</f>
        <v/>
      </c>
      <c r="J278" s="8">
        <f>IF(ISNA(MATCH(269,'Transfer Engine'!$C$2:$C$1960,0)),"",INDEX('Compliance Database'!$J$2:$J$1960,MATCH(269,'Transfer Engine'!$C$2:$C$1960,0)))</f>
        <v/>
      </c>
      <c r="K278" s="9">
        <f>IF(ISNA(MATCH(269,'Transfer Engine'!$C$2:$C$1960,0)),"",INDEX('Compliance Database'!$K$2:$K$1960,MATCH(269,'Transfer Engine'!$C$2:$C$1960,0)))</f>
        <v/>
      </c>
      <c r="L278" s="9">
        <f>IF(ISNA(MATCH(269,'Transfer Engine'!$C$2:$C$1960,0)),"",INDEX('Compliance Database'!$L$2:$L$1960,MATCH(269,'Transfer Engine'!$C$2:$C$1960,0)))</f>
        <v/>
      </c>
      <c r="M278" s="9">
        <f>IF(ISNA(MATCH(269,'Transfer Engine'!$C$2:$C$1960,0)),"",INDEX('Compliance Database'!$M$2:$M$1960,MATCH(269,'Transfer Engine'!$C$2:$C$1960,0)))</f>
        <v/>
      </c>
      <c r="N278" s="9">
        <f>IF(ISNA(MATCH(269,'Transfer Engine'!$C$2:$C$1960,0)),"",INDEX('Compliance Database'!$N$2:$N$1960,MATCH(269,'Transfer Engine'!$C$2:$C$1960,0)))</f>
        <v/>
      </c>
      <c r="O278" s="9">
        <f>IF(ISNA(MATCH(269,'Transfer Engine'!$C$2:$C$1960,0)),"",INDEX('Compliance Database'!$O$2:$O$1960,MATCH(269,'Transfer Engine'!$C$2:$C$1960,0)))</f>
        <v/>
      </c>
      <c r="P278" s="8">
        <f>IF(ISNA(MATCH(269,'Transfer Engine'!$C$2:$C$1960,0)),"",HYPERLINK("#Acts!A"&amp;INDEX('Compliance Database'!$P$2:$P$1960,MATCH(269,'Transfer Engine'!$C$2:$C$1960,0)),"Go to Act"))</f>
        <v/>
      </c>
    </row>
    <row r="279" ht="158" customHeight="1">
      <c r="A279" s="8">
        <f>IF(ISNA(MATCH(270,'Transfer Engine'!$C$2:$C$1960,0)),"",INDEX('Compliance Database'!$A$2:$A$1960,MATCH(270,'Transfer Engine'!$C$2:$C$1960,0)))</f>
        <v/>
      </c>
      <c r="B279" s="8">
        <f>IF(ISNA(MATCH(270,'Transfer Engine'!$C$2:$C$1960,0)),"",INDEX('Compliance Database'!$B$2:$B$1960,MATCH(270,'Transfer Engine'!$C$2:$C$1960,0)))</f>
        <v/>
      </c>
      <c r="C279" s="8">
        <f>IF(ISNA(MATCH(270,'Transfer Engine'!$C$2:$C$1960,0)),"",INDEX('Compliance Database'!$C$2:$C$1960,MATCH(270,'Transfer Engine'!$C$2:$C$1960,0)))</f>
        <v/>
      </c>
      <c r="D279" s="9">
        <f>IF(ISNA(MATCH(270,'Transfer Engine'!$C$2:$C$1960,0)),"",INDEX('Compliance Database'!$D$2:$D$1960,MATCH(270,'Transfer Engine'!$C$2:$C$1960,0)))</f>
        <v/>
      </c>
      <c r="E279" s="8">
        <f>IF(ISNA(MATCH(270,'Transfer Engine'!$C$2:$C$1960,0)),"",INDEX('Compliance Database'!$E$2:$E$1960,MATCH(270,'Transfer Engine'!$C$2:$C$1960,0)))</f>
        <v/>
      </c>
      <c r="F279" s="8">
        <f>IF(ISNA(MATCH(270,'Transfer Engine'!$C$2:$C$1960,0)),"",INDEX('Compliance Database'!$F$2:$F$1960,MATCH(270,'Transfer Engine'!$C$2:$C$1960,0)))</f>
        <v/>
      </c>
      <c r="G279" s="8">
        <f>IF(ISNA(MATCH(270,'Transfer Engine'!$C$2:$C$1960,0)),"",INDEX('Compliance Database'!$G$2:$G$1960,MATCH(270,'Transfer Engine'!$C$2:$C$1960,0)))</f>
        <v/>
      </c>
      <c r="H279" s="9">
        <f>IF(ISNA(MATCH(270,'Transfer Engine'!$C$2:$C$1960,0)),"",INDEX('Compliance Database'!$H$2:$H$1960,MATCH(270,'Transfer Engine'!$C$2:$C$1960,0)))</f>
        <v/>
      </c>
      <c r="I279" s="9">
        <f>IF(ISNA(MATCH(270,'Transfer Engine'!$C$2:$C$1960,0)),"",INDEX('Compliance Database'!$I$2:$I$1960,MATCH(270,'Transfer Engine'!$C$2:$C$1960,0)))</f>
        <v/>
      </c>
      <c r="J279" s="8">
        <f>IF(ISNA(MATCH(270,'Transfer Engine'!$C$2:$C$1960,0)),"",INDEX('Compliance Database'!$J$2:$J$1960,MATCH(270,'Transfer Engine'!$C$2:$C$1960,0)))</f>
        <v/>
      </c>
      <c r="K279" s="9">
        <f>IF(ISNA(MATCH(270,'Transfer Engine'!$C$2:$C$1960,0)),"",INDEX('Compliance Database'!$K$2:$K$1960,MATCH(270,'Transfer Engine'!$C$2:$C$1960,0)))</f>
        <v/>
      </c>
      <c r="L279" s="9">
        <f>IF(ISNA(MATCH(270,'Transfer Engine'!$C$2:$C$1960,0)),"",INDEX('Compliance Database'!$L$2:$L$1960,MATCH(270,'Transfer Engine'!$C$2:$C$1960,0)))</f>
        <v/>
      </c>
      <c r="M279" s="9">
        <f>IF(ISNA(MATCH(270,'Transfer Engine'!$C$2:$C$1960,0)),"",INDEX('Compliance Database'!$M$2:$M$1960,MATCH(270,'Transfer Engine'!$C$2:$C$1960,0)))</f>
        <v/>
      </c>
      <c r="N279" s="9">
        <f>IF(ISNA(MATCH(270,'Transfer Engine'!$C$2:$C$1960,0)),"",INDEX('Compliance Database'!$N$2:$N$1960,MATCH(270,'Transfer Engine'!$C$2:$C$1960,0)))</f>
        <v/>
      </c>
      <c r="O279" s="9">
        <f>IF(ISNA(MATCH(270,'Transfer Engine'!$C$2:$C$1960,0)),"",INDEX('Compliance Database'!$O$2:$O$1960,MATCH(270,'Transfer Engine'!$C$2:$C$1960,0)))</f>
        <v/>
      </c>
      <c r="P279" s="8">
        <f>IF(ISNA(MATCH(270,'Transfer Engine'!$C$2:$C$1960,0)),"",HYPERLINK("#Acts!A"&amp;INDEX('Compliance Database'!$P$2:$P$1960,MATCH(270,'Transfer Engine'!$C$2:$C$1960,0)),"Go to Act"))</f>
        <v/>
      </c>
    </row>
    <row r="280" ht="158" customHeight="1">
      <c r="A280" s="8">
        <f>IF(ISNA(MATCH(271,'Transfer Engine'!$C$2:$C$1960,0)),"",INDEX('Compliance Database'!$A$2:$A$1960,MATCH(271,'Transfer Engine'!$C$2:$C$1960,0)))</f>
        <v/>
      </c>
      <c r="B280" s="8">
        <f>IF(ISNA(MATCH(271,'Transfer Engine'!$C$2:$C$1960,0)),"",INDEX('Compliance Database'!$B$2:$B$1960,MATCH(271,'Transfer Engine'!$C$2:$C$1960,0)))</f>
        <v/>
      </c>
      <c r="C280" s="8">
        <f>IF(ISNA(MATCH(271,'Transfer Engine'!$C$2:$C$1960,0)),"",INDEX('Compliance Database'!$C$2:$C$1960,MATCH(271,'Transfer Engine'!$C$2:$C$1960,0)))</f>
        <v/>
      </c>
      <c r="D280" s="9">
        <f>IF(ISNA(MATCH(271,'Transfer Engine'!$C$2:$C$1960,0)),"",INDEX('Compliance Database'!$D$2:$D$1960,MATCH(271,'Transfer Engine'!$C$2:$C$1960,0)))</f>
        <v/>
      </c>
      <c r="E280" s="8">
        <f>IF(ISNA(MATCH(271,'Transfer Engine'!$C$2:$C$1960,0)),"",INDEX('Compliance Database'!$E$2:$E$1960,MATCH(271,'Transfer Engine'!$C$2:$C$1960,0)))</f>
        <v/>
      </c>
      <c r="F280" s="8">
        <f>IF(ISNA(MATCH(271,'Transfer Engine'!$C$2:$C$1960,0)),"",INDEX('Compliance Database'!$F$2:$F$1960,MATCH(271,'Transfer Engine'!$C$2:$C$1960,0)))</f>
        <v/>
      </c>
      <c r="G280" s="8">
        <f>IF(ISNA(MATCH(271,'Transfer Engine'!$C$2:$C$1960,0)),"",INDEX('Compliance Database'!$G$2:$G$1960,MATCH(271,'Transfer Engine'!$C$2:$C$1960,0)))</f>
        <v/>
      </c>
      <c r="H280" s="9">
        <f>IF(ISNA(MATCH(271,'Transfer Engine'!$C$2:$C$1960,0)),"",INDEX('Compliance Database'!$H$2:$H$1960,MATCH(271,'Transfer Engine'!$C$2:$C$1960,0)))</f>
        <v/>
      </c>
      <c r="I280" s="9">
        <f>IF(ISNA(MATCH(271,'Transfer Engine'!$C$2:$C$1960,0)),"",INDEX('Compliance Database'!$I$2:$I$1960,MATCH(271,'Transfer Engine'!$C$2:$C$1960,0)))</f>
        <v/>
      </c>
      <c r="J280" s="8">
        <f>IF(ISNA(MATCH(271,'Transfer Engine'!$C$2:$C$1960,0)),"",INDEX('Compliance Database'!$J$2:$J$1960,MATCH(271,'Transfer Engine'!$C$2:$C$1960,0)))</f>
        <v/>
      </c>
      <c r="K280" s="9">
        <f>IF(ISNA(MATCH(271,'Transfer Engine'!$C$2:$C$1960,0)),"",INDEX('Compliance Database'!$K$2:$K$1960,MATCH(271,'Transfer Engine'!$C$2:$C$1960,0)))</f>
        <v/>
      </c>
      <c r="L280" s="9">
        <f>IF(ISNA(MATCH(271,'Transfer Engine'!$C$2:$C$1960,0)),"",INDEX('Compliance Database'!$L$2:$L$1960,MATCH(271,'Transfer Engine'!$C$2:$C$1960,0)))</f>
        <v/>
      </c>
      <c r="M280" s="9">
        <f>IF(ISNA(MATCH(271,'Transfer Engine'!$C$2:$C$1960,0)),"",INDEX('Compliance Database'!$M$2:$M$1960,MATCH(271,'Transfer Engine'!$C$2:$C$1960,0)))</f>
        <v/>
      </c>
      <c r="N280" s="9">
        <f>IF(ISNA(MATCH(271,'Transfer Engine'!$C$2:$C$1960,0)),"",INDEX('Compliance Database'!$N$2:$N$1960,MATCH(271,'Transfer Engine'!$C$2:$C$1960,0)))</f>
        <v/>
      </c>
      <c r="O280" s="9">
        <f>IF(ISNA(MATCH(271,'Transfer Engine'!$C$2:$C$1960,0)),"",INDEX('Compliance Database'!$O$2:$O$1960,MATCH(271,'Transfer Engine'!$C$2:$C$1960,0)))</f>
        <v/>
      </c>
      <c r="P280" s="8">
        <f>IF(ISNA(MATCH(271,'Transfer Engine'!$C$2:$C$1960,0)),"",HYPERLINK("#Acts!A"&amp;INDEX('Compliance Database'!$P$2:$P$1960,MATCH(271,'Transfer Engine'!$C$2:$C$1960,0)),"Go to Act"))</f>
        <v/>
      </c>
    </row>
    <row r="281" ht="158" customHeight="1">
      <c r="A281" s="8">
        <f>IF(ISNA(MATCH(272,'Transfer Engine'!$C$2:$C$1960,0)),"",INDEX('Compliance Database'!$A$2:$A$1960,MATCH(272,'Transfer Engine'!$C$2:$C$1960,0)))</f>
        <v/>
      </c>
      <c r="B281" s="8">
        <f>IF(ISNA(MATCH(272,'Transfer Engine'!$C$2:$C$1960,0)),"",INDEX('Compliance Database'!$B$2:$B$1960,MATCH(272,'Transfer Engine'!$C$2:$C$1960,0)))</f>
        <v/>
      </c>
      <c r="C281" s="8">
        <f>IF(ISNA(MATCH(272,'Transfer Engine'!$C$2:$C$1960,0)),"",INDEX('Compliance Database'!$C$2:$C$1960,MATCH(272,'Transfer Engine'!$C$2:$C$1960,0)))</f>
        <v/>
      </c>
      <c r="D281" s="9">
        <f>IF(ISNA(MATCH(272,'Transfer Engine'!$C$2:$C$1960,0)),"",INDEX('Compliance Database'!$D$2:$D$1960,MATCH(272,'Transfer Engine'!$C$2:$C$1960,0)))</f>
        <v/>
      </c>
      <c r="E281" s="8">
        <f>IF(ISNA(MATCH(272,'Transfer Engine'!$C$2:$C$1960,0)),"",INDEX('Compliance Database'!$E$2:$E$1960,MATCH(272,'Transfer Engine'!$C$2:$C$1960,0)))</f>
        <v/>
      </c>
      <c r="F281" s="8">
        <f>IF(ISNA(MATCH(272,'Transfer Engine'!$C$2:$C$1960,0)),"",INDEX('Compliance Database'!$F$2:$F$1960,MATCH(272,'Transfer Engine'!$C$2:$C$1960,0)))</f>
        <v/>
      </c>
      <c r="G281" s="8">
        <f>IF(ISNA(MATCH(272,'Transfer Engine'!$C$2:$C$1960,0)),"",INDEX('Compliance Database'!$G$2:$G$1960,MATCH(272,'Transfer Engine'!$C$2:$C$1960,0)))</f>
        <v/>
      </c>
      <c r="H281" s="9">
        <f>IF(ISNA(MATCH(272,'Transfer Engine'!$C$2:$C$1960,0)),"",INDEX('Compliance Database'!$H$2:$H$1960,MATCH(272,'Transfer Engine'!$C$2:$C$1960,0)))</f>
        <v/>
      </c>
      <c r="I281" s="9">
        <f>IF(ISNA(MATCH(272,'Transfer Engine'!$C$2:$C$1960,0)),"",INDEX('Compliance Database'!$I$2:$I$1960,MATCH(272,'Transfer Engine'!$C$2:$C$1960,0)))</f>
        <v/>
      </c>
      <c r="J281" s="8">
        <f>IF(ISNA(MATCH(272,'Transfer Engine'!$C$2:$C$1960,0)),"",INDEX('Compliance Database'!$J$2:$J$1960,MATCH(272,'Transfer Engine'!$C$2:$C$1960,0)))</f>
        <v/>
      </c>
      <c r="K281" s="9">
        <f>IF(ISNA(MATCH(272,'Transfer Engine'!$C$2:$C$1960,0)),"",INDEX('Compliance Database'!$K$2:$K$1960,MATCH(272,'Transfer Engine'!$C$2:$C$1960,0)))</f>
        <v/>
      </c>
      <c r="L281" s="9">
        <f>IF(ISNA(MATCH(272,'Transfer Engine'!$C$2:$C$1960,0)),"",INDEX('Compliance Database'!$L$2:$L$1960,MATCH(272,'Transfer Engine'!$C$2:$C$1960,0)))</f>
        <v/>
      </c>
      <c r="M281" s="9">
        <f>IF(ISNA(MATCH(272,'Transfer Engine'!$C$2:$C$1960,0)),"",INDEX('Compliance Database'!$M$2:$M$1960,MATCH(272,'Transfer Engine'!$C$2:$C$1960,0)))</f>
        <v/>
      </c>
      <c r="N281" s="9">
        <f>IF(ISNA(MATCH(272,'Transfer Engine'!$C$2:$C$1960,0)),"",INDEX('Compliance Database'!$N$2:$N$1960,MATCH(272,'Transfer Engine'!$C$2:$C$1960,0)))</f>
        <v/>
      </c>
      <c r="O281" s="9">
        <f>IF(ISNA(MATCH(272,'Transfer Engine'!$C$2:$C$1960,0)),"",INDEX('Compliance Database'!$O$2:$O$1960,MATCH(272,'Transfer Engine'!$C$2:$C$1960,0)))</f>
        <v/>
      </c>
      <c r="P281" s="8">
        <f>IF(ISNA(MATCH(272,'Transfer Engine'!$C$2:$C$1960,0)),"",HYPERLINK("#Acts!A"&amp;INDEX('Compliance Database'!$P$2:$P$1960,MATCH(272,'Transfer Engine'!$C$2:$C$1960,0)),"Go to Act"))</f>
        <v/>
      </c>
    </row>
    <row r="282" ht="158" customHeight="1">
      <c r="A282" s="8">
        <f>IF(ISNA(MATCH(273,'Transfer Engine'!$C$2:$C$1960,0)),"",INDEX('Compliance Database'!$A$2:$A$1960,MATCH(273,'Transfer Engine'!$C$2:$C$1960,0)))</f>
        <v/>
      </c>
      <c r="B282" s="8">
        <f>IF(ISNA(MATCH(273,'Transfer Engine'!$C$2:$C$1960,0)),"",INDEX('Compliance Database'!$B$2:$B$1960,MATCH(273,'Transfer Engine'!$C$2:$C$1960,0)))</f>
        <v/>
      </c>
      <c r="C282" s="8">
        <f>IF(ISNA(MATCH(273,'Transfer Engine'!$C$2:$C$1960,0)),"",INDEX('Compliance Database'!$C$2:$C$1960,MATCH(273,'Transfer Engine'!$C$2:$C$1960,0)))</f>
        <v/>
      </c>
      <c r="D282" s="9">
        <f>IF(ISNA(MATCH(273,'Transfer Engine'!$C$2:$C$1960,0)),"",INDEX('Compliance Database'!$D$2:$D$1960,MATCH(273,'Transfer Engine'!$C$2:$C$1960,0)))</f>
        <v/>
      </c>
      <c r="E282" s="8">
        <f>IF(ISNA(MATCH(273,'Transfer Engine'!$C$2:$C$1960,0)),"",INDEX('Compliance Database'!$E$2:$E$1960,MATCH(273,'Transfer Engine'!$C$2:$C$1960,0)))</f>
        <v/>
      </c>
      <c r="F282" s="8">
        <f>IF(ISNA(MATCH(273,'Transfer Engine'!$C$2:$C$1960,0)),"",INDEX('Compliance Database'!$F$2:$F$1960,MATCH(273,'Transfer Engine'!$C$2:$C$1960,0)))</f>
        <v/>
      </c>
      <c r="G282" s="8">
        <f>IF(ISNA(MATCH(273,'Transfer Engine'!$C$2:$C$1960,0)),"",INDEX('Compliance Database'!$G$2:$G$1960,MATCH(273,'Transfer Engine'!$C$2:$C$1960,0)))</f>
        <v/>
      </c>
      <c r="H282" s="9">
        <f>IF(ISNA(MATCH(273,'Transfer Engine'!$C$2:$C$1960,0)),"",INDEX('Compliance Database'!$H$2:$H$1960,MATCH(273,'Transfer Engine'!$C$2:$C$1960,0)))</f>
        <v/>
      </c>
      <c r="I282" s="9">
        <f>IF(ISNA(MATCH(273,'Transfer Engine'!$C$2:$C$1960,0)),"",INDEX('Compliance Database'!$I$2:$I$1960,MATCH(273,'Transfer Engine'!$C$2:$C$1960,0)))</f>
        <v/>
      </c>
      <c r="J282" s="8">
        <f>IF(ISNA(MATCH(273,'Transfer Engine'!$C$2:$C$1960,0)),"",INDEX('Compliance Database'!$J$2:$J$1960,MATCH(273,'Transfer Engine'!$C$2:$C$1960,0)))</f>
        <v/>
      </c>
      <c r="K282" s="9">
        <f>IF(ISNA(MATCH(273,'Transfer Engine'!$C$2:$C$1960,0)),"",INDEX('Compliance Database'!$K$2:$K$1960,MATCH(273,'Transfer Engine'!$C$2:$C$1960,0)))</f>
        <v/>
      </c>
      <c r="L282" s="9">
        <f>IF(ISNA(MATCH(273,'Transfer Engine'!$C$2:$C$1960,0)),"",INDEX('Compliance Database'!$L$2:$L$1960,MATCH(273,'Transfer Engine'!$C$2:$C$1960,0)))</f>
        <v/>
      </c>
      <c r="M282" s="9">
        <f>IF(ISNA(MATCH(273,'Transfer Engine'!$C$2:$C$1960,0)),"",INDEX('Compliance Database'!$M$2:$M$1960,MATCH(273,'Transfer Engine'!$C$2:$C$1960,0)))</f>
        <v/>
      </c>
      <c r="N282" s="9">
        <f>IF(ISNA(MATCH(273,'Transfer Engine'!$C$2:$C$1960,0)),"",INDEX('Compliance Database'!$N$2:$N$1960,MATCH(273,'Transfer Engine'!$C$2:$C$1960,0)))</f>
        <v/>
      </c>
      <c r="O282" s="9">
        <f>IF(ISNA(MATCH(273,'Transfer Engine'!$C$2:$C$1960,0)),"",INDEX('Compliance Database'!$O$2:$O$1960,MATCH(273,'Transfer Engine'!$C$2:$C$1960,0)))</f>
        <v/>
      </c>
      <c r="P282" s="8">
        <f>IF(ISNA(MATCH(273,'Transfer Engine'!$C$2:$C$1960,0)),"",HYPERLINK("#Acts!A"&amp;INDEX('Compliance Database'!$P$2:$P$1960,MATCH(273,'Transfer Engine'!$C$2:$C$1960,0)),"Go to Act"))</f>
        <v/>
      </c>
    </row>
    <row r="283" ht="158" customHeight="1">
      <c r="A283" s="8">
        <f>IF(ISNA(MATCH(274,'Transfer Engine'!$C$2:$C$1960,0)),"",INDEX('Compliance Database'!$A$2:$A$1960,MATCH(274,'Transfer Engine'!$C$2:$C$1960,0)))</f>
        <v/>
      </c>
      <c r="B283" s="8">
        <f>IF(ISNA(MATCH(274,'Transfer Engine'!$C$2:$C$1960,0)),"",INDEX('Compliance Database'!$B$2:$B$1960,MATCH(274,'Transfer Engine'!$C$2:$C$1960,0)))</f>
        <v/>
      </c>
      <c r="C283" s="8">
        <f>IF(ISNA(MATCH(274,'Transfer Engine'!$C$2:$C$1960,0)),"",INDEX('Compliance Database'!$C$2:$C$1960,MATCH(274,'Transfer Engine'!$C$2:$C$1960,0)))</f>
        <v/>
      </c>
      <c r="D283" s="9">
        <f>IF(ISNA(MATCH(274,'Transfer Engine'!$C$2:$C$1960,0)),"",INDEX('Compliance Database'!$D$2:$D$1960,MATCH(274,'Transfer Engine'!$C$2:$C$1960,0)))</f>
        <v/>
      </c>
      <c r="E283" s="8">
        <f>IF(ISNA(MATCH(274,'Transfer Engine'!$C$2:$C$1960,0)),"",INDEX('Compliance Database'!$E$2:$E$1960,MATCH(274,'Transfer Engine'!$C$2:$C$1960,0)))</f>
        <v/>
      </c>
      <c r="F283" s="8">
        <f>IF(ISNA(MATCH(274,'Transfer Engine'!$C$2:$C$1960,0)),"",INDEX('Compliance Database'!$F$2:$F$1960,MATCH(274,'Transfer Engine'!$C$2:$C$1960,0)))</f>
        <v/>
      </c>
      <c r="G283" s="8">
        <f>IF(ISNA(MATCH(274,'Transfer Engine'!$C$2:$C$1960,0)),"",INDEX('Compliance Database'!$G$2:$G$1960,MATCH(274,'Transfer Engine'!$C$2:$C$1960,0)))</f>
        <v/>
      </c>
      <c r="H283" s="9">
        <f>IF(ISNA(MATCH(274,'Transfer Engine'!$C$2:$C$1960,0)),"",INDEX('Compliance Database'!$H$2:$H$1960,MATCH(274,'Transfer Engine'!$C$2:$C$1960,0)))</f>
        <v/>
      </c>
      <c r="I283" s="9">
        <f>IF(ISNA(MATCH(274,'Transfer Engine'!$C$2:$C$1960,0)),"",INDEX('Compliance Database'!$I$2:$I$1960,MATCH(274,'Transfer Engine'!$C$2:$C$1960,0)))</f>
        <v/>
      </c>
      <c r="J283" s="8">
        <f>IF(ISNA(MATCH(274,'Transfer Engine'!$C$2:$C$1960,0)),"",INDEX('Compliance Database'!$J$2:$J$1960,MATCH(274,'Transfer Engine'!$C$2:$C$1960,0)))</f>
        <v/>
      </c>
      <c r="K283" s="9">
        <f>IF(ISNA(MATCH(274,'Transfer Engine'!$C$2:$C$1960,0)),"",INDEX('Compliance Database'!$K$2:$K$1960,MATCH(274,'Transfer Engine'!$C$2:$C$1960,0)))</f>
        <v/>
      </c>
      <c r="L283" s="9">
        <f>IF(ISNA(MATCH(274,'Transfer Engine'!$C$2:$C$1960,0)),"",INDEX('Compliance Database'!$L$2:$L$1960,MATCH(274,'Transfer Engine'!$C$2:$C$1960,0)))</f>
        <v/>
      </c>
      <c r="M283" s="9">
        <f>IF(ISNA(MATCH(274,'Transfer Engine'!$C$2:$C$1960,0)),"",INDEX('Compliance Database'!$M$2:$M$1960,MATCH(274,'Transfer Engine'!$C$2:$C$1960,0)))</f>
        <v/>
      </c>
      <c r="N283" s="9">
        <f>IF(ISNA(MATCH(274,'Transfer Engine'!$C$2:$C$1960,0)),"",INDEX('Compliance Database'!$N$2:$N$1960,MATCH(274,'Transfer Engine'!$C$2:$C$1960,0)))</f>
        <v/>
      </c>
      <c r="O283" s="9">
        <f>IF(ISNA(MATCH(274,'Transfer Engine'!$C$2:$C$1960,0)),"",INDEX('Compliance Database'!$O$2:$O$1960,MATCH(274,'Transfer Engine'!$C$2:$C$1960,0)))</f>
        <v/>
      </c>
      <c r="P283" s="8">
        <f>IF(ISNA(MATCH(274,'Transfer Engine'!$C$2:$C$1960,0)),"",HYPERLINK("#Acts!A"&amp;INDEX('Compliance Database'!$P$2:$P$1960,MATCH(274,'Transfer Engine'!$C$2:$C$1960,0)),"Go to Act"))</f>
        <v/>
      </c>
    </row>
    <row r="284" ht="158" customHeight="1">
      <c r="A284" s="8">
        <f>IF(ISNA(MATCH(275,'Transfer Engine'!$C$2:$C$1960,0)),"",INDEX('Compliance Database'!$A$2:$A$1960,MATCH(275,'Transfer Engine'!$C$2:$C$1960,0)))</f>
        <v/>
      </c>
      <c r="B284" s="8">
        <f>IF(ISNA(MATCH(275,'Transfer Engine'!$C$2:$C$1960,0)),"",INDEX('Compliance Database'!$B$2:$B$1960,MATCH(275,'Transfer Engine'!$C$2:$C$1960,0)))</f>
        <v/>
      </c>
      <c r="C284" s="8">
        <f>IF(ISNA(MATCH(275,'Transfer Engine'!$C$2:$C$1960,0)),"",INDEX('Compliance Database'!$C$2:$C$1960,MATCH(275,'Transfer Engine'!$C$2:$C$1960,0)))</f>
        <v/>
      </c>
      <c r="D284" s="9">
        <f>IF(ISNA(MATCH(275,'Transfer Engine'!$C$2:$C$1960,0)),"",INDEX('Compliance Database'!$D$2:$D$1960,MATCH(275,'Transfer Engine'!$C$2:$C$1960,0)))</f>
        <v/>
      </c>
      <c r="E284" s="8">
        <f>IF(ISNA(MATCH(275,'Transfer Engine'!$C$2:$C$1960,0)),"",INDEX('Compliance Database'!$E$2:$E$1960,MATCH(275,'Transfer Engine'!$C$2:$C$1960,0)))</f>
        <v/>
      </c>
      <c r="F284" s="8">
        <f>IF(ISNA(MATCH(275,'Transfer Engine'!$C$2:$C$1960,0)),"",INDEX('Compliance Database'!$F$2:$F$1960,MATCH(275,'Transfer Engine'!$C$2:$C$1960,0)))</f>
        <v/>
      </c>
      <c r="G284" s="8">
        <f>IF(ISNA(MATCH(275,'Transfer Engine'!$C$2:$C$1960,0)),"",INDEX('Compliance Database'!$G$2:$G$1960,MATCH(275,'Transfer Engine'!$C$2:$C$1960,0)))</f>
        <v/>
      </c>
      <c r="H284" s="9">
        <f>IF(ISNA(MATCH(275,'Transfer Engine'!$C$2:$C$1960,0)),"",INDEX('Compliance Database'!$H$2:$H$1960,MATCH(275,'Transfer Engine'!$C$2:$C$1960,0)))</f>
        <v/>
      </c>
      <c r="I284" s="9">
        <f>IF(ISNA(MATCH(275,'Transfer Engine'!$C$2:$C$1960,0)),"",INDEX('Compliance Database'!$I$2:$I$1960,MATCH(275,'Transfer Engine'!$C$2:$C$1960,0)))</f>
        <v/>
      </c>
      <c r="J284" s="8">
        <f>IF(ISNA(MATCH(275,'Transfer Engine'!$C$2:$C$1960,0)),"",INDEX('Compliance Database'!$J$2:$J$1960,MATCH(275,'Transfer Engine'!$C$2:$C$1960,0)))</f>
        <v/>
      </c>
      <c r="K284" s="9">
        <f>IF(ISNA(MATCH(275,'Transfer Engine'!$C$2:$C$1960,0)),"",INDEX('Compliance Database'!$K$2:$K$1960,MATCH(275,'Transfer Engine'!$C$2:$C$1960,0)))</f>
        <v/>
      </c>
      <c r="L284" s="9">
        <f>IF(ISNA(MATCH(275,'Transfer Engine'!$C$2:$C$1960,0)),"",INDEX('Compliance Database'!$L$2:$L$1960,MATCH(275,'Transfer Engine'!$C$2:$C$1960,0)))</f>
        <v/>
      </c>
      <c r="M284" s="9">
        <f>IF(ISNA(MATCH(275,'Transfer Engine'!$C$2:$C$1960,0)),"",INDEX('Compliance Database'!$M$2:$M$1960,MATCH(275,'Transfer Engine'!$C$2:$C$1960,0)))</f>
        <v/>
      </c>
      <c r="N284" s="9">
        <f>IF(ISNA(MATCH(275,'Transfer Engine'!$C$2:$C$1960,0)),"",INDEX('Compliance Database'!$N$2:$N$1960,MATCH(275,'Transfer Engine'!$C$2:$C$1960,0)))</f>
        <v/>
      </c>
      <c r="O284" s="9">
        <f>IF(ISNA(MATCH(275,'Transfer Engine'!$C$2:$C$1960,0)),"",INDEX('Compliance Database'!$O$2:$O$1960,MATCH(275,'Transfer Engine'!$C$2:$C$1960,0)))</f>
        <v/>
      </c>
      <c r="P284" s="8">
        <f>IF(ISNA(MATCH(275,'Transfer Engine'!$C$2:$C$1960,0)),"",HYPERLINK("#Acts!A"&amp;INDEX('Compliance Database'!$P$2:$P$1960,MATCH(275,'Transfer Engine'!$C$2:$C$1960,0)),"Go to Act"))</f>
        <v/>
      </c>
    </row>
    <row r="285" ht="158" customHeight="1">
      <c r="A285" s="8">
        <f>IF(ISNA(MATCH(276,'Transfer Engine'!$C$2:$C$1960,0)),"",INDEX('Compliance Database'!$A$2:$A$1960,MATCH(276,'Transfer Engine'!$C$2:$C$1960,0)))</f>
        <v/>
      </c>
      <c r="B285" s="8">
        <f>IF(ISNA(MATCH(276,'Transfer Engine'!$C$2:$C$1960,0)),"",INDEX('Compliance Database'!$B$2:$B$1960,MATCH(276,'Transfer Engine'!$C$2:$C$1960,0)))</f>
        <v/>
      </c>
      <c r="C285" s="8">
        <f>IF(ISNA(MATCH(276,'Transfer Engine'!$C$2:$C$1960,0)),"",INDEX('Compliance Database'!$C$2:$C$1960,MATCH(276,'Transfer Engine'!$C$2:$C$1960,0)))</f>
        <v/>
      </c>
      <c r="D285" s="9">
        <f>IF(ISNA(MATCH(276,'Transfer Engine'!$C$2:$C$1960,0)),"",INDEX('Compliance Database'!$D$2:$D$1960,MATCH(276,'Transfer Engine'!$C$2:$C$1960,0)))</f>
        <v/>
      </c>
      <c r="E285" s="8">
        <f>IF(ISNA(MATCH(276,'Transfer Engine'!$C$2:$C$1960,0)),"",INDEX('Compliance Database'!$E$2:$E$1960,MATCH(276,'Transfer Engine'!$C$2:$C$1960,0)))</f>
        <v/>
      </c>
      <c r="F285" s="8">
        <f>IF(ISNA(MATCH(276,'Transfer Engine'!$C$2:$C$1960,0)),"",INDEX('Compliance Database'!$F$2:$F$1960,MATCH(276,'Transfer Engine'!$C$2:$C$1960,0)))</f>
        <v/>
      </c>
      <c r="G285" s="8">
        <f>IF(ISNA(MATCH(276,'Transfer Engine'!$C$2:$C$1960,0)),"",INDEX('Compliance Database'!$G$2:$G$1960,MATCH(276,'Transfer Engine'!$C$2:$C$1960,0)))</f>
        <v/>
      </c>
      <c r="H285" s="9">
        <f>IF(ISNA(MATCH(276,'Transfer Engine'!$C$2:$C$1960,0)),"",INDEX('Compliance Database'!$H$2:$H$1960,MATCH(276,'Transfer Engine'!$C$2:$C$1960,0)))</f>
        <v/>
      </c>
      <c r="I285" s="9">
        <f>IF(ISNA(MATCH(276,'Transfer Engine'!$C$2:$C$1960,0)),"",INDEX('Compliance Database'!$I$2:$I$1960,MATCH(276,'Transfer Engine'!$C$2:$C$1960,0)))</f>
        <v/>
      </c>
      <c r="J285" s="8">
        <f>IF(ISNA(MATCH(276,'Transfer Engine'!$C$2:$C$1960,0)),"",INDEX('Compliance Database'!$J$2:$J$1960,MATCH(276,'Transfer Engine'!$C$2:$C$1960,0)))</f>
        <v/>
      </c>
      <c r="K285" s="9">
        <f>IF(ISNA(MATCH(276,'Transfer Engine'!$C$2:$C$1960,0)),"",INDEX('Compliance Database'!$K$2:$K$1960,MATCH(276,'Transfer Engine'!$C$2:$C$1960,0)))</f>
        <v/>
      </c>
      <c r="L285" s="9">
        <f>IF(ISNA(MATCH(276,'Transfer Engine'!$C$2:$C$1960,0)),"",INDEX('Compliance Database'!$L$2:$L$1960,MATCH(276,'Transfer Engine'!$C$2:$C$1960,0)))</f>
        <v/>
      </c>
      <c r="M285" s="9">
        <f>IF(ISNA(MATCH(276,'Transfer Engine'!$C$2:$C$1960,0)),"",INDEX('Compliance Database'!$M$2:$M$1960,MATCH(276,'Transfer Engine'!$C$2:$C$1960,0)))</f>
        <v/>
      </c>
      <c r="N285" s="9">
        <f>IF(ISNA(MATCH(276,'Transfer Engine'!$C$2:$C$1960,0)),"",INDEX('Compliance Database'!$N$2:$N$1960,MATCH(276,'Transfer Engine'!$C$2:$C$1960,0)))</f>
        <v/>
      </c>
      <c r="O285" s="9">
        <f>IF(ISNA(MATCH(276,'Transfer Engine'!$C$2:$C$1960,0)),"",INDEX('Compliance Database'!$O$2:$O$1960,MATCH(276,'Transfer Engine'!$C$2:$C$1960,0)))</f>
        <v/>
      </c>
      <c r="P285" s="8">
        <f>IF(ISNA(MATCH(276,'Transfer Engine'!$C$2:$C$1960,0)),"",HYPERLINK("#Acts!A"&amp;INDEX('Compliance Database'!$P$2:$P$1960,MATCH(276,'Transfer Engine'!$C$2:$C$1960,0)),"Go to Act"))</f>
        <v/>
      </c>
    </row>
    <row r="286" ht="158" customHeight="1">
      <c r="A286" s="8">
        <f>IF(ISNA(MATCH(277,'Transfer Engine'!$C$2:$C$1960,0)),"",INDEX('Compliance Database'!$A$2:$A$1960,MATCH(277,'Transfer Engine'!$C$2:$C$1960,0)))</f>
        <v/>
      </c>
      <c r="B286" s="8">
        <f>IF(ISNA(MATCH(277,'Transfer Engine'!$C$2:$C$1960,0)),"",INDEX('Compliance Database'!$B$2:$B$1960,MATCH(277,'Transfer Engine'!$C$2:$C$1960,0)))</f>
        <v/>
      </c>
      <c r="C286" s="8">
        <f>IF(ISNA(MATCH(277,'Transfer Engine'!$C$2:$C$1960,0)),"",INDEX('Compliance Database'!$C$2:$C$1960,MATCH(277,'Transfer Engine'!$C$2:$C$1960,0)))</f>
        <v/>
      </c>
      <c r="D286" s="9">
        <f>IF(ISNA(MATCH(277,'Transfer Engine'!$C$2:$C$1960,0)),"",INDEX('Compliance Database'!$D$2:$D$1960,MATCH(277,'Transfer Engine'!$C$2:$C$1960,0)))</f>
        <v/>
      </c>
      <c r="E286" s="8">
        <f>IF(ISNA(MATCH(277,'Transfer Engine'!$C$2:$C$1960,0)),"",INDEX('Compliance Database'!$E$2:$E$1960,MATCH(277,'Transfer Engine'!$C$2:$C$1960,0)))</f>
        <v/>
      </c>
      <c r="F286" s="8">
        <f>IF(ISNA(MATCH(277,'Transfer Engine'!$C$2:$C$1960,0)),"",INDEX('Compliance Database'!$F$2:$F$1960,MATCH(277,'Transfer Engine'!$C$2:$C$1960,0)))</f>
        <v/>
      </c>
      <c r="G286" s="8">
        <f>IF(ISNA(MATCH(277,'Transfer Engine'!$C$2:$C$1960,0)),"",INDEX('Compliance Database'!$G$2:$G$1960,MATCH(277,'Transfer Engine'!$C$2:$C$1960,0)))</f>
        <v/>
      </c>
      <c r="H286" s="9">
        <f>IF(ISNA(MATCH(277,'Transfer Engine'!$C$2:$C$1960,0)),"",INDEX('Compliance Database'!$H$2:$H$1960,MATCH(277,'Transfer Engine'!$C$2:$C$1960,0)))</f>
        <v/>
      </c>
      <c r="I286" s="9">
        <f>IF(ISNA(MATCH(277,'Transfer Engine'!$C$2:$C$1960,0)),"",INDEX('Compliance Database'!$I$2:$I$1960,MATCH(277,'Transfer Engine'!$C$2:$C$1960,0)))</f>
        <v/>
      </c>
      <c r="J286" s="8">
        <f>IF(ISNA(MATCH(277,'Transfer Engine'!$C$2:$C$1960,0)),"",INDEX('Compliance Database'!$J$2:$J$1960,MATCH(277,'Transfer Engine'!$C$2:$C$1960,0)))</f>
        <v/>
      </c>
      <c r="K286" s="9">
        <f>IF(ISNA(MATCH(277,'Transfer Engine'!$C$2:$C$1960,0)),"",INDEX('Compliance Database'!$K$2:$K$1960,MATCH(277,'Transfer Engine'!$C$2:$C$1960,0)))</f>
        <v/>
      </c>
      <c r="L286" s="9">
        <f>IF(ISNA(MATCH(277,'Transfer Engine'!$C$2:$C$1960,0)),"",INDEX('Compliance Database'!$L$2:$L$1960,MATCH(277,'Transfer Engine'!$C$2:$C$1960,0)))</f>
        <v/>
      </c>
      <c r="M286" s="9">
        <f>IF(ISNA(MATCH(277,'Transfer Engine'!$C$2:$C$1960,0)),"",INDEX('Compliance Database'!$M$2:$M$1960,MATCH(277,'Transfer Engine'!$C$2:$C$1960,0)))</f>
        <v/>
      </c>
      <c r="N286" s="9">
        <f>IF(ISNA(MATCH(277,'Transfer Engine'!$C$2:$C$1960,0)),"",INDEX('Compliance Database'!$N$2:$N$1960,MATCH(277,'Transfer Engine'!$C$2:$C$1960,0)))</f>
        <v/>
      </c>
      <c r="O286" s="9">
        <f>IF(ISNA(MATCH(277,'Transfer Engine'!$C$2:$C$1960,0)),"",INDEX('Compliance Database'!$O$2:$O$1960,MATCH(277,'Transfer Engine'!$C$2:$C$1960,0)))</f>
        <v/>
      </c>
      <c r="P286" s="8">
        <f>IF(ISNA(MATCH(277,'Transfer Engine'!$C$2:$C$1960,0)),"",HYPERLINK("#Acts!A"&amp;INDEX('Compliance Database'!$P$2:$P$1960,MATCH(277,'Transfer Engine'!$C$2:$C$1960,0)),"Go to Act"))</f>
        <v/>
      </c>
    </row>
    <row r="287" ht="158" customHeight="1">
      <c r="A287" s="8">
        <f>IF(ISNA(MATCH(278,'Transfer Engine'!$C$2:$C$1960,0)),"",INDEX('Compliance Database'!$A$2:$A$1960,MATCH(278,'Transfer Engine'!$C$2:$C$1960,0)))</f>
        <v/>
      </c>
      <c r="B287" s="8">
        <f>IF(ISNA(MATCH(278,'Transfer Engine'!$C$2:$C$1960,0)),"",INDEX('Compliance Database'!$B$2:$B$1960,MATCH(278,'Transfer Engine'!$C$2:$C$1960,0)))</f>
        <v/>
      </c>
      <c r="C287" s="8">
        <f>IF(ISNA(MATCH(278,'Transfer Engine'!$C$2:$C$1960,0)),"",INDEX('Compliance Database'!$C$2:$C$1960,MATCH(278,'Transfer Engine'!$C$2:$C$1960,0)))</f>
        <v/>
      </c>
      <c r="D287" s="9">
        <f>IF(ISNA(MATCH(278,'Transfer Engine'!$C$2:$C$1960,0)),"",INDEX('Compliance Database'!$D$2:$D$1960,MATCH(278,'Transfer Engine'!$C$2:$C$1960,0)))</f>
        <v/>
      </c>
      <c r="E287" s="8">
        <f>IF(ISNA(MATCH(278,'Transfer Engine'!$C$2:$C$1960,0)),"",INDEX('Compliance Database'!$E$2:$E$1960,MATCH(278,'Transfer Engine'!$C$2:$C$1960,0)))</f>
        <v/>
      </c>
      <c r="F287" s="8">
        <f>IF(ISNA(MATCH(278,'Transfer Engine'!$C$2:$C$1960,0)),"",INDEX('Compliance Database'!$F$2:$F$1960,MATCH(278,'Transfer Engine'!$C$2:$C$1960,0)))</f>
        <v/>
      </c>
      <c r="G287" s="8">
        <f>IF(ISNA(MATCH(278,'Transfer Engine'!$C$2:$C$1960,0)),"",INDEX('Compliance Database'!$G$2:$G$1960,MATCH(278,'Transfer Engine'!$C$2:$C$1960,0)))</f>
        <v/>
      </c>
      <c r="H287" s="9">
        <f>IF(ISNA(MATCH(278,'Transfer Engine'!$C$2:$C$1960,0)),"",INDEX('Compliance Database'!$H$2:$H$1960,MATCH(278,'Transfer Engine'!$C$2:$C$1960,0)))</f>
        <v/>
      </c>
      <c r="I287" s="9">
        <f>IF(ISNA(MATCH(278,'Transfer Engine'!$C$2:$C$1960,0)),"",INDEX('Compliance Database'!$I$2:$I$1960,MATCH(278,'Transfer Engine'!$C$2:$C$1960,0)))</f>
        <v/>
      </c>
      <c r="J287" s="8">
        <f>IF(ISNA(MATCH(278,'Transfer Engine'!$C$2:$C$1960,0)),"",INDEX('Compliance Database'!$J$2:$J$1960,MATCH(278,'Transfer Engine'!$C$2:$C$1960,0)))</f>
        <v/>
      </c>
      <c r="K287" s="9">
        <f>IF(ISNA(MATCH(278,'Transfer Engine'!$C$2:$C$1960,0)),"",INDEX('Compliance Database'!$K$2:$K$1960,MATCH(278,'Transfer Engine'!$C$2:$C$1960,0)))</f>
        <v/>
      </c>
      <c r="L287" s="9">
        <f>IF(ISNA(MATCH(278,'Transfer Engine'!$C$2:$C$1960,0)),"",INDEX('Compliance Database'!$L$2:$L$1960,MATCH(278,'Transfer Engine'!$C$2:$C$1960,0)))</f>
        <v/>
      </c>
      <c r="M287" s="9">
        <f>IF(ISNA(MATCH(278,'Transfer Engine'!$C$2:$C$1960,0)),"",INDEX('Compliance Database'!$M$2:$M$1960,MATCH(278,'Transfer Engine'!$C$2:$C$1960,0)))</f>
        <v/>
      </c>
      <c r="N287" s="9">
        <f>IF(ISNA(MATCH(278,'Transfer Engine'!$C$2:$C$1960,0)),"",INDEX('Compliance Database'!$N$2:$N$1960,MATCH(278,'Transfer Engine'!$C$2:$C$1960,0)))</f>
        <v/>
      </c>
      <c r="O287" s="9">
        <f>IF(ISNA(MATCH(278,'Transfer Engine'!$C$2:$C$1960,0)),"",INDEX('Compliance Database'!$O$2:$O$1960,MATCH(278,'Transfer Engine'!$C$2:$C$1960,0)))</f>
        <v/>
      </c>
      <c r="P287" s="8">
        <f>IF(ISNA(MATCH(278,'Transfer Engine'!$C$2:$C$1960,0)),"",HYPERLINK("#Acts!A"&amp;INDEX('Compliance Database'!$P$2:$P$1960,MATCH(278,'Transfer Engine'!$C$2:$C$1960,0)),"Go to Act"))</f>
        <v/>
      </c>
    </row>
    <row r="288" ht="158" customHeight="1">
      <c r="A288" s="8">
        <f>IF(ISNA(MATCH(279,'Transfer Engine'!$C$2:$C$1960,0)),"",INDEX('Compliance Database'!$A$2:$A$1960,MATCH(279,'Transfer Engine'!$C$2:$C$1960,0)))</f>
        <v/>
      </c>
      <c r="B288" s="8">
        <f>IF(ISNA(MATCH(279,'Transfer Engine'!$C$2:$C$1960,0)),"",INDEX('Compliance Database'!$B$2:$B$1960,MATCH(279,'Transfer Engine'!$C$2:$C$1960,0)))</f>
        <v/>
      </c>
      <c r="C288" s="8">
        <f>IF(ISNA(MATCH(279,'Transfer Engine'!$C$2:$C$1960,0)),"",INDEX('Compliance Database'!$C$2:$C$1960,MATCH(279,'Transfer Engine'!$C$2:$C$1960,0)))</f>
        <v/>
      </c>
      <c r="D288" s="9">
        <f>IF(ISNA(MATCH(279,'Transfer Engine'!$C$2:$C$1960,0)),"",INDEX('Compliance Database'!$D$2:$D$1960,MATCH(279,'Transfer Engine'!$C$2:$C$1960,0)))</f>
        <v/>
      </c>
      <c r="E288" s="8">
        <f>IF(ISNA(MATCH(279,'Transfer Engine'!$C$2:$C$1960,0)),"",INDEX('Compliance Database'!$E$2:$E$1960,MATCH(279,'Transfer Engine'!$C$2:$C$1960,0)))</f>
        <v/>
      </c>
      <c r="F288" s="8">
        <f>IF(ISNA(MATCH(279,'Transfer Engine'!$C$2:$C$1960,0)),"",INDEX('Compliance Database'!$F$2:$F$1960,MATCH(279,'Transfer Engine'!$C$2:$C$1960,0)))</f>
        <v/>
      </c>
      <c r="G288" s="8">
        <f>IF(ISNA(MATCH(279,'Transfer Engine'!$C$2:$C$1960,0)),"",INDEX('Compliance Database'!$G$2:$G$1960,MATCH(279,'Transfer Engine'!$C$2:$C$1960,0)))</f>
        <v/>
      </c>
      <c r="H288" s="9">
        <f>IF(ISNA(MATCH(279,'Transfer Engine'!$C$2:$C$1960,0)),"",INDEX('Compliance Database'!$H$2:$H$1960,MATCH(279,'Transfer Engine'!$C$2:$C$1960,0)))</f>
        <v/>
      </c>
      <c r="I288" s="9">
        <f>IF(ISNA(MATCH(279,'Transfer Engine'!$C$2:$C$1960,0)),"",INDEX('Compliance Database'!$I$2:$I$1960,MATCH(279,'Transfer Engine'!$C$2:$C$1960,0)))</f>
        <v/>
      </c>
      <c r="J288" s="8">
        <f>IF(ISNA(MATCH(279,'Transfer Engine'!$C$2:$C$1960,0)),"",INDEX('Compliance Database'!$J$2:$J$1960,MATCH(279,'Transfer Engine'!$C$2:$C$1960,0)))</f>
        <v/>
      </c>
      <c r="K288" s="9">
        <f>IF(ISNA(MATCH(279,'Transfer Engine'!$C$2:$C$1960,0)),"",INDEX('Compliance Database'!$K$2:$K$1960,MATCH(279,'Transfer Engine'!$C$2:$C$1960,0)))</f>
        <v/>
      </c>
      <c r="L288" s="9">
        <f>IF(ISNA(MATCH(279,'Transfer Engine'!$C$2:$C$1960,0)),"",INDEX('Compliance Database'!$L$2:$L$1960,MATCH(279,'Transfer Engine'!$C$2:$C$1960,0)))</f>
        <v/>
      </c>
      <c r="M288" s="9">
        <f>IF(ISNA(MATCH(279,'Transfer Engine'!$C$2:$C$1960,0)),"",INDEX('Compliance Database'!$M$2:$M$1960,MATCH(279,'Transfer Engine'!$C$2:$C$1960,0)))</f>
        <v/>
      </c>
      <c r="N288" s="9">
        <f>IF(ISNA(MATCH(279,'Transfer Engine'!$C$2:$C$1960,0)),"",INDEX('Compliance Database'!$N$2:$N$1960,MATCH(279,'Transfer Engine'!$C$2:$C$1960,0)))</f>
        <v/>
      </c>
      <c r="O288" s="9">
        <f>IF(ISNA(MATCH(279,'Transfer Engine'!$C$2:$C$1960,0)),"",INDEX('Compliance Database'!$O$2:$O$1960,MATCH(279,'Transfer Engine'!$C$2:$C$1960,0)))</f>
        <v/>
      </c>
      <c r="P288" s="8">
        <f>IF(ISNA(MATCH(279,'Transfer Engine'!$C$2:$C$1960,0)),"",HYPERLINK("#Acts!A"&amp;INDEX('Compliance Database'!$P$2:$P$1960,MATCH(279,'Transfer Engine'!$C$2:$C$1960,0)),"Go to Act"))</f>
        <v/>
      </c>
    </row>
    <row r="289" ht="158" customHeight="1">
      <c r="A289" s="8">
        <f>IF(ISNA(MATCH(280,'Transfer Engine'!$C$2:$C$1960,0)),"",INDEX('Compliance Database'!$A$2:$A$1960,MATCH(280,'Transfer Engine'!$C$2:$C$1960,0)))</f>
        <v/>
      </c>
      <c r="B289" s="8">
        <f>IF(ISNA(MATCH(280,'Transfer Engine'!$C$2:$C$1960,0)),"",INDEX('Compliance Database'!$B$2:$B$1960,MATCH(280,'Transfer Engine'!$C$2:$C$1960,0)))</f>
        <v/>
      </c>
      <c r="C289" s="8">
        <f>IF(ISNA(MATCH(280,'Transfer Engine'!$C$2:$C$1960,0)),"",INDEX('Compliance Database'!$C$2:$C$1960,MATCH(280,'Transfer Engine'!$C$2:$C$1960,0)))</f>
        <v/>
      </c>
      <c r="D289" s="9">
        <f>IF(ISNA(MATCH(280,'Transfer Engine'!$C$2:$C$1960,0)),"",INDEX('Compliance Database'!$D$2:$D$1960,MATCH(280,'Transfer Engine'!$C$2:$C$1960,0)))</f>
        <v/>
      </c>
      <c r="E289" s="8">
        <f>IF(ISNA(MATCH(280,'Transfer Engine'!$C$2:$C$1960,0)),"",INDEX('Compliance Database'!$E$2:$E$1960,MATCH(280,'Transfer Engine'!$C$2:$C$1960,0)))</f>
        <v/>
      </c>
      <c r="F289" s="8">
        <f>IF(ISNA(MATCH(280,'Transfer Engine'!$C$2:$C$1960,0)),"",INDEX('Compliance Database'!$F$2:$F$1960,MATCH(280,'Transfer Engine'!$C$2:$C$1960,0)))</f>
        <v/>
      </c>
      <c r="G289" s="8">
        <f>IF(ISNA(MATCH(280,'Transfer Engine'!$C$2:$C$1960,0)),"",INDEX('Compliance Database'!$G$2:$G$1960,MATCH(280,'Transfer Engine'!$C$2:$C$1960,0)))</f>
        <v/>
      </c>
      <c r="H289" s="9">
        <f>IF(ISNA(MATCH(280,'Transfer Engine'!$C$2:$C$1960,0)),"",INDEX('Compliance Database'!$H$2:$H$1960,MATCH(280,'Transfer Engine'!$C$2:$C$1960,0)))</f>
        <v/>
      </c>
      <c r="I289" s="9">
        <f>IF(ISNA(MATCH(280,'Transfer Engine'!$C$2:$C$1960,0)),"",INDEX('Compliance Database'!$I$2:$I$1960,MATCH(280,'Transfer Engine'!$C$2:$C$1960,0)))</f>
        <v/>
      </c>
      <c r="J289" s="8">
        <f>IF(ISNA(MATCH(280,'Transfer Engine'!$C$2:$C$1960,0)),"",INDEX('Compliance Database'!$J$2:$J$1960,MATCH(280,'Transfer Engine'!$C$2:$C$1960,0)))</f>
        <v/>
      </c>
      <c r="K289" s="9">
        <f>IF(ISNA(MATCH(280,'Transfer Engine'!$C$2:$C$1960,0)),"",INDEX('Compliance Database'!$K$2:$K$1960,MATCH(280,'Transfer Engine'!$C$2:$C$1960,0)))</f>
        <v/>
      </c>
      <c r="L289" s="9">
        <f>IF(ISNA(MATCH(280,'Transfer Engine'!$C$2:$C$1960,0)),"",INDEX('Compliance Database'!$L$2:$L$1960,MATCH(280,'Transfer Engine'!$C$2:$C$1960,0)))</f>
        <v/>
      </c>
      <c r="M289" s="9">
        <f>IF(ISNA(MATCH(280,'Transfer Engine'!$C$2:$C$1960,0)),"",INDEX('Compliance Database'!$M$2:$M$1960,MATCH(280,'Transfer Engine'!$C$2:$C$1960,0)))</f>
        <v/>
      </c>
      <c r="N289" s="9">
        <f>IF(ISNA(MATCH(280,'Transfer Engine'!$C$2:$C$1960,0)),"",INDEX('Compliance Database'!$N$2:$N$1960,MATCH(280,'Transfer Engine'!$C$2:$C$1960,0)))</f>
        <v/>
      </c>
      <c r="O289" s="9">
        <f>IF(ISNA(MATCH(280,'Transfer Engine'!$C$2:$C$1960,0)),"",INDEX('Compliance Database'!$O$2:$O$1960,MATCH(280,'Transfer Engine'!$C$2:$C$1960,0)))</f>
        <v/>
      </c>
      <c r="P289" s="8">
        <f>IF(ISNA(MATCH(280,'Transfer Engine'!$C$2:$C$1960,0)),"",HYPERLINK("#Acts!A"&amp;INDEX('Compliance Database'!$P$2:$P$1960,MATCH(280,'Transfer Engine'!$C$2:$C$1960,0)),"Go to Act"))</f>
        <v/>
      </c>
    </row>
    <row r="290" ht="158" customHeight="1">
      <c r="A290" s="8">
        <f>IF(ISNA(MATCH(281,'Transfer Engine'!$C$2:$C$1960,0)),"",INDEX('Compliance Database'!$A$2:$A$1960,MATCH(281,'Transfer Engine'!$C$2:$C$1960,0)))</f>
        <v/>
      </c>
      <c r="B290" s="8">
        <f>IF(ISNA(MATCH(281,'Transfer Engine'!$C$2:$C$1960,0)),"",INDEX('Compliance Database'!$B$2:$B$1960,MATCH(281,'Transfer Engine'!$C$2:$C$1960,0)))</f>
        <v/>
      </c>
      <c r="C290" s="8">
        <f>IF(ISNA(MATCH(281,'Transfer Engine'!$C$2:$C$1960,0)),"",INDEX('Compliance Database'!$C$2:$C$1960,MATCH(281,'Transfer Engine'!$C$2:$C$1960,0)))</f>
        <v/>
      </c>
      <c r="D290" s="9">
        <f>IF(ISNA(MATCH(281,'Transfer Engine'!$C$2:$C$1960,0)),"",INDEX('Compliance Database'!$D$2:$D$1960,MATCH(281,'Transfer Engine'!$C$2:$C$1960,0)))</f>
        <v/>
      </c>
      <c r="E290" s="8">
        <f>IF(ISNA(MATCH(281,'Transfer Engine'!$C$2:$C$1960,0)),"",INDEX('Compliance Database'!$E$2:$E$1960,MATCH(281,'Transfer Engine'!$C$2:$C$1960,0)))</f>
        <v/>
      </c>
      <c r="F290" s="8">
        <f>IF(ISNA(MATCH(281,'Transfer Engine'!$C$2:$C$1960,0)),"",INDEX('Compliance Database'!$F$2:$F$1960,MATCH(281,'Transfer Engine'!$C$2:$C$1960,0)))</f>
        <v/>
      </c>
      <c r="G290" s="8">
        <f>IF(ISNA(MATCH(281,'Transfer Engine'!$C$2:$C$1960,0)),"",INDEX('Compliance Database'!$G$2:$G$1960,MATCH(281,'Transfer Engine'!$C$2:$C$1960,0)))</f>
        <v/>
      </c>
      <c r="H290" s="9">
        <f>IF(ISNA(MATCH(281,'Transfer Engine'!$C$2:$C$1960,0)),"",INDEX('Compliance Database'!$H$2:$H$1960,MATCH(281,'Transfer Engine'!$C$2:$C$1960,0)))</f>
        <v/>
      </c>
      <c r="I290" s="9">
        <f>IF(ISNA(MATCH(281,'Transfer Engine'!$C$2:$C$1960,0)),"",INDEX('Compliance Database'!$I$2:$I$1960,MATCH(281,'Transfer Engine'!$C$2:$C$1960,0)))</f>
        <v/>
      </c>
      <c r="J290" s="8">
        <f>IF(ISNA(MATCH(281,'Transfer Engine'!$C$2:$C$1960,0)),"",INDEX('Compliance Database'!$J$2:$J$1960,MATCH(281,'Transfer Engine'!$C$2:$C$1960,0)))</f>
        <v/>
      </c>
      <c r="K290" s="9">
        <f>IF(ISNA(MATCH(281,'Transfer Engine'!$C$2:$C$1960,0)),"",INDEX('Compliance Database'!$K$2:$K$1960,MATCH(281,'Transfer Engine'!$C$2:$C$1960,0)))</f>
        <v/>
      </c>
      <c r="L290" s="9">
        <f>IF(ISNA(MATCH(281,'Transfer Engine'!$C$2:$C$1960,0)),"",INDEX('Compliance Database'!$L$2:$L$1960,MATCH(281,'Transfer Engine'!$C$2:$C$1960,0)))</f>
        <v/>
      </c>
      <c r="M290" s="9">
        <f>IF(ISNA(MATCH(281,'Transfer Engine'!$C$2:$C$1960,0)),"",INDEX('Compliance Database'!$M$2:$M$1960,MATCH(281,'Transfer Engine'!$C$2:$C$1960,0)))</f>
        <v/>
      </c>
      <c r="N290" s="9">
        <f>IF(ISNA(MATCH(281,'Transfer Engine'!$C$2:$C$1960,0)),"",INDEX('Compliance Database'!$N$2:$N$1960,MATCH(281,'Transfer Engine'!$C$2:$C$1960,0)))</f>
        <v/>
      </c>
      <c r="O290" s="9">
        <f>IF(ISNA(MATCH(281,'Transfer Engine'!$C$2:$C$1960,0)),"",INDEX('Compliance Database'!$O$2:$O$1960,MATCH(281,'Transfer Engine'!$C$2:$C$1960,0)))</f>
        <v/>
      </c>
      <c r="P290" s="8">
        <f>IF(ISNA(MATCH(281,'Transfer Engine'!$C$2:$C$1960,0)),"",HYPERLINK("#Acts!A"&amp;INDEX('Compliance Database'!$P$2:$P$1960,MATCH(281,'Transfer Engine'!$C$2:$C$1960,0)),"Go to Act"))</f>
        <v/>
      </c>
    </row>
    <row r="291" ht="158" customHeight="1">
      <c r="A291" s="8">
        <f>IF(ISNA(MATCH(282,'Transfer Engine'!$C$2:$C$1960,0)),"",INDEX('Compliance Database'!$A$2:$A$1960,MATCH(282,'Transfer Engine'!$C$2:$C$1960,0)))</f>
        <v/>
      </c>
      <c r="B291" s="8">
        <f>IF(ISNA(MATCH(282,'Transfer Engine'!$C$2:$C$1960,0)),"",INDEX('Compliance Database'!$B$2:$B$1960,MATCH(282,'Transfer Engine'!$C$2:$C$1960,0)))</f>
        <v/>
      </c>
      <c r="C291" s="8">
        <f>IF(ISNA(MATCH(282,'Transfer Engine'!$C$2:$C$1960,0)),"",INDEX('Compliance Database'!$C$2:$C$1960,MATCH(282,'Transfer Engine'!$C$2:$C$1960,0)))</f>
        <v/>
      </c>
      <c r="D291" s="9">
        <f>IF(ISNA(MATCH(282,'Transfer Engine'!$C$2:$C$1960,0)),"",INDEX('Compliance Database'!$D$2:$D$1960,MATCH(282,'Transfer Engine'!$C$2:$C$1960,0)))</f>
        <v/>
      </c>
      <c r="E291" s="8">
        <f>IF(ISNA(MATCH(282,'Transfer Engine'!$C$2:$C$1960,0)),"",INDEX('Compliance Database'!$E$2:$E$1960,MATCH(282,'Transfer Engine'!$C$2:$C$1960,0)))</f>
        <v/>
      </c>
      <c r="F291" s="8">
        <f>IF(ISNA(MATCH(282,'Transfer Engine'!$C$2:$C$1960,0)),"",INDEX('Compliance Database'!$F$2:$F$1960,MATCH(282,'Transfer Engine'!$C$2:$C$1960,0)))</f>
        <v/>
      </c>
      <c r="G291" s="8">
        <f>IF(ISNA(MATCH(282,'Transfer Engine'!$C$2:$C$1960,0)),"",INDEX('Compliance Database'!$G$2:$G$1960,MATCH(282,'Transfer Engine'!$C$2:$C$1960,0)))</f>
        <v/>
      </c>
      <c r="H291" s="9">
        <f>IF(ISNA(MATCH(282,'Transfer Engine'!$C$2:$C$1960,0)),"",INDEX('Compliance Database'!$H$2:$H$1960,MATCH(282,'Transfer Engine'!$C$2:$C$1960,0)))</f>
        <v/>
      </c>
      <c r="I291" s="9">
        <f>IF(ISNA(MATCH(282,'Transfer Engine'!$C$2:$C$1960,0)),"",INDEX('Compliance Database'!$I$2:$I$1960,MATCH(282,'Transfer Engine'!$C$2:$C$1960,0)))</f>
        <v/>
      </c>
      <c r="J291" s="8">
        <f>IF(ISNA(MATCH(282,'Transfer Engine'!$C$2:$C$1960,0)),"",INDEX('Compliance Database'!$J$2:$J$1960,MATCH(282,'Transfer Engine'!$C$2:$C$1960,0)))</f>
        <v/>
      </c>
      <c r="K291" s="9">
        <f>IF(ISNA(MATCH(282,'Transfer Engine'!$C$2:$C$1960,0)),"",INDEX('Compliance Database'!$K$2:$K$1960,MATCH(282,'Transfer Engine'!$C$2:$C$1960,0)))</f>
        <v/>
      </c>
      <c r="L291" s="9">
        <f>IF(ISNA(MATCH(282,'Transfer Engine'!$C$2:$C$1960,0)),"",INDEX('Compliance Database'!$L$2:$L$1960,MATCH(282,'Transfer Engine'!$C$2:$C$1960,0)))</f>
        <v/>
      </c>
      <c r="M291" s="9">
        <f>IF(ISNA(MATCH(282,'Transfer Engine'!$C$2:$C$1960,0)),"",INDEX('Compliance Database'!$M$2:$M$1960,MATCH(282,'Transfer Engine'!$C$2:$C$1960,0)))</f>
        <v/>
      </c>
      <c r="N291" s="9">
        <f>IF(ISNA(MATCH(282,'Transfer Engine'!$C$2:$C$1960,0)),"",INDEX('Compliance Database'!$N$2:$N$1960,MATCH(282,'Transfer Engine'!$C$2:$C$1960,0)))</f>
        <v/>
      </c>
      <c r="O291" s="9">
        <f>IF(ISNA(MATCH(282,'Transfer Engine'!$C$2:$C$1960,0)),"",INDEX('Compliance Database'!$O$2:$O$1960,MATCH(282,'Transfer Engine'!$C$2:$C$1960,0)))</f>
        <v/>
      </c>
      <c r="P291" s="8">
        <f>IF(ISNA(MATCH(282,'Transfer Engine'!$C$2:$C$1960,0)),"",HYPERLINK("#Acts!A"&amp;INDEX('Compliance Database'!$P$2:$P$1960,MATCH(282,'Transfer Engine'!$C$2:$C$1960,0)),"Go to Act"))</f>
        <v/>
      </c>
    </row>
    <row r="292" ht="158" customHeight="1">
      <c r="A292" s="8">
        <f>IF(ISNA(MATCH(283,'Transfer Engine'!$C$2:$C$1960,0)),"",INDEX('Compliance Database'!$A$2:$A$1960,MATCH(283,'Transfer Engine'!$C$2:$C$1960,0)))</f>
        <v/>
      </c>
      <c r="B292" s="8">
        <f>IF(ISNA(MATCH(283,'Transfer Engine'!$C$2:$C$1960,0)),"",INDEX('Compliance Database'!$B$2:$B$1960,MATCH(283,'Transfer Engine'!$C$2:$C$1960,0)))</f>
        <v/>
      </c>
      <c r="C292" s="8">
        <f>IF(ISNA(MATCH(283,'Transfer Engine'!$C$2:$C$1960,0)),"",INDEX('Compliance Database'!$C$2:$C$1960,MATCH(283,'Transfer Engine'!$C$2:$C$1960,0)))</f>
        <v/>
      </c>
      <c r="D292" s="9">
        <f>IF(ISNA(MATCH(283,'Transfer Engine'!$C$2:$C$1960,0)),"",INDEX('Compliance Database'!$D$2:$D$1960,MATCH(283,'Transfer Engine'!$C$2:$C$1960,0)))</f>
        <v/>
      </c>
      <c r="E292" s="8">
        <f>IF(ISNA(MATCH(283,'Transfer Engine'!$C$2:$C$1960,0)),"",INDEX('Compliance Database'!$E$2:$E$1960,MATCH(283,'Transfer Engine'!$C$2:$C$1960,0)))</f>
        <v/>
      </c>
      <c r="F292" s="8">
        <f>IF(ISNA(MATCH(283,'Transfer Engine'!$C$2:$C$1960,0)),"",INDEX('Compliance Database'!$F$2:$F$1960,MATCH(283,'Transfer Engine'!$C$2:$C$1960,0)))</f>
        <v/>
      </c>
      <c r="G292" s="8">
        <f>IF(ISNA(MATCH(283,'Transfer Engine'!$C$2:$C$1960,0)),"",INDEX('Compliance Database'!$G$2:$G$1960,MATCH(283,'Transfer Engine'!$C$2:$C$1960,0)))</f>
        <v/>
      </c>
      <c r="H292" s="9">
        <f>IF(ISNA(MATCH(283,'Transfer Engine'!$C$2:$C$1960,0)),"",INDEX('Compliance Database'!$H$2:$H$1960,MATCH(283,'Transfer Engine'!$C$2:$C$1960,0)))</f>
        <v/>
      </c>
      <c r="I292" s="9">
        <f>IF(ISNA(MATCH(283,'Transfer Engine'!$C$2:$C$1960,0)),"",INDEX('Compliance Database'!$I$2:$I$1960,MATCH(283,'Transfer Engine'!$C$2:$C$1960,0)))</f>
        <v/>
      </c>
      <c r="J292" s="8">
        <f>IF(ISNA(MATCH(283,'Transfer Engine'!$C$2:$C$1960,0)),"",INDEX('Compliance Database'!$J$2:$J$1960,MATCH(283,'Transfer Engine'!$C$2:$C$1960,0)))</f>
        <v/>
      </c>
      <c r="K292" s="9">
        <f>IF(ISNA(MATCH(283,'Transfer Engine'!$C$2:$C$1960,0)),"",INDEX('Compliance Database'!$K$2:$K$1960,MATCH(283,'Transfer Engine'!$C$2:$C$1960,0)))</f>
        <v/>
      </c>
      <c r="L292" s="9">
        <f>IF(ISNA(MATCH(283,'Transfer Engine'!$C$2:$C$1960,0)),"",INDEX('Compliance Database'!$L$2:$L$1960,MATCH(283,'Transfer Engine'!$C$2:$C$1960,0)))</f>
        <v/>
      </c>
      <c r="M292" s="9">
        <f>IF(ISNA(MATCH(283,'Transfer Engine'!$C$2:$C$1960,0)),"",INDEX('Compliance Database'!$M$2:$M$1960,MATCH(283,'Transfer Engine'!$C$2:$C$1960,0)))</f>
        <v/>
      </c>
      <c r="N292" s="9">
        <f>IF(ISNA(MATCH(283,'Transfer Engine'!$C$2:$C$1960,0)),"",INDEX('Compliance Database'!$N$2:$N$1960,MATCH(283,'Transfer Engine'!$C$2:$C$1960,0)))</f>
        <v/>
      </c>
      <c r="O292" s="9">
        <f>IF(ISNA(MATCH(283,'Transfer Engine'!$C$2:$C$1960,0)),"",INDEX('Compliance Database'!$O$2:$O$1960,MATCH(283,'Transfer Engine'!$C$2:$C$1960,0)))</f>
        <v/>
      </c>
      <c r="P292" s="8">
        <f>IF(ISNA(MATCH(283,'Transfer Engine'!$C$2:$C$1960,0)),"",HYPERLINK("#Acts!A"&amp;INDEX('Compliance Database'!$P$2:$P$1960,MATCH(283,'Transfer Engine'!$C$2:$C$1960,0)),"Go to Act"))</f>
        <v/>
      </c>
    </row>
    <row r="293" ht="158" customHeight="1">
      <c r="A293" s="8">
        <f>IF(ISNA(MATCH(284,'Transfer Engine'!$C$2:$C$1960,0)),"",INDEX('Compliance Database'!$A$2:$A$1960,MATCH(284,'Transfer Engine'!$C$2:$C$1960,0)))</f>
        <v/>
      </c>
      <c r="B293" s="8">
        <f>IF(ISNA(MATCH(284,'Transfer Engine'!$C$2:$C$1960,0)),"",INDEX('Compliance Database'!$B$2:$B$1960,MATCH(284,'Transfer Engine'!$C$2:$C$1960,0)))</f>
        <v/>
      </c>
      <c r="C293" s="8">
        <f>IF(ISNA(MATCH(284,'Transfer Engine'!$C$2:$C$1960,0)),"",INDEX('Compliance Database'!$C$2:$C$1960,MATCH(284,'Transfer Engine'!$C$2:$C$1960,0)))</f>
        <v/>
      </c>
      <c r="D293" s="9">
        <f>IF(ISNA(MATCH(284,'Transfer Engine'!$C$2:$C$1960,0)),"",INDEX('Compliance Database'!$D$2:$D$1960,MATCH(284,'Transfer Engine'!$C$2:$C$1960,0)))</f>
        <v/>
      </c>
      <c r="E293" s="8">
        <f>IF(ISNA(MATCH(284,'Transfer Engine'!$C$2:$C$1960,0)),"",INDEX('Compliance Database'!$E$2:$E$1960,MATCH(284,'Transfer Engine'!$C$2:$C$1960,0)))</f>
        <v/>
      </c>
      <c r="F293" s="8">
        <f>IF(ISNA(MATCH(284,'Transfer Engine'!$C$2:$C$1960,0)),"",INDEX('Compliance Database'!$F$2:$F$1960,MATCH(284,'Transfer Engine'!$C$2:$C$1960,0)))</f>
        <v/>
      </c>
      <c r="G293" s="8">
        <f>IF(ISNA(MATCH(284,'Transfer Engine'!$C$2:$C$1960,0)),"",INDEX('Compliance Database'!$G$2:$G$1960,MATCH(284,'Transfer Engine'!$C$2:$C$1960,0)))</f>
        <v/>
      </c>
      <c r="H293" s="9">
        <f>IF(ISNA(MATCH(284,'Transfer Engine'!$C$2:$C$1960,0)),"",INDEX('Compliance Database'!$H$2:$H$1960,MATCH(284,'Transfer Engine'!$C$2:$C$1960,0)))</f>
        <v/>
      </c>
      <c r="I293" s="9">
        <f>IF(ISNA(MATCH(284,'Transfer Engine'!$C$2:$C$1960,0)),"",INDEX('Compliance Database'!$I$2:$I$1960,MATCH(284,'Transfer Engine'!$C$2:$C$1960,0)))</f>
        <v/>
      </c>
      <c r="J293" s="8">
        <f>IF(ISNA(MATCH(284,'Transfer Engine'!$C$2:$C$1960,0)),"",INDEX('Compliance Database'!$J$2:$J$1960,MATCH(284,'Transfer Engine'!$C$2:$C$1960,0)))</f>
        <v/>
      </c>
      <c r="K293" s="9">
        <f>IF(ISNA(MATCH(284,'Transfer Engine'!$C$2:$C$1960,0)),"",INDEX('Compliance Database'!$K$2:$K$1960,MATCH(284,'Transfer Engine'!$C$2:$C$1960,0)))</f>
        <v/>
      </c>
      <c r="L293" s="9">
        <f>IF(ISNA(MATCH(284,'Transfer Engine'!$C$2:$C$1960,0)),"",INDEX('Compliance Database'!$L$2:$L$1960,MATCH(284,'Transfer Engine'!$C$2:$C$1960,0)))</f>
        <v/>
      </c>
      <c r="M293" s="9">
        <f>IF(ISNA(MATCH(284,'Transfer Engine'!$C$2:$C$1960,0)),"",INDEX('Compliance Database'!$M$2:$M$1960,MATCH(284,'Transfer Engine'!$C$2:$C$1960,0)))</f>
        <v/>
      </c>
      <c r="N293" s="9">
        <f>IF(ISNA(MATCH(284,'Transfer Engine'!$C$2:$C$1960,0)),"",INDEX('Compliance Database'!$N$2:$N$1960,MATCH(284,'Transfer Engine'!$C$2:$C$1960,0)))</f>
        <v/>
      </c>
      <c r="O293" s="9">
        <f>IF(ISNA(MATCH(284,'Transfer Engine'!$C$2:$C$1960,0)),"",INDEX('Compliance Database'!$O$2:$O$1960,MATCH(284,'Transfer Engine'!$C$2:$C$1960,0)))</f>
        <v/>
      </c>
      <c r="P293" s="8">
        <f>IF(ISNA(MATCH(284,'Transfer Engine'!$C$2:$C$1960,0)),"",HYPERLINK("#Acts!A"&amp;INDEX('Compliance Database'!$P$2:$P$1960,MATCH(284,'Transfer Engine'!$C$2:$C$1960,0)),"Go to Act"))</f>
        <v/>
      </c>
    </row>
    <row r="294" ht="158" customHeight="1">
      <c r="A294" s="8">
        <f>IF(ISNA(MATCH(285,'Transfer Engine'!$C$2:$C$1960,0)),"",INDEX('Compliance Database'!$A$2:$A$1960,MATCH(285,'Transfer Engine'!$C$2:$C$1960,0)))</f>
        <v/>
      </c>
      <c r="B294" s="8">
        <f>IF(ISNA(MATCH(285,'Transfer Engine'!$C$2:$C$1960,0)),"",INDEX('Compliance Database'!$B$2:$B$1960,MATCH(285,'Transfer Engine'!$C$2:$C$1960,0)))</f>
        <v/>
      </c>
      <c r="C294" s="8">
        <f>IF(ISNA(MATCH(285,'Transfer Engine'!$C$2:$C$1960,0)),"",INDEX('Compliance Database'!$C$2:$C$1960,MATCH(285,'Transfer Engine'!$C$2:$C$1960,0)))</f>
        <v/>
      </c>
      <c r="D294" s="9">
        <f>IF(ISNA(MATCH(285,'Transfer Engine'!$C$2:$C$1960,0)),"",INDEX('Compliance Database'!$D$2:$D$1960,MATCH(285,'Transfer Engine'!$C$2:$C$1960,0)))</f>
        <v/>
      </c>
      <c r="E294" s="8">
        <f>IF(ISNA(MATCH(285,'Transfer Engine'!$C$2:$C$1960,0)),"",INDEX('Compliance Database'!$E$2:$E$1960,MATCH(285,'Transfer Engine'!$C$2:$C$1960,0)))</f>
        <v/>
      </c>
      <c r="F294" s="8">
        <f>IF(ISNA(MATCH(285,'Transfer Engine'!$C$2:$C$1960,0)),"",INDEX('Compliance Database'!$F$2:$F$1960,MATCH(285,'Transfer Engine'!$C$2:$C$1960,0)))</f>
        <v/>
      </c>
      <c r="G294" s="8">
        <f>IF(ISNA(MATCH(285,'Transfer Engine'!$C$2:$C$1960,0)),"",INDEX('Compliance Database'!$G$2:$G$1960,MATCH(285,'Transfer Engine'!$C$2:$C$1960,0)))</f>
        <v/>
      </c>
      <c r="H294" s="9">
        <f>IF(ISNA(MATCH(285,'Transfer Engine'!$C$2:$C$1960,0)),"",INDEX('Compliance Database'!$H$2:$H$1960,MATCH(285,'Transfer Engine'!$C$2:$C$1960,0)))</f>
        <v/>
      </c>
      <c r="I294" s="9">
        <f>IF(ISNA(MATCH(285,'Transfer Engine'!$C$2:$C$1960,0)),"",INDEX('Compliance Database'!$I$2:$I$1960,MATCH(285,'Transfer Engine'!$C$2:$C$1960,0)))</f>
        <v/>
      </c>
      <c r="J294" s="8">
        <f>IF(ISNA(MATCH(285,'Transfer Engine'!$C$2:$C$1960,0)),"",INDEX('Compliance Database'!$J$2:$J$1960,MATCH(285,'Transfer Engine'!$C$2:$C$1960,0)))</f>
        <v/>
      </c>
      <c r="K294" s="9">
        <f>IF(ISNA(MATCH(285,'Transfer Engine'!$C$2:$C$1960,0)),"",INDEX('Compliance Database'!$K$2:$K$1960,MATCH(285,'Transfer Engine'!$C$2:$C$1960,0)))</f>
        <v/>
      </c>
      <c r="L294" s="9">
        <f>IF(ISNA(MATCH(285,'Transfer Engine'!$C$2:$C$1960,0)),"",INDEX('Compliance Database'!$L$2:$L$1960,MATCH(285,'Transfer Engine'!$C$2:$C$1960,0)))</f>
        <v/>
      </c>
      <c r="M294" s="9">
        <f>IF(ISNA(MATCH(285,'Transfer Engine'!$C$2:$C$1960,0)),"",INDEX('Compliance Database'!$M$2:$M$1960,MATCH(285,'Transfer Engine'!$C$2:$C$1960,0)))</f>
        <v/>
      </c>
      <c r="N294" s="9">
        <f>IF(ISNA(MATCH(285,'Transfer Engine'!$C$2:$C$1960,0)),"",INDEX('Compliance Database'!$N$2:$N$1960,MATCH(285,'Transfer Engine'!$C$2:$C$1960,0)))</f>
        <v/>
      </c>
      <c r="O294" s="9">
        <f>IF(ISNA(MATCH(285,'Transfer Engine'!$C$2:$C$1960,0)),"",INDEX('Compliance Database'!$O$2:$O$1960,MATCH(285,'Transfer Engine'!$C$2:$C$1960,0)))</f>
        <v/>
      </c>
      <c r="P294" s="8">
        <f>IF(ISNA(MATCH(285,'Transfer Engine'!$C$2:$C$1960,0)),"",HYPERLINK("#Acts!A"&amp;INDEX('Compliance Database'!$P$2:$P$1960,MATCH(285,'Transfer Engine'!$C$2:$C$1960,0)),"Go to Act"))</f>
        <v/>
      </c>
    </row>
    <row r="295" ht="158" customHeight="1">
      <c r="A295" s="8">
        <f>IF(ISNA(MATCH(286,'Transfer Engine'!$C$2:$C$1960,0)),"",INDEX('Compliance Database'!$A$2:$A$1960,MATCH(286,'Transfer Engine'!$C$2:$C$1960,0)))</f>
        <v/>
      </c>
      <c r="B295" s="8">
        <f>IF(ISNA(MATCH(286,'Transfer Engine'!$C$2:$C$1960,0)),"",INDEX('Compliance Database'!$B$2:$B$1960,MATCH(286,'Transfer Engine'!$C$2:$C$1960,0)))</f>
        <v/>
      </c>
      <c r="C295" s="8">
        <f>IF(ISNA(MATCH(286,'Transfer Engine'!$C$2:$C$1960,0)),"",INDEX('Compliance Database'!$C$2:$C$1960,MATCH(286,'Transfer Engine'!$C$2:$C$1960,0)))</f>
        <v/>
      </c>
      <c r="D295" s="9">
        <f>IF(ISNA(MATCH(286,'Transfer Engine'!$C$2:$C$1960,0)),"",INDEX('Compliance Database'!$D$2:$D$1960,MATCH(286,'Transfer Engine'!$C$2:$C$1960,0)))</f>
        <v/>
      </c>
      <c r="E295" s="8">
        <f>IF(ISNA(MATCH(286,'Transfer Engine'!$C$2:$C$1960,0)),"",INDEX('Compliance Database'!$E$2:$E$1960,MATCH(286,'Transfer Engine'!$C$2:$C$1960,0)))</f>
        <v/>
      </c>
      <c r="F295" s="8">
        <f>IF(ISNA(MATCH(286,'Transfer Engine'!$C$2:$C$1960,0)),"",INDEX('Compliance Database'!$F$2:$F$1960,MATCH(286,'Transfer Engine'!$C$2:$C$1960,0)))</f>
        <v/>
      </c>
      <c r="G295" s="8">
        <f>IF(ISNA(MATCH(286,'Transfer Engine'!$C$2:$C$1960,0)),"",INDEX('Compliance Database'!$G$2:$G$1960,MATCH(286,'Transfer Engine'!$C$2:$C$1960,0)))</f>
        <v/>
      </c>
      <c r="H295" s="9">
        <f>IF(ISNA(MATCH(286,'Transfer Engine'!$C$2:$C$1960,0)),"",INDEX('Compliance Database'!$H$2:$H$1960,MATCH(286,'Transfer Engine'!$C$2:$C$1960,0)))</f>
        <v/>
      </c>
      <c r="I295" s="9">
        <f>IF(ISNA(MATCH(286,'Transfer Engine'!$C$2:$C$1960,0)),"",INDEX('Compliance Database'!$I$2:$I$1960,MATCH(286,'Transfer Engine'!$C$2:$C$1960,0)))</f>
        <v/>
      </c>
      <c r="J295" s="8">
        <f>IF(ISNA(MATCH(286,'Transfer Engine'!$C$2:$C$1960,0)),"",INDEX('Compliance Database'!$J$2:$J$1960,MATCH(286,'Transfer Engine'!$C$2:$C$1960,0)))</f>
        <v/>
      </c>
      <c r="K295" s="9">
        <f>IF(ISNA(MATCH(286,'Transfer Engine'!$C$2:$C$1960,0)),"",INDEX('Compliance Database'!$K$2:$K$1960,MATCH(286,'Transfer Engine'!$C$2:$C$1960,0)))</f>
        <v/>
      </c>
      <c r="L295" s="9">
        <f>IF(ISNA(MATCH(286,'Transfer Engine'!$C$2:$C$1960,0)),"",INDEX('Compliance Database'!$L$2:$L$1960,MATCH(286,'Transfer Engine'!$C$2:$C$1960,0)))</f>
        <v/>
      </c>
      <c r="M295" s="9">
        <f>IF(ISNA(MATCH(286,'Transfer Engine'!$C$2:$C$1960,0)),"",INDEX('Compliance Database'!$M$2:$M$1960,MATCH(286,'Transfer Engine'!$C$2:$C$1960,0)))</f>
        <v/>
      </c>
      <c r="N295" s="9">
        <f>IF(ISNA(MATCH(286,'Transfer Engine'!$C$2:$C$1960,0)),"",INDEX('Compliance Database'!$N$2:$N$1960,MATCH(286,'Transfer Engine'!$C$2:$C$1960,0)))</f>
        <v/>
      </c>
      <c r="O295" s="9">
        <f>IF(ISNA(MATCH(286,'Transfer Engine'!$C$2:$C$1960,0)),"",INDEX('Compliance Database'!$O$2:$O$1960,MATCH(286,'Transfer Engine'!$C$2:$C$1960,0)))</f>
        <v/>
      </c>
      <c r="P295" s="8">
        <f>IF(ISNA(MATCH(286,'Transfer Engine'!$C$2:$C$1960,0)),"",HYPERLINK("#Acts!A"&amp;INDEX('Compliance Database'!$P$2:$P$1960,MATCH(286,'Transfer Engine'!$C$2:$C$1960,0)),"Go to Act"))</f>
        <v/>
      </c>
    </row>
    <row r="296" ht="158" customHeight="1">
      <c r="A296" s="8">
        <f>IF(ISNA(MATCH(287,'Transfer Engine'!$C$2:$C$1960,0)),"",INDEX('Compliance Database'!$A$2:$A$1960,MATCH(287,'Transfer Engine'!$C$2:$C$1960,0)))</f>
        <v/>
      </c>
      <c r="B296" s="8">
        <f>IF(ISNA(MATCH(287,'Transfer Engine'!$C$2:$C$1960,0)),"",INDEX('Compliance Database'!$B$2:$B$1960,MATCH(287,'Transfer Engine'!$C$2:$C$1960,0)))</f>
        <v/>
      </c>
      <c r="C296" s="8">
        <f>IF(ISNA(MATCH(287,'Transfer Engine'!$C$2:$C$1960,0)),"",INDEX('Compliance Database'!$C$2:$C$1960,MATCH(287,'Transfer Engine'!$C$2:$C$1960,0)))</f>
        <v/>
      </c>
      <c r="D296" s="9">
        <f>IF(ISNA(MATCH(287,'Transfer Engine'!$C$2:$C$1960,0)),"",INDEX('Compliance Database'!$D$2:$D$1960,MATCH(287,'Transfer Engine'!$C$2:$C$1960,0)))</f>
        <v/>
      </c>
      <c r="E296" s="8">
        <f>IF(ISNA(MATCH(287,'Transfer Engine'!$C$2:$C$1960,0)),"",INDEX('Compliance Database'!$E$2:$E$1960,MATCH(287,'Transfer Engine'!$C$2:$C$1960,0)))</f>
        <v/>
      </c>
      <c r="F296" s="8">
        <f>IF(ISNA(MATCH(287,'Transfer Engine'!$C$2:$C$1960,0)),"",INDEX('Compliance Database'!$F$2:$F$1960,MATCH(287,'Transfer Engine'!$C$2:$C$1960,0)))</f>
        <v/>
      </c>
      <c r="G296" s="8">
        <f>IF(ISNA(MATCH(287,'Transfer Engine'!$C$2:$C$1960,0)),"",INDEX('Compliance Database'!$G$2:$G$1960,MATCH(287,'Transfer Engine'!$C$2:$C$1960,0)))</f>
        <v/>
      </c>
      <c r="H296" s="9">
        <f>IF(ISNA(MATCH(287,'Transfer Engine'!$C$2:$C$1960,0)),"",INDEX('Compliance Database'!$H$2:$H$1960,MATCH(287,'Transfer Engine'!$C$2:$C$1960,0)))</f>
        <v/>
      </c>
      <c r="I296" s="9">
        <f>IF(ISNA(MATCH(287,'Transfer Engine'!$C$2:$C$1960,0)),"",INDEX('Compliance Database'!$I$2:$I$1960,MATCH(287,'Transfer Engine'!$C$2:$C$1960,0)))</f>
        <v/>
      </c>
      <c r="J296" s="8">
        <f>IF(ISNA(MATCH(287,'Transfer Engine'!$C$2:$C$1960,0)),"",INDEX('Compliance Database'!$J$2:$J$1960,MATCH(287,'Transfer Engine'!$C$2:$C$1960,0)))</f>
        <v/>
      </c>
      <c r="K296" s="9">
        <f>IF(ISNA(MATCH(287,'Transfer Engine'!$C$2:$C$1960,0)),"",INDEX('Compliance Database'!$K$2:$K$1960,MATCH(287,'Transfer Engine'!$C$2:$C$1960,0)))</f>
        <v/>
      </c>
      <c r="L296" s="9">
        <f>IF(ISNA(MATCH(287,'Transfer Engine'!$C$2:$C$1960,0)),"",INDEX('Compliance Database'!$L$2:$L$1960,MATCH(287,'Transfer Engine'!$C$2:$C$1960,0)))</f>
        <v/>
      </c>
      <c r="M296" s="9">
        <f>IF(ISNA(MATCH(287,'Transfer Engine'!$C$2:$C$1960,0)),"",INDEX('Compliance Database'!$M$2:$M$1960,MATCH(287,'Transfer Engine'!$C$2:$C$1960,0)))</f>
        <v/>
      </c>
      <c r="N296" s="9">
        <f>IF(ISNA(MATCH(287,'Transfer Engine'!$C$2:$C$1960,0)),"",INDEX('Compliance Database'!$N$2:$N$1960,MATCH(287,'Transfer Engine'!$C$2:$C$1960,0)))</f>
        <v/>
      </c>
      <c r="O296" s="9">
        <f>IF(ISNA(MATCH(287,'Transfer Engine'!$C$2:$C$1960,0)),"",INDEX('Compliance Database'!$O$2:$O$1960,MATCH(287,'Transfer Engine'!$C$2:$C$1960,0)))</f>
        <v/>
      </c>
      <c r="P296" s="8">
        <f>IF(ISNA(MATCH(287,'Transfer Engine'!$C$2:$C$1960,0)),"",HYPERLINK("#Acts!A"&amp;INDEX('Compliance Database'!$P$2:$P$1960,MATCH(287,'Transfer Engine'!$C$2:$C$1960,0)),"Go to Act"))</f>
        <v/>
      </c>
    </row>
    <row r="297" ht="158" customHeight="1">
      <c r="A297" s="8">
        <f>IF(ISNA(MATCH(288,'Transfer Engine'!$C$2:$C$1960,0)),"",INDEX('Compliance Database'!$A$2:$A$1960,MATCH(288,'Transfer Engine'!$C$2:$C$1960,0)))</f>
        <v/>
      </c>
      <c r="B297" s="8">
        <f>IF(ISNA(MATCH(288,'Transfer Engine'!$C$2:$C$1960,0)),"",INDEX('Compliance Database'!$B$2:$B$1960,MATCH(288,'Transfer Engine'!$C$2:$C$1960,0)))</f>
        <v/>
      </c>
      <c r="C297" s="8">
        <f>IF(ISNA(MATCH(288,'Transfer Engine'!$C$2:$C$1960,0)),"",INDEX('Compliance Database'!$C$2:$C$1960,MATCH(288,'Transfer Engine'!$C$2:$C$1960,0)))</f>
        <v/>
      </c>
      <c r="D297" s="9">
        <f>IF(ISNA(MATCH(288,'Transfer Engine'!$C$2:$C$1960,0)),"",INDEX('Compliance Database'!$D$2:$D$1960,MATCH(288,'Transfer Engine'!$C$2:$C$1960,0)))</f>
        <v/>
      </c>
      <c r="E297" s="8">
        <f>IF(ISNA(MATCH(288,'Transfer Engine'!$C$2:$C$1960,0)),"",INDEX('Compliance Database'!$E$2:$E$1960,MATCH(288,'Transfer Engine'!$C$2:$C$1960,0)))</f>
        <v/>
      </c>
      <c r="F297" s="8">
        <f>IF(ISNA(MATCH(288,'Transfer Engine'!$C$2:$C$1960,0)),"",INDEX('Compliance Database'!$F$2:$F$1960,MATCH(288,'Transfer Engine'!$C$2:$C$1960,0)))</f>
        <v/>
      </c>
      <c r="G297" s="8">
        <f>IF(ISNA(MATCH(288,'Transfer Engine'!$C$2:$C$1960,0)),"",INDEX('Compliance Database'!$G$2:$G$1960,MATCH(288,'Transfer Engine'!$C$2:$C$1960,0)))</f>
        <v/>
      </c>
      <c r="H297" s="9">
        <f>IF(ISNA(MATCH(288,'Transfer Engine'!$C$2:$C$1960,0)),"",INDEX('Compliance Database'!$H$2:$H$1960,MATCH(288,'Transfer Engine'!$C$2:$C$1960,0)))</f>
        <v/>
      </c>
      <c r="I297" s="9">
        <f>IF(ISNA(MATCH(288,'Transfer Engine'!$C$2:$C$1960,0)),"",INDEX('Compliance Database'!$I$2:$I$1960,MATCH(288,'Transfer Engine'!$C$2:$C$1960,0)))</f>
        <v/>
      </c>
      <c r="J297" s="8">
        <f>IF(ISNA(MATCH(288,'Transfer Engine'!$C$2:$C$1960,0)),"",INDEX('Compliance Database'!$J$2:$J$1960,MATCH(288,'Transfer Engine'!$C$2:$C$1960,0)))</f>
        <v/>
      </c>
      <c r="K297" s="9">
        <f>IF(ISNA(MATCH(288,'Transfer Engine'!$C$2:$C$1960,0)),"",INDEX('Compliance Database'!$K$2:$K$1960,MATCH(288,'Transfer Engine'!$C$2:$C$1960,0)))</f>
        <v/>
      </c>
      <c r="L297" s="9">
        <f>IF(ISNA(MATCH(288,'Transfer Engine'!$C$2:$C$1960,0)),"",INDEX('Compliance Database'!$L$2:$L$1960,MATCH(288,'Transfer Engine'!$C$2:$C$1960,0)))</f>
        <v/>
      </c>
      <c r="M297" s="9">
        <f>IF(ISNA(MATCH(288,'Transfer Engine'!$C$2:$C$1960,0)),"",INDEX('Compliance Database'!$M$2:$M$1960,MATCH(288,'Transfer Engine'!$C$2:$C$1960,0)))</f>
        <v/>
      </c>
      <c r="N297" s="9">
        <f>IF(ISNA(MATCH(288,'Transfer Engine'!$C$2:$C$1960,0)),"",INDEX('Compliance Database'!$N$2:$N$1960,MATCH(288,'Transfer Engine'!$C$2:$C$1960,0)))</f>
        <v/>
      </c>
      <c r="O297" s="9">
        <f>IF(ISNA(MATCH(288,'Transfer Engine'!$C$2:$C$1960,0)),"",INDEX('Compliance Database'!$O$2:$O$1960,MATCH(288,'Transfer Engine'!$C$2:$C$1960,0)))</f>
        <v/>
      </c>
      <c r="P297" s="8">
        <f>IF(ISNA(MATCH(288,'Transfer Engine'!$C$2:$C$1960,0)),"",HYPERLINK("#Acts!A"&amp;INDEX('Compliance Database'!$P$2:$P$1960,MATCH(288,'Transfer Engine'!$C$2:$C$1960,0)),"Go to Act"))</f>
        <v/>
      </c>
    </row>
    <row r="298" ht="158" customHeight="1">
      <c r="A298" s="8">
        <f>IF(ISNA(MATCH(289,'Transfer Engine'!$C$2:$C$1960,0)),"",INDEX('Compliance Database'!$A$2:$A$1960,MATCH(289,'Transfer Engine'!$C$2:$C$1960,0)))</f>
        <v/>
      </c>
      <c r="B298" s="8">
        <f>IF(ISNA(MATCH(289,'Transfer Engine'!$C$2:$C$1960,0)),"",INDEX('Compliance Database'!$B$2:$B$1960,MATCH(289,'Transfer Engine'!$C$2:$C$1960,0)))</f>
        <v/>
      </c>
      <c r="C298" s="8">
        <f>IF(ISNA(MATCH(289,'Transfer Engine'!$C$2:$C$1960,0)),"",INDEX('Compliance Database'!$C$2:$C$1960,MATCH(289,'Transfer Engine'!$C$2:$C$1960,0)))</f>
        <v/>
      </c>
      <c r="D298" s="9">
        <f>IF(ISNA(MATCH(289,'Transfer Engine'!$C$2:$C$1960,0)),"",INDEX('Compliance Database'!$D$2:$D$1960,MATCH(289,'Transfer Engine'!$C$2:$C$1960,0)))</f>
        <v/>
      </c>
      <c r="E298" s="8">
        <f>IF(ISNA(MATCH(289,'Transfer Engine'!$C$2:$C$1960,0)),"",INDEX('Compliance Database'!$E$2:$E$1960,MATCH(289,'Transfer Engine'!$C$2:$C$1960,0)))</f>
        <v/>
      </c>
      <c r="F298" s="8">
        <f>IF(ISNA(MATCH(289,'Transfer Engine'!$C$2:$C$1960,0)),"",INDEX('Compliance Database'!$F$2:$F$1960,MATCH(289,'Transfer Engine'!$C$2:$C$1960,0)))</f>
        <v/>
      </c>
      <c r="G298" s="8">
        <f>IF(ISNA(MATCH(289,'Transfer Engine'!$C$2:$C$1960,0)),"",INDEX('Compliance Database'!$G$2:$G$1960,MATCH(289,'Transfer Engine'!$C$2:$C$1960,0)))</f>
        <v/>
      </c>
      <c r="H298" s="9">
        <f>IF(ISNA(MATCH(289,'Transfer Engine'!$C$2:$C$1960,0)),"",INDEX('Compliance Database'!$H$2:$H$1960,MATCH(289,'Transfer Engine'!$C$2:$C$1960,0)))</f>
        <v/>
      </c>
      <c r="I298" s="9">
        <f>IF(ISNA(MATCH(289,'Transfer Engine'!$C$2:$C$1960,0)),"",INDEX('Compliance Database'!$I$2:$I$1960,MATCH(289,'Transfer Engine'!$C$2:$C$1960,0)))</f>
        <v/>
      </c>
      <c r="J298" s="8">
        <f>IF(ISNA(MATCH(289,'Transfer Engine'!$C$2:$C$1960,0)),"",INDEX('Compliance Database'!$J$2:$J$1960,MATCH(289,'Transfer Engine'!$C$2:$C$1960,0)))</f>
        <v/>
      </c>
      <c r="K298" s="9">
        <f>IF(ISNA(MATCH(289,'Transfer Engine'!$C$2:$C$1960,0)),"",INDEX('Compliance Database'!$K$2:$K$1960,MATCH(289,'Transfer Engine'!$C$2:$C$1960,0)))</f>
        <v/>
      </c>
      <c r="L298" s="9">
        <f>IF(ISNA(MATCH(289,'Transfer Engine'!$C$2:$C$1960,0)),"",INDEX('Compliance Database'!$L$2:$L$1960,MATCH(289,'Transfer Engine'!$C$2:$C$1960,0)))</f>
        <v/>
      </c>
      <c r="M298" s="9">
        <f>IF(ISNA(MATCH(289,'Transfer Engine'!$C$2:$C$1960,0)),"",INDEX('Compliance Database'!$M$2:$M$1960,MATCH(289,'Transfer Engine'!$C$2:$C$1960,0)))</f>
        <v/>
      </c>
      <c r="N298" s="9">
        <f>IF(ISNA(MATCH(289,'Transfer Engine'!$C$2:$C$1960,0)),"",INDEX('Compliance Database'!$N$2:$N$1960,MATCH(289,'Transfer Engine'!$C$2:$C$1960,0)))</f>
        <v/>
      </c>
      <c r="O298" s="9">
        <f>IF(ISNA(MATCH(289,'Transfer Engine'!$C$2:$C$1960,0)),"",INDEX('Compliance Database'!$O$2:$O$1960,MATCH(289,'Transfer Engine'!$C$2:$C$1960,0)))</f>
        <v/>
      </c>
      <c r="P298" s="8">
        <f>IF(ISNA(MATCH(289,'Transfer Engine'!$C$2:$C$1960,0)),"",HYPERLINK("#Acts!A"&amp;INDEX('Compliance Database'!$P$2:$P$1960,MATCH(289,'Transfer Engine'!$C$2:$C$1960,0)),"Go to Act"))</f>
        <v/>
      </c>
    </row>
    <row r="299" ht="158" customHeight="1">
      <c r="A299" s="8">
        <f>IF(ISNA(MATCH(290,'Transfer Engine'!$C$2:$C$1960,0)),"",INDEX('Compliance Database'!$A$2:$A$1960,MATCH(290,'Transfer Engine'!$C$2:$C$1960,0)))</f>
        <v/>
      </c>
      <c r="B299" s="8">
        <f>IF(ISNA(MATCH(290,'Transfer Engine'!$C$2:$C$1960,0)),"",INDEX('Compliance Database'!$B$2:$B$1960,MATCH(290,'Transfer Engine'!$C$2:$C$1960,0)))</f>
        <v/>
      </c>
      <c r="C299" s="8">
        <f>IF(ISNA(MATCH(290,'Transfer Engine'!$C$2:$C$1960,0)),"",INDEX('Compliance Database'!$C$2:$C$1960,MATCH(290,'Transfer Engine'!$C$2:$C$1960,0)))</f>
        <v/>
      </c>
      <c r="D299" s="9">
        <f>IF(ISNA(MATCH(290,'Transfer Engine'!$C$2:$C$1960,0)),"",INDEX('Compliance Database'!$D$2:$D$1960,MATCH(290,'Transfer Engine'!$C$2:$C$1960,0)))</f>
        <v/>
      </c>
      <c r="E299" s="8">
        <f>IF(ISNA(MATCH(290,'Transfer Engine'!$C$2:$C$1960,0)),"",INDEX('Compliance Database'!$E$2:$E$1960,MATCH(290,'Transfer Engine'!$C$2:$C$1960,0)))</f>
        <v/>
      </c>
      <c r="F299" s="8">
        <f>IF(ISNA(MATCH(290,'Transfer Engine'!$C$2:$C$1960,0)),"",INDEX('Compliance Database'!$F$2:$F$1960,MATCH(290,'Transfer Engine'!$C$2:$C$1960,0)))</f>
        <v/>
      </c>
      <c r="G299" s="8">
        <f>IF(ISNA(MATCH(290,'Transfer Engine'!$C$2:$C$1960,0)),"",INDEX('Compliance Database'!$G$2:$G$1960,MATCH(290,'Transfer Engine'!$C$2:$C$1960,0)))</f>
        <v/>
      </c>
      <c r="H299" s="9">
        <f>IF(ISNA(MATCH(290,'Transfer Engine'!$C$2:$C$1960,0)),"",INDEX('Compliance Database'!$H$2:$H$1960,MATCH(290,'Transfer Engine'!$C$2:$C$1960,0)))</f>
        <v/>
      </c>
      <c r="I299" s="9">
        <f>IF(ISNA(MATCH(290,'Transfer Engine'!$C$2:$C$1960,0)),"",INDEX('Compliance Database'!$I$2:$I$1960,MATCH(290,'Transfer Engine'!$C$2:$C$1960,0)))</f>
        <v/>
      </c>
      <c r="J299" s="8">
        <f>IF(ISNA(MATCH(290,'Transfer Engine'!$C$2:$C$1960,0)),"",INDEX('Compliance Database'!$J$2:$J$1960,MATCH(290,'Transfer Engine'!$C$2:$C$1960,0)))</f>
        <v/>
      </c>
      <c r="K299" s="9">
        <f>IF(ISNA(MATCH(290,'Transfer Engine'!$C$2:$C$1960,0)),"",INDEX('Compliance Database'!$K$2:$K$1960,MATCH(290,'Transfer Engine'!$C$2:$C$1960,0)))</f>
        <v/>
      </c>
      <c r="L299" s="9">
        <f>IF(ISNA(MATCH(290,'Transfer Engine'!$C$2:$C$1960,0)),"",INDEX('Compliance Database'!$L$2:$L$1960,MATCH(290,'Transfer Engine'!$C$2:$C$1960,0)))</f>
        <v/>
      </c>
      <c r="M299" s="9">
        <f>IF(ISNA(MATCH(290,'Transfer Engine'!$C$2:$C$1960,0)),"",INDEX('Compliance Database'!$M$2:$M$1960,MATCH(290,'Transfer Engine'!$C$2:$C$1960,0)))</f>
        <v/>
      </c>
      <c r="N299" s="9">
        <f>IF(ISNA(MATCH(290,'Transfer Engine'!$C$2:$C$1960,0)),"",INDEX('Compliance Database'!$N$2:$N$1960,MATCH(290,'Transfer Engine'!$C$2:$C$1960,0)))</f>
        <v/>
      </c>
      <c r="O299" s="9">
        <f>IF(ISNA(MATCH(290,'Transfer Engine'!$C$2:$C$1960,0)),"",INDEX('Compliance Database'!$O$2:$O$1960,MATCH(290,'Transfer Engine'!$C$2:$C$1960,0)))</f>
        <v/>
      </c>
      <c r="P299" s="8">
        <f>IF(ISNA(MATCH(290,'Transfer Engine'!$C$2:$C$1960,0)),"",HYPERLINK("#Acts!A"&amp;INDEX('Compliance Database'!$P$2:$P$1960,MATCH(290,'Transfer Engine'!$C$2:$C$1960,0)),"Go to Act"))</f>
        <v/>
      </c>
    </row>
    <row r="300" ht="158" customHeight="1">
      <c r="A300" s="8">
        <f>IF(ISNA(MATCH(291,'Transfer Engine'!$C$2:$C$1960,0)),"",INDEX('Compliance Database'!$A$2:$A$1960,MATCH(291,'Transfer Engine'!$C$2:$C$1960,0)))</f>
        <v/>
      </c>
      <c r="B300" s="8">
        <f>IF(ISNA(MATCH(291,'Transfer Engine'!$C$2:$C$1960,0)),"",INDEX('Compliance Database'!$B$2:$B$1960,MATCH(291,'Transfer Engine'!$C$2:$C$1960,0)))</f>
        <v/>
      </c>
      <c r="C300" s="8">
        <f>IF(ISNA(MATCH(291,'Transfer Engine'!$C$2:$C$1960,0)),"",INDEX('Compliance Database'!$C$2:$C$1960,MATCH(291,'Transfer Engine'!$C$2:$C$1960,0)))</f>
        <v/>
      </c>
      <c r="D300" s="9">
        <f>IF(ISNA(MATCH(291,'Transfer Engine'!$C$2:$C$1960,0)),"",INDEX('Compliance Database'!$D$2:$D$1960,MATCH(291,'Transfer Engine'!$C$2:$C$1960,0)))</f>
        <v/>
      </c>
      <c r="E300" s="8">
        <f>IF(ISNA(MATCH(291,'Transfer Engine'!$C$2:$C$1960,0)),"",INDEX('Compliance Database'!$E$2:$E$1960,MATCH(291,'Transfer Engine'!$C$2:$C$1960,0)))</f>
        <v/>
      </c>
      <c r="F300" s="8">
        <f>IF(ISNA(MATCH(291,'Transfer Engine'!$C$2:$C$1960,0)),"",INDEX('Compliance Database'!$F$2:$F$1960,MATCH(291,'Transfer Engine'!$C$2:$C$1960,0)))</f>
        <v/>
      </c>
      <c r="G300" s="8">
        <f>IF(ISNA(MATCH(291,'Transfer Engine'!$C$2:$C$1960,0)),"",INDEX('Compliance Database'!$G$2:$G$1960,MATCH(291,'Transfer Engine'!$C$2:$C$1960,0)))</f>
        <v/>
      </c>
      <c r="H300" s="9">
        <f>IF(ISNA(MATCH(291,'Transfer Engine'!$C$2:$C$1960,0)),"",INDEX('Compliance Database'!$H$2:$H$1960,MATCH(291,'Transfer Engine'!$C$2:$C$1960,0)))</f>
        <v/>
      </c>
      <c r="I300" s="9">
        <f>IF(ISNA(MATCH(291,'Transfer Engine'!$C$2:$C$1960,0)),"",INDEX('Compliance Database'!$I$2:$I$1960,MATCH(291,'Transfer Engine'!$C$2:$C$1960,0)))</f>
        <v/>
      </c>
      <c r="J300" s="8">
        <f>IF(ISNA(MATCH(291,'Transfer Engine'!$C$2:$C$1960,0)),"",INDEX('Compliance Database'!$J$2:$J$1960,MATCH(291,'Transfer Engine'!$C$2:$C$1960,0)))</f>
        <v/>
      </c>
      <c r="K300" s="9">
        <f>IF(ISNA(MATCH(291,'Transfer Engine'!$C$2:$C$1960,0)),"",INDEX('Compliance Database'!$K$2:$K$1960,MATCH(291,'Transfer Engine'!$C$2:$C$1960,0)))</f>
        <v/>
      </c>
      <c r="L300" s="9">
        <f>IF(ISNA(MATCH(291,'Transfer Engine'!$C$2:$C$1960,0)),"",INDEX('Compliance Database'!$L$2:$L$1960,MATCH(291,'Transfer Engine'!$C$2:$C$1960,0)))</f>
        <v/>
      </c>
      <c r="M300" s="9">
        <f>IF(ISNA(MATCH(291,'Transfer Engine'!$C$2:$C$1960,0)),"",INDEX('Compliance Database'!$M$2:$M$1960,MATCH(291,'Transfer Engine'!$C$2:$C$1960,0)))</f>
        <v/>
      </c>
      <c r="N300" s="9">
        <f>IF(ISNA(MATCH(291,'Transfer Engine'!$C$2:$C$1960,0)),"",INDEX('Compliance Database'!$N$2:$N$1960,MATCH(291,'Transfer Engine'!$C$2:$C$1960,0)))</f>
        <v/>
      </c>
      <c r="O300" s="9">
        <f>IF(ISNA(MATCH(291,'Transfer Engine'!$C$2:$C$1960,0)),"",INDEX('Compliance Database'!$O$2:$O$1960,MATCH(291,'Transfer Engine'!$C$2:$C$1960,0)))</f>
        <v/>
      </c>
      <c r="P300" s="8">
        <f>IF(ISNA(MATCH(291,'Transfer Engine'!$C$2:$C$1960,0)),"",HYPERLINK("#Acts!A"&amp;INDEX('Compliance Database'!$P$2:$P$1960,MATCH(291,'Transfer Engine'!$C$2:$C$1960,0)),"Go to Act"))</f>
        <v/>
      </c>
    </row>
    <row r="301" ht="158" customHeight="1">
      <c r="A301" s="8">
        <f>IF(ISNA(MATCH(292,'Transfer Engine'!$C$2:$C$1960,0)),"",INDEX('Compliance Database'!$A$2:$A$1960,MATCH(292,'Transfer Engine'!$C$2:$C$1960,0)))</f>
        <v/>
      </c>
      <c r="B301" s="8">
        <f>IF(ISNA(MATCH(292,'Transfer Engine'!$C$2:$C$1960,0)),"",INDEX('Compliance Database'!$B$2:$B$1960,MATCH(292,'Transfer Engine'!$C$2:$C$1960,0)))</f>
        <v/>
      </c>
      <c r="C301" s="8">
        <f>IF(ISNA(MATCH(292,'Transfer Engine'!$C$2:$C$1960,0)),"",INDEX('Compliance Database'!$C$2:$C$1960,MATCH(292,'Transfer Engine'!$C$2:$C$1960,0)))</f>
        <v/>
      </c>
      <c r="D301" s="9">
        <f>IF(ISNA(MATCH(292,'Transfer Engine'!$C$2:$C$1960,0)),"",INDEX('Compliance Database'!$D$2:$D$1960,MATCH(292,'Transfer Engine'!$C$2:$C$1960,0)))</f>
        <v/>
      </c>
      <c r="E301" s="8">
        <f>IF(ISNA(MATCH(292,'Transfer Engine'!$C$2:$C$1960,0)),"",INDEX('Compliance Database'!$E$2:$E$1960,MATCH(292,'Transfer Engine'!$C$2:$C$1960,0)))</f>
        <v/>
      </c>
      <c r="F301" s="8">
        <f>IF(ISNA(MATCH(292,'Transfer Engine'!$C$2:$C$1960,0)),"",INDEX('Compliance Database'!$F$2:$F$1960,MATCH(292,'Transfer Engine'!$C$2:$C$1960,0)))</f>
        <v/>
      </c>
      <c r="G301" s="8">
        <f>IF(ISNA(MATCH(292,'Transfer Engine'!$C$2:$C$1960,0)),"",INDEX('Compliance Database'!$G$2:$G$1960,MATCH(292,'Transfer Engine'!$C$2:$C$1960,0)))</f>
        <v/>
      </c>
      <c r="H301" s="9">
        <f>IF(ISNA(MATCH(292,'Transfer Engine'!$C$2:$C$1960,0)),"",INDEX('Compliance Database'!$H$2:$H$1960,MATCH(292,'Transfer Engine'!$C$2:$C$1960,0)))</f>
        <v/>
      </c>
      <c r="I301" s="9">
        <f>IF(ISNA(MATCH(292,'Transfer Engine'!$C$2:$C$1960,0)),"",INDEX('Compliance Database'!$I$2:$I$1960,MATCH(292,'Transfer Engine'!$C$2:$C$1960,0)))</f>
        <v/>
      </c>
      <c r="J301" s="8">
        <f>IF(ISNA(MATCH(292,'Transfer Engine'!$C$2:$C$1960,0)),"",INDEX('Compliance Database'!$J$2:$J$1960,MATCH(292,'Transfer Engine'!$C$2:$C$1960,0)))</f>
        <v/>
      </c>
      <c r="K301" s="9">
        <f>IF(ISNA(MATCH(292,'Transfer Engine'!$C$2:$C$1960,0)),"",INDEX('Compliance Database'!$K$2:$K$1960,MATCH(292,'Transfer Engine'!$C$2:$C$1960,0)))</f>
        <v/>
      </c>
      <c r="L301" s="9">
        <f>IF(ISNA(MATCH(292,'Transfer Engine'!$C$2:$C$1960,0)),"",INDEX('Compliance Database'!$L$2:$L$1960,MATCH(292,'Transfer Engine'!$C$2:$C$1960,0)))</f>
        <v/>
      </c>
      <c r="M301" s="9">
        <f>IF(ISNA(MATCH(292,'Transfer Engine'!$C$2:$C$1960,0)),"",INDEX('Compliance Database'!$M$2:$M$1960,MATCH(292,'Transfer Engine'!$C$2:$C$1960,0)))</f>
        <v/>
      </c>
      <c r="N301" s="9">
        <f>IF(ISNA(MATCH(292,'Transfer Engine'!$C$2:$C$1960,0)),"",INDEX('Compliance Database'!$N$2:$N$1960,MATCH(292,'Transfer Engine'!$C$2:$C$1960,0)))</f>
        <v/>
      </c>
      <c r="O301" s="9">
        <f>IF(ISNA(MATCH(292,'Transfer Engine'!$C$2:$C$1960,0)),"",INDEX('Compliance Database'!$O$2:$O$1960,MATCH(292,'Transfer Engine'!$C$2:$C$1960,0)))</f>
        <v/>
      </c>
      <c r="P301" s="8">
        <f>IF(ISNA(MATCH(292,'Transfer Engine'!$C$2:$C$1960,0)),"",HYPERLINK("#Acts!A"&amp;INDEX('Compliance Database'!$P$2:$P$1960,MATCH(292,'Transfer Engine'!$C$2:$C$1960,0)),"Go to Act"))</f>
        <v/>
      </c>
    </row>
    <row r="302" ht="158" customHeight="1">
      <c r="A302" s="8">
        <f>IF(ISNA(MATCH(293,'Transfer Engine'!$C$2:$C$1960,0)),"",INDEX('Compliance Database'!$A$2:$A$1960,MATCH(293,'Transfer Engine'!$C$2:$C$1960,0)))</f>
        <v/>
      </c>
      <c r="B302" s="8">
        <f>IF(ISNA(MATCH(293,'Transfer Engine'!$C$2:$C$1960,0)),"",INDEX('Compliance Database'!$B$2:$B$1960,MATCH(293,'Transfer Engine'!$C$2:$C$1960,0)))</f>
        <v/>
      </c>
      <c r="C302" s="8">
        <f>IF(ISNA(MATCH(293,'Transfer Engine'!$C$2:$C$1960,0)),"",INDEX('Compliance Database'!$C$2:$C$1960,MATCH(293,'Transfer Engine'!$C$2:$C$1960,0)))</f>
        <v/>
      </c>
      <c r="D302" s="9">
        <f>IF(ISNA(MATCH(293,'Transfer Engine'!$C$2:$C$1960,0)),"",INDEX('Compliance Database'!$D$2:$D$1960,MATCH(293,'Transfer Engine'!$C$2:$C$1960,0)))</f>
        <v/>
      </c>
      <c r="E302" s="8">
        <f>IF(ISNA(MATCH(293,'Transfer Engine'!$C$2:$C$1960,0)),"",INDEX('Compliance Database'!$E$2:$E$1960,MATCH(293,'Transfer Engine'!$C$2:$C$1960,0)))</f>
        <v/>
      </c>
      <c r="F302" s="8">
        <f>IF(ISNA(MATCH(293,'Transfer Engine'!$C$2:$C$1960,0)),"",INDEX('Compliance Database'!$F$2:$F$1960,MATCH(293,'Transfer Engine'!$C$2:$C$1960,0)))</f>
        <v/>
      </c>
      <c r="G302" s="8">
        <f>IF(ISNA(MATCH(293,'Transfer Engine'!$C$2:$C$1960,0)),"",INDEX('Compliance Database'!$G$2:$G$1960,MATCH(293,'Transfer Engine'!$C$2:$C$1960,0)))</f>
        <v/>
      </c>
      <c r="H302" s="9">
        <f>IF(ISNA(MATCH(293,'Transfer Engine'!$C$2:$C$1960,0)),"",INDEX('Compliance Database'!$H$2:$H$1960,MATCH(293,'Transfer Engine'!$C$2:$C$1960,0)))</f>
        <v/>
      </c>
      <c r="I302" s="9">
        <f>IF(ISNA(MATCH(293,'Transfer Engine'!$C$2:$C$1960,0)),"",INDEX('Compliance Database'!$I$2:$I$1960,MATCH(293,'Transfer Engine'!$C$2:$C$1960,0)))</f>
        <v/>
      </c>
      <c r="J302" s="8">
        <f>IF(ISNA(MATCH(293,'Transfer Engine'!$C$2:$C$1960,0)),"",INDEX('Compliance Database'!$J$2:$J$1960,MATCH(293,'Transfer Engine'!$C$2:$C$1960,0)))</f>
        <v/>
      </c>
      <c r="K302" s="9">
        <f>IF(ISNA(MATCH(293,'Transfer Engine'!$C$2:$C$1960,0)),"",INDEX('Compliance Database'!$K$2:$K$1960,MATCH(293,'Transfer Engine'!$C$2:$C$1960,0)))</f>
        <v/>
      </c>
      <c r="L302" s="9">
        <f>IF(ISNA(MATCH(293,'Transfer Engine'!$C$2:$C$1960,0)),"",INDEX('Compliance Database'!$L$2:$L$1960,MATCH(293,'Transfer Engine'!$C$2:$C$1960,0)))</f>
        <v/>
      </c>
      <c r="M302" s="9">
        <f>IF(ISNA(MATCH(293,'Transfer Engine'!$C$2:$C$1960,0)),"",INDEX('Compliance Database'!$M$2:$M$1960,MATCH(293,'Transfer Engine'!$C$2:$C$1960,0)))</f>
        <v/>
      </c>
      <c r="N302" s="9">
        <f>IF(ISNA(MATCH(293,'Transfer Engine'!$C$2:$C$1960,0)),"",INDEX('Compliance Database'!$N$2:$N$1960,MATCH(293,'Transfer Engine'!$C$2:$C$1960,0)))</f>
        <v/>
      </c>
      <c r="O302" s="9">
        <f>IF(ISNA(MATCH(293,'Transfer Engine'!$C$2:$C$1960,0)),"",INDEX('Compliance Database'!$O$2:$O$1960,MATCH(293,'Transfer Engine'!$C$2:$C$1960,0)))</f>
        <v/>
      </c>
      <c r="P302" s="8">
        <f>IF(ISNA(MATCH(293,'Transfer Engine'!$C$2:$C$1960,0)),"",HYPERLINK("#Acts!A"&amp;INDEX('Compliance Database'!$P$2:$P$1960,MATCH(293,'Transfer Engine'!$C$2:$C$1960,0)),"Go to Act"))</f>
        <v/>
      </c>
    </row>
    <row r="303" ht="158" customHeight="1">
      <c r="A303" s="8">
        <f>IF(ISNA(MATCH(294,'Transfer Engine'!$C$2:$C$1960,0)),"",INDEX('Compliance Database'!$A$2:$A$1960,MATCH(294,'Transfer Engine'!$C$2:$C$1960,0)))</f>
        <v/>
      </c>
      <c r="B303" s="8">
        <f>IF(ISNA(MATCH(294,'Transfer Engine'!$C$2:$C$1960,0)),"",INDEX('Compliance Database'!$B$2:$B$1960,MATCH(294,'Transfer Engine'!$C$2:$C$1960,0)))</f>
        <v/>
      </c>
      <c r="C303" s="8">
        <f>IF(ISNA(MATCH(294,'Transfer Engine'!$C$2:$C$1960,0)),"",INDEX('Compliance Database'!$C$2:$C$1960,MATCH(294,'Transfer Engine'!$C$2:$C$1960,0)))</f>
        <v/>
      </c>
      <c r="D303" s="9">
        <f>IF(ISNA(MATCH(294,'Transfer Engine'!$C$2:$C$1960,0)),"",INDEX('Compliance Database'!$D$2:$D$1960,MATCH(294,'Transfer Engine'!$C$2:$C$1960,0)))</f>
        <v/>
      </c>
      <c r="E303" s="8">
        <f>IF(ISNA(MATCH(294,'Transfer Engine'!$C$2:$C$1960,0)),"",INDEX('Compliance Database'!$E$2:$E$1960,MATCH(294,'Transfer Engine'!$C$2:$C$1960,0)))</f>
        <v/>
      </c>
      <c r="F303" s="8">
        <f>IF(ISNA(MATCH(294,'Transfer Engine'!$C$2:$C$1960,0)),"",INDEX('Compliance Database'!$F$2:$F$1960,MATCH(294,'Transfer Engine'!$C$2:$C$1960,0)))</f>
        <v/>
      </c>
      <c r="G303" s="8">
        <f>IF(ISNA(MATCH(294,'Transfer Engine'!$C$2:$C$1960,0)),"",INDEX('Compliance Database'!$G$2:$G$1960,MATCH(294,'Transfer Engine'!$C$2:$C$1960,0)))</f>
        <v/>
      </c>
      <c r="H303" s="9">
        <f>IF(ISNA(MATCH(294,'Transfer Engine'!$C$2:$C$1960,0)),"",INDEX('Compliance Database'!$H$2:$H$1960,MATCH(294,'Transfer Engine'!$C$2:$C$1960,0)))</f>
        <v/>
      </c>
      <c r="I303" s="9">
        <f>IF(ISNA(MATCH(294,'Transfer Engine'!$C$2:$C$1960,0)),"",INDEX('Compliance Database'!$I$2:$I$1960,MATCH(294,'Transfer Engine'!$C$2:$C$1960,0)))</f>
        <v/>
      </c>
      <c r="J303" s="8">
        <f>IF(ISNA(MATCH(294,'Transfer Engine'!$C$2:$C$1960,0)),"",INDEX('Compliance Database'!$J$2:$J$1960,MATCH(294,'Transfer Engine'!$C$2:$C$1960,0)))</f>
        <v/>
      </c>
      <c r="K303" s="9">
        <f>IF(ISNA(MATCH(294,'Transfer Engine'!$C$2:$C$1960,0)),"",INDEX('Compliance Database'!$K$2:$K$1960,MATCH(294,'Transfer Engine'!$C$2:$C$1960,0)))</f>
        <v/>
      </c>
      <c r="L303" s="9">
        <f>IF(ISNA(MATCH(294,'Transfer Engine'!$C$2:$C$1960,0)),"",INDEX('Compliance Database'!$L$2:$L$1960,MATCH(294,'Transfer Engine'!$C$2:$C$1960,0)))</f>
        <v/>
      </c>
      <c r="M303" s="9">
        <f>IF(ISNA(MATCH(294,'Transfer Engine'!$C$2:$C$1960,0)),"",INDEX('Compliance Database'!$M$2:$M$1960,MATCH(294,'Transfer Engine'!$C$2:$C$1960,0)))</f>
        <v/>
      </c>
      <c r="N303" s="9">
        <f>IF(ISNA(MATCH(294,'Transfer Engine'!$C$2:$C$1960,0)),"",INDEX('Compliance Database'!$N$2:$N$1960,MATCH(294,'Transfer Engine'!$C$2:$C$1960,0)))</f>
        <v/>
      </c>
      <c r="O303" s="9">
        <f>IF(ISNA(MATCH(294,'Transfer Engine'!$C$2:$C$1960,0)),"",INDEX('Compliance Database'!$O$2:$O$1960,MATCH(294,'Transfer Engine'!$C$2:$C$1960,0)))</f>
        <v/>
      </c>
      <c r="P303" s="8">
        <f>IF(ISNA(MATCH(294,'Transfer Engine'!$C$2:$C$1960,0)),"",HYPERLINK("#Acts!A"&amp;INDEX('Compliance Database'!$P$2:$P$1960,MATCH(294,'Transfer Engine'!$C$2:$C$1960,0)),"Go to Act"))</f>
        <v/>
      </c>
    </row>
    <row r="304" ht="158" customHeight="1">
      <c r="A304" s="8">
        <f>IF(ISNA(MATCH(295,'Transfer Engine'!$C$2:$C$1960,0)),"",INDEX('Compliance Database'!$A$2:$A$1960,MATCH(295,'Transfer Engine'!$C$2:$C$1960,0)))</f>
        <v/>
      </c>
      <c r="B304" s="8">
        <f>IF(ISNA(MATCH(295,'Transfer Engine'!$C$2:$C$1960,0)),"",INDEX('Compliance Database'!$B$2:$B$1960,MATCH(295,'Transfer Engine'!$C$2:$C$1960,0)))</f>
        <v/>
      </c>
      <c r="C304" s="8">
        <f>IF(ISNA(MATCH(295,'Transfer Engine'!$C$2:$C$1960,0)),"",INDEX('Compliance Database'!$C$2:$C$1960,MATCH(295,'Transfer Engine'!$C$2:$C$1960,0)))</f>
        <v/>
      </c>
      <c r="D304" s="9">
        <f>IF(ISNA(MATCH(295,'Transfer Engine'!$C$2:$C$1960,0)),"",INDEX('Compliance Database'!$D$2:$D$1960,MATCH(295,'Transfer Engine'!$C$2:$C$1960,0)))</f>
        <v/>
      </c>
      <c r="E304" s="8">
        <f>IF(ISNA(MATCH(295,'Transfer Engine'!$C$2:$C$1960,0)),"",INDEX('Compliance Database'!$E$2:$E$1960,MATCH(295,'Transfer Engine'!$C$2:$C$1960,0)))</f>
        <v/>
      </c>
      <c r="F304" s="8">
        <f>IF(ISNA(MATCH(295,'Transfer Engine'!$C$2:$C$1960,0)),"",INDEX('Compliance Database'!$F$2:$F$1960,MATCH(295,'Transfer Engine'!$C$2:$C$1960,0)))</f>
        <v/>
      </c>
      <c r="G304" s="8">
        <f>IF(ISNA(MATCH(295,'Transfer Engine'!$C$2:$C$1960,0)),"",INDEX('Compliance Database'!$G$2:$G$1960,MATCH(295,'Transfer Engine'!$C$2:$C$1960,0)))</f>
        <v/>
      </c>
      <c r="H304" s="9">
        <f>IF(ISNA(MATCH(295,'Transfer Engine'!$C$2:$C$1960,0)),"",INDEX('Compliance Database'!$H$2:$H$1960,MATCH(295,'Transfer Engine'!$C$2:$C$1960,0)))</f>
        <v/>
      </c>
      <c r="I304" s="9">
        <f>IF(ISNA(MATCH(295,'Transfer Engine'!$C$2:$C$1960,0)),"",INDEX('Compliance Database'!$I$2:$I$1960,MATCH(295,'Transfer Engine'!$C$2:$C$1960,0)))</f>
        <v/>
      </c>
      <c r="J304" s="8">
        <f>IF(ISNA(MATCH(295,'Transfer Engine'!$C$2:$C$1960,0)),"",INDEX('Compliance Database'!$J$2:$J$1960,MATCH(295,'Transfer Engine'!$C$2:$C$1960,0)))</f>
        <v/>
      </c>
      <c r="K304" s="9">
        <f>IF(ISNA(MATCH(295,'Transfer Engine'!$C$2:$C$1960,0)),"",INDEX('Compliance Database'!$K$2:$K$1960,MATCH(295,'Transfer Engine'!$C$2:$C$1960,0)))</f>
        <v/>
      </c>
      <c r="L304" s="9">
        <f>IF(ISNA(MATCH(295,'Transfer Engine'!$C$2:$C$1960,0)),"",INDEX('Compliance Database'!$L$2:$L$1960,MATCH(295,'Transfer Engine'!$C$2:$C$1960,0)))</f>
        <v/>
      </c>
      <c r="M304" s="9">
        <f>IF(ISNA(MATCH(295,'Transfer Engine'!$C$2:$C$1960,0)),"",INDEX('Compliance Database'!$M$2:$M$1960,MATCH(295,'Transfer Engine'!$C$2:$C$1960,0)))</f>
        <v/>
      </c>
      <c r="N304" s="9">
        <f>IF(ISNA(MATCH(295,'Transfer Engine'!$C$2:$C$1960,0)),"",INDEX('Compliance Database'!$N$2:$N$1960,MATCH(295,'Transfer Engine'!$C$2:$C$1960,0)))</f>
        <v/>
      </c>
      <c r="O304" s="9">
        <f>IF(ISNA(MATCH(295,'Transfer Engine'!$C$2:$C$1960,0)),"",INDEX('Compliance Database'!$O$2:$O$1960,MATCH(295,'Transfer Engine'!$C$2:$C$1960,0)))</f>
        <v/>
      </c>
      <c r="P304" s="8">
        <f>IF(ISNA(MATCH(295,'Transfer Engine'!$C$2:$C$1960,0)),"",HYPERLINK("#Acts!A"&amp;INDEX('Compliance Database'!$P$2:$P$1960,MATCH(295,'Transfer Engine'!$C$2:$C$1960,0)),"Go to Act"))</f>
        <v/>
      </c>
    </row>
    <row r="305" ht="158" customHeight="1">
      <c r="A305" s="8">
        <f>IF(ISNA(MATCH(296,'Transfer Engine'!$C$2:$C$1960,0)),"",INDEX('Compliance Database'!$A$2:$A$1960,MATCH(296,'Transfer Engine'!$C$2:$C$1960,0)))</f>
        <v/>
      </c>
      <c r="B305" s="8">
        <f>IF(ISNA(MATCH(296,'Transfer Engine'!$C$2:$C$1960,0)),"",INDEX('Compliance Database'!$B$2:$B$1960,MATCH(296,'Transfer Engine'!$C$2:$C$1960,0)))</f>
        <v/>
      </c>
      <c r="C305" s="8">
        <f>IF(ISNA(MATCH(296,'Transfer Engine'!$C$2:$C$1960,0)),"",INDEX('Compliance Database'!$C$2:$C$1960,MATCH(296,'Transfer Engine'!$C$2:$C$1960,0)))</f>
        <v/>
      </c>
      <c r="D305" s="9">
        <f>IF(ISNA(MATCH(296,'Transfer Engine'!$C$2:$C$1960,0)),"",INDEX('Compliance Database'!$D$2:$D$1960,MATCH(296,'Transfer Engine'!$C$2:$C$1960,0)))</f>
        <v/>
      </c>
      <c r="E305" s="8">
        <f>IF(ISNA(MATCH(296,'Transfer Engine'!$C$2:$C$1960,0)),"",INDEX('Compliance Database'!$E$2:$E$1960,MATCH(296,'Transfer Engine'!$C$2:$C$1960,0)))</f>
        <v/>
      </c>
      <c r="F305" s="8">
        <f>IF(ISNA(MATCH(296,'Transfer Engine'!$C$2:$C$1960,0)),"",INDEX('Compliance Database'!$F$2:$F$1960,MATCH(296,'Transfer Engine'!$C$2:$C$1960,0)))</f>
        <v/>
      </c>
      <c r="G305" s="8">
        <f>IF(ISNA(MATCH(296,'Transfer Engine'!$C$2:$C$1960,0)),"",INDEX('Compliance Database'!$G$2:$G$1960,MATCH(296,'Transfer Engine'!$C$2:$C$1960,0)))</f>
        <v/>
      </c>
      <c r="H305" s="9">
        <f>IF(ISNA(MATCH(296,'Transfer Engine'!$C$2:$C$1960,0)),"",INDEX('Compliance Database'!$H$2:$H$1960,MATCH(296,'Transfer Engine'!$C$2:$C$1960,0)))</f>
        <v/>
      </c>
      <c r="I305" s="9">
        <f>IF(ISNA(MATCH(296,'Transfer Engine'!$C$2:$C$1960,0)),"",INDEX('Compliance Database'!$I$2:$I$1960,MATCH(296,'Transfer Engine'!$C$2:$C$1960,0)))</f>
        <v/>
      </c>
      <c r="J305" s="8">
        <f>IF(ISNA(MATCH(296,'Transfer Engine'!$C$2:$C$1960,0)),"",INDEX('Compliance Database'!$J$2:$J$1960,MATCH(296,'Transfer Engine'!$C$2:$C$1960,0)))</f>
        <v/>
      </c>
      <c r="K305" s="9">
        <f>IF(ISNA(MATCH(296,'Transfer Engine'!$C$2:$C$1960,0)),"",INDEX('Compliance Database'!$K$2:$K$1960,MATCH(296,'Transfer Engine'!$C$2:$C$1960,0)))</f>
        <v/>
      </c>
      <c r="L305" s="9">
        <f>IF(ISNA(MATCH(296,'Transfer Engine'!$C$2:$C$1960,0)),"",INDEX('Compliance Database'!$L$2:$L$1960,MATCH(296,'Transfer Engine'!$C$2:$C$1960,0)))</f>
        <v/>
      </c>
      <c r="M305" s="9">
        <f>IF(ISNA(MATCH(296,'Transfer Engine'!$C$2:$C$1960,0)),"",INDEX('Compliance Database'!$M$2:$M$1960,MATCH(296,'Transfer Engine'!$C$2:$C$1960,0)))</f>
        <v/>
      </c>
      <c r="N305" s="9">
        <f>IF(ISNA(MATCH(296,'Transfer Engine'!$C$2:$C$1960,0)),"",INDEX('Compliance Database'!$N$2:$N$1960,MATCH(296,'Transfer Engine'!$C$2:$C$1960,0)))</f>
        <v/>
      </c>
      <c r="O305" s="9">
        <f>IF(ISNA(MATCH(296,'Transfer Engine'!$C$2:$C$1960,0)),"",INDEX('Compliance Database'!$O$2:$O$1960,MATCH(296,'Transfer Engine'!$C$2:$C$1960,0)))</f>
        <v/>
      </c>
      <c r="P305" s="8">
        <f>IF(ISNA(MATCH(296,'Transfer Engine'!$C$2:$C$1960,0)),"",HYPERLINK("#Acts!A"&amp;INDEX('Compliance Database'!$P$2:$P$1960,MATCH(296,'Transfer Engine'!$C$2:$C$1960,0)),"Go to Act"))</f>
        <v/>
      </c>
    </row>
    <row r="306" ht="158" customHeight="1">
      <c r="A306" s="8">
        <f>IF(ISNA(MATCH(297,'Transfer Engine'!$C$2:$C$1960,0)),"",INDEX('Compliance Database'!$A$2:$A$1960,MATCH(297,'Transfer Engine'!$C$2:$C$1960,0)))</f>
        <v/>
      </c>
      <c r="B306" s="8">
        <f>IF(ISNA(MATCH(297,'Transfer Engine'!$C$2:$C$1960,0)),"",INDEX('Compliance Database'!$B$2:$B$1960,MATCH(297,'Transfer Engine'!$C$2:$C$1960,0)))</f>
        <v/>
      </c>
      <c r="C306" s="8">
        <f>IF(ISNA(MATCH(297,'Transfer Engine'!$C$2:$C$1960,0)),"",INDEX('Compliance Database'!$C$2:$C$1960,MATCH(297,'Transfer Engine'!$C$2:$C$1960,0)))</f>
        <v/>
      </c>
      <c r="D306" s="9">
        <f>IF(ISNA(MATCH(297,'Transfer Engine'!$C$2:$C$1960,0)),"",INDEX('Compliance Database'!$D$2:$D$1960,MATCH(297,'Transfer Engine'!$C$2:$C$1960,0)))</f>
        <v/>
      </c>
      <c r="E306" s="8">
        <f>IF(ISNA(MATCH(297,'Transfer Engine'!$C$2:$C$1960,0)),"",INDEX('Compliance Database'!$E$2:$E$1960,MATCH(297,'Transfer Engine'!$C$2:$C$1960,0)))</f>
        <v/>
      </c>
      <c r="F306" s="8">
        <f>IF(ISNA(MATCH(297,'Transfer Engine'!$C$2:$C$1960,0)),"",INDEX('Compliance Database'!$F$2:$F$1960,MATCH(297,'Transfer Engine'!$C$2:$C$1960,0)))</f>
        <v/>
      </c>
      <c r="G306" s="8">
        <f>IF(ISNA(MATCH(297,'Transfer Engine'!$C$2:$C$1960,0)),"",INDEX('Compliance Database'!$G$2:$G$1960,MATCH(297,'Transfer Engine'!$C$2:$C$1960,0)))</f>
        <v/>
      </c>
      <c r="H306" s="9">
        <f>IF(ISNA(MATCH(297,'Transfer Engine'!$C$2:$C$1960,0)),"",INDEX('Compliance Database'!$H$2:$H$1960,MATCH(297,'Transfer Engine'!$C$2:$C$1960,0)))</f>
        <v/>
      </c>
      <c r="I306" s="9">
        <f>IF(ISNA(MATCH(297,'Transfer Engine'!$C$2:$C$1960,0)),"",INDEX('Compliance Database'!$I$2:$I$1960,MATCH(297,'Transfer Engine'!$C$2:$C$1960,0)))</f>
        <v/>
      </c>
      <c r="J306" s="8">
        <f>IF(ISNA(MATCH(297,'Transfer Engine'!$C$2:$C$1960,0)),"",INDEX('Compliance Database'!$J$2:$J$1960,MATCH(297,'Transfer Engine'!$C$2:$C$1960,0)))</f>
        <v/>
      </c>
      <c r="K306" s="9">
        <f>IF(ISNA(MATCH(297,'Transfer Engine'!$C$2:$C$1960,0)),"",INDEX('Compliance Database'!$K$2:$K$1960,MATCH(297,'Transfer Engine'!$C$2:$C$1960,0)))</f>
        <v/>
      </c>
      <c r="L306" s="9">
        <f>IF(ISNA(MATCH(297,'Transfer Engine'!$C$2:$C$1960,0)),"",INDEX('Compliance Database'!$L$2:$L$1960,MATCH(297,'Transfer Engine'!$C$2:$C$1960,0)))</f>
        <v/>
      </c>
      <c r="M306" s="9">
        <f>IF(ISNA(MATCH(297,'Transfer Engine'!$C$2:$C$1960,0)),"",INDEX('Compliance Database'!$M$2:$M$1960,MATCH(297,'Transfer Engine'!$C$2:$C$1960,0)))</f>
        <v/>
      </c>
      <c r="N306" s="9">
        <f>IF(ISNA(MATCH(297,'Transfer Engine'!$C$2:$C$1960,0)),"",INDEX('Compliance Database'!$N$2:$N$1960,MATCH(297,'Transfer Engine'!$C$2:$C$1960,0)))</f>
        <v/>
      </c>
      <c r="O306" s="9">
        <f>IF(ISNA(MATCH(297,'Transfer Engine'!$C$2:$C$1960,0)),"",INDEX('Compliance Database'!$O$2:$O$1960,MATCH(297,'Transfer Engine'!$C$2:$C$1960,0)))</f>
        <v/>
      </c>
      <c r="P306" s="8">
        <f>IF(ISNA(MATCH(297,'Transfer Engine'!$C$2:$C$1960,0)),"",HYPERLINK("#Acts!A"&amp;INDEX('Compliance Database'!$P$2:$P$1960,MATCH(297,'Transfer Engine'!$C$2:$C$1960,0)),"Go to Act"))</f>
        <v/>
      </c>
    </row>
    <row r="307" ht="158" customHeight="1">
      <c r="A307" s="8">
        <f>IF(ISNA(MATCH(298,'Transfer Engine'!$C$2:$C$1960,0)),"",INDEX('Compliance Database'!$A$2:$A$1960,MATCH(298,'Transfer Engine'!$C$2:$C$1960,0)))</f>
        <v/>
      </c>
      <c r="B307" s="8">
        <f>IF(ISNA(MATCH(298,'Transfer Engine'!$C$2:$C$1960,0)),"",INDEX('Compliance Database'!$B$2:$B$1960,MATCH(298,'Transfer Engine'!$C$2:$C$1960,0)))</f>
        <v/>
      </c>
      <c r="C307" s="8">
        <f>IF(ISNA(MATCH(298,'Transfer Engine'!$C$2:$C$1960,0)),"",INDEX('Compliance Database'!$C$2:$C$1960,MATCH(298,'Transfer Engine'!$C$2:$C$1960,0)))</f>
        <v/>
      </c>
      <c r="D307" s="9">
        <f>IF(ISNA(MATCH(298,'Transfer Engine'!$C$2:$C$1960,0)),"",INDEX('Compliance Database'!$D$2:$D$1960,MATCH(298,'Transfer Engine'!$C$2:$C$1960,0)))</f>
        <v/>
      </c>
      <c r="E307" s="8">
        <f>IF(ISNA(MATCH(298,'Transfer Engine'!$C$2:$C$1960,0)),"",INDEX('Compliance Database'!$E$2:$E$1960,MATCH(298,'Transfer Engine'!$C$2:$C$1960,0)))</f>
        <v/>
      </c>
      <c r="F307" s="8">
        <f>IF(ISNA(MATCH(298,'Transfer Engine'!$C$2:$C$1960,0)),"",INDEX('Compliance Database'!$F$2:$F$1960,MATCH(298,'Transfer Engine'!$C$2:$C$1960,0)))</f>
        <v/>
      </c>
      <c r="G307" s="8">
        <f>IF(ISNA(MATCH(298,'Transfer Engine'!$C$2:$C$1960,0)),"",INDEX('Compliance Database'!$G$2:$G$1960,MATCH(298,'Transfer Engine'!$C$2:$C$1960,0)))</f>
        <v/>
      </c>
      <c r="H307" s="9">
        <f>IF(ISNA(MATCH(298,'Transfer Engine'!$C$2:$C$1960,0)),"",INDEX('Compliance Database'!$H$2:$H$1960,MATCH(298,'Transfer Engine'!$C$2:$C$1960,0)))</f>
        <v/>
      </c>
      <c r="I307" s="9">
        <f>IF(ISNA(MATCH(298,'Transfer Engine'!$C$2:$C$1960,0)),"",INDEX('Compliance Database'!$I$2:$I$1960,MATCH(298,'Transfer Engine'!$C$2:$C$1960,0)))</f>
        <v/>
      </c>
      <c r="J307" s="8">
        <f>IF(ISNA(MATCH(298,'Transfer Engine'!$C$2:$C$1960,0)),"",INDEX('Compliance Database'!$J$2:$J$1960,MATCH(298,'Transfer Engine'!$C$2:$C$1960,0)))</f>
        <v/>
      </c>
      <c r="K307" s="9">
        <f>IF(ISNA(MATCH(298,'Transfer Engine'!$C$2:$C$1960,0)),"",INDEX('Compliance Database'!$K$2:$K$1960,MATCH(298,'Transfer Engine'!$C$2:$C$1960,0)))</f>
        <v/>
      </c>
      <c r="L307" s="9">
        <f>IF(ISNA(MATCH(298,'Transfer Engine'!$C$2:$C$1960,0)),"",INDEX('Compliance Database'!$L$2:$L$1960,MATCH(298,'Transfer Engine'!$C$2:$C$1960,0)))</f>
        <v/>
      </c>
      <c r="M307" s="9">
        <f>IF(ISNA(MATCH(298,'Transfer Engine'!$C$2:$C$1960,0)),"",INDEX('Compliance Database'!$M$2:$M$1960,MATCH(298,'Transfer Engine'!$C$2:$C$1960,0)))</f>
        <v/>
      </c>
      <c r="N307" s="9">
        <f>IF(ISNA(MATCH(298,'Transfer Engine'!$C$2:$C$1960,0)),"",INDEX('Compliance Database'!$N$2:$N$1960,MATCH(298,'Transfer Engine'!$C$2:$C$1960,0)))</f>
        <v/>
      </c>
      <c r="O307" s="9">
        <f>IF(ISNA(MATCH(298,'Transfer Engine'!$C$2:$C$1960,0)),"",INDEX('Compliance Database'!$O$2:$O$1960,MATCH(298,'Transfer Engine'!$C$2:$C$1960,0)))</f>
        <v/>
      </c>
      <c r="P307" s="8">
        <f>IF(ISNA(MATCH(298,'Transfer Engine'!$C$2:$C$1960,0)),"",HYPERLINK("#Acts!A"&amp;INDEX('Compliance Database'!$P$2:$P$1960,MATCH(298,'Transfer Engine'!$C$2:$C$1960,0)),"Go to Act"))</f>
        <v/>
      </c>
    </row>
    <row r="308" ht="158" customHeight="1">
      <c r="A308" s="8">
        <f>IF(ISNA(MATCH(299,'Transfer Engine'!$C$2:$C$1960,0)),"",INDEX('Compliance Database'!$A$2:$A$1960,MATCH(299,'Transfer Engine'!$C$2:$C$1960,0)))</f>
        <v/>
      </c>
      <c r="B308" s="8">
        <f>IF(ISNA(MATCH(299,'Transfer Engine'!$C$2:$C$1960,0)),"",INDEX('Compliance Database'!$B$2:$B$1960,MATCH(299,'Transfer Engine'!$C$2:$C$1960,0)))</f>
        <v/>
      </c>
      <c r="C308" s="8">
        <f>IF(ISNA(MATCH(299,'Transfer Engine'!$C$2:$C$1960,0)),"",INDEX('Compliance Database'!$C$2:$C$1960,MATCH(299,'Transfer Engine'!$C$2:$C$1960,0)))</f>
        <v/>
      </c>
      <c r="D308" s="9">
        <f>IF(ISNA(MATCH(299,'Transfer Engine'!$C$2:$C$1960,0)),"",INDEX('Compliance Database'!$D$2:$D$1960,MATCH(299,'Transfer Engine'!$C$2:$C$1960,0)))</f>
        <v/>
      </c>
      <c r="E308" s="8">
        <f>IF(ISNA(MATCH(299,'Transfer Engine'!$C$2:$C$1960,0)),"",INDEX('Compliance Database'!$E$2:$E$1960,MATCH(299,'Transfer Engine'!$C$2:$C$1960,0)))</f>
        <v/>
      </c>
      <c r="F308" s="8">
        <f>IF(ISNA(MATCH(299,'Transfer Engine'!$C$2:$C$1960,0)),"",INDEX('Compliance Database'!$F$2:$F$1960,MATCH(299,'Transfer Engine'!$C$2:$C$1960,0)))</f>
        <v/>
      </c>
      <c r="G308" s="8">
        <f>IF(ISNA(MATCH(299,'Transfer Engine'!$C$2:$C$1960,0)),"",INDEX('Compliance Database'!$G$2:$G$1960,MATCH(299,'Transfer Engine'!$C$2:$C$1960,0)))</f>
        <v/>
      </c>
      <c r="H308" s="9">
        <f>IF(ISNA(MATCH(299,'Transfer Engine'!$C$2:$C$1960,0)),"",INDEX('Compliance Database'!$H$2:$H$1960,MATCH(299,'Transfer Engine'!$C$2:$C$1960,0)))</f>
        <v/>
      </c>
      <c r="I308" s="9">
        <f>IF(ISNA(MATCH(299,'Transfer Engine'!$C$2:$C$1960,0)),"",INDEX('Compliance Database'!$I$2:$I$1960,MATCH(299,'Transfer Engine'!$C$2:$C$1960,0)))</f>
        <v/>
      </c>
      <c r="J308" s="8">
        <f>IF(ISNA(MATCH(299,'Transfer Engine'!$C$2:$C$1960,0)),"",INDEX('Compliance Database'!$J$2:$J$1960,MATCH(299,'Transfer Engine'!$C$2:$C$1960,0)))</f>
        <v/>
      </c>
      <c r="K308" s="9">
        <f>IF(ISNA(MATCH(299,'Transfer Engine'!$C$2:$C$1960,0)),"",INDEX('Compliance Database'!$K$2:$K$1960,MATCH(299,'Transfer Engine'!$C$2:$C$1960,0)))</f>
        <v/>
      </c>
      <c r="L308" s="9">
        <f>IF(ISNA(MATCH(299,'Transfer Engine'!$C$2:$C$1960,0)),"",INDEX('Compliance Database'!$L$2:$L$1960,MATCH(299,'Transfer Engine'!$C$2:$C$1960,0)))</f>
        <v/>
      </c>
      <c r="M308" s="9">
        <f>IF(ISNA(MATCH(299,'Transfer Engine'!$C$2:$C$1960,0)),"",INDEX('Compliance Database'!$M$2:$M$1960,MATCH(299,'Transfer Engine'!$C$2:$C$1960,0)))</f>
        <v/>
      </c>
      <c r="N308" s="9">
        <f>IF(ISNA(MATCH(299,'Transfer Engine'!$C$2:$C$1960,0)),"",INDEX('Compliance Database'!$N$2:$N$1960,MATCH(299,'Transfer Engine'!$C$2:$C$1960,0)))</f>
        <v/>
      </c>
      <c r="O308" s="9">
        <f>IF(ISNA(MATCH(299,'Transfer Engine'!$C$2:$C$1960,0)),"",INDEX('Compliance Database'!$O$2:$O$1960,MATCH(299,'Transfer Engine'!$C$2:$C$1960,0)))</f>
        <v/>
      </c>
      <c r="P308" s="8">
        <f>IF(ISNA(MATCH(299,'Transfer Engine'!$C$2:$C$1960,0)),"",HYPERLINK("#Acts!A"&amp;INDEX('Compliance Database'!$P$2:$P$1960,MATCH(299,'Transfer Engine'!$C$2:$C$1960,0)),"Go to Act"))</f>
        <v/>
      </c>
    </row>
    <row r="309" ht="158" customHeight="1">
      <c r="A309" s="8">
        <f>IF(ISNA(MATCH(300,'Transfer Engine'!$C$2:$C$1960,0)),"",INDEX('Compliance Database'!$A$2:$A$1960,MATCH(300,'Transfer Engine'!$C$2:$C$1960,0)))</f>
        <v/>
      </c>
      <c r="B309" s="8">
        <f>IF(ISNA(MATCH(300,'Transfer Engine'!$C$2:$C$1960,0)),"",INDEX('Compliance Database'!$B$2:$B$1960,MATCH(300,'Transfer Engine'!$C$2:$C$1960,0)))</f>
        <v/>
      </c>
      <c r="C309" s="8">
        <f>IF(ISNA(MATCH(300,'Transfer Engine'!$C$2:$C$1960,0)),"",INDEX('Compliance Database'!$C$2:$C$1960,MATCH(300,'Transfer Engine'!$C$2:$C$1960,0)))</f>
        <v/>
      </c>
      <c r="D309" s="9">
        <f>IF(ISNA(MATCH(300,'Transfer Engine'!$C$2:$C$1960,0)),"",INDEX('Compliance Database'!$D$2:$D$1960,MATCH(300,'Transfer Engine'!$C$2:$C$1960,0)))</f>
        <v/>
      </c>
      <c r="E309" s="8">
        <f>IF(ISNA(MATCH(300,'Transfer Engine'!$C$2:$C$1960,0)),"",INDEX('Compliance Database'!$E$2:$E$1960,MATCH(300,'Transfer Engine'!$C$2:$C$1960,0)))</f>
        <v/>
      </c>
      <c r="F309" s="8">
        <f>IF(ISNA(MATCH(300,'Transfer Engine'!$C$2:$C$1960,0)),"",INDEX('Compliance Database'!$F$2:$F$1960,MATCH(300,'Transfer Engine'!$C$2:$C$1960,0)))</f>
        <v/>
      </c>
      <c r="G309" s="8">
        <f>IF(ISNA(MATCH(300,'Transfer Engine'!$C$2:$C$1960,0)),"",INDEX('Compliance Database'!$G$2:$G$1960,MATCH(300,'Transfer Engine'!$C$2:$C$1960,0)))</f>
        <v/>
      </c>
      <c r="H309" s="9">
        <f>IF(ISNA(MATCH(300,'Transfer Engine'!$C$2:$C$1960,0)),"",INDEX('Compliance Database'!$H$2:$H$1960,MATCH(300,'Transfer Engine'!$C$2:$C$1960,0)))</f>
        <v/>
      </c>
      <c r="I309" s="9">
        <f>IF(ISNA(MATCH(300,'Transfer Engine'!$C$2:$C$1960,0)),"",INDEX('Compliance Database'!$I$2:$I$1960,MATCH(300,'Transfer Engine'!$C$2:$C$1960,0)))</f>
        <v/>
      </c>
      <c r="J309" s="8">
        <f>IF(ISNA(MATCH(300,'Transfer Engine'!$C$2:$C$1960,0)),"",INDEX('Compliance Database'!$J$2:$J$1960,MATCH(300,'Transfer Engine'!$C$2:$C$1960,0)))</f>
        <v/>
      </c>
      <c r="K309" s="9">
        <f>IF(ISNA(MATCH(300,'Transfer Engine'!$C$2:$C$1960,0)),"",INDEX('Compliance Database'!$K$2:$K$1960,MATCH(300,'Transfer Engine'!$C$2:$C$1960,0)))</f>
        <v/>
      </c>
      <c r="L309" s="9">
        <f>IF(ISNA(MATCH(300,'Transfer Engine'!$C$2:$C$1960,0)),"",INDEX('Compliance Database'!$L$2:$L$1960,MATCH(300,'Transfer Engine'!$C$2:$C$1960,0)))</f>
        <v/>
      </c>
      <c r="M309" s="9">
        <f>IF(ISNA(MATCH(300,'Transfer Engine'!$C$2:$C$1960,0)),"",INDEX('Compliance Database'!$M$2:$M$1960,MATCH(300,'Transfer Engine'!$C$2:$C$1960,0)))</f>
        <v/>
      </c>
      <c r="N309" s="9">
        <f>IF(ISNA(MATCH(300,'Transfer Engine'!$C$2:$C$1960,0)),"",INDEX('Compliance Database'!$N$2:$N$1960,MATCH(300,'Transfer Engine'!$C$2:$C$1960,0)))</f>
        <v/>
      </c>
      <c r="O309" s="9">
        <f>IF(ISNA(MATCH(300,'Transfer Engine'!$C$2:$C$1960,0)),"",INDEX('Compliance Database'!$O$2:$O$1960,MATCH(300,'Transfer Engine'!$C$2:$C$1960,0)))</f>
        <v/>
      </c>
      <c r="P309" s="8">
        <f>IF(ISNA(MATCH(300,'Transfer Engine'!$C$2:$C$1960,0)),"",HYPERLINK("#Acts!A"&amp;INDEX('Compliance Database'!$P$2:$P$1960,MATCH(300,'Transfer Engine'!$C$2:$C$1960,0)),"Go to Act"))</f>
        <v/>
      </c>
    </row>
    <row r="310" ht="158" customHeight="1">
      <c r="A310" s="8">
        <f>IF(ISNA(MATCH(301,'Transfer Engine'!$C$2:$C$1960,0)),"",INDEX('Compliance Database'!$A$2:$A$1960,MATCH(301,'Transfer Engine'!$C$2:$C$1960,0)))</f>
        <v/>
      </c>
      <c r="B310" s="8">
        <f>IF(ISNA(MATCH(301,'Transfer Engine'!$C$2:$C$1960,0)),"",INDEX('Compliance Database'!$B$2:$B$1960,MATCH(301,'Transfer Engine'!$C$2:$C$1960,0)))</f>
        <v/>
      </c>
      <c r="C310" s="8">
        <f>IF(ISNA(MATCH(301,'Transfer Engine'!$C$2:$C$1960,0)),"",INDEX('Compliance Database'!$C$2:$C$1960,MATCH(301,'Transfer Engine'!$C$2:$C$1960,0)))</f>
        <v/>
      </c>
      <c r="D310" s="9">
        <f>IF(ISNA(MATCH(301,'Transfer Engine'!$C$2:$C$1960,0)),"",INDEX('Compliance Database'!$D$2:$D$1960,MATCH(301,'Transfer Engine'!$C$2:$C$1960,0)))</f>
        <v/>
      </c>
      <c r="E310" s="8">
        <f>IF(ISNA(MATCH(301,'Transfer Engine'!$C$2:$C$1960,0)),"",INDEX('Compliance Database'!$E$2:$E$1960,MATCH(301,'Transfer Engine'!$C$2:$C$1960,0)))</f>
        <v/>
      </c>
      <c r="F310" s="8">
        <f>IF(ISNA(MATCH(301,'Transfer Engine'!$C$2:$C$1960,0)),"",INDEX('Compliance Database'!$F$2:$F$1960,MATCH(301,'Transfer Engine'!$C$2:$C$1960,0)))</f>
        <v/>
      </c>
      <c r="G310" s="8">
        <f>IF(ISNA(MATCH(301,'Transfer Engine'!$C$2:$C$1960,0)),"",INDEX('Compliance Database'!$G$2:$G$1960,MATCH(301,'Transfer Engine'!$C$2:$C$1960,0)))</f>
        <v/>
      </c>
      <c r="H310" s="9">
        <f>IF(ISNA(MATCH(301,'Transfer Engine'!$C$2:$C$1960,0)),"",INDEX('Compliance Database'!$H$2:$H$1960,MATCH(301,'Transfer Engine'!$C$2:$C$1960,0)))</f>
        <v/>
      </c>
      <c r="I310" s="9">
        <f>IF(ISNA(MATCH(301,'Transfer Engine'!$C$2:$C$1960,0)),"",INDEX('Compliance Database'!$I$2:$I$1960,MATCH(301,'Transfer Engine'!$C$2:$C$1960,0)))</f>
        <v/>
      </c>
      <c r="J310" s="8">
        <f>IF(ISNA(MATCH(301,'Transfer Engine'!$C$2:$C$1960,0)),"",INDEX('Compliance Database'!$J$2:$J$1960,MATCH(301,'Transfer Engine'!$C$2:$C$1960,0)))</f>
        <v/>
      </c>
      <c r="K310" s="9">
        <f>IF(ISNA(MATCH(301,'Transfer Engine'!$C$2:$C$1960,0)),"",INDEX('Compliance Database'!$K$2:$K$1960,MATCH(301,'Transfer Engine'!$C$2:$C$1960,0)))</f>
        <v/>
      </c>
      <c r="L310" s="9">
        <f>IF(ISNA(MATCH(301,'Transfer Engine'!$C$2:$C$1960,0)),"",INDEX('Compliance Database'!$L$2:$L$1960,MATCH(301,'Transfer Engine'!$C$2:$C$1960,0)))</f>
        <v/>
      </c>
      <c r="M310" s="9">
        <f>IF(ISNA(MATCH(301,'Transfer Engine'!$C$2:$C$1960,0)),"",INDEX('Compliance Database'!$M$2:$M$1960,MATCH(301,'Transfer Engine'!$C$2:$C$1960,0)))</f>
        <v/>
      </c>
      <c r="N310" s="9">
        <f>IF(ISNA(MATCH(301,'Transfer Engine'!$C$2:$C$1960,0)),"",INDEX('Compliance Database'!$N$2:$N$1960,MATCH(301,'Transfer Engine'!$C$2:$C$1960,0)))</f>
        <v/>
      </c>
      <c r="O310" s="9">
        <f>IF(ISNA(MATCH(301,'Transfer Engine'!$C$2:$C$1960,0)),"",INDEX('Compliance Database'!$O$2:$O$1960,MATCH(301,'Transfer Engine'!$C$2:$C$1960,0)))</f>
        <v/>
      </c>
      <c r="P310" s="8">
        <f>IF(ISNA(MATCH(301,'Transfer Engine'!$C$2:$C$1960,0)),"",HYPERLINK("#Acts!A"&amp;INDEX('Compliance Database'!$P$2:$P$1960,MATCH(301,'Transfer Engine'!$C$2:$C$1960,0)),"Go to Act"))</f>
        <v/>
      </c>
    </row>
    <row r="311" ht="158" customHeight="1">
      <c r="A311" s="8">
        <f>IF(ISNA(MATCH(302,'Transfer Engine'!$C$2:$C$1960,0)),"",INDEX('Compliance Database'!$A$2:$A$1960,MATCH(302,'Transfer Engine'!$C$2:$C$1960,0)))</f>
        <v/>
      </c>
      <c r="B311" s="8">
        <f>IF(ISNA(MATCH(302,'Transfer Engine'!$C$2:$C$1960,0)),"",INDEX('Compliance Database'!$B$2:$B$1960,MATCH(302,'Transfer Engine'!$C$2:$C$1960,0)))</f>
        <v/>
      </c>
      <c r="C311" s="8">
        <f>IF(ISNA(MATCH(302,'Transfer Engine'!$C$2:$C$1960,0)),"",INDEX('Compliance Database'!$C$2:$C$1960,MATCH(302,'Transfer Engine'!$C$2:$C$1960,0)))</f>
        <v/>
      </c>
      <c r="D311" s="9">
        <f>IF(ISNA(MATCH(302,'Transfer Engine'!$C$2:$C$1960,0)),"",INDEX('Compliance Database'!$D$2:$D$1960,MATCH(302,'Transfer Engine'!$C$2:$C$1960,0)))</f>
        <v/>
      </c>
      <c r="E311" s="8">
        <f>IF(ISNA(MATCH(302,'Transfer Engine'!$C$2:$C$1960,0)),"",INDEX('Compliance Database'!$E$2:$E$1960,MATCH(302,'Transfer Engine'!$C$2:$C$1960,0)))</f>
        <v/>
      </c>
      <c r="F311" s="8">
        <f>IF(ISNA(MATCH(302,'Transfer Engine'!$C$2:$C$1960,0)),"",INDEX('Compliance Database'!$F$2:$F$1960,MATCH(302,'Transfer Engine'!$C$2:$C$1960,0)))</f>
        <v/>
      </c>
      <c r="G311" s="8">
        <f>IF(ISNA(MATCH(302,'Transfer Engine'!$C$2:$C$1960,0)),"",INDEX('Compliance Database'!$G$2:$G$1960,MATCH(302,'Transfer Engine'!$C$2:$C$1960,0)))</f>
        <v/>
      </c>
      <c r="H311" s="9">
        <f>IF(ISNA(MATCH(302,'Transfer Engine'!$C$2:$C$1960,0)),"",INDEX('Compliance Database'!$H$2:$H$1960,MATCH(302,'Transfer Engine'!$C$2:$C$1960,0)))</f>
        <v/>
      </c>
      <c r="I311" s="9">
        <f>IF(ISNA(MATCH(302,'Transfer Engine'!$C$2:$C$1960,0)),"",INDEX('Compliance Database'!$I$2:$I$1960,MATCH(302,'Transfer Engine'!$C$2:$C$1960,0)))</f>
        <v/>
      </c>
      <c r="J311" s="8">
        <f>IF(ISNA(MATCH(302,'Transfer Engine'!$C$2:$C$1960,0)),"",INDEX('Compliance Database'!$J$2:$J$1960,MATCH(302,'Transfer Engine'!$C$2:$C$1960,0)))</f>
        <v/>
      </c>
      <c r="K311" s="9">
        <f>IF(ISNA(MATCH(302,'Transfer Engine'!$C$2:$C$1960,0)),"",INDEX('Compliance Database'!$K$2:$K$1960,MATCH(302,'Transfer Engine'!$C$2:$C$1960,0)))</f>
        <v/>
      </c>
      <c r="L311" s="9">
        <f>IF(ISNA(MATCH(302,'Transfer Engine'!$C$2:$C$1960,0)),"",INDEX('Compliance Database'!$L$2:$L$1960,MATCH(302,'Transfer Engine'!$C$2:$C$1960,0)))</f>
        <v/>
      </c>
      <c r="M311" s="9">
        <f>IF(ISNA(MATCH(302,'Transfer Engine'!$C$2:$C$1960,0)),"",INDEX('Compliance Database'!$M$2:$M$1960,MATCH(302,'Transfer Engine'!$C$2:$C$1960,0)))</f>
        <v/>
      </c>
      <c r="N311" s="9">
        <f>IF(ISNA(MATCH(302,'Transfer Engine'!$C$2:$C$1960,0)),"",INDEX('Compliance Database'!$N$2:$N$1960,MATCH(302,'Transfer Engine'!$C$2:$C$1960,0)))</f>
        <v/>
      </c>
      <c r="O311" s="9">
        <f>IF(ISNA(MATCH(302,'Transfer Engine'!$C$2:$C$1960,0)),"",INDEX('Compliance Database'!$O$2:$O$1960,MATCH(302,'Transfer Engine'!$C$2:$C$1960,0)))</f>
        <v/>
      </c>
      <c r="P311" s="8">
        <f>IF(ISNA(MATCH(302,'Transfer Engine'!$C$2:$C$1960,0)),"",HYPERLINK("#Acts!A"&amp;INDEX('Compliance Database'!$P$2:$P$1960,MATCH(302,'Transfer Engine'!$C$2:$C$1960,0)),"Go to Act"))</f>
        <v/>
      </c>
    </row>
    <row r="312" ht="158" customHeight="1">
      <c r="A312" s="8">
        <f>IF(ISNA(MATCH(303,'Transfer Engine'!$C$2:$C$1960,0)),"",INDEX('Compliance Database'!$A$2:$A$1960,MATCH(303,'Transfer Engine'!$C$2:$C$1960,0)))</f>
        <v/>
      </c>
      <c r="B312" s="8">
        <f>IF(ISNA(MATCH(303,'Transfer Engine'!$C$2:$C$1960,0)),"",INDEX('Compliance Database'!$B$2:$B$1960,MATCH(303,'Transfer Engine'!$C$2:$C$1960,0)))</f>
        <v/>
      </c>
      <c r="C312" s="8">
        <f>IF(ISNA(MATCH(303,'Transfer Engine'!$C$2:$C$1960,0)),"",INDEX('Compliance Database'!$C$2:$C$1960,MATCH(303,'Transfer Engine'!$C$2:$C$1960,0)))</f>
        <v/>
      </c>
      <c r="D312" s="9">
        <f>IF(ISNA(MATCH(303,'Transfer Engine'!$C$2:$C$1960,0)),"",INDEX('Compliance Database'!$D$2:$D$1960,MATCH(303,'Transfer Engine'!$C$2:$C$1960,0)))</f>
        <v/>
      </c>
      <c r="E312" s="8">
        <f>IF(ISNA(MATCH(303,'Transfer Engine'!$C$2:$C$1960,0)),"",INDEX('Compliance Database'!$E$2:$E$1960,MATCH(303,'Transfer Engine'!$C$2:$C$1960,0)))</f>
        <v/>
      </c>
      <c r="F312" s="8">
        <f>IF(ISNA(MATCH(303,'Transfer Engine'!$C$2:$C$1960,0)),"",INDEX('Compliance Database'!$F$2:$F$1960,MATCH(303,'Transfer Engine'!$C$2:$C$1960,0)))</f>
        <v/>
      </c>
      <c r="G312" s="8">
        <f>IF(ISNA(MATCH(303,'Transfer Engine'!$C$2:$C$1960,0)),"",INDEX('Compliance Database'!$G$2:$G$1960,MATCH(303,'Transfer Engine'!$C$2:$C$1960,0)))</f>
        <v/>
      </c>
      <c r="H312" s="9">
        <f>IF(ISNA(MATCH(303,'Transfer Engine'!$C$2:$C$1960,0)),"",INDEX('Compliance Database'!$H$2:$H$1960,MATCH(303,'Transfer Engine'!$C$2:$C$1960,0)))</f>
        <v/>
      </c>
      <c r="I312" s="9">
        <f>IF(ISNA(MATCH(303,'Transfer Engine'!$C$2:$C$1960,0)),"",INDEX('Compliance Database'!$I$2:$I$1960,MATCH(303,'Transfer Engine'!$C$2:$C$1960,0)))</f>
        <v/>
      </c>
      <c r="J312" s="8">
        <f>IF(ISNA(MATCH(303,'Transfer Engine'!$C$2:$C$1960,0)),"",INDEX('Compliance Database'!$J$2:$J$1960,MATCH(303,'Transfer Engine'!$C$2:$C$1960,0)))</f>
        <v/>
      </c>
      <c r="K312" s="9">
        <f>IF(ISNA(MATCH(303,'Transfer Engine'!$C$2:$C$1960,0)),"",INDEX('Compliance Database'!$K$2:$K$1960,MATCH(303,'Transfer Engine'!$C$2:$C$1960,0)))</f>
        <v/>
      </c>
      <c r="L312" s="9">
        <f>IF(ISNA(MATCH(303,'Transfer Engine'!$C$2:$C$1960,0)),"",INDEX('Compliance Database'!$L$2:$L$1960,MATCH(303,'Transfer Engine'!$C$2:$C$1960,0)))</f>
        <v/>
      </c>
      <c r="M312" s="9">
        <f>IF(ISNA(MATCH(303,'Transfer Engine'!$C$2:$C$1960,0)),"",INDEX('Compliance Database'!$M$2:$M$1960,MATCH(303,'Transfer Engine'!$C$2:$C$1960,0)))</f>
        <v/>
      </c>
      <c r="N312" s="9">
        <f>IF(ISNA(MATCH(303,'Transfer Engine'!$C$2:$C$1960,0)),"",INDEX('Compliance Database'!$N$2:$N$1960,MATCH(303,'Transfer Engine'!$C$2:$C$1960,0)))</f>
        <v/>
      </c>
      <c r="O312" s="9">
        <f>IF(ISNA(MATCH(303,'Transfer Engine'!$C$2:$C$1960,0)),"",INDEX('Compliance Database'!$O$2:$O$1960,MATCH(303,'Transfer Engine'!$C$2:$C$1960,0)))</f>
        <v/>
      </c>
      <c r="P312" s="8">
        <f>IF(ISNA(MATCH(303,'Transfer Engine'!$C$2:$C$1960,0)),"",HYPERLINK("#Acts!A"&amp;INDEX('Compliance Database'!$P$2:$P$1960,MATCH(303,'Transfer Engine'!$C$2:$C$1960,0)),"Go to Act"))</f>
        <v/>
      </c>
    </row>
    <row r="313" ht="158" customHeight="1">
      <c r="A313" s="8">
        <f>IF(ISNA(MATCH(304,'Transfer Engine'!$C$2:$C$1960,0)),"",INDEX('Compliance Database'!$A$2:$A$1960,MATCH(304,'Transfer Engine'!$C$2:$C$1960,0)))</f>
        <v/>
      </c>
      <c r="B313" s="8">
        <f>IF(ISNA(MATCH(304,'Transfer Engine'!$C$2:$C$1960,0)),"",INDEX('Compliance Database'!$B$2:$B$1960,MATCH(304,'Transfer Engine'!$C$2:$C$1960,0)))</f>
        <v/>
      </c>
      <c r="C313" s="8">
        <f>IF(ISNA(MATCH(304,'Transfer Engine'!$C$2:$C$1960,0)),"",INDEX('Compliance Database'!$C$2:$C$1960,MATCH(304,'Transfer Engine'!$C$2:$C$1960,0)))</f>
        <v/>
      </c>
      <c r="D313" s="9">
        <f>IF(ISNA(MATCH(304,'Transfer Engine'!$C$2:$C$1960,0)),"",INDEX('Compliance Database'!$D$2:$D$1960,MATCH(304,'Transfer Engine'!$C$2:$C$1960,0)))</f>
        <v/>
      </c>
      <c r="E313" s="8">
        <f>IF(ISNA(MATCH(304,'Transfer Engine'!$C$2:$C$1960,0)),"",INDEX('Compliance Database'!$E$2:$E$1960,MATCH(304,'Transfer Engine'!$C$2:$C$1960,0)))</f>
        <v/>
      </c>
      <c r="F313" s="8">
        <f>IF(ISNA(MATCH(304,'Transfer Engine'!$C$2:$C$1960,0)),"",INDEX('Compliance Database'!$F$2:$F$1960,MATCH(304,'Transfer Engine'!$C$2:$C$1960,0)))</f>
        <v/>
      </c>
      <c r="G313" s="8">
        <f>IF(ISNA(MATCH(304,'Transfer Engine'!$C$2:$C$1960,0)),"",INDEX('Compliance Database'!$G$2:$G$1960,MATCH(304,'Transfer Engine'!$C$2:$C$1960,0)))</f>
        <v/>
      </c>
      <c r="H313" s="9">
        <f>IF(ISNA(MATCH(304,'Transfer Engine'!$C$2:$C$1960,0)),"",INDEX('Compliance Database'!$H$2:$H$1960,MATCH(304,'Transfer Engine'!$C$2:$C$1960,0)))</f>
        <v/>
      </c>
      <c r="I313" s="9">
        <f>IF(ISNA(MATCH(304,'Transfer Engine'!$C$2:$C$1960,0)),"",INDEX('Compliance Database'!$I$2:$I$1960,MATCH(304,'Transfer Engine'!$C$2:$C$1960,0)))</f>
        <v/>
      </c>
      <c r="J313" s="8">
        <f>IF(ISNA(MATCH(304,'Transfer Engine'!$C$2:$C$1960,0)),"",INDEX('Compliance Database'!$J$2:$J$1960,MATCH(304,'Transfer Engine'!$C$2:$C$1960,0)))</f>
        <v/>
      </c>
      <c r="K313" s="9">
        <f>IF(ISNA(MATCH(304,'Transfer Engine'!$C$2:$C$1960,0)),"",INDEX('Compliance Database'!$K$2:$K$1960,MATCH(304,'Transfer Engine'!$C$2:$C$1960,0)))</f>
        <v/>
      </c>
      <c r="L313" s="9">
        <f>IF(ISNA(MATCH(304,'Transfer Engine'!$C$2:$C$1960,0)),"",INDEX('Compliance Database'!$L$2:$L$1960,MATCH(304,'Transfer Engine'!$C$2:$C$1960,0)))</f>
        <v/>
      </c>
      <c r="M313" s="9">
        <f>IF(ISNA(MATCH(304,'Transfer Engine'!$C$2:$C$1960,0)),"",INDEX('Compliance Database'!$M$2:$M$1960,MATCH(304,'Transfer Engine'!$C$2:$C$1960,0)))</f>
        <v/>
      </c>
      <c r="N313" s="9">
        <f>IF(ISNA(MATCH(304,'Transfer Engine'!$C$2:$C$1960,0)),"",INDEX('Compliance Database'!$N$2:$N$1960,MATCH(304,'Transfer Engine'!$C$2:$C$1960,0)))</f>
        <v/>
      </c>
      <c r="O313" s="9">
        <f>IF(ISNA(MATCH(304,'Transfer Engine'!$C$2:$C$1960,0)),"",INDEX('Compliance Database'!$O$2:$O$1960,MATCH(304,'Transfer Engine'!$C$2:$C$1960,0)))</f>
        <v/>
      </c>
      <c r="P313" s="8">
        <f>IF(ISNA(MATCH(304,'Transfer Engine'!$C$2:$C$1960,0)),"",HYPERLINK("#Acts!A"&amp;INDEX('Compliance Database'!$P$2:$P$1960,MATCH(304,'Transfer Engine'!$C$2:$C$1960,0)),"Go to Act"))</f>
        <v/>
      </c>
    </row>
    <row r="314" ht="158" customHeight="1">
      <c r="A314" s="8">
        <f>IF(ISNA(MATCH(305,'Transfer Engine'!$C$2:$C$1960,0)),"",INDEX('Compliance Database'!$A$2:$A$1960,MATCH(305,'Transfer Engine'!$C$2:$C$1960,0)))</f>
        <v/>
      </c>
      <c r="B314" s="8">
        <f>IF(ISNA(MATCH(305,'Transfer Engine'!$C$2:$C$1960,0)),"",INDEX('Compliance Database'!$B$2:$B$1960,MATCH(305,'Transfer Engine'!$C$2:$C$1960,0)))</f>
        <v/>
      </c>
      <c r="C314" s="8">
        <f>IF(ISNA(MATCH(305,'Transfer Engine'!$C$2:$C$1960,0)),"",INDEX('Compliance Database'!$C$2:$C$1960,MATCH(305,'Transfer Engine'!$C$2:$C$1960,0)))</f>
        <v/>
      </c>
      <c r="D314" s="9">
        <f>IF(ISNA(MATCH(305,'Transfer Engine'!$C$2:$C$1960,0)),"",INDEX('Compliance Database'!$D$2:$D$1960,MATCH(305,'Transfer Engine'!$C$2:$C$1960,0)))</f>
        <v/>
      </c>
      <c r="E314" s="8">
        <f>IF(ISNA(MATCH(305,'Transfer Engine'!$C$2:$C$1960,0)),"",INDEX('Compliance Database'!$E$2:$E$1960,MATCH(305,'Transfer Engine'!$C$2:$C$1960,0)))</f>
        <v/>
      </c>
      <c r="F314" s="8">
        <f>IF(ISNA(MATCH(305,'Transfer Engine'!$C$2:$C$1960,0)),"",INDEX('Compliance Database'!$F$2:$F$1960,MATCH(305,'Transfer Engine'!$C$2:$C$1960,0)))</f>
        <v/>
      </c>
      <c r="G314" s="8">
        <f>IF(ISNA(MATCH(305,'Transfer Engine'!$C$2:$C$1960,0)),"",INDEX('Compliance Database'!$G$2:$G$1960,MATCH(305,'Transfer Engine'!$C$2:$C$1960,0)))</f>
        <v/>
      </c>
      <c r="H314" s="9">
        <f>IF(ISNA(MATCH(305,'Transfer Engine'!$C$2:$C$1960,0)),"",INDEX('Compliance Database'!$H$2:$H$1960,MATCH(305,'Transfer Engine'!$C$2:$C$1960,0)))</f>
        <v/>
      </c>
      <c r="I314" s="9">
        <f>IF(ISNA(MATCH(305,'Transfer Engine'!$C$2:$C$1960,0)),"",INDEX('Compliance Database'!$I$2:$I$1960,MATCH(305,'Transfer Engine'!$C$2:$C$1960,0)))</f>
        <v/>
      </c>
      <c r="J314" s="8">
        <f>IF(ISNA(MATCH(305,'Transfer Engine'!$C$2:$C$1960,0)),"",INDEX('Compliance Database'!$J$2:$J$1960,MATCH(305,'Transfer Engine'!$C$2:$C$1960,0)))</f>
        <v/>
      </c>
      <c r="K314" s="9">
        <f>IF(ISNA(MATCH(305,'Transfer Engine'!$C$2:$C$1960,0)),"",INDEX('Compliance Database'!$K$2:$K$1960,MATCH(305,'Transfer Engine'!$C$2:$C$1960,0)))</f>
        <v/>
      </c>
      <c r="L314" s="9">
        <f>IF(ISNA(MATCH(305,'Transfer Engine'!$C$2:$C$1960,0)),"",INDEX('Compliance Database'!$L$2:$L$1960,MATCH(305,'Transfer Engine'!$C$2:$C$1960,0)))</f>
        <v/>
      </c>
      <c r="M314" s="9">
        <f>IF(ISNA(MATCH(305,'Transfer Engine'!$C$2:$C$1960,0)),"",INDEX('Compliance Database'!$M$2:$M$1960,MATCH(305,'Transfer Engine'!$C$2:$C$1960,0)))</f>
        <v/>
      </c>
      <c r="N314" s="9">
        <f>IF(ISNA(MATCH(305,'Transfer Engine'!$C$2:$C$1960,0)),"",INDEX('Compliance Database'!$N$2:$N$1960,MATCH(305,'Transfer Engine'!$C$2:$C$1960,0)))</f>
        <v/>
      </c>
      <c r="O314" s="9">
        <f>IF(ISNA(MATCH(305,'Transfer Engine'!$C$2:$C$1960,0)),"",INDEX('Compliance Database'!$O$2:$O$1960,MATCH(305,'Transfer Engine'!$C$2:$C$1960,0)))</f>
        <v/>
      </c>
      <c r="P314" s="8">
        <f>IF(ISNA(MATCH(305,'Transfer Engine'!$C$2:$C$1960,0)),"",HYPERLINK("#Acts!A"&amp;INDEX('Compliance Database'!$P$2:$P$1960,MATCH(305,'Transfer Engine'!$C$2:$C$1960,0)),"Go to Act"))</f>
        <v/>
      </c>
    </row>
    <row r="315" ht="158" customHeight="1">
      <c r="A315" s="8">
        <f>IF(ISNA(MATCH(306,'Transfer Engine'!$C$2:$C$1960,0)),"",INDEX('Compliance Database'!$A$2:$A$1960,MATCH(306,'Transfer Engine'!$C$2:$C$1960,0)))</f>
        <v/>
      </c>
      <c r="B315" s="8">
        <f>IF(ISNA(MATCH(306,'Transfer Engine'!$C$2:$C$1960,0)),"",INDEX('Compliance Database'!$B$2:$B$1960,MATCH(306,'Transfer Engine'!$C$2:$C$1960,0)))</f>
        <v/>
      </c>
      <c r="C315" s="8">
        <f>IF(ISNA(MATCH(306,'Transfer Engine'!$C$2:$C$1960,0)),"",INDEX('Compliance Database'!$C$2:$C$1960,MATCH(306,'Transfer Engine'!$C$2:$C$1960,0)))</f>
        <v/>
      </c>
      <c r="D315" s="9">
        <f>IF(ISNA(MATCH(306,'Transfer Engine'!$C$2:$C$1960,0)),"",INDEX('Compliance Database'!$D$2:$D$1960,MATCH(306,'Transfer Engine'!$C$2:$C$1960,0)))</f>
        <v/>
      </c>
      <c r="E315" s="8">
        <f>IF(ISNA(MATCH(306,'Transfer Engine'!$C$2:$C$1960,0)),"",INDEX('Compliance Database'!$E$2:$E$1960,MATCH(306,'Transfer Engine'!$C$2:$C$1960,0)))</f>
        <v/>
      </c>
      <c r="F315" s="8">
        <f>IF(ISNA(MATCH(306,'Transfer Engine'!$C$2:$C$1960,0)),"",INDEX('Compliance Database'!$F$2:$F$1960,MATCH(306,'Transfer Engine'!$C$2:$C$1960,0)))</f>
        <v/>
      </c>
      <c r="G315" s="8">
        <f>IF(ISNA(MATCH(306,'Transfer Engine'!$C$2:$C$1960,0)),"",INDEX('Compliance Database'!$G$2:$G$1960,MATCH(306,'Transfer Engine'!$C$2:$C$1960,0)))</f>
        <v/>
      </c>
      <c r="H315" s="9">
        <f>IF(ISNA(MATCH(306,'Transfer Engine'!$C$2:$C$1960,0)),"",INDEX('Compliance Database'!$H$2:$H$1960,MATCH(306,'Transfer Engine'!$C$2:$C$1960,0)))</f>
        <v/>
      </c>
      <c r="I315" s="9">
        <f>IF(ISNA(MATCH(306,'Transfer Engine'!$C$2:$C$1960,0)),"",INDEX('Compliance Database'!$I$2:$I$1960,MATCH(306,'Transfer Engine'!$C$2:$C$1960,0)))</f>
        <v/>
      </c>
      <c r="J315" s="8">
        <f>IF(ISNA(MATCH(306,'Transfer Engine'!$C$2:$C$1960,0)),"",INDEX('Compliance Database'!$J$2:$J$1960,MATCH(306,'Transfer Engine'!$C$2:$C$1960,0)))</f>
        <v/>
      </c>
      <c r="K315" s="9">
        <f>IF(ISNA(MATCH(306,'Transfer Engine'!$C$2:$C$1960,0)),"",INDEX('Compliance Database'!$K$2:$K$1960,MATCH(306,'Transfer Engine'!$C$2:$C$1960,0)))</f>
        <v/>
      </c>
      <c r="L315" s="9">
        <f>IF(ISNA(MATCH(306,'Transfer Engine'!$C$2:$C$1960,0)),"",INDEX('Compliance Database'!$L$2:$L$1960,MATCH(306,'Transfer Engine'!$C$2:$C$1960,0)))</f>
        <v/>
      </c>
      <c r="M315" s="9">
        <f>IF(ISNA(MATCH(306,'Transfer Engine'!$C$2:$C$1960,0)),"",INDEX('Compliance Database'!$M$2:$M$1960,MATCH(306,'Transfer Engine'!$C$2:$C$1960,0)))</f>
        <v/>
      </c>
      <c r="N315" s="9">
        <f>IF(ISNA(MATCH(306,'Transfer Engine'!$C$2:$C$1960,0)),"",INDEX('Compliance Database'!$N$2:$N$1960,MATCH(306,'Transfer Engine'!$C$2:$C$1960,0)))</f>
        <v/>
      </c>
      <c r="O315" s="9">
        <f>IF(ISNA(MATCH(306,'Transfer Engine'!$C$2:$C$1960,0)),"",INDEX('Compliance Database'!$O$2:$O$1960,MATCH(306,'Transfer Engine'!$C$2:$C$1960,0)))</f>
        <v/>
      </c>
      <c r="P315" s="8">
        <f>IF(ISNA(MATCH(306,'Transfer Engine'!$C$2:$C$1960,0)),"",HYPERLINK("#Acts!A"&amp;INDEX('Compliance Database'!$P$2:$P$1960,MATCH(306,'Transfer Engine'!$C$2:$C$1960,0)),"Go to Act"))</f>
        <v/>
      </c>
    </row>
    <row r="316" ht="158" customHeight="1">
      <c r="A316" s="8">
        <f>IF(ISNA(MATCH(307,'Transfer Engine'!$C$2:$C$1960,0)),"",INDEX('Compliance Database'!$A$2:$A$1960,MATCH(307,'Transfer Engine'!$C$2:$C$1960,0)))</f>
        <v/>
      </c>
      <c r="B316" s="8">
        <f>IF(ISNA(MATCH(307,'Transfer Engine'!$C$2:$C$1960,0)),"",INDEX('Compliance Database'!$B$2:$B$1960,MATCH(307,'Transfer Engine'!$C$2:$C$1960,0)))</f>
        <v/>
      </c>
      <c r="C316" s="8">
        <f>IF(ISNA(MATCH(307,'Transfer Engine'!$C$2:$C$1960,0)),"",INDEX('Compliance Database'!$C$2:$C$1960,MATCH(307,'Transfer Engine'!$C$2:$C$1960,0)))</f>
        <v/>
      </c>
      <c r="D316" s="9">
        <f>IF(ISNA(MATCH(307,'Transfer Engine'!$C$2:$C$1960,0)),"",INDEX('Compliance Database'!$D$2:$D$1960,MATCH(307,'Transfer Engine'!$C$2:$C$1960,0)))</f>
        <v/>
      </c>
      <c r="E316" s="8">
        <f>IF(ISNA(MATCH(307,'Transfer Engine'!$C$2:$C$1960,0)),"",INDEX('Compliance Database'!$E$2:$E$1960,MATCH(307,'Transfer Engine'!$C$2:$C$1960,0)))</f>
        <v/>
      </c>
      <c r="F316" s="8">
        <f>IF(ISNA(MATCH(307,'Transfer Engine'!$C$2:$C$1960,0)),"",INDEX('Compliance Database'!$F$2:$F$1960,MATCH(307,'Transfer Engine'!$C$2:$C$1960,0)))</f>
        <v/>
      </c>
      <c r="G316" s="8">
        <f>IF(ISNA(MATCH(307,'Transfer Engine'!$C$2:$C$1960,0)),"",INDEX('Compliance Database'!$G$2:$G$1960,MATCH(307,'Transfer Engine'!$C$2:$C$1960,0)))</f>
        <v/>
      </c>
      <c r="H316" s="9">
        <f>IF(ISNA(MATCH(307,'Transfer Engine'!$C$2:$C$1960,0)),"",INDEX('Compliance Database'!$H$2:$H$1960,MATCH(307,'Transfer Engine'!$C$2:$C$1960,0)))</f>
        <v/>
      </c>
      <c r="I316" s="9">
        <f>IF(ISNA(MATCH(307,'Transfer Engine'!$C$2:$C$1960,0)),"",INDEX('Compliance Database'!$I$2:$I$1960,MATCH(307,'Transfer Engine'!$C$2:$C$1960,0)))</f>
        <v/>
      </c>
      <c r="J316" s="8">
        <f>IF(ISNA(MATCH(307,'Transfer Engine'!$C$2:$C$1960,0)),"",INDEX('Compliance Database'!$J$2:$J$1960,MATCH(307,'Transfer Engine'!$C$2:$C$1960,0)))</f>
        <v/>
      </c>
      <c r="K316" s="9">
        <f>IF(ISNA(MATCH(307,'Transfer Engine'!$C$2:$C$1960,0)),"",INDEX('Compliance Database'!$K$2:$K$1960,MATCH(307,'Transfer Engine'!$C$2:$C$1960,0)))</f>
        <v/>
      </c>
      <c r="L316" s="9">
        <f>IF(ISNA(MATCH(307,'Transfer Engine'!$C$2:$C$1960,0)),"",INDEX('Compliance Database'!$L$2:$L$1960,MATCH(307,'Transfer Engine'!$C$2:$C$1960,0)))</f>
        <v/>
      </c>
      <c r="M316" s="9">
        <f>IF(ISNA(MATCH(307,'Transfer Engine'!$C$2:$C$1960,0)),"",INDEX('Compliance Database'!$M$2:$M$1960,MATCH(307,'Transfer Engine'!$C$2:$C$1960,0)))</f>
        <v/>
      </c>
      <c r="N316" s="9">
        <f>IF(ISNA(MATCH(307,'Transfer Engine'!$C$2:$C$1960,0)),"",INDEX('Compliance Database'!$N$2:$N$1960,MATCH(307,'Transfer Engine'!$C$2:$C$1960,0)))</f>
        <v/>
      </c>
      <c r="O316" s="9">
        <f>IF(ISNA(MATCH(307,'Transfer Engine'!$C$2:$C$1960,0)),"",INDEX('Compliance Database'!$O$2:$O$1960,MATCH(307,'Transfer Engine'!$C$2:$C$1960,0)))</f>
        <v/>
      </c>
      <c r="P316" s="8">
        <f>IF(ISNA(MATCH(307,'Transfer Engine'!$C$2:$C$1960,0)),"",HYPERLINK("#Acts!A"&amp;INDEX('Compliance Database'!$P$2:$P$1960,MATCH(307,'Transfer Engine'!$C$2:$C$1960,0)),"Go to Act"))</f>
        <v/>
      </c>
    </row>
    <row r="317" ht="158" customHeight="1">
      <c r="A317" s="8">
        <f>IF(ISNA(MATCH(308,'Transfer Engine'!$C$2:$C$1960,0)),"",INDEX('Compliance Database'!$A$2:$A$1960,MATCH(308,'Transfer Engine'!$C$2:$C$1960,0)))</f>
        <v/>
      </c>
      <c r="B317" s="8">
        <f>IF(ISNA(MATCH(308,'Transfer Engine'!$C$2:$C$1960,0)),"",INDEX('Compliance Database'!$B$2:$B$1960,MATCH(308,'Transfer Engine'!$C$2:$C$1960,0)))</f>
        <v/>
      </c>
      <c r="C317" s="8">
        <f>IF(ISNA(MATCH(308,'Transfer Engine'!$C$2:$C$1960,0)),"",INDEX('Compliance Database'!$C$2:$C$1960,MATCH(308,'Transfer Engine'!$C$2:$C$1960,0)))</f>
        <v/>
      </c>
      <c r="D317" s="9">
        <f>IF(ISNA(MATCH(308,'Transfer Engine'!$C$2:$C$1960,0)),"",INDEX('Compliance Database'!$D$2:$D$1960,MATCH(308,'Transfer Engine'!$C$2:$C$1960,0)))</f>
        <v/>
      </c>
      <c r="E317" s="8">
        <f>IF(ISNA(MATCH(308,'Transfer Engine'!$C$2:$C$1960,0)),"",INDEX('Compliance Database'!$E$2:$E$1960,MATCH(308,'Transfer Engine'!$C$2:$C$1960,0)))</f>
        <v/>
      </c>
      <c r="F317" s="8">
        <f>IF(ISNA(MATCH(308,'Transfer Engine'!$C$2:$C$1960,0)),"",INDEX('Compliance Database'!$F$2:$F$1960,MATCH(308,'Transfer Engine'!$C$2:$C$1960,0)))</f>
        <v/>
      </c>
      <c r="G317" s="8">
        <f>IF(ISNA(MATCH(308,'Transfer Engine'!$C$2:$C$1960,0)),"",INDEX('Compliance Database'!$G$2:$G$1960,MATCH(308,'Transfer Engine'!$C$2:$C$1960,0)))</f>
        <v/>
      </c>
      <c r="H317" s="9">
        <f>IF(ISNA(MATCH(308,'Transfer Engine'!$C$2:$C$1960,0)),"",INDEX('Compliance Database'!$H$2:$H$1960,MATCH(308,'Transfer Engine'!$C$2:$C$1960,0)))</f>
        <v/>
      </c>
      <c r="I317" s="9">
        <f>IF(ISNA(MATCH(308,'Transfer Engine'!$C$2:$C$1960,0)),"",INDEX('Compliance Database'!$I$2:$I$1960,MATCH(308,'Transfer Engine'!$C$2:$C$1960,0)))</f>
        <v/>
      </c>
      <c r="J317" s="8">
        <f>IF(ISNA(MATCH(308,'Transfer Engine'!$C$2:$C$1960,0)),"",INDEX('Compliance Database'!$J$2:$J$1960,MATCH(308,'Transfer Engine'!$C$2:$C$1960,0)))</f>
        <v/>
      </c>
      <c r="K317" s="9">
        <f>IF(ISNA(MATCH(308,'Transfer Engine'!$C$2:$C$1960,0)),"",INDEX('Compliance Database'!$K$2:$K$1960,MATCH(308,'Transfer Engine'!$C$2:$C$1960,0)))</f>
        <v/>
      </c>
      <c r="L317" s="9">
        <f>IF(ISNA(MATCH(308,'Transfer Engine'!$C$2:$C$1960,0)),"",INDEX('Compliance Database'!$L$2:$L$1960,MATCH(308,'Transfer Engine'!$C$2:$C$1960,0)))</f>
        <v/>
      </c>
      <c r="M317" s="9">
        <f>IF(ISNA(MATCH(308,'Transfer Engine'!$C$2:$C$1960,0)),"",INDEX('Compliance Database'!$M$2:$M$1960,MATCH(308,'Transfer Engine'!$C$2:$C$1960,0)))</f>
        <v/>
      </c>
      <c r="N317" s="9">
        <f>IF(ISNA(MATCH(308,'Transfer Engine'!$C$2:$C$1960,0)),"",INDEX('Compliance Database'!$N$2:$N$1960,MATCH(308,'Transfer Engine'!$C$2:$C$1960,0)))</f>
        <v/>
      </c>
      <c r="O317" s="9">
        <f>IF(ISNA(MATCH(308,'Transfer Engine'!$C$2:$C$1960,0)),"",INDEX('Compliance Database'!$O$2:$O$1960,MATCH(308,'Transfer Engine'!$C$2:$C$1960,0)))</f>
        <v/>
      </c>
      <c r="P317" s="8">
        <f>IF(ISNA(MATCH(308,'Transfer Engine'!$C$2:$C$1960,0)),"",HYPERLINK("#Acts!A"&amp;INDEX('Compliance Database'!$P$2:$P$1960,MATCH(308,'Transfer Engine'!$C$2:$C$1960,0)),"Go to Act"))</f>
        <v/>
      </c>
    </row>
    <row r="318" ht="158" customHeight="1">
      <c r="A318" s="8">
        <f>IF(ISNA(MATCH(309,'Transfer Engine'!$C$2:$C$1960,0)),"",INDEX('Compliance Database'!$A$2:$A$1960,MATCH(309,'Transfer Engine'!$C$2:$C$1960,0)))</f>
        <v/>
      </c>
      <c r="B318" s="8">
        <f>IF(ISNA(MATCH(309,'Transfer Engine'!$C$2:$C$1960,0)),"",INDEX('Compliance Database'!$B$2:$B$1960,MATCH(309,'Transfer Engine'!$C$2:$C$1960,0)))</f>
        <v/>
      </c>
      <c r="C318" s="8">
        <f>IF(ISNA(MATCH(309,'Transfer Engine'!$C$2:$C$1960,0)),"",INDEX('Compliance Database'!$C$2:$C$1960,MATCH(309,'Transfer Engine'!$C$2:$C$1960,0)))</f>
        <v/>
      </c>
      <c r="D318" s="9">
        <f>IF(ISNA(MATCH(309,'Transfer Engine'!$C$2:$C$1960,0)),"",INDEX('Compliance Database'!$D$2:$D$1960,MATCH(309,'Transfer Engine'!$C$2:$C$1960,0)))</f>
        <v/>
      </c>
      <c r="E318" s="8">
        <f>IF(ISNA(MATCH(309,'Transfer Engine'!$C$2:$C$1960,0)),"",INDEX('Compliance Database'!$E$2:$E$1960,MATCH(309,'Transfer Engine'!$C$2:$C$1960,0)))</f>
        <v/>
      </c>
      <c r="F318" s="8">
        <f>IF(ISNA(MATCH(309,'Transfer Engine'!$C$2:$C$1960,0)),"",INDEX('Compliance Database'!$F$2:$F$1960,MATCH(309,'Transfer Engine'!$C$2:$C$1960,0)))</f>
        <v/>
      </c>
      <c r="G318" s="8">
        <f>IF(ISNA(MATCH(309,'Transfer Engine'!$C$2:$C$1960,0)),"",INDEX('Compliance Database'!$G$2:$G$1960,MATCH(309,'Transfer Engine'!$C$2:$C$1960,0)))</f>
        <v/>
      </c>
      <c r="H318" s="9">
        <f>IF(ISNA(MATCH(309,'Transfer Engine'!$C$2:$C$1960,0)),"",INDEX('Compliance Database'!$H$2:$H$1960,MATCH(309,'Transfer Engine'!$C$2:$C$1960,0)))</f>
        <v/>
      </c>
      <c r="I318" s="9">
        <f>IF(ISNA(MATCH(309,'Transfer Engine'!$C$2:$C$1960,0)),"",INDEX('Compliance Database'!$I$2:$I$1960,MATCH(309,'Transfer Engine'!$C$2:$C$1960,0)))</f>
        <v/>
      </c>
      <c r="J318" s="8">
        <f>IF(ISNA(MATCH(309,'Transfer Engine'!$C$2:$C$1960,0)),"",INDEX('Compliance Database'!$J$2:$J$1960,MATCH(309,'Transfer Engine'!$C$2:$C$1960,0)))</f>
        <v/>
      </c>
      <c r="K318" s="9">
        <f>IF(ISNA(MATCH(309,'Transfer Engine'!$C$2:$C$1960,0)),"",INDEX('Compliance Database'!$K$2:$K$1960,MATCH(309,'Transfer Engine'!$C$2:$C$1960,0)))</f>
        <v/>
      </c>
      <c r="L318" s="9">
        <f>IF(ISNA(MATCH(309,'Transfer Engine'!$C$2:$C$1960,0)),"",INDEX('Compliance Database'!$L$2:$L$1960,MATCH(309,'Transfer Engine'!$C$2:$C$1960,0)))</f>
        <v/>
      </c>
      <c r="M318" s="9">
        <f>IF(ISNA(MATCH(309,'Transfer Engine'!$C$2:$C$1960,0)),"",INDEX('Compliance Database'!$M$2:$M$1960,MATCH(309,'Transfer Engine'!$C$2:$C$1960,0)))</f>
        <v/>
      </c>
      <c r="N318" s="9">
        <f>IF(ISNA(MATCH(309,'Transfer Engine'!$C$2:$C$1960,0)),"",INDEX('Compliance Database'!$N$2:$N$1960,MATCH(309,'Transfer Engine'!$C$2:$C$1960,0)))</f>
        <v/>
      </c>
      <c r="O318" s="9">
        <f>IF(ISNA(MATCH(309,'Transfer Engine'!$C$2:$C$1960,0)),"",INDEX('Compliance Database'!$O$2:$O$1960,MATCH(309,'Transfer Engine'!$C$2:$C$1960,0)))</f>
        <v/>
      </c>
      <c r="P318" s="8">
        <f>IF(ISNA(MATCH(309,'Transfer Engine'!$C$2:$C$1960,0)),"",HYPERLINK("#Acts!A"&amp;INDEX('Compliance Database'!$P$2:$P$1960,MATCH(309,'Transfer Engine'!$C$2:$C$1960,0)),"Go to Act"))</f>
        <v/>
      </c>
    </row>
    <row r="319" ht="158" customHeight="1">
      <c r="A319" s="8">
        <f>IF(ISNA(MATCH(310,'Transfer Engine'!$C$2:$C$1960,0)),"",INDEX('Compliance Database'!$A$2:$A$1960,MATCH(310,'Transfer Engine'!$C$2:$C$1960,0)))</f>
        <v/>
      </c>
      <c r="B319" s="8">
        <f>IF(ISNA(MATCH(310,'Transfer Engine'!$C$2:$C$1960,0)),"",INDEX('Compliance Database'!$B$2:$B$1960,MATCH(310,'Transfer Engine'!$C$2:$C$1960,0)))</f>
        <v/>
      </c>
      <c r="C319" s="8">
        <f>IF(ISNA(MATCH(310,'Transfer Engine'!$C$2:$C$1960,0)),"",INDEX('Compliance Database'!$C$2:$C$1960,MATCH(310,'Transfer Engine'!$C$2:$C$1960,0)))</f>
        <v/>
      </c>
      <c r="D319" s="9">
        <f>IF(ISNA(MATCH(310,'Transfer Engine'!$C$2:$C$1960,0)),"",INDEX('Compliance Database'!$D$2:$D$1960,MATCH(310,'Transfer Engine'!$C$2:$C$1960,0)))</f>
        <v/>
      </c>
      <c r="E319" s="8">
        <f>IF(ISNA(MATCH(310,'Transfer Engine'!$C$2:$C$1960,0)),"",INDEX('Compliance Database'!$E$2:$E$1960,MATCH(310,'Transfer Engine'!$C$2:$C$1960,0)))</f>
        <v/>
      </c>
      <c r="F319" s="8">
        <f>IF(ISNA(MATCH(310,'Transfer Engine'!$C$2:$C$1960,0)),"",INDEX('Compliance Database'!$F$2:$F$1960,MATCH(310,'Transfer Engine'!$C$2:$C$1960,0)))</f>
        <v/>
      </c>
      <c r="G319" s="8">
        <f>IF(ISNA(MATCH(310,'Transfer Engine'!$C$2:$C$1960,0)),"",INDEX('Compliance Database'!$G$2:$G$1960,MATCH(310,'Transfer Engine'!$C$2:$C$1960,0)))</f>
        <v/>
      </c>
      <c r="H319" s="9">
        <f>IF(ISNA(MATCH(310,'Transfer Engine'!$C$2:$C$1960,0)),"",INDEX('Compliance Database'!$H$2:$H$1960,MATCH(310,'Transfer Engine'!$C$2:$C$1960,0)))</f>
        <v/>
      </c>
      <c r="I319" s="9">
        <f>IF(ISNA(MATCH(310,'Transfer Engine'!$C$2:$C$1960,0)),"",INDEX('Compliance Database'!$I$2:$I$1960,MATCH(310,'Transfer Engine'!$C$2:$C$1960,0)))</f>
        <v/>
      </c>
      <c r="J319" s="8">
        <f>IF(ISNA(MATCH(310,'Transfer Engine'!$C$2:$C$1960,0)),"",INDEX('Compliance Database'!$J$2:$J$1960,MATCH(310,'Transfer Engine'!$C$2:$C$1960,0)))</f>
        <v/>
      </c>
      <c r="K319" s="9">
        <f>IF(ISNA(MATCH(310,'Transfer Engine'!$C$2:$C$1960,0)),"",INDEX('Compliance Database'!$K$2:$K$1960,MATCH(310,'Transfer Engine'!$C$2:$C$1960,0)))</f>
        <v/>
      </c>
      <c r="L319" s="9">
        <f>IF(ISNA(MATCH(310,'Transfer Engine'!$C$2:$C$1960,0)),"",INDEX('Compliance Database'!$L$2:$L$1960,MATCH(310,'Transfer Engine'!$C$2:$C$1960,0)))</f>
        <v/>
      </c>
      <c r="M319" s="9">
        <f>IF(ISNA(MATCH(310,'Transfer Engine'!$C$2:$C$1960,0)),"",INDEX('Compliance Database'!$M$2:$M$1960,MATCH(310,'Transfer Engine'!$C$2:$C$1960,0)))</f>
        <v/>
      </c>
      <c r="N319" s="9">
        <f>IF(ISNA(MATCH(310,'Transfer Engine'!$C$2:$C$1960,0)),"",INDEX('Compliance Database'!$N$2:$N$1960,MATCH(310,'Transfer Engine'!$C$2:$C$1960,0)))</f>
        <v/>
      </c>
      <c r="O319" s="9">
        <f>IF(ISNA(MATCH(310,'Transfer Engine'!$C$2:$C$1960,0)),"",INDEX('Compliance Database'!$O$2:$O$1960,MATCH(310,'Transfer Engine'!$C$2:$C$1960,0)))</f>
        <v/>
      </c>
      <c r="P319" s="8">
        <f>IF(ISNA(MATCH(310,'Transfer Engine'!$C$2:$C$1960,0)),"",HYPERLINK("#Acts!A"&amp;INDEX('Compliance Database'!$P$2:$P$1960,MATCH(310,'Transfer Engine'!$C$2:$C$1960,0)),"Go to Act"))</f>
        <v/>
      </c>
    </row>
    <row r="320" ht="158" customHeight="1">
      <c r="A320" s="8">
        <f>IF(ISNA(MATCH(311,'Transfer Engine'!$C$2:$C$1960,0)),"",INDEX('Compliance Database'!$A$2:$A$1960,MATCH(311,'Transfer Engine'!$C$2:$C$1960,0)))</f>
        <v/>
      </c>
      <c r="B320" s="8">
        <f>IF(ISNA(MATCH(311,'Transfer Engine'!$C$2:$C$1960,0)),"",INDEX('Compliance Database'!$B$2:$B$1960,MATCH(311,'Transfer Engine'!$C$2:$C$1960,0)))</f>
        <v/>
      </c>
      <c r="C320" s="8">
        <f>IF(ISNA(MATCH(311,'Transfer Engine'!$C$2:$C$1960,0)),"",INDEX('Compliance Database'!$C$2:$C$1960,MATCH(311,'Transfer Engine'!$C$2:$C$1960,0)))</f>
        <v/>
      </c>
      <c r="D320" s="9">
        <f>IF(ISNA(MATCH(311,'Transfer Engine'!$C$2:$C$1960,0)),"",INDEX('Compliance Database'!$D$2:$D$1960,MATCH(311,'Transfer Engine'!$C$2:$C$1960,0)))</f>
        <v/>
      </c>
      <c r="E320" s="8">
        <f>IF(ISNA(MATCH(311,'Transfer Engine'!$C$2:$C$1960,0)),"",INDEX('Compliance Database'!$E$2:$E$1960,MATCH(311,'Transfer Engine'!$C$2:$C$1960,0)))</f>
        <v/>
      </c>
      <c r="F320" s="8">
        <f>IF(ISNA(MATCH(311,'Transfer Engine'!$C$2:$C$1960,0)),"",INDEX('Compliance Database'!$F$2:$F$1960,MATCH(311,'Transfer Engine'!$C$2:$C$1960,0)))</f>
        <v/>
      </c>
      <c r="G320" s="8">
        <f>IF(ISNA(MATCH(311,'Transfer Engine'!$C$2:$C$1960,0)),"",INDEX('Compliance Database'!$G$2:$G$1960,MATCH(311,'Transfer Engine'!$C$2:$C$1960,0)))</f>
        <v/>
      </c>
      <c r="H320" s="9">
        <f>IF(ISNA(MATCH(311,'Transfer Engine'!$C$2:$C$1960,0)),"",INDEX('Compliance Database'!$H$2:$H$1960,MATCH(311,'Transfer Engine'!$C$2:$C$1960,0)))</f>
        <v/>
      </c>
      <c r="I320" s="9">
        <f>IF(ISNA(MATCH(311,'Transfer Engine'!$C$2:$C$1960,0)),"",INDEX('Compliance Database'!$I$2:$I$1960,MATCH(311,'Transfer Engine'!$C$2:$C$1960,0)))</f>
        <v/>
      </c>
      <c r="J320" s="8">
        <f>IF(ISNA(MATCH(311,'Transfer Engine'!$C$2:$C$1960,0)),"",INDEX('Compliance Database'!$J$2:$J$1960,MATCH(311,'Transfer Engine'!$C$2:$C$1960,0)))</f>
        <v/>
      </c>
      <c r="K320" s="9">
        <f>IF(ISNA(MATCH(311,'Transfer Engine'!$C$2:$C$1960,0)),"",INDEX('Compliance Database'!$K$2:$K$1960,MATCH(311,'Transfer Engine'!$C$2:$C$1960,0)))</f>
        <v/>
      </c>
      <c r="L320" s="9">
        <f>IF(ISNA(MATCH(311,'Transfer Engine'!$C$2:$C$1960,0)),"",INDEX('Compliance Database'!$L$2:$L$1960,MATCH(311,'Transfer Engine'!$C$2:$C$1960,0)))</f>
        <v/>
      </c>
      <c r="M320" s="9">
        <f>IF(ISNA(MATCH(311,'Transfer Engine'!$C$2:$C$1960,0)),"",INDEX('Compliance Database'!$M$2:$M$1960,MATCH(311,'Transfer Engine'!$C$2:$C$1960,0)))</f>
        <v/>
      </c>
      <c r="N320" s="9">
        <f>IF(ISNA(MATCH(311,'Transfer Engine'!$C$2:$C$1960,0)),"",INDEX('Compliance Database'!$N$2:$N$1960,MATCH(311,'Transfer Engine'!$C$2:$C$1960,0)))</f>
        <v/>
      </c>
      <c r="O320" s="9">
        <f>IF(ISNA(MATCH(311,'Transfer Engine'!$C$2:$C$1960,0)),"",INDEX('Compliance Database'!$O$2:$O$1960,MATCH(311,'Transfer Engine'!$C$2:$C$1960,0)))</f>
        <v/>
      </c>
      <c r="P320" s="8">
        <f>IF(ISNA(MATCH(311,'Transfer Engine'!$C$2:$C$1960,0)),"",HYPERLINK("#Acts!A"&amp;INDEX('Compliance Database'!$P$2:$P$1960,MATCH(311,'Transfer Engine'!$C$2:$C$1960,0)),"Go to Act"))</f>
        <v/>
      </c>
    </row>
    <row r="321" ht="158" customHeight="1">
      <c r="A321" s="8">
        <f>IF(ISNA(MATCH(312,'Transfer Engine'!$C$2:$C$1960,0)),"",INDEX('Compliance Database'!$A$2:$A$1960,MATCH(312,'Transfer Engine'!$C$2:$C$1960,0)))</f>
        <v/>
      </c>
      <c r="B321" s="8">
        <f>IF(ISNA(MATCH(312,'Transfer Engine'!$C$2:$C$1960,0)),"",INDEX('Compliance Database'!$B$2:$B$1960,MATCH(312,'Transfer Engine'!$C$2:$C$1960,0)))</f>
        <v/>
      </c>
      <c r="C321" s="8">
        <f>IF(ISNA(MATCH(312,'Transfer Engine'!$C$2:$C$1960,0)),"",INDEX('Compliance Database'!$C$2:$C$1960,MATCH(312,'Transfer Engine'!$C$2:$C$1960,0)))</f>
        <v/>
      </c>
      <c r="D321" s="9">
        <f>IF(ISNA(MATCH(312,'Transfer Engine'!$C$2:$C$1960,0)),"",INDEX('Compliance Database'!$D$2:$D$1960,MATCH(312,'Transfer Engine'!$C$2:$C$1960,0)))</f>
        <v/>
      </c>
      <c r="E321" s="8">
        <f>IF(ISNA(MATCH(312,'Transfer Engine'!$C$2:$C$1960,0)),"",INDEX('Compliance Database'!$E$2:$E$1960,MATCH(312,'Transfer Engine'!$C$2:$C$1960,0)))</f>
        <v/>
      </c>
      <c r="F321" s="8">
        <f>IF(ISNA(MATCH(312,'Transfer Engine'!$C$2:$C$1960,0)),"",INDEX('Compliance Database'!$F$2:$F$1960,MATCH(312,'Transfer Engine'!$C$2:$C$1960,0)))</f>
        <v/>
      </c>
      <c r="G321" s="8">
        <f>IF(ISNA(MATCH(312,'Transfer Engine'!$C$2:$C$1960,0)),"",INDEX('Compliance Database'!$G$2:$G$1960,MATCH(312,'Transfer Engine'!$C$2:$C$1960,0)))</f>
        <v/>
      </c>
      <c r="H321" s="9">
        <f>IF(ISNA(MATCH(312,'Transfer Engine'!$C$2:$C$1960,0)),"",INDEX('Compliance Database'!$H$2:$H$1960,MATCH(312,'Transfer Engine'!$C$2:$C$1960,0)))</f>
        <v/>
      </c>
      <c r="I321" s="9">
        <f>IF(ISNA(MATCH(312,'Transfer Engine'!$C$2:$C$1960,0)),"",INDEX('Compliance Database'!$I$2:$I$1960,MATCH(312,'Transfer Engine'!$C$2:$C$1960,0)))</f>
        <v/>
      </c>
      <c r="J321" s="8">
        <f>IF(ISNA(MATCH(312,'Transfer Engine'!$C$2:$C$1960,0)),"",INDEX('Compliance Database'!$J$2:$J$1960,MATCH(312,'Transfer Engine'!$C$2:$C$1960,0)))</f>
        <v/>
      </c>
      <c r="K321" s="9">
        <f>IF(ISNA(MATCH(312,'Transfer Engine'!$C$2:$C$1960,0)),"",INDEX('Compliance Database'!$K$2:$K$1960,MATCH(312,'Transfer Engine'!$C$2:$C$1960,0)))</f>
        <v/>
      </c>
      <c r="L321" s="9">
        <f>IF(ISNA(MATCH(312,'Transfer Engine'!$C$2:$C$1960,0)),"",INDEX('Compliance Database'!$L$2:$L$1960,MATCH(312,'Transfer Engine'!$C$2:$C$1960,0)))</f>
        <v/>
      </c>
      <c r="M321" s="9">
        <f>IF(ISNA(MATCH(312,'Transfer Engine'!$C$2:$C$1960,0)),"",INDEX('Compliance Database'!$M$2:$M$1960,MATCH(312,'Transfer Engine'!$C$2:$C$1960,0)))</f>
        <v/>
      </c>
      <c r="N321" s="9">
        <f>IF(ISNA(MATCH(312,'Transfer Engine'!$C$2:$C$1960,0)),"",INDEX('Compliance Database'!$N$2:$N$1960,MATCH(312,'Transfer Engine'!$C$2:$C$1960,0)))</f>
        <v/>
      </c>
      <c r="O321" s="9">
        <f>IF(ISNA(MATCH(312,'Transfer Engine'!$C$2:$C$1960,0)),"",INDEX('Compliance Database'!$O$2:$O$1960,MATCH(312,'Transfer Engine'!$C$2:$C$1960,0)))</f>
        <v/>
      </c>
      <c r="P321" s="8">
        <f>IF(ISNA(MATCH(312,'Transfer Engine'!$C$2:$C$1960,0)),"",HYPERLINK("#Acts!A"&amp;INDEX('Compliance Database'!$P$2:$P$1960,MATCH(312,'Transfer Engine'!$C$2:$C$1960,0)),"Go to Act"))</f>
        <v/>
      </c>
    </row>
    <row r="322" ht="158" customHeight="1">
      <c r="A322" s="8">
        <f>IF(ISNA(MATCH(313,'Transfer Engine'!$C$2:$C$1960,0)),"",INDEX('Compliance Database'!$A$2:$A$1960,MATCH(313,'Transfer Engine'!$C$2:$C$1960,0)))</f>
        <v/>
      </c>
      <c r="B322" s="8">
        <f>IF(ISNA(MATCH(313,'Transfer Engine'!$C$2:$C$1960,0)),"",INDEX('Compliance Database'!$B$2:$B$1960,MATCH(313,'Transfer Engine'!$C$2:$C$1960,0)))</f>
        <v/>
      </c>
      <c r="C322" s="8">
        <f>IF(ISNA(MATCH(313,'Transfer Engine'!$C$2:$C$1960,0)),"",INDEX('Compliance Database'!$C$2:$C$1960,MATCH(313,'Transfer Engine'!$C$2:$C$1960,0)))</f>
        <v/>
      </c>
      <c r="D322" s="9">
        <f>IF(ISNA(MATCH(313,'Transfer Engine'!$C$2:$C$1960,0)),"",INDEX('Compliance Database'!$D$2:$D$1960,MATCH(313,'Transfer Engine'!$C$2:$C$1960,0)))</f>
        <v/>
      </c>
      <c r="E322" s="8">
        <f>IF(ISNA(MATCH(313,'Transfer Engine'!$C$2:$C$1960,0)),"",INDEX('Compliance Database'!$E$2:$E$1960,MATCH(313,'Transfer Engine'!$C$2:$C$1960,0)))</f>
        <v/>
      </c>
      <c r="F322" s="8">
        <f>IF(ISNA(MATCH(313,'Transfer Engine'!$C$2:$C$1960,0)),"",INDEX('Compliance Database'!$F$2:$F$1960,MATCH(313,'Transfer Engine'!$C$2:$C$1960,0)))</f>
        <v/>
      </c>
      <c r="G322" s="8">
        <f>IF(ISNA(MATCH(313,'Transfer Engine'!$C$2:$C$1960,0)),"",INDEX('Compliance Database'!$G$2:$G$1960,MATCH(313,'Transfer Engine'!$C$2:$C$1960,0)))</f>
        <v/>
      </c>
      <c r="H322" s="9">
        <f>IF(ISNA(MATCH(313,'Transfer Engine'!$C$2:$C$1960,0)),"",INDEX('Compliance Database'!$H$2:$H$1960,MATCH(313,'Transfer Engine'!$C$2:$C$1960,0)))</f>
        <v/>
      </c>
      <c r="I322" s="9">
        <f>IF(ISNA(MATCH(313,'Transfer Engine'!$C$2:$C$1960,0)),"",INDEX('Compliance Database'!$I$2:$I$1960,MATCH(313,'Transfer Engine'!$C$2:$C$1960,0)))</f>
        <v/>
      </c>
      <c r="J322" s="8">
        <f>IF(ISNA(MATCH(313,'Transfer Engine'!$C$2:$C$1960,0)),"",INDEX('Compliance Database'!$J$2:$J$1960,MATCH(313,'Transfer Engine'!$C$2:$C$1960,0)))</f>
        <v/>
      </c>
      <c r="K322" s="9">
        <f>IF(ISNA(MATCH(313,'Transfer Engine'!$C$2:$C$1960,0)),"",INDEX('Compliance Database'!$K$2:$K$1960,MATCH(313,'Transfer Engine'!$C$2:$C$1960,0)))</f>
        <v/>
      </c>
      <c r="L322" s="9">
        <f>IF(ISNA(MATCH(313,'Transfer Engine'!$C$2:$C$1960,0)),"",INDEX('Compliance Database'!$L$2:$L$1960,MATCH(313,'Transfer Engine'!$C$2:$C$1960,0)))</f>
        <v/>
      </c>
      <c r="M322" s="9">
        <f>IF(ISNA(MATCH(313,'Transfer Engine'!$C$2:$C$1960,0)),"",INDEX('Compliance Database'!$M$2:$M$1960,MATCH(313,'Transfer Engine'!$C$2:$C$1960,0)))</f>
        <v/>
      </c>
      <c r="N322" s="9">
        <f>IF(ISNA(MATCH(313,'Transfer Engine'!$C$2:$C$1960,0)),"",INDEX('Compliance Database'!$N$2:$N$1960,MATCH(313,'Transfer Engine'!$C$2:$C$1960,0)))</f>
        <v/>
      </c>
      <c r="O322" s="9">
        <f>IF(ISNA(MATCH(313,'Transfer Engine'!$C$2:$C$1960,0)),"",INDEX('Compliance Database'!$O$2:$O$1960,MATCH(313,'Transfer Engine'!$C$2:$C$1960,0)))</f>
        <v/>
      </c>
      <c r="P322" s="8">
        <f>IF(ISNA(MATCH(313,'Transfer Engine'!$C$2:$C$1960,0)),"",HYPERLINK("#Acts!A"&amp;INDEX('Compliance Database'!$P$2:$P$1960,MATCH(313,'Transfer Engine'!$C$2:$C$1960,0)),"Go to Act"))</f>
        <v/>
      </c>
    </row>
    <row r="323" ht="158" customHeight="1">
      <c r="A323" s="8">
        <f>IF(ISNA(MATCH(314,'Transfer Engine'!$C$2:$C$1960,0)),"",INDEX('Compliance Database'!$A$2:$A$1960,MATCH(314,'Transfer Engine'!$C$2:$C$1960,0)))</f>
        <v/>
      </c>
      <c r="B323" s="8">
        <f>IF(ISNA(MATCH(314,'Transfer Engine'!$C$2:$C$1960,0)),"",INDEX('Compliance Database'!$B$2:$B$1960,MATCH(314,'Transfer Engine'!$C$2:$C$1960,0)))</f>
        <v/>
      </c>
      <c r="C323" s="8">
        <f>IF(ISNA(MATCH(314,'Transfer Engine'!$C$2:$C$1960,0)),"",INDEX('Compliance Database'!$C$2:$C$1960,MATCH(314,'Transfer Engine'!$C$2:$C$1960,0)))</f>
        <v/>
      </c>
      <c r="D323" s="9">
        <f>IF(ISNA(MATCH(314,'Transfer Engine'!$C$2:$C$1960,0)),"",INDEX('Compliance Database'!$D$2:$D$1960,MATCH(314,'Transfer Engine'!$C$2:$C$1960,0)))</f>
        <v/>
      </c>
      <c r="E323" s="8">
        <f>IF(ISNA(MATCH(314,'Transfer Engine'!$C$2:$C$1960,0)),"",INDEX('Compliance Database'!$E$2:$E$1960,MATCH(314,'Transfer Engine'!$C$2:$C$1960,0)))</f>
        <v/>
      </c>
      <c r="F323" s="8">
        <f>IF(ISNA(MATCH(314,'Transfer Engine'!$C$2:$C$1960,0)),"",INDEX('Compliance Database'!$F$2:$F$1960,MATCH(314,'Transfer Engine'!$C$2:$C$1960,0)))</f>
        <v/>
      </c>
      <c r="G323" s="8">
        <f>IF(ISNA(MATCH(314,'Transfer Engine'!$C$2:$C$1960,0)),"",INDEX('Compliance Database'!$G$2:$G$1960,MATCH(314,'Transfer Engine'!$C$2:$C$1960,0)))</f>
        <v/>
      </c>
      <c r="H323" s="9">
        <f>IF(ISNA(MATCH(314,'Transfer Engine'!$C$2:$C$1960,0)),"",INDEX('Compliance Database'!$H$2:$H$1960,MATCH(314,'Transfer Engine'!$C$2:$C$1960,0)))</f>
        <v/>
      </c>
      <c r="I323" s="9">
        <f>IF(ISNA(MATCH(314,'Transfer Engine'!$C$2:$C$1960,0)),"",INDEX('Compliance Database'!$I$2:$I$1960,MATCH(314,'Transfer Engine'!$C$2:$C$1960,0)))</f>
        <v/>
      </c>
      <c r="J323" s="8">
        <f>IF(ISNA(MATCH(314,'Transfer Engine'!$C$2:$C$1960,0)),"",INDEX('Compliance Database'!$J$2:$J$1960,MATCH(314,'Transfer Engine'!$C$2:$C$1960,0)))</f>
        <v/>
      </c>
      <c r="K323" s="9">
        <f>IF(ISNA(MATCH(314,'Transfer Engine'!$C$2:$C$1960,0)),"",INDEX('Compliance Database'!$K$2:$K$1960,MATCH(314,'Transfer Engine'!$C$2:$C$1960,0)))</f>
        <v/>
      </c>
      <c r="L323" s="9">
        <f>IF(ISNA(MATCH(314,'Transfer Engine'!$C$2:$C$1960,0)),"",INDEX('Compliance Database'!$L$2:$L$1960,MATCH(314,'Transfer Engine'!$C$2:$C$1960,0)))</f>
        <v/>
      </c>
      <c r="M323" s="9">
        <f>IF(ISNA(MATCH(314,'Transfer Engine'!$C$2:$C$1960,0)),"",INDEX('Compliance Database'!$M$2:$M$1960,MATCH(314,'Transfer Engine'!$C$2:$C$1960,0)))</f>
        <v/>
      </c>
      <c r="N323" s="9">
        <f>IF(ISNA(MATCH(314,'Transfer Engine'!$C$2:$C$1960,0)),"",INDEX('Compliance Database'!$N$2:$N$1960,MATCH(314,'Transfer Engine'!$C$2:$C$1960,0)))</f>
        <v/>
      </c>
      <c r="O323" s="9">
        <f>IF(ISNA(MATCH(314,'Transfer Engine'!$C$2:$C$1960,0)),"",INDEX('Compliance Database'!$O$2:$O$1960,MATCH(314,'Transfer Engine'!$C$2:$C$1960,0)))</f>
        <v/>
      </c>
      <c r="P323" s="8">
        <f>IF(ISNA(MATCH(314,'Transfer Engine'!$C$2:$C$1960,0)),"",HYPERLINK("#Acts!A"&amp;INDEX('Compliance Database'!$P$2:$P$1960,MATCH(314,'Transfer Engine'!$C$2:$C$1960,0)),"Go to Act"))</f>
        <v/>
      </c>
    </row>
    <row r="324" ht="158" customHeight="1">
      <c r="A324" s="8">
        <f>IF(ISNA(MATCH(315,'Transfer Engine'!$C$2:$C$1960,0)),"",INDEX('Compliance Database'!$A$2:$A$1960,MATCH(315,'Transfer Engine'!$C$2:$C$1960,0)))</f>
        <v/>
      </c>
      <c r="B324" s="8">
        <f>IF(ISNA(MATCH(315,'Transfer Engine'!$C$2:$C$1960,0)),"",INDEX('Compliance Database'!$B$2:$B$1960,MATCH(315,'Transfer Engine'!$C$2:$C$1960,0)))</f>
        <v/>
      </c>
      <c r="C324" s="8">
        <f>IF(ISNA(MATCH(315,'Transfer Engine'!$C$2:$C$1960,0)),"",INDEX('Compliance Database'!$C$2:$C$1960,MATCH(315,'Transfer Engine'!$C$2:$C$1960,0)))</f>
        <v/>
      </c>
      <c r="D324" s="9">
        <f>IF(ISNA(MATCH(315,'Transfer Engine'!$C$2:$C$1960,0)),"",INDEX('Compliance Database'!$D$2:$D$1960,MATCH(315,'Transfer Engine'!$C$2:$C$1960,0)))</f>
        <v/>
      </c>
      <c r="E324" s="8">
        <f>IF(ISNA(MATCH(315,'Transfer Engine'!$C$2:$C$1960,0)),"",INDEX('Compliance Database'!$E$2:$E$1960,MATCH(315,'Transfer Engine'!$C$2:$C$1960,0)))</f>
        <v/>
      </c>
      <c r="F324" s="8">
        <f>IF(ISNA(MATCH(315,'Transfer Engine'!$C$2:$C$1960,0)),"",INDEX('Compliance Database'!$F$2:$F$1960,MATCH(315,'Transfer Engine'!$C$2:$C$1960,0)))</f>
        <v/>
      </c>
      <c r="G324" s="8">
        <f>IF(ISNA(MATCH(315,'Transfer Engine'!$C$2:$C$1960,0)),"",INDEX('Compliance Database'!$G$2:$G$1960,MATCH(315,'Transfer Engine'!$C$2:$C$1960,0)))</f>
        <v/>
      </c>
      <c r="H324" s="9">
        <f>IF(ISNA(MATCH(315,'Transfer Engine'!$C$2:$C$1960,0)),"",INDEX('Compliance Database'!$H$2:$H$1960,MATCH(315,'Transfer Engine'!$C$2:$C$1960,0)))</f>
        <v/>
      </c>
      <c r="I324" s="9">
        <f>IF(ISNA(MATCH(315,'Transfer Engine'!$C$2:$C$1960,0)),"",INDEX('Compliance Database'!$I$2:$I$1960,MATCH(315,'Transfer Engine'!$C$2:$C$1960,0)))</f>
        <v/>
      </c>
      <c r="J324" s="8">
        <f>IF(ISNA(MATCH(315,'Transfer Engine'!$C$2:$C$1960,0)),"",INDEX('Compliance Database'!$J$2:$J$1960,MATCH(315,'Transfer Engine'!$C$2:$C$1960,0)))</f>
        <v/>
      </c>
      <c r="K324" s="9">
        <f>IF(ISNA(MATCH(315,'Transfer Engine'!$C$2:$C$1960,0)),"",INDEX('Compliance Database'!$K$2:$K$1960,MATCH(315,'Transfer Engine'!$C$2:$C$1960,0)))</f>
        <v/>
      </c>
      <c r="L324" s="9">
        <f>IF(ISNA(MATCH(315,'Transfer Engine'!$C$2:$C$1960,0)),"",INDEX('Compliance Database'!$L$2:$L$1960,MATCH(315,'Transfer Engine'!$C$2:$C$1960,0)))</f>
        <v/>
      </c>
      <c r="M324" s="9">
        <f>IF(ISNA(MATCH(315,'Transfer Engine'!$C$2:$C$1960,0)),"",INDEX('Compliance Database'!$M$2:$M$1960,MATCH(315,'Transfer Engine'!$C$2:$C$1960,0)))</f>
        <v/>
      </c>
      <c r="N324" s="9">
        <f>IF(ISNA(MATCH(315,'Transfer Engine'!$C$2:$C$1960,0)),"",INDEX('Compliance Database'!$N$2:$N$1960,MATCH(315,'Transfer Engine'!$C$2:$C$1960,0)))</f>
        <v/>
      </c>
      <c r="O324" s="9">
        <f>IF(ISNA(MATCH(315,'Transfer Engine'!$C$2:$C$1960,0)),"",INDEX('Compliance Database'!$O$2:$O$1960,MATCH(315,'Transfer Engine'!$C$2:$C$1960,0)))</f>
        <v/>
      </c>
      <c r="P324" s="8">
        <f>IF(ISNA(MATCH(315,'Transfer Engine'!$C$2:$C$1960,0)),"",HYPERLINK("#Acts!A"&amp;INDEX('Compliance Database'!$P$2:$P$1960,MATCH(315,'Transfer Engine'!$C$2:$C$1960,0)),"Go to Act"))</f>
        <v/>
      </c>
    </row>
    <row r="325" ht="158" customHeight="1">
      <c r="A325" s="8">
        <f>IF(ISNA(MATCH(316,'Transfer Engine'!$C$2:$C$1960,0)),"",INDEX('Compliance Database'!$A$2:$A$1960,MATCH(316,'Transfer Engine'!$C$2:$C$1960,0)))</f>
        <v/>
      </c>
      <c r="B325" s="8">
        <f>IF(ISNA(MATCH(316,'Transfer Engine'!$C$2:$C$1960,0)),"",INDEX('Compliance Database'!$B$2:$B$1960,MATCH(316,'Transfer Engine'!$C$2:$C$1960,0)))</f>
        <v/>
      </c>
      <c r="C325" s="8">
        <f>IF(ISNA(MATCH(316,'Transfer Engine'!$C$2:$C$1960,0)),"",INDEX('Compliance Database'!$C$2:$C$1960,MATCH(316,'Transfer Engine'!$C$2:$C$1960,0)))</f>
        <v/>
      </c>
      <c r="D325" s="9">
        <f>IF(ISNA(MATCH(316,'Transfer Engine'!$C$2:$C$1960,0)),"",INDEX('Compliance Database'!$D$2:$D$1960,MATCH(316,'Transfer Engine'!$C$2:$C$1960,0)))</f>
        <v/>
      </c>
      <c r="E325" s="8">
        <f>IF(ISNA(MATCH(316,'Transfer Engine'!$C$2:$C$1960,0)),"",INDEX('Compliance Database'!$E$2:$E$1960,MATCH(316,'Transfer Engine'!$C$2:$C$1960,0)))</f>
        <v/>
      </c>
      <c r="F325" s="8">
        <f>IF(ISNA(MATCH(316,'Transfer Engine'!$C$2:$C$1960,0)),"",INDEX('Compliance Database'!$F$2:$F$1960,MATCH(316,'Transfer Engine'!$C$2:$C$1960,0)))</f>
        <v/>
      </c>
      <c r="G325" s="8">
        <f>IF(ISNA(MATCH(316,'Transfer Engine'!$C$2:$C$1960,0)),"",INDEX('Compliance Database'!$G$2:$G$1960,MATCH(316,'Transfer Engine'!$C$2:$C$1960,0)))</f>
        <v/>
      </c>
      <c r="H325" s="9">
        <f>IF(ISNA(MATCH(316,'Transfer Engine'!$C$2:$C$1960,0)),"",INDEX('Compliance Database'!$H$2:$H$1960,MATCH(316,'Transfer Engine'!$C$2:$C$1960,0)))</f>
        <v/>
      </c>
      <c r="I325" s="9">
        <f>IF(ISNA(MATCH(316,'Transfer Engine'!$C$2:$C$1960,0)),"",INDEX('Compliance Database'!$I$2:$I$1960,MATCH(316,'Transfer Engine'!$C$2:$C$1960,0)))</f>
        <v/>
      </c>
      <c r="J325" s="8">
        <f>IF(ISNA(MATCH(316,'Transfer Engine'!$C$2:$C$1960,0)),"",INDEX('Compliance Database'!$J$2:$J$1960,MATCH(316,'Transfer Engine'!$C$2:$C$1960,0)))</f>
        <v/>
      </c>
      <c r="K325" s="9">
        <f>IF(ISNA(MATCH(316,'Transfer Engine'!$C$2:$C$1960,0)),"",INDEX('Compliance Database'!$K$2:$K$1960,MATCH(316,'Transfer Engine'!$C$2:$C$1960,0)))</f>
        <v/>
      </c>
      <c r="L325" s="9">
        <f>IF(ISNA(MATCH(316,'Transfer Engine'!$C$2:$C$1960,0)),"",INDEX('Compliance Database'!$L$2:$L$1960,MATCH(316,'Transfer Engine'!$C$2:$C$1960,0)))</f>
        <v/>
      </c>
      <c r="M325" s="9">
        <f>IF(ISNA(MATCH(316,'Transfer Engine'!$C$2:$C$1960,0)),"",INDEX('Compliance Database'!$M$2:$M$1960,MATCH(316,'Transfer Engine'!$C$2:$C$1960,0)))</f>
        <v/>
      </c>
      <c r="N325" s="9">
        <f>IF(ISNA(MATCH(316,'Transfer Engine'!$C$2:$C$1960,0)),"",INDEX('Compliance Database'!$N$2:$N$1960,MATCH(316,'Transfer Engine'!$C$2:$C$1960,0)))</f>
        <v/>
      </c>
      <c r="O325" s="9">
        <f>IF(ISNA(MATCH(316,'Transfer Engine'!$C$2:$C$1960,0)),"",INDEX('Compliance Database'!$O$2:$O$1960,MATCH(316,'Transfer Engine'!$C$2:$C$1960,0)))</f>
        <v/>
      </c>
      <c r="P325" s="8">
        <f>IF(ISNA(MATCH(316,'Transfer Engine'!$C$2:$C$1960,0)),"",HYPERLINK("#Acts!A"&amp;INDEX('Compliance Database'!$P$2:$P$1960,MATCH(316,'Transfer Engine'!$C$2:$C$1960,0)),"Go to Act"))</f>
        <v/>
      </c>
    </row>
    <row r="326" ht="158" customHeight="1">
      <c r="A326" s="8">
        <f>IF(ISNA(MATCH(317,'Transfer Engine'!$C$2:$C$1960,0)),"",INDEX('Compliance Database'!$A$2:$A$1960,MATCH(317,'Transfer Engine'!$C$2:$C$1960,0)))</f>
        <v/>
      </c>
      <c r="B326" s="8">
        <f>IF(ISNA(MATCH(317,'Transfer Engine'!$C$2:$C$1960,0)),"",INDEX('Compliance Database'!$B$2:$B$1960,MATCH(317,'Transfer Engine'!$C$2:$C$1960,0)))</f>
        <v/>
      </c>
      <c r="C326" s="8">
        <f>IF(ISNA(MATCH(317,'Transfer Engine'!$C$2:$C$1960,0)),"",INDEX('Compliance Database'!$C$2:$C$1960,MATCH(317,'Transfer Engine'!$C$2:$C$1960,0)))</f>
        <v/>
      </c>
      <c r="D326" s="9">
        <f>IF(ISNA(MATCH(317,'Transfer Engine'!$C$2:$C$1960,0)),"",INDEX('Compliance Database'!$D$2:$D$1960,MATCH(317,'Transfer Engine'!$C$2:$C$1960,0)))</f>
        <v/>
      </c>
      <c r="E326" s="8">
        <f>IF(ISNA(MATCH(317,'Transfer Engine'!$C$2:$C$1960,0)),"",INDEX('Compliance Database'!$E$2:$E$1960,MATCH(317,'Transfer Engine'!$C$2:$C$1960,0)))</f>
        <v/>
      </c>
      <c r="F326" s="8">
        <f>IF(ISNA(MATCH(317,'Transfer Engine'!$C$2:$C$1960,0)),"",INDEX('Compliance Database'!$F$2:$F$1960,MATCH(317,'Transfer Engine'!$C$2:$C$1960,0)))</f>
        <v/>
      </c>
      <c r="G326" s="8">
        <f>IF(ISNA(MATCH(317,'Transfer Engine'!$C$2:$C$1960,0)),"",INDEX('Compliance Database'!$G$2:$G$1960,MATCH(317,'Transfer Engine'!$C$2:$C$1960,0)))</f>
        <v/>
      </c>
      <c r="H326" s="9">
        <f>IF(ISNA(MATCH(317,'Transfer Engine'!$C$2:$C$1960,0)),"",INDEX('Compliance Database'!$H$2:$H$1960,MATCH(317,'Transfer Engine'!$C$2:$C$1960,0)))</f>
        <v/>
      </c>
      <c r="I326" s="9">
        <f>IF(ISNA(MATCH(317,'Transfer Engine'!$C$2:$C$1960,0)),"",INDEX('Compliance Database'!$I$2:$I$1960,MATCH(317,'Transfer Engine'!$C$2:$C$1960,0)))</f>
        <v/>
      </c>
      <c r="J326" s="8">
        <f>IF(ISNA(MATCH(317,'Transfer Engine'!$C$2:$C$1960,0)),"",INDEX('Compliance Database'!$J$2:$J$1960,MATCH(317,'Transfer Engine'!$C$2:$C$1960,0)))</f>
        <v/>
      </c>
      <c r="K326" s="9">
        <f>IF(ISNA(MATCH(317,'Transfer Engine'!$C$2:$C$1960,0)),"",INDEX('Compliance Database'!$K$2:$K$1960,MATCH(317,'Transfer Engine'!$C$2:$C$1960,0)))</f>
        <v/>
      </c>
      <c r="L326" s="9">
        <f>IF(ISNA(MATCH(317,'Transfer Engine'!$C$2:$C$1960,0)),"",INDEX('Compliance Database'!$L$2:$L$1960,MATCH(317,'Transfer Engine'!$C$2:$C$1960,0)))</f>
        <v/>
      </c>
      <c r="M326" s="9">
        <f>IF(ISNA(MATCH(317,'Transfer Engine'!$C$2:$C$1960,0)),"",INDEX('Compliance Database'!$M$2:$M$1960,MATCH(317,'Transfer Engine'!$C$2:$C$1960,0)))</f>
        <v/>
      </c>
      <c r="N326" s="9">
        <f>IF(ISNA(MATCH(317,'Transfer Engine'!$C$2:$C$1960,0)),"",INDEX('Compliance Database'!$N$2:$N$1960,MATCH(317,'Transfer Engine'!$C$2:$C$1960,0)))</f>
        <v/>
      </c>
      <c r="O326" s="9">
        <f>IF(ISNA(MATCH(317,'Transfer Engine'!$C$2:$C$1960,0)),"",INDEX('Compliance Database'!$O$2:$O$1960,MATCH(317,'Transfer Engine'!$C$2:$C$1960,0)))</f>
        <v/>
      </c>
      <c r="P326" s="8">
        <f>IF(ISNA(MATCH(317,'Transfer Engine'!$C$2:$C$1960,0)),"",HYPERLINK("#Acts!A"&amp;INDEX('Compliance Database'!$P$2:$P$1960,MATCH(317,'Transfer Engine'!$C$2:$C$1960,0)),"Go to Act"))</f>
        <v/>
      </c>
    </row>
    <row r="327" ht="158" customHeight="1">
      <c r="A327" s="8">
        <f>IF(ISNA(MATCH(318,'Transfer Engine'!$C$2:$C$1960,0)),"",INDEX('Compliance Database'!$A$2:$A$1960,MATCH(318,'Transfer Engine'!$C$2:$C$1960,0)))</f>
        <v/>
      </c>
      <c r="B327" s="8">
        <f>IF(ISNA(MATCH(318,'Transfer Engine'!$C$2:$C$1960,0)),"",INDEX('Compliance Database'!$B$2:$B$1960,MATCH(318,'Transfer Engine'!$C$2:$C$1960,0)))</f>
        <v/>
      </c>
      <c r="C327" s="8">
        <f>IF(ISNA(MATCH(318,'Transfer Engine'!$C$2:$C$1960,0)),"",INDEX('Compliance Database'!$C$2:$C$1960,MATCH(318,'Transfer Engine'!$C$2:$C$1960,0)))</f>
        <v/>
      </c>
      <c r="D327" s="9">
        <f>IF(ISNA(MATCH(318,'Transfer Engine'!$C$2:$C$1960,0)),"",INDEX('Compliance Database'!$D$2:$D$1960,MATCH(318,'Transfer Engine'!$C$2:$C$1960,0)))</f>
        <v/>
      </c>
      <c r="E327" s="8">
        <f>IF(ISNA(MATCH(318,'Transfer Engine'!$C$2:$C$1960,0)),"",INDEX('Compliance Database'!$E$2:$E$1960,MATCH(318,'Transfer Engine'!$C$2:$C$1960,0)))</f>
        <v/>
      </c>
      <c r="F327" s="8">
        <f>IF(ISNA(MATCH(318,'Transfer Engine'!$C$2:$C$1960,0)),"",INDEX('Compliance Database'!$F$2:$F$1960,MATCH(318,'Transfer Engine'!$C$2:$C$1960,0)))</f>
        <v/>
      </c>
      <c r="G327" s="8">
        <f>IF(ISNA(MATCH(318,'Transfer Engine'!$C$2:$C$1960,0)),"",INDEX('Compliance Database'!$G$2:$G$1960,MATCH(318,'Transfer Engine'!$C$2:$C$1960,0)))</f>
        <v/>
      </c>
      <c r="H327" s="9">
        <f>IF(ISNA(MATCH(318,'Transfer Engine'!$C$2:$C$1960,0)),"",INDEX('Compliance Database'!$H$2:$H$1960,MATCH(318,'Transfer Engine'!$C$2:$C$1960,0)))</f>
        <v/>
      </c>
      <c r="I327" s="9">
        <f>IF(ISNA(MATCH(318,'Transfer Engine'!$C$2:$C$1960,0)),"",INDEX('Compliance Database'!$I$2:$I$1960,MATCH(318,'Transfer Engine'!$C$2:$C$1960,0)))</f>
        <v/>
      </c>
      <c r="J327" s="8">
        <f>IF(ISNA(MATCH(318,'Transfer Engine'!$C$2:$C$1960,0)),"",INDEX('Compliance Database'!$J$2:$J$1960,MATCH(318,'Transfer Engine'!$C$2:$C$1960,0)))</f>
        <v/>
      </c>
      <c r="K327" s="9">
        <f>IF(ISNA(MATCH(318,'Transfer Engine'!$C$2:$C$1960,0)),"",INDEX('Compliance Database'!$K$2:$K$1960,MATCH(318,'Transfer Engine'!$C$2:$C$1960,0)))</f>
        <v/>
      </c>
      <c r="L327" s="9">
        <f>IF(ISNA(MATCH(318,'Transfer Engine'!$C$2:$C$1960,0)),"",INDEX('Compliance Database'!$L$2:$L$1960,MATCH(318,'Transfer Engine'!$C$2:$C$1960,0)))</f>
        <v/>
      </c>
      <c r="M327" s="9">
        <f>IF(ISNA(MATCH(318,'Transfer Engine'!$C$2:$C$1960,0)),"",INDEX('Compliance Database'!$M$2:$M$1960,MATCH(318,'Transfer Engine'!$C$2:$C$1960,0)))</f>
        <v/>
      </c>
      <c r="N327" s="9">
        <f>IF(ISNA(MATCH(318,'Transfer Engine'!$C$2:$C$1960,0)),"",INDEX('Compliance Database'!$N$2:$N$1960,MATCH(318,'Transfer Engine'!$C$2:$C$1960,0)))</f>
        <v/>
      </c>
      <c r="O327" s="9">
        <f>IF(ISNA(MATCH(318,'Transfer Engine'!$C$2:$C$1960,0)),"",INDEX('Compliance Database'!$O$2:$O$1960,MATCH(318,'Transfer Engine'!$C$2:$C$1960,0)))</f>
        <v/>
      </c>
      <c r="P327" s="8">
        <f>IF(ISNA(MATCH(318,'Transfer Engine'!$C$2:$C$1960,0)),"",HYPERLINK("#Acts!A"&amp;INDEX('Compliance Database'!$P$2:$P$1960,MATCH(318,'Transfer Engine'!$C$2:$C$1960,0)),"Go to Act"))</f>
        <v/>
      </c>
    </row>
    <row r="328" ht="158" customHeight="1">
      <c r="A328" s="8">
        <f>IF(ISNA(MATCH(319,'Transfer Engine'!$C$2:$C$1960,0)),"",INDEX('Compliance Database'!$A$2:$A$1960,MATCH(319,'Transfer Engine'!$C$2:$C$1960,0)))</f>
        <v/>
      </c>
      <c r="B328" s="8">
        <f>IF(ISNA(MATCH(319,'Transfer Engine'!$C$2:$C$1960,0)),"",INDEX('Compliance Database'!$B$2:$B$1960,MATCH(319,'Transfer Engine'!$C$2:$C$1960,0)))</f>
        <v/>
      </c>
      <c r="C328" s="8">
        <f>IF(ISNA(MATCH(319,'Transfer Engine'!$C$2:$C$1960,0)),"",INDEX('Compliance Database'!$C$2:$C$1960,MATCH(319,'Transfer Engine'!$C$2:$C$1960,0)))</f>
        <v/>
      </c>
      <c r="D328" s="9">
        <f>IF(ISNA(MATCH(319,'Transfer Engine'!$C$2:$C$1960,0)),"",INDEX('Compliance Database'!$D$2:$D$1960,MATCH(319,'Transfer Engine'!$C$2:$C$1960,0)))</f>
        <v/>
      </c>
      <c r="E328" s="8">
        <f>IF(ISNA(MATCH(319,'Transfer Engine'!$C$2:$C$1960,0)),"",INDEX('Compliance Database'!$E$2:$E$1960,MATCH(319,'Transfer Engine'!$C$2:$C$1960,0)))</f>
        <v/>
      </c>
      <c r="F328" s="8">
        <f>IF(ISNA(MATCH(319,'Transfer Engine'!$C$2:$C$1960,0)),"",INDEX('Compliance Database'!$F$2:$F$1960,MATCH(319,'Transfer Engine'!$C$2:$C$1960,0)))</f>
        <v/>
      </c>
      <c r="G328" s="8">
        <f>IF(ISNA(MATCH(319,'Transfer Engine'!$C$2:$C$1960,0)),"",INDEX('Compliance Database'!$G$2:$G$1960,MATCH(319,'Transfer Engine'!$C$2:$C$1960,0)))</f>
        <v/>
      </c>
      <c r="H328" s="9">
        <f>IF(ISNA(MATCH(319,'Transfer Engine'!$C$2:$C$1960,0)),"",INDEX('Compliance Database'!$H$2:$H$1960,MATCH(319,'Transfer Engine'!$C$2:$C$1960,0)))</f>
        <v/>
      </c>
      <c r="I328" s="9">
        <f>IF(ISNA(MATCH(319,'Transfer Engine'!$C$2:$C$1960,0)),"",INDEX('Compliance Database'!$I$2:$I$1960,MATCH(319,'Transfer Engine'!$C$2:$C$1960,0)))</f>
        <v/>
      </c>
      <c r="J328" s="8">
        <f>IF(ISNA(MATCH(319,'Transfer Engine'!$C$2:$C$1960,0)),"",INDEX('Compliance Database'!$J$2:$J$1960,MATCH(319,'Transfer Engine'!$C$2:$C$1960,0)))</f>
        <v/>
      </c>
      <c r="K328" s="9">
        <f>IF(ISNA(MATCH(319,'Transfer Engine'!$C$2:$C$1960,0)),"",INDEX('Compliance Database'!$K$2:$K$1960,MATCH(319,'Transfer Engine'!$C$2:$C$1960,0)))</f>
        <v/>
      </c>
      <c r="L328" s="9">
        <f>IF(ISNA(MATCH(319,'Transfer Engine'!$C$2:$C$1960,0)),"",INDEX('Compliance Database'!$L$2:$L$1960,MATCH(319,'Transfer Engine'!$C$2:$C$1960,0)))</f>
        <v/>
      </c>
      <c r="M328" s="9">
        <f>IF(ISNA(MATCH(319,'Transfer Engine'!$C$2:$C$1960,0)),"",INDEX('Compliance Database'!$M$2:$M$1960,MATCH(319,'Transfer Engine'!$C$2:$C$1960,0)))</f>
        <v/>
      </c>
      <c r="N328" s="9">
        <f>IF(ISNA(MATCH(319,'Transfer Engine'!$C$2:$C$1960,0)),"",INDEX('Compliance Database'!$N$2:$N$1960,MATCH(319,'Transfer Engine'!$C$2:$C$1960,0)))</f>
        <v/>
      </c>
      <c r="O328" s="9">
        <f>IF(ISNA(MATCH(319,'Transfer Engine'!$C$2:$C$1960,0)),"",INDEX('Compliance Database'!$O$2:$O$1960,MATCH(319,'Transfer Engine'!$C$2:$C$1960,0)))</f>
        <v/>
      </c>
      <c r="P328" s="8">
        <f>IF(ISNA(MATCH(319,'Transfer Engine'!$C$2:$C$1960,0)),"",HYPERLINK("#Acts!A"&amp;INDEX('Compliance Database'!$P$2:$P$1960,MATCH(319,'Transfer Engine'!$C$2:$C$1960,0)),"Go to Act"))</f>
        <v/>
      </c>
    </row>
    <row r="329" ht="158" customHeight="1">
      <c r="A329" s="8">
        <f>IF(ISNA(MATCH(320,'Transfer Engine'!$C$2:$C$1960,0)),"",INDEX('Compliance Database'!$A$2:$A$1960,MATCH(320,'Transfer Engine'!$C$2:$C$1960,0)))</f>
        <v/>
      </c>
      <c r="B329" s="8">
        <f>IF(ISNA(MATCH(320,'Transfer Engine'!$C$2:$C$1960,0)),"",INDEX('Compliance Database'!$B$2:$B$1960,MATCH(320,'Transfer Engine'!$C$2:$C$1960,0)))</f>
        <v/>
      </c>
      <c r="C329" s="8">
        <f>IF(ISNA(MATCH(320,'Transfer Engine'!$C$2:$C$1960,0)),"",INDEX('Compliance Database'!$C$2:$C$1960,MATCH(320,'Transfer Engine'!$C$2:$C$1960,0)))</f>
        <v/>
      </c>
      <c r="D329" s="9">
        <f>IF(ISNA(MATCH(320,'Transfer Engine'!$C$2:$C$1960,0)),"",INDEX('Compliance Database'!$D$2:$D$1960,MATCH(320,'Transfer Engine'!$C$2:$C$1960,0)))</f>
        <v/>
      </c>
      <c r="E329" s="8">
        <f>IF(ISNA(MATCH(320,'Transfer Engine'!$C$2:$C$1960,0)),"",INDEX('Compliance Database'!$E$2:$E$1960,MATCH(320,'Transfer Engine'!$C$2:$C$1960,0)))</f>
        <v/>
      </c>
      <c r="F329" s="8">
        <f>IF(ISNA(MATCH(320,'Transfer Engine'!$C$2:$C$1960,0)),"",INDEX('Compliance Database'!$F$2:$F$1960,MATCH(320,'Transfer Engine'!$C$2:$C$1960,0)))</f>
        <v/>
      </c>
      <c r="G329" s="8">
        <f>IF(ISNA(MATCH(320,'Transfer Engine'!$C$2:$C$1960,0)),"",INDEX('Compliance Database'!$G$2:$G$1960,MATCH(320,'Transfer Engine'!$C$2:$C$1960,0)))</f>
        <v/>
      </c>
      <c r="H329" s="9">
        <f>IF(ISNA(MATCH(320,'Transfer Engine'!$C$2:$C$1960,0)),"",INDEX('Compliance Database'!$H$2:$H$1960,MATCH(320,'Transfer Engine'!$C$2:$C$1960,0)))</f>
        <v/>
      </c>
      <c r="I329" s="9">
        <f>IF(ISNA(MATCH(320,'Transfer Engine'!$C$2:$C$1960,0)),"",INDEX('Compliance Database'!$I$2:$I$1960,MATCH(320,'Transfer Engine'!$C$2:$C$1960,0)))</f>
        <v/>
      </c>
      <c r="J329" s="8">
        <f>IF(ISNA(MATCH(320,'Transfer Engine'!$C$2:$C$1960,0)),"",INDEX('Compliance Database'!$J$2:$J$1960,MATCH(320,'Transfer Engine'!$C$2:$C$1960,0)))</f>
        <v/>
      </c>
      <c r="K329" s="9">
        <f>IF(ISNA(MATCH(320,'Transfer Engine'!$C$2:$C$1960,0)),"",INDEX('Compliance Database'!$K$2:$K$1960,MATCH(320,'Transfer Engine'!$C$2:$C$1960,0)))</f>
        <v/>
      </c>
      <c r="L329" s="9">
        <f>IF(ISNA(MATCH(320,'Transfer Engine'!$C$2:$C$1960,0)),"",INDEX('Compliance Database'!$L$2:$L$1960,MATCH(320,'Transfer Engine'!$C$2:$C$1960,0)))</f>
        <v/>
      </c>
      <c r="M329" s="9">
        <f>IF(ISNA(MATCH(320,'Transfer Engine'!$C$2:$C$1960,0)),"",INDEX('Compliance Database'!$M$2:$M$1960,MATCH(320,'Transfer Engine'!$C$2:$C$1960,0)))</f>
        <v/>
      </c>
      <c r="N329" s="9">
        <f>IF(ISNA(MATCH(320,'Transfer Engine'!$C$2:$C$1960,0)),"",INDEX('Compliance Database'!$N$2:$N$1960,MATCH(320,'Transfer Engine'!$C$2:$C$1960,0)))</f>
        <v/>
      </c>
      <c r="O329" s="9">
        <f>IF(ISNA(MATCH(320,'Transfer Engine'!$C$2:$C$1960,0)),"",INDEX('Compliance Database'!$O$2:$O$1960,MATCH(320,'Transfer Engine'!$C$2:$C$1960,0)))</f>
        <v/>
      </c>
      <c r="P329" s="8">
        <f>IF(ISNA(MATCH(320,'Transfer Engine'!$C$2:$C$1960,0)),"",HYPERLINK("#Acts!A"&amp;INDEX('Compliance Database'!$P$2:$P$1960,MATCH(320,'Transfer Engine'!$C$2:$C$1960,0)),"Go to Act"))</f>
        <v/>
      </c>
    </row>
    <row r="330" ht="158" customHeight="1">
      <c r="A330" s="8">
        <f>IF(ISNA(MATCH(321,'Transfer Engine'!$C$2:$C$1960,0)),"",INDEX('Compliance Database'!$A$2:$A$1960,MATCH(321,'Transfer Engine'!$C$2:$C$1960,0)))</f>
        <v/>
      </c>
      <c r="B330" s="8">
        <f>IF(ISNA(MATCH(321,'Transfer Engine'!$C$2:$C$1960,0)),"",INDEX('Compliance Database'!$B$2:$B$1960,MATCH(321,'Transfer Engine'!$C$2:$C$1960,0)))</f>
        <v/>
      </c>
      <c r="C330" s="8">
        <f>IF(ISNA(MATCH(321,'Transfer Engine'!$C$2:$C$1960,0)),"",INDEX('Compliance Database'!$C$2:$C$1960,MATCH(321,'Transfer Engine'!$C$2:$C$1960,0)))</f>
        <v/>
      </c>
      <c r="D330" s="9">
        <f>IF(ISNA(MATCH(321,'Transfer Engine'!$C$2:$C$1960,0)),"",INDEX('Compliance Database'!$D$2:$D$1960,MATCH(321,'Transfer Engine'!$C$2:$C$1960,0)))</f>
        <v/>
      </c>
      <c r="E330" s="8">
        <f>IF(ISNA(MATCH(321,'Transfer Engine'!$C$2:$C$1960,0)),"",INDEX('Compliance Database'!$E$2:$E$1960,MATCH(321,'Transfer Engine'!$C$2:$C$1960,0)))</f>
        <v/>
      </c>
      <c r="F330" s="8">
        <f>IF(ISNA(MATCH(321,'Transfer Engine'!$C$2:$C$1960,0)),"",INDEX('Compliance Database'!$F$2:$F$1960,MATCH(321,'Transfer Engine'!$C$2:$C$1960,0)))</f>
        <v/>
      </c>
      <c r="G330" s="8">
        <f>IF(ISNA(MATCH(321,'Transfer Engine'!$C$2:$C$1960,0)),"",INDEX('Compliance Database'!$G$2:$G$1960,MATCH(321,'Transfer Engine'!$C$2:$C$1960,0)))</f>
        <v/>
      </c>
      <c r="H330" s="9">
        <f>IF(ISNA(MATCH(321,'Transfer Engine'!$C$2:$C$1960,0)),"",INDEX('Compliance Database'!$H$2:$H$1960,MATCH(321,'Transfer Engine'!$C$2:$C$1960,0)))</f>
        <v/>
      </c>
      <c r="I330" s="9">
        <f>IF(ISNA(MATCH(321,'Transfer Engine'!$C$2:$C$1960,0)),"",INDEX('Compliance Database'!$I$2:$I$1960,MATCH(321,'Transfer Engine'!$C$2:$C$1960,0)))</f>
        <v/>
      </c>
      <c r="J330" s="8">
        <f>IF(ISNA(MATCH(321,'Transfer Engine'!$C$2:$C$1960,0)),"",INDEX('Compliance Database'!$J$2:$J$1960,MATCH(321,'Transfer Engine'!$C$2:$C$1960,0)))</f>
        <v/>
      </c>
      <c r="K330" s="9">
        <f>IF(ISNA(MATCH(321,'Transfer Engine'!$C$2:$C$1960,0)),"",INDEX('Compliance Database'!$K$2:$K$1960,MATCH(321,'Transfer Engine'!$C$2:$C$1960,0)))</f>
        <v/>
      </c>
      <c r="L330" s="9">
        <f>IF(ISNA(MATCH(321,'Transfer Engine'!$C$2:$C$1960,0)),"",INDEX('Compliance Database'!$L$2:$L$1960,MATCH(321,'Transfer Engine'!$C$2:$C$1960,0)))</f>
        <v/>
      </c>
      <c r="M330" s="9">
        <f>IF(ISNA(MATCH(321,'Transfer Engine'!$C$2:$C$1960,0)),"",INDEX('Compliance Database'!$M$2:$M$1960,MATCH(321,'Transfer Engine'!$C$2:$C$1960,0)))</f>
        <v/>
      </c>
      <c r="N330" s="9">
        <f>IF(ISNA(MATCH(321,'Transfer Engine'!$C$2:$C$1960,0)),"",INDEX('Compliance Database'!$N$2:$N$1960,MATCH(321,'Transfer Engine'!$C$2:$C$1960,0)))</f>
        <v/>
      </c>
      <c r="O330" s="9">
        <f>IF(ISNA(MATCH(321,'Transfer Engine'!$C$2:$C$1960,0)),"",INDEX('Compliance Database'!$O$2:$O$1960,MATCH(321,'Transfer Engine'!$C$2:$C$1960,0)))</f>
        <v/>
      </c>
      <c r="P330" s="8">
        <f>IF(ISNA(MATCH(321,'Transfer Engine'!$C$2:$C$1960,0)),"",HYPERLINK("#Acts!A"&amp;INDEX('Compliance Database'!$P$2:$P$1960,MATCH(321,'Transfer Engine'!$C$2:$C$1960,0)),"Go to Act"))</f>
        <v/>
      </c>
    </row>
    <row r="331" ht="158" customHeight="1">
      <c r="A331" s="8">
        <f>IF(ISNA(MATCH(322,'Transfer Engine'!$C$2:$C$1960,0)),"",INDEX('Compliance Database'!$A$2:$A$1960,MATCH(322,'Transfer Engine'!$C$2:$C$1960,0)))</f>
        <v/>
      </c>
      <c r="B331" s="8">
        <f>IF(ISNA(MATCH(322,'Transfer Engine'!$C$2:$C$1960,0)),"",INDEX('Compliance Database'!$B$2:$B$1960,MATCH(322,'Transfer Engine'!$C$2:$C$1960,0)))</f>
        <v/>
      </c>
      <c r="C331" s="8">
        <f>IF(ISNA(MATCH(322,'Transfer Engine'!$C$2:$C$1960,0)),"",INDEX('Compliance Database'!$C$2:$C$1960,MATCH(322,'Transfer Engine'!$C$2:$C$1960,0)))</f>
        <v/>
      </c>
      <c r="D331" s="9">
        <f>IF(ISNA(MATCH(322,'Transfer Engine'!$C$2:$C$1960,0)),"",INDEX('Compliance Database'!$D$2:$D$1960,MATCH(322,'Transfer Engine'!$C$2:$C$1960,0)))</f>
        <v/>
      </c>
      <c r="E331" s="8">
        <f>IF(ISNA(MATCH(322,'Transfer Engine'!$C$2:$C$1960,0)),"",INDEX('Compliance Database'!$E$2:$E$1960,MATCH(322,'Transfer Engine'!$C$2:$C$1960,0)))</f>
        <v/>
      </c>
      <c r="F331" s="8">
        <f>IF(ISNA(MATCH(322,'Transfer Engine'!$C$2:$C$1960,0)),"",INDEX('Compliance Database'!$F$2:$F$1960,MATCH(322,'Transfer Engine'!$C$2:$C$1960,0)))</f>
        <v/>
      </c>
      <c r="G331" s="8">
        <f>IF(ISNA(MATCH(322,'Transfer Engine'!$C$2:$C$1960,0)),"",INDEX('Compliance Database'!$G$2:$G$1960,MATCH(322,'Transfer Engine'!$C$2:$C$1960,0)))</f>
        <v/>
      </c>
      <c r="H331" s="9">
        <f>IF(ISNA(MATCH(322,'Transfer Engine'!$C$2:$C$1960,0)),"",INDEX('Compliance Database'!$H$2:$H$1960,MATCH(322,'Transfer Engine'!$C$2:$C$1960,0)))</f>
        <v/>
      </c>
      <c r="I331" s="9">
        <f>IF(ISNA(MATCH(322,'Transfer Engine'!$C$2:$C$1960,0)),"",INDEX('Compliance Database'!$I$2:$I$1960,MATCH(322,'Transfer Engine'!$C$2:$C$1960,0)))</f>
        <v/>
      </c>
      <c r="J331" s="8">
        <f>IF(ISNA(MATCH(322,'Transfer Engine'!$C$2:$C$1960,0)),"",INDEX('Compliance Database'!$J$2:$J$1960,MATCH(322,'Transfer Engine'!$C$2:$C$1960,0)))</f>
        <v/>
      </c>
      <c r="K331" s="9">
        <f>IF(ISNA(MATCH(322,'Transfer Engine'!$C$2:$C$1960,0)),"",INDEX('Compliance Database'!$K$2:$K$1960,MATCH(322,'Transfer Engine'!$C$2:$C$1960,0)))</f>
        <v/>
      </c>
      <c r="L331" s="9">
        <f>IF(ISNA(MATCH(322,'Transfer Engine'!$C$2:$C$1960,0)),"",INDEX('Compliance Database'!$L$2:$L$1960,MATCH(322,'Transfer Engine'!$C$2:$C$1960,0)))</f>
        <v/>
      </c>
      <c r="M331" s="9">
        <f>IF(ISNA(MATCH(322,'Transfer Engine'!$C$2:$C$1960,0)),"",INDEX('Compliance Database'!$M$2:$M$1960,MATCH(322,'Transfer Engine'!$C$2:$C$1960,0)))</f>
        <v/>
      </c>
      <c r="N331" s="9">
        <f>IF(ISNA(MATCH(322,'Transfer Engine'!$C$2:$C$1960,0)),"",INDEX('Compliance Database'!$N$2:$N$1960,MATCH(322,'Transfer Engine'!$C$2:$C$1960,0)))</f>
        <v/>
      </c>
      <c r="O331" s="9">
        <f>IF(ISNA(MATCH(322,'Transfer Engine'!$C$2:$C$1960,0)),"",INDEX('Compliance Database'!$O$2:$O$1960,MATCH(322,'Transfer Engine'!$C$2:$C$1960,0)))</f>
        <v/>
      </c>
      <c r="P331" s="8">
        <f>IF(ISNA(MATCH(322,'Transfer Engine'!$C$2:$C$1960,0)),"",HYPERLINK("#Acts!A"&amp;INDEX('Compliance Database'!$P$2:$P$1960,MATCH(322,'Transfer Engine'!$C$2:$C$1960,0)),"Go to Act"))</f>
        <v/>
      </c>
    </row>
    <row r="332" ht="158" customHeight="1">
      <c r="A332" s="8">
        <f>IF(ISNA(MATCH(323,'Transfer Engine'!$C$2:$C$1960,0)),"",INDEX('Compliance Database'!$A$2:$A$1960,MATCH(323,'Transfer Engine'!$C$2:$C$1960,0)))</f>
        <v/>
      </c>
      <c r="B332" s="8">
        <f>IF(ISNA(MATCH(323,'Transfer Engine'!$C$2:$C$1960,0)),"",INDEX('Compliance Database'!$B$2:$B$1960,MATCH(323,'Transfer Engine'!$C$2:$C$1960,0)))</f>
        <v/>
      </c>
      <c r="C332" s="8">
        <f>IF(ISNA(MATCH(323,'Transfer Engine'!$C$2:$C$1960,0)),"",INDEX('Compliance Database'!$C$2:$C$1960,MATCH(323,'Transfer Engine'!$C$2:$C$1960,0)))</f>
        <v/>
      </c>
      <c r="D332" s="9">
        <f>IF(ISNA(MATCH(323,'Transfer Engine'!$C$2:$C$1960,0)),"",INDEX('Compliance Database'!$D$2:$D$1960,MATCH(323,'Transfer Engine'!$C$2:$C$1960,0)))</f>
        <v/>
      </c>
      <c r="E332" s="8">
        <f>IF(ISNA(MATCH(323,'Transfer Engine'!$C$2:$C$1960,0)),"",INDEX('Compliance Database'!$E$2:$E$1960,MATCH(323,'Transfer Engine'!$C$2:$C$1960,0)))</f>
        <v/>
      </c>
      <c r="F332" s="8">
        <f>IF(ISNA(MATCH(323,'Transfer Engine'!$C$2:$C$1960,0)),"",INDEX('Compliance Database'!$F$2:$F$1960,MATCH(323,'Transfer Engine'!$C$2:$C$1960,0)))</f>
        <v/>
      </c>
      <c r="G332" s="8">
        <f>IF(ISNA(MATCH(323,'Transfer Engine'!$C$2:$C$1960,0)),"",INDEX('Compliance Database'!$G$2:$G$1960,MATCH(323,'Transfer Engine'!$C$2:$C$1960,0)))</f>
        <v/>
      </c>
      <c r="H332" s="9">
        <f>IF(ISNA(MATCH(323,'Transfer Engine'!$C$2:$C$1960,0)),"",INDEX('Compliance Database'!$H$2:$H$1960,MATCH(323,'Transfer Engine'!$C$2:$C$1960,0)))</f>
        <v/>
      </c>
      <c r="I332" s="9">
        <f>IF(ISNA(MATCH(323,'Transfer Engine'!$C$2:$C$1960,0)),"",INDEX('Compliance Database'!$I$2:$I$1960,MATCH(323,'Transfer Engine'!$C$2:$C$1960,0)))</f>
        <v/>
      </c>
      <c r="J332" s="8">
        <f>IF(ISNA(MATCH(323,'Transfer Engine'!$C$2:$C$1960,0)),"",INDEX('Compliance Database'!$J$2:$J$1960,MATCH(323,'Transfer Engine'!$C$2:$C$1960,0)))</f>
        <v/>
      </c>
      <c r="K332" s="9">
        <f>IF(ISNA(MATCH(323,'Transfer Engine'!$C$2:$C$1960,0)),"",INDEX('Compliance Database'!$K$2:$K$1960,MATCH(323,'Transfer Engine'!$C$2:$C$1960,0)))</f>
        <v/>
      </c>
      <c r="L332" s="9">
        <f>IF(ISNA(MATCH(323,'Transfer Engine'!$C$2:$C$1960,0)),"",INDEX('Compliance Database'!$L$2:$L$1960,MATCH(323,'Transfer Engine'!$C$2:$C$1960,0)))</f>
        <v/>
      </c>
      <c r="M332" s="9">
        <f>IF(ISNA(MATCH(323,'Transfer Engine'!$C$2:$C$1960,0)),"",INDEX('Compliance Database'!$M$2:$M$1960,MATCH(323,'Transfer Engine'!$C$2:$C$1960,0)))</f>
        <v/>
      </c>
      <c r="N332" s="9">
        <f>IF(ISNA(MATCH(323,'Transfer Engine'!$C$2:$C$1960,0)),"",INDEX('Compliance Database'!$N$2:$N$1960,MATCH(323,'Transfer Engine'!$C$2:$C$1960,0)))</f>
        <v/>
      </c>
      <c r="O332" s="9">
        <f>IF(ISNA(MATCH(323,'Transfer Engine'!$C$2:$C$1960,0)),"",INDEX('Compliance Database'!$O$2:$O$1960,MATCH(323,'Transfer Engine'!$C$2:$C$1960,0)))</f>
        <v/>
      </c>
      <c r="P332" s="8">
        <f>IF(ISNA(MATCH(323,'Transfer Engine'!$C$2:$C$1960,0)),"",HYPERLINK("#Acts!A"&amp;INDEX('Compliance Database'!$P$2:$P$1960,MATCH(323,'Transfer Engine'!$C$2:$C$1960,0)),"Go to Act"))</f>
        <v/>
      </c>
    </row>
    <row r="333" ht="158" customHeight="1">
      <c r="A333" s="8">
        <f>IF(ISNA(MATCH(324,'Transfer Engine'!$C$2:$C$1960,0)),"",INDEX('Compliance Database'!$A$2:$A$1960,MATCH(324,'Transfer Engine'!$C$2:$C$1960,0)))</f>
        <v/>
      </c>
      <c r="B333" s="8">
        <f>IF(ISNA(MATCH(324,'Transfer Engine'!$C$2:$C$1960,0)),"",INDEX('Compliance Database'!$B$2:$B$1960,MATCH(324,'Transfer Engine'!$C$2:$C$1960,0)))</f>
        <v/>
      </c>
      <c r="C333" s="8">
        <f>IF(ISNA(MATCH(324,'Transfer Engine'!$C$2:$C$1960,0)),"",INDEX('Compliance Database'!$C$2:$C$1960,MATCH(324,'Transfer Engine'!$C$2:$C$1960,0)))</f>
        <v/>
      </c>
      <c r="D333" s="9">
        <f>IF(ISNA(MATCH(324,'Transfer Engine'!$C$2:$C$1960,0)),"",INDEX('Compliance Database'!$D$2:$D$1960,MATCH(324,'Transfer Engine'!$C$2:$C$1960,0)))</f>
        <v/>
      </c>
      <c r="E333" s="8">
        <f>IF(ISNA(MATCH(324,'Transfer Engine'!$C$2:$C$1960,0)),"",INDEX('Compliance Database'!$E$2:$E$1960,MATCH(324,'Transfer Engine'!$C$2:$C$1960,0)))</f>
        <v/>
      </c>
      <c r="F333" s="8">
        <f>IF(ISNA(MATCH(324,'Transfer Engine'!$C$2:$C$1960,0)),"",INDEX('Compliance Database'!$F$2:$F$1960,MATCH(324,'Transfer Engine'!$C$2:$C$1960,0)))</f>
        <v/>
      </c>
      <c r="G333" s="8">
        <f>IF(ISNA(MATCH(324,'Transfer Engine'!$C$2:$C$1960,0)),"",INDEX('Compliance Database'!$G$2:$G$1960,MATCH(324,'Transfer Engine'!$C$2:$C$1960,0)))</f>
        <v/>
      </c>
      <c r="H333" s="9">
        <f>IF(ISNA(MATCH(324,'Transfer Engine'!$C$2:$C$1960,0)),"",INDEX('Compliance Database'!$H$2:$H$1960,MATCH(324,'Transfer Engine'!$C$2:$C$1960,0)))</f>
        <v/>
      </c>
      <c r="I333" s="9">
        <f>IF(ISNA(MATCH(324,'Transfer Engine'!$C$2:$C$1960,0)),"",INDEX('Compliance Database'!$I$2:$I$1960,MATCH(324,'Transfer Engine'!$C$2:$C$1960,0)))</f>
        <v/>
      </c>
      <c r="J333" s="8">
        <f>IF(ISNA(MATCH(324,'Transfer Engine'!$C$2:$C$1960,0)),"",INDEX('Compliance Database'!$J$2:$J$1960,MATCH(324,'Transfer Engine'!$C$2:$C$1960,0)))</f>
        <v/>
      </c>
      <c r="K333" s="9">
        <f>IF(ISNA(MATCH(324,'Transfer Engine'!$C$2:$C$1960,0)),"",INDEX('Compliance Database'!$K$2:$K$1960,MATCH(324,'Transfer Engine'!$C$2:$C$1960,0)))</f>
        <v/>
      </c>
      <c r="L333" s="9">
        <f>IF(ISNA(MATCH(324,'Transfer Engine'!$C$2:$C$1960,0)),"",INDEX('Compliance Database'!$L$2:$L$1960,MATCH(324,'Transfer Engine'!$C$2:$C$1960,0)))</f>
        <v/>
      </c>
      <c r="M333" s="9">
        <f>IF(ISNA(MATCH(324,'Transfer Engine'!$C$2:$C$1960,0)),"",INDEX('Compliance Database'!$M$2:$M$1960,MATCH(324,'Transfer Engine'!$C$2:$C$1960,0)))</f>
        <v/>
      </c>
      <c r="N333" s="9">
        <f>IF(ISNA(MATCH(324,'Transfer Engine'!$C$2:$C$1960,0)),"",INDEX('Compliance Database'!$N$2:$N$1960,MATCH(324,'Transfer Engine'!$C$2:$C$1960,0)))</f>
        <v/>
      </c>
      <c r="O333" s="9">
        <f>IF(ISNA(MATCH(324,'Transfer Engine'!$C$2:$C$1960,0)),"",INDEX('Compliance Database'!$O$2:$O$1960,MATCH(324,'Transfer Engine'!$C$2:$C$1960,0)))</f>
        <v/>
      </c>
      <c r="P333" s="8">
        <f>IF(ISNA(MATCH(324,'Transfer Engine'!$C$2:$C$1960,0)),"",HYPERLINK("#Acts!A"&amp;INDEX('Compliance Database'!$P$2:$P$1960,MATCH(324,'Transfer Engine'!$C$2:$C$1960,0)),"Go to Act"))</f>
        <v/>
      </c>
    </row>
    <row r="334" ht="158" customHeight="1">
      <c r="A334" s="8">
        <f>IF(ISNA(MATCH(325,'Transfer Engine'!$C$2:$C$1960,0)),"",INDEX('Compliance Database'!$A$2:$A$1960,MATCH(325,'Transfer Engine'!$C$2:$C$1960,0)))</f>
        <v/>
      </c>
      <c r="B334" s="8">
        <f>IF(ISNA(MATCH(325,'Transfer Engine'!$C$2:$C$1960,0)),"",INDEX('Compliance Database'!$B$2:$B$1960,MATCH(325,'Transfer Engine'!$C$2:$C$1960,0)))</f>
        <v/>
      </c>
      <c r="C334" s="8">
        <f>IF(ISNA(MATCH(325,'Transfer Engine'!$C$2:$C$1960,0)),"",INDEX('Compliance Database'!$C$2:$C$1960,MATCH(325,'Transfer Engine'!$C$2:$C$1960,0)))</f>
        <v/>
      </c>
      <c r="D334" s="9">
        <f>IF(ISNA(MATCH(325,'Transfer Engine'!$C$2:$C$1960,0)),"",INDEX('Compliance Database'!$D$2:$D$1960,MATCH(325,'Transfer Engine'!$C$2:$C$1960,0)))</f>
        <v/>
      </c>
      <c r="E334" s="8">
        <f>IF(ISNA(MATCH(325,'Transfer Engine'!$C$2:$C$1960,0)),"",INDEX('Compliance Database'!$E$2:$E$1960,MATCH(325,'Transfer Engine'!$C$2:$C$1960,0)))</f>
        <v/>
      </c>
      <c r="F334" s="8">
        <f>IF(ISNA(MATCH(325,'Transfer Engine'!$C$2:$C$1960,0)),"",INDEX('Compliance Database'!$F$2:$F$1960,MATCH(325,'Transfer Engine'!$C$2:$C$1960,0)))</f>
        <v/>
      </c>
      <c r="G334" s="8">
        <f>IF(ISNA(MATCH(325,'Transfer Engine'!$C$2:$C$1960,0)),"",INDEX('Compliance Database'!$G$2:$G$1960,MATCH(325,'Transfer Engine'!$C$2:$C$1960,0)))</f>
        <v/>
      </c>
      <c r="H334" s="9">
        <f>IF(ISNA(MATCH(325,'Transfer Engine'!$C$2:$C$1960,0)),"",INDEX('Compliance Database'!$H$2:$H$1960,MATCH(325,'Transfer Engine'!$C$2:$C$1960,0)))</f>
        <v/>
      </c>
      <c r="I334" s="9">
        <f>IF(ISNA(MATCH(325,'Transfer Engine'!$C$2:$C$1960,0)),"",INDEX('Compliance Database'!$I$2:$I$1960,MATCH(325,'Transfer Engine'!$C$2:$C$1960,0)))</f>
        <v/>
      </c>
      <c r="J334" s="8">
        <f>IF(ISNA(MATCH(325,'Transfer Engine'!$C$2:$C$1960,0)),"",INDEX('Compliance Database'!$J$2:$J$1960,MATCH(325,'Transfer Engine'!$C$2:$C$1960,0)))</f>
        <v/>
      </c>
      <c r="K334" s="9">
        <f>IF(ISNA(MATCH(325,'Transfer Engine'!$C$2:$C$1960,0)),"",INDEX('Compliance Database'!$K$2:$K$1960,MATCH(325,'Transfer Engine'!$C$2:$C$1960,0)))</f>
        <v/>
      </c>
      <c r="L334" s="9">
        <f>IF(ISNA(MATCH(325,'Transfer Engine'!$C$2:$C$1960,0)),"",INDEX('Compliance Database'!$L$2:$L$1960,MATCH(325,'Transfer Engine'!$C$2:$C$1960,0)))</f>
        <v/>
      </c>
      <c r="M334" s="9">
        <f>IF(ISNA(MATCH(325,'Transfer Engine'!$C$2:$C$1960,0)),"",INDEX('Compliance Database'!$M$2:$M$1960,MATCH(325,'Transfer Engine'!$C$2:$C$1960,0)))</f>
        <v/>
      </c>
      <c r="N334" s="9">
        <f>IF(ISNA(MATCH(325,'Transfer Engine'!$C$2:$C$1960,0)),"",INDEX('Compliance Database'!$N$2:$N$1960,MATCH(325,'Transfer Engine'!$C$2:$C$1960,0)))</f>
        <v/>
      </c>
      <c r="O334" s="9">
        <f>IF(ISNA(MATCH(325,'Transfer Engine'!$C$2:$C$1960,0)),"",INDEX('Compliance Database'!$O$2:$O$1960,MATCH(325,'Transfer Engine'!$C$2:$C$1960,0)))</f>
        <v/>
      </c>
      <c r="P334" s="8">
        <f>IF(ISNA(MATCH(325,'Transfer Engine'!$C$2:$C$1960,0)),"",HYPERLINK("#Acts!A"&amp;INDEX('Compliance Database'!$P$2:$P$1960,MATCH(325,'Transfer Engine'!$C$2:$C$1960,0)),"Go to Act"))</f>
        <v/>
      </c>
    </row>
    <row r="335" ht="158" customHeight="1">
      <c r="A335" s="8">
        <f>IF(ISNA(MATCH(326,'Transfer Engine'!$C$2:$C$1960,0)),"",INDEX('Compliance Database'!$A$2:$A$1960,MATCH(326,'Transfer Engine'!$C$2:$C$1960,0)))</f>
        <v/>
      </c>
      <c r="B335" s="8">
        <f>IF(ISNA(MATCH(326,'Transfer Engine'!$C$2:$C$1960,0)),"",INDEX('Compliance Database'!$B$2:$B$1960,MATCH(326,'Transfer Engine'!$C$2:$C$1960,0)))</f>
        <v/>
      </c>
      <c r="C335" s="8">
        <f>IF(ISNA(MATCH(326,'Transfer Engine'!$C$2:$C$1960,0)),"",INDEX('Compliance Database'!$C$2:$C$1960,MATCH(326,'Transfer Engine'!$C$2:$C$1960,0)))</f>
        <v/>
      </c>
      <c r="D335" s="9">
        <f>IF(ISNA(MATCH(326,'Transfer Engine'!$C$2:$C$1960,0)),"",INDEX('Compliance Database'!$D$2:$D$1960,MATCH(326,'Transfer Engine'!$C$2:$C$1960,0)))</f>
        <v/>
      </c>
      <c r="E335" s="8">
        <f>IF(ISNA(MATCH(326,'Transfer Engine'!$C$2:$C$1960,0)),"",INDEX('Compliance Database'!$E$2:$E$1960,MATCH(326,'Transfer Engine'!$C$2:$C$1960,0)))</f>
        <v/>
      </c>
      <c r="F335" s="8">
        <f>IF(ISNA(MATCH(326,'Transfer Engine'!$C$2:$C$1960,0)),"",INDEX('Compliance Database'!$F$2:$F$1960,MATCH(326,'Transfer Engine'!$C$2:$C$1960,0)))</f>
        <v/>
      </c>
      <c r="G335" s="8">
        <f>IF(ISNA(MATCH(326,'Transfer Engine'!$C$2:$C$1960,0)),"",INDEX('Compliance Database'!$G$2:$G$1960,MATCH(326,'Transfer Engine'!$C$2:$C$1960,0)))</f>
        <v/>
      </c>
      <c r="H335" s="9">
        <f>IF(ISNA(MATCH(326,'Transfer Engine'!$C$2:$C$1960,0)),"",INDEX('Compliance Database'!$H$2:$H$1960,MATCH(326,'Transfer Engine'!$C$2:$C$1960,0)))</f>
        <v/>
      </c>
      <c r="I335" s="9">
        <f>IF(ISNA(MATCH(326,'Transfer Engine'!$C$2:$C$1960,0)),"",INDEX('Compliance Database'!$I$2:$I$1960,MATCH(326,'Transfer Engine'!$C$2:$C$1960,0)))</f>
        <v/>
      </c>
      <c r="J335" s="8">
        <f>IF(ISNA(MATCH(326,'Transfer Engine'!$C$2:$C$1960,0)),"",INDEX('Compliance Database'!$J$2:$J$1960,MATCH(326,'Transfer Engine'!$C$2:$C$1960,0)))</f>
        <v/>
      </c>
      <c r="K335" s="9">
        <f>IF(ISNA(MATCH(326,'Transfer Engine'!$C$2:$C$1960,0)),"",INDEX('Compliance Database'!$K$2:$K$1960,MATCH(326,'Transfer Engine'!$C$2:$C$1960,0)))</f>
        <v/>
      </c>
      <c r="L335" s="9">
        <f>IF(ISNA(MATCH(326,'Transfer Engine'!$C$2:$C$1960,0)),"",INDEX('Compliance Database'!$L$2:$L$1960,MATCH(326,'Transfer Engine'!$C$2:$C$1960,0)))</f>
        <v/>
      </c>
      <c r="M335" s="9">
        <f>IF(ISNA(MATCH(326,'Transfer Engine'!$C$2:$C$1960,0)),"",INDEX('Compliance Database'!$M$2:$M$1960,MATCH(326,'Transfer Engine'!$C$2:$C$1960,0)))</f>
        <v/>
      </c>
      <c r="N335" s="9">
        <f>IF(ISNA(MATCH(326,'Transfer Engine'!$C$2:$C$1960,0)),"",INDEX('Compliance Database'!$N$2:$N$1960,MATCH(326,'Transfer Engine'!$C$2:$C$1960,0)))</f>
        <v/>
      </c>
      <c r="O335" s="9">
        <f>IF(ISNA(MATCH(326,'Transfer Engine'!$C$2:$C$1960,0)),"",INDEX('Compliance Database'!$O$2:$O$1960,MATCH(326,'Transfer Engine'!$C$2:$C$1960,0)))</f>
        <v/>
      </c>
      <c r="P335" s="8">
        <f>IF(ISNA(MATCH(326,'Transfer Engine'!$C$2:$C$1960,0)),"",HYPERLINK("#Acts!A"&amp;INDEX('Compliance Database'!$P$2:$P$1960,MATCH(326,'Transfer Engine'!$C$2:$C$1960,0)),"Go to Act"))</f>
        <v/>
      </c>
    </row>
    <row r="336" ht="158" customHeight="1">
      <c r="A336" s="8">
        <f>IF(ISNA(MATCH(327,'Transfer Engine'!$C$2:$C$1960,0)),"",INDEX('Compliance Database'!$A$2:$A$1960,MATCH(327,'Transfer Engine'!$C$2:$C$1960,0)))</f>
        <v/>
      </c>
      <c r="B336" s="8">
        <f>IF(ISNA(MATCH(327,'Transfer Engine'!$C$2:$C$1960,0)),"",INDEX('Compliance Database'!$B$2:$B$1960,MATCH(327,'Transfer Engine'!$C$2:$C$1960,0)))</f>
        <v/>
      </c>
      <c r="C336" s="8">
        <f>IF(ISNA(MATCH(327,'Transfer Engine'!$C$2:$C$1960,0)),"",INDEX('Compliance Database'!$C$2:$C$1960,MATCH(327,'Transfer Engine'!$C$2:$C$1960,0)))</f>
        <v/>
      </c>
      <c r="D336" s="9">
        <f>IF(ISNA(MATCH(327,'Transfer Engine'!$C$2:$C$1960,0)),"",INDEX('Compliance Database'!$D$2:$D$1960,MATCH(327,'Transfer Engine'!$C$2:$C$1960,0)))</f>
        <v/>
      </c>
      <c r="E336" s="8">
        <f>IF(ISNA(MATCH(327,'Transfer Engine'!$C$2:$C$1960,0)),"",INDEX('Compliance Database'!$E$2:$E$1960,MATCH(327,'Transfer Engine'!$C$2:$C$1960,0)))</f>
        <v/>
      </c>
      <c r="F336" s="8">
        <f>IF(ISNA(MATCH(327,'Transfer Engine'!$C$2:$C$1960,0)),"",INDEX('Compliance Database'!$F$2:$F$1960,MATCH(327,'Transfer Engine'!$C$2:$C$1960,0)))</f>
        <v/>
      </c>
      <c r="G336" s="8">
        <f>IF(ISNA(MATCH(327,'Transfer Engine'!$C$2:$C$1960,0)),"",INDEX('Compliance Database'!$G$2:$G$1960,MATCH(327,'Transfer Engine'!$C$2:$C$1960,0)))</f>
        <v/>
      </c>
      <c r="H336" s="9">
        <f>IF(ISNA(MATCH(327,'Transfer Engine'!$C$2:$C$1960,0)),"",INDEX('Compliance Database'!$H$2:$H$1960,MATCH(327,'Transfer Engine'!$C$2:$C$1960,0)))</f>
        <v/>
      </c>
      <c r="I336" s="9">
        <f>IF(ISNA(MATCH(327,'Transfer Engine'!$C$2:$C$1960,0)),"",INDEX('Compliance Database'!$I$2:$I$1960,MATCH(327,'Transfer Engine'!$C$2:$C$1960,0)))</f>
        <v/>
      </c>
      <c r="J336" s="8">
        <f>IF(ISNA(MATCH(327,'Transfer Engine'!$C$2:$C$1960,0)),"",INDEX('Compliance Database'!$J$2:$J$1960,MATCH(327,'Transfer Engine'!$C$2:$C$1960,0)))</f>
        <v/>
      </c>
      <c r="K336" s="9">
        <f>IF(ISNA(MATCH(327,'Transfer Engine'!$C$2:$C$1960,0)),"",INDEX('Compliance Database'!$K$2:$K$1960,MATCH(327,'Transfer Engine'!$C$2:$C$1960,0)))</f>
        <v/>
      </c>
      <c r="L336" s="9">
        <f>IF(ISNA(MATCH(327,'Transfer Engine'!$C$2:$C$1960,0)),"",INDEX('Compliance Database'!$L$2:$L$1960,MATCH(327,'Transfer Engine'!$C$2:$C$1960,0)))</f>
        <v/>
      </c>
      <c r="M336" s="9">
        <f>IF(ISNA(MATCH(327,'Transfer Engine'!$C$2:$C$1960,0)),"",INDEX('Compliance Database'!$M$2:$M$1960,MATCH(327,'Transfer Engine'!$C$2:$C$1960,0)))</f>
        <v/>
      </c>
      <c r="N336" s="9">
        <f>IF(ISNA(MATCH(327,'Transfer Engine'!$C$2:$C$1960,0)),"",INDEX('Compliance Database'!$N$2:$N$1960,MATCH(327,'Transfer Engine'!$C$2:$C$1960,0)))</f>
        <v/>
      </c>
      <c r="O336" s="9">
        <f>IF(ISNA(MATCH(327,'Transfer Engine'!$C$2:$C$1960,0)),"",INDEX('Compliance Database'!$O$2:$O$1960,MATCH(327,'Transfer Engine'!$C$2:$C$1960,0)))</f>
        <v/>
      </c>
      <c r="P336" s="8">
        <f>IF(ISNA(MATCH(327,'Transfer Engine'!$C$2:$C$1960,0)),"",HYPERLINK("#Acts!A"&amp;INDEX('Compliance Database'!$P$2:$P$1960,MATCH(327,'Transfer Engine'!$C$2:$C$1960,0)),"Go to Act"))</f>
        <v/>
      </c>
    </row>
    <row r="337" ht="158" customHeight="1">
      <c r="A337" s="8">
        <f>IF(ISNA(MATCH(328,'Transfer Engine'!$C$2:$C$1960,0)),"",INDEX('Compliance Database'!$A$2:$A$1960,MATCH(328,'Transfer Engine'!$C$2:$C$1960,0)))</f>
        <v/>
      </c>
      <c r="B337" s="8">
        <f>IF(ISNA(MATCH(328,'Transfer Engine'!$C$2:$C$1960,0)),"",INDEX('Compliance Database'!$B$2:$B$1960,MATCH(328,'Transfer Engine'!$C$2:$C$1960,0)))</f>
        <v/>
      </c>
      <c r="C337" s="8">
        <f>IF(ISNA(MATCH(328,'Transfer Engine'!$C$2:$C$1960,0)),"",INDEX('Compliance Database'!$C$2:$C$1960,MATCH(328,'Transfer Engine'!$C$2:$C$1960,0)))</f>
        <v/>
      </c>
      <c r="D337" s="9">
        <f>IF(ISNA(MATCH(328,'Transfer Engine'!$C$2:$C$1960,0)),"",INDEX('Compliance Database'!$D$2:$D$1960,MATCH(328,'Transfer Engine'!$C$2:$C$1960,0)))</f>
        <v/>
      </c>
      <c r="E337" s="8">
        <f>IF(ISNA(MATCH(328,'Transfer Engine'!$C$2:$C$1960,0)),"",INDEX('Compliance Database'!$E$2:$E$1960,MATCH(328,'Transfer Engine'!$C$2:$C$1960,0)))</f>
        <v/>
      </c>
      <c r="F337" s="8">
        <f>IF(ISNA(MATCH(328,'Transfer Engine'!$C$2:$C$1960,0)),"",INDEX('Compliance Database'!$F$2:$F$1960,MATCH(328,'Transfer Engine'!$C$2:$C$1960,0)))</f>
        <v/>
      </c>
      <c r="G337" s="8">
        <f>IF(ISNA(MATCH(328,'Transfer Engine'!$C$2:$C$1960,0)),"",INDEX('Compliance Database'!$G$2:$G$1960,MATCH(328,'Transfer Engine'!$C$2:$C$1960,0)))</f>
        <v/>
      </c>
      <c r="H337" s="9">
        <f>IF(ISNA(MATCH(328,'Transfer Engine'!$C$2:$C$1960,0)),"",INDEX('Compliance Database'!$H$2:$H$1960,MATCH(328,'Transfer Engine'!$C$2:$C$1960,0)))</f>
        <v/>
      </c>
      <c r="I337" s="9">
        <f>IF(ISNA(MATCH(328,'Transfer Engine'!$C$2:$C$1960,0)),"",INDEX('Compliance Database'!$I$2:$I$1960,MATCH(328,'Transfer Engine'!$C$2:$C$1960,0)))</f>
        <v/>
      </c>
      <c r="J337" s="8">
        <f>IF(ISNA(MATCH(328,'Transfer Engine'!$C$2:$C$1960,0)),"",INDEX('Compliance Database'!$J$2:$J$1960,MATCH(328,'Transfer Engine'!$C$2:$C$1960,0)))</f>
        <v/>
      </c>
      <c r="K337" s="9">
        <f>IF(ISNA(MATCH(328,'Transfer Engine'!$C$2:$C$1960,0)),"",INDEX('Compliance Database'!$K$2:$K$1960,MATCH(328,'Transfer Engine'!$C$2:$C$1960,0)))</f>
        <v/>
      </c>
      <c r="L337" s="9">
        <f>IF(ISNA(MATCH(328,'Transfer Engine'!$C$2:$C$1960,0)),"",INDEX('Compliance Database'!$L$2:$L$1960,MATCH(328,'Transfer Engine'!$C$2:$C$1960,0)))</f>
        <v/>
      </c>
      <c r="M337" s="9">
        <f>IF(ISNA(MATCH(328,'Transfer Engine'!$C$2:$C$1960,0)),"",INDEX('Compliance Database'!$M$2:$M$1960,MATCH(328,'Transfer Engine'!$C$2:$C$1960,0)))</f>
        <v/>
      </c>
      <c r="N337" s="9">
        <f>IF(ISNA(MATCH(328,'Transfer Engine'!$C$2:$C$1960,0)),"",INDEX('Compliance Database'!$N$2:$N$1960,MATCH(328,'Transfer Engine'!$C$2:$C$1960,0)))</f>
        <v/>
      </c>
      <c r="O337" s="9">
        <f>IF(ISNA(MATCH(328,'Transfer Engine'!$C$2:$C$1960,0)),"",INDEX('Compliance Database'!$O$2:$O$1960,MATCH(328,'Transfer Engine'!$C$2:$C$1960,0)))</f>
        <v/>
      </c>
      <c r="P337" s="8">
        <f>IF(ISNA(MATCH(328,'Transfer Engine'!$C$2:$C$1960,0)),"",HYPERLINK("#Acts!A"&amp;INDEX('Compliance Database'!$P$2:$P$1960,MATCH(328,'Transfer Engine'!$C$2:$C$1960,0)),"Go to Act"))</f>
        <v/>
      </c>
    </row>
    <row r="338" ht="158" customHeight="1">
      <c r="A338" s="8">
        <f>IF(ISNA(MATCH(329,'Transfer Engine'!$C$2:$C$1960,0)),"",INDEX('Compliance Database'!$A$2:$A$1960,MATCH(329,'Transfer Engine'!$C$2:$C$1960,0)))</f>
        <v/>
      </c>
      <c r="B338" s="8">
        <f>IF(ISNA(MATCH(329,'Transfer Engine'!$C$2:$C$1960,0)),"",INDEX('Compliance Database'!$B$2:$B$1960,MATCH(329,'Transfer Engine'!$C$2:$C$1960,0)))</f>
        <v/>
      </c>
      <c r="C338" s="8">
        <f>IF(ISNA(MATCH(329,'Transfer Engine'!$C$2:$C$1960,0)),"",INDEX('Compliance Database'!$C$2:$C$1960,MATCH(329,'Transfer Engine'!$C$2:$C$1960,0)))</f>
        <v/>
      </c>
      <c r="D338" s="9">
        <f>IF(ISNA(MATCH(329,'Transfer Engine'!$C$2:$C$1960,0)),"",INDEX('Compliance Database'!$D$2:$D$1960,MATCH(329,'Transfer Engine'!$C$2:$C$1960,0)))</f>
        <v/>
      </c>
      <c r="E338" s="8">
        <f>IF(ISNA(MATCH(329,'Transfer Engine'!$C$2:$C$1960,0)),"",INDEX('Compliance Database'!$E$2:$E$1960,MATCH(329,'Transfer Engine'!$C$2:$C$1960,0)))</f>
        <v/>
      </c>
      <c r="F338" s="8">
        <f>IF(ISNA(MATCH(329,'Transfer Engine'!$C$2:$C$1960,0)),"",INDEX('Compliance Database'!$F$2:$F$1960,MATCH(329,'Transfer Engine'!$C$2:$C$1960,0)))</f>
        <v/>
      </c>
      <c r="G338" s="8">
        <f>IF(ISNA(MATCH(329,'Transfer Engine'!$C$2:$C$1960,0)),"",INDEX('Compliance Database'!$G$2:$G$1960,MATCH(329,'Transfer Engine'!$C$2:$C$1960,0)))</f>
        <v/>
      </c>
      <c r="H338" s="9">
        <f>IF(ISNA(MATCH(329,'Transfer Engine'!$C$2:$C$1960,0)),"",INDEX('Compliance Database'!$H$2:$H$1960,MATCH(329,'Transfer Engine'!$C$2:$C$1960,0)))</f>
        <v/>
      </c>
      <c r="I338" s="9">
        <f>IF(ISNA(MATCH(329,'Transfer Engine'!$C$2:$C$1960,0)),"",INDEX('Compliance Database'!$I$2:$I$1960,MATCH(329,'Transfer Engine'!$C$2:$C$1960,0)))</f>
        <v/>
      </c>
      <c r="J338" s="8">
        <f>IF(ISNA(MATCH(329,'Transfer Engine'!$C$2:$C$1960,0)),"",INDEX('Compliance Database'!$J$2:$J$1960,MATCH(329,'Transfer Engine'!$C$2:$C$1960,0)))</f>
        <v/>
      </c>
      <c r="K338" s="9">
        <f>IF(ISNA(MATCH(329,'Transfer Engine'!$C$2:$C$1960,0)),"",INDEX('Compliance Database'!$K$2:$K$1960,MATCH(329,'Transfer Engine'!$C$2:$C$1960,0)))</f>
        <v/>
      </c>
      <c r="L338" s="9">
        <f>IF(ISNA(MATCH(329,'Transfer Engine'!$C$2:$C$1960,0)),"",INDEX('Compliance Database'!$L$2:$L$1960,MATCH(329,'Transfer Engine'!$C$2:$C$1960,0)))</f>
        <v/>
      </c>
      <c r="M338" s="9">
        <f>IF(ISNA(MATCH(329,'Transfer Engine'!$C$2:$C$1960,0)),"",INDEX('Compliance Database'!$M$2:$M$1960,MATCH(329,'Transfer Engine'!$C$2:$C$1960,0)))</f>
        <v/>
      </c>
      <c r="N338" s="9">
        <f>IF(ISNA(MATCH(329,'Transfer Engine'!$C$2:$C$1960,0)),"",INDEX('Compliance Database'!$N$2:$N$1960,MATCH(329,'Transfer Engine'!$C$2:$C$1960,0)))</f>
        <v/>
      </c>
      <c r="O338" s="9">
        <f>IF(ISNA(MATCH(329,'Transfer Engine'!$C$2:$C$1960,0)),"",INDEX('Compliance Database'!$O$2:$O$1960,MATCH(329,'Transfer Engine'!$C$2:$C$1960,0)))</f>
        <v/>
      </c>
      <c r="P338" s="8">
        <f>IF(ISNA(MATCH(329,'Transfer Engine'!$C$2:$C$1960,0)),"",HYPERLINK("#Acts!A"&amp;INDEX('Compliance Database'!$P$2:$P$1960,MATCH(329,'Transfer Engine'!$C$2:$C$1960,0)),"Go to Act"))</f>
        <v/>
      </c>
    </row>
    <row r="339" ht="158" customHeight="1">
      <c r="A339" s="8">
        <f>IF(ISNA(MATCH(330,'Transfer Engine'!$C$2:$C$1960,0)),"",INDEX('Compliance Database'!$A$2:$A$1960,MATCH(330,'Transfer Engine'!$C$2:$C$1960,0)))</f>
        <v/>
      </c>
      <c r="B339" s="8">
        <f>IF(ISNA(MATCH(330,'Transfer Engine'!$C$2:$C$1960,0)),"",INDEX('Compliance Database'!$B$2:$B$1960,MATCH(330,'Transfer Engine'!$C$2:$C$1960,0)))</f>
        <v/>
      </c>
      <c r="C339" s="8">
        <f>IF(ISNA(MATCH(330,'Transfer Engine'!$C$2:$C$1960,0)),"",INDEX('Compliance Database'!$C$2:$C$1960,MATCH(330,'Transfer Engine'!$C$2:$C$1960,0)))</f>
        <v/>
      </c>
      <c r="D339" s="9">
        <f>IF(ISNA(MATCH(330,'Transfer Engine'!$C$2:$C$1960,0)),"",INDEX('Compliance Database'!$D$2:$D$1960,MATCH(330,'Transfer Engine'!$C$2:$C$1960,0)))</f>
        <v/>
      </c>
      <c r="E339" s="8">
        <f>IF(ISNA(MATCH(330,'Transfer Engine'!$C$2:$C$1960,0)),"",INDEX('Compliance Database'!$E$2:$E$1960,MATCH(330,'Transfer Engine'!$C$2:$C$1960,0)))</f>
        <v/>
      </c>
      <c r="F339" s="8">
        <f>IF(ISNA(MATCH(330,'Transfer Engine'!$C$2:$C$1960,0)),"",INDEX('Compliance Database'!$F$2:$F$1960,MATCH(330,'Transfer Engine'!$C$2:$C$1960,0)))</f>
        <v/>
      </c>
      <c r="G339" s="8">
        <f>IF(ISNA(MATCH(330,'Transfer Engine'!$C$2:$C$1960,0)),"",INDEX('Compliance Database'!$G$2:$G$1960,MATCH(330,'Transfer Engine'!$C$2:$C$1960,0)))</f>
        <v/>
      </c>
      <c r="H339" s="9">
        <f>IF(ISNA(MATCH(330,'Transfer Engine'!$C$2:$C$1960,0)),"",INDEX('Compliance Database'!$H$2:$H$1960,MATCH(330,'Transfer Engine'!$C$2:$C$1960,0)))</f>
        <v/>
      </c>
      <c r="I339" s="9">
        <f>IF(ISNA(MATCH(330,'Transfer Engine'!$C$2:$C$1960,0)),"",INDEX('Compliance Database'!$I$2:$I$1960,MATCH(330,'Transfer Engine'!$C$2:$C$1960,0)))</f>
        <v/>
      </c>
      <c r="J339" s="8">
        <f>IF(ISNA(MATCH(330,'Transfer Engine'!$C$2:$C$1960,0)),"",INDEX('Compliance Database'!$J$2:$J$1960,MATCH(330,'Transfer Engine'!$C$2:$C$1960,0)))</f>
        <v/>
      </c>
      <c r="K339" s="9">
        <f>IF(ISNA(MATCH(330,'Transfer Engine'!$C$2:$C$1960,0)),"",INDEX('Compliance Database'!$K$2:$K$1960,MATCH(330,'Transfer Engine'!$C$2:$C$1960,0)))</f>
        <v/>
      </c>
      <c r="L339" s="9">
        <f>IF(ISNA(MATCH(330,'Transfer Engine'!$C$2:$C$1960,0)),"",INDEX('Compliance Database'!$L$2:$L$1960,MATCH(330,'Transfer Engine'!$C$2:$C$1960,0)))</f>
        <v/>
      </c>
      <c r="M339" s="9">
        <f>IF(ISNA(MATCH(330,'Transfer Engine'!$C$2:$C$1960,0)),"",INDEX('Compliance Database'!$M$2:$M$1960,MATCH(330,'Transfer Engine'!$C$2:$C$1960,0)))</f>
        <v/>
      </c>
      <c r="N339" s="9">
        <f>IF(ISNA(MATCH(330,'Transfer Engine'!$C$2:$C$1960,0)),"",INDEX('Compliance Database'!$N$2:$N$1960,MATCH(330,'Transfer Engine'!$C$2:$C$1960,0)))</f>
        <v/>
      </c>
      <c r="O339" s="9">
        <f>IF(ISNA(MATCH(330,'Transfer Engine'!$C$2:$C$1960,0)),"",INDEX('Compliance Database'!$O$2:$O$1960,MATCH(330,'Transfer Engine'!$C$2:$C$1960,0)))</f>
        <v/>
      </c>
      <c r="P339" s="8">
        <f>IF(ISNA(MATCH(330,'Transfer Engine'!$C$2:$C$1960,0)),"",HYPERLINK("#Acts!A"&amp;INDEX('Compliance Database'!$P$2:$P$1960,MATCH(330,'Transfer Engine'!$C$2:$C$1960,0)),"Go to Act"))</f>
        <v/>
      </c>
    </row>
    <row r="340" ht="158" customHeight="1">
      <c r="A340" s="8">
        <f>IF(ISNA(MATCH(331,'Transfer Engine'!$C$2:$C$1960,0)),"",INDEX('Compliance Database'!$A$2:$A$1960,MATCH(331,'Transfer Engine'!$C$2:$C$1960,0)))</f>
        <v/>
      </c>
      <c r="B340" s="8">
        <f>IF(ISNA(MATCH(331,'Transfer Engine'!$C$2:$C$1960,0)),"",INDEX('Compliance Database'!$B$2:$B$1960,MATCH(331,'Transfer Engine'!$C$2:$C$1960,0)))</f>
        <v/>
      </c>
      <c r="C340" s="8">
        <f>IF(ISNA(MATCH(331,'Transfer Engine'!$C$2:$C$1960,0)),"",INDEX('Compliance Database'!$C$2:$C$1960,MATCH(331,'Transfer Engine'!$C$2:$C$1960,0)))</f>
        <v/>
      </c>
      <c r="D340" s="9">
        <f>IF(ISNA(MATCH(331,'Transfer Engine'!$C$2:$C$1960,0)),"",INDEX('Compliance Database'!$D$2:$D$1960,MATCH(331,'Transfer Engine'!$C$2:$C$1960,0)))</f>
        <v/>
      </c>
      <c r="E340" s="8">
        <f>IF(ISNA(MATCH(331,'Transfer Engine'!$C$2:$C$1960,0)),"",INDEX('Compliance Database'!$E$2:$E$1960,MATCH(331,'Transfer Engine'!$C$2:$C$1960,0)))</f>
        <v/>
      </c>
      <c r="F340" s="8">
        <f>IF(ISNA(MATCH(331,'Transfer Engine'!$C$2:$C$1960,0)),"",INDEX('Compliance Database'!$F$2:$F$1960,MATCH(331,'Transfer Engine'!$C$2:$C$1960,0)))</f>
        <v/>
      </c>
      <c r="G340" s="8">
        <f>IF(ISNA(MATCH(331,'Transfer Engine'!$C$2:$C$1960,0)),"",INDEX('Compliance Database'!$G$2:$G$1960,MATCH(331,'Transfer Engine'!$C$2:$C$1960,0)))</f>
        <v/>
      </c>
      <c r="H340" s="9">
        <f>IF(ISNA(MATCH(331,'Transfer Engine'!$C$2:$C$1960,0)),"",INDEX('Compliance Database'!$H$2:$H$1960,MATCH(331,'Transfer Engine'!$C$2:$C$1960,0)))</f>
        <v/>
      </c>
      <c r="I340" s="9">
        <f>IF(ISNA(MATCH(331,'Transfer Engine'!$C$2:$C$1960,0)),"",INDEX('Compliance Database'!$I$2:$I$1960,MATCH(331,'Transfer Engine'!$C$2:$C$1960,0)))</f>
        <v/>
      </c>
      <c r="J340" s="8">
        <f>IF(ISNA(MATCH(331,'Transfer Engine'!$C$2:$C$1960,0)),"",INDEX('Compliance Database'!$J$2:$J$1960,MATCH(331,'Transfer Engine'!$C$2:$C$1960,0)))</f>
        <v/>
      </c>
      <c r="K340" s="9">
        <f>IF(ISNA(MATCH(331,'Transfer Engine'!$C$2:$C$1960,0)),"",INDEX('Compliance Database'!$K$2:$K$1960,MATCH(331,'Transfer Engine'!$C$2:$C$1960,0)))</f>
        <v/>
      </c>
      <c r="L340" s="9">
        <f>IF(ISNA(MATCH(331,'Transfer Engine'!$C$2:$C$1960,0)),"",INDEX('Compliance Database'!$L$2:$L$1960,MATCH(331,'Transfer Engine'!$C$2:$C$1960,0)))</f>
        <v/>
      </c>
      <c r="M340" s="9">
        <f>IF(ISNA(MATCH(331,'Transfer Engine'!$C$2:$C$1960,0)),"",INDEX('Compliance Database'!$M$2:$M$1960,MATCH(331,'Transfer Engine'!$C$2:$C$1960,0)))</f>
        <v/>
      </c>
      <c r="N340" s="9">
        <f>IF(ISNA(MATCH(331,'Transfer Engine'!$C$2:$C$1960,0)),"",INDEX('Compliance Database'!$N$2:$N$1960,MATCH(331,'Transfer Engine'!$C$2:$C$1960,0)))</f>
        <v/>
      </c>
      <c r="O340" s="9">
        <f>IF(ISNA(MATCH(331,'Transfer Engine'!$C$2:$C$1960,0)),"",INDEX('Compliance Database'!$O$2:$O$1960,MATCH(331,'Transfer Engine'!$C$2:$C$1960,0)))</f>
        <v/>
      </c>
      <c r="P340" s="8">
        <f>IF(ISNA(MATCH(331,'Transfer Engine'!$C$2:$C$1960,0)),"",HYPERLINK("#Acts!A"&amp;INDEX('Compliance Database'!$P$2:$P$1960,MATCH(331,'Transfer Engine'!$C$2:$C$1960,0)),"Go to Act"))</f>
        <v/>
      </c>
    </row>
    <row r="341" ht="158" customHeight="1">
      <c r="A341" s="8">
        <f>IF(ISNA(MATCH(332,'Transfer Engine'!$C$2:$C$1960,0)),"",INDEX('Compliance Database'!$A$2:$A$1960,MATCH(332,'Transfer Engine'!$C$2:$C$1960,0)))</f>
        <v/>
      </c>
      <c r="B341" s="8">
        <f>IF(ISNA(MATCH(332,'Transfer Engine'!$C$2:$C$1960,0)),"",INDEX('Compliance Database'!$B$2:$B$1960,MATCH(332,'Transfer Engine'!$C$2:$C$1960,0)))</f>
        <v/>
      </c>
      <c r="C341" s="8">
        <f>IF(ISNA(MATCH(332,'Transfer Engine'!$C$2:$C$1960,0)),"",INDEX('Compliance Database'!$C$2:$C$1960,MATCH(332,'Transfer Engine'!$C$2:$C$1960,0)))</f>
        <v/>
      </c>
      <c r="D341" s="9">
        <f>IF(ISNA(MATCH(332,'Transfer Engine'!$C$2:$C$1960,0)),"",INDEX('Compliance Database'!$D$2:$D$1960,MATCH(332,'Transfer Engine'!$C$2:$C$1960,0)))</f>
        <v/>
      </c>
      <c r="E341" s="8">
        <f>IF(ISNA(MATCH(332,'Transfer Engine'!$C$2:$C$1960,0)),"",INDEX('Compliance Database'!$E$2:$E$1960,MATCH(332,'Transfer Engine'!$C$2:$C$1960,0)))</f>
        <v/>
      </c>
      <c r="F341" s="8">
        <f>IF(ISNA(MATCH(332,'Transfer Engine'!$C$2:$C$1960,0)),"",INDEX('Compliance Database'!$F$2:$F$1960,MATCH(332,'Transfer Engine'!$C$2:$C$1960,0)))</f>
        <v/>
      </c>
      <c r="G341" s="8">
        <f>IF(ISNA(MATCH(332,'Transfer Engine'!$C$2:$C$1960,0)),"",INDEX('Compliance Database'!$G$2:$G$1960,MATCH(332,'Transfer Engine'!$C$2:$C$1960,0)))</f>
        <v/>
      </c>
      <c r="H341" s="9">
        <f>IF(ISNA(MATCH(332,'Transfer Engine'!$C$2:$C$1960,0)),"",INDEX('Compliance Database'!$H$2:$H$1960,MATCH(332,'Transfer Engine'!$C$2:$C$1960,0)))</f>
        <v/>
      </c>
      <c r="I341" s="9">
        <f>IF(ISNA(MATCH(332,'Transfer Engine'!$C$2:$C$1960,0)),"",INDEX('Compliance Database'!$I$2:$I$1960,MATCH(332,'Transfer Engine'!$C$2:$C$1960,0)))</f>
        <v/>
      </c>
      <c r="J341" s="8">
        <f>IF(ISNA(MATCH(332,'Transfer Engine'!$C$2:$C$1960,0)),"",INDEX('Compliance Database'!$J$2:$J$1960,MATCH(332,'Transfer Engine'!$C$2:$C$1960,0)))</f>
        <v/>
      </c>
      <c r="K341" s="9">
        <f>IF(ISNA(MATCH(332,'Transfer Engine'!$C$2:$C$1960,0)),"",INDEX('Compliance Database'!$K$2:$K$1960,MATCH(332,'Transfer Engine'!$C$2:$C$1960,0)))</f>
        <v/>
      </c>
      <c r="L341" s="9">
        <f>IF(ISNA(MATCH(332,'Transfer Engine'!$C$2:$C$1960,0)),"",INDEX('Compliance Database'!$L$2:$L$1960,MATCH(332,'Transfer Engine'!$C$2:$C$1960,0)))</f>
        <v/>
      </c>
      <c r="M341" s="9">
        <f>IF(ISNA(MATCH(332,'Transfer Engine'!$C$2:$C$1960,0)),"",INDEX('Compliance Database'!$M$2:$M$1960,MATCH(332,'Transfer Engine'!$C$2:$C$1960,0)))</f>
        <v/>
      </c>
      <c r="N341" s="9">
        <f>IF(ISNA(MATCH(332,'Transfer Engine'!$C$2:$C$1960,0)),"",INDEX('Compliance Database'!$N$2:$N$1960,MATCH(332,'Transfer Engine'!$C$2:$C$1960,0)))</f>
        <v/>
      </c>
      <c r="O341" s="9">
        <f>IF(ISNA(MATCH(332,'Transfer Engine'!$C$2:$C$1960,0)),"",INDEX('Compliance Database'!$O$2:$O$1960,MATCH(332,'Transfer Engine'!$C$2:$C$1960,0)))</f>
        <v/>
      </c>
      <c r="P341" s="8">
        <f>IF(ISNA(MATCH(332,'Transfer Engine'!$C$2:$C$1960,0)),"",HYPERLINK("#Acts!A"&amp;INDEX('Compliance Database'!$P$2:$P$1960,MATCH(332,'Transfer Engine'!$C$2:$C$1960,0)),"Go to Act"))</f>
        <v/>
      </c>
    </row>
    <row r="342" ht="158" customHeight="1">
      <c r="A342" s="8">
        <f>IF(ISNA(MATCH(333,'Transfer Engine'!$C$2:$C$1960,0)),"",INDEX('Compliance Database'!$A$2:$A$1960,MATCH(333,'Transfer Engine'!$C$2:$C$1960,0)))</f>
        <v/>
      </c>
      <c r="B342" s="8">
        <f>IF(ISNA(MATCH(333,'Transfer Engine'!$C$2:$C$1960,0)),"",INDEX('Compliance Database'!$B$2:$B$1960,MATCH(333,'Transfer Engine'!$C$2:$C$1960,0)))</f>
        <v/>
      </c>
      <c r="C342" s="8">
        <f>IF(ISNA(MATCH(333,'Transfer Engine'!$C$2:$C$1960,0)),"",INDEX('Compliance Database'!$C$2:$C$1960,MATCH(333,'Transfer Engine'!$C$2:$C$1960,0)))</f>
        <v/>
      </c>
      <c r="D342" s="9">
        <f>IF(ISNA(MATCH(333,'Transfer Engine'!$C$2:$C$1960,0)),"",INDEX('Compliance Database'!$D$2:$D$1960,MATCH(333,'Transfer Engine'!$C$2:$C$1960,0)))</f>
        <v/>
      </c>
      <c r="E342" s="8">
        <f>IF(ISNA(MATCH(333,'Transfer Engine'!$C$2:$C$1960,0)),"",INDEX('Compliance Database'!$E$2:$E$1960,MATCH(333,'Transfer Engine'!$C$2:$C$1960,0)))</f>
        <v/>
      </c>
      <c r="F342" s="8">
        <f>IF(ISNA(MATCH(333,'Transfer Engine'!$C$2:$C$1960,0)),"",INDEX('Compliance Database'!$F$2:$F$1960,MATCH(333,'Transfer Engine'!$C$2:$C$1960,0)))</f>
        <v/>
      </c>
      <c r="G342" s="8">
        <f>IF(ISNA(MATCH(333,'Transfer Engine'!$C$2:$C$1960,0)),"",INDEX('Compliance Database'!$G$2:$G$1960,MATCH(333,'Transfer Engine'!$C$2:$C$1960,0)))</f>
        <v/>
      </c>
      <c r="H342" s="9">
        <f>IF(ISNA(MATCH(333,'Transfer Engine'!$C$2:$C$1960,0)),"",INDEX('Compliance Database'!$H$2:$H$1960,MATCH(333,'Transfer Engine'!$C$2:$C$1960,0)))</f>
        <v/>
      </c>
      <c r="I342" s="9">
        <f>IF(ISNA(MATCH(333,'Transfer Engine'!$C$2:$C$1960,0)),"",INDEX('Compliance Database'!$I$2:$I$1960,MATCH(333,'Transfer Engine'!$C$2:$C$1960,0)))</f>
        <v/>
      </c>
      <c r="J342" s="8">
        <f>IF(ISNA(MATCH(333,'Transfer Engine'!$C$2:$C$1960,0)),"",INDEX('Compliance Database'!$J$2:$J$1960,MATCH(333,'Transfer Engine'!$C$2:$C$1960,0)))</f>
        <v/>
      </c>
      <c r="K342" s="9">
        <f>IF(ISNA(MATCH(333,'Transfer Engine'!$C$2:$C$1960,0)),"",INDEX('Compliance Database'!$K$2:$K$1960,MATCH(333,'Transfer Engine'!$C$2:$C$1960,0)))</f>
        <v/>
      </c>
      <c r="L342" s="9">
        <f>IF(ISNA(MATCH(333,'Transfer Engine'!$C$2:$C$1960,0)),"",INDEX('Compliance Database'!$L$2:$L$1960,MATCH(333,'Transfer Engine'!$C$2:$C$1960,0)))</f>
        <v/>
      </c>
      <c r="M342" s="9">
        <f>IF(ISNA(MATCH(333,'Transfer Engine'!$C$2:$C$1960,0)),"",INDEX('Compliance Database'!$M$2:$M$1960,MATCH(333,'Transfer Engine'!$C$2:$C$1960,0)))</f>
        <v/>
      </c>
      <c r="N342" s="9">
        <f>IF(ISNA(MATCH(333,'Transfer Engine'!$C$2:$C$1960,0)),"",INDEX('Compliance Database'!$N$2:$N$1960,MATCH(333,'Transfer Engine'!$C$2:$C$1960,0)))</f>
        <v/>
      </c>
      <c r="O342" s="9">
        <f>IF(ISNA(MATCH(333,'Transfer Engine'!$C$2:$C$1960,0)),"",INDEX('Compliance Database'!$O$2:$O$1960,MATCH(333,'Transfer Engine'!$C$2:$C$1960,0)))</f>
        <v/>
      </c>
      <c r="P342" s="8">
        <f>IF(ISNA(MATCH(333,'Transfer Engine'!$C$2:$C$1960,0)),"",HYPERLINK("#Acts!A"&amp;INDEX('Compliance Database'!$P$2:$P$1960,MATCH(333,'Transfer Engine'!$C$2:$C$1960,0)),"Go to Act"))</f>
        <v/>
      </c>
    </row>
    <row r="343" ht="158" customHeight="1">
      <c r="A343" s="8">
        <f>IF(ISNA(MATCH(334,'Transfer Engine'!$C$2:$C$1960,0)),"",INDEX('Compliance Database'!$A$2:$A$1960,MATCH(334,'Transfer Engine'!$C$2:$C$1960,0)))</f>
        <v/>
      </c>
      <c r="B343" s="8">
        <f>IF(ISNA(MATCH(334,'Transfer Engine'!$C$2:$C$1960,0)),"",INDEX('Compliance Database'!$B$2:$B$1960,MATCH(334,'Transfer Engine'!$C$2:$C$1960,0)))</f>
        <v/>
      </c>
      <c r="C343" s="8">
        <f>IF(ISNA(MATCH(334,'Transfer Engine'!$C$2:$C$1960,0)),"",INDEX('Compliance Database'!$C$2:$C$1960,MATCH(334,'Transfer Engine'!$C$2:$C$1960,0)))</f>
        <v/>
      </c>
      <c r="D343" s="9">
        <f>IF(ISNA(MATCH(334,'Transfer Engine'!$C$2:$C$1960,0)),"",INDEX('Compliance Database'!$D$2:$D$1960,MATCH(334,'Transfer Engine'!$C$2:$C$1960,0)))</f>
        <v/>
      </c>
      <c r="E343" s="8">
        <f>IF(ISNA(MATCH(334,'Transfer Engine'!$C$2:$C$1960,0)),"",INDEX('Compliance Database'!$E$2:$E$1960,MATCH(334,'Transfer Engine'!$C$2:$C$1960,0)))</f>
        <v/>
      </c>
      <c r="F343" s="8">
        <f>IF(ISNA(MATCH(334,'Transfer Engine'!$C$2:$C$1960,0)),"",INDEX('Compliance Database'!$F$2:$F$1960,MATCH(334,'Transfer Engine'!$C$2:$C$1960,0)))</f>
        <v/>
      </c>
      <c r="G343" s="8">
        <f>IF(ISNA(MATCH(334,'Transfer Engine'!$C$2:$C$1960,0)),"",INDEX('Compliance Database'!$G$2:$G$1960,MATCH(334,'Transfer Engine'!$C$2:$C$1960,0)))</f>
        <v/>
      </c>
      <c r="H343" s="9">
        <f>IF(ISNA(MATCH(334,'Transfer Engine'!$C$2:$C$1960,0)),"",INDEX('Compliance Database'!$H$2:$H$1960,MATCH(334,'Transfer Engine'!$C$2:$C$1960,0)))</f>
        <v/>
      </c>
      <c r="I343" s="9">
        <f>IF(ISNA(MATCH(334,'Transfer Engine'!$C$2:$C$1960,0)),"",INDEX('Compliance Database'!$I$2:$I$1960,MATCH(334,'Transfer Engine'!$C$2:$C$1960,0)))</f>
        <v/>
      </c>
      <c r="J343" s="8">
        <f>IF(ISNA(MATCH(334,'Transfer Engine'!$C$2:$C$1960,0)),"",INDEX('Compliance Database'!$J$2:$J$1960,MATCH(334,'Transfer Engine'!$C$2:$C$1960,0)))</f>
        <v/>
      </c>
      <c r="K343" s="9">
        <f>IF(ISNA(MATCH(334,'Transfer Engine'!$C$2:$C$1960,0)),"",INDEX('Compliance Database'!$K$2:$K$1960,MATCH(334,'Transfer Engine'!$C$2:$C$1960,0)))</f>
        <v/>
      </c>
      <c r="L343" s="9">
        <f>IF(ISNA(MATCH(334,'Transfer Engine'!$C$2:$C$1960,0)),"",INDEX('Compliance Database'!$L$2:$L$1960,MATCH(334,'Transfer Engine'!$C$2:$C$1960,0)))</f>
        <v/>
      </c>
      <c r="M343" s="9">
        <f>IF(ISNA(MATCH(334,'Transfer Engine'!$C$2:$C$1960,0)),"",INDEX('Compliance Database'!$M$2:$M$1960,MATCH(334,'Transfer Engine'!$C$2:$C$1960,0)))</f>
        <v/>
      </c>
      <c r="N343" s="9">
        <f>IF(ISNA(MATCH(334,'Transfer Engine'!$C$2:$C$1960,0)),"",INDEX('Compliance Database'!$N$2:$N$1960,MATCH(334,'Transfer Engine'!$C$2:$C$1960,0)))</f>
        <v/>
      </c>
      <c r="O343" s="9">
        <f>IF(ISNA(MATCH(334,'Transfer Engine'!$C$2:$C$1960,0)),"",INDEX('Compliance Database'!$O$2:$O$1960,MATCH(334,'Transfer Engine'!$C$2:$C$1960,0)))</f>
        <v/>
      </c>
      <c r="P343" s="8">
        <f>IF(ISNA(MATCH(334,'Transfer Engine'!$C$2:$C$1960,0)),"",HYPERLINK("#Acts!A"&amp;INDEX('Compliance Database'!$P$2:$P$1960,MATCH(334,'Transfer Engine'!$C$2:$C$1960,0)),"Go to Act"))</f>
        <v/>
      </c>
    </row>
    <row r="344" ht="158" customHeight="1">
      <c r="A344" s="8">
        <f>IF(ISNA(MATCH(335,'Transfer Engine'!$C$2:$C$1960,0)),"",INDEX('Compliance Database'!$A$2:$A$1960,MATCH(335,'Transfer Engine'!$C$2:$C$1960,0)))</f>
        <v/>
      </c>
      <c r="B344" s="8">
        <f>IF(ISNA(MATCH(335,'Transfer Engine'!$C$2:$C$1960,0)),"",INDEX('Compliance Database'!$B$2:$B$1960,MATCH(335,'Transfer Engine'!$C$2:$C$1960,0)))</f>
        <v/>
      </c>
      <c r="C344" s="8">
        <f>IF(ISNA(MATCH(335,'Transfer Engine'!$C$2:$C$1960,0)),"",INDEX('Compliance Database'!$C$2:$C$1960,MATCH(335,'Transfer Engine'!$C$2:$C$1960,0)))</f>
        <v/>
      </c>
      <c r="D344" s="9">
        <f>IF(ISNA(MATCH(335,'Transfer Engine'!$C$2:$C$1960,0)),"",INDEX('Compliance Database'!$D$2:$D$1960,MATCH(335,'Transfer Engine'!$C$2:$C$1960,0)))</f>
        <v/>
      </c>
      <c r="E344" s="8">
        <f>IF(ISNA(MATCH(335,'Transfer Engine'!$C$2:$C$1960,0)),"",INDEX('Compliance Database'!$E$2:$E$1960,MATCH(335,'Transfer Engine'!$C$2:$C$1960,0)))</f>
        <v/>
      </c>
      <c r="F344" s="8">
        <f>IF(ISNA(MATCH(335,'Transfer Engine'!$C$2:$C$1960,0)),"",INDEX('Compliance Database'!$F$2:$F$1960,MATCH(335,'Transfer Engine'!$C$2:$C$1960,0)))</f>
        <v/>
      </c>
      <c r="G344" s="8">
        <f>IF(ISNA(MATCH(335,'Transfer Engine'!$C$2:$C$1960,0)),"",INDEX('Compliance Database'!$G$2:$G$1960,MATCH(335,'Transfer Engine'!$C$2:$C$1960,0)))</f>
        <v/>
      </c>
      <c r="H344" s="9">
        <f>IF(ISNA(MATCH(335,'Transfer Engine'!$C$2:$C$1960,0)),"",INDEX('Compliance Database'!$H$2:$H$1960,MATCH(335,'Transfer Engine'!$C$2:$C$1960,0)))</f>
        <v/>
      </c>
      <c r="I344" s="9">
        <f>IF(ISNA(MATCH(335,'Transfer Engine'!$C$2:$C$1960,0)),"",INDEX('Compliance Database'!$I$2:$I$1960,MATCH(335,'Transfer Engine'!$C$2:$C$1960,0)))</f>
        <v/>
      </c>
      <c r="J344" s="8">
        <f>IF(ISNA(MATCH(335,'Transfer Engine'!$C$2:$C$1960,0)),"",INDEX('Compliance Database'!$J$2:$J$1960,MATCH(335,'Transfer Engine'!$C$2:$C$1960,0)))</f>
        <v/>
      </c>
      <c r="K344" s="9">
        <f>IF(ISNA(MATCH(335,'Transfer Engine'!$C$2:$C$1960,0)),"",INDEX('Compliance Database'!$K$2:$K$1960,MATCH(335,'Transfer Engine'!$C$2:$C$1960,0)))</f>
        <v/>
      </c>
      <c r="L344" s="9">
        <f>IF(ISNA(MATCH(335,'Transfer Engine'!$C$2:$C$1960,0)),"",INDEX('Compliance Database'!$L$2:$L$1960,MATCH(335,'Transfer Engine'!$C$2:$C$1960,0)))</f>
        <v/>
      </c>
      <c r="M344" s="9">
        <f>IF(ISNA(MATCH(335,'Transfer Engine'!$C$2:$C$1960,0)),"",INDEX('Compliance Database'!$M$2:$M$1960,MATCH(335,'Transfer Engine'!$C$2:$C$1960,0)))</f>
        <v/>
      </c>
      <c r="N344" s="9">
        <f>IF(ISNA(MATCH(335,'Transfer Engine'!$C$2:$C$1960,0)),"",INDEX('Compliance Database'!$N$2:$N$1960,MATCH(335,'Transfer Engine'!$C$2:$C$1960,0)))</f>
        <v/>
      </c>
      <c r="O344" s="9">
        <f>IF(ISNA(MATCH(335,'Transfer Engine'!$C$2:$C$1960,0)),"",INDEX('Compliance Database'!$O$2:$O$1960,MATCH(335,'Transfer Engine'!$C$2:$C$1960,0)))</f>
        <v/>
      </c>
      <c r="P344" s="8">
        <f>IF(ISNA(MATCH(335,'Transfer Engine'!$C$2:$C$1960,0)),"",HYPERLINK("#Acts!A"&amp;INDEX('Compliance Database'!$P$2:$P$1960,MATCH(335,'Transfer Engine'!$C$2:$C$1960,0)),"Go to Act"))</f>
        <v/>
      </c>
    </row>
    <row r="345" ht="158" customHeight="1">
      <c r="A345" s="8">
        <f>IF(ISNA(MATCH(336,'Transfer Engine'!$C$2:$C$1960,0)),"",INDEX('Compliance Database'!$A$2:$A$1960,MATCH(336,'Transfer Engine'!$C$2:$C$1960,0)))</f>
        <v/>
      </c>
      <c r="B345" s="8">
        <f>IF(ISNA(MATCH(336,'Transfer Engine'!$C$2:$C$1960,0)),"",INDEX('Compliance Database'!$B$2:$B$1960,MATCH(336,'Transfer Engine'!$C$2:$C$1960,0)))</f>
        <v/>
      </c>
      <c r="C345" s="8">
        <f>IF(ISNA(MATCH(336,'Transfer Engine'!$C$2:$C$1960,0)),"",INDEX('Compliance Database'!$C$2:$C$1960,MATCH(336,'Transfer Engine'!$C$2:$C$1960,0)))</f>
        <v/>
      </c>
      <c r="D345" s="9">
        <f>IF(ISNA(MATCH(336,'Transfer Engine'!$C$2:$C$1960,0)),"",INDEX('Compliance Database'!$D$2:$D$1960,MATCH(336,'Transfer Engine'!$C$2:$C$1960,0)))</f>
        <v/>
      </c>
      <c r="E345" s="8">
        <f>IF(ISNA(MATCH(336,'Transfer Engine'!$C$2:$C$1960,0)),"",INDEX('Compliance Database'!$E$2:$E$1960,MATCH(336,'Transfer Engine'!$C$2:$C$1960,0)))</f>
        <v/>
      </c>
      <c r="F345" s="8">
        <f>IF(ISNA(MATCH(336,'Transfer Engine'!$C$2:$C$1960,0)),"",INDEX('Compliance Database'!$F$2:$F$1960,MATCH(336,'Transfer Engine'!$C$2:$C$1960,0)))</f>
        <v/>
      </c>
      <c r="G345" s="8">
        <f>IF(ISNA(MATCH(336,'Transfer Engine'!$C$2:$C$1960,0)),"",INDEX('Compliance Database'!$G$2:$G$1960,MATCH(336,'Transfer Engine'!$C$2:$C$1960,0)))</f>
        <v/>
      </c>
      <c r="H345" s="9">
        <f>IF(ISNA(MATCH(336,'Transfer Engine'!$C$2:$C$1960,0)),"",INDEX('Compliance Database'!$H$2:$H$1960,MATCH(336,'Transfer Engine'!$C$2:$C$1960,0)))</f>
        <v/>
      </c>
      <c r="I345" s="9">
        <f>IF(ISNA(MATCH(336,'Transfer Engine'!$C$2:$C$1960,0)),"",INDEX('Compliance Database'!$I$2:$I$1960,MATCH(336,'Transfer Engine'!$C$2:$C$1960,0)))</f>
        <v/>
      </c>
      <c r="J345" s="8">
        <f>IF(ISNA(MATCH(336,'Transfer Engine'!$C$2:$C$1960,0)),"",INDEX('Compliance Database'!$J$2:$J$1960,MATCH(336,'Transfer Engine'!$C$2:$C$1960,0)))</f>
        <v/>
      </c>
      <c r="K345" s="9">
        <f>IF(ISNA(MATCH(336,'Transfer Engine'!$C$2:$C$1960,0)),"",INDEX('Compliance Database'!$K$2:$K$1960,MATCH(336,'Transfer Engine'!$C$2:$C$1960,0)))</f>
        <v/>
      </c>
      <c r="L345" s="9">
        <f>IF(ISNA(MATCH(336,'Transfer Engine'!$C$2:$C$1960,0)),"",INDEX('Compliance Database'!$L$2:$L$1960,MATCH(336,'Transfer Engine'!$C$2:$C$1960,0)))</f>
        <v/>
      </c>
      <c r="M345" s="9">
        <f>IF(ISNA(MATCH(336,'Transfer Engine'!$C$2:$C$1960,0)),"",INDEX('Compliance Database'!$M$2:$M$1960,MATCH(336,'Transfer Engine'!$C$2:$C$1960,0)))</f>
        <v/>
      </c>
      <c r="N345" s="9">
        <f>IF(ISNA(MATCH(336,'Transfer Engine'!$C$2:$C$1960,0)),"",INDEX('Compliance Database'!$N$2:$N$1960,MATCH(336,'Transfer Engine'!$C$2:$C$1960,0)))</f>
        <v/>
      </c>
      <c r="O345" s="9">
        <f>IF(ISNA(MATCH(336,'Transfer Engine'!$C$2:$C$1960,0)),"",INDEX('Compliance Database'!$O$2:$O$1960,MATCH(336,'Transfer Engine'!$C$2:$C$1960,0)))</f>
        <v/>
      </c>
      <c r="P345" s="8">
        <f>IF(ISNA(MATCH(336,'Transfer Engine'!$C$2:$C$1960,0)),"",HYPERLINK("#Acts!A"&amp;INDEX('Compliance Database'!$P$2:$P$1960,MATCH(336,'Transfer Engine'!$C$2:$C$1960,0)),"Go to Act"))</f>
        <v/>
      </c>
    </row>
    <row r="346" ht="158" customHeight="1">
      <c r="A346" s="8">
        <f>IF(ISNA(MATCH(337,'Transfer Engine'!$C$2:$C$1960,0)),"",INDEX('Compliance Database'!$A$2:$A$1960,MATCH(337,'Transfer Engine'!$C$2:$C$1960,0)))</f>
        <v/>
      </c>
      <c r="B346" s="8">
        <f>IF(ISNA(MATCH(337,'Transfer Engine'!$C$2:$C$1960,0)),"",INDEX('Compliance Database'!$B$2:$B$1960,MATCH(337,'Transfer Engine'!$C$2:$C$1960,0)))</f>
        <v/>
      </c>
      <c r="C346" s="8">
        <f>IF(ISNA(MATCH(337,'Transfer Engine'!$C$2:$C$1960,0)),"",INDEX('Compliance Database'!$C$2:$C$1960,MATCH(337,'Transfer Engine'!$C$2:$C$1960,0)))</f>
        <v/>
      </c>
      <c r="D346" s="9">
        <f>IF(ISNA(MATCH(337,'Transfer Engine'!$C$2:$C$1960,0)),"",INDEX('Compliance Database'!$D$2:$D$1960,MATCH(337,'Transfer Engine'!$C$2:$C$1960,0)))</f>
        <v/>
      </c>
      <c r="E346" s="8">
        <f>IF(ISNA(MATCH(337,'Transfer Engine'!$C$2:$C$1960,0)),"",INDEX('Compliance Database'!$E$2:$E$1960,MATCH(337,'Transfer Engine'!$C$2:$C$1960,0)))</f>
        <v/>
      </c>
      <c r="F346" s="8">
        <f>IF(ISNA(MATCH(337,'Transfer Engine'!$C$2:$C$1960,0)),"",INDEX('Compliance Database'!$F$2:$F$1960,MATCH(337,'Transfer Engine'!$C$2:$C$1960,0)))</f>
        <v/>
      </c>
      <c r="G346" s="8">
        <f>IF(ISNA(MATCH(337,'Transfer Engine'!$C$2:$C$1960,0)),"",INDEX('Compliance Database'!$G$2:$G$1960,MATCH(337,'Transfer Engine'!$C$2:$C$1960,0)))</f>
        <v/>
      </c>
      <c r="H346" s="9">
        <f>IF(ISNA(MATCH(337,'Transfer Engine'!$C$2:$C$1960,0)),"",INDEX('Compliance Database'!$H$2:$H$1960,MATCH(337,'Transfer Engine'!$C$2:$C$1960,0)))</f>
        <v/>
      </c>
      <c r="I346" s="9">
        <f>IF(ISNA(MATCH(337,'Transfer Engine'!$C$2:$C$1960,0)),"",INDEX('Compliance Database'!$I$2:$I$1960,MATCH(337,'Transfer Engine'!$C$2:$C$1960,0)))</f>
        <v/>
      </c>
      <c r="J346" s="8">
        <f>IF(ISNA(MATCH(337,'Transfer Engine'!$C$2:$C$1960,0)),"",INDEX('Compliance Database'!$J$2:$J$1960,MATCH(337,'Transfer Engine'!$C$2:$C$1960,0)))</f>
        <v/>
      </c>
      <c r="K346" s="9">
        <f>IF(ISNA(MATCH(337,'Transfer Engine'!$C$2:$C$1960,0)),"",INDEX('Compliance Database'!$K$2:$K$1960,MATCH(337,'Transfer Engine'!$C$2:$C$1960,0)))</f>
        <v/>
      </c>
      <c r="L346" s="9">
        <f>IF(ISNA(MATCH(337,'Transfer Engine'!$C$2:$C$1960,0)),"",INDEX('Compliance Database'!$L$2:$L$1960,MATCH(337,'Transfer Engine'!$C$2:$C$1960,0)))</f>
        <v/>
      </c>
      <c r="M346" s="9">
        <f>IF(ISNA(MATCH(337,'Transfer Engine'!$C$2:$C$1960,0)),"",INDEX('Compliance Database'!$M$2:$M$1960,MATCH(337,'Transfer Engine'!$C$2:$C$1960,0)))</f>
        <v/>
      </c>
      <c r="N346" s="9">
        <f>IF(ISNA(MATCH(337,'Transfer Engine'!$C$2:$C$1960,0)),"",INDEX('Compliance Database'!$N$2:$N$1960,MATCH(337,'Transfer Engine'!$C$2:$C$1960,0)))</f>
        <v/>
      </c>
      <c r="O346" s="9">
        <f>IF(ISNA(MATCH(337,'Transfer Engine'!$C$2:$C$1960,0)),"",INDEX('Compliance Database'!$O$2:$O$1960,MATCH(337,'Transfer Engine'!$C$2:$C$1960,0)))</f>
        <v/>
      </c>
      <c r="P346" s="8">
        <f>IF(ISNA(MATCH(337,'Transfer Engine'!$C$2:$C$1960,0)),"",HYPERLINK("#Acts!A"&amp;INDEX('Compliance Database'!$P$2:$P$1960,MATCH(337,'Transfer Engine'!$C$2:$C$1960,0)),"Go to Act"))</f>
        <v/>
      </c>
    </row>
    <row r="347" ht="158" customHeight="1">
      <c r="A347" s="8">
        <f>IF(ISNA(MATCH(338,'Transfer Engine'!$C$2:$C$1960,0)),"",INDEX('Compliance Database'!$A$2:$A$1960,MATCH(338,'Transfer Engine'!$C$2:$C$1960,0)))</f>
        <v/>
      </c>
      <c r="B347" s="8">
        <f>IF(ISNA(MATCH(338,'Transfer Engine'!$C$2:$C$1960,0)),"",INDEX('Compliance Database'!$B$2:$B$1960,MATCH(338,'Transfer Engine'!$C$2:$C$1960,0)))</f>
        <v/>
      </c>
      <c r="C347" s="8">
        <f>IF(ISNA(MATCH(338,'Transfer Engine'!$C$2:$C$1960,0)),"",INDEX('Compliance Database'!$C$2:$C$1960,MATCH(338,'Transfer Engine'!$C$2:$C$1960,0)))</f>
        <v/>
      </c>
      <c r="D347" s="9">
        <f>IF(ISNA(MATCH(338,'Transfer Engine'!$C$2:$C$1960,0)),"",INDEX('Compliance Database'!$D$2:$D$1960,MATCH(338,'Transfer Engine'!$C$2:$C$1960,0)))</f>
        <v/>
      </c>
      <c r="E347" s="8">
        <f>IF(ISNA(MATCH(338,'Transfer Engine'!$C$2:$C$1960,0)),"",INDEX('Compliance Database'!$E$2:$E$1960,MATCH(338,'Transfer Engine'!$C$2:$C$1960,0)))</f>
        <v/>
      </c>
      <c r="F347" s="8">
        <f>IF(ISNA(MATCH(338,'Transfer Engine'!$C$2:$C$1960,0)),"",INDEX('Compliance Database'!$F$2:$F$1960,MATCH(338,'Transfer Engine'!$C$2:$C$1960,0)))</f>
        <v/>
      </c>
      <c r="G347" s="8">
        <f>IF(ISNA(MATCH(338,'Transfer Engine'!$C$2:$C$1960,0)),"",INDEX('Compliance Database'!$G$2:$G$1960,MATCH(338,'Transfer Engine'!$C$2:$C$1960,0)))</f>
        <v/>
      </c>
      <c r="H347" s="9">
        <f>IF(ISNA(MATCH(338,'Transfer Engine'!$C$2:$C$1960,0)),"",INDEX('Compliance Database'!$H$2:$H$1960,MATCH(338,'Transfer Engine'!$C$2:$C$1960,0)))</f>
        <v/>
      </c>
      <c r="I347" s="9">
        <f>IF(ISNA(MATCH(338,'Transfer Engine'!$C$2:$C$1960,0)),"",INDEX('Compliance Database'!$I$2:$I$1960,MATCH(338,'Transfer Engine'!$C$2:$C$1960,0)))</f>
        <v/>
      </c>
      <c r="J347" s="8">
        <f>IF(ISNA(MATCH(338,'Transfer Engine'!$C$2:$C$1960,0)),"",INDEX('Compliance Database'!$J$2:$J$1960,MATCH(338,'Transfer Engine'!$C$2:$C$1960,0)))</f>
        <v/>
      </c>
      <c r="K347" s="9">
        <f>IF(ISNA(MATCH(338,'Transfer Engine'!$C$2:$C$1960,0)),"",INDEX('Compliance Database'!$K$2:$K$1960,MATCH(338,'Transfer Engine'!$C$2:$C$1960,0)))</f>
        <v/>
      </c>
      <c r="L347" s="9">
        <f>IF(ISNA(MATCH(338,'Transfer Engine'!$C$2:$C$1960,0)),"",INDEX('Compliance Database'!$L$2:$L$1960,MATCH(338,'Transfer Engine'!$C$2:$C$1960,0)))</f>
        <v/>
      </c>
      <c r="M347" s="9">
        <f>IF(ISNA(MATCH(338,'Transfer Engine'!$C$2:$C$1960,0)),"",INDEX('Compliance Database'!$M$2:$M$1960,MATCH(338,'Transfer Engine'!$C$2:$C$1960,0)))</f>
        <v/>
      </c>
      <c r="N347" s="9">
        <f>IF(ISNA(MATCH(338,'Transfer Engine'!$C$2:$C$1960,0)),"",INDEX('Compliance Database'!$N$2:$N$1960,MATCH(338,'Transfer Engine'!$C$2:$C$1960,0)))</f>
        <v/>
      </c>
      <c r="O347" s="9">
        <f>IF(ISNA(MATCH(338,'Transfer Engine'!$C$2:$C$1960,0)),"",INDEX('Compliance Database'!$O$2:$O$1960,MATCH(338,'Transfer Engine'!$C$2:$C$1960,0)))</f>
        <v/>
      </c>
      <c r="P347" s="8">
        <f>IF(ISNA(MATCH(338,'Transfer Engine'!$C$2:$C$1960,0)),"",HYPERLINK("#Acts!A"&amp;INDEX('Compliance Database'!$P$2:$P$1960,MATCH(338,'Transfer Engine'!$C$2:$C$1960,0)),"Go to Act"))</f>
        <v/>
      </c>
    </row>
    <row r="348" ht="158" customHeight="1">
      <c r="A348" s="8">
        <f>IF(ISNA(MATCH(339,'Transfer Engine'!$C$2:$C$1960,0)),"",INDEX('Compliance Database'!$A$2:$A$1960,MATCH(339,'Transfer Engine'!$C$2:$C$1960,0)))</f>
        <v/>
      </c>
      <c r="B348" s="8">
        <f>IF(ISNA(MATCH(339,'Transfer Engine'!$C$2:$C$1960,0)),"",INDEX('Compliance Database'!$B$2:$B$1960,MATCH(339,'Transfer Engine'!$C$2:$C$1960,0)))</f>
        <v/>
      </c>
      <c r="C348" s="8">
        <f>IF(ISNA(MATCH(339,'Transfer Engine'!$C$2:$C$1960,0)),"",INDEX('Compliance Database'!$C$2:$C$1960,MATCH(339,'Transfer Engine'!$C$2:$C$1960,0)))</f>
        <v/>
      </c>
      <c r="D348" s="9">
        <f>IF(ISNA(MATCH(339,'Transfer Engine'!$C$2:$C$1960,0)),"",INDEX('Compliance Database'!$D$2:$D$1960,MATCH(339,'Transfer Engine'!$C$2:$C$1960,0)))</f>
        <v/>
      </c>
      <c r="E348" s="8">
        <f>IF(ISNA(MATCH(339,'Transfer Engine'!$C$2:$C$1960,0)),"",INDEX('Compliance Database'!$E$2:$E$1960,MATCH(339,'Transfer Engine'!$C$2:$C$1960,0)))</f>
        <v/>
      </c>
      <c r="F348" s="8">
        <f>IF(ISNA(MATCH(339,'Transfer Engine'!$C$2:$C$1960,0)),"",INDEX('Compliance Database'!$F$2:$F$1960,MATCH(339,'Transfer Engine'!$C$2:$C$1960,0)))</f>
        <v/>
      </c>
      <c r="G348" s="8">
        <f>IF(ISNA(MATCH(339,'Transfer Engine'!$C$2:$C$1960,0)),"",INDEX('Compliance Database'!$G$2:$G$1960,MATCH(339,'Transfer Engine'!$C$2:$C$1960,0)))</f>
        <v/>
      </c>
      <c r="H348" s="9">
        <f>IF(ISNA(MATCH(339,'Transfer Engine'!$C$2:$C$1960,0)),"",INDEX('Compliance Database'!$H$2:$H$1960,MATCH(339,'Transfer Engine'!$C$2:$C$1960,0)))</f>
        <v/>
      </c>
      <c r="I348" s="9">
        <f>IF(ISNA(MATCH(339,'Transfer Engine'!$C$2:$C$1960,0)),"",INDEX('Compliance Database'!$I$2:$I$1960,MATCH(339,'Transfer Engine'!$C$2:$C$1960,0)))</f>
        <v/>
      </c>
      <c r="J348" s="8">
        <f>IF(ISNA(MATCH(339,'Transfer Engine'!$C$2:$C$1960,0)),"",INDEX('Compliance Database'!$J$2:$J$1960,MATCH(339,'Transfer Engine'!$C$2:$C$1960,0)))</f>
        <v/>
      </c>
      <c r="K348" s="9">
        <f>IF(ISNA(MATCH(339,'Transfer Engine'!$C$2:$C$1960,0)),"",INDEX('Compliance Database'!$K$2:$K$1960,MATCH(339,'Transfer Engine'!$C$2:$C$1960,0)))</f>
        <v/>
      </c>
      <c r="L348" s="9">
        <f>IF(ISNA(MATCH(339,'Transfer Engine'!$C$2:$C$1960,0)),"",INDEX('Compliance Database'!$L$2:$L$1960,MATCH(339,'Transfer Engine'!$C$2:$C$1960,0)))</f>
        <v/>
      </c>
      <c r="M348" s="9">
        <f>IF(ISNA(MATCH(339,'Transfer Engine'!$C$2:$C$1960,0)),"",INDEX('Compliance Database'!$M$2:$M$1960,MATCH(339,'Transfer Engine'!$C$2:$C$1960,0)))</f>
        <v/>
      </c>
      <c r="N348" s="9">
        <f>IF(ISNA(MATCH(339,'Transfer Engine'!$C$2:$C$1960,0)),"",INDEX('Compliance Database'!$N$2:$N$1960,MATCH(339,'Transfer Engine'!$C$2:$C$1960,0)))</f>
        <v/>
      </c>
      <c r="O348" s="9">
        <f>IF(ISNA(MATCH(339,'Transfer Engine'!$C$2:$C$1960,0)),"",INDEX('Compliance Database'!$O$2:$O$1960,MATCH(339,'Transfer Engine'!$C$2:$C$1960,0)))</f>
        <v/>
      </c>
      <c r="P348" s="8">
        <f>IF(ISNA(MATCH(339,'Transfer Engine'!$C$2:$C$1960,0)),"",HYPERLINK("#Acts!A"&amp;INDEX('Compliance Database'!$P$2:$P$1960,MATCH(339,'Transfer Engine'!$C$2:$C$1960,0)),"Go to Act"))</f>
        <v/>
      </c>
    </row>
    <row r="349" ht="158" customHeight="1">
      <c r="A349" s="8">
        <f>IF(ISNA(MATCH(340,'Transfer Engine'!$C$2:$C$1960,0)),"",INDEX('Compliance Database'!$A$2:$A$1960,MATCH(340,'Transfer Engine'!$C$2:$C$1960,0)))</f>
        <v/>
      </c>
      <c r="B349" s="8">
        <f>IF(ISNA(MATCH(340,'Transfer Engine'!$C$2:$C$1960,0)),"",INDEX('Compliance Database'!$B$2:$B$1960,MATCH(340,'Transfer Engine'!$C$2:$C$1960,0)))</f>
        <v/>
      </c>
      <c r="C349" s="8">
        <f>IF(ISNA(MATCH(340,'Transfer Engine'!$C$2:$C$1960,0)),"",INDEX('Compliance Database'!$C$2:$C$1960,MATCH(340,'Transfer Engine'!$C$2:$C$1960,0)))</f>
        <v/>
      </c>
      <c r="D349" s="9">
        <f>IF(ISNA(MATCH(340,'Transfer Engine'!$C$2:$C$1960,0)),"",INDEX('Compliance Database'!$D$2:$D$1960,MATCH(340,'Transfer Engine'!$C$2:$C$1960,0)))</f>
        <v/>
      </c>
      <c r="E349" s="8">
        <f>IF(ISNA(MATCH(340,'Transfer Engine'!$C$2:$C$1960,0)),"",INDEX('Compliance Database'!$E$2:$E$1960,MATCH(340,'Transfer Engine'!$C$2:$C$1960,0)))</f>
        <v/>
      </c>
      <c r="F349" s="8">
        <f>IF(ISNA(MATCH(340,'Transfer Engine'!$C$2:$C$1960,0)),"",INDEX('Compliance Database'!$F$2:$F$1960,MATCH(340,'Transfer Engine'!$C$2:$C$1960,0)))</f>
        <v/>
      </c>
      <c r="G349" s="8">
        <f>IF(ISNA(MATCH(340,'Transfer Engine'!$C$2:$C$1960,0)),"",INDEX('Compliance Database'!$G$2:$G$1960,MATCH(340,'Transfer Engine'!$C$2:$C$1960,0)))</f>
        <v/>
      </c>
      <c r="H349" s="9">
        <f>IF(ISNA(MATCH(340,'Transfer Engine'!$C$2:$C$1960,0)),"",INDEX('Compliance Database'!$H$2:$H$1960,MATCH(340,'Transfer Engine'!$C$2:$C$1960,0)))</f>
        <v/>
      </c>
      <c r="I349" s="9">
        <f>IF(ISNA(MATCH(340,'Transfer Engine'!$C$2:$C$1960,0)),"",INDEX('Compliance Database'!$I$2:$I$1960,MATCH(340,'Transfer Engine'!$C$2:$C$1960,0)))</f>
        <v/>
      </c>
      <c r="J349" s="8">
        <f>IF(ISNA(MATCH(340,'Transfer Engine'!$C$2:$C$1960,0)),"",INDEX('Compliance Database'!$J$2:$J$1960,MATCH(340,'Transfer Engine'!$C$2:$C$1960,0)))</f>
        <v/>
      </c>
      <c r="K349" s="9">
        <f>IF(ISNA(MATCH(340,'Transfer Engine'!$C$2:$C$1960,0)),"",INDEX('Compliance Database'!$K$2:$K$1960,MATCH(340,'Transfer Engine'!$C$2:$C$1960,0)))</f>
        <v/>
      </c>
      <c r="L349" s="9">
        <f>IF(ISNA(MATCH(340,'Transfer Engine'!$C$2:$C$1960,0)),"",INDEX('Compliance Database'!$L$2:$L$1960,MATCH(340,'Transfer Engine'!$C$2:$C$1960,0)))</f>
        <v/>
      </c>
      <c r="M349" s="9">
        <f>IF(ISNA(MATCH(340,'Transfer Engine'!$C$2:$C$1960,0)),"",INDEX('Compliance Database'!$M$2:$M$1960,MATCH(340,'Transfer Engine'!$C$2:$C$1960,0)))</f>
        <v/>
      </c>
      <c r="N349" s="9">
        <f>IF(ISNA(MATCH(340,'Transfer Engine'!$C$2:$C$1960,0)),"",INDEX('Compliance Database'!$N$2:$N$1960,MATCH(340,'Transfer Engine'!$C$2:$C$1960,0)))</f>
        <v/>
      </c>
      <c r="O349" s="9">
        <f>IF(ISNA(MATCH(340,'Transfer Engine'!$C$2:$C$1960,0)),"",INDEX('Compliance Database'!$O$2:$O$1960,MATCH(340,'Transfer Engine'!$C$2:$C$1960,0)))</f>
        <v/>
      </c>
      <c r="P349" s="8">
        <f>IF(ISNA(MATCH(340,'Transfer Engine'!$C$2:$C$1960,0)),"",HYPERLINK("#Acts!A"&amp;INDEX('Compliance Database'!$P$2:$P$1960,MATCH(340,'Transfer Engine'!$C$2:$C$1960,0)),"Go to Act"))</f>
        <v/>
      </c>
    </row>
    <row r="350" ht="158" customHeight="1">
      <c r="A350" s="8">
        <f>IF(ISNA(MATCH(341,'Transfer Engine'!$C$2:$C$1960,0)),"",INDEX('Compliance Database'!$A$2:$A$1960,MATCH(341,'Transfer Engine'!$C$2:$C$1960,0)))</f>
        <v/>
      </c>
      <c r="B350" s="8">
        <f>IF(ISNA(MATCH(341,'Transfer Engine'!$C$2:$C$1960,0)),"",INDEX('Compliance Database'!$B$2:$B$1960,MATCH(341,'Transfer Engine'!$C$2:$C$1960,0)))</f>
        <v/>
      </c>
      <c r="C350" s="8">
        <f>IF(ISNA(MATCH(341,'Transfer Engine'!$C$2:$C$1960,0)),"",INDEX('Compliance Database'!$C$2:$C$1960,MATCH(341,'Transfer Engine'!$C$2:$C$1960,0)))</f>
        <v/>
      </c>
      <c r="D350" s="9">
        <f>IF(ISNA(MATCH(341,'Transfer Engine'!$C$2:$C$1960,0)),"",INDEX('Compliance Database'!$D$2:$D$1960,MATCH(341,'Transfer Engine'!$C$2:$C$1960,0)))</f>
        <v/>
      </c>
      <c r="E350" s="8">
        <f>IF(ISNA(MATCH(341,'Transfer Engine'!$C$2:$C$1960,0)),"",INDEX('Compliance Database'!$E$2:$E$1960,MATCH(341,'Transfer Engine'!$C$2:$C$1960,0)))</f>
        <v/>
      </c>
      <c r="F350" s="8">
        <f>IF(ISNA(MATCH(341,'Transfer Engine'!$C$2:$C$1960,0)),"",INDEX('Compliance Database'!$F$2:$F$1960,MATCH(341,'Transfer Engine'!$C$2:$C$1960,0)))</f>
        <v/>
      </c>
      <c r="G350" s="8">
        <f>IF(ISNA(MATCH(341,'Transfer Engine'!$C$2:$C$1960,0)),"",INDEX('Compliance Database'!$G$2:$G$1960,MATCH(341,'Transfer Engine'!$C$2:$C$1960,0)))</f>
        <v/>
      </c>
      <c r="H350" s="9">
        <f>IF(ISNA(MATCH(341,'Transfer Engine'!$C$2:$C$1960,0)),"",INDEX('Compliance Database'!$H$2:$H$1960,MATCH(341,'Transfer Engine'!$C$2:$C$1960,0)))</f>
        <v/>
      </c>
      <c r="I350" s="9">
        <f>IF(ISNA(MATCH(341,'Transfer Engine'!$C$2:$C$1960,0)),"",INDEX('Compliance Database'!$I$2:$I$1960,MATCH(341,'Transfer Engine'!$C$2:$C$1960,0)))</f>
        <v/>
      </c>
      <c r="J350" s="8">
        <f>IF(ISNA(MATCH(341,'Transfer Engine'!$C$2:$C$1960,0)),"",INDEX('Compliance Database'!$J$2:$J$1960,MATCH(341,'Transfer Engine'!$C$2:$C$1960,0)))</f>
        <v/>
      </c>
      <c r="K350" s="9">
        <f>IF(ISNA(MATCH(341,'Transfer Engine'!$C$2:$C$1960,0)),"",INDEX('Compliance Database'!$K$2:$K$1960,MATCH(341,'Transfer Engine'!$C$2:$C$1960,0)))</f>
        <v/>
      </c>
      <c r="L350" s="9">
        <f>IF(ISNA(MATCH(341,'Transfer Engine'!$C$2:$C$1960,0)),"",INDEX('Compliance Database'!$L$2:$L$1960,MATCH(341,'Transfer Engine'!$C$2:$C$1960,0)))</f>
        <v/>
      </c>
      <c r="M350" s="9">
        <f>IF(ISNA(MATCH(341,'Transfer Engine'!$C$2:$C$1960,0)),"",INDEX('Compliance Database'!$M$2:$M$1960,MATCH(341,'Transfer Engine'!$C$2:$C$1960,0)))</f>
        <v/>
      </c>
      <c r="N350" s="9">
        <f>IF(ISNA(MATCH(341,'Transfer Engine'!$C$2:$C$1960,0)),"",INDEX('Compliance Database'!$N$2:$N$1960,MATCH(341,'Transfer Engine'!$C$2:$C$1960,0)))</f>
        <v/>
      </c>
      <c r="O350" s="9">
        <f>IF(ISNA(MATCH(341,'Transfer Engine'!$C$2:$C$1960,0)),"",INDEX('Compliance Database'!$O$2:$O$1960,MATCH(341,'Transfer Engine'!$C$2:$C$1960,0)))</f>
        <v/>
      </c>
      <c r="P350" s="8">
        <f>IF(ISNA(MATCH(341,'Transfer Engine'!$C$2:$C$1960,0)),"",HYPERLINK("#Acts!A"&amp;INDEX('Compliance Database'!$P$2:$P$1960,MATCH(341,'Transfer Engine'!$C$2:$C$1960,0)),"Go to Act"))</f>
        <v/>
      </c>
    </row>
    <row r="351" ht="158" customHeight="1">
      <c r="A351" s="8">
        <f>IF(ISNA(MATCH(342,'Transfer Engine'!$C$2:$C$1960,0)),"",INDEX('Compliance Database'!$A$2:$A$1960,MATCH(342,'Transfer Engine'!$C$2:$C$1960,0)))</f>
        <v/>
      </c>
      <c r="B351" s="8">
        <f>IF(ISNA(MATCH(342,'Transfer Engine'!$C$2:$C$1960,0)),"",INDEX('Compliance Database'!$B$2:$B$1960,MATCH(342,'Transfer Engine'!$C$2:$C$1960,0)))</f>
        <v/>
      </c>
      <c r="C351" s="8">
        <f>IF(ISNA(MATCH(342,'Transfer Engine'!$C$2:$C$1960,0)),"",INDEX('Compliance Database'!$C$2:$C$1960,MATCH(342,'Transfer Engine'!$C$2:$C$1960,0)))</f>
        <v/>
      </c>
      <c r="D351" s="9">
        <f>IF(ISNA(MATCH(342,'Transfer Engine'!$C$2:$C$1960,0)),"",INDEX('Compliance Database'!$D$2:$D$1960,MATCH(342,'Transfer Engine'!$C$2:$C$1960,0)))</f>
        <v/>
      </c>
      <c r="E351" s="8">
        <f>IF(ISNA(MATCH(342,'Transfer Engine'!$C$2:$C$1960,0)),"",INDEX('Compliance Database'!$E$2:$E$1960,MATCH(342,'Transfer Engine'!$C$2:$C$1960,0)))</f>
        <v/>
      </c>
      <c r="F351" s="8">
        <f>IF(ISNA(MATCH(342,'Transfer Engine'!$C$2:$C$1960,0)),"",INDEX('Compliance Database'!$F$2:$F$1960,MATCH(342,'Transfer Engine'!$C$2:$C$1960,0)))</f>
        <v/>
      </c>
      <c r="G351" s="8">
        <f>IF(ISNA(MATCH(342,'Transfer Engine'!$C$2:$C$1960,0)),"",INDEX('Compliance Database'!$G$2:$G$1960,MATCH(342,'Transfer Engine'!$C$2:$C$1960,0)))</f>
        <v/>
      </c>
      <c r="H351" s="9">
        <f>IF(ISNA(MATCH(342,'Transfer Engine'!$C$2:$C$1960,0)),"",INDEX('Compliance Database'!$H$2:$H$1960,MATCH(342,'Transfer Engine'!$C$2:$C$1960,0)))</f>
        <v/>
      </c>
      <c r="I351" s="9">
        <f>IF(ISNA(MATCH(342,'Transfer Engine'!$C$2:$C$1960,0)),"",INDEX('Compliance Database'!$I$2:$I$1960,MATCH(342,'Transfer Engine'!$C$2:$C$1960,0)))</f>
        <v/>
      </c>
      <c r="J351" s="8">
        <f>IF(ISNA(MATCH(342,'Transfer Engine'!$C$2:$C$1960,0)),"",INDEX('Compliance Database'!$J$2:$J$1960,MATCH(342,'Transfer Engine'!$C$2:$C$1960,0)))</f>
        <v/>
      </c>
      <c r="K351" s="9">
        <f>IF(ISNA(MATCH(342,'Transfer Engine'!$C$2:$C$1960,0)),"",INDEX('Compliance Database'!$K$2:$K$1960,MATCH(342,'Transfer Engine'!$C$2:$C$1960,0)))</f>
        <v/>
      </c>
      <c r="L351" s="9">
        <f>IF(ISNA(MATCH(342,'Transfer Engine'!$C$2:$C$1960,0)),"",INDEX('Compliance Database'!$L$2:$L$1960,MATCH(342,'Transfer Engine'!$C$2:$C$1960,0)))</f>
        <v/>
      </c>
      <c r="M351" s="9">
        <f>IF(ISNA(MATCH(342,'Transfer Engine'!$C$2:$C$1960,0)),"",INDEX('Compliance Database'!$M$2:$M$1960,MATCH(342,'Transfer Engine'!$C$2:$C$1960,0)))</f>
        <v/>
      </c>
      <c r="N351" s="9">
        <f>IF(ISNA(MATCH(342,'Transfer Engine'!$C$2:$C$1960,0)),"",INDEX('Compliance Database'!$N$2:$N$1960,MATCH(342,'Transfer Engine'!$C$2:$C$1960,0)))</f>
        <v/>
      </c>
      <c r="O351" s="9">
        <f>IF(ISNA(MATCH(342,'Transfer Engine'!$C$2:$C$1960,0)),"",INDEX('Compliance Database'!$O$2:$O$1960,MATCH(342,'Transfer Engine'!$C$2:$C$1960,0)))</f>
        <v/>
      </c>
      <c r="P351" s="8">
        <f>IF(ISNA(MATCH(342,'Transfer Engine'!$C$2:$C$1960,0)),"",HYPERLINK("#Acts!A"&amp;INDEX('Compliance Database'!$P$2:$P$1960,MATCH(342,'Transfer Engine'!$C$2:$C$1960,0)),"Go to Act"))</f>
        <v/>
      </c>
    </row>
    <row r="352" ht="158" customHeight="1">
      <c r="A352" s="8">
        <f>IF(ISNA(MATCH(343,'Transfer Engine'!$C$2:$C$1960,0)),"",INDEX('Compliance Database'!$A$2:$A$1960,MATCH(343,'Transfer Engine'!$C$2:$C$1960,0)))</f>
        <v/>
      </c>
      <c r="B352" s="8">
        <f>IF(ISNA(MATCH(343,'Transfer Engine'!$C$2:$C$1960,0)),"",INDEX('Compliance Database'!$B$2:$B$1960,MATCH(343,'Transfer Engine'!$C$2:$C$1960,0)))</f>
        <v/>
      </c>
      <c r="C352" s="8">
        <f>IF(ISNA(MATCH(343,'Transfer Engine'!$C$2:$C$1960,0)),"",INDEX('Compliance Database'!$C$2:$C$1960,MATCH(343,'Transfer Engine'!$C$2:$C$1960,0)))</f>
        <v/>
      </c>
      <c r="D352" s="9">
        <f>IF(ISNA(MATCH(343,'Transfer Engine'!$C$2:$C$1960,0)),"",INDEX('Compliance Database'!$D$2:$D$1960,MATCH(343,'Transfer Engine'!$C$2:$C$1960,0)))</f>
        <v/>
      </c>
      <c r="E352" s="8">
        <f>IF(ISNA(MATCH(343,'Transfer Engine'!$C$2:$C$1960,0)),"",INDEX('Compliance Database'!$E$2:$E$1960,MATCH(343,'Transfer Engine'!$C$2:$C$1960,0)))</f>
        <v/>
      </c>
      <c r="F352" s="8">
        <f>IF(ISNA(MATCH(343,'Transfer Engine'!$C$2:$C$1960,0)),"",INDEX('Compliance Database'!$F$2:$F$1960,MATCH(343,'Transfer Engine'!$C$2:$C$1960,0)))</f>
        <v/>
      </c>
      <c r="G352" s="8">
        <f>IF(ISNA(MATCH(343,'Transfer Engine'!$C$2:$C$1960,0)),"",INDEX('Compliance Database'!$G$2:$G$1960,MATCH(343,'Transfer Engine'!$C$2:$C$1960,0)))</f>
        <v/>
      </c>
      <c r="H352" s="9">
        <f>IF(ISNA(MATCH(343,'Transfer Engine'!$C$2:$C$1960,0)),"",INDEX('Compliance Database'!$H$2:$H$1960,MATCH(343,'Transfer Engine'!$C$2:$C$1960,0)))</f>
        <v/>
      </c>
      <c r="I352" s="9">
        <f>IF(ISNA(MATCH(343,'Transfer Engine'!$C$2:$C$1960,0)),"",INDEX('Compliance Database'!$I$2:$I$1960,MATCH(343,'Transfer Engine'!$C$2:$C$1960,0)))</f>
        <v/>
      </c>
      <c r="J352" s="8">
        <f>IF(ISNA(MATCH(343,'Transfer Engine'!$C$2:$C$1960,0)),"",INDEX('Compliance Database'!$J$2:$J$1960,MATCH(343,'Transfer Engine'!$C$2:$C$1960,0)))</f>
        <v/>
      </c>
      <c r="K352" s="9">
        <f>IF(ISNA(MATCH(343,'Transfer Engine'!$C$2:$C$1960,0)),"",INDEX('Compliance Database'!$K$2:$K$1960,MATCH(343,'Transfer Engine'!$C$2:$C$1960,0)))</f>
        <v/>
      </c>
      <c r="L352" s="9">
        <f>IF(ISNA(MATCH(343,'Transfer Engine'!$C$2:$C$1960,0)),"",INDEX('Compliance Database'!$L$2:$L$1960,MATCH(343,'Transfer Engine'!$C$2:$C$1960,0)))</f>
        <v/>
      </c>
      <c r="M352" s="9">
        <f>IF(ISNA(MATCH(343,'Transfer Engine'!$C$2:$C$1960,0)),"",INDEX('Compliance Database'!$M$2:$M$1960,MATCH(343,'Transfer Engine'!$C$2:$C$1960,0)))</f>
        <v/>
      </c>
      <c r="N352" s="9">
        <f>IF(ISNA(MATCH(343,'Transfer Engine'!$C$2:$C$1960,0)),"",INDEX('Compliance Database'!$N$2:$N$1960,MATCH(343,'Transfer Engine'!$C$2:$C$1960,0)))</f>
        <v/>
      </c>
      <c r="O352" s="9">
        <f>IF(ISNA(MATCH(343,'Transfer Engine'!$C$2:$C$1960,0)),"",INDEX('Compliance Database'!$O$2:$O$1960,MATCH(343,'Transfer Engine'!$C$2:$C$1960,0)))</f>
        <v/>
      </c>
      <c r="P352" s="8">
        <f>IF(ISNA(MATCH(343,'Transfer Engine'!$C$2:$C$1960,0)),"",HYPERLINK("#Acts!A"&amp;INDEX('Compliance Database'!$P$2:$P$1960,MATCH(343,'Transfer Engine'!$C$2:$C$1960,0)),"Go to Act"))</f>
        <v/>
      </c>
    </row>
    <row r="353" ht="158" customHeight="1">
      <c r="A353" s="8">
        <f>IF(ISNA(MATCH(344,'Transfer Engine'!$C$2:$C$1960,0)),"",INDEX('Compliance Database'!$A$2:$A$1960,MATCH(344,'Transfer Engine'!$C$2:$C$1960,0)))</f>
        <v/>
      </c>
      <c r="B353" s="8">
        <f>IF(ISNA(MATCH(344,'Transfer Engine'!$C$2:$C$1960,0)),"",INDEX('Compliance Database'!$B$2:$B$1960,MATCH(344,'Transfer Engine'!$C$2:$C$1960,0)))</f>
        <v/>
      </c>
      <c r="C353" s="8">
        <f>IF(ISNA(MATCH(344,'Transfer Engine'!$C$2:$C$1960,0)),"",INDEX('Compliance Database'!$C$2:$C$1960,MATCH(344,'Transfer Engine'!$C$2:$C$1960,0)))</f>
        <v/>
      </c>
      <c r="D353" s="9">
        <f>IF(ISNA(MATCH(344,'Transfer Engine'!$C$2:$C$1960,0)),"",INDEX('Compliance Database'!$D$2:$D$1960,MATCH(344,'Transfer Engine'!$C$2:$C$1960,0)))</f>
        <v/>
      </c>
      <c r="E353" s="8">
        <f>IF(ISNA(MATCH(344,'Transfer Engine'!$C$2:$C$1960,0)),"",INDEX('Compliance Database'!$E$2:$E$1960,MATCH(344,'Transfer Engine'!$C$2:$C$1960,0)))</f>
        <v/>
      </c>
      <c r="F353" s="8">
        <f>IF(ISNA(MATCH(344,'Transfer Engine'!$C$2:$C$1960,0)),"",INDEX('Compliance Database'!$F$2:$F$1960,MATCH(344,'Transfer Engine'!$C$2:$C$1960,0)))</f>
        <v/>
      </c>
      <c r="G353" s="8">
        <f>IF(ISNA(MATCH(344,'Transfer Engine'!$C$2:$C$1960,0)),"",INDEX('Compliance Database'!$G$2:$G$1960,MATCH(344,'Transfer Engine'!$C$2:$C$1960,0)))</f>
        <v/>
      </c>
      <c r="H353" s="9">
        <f>IF(ISNA(MATCH(344,'Transfer Engine'!$C$2:$C$1960,0)),"",INDEX('Compliance Database'!$H$2:$H$1960,MATCH(344,'Transfer Engine'!$C$2:$C$1960,0)))</f>
        <v/>
      </c>
      <c r="I353" s="9">
        <f>IF(ISNA(MATCH(344,'Transfer Engine'!$C$2:$C$1960,0)),"",INDEX('Compliance Database'!$I$2:$I$1960,MATCH(344,'Transfer Engine'!$C$2:$C$1960,0)))</f>
        <v/>
      </c>
      <c r="J353" s="8">
        <f>IF(ISNA(MATCH(344,'Transfer Engine'!$C$2:$C$1960,0)),"",INDEX('Compliance Database'!$J$2:$J$1960,MATCH(344,'Transfer Engine'!$C$2:$C$1960,0)))</f>
        <v/>
      </c>
      <c r="K353" s="9">
        <f>IF(ISNA(MATCH(344,'Transfer Engine'!$C$2:$C$1960,0)),"",INDEX('Compliance Database'!$K$2:$K$1960,MATCH(344,'Transfer Engine'!$C$2:$C$1960,0)))</f>
        <v/>
      </c>
      <c r="L353" s="9">
        <f>IF(ISNA(MATCH(344,'Transfer Engine'!$C$2:$C$1960,0)),"",INDEX('Compliance Database'!$L$2:$L$1960,MATCH(344,'Transfer Engine'!$C$2:$C$1960,0)))</f>
        <v/>
      </c>
      <c r="M353" s="9">
        <f>IF(ISNA(MATCH(344,'Transfer Engine'!$C$2:$C$1960,0)),"",INDEX('Compliance Database'!$M$2:$M$1960,MATCH(344,'Transfer Engine'!$C$2:$C$1960,0)))</f>
        <v/>
      </c>
      <c r="N353" s="9">
        <f>IF(ISNA(MATCH(344,'Transfer Engine'!$C$2:$C$1960,0)),"",INDEX('Compliance Database'!$N$2:$N$1960,MATCH(344,'Transfer Engine'!$C$2:$C$1960,0)))</f>
        <v/>
      </c>
      <c r="O353" s="9">
        <f>IF(ISNA(MATCH(344,'Transfer Engine'!$C$2:$C$1960,0)),"",INDEX('Compliance Database'!$O$2:$O$1960,MATCH(344,'Transfer Engine'!$C$2:$C$1960,0)))</f>
        <v/>
      </c>
      <c r="P353" s="8">
        <f>IF(ISNA(MATCH(344,'Transfer Engine'!$C$2:$C$1960,0)),"",HYPERLINK("#Acts!A"&amp;INDEX('Compliance Database'!$P$2:$P$1960,MATCH(344,'Transfer Engine'!$C$2:$C$1960,0)),"Go to Act"))</f>
        <v/>
      </c>
    </row>
    <row r="354" ht="158" customHeight="1">
      <c r="A354" s="8">
        <f>IF(ISNA(MATCH(345,'Transfer Engine'!$C$2:$C$1960,0)),"",INDEX('Compliance Database'!$A$2:$A$1960,MATCH(345,'Transfer Engine'!$C$2:$C$1960,0)))</f>
        <v/>
      </c>
      <c r="B354" s="8">
        <f>IF(ISNA(MATCH(345,'Transfer Engine'!$C$2:$C$1960,0)),"",INDEX('Compliance Database'!$B$2:$B$1960,MATCH(345,'Transfer Engine'!$C$2:$C$1960,0)))</f>
        <v/>
      </c>
      <c r="C354" s="8">
        <f>IF(ISNA(MATCH(345,'Transfer Engine'!$C$2:$C$1960,0)),"",INDEX('Compliance Database'!$C$2:$C$1960,MATCH(345,'Transfer Engine'!$C$2:$C$1960,0)))</f>
        <v/>
      </c>
      <c r="D354" s="9">
        <f>IF(ISNA(MATCH(345,'Transfer Engine'!$C$2:$C$1960,0)),"",INDEX('Compliance Database'!$D$2:$D$1960,MATCH(345,'Transfer Engine'!$C$2:$C$1960,0)))</f>
        <v/>
      </c>
      <c r="E354" s="8">
        <f>IF(ISNA(MATCH(345,'Transfer Engine'!$C$2:$C$1960,0)),"",INDEX('Compliance Database'!$E$2:$E$1960,MATCH(345,'Transfer Engine'!$C$2:$C$1960,0)))</f>
        <v/>
      </c>
      <c r="F354" s="8">
        <f>IF(ISNA(MATCH(345,'Transfer Engine'!$C$2:$C$1960,0)),"",INDEX('Compliance Database'!$F$2:$F$1960,MATCH(345,'Transfer Engine'!$C$2:$C$1960,0)))</f>
        <v/>
      </c>
      <c r="G354" s="8">
        <f>IF(ISNA(MATCH(345,'Transfer Engine'!$C$2:$C$1960,0)),"",INDEX('Compliance Database'!$G$2:$G$1960,MATCH(345,'Transfer Engine'!$C$2:$C$1960,0)))</f>
        <v/>
      </c>
      <c r="H354" s="9">
        <f>IF(ISNA(MATCH(345,'Transfer Engine'!$C$2:$C$1960,0)),"",INDEX('Compliance Database'!$H$2:$H$1960,MATCH(345,'Transfer Engine'!$C$2:$C$1960,0)))</f>
        <v/>
      </c>
      <c r="I354" s="9">
        <f>IF(ISNA(MATCH(345,'Transfer Engine'!$C$2:$C$1960,0)),"",INDEX('Compliance Database'!$I$2:$I$1960,MATCH(345,'Transfer Engine'!$C$2:$C$1960,0)))</f>
        <v/>
      </c>
      <c r="J354" s="8">
        <f>IF(ISNA(MATCH(345,'Transfer Engine'!$C$2:$C$1960,0)),"",INDEX('Compliance Database'!$J$2:$J$1960,MATCH(345,'Transfer Engine'!$C$2:$C$1960,0)))</f>
        <v/>
      </c>
      <c r="K354" s="9">
        <f>IF(ISNA(MATCH(345,'Transfer Engine'!$C$2:$C$1960,0)),"",INDEX('Compliance Database'!$K$2:$K$1960,MATCH(345,'Transfer Engine'!$C$2:$C$1960,0)))</f>
        <v/>
      </c>
      <c r="L354" s="9">
        <f>IF(ISNA(MATCH(345,'Transfer Engine'!$C$2:$C$1960,0)),"",INDEX('Compliance Database'!$L$2:$L$1960,MATCH(345,'Transfer Engine'!$C$2:$C$1960,0)))</f>
        <v/>
      </c>
      <c r="M354" s="9">
        <f>IF(ISNA(MATCH(345,'Transfer Engine'!$C$2:$C$1960,0)),"",INDEX('Compliance Database'!$M$2:$M$1960,MATCH(345,'Transfer Engine'!$C$2:$C$1960,0)))</f>
        <v/>
      </c>
      <c r="N354" s="9">
        <f>IF(ISNA(MATCH(345,'Transfer Engine'!$C$2:$C$1960,0)),"",INDEX('Compliance Database'!$N$2:$N$1960,MATCH(345,'Transfer Engine'!$C$2:$C$1960,0)))</f>
        <v/>
      </c>
      <c r="O354" s="9">
        <f>IF(ISNA(MATCH(345,'Transfer Engine'!$C$2:$C$1960,0)),"",INDEX('Compliance Database'!$O$2:$O$1960,MATCH(345,'Transfer Engine'!$C$2:$C$1960,0)))</f>
        <v/>
      </c>
      <c r="P354" s="8">
        <f>IF(ISNA(MATCH(345,'Transfer Engine'!$C$2:$C$1960,0)),"",HYPERLINK("#Acts!A"&amp;INDEX('Compliance Database'!$P$2:$P$1960,MATCH(345,'Transfer Engine'!$C$2:$C$1960,0)),"Go to Act"))</f>
        <v/>
      </c>
    </row>
    <row r="355" ht="158" customHeight="1">
      <c r="A355" s="8">
        <f>IF(ISNA(MATCH(346,'Transfer Engine'!$C$2:$C$1960,0)),"",INDEX('Compliance Database'!$A$2:$A$1960,MATCH(346,'Transfer Engine'!$C$2:$C$1960,0)))</f>
        <v/>
      </c>
      <c r="B355" s="8">
        <f>IF(ISNA(MATCH(346,'Transfer Engine'!$C$2:$C$1960,0)),"",INDEX('Compliance Database'!$B$2:$B$1960,MATCH(346,'Transfer Engine'!$C$2:$C$1960,0)))</f>
        <v/>
      </c>
      <c r="C355" s="8">
        <f>IF(ISNA(MATCH(346,'Transfer Engine'!$C$2:$C$1960,0)),"",INDEX('Compliance Database'!$C$2:$C$1960,MATCH(346,'Transfer Engine'!$C$2:$C$1960,0)))</f>
        <v/>
      </c>
      <c r="D355" s="9">
        <f>IF(ISNA(MATCH(346,'Transfer Engine'!$C$2:$C$1960,0)),"",INDEX('Compliance Database'!$D$2:$D$1960,MATCH(346,'Transfer Engine'!$C$2:$C$1960,0)))</f>
        <v/>
      </c>
      <c r="E355" s="8">
        <f>IF(ISNA(MATCH(346,'Transfer Engine'!$C$2:$C$1960,0)),"",INDEX('Compliance Database'!$E$2:$E$1960,MATCH(346,'Transfer Engine'!$C$2:$C$1960,0)))</f>
        <v/>
      </c>
      <c r="F355" s="8">
        <f>IF(ISNA(MATCH(346,'Transfer Engine'!$C$2:$C$1960,0)),"",INDEX('Compliance Database'!$F$2:$F$1960,MATCH(346,'Transfer Engine'!$C$2:$C$1960,0)))</f>
        <v/>
      </c>
      <c r="G355" s="8">
        <f>IF(ISNA(MATCH(346,'Transfer Engine'!$C$2:$C$1960,0)),"",INDEX('Compliance Database'!$G$2:$G$1960,MATCH(346,'Transfer Engine'!$C$2:$C$1960,0)))</f>
        <v/>
      </c>
      <c r="H355" s="9">
        <f>IF(ISNA(MATCH(346,'Transfer Engine'!$C$2:$C$1960,0)),"",INDEX('Compliance Database'!$H$2:$H$1960,MATCH(346,'Transfer Engine'!$C$2:$C$1960,0)))</f>
        <v/>
      </c>
      <c r="I355" s="9">
        <f>IF(ISNA(MATCH(346,'Transfer Engine'!$C$2:$C$1960,0)),"",INDEX('Compliance Database'!$I$2:$I$1960,MATCH(346,'Transfer Engine'!$C$2:$C$1960,0)))</f>
        <v/>
      </c>
      <c r="J355" s="8">
        <f>IF(ISNA(MATCH(346,'Transfer Engine'!$C$2:$C$1960,0)),"",INDEX('Compliance Database'!$J$2:$J$1960,MATCH(346,'Transfer Engine'!$C$2:$C$1960,0)))</f>
        <v/>
      </c>
      <c r="K355" s="9">
        <f>IF(ISNA(MATCH(346,'Transfer Engine'!$C$2:$C$1960,0)),"",INDEX('Compliance Database'!$K$2:$K$1960,MATCH(346,'Transfer Engine'!$C$2:$C$1960,0)))</f>
        <v/>
      </c>
      <c r="L355" s="9">
        <f>IF(ISNA(MATCH(346,'Transfer Engine'!$C$2:$C$1960,0)),"",INDEX('Compliance Database'!$L$2:$L$1960,MATCH(346,'Transfer Engine'!$C$2:$C$1960,0)))</f>
        <v/>
      </c>
      <c r="M355" s="9">
        <f>IF(ISNA(MATCH(346,'Transfer Engine'!$C$2:$C$1960,0)),"",INDEX('Compliance Database'!$M$2:$M$1960,MATCH(346,'Transfer Engine'!$C$2:$C$1960,0)))</f>
        <v/>
      </c>
      <c r="N355" s="9">
        <f>IF(ISNA(MATCH(346,'Transfer Engine'!$C$2:$C$1960,0)),"",INDEX('Compliance Database'!$N$2:$N$1960,MATCH(346,'Transfer Engine'!$C$2:$C$1960,0)))</f>
        <v/>
      </c>
      <c r="O355" s="9">
        <f>IF(ISNA(MATCH(346,'Transfer Engine'!$C$2:$C$1960,0)),"",INDEX('Compliance Database'!$O$2:$O$1960,MATCH(346,'Transfer Engine'!$C$2:$C$1960,0)))</f>
        <v/>
      </c>
      <c r="P355" s="8">
        <f>IF(ISNA(MATCH(346,'Transfer Engine'!$C$2:$C$1960,0)),"",HYPERLINK("#Acts!A"&amp;INDEX('Compliance Database'!$P$2:$P$1960,MATCH(346,'Transfer Engine'!$C$2:$C$1960,0)),"Go to Act"))</f>
        <v/>
      </c>
    </row>
    <row r="356" ht="158" customHeight="1">
      <c r="A356" s="8">
        <f>IF(ISNA(MATCH(347,'Transfer Engine'!$C$2:$C$1960,0)),"",INDEX('Compliance Database'!$A$2:$A$1960,MATCH(347,'Transfer Engine'!$C$2:$C$1960,0)))</f>
        <v/>
      </c>
      <c r="B356" s="8">
        <f>IF(ISNA(MATCH(347,'Transfer Engine'!$C$2:$C$1960,0)),"",INDEX('Compliance Database'!$B$2:$B$1960,MATCH(347,'Transfer Engine'!$C$2:$C$1960,0)))</f>
        <v/>
      </c>
      <c r="C356" s="8">
        <f>IF(ISNA(MATCH(347,'Transfer Engine'!$C$2:$C$1960,0)),"",INDEX('Compliance Database'!$C$2:$C$1960,MATCH(347,'Transfer Engine'!$C$2:$C$1960,0)))</f>
        <v/>
      </c>
      <c r="D356" s="9">
        <f>IF(ISNA(MATCH(347,'Transfer Engine'!$C$2:$C$1960,0)),"",INDEX('Compliance Database'!$D$2:$D$1960,MATCH(347,'Transfer Engine'!$C$2:$C$1960,0)))</f>
        <v/>
      </c>
      <c r="E356" s="8">
        <f>IF(ISNA(MATCH(347,'Transfer Engine'!$C$2:$C$1960,0)),"",INDEX('Compliance Database'!$E$2:$E$1960,MATCH(347,'Transfer Engine'!$C$2:$C$1960,0)))</f>
        <v/>
      </c>
      <c r="F356" s="8">
        <f>IF(ISNA(MATCH(347,'Transfer Engine'!$C$2:$C$1960,0)),"",INDEX('Compliance Database'!$F$2:$F$1960,MATCH(347,'Transfer Engine'!$C$2:$C$1960,0)))</f>
        <v/>
      </c>
      <c r="G356" s="8">
        <f>IF(ISNA(MATCH(347,'Transfer Engine'!$C$2:$C$1960,0)),"",INDEX('Compliance Database'!$G$2:$G$1960,MATCH(347,'Transfer Engine'!$C$2:$C$1960,0)))</f>
        <v/>
      </c>
      <c r="H356" s="9">
        <f>IF(ISNA(MATCH(347,'Transfer Engine'!$C$2:$C$1960,0)),"",INDEX('Compliance Database'!$H$2:$H$1960,MATCH(347,'Transfer Engine'!$C$2:$C$1960,0)))</f>
        <v/>
      </c>
      <c r="I356" s="9">
        <f>IF(ISNA(MATCH(347,'Transfer Engine'!$C$2:$C$1960,0)),"",INDEX('Compliance Database'!$I$2:$I$1960,MATCH(347,'Transfer Engine'!$C$2:$C$1960,0)))</f>
        <v/>
      </c>
      <c r="J356" s="8">
        <f>IF(ISNA(MATCH(347,'Transfer Engine'!$C$2:$C$1960,0)),"",INDEX('Compliance Database'!$J$2:$J$1960,MATCH(347,'Transfer Engine'!$C$2:$C$1960,0)))</f>
        <v/>
      </c>
      <c r="K356" s="9">
        <f>IF(ISNA(MATCH(347,'Transfer Engine'!$C$2:$C$1960,0)),"",INDEX('Compliance Database'!$K$2:$K$1960,MATCH(347,'Transfer Engine'!$C$2:$C$1960,0)))</f>
        <v/>
      </c>
      <c r="L356" s="9">
        <f>IF(ISNA(MATCH(347,'Transfer Engine'!$C$2:$C$1960,0)),"",INDEX('Compliance Database'!$L$2:$L$1960,MATCH(347,'Transfer Engine'!$C$2:$C$1960,0)))</f>
        <v/>
      </c>
      <c r="M356" s="9">
        <f>IF(ISNA(MATCH(347,'Transfer Engine'!$C$2:$C$1960,0)),"",INDEX('Compliance Database'!$M$2:$M$1960,MATCH(347,'Transfer Engine'!$C$2:$C$1960,0)))</f>
        <v/>
      </c>
      <c r="N356" s="9">
        <f>IF(ISNA(MATCH(347,'Transfer Engine'!$C$2:$C$1960,0)),"",INDEX('Compliance Database'!$N$2:$N$1960,MATCH(347,'Transfer Engine'!$C$2:$C$1960,0)))</f>
        <v/>
      </c>
      <c r="O356" s="9">
        <f>IF(ISNA(MATCH(347,'Transfer Engine'!$C$2:$C$1960,0)),"",INDEX('Compliance Database'!$O$2:$O$1960,MATCH(347,'Transfer Engine'!$C$2:$C$1960,0)))</f>
        <v/>
      </c>
      <c r="P356" s="8">
        <f>IF(ISNA(MATCH(347,'Transfer Engine'!$C$2:$C$1960,0)),"",HYPERLINK("#Acts!A"&amp;INDEX('Compliance Database'!$P$2:$P$1960,MATCH(347,'Transfer Engine'!$C$2:$C$1960,0)),"Go to Act"))</f>
        <v/>
      </c>
    </row>
    <row r="357" ht="158" customHeight="1">
      <c r="A357" s="8">
        <f>IF(ISNA(MATCH(348,'Transfer Engine'!$C$2:$C$1960,0)),"",INDEX('Compliance Database'!$A$2:$A$1960,MATCH(348,'Transfer Engine'!$C$2:$C$1960,0)))</f>
        <v/>
      </c>
      <c r="B357" s="8">
        <f>IF(ISNA(MATCH(348,'Transfer Engine'!$C$2:$C$1960,0)),"",INDEX('Compliance Database'!$B$2:$B$1960,MATCH(348,'Transfer Engine'!$C$2:$C$1960,0)))</f>
        <v/>
      </c>
      <c r="C357" s="8">
        <f>IF(ISNA(MATCH(348,'Transfer Engine'!$C$2:$C$1960,0)),"",INDEX('Compliance Database'!$C$2:$C$1960,MATCH(348,'Transfer Engine'!$C$2:$C$1960,0)))</f>
        <v/>
      </c>
      <c r="D357" s="9">
        <f>IF(ISNA(MATCH(348,'Transfer Engine'!$C$2:$C$1960,0)),"",INDEX('Compliance Database'!$D$2:$D$1960,MATCH(348,'Transfer Engine'!$C$2:$C$1960,0)))</f>
        <v/>
      </c>
      <c r="E357" s="8">
        <f>IF(ISNA(MATCH(348,'Transfer Engine'!$C$2:$C$1960,0)),"",INDEX('Compliance Database'!$E$2:$E$1960,MATCH(348,'Transfer Engine'!$C$2:$C$1960,0)))</f>
        <v/>
      </c>
      <c r="F357" s="8">
        <f>IF(ISNA(MATCH(348,'Transfer Engine'!$C$2:$C$1960,0)),"",INDEX('Compliance Database'!$F$2:$F$1960,MATCH(348,'Transfer Engine'!$C$2:$C$1960,0)))</f>
        <v/>
      </c>
      <c r="G357" s="8">
        <f>IF(ISNA(MATCH(348,'Transfer Engine'!$C$2:$C$1960,0)),"",INDEX('Compliance Database'!$G$2:$G$1960,MATCH(348,'Transfer Engine'!$C$2:$C$1960,0)))</f>
        <v/>
      </c>
      <c r="H357" s="9">
        <f>IF(ISNA(MATCH(348,'Transfer Engine'!$C$2:$C$1960,0)),"",INDEX('Compliance Database'!$H$2:$H$1960,MATCH(348,'Transfer Engine'!$C$2:$C$1960,0)))</f>
        <v/>
      </c>
      <c r="I357" s="9">
        <f>IF(ISNA(MATCH(348,'Transfer Engine'!$C$2:$C$1960,0)),"",INDEX('Compliance Database'!$I$2:$I$1960,MATCH(348,'Transfer Engine'!$C$2:$C$1960,0)))</f>
        <v/>
      </c>
      <c r="J357" s="8">
        <f>IF(ISNA(MATCH(348,'Transfer Engine'!$C$2:$C$1960,0)),"",INDEX('Compliance Database'!$J$2:$J$1960,MATCH(348,'Transfer Engine'!$C$2:$C$1960,0)))</f>
        <v/>
      </c>
      <c r="K357" s="9">
        <f>IF(ISNA(MATCH(348,'Transfer Engine'!$C$2:$C$1960,0)),"",INDEX('Compliance Database'!$K$2:$K$1960,MATCH(348,'Transfer Engine'!$C$2:$C$1960,0)))</f>
        <v/>
      </c>
      <c r="L357" s="9">
        <f>IF(ISNA(MATCH(348,'Transfer Engine'!$C$2:$C$1960,0)),"",INDEX('Compliance Database'!$L$2:$L$1960,MATCH(348,'Transfer Engine'!$C$2:$C$1960,0)))</f>
        <v/>
      </c>
      <c r="M357" s="9">
        <f>IF(ISNA(MATCH(348,'Transfer Engine'!$C$2:$C$1960,0)),"",INDEX('Compliance Database'!$M$2:$M$1960,MATCH(348,'Transfer Engine'!$C$2:$C$1960,0)))</f>
        <v/>
      </c>
      <c r="N357" s="9">
        <f>IF(ISNA(MATCH(348,'Transfer Engine'!$C$2:$C$1960,0)),"",INDEX('Compliance Database'!$N$2:$N$1960,MATCH(348,'Transfer Engine'!$C$2:$C$1960,0)))</f>
        <v/>
      </c>
      <c r="O357" s="9">
        <f>IF(ISNA(MATCH(348,'Transfer Engine'!$C$2:$C$1960,0)),"",INDEX('Compliance Database'!$O$2:$O$1960,MATCH(348,'Transfer Engine'!$C$2:$C$1960,0)))</f>
        <v/>
      </c>
      <c r="P357" s="8">
        <f>IF(ISNA(MATCH(348,'Transfer Engine'!$C$2:$C$1960,0)),"",HYPERLINK("#Acts!A"&amp;INDEX('Compliance Database'!$P$2:$P$1960,MATCH(348,'Transfer Engine'!$C$2:$C$1960,0)),"Go to Act"))</f>
        <v/>
      </c>
    </row>
    <row r="358" ht="158" customHeight="1">
      <c r="A358" s="8">
        <f>IF(ISNA(MATCH(349,'Transfer Engine'!$C$2:$C$1960,0)),"",INDEX('Compliance Database'!$A$2:$A$1960,MATCH(349,'Transfer Engine'!$C$2:$C$1960,0)))</f>
        <v/>
      </c>
      <c r="B358" s="8">
        <f>IF(ISNA(MATCH(349,'Transfer Engine'!$C$2:$C$1960,0)),"",INDEX('Compliance Database'!$B$2:$B$1960,MATCH(349,'Transfer Engine'!$C$2:$C$1960,0)))</f>
        <v/>
      </c>
      <c r="C358" s="8">
        <f>IF(ISNA(MATCH(349,'Transfer Engine'!$C$2:$C$1960,0)),"",INDEX('Compliance Database'!$C$2:$C$1960,MATCH(349,'Transfer Engine'!$C$2:$C$1960,0)))</f>
        <v/>
      </c>
      <c r="D358" s="9">
        <f>IF(ISNA(MATCH(349,'Transfer Engine'!$C$2:$C$1960,0)),"",INDEX('Compliance Database'!$D$2:$D$1960,MATCH(349,'Transfer Engine'!$C$2:$C$1960,0)))</f>
        <v/>
      </c>
      <c r="E358" s="8">
        <f>IF(ISNA(MATCH(349,'Transfer Engine'!$C$2:$C$1960,0)),"",INDEX('Compliance Database'!$E$2:$E$1960,MATCH(349,'Transfer Engine'!$C$2:$C$1960,0)))</f>
        <v/>
      </c>
      <c r="F358" s="8">
        <f>IF(ISNA(MATCH(349,'Transfer Engine'!$C$2:$C$1960,0)),"",INDEX('Compliance Database'!$F$2:$F$1960,MATCH(349,'Transfer Engine'!$C$2:$C$1960,0)))</f>
        <v/>
      </c>
      <c r="G358" s="8">
        <f>IF(ISNA(MATCH(349,'Transfer Engine'!$C$2:$C$1960,0)),"",INDEX('Compliance Database'!$G$2:$G$1960,MATCH(349,'Transfer Engine'!$C$2:$C$1960,0)))</f>
        <v/>
      </c>
      <c r="H358" s="9">
        <f>IF(ISNA(MATCH(349,'Transfer Engine'!$C$2:$C$1960,0)),"",INDEX('Compliance Database'!$H$2:$H$1960,MATCH(349,'Transfer Engine'!$C$2:$C$1960,0)))</f>
        <v/>
      </c>
      <c r="I358" s="9">
        <f>IF(ISNA(MATCH(349,'Transfer Engine'!$C$2:$C$1960,0)),"",INDEX('Compliance Database'!$I$2:$I$1960,MATCH(349,'Transfer Engine'!$C$2:$C$1960,0)))</f>
        <v/>
      </c>
      <c r="J358" s="8">
        <f>IF(ISNA(MATCH(349,'Transfer Engine'!$C$2:$C$1960,0)),"",INDEX('Compliance Database'!$J$2:$J$1960,MATCH(349,'Transfer Engine'!$C$2:$C$1960,0)))</f>
        <v/>
      </c>
      <c r="K358" s="9">
        <f>IF(ISNA(MATCH(349,'Transfer Engine'!$C$2:$C$1960,0)),"",INDEX('Compliance Database'!$K$2:$K$1960,MATCH(349,'Transfer Engine'!$C$2:$C$1960,0)))</f>
        <v/>
      </c>
      <c r="L358" s="9">
        <f>IF(ISNA(MATCH(349,'Transfer Engine'!$C$2:$C$1960,0)),"",INDEX('Compliance Database'!$L$2:$L$1960,MATCH(349,'Transfer Engine'!$C$2:$C$1960,0)))</f>
        <v/>
      </c>
      <c r="M358" s="9">
        <f>IF(ISNA(MATCH(349,'Transfer Engine'!$C$2:$C$1960,0)),"",INDEX('Compliance Database'!$M$2:$M$1960,MATCH(349,'Transfer Engine'!$C$2:$C$1960,0)))</f>
        <v/>
      </c>
      <c r="N358" s="9">
        <f>IF(ISNA(MATCH(349,'Transfer Engine'!$C$2:$C$1960,0)),"",INDEX('Compliance Database'!$N$2:$N$1960,MATCH(349,'Transfer Engine'!$C$2:$C$1960,0)))</f>
        <v/>
      </c>
      <c r="O358" s="9">
        <f>IF(ISNA(MATCH(349,'Transfer Engine'!$C$2:$C$1960,0)),"",INDEX('Compliance Database'!$O$2:$O$1960,MATCH(349,'Transfer Engine'!$C$2:$C$1960,0)))</f>
        <v/>
      </c>
      <c r="P358" s="8">
        <f>IF(ISNA(MATCH(349,'Transfer Engine'!$C$2:$C$1960,0)),"",HYPERLINK("#Acts!A"&amp;INDEX('Compliance Database'!$P$2:$P$1960,MATCH(349,'Transfer Engine'!$C$2:$C$1960,0)),"Go to Act"))</f>
        <v/>
      </c>
    </row>
    <row r="359" ht="158" customHeight="1">
      <c r="A359" s="8">
        <f>IF(ISNA(MATCH(350,'Transfer Engine'!$C$2:$C$1960,0)),"",INDEX('Compliance Database'!$A$2:$A$1960,MATCH(350,'Transfer Engine'!$C$2:$C$1960,0)))</f>
        <v/>
      </c>
      <c r="B359" s="8">
        <f>IF(ISNA(MATCH(350,'Transfer Engine'!$C$2:$C$1960,0)),"",INDEX('Compliance Database'!$B$2:$B$1960,MATCH(350,'Transfer Engine'!$C$2:$C$1960,0)))</f>
        <v/>
      </c>
      <c r="C359" s="8">
        <f>IF(ISNA(MATCH(350,'Transfer Engine'!$C$2:$C$1960,0)),"",INDEX('Compliance Database'!$C$2:$C$1960,MATCH(350,'Transfer Engine'!$C$2:$C$1960,0)))</f>
        <v/>
      </c>
      <c r="D359" s="9">
        <f>IF(ISNA(MATCH(350,'Transfer Engine'!$C$2:$C$1960,0)),"",INDEX('Compliance Database'!$D$2:$D$1960,MATCH(350,'Transfer Engine'!$C$2:$C$1960,0)))</f>
        <v/>
      </c>
      <c r="E359" s="8">
        <f>IF(ISNA(MATCH(350,'Transfer Engine'!$C$2:$C$1960,0)),"",INDEX('Compliance Database'!$E$2:$E$1960,MATCH(350,'Transfer Engine'!$C$2:$C$1960,0)))</f>
        <v/>
      </c>
      <c r="F359" s="8">
        <f>IF(ISNA(MATCH(350,'Transfer Engine'!$C$2:$C$1960,0)),"",INDEX('Compliance Database'!$F$2:$F$1960,MATCH(350,'Transfer Engine'!$C$2:$C$1960,0)))</f>
        <v/>
      </c>
      <c r="G359" s="8">
        <f>IF(ISNA(MATCH(350,'Transfer Engine'!$C$2:$C$1960,0)),"",INDEX('Compliance Database'!$G$2:$G$1960,MATCH(350,'Transfer Engine'!$C$2:$C$1960,0)))</f>
        <v/>
      </c>
      <c r="H359" s="9">
        <f>IF(ISNA(MATCH(350,'Transfer Engine'!$C$2:$C$1960,0)),"",INDEX('Compliance Database'!$H$2:$H$1960,MATCH(350,'Transfer Engine'!$C$2:$C$1960,0)))</f>
        <v/>
      </c>
      <c r="I359" s="9">
        <f>IF(ISNA(MATCH(350,'Transfer Engine'!$C$2:$C$1960,0)),"",INDEX('Compliance Database'!$I$2:$I$1960,MATCH(350,'Transfer Engine'!$C$2:$C$1960,0)))</f>
        <v/>
      </c>
      <c r="J359" s="8">
        <f>IF(ISNA(MATCH(350,'Transfer Engine'!$C$2:$C$1960,0)),"",INDEX('Compliance Database'!$J$2:$J$1960,MATCH(350,'Transfer Engine'!$C$2:$C$1960,0)))</f>
        <v/>
      </c>
      <c r="K359" s="9">
        <f>IF(ISNA(MATCH(350,'Transfer Engine'!$C$2:$C$1960,0)),"",INDEX('Compliance Database'!$K$2:$K$1960,MATCH(350,'Transfer Engine'!$C$2:$C$1960,0)))</f>
        <v/>
      </c>
      <c r="L359" s="9">
        <f>IF(ISNA(MATCH(350,'Transfer Engine'!$C$2:$C$1960,0)),"",INDEX('Compliance Database'!$L$2:$L$1960,MATCH(350,'Transfer Engine'!$C$2:$C$1960,0)))</f>
        <v/>
      </c>
      <c r="M359" s="9">
        <f>IF(ISNA(MATCH(350,'Transfer Engine'!$C$2:$C$1960,0)),"",INDEX('Compliance Database'!$M$2:$M$1960,MATCH(350,'Transfer Engine'!$C$2:$C$1960,0)))</f>
        <v/>
      </c>
      <c r="N359" s="9">
        <f>IF(ISNA(MATCH(350,'Transfer Engine'!$C$2:$C$1960,0)),"",INDEX('Compliance Database'!$N$2:$N$1960,MATCH(350,'Transfer Engine'!$C$2:$C$1960,0)))</f>
        <v/>
      </c>
      <c r="O359" s="9">
        <f>IF(ISNA(MATCH(350,'Transfer Engine'!$C$2:$C$1960,0)),"",INDEX('Compliance Database'!$O$2:$O$1960,MATCH(350,'Transfer Engine'!$C$2:$C$1960,0)))</f>
        <v/>
      </c>
      <c r="P359" s="8">
        <f>IF(ISNA(MATCH(350,'Transfer Engine'!$C$2:$C$1960,0)),"",HYPERLINK("#Acts!A"&amp;INDEX('Compliance Database'!$P$2:$P$1960,MATCH(350,'Transfer Engine'!$C$2:$C$1960,0)),"Go to Act"))</f>
        <v/>
      </c>
    </row>
    <row r="360" ht="158" customHeight="1">
      <c r="A360" s="8">
        <f>IF(ISNA(MATCH(351,'Transfer Engine'!$C$2:$C$1960,0)),"",INDEX('Compliance Database'!$A$2:$A$1960,MATCH(351,'Transfer Engine'!$C$2:$C$1960,0)))</f>
        <v/>
      </c>
      <c r="B360" s="8">
        <f>IF(ISNA(MATCH(351,'Transfer Engine'!$C$2:$C$1960,0)),"",INDEX('Compliance Database'!$B$2:$B$1960,MATCH(351,'Transfer Engine'!$C$2:$C$1960,0)))</f>
        <v/>
      </c>
      <c r="C360" s="8">
        <f>IF(ISNA(MATCH(351,'Transfer Engine'!$C$2:$C$1960,0)),"",INDEX('Compliance Database'!$C$2:$C$1960,MATCH(351,'Transfer Engine'!$C$2:$C$1960,0)))</f>
        <v/>
      </c>
      <c r="D360" s="9">
        <f>IF(ISNA(MATCH(351,'Transfer Engine'!$C$2:$C$1960,0)),"",INDEX('Compliance Database'!$D$2:$D$1960,MATCH(351,'Transfer Engine'!$C$2:$C$1960,0)))</f>
        <v/>
      </c>
      <c r="E360" s="8">
        <f>IF(ISNA(MATCH(351,'Transfer Engine'!$C$2:$C$1960,0)),"",INDEX('Compliance Database'!$E$2:$E$1960,MATCH(351,'Transfer Engine'!$C$2:$C$1960,0)))</f>
        <v/>
      </c>
      <c r="F360" s="8">
        <f>IF(ISNA(MATCH(351,'Transfer Engine'!$C$2:$C$1960,0)),"",INDEX('Compliance Database'!$F$2:$F$1960,MATCH(351,'Transfer Engine'!$C$2:$C$1960,0)))</f>
        <v/>
      </c>
      <c r="G360" s="8">
        <f>IF(ISNA(MATCH(351,'Transfer Engine'!$C$2:$C$1960,0)),"",INDEX('Compliance Database'!$G$2:$G$1960,MATCH(351,'Transfer Engine'!$C$2:$C$1960,0)))</f>
        <v/>
      </c>
      <c r="H360" s="9">
        <f>IF(ISNA(MATCH(351,'Transfer Engine'!$C$2:$C$1960,0)),"",INDEX('Compliance Database'!$H$2:$H$1960,MATCH(351,'Transfer Engine'!$C$2:$C$1960,0)))</f>
        <v/>
      </c>
      <c r="I360" s="9">
        <f>IF(ISNA(MATCH(351,'Transfer Engine'!$C$2:$C$1960,0)),"",INDEX('Compliance Database'!$I$2:$I$1960,MATCH(351,'Transfer Engine'!$C$2:$C$1960,0)))</f>
        <v/>
      </c>
      <c r="J360" s="8">
        <f>IF(ISNA(MATCH(351,'Transfer Engine'!$C$2:$C$1960,0)),"",INDEX('Compliance Database'!$J$2:$J$1960,MATCH(351,'Transfer Engine'!$C$2:$C$1960,0)))</f>
        <v/>
      </c>
      <c r="K360" s="9">
        <f>IF(ISNA(MATCH(351,'Transfer Engine'!$C$2:$C$1960,0)),"",INDEX('Compliance Database'!$K$2:$K$1960,MATCH(351,'Transfer Engine'!$C$2:$C$1960,0)))</f>
        <v/>
      </c>
      <c r="L360" s="9">
        <f>IF(ISNA(MATCH(351,'Transfer Engine'!$C$2:$C$1960,0)),"",INDEX('Compliance Database'!$L$2:$L$1960,MATCH(351,'Transfer Engine'!$C$2:$C$1960,0)))</f>
        <v/>
      </c>
      <c r="M360" s="9">
        <f>IF(ISNA(MATCH(351,'Transfer Engine'!$C$2:$C$1960,0)),"",INDEX('Compliance Database'!$M$2:$M$1960,MATCH(351,'Transfer Engine'!$C$2:$C$1960,0)))</f>
        <v/>
      </c>
      <c r="N360" s="9">
        <f>IF(ISNA(MATCH(351,'Transfer Engine'!$C$2:$C$1960,0)),"",INDEX('Compliance Database'!$N$2:$N$1960,MATCH(351,'Transfer Engine'!$C$2:$C$1960,0)))</f>
        <v/>
      </c>
      <c r="O360" s="9">
        <f>IF(ISNA(MATCH(351,'Transfer Engine'!$C$2:$C$1960,0)),"",INDEX('Compliance Database'!$O$2:$O$1960,MATCH(351,'Transfer Engine'!$C$2:$C$1960,0)))</f>
        <v/>
      </c>
      <c r="P360" s="8">
        <f>IF(ISNA(MATCH(351,'Transfer Engine'!$C$2:$C$1960,0)),"",HYPERLINK("#Acts!A"&amp;INDEX('Compliance Database'!$P$2:$P$1960,MATCH(351,'Transfer Engine'!$C$2:$C$1960,0)),"Go to Act"))</f>
        <v/>
      </c>
    </row>
    <row r="361" ht="158" customHeight="1">
      <c r="A361" s="8">
        <f>IF(ISNA(MATCH(352,'Transfer Engine'!$C$2:$C$1960,0)),"",INDEX('Compliance Database'!$A$2:$A$1960,MATCH(352,'Transfer Engine'!$C$2:$C$1960,0)))</f>
        <v/>
      </c>
      <c r="B361" s="8">
        <f>IF(ISNA(MATCH(352,'Transfer Engine'!$C$2:$C$1960,0)),"",INDEX('Compliance Database'!$B$2:$B$1960,MATCH(352,'Transfer Engine'!$C$2:$C$1960,0)))</f>
        <v/>
      </c>
      <c r="C361" s="8">
        <f>IF(ISNA(MATCH(352,'Transfer Engine'!$C$2:$C$1960,0)),"",INDEX('Compliance Database'!$C$2:$C$1960,MATCH(352,'Transfer Engine'!$C$2:$C$1960,0)))</f>
        <v/>
      </c>
      <c r="D361" s="9">
        <f>IF(ISNA(MATCH(352,'Transfer Engine'!$C$2:$C$1960,0)),"",INDEX('Compliance Database'!$D$2:$D$1960,MATCH(352,'Transfer Engine'!$C$2:$C$1960,0)))</f>
        <v/>
      </c>
      <c r="E361" s="8">
        <f>IF(ISNA(MATCH(352,'Transfer Engine'!$C$2:$C$1960,0)),"",INDEX('Compliance Database'!$E$2:$E$1960,MATCH(352,'Transfer Engine'!$C$2:$C$1960,0)))</f>
        <v/>
      </c>
      <c r="F361" s="8">
        <f>IF(ISNA(MATCH(352,'Transfer Engine'!$C$2:$C$1960,0)),"",INDEX('Compliance Database'!$F$2:$F$1960,MATCH(352,'Transfer Engine'!$C$2:$C$1960,0)))</f>
        <v/>
      </c>
      <c r="G361" s="8">
        <f>IF(ISNA(MATCH(352,'Transfer Engine'!$C$2:$C$1960,0)),"",INDEX('Compliance Database'!$G$2:$G$1960,MATCH(352,'Transfer Engine'!$C$2:$C$1960,0)))</f>
        <v/>
      </c>
      <c r="H361" s="9">
        <f>IF(ISNA(MATCH(352,'Transfer Engine'!$C$2:$C$1960,0)),"",INDEX('Compliance Database'!$H$2:$H$1960,MATCH(352,'Transfer Engine'!$C$2:$C$1960,0)))</f>
        <v/>
      </c>
      <c r="I361" s="9">
        <f>IF(ISNA(MATCH(352,'Transfer Engine'!$C$2:$C$1960,0)),"",INDEX('Compliance Database'!$I$2:$I$1960,MATCH(352,'Transfer Engine'!$C$2:$C$1960,0)))</f>
        <v/>
      </c>
      <c r="J361" s="8">
        <f>IF(ISNA(MATCH(352,'Transfer Engine'!$C$2:$C$1960,0)),"",INDEX('Compliance Database'!$J$2:$J$1960,MATCH(352,'Transfer Engine'!$C$2:$C$1960,0)))</f>
        <v/>
      </c>
      <c r="K361" s="9">
        <f>IF(ISNA(MATCH(352,'Transfer Engine'!$C$2:$C$1960,0)),"",INDEX('Compliance Database'!$K$2:$K$1960,MATCH(352,'Transfer Engine'!$C$2:$C$1960,0)))</f>
        <v/>
      </c>
      <c r="L361" s="9">
        <f>IF(ISNA(MATCH(352,'Transfer Engine'!$C$2:$C$1960,0)),"",INDEX('Compliance Database'!$L$2:$L$1960,MATCH(352,'Transfer Engine'!$C$2:$C$1960,0)))</f>
        <v/>
      </c>
      <c r="M361" s="9">
        <f>IF(ISNA(MATCH(352,'Transfer Engine'!$C$2:$C$1960,0)),"",INDEX('Compliance Database'!$M$2:$M$1960,MATCH(352,'Transfer Engine'!$C$2:$C$1960,0)))</f>
        <v/>
      </c>
      <c r="N361" s="9">
        <f>IF(ISNA(MATCH(352,'Transfer Engine'!$C$2:$C$1960,0)),"",INDEX('Compliance Database'!$N$2:$N$1960,MATCH(352,'Transfer Engine'!$C$2:$C$1960,0)))</f>
        <v/>
      </c>
      <c r="O361" s="9">
        <f>IF(ISNA(MATCH(352,'Transfer Engine'!$C$2:$C$1960,0)),"",INDEX('Compliance Database'!$O$2:$O$1960,MATCH(352,'Transfer Engine'!$C$2:$C$1960,0)))</f>
        <v/>
      </c>
      <c r="P361" s="8">
        <f>IF(ISNA(MATCH(352,'Transfer Engine'!$C$2:$C$1960,0)),"",HYPERLINK("#Acts!A"&amp;INDEX('Compliance Database'!$P$2:$P$1960,MATCH(352,'Transfer Engine'!$C$2:$C$1960,0)),"Go to Act"))</f>
        <v/>
      </c>
    </row>
    <row r="362" ht="158" customHeight="1">
      <c r="A362" s="8">
        <f>IF(ISNA(MATCH(353,'Transfer Engine'!$C$2:$C$1960,0)),"",INDEX('Compliance Database'!$A$2:$A$1960,MATCH(353,'Transfer Engine'!$C$2:$C$1960,0)))</f>
        <v/>
      </c>
      <c r="B362" s="8">
        <f>IF(ISNA(MATCH(353,'Transfer Engine'!$C$2:$C$1960,0)),"",INDEX('Compliance Database'!$B$2:$B$1960,MATCH(353,'Transfer Engine'!$C$2:$C$1960,0)))</f>
        <v/>
      </c>
      <c r="C362" s="8">
        <f>IF(ISNA(MATCH(353,'Transfer Engine'!$C$2:$C$1960,0)),"",INDEX('Compliance Database'!$C$2:$C$1960,MATCH(353,'Transfer Engine'!$C$2:$C$1960,0)))</f>
        <v/>
      </c>
      <c r="D362" s="9">
        <f>IF(ISNA(MATCH(353,'Transfer Engine'!$C$2:$C$1960,0)),"",INDEX('Compliance Database'!$D$2:$D$1960,MATCH(353,'Transfer Engine'!$C$2:$C$1960,0)))</f>
        <v/>
      </c>
      <c r="E362" s="8">
        <f>IF(ISNA(MATCH(353,'Transfer Engine'!$C$2:$C$1960,0)),"",INDEX('Compliance Database'!$E$2:$E$1960,MATCH(353,'Transfer Engine'!$C$2:$C$1960,0)))</f>
        <v/>
      </c>
      <c r="F362" s="8">
        <f>IF(ISNA(MATCH(353,'Transfer Engine'!$C$2:$C$1960,0)),"",INDEX('Compliance Database'!$F$2:$F$1960,MATCH(353,'Transfer Engine'!$C$2:$C$1960,0)))</f>
        <v/>
      </c>
      <c r="G362" s="8">
        <f>IF(ISNA(MATCH(353,'Transfer Engine'!$C$2:$C$1960,0)),"",INDEX('Compliance Database'!$G$2:$G$1960,MATCH(353,'Transfer Engine'!$C$2:$C$1960,0)))</f>
        <v/>
      </c>
      <c r="H362" s="9">
        <f>IF(ISNA(MATCH(353,'Transfer Engine'!$C$2:$C$1960,0)),"",INDEX('Compliance Database'!$H$2:$H$1960,MATCH(353,'Transfer Engine'!$C$2:$C$1960,0)))</f>
        <v/>
      </c>
      <c r="I362" s="9">
        <f>IF(ISNA(MATCH(353,'Transfer Engine'!$C$2:$C$1960,0)),"",INDEX('Compliance Database'!$I$2:$I$1960,MATCH(353,'Transfer Engine'!$C$2:$C$1960,0)))</f>
        <v/>
      </c>
      <c r="J362" s="8">
        <f>IF(ISNA(MATCH(353,'Transfer Engine'!$C$2:$C$1960,0)),"",INDEX('Compliance Database'!$J$2:$J$1960,MATCH(353,'Transfer Engine'!$C$2:$C$1960,0)))</f>
        <v/>
      </c>
      <c r="K362" s="9">
        <f>IF(ISNA(MATCH(353,'Transfer Engine'!$C$2:$C$1960,0)),"",INDEX('Compliance Database'!$K$2:$K$1960,MATCH(353,'Transfer Engine'!$C$2:$C$1960,0)))</f>
        <v/>
      </c>
      <c r="L362" s="9">
        <f>IF(ISNA(MATCH(353,'Transfer Engine'!$C$2:$C$1960,0)),"",INDEX('Compliance Database'!$L$2:$L$1960,MATCH(353,'Transfer Engine'!$C$2:$C$1960,0)))</f>
        <v/>
      </c>
      <c r="M362" s="9">
        <f>IF(ISNA(MATCH(353,'Transfer Engine'!$C$2:$C$1960,0)),"",INDEX('Compliance Database'!$M$2:$M$1960,MATCH(353,'Transfer Engine'!$C$2:$C$1960,0)))</f>
        <v/>
      </c>
      <c r="N362" s="9">
        <f>IF(ISNA(MATCH(353,'Transfer Engine'!$C$2:$C$1960,0)),"",INDEX('Compliance Database'!$N$2:$N$1960,MATCH(353,'Transfer Engine'!$C$2:$C$1960,0)))</f>
        <v/>
      </c>
      <c r="O362" s="9">
        <f>IF(ISNA(MATCH(353,'Transfer Engine'!$C$2:$C$1960,0)),"",INDEX('Compliance Database'!$O$2:$O$1960,MATCH(353,'Transfer Engine'!$C$2:$C$1960,0)))</f>
        <v/>
      </c>
      <c r="P362" s="8">
        <f>IF(ISNA(MATCH(353,'Transfer Engine'!$C$2:$C$1960,0)),"",HYPERLINK("#Acts!A"&amp;INDEX('Compliance Database'!$P$2:$P$1960,MATCH(353,'Transfer Engine'!$C$2:$C$1960,0)),"Go to Act"))</f>
        <v/>
      </c>
    </row>
    <row r="363" ht="158" customHeight="1">
      <c r="A363" s="8">
        <f>IF(ISNA(MATCH(354,'Transfer Engine'!$C$2:$C$1960,0)),"",INDEX('Compliance Database'!$A$2:$A$1960,MATCH(354,'Transfer Engine'!$C$2:$C$1960,0)))</f>
        <v/>
      </c>
      <c r="B363" s="8">
        <f>IF(ISNA(MATCH(354,'Transfer Engine'!$C$2:$C$1960,0)),"",INDEX('Compliance Database'!$B$2:$B$1960,MATCH(354,'Transfer Engine'!$C$2:$C$1960,0)))</f>
        <v/>
      </c>
      <c r="C363" s="8">
        <f>IF(ISNA(MATCH(354,'Transfer Engine'!$C$2:$C$1960,0)),"",INDEX('Compliance Database'!$C$2:$C$1960,MATCH(354,'Transfer Engine'!$C$2:$C$1960,0)))</f>
        <v/>
      </c>
      <c r="D363" s="9">
        <f>IF(ISNA(MATCH(354,'Transfer Engine'!$C$2:$C$1960,0)),"",INDEX('Compliance Database'!$D$2:$D$1960,MATCH(354,'Transfer Engine'!$C$2:$C$1960,0)))</f>
        <v/>
      </c>
      <c r="E363" s="8">
        <f>IF(ISNA(MATCH(354,'Transfer Engine'!$C$2:$C$1960,0)),"",INDEX('Compliance Database'!$E$2:$E$1960,MATCH(354,'Transfer Engine'!$C$2:$C$1960,0)))</f>
        <v/>
      </c>
      <c r="F363" s="8">
        <f>IF(ISNA(MATCH(354,'Transfer Engine'!$C$2:$C$1960,0)),"",INDEX('Compliance Database'!$F$2:$F$1960,MATCH(354,'Transfer Engine'!$C$2:$C$1960,0)))</f>
        <v/>
      </c>
      <c r="G363" s="8">
        <f>IF(ISNA(MATCH(354,'Transfer Engine'!$C$2:$C$1960,0)),"",INDEX('Compliance Database'!$G$2:$G$1960,MATCH(354,'Transfer Engine'!$C$2:$C$1960,0)))</f>
        <v/>
      </c>
      <c r="H363" s="9">
        <f>IF(ISNA(MATCH(354,'Transfer Engine'!$C$2:$C$1960,0)),"",INDEX('Compliance Database'!$H$2:$H$1960,MATCH(354,'Transfer Engine'!$C$2:$C$1960,0)))</f>
        <v/>
      </c>
      <c r="I363" s="9">
        <f>IF(ISNA(MATCH(354,'Transfer Engine'!$C$2:$C$1960,0)),"",INDEX('Compliance Database'!$I$2:$I$1960,MATCH(354,'Transfer Engine'!$C$2:$C$1960,0)))</f>
        <v/>
      </c>
      <c r="J363" s="8">
        <f>IF(ISNA(MATCH(354,'Transfer Engine'!$C$2:$C$1960,0)),"",INDEX('Compliance Database'!$J$2:$J$1960,MATCH(354,'Transfer Engine'!$C$2:$C$1960,0)))</f>
        <v/>
      </c>
      <c r="K363" s="9">
        <f>IF(ISNA(MATCH(354,'Transfer Engine'!$C$2:$C$1960,0)),"",INDEX('Compliance Database'!$K$2:$K$1960,MATCH(354,'Transfer Engine'!$C$2:$C$1960,0)))</f>
        <v/>
      </c>
      <c r="L363" s="9">
        <f>IF(ISNA(MATCH(354,'Transfer Engine'!$C$2:$C$1960,0)),"",INDEX('Compliance Database'!$L$2:$L$1960,MATCH(354,'Transfer Engine'!$C$2:$C$1960,0)))</f>
        <v/>
      </c>
      <c r="M363" s="9">
        <f>IF(ISNA(MATCH(354,'Transfer Engine'!$C$2:$C$1960,0)),"",INDEX('Compliance Database'!$M$2:$M$1960,MATCH(354,'Transfer Engine'!$C$2:$C$1960,0)))</f>
        <v/>
      </c>
      <c r="N363" s="9">
        <f>IF(ISNA(MATCH(354,'Transfer Engine'!$C$2:$C$1960,0)),"",INDEX('Compliance Database'!$N$2:$N$1960,MATCH(354,'Transfer Engine'!$C$2:$C$1960,0)))</f>
        <v/>
      </c>
      <c r="O363" s="9">
        <f>IF(ISNA(MATCH(354,'Transfer Engine'!$C$2:$C$1960,0)),"",INDEX('Compliance Database'!$O$2:$O$1960,MATCH(354,'Transfer Engine'!$C$2:$C$1960,0)))</f>
        <v/>
      </c>
      <c r="P363" s="8">
        <f>IF(ISNA(MATCH(354,'Transfer Engine'!$C$2:$C$1960,0)),"",HYPERLINK("#Acts!A"&amp;INDEX('Compliance Database'!$P$2:$P$1960,MATCH(354,'Transfer Engine'!$C$2:$C$1960,0)),"Go to Act"))</f>
        <v/>
      </c>
    </row>
    <row r="364" ht="158" customHeight="1">
      <c r="A364" s="8">
        <f>IF(ISNA(MATCH(355,'Transfer Engine'!$C$2:$C$1960,0)),"",INDEX('Compliance Database'!$A$2:$A$1960,MATCH(355,'Transfer Engine'!$C$2:$C$1960,0)))</f>
        <v/>
      </c>
      <c r="B364" s="8">
        <f>IF(ISNA(MATCH(355,'Transfer Engine'!$C$2:$C$1960,0)),"",INDEX('Compliance Database'!$B$2:$B$1960,MATCH(355,'Transfer Engine'!$C$2:$C$1960,0)))</f>
        <v/>
      </c>
      <c r="C364" s="8">
        <f>IF(ISNA(MATCH(355,'Transfer Engine'!$C$2:$C$1960,0)),"",INDEX('Compliance Database'!$C$2:$C$1960,MATCH(355,'Transfer Engine'!$C$2:$C$1960,0)))</f>
        <v/>
      </c>
      <c r="D364" s="9">
        <f>IF(ISNA(MATCH(355,'Transfer Engine'!$C$2:$C$1960,0)),"",INDEX('Compliance Database'!$D$2:$D$1960,MATCH(355,'Transfer Engine'!$C$2:$C$1960,0)))</f>
        <v/>
      </c>
      <c r="E364" s="8">
        <f>IF(ISNA(MATCH(355,'Transfer Engine'!$C$2:$C$1960,0)),"",INDEX('Compliance Database'!$E$2:$E$1960,MATCH(355,'Transfer Engine'!$C$2:$C$1960,0)))</f>
        <v/>
      </c>
      <c r="F364" s="8">
        <f>IF(ISNA(MATCH(355,'Transfer Engine'!$C$2:$C$1960,0)),"",INDEX('Compliance Database'!$F$2:$F$1960,MATCH(355,'Transfer Engine'!$C$2:$C$1960,0)))</f>
        <v/>
      </c>
      <c r="G364" s="8">
        <f>IF(ISNA(MATCH(355,'Transfer Engine'!$C$2:$C$1960,0)),"",INDEX('Compliance Database'!$G$2:$G$1960,MATCH(355,'Transfer Engine'!$C$2:$C$1960,0)))</f>
        <v/>
      </c>
      <c r="H364" s="9">
        <f>IF(ISNA(MATCH(355,'Transfer Engine'!$C$2:$C$1960,0)),"",INDEX('Compliance Database'!$H$2:$H$1960,MATCH(355,'Transfer Engine'!$C$2:$C$1960,0)))</f>
        <v/>
      </c>
      <c r="I364" s="9">
        <f>IF(ISNA(MATCH(355,'Transfer Engine'!$C$2:$C$1960,0)),"",INDEX('Compliance Database'!$I$2:$I$1960,MATCH(355,'Transfer Engine'!$C$2:$C$1960,0)))</f>
        <v/>
      </c>
      <c r="J364" s="8">
        <f>IF(ISNA(MATCH(355,'Transfer Engine'!$C$2:$C$1960,0)),"",INDEX('Compliance Database'!$J$2:$J$1960,MATCH(355,'Transfer Engine'!$C$2:$C$1960,0)))</f>
        <v/>
      </c>
      <c r="K364" s="9">
        <f>IF(ISNA(MATCH(355,'Transfer Engine'!$C$2:$C$1960,0)),"",INDEX('Compliance Database'!$K$2:$K$1960,MATCH(355,'Transfer Engine'!$C$2:$C$1960,0)))</f>
        <v/>
      </c>
      <c r="L364" s="9">
        <f>IF(ISNA(MATCH(355,'Transfer Engine'!$C$2:$C$1960,0)),"",INDEX('Compliance Database'!$L$2:$L$1960,MATCH(355,'Transfer Engine'!$C$2:$C$1960,0)))</f>
        <v/>
      </c>
      <c r="M364" s="9">
        <f>IF(ISNA(MATCH(355,'Transfer Engine'!$C$2:$C$1960,0)),"",INDEX('Compliance Database'!$M$2:$M$1960,MATCH(355,'Transfer Engine'!$C$2:$C$1960,0)))</f>
        <v/>
      </c>
      <c r="N364" s="9">
        <f>IF(ISNA(MATCH(355,'Transfer Engine'!$C$2:$C$1960,0)),"",INDEX('Compliance Database'!$N$2:$N$1960,MATCH(355,'Transfer Engine'!$C$2:$C$1960,0)))</f>
        <v/>
      </c>
      <c r="O364" s="9">
        <f>IF(ISNA(MATCH(355,'Transfer Engine'!$C$2:$C$1960,0)),"",INDEX('Compliance Database'!$O$2:$O$1960,MATCH(355,'Transfer Engine'!$C$2:$C$1960,0)))</f>
        <v/>
      </c>
      <c r="P364" s="8">
        <f>IF(ISNA(MATCH(355,'Transfer Engine'!$C$2:$C$1960,0)),"",HYPERLINK("#Acts!A"&amp;INDEX('Compliance Database'!$P$2:$P$1960,MATCH(355,'Transfer Engine'!$C$2:$C$1960,0)),"Go to Act"))</f>
        <v/>
      </c>
    </row>
    <row r="365" ht="158" customHeight="1">
      <c r="A365" s="8">
        <f>IF(ISNA(MATCH(356,'Transfer Engine'!$C$2:$C$1960,0)),"",INDEX('Compliance Database'!$A$2:$A$1960,MATCH(356,'Transfer Engine'!$C$2:$C$1960,0)))</f>
        <v/>
      </c>
      <c r="B365" s="8">
        <f>IF(ISNA(MATCH(356,'Transfer Engine'!$C$2:$C$1960,0)),"",INDEX('Compliance Database'!$B$2:$B$1960,MATCH(356,'Transfer Engine'!$C$2:$C$1960,0)))</f>
        <v/>
      </c>
      <c r="C365" s="8">
        <f>IF(ISNA(MATCH(356,'Transfer Engine'!$C$2:$C$1960,0)),"",INDEX('Compliance Database'!$C$2:$C$1960,MATCH(356,'Transfer Engine'!$C$2:$C$1960,0)))</f>
        <v/>
      </c>
      <c r="D365" s="9">
        <f>IF(ISNA(MATCH(356,'Transfer Engine'!$C$2:$C$1960,0)),"",INDEX('Compliance Database'!$D$2:$D$1960,MATCH(356,'Transfer Engine'!$C$2:$C$1960,0)))</f>
        <v/>
      </c>
      <c r="E365" s="8">
        <f>IF(ISNA(MATCH(356,'Transfer Engine'!$C$2:$C$1960,0)),"",INDEX('Compliance Database'!$E$2:$E$1960,MATCH(356,'Transfer Engine'!$C$2:$C$1960,0)))</f>
        <v/>
      </c>
      <c r="F365" s="8">
        <f>IF(ISNA(MATCH(356,'Transfer Engine'!$C$2:$C$1960,0)),"",INDEX('Compliance Database'!$F$2:$F$1960,MATCH(356,'Transfer Engine'!$C$2:$C$1960,0)))</f>
        <v/>
      </c>
      <c r="G365" s="8">
        <f>IF(ISNA(MATCH(356,'Transfer Engine'!$C$2:$C$1960,0)),"",INDEX('Compliance Database'!$G$2:$G$1960,MATCH(356,'Transfer Engine'!$C$2:$C$1960,0)))</f>
        <v/>
      </c>
      <c r="H365" s="9">
        <f>IF(ISNA(MATCH(356,'Transfer Engine'!$C$2:$C$1960,0)),"",INDEX('Compliance Database'!$H$2:$H$1960,MATCH(356,'Transfer Engine'!$C$2:$C$1960,0)))</f>
        <v/>
      </c>
      <c r="I365" s="9">
        <f>IF(ISNA(MATCH(356,'Transfer Engine'!$C$2:$C$1960,0)),"",INDEX('Compliance Database'!$I$2:$I$1960,MATCH(356,'Transfer Engine'!$C$2:$C$1960,0)))</f>
        <v/>
      </c>
      <c r="J365" s="8">
        <f>IF(ISNA(MATCH(356,'Transfer Engine'!$C$2:$C$1960,0)),"",INDEX('Compliance Database'!$J$2:$J$1960,MATCH(356,'Transfer Engine'!$C$2:$C$1960,0)))</f>
        <v/>
      </c>
      <c r="K365" s="9">
        <f>IF(ISNA(MATCH(356,'Transfer Engine'!$C$2:$C$1960,0)),"",INDEX('Compliance Database'!$K$2:$K$1960,MATCH(356,'Transfer Engine'!$C$2:$C$1960,0)))</f>
        <v/>
      </c>
      <c r="L365" s="9">
        <f>IF(ISNA(MATCH(356,'Transfer Engine'!$C$2:$C$1960,0)),"",INDEX('Compliance Database'!$L$2:$L$1960,MATCH(356,'Transfer Engine'!$C$2:$C$1960,0)))</f>
        <v/>
      </c>
      <c r="M365" s="9">
        <f>IF(ISNA(MATCH(356,'Transfer Engine'!$C$2:$C$1960,0)),"",INDEX('Compliance Database'!$M$2:$M$1960,MATCH(356,'Transfer Engine'!$C$2:$C$1960,0)))</f>
        <v/>
      </c>
      <c r="N365" s="9">
        <f>IF(ISNA(MATCH(356,'Transfer Engine'!$C$2:$C$1960,0)),"",INDEX('Compliance Database'!$N$2:$N$1960,MATCH(356,'Transfer Engine'!$C$2:$C$1960,0)))</f>
        <v/>
      </c>
      <c r="O365" s="9">
        <f>IF(ISNA(MATCH(356,'Transfer Engine'!$C$2:$C$1960,0)),"",INDEX('Compliance Database'!$O$2:$O$1960,MATCH(356,'Transfer Engine'!$C$2:$C$1960,0)))</f>
        <v/>
      </c>
      <c r="P365" s="8">
        <f>IF(ISNA(MATCH(356,'Transfer Engine'!$C$2:$C$1960,0)),"",HYPERLINK("#Acts!A"&amp;INDEX('Compliance Database'!$P$2:$P$1960,MATCH(356,'Transfer Engine'!$C$2:$C$1960,0)),"Go to Act"))</f>
        <v/>
      </c>
    </row>
    <row r="366" ht="158" customHeight="1">
      <c r="A366" s="8">
        <f>IF(ISNA(MATCH(357,'Transfer Engine'!$C$2:$C$1960,0)),"",INDEX('Compliance Database'!$A$2:$A$1960,MATCH(357,'Transfer Engine'!$C$2:$C$1960,0)))</f>
        <v/>
      </c>
      <c r="B366" s="8">
        <f>IF(ISNA(MATCH(357,'Transfer Engine'!$C$2:$C$1960,0)),"",INDEX('Compliance Database'!$B$2:$B$1960,MATCH(357,'Transfer Engine'!$C$2:$C$1960,0)))</f>
        <v/>
      </c>
      <c r="C366" s="8">
        <f>IF(ISNA(MATCH(357,'Transfer Engine'!$C$2:$C$1960,0)),"",INDEX('Compliance Database'!$C$2:$C$1960,MATCH(357,'Transfer Engine'!$C$2:$C$1960,0)))</f>
        <v/>
      </c>
      <c r="D366" s="9">
        <f>IF(ISNA(MATCH(357,'Transfer Engine'!$C$2:$C$1960,0)),"",INDEX('Compliance Database'!$D$2:$D$1960,MATCH(357,'Transfer Engine'!$C$2:$C$1960,0)))</f>
        <v/>
      </c>
      <c r="E366" s="8">
        <f>IF(ISNA(MATCH(357,'Transfer Engine'!$C$2:$C$1960,0)),"",INDEX('Compliance Database'!$E$2:$E$1960,MATCH(357,'Transfer Engine'!$C$2:$C$1960,0)))</f>
        <v/>
      </c>
      <c r="F366" s="8">
        <f>IF(ISNA(MATCH(357,'Transfer Engine'!$C$2:$C$1960,0)),"",INDEX('Compliance Database'!$F$2:$F$1960,MATCH(357,'Transfer Engine'!$C$2:$C$1960,0)))</f>
        <v/>
      </c>
      <c r="G366" s="8">
        <f>IF(ISNA(MATCH(357,'Transfer Engine'!$C$2:$C$1960,0)),"",INDEX('Compliance Database'!$G$2:$G$1960,MATCH(357,'Transfer Engine'!$C$2:$C$1960,0)))</f>
        <v/>
      </c>
      <c r="H366" s="9">
        <f>IF(ISNA(MATCH(357,'Transfer Engine'!$C$2:$C$1960,0)),"",INDEX('Compliance Database'!$H$2:$H$1960,MATCH(357,'Transfer Engine'!$C$2:$C$1960,0)))</f>
        <v/>
      </c>
      <c r="I366" s="9">
        <f>IF(ISNA(MATCH(357,'Transfer Engine'!$C$2:$C$1960,0)),"",INDEX('Compliance Database'!$I$2:$I$1960,MATCH(357,'Transfer Engine'!$C$2:$C$1960,0)))</f>
        <v/>
      </c>
      <c r="J366" s="8">
        <f>IF(ISNA(MATCH(357,'Transfer Engine'!$C$2:$C$1960,0)),"",INDEX('Compliance Database'!$J$2:$J$1960,MATCH(357,'Transfer Engine'!$C$2:$C$1960,0)))</f>
        <v/>
      </c>
      <c r="K366" s="9">
        <f>IF(ISNA(MATCH(357,'Transfer Engine'!$C$2:$C$1960,0)),"",INDEX('Compliance Database'!$K$2:$K$1960,MATCH(357,'Transfer Engine'!$C$2:$C$1960,0)))</f>
        <v/>
      </c>
      <c r="L366" s="9">
        <f>IF(ISNA(MATCH(357,'Transfer Engine'!$C$2:$C$1960,0)),"",INDEX('Compliance Database'!$L$2:$L$1960,MATCH(357,'Transfer Engine'!$C$2:$C$1960,0)))</f>
        <v/>
      </c>
      <c r="M366" s="9">
        <f>IF(ISNA(MATCH(357,'Transfer Engine'!$C$2:$C$1960,0)),"",INDEX('Compliance Database'!$M$2:$M$1960,MATCH(357,'Transfer Engine'!$C$2:$C$1960,0)))</f>
        <v/>
      </c>
      <c r="N366" s="9">
        <f>IF(ISNA(MATCH(357,'Transfer Engine'!$C$2:$C$1960,0)),"",INDEX('Compliance Database'!$N$2:$N$1960,MATCH(357,'Transfer Engine'!$C$2:$C$1960,0)))</f>
        <v/>
      </c>
      <c r="O366" s="9">
        <f>IF(ISNA(MATCH(357,'Transfer Engine'!$C$2:$C$1960,0)),"",INDEX('Compliance Database'!$O$2:$O$1960,MATCH(357,'Transfer Engine'!$C$2:$C$1960,0)))</f>
        <v/>
      </c>
      <c r="P366" s="8">
        <f>IF(ISNA(MATCH(357,'Transfer Engine'!$C$2:$C$1960,0)),"",HYPERLINK("#Acts!A"&amp;INDEX('Compliance Database'!$P$2:$P$1960,MATCH(357,'Transfer Engine'!$C$2:$C$1960,0)),"Go to Act"))</f>
        <v/>
      </c>
    </row>
    <row r="367" ht="158" customHeight="1">
      <c r="A367" s="8">
        <f>IF(ISNA(MATCH(358,'Transfer Engine'!$C$2:$C$1960,0)),"",INDEX('Compliance Database'!$A$2:$A$1960,MATCH(358,'Transfer Engine'!$C$2:$C$1960,0)))</f>
        <v/>
      </c>
      <c r="B367" s="8">
        <f>IF(ISNA(MATCH(358,'Transfer Engine'!$C$2:$C$1960,0)),"",INDEX('Compliance Database'!$B$2:$B$1960,MATCH(358,'Transfer Engine'!$C$2:$C$1960,0)))</f>
        <v/>
      </c>
      <c r="C367" s="8">
        <f>IF(ISNA(MATCH(358,'Transfer Engine'!$C$2:$C$1960,0)),"",INDEX('Compliance Database'!$C$2:$C$1960,MATCH(358,'Transfer Engine'!$C$2:$C$1960,0)))</f>
        <v/>
      </c>
      <c r="D367" s="9">
        <f>IF(ISNA(MATCH(358,'Transfer Engine'!$C$2:$C$1960,0)),"",INDEX('Compliance Database'!$D$2:$D$1960,MATCH(358,'Transfer Engine'!$C$2:$C$1960,0)))</f>
        <v/>
      </c>
      <c r="E367" s="8">
        <f>IF(ISNA(MATCH(358,'Transfer Engine'!$C$2:$C$1960,0)),"",INDEX('Compliance Database'!$E$2:$E$1960,MATCH(358,'Transfer Engine'!$C$2:$C$1960,0)))</f>
        <v/>
      </c>
      <c r="F367" s="8">
        <f>IF(ISNA(MATCH(358,'Transfer Engine'!$C$2:$C$1960,0)),"",INDEX('Compliance Database'!$F$2:$F$1960,MATCH(358,'Transfer Engine'!$C$2:$C$1960,0)))</f>
        <v/>
      </c>
      <c r="G367" s="8">
        <f>IF(ISNA(MATCH(358,'Transfer Engine'!$C$2:$C$1960,0)),"",INDEX('Compliance Database'!$G$2:$G$1960,MATCH(358,'Transfer Engine'!$C$2:$C$1960,0)))</f>
        <v/>
      </c>
      <c r="H367" s="9">
        <f>IF(ISNA(MATCH(358,'Transfer Engine'!$C$2:$C$1960,0)),"",INDEX('Compliance Database'!$H$2:$H$1960,MATCH(358,'Transfer Engine'!$C$2:$C$1960,0)))</f>
        <v/>
      </c>
      <c r="I367" s="9">
        <f>IF(ISNA(MATCH(358,'Transfer Engine'!$C$2:$C$1960,0)),"",INDEX('Compliance Database'!$I$2:$I$1960,MATCH(358,'Transfer Engine'!$C$2:$C$1960,0)))</f>
        <v/>
      </c>
      <c r="J367" s="8">
        <f>IF(ISNA(MATCH(358,'Transfer Engine'!$C$2:$C$1960,0)),"",INDEX('Compliance Database'!$J$2:$J$1960,MATCH(358,'Transfer Engine'!$C$2:$C$1960,0)))</f>
        <v/>
      </c>
      <c r="K367" s="9">
        <f>IF(ISNA(MATCH(358,'Transfer Engine'!$C$2:$C$1960,0)),"",INDEX('Compliance Database'!$K$2:$K$1960,MATCH(358,'Transfer Engine'!$C$2:$C$1960,0)))</f>
        <v/>
      </c>
      <c r="L367" s="9">
        <f>IF(ISNA(MATCH(358,'Transfer Engine'!$C$2:$C$1960,0)),"",INDEX('Compliance Database'!$L$2:$L$1960,MATCH(358,'Transfer Engine'!$C$2:$C$1960,0)))</f>
        <v/>
      </c>
      <c r="M367" s="9">
        <f>IF(ISNA(MATCH(358,'Transfer Engine'!$C$2:$C$1960,0)),"",INDEX('Compliance Database'!$M$2:$M$1960,MATCH(358,'Transfer Engine'!$C$2:$C$1960,0)))</f>
        <v/>
      </c>
      <c r="N367" s="9">
        <f>IF(ISNA(MATCH(358,'Transfer Engine'!$C$2:$C$1960,0)),"",INDEX('Compliance Database'!$N$2:$N$1960,MATCH(358,'Transfer Engine'!$C$2:$C$1960,0)))</f>
        <v/>
      </c>
      <c r="O367" s="9">
        <f>IF(ISNA(MATCH(358,'Transfer Engine'!$C$2:$C$1960,0)),"",INDEX('Compliance Database'!$O$2:$O$1960,MATCH(358,'Transfer Engine'!$C$2:$C$1960,0)))</f>
        <v/>
      </c>
      <c r="P367" s="8">
        <f>IF(ISNA(MATCH(358,'Transfer Engine'!$C$2:$C$1960,0)),"",HYPERLINK("#Acts!A"&amp;INDEX('Compliance Database'!$P$2:$P$1960,MATCH(358,'Transfer Engine'!$C$2:$C$1960,0)),"Go to Act"))</f>
        <v/>
      </c>
    </row>
    <row r="368" ht="158" customHeight="1">
      <c r="A368" s="8">
        <f>IF(ISNA(MATCH(359,'Transfer Engine'!$C$2:$C$1960,0)),"",INDEX('Compliance Database'!$A$2:$A$1960,MATCH(359,'Transfer Engine'!$C$2:$C$1960,0)))</f>
        <v/>
      </c>
      <c r="B368" s="8">
        <f>IF(ISNA(MATCH(359,'Transfer Engine'!$C$2:$C$1960,0)),"",INDEX('Compliance Database'!$B$2:$B$1960,MATCH(359,'Transfer Engine'!$C$2:$C$1960,0)))</f>
        <v/>
      </c>
      <c r="C368" s="8">
        <f>IF(ISNA(MATCH(359,'Transfer Engine'!$C$2:$C$1960,0)),"",INDEX('Compliance Database'!$C$2:$C$1960,MATCH(359,'Transfer Engine'!$C$2:$C$1960,0)))</f>
        <v/>
      </c>
      <c r="D368" s="9">
        <f>IF(ISNA(MATCH(359,'Transfer Engine'!$C$2:$C$1960,0)),"",INDEX('Compliance Database'!$D$2:$D$1960,MATCH(359,'Transfer Engine'!$C$2:$C$1960,0)))</f>
        <v/>
      </c>
      <c r="E368" s="8">
        <f>IF(ISNA(MATCH(359,'Transfer Engine'!$C$2:$C$1960,0)),"",INDEX('Compliance Database'!$E$2:$E$1960,MATCH(359,'Transfer Engine'!$C$2:$C$1960,0)))</f>
        <v/>
      </c>
      <c r="F368" s="8">
        <f>IF(ISNA(MATCH(359,'Transfer Engine'!$C$2:$C$1960,0)),"",INDEX('Compliance Database'!$F$2:$F$1960,MATCH(359,'Transfer Engine'!$C$2:$C$1960,0)))</f>
        <v/>
      </c>
      <c r="G368" s="8">
        <f>IF(ISNA(MATCH(359,'Transfer Engine'!$C$2:$C$1960,0)),"",INDEX('Compliance Database'!$G$2:$G$1960,MATCH(359,'Transfer Engine'!$C$2:$C$1960,0)))</f>
        <v/>
      </c>
      <c r="H368" s="9">
        <f>IF(ISNA(MATCH(359,'Transfer Engine'!$C$2:$C$1960,0)),"",INDEX('Compliance Database'!$H$2:$H$1960,MATCH(359,'Transfer Engine'!$C$2:$C$1960,0)))</f>
        <v/>
      </c>
      <c r="I368" s="9">
        <f>IF(ISNA(MATCH(359,'Transfer Engine'!$C$2:$C$1960,0)),"",INDEX('Compliance Database'!$I$2:$I$1960,MATCH(359,'Transfer Engine'!$C$2:$C$1960,0)))</f>
        <v/>
      </c>
      <c r="J368" s="8">
        <f>IF(ISNA(MATCH(359,'Transfer Engine'!$C$2:$C$1960,0)),"",INDEX('Compliance Database'!$J$2:$J$1960,MATCH(359,'Transfer Engine'!$C$2:$C$1960,0)))</f>
        <v/>
      </c>
      <c r="K368" s="9">
        <f>IF(ISNA(MATCH(359,'Transfer Engine'!$C$2:$C$1960,0)),"",INDEX('Compliance Database'!$K$2:$K$1960,MATCH(359,'Transfer Engine'!$C$2:$C$1960,0)))</f>
        <v/>
      </c>
      <c r="L368" s="9">
        <f>IF(ISNA(MATCH(359,'Transfer Engine'!$C$2:$C$1960,0)),"",INDEX('Compliance Database'!$L$2:$L$1960,MATCH(359,'Transfer Engine'!$C$2:$C$1960,0)))</f>
        <v/>
      </c>
      <c r="M368" s="9">
        <f>IF(ISNA(MATCH(359,'Transfer Engine'!$C$2:$C$1960,0)),"",INDEX('Compliance Database'!$M$2:$M$1960,MATCH(359,'Transfer Engine'!$C$2:$C$1960,0)))</f>
        <v/>
      </c>
      <c r="N368" s="9">
        <f>IF(ISNA(MATCH(359,'Transfer Engine'!$C$2:$C$1960,0)),"",INDEX('Compliance Database'!$N$2:$N$1960,MATCH(359,'Transfer Engine'!$C$2:$C$1960,0)))</f>
        <v/>
      </c>
      <c r="O368" s="9">
        <f>IF(ISNA(MATCH(359,'Transfer Engine'!$C$2:$C$1960,0)),"",INDEX('Compliance Database'!$O$2:$O$1960,MATCH(359,'Transfer Engine'!$C$2:$C$1960,0)))</f>
        <v/>
      </c>
      <c r="P368" s="8">
        <f>IF(ISNA(MATCH(359,'Transfer Engine'!$C$2:$C$1960,0)),"",HYPERLINK("#Acts!A"&amp;INDEX('Compliance Database'!$P$2:$P$1960,MATCH(359,'Transfer Engine'!$C$2:$C$1960,0)),"Go to Act"))</f>
        <v/>
      </c>
    </row>
    <row r="369" ht="158" customHeight="1">
      <c r="A369" s="8">
        <f>IF(ISNA(MATCH(360,'Transfer Engine'!$C$2:$C$1960,0)),"",INDEX('Compliance Database'!$A$2:$A$1960,MATCH(360,'Transfer Engine'!$C$2:$C$1960,0)))</f>
        <v/>
      </c>
      <c r="B369" s="8">
        <f>IF(ISNA(MATCH(360,'Transfer Engine'!$C$2:$C$1960,0)),"",INDEX('Compliance Database'!$B$2:$B$1960,MATCH(360,'Transfer Engine'!$C$2:$C$1960,0)))</f>
        <v/>
      </c>
      <c r="C369" s="8">
        <f>IF(ISNA(MATCH(360,'Transfer Engine'!$C$2:$C$1960,0)),"",INDEX('Compliance Database'!$C$2:$C$1960,MATCH(360,'Transfer Engine'!$C$2:$C$1960,0)))</f>
        <v/>
      </c>
      <c r="D369" s="9">
        <f>IF(ISNA(MATCH(360,'Transfer Engine'!$C$2:$C$1960,0)),"",INDEX('Compliance Database'!$D$2:$D$1960,MATCH(360,'Transfer Engine'!$C$2:$C$1960,0)))</f>
        <v/>
      </c>
      <c r="E369" s="8">
        <f>IF(ISNA(MATCH(360,'Transfer Engine'!$C$2:$C$1960,0)),"",INDEX('Compliance Database'!$E$2:$E$1960,MATCH(360,'Transfer Engine'!$C$2:$C$1960,0)))</f>
        <v/>
      </c>
      <c r="F369" s="8">
        <f>IF(ISNA(MATCH(360,'Transfer Engine'!$C$2:$C$1960,0)),"",INDEX('Compliance Database'!$F$2:$F$1960,MATCH(360,'Transfer Engine'!$C$2:$C$1960,0)))</f>
        <v/>
      </c>
      <c r="G369" s="8">
        <f>IF(ISNA(MATCH(360,'Transfer Engine'!$C$2:$C$1960,0)),"",INDEX('Compliance Database'!$G$2:$G$1960,MATCH(360,'Transfer Engine'!$C$2:$C$1960,0)))</f>
        <v/>
      </c>
      <c r="H369" s="9">
        <f>IF(ISNA(MATCH(360,'Transfer Engine'!$C$2:$C$1960,0)),"",INDEX('Compliance Database'!$H$2:$H$1960,MATCH(360,'Transfer Engine'!$C$2:$C$1960,0)))</f>
        <v/>
      </c>
      <c r="I369" s="9">
        <f>IF(ISNA(MATCH(360,'Transfer Engine'!$C$2:$C$1960,0)),"",INDEX('Compliance Database'!$I$2:$I$1960,MATCH(360,'Transfer Engine'!$C$2:$C$1960,0)))</f>
        <v/>
      </c>
      <c r="J369" s="8">
        <f>IF(ISNA(MATCH(360,'Transfer Engine'!$C$2:$C$1960,0)),"",INDEX('Compliance Database'!$J$2:$J$1960,MATCH(360,'Transfer Engine'!$C$2:$C$1960,0)))</f>
        <v/>
      </c>
      <c r="K369" s="9">
        <f>IF(ISNA(MATCH(360,'Transfer Engine'!$C$2:$C$1960,0)),"",INDEX('Compliance Database'!$K$2:$K$1960,MATCH(360,'Transfer Engine'!$C$2:$C$1960,0)))</f>
        <v/>
      </c>
      <c r="L369" s="9">
        <f>IF(ISNA(MATCH(360,'Transfer Engine'!$C$2:$C$1960,0)),"",INDEX('Compliance Database'!$L$2:$L$1960,MATCH(360,'Transfer Engine'!$C$2:$C$1960,0)))</f>
        <v/>
      </c>
      <c r="M369" s="9">
        <f>IF(ISNA(MATCH(360,'Transfer Engine'!$C$2:$C$1960,0)),"",INDEX('Compliance Database'!$M$2:$M$1960,MATCH(360,'Transfer Engine'!$C$2:$C$1960,0)))</f>
        <v/>
      </c>
      <c r="N369" s="9">
        <f>IF(ISNA(MATCH(360,'Transfer Engine'!$C$2:$C$1960,0)),"",INDEX('Compliance Database'!$N$2:$N$1960,MATCH(360,'Transfer Engine'!$C$2:$C$1960,0)))</f>
        <v/>
      </c>
      <c r="O369" s="9">
        <f>IF(ISNA(MATCH(360,'Transfer Engine'!$C$2:$C$1960,0)),"",INDEX('Compliance Database'!$O$2:$O$1960,MATCH(360,'Transfer Engine'!$C$2:$C$1960,0)))</f>
        <v/>
      </c>
      <c r="P369" s="8">
        <f>IF(ISNA(MATCH(360,'Transfer Engine'!$C$2:$C$1960,0)),"",HYPERLINK("#Acts!A"&amp;INDEX('Compliance Database'!$P$2:$P$1960,MATCH(360,'Transfer Engine'!$C$2:$C$1960,0)),"Go to Act"))</f>
        <v/>
      </c>
    </row>
    <row r="370" ht="158" customHeight="1">
      <c r="A370" s="8">
        <f>IF(ISNA(MATCH(361,'Transfer Engine'!$C$2:$C$1960,0)),"",INDEX('Compliance Database'!$A$2:$A$1960,MATCH(361,'Transfer Engine'!$C$2:$C$1960,0)))</f>
        <v/>
      </c>
      <c r="B370" s="8">
        <f>IF(ISNA(MATCH(361,'Transfer Engine'!$C$2:$C$1960,0)),"",INDEX('Compliance Database'!$B$2:$B$1960,MATCH(361,'Transfer Engine'!$C$2:$C$1960,0)))</f>
        <v/>
      </c>
      <c r="C370" s="8">
        <f>IF(ISNA(MATCH(361,'Transfer Engine'!$C$2:$C$1960,0)),"",INDEX('Compliance Database'!$C$2:$C$1960,MATCH(361,'Transfer Engine'!$C$2:$C$1960,0)))</f>
        <v/>
      </c>
      <c r="D370" s="9">
        <f>IF(ISNA(MATCH(361,'Transfer Engine'!$C$2:$C$1960,0)),"",INDEX('Compliance Database'!$D$2:$D$1960,MATCH(361,'Transfer Engine'!$C$2:$C$1960,0)))</f>
        <v/>
      </c>
      <c r="E370" s="8">
        <f>IF(ISNA(MATCH(361,'Transfer Engine'!$C$2:$C$1960,0)),"",INDEX('Compliance Database'!$E$2:$E$1960,MATCH(361,'Transfer Engine'!$C$2:$C$1960,0)))</f>
        <v/>
      </c>
      <c r="F370" s="8">
        <f>IF(ISNA(MATCH(361,'Transfer Engine'!$C$2:$C$1960,0)),"",INDEX('Compliance Database'!$F$2:$F$1960,MATCH(361,'Transfer Engine'!$C$2:$C$1960,0)))</f>
        <v/>
      </c>
      <c r="G370" s="8">
        <f>IF(ISNA(MATCH(361,'Transfer Engine'!$C$2:$C$1960,0)),"",INDEX('Compliance Database'!$G$2:$G$1960,MATCH(361,'Transfer Engine'!$C$2:$C$1960,0)))</f>
        <v/>
      </c>
      <c r="H370" s="9">
        <f>IF(ISNA(MATCH(361,'Transfer Engine'!$C$2:$C$1960,0)),"",INDEX('Compliance Database'!$H$2:$H$1960,MATCH(361,'Transfer Engine'!$C$2:$C$1960,0)))</f>
        <v/>
      </c>
      <c r="I370" s="9">
        <f>IF(ISNA(MATCH(361,'Transfer Engine'!$C$2:$C$1960,0)),"",INDEX('Compliance Database'!$I$2:$I$1960,MATCH(361,'Transfer Engine'!$C$2:$C$1960,0)))</f>
        <v/>
      </c>
      <c r="J370" s="8">
        <f>IF(ISNA(MATCH(361,'Transfer Engine'!$C$2:$C$1960,0)),"",INDEX('Compliance Database'!$J$2:$J$1960,MATCH(361,'Transfer Engine'!$C$2:$C$1960,0)))</f>
        <v/>
      </c>
      <c r="K370" s="9">
        <f>IF(ISNA(MATCH(361,'Transfer Engine'!$C$2:$C$1960,0)),"",INDEX('Compliance Database'!$K$2:$K$1960,MATCH(361,'Transfer Engine'!$C$2:$C$1960,0)))</f>
        <v/>
      </c>
      <c r="L370" s="9">
        <f>IF(ISNA(MATCH(361,'Transfer Engine'!$C$2:$C$1960,0)),"",INDEX('Compliance Database'!$L$2:$L$1960,MATCH(361,'Transfer Engine'!$C$2:$C$1960,0)))</f>
        <v/>
      </c>
      <c r="M370" s="9">
        <f>IF(ISNA(MATCH(361,'Transfer Engine'!$C$2:$C$1960,0)),"",INDEX('Compliance Database'!$M$2:$M$1960,MATCH(361,'Transfer Engine'!$C$2:$C$1960,0)))</f>
        <v/>
      </c>
      <c r="N370" s="9">
        <f>IF(ISNA(MATCH(361,'Transfer Engine'!$C$2:$C$1960,0)),"",INDEX('Compliance Database'!$N$2:$N$1960,MATCH(361,'Transfer Engine'!$C$2:$C$1960,0)))</f>
        <v/>
      </c>
      <c r="O370" s="9">
        <f>IF(ISNA(MATCH(361,'Transfer Engine'!$C$2:$C$1960,0)),"",INDEX('Compliance Database'!$O$2:$O$1960,MATCH(361,'Transfer Engine'!$C$2:$C$1960,0)))</f>
        <v/>
      </c>
      <c r="P370" s="8">
        <f>IF(ISNA(MATCH(361,'Transfer Engine'!$C$2:$C$1960,0)),"",HYPERLINK("#Acts!A"&amp;INDEX('Compliance Database'!$P$2:$P$1960,MATCH(361,'Transfer Engine'!$C$2:$C$1960,0)),"Go to Act"))</f>
        <v/>
      </c>
    </row>
    <row r="371" ht="158" customHeight="1">
      <c r="A371" s="8">
        <f>IF(ISNA(MATCH(362,'Transfer Engine'!$C$2:$C$1960,0)),"",INDEX('Compliance Database'!$A$2:$A$1960,MATCH(362,'Transfer Engine'!$C$2:$C$1960,0)))</f>
        <v/>
      </c>
      <c r="B371" s="8">
        <f>IF(ISNA(MATCH(362,'Transfer Engine'!$C$2:$C$1960,0)),"",INDEX('Compliance Database'!$B$2:$B$1960,MATCH(362,'Transfer Engine'!$C$2:$C$1960,0)))</f>
        <v/>
      </c>
      <c r="C371" s="8">
        <f>IF(ISNA(MATCH(362,'Transfer Engine'!$C$2:$C$1960,0)),"",INDEX('Compliance Database'!$C$2:$C$1960,MATCH(362,'Transfer Engine'!$C$2:$C$1960,0)))</f>
        <v/>
      </c>
      <c r="D371" s="9">
        <f>IF(ISNA(MATCH(362,'Transfer Engine'!$C$2:$C$1960,0)),"",INDEX('Compliance Database'!$D$2:$D$1960,MATCH(362,'Transfer Engine'!$C$2:$C$1960,0)))</f>
        <v/>
      </c>
      <c r="E371" s="8">
        <f>IF(ISNA(MATCH(362,'Transfer Engine'!$C$2:$C$1960,0)),"",INDEX('Compliance Database'!$E$2:$E$1960,MATCH(362,'Transfer Engine'!$C$2:$C$1960,0)))</f>
        <v/>
      </c>
      <c r="F371" s="8">
        <f>IF(ISNA(MATCH(362,'Transfer Engine'!$C$2:$C$1960,0)),"",INDEX('Compliance Database'!$F$2:$F$1960,MATCH(362,'Transfer Engine'!$C$2:$C$1960,0)))</f>
        <v/>
      </c>
      <c r="G371" s="8">
        <f>IF(ISNA(MATCH(362,'Transfer Engine'!$C$2:$C$1960,0)),"",INDEX('Compliance Database'!$G$2:$G$1960,MATCH(362,'Transfer Engine'!$C$2:$C$1960,0)))</f>
        <v/>
      </c>
      <c r="H371" s="9">
        <f>IF(ISNA(MATCH(362,'Transfer Engine'!$C$2:$C$1960,0)),"",INDEX('Compliance Database'!$H$2:$H$1960,MATCH(362,'Transfer Engine'!$C$2:$C$1960,0)))</f>
        <v/>
      </c>
      <c r="I371" s="9">
        <f>IF(ISNA(MATCH(362,'Transfer Engine'!$C$2:$C$1960,0)),"",INDEX('Compliance Database'!$I$2:$I$1960,MATCH(362,'Transfer Engine'!$C$2:$C$1960,0)))</f>
        <v/>
      </c>
      <c r="J371" s="8">
        <f>IF(ISNA(MATCH(362,'Transfer Engine'!$C$2:$C$1960,0)),"",INDEX('Compliance Database'!$J$2:$J$1960,MATCH(362,'Transfer Engine'!$C$2:$C$1960,0)))</f>
        <v/>
      </c>
      <c r="K371" s="9">
        <f>IF(ISNA(MATCH(362,'Transfer Engine'!$C$2:$C$1960,0)),"",INDEX('Compliance Database'!$K$2:$K$1960,MATCH(362,'Transfer Engine'!$C$2:$C$1960,0)))</f>
        <v/>
      </c>
      <c r="L371" s="9">
        <f>IF(ISNA(MATCH(362,'Transfer Engine'!$C$2:$C$1960,0)),"",INDEX('Compliance Database'!$L$2:$L$1960,MATCH(362,'Transfer Engine'!$C$2:$C$1960,0)))</f>
        <v/>
      </c>
      <c r="M371" s="9">
        <f>IF(ISNA(MATCH(362,'Transfer Engine'!$C$2:$C$1960,0)),"",INDEX('Compliance Database'!$M$2:$M$1960,MATCH(362,'Transfer Engine'!$C$2:$C$1960,0)))</f>
        <v/>
      </c>
      <c r="N371" s="9">
        <f>IF(ISNA(MATCH(362,'Transfer Engine'!$C$2:$C$1960,0)),"",INDEX('Compliance Database'!$N$2:$N$1960,MATCH(362,'Transfer Engine'!$C$2:$C$1960,0)))</f>
        <v/>
      </c>
      <c r="O371" s="9">
        <f>IF(ISNA(MATCH(362,'Transfer Engine'!$C$2:$C$1960,0)),"",INDEX('Compliance Database'!$O$2:$O$1960,MATCH(362,'Transfer Engine'!$C$2:$C$1960,0)))</f>
        <v/>
      </c>
      <c r="P371" s="8">
        <f>IF(ISNA(MATCH(362,'Transfer Engine'!$C$2:$C$1960,0)),"",HYPERLINK("#Acts!A"&amp;INDEX('Compliance Database'!$P$2:$P$1960,MATCH(362,'Transfer Engine'!$C$2:$C$1960,0)),"Go to Act"))</f>
        <v/>
      </c>
    </row>
    <row r="372" ht="158" customHeight="1">
      <c r="A372" s="8">
        <f>IF(ISNA(MATCH(363,'Transfer Engine'!$C$2:$C$1960,0)),"",INDEX('Compliance Database'!$A$2:$A$1960,MATCH(363,'Transfer Engine'!$C$2:$C$1960,0)))</f>
        <v/>
      </c>
      <c r="B372" s="8">
        <f>IF(ISNA(MATCH(363,'Transfer Engine'!$C$2:$C$1960,0)),"",INDEX('Compliance Database'!$B$2:$B$1960,MATCH(363,'Transfer Engine'!$C$2:$C$1960,0)))</f>
        <v/>
      </c>
      <c r="C372" s="8">
        <f>IF(ISNA(MATCH(363,'Transfer Engine'!$C$2:$C$1960,0)),"",INDEX('Compliance Database'!$C$2:$C$1960,MATCH(363,'Transfer Engine'!$C$2:$C$1960,0)))</f>
        <v/>
      </c>
      <c r="D372" s="9">
        <f>IF(ISNA(MATCH(363,'Transfer Engine'!$C$2:$C$1960,0)),"",INDEX('Compliance Database'!$D$2:$D$1960,MATCH(363,'Transfer Engine'!$C$2:$C$1960,0)))</f>
        <v/>
      </c>
      <c r="E372" s="8">
        <f>IF(ISNA(MATCH(363,'Transfer Engine'!$C$2:$C$1960,0)),"",INDEX('Compliance Database'!$E$2:$E$1960,MATCH(363,'Transfer Engine'!$C$2:$C$1960,0)))</f>
        <v/>
      </c>
      <c r="F372" s="8">
        <f>IF(ISNA(MATCH(363,'Transfer Engine'!$C$2:$C$1960,0)),"",INDEX('Compliance Database'!$F$2:$F$1960,MATCH(363,'Transfer Engine'!$C$2:$C$1960,0)))</f>
        <v/>
      </c>
      <c r="G372" s="8">
        <f>IF(ISNA(MATCH(363,'Transfer Engine'!$C$2:$C$1960,0)),"",INDEX('Compliance Database'!$G$2:$G$1960,MATCH(363,'Transfer Engine'!$C$2:$C$1960,0)))</f>
        <v/>
      </c>
      <c r="H372" s="9">
        <f>IF(ISNA(MATCH(363,'Transfer Engine'!$C$2:$C$1960,0)),"",INDEX('Compliance Database'!$H$2:$H$1960,MATCH(363,'Transfer Engine'!$C$2:$C$1960,0)))</f>
        <v/>
      </c>
      <c r="I372" s="9">
        <f>IF(ISNA(MATCH(363,'Transfer Engine'!$C$2:$C$1960,0)),"",INDEX('Compliance Database'!$I$2:$I$1960,MATCH(363,'Transfer Engine'!$C$2:$C$1960,0)))</f>
        <v/>
      </c>
      <c r="J372" s="8">
        <f>IF(ISNA(MATCH(363,'Transfer Engine'!$C$2:$C$1960,0)),"",INDEX('Compliance Database'!$J$2:$J$1960,MATCH(363,'Transfer Engine'!$C$2:$C$1960,0)))</f>
        <v/>
      </c>
      <c r="K372" s="9">
        <f>IF(ISNA(MATCH(363,'Transfer Engine'!$C$2:$C$1960,0)),"",INDEX('Compliance Database'!$K$2:$K$1960,MATCH(363,'Transfer Engine'!$C$2:$C$1960,0)))</f>
        <v/>
      </c>
      <c r="L372" s="9">
        <f>IF(ISNA(MATCH(363,'Transfer Engine'!$C$2:$C$1960,0)),"",INDEX('Compliance Database'!$L$2:$L$1960,MATCH(363,'Transfer Engine'!$C$2:$C$1960,0)))</f>
        <v/>
      </c>
      <c r="M372" s="9">
        <f>IF(ISNA(MATCH(363,'Transfer Engine'!$C$2:$C$1960,0)),"",INDEX('Compliance Database'!$M$2:$M$1960,MATCH(363,'Transfer Engine'!$C$2:$C$1960,0)))</f>
        <v/>
      </c>
      <c r="N372" s="9">
        <f>IF(ISNA(MATCH(363,'Transfer Engine'!$C$2:$C$1960,0)),"",INDEX('Compliance Database'!$N$2:$N$1960,MATCH(363,'Transfer Engine'!$C$2:$C$1960,0)))</f>
        <v/>
      </c>
      <c r="O372" s="9">
        <f>IF(ISNA(MATCH(363,'Transfer Engine'!$C$2:$C$1960,0)),"",INDEX('Compliance Database'!$O$2:$O$1960,MATCH(363,'Transfer Engine'!$C$2:$C$1960,0)))</f>
        <v/>
      </c>
      <c r="P372" s="8">
        <f>IF(ISNA(MATCH(363,'Transfer Engine'!$C$2:$C$1960,0)),"",HYPERLINK("#Acts!A"&amp;INDEX('Compliance Database'!$P$2:$P$1960,MATCH(363,'Transfer Engine'!$C$2:$C$1960,0)),"Go to Act"))</f>
        <v/>
      </c>
    </row>
    <row r="373" ht="158" customHeight="1">
      <c r="A373" s="8">
        <f>IF(ISNA(MATCH(364,'Transfer Engine'!$C$2:$C$1960,0)),"",INDEX('Compliance Database'!$A$2:$A$1960,MATCH(364,'Transfer Engine'!$C$2:$C$1960,0)))</f>
        <v/>
      </c>
      <c r="B373" s="8">
        <f>IF(ISNA(MATCH(364,'Transfer Engine'!$C$2:$C$1960,0)),"",INDEX('Compliance Database'!$B$2:$B$1960,MATCH(364,'Transfer Engine'!$C$2:$C$1960,0)))</f>
        <v/>
      </c>
      <c r="C373" s="8">
        <f>IF(ISNA(MATCH(364,'Transfer Engine'!$C$2:$C$1960,0)),"",INDEX('Compliance Database'!$C$2:$C$1960,MATCH(364,'Transfer Engine'!$C$2:$C$1960,0)))</f>
        <v/>
      </c>
      <c r="D373" s="9">
        <f>IF(ISNA(MATCH(364,'Transfer Engine'!$C$2:$C$1960,0)),"",INDEX('Compliance Database'!$D$2:$D$1960,MATCH(364,'Transfer Engine'!$C$2:$C$1960,0)))</f>
        <v/>
      </c>
      <c r="E373" s="8">
        <f>IF(ISNA(MATCH(364,'Transfer Engine'!$C$2:$C$1960,0)),"",INDEX('Compliance Database'!$E$2:$E$1960,MATCH(364,'Transfer Engine'!$C$2:$C$1960,0)))</f>
        <v/>
      </c>
      <c r="F373" s="8">
        <f>IF(ISNA(MATCH(364,'Transfer Engine'!$C$2:$C$1960,0)),"",INDEX('Compliance Database'!$F$2:$F$1960,MATCH(364,'Transfer Engine'!$C$2:$C$1960,0)))</f>
        <v/>
      </c>
      <c r="G373" s="8">
        <f>IF(ISNA(MATCH(364,'Transfer Engine'!$C$2:$C$1960,0)),"",INDEX('Compliance Database'!$G$2:$G$1960,MATCH(364,'Transfer Engine'!$C$2:$C$1960,0)))</f>
        <v/>
      </c>
      <c r="H373" s="9">
        <f>IF(ISNA(MATCH(364,'Transfer Engine'!$C$2:$C$1960,0)),"",INDEX('Compliance Database'!$H$2:$H$1960,MATCH(364,'Transfer Engine'!$C$2:$C$1960,0)))</f>
        <v/>
      </c>
      <c r="I373" s="9">
        <f>IF(ISNA(MATCH(364,'Transfer Engine'!$C$2:$C$1960,0)),"",INDEX('Compliance Database'!$I$2:$I$1960,MATCH(364,'Transfer Engine'!$C$2:$C$1960,0)))</f>
        <v/>
      </c>
      <c r="J373" s="8">
        <f>IF(ISNA(MATCH(364,'Transfer Engine'!$C$2:$C$1960,0)),"",INDEX('Compliance Database'!$J$2:$J$1960,MATCH(364,'Transfer Engine'!$C$2:$C$1960,0)))</f>
        <v/>
      </c>
      <c r="K373" s="9">
        <f>IF(ISNA(MATCH(364,'Transfer Engine'!$C$2:$C$1960,0)),"",INDEX('Compliance Database'!$K$2:$K$1960,MATCH(364,'Transfer Engine'!$C$2:$C$1960,0)))</f>
        <v/>
      </c>
      <c r="L373" s="9">
        <f>IF(ISNA(MATCH(364,'Transfer Engine'!$C$2:$C$1960,0)),"",INDEX('Compliance Database'!$L$2:$L$1960,MATCH(364,'Transfer Engine'!$C$2:$C$1960,0)))</f>
        <v/>
      </c>
      <c r="M373" s="9">
        <f>IF(ISNA(MATCH(364,'Transfer Engine'!$C$2:$C$1960,0)),"",INDEX('Compliance Database'!$M$2:$M$1960,MATCH(364,'Transfer Engine'!$C$2:$C$1960,0)))</f>
        <v/>
      </c>
      <c r="N373" s="9">
        <f>IF(ISNA(MATCH(364,'Transfer Engine'!$C$2:$C$1960,0)),"",INDEX('Compliance Database'!$N$2:$N$1960,MATCH(364,'Transfer Engine'!$C$2:$C$1960,0)))</f>
        <v/>
      </c>
      <c r="O373" s="9">
        <f>IF(ISNA(MATCH(364,'Transfer Engine'!$C$2:$C$1960,0)),"",INDEX('Compliance Database'!$O$2:$O$1960,MATCH(364,'Transfer Engine'!$C$2:$C$1960,0)))</f>
        <v/>
      </c>
      <c r="P373" s="8">
        <f>IF(ISNA(MATCH(364,'Transfer Engine'!$C$2:$C$1960,0)),"",HYPERLINK("#Acts!A"&amp;INDEX('Compliance Database'!$P$2:$P$1960,MATCH(364,'Transfer Engine'!$C$2:$C$1960,0)),"Go to Act"))</f>
        <v/>
      </c>
    </row>
    <row r="374" ht="158" customHeight="1">
      <c r="A374" s="8">
        <f>IF(ISNA(MATCH(365,'Transfer Engine'!$C$2:$C$1960,0)),"",INDEX('Compliance Database'!$A$2:$A$1960,MATCH(365,'Transfer Engine'!$C$2:$C$1960,0)))</f>
        <v/>
      </c>
      <c r="B374" s="8">
        <f>IF(ISNA(MATCH(365,'Transfer Engine'!$C$2:$C$1960,0)),"",INDEX('Compliance Database'!$B$2:$B$1960,MATCH(365,'Transfer Engine'!$C$2:$C$1960,0)))</f>
        <v/>
      </c>
      <c r="C374" s="8">
        <f>IF(ISNA(MATCH(365,'Transfer Engine'!$C$2:$C$1960,0)),"",INDEX('Compliance Database'!$C$2:$C$1960,MATCH(365,'Transfer Engine'!$C$2:$C$1960,0)))</f>
        <v/>
      </c>
      <c r="D374" s="9">
        <f>IF(ISNA(MATCH(365,'Transfer Engine'!$C$2:$C$1960,0)),"",INDEX('Compliance Database'!$D$2:$D$1960,MATCH(365,'Transfer Engine'!$C$2:$C$1960,0)))</f>
        <v/>
      </c>
      <c r="E374" s="8">
        <f>IF(ISNA(MATCH(365,'Transfer Engine'!$C$2:$C$1960,0)),"",INDEX('Compliance Database'!$E$2:$E$1960,MATCH(365,'Transfer Engine'!$C$2:$C$1960,0)))</f>
        <v/>
      </c>
      <c r="F374" s="8">
        <f>IF(ISNA(MATCH(365,'Transfer Engine'!$C$2:$C$1960,0)),"",INDEX('Compliance Database'!$F$2:$F$1960,MATCH(365,'Transfer Engine'!$C$2:$C$1960,0)))</f>
        <v/>
      </c>
      <c r="G374" s="8">
        <f>IF(ISNA(MATCH(365,'Transfer Engine'!$C$2:$C$1960,0)),"",INDEX('Compliance Database'!$G$2:$G$1960,MATCH(365,'Transfer Engine'!$C$2:$C$1960,0)))</f>
        <v/>
      </c>
      <c r="H374" s="9">
        <f>IF(ISNA(MATCH(365,'Transfer Engine'!$C$2:$C$1960,0)),"",INDEX('Compliance Database'!$H$2:$H$1960,MATCH(365,'Transfer Engine'!$C$2:$C$1960,0)))</f>
        <v/>
      </c>
      <c r="I374" s="9">
        <f>IF(ISNA(MATCH(365,'Transfer Engine'!$C$2:$C$1960,0)),"",INDEX('Compliance Database'!$I$2:$I$1960,MATCH(365,'Transfer Engine'!$C$2:$C$1960,0)))</f>
        <v/>
      </c>
      <c r="J374" s="8">
        <f>IF(ISNA(MATCH(365,'Transfer Engine'!$C$2:$C$1960,0)),"",INDEX('Compliance Database'!$J$2:$J$1960,MATCH(365,'Transfer Engine'!$C$2:$C$1960,0)))</f>
        <v/>
      </c>
      <c r="K374" s="9">
        <f>IF(ISNA(MATCH(365,'Transfer Engine'!$C$2:$C$1960,0)),"",INDEX('Compliance Database'!$K$2:$K$1960,MATCH(365,'Transfer Engine'!$C$2:$C$1960,0)))</f>
        <v/>
      </c>
      <c r="L374" s="9">
        <f>IF(ISNA(MATCH(365,'Transfer Engine'!$C$2:$C$1960,0)),"",INDEX('Compliance Database'!$L$2:$L$1960,MATCH(365,'Transfer Engine'!$C$2:$C$1960,0)))</f>
        <v/>
      </c>
      <c r="M374" s="9">
        <f>IF(ISNA(MATCH(365,'Transfer Engine'!$C$2:$C$1960,0)),"",INDEX('Compliance Database'!$M$2:$M$1960,MATCH(365,'Transfer Engine'!$C$2:$C$1960,0)))</f>
        <v/>
      </c>
      <c r="N374" s="9">
        <f>IF(ISNA(MATCH(365,'Transfer Engine'!$C$2:$C$1960,0)),"",INDEX('Compliance Database'!$N$2:$N$1960,MATCH(365,'Transfer Engine'!$C$2:$C$1960,0)))</f>
        <v/>
      </c>
      <c r="O374" s="9">
        <f>IF(ISNA(MATCH(365,'Transfer Engine'!$C$2:$C$1960,0)),"",INDEX('Compliance Database'!$O$2:$O$1960,MATCH(365,'Transfer Engine'!$C$2:$C$1960,0)))</f>
        <v/>
      </c>
      <c r="P374" s="8">
        <f>IF(ISNA(MATCH(365,'Transfer Engine'!$C$2:$C$1960,0)),"",HYPERLINK("#Acts!A"&amp;INDEX('Compliance Database'!$P$2:$P$1960,MATCH(365,'Transfer Engine'!$C$2:$C$1960,0)),"Go to Act"))</f>
        <v/>
      </c>
    </row>
    <row r="375" ht="158" customHeight="1">
      <c r="A375" s="8">
        <f>IF(ISNA(MATCH(366,'Transfer Engine'!$C$2:$C$1960,0)),"",INDEX('Compliance Database'!$A$2:$A$1960,MATCH(366,'Transfer Engine'!$C$2:$C$1960,0)))</f>
        <v/>
      </c>
      <c r="B375" s="8">
        <f>IF(ISNA(MATCH(366,'Transfer Engine'!$C$2:$C$1960,0)),"",INDEX('Compliance Database'!$B$2:$B$1960,MATCH(366,'Transfer Engine'!$C$2:$C$1960,0)))</f>
        <v/>
      </c>
      <c r="C375" s="8">
        <f>IF(ISNA(MATCH(366,'Transfer Engine'!$C$2:$C$1960,0)),"",INDEX('Compliance Database'!$C$2:$C$1960,MATCH(366,'Transfer Engine'!$C$2:$C$1960,0)))</f>
        <v/>
      </c>
      <c r="D375" s="9">
        <f>IF(ISNA(MATCH(366,'Transfer Engine'!$C$2:$C$1960,0)),"",INDEX('Compliance Database'!$D$2:$D$1960,MATCH(366,'Transfer Engine'!$C$2:$C$1960,0)))</f>
        <v/>
      </c>
      <c r="E375" s="8">
        <f>IF(ISNA(MATCH(366,'Transfer Engine'!$C$2:$C$1960,0)),"",INDEX('Compliance Database'!$E$2:$E$1960,MATCH(366,'Transfer Engine'!$C$2:$C$1960,0)))</f>
        <v/>
      </c>
      <c r="F375" s="8">
        <f>IF(ISNA(MATCH(366,'Transfer Engine'!$C$2:$C$1960,0)),"",INDEX('Compliance Database'!$F$2:$F$1960,MATCH(366,'Transfer Engine'!$C$2:$C$1960,0)))</f>
        <v/>
      </c>
      <c r="G375" s="8">
        <f>IF(ISNA(MATCH(366,'Transfer Engine'!$C$2:$C$1960,0)),"",INDEX('Compliance Database'!$G$2:$G$1960,MATCH(366,'Transfer Engine'!$C$2:$C$1960,0)))</f>
        <v/>
      </c>
      <c r="H375" s="9">
        <f>IF(ISNA(MATCH(366,'Transfer Engine'!$C$2:$C$1960,0)),"",INDEX('Compliance Database'!$H$2:$H$1960,MATCH(366,'Transfer Engine'!$C$2:$C$1960,0)))</f>
        <v/>
      </c>
      <c r="I375" s="9">
        <f>IF(ISNA(MATCH(366,'Transfer Engine'!$C$2:$C$1960,0)),"",INDEX('Compliance Database'!$I$2:$I$1960,MATCH(366,'Transfer Engine'!$C$2:$C$1960,0)))</f>
        <v/>
      </c>
      <c r="J375" s="8">
        <f>IF(ISNA(MATCH(366,'Transfer Engine'!$C$2:$C$1960,0)),"",INDEX('Compliance Database'!$J$2:$J$1960,MATCH(366,'Transfer Engine'!$C$2:$C$1960,0)))</f>
        <v/>
      </c>
      <c r="K375" s="9">
        <f>IF(ISNA(MATCH(366,'Transfer Engine'!$C$2:$C$1960,0)),"",INDEX('Compliance Database'!$K$2:$K$1960,MATCH(366,'Transfer Engine'!$C$2:$C$1960,0)))</f>
        <v/>
      </c>
      <c r="L375" s="9">
        <f>IF(ISNA(MATCH(366,'Transfer Engine'!$C$2:$C$1960,0)),"",INDEX('Compliance Database'!$L$2:$L$1960,MATCH(366,'Transfer Engine'!$C$2:$C$1960,0)))</f>
        <v/>
      </c>
      <c r="M375" s="9">
        <f>IF(ISNA(MATCH(366,'Transfer Engine'!$C$2:$C$1960,0)),"",INDEX('Compliance Database'!$M$2:$M$1960,MATCH(366,'Transfer Engine'!$C$2:$C$1960,0)))</f>
        <v/>
      </c>
      <c r="N375" s="9">
        <f>IF(ISNA(MATCH(366,'Transfer Engine'!$C$2:$C$1960,0)),"",INDEX('Compliance Database'!$N$2:$N$1960,MATCH(366,'Transfer Engine'!$C$2:$C$1960,0)))</f>
        <v/>
      </c>
      <c r="O375" s="9">
        <f>IF(ISNA(MATCH(366,'Transfer Engine'!$C$2:$C$1960,0)),"",INDEX('Compliance Database'!$O$2:$O$1960,MATCH(366,'Transfer Engine'!$C$2:$C$1960,0)))</f>
        <v/>
      </c>
      <c r="P375" s="8">
        <f>IF(ISNA(MATCH(366,'Transfer Engine'!$C$2:$C$1960,0)),"",HYPERLINK("#Acts!A"&amp;INDEX('Compliance Database'!$P$2:$P$1960,MATCH(366,'Transfer Engine'!$C$2:$C$1960,0)),"Go to Act"))</f>
        <v/>
      </c>
    </row>
    <row r="376" ht="158" customHeight="1">
      <c r="A376" s="8">
        <f>IF(ISNA(MATCH(367,'Transfer Engine'!$C$2:$C$1960,0)),"",INDEX('Compliance Database'!$A$2:$A$1960,MATCH(367,'Transfer Engine'!$C$2:$C$1960,0)))</f>
        <v/>
      </c>
      <c r="B376" s="8">
        <f>IF(ISNA(MATCH(367,'Transfer Engine'!$C$2:$C$1960,0)),"",INDEX('Compliance Database'!$B$2:$B$1960,MATCH(367,'Transfer Engine'!$C$2:$C$1960,0)))</f>
        <v/>
      </c>
      <c r="C376" s="8">
        <f>IF(ISNA(MATCH(367,'Transfer Engine'!$C$2:$C$1960,0)),"",INDEX('Compliance Database'!$C$2:$C$1960,MATCH(367,'Transfer Engine'!$C$2:$C$1960,0)))</f>
        <v/>
      </c>
      <c r="D376" s="9">
        <f>IF(ISNA(MATCH(367,'Transfer Engine'!$C$2:$C$1960,0)),"",INDEX('Compliance Database'!$D$2:$D$1960,MATCH(367,'Transfer Engine'!$C$2:$C$1960,0)))</f>
        <v/>
      </c>
      <c r="E376" s="8">
        <f>IF(ISNA(MATCH(367,'Transfer Engine'!$C$2:$C$1960,0)),"",INDEX('Compliance Database'!$E$2:$E$1960,MATCH(367,'Transfer Engine'!$C$2:$C$1960,0)))</f>
        <v/>
      </c>
      <c r="F376" s="8">
        <f>IF(ISNA(MATCH(367,'Transfer Engine'!$C$2:$C$1960,0)),"",INDEX('Compliance Database'!$F$2:$F$1960,MATCH(367,'Transfer Engine'!$C$2:$C$1960,0)))</f>
        <v/>
      </c>
      <c r="G376" s="8">
        <f>IF(ISNA(MATCH(367,'Transfer Engine'!$C$2:$C$1960,0)),"",INDEX('Compliance Database'!$G$2:$G$1960,MATCH(367,'Transfer Engine'!$C$2:$C$1960,0)))</f>
        <v/>
      </c>
      <c r="H376" s="9">
        <f>IF(ISNA(MATCH(367,'Transfer Engine'!$C$2:$C$1960,0)),"",INDEX('Compliance Database'!$H$2:$H$1960,MATCH(367,'Transfer Engine'!$C$2:$C$1960,0)))</f>
        <v/>
      </c>
      <c r="I376" s="9">
        <f>IF(ISNA(MATCH(367,'Transfer Engine'!$C$2:$C$1960,0)),"",INDEX('Compliance Database'!$I$2:$I$1960,MATCH(367,'Transfer Engine'!$C$2:$C$1960,0)))</f>
        <v/>
      </c>
      <c r="J376" s="8">
        <f>IF(ISNA(MATCH(367,'Transfer Engine'!$C$2:$C$1960,0)),"",INDEX('Compliance Database'!$J$2:$J$1960,MATCH(367,'Transfer Engine'!$C$2:$C$1960,0)))</f>
        <v/>
      </c>
      <c r="K376" s="9">
        <f>IF(ISNA(MATCH(367,'Transfer Engine'!$C$2:$C$1960,0)),"",INDEX('Compliance Database'!$K$2:$K$1960,MATCH(367,'Transfer Engine'!$C$2:$C$1960,0)))</f>
        <v/>
      </c>
      <c r="L376" s="9">
        <f>IF(ISNA(MATCH(367,'Transfer Engine'!$C$2:$C$1960,0)),"",INDEX('Compliance Database'!$L$2:$L$1960,MATCH(367,'Transfer Engine'!$C$2:$C$1960,0)))</f>
        <v/>
      </c>
      <c r="M376" s="9">
        <f>IF(ISNA(MATCH(367,'Transfer Engine'!$C$2:$C$1960,0)),"",INDEX('Compliance Database'!$M$2:$M$1960,MATCH(367,'Transfer Engine'!$C$2:$C$1960,0)))</f>
        <v/>
      </c>
      <c r="N376" s="9">
        <f>IF(ISNA(MATCH(367,'Transfer Engine'!$C$2:$C$1960,0)),"",INDEX('Compliance Database'!$N$2:$N$1960,MATCH(367,'Transfer Engine'!$C$2:$C$1960,0)))</f>
        <v/>
      </c>
      <c r="O376" s="9">
        <f>IF(ISNA(MATCH(367,'Transfer Engine'!$C$2:$C$1960,0)),"",INDEX('Compliance Database'!$O$2:$O$1960,MATCH(367,'Transfer Engine'!$C$2:$C$1960,0)))</f>
        <v/>
      </c>
      <c r="P376" s="8">
        <f>IF(ISNA(MATCH(367,'Transfer Engine'!$C$2:$C$1960,0)),"",HYPERLINK("#Acts!A"&amp;INDEX('Compliance Database'!$P$2:$P$1960,MATCH(367,'Transfer Engine'!$C$2:$C$1960,0)),"Go to Act"))</f>
        <v/>
      </c>
    </row>
    <row r="377" ht="158" customHeight="1">
      <c r="A377" s="8">
        <f>IF(ISNA(MATCH(368,'Transfer Engine'!$C$2:$C$1960,0)),"",INDEX('Compliance Database'!$A$2:$A$1960,MATCH(368,'Transfer Engine'!$C$2:$C$1960,0)))</f>
        <v/>
      </c>
      <c r="B377" s="8">
        <f>IF(ISNA(MATCH(368,'Transfer Engine'!$C$2:$C$1960,0)),"",INDEX('Compliance Database'!$B$2:$B$1960,MATCH(368,'Transfer Engine'!$C$2:$C$1960,0)))</f>
        <v/>
      </c>
      <c r="C377" s="8">
        <f>IF(ISNA(MATCH(368,'Transfer Engine'!$C$2:$C$1960,0)),"",INDEX('Compliance Database'!$C$2:$C$1960,MATCH(368,'Transfer Engine'!$C$2:$C$1960,0)))</f>
        <v/>
      </c>
      <c r="D377" s="9">
        <f>IF(ISNA(MATCH(368,'Transfer Engine'!$C$2:$C$1960,0)),"",INDEX('Compliance Database'!$D$2:$D$1960,MATCH(368,'Transfer Engine'!$C$2:$C$1960,0)))</f>
        <v/>
      </c>
      <c r="E377" s="8">
        <f>IF(ISNA(MATCH(368,'Transfer Engine'!$C$2:$C$1960,0)),"",INDEX('Compliance Database'!$E$2:$E$1960,MATCH(368,'Transfer Engine'!$C$2:$C$1960,0)))</f>
        <v/>
      </c>
      <c r="F377" s="8">
        <f>IF(ISNA(MATCH(368,'Transfer Engine'!$C$2:$C$1960,0)),"",INDEX('Compliance Database'!$F$2:$F$1960,MATCH(368,'Transfer Engine'!$C$2:$C$1960,0)))</f>
        <v/>
      </c>
      <c r="G377" s="8">
        <f>IF(ISNA(MATCH(368,'Transfer Engine'!$C$2:$C$1960,0)),"",INDEX('Compliance Database'!$G$2:$G$1960,MATCH(368,'Transfer Engine'!$C$2:$C$1960,0)))</f>
        <v/>
      </c>
      <c r="H377" s="9">
        <f>IF(ISNA(MATCH(368,'Transfer Engine'!$C$2:$C$1960,0)),"",INDEX('Compliance Database'!$H$2:$H$1960,MATCH(368,'Transfer Engine'!$C$2:$C$1960,0)))</f>
        <v/>
      </c>
      <c r="I377" s="9">
        <f>IF(ISNA(MATCH(368,'Transfer Engine'!$C$2:$C$1960,0)),"",INDEX('Compliance Database'!$I$2:$I$1960,MATCH(368,'Transfer Engine'!$C$2:$C$1960,0)))</f>
        <v/>
      </c>
      <c r="J377" s="8">
        <f>IF(ISNA(MATCH(368,'Transfer Engine'!$C$2:$C$1960,0)),"",INDEX('Compliance Database'!$J$2:$J$1960,MATCH(368,'Transfer Engine'!$C$2:$C$1960,0)))</f>
        <v/>
      </c>
      <c r="K377" s="9">
        <f>IF(ISNA(MATCH(368,'Transfer Engine'!$C$2:$C$1960,0)),"",INDEX('Compliance Database'!$K$2:$K$1960,MATCH(368,'Transfer Engine'!$C$2:$C$1960,0)))</f>
        <v/>
      </c>
      <c r="L377" s="9">
        <f>IF(ISNA(MATCH(368,'Transfer Engine'!$C$2:$C$1960,0)),"",INDEX('Compliance Database'!$L$2:$L$1960,MATCH(368,'Transfer Engine'!$C$2:$C$1960,0)))</f>
        <v/>
      </c>
      <c r="M377" s="9">
        <f>IF(ISNA(MATCH(368,'Transfer Engine'!$C$2:$C$1960,0)),"",INDEX('Compliance Database'!$M$2:$M$1960,MATCH(368,'Transfer Engine'!$C$2:$C$1960,0)))</f>
        <v/>
      </c>
      <c r="N377" s="9">
        <f>IF(ISNA(MATCH(368,'Transfer Engine'!$C$2:$C$1960,0)),"",INDEX('Compliance Database'!$N$2:$N$1960,MATCH(368,'Transfer Engine'!$C$2:$C$1960,0)))</f>
        <v/>
      </c>
      <c r="O377" s="9">
        <f>IF(ISNA(MATCH(368,'Transfer Engine'!$C$2:$C$1960,0)),"",INDEX('Compliance Database'!$O$2:$O$1960,MATCH(368,'Transfer Engine'!$C$2:$C$1960,0)))</f>
        <v/>
      </c>
      <c r="P377" s="8">
        <f>IF(ISNA(MATCH(368,'Transfer Engine'!$C$2:$C$1960,0)),"",HYPERLINK("#Acts!A"&amp;INDEX('Compliance Database'!$P$2:$P$1960,MATCH(368,'Transfer Engine'!$C$2:$C$1960,0)),"Go to Act"))</f>
        <v/>
      </c>
    </row>
    <row r="378" ht="158" customHeight="1">
      <c r="A378" s="8">
        <f>IF(ISNA(MATCH(369,'Transfer Engine'!$C$2:$C$1960,0)),"",INDEX('Compliance Database'!$A$2:$A$1960,MATCH(369,'Transfer Engine'!$C$2:$C$1960,0)))</f>
        <v/>
      </c>
      <c r="B378" s="8">
        <f>IF(ISNA(MATCH(369,'Transfer Engine'!$C$2:$C$1960,0)),"",INDEX('Compliance Database'!$B$2:$B$1960,MATCH(369,'Transfer Engine'!$C$2:$C$1960,0)))</f>
        <v/>
      </c>
      <c r="C378" s="8">
        <f>IF(ISNA(MATCH(369,'Transfer Engine'!$C$2:$C$1960,0)),"",INDEX('Compliance Database'!$C$2:$C$1960,MATCH(369,'Transfer Engine'!$C$2:$C$1960,0)))</f>
        <v/>
      </c>
      <c r="D378" s="9">
        <f>IF(ISNA(MATCH(369,'Transfer Engine'!$C$2:$C$1960,0)),"",INDEX('Compliance Database'!$D$2:$D$1960,MATCH(369,'Transfer Engine'!$C$2:$C$1960,0)))</f>
        <v/>
      </c>
      <c r="E378" s="8">
        <f>IF(ISNA(MATCH(369,'Transfer Engine'!$C$2:$C$1960,0)),"",INDEX('Compliance Database'!$E$2:$E$1960,MATCH(369,'Transfer Engine'!$C$2:$C$1960,0)))</f>
        <v/>
      </c>
      <c r="F378" s="8">
        <f>IF(ISNA(MATCH(369,'Transfer Engine'!$C$2:$C$1960,0)),"",INDEX('Compliance Database'!$F$2:$F$1960,MATCH(369,'Transfer Engine'!$C$2:$C$1960,0)))</f>
        <v/>
      </c>
      <c r="G378" s="8">
        <f>IF(ISNA(MATCH(369,'Transfer Engine'!$C$2:$C$1960,0)),"",INDEX('Compliance Database'!$G$2:$G$1960,MATCH(369,'Transfer Engine'!$C$2:$C$1960,0)))</f>
        <v/>
      </c>
      <c r="H378" s="9">
        <f>IF(ISNA(MATCH(369,'Transfer Engine'!$C$2:$C$1960,0)),"",INDEX('Compliance Database'!$H$2:$H$1960,MATCH(369,'Transfer Engine'!$C$2:$C$1960,0)))</f>
        <v/>
      </c>
      <c r="I378" s="9">
        <f>IF(ISNA(MATCH(369,'Transfer Engine'!$C$2:$C$1960,0)),"",INDEX('Compliance Database'!$I$2:$I$1960,MATCH(369,'Transfer Engine'!$C$2:$C$1960,0)))</f>
        <v/>
      </c>
      <c r="J378" s="8">
        <f>IF(ISNA(MATCH(369,'Transfer Engine'!$C$2:$C$1960,0)),"",INDEX('Compliance Database'!$J$2:$J$1960,MATCH(369,'Transfer Engine'!$C$2:$C$1960,0)))</f>
        <v/>
      </c>
      <c r="K378" s="9">
        <f>IF(ISNA(MATCH(369,'Transfer Engine'!$C$2:$C$1960,0)),"",INDEX('Compliance Database'!$K$2:$K$1960,MATCH(369,'Transfer Engine'!$C$2:$C$1960,0)))</f>
        <v/>
      </c>
      <c r="L378" s="9">
        <f>IF(ISNA(MATCH(369,'Transfer Engine'!$C$2:$C$1960,0)),"",INDEX('Compliance Database'!$L$2:$L$1960,MATCH(369,'Transfer Engine'!$C$2:$C$1960,0)))</f>
        <v/>
      </c>
      <c r="M378" s="9">
        <f>IF(ISNA(MATCH(369,'Transfer Engine'!$C$2:$C$1960,0)),"",INDEX('Compliance Database'!$M$2:$M$1960,MATCH(369,'Transfer Engine'!$C$2:$C$1960,0)))</f>
        <v/>
      </c>
      <c r="N378" s="9">
        <f>IF(ISNA(MATCH(369,'Transfer Engine'!$C$2:$C$1960,0)),"",INDEX('Compliance Database'!$N$2:$N$1960,MATCH(369,'Transfer Engine'!$C$2:$C$1960,0)))</f>
        <v/>
      </c>
      <c r="O378" s="9">
        <f>IF(ISNA(MATCH(369,'Transfer Engine'!$C$2:$C$1960,0)),"",INDEX('Compliance Database'!$O$2:$O$1960,MATCH(369,'Transfer Engine'!$C$2:$C$1960,0)))</f>
        <v/>
      </c>
      <c r="P378" s="8">
        <f>IF(ISNA(MATCH(369,'Transfer Engine'!$C$2:$C$1960,0)),"",HYPERLINK("#Acts!A"&amp;INDEX('Compliance Database'!$P$2:$P$1960,MATCH(369,'Transfer Engine'!$C$2:$C$1960,0)),"Go to Act"))</f>
        <v/>
      </c>
    </row>
    <row r="379" ht="158" customHeight="1">
      <c r="A379" s="8">
        <f>IF(ISNA(MATCH(370,'Transfer Engine'!$C$2:$C$1960,0)),"",INDEX('Compliance Database'!$A$2:$A$1960,MATCH(370,'Transfer Engine'!$C$2:$C$1960,0)))</f>
        <v/>
      </c>
      <c r="B379" s="8">
        <f>IF(ISNA(MATCH(370,'Transfer Engine'!$C$2:$C$1960,0)),"",INDEX('Compliance Database'!$B$2:$B$1960,MATCH(370,'Transfer Engine'!$C$2:$C$1960,0)))</f>
        <v/>
      </c>
      <c r="C379" s="8">
        <f>IF(ISNA(MATCH(370,'Transfer Engine'!$C$2:$C$1960,0)),"",INDEX('Compliance Database'!$C$2:$C$1960,MATCH(370,'Transfer Engine'!$C$2:$C$1960,0)))</f>
        <v/>
      </c>
      <c r="D379" s="9">
        <f>IF(ISNA(MATCH(370,'Transfer Engine'!$C$2:$C$1960,0)),"",INDEX('Compliance Database'!$D$2:$D$1960,MATCH(370,'Transfer Engine'!$C$2:$C$1960,0)))</f>
        <v/>
      </c>
      <c r="E379" s="8">
        <f>IF(ISNA(MATCH(370,'Transfer Engine'!$C$2:$C$1960,0)),"",INDEX('Compliance Database'!$E$2:$E$1960,MATCH(370,'Transfer Engine'!$C$2:$C$1960,0)))</f>
        <v/>
      </c>
      <c r="F379" s="8">
        <f>IF(ISNA(MATCH(370,'Transfer Engine'!$C$2:$C$1960,0)),"",INDEX('Compliance Database'!$F$2:$F$1960,MATCH(370,'Transfer Engine'!$C$2:$C$1960,0)))</f>
        <v/>
      </c>
      <c r="G379" s="8">
        <f>IF(ISNA(MATCH(370,'Transfer Engine'!$C$2:$C$1960,0)),"",INDEX('Compliance Database'!$G$2:$G$1960,MATCH(370,'Transfer Engine'!$C$2:$C$1960,0)))</f>
        <v/>
      </c>
      <c r="H379" s="9">
        <f>IF(ISNA(MATCH(370,'Transfer Engine'!$C$2:$C$1960,0)),"",INDEX('Compliance Database'!$H$2:$H$1960,MATCH(370,'Transfer Engine'!$C$2:$C$1960,0)))</f>
        <v/>
      </c>
      <c r="I379" s="9">
        <f>IF(ISNA(MATCH(370,'Transfer Engine'!$C$2:$C$1960,0)),"",INDEX('Compliance Database'!$I$2:$I$1960,MATCH(370,'Transfer Engine'!$C$2:$C$1960,0)))</f>
        <v/>
      </c>
      <c r="J379" s="8">
        <f>IF(ISNA(MATCH(370,'Transfer Engine'!$C$2:$C$1960,0)),"",INDEX('Compliance Database'!$J$2:$J$1960,MATCH(370,'Transfer Engine'!$C$2:$C$1960,0)))</f>
        <v/>
      </c>
      <c r="K379" s="9">
        <f>IF(ISNA(MATCH(370,'Transfer Engine'!$C$2:$C$1960,0)),"",INDEX('Compliance Database'!$K$2:$K$1960,MATCH(370,'Transfer Engine'!$C$2:$C$1960,0)))</f>
        <v/>
      </c>
      <c r="L379" s="9">
        <f>IF(ISNA(MATCH(370,'Transfer Engine'!$C$2:$C$1960,0)),"",INDEX('Compliance Database'!$L$2:$L$1960,MATCH(370,'Transfer Engine'!$C$2:$C$1960,0)))</f>
        <v/>
      </c>
      <c r="M379" s="9">
        <f>IF(ISNA(MATCH(370,'Transfer Engine'!$C$2:$C$1960,0)),"",INDEX('Compliance Database'!$M$2:$M$1960,MATCH(370,'Transfer Engine'!$C$2:$C$1960,0)))</f>
        <v/>
      </c>
      <c r="N379" s="9">
        <f>IF(ISNA(MATCH(370,'Transfer Engine'!$C$2:$C$1960,0)),"",INDEX('Compliance Database'!$N$2:$N$1960,MATCH(370,'Transfer Engine'!$C$2:$C$1960,0)))</f>
        <v/>
      </c>
      <c r="O379" s="9">
        <f>IF(ISNA(MATCH(370,'Transfer Engine'!$C$2:$C$1960,0)),"",INDEX('Compliance Database'!$O$2:$O$1960,MATCH(370,'Transfer Engine'!$C$2:$C$1960,0)))</f>
        <v/>
      </c>
      <c r="P379" s="8">
        <f>IF(ISNA(MATCH(370,'Transfer Engine'!$C$2:$C$1960,0)),"",HYPERLINK("#Acts!A"&amp;INDEX('Compliance Database'!$P$2:$P$1960,MATCH(370,'Transfer Engine'!$C$2:$C$1960,0)),"Go to Act"))</f>
        <v/>
      </c>
    </row>
    <row r="380" ht="158" customHeight="1">
      <c r="A380" s="8">
        <f>IF(ISNA(MATCH(371,'Transfer Engine'!$C$2:$C$1960,0)),"",INDEX('Compliance Database'!$A$2:$A$1960,MATCH(371,'Transfer Engine'!$C$2:$C$1960,0)))</f>
        <v/>
      </c>
      <c r="B380" s="8">
        <f>IF(ISNA(MATCH(371,'Transfer Engine'!$C$2:$C$1960,0)),"",INDEX('Compliance Database'!$B$2:$B$1960,MATCH(371,'Transfer Engine'!$C$2:$C$1960,0)))</f>
        <v/>
      </c>
      <c r="C380" s="8">
        <f>IF(ISNA(MATCH(371,'Transfer Engine'!$C$2:$C$1960,0)),"",INDEX('Compliance Database'!$C$2:$C$1960,MATCH(371,'Transfer Engine'!$C$2:$C$1960,0)))</f>
        <v/>
      </c>
      <c r="D380" s="9">
        <f>IF(ISNA(MATCH(371,'Transfer Engine'!$C$2:$C$1960,0)),"",INDEX('Compliance Database'!$D$2:$D$1960,MATCH(371,'Transfer Engine'!$C$2:$C$1960,0)))</f>
        <v/>
      </c>
      <c r="E380" s="8">
        <f>IF(ISNA(MATCH(371,'Transfer Engine'!$C$2:$C$1960,0)),"",INDEX('Compliance Database'!$E$2:$E$1960,MATCH(371,'Transfer Engine'!$C$2:$C$1960,0)))</f>
        <v/>
      </c>
      <c r="F380" s="8">
        <f>IF(ISNA(MATCH(371,'Transfer Engine'!$C$2:$C$1960,0)),"",INDEX('Compliance Database'!$F$2:$F$1960,MATCH(371,'Transfer Engine'!$C$2:$C$1960,0)))</f>
        <v/>
      </c>
      <c r="G380" s="8">
        <f>IF(ISNA(MATCH(371,'Transfer Engine'!$C$2:$C$1960,0)),"",INDEX('Compliance Database'!$G$2:$G$1960,MATCH(371,'Transfer Engine'!$C$2:$C$1960,0)))</f>
        <v/>
      </c>
      <c r="H380" s="9">
        <f>IF(ISNA(MATCH(371,'Transfer Engine'!$C$2:$C$1960,0)),"",INDEX('Compliance Database'!$H$2:$H$1960,MATCH(371,'Transfer Engine'!$C$2:$C$1960,0)))</f>
        <v/>
      </c>
      <c r="I380" s="9">
        <f>IF(ISNA(MATCH(371,'Transfer Engine'!$C$2:$C$1960,0)),"",INDEX('Compliance Database'!$I$2:$I$1960,MATCH(371,'Transfer Engine'!$C$2:$C$1960,0)))</f>
        <v/>
      </c>
      <c r="J380" s="8">
        <f>IF(ISNA(MATCH(371,'Transfer Engine'!$C$2:$C$1960,0)),"",INDEX('Compliance Database'!$J$2:$J$1960,MATCH(371,'Transfer Engine'!$C$2:$C$1960,0)))</f>
        <v/>
      </c>
      <c r="K380" s="9">
        <f>IF(ISNA(MATCH(371,'Transfer Engine'!$C$2:$C$1960,0)),"",INDEX('Compliance Database'!$K$2:$K$1960,MATCH(371,'Transfer Engine'!$C$2:$C$1960,0)))</f>
        <v/>
      </c>
      <c r="L380" s="9">
        <f>IF(ISNA(MATCH(371,'Transfer Engine'!$C$2:$C$1960,0)),"",INDEX('Compliance Database'!$L$2:$L$1960,MATCH(371,'Transfer Engine'!$C$2:$C$1960,0)))</f>
        <v/>
      </c>
      <c r="M380" s="9">
        <f>IF(ISNA(MATCH(371,'Transfer Engine'!$C$2:$C$1960,0)),"",INDEX('Compliance Database'!$M$2:$M$1960,MATCH(371,'Transfer Engine'!$C$2:$C$1960,0)))</f>
        <v/>
      </c>
      <c r="N380" s="9">
        <f>IF(ISNA(MATCH(371,'Transfer Engine'!$C$2:$C$1960,0)),"",INDEX('Compliance Database'!$N$2:$N$1960,MATCH(371,'Transfer Engine'!$C$2:$C$1960,0)))</f>
        <v/>
      </c>
      <c r="O380" s="9">
        <f>IF(ISNA(MATCH(371,'Transfer Engine'!$C$2:$C$1960,0)),"",INDEX('Compliance Database'!$O$2:$O$1960,MATCH(371,'Transfer Engine'!$C$2:$C$1960,0)))</f>
        <v/>
      </c>
      <c r="P380" s="8">
        <f>IF(ISNA(MATCH(371,'Transfer Engine'!$C$2:$C$1960,0)),"",HYPERLINK("#Acts!A"&amp;INDEX('Compliance Database'!$P$2:$P$1960,MATCH(371,'Transfer Engine'!$C$2:$C$1960,0)),"Go to Act"))</f>
        <v/>
      </c>
    </row>
    <row r="381" ht="158" customHeight="1">
      <c r="A381" s="8">
        <f>IF(ISNA(MATCH(372,'Transfer Engine'!$C$2:$C$1960,0)),"",INDEX('Compliance Database'!$A$2:$A$1960,MATCH(372,'Transfer Engine'!$C$2:$C$1960,0)))</f>
        <v/>
      </c>
      <c r="B381" s="8">
        <f>IF(ISNA(MATCH(372,'Transfer Engine'!$C$2:$C$1960,0)),"",INDEX('Compliance Database'!$B$2:$B$1960,MATCH(372,'Transfer Engine'!$C$2:$C$1960,0)))</f>
        <v/>
      </c>
      <c r="C381" s="8">
        <f>IF(ISNA(MATCH(372,'Transfer Engine'!$C$2:$C$1960,0)),"",INDEX('Compliance Database'!$C$2:$C$1960,MATCH(372,'Transfer Engine'!$C$2:$C$1960,0)))</f>
        <v/>
      </c>
      <c r="D381" s="9">
        <f>IF(ISNA(MATCH(372,'Transfer Engine'!$C$2:$C$1960,0)),"",INDEX('Compliance Database'!$D$2:$D$1960,MATCH(372,'Transfer Engine'!$C$2:$C$1960,0)))</f>
        <v/>
      </c>
      <c r="E381" s="8">
        <f>IF(ISNA(MATCH(372,'Transfer Engine'!$C$2:$C$1960,0)),"",INDEX('Compliance Database'!$E$2:$E$1960,MATCH(372,'Transfer Engine'!$C$2:$C$1960,0)))</f>
        <v/>
      </c>
      <c r="F381" s="8">
        <f>IF(ISNA(MATCH(372,'Transfer Engine'!$C$2:$C$1960,0)),"",INDEX('Compliance Database'!$F$2:$F$1960,MATCH(372,'Transfer Engine'!$C$2:$C$1960,0)))</f>
        <v/>
      </c>
      <c r="G381" s="8">
        <f>IF(ISNA(MATCH(372,'Transfer Engine'!$C$2:$C$1960,0)),"",INDEX('Compliance Database'!$G$2:$G$1960,MATCH(372,'Transfer Engine'!$C$2:$C$1960,0)))</f>
        <v/>
      </c>
      <c r="H381" s="9">
        <f>IF(ISNA(MATCH(372,'Transfer Engine'!$C$2:$C$1960,0)),"",INDEX('Compliance Database'!$H$2:$H$1960,MATCH(372,'Transfer Engine'!$C$2:$C$1960,0)))</f>
        <v/>
      </c>
      <c r="I381" s="9">
        <f>IF(ISNA(MATCH(372,'Transfer Engine'!$C$2:$C$1960,0)),"",INDEX('Compliance Database'!$I$2:$I$1960,MATCH(372,'Transfer Engine'!$C$2:$C$1960,0)))</f>
        <v/>
      </c>
      <c r="J381" s="8">
        <f>IF(ISNA(MATCH(372,'Transfer Engine'!$C$2:$C$1960,0)),"",INDEX('Compliance Database'!$J$2:$J$1960,MATCH(372,'Transfer Engine'!$C$2:$C$1960,0)))</f>
        <v/>
      </c>
      <c r="K381" s="9">
        <f>IF(ISNA(MATCH(372,'Transfer Engine'!$C$2:$C$1960,0)),"",INDEX('Compliance Database'!$K$2:$K$1960,MATCH(372,'Transfer Engine'!$C$2:$C$1960,0)))</f>
        <v/>
      </c>
      <c r="L381" s="9">
        <f>IF(ISNA(MATCH(372,'Transfer Engine'!$C$2:$C$1960,0)),"",INDEX('Compliance Database'!$L$2:$L$1960,MATCH(372,'Transfer Engine'!$C$2:$C$1960,0)))</f>
        <v/>
      </c>
      <c r="M381" s="9">
        <f>IF(ISNA(MATCH(372,'Transfer Engine'!$C$2:$C$1960,0)),"",INDEX('Compliance Database'!$M$2:$M$1960,MATCH(372,'Transfer Engine'!$C$2:$C$1960,0)))</f>
        <v/>
      </c>
      <c r="N381" s="9">
        <f>IF(ISNA(MATCH(372,'Transfer Engine'!$C$2:$C$1960,0)),"",INDEX('Compliance Database'!$N$2:$N$1960,MATCH(372,'Transfer Engine'!$C$2:$C$1960,0)))</f>
        <v/>
      </c>
      <c r="O381" s="9">
        <f>IF(ISNA(MATCH(372,'Transfer Engine'!$C$2:$C$1960,0)),"",INDEX('Compliance Database'!$O$2:$O$1960,MATCH(372,'Transfer Engine'!$C$2:$C$1960,0)))</f>
        <v/>
      </c>
      <c r="P381" s="8">
        <f>IF(ISNA(MATCH(372,'Transfer Engine'!$C$2:$C$1960,0)),"",HYPERLINK("#Acts!A"&amp;INDEX('Compliance Database'!$P$2:$P$1960,MATCH(372,'Transfer Engine'!$C$2:$C$1960,0)),"Go to Act"))</f>
        <v/>
      </c>
    </row>
    <row r="382" ht="158" customHeight="1">
      <c r="A382" s="8">
        <f>IF(ISNA(MATCH(373,'Transfer Engine'!$C$2:$C$1960,0)),"",INDEX('Compliance Database'!$A$2:$A$1960,MATCH(373,'Transfer Engine'!$C$2:$C$1960,0)))</f>
        <v/>
      </c>
      <c r="B382" s="8">
        <f>IF(ISNA(MATCH(373,'Transfer Engine'!$C$2:$C$1960,0)),"",INDEX('Compliance Database'!$B$2:$B$1960,MATCH(373,'Transfer Engine'!$C$2:$C$1960,0)))</f>
        <v/>
      </c>
      <c r="C382" s="8">
        <f>IF(ISNA(MATCH(373,'Transfer Engine'!$C$2:$C$1960,0)),"",INDEX('Compliance Database'!$C$2:$C$1960,MATCH(373,'Transfer Engine'!$C$2:$C$1960,0)))</f>
        <v/>
      </c>
      <c r="D382" s="9">
        <f>IF(ISNA(MATCH(373,'Transfer Engine'!$C$2:$C$1960,0)),"",INDEX('Compliance Database'!$D$2:$D$1960,MATCH(373,'Transfer Engine'!$C$2:$C$1960,0)))</f>
        <v/>
      </c>
      <c r="E382" s="8">
        <f>IF(ISNA(MATCH(373,'Transfer Engine'!$C$2:$C$1960,0)),"",INDEX('Compliance Database'!$E$2:$E$1960,MATCH(373,'Transfer Engine'!$C$2:$C$1960,0)))</f>
        <v/>
      </c>
      <c r="F382" s="8">
        <f>IF(ISNA(MATCH(373,'Transfer Engine'!$C$2:$C$1960,0)),"",INDEX('Compliance Database'!$F$2:$F$1960,MATCH(373,'Transfer Engine'!$C$2:$C$1960,0)))</f>
        <v/>
      </c>
      <c r="G382" s="8">
        <f>IF(ISNA(MATCH(373,'Transfer Engine'!$C$2:$C$1960,0)),"",INDEX('Compliance Database'!$G$2:$G$1960,MATCH(373,'Transfer Engine'!$C$2:$C$1960,0)))</f>
        <v/>
      </c>
      <c r="H382" s="9">
        <f>IF(ISNA(MATCH(373,'Transfer Engine'!$C$2:$C$1960,0)),"",INDEX('Compliance Database'!$H$2:$H$1960,MATCH(373,'Transfer Engine'!$C$2:$C$1960,0)))</f>
        <v/>
      </c>
      <c r="I382" s="9">
        <f>IF(ISNA(MATCH(373,'Transfer Engine'!$C$2:$C$1960,0)),"",INDEX('Compliance Database'!$I$2:$I$1960,MATCH(373,'Transfer Engine'!$C$2:$C$1960,0)))</f>
        <v/>
      </c>
      <c r="J382" s="8">
        <f>IF(ISNA(MATCH(373,'Transfer Engine'!$C$2:$C$1960,0)),"",INDEX('Compliance Database'!$J$2:$J$1960,MATCH(373,'Transfer Engine'!$C$2:$C$1960,0)))</f>
        <v/>
      </c>
      <c r="K382" s="9">
        <f>IF(ISNA(MATCH(373,'Transfer Engine'!$C$2:$C$1960,0)),"",INDEX('Compliance Database'!$K$2:$K$1960,MATCH(373,'Transfer Engine'!$C$2:$C$1960,0)))</f>
        <v/>
      </c>
      <c r="L382" s="9">
        <f>IF(ISNA(MATCH(373,'Transfer Engine'!$C$2:$C$1960,0)),"",INDEX('Compliance Database'!$L$2:$L$1960,MATCH(373,'Transfer Engine'!$C$2:$C$1960,0)))</f>
        <v/>
      </c>
      <c r="M382" s="9">
        <f>IF(ISNA(MATCH(373,'Transfer Engine'!$C$2:$C$1960,0)),"",INDEX('Compliance Database'!$M$2:$M$1960,MATCH(373,'Transfer Engine'!$C$2:$C$1960,0)))</f>
        <v/>
      </c>
      <c r="N382" s="9">
        <f>IF(ISNA(MATCH(373,'Transfer Engine'!$C$2:$C$1960,0)),"",INDEX('Compliance Database'!$N$2:$N$1960,MATCH(373,'Transfer Engine'!$C$2:$C$1960,0)))</f>
        <v/>
      </c>
      <c r="O382" s="9">
        <f>IF(ISNA(MATCH(373,'Transfer Engine'!$C$2:$C$1960,0)),"",INDEX('Compliance Database'!$O$2:$O$1960,MATCH(373,'Transfer Engine'!$C$2:$C$1960,0)))</f>
        <v/>
      </c>
      <c r="P382" s="8">
        <f>IF(ISNA(MATCH(373,'Transfer Engine'!$C$2:$C$1960,0)),"",HYPERLINK("#Acts!A"&amp;INDEX('Compliance Database'!$P$2:$P$1960,MATCH(373,'Transfer Engine'!$C$2:$C$1960,0)),"Go to Act"))</f>
        <v/>
      </c>
    </row>
    <row r="383" ht="158" customHeight="1">
      <c r="A383" s="8">
        <f>IF(ISNA(MATCH(374,'Transfer Engine'!$C$2:$C$1960,0)),"",INDEX('Compliance Database'!$A$2:$A$1960,MATCH(374,'Transfer Engine'!$C$2:$C$1960,0)))</f>
        <v/>
      </c>
      <c r="B383" s="8">
        <f>IF(ISNA(MATCH(374,'Transfer Engine'!$C$2:$C$1960,0)),"",INDEX('Compliance Database'!$B$2:$B$1960,MATCH(374,'Transfer Engine'!$C$2:$C$1960,0)))</f>
        <v/>
      </c>
      <c r="C383" s="8">
        <f>IF(ISNA(MATCH(374,'Transfer Engine'!$C$2:$C$1960,0)),"",INDEX('Compliance Database'!$C$2:$C$1960,MATCH(374,'Transfer Engine'!$C$2:$C$1960,0)))</f>
        <v/>
      </c>
      <c r="D383" s="9">
        <f>IF(ISNA(MATCH(374,'Transfer Engine'!$C$2:$C$1960,0)),"",INDEX('Compliance Database'!$D$2:$D$1960,MATCH(374,'Transfer Engine'!$C$2:$C$1960,0)))</f>
        <v/>
      </c>
      <c r="E383" s="8">
        <f>IF(ISNA(MATCH(374,'Transfer Engine'!$C$2:$C$1960,0)),"",INDEX('Compliance Database'!$E$2:$E$1960,MATCH(374,'Transfer Engine'!$C$2:$C$1960,0)))</f>
        <v/>
      </c>
      <c r="F383" s="8">
        <f>IF(ISNA(MATCH(374,'Transfer Engine'!$C$2:$C$1960,0)),"",INDEX('Compliance Database'!$F$2:$F$1960,MATCH(374,'Transfer Engine'!$C$2:$C$1960,0)))</f>
        <v/>
      </c>
      <c r="G383" s="8">
        <f>IF(ISNA(MATCH(374,'Transfer Engine'!$C$2:$C$1960,0)),"",INDEX('Compliance Database'!$G$2:$G$1960,MATCH(374,'Transfer Engine'!$C$2:$C$1960,0)))</f>
        <v/>
      </c>
      <c r="H383" s="9">
        <f>IF(ISNA(MATCH(374,'Transfer Engine'!$C$2:$C$1960,0)),"",INDEX('Compliance Database'!$H$2:$H$1960,MATCH(374,'Transfer Engine'!$C$2:$C$1960,0)))</f>
        <v/>
      </c>
      <c r="I383" s="9">
        <f>IF(ISNA(MATCH(374,'Transfer Engine'!$C$2:$C$1960,0)),"",INDEX('Compliance Database'!$I$2:$I$1960,MATCH(374,'Transfer Engine'!$C$2:$C$1960,0)))</f>
        <v/>
      </c>
      <c r="J383" s="8">
        <f>IF(ISNA(MATCH(374,'Transfer Engine'!$C$2:$C$1960,0)),"",INDEX('Compliance Database'!$J$2:$J$1960,MATCH(374,'Transfer Engine'!$C$2:$C$1960,0)))</f>
        <v/>
      </c>
      <c r="K383" s="9">
        <f>IF(ISNA(MATCH(374,'Transfer Engine'!$C$2:$C$1960,0)),"",INDEX('Compliance Database'!$K$2:$K$1960,MATCH(374,'Transfer Engine'!$C$2:$C$1960,0)))</f>
        <v/>
      </c>
      <c r="L383" s="9">
        <f>IF(ISNA(MATCH(374,'Transfer Engine'!$C$2:$C$1960,0)),"",INDEX('Compliance Database'!$L$2:$L$1960,MATCH(374,'Transfer Engine'!$C$2:$C$1960,0)))</f>
        <v/>
      </c>
      <c r="M383" s="9">
        <f>IF(ISNA(MATCH(374,'Transfer Engine'!$C$2:$C$1960,0)),"",INDEX('Compliance Database'!$M$2:$M$1960,MATCH(374,'Transfer Engine'!$C$2:$C$1960,0)))</f>
        <v/>
      </c>
      <c r="N383" s="9">
        <f>IF(ISNA(MATCH(374,'Transfer Engine'!$C$2:$C$1960,0)),"",INDEX('Compliance Database'!$N$2:$N$1960,MATCH(374,'Transfer Engine'!$C$2:$C$1960,0)))</f>
        <v/>
      </c>
      <c r="O383" s="9">
        <f>IF(ISNA(MATCH(374,'Transfer Engine'!$C$2:$C$1960,0)),"",INDEX('Compliance Database'!$O$2:$O$1960,MATCH(374,'Transfer Engine'!$C$2:$C$1960,0)))</f>
        <v/>
      </c>
      <c r="P383" s="8">
        <f>IF(ISNA(MATCH(374,'Transfer Engine'!$C$2:$C$1960,0)),"",HYPERLINK("#Acts!A"&amp;INDEX('Compliance Database'!$P$2:$P$1960,MATCH(374,'Transfer Engine'!$C$2:$C$1960,0)),"Go to Act"))</f>
        <v/>
      </c>
    </row>
    <row r="384" ht="158" customHeight="1">
      <c r="A384" s="8">
        <f>IF(ISNA(MATCH(375,'Transfer Engine'!$C$2:$C$1960,0)),"",INDEX('Compliance Database'!$A$2:$A$1960,MATCH(375,'Transfer Engine'!$C$2:$C$1960,0)))</f>
        <v/>
      </c>
      <c r="B384" s="8">
        <f>IF(ISNA(MATCH(375,'Transfer Engine'!$C$2:$C$1960,0)),"",INDEX('Compliance Database'!$B$2:$B$1960,MATCH(375,'Transfer Engine'!$C$2:$C$1960,0)))</f>
        <v/>
      </c>
      <c r="C384" s="8">
        <f>IF(ISNA(MATCH(375,'Transfer Engine'!$C$2:$C$1960,0)),"",INDEX('Compliance Database'!$C$2:$C$1960,MATCH(375,'Transfer Engine'!$C$2:$C$1960,0)))</f>
        <v/>
      </c>
      <c r="D384" s="9">
        <f>IF(ISNA(MATCH(375,'Transfer Engine'!$C$2:$C$1960,0)),"",INDEX('Compliance Database'!$D$2:$D$1960,MATCH(375,'Transfer Engine'!$C$2:$C$1960,0)))</f>
        <v/>
      </c>
      <c r="E384" s="8">
        <f>IF(ISNA(MATCH(375,'Transfer Engine'!$C$2:$C$1960,0)),"",INDEX('Compliance Database'!$E$2:$E$1960,MATCH(375,'Transfer Engine'!$C$2:$C$1960,0)))</f>
        <v/>
      </c>
      <c r="F384" s="8">
        <f>IF(ISNA(MATCH(375,'Transfer Engine'!$C$2:$C$1960,0)),"",INDEX('Compliance Database'!$F$2:$F$1960,MATCH(375,'Transfer Engine'!$C$2:$C$1960,0)))</f>
        <v/>
      </c>
      <c r="G384" s="8">
        <f>IF(ISNA(MATCH(375,'Transfer Engine'!$C$2:$C$1960,0)),"",INDEX('Compliance Database'!$G$2:$G$1960,MATCH(375,'Transfer Engine'!$C$2:$C$1960,0)))</f>
        <v/>
      </c>
      <c r="H384" s="9">
        <f>IF(ISNA(MATCH(375,'Transfer Engine'!$C$2:$C$1960,0)),"",INDEX('Compliance Database'!$H$2:$H$1960,MATCH(375,'Transfer Engine'!$C$2:$C$1960,0)))</f>
        <v/>
      </c>
      <c r="I384" s="9">
        <f>IF(ISNA(MATCH(375,'Transfer Engine'!$C$2:$C$1960,0)),"",INDEX('Compliance Database'!$I$2:$I$1960,MATCH(375,'Transfer Engine'!$C$2:$C$1960,0)))</f>
        <v/>
      </c>
      <c r="J384" s="8">
        <f>IF(ISNA(MATCH(375,'Transfer Engine'!$C$2:$C$1960,0)),"",INDEX('Compliance Database'!$J$2:$J$1960,MATCH(375,'Transfer Engine'!$C$2:$C$1960,0)))</f>
        <v/>
      </c>
      <c r="K384" s="9">
        <f>IF(ISNA(MATCH(375,'Transfer Engine'!$C$2:$C$1960,0)),"",INDEX('Compliance Database'!$K$2:$K$1960,MATCH(375,'Transfer Engine'!$C$2:$C$1960,0)))</f>
        <v/>
      </c>
      <c r="L384" s="9">
        <f>IF(ISNA(MATCH(375,'Transfer Engine'!$C$2:$C$1960,0)),"",INDEX('Compliance Database'!$L$2:$L$1960,MATCH(375,'Transfer Engine'!$C$2:$C$1960,0)))</f>
        <v/>
      </c>
      <c r="M384" s="9">
        <f>IF(ISNA(MATCH(375,'Transfer Engine'!$C$2:$C$1960,0)),"",INDEX('Compliance Database'!$M$2:$M$1960,MATCH(375,'Transfer Engine'!$C$2:$C$1960,0)))</f>
        <v/>
      </c>
      <c r="N384" s="9">
        <f>IF(ISNA(MATCH(375,'Transfer Engine'!$C$2:$C$1960,0)),"",INDEX('Compliance Database'!$N$2:$N$1960,MATCH(375,'Transfer Engine'!$C$2:$C$1960,0)))</f>
        <v/>
      </c>
      <c r="O384" s="9">
        <f>IF(ISNA(MATCH(375,'Transfer Engine'!$C$2:$C$1960,0)),"",INDEX('Compliance Database'!$O$2:$O$1960,MATCH(375,'Transfer Engine'!$C$2:$C$1960,0)))</f>
        <v/>
      </c>
      <c r="P384" s="8">
        <f>IF(ISNA(MATCH(375,'Transfer Engine'!$C$2:$C$1960,0)),"",HYPERLINK("#Acts!A"&amp;INDEX('Compliance Database'!$P$2:$P$1960,MATCH(375,'Transfer Engine'!$C$2:$C$1960,0)),"Go to Act"))</f>
        <v/>
      </c>
    </row>
    <row r="385" ht="158" customHeight="1">
      <c r="A385" s="8">
        <f>IF(ISNA(MATCH(376,'Transfer Engine'!$C$2:$C$1960,0)),"",INDEX('Compliance Database'!$A$2:$A$1960,MATCH(376,'Transfer Engine'!$C$2:$C$1960,0)))</f>
        <v/>
      </c>
      <c r="B385" s="8">
        <f>IF(ISNA(MATCH(376,'Transfer Engine'!$C$2:$C$1960,0)),"",INDEX('Compliance Database'!$B$2:$B$1960,MATCH(376,'Transfer Engine'!$C$2:$C$1960,0)))</f>
        <v/>
      </c>
      <c r="C385" s="8">
        <f>IF(ISNA(MATCH(376,'Transfer Engine'!$C$2:$C$1960,0)),"",INDEX('Compliance Database'!$C$2:$C$1960,MATCH(376,'Transfer Engine'!$C$2:$C$1960,0)))</f>
        <v/>
      </c>
      <c r="D385" s="9">
        <f>IF(ISNA(MATCH(376,'Transfer Engine'!$C$2:$C$1960,0)),"",INDEX('Compliance Database'!$D$2:$D$1960,MATCH(376,'Transfer Engine'!$C$2:$C$1960,0)))</f>
        <v/>
      </c>
      <c r="E385" s="8">
        <f>IF(ISNA(MATCH(376,'Transfer Engine'!$C$2:$C$1960,0)),"",INDEX('Compliance Database'!$E$2:$E$1960,MATCH(376,'Transfer Engine'!$C$2:$C$1960,0)))</f>
        <v/>
      </c>
      <c r="F385" s="8">
        <f>IF(ISNA(MATCH(376,'Transfer Engine'!$C$2:$C$1960,0)),"",INDEX('Compliance Database'!$F$2:$F$1960,MATCH(376,'Transfer Engine'!$C$2:$C$1960,0)))</f>
        <v/>
      </c>
      <c r="G385" s="8">
        <f>IF(ISNA(MATCH(376,'Transfer Engine'!$C$2:$C$1960,0)),"",INDEX('Compliance Database'!$G$2:$G$1960,MATCH(376,'Transfer Engine'!$C$2:$C$1960,0)))</f>
        <v/>
      </c>
      <c r="H385" s="9">
        <f>IF(ISNA(MATCH(376,'Transfer Engine'!$C$2:$C$1960,0)),"",INDEX('Compliance Database'!$H$2:$H$1960,MATCH(376,'Transfer Engine'!$C$2:$C$1960,0)))</f>
        <v/>
      </c>
      <c r="I385" s="9">
        <f>IF(ISNA(MATCH(376,'Transfer Engine'!$C$2:$C$1960,0)),"",INDEX('Compliance Database'!$I$2:$I$1960,MATCH(376,'Transfer Engine'!$C$2:$C$1960,0)))</f>
        <v/>
      </c>
      <c r="J385" s="8">
        <f>IF(ISNA(MATCH(376,'Transfer Engine'!$C$2:$C$1960,0)),"",INDEX('Compliance Database'!$J$2:$J$1960,MATCH(376,'Transfer Engine'!$C$2:$C$1960,0)))</f>
        <v/>
      </c>
      <c r="K385" s="9">
        <f>IF(ISNA(MATCH(376,'Transfer Engine'!$C$2:$C$1960,0)),"",INDEX('Compliance Database'!$K$2:$K$1960,MATCH(376,'Transfer Engine'!$C$2:$C$1960,0)))</f>
        <v/>
      </c>
      <c r="L385" s="9">
        <f>IF(ISNA(MATCH(376,'Transfer Engine'!$C$2:$C$1960,0)),"",INDEX('Compliance Database'!$L$2:$L$1960,MATCH(376,'Transfer Engine'!$C$2:$C$1960,0)))</f>
        <v/>
      </c>
      <c r="M385" s="9">
        <f>IF(ISNA(MATCH(376,'Transfer Engine'!$C$2:$C$1960,0)),"",INDEX('Compliance Database'!$M$2:$M$1960,MATCH(376,'Transfer Engine'!$C$2:$C$1960,0)))</f>
        <v/>
      </c>
      <c r="N385" s="9">
        <f>IF(ISNA(MATCH(376,'Transfer Engine'!$C$2:$C$1960,0)),"",INDEX('Compliance Database'!$N$2:$N$1960,MATCH(376,'Transfer Engine'!$C$2:$C$1960,0)))</f>
        <v/>
      </c>
      <c r="O385" s="9">
        <f>IF(ISNA(MATCH(376,'Transfer Engine'!$C$2:$C$1960,0)),"",INDEX('Compliance Database'!$O$2:$O$1960,MATCH(376,'Transfer Engine'!$C$2:$C$1960,0)))</f>
        <v/>
      </c>
      <c r="P385" s="8">
        <f>IF(ISNA(MATCH(376,'Transfer Engine'!$C$2:$C$1960,0)),"",HYPERLINK("#Acts!A"&amp;INDEX('Compliance Database'!$P$2:$P$1960,MATCH(376,'Transfer Engine'!$C$2:$C$1960,0)),"Go to Act"))</f>
        <v/>
      </c>
    </row>
    <row r="386" ht="158" customHeight="1">
      <c r="A386" s="8">
        <f>IF(ISNA(MATCH(377,'Transfer Engine'!$C$2:$C$1960,0)),"",INDEX('Compliance Database'!$A$2:$A$1960,MATCH(377,'Transfer Engine'!$C$2:$C$1960,0)))</f>
        <v/>
      </c>
      <c r="B386" s="8">
        <f>IF(ISNA(MATCH(377,'Transfer Engine'!$C$2:$C$1960,0)),"",INDEX('Compliance Database'!$B$2:$B$1960,MATCH(377,'Transfer Engine'!$C$2:$C$1960,0)))</f>
        <v/>
      </c>
      <c r="C386" s="8">
        <f>IF(ISNA(MATCH(377,'Transfer Engine'!$C$2:$C$1960,0)),"",INDEX('Compliance Database'!$C$2:$C$1960,MATCH(377,'Transfer Engine'!$C$2:$C$1960,0)))</f>
        <v/>
      </c>
      <c r="D386" s="9">
        <f>IF(ISNA(MATCH(377,'Transfer Engine'!$C$2:$C$1960,0)),"",INDEX('Compliance Database'!$D$2:$D$1960,MATCH(377,'Transfer Engine'!$C$2:$C$1960,0)))</f>
        <v/>
      </c>
      <c r="E386" s="8">
        <f>IF(ISNA(MATCH(377,'Transfer Engine'!$C$2:$C$1960,0)),"",INDEX('Compliance Database'!$E$2:$E$1960,MATCH(377,'Transfer Engine'!$C$2:$C$1960,0)))</f>
        <v/>
      </c>
      <c r="F386" s="8">
        <f>IF(ISNA(MATCH(377,'Transfer Engine'!$C$2:$C$1960,0)),"",INDEX('Compliance Database'!$F$2:$F$1960,MATCH(377,'Transfer Engine'!$C$2:$C$1960,0)))</f>
        <v/>
      </c>
      <c r="G386" s="8">
        <f>IF(ISNA(MATCH(377,'Transfer Engine'!$C$2:$C$1960,0)),"",INDEX('Compliance Database'!$G$2:$G$1960,MATCH(377,'Transfer Engine'!$C$2:$C$1960,0)))</f>
        <v/>
      </c>
      <c r="H386" s="9">
        <f>IF(ISNA(MATCH(377,'Transfer Engine'!$C$2:$C$1960,0)),"",INDEX('Compliance Database'!$H$2:$H$1960,MATCH(377,'Transfer Engine'!$C$2:$C$1960,0)))</f>
        <v/>
      </c>
      <c r="I386" s="9">
        <f>IF(ISNA(MATCH(377,'Transfer Engine'!$C$2:$C$1960,0)),"",INDEX('Compliance Database'!$I$2:$I$1960,MATCH(377,'Transfer Engine'!$C$2:$C$1960,0)))</f>
        <v/>
      </c>
      <c r="J386" s="8">
        <f>IF(ISNA(MATCH(377,'Transfer Engine'!$C$2:$C$1960,0)),"",INDEX('Compliance Database'!$J$2:$J$1960,MATCH(377,'Transfer Engine'!$C$2:$C$1960,0)))</f>
        <v/>
      </c>
      <c r="K386" s="9">
        <f>IF(ISNA(MATCH(377,'Transfer Engine'!$C$2:$C$1960,0)),"",INDEX('Compliance Database'!$K$2:$K$1960,MATCH(377,'Transfer Engine'!$C$2:$C$1960,0)))</f>
        <v/>
      </c>
      <c r="L386" s="9">
        <f>IF(ISNA(MATCH(377,'Transfer Engine'!$C$2:$C$1960,0)),"",INDEX('Compliance Database'!$L$2:$L$1960,MATCH(377,'Transfer Engine'!$C$2:$C$1960,0)))</f>
        <v/>
      </c>
      <c r="M386" s="9">
        <f>IF(ISNA(MATCH(377,'Transfer Engine'!$C$2:$C$1960,0)),"",INDEX('Compliance Database'!$M$2:$M$1960,MATCH(377,'Transfer Engine'!$C$2:$C$1960,0)))</f>
        <v/>
      </c>
      <c r="N386" s="9">
        <f>IF(ISNA(MATCH(377,'Transfer Engine'!$C$2:$C$1960,0)),"",INDEX('Compliance Database'!$N$2:$N$1960,MATCH(377,'Transfer Engine'!$C$2:$C$1960,0)))</f>
        <v/>
      </c>
      <c r="O386" s="9">
        <f>IF(ISNA(MATCH(377,'Transfer Engine'!$C$2:$C$1960,0)),"",INDEX('Compliance Database'!$O$2:$O$1960,MATCH(377,'Transfer Engine'!$C$2:$C$1960,0)))</f>
        <v/>
      </c>
      <c r="P386" s="8">
        <f>IF(ISNA(MATCH(377,'Transfer Engine'!$C$2:$C$1960,0)),"",HYPERLINK("#Acts!A"&amp;INDEX('Compliance Database'!$P$2:$P$1960,MATCH(377,'Transfer Engine'!$C$2:$C$1960,0)),"Go to Act"))</f>
        <v/>
      </c>
    </row>
    <row r="387" ht="158" customHeight="1">
      <c r="A387" s="8">
        <f>IF(ISNA(MATCH(378,'Transfer Engine'!$C$2:$C$1960,0)),"",INDEX('Compliance Database'!$A$2:$A$1960,MATCH(378,'Transfer Engine'!$C$2:$C$1960,0)))</f>
        <v/>
      </c>
      <c r="B387" s="8">
        <f>IF(ISNA(MATCH(378,'Transfer Engine'!$C$2:$C$1960,0)),"",INDEX('Compliance Database'!$B$2:$B$1960,MATCH(378,'Transfer Engine'!$C$2:$C$1960,0)))</f>
        <v/>
      </c>
      <c r="C387" s="8">
        <f>IF(ISNA(MATCH(378,'Transfer Engine'!$C$2:$C$1960,0)),"",INDEX('Compliance Database'!$C$2:$C$1960,MATCH(378,'Transfer Engine'!$C$2:$C$1960,0)))</f>
        <v/>
      </c>
      <c r="D387" s="9">
        <f>IF(ISNA(MATCH(378,'Transfer Engine'!$C$2:$C$1960,0)),"",INDEX('Compliance Database'!$D$2:$D$1960,MATCH(378,'Transfer Engine'!$C$2:$C$1960,0)))</f>
        <v/>
      </c>
      <c r="E387" s="8">
        <f>IF(ISNA(MATCH(378,'Transfer Engine'!$C$2:$C$1960,0)),"",INDEX('Compliance Database'!$E$2:$E$1960,MATCH(378,'Transfer Engine'!$C$2:$C$1960,0)))</f>
        <v/>
      </c>
      <c r="F387" s="8">
        <f>IF(ISNA(MATCH(378,'Transfer Engine'!$C$2:$C$1960,0)),"",INDEX('Compliance Database'!$F$2:$F$1960,MATCH(378,'Transfer Engine'!$C$2:$C$1960,0)))</f>
        <v/>
      </c>
      <c r="G387" s="8">
        <f>IF(ISNA(MATCH(378,'Transfer Engine'!$C$2:$C$1960,0)),"",INDEX('Compliance Database'!$G$2:$G$1960,MATCH(378,'Transfer Engine'!$C$2:$C$1960,0)))</f>
        <v/>
      </c>
      <c r="H387" s="9">
        <f>IF(ISNA(MATCH(378,'Transfer Engine'!$C$2:$C$1960,0)),"",INDEX('Compliance Database'!$H$2:$H$1960,MATCH(378,'Transfer Engine'!$C$2:$C$1960,0)))</f>
        <v/>
      </c>
      <c r="I387" s="9">
        <f>IF(ISNA(MATCH(378,'Transfer Engine'!$C$2:$C$1960,0)),"",INDEX('Compliance Database'!$I$2:$I$1960,MATCH(378,'Transfer Engine'!$C$2:$C$1960,0)))</f>
        <v/>
      </c>
      <c r="J387" s="8">
        <f>IF(ISNA(MATCH(378,'Transfer Engine'!$C$2:$C$1960,0)),"",INDEX('Compliance Database'!$J$2:$J$1960,MATCH(378,'Transfer Engine'!$C$2:$C$1960,0)))</f>
        <v/>
      </c>
      <c r="K387" s="9">
        <f>IF(ISNA(MATCH(378,'Transfer Engine'!$C$2:$C$1960,0)),"",INDEX('Compliance Database'!$K$2:$K$1960,MATCH(378,'Transfer Engine'!$C$2:$C$1960,0)))</f>
        <v/>
      </c>
      <c r="L387" s="9">
        <f>IF(ISNA(MATCH(378,'Transfer Engine'!$C$2:$C$1960,0)),"",INDEX('Compliance Database'!$L$2:$L$1960,MATCH(378,'Transfer Engine'!$C$2:$C$1960,0)))</f>
        <v/>
      </c>
      <c r="M387" s="9">
        <f>IF(ISNA(MATCH(378,'Transfer Engine'!$C$2:$C$1960,0)),"",INDEX('Compliance Database'!$M$2:$M$1960,MATCH(378,'Transfer Engine'!$C$2:$C$1960,0)))</f>
        <v/>
      </c>
      <c r="N387" s="9">
        <f>IF(ISNA(MATCH(378,'Transfer Engine'!$C$2:$C$1960,0)),"",INDEX('Compliance Database'!$N$2:$N$1960,MATCH(378,'Transfer Engine'!$C$2:$C$1960,0)))</f>
        <v/>
      </c>
      <c r="O387" s="9">
        <f>IF(ISNA(MATCH(378,'Transfer Engine'!$C$2:$C$1960,0)),"",INDEX('Compliance Database'!$O$2:$O$1960,MATCH(378,'Transfer Engine'!$C$2:$C$1960,0)))</f>
        <v/>
      </c>
      <c r="P387" s="8">
        <f>IF(ISNA(MATCH(378,'Transfer Engine'!$C$2:$C$1960,0)),"",HYPERLINK("#Acts!A"&amp;INDEX('Compliance Database'!$P$2:$P$1960,MATCH(378,'Transfer Engine'!$C$2:$C$1960,0)),"Go to Act"))</f>
        <v/>
      </c>
    </row>
    <row r="388" ht="158" customHeight="1">
      <c r="A388" s="8">
        <f>IF(ISNA(MATCH(379,'Transfer Engine'!$C$2:$C$1960,0)),"",INDEX('Compliance Database'!$A$2:$A$1960,MATCH(379,'Transfer Engine'!$C$2:$C$1960,0)))</f>
        <v/>
      </c>
      <c r="B388" s="8">
        <f>IF(ISNA(MATCH(379,'Transfer Engine'!$C$2:$C$1960,0)),"",INDEX('Compliance Database'!$B$2:$B$1960,MATCH(379,'Transfer Engine'!$C$2:$C$1960,0)))</f>
        <v/>
      </c>
      <c r="C388" s="8">
        <f>IF(ISNA(MATCH(379,'Transfer Engine'!$C$2:$C$1960,0)),"",INDEX('Compliance Database'!$C$2:$C$1960,MATCH(379,'Transfer Engine'!$C$2:$C$1960,0)))</f>
        <v/>
      </c>
      <c r="D388" s="9">
        <f>IF(ISNA(MATCH(379,'Transfer Engine'!$C$2:$C$1960,0)),"",INDEX('Compliance Database'!$D$2:$D$1960,MATCH(379,'Transfer Engine'!$C$2:$C$1960,0)))</f>
        <v/>
      </c>
      <c r="E388" s="8">
        <f>IF(ISNA(MATCH(379,'Transfer Engine'!$C$2:$C$1960,0)),"",INDEX('Compliance Database'!$E$2:$E$1960,MATCH(379,'Transfer Engine'!$C$2:$C$1960,0)))</f>
        <v/>
      </c>
      <c r="F388" s="8">
        <f>IF(ISNA(MATCH(379,'Transfer Engine'!$C$2:$C$1960,0)),"",INDEX('Compliance Database'!$F$2:$F$1960,MATCH(379,'Transfer Engine'!$C$2:$C$1960,0)))</f>
        <v/>
      </c>
      <c r="G388" s="8">
        <f>IF(ISNA(MATCH(379,'Transfer Engine'!$C$2:$C$1960,0)),"",INDEX('Compliance Database'!$G$2:$G$1960,MATCH(379,'Transfer Engine'!$C$2:$C$1960,0)))</f>
        <v/>
      </c>
      <c r="H388" s="9">
        <f>IF(ISNA(MATCH(379,'Transfer Engine'!$C$2:$C$1960,0)),"",INDEX('Compliance Database'!$H$2:$H$1960,MATCH(379,'Transfer Engine'!$C$2:$C$1960,0)))</f>
        <v/>
      </c>
      <c r="I388" s="9">
        <f>IF(ISNA(MATCH(379,'Transfer Engine'!$C$2:$C$1960,0)),"",INDEX('Compliance Database'!$I$2:$I$1960,MATCH(379,'Transfer Engine'!$C$2:$C$1960,0)))</f>
        <v/>
      </c>
      <c r="J388" s="8">
        <f>IF(ISNA(MATCH(379,'Transfer Engine'!$C$2:$C$1960,0)),"",INDEX('Compliance Database'!$J$2:$J$1960,MATCH(379,'Transfer Engine'!$C$2:$C$1960,0)))</f>
        <v/>
      </c>
      <c r="K388" s="9">
        <f>IF(ISNA(MATCH(379,'Transfer Engine'!$C$2:$C$1960,0)),"",INDEX('Compliance Database'!$K$2:$K$1960,MATCH(379,'Transfer Engine'!$C$2:$C$1960,0)))</f>
        <v/>
      </c>
      <c r="L388" s="9">
        <f>IF(ISNA(MATCH(379,'Transfer Engine'!$C$2:$C$1960,0)),"",INDEX('Compliance Database'!$L$2:$L$1960,MATCH(379,'Transfer Engine'!$C$2:$C$1960,0)))</f>
        <v/>
      </c>
      <c r="M388" s="9">
        <f>IF(ISNA(MATCH(379,'Transfer Engine'!$C$2:$C$1960,0)),"",INDEX('Compliance Database'!$M$2:$M$1960,MATCH(379,'Transfer Engine'!$C$2:$C$1960,0)))</f>
        <v/>
      </c>
      <c r="N388" s="9">
        <f>IF(ISNA(MATCH(379,'Transfer Engine'!$C$2:$C$1960,0)),"",INDEX('Compliance Database'!$N$2:$N$1960,MATCH(379,'Transfer Engine'!$C$2:$C$1960,0)))</f>
        <v/>
      </c>
      <c r="O388" s="9">
        <f>IF(ISNA(MATCH(379,'Transfer Engine'!$C$2:$C$1960,0)),"",INDEX('Compliance Database'!$O$2:$O$1960,MATCH(379,'Transfer Engine'!$C$2:$C$1960,0)))</f>
        <v/>
      </c>
      <c r="P388" s="8">
        <f>IF(ISNA(MATCH(379,'Transfer Engine'!$C$2:$C$1960,0)),"",HYPERLINK("#Acts!A"&amp;INDEX('Compliance Database'!$P$2:$P$1960,MATCH(379,'Transfer Engine'!$C$2:$C$1960,0)),"Go to Act"))</f>
        <v/>
      </c>
    </row>
    <row r="389" ht="158" customHeight="1">
      <c r="A389" s="8">
        <f>IF(ISNA(MATCH(380,'Transfer Engine'!$C$2:$C$1960,0)),"",INDEX('Compliance Database'!$A$2:$A$1960,MATCH(380,'Transfer Engine'!$C$2:$C$1960,0)))</f>
        <v/>
      </c>
      <c r="B389" s="8">
        <f>IF(ISNA(MATCH(380,'Transfer Engine'!$C$2:$C$1960,0)),"",INDEX('Compliance Database'!$B$2:$B$1960,MATCH(380,'Transfer Engine'!$C$2:$C$1960,0)))</f>
        <v/>
      </c>
      <c r="C389" s="8">
        <f>IF(ISNA(MATCH(380,'Transfer Engine'!$C$2:$C$1960,0)),"",INDEX('Compliance Database'!$C$2:$C$1960,MATCH(380,'Transfer Engine'!$C$2:$C$1960,0)))</f>
        <v/>
      </c>
      <c r="D389" s="9">
        <f>IF(ISNA(MATCH(380,'Transfer Engine'!$C$2:$C$1960,0)),"",INDEX('Compliance Database'!$D$2:$D$1960,MATCH(380,'Transfer Engine'!$C$2:$C$1960,0)))</f>
        <v/>
      </c>
      <c r="E389" s="8">
        <f>IF(ISNA(MATCH(380,'Transfer Engine'!$C$2:$C$1960,0)),"",INDEX('Compliance Database'!$E$2:$E$1960,MATCH(380,'Transfer Engine'!$C$2:$C$1960,0)))</f>
        <v/>
      </c>
      <c r="F389" s="8">
        <f>IF(ISNA(MATCH(380,'Transfer Engine'!$C$2:$C$1960,0)),"",INDEX('Compliance Database'!$F$2:$F$1960,MATCH(380,'Transfer Engine'!$C$2:$C$1960,0)))</f>
        <v/>
      </c>
      <c r="G389" s="8">
        <f>IF(ISNA(MATCH(380,'Transfer Engine'!$C$2:$C$1960,0)),"",INDEX('Compliance Database'!$G$2:$G$1960,MATCH(380,'Transfer Engine'!$C$2:$C$1960,0)))</f>
        <v/>
      </c>
      <c r="H389" s="9">
        <f>IF(ISNA(MATCH(380,'Transfer Engine'!$C$2:$C$1960,0)),"",INDEX('Compliance Database'!$H$2:$H$1960,MATCH(380,'Transfer Engine'!$C$2:$C$1960,0)))</f>
        <v/>
      </c>
      <c r="I389" s="9">
        <f>IF(ISNA(MATCH(380,'Transfer Engine'!$C$2:$C$1960,0)),"",INDEX('Compliance Database'!$I$2:$I$1960,MATCH(380,'Transfer Engine'!$C$2:$C$1960,0)))</f>
        <v/>
      </c>
      <c r="J389" s="8">
        <f>IF(ISNA(MATCH(380,'Transfer Engine'!$C$2:$C$1960,0)),"",INDEX('Compliance Database'!$J$2:$J$1960,MATCH(380,'Transfer Engine'!$C$2:$C$1960,0)))</f>
        <v/>
      </c>
      <c r="K389" s="9">
        <f>IF(ISNA(MATCH(380,'Transfer Engine'!$C$2:$C$1960,0)),"",INDEX('Compliance Database'!$K$2:$K$1960,MATCH(380,'Transfer Engine'!$C$2:$C$1960,0)))</f>
        <v/>
      </c>
      <c r="L389" s="9">
        <f>IF(ISNA(MATCH(380,'Transfer Engine'!$C$2:$C$1960,0)),"",INDEX('Compliance Database'!$L$2:$L$1960,MATCH(380,'Transfer Engine'!$C$2:$C$1960,0)))</f>
        <v/>
      </c>
      <c r="M389" s="9">
        <f>IF(ISNA(MATCH(380,'Transfer Engine'!$C$2:$C$1960,0)),"",INDEX('Compliance Database'!$M$2:$M$1960,MATCH(380,'Transfer Engine'!$C$2:$C$1960,0)))</f>
        <v/>
      </c>
      <c r="N389" s="9">
        <f>IF(ISNA(MATCH(380,'Transfer Engine'!$C$2:$C$1960,0)),"",INDEX('Compliance Database'!$N$2:$N$1960,MATCH(380,'Transfer Engine'!$C$2:$C$1960,0)))</f>
        <v/>
      </c>
      <c r="O389" s="9">
        <f>IF(ISNA(MATCH(380,'Transfer Engine'!$C$2:$C$1960,0)),"",INDEX('Compliance Database'!$O$2:$O$1960,MATCH(380,'Transfer Engine'!$C$2:$C$1960,0)))</f>
        <v/>
      </c>
      <c r="P389" s="8">
        <f>IF(ISNA(MATCH(380,'Transfer Engine'!$C$2:$C$1960,0)),"",HYPERLINK("#Acts!A"&amp;INDEX('Compliance Database'!$P$2:$P$1960,MATCH(380,'Transfer Engine'!$C$2:$C$1960,0)),"Go to Act"))</f>
        <v/>
      </c>
    </row>
    <row r="390" ht="158" customHeight="1">
      <c r="A390" s="8">
        <f>IF(ISNA(MATCH(381,'Transfer Engine'!$C$2:$C$1960,0)),"",INDEX('Compliance Database'!$A$2:$A$1960,MATCH(381,'Transfer Engine'!$C$2:$C$1960,0)))</f>
        <v/>
      </c>
      <c r="B390" s="8">
        <f>IF(ISNA(MATCH(381,'Transfer Engine'!$C$2:$C$1960,0)),"",INDEX('Compliance Database'!$B$2:$B$1960,MATCH(381,'Transfer Engine'!$C$2:$C$1960,0)))</f>
        <v/>
      </c>
      <c r="C390" s="8">
        <f>IF(ISNA(MATCH(381,'Transfer Engine'!$C$2:$C$1960,0)),"",INDEX('Compliance Database'!$C$2:$C$1960,MATCH(381,'Transfer Engine'!$C$2:$C$1960,0)))</f>
        <v/>
      </c>
      <c r="D390" s="9">
        <f>IF(ISNA(MATCH(381,'Transfer Engine'!$C$2:$C$1960,0)),"",INDEX('Compliance Database'!$D$2:$D$1960,MATCH(381,'Transfer Engine'!$C$2:$C$1960,0)))</f>
        <v/>
      </c>
      <c r="E390" s="8">
        <f>IF(ISNA(MATCH(381,'Transfer Engine'!$C$2:$C$1960,0)),"",INDEX('Compliance Database'!$E$2:$E$1960,MATCH(381,'Transfer Engine'!$C$2:$C$1960,0)))</f>
        <v/>
      </c>
      <c r="F390" s="8">
        <f>IF(ISNA(MATCH(381,'Transfer Engine'!$C$2:$C$1960,0)),"",INDEX('Compliance Database'!$F$2:$F$1960,MATCH(381,'Transfer Engine'!$C$2:$C$1960,0)))</f>
        <v/>
      </c>
      <c r="G390" s="8">
        <f>IF(ISNA(MATCH(381,'Transfer Engine'!$C$2:$C$1960,0)),"",INDEX('Compliance Database'!$G$2:$G$1960,MATCH(381,'Transfer Engine'!$C$2:$C$1960,0)))</f>
        <v/>
      </c>
      <c r="H390" s="9">
        <f>IF(ISNA(MATCH(381,'Transfer Engine'!$C$2:$C$1960,0)),"",INDEX('Compliance Database'!$H$2:$H$1960,MATCH(381,'Transfer Engine'!$C$2:$C$1960,0)))</f>
        <v/>
      </c>
      <c r="I390" s="9">
        <f>IF(ISNA(MATCH(381,'Transfer Engine'!$C$2:$C$1960,0)),"",INDEX('Compliance Database'!$I$2:$I$1960,MATCH(381,'Transfer Engine'!$C$2:$C$1960,0)))</f>
        <v/>
      </c>
      <c r="J390" s="8">
        <f>IF(ISNA(MATCH(381,'Transfer Engine'!$C$2:$C$1960,0)),"",INDEX('Compliance Database'!$J$2:$J$1960,MATCH(381,'Transfer Engine'!$C$2:$C$1960,0)))</f>
        <v/>
      </c>
      <c r="K390" s="9">
        <f>IF(ISNA(MATCH(381,'Transfer Engine'!$C$2:$C$1960,0)),"",INDEX('Compliance Database'!$K$2:$K$1960,MATCH(381,'Transfer Engine'!$C$2:$C$1960,0)))</f>
        <v/>
      </c>
      <c r="L390" s="9">
        <f>IF(ISNA(MATCH(381,'Transfer Engine'!$C$2:$C$1960,0)),"",INDEX('Compliance Database'!$L$2:$L$1960,MATCH(381,'Transfer Engine'!$C$2:$C$1960,0)))</f>
        <v/>
      </c>
      <c r="M390" s="9">
        <f>IF(ISNA(MATCH(381,'Transfer Engine'!$C$2:$C$1960,0)),"",INDEX('Compliance Database'!$M$2:$M$1960,MATCH(381,'Transfer Engine'!$C$2:$C$1960,0)))</f>
        <v/>
      </c>
      <c r="N390" s="9">
        <f>IF(ISNA(MATCH(381,'Transfer Engine'!$C$2:$C$1960,0)),"",INDEX('Compliance Database'!$N$2:$N$1960,MATCH(381,'Transfer Engine'!$C$2:$C$1960,0)))</f>
        <v/>
      </c>
      <c r="O390" s="9">
        <f>IF(ISNA(MATCH(381,'Transfer Engine'!$C$2:$C$1960,0)),"",INDEX('Compliance Database'!$O$2:$O$1960,MATCH(381,'Transfer Engine'!$C$2:$C$1960,0)))</f>
        <v/>
      </c>
      <c r="P390" s="8">
        <f>IF(ISNA(MATCH(381,'Transfer Engine'!$C$2:$C$1960,0)),"",HYPERLINK("#Acts!A"&amp;INDEX('Compliance Database'!$P$2:$P$1960,MATCH(381,'Transfer Engine'!$C$2:$C$1960,0)),"Go to Act"))</f>
        <v/>
      </c>
    </row>
    <row r="391" ht="158" customHeight="1">
      <c r="A391" s="8">
        <f>IF(ISNA(MATCH(382,'Transfer Engine'!$C$2:$C$1960,0)),"",INDEX('Compliance Database'!$A$2:$A$1960,MATCH(382,'Transfer Engine'!$C$2:$C$1960,0)))</f>
        <v/>
      </c>
      <c r="B391" s="8">
        <f>IF(ISNA(MATCH(382,'Transfer Engine'!$C$2:$C$1960,0)),"",INDEX('Compliance Database'!$B$2:$B$1960,MATCH(382,'Transfer Engine'!$C$2:$C$1960,0)))</f>
        <v/>
      </c>
      <c r="C391" s="8">
        <f>IF(ISNA(MATCH(382,'Transfer Engine'!$C$2:$C$1960,0)),"",INDEX('Compliance Database'!$C$2:$C$1960,MATCH(382,'Transfer Engine'!$C$2:$C$1960,0)))</f>
        <v/>
      </c>
      <c r="D391" s="9">
        <f>IF(ISNA(MATCH(382,'Transfer Engine'!$C$2:$C$1960,0)),"",INDEX('Compliance Database'!$D$2:$D$1960,MATCH(382,'Transfer Engine'!$C$2:$C$1960,0)))</f>
        <v/>
      </c>
      <c r="E391" s="8">
        <f>IF(ISNA(MATCH(382,'Transfer Engine'!$C$2:$C$1960,0)),"",INDEX('Compliance Database'!$E$2:$E$1960,MATCH(382,'Transfer Engine'!$C$2:$C$1960,0)))</f>
        <v/>
      </c>
      <c r="F391" s="8">
        <f>IF(ISNA(MATCH(382,'Transfer Engine'!$C$2:$C$1960,0)),"",INDEX('Compliance Database'!$F$2:$F$1960,MATCH(382,'Transfer Engine'!$C$2:$C$1960,0)))</f>
        <v/>
      </c>
      <c r="G391" s="8">
        <f>IF(ISNA(MATCH(382,'Transfer Engine'!$C$2:$C$1960,0)),"",INDEX('Compliance Database'!$G$2:$G$1960,MATCH(382,'Transfer Engine'!$C$2:$C$1960,0)))</f>
        <v/>
      </c>
      <c r="H391" s="9">
        <f>IF(ISNA(MATCH(382,'Transfer Engine'!$C$2:$C$1960,0)),"",INDEX('Compliance Database'!$H$2:$H$1960,MATCH(382,'Transfer Engine'!$C$2:$C$1960,0)))</f>
        <v/>
      </c>
      <c r="I391" s="9">
        <f>IF(ISNA(MATCH(382,'Transfer Engine'!$C$2:$C$1960,0)),"",INDEX('Compliance Database'!$I$2:$I$1960,MATCH(382,'Transfer Engine'!$C$2:$C$1960,0)))</f>
        <v/>
      </c>
      <c r="J391" s="8">
        <f>IF(ISNA(MATCH(382,'Transfer Engine'!$C$2:$C$1960,0)),"",INDEX('Compliance Database'!$J$2:$J$1960,MATCH(382,'Transfer Engine'!$C$2:$C$1960,0)))</f>
        <v/>
      </c>
      <c r="K391" s="9">
        <f>IF(ISNA(MATCH(382,'Transfer Engine'!$C$2:$C$1960,0)),"",INDEX('Compliance Database'!$K$2:$K$1960,MATCH(382,'Transfer Engine'!$C$2:$C$1960,0)))</f>
        <v/>
      </c>
      <c r="L391" s="9">
        <f>IF(ISNA(MATCH(382,'Transfer Engine'!$C$2:$C$1960,0)),"",INDEX('Compliance Database'!$L$2:$L$1960,MATCH(382,'Transfer Engine'!$C$2:$C$1960,0)))</f>
        <v/>
      </c>
      <c r="M391" s="9">
        <f>IF(ISNA(MATCH(382,'Transfer Engine'!$C$2:$C$1960,0)),"",INDEX('Compliance Database'!$M$2:$M$1960,MATCH(382,'Transfer Engine'!$C$2:$C$1960,0)))</f>
        <v/>
      </c>
      <c r="N391" s="9">
        <f>IF(ISNA(MATCH(382,'Transfer Engine'!$C$2:$C$1960,0)),"",INDEX('Compliance Database'!$N$2:$N$1960,MATCH(382,'Transfer Engine'!$C$2:$C$1960,0)))</f>
        <v/>
      </c>
      <c r="O391" s="9">
        <f>IF(ISNA(MATCH(382,'Transfer Engine'!$C$2:$C$1960,0)),"",INDEX('Compliance Database'!$O$2:$O$1960,MATCH(382,'Transfer Engine'!$C$2:$C$1960,0)))</f>
        <v/>
      </c>
      <c r="P391" s="8">
        <f>IF(ISNA(MATCH(382,'Transfer Engine'!$C$2:$C$1960,0)),"",HYPERLINK("#Acts!A"&amp;INDEX('Compliance Database'!$P$2:$P$1960,MATCH(382,'Transfer Engine'!$C$2:$C$1960,0)),"Go to Act"))</f>
        <v/>
      </c>
    </row>
    <row r="392" ht="158" customHeight="1">
      <c r="A392" s="8">
        <f>IF(ISNA(MATCH(383,'Transfer Engine'!$C$2:$C$1960,0)),"",INDEX('Compliance Database'!$A$2:$A$1960,MATCH(383,'Transfer Engine'!$C$2:$C$1960,0)))</f>
        <v/>
      </c>
      <c r="B392" s="8">
        <f>IF(ISNA(MATCH(383,'Transfer Engine'!$C$2:$C$1960,0)),"",INDEX('Compliance Database'!$B$2:$B$1960,MATCH(383,'Transfer Engine'!$C$2:$C$1960,0)))</f>
        <v/>
      </c>
      <c r="C392" s="8">
        <f>IF(ISNA(MATCH(383,'Transfer Engine'!$C$2:$C$1960,0)),"",INDEX('Compliance Database'!$C$2:$C$1960,MATCH(383,'Transfer Engine'!$C$2:$C$1960,0)))</f>
        <v/>
      </c>
      <c r="D392" s="9">
        <f>IF(ISNA(MATCH(383,'Transfer Engine'!$C$2:$C$1960,0)),"",INDEX('Compliance Database'!$D$2:$D$1960,MATCH(383,'Transfer Engine'!$C$2:$C$1960,0)))</f>
        <v/>
      </c>
      <c r="E392" s="8">
        <f>IF(ISNA(MATCH(383,'Transfer Engine'!$C$2:$C$1960,0)),"",INDEX('Compliance Database'!$E$2:$E$1960,MATCH(383,'Transfer Engine'!$C$2:$C$1960,0)))</f>
        <v/>
      </c>
      <c r="F392" s="8">
        <f>IF(ISNA(MATCH(383,'Transfer Engine'!$C$2:$C$1960,0)),"",INDEX('Compliance Database'!$F$2:$F$1960,MATCH(383,'Transfer Engine'!$C$2:$C$1960,0)))</f>
        <v/>
      </c>
      <c r="G392" s="8">
        <f>IF(ISNA(MATCH(383,'Transfer Engine'!$C$2:$C$1960,0)),"",INDEX('Compliance Database'!$G$2:$G$1960,MATCH(383,'Transfer Engine'!$C$2:$C$1960,0)))</f>
        <v/>
      </c>
      <c r="H392" s="9">
        <f>IF(ISNA(MATCH(383,'Transfer Engine'!$C$2:$C$1960,0)),"",INDEX('Compliance Database'!$H$2:$H$1960,MATCH(383,'Transfer Engine'!$C$2:$C$1960,0)))</f>
        <v/>
      </c>
      <c r="I392" s="9">
        <f>IF(ISNA(MATCH(383,'Transfer Engine'!$C$2:$C$1960,0)),"",INDEX('Compliance Database'!$I$2:$I$1960,MATCH(383,'Transfer Engine'!$C$2:$C$1960,0)))</f>
        <v/>
      </c>
      <c r="J392" s="8">
        <f>IF(ISNA(MATCH(383,'Transfer Engine'!$C$2:$C$1960,0)),"",INDEX('Compliance Database'!$J$2:$J$1960,MATCH(383,'Transfer Engine'!$C$2:$C$1960,0)))</f>
        <v/>
      </c>
      <c r="K392" s="9">
        <f>IF(ISNA(MATCH(383,'Transfer Engine'!$C$2:$C$1960,0)),"",INDEX('Compliance Database'!$K$2:$K$1960,MATCH(383,'Transfer Engine'!$C$2:$C$1960,0)))</f>
        <v/>
      </c>
      <c r="L392" s="9">
        <f>IF(ISNA(MATCH(383,'Transfer Engine'!$C$2:$C$1960,0)),"",INDEX('Compliance Database'!$L$2:$L$1960,MATCH(383,'Transfer Engine'!$C$2:$C$1960,0)))</f>
        <v/>
      </c>
      <c r="M392" s="9">
        <f>IF(ISNA(MATCH(383,'Transfer Engine'!$C$2:$C$1960,0)),"",INDEX('Compliance Database'!$M$2:$M$1960,MATCH(383,'Transfer Engine'!$C$2:$C$1960,0)))</f>
        <v/>
      </c>
      <c r="N392" s="9">
        <f>IF(ISNA(MATCH(383,'Transfer Engine'!$C$2:$C$1960,0)),"",INDEX('Compliance Database'!$N$2:$N$1960,MATCH(383,'Transfer Engine'!$C$2:$C$1960,0)))</f>
        <v/>
      </c>
      <c r="O392" s="9">
        <f>IF(ISNA(MATCH(383,'Transfer Engine'!$C$2:$C$1960,0)),"",INDEX('Compliance Database'!$O$2:$O$1960,MATCH(383,'Transfer Engine'!$C$2:$C$1960,0)))</f>
        <v/>
      </c>
      <c r="P392" s="8">
        <f>IF(ISNA(MATCH(383,'Transfer Engine'!$C$2:$C$1960,0)),"",HYPERLINK("#Acts!A"&amp;INDEX('Compliance Database'!$P$2:$P$1960,MATCH(383,'Transfer Engine'!$C$2:$C$1960,0)),"Go to Act"))</f>
        <v/>
      </c>
    </row>
    <row r="393" ht="158" customHeight="1">
      <c r="A393" s="8">
        <f>IF(ISNA(MATCH(384,'Transfer Engine'!$C$2:$C$1960,0)),"",INDEX('Compliance Database'!$A$2:$A$1960,MATCH(384,'Transfer Engine'!$C$2:$C$1960,0)))</f>
        <v/>
      </c>
      <c r="B393" s="8">
        <f>IF(ISNA(MATCH(384,'Transfer Engine'!$C$2:$C$1960,0)),"",INDEX('Compliance Database'!$B$2:$B$1960,MATCH(384,'Transfer Engine'!$C$2:$C$1960,0)))</f>
        <v/>
      </c>
      <c r="C393" s="8">
        <f>IF(ISNA(MATCH(384,'Transfer Engine'!$C$2:$C$1960,0)),"",INDEX('Compliance Database'!$C$2:$C$1960,MATCH(384,'Transfer Engine'!$C$2:$C$1960,0)))</f>
        <v/>
      </c>
      <c r="D393" s="9">
        <f>IF(ISNA(MATCH(384,'Transfer Engine'!$C$2:$C$1960,0)),"",INDEX('Compliance Database'!$D$2:$D$1960,MATCH(384,'Transfer Engine'!$C$2:$C$1960,0)))</f>
        <v/>
      </c>
      <c r="E393" s="8">
        <f>IF(ISNA(MATCH(384,'Transfer Engine'!$C$2:$C$1960,0)),"",INDEX('Compliance Database'!$E$2:$E$1960,MATCH(384,'Transfer Engine'!$C$2:$C$1960,0)))</f>
        <v/>
      </c>
      <c r="F393" s="8">
        <f>IF(ISNA(MATCH(384,'Transfer Engine'!$C$2:$C$1960,0)),"",INDEX('Compliance Database'!$F$2:$F$1960,MATCH(384,'Transfer Engine'!$C$2:$C$1960,0)))</f>
        <v/>
      </c>
      <c r="G393" s="8">
        <f>IF(ISNA(MATCH(384,'Transfer Engine'!$C$2:$C$1960,0)),"",INDEX('Compliance Database'!$G$2:$G$1960,MATCH(384,'Transfer Engine'!$C$2:$C$1960,0)))</f>
        <v/>
      </c>
      <c r="H393" s="9">
        <f>IF(ISNA(MATCH(384,'Transfer Engine'!$C$2:$C$1960,0)),"",INDEX('Compliance Database'!$H$2:$H$1960,MATCH(384,'Transfer Engine'!$C$2:$C$1960,0)))</f>
        <v/>
      </c>
      <c r="I393" s="9">
        <f>IF(ISNA(MATCH(384,'Transfer Engine'!$C$2:$C$1960,0)),"",INDEX('Compliance Database'!$I$2:$I$1960,MATCH(384,'Transfer Engine'!$C$2:$C$1960,0)))</f>
        <v/>
      </c>
      <c r="J393" s="8">
        <f>IF(ISNA(MATCH(384,'Transfer Engine'!$C$2:$C$1960,0)),"",INDEX('Compliance Database'!$J$2:$J$1960,MATCH(384,'Transfer Engine'!$C$2:$C$1960,0)))</f>
        <v/>
      </c>
      <c r="K393" s="9">
        <f>IF(ISNA(MATCH(384,'Transfer Engine'!$C$2:$C$1960,0)),"",INDEX('Compliance Database'!$K$2:$K$1960,MATCH(384,'Transfer Engine'!$C$2:$C$1960,0)))</f>
        <v/>
      </c>
      <c r="L393" s="9">
        <f>IF(ISNA(MATCH(384,'Transfer Engine'!$C$2:$C$1960,0)),"",INDEX('Compliance Database'!$L$2:$L$1960,MATCH(384,'Transfer Engine'!$C$2:$C$1960,0)))</f>
        <v/>
      </c>
      <c r="M393" s="9">
        <f>IF(ISNA(MATCH(384,'Transfer Engine'!$C$2:$C$1960,0)),"",INDEX('Compliance Database'!$M$2:$M$1960,MATCH(384,'Transfer Engine'!$C$2:$C$1960,0)))</f>
        <v/>
      </c>
      <c r="N393" s="9">
        <f>IF(ISNA(MATCH(384,'Transfer Engine'!$C$2:$C$1960,0)),"",INDEX('Compliance Database'!$N$2:$N$1960,MATCH(384,'Transfer Engine'!$C$2:$C$1960,0)))</f>
        <v/>
      </c>
      <c r="O393" s="9">
        <f>IF(ISNA(MATCH(384,'Transfer Engine'!$C$2:$C$1960,0)),"",INDEX('Compliance Database'!$O$2:$O$1960,MATCH(384,'Transfer Engine'!$C$2:$C$1960,0)))</f>
        <v/>
      </c>
      <c r="P393" s="8">
        <f>IF(ISNA(MATCH(384,'Transfer Engine'!$C$2:$C$1960,0)),"",HYPERLINK("#Acts!A"&amp;INDEX('Compliance Database'!$P$2:$P$1960,MATCH(384,'Transfer Engine'!$C$2:$C$1960,0)),"Go to Act"))</f>
        <v/>
      </c>
    </row>
    <row r="394" ht="158" customHeight="1">
      <c r="A394" s="8">
        <f>IF(ISNA(MATCH(385,'Transfer Engine'!$C$2:$C$1960,0)),"",INDEX('Compliance Database'!$A$2:$A$1960,MATCH(385,'Transfer Engine'!$C$2:$C$1960,0)))</f>
        <v/>
      </c>
      <c r="B394" s="8">
        <f>IF(ISNA(MATCH(385,'Transfer Engine'!$C$2:$C$1960,0)),"",INDEX('Compliance Database'!$B$2:$B$1960,MATCH(385,'Transfer Engine'!$C$2:$C$1960,0)))</f>
        <v/>
      </c>
      <c r="C394" s="8">
        <f>IF(ISNA(MATCH(385,'Transfer Engine'!$C$2:$C$1960,0)),"",INDEX('Compliance Database'!$C$2:$C$1960,MATCH(385,'Transfer Engine'!$C$2:$C$1960,0)))</f>
        <v/>
      </c>
      <c r="D394" s="9">
        <f>IF(ISNA(MATCH(385,'Transfer Engine'!$C$2:$C$1960,0)),"",INDEX('Compliance Database'!$D$2:$D$1960,MATCH(385,'Transfer Engine'!$C$2:$C$1960,0)))</f>
        <v/>
      </c>
      <c r="E394" s="8">
        <f>IF(ISNA(MATCH(385,'Transfer Engine'!$C$2:$C$1960,0)),"",INDEX('Compliance Database'!$E$2:$E$1960,MATCH(385,'Transfer Engine'!$C$2:$C$1960,0)))</f>
        <v/>
      </c>
      <c r="F394" s="8">
        <f>IF(ISNA(MATCH(385,'Transfer Engine'!$C$2:$C$1960,0)),"",INDEX('Compliance Database'!$F$2:$F$1960,MATCH(385,'Transfer Engine'!$C$2:$C$1960,0)))</f>
        <v/>
      </c>
      <c r="G394" s="8">
        <f>IF(ISNA(MATCH(385,'Transfer Engine'!$C$2:$C$1960,0)),"",INDEX('Compliance Database'!$G$2:$G$1960,MATCH(385,'Transfer Engine'!$C$2:$C$1960,0)))</f>
        <v/>
      </c>
      <c r="H394" s="9">
        <f>IF(ISNA(MATCH(385,'Transfer Engine'!$C$2:$C$1960,0)),"",INDEX('Compliance Database'!$H$2:$H$1960,MATCH(385,'Transfer Engine'!$C$2:$C$1960,0)))</f>
        <v/>
      </c>
      <c r="I394" s="9">
        <f>IF(ISNA(MATCH(385,'Transfer Engine'!$C$2:$C$1960,0)),"",INDEX('Compliance Database'!$I$2:$I$1960,MATCH(385,'Transfer Engine'!$C$2:$C$1960,0)))</f>
        <v/>
      </c>
      <c r="J394" s="8">
        <f>IF(ISNA(MATCH(385,'Transfer Engine'!$C$2:$C$1960,0)),"",INDEX('Compliance Database'!$J$2:$J$1960,MATCH(385,'Transfer Engine'!$C$2:$C$1960,0)))</f>
        <v/>
      </c>
      <c r="K394" s="9">
        <f>IF(ISNA(MATCH(385,'Transfer Engine'!$C$2:$C$1960,0)),"",INDEX('Compliance Database'!$K$2:$K$1960,MATCH(385,'Transfer Engine'!$C$2:$C$1960,0)))</f>
        <v/>
      </c>
      <c r="L394" s="9">
        <f>IF(ISNA(MATCH(385,'Transfer Engine'!$C$2:$C$1960,0)),"",INDEX('Compliance Database'!$L$2:$L$1960,MATCH(385,'Transfer Engine'!$C$2:$C$1960,0)))</f>
        <v/>
      </c>
      <c r="M394" s="9">
        <f>IF(ISNA(MATCH(385,'Transfer Engine'!$C$2:$C$1960,0)),"",INDEX('Compliance Database'!$M$2:$M$1960,MATCH(385,'Transfer Engine'!$C$2:$C$1960,0)))</f>
        <v/>
      </c>
      <c r="N394" s="9">
        <f>IF(ISNA(MATCH(385,'Transfer Engine'!$C$2:$C$1960,0)),"",INDEX('Compliance Database'!$N$2:$N$1960,MATCH(385,'Transfer Engine'!$C$2:$C$1960,0)))</f>
        <v/>
      </c>
      <c r="O394" s="9">
        <f>IF(ISNA(MATCH(385,'Transfer Engine'!$C$2:$C$1960,0)),"",INDEX('Compliance Database'!$O$2:$O$1960,MATCH(385,'Transfer Engine'!$C$2:$C$1960,0)))</f>
        <v/>
      </c>
      <c r="P394" s="8">
        <f>IF(ISNA(MATCH(385,'Transfer Engine'!$C$2:$C$1960,0)),"",HYPERLINK("#Acts!A"&amp;INDEX('Compliance Database'!$P$2:$P$1960,MATCH(385,'Transfer Engine'!$C$2:$C$1960,0)),"Go to Act"))</f>
        <v/>
      </c>
    </row>
    <row r="395" ht="158" customHeight="1">
      <c r="A395" s="8">
        <f>IF(ISNA(MATCH(386,'Transfer Engine'!$C$2:$C$1960,0)),"",INDEX('Compliance Database'!$A$2:$A$1960,MATCH(386,'Transfer Engine'!$C$2:$C$1960,0)))</f>
        <v/>
      </c>
      <c r="B395" s="8">
        <f>IF(ISNA(MATCH(386,'Transfer Engine'!$C$2:$C$1960,0)),"",INDEX('Compliance Database'!$B$2:$B$1960,MATCH(386,'Transfer Engine'!$C$2:$C$1960,0)))</f>
        <v/>
      </c>
      <c r="C395" s="8">
        <f>IF(ISNA(MATCH(386,'Transfer Engine'!$C$2:$C$1960,0)),"",INDEX('Compliance Database'!$C$2:$C$1960,MATCH(386,'Transfer Engine'!$C$2:$C$1960,0)))</f>
        <v/>
      </c>
      <c r="D395" s="9">
        <f>IF(ISNA(MATCH(386,'Transfer Engine'!$C$2:$C$1960,0)),"",INDEX('Compliance Database'!$D$2:$D$1960,MATCH(386,'Transfer Engine'!$C$2:$C$1960,0)))</f>
        <v/>
      </c>
      <c r="E395" s="8">
        <f>IF(ISNA(MATCH(386,'Transfer Engine'!$C$2:$C$1960,0)),"",INDEX('Compliance Database'!$E$2:$E$1960,MATCH(386,'Transfer Engine'!$C$2:$C$1960,0)))</f>
        <v/>
      </c>
      <c r="F395" s="8">
        <f>IF(ISNA(MATCH(386,'Transfer Engine'!$C$2:$C$1960,0)),"",INDEX('Compliance Database'!$F$2:$F$1960,MATCH(386,'Transfer Engine'!$C$2:$C$1960,0)))</f>
        <v/>
      </c>
      <c r="G395" s="8">
        <f>IF(ISNA(MATCH(386,'Transfer Engine'!$C$2:$C$1960,0)),"",INDEX('Compliance Database'!$G$2:$G$1960,MATCH(386,'Transfer Engine'!$C$2:$C$1960,0)))</f>
        <v/>
      </c>
      <c r="H395" s="9">
        <f>IF(ISNA(MATCH(386,'Transfer Engine'!$C$2:$C$1960,0)),"",INDEX('Compliance Database'!$H$2:$H$1960,MATCH(386,'Transfer Engine'!$C$2:$C$1960,0)))</f>
        <v/>
      </c>
      <c r="I395" s="9">
        <f>IF(ISNA(MATCH(386,'Transfer Engine'!$C$2:$C$1960,0)),"",INDEX('Compliance Database'!$I$2:$I$1960,MATCH(386,'Transfer Engine'!$C$2:$C$1960,0)))</f>
        <v/>
      </c>
      <c r="J395" s="8">
        <f>IF(ISNA(MATCH(386,'Transfer Engine'!$C$2:$C$1960,0)),"",INDEX('Compliance Database'!$J$2:$J$1960,MATCH(386,'Transfer Engine'!$C$2:$C$1960,0)))</f>
        <v/>
      </c>
      <c r="K395" s="9">
        <f>IF(ISNA(MATCH(386,'Transfer Engine'!$C$2:$C$1960,0)),"",INDEX('Compliance Database'!$K$2:$K$1960,MATCH(386,'Transfer Engine'!$C$2:$C$1960,0)))</f>
        <v/>
      </c>
      <c r="L395" s="9">
        <f>IF(ISNA(MATCH(386,'Transfer Engine'!$C$2:$C$1960,0)),"",INDEX('Compliance Database'!$L$2:$L$1960,MATCH(386,'Transfer Engine'!$C$2:$C$1960,0)))</f>
        <v/>
      </c>
      <c r="M395" s="9">
        <f>IF(ISNA(MATCH(386,'Transfer Engine'!$C$2:$C$1960,0)),"",INDEX('Compliance Database'!$M$2:$M$1960,MATCH(386,'Transfer Engine'!$C$2:$C$1960,0)))</f>
        <v/>
      </c>
      <c r="N395" s="9">
        <f>IF(ISNA(MATCH(386,'Transfer Engine'!$C$2:$C$1960,0)),"",INDEX('Compliance Database'!$N$2:$N$1960,MATCH(386,'Transfer Engine'!$C$2:$C$1960,0)))</f>
        <v/>
      </c>
      <c r="O395" s="9">
        <f>IF(ISNA(MATCH(386,'Transfer Engine'!$C$2:$C$1960,0)),"",INDEX('Compliance Database'!$O$2:$O$1960,MATCH(386,'Transfer Engine'!$C$2:$C$1960,0)))</f>
        <v/>
      </c>
      <c r="P395" s="8">
        <f>IF(ISNA(MATCH(386,'Transfer Engine'!$C$2:$C$1960,0)),"",HYPERLINK("#Acts!A"&amp;INDEX('Compliance Database'!$P$2:$P$1960,MATCH(386,'Transfer Engine'!$C$2:$C$1960,0)),"Go to Act"))</f>
        <v/>
      </c>
    </row>
    <row r="396" ht="158" customHeight="1">
      <c r="A396" s="8">
        <f>IF(ISNA(MATCH(387,'Transfer Engine'!$C$2:$C$1960,0)),"",INDEX('Compliance Database'!$A$2:$A$1960,MATCH(387,'Transfer Engine'!$C$2:$C$1960,0)))</f>
        <v/>
      </c>
      <c r="B396" s="8">
        <f>IF(ISNA(MATCH(387,'Transfer Engine'!$C$2:$C$1960,0)),"",INDEX('Compliance Database'!$B$2:$B$1960,MATCH(387,'Transfer Engine'!$C$2:$C$1960,0)))</f>
        <v/>
      </c>
      <c r="C396" s="8">
        <f>IF(ISNA(MATCH(387,'Transfer Engine'!$C$2:$C$1960,0)),"",INDEX('Compliance Database'!$C$2:$C$1960,MATCH(387,'Transfer Engine'!$C$2:$C$1960,0)))</f>
        <v/>
      </c>
      <c r="D396" s="9">
        <f>IF(ISNA(MATCH(387,'Transfer Engine'!$C$2:$C$1960,0)),"",INDEX('Compliance Database'!$D$2:$D$1960,MATCH(387,'Transfer Engine'!$C$2:$C$1960,0)))</f>
        <v/>
      </c>
      <c r="E396" s="8">
        <f>IF(ISNA(MATCH(387,'Transfer Engine'!$C$2:$C$1960,0)),"",INDEX('Compliance Database'!$E$2:$E$1960,MATCH(387,'Transfer Engine'!$C$2:$C$1960,0)))</f>
        <v/>
      </c>
      <c r="F396" s="8">
        <f>IF(ISNA(MATCH(387,'Transfer Engine'!$C$2:$C$1960,0)),"",INDEX('Compliance Database'!$F$2:$F$1960,MATCH(387,'Transfer Engine'!$C$2:$C$1960,0)))</f>
        <v/>
      </c>
      <c r="G396" s="8">
        <f>IF(ISNA(MATCH(387,'Transfer Engine'!$C$2:$C$1960,0)),"",INDEX('Compliance Database'!$G$2:$G$1960,MATCH(387,'Transfer Engine'!$C$2:$C$1960,0)))</f>
        <v/>
      </c>
      <c r="H396" s="9">
        <f>IF(ISNA(MATCH(387,'Transfer Engine'!$C$2:$C$1960,0)),"",INDEX('Compliance Database'!$H$2:$H$1960,MATCH(387,'Transfer Engine'!$C$2:$C$1960,0)))</f>
        <v/>
      </c>
      <c r="I396" s="9">
        <f>IF(ISNA(MATCH(387,'Transfer Engine'!$C$2:$C$1960,0)),"",INDEX('Compliance Database'!$I$2:$I$1960,MATCH(387,'Transfer Engine'!$C$2:$C$1960,0)))</f>
        <v/>
      </c>
      <c r="J396" s="8">
        <f>IF(ISNA(MATCH(387,'Transfer Engine'!$C$2:$C$1960,0)),"",INDEX('Compliance Database'!$J$2:$J$1960,MATCH(387,'Transfer Engine'!$C$2:$C$1960,0)))</f>
        <v/>
      </c>
      <c r="K396" s="9">
        <f>IF(ISNA(MATCH(387,'Transfer Engine'!$C$2:$C$1960,0)),"",INDEX('Compliance Database'!$K$2:$K$1960,MATCH(387,'Transfer Engine'!$C$2:$C$1960,0)))</f>
        <v/>
      </c>
      <c r="L396" s="9">
        <f>IF(ISNA(MATCH(387,'Transfer Engine'!$C$2:$C$1960,0)),"",INDEX('Compliance Database'!$L$2:$L$1960,MATCH(387,'Transfer Engine'!$C$2:$C$1960,0)))</f>
        <v/>
      </c>
      <c r="M396" s="9">
        <f>IF(ISNA(MATCH(387,'Transfer Engine'!$C$2:$C$1960,0)),"",INDEX('Compliance Database'!$M$2:$M$1960,MATCH(387,'Transfer Engine'!$C$2:$C$1960,0)))</f>
        <v/>
      </c>
      <c r="N396" s="9">
        <f>IF(ISNA(MATCH(387,'Transfer Engine'!$C$2:$C$1960,0)),"",INDEX('Compliance Database'!$N$2:$N$1960,MATCH(387,'Transfer Engine'!$C$2:$C$1960,0)))</f>
        <v/>
      </c>
      <c r="O396" s="9">
        <f>IF(ISNA(MATCH(387,'Transfer Engine'!$C$2:$C$1960,0)),"",INDEX('Compliance Database'!$O$2:$O$1960,MATCH(387,'Transfer Engine'!$C$2:$C$1960,0)))</f>
        <v/>
      </c>
      <c r="P396" s="8">
        <f>IF(ISNA(MATCH(387,'Transfer Engine'!$C$2:$C$1960,0)),"",HYPERLINK("#Acts!A"&amp;INDEX('Compliance Database'!$P$2:$P$1960,MATCH(387,'Transfer Engine'!$C$2:$C$1960,0)),"Go to Act"))</f>
        <v/>
      </c>
    </row>
    <row r="397" ht="158" customHeight="1">
      <c r="A397" s="8">
        <f>IF(ISNA(MATCH(388,'Transfer Engine'!$C$2:$C$1960,0)),"",INDEX('Compliance Database'!$A$2:$A$1960,MATCH(388,'Transfer Engine'!$C$2:$C$1960,0)))</f>
        <v/>
      </c>
      <c r="B397" s="8">
        <f>IF(ISNA(MATCH(388,'Transfer Engine'!$C$2:$C$1960,0)),"",INDEX('Compliance Database'!$B$2:$B$1960,MATCH(388,'Transfer Engine'!$C$2:$C$1960,0)))</f>
        <v/>
      </c>
      <c r="C397" s="8">
        <f>IF(ISNA(MATCH(388,'Transfer Engine'!$C$2:$C$1960,0)),"",INDEX('Compliance Database'!$C$2:$C$1960,MATCH(388,'Transfer Engine'!$C$2:$C$1960,0)))</f>
        <v/>
      </c>
      <c r="D397" s="9">
        <f>IF(ISNA(MATCH(388,'Transfer Engine'!$C$2:$C$1960,0)),"",INDEX('Compliance Database'!$D$2:$D$1960,MATCH(388,'Transfer Engine'!$C$2:$C$1960,0)))</f>
        <v/>
      </c>
      <c r="E397" s="8">
        <f>IF(ISNA(MATCH(388,'Transfer Engine'!$C$2:$C$1960,0)),"",INDEX('Compliance Database'!$E$2:$E$1960,MATCH(388,'Transfer Engine'!$C$2:$C$1960,0)))</f>
        <v/>
      </c>
      <c r="F397" s="8">
        <f>IF(ISNA(MATCH(388,'Transfer Engine'!$C$2:$C$1960,0)),"",INDEX('Compliance Database'!$F$2:$F$1960,MATCH(388,'Transfer Engine'!$C$2:$C$1960,0)))</f>
        <v/>
      </c>
      <c r="G397" s="8">
        <f>IF(ISNA(MATCH(388,'Transfer Engine'!$C$2:$C$1960,0)),"",INDEX('Compliance Database'!$G$2:$G$1960,MATCH(388,'Transfer Engine'!$C$2:$C$1960,0)))</f>
        <v/>
      </c>
      <c r="H397" s="9">
        <f>IF(ISNA(MATCH(388,'Transfer Engine'!$C$2:$C$1960,0)),"",INDEX('Compliance Database'!$H$2:$H$1960,MATCH(388,'Transfer Engine'!$C$2:$C$1960,0)))</f>
        <v/>
      </c>
      <c r="I397" s="9">
        <f>IF(ISNA(MATCH(388,'Transfer Engine'!$C$2:$C$1960,0)),"",INDEX('Compliance Database'!$I$2:$I$1960,MATCH(388,'Transfer Engine'!$C$2:$C$1960,0)))</f>
        <v/>
      </c>
      <c r="J397" s="8">
        <f>IF(ISNA(MATCH(388,'Transfer Engine'!$C$2:$C$1960,0)),"",INDEX('Compliance Database'!$J$2:$J$1960,MATCH(388,'Transfer Engine'!$C$2:$C$1960,0)))</f>
        <v/>
      </c>
      <c r="K397" s="9">
        <f>IF(ISNA(MATCH(388,'Transfer Engine'!$C$2:$C$1960,0)),"",INDEX('Compliance Database'!$K$2:$K$1960,MATCH(388,'Transfer Engine'!$C$2:$C$1960,0)))</f>
        <v/>
      </c>
      <c r="L397" s="9">
        <f>IF(ISNA(MATCH(388,'Transfer Engine'!$C$2:$C$1960,0)),"",INDEX('Compliance Database'!$L$2:$L$1960,MATCH(388,'Transfer Engine'!$C$2:$C$1960,0)))</f>
        <v/>
      </c>
      <c r="M397" s="9">
        <f>IF(ISNA(MATCH(388,'Transfer Engine'!$C$2:$C$1960,0)),"",INDEX('Compliance Database'!$M$2:$M$1960,MATCH(388,'Transfer Engine'!$C$2:$C$1960,0)))</f>
        <v/>
      </c>
      <c r="N397" s="9">
        <f>IF(ISNA(MATCH(388,'Transfer Engine'!$C$2:$C$1960,0)),"",INDEX('Compliance Database'!$N$2:$N$1960,MATCH(388,'Transfer Engine'!$C$2:$C$1960,0)))</f>
        <v/>
      </c>
      <c r="O397" s="9">
        <f>IF(ISNA(MATCH(388,'Transfer Engine'!$C$2:$C$1960,0)),"",INDEX('Compliance Database'!$O$2:$O$1960,MATCH(388,'Transfer Engine'!$C$2:$C$1960,0)))</f>
        <v/>
      </c>
      <c r="P397" s="8">
        <f>IF(ISNA(MATCH(388,'Transfer Engine'!$C$2:$C$1960,0)),"",HYPERLINK("#Acts!A"&amp;INDEX('Compliance Database'!$P$2:$P$1960,MATCH(388,'Transfer Engine'!$C$2:$C$1960,0)),"Go to Act"))</f>
        <v/>
      </c>
    </row>
    <row r="398" ht="158" customHeight="1">
      <c r="A398" s="8">
        <f>IF(ISNA(MATCH(389,'Transfer Engine'!$C$2:$C$1960,0)),"",INDEX('Compliance Database'!$A$2:$A$1960,MATCH(389,'Transfer Engine'!$C$2:$C$1960,0)))</f>
        <v/>
      </c>
      <c r="B398" s="8">
        <f>IF(ISNA(MATCH(389,'Transfer Engine'!$C$2:$C$1960,0)),"",INDEX('Compliance Database'!$B$2:$B$1960,MATCH(389,'Transfer Engine'!$C$2:$C$1960,0)))</f>
        <v/>
      </c>
      <c r="C398" s="8">
        <f>IF(ISNA(MATCH(389,'Transfer Engine'!$C$2:$C$1960,0)),"",INDEX('Compliance Database'!$C$2:$C$1960,MATCH(389,'Transfer Engine'!$C$2:$C$1960,0)))</f>
        <v/>
      </c>
      <c r="D398" s="9">
        <f>IF(ISNA(MATCH(389,'Transfer Engine'!$C$2:$C$1960,0)),"",INDEX('Compliance Database'!$D$2:$D$1960,MATCH(389,'Transfer Engine'!$C$2:$C$1960,0)))</f>
        <v/>
      </c>
      <c r="E398" s="8">
        <f>IF(ISNA(MATCH(389,'Transfer Engine'!$C$2:$C$1960,0)),"",INDEX('Compliance Database'!$E$2:$E$1960,MATCH(389,'Transfer Engine'!$C$2:$C$1960,0)))</f>
        <v/>
      </c>
      <c r="F398" s="8">
        <f>IF(ISNA(MATCH(389,'Transfer Engine'!$C$2:$C$1960,0)),"",INDEX('Compliance Database'!$F$2:$F$1960,MATCH(389,'Transfer Engine'!$C$2:$C$1960,0)))</f>
        <v/>
      </c>
      <c r="G398" s="8">
        <f>IF(ISNA(MATCH(389,'Transfer Engine'!$C$2:$C$1960,0)),"",INDEX('Compliance Database'!$G$2:$G$1960,MATCH(389,'Transfer Engine'!$C$2:$C$1960,0)))</f>
        <v/>
      </c>
      <c r="H398" s="9">
        <f>IF(ISNA(MATCH(389,'Transfer Engine'!$C$2:$C$1960,0)),"",INDEX('Compliance Database'!$H$2:$H$1960,MATCH(389,'Transfer Engine'!$C$2:$C$1960,0)))</f>
        <v/>
      </c>
      <c r="I398" s="9">
        <f>IF(ISNA(MATCH(389,'Transfer Engine'!$C$2:$C$1960,0)),"",INDEX('Compliance Database'!$I$2:$I$1960,MATCH(389,'Transfer Engine'!$C$2:$C$1960,0)))</f>
        <v/>
      </c>
      <c r="J398" s="8">
        <f>IF(ISNA(MATCH(389,'Transfer Engine'!$C$2:$C$1960,0)),"",INDEX('Compliance Database'!$J$2:$J$1960,MATCH(389,'Transfer Engine'!$C$2:$C$1960,0)))</f>
        <v/>
      </c>
      <c r="K398" s="9">
        <f>IF(ISNA(MATCH(389,'Transfer Engine'!$C$2:$C$1960,0)),"",INDEX('Compliance Database'!$K$2:$K$1960,MATCH(389,'Transfer Engine'!$C$2:$C$1960,0)))</f>
        <v/>
      </c>
      <c r="L398" s="9">
        <f>IF(ISNA(MATCH(389,'Transfer Engine'!$C$2:$C$1960,0)),"",INDEX('Compliance Database'!$L$2:$L$1960,MATCH(389,'Transfer Engine'!$C$2:$C$1960,0)))</f>
        <v/>
      </c>
      <c r="M398" s="9">
        <f>IF(ISNA(MATCH(389,'Transfer Engine'!$C$2:$C$1960,0)),"",INDEX('Compliance Database'!$M$2:$M$1960,MATCH(389,'Transfer Engine'!$C$2:$C$1960,0)))</f>
        <v/>
      </c>
      <c r="N398" s="9">
        <f>IF(ISNA(MATCH(389,'Transfer Engine'!$C$2:$C$1960,0)),"",INDEX('Compliance Database'!$N$2:$N$1960,MATCH(389,'Transfer Engine'!$C$2:$C$1960,0)))</f>
        <v/>
      </c>
      <c r="O398" s="9">
        <f>IF(ISNA(MATCH(389,'Transfer Engine'!$C$2:$C$1960,0)),"",INDEX('Compliance Database'!$O$2:$O$1960,MATCH(389,'Transfer Engine'!$C$2:$C$1960,0)))</f>
        <v/>
      </c>
      <c r="P398" s="8">
        <f>IF(ISNA(MATCH(389,'Transfer Engine'!$C$2:$C$1960,0)),"",HYPERLINK("#Acts!A"&amp;INDEX('Compliance Database'!$P$2:$P$1960,MATCH(389,'Transfer Engine'!$C$2:$C$1960,0)),"Go to Act"))</f>
        <v/>
      </c>
    </row>
    <row r="399" ht="158" customHeight="1">
      <c r="A399" s="8">
        <f>IF(ISNA(MATCH(390,'Transfer Engine'!$C$2:$C$1960,0)),"",INDEX('Compliance Database'!$A$2:$A$1960,MATCH(390,'Transfer Engine'!$C$2:$C$1960,0)))</f>
        <v/>
      </c>
      <c r="B399" s="8">
        <f>IF(ISNA(MATCH(390,'Transfer Engine'!$C$2:$C$1960,0)),"",INDEX('Compliance Database'!$B$2:$B$1960,MATCH(390,'Transfer Engine'!$C$2:$C$1960,0)))</f>
        <v/>
      </c>
      <c r="C399" s="8">
        <f>IF(ISNA(MATCH(390,'Transfer Engine'!$C$2:$C$1960,0)),"",INDEX('Compliance Database'!$C$2:$C$1960,MATCH(390,'Transfer Engine'!$C$2:$C$1960,0)))</f>
        <v/>
      </c>
      <c r="D399" s="9">
        <f>IF(ISNA(MATCH(390,'Transfer Engine'!$C$2:$C$1960,0)),"",INDEX('Compliance Database'!$D$2:$D$1960,MATCH(390,'Transfer Engine'!$C$2:$C$1960,0)))</f>
        <v/>
      </c>
      <c r="E399" s="8">
        <f>IF(ISNA(MATCH(390,'Transfer Engine'!$C$2:$C$1960,0)),"",INDEX('Compliance Database'!$E$2:$E$1960,MATCH(390,'Transfer Engine'!$C$2:$C$1960,0)))</f>
        <v/>
      </c>
      <c r="F399" s="8">
        <f>IF(ISNA(MATCH(390,'Transfer Engine'!$C$2:$C$1960,0)),"",INDEX('Compliance Database'!$F$2:$F$1960,MATCH(390,'Transfer Engine'!$C$2:$C$1960,0)))</f>
        <v/>
      </c>
      <c r="G399" s="8">
        <f>IF(ISNA(MATCH(390,'Transfer Engine'!$C$2:$C$1960,0)),"",INDEX('Compliance Database'!$G$2:$G$1960,MATCH(390,'Transfer Engine'!$C$2:$C$1960,0)))</f>
        <v/>
      </c>
      <c r="H399" s="9">
        <f>IF(ISNA(MATCH(390,'Transfer Engine'!$C$2:$C$1960,0)),"",INDEX('Compliance Database'!$H$2:$H$1960,MATCH(390,'Transfer Engine'!$C$2:$C$1960,0)))</f>
        <v/>
      </c>
      <c r="I399" s="9">
        <f>IF(ISNA(MATCH(390,'Transfer Engine'!$C$2:$C$1960,0)),"",INDEX('Compliance Database'!$I$2:$I$1960,MATCH(390,'Transfer Engine'!$C$2:$C$1960,0)))</f>
        <v/>
      </c>
      <c r="J399" s="8">
        <f>IF(ISNA(MATCH(390,'Transfer Engine'!$C$2:$C$1960,0)),"",INDEX('Compliance Database'!$J$2:$J$1960,MATCH(390,'Transfer Engine'!$C$2:$C$1960,0)))</f>
        <v/>
      </c>
      <c r="K399" s="9">
        <f>IF(ISNA(MATCH(390,'Transfer Engine'!$C$2:$C$1960,0)),"",INDEX('Compliance Database'!$K$2:$K$1960,MATCH(390,'Transfer Engine'!$C$2:$C$1960,0)))</f>
        <v/>
      </c>
      <c r="L399" s="9">
        <f>IF(ISNA(MATCH(390,'Transfer Engine'!$C$2:$C$1960,0)),"",INDEX('Compliance Database'!$L$2:$L$1960,MATCH(390,'Transfer Engine'!$C$2:$C$1960,0)))</f>
        <v/>
      </c>
      <c r="M399" s="9">
        <f>IF(ISNA(MATCH(390,'Transfer Engine'!$C$2:$C$1960,0)),"",INDEX('Compliance Database'!$M$2:$M$1960,MATCH(390,'Transfer Engine'!$C$2:$C$1960,0)))</f>
        <v/>
      </c>
      <c r="N399" s="9">
        <f>IF(ISNA(MATCH(390,'Transfer Engine'!$C$2:$C$1960,0)),"",INDEX('Compliance Database'!$N$2:$N$1960,MATCH(390,'Transfer Engine'!$C$2:$C$1960,0)))</f>
        <v/>
      </c>
      <c r="O399" s="9">
        <f>IF(ISNA(MATCH(390,'Transfer Engine'!$C$2:$C$1960,0)),"",INDEX('Compliance Database'!$O$2:$O$1960,MATCH(390,'Transfer Engine'!$C$2:$C$1960,0)))</f>
        <v/>
      </c>
      <c r="P399" s="8">
        <f>IF(ISNA(MATCH(390,'Transfer Engine'!$C$2:$C$1960,0)),"",HYPERLINK("#Acts!A"&amp;INDEX('Compliance Database'!$P$2:$P$1960,MATCH(390,'Transfer Engine'!$C$2:$C$1960,0)),"Go to Act"))</f>
        <v/>
      </c>
    </row>
    <row r="400" ht="158" customHeight="1">
      <c r="A400" s="8">
        <f>IF(ISNA(MATCH(391,'Transfer Engine'!$C$2:$C$1960,0)),"",INDEX('Compliance Database'!$A$2:$A$1960,MATCH(391,'Transfer Engine'!$C$2:$C$1960,0)))</f>
        <v/>
      </c>
      <c r="B400" s="8">
        <f>IF(ISNA(MATCH(391,'Transfer Engine'!$C$2:$C$1960,0)),"",INDEX('Compliance Database'!$B$2:$B$1960,MATCH(391,'Transfer Engine'!$C$2:$C$1960,0)))</f>
        <v/>
      </c>
      <c r="C400" s="8">
        <f>IF(ISNA(MATCH(391,'Transfer Engine'!$C$2:$C$1960,0)),"",INDEX('Compliance Database'!$C$2:$C$1960,MATCH(391,'Transfer Engine'!$C$2:$C$1960,0)))</f>
        <v/>
      </c>
      <c r="D400" s="9">
        <f>IF(ISNA(MATCH(391,'Transfer Engine'!$C$2:$C$1960,0)),"",INDEX('Compliance Database'!$D$2:$D$1960,MATCH(391,'Transfer Engine'!$C$2:$C$1960,0)))</f>
        <v/>
      </c>
      <c r="E400" s="8">
        <f>IF(ISNA(MATCH(391,'Transfer Engine'!$C$2:$C$1960,0)),"",INDEX('Compliance Database'!$E$2:$E$1960,MATCH(391,'Transfer Engine'!$C$2:$C$1960,0)))</f>
        <v/>
      </c>
      <c r="F400" s="8">
        <f>IF(ISNA(MATCH(391,'Transfer Engine'!$C$2:$C$1960,0)),"",INDEX('Compliance Database'!$F$2:$F$1960,MATCH(391,'Transfer Engine'!$C$2:$C$1960,0)))</f>
        <v/>
      </c>
      <c r="G400" s="8">
        <f>IF(ISNA(MATCH(391,'Transfer Engine'!$C$2:$C$1960,0)),"",INDEX('Compliance Database'!$G$2:$G$1960,MATCH(391,'Transfer Engine'!$C$2:$C$1960,0)))</f>
        <v/>
      </c>
      <c r="H400" s="9">
        <f>IF(ISNA(MATCH(391,'Transfer Engine'!$C$2:$C$1960,0)),"",INDEX('Compliance Database'!$H$2:$H$1960,MATCH(391,'Transfer Engine'!$C$2:$C$1960,0)))</f>
        <v/>
      </c>
      <c r="I400" s="9">
        <f>IF(ISNA(MATCH(391,'Transfer Engine'!$C$2:$C$1960,0)),"",INDEX('Compliance Database'!$I$2:$I$1960,MATCH(391,'Transfer Engine'!$C$2:$C$1960,0)))</f>
        <v/>
      </c>
      <c r="J400" s="8">
        <f>IF(ISNA(MATCH(391,'Transfer Engine'!$C$2:$C$1960,0)),"",INDEX('Compliance Database'!$J$2:$J$1960,MATCH(391,'Transfer Engine'!$C$2:$C$1960,0)))</f>
        <v/>
      </c>
      <c r="K400" s="9">
        <f>IF(ISNA(MATCH(391,'Transfer Engine'!$C$2:$C$1960,0)),"",INDEX('Compliance Database'!$K$2:$K$1960,MATCH(391,'Transfer Engine'!$C$2:$C$1960,0)))</f>
        <v/>
      </c>
      <c r="L400" s="9">
        <f>IF(ISNA(MATCH(391,'Transfer Engine'!$C$2:$C$1960,0)),"",INDEX('Compliance Database'!$L$2:$L$1960,MATCH(391,'Transfer Engine'!$C$2:$C$1960,0)))</f>
        <v/>
      </c>
      <c r="M400" s="9">
        <f>IF(ISNA(MATCH(391,'Transfer Engine'!$C$2:$C$1960,0)),"",INDEX('Compliance Database'!$M$2:$M$1960,MATCH(391,'Transfer Engine'!$C$2:$C$1960,0)))</f>
        <v/>
      </c>
      <c r="N400" s="9">
        <f>IF(ISNA(MATCH(391,'Transfer Engine'!$C$2:$C$1960,0)),"",INDEX('Compliance Database'!$N$2:$N$1960,MATCH(391,'Transfer Engine'!$C$2:$C$1960,0)))</f>
        <v/>
      </c>
      <c r="O400" s="9">
        <f>IF(ISNA(MATCH(391,'Transfer Engine'!$C$2:$C$1960,0)),"",INDEX('Compliance Database'!$O$2:$O$1960,MATCH(391,'Transfer Engine'!$C$2:$C$1960,0)))</f>
        <v/>
      </c>
      <c r="P400" s="8">
        <f>IF(ISNA(MATCH(391,'Transfer Engine'!$C$2:$C$1960,0)),"",HYPERLINK("#Acts!A"&amp;INDEX('Compliance Database'!$P$2:$P$1960,MATCH(391,'Transfer Engine'!$C$2:$C$1960,0)),"Go to Act"))</f>
        <v/>
      </c>
    </row>
    <row r="401" ht="158" customHeight="1">
      <c r="A401" s="8">
        <f>IF(ISNA(MATCH(392,'Transfer Engine'!$C$2:$C$1960,0)),"",INDEX('Compliance Database'!$A$2:$A$1960,MATCH(392,'Transfer Engine'!$C$2:$C$1960,0)))</f>
        <v/>
      </c>
      <c r="B401" s="8">
        <f>IF(ISNA(MATCH(392,'Transfer Engine'!$C$2:$C$1960,0)),"",INDEX('Compliance Database'!$B$2:$B$1960,MATCH(392,'Transfer Engine'!$C$2:$C$1960,0)))</f>
        <v/>
      </c>
      <c r="C401" s="8">
        <f>IF(ISNA(MATCH(392,'Transfer Engine'!$C$2:$C$1960,0)),"",INDEX('Compliance Database'!$C$2:$C$1960,MATCH(392,'Transfer Engine'!$C$2:$C$1960,0)))</f>
        <v/>
      </c>
      <c r="D401" s="9">
        <f>IF(ISNA(MATCH(392,'Transfer Engine'!$C$2:$C$1960,0)),"",INDEX('Compliance Database'!$D$2:$D$1960,MATCH(392,'Transfer Engine'!$C$2:$C$1960,0)))</f>
        <v/>
      </c>
      <c r="E401" s="8">
        <f>IF(ISNA(MATCH(392,'Transfer Engine'!$C$2:$C$1960,0)),"",INDEX('Compliance Database'!$E$2:$E$1960,MATCH(392,'Transfer Engine'!$C$2:$C$1960,0)))</f>
        <v/>
      </c>
      <c r="F401" s="8">
        <f>IF(ISNA(MATCH(392,'Transfer Engine'!$C$2:$C$1960,0)),"",INDEX('Compliance Database'!$F$2:$F$1960,MATCH(392,'Transfer Engine'!$C$2:$C$1960,0)))</f>
        <v/>
      </c>
      <c r="G401" s="8">
        <f>IF(ISNA(MATCH(392,'Transfer Engine'!$C$2:$C$1960,0)),"",INDEX('Compliance Database'!$G$2:$G$1960,MATCH(392,'Transfer Engine'!$C$2:$C$1960,0)))</f>
        <v/>
      </c>
      <c r="H401" s="9">
        <f>IF(ISNA(MATCH(392,'Transfer Engine'!$C$2:$C$1960,0)),"",INDEX('Compliance Database'!$H$2:$H$1960,MATCH(392,'Transfer Engine'!$C$2:$C$1960,0)))</f>
        <v/>
      </c>
      <c r="I401" s="9">
        <f>IF(ISNA(MATCH(392,'Transfer Engine'!$C$2:$C$1960,0)),"",INDEX('Compliance Database'!$I$2:$I$1960,MATCH(392,'Transfer Engine'!$C$2:$C$1960,0)))</f>
        <v/>
      </c>
      <c r="J401" s="8">
        <f>IF(ISNA(MATCH(392,'Transfer Engine'!$C$2:$C$1960,0)),"",INDEX('Compliance Database'!$J$2:$J$1960,MATCH(392,'Transfer Engine'!$C$2:$C$1960,0)))</f>
        <v/>
      </c>
      <c r="K401" s="9">
        <f>IF(ISNA(MATCH(392,'Transfer Engine'!$C$2:$C$1960,0)),"",INDEX('Compliance Database'!$K$2:$K$1960,MATCH(392,'Transfer Engine'!$C$2:$C$1960,0)))</f>
        <v/>
      </c>
      <c r="L401" s="9">
        <f>IF(ISNA(MATCH(392,'Transfer Engine'!$C$2:$C$1960,0)),"",INDEX('Compliance Database'!$L$2:$L$1960,MATCH(392,'Transfer Engine'!$C$2:$C$1960,0)))</f>
        <v/>
      </c>
      <c r="M401" s="9">
        <f>IF(ISNA(MATCH(392,'Transfer Engine'!$C$2:$C$1960,0)),"",INDEX('Compliance Database'!$M$2:$M$1960,MATCH(392,'Transfer Engine'!$C$2:$C$1960,0)))</f>
        <v/>
      </c>
      <c r="N401" s="9">
        <f>IF(ISNA(MATCH(392,'Transfer Engine'!$C$2:$C$1960,0)),"",INDEX('Compliance Database'!$N$2:$N$1960,MATCH(392,'Transfer Engine'!$C$2:$C$1960,0)))</f>
        <v/>
      </c>
      <c r="O401" s="9">
        <f>IF(ISNA(MATCH(392,'Transfer Engine'!$C$2:$C$1960,0)),"",INDEX('Compliance Database'!$O$2:$O$1960,MATCH(392,'Transfer Engine'!$C$2:$C$1960,0)))</f>
        <v/>
      </c>
      <c r="P401" s="8">
        <f>IF(ISNA(MATCH(392,'Transfer Engine'!$C$2:$C$1960,0)),"",HYPERLINK("#Acts!A"&amp;INDEX('Compliance Database'!$P$2:$P$1960,MATCH(392,'Transfer Engine'!$C$2:$C$1960,0)),"Go to Act"))</f>
        <v/>
      </c>
    </row>
    <row r="402" ht="158" customHeight="1">
      <c r="A402" s="8">
        <f>IF(ISNA(MATCH(393,'Transfer Engine'!$C$2:$C$1960,0)),"",INDEX('Compliance Database'!$A$2:$A$1960,MATCH(393,'Transfer Engine'!$C$2:$C$1960,0)))</f>
        <v/>
      </c>
      <c r="B402" s="8">
        <f>IF(ISNA(MATCH(393,'Transfer Engine'!$C$2:$C$1960,0)),"",INDEX('Compliance Database'!$B$2:$B$1960,MATCH(393,'Transfer Engine'!$C$2:$C$1960,0)))</f>
        <v/>
      </c>
      <c r="C402" s="8">
        <f>IF(ISNA(MATCH(393,'Transfer Engine'!$C$2:$C$1960,0)),"",INDEX('Compliance Database'!$C$2:$C$1960,MATCH(393,'Transfer Engine'!$C$2:$C$1960,0)))</f>
        <v/>
      </c>
      <c r="D402" s="9">
        <f>IF(ISNA(MATCH(393,'Transfer Engine'!$C$2:$C$1960,0)),"",INDEX('Compliance Database'!$D$2:$D$1960,MATCH(393,'Transfer Engine'!$C$2:$C$1960,0)))</f>
        <v/>
      </c>
      <c r="E402" s="8">
        <f>IF(ISNA(MATCH(393,'Transfer Engine'!$C$2:$C$1960,0)),"",INDEX('Compliance Database'!$E$2:$E$1960,MATCH(393,'Transfer Engine'!$C$2:$C$1960,0)))</f>
        <v/>
      </c>
      <c r="F402" s="8">
        <f>IF(ISNA(MATCH(393,'Transfer Engine'!$C$2:$C$1960,0)),"",INDEX('Compliance Database'!$F$2:$F$1960,MATCH(393,'Transfer Engine'!$C$2:$C$1960,0)))</f>
        <v/>
      </c>
      <c r="G402" s="8">
        <f>IF(ISNA(MATCH(393,'Transfer Engine'!$C$2:$C$1960,0)),"",INDEX('Compliance Database'!$G$2:$G$1960,MATCH(393,'Transfer Engine'!$C$2:$C$1960,0)))</f>
        <v/>
      </c>
      <c r="H402" s="9">
        <f>IF(ISNA(MATCH(393,'Transfer Engine'!$C$2:$C$1960,0)),"",INDEX('Compliance Database'!$H$2:$H$1960,MATCH(393,'Transfer Engine'!$C$2:$C$1960,0)))</f>
        <v/>
      </c>
      <c r="I402" s="9">
        <f>IF(ISNA(MATCH(393,'Transfer Engine'!$C$2:$C$1960,0)),"",INDEX('Compliance Database'!$I$2:$I$1960,MATCH(393,'Transfer Engine'!$C$2:$C$1960,0)))</f>
        <v/>
      </c>
      <c r="J402" s="8">
        <f>IF(ISNA(MATCH(393,'Transfer Engine'!$C$2:$C$1960,0)),"",INDEX('Compliance Database'!$J$2:$J$1960,MATCH(393,'Transfer Engine'!$C$2:$C$1960,0)))</f>
        <v/>
      </c>
      <c r="K402" s="9">
        <f>IF(ISNA(MATCH(393,'Transfer Engine'!$C$2:$C$1960,0)),"",INDEX('Compliance Database'!$K$2:$K$1960,MATCH(393,'Transfer Engine'!$C$2:$C$1960,0)))</f>
        <v/>
      </c>
      <c r="L402" s="9">
        <f>IF(ISNA(MATCH(393,'Transfer Engine'!$C$2:$C$1960,0)),"",INDEX('Compliance Database'!$L$2:$L$1960,MATCH(393,'Transfer Engine'!$C$2:$C$1960,0)))</f>
        <v/>
      </c>
      <c r="M402" s="9">
        <f>IF(ISNA(MATCH(393,'Transfer Engine'!$C$2:$C$1960,0)),"",INDEX('Compliance Database'!$M$2:$M$1960,MATCH(393,'Transfer Engine'!$C$2:$C$1960,0)))</f>
        <v/>
      </c>
      <c r="N402" s="9">
        <f>IF(ISNA(MATCH(393,'Transfer Engine'!$C$2:$C$1960,0)),"",INDEX('Compliance Database'!$N$2:$N$1960,MATCH(393,'Transfer Engine'!$C$2:$C$1960,0)))</f>
        <v/>
      </c>
      <c r="O402" s="9">
        <f>IF(ISNA(MATCH(393,'Transfer Engine'!$C$2:$C$1960,0)),"",INDEX('Compliance Database'!$O$2:$O$1960,MATCH(393,'Transfer Engine'!$C$2:$C$1960,0)))</f>
        <v/>
      </c>
      <c r="P402" s="8">
        <f>IF(ISNA(MATCH(393,'Transfer Engine'!$C$2:$C$1960,0)),"",HYPERLINK("#Acts!A"&amp;INDEX('Compliance Database'!$P$2:$P$1960,MATCH(393,'Transfer Engine'!$C$2:$C$1960,0)),"Go to Act"))</f>
        <v/>
      </c>
    </row>
    <row r="403" ht="158" customHeight="1">
      <c r="A403" s="8">
        <f>IF(ISNA(MATCH(394,'Transfer Engine'!$C$2:$C$1960,0)),"",INDEX('Compliance Database'!$A$2:$A$1960,MATCH(394,'Transfer Engine'!$C$2:$C$1960,0)))</f>
        <v/>
      </c>
      <c r="B403" s="8">
        <f>IF(ISNA(MATCH(394,'Transfer Engine'!$C$2:$C$1960,0)),"",INDEX('Compliance Database'!$B$2:$B$1960,MATCH(394,'Transfer Engine'!$C$2:$C$1960,0)))</f>
        <v/>
      </c>
      <c r="C403" s="8">
        <f>IF(ISNA(MATCH(394,'Transfer Engine'!$C$2:$C$1960,0)),"",INDEX('Compliance Database'!$C$2:$C$1960,MATCH(394,'Transfer Engine'!$C$2:$C$1960,0)))</f>
        <v/>
      </c>
      <c r="D403" s="9">
        <f>IF(ISNA(MATCH(394,'Transfer Engine'!$C$2:$C$1960,0)),"",INDEX('Compliance Database'!$D$2:$D$1960,MATCH(394,'Transfer Engine'!$C$2:$C$1960,0)))</f>
        <v/>
      </c>
      <c r="E403" s="8">
        <f>IF(ISNA(MATCH(394,'Transfer Engine'!$C$2:$C$1960,0)),"",INDEX('Compliance Database'!$E$2:$E$1960,MATCH(394,'Transfer Engine'!$C$2:$C$1960,0)))</f>
        <v/>
      </c>
      <c r="F403" s="8">
        <f>IF(ISNA(MATCH(394,'Transfer Engine'!$C$2:$C$1960,0)),"",INDEX('Compliance Database'!$F$2:$F$1960,MATCH(394,'Transfer Engine'!$C$2:$C$1960,0)))</f>
        <v/>
      </c>
      <c r="G403" s="8">
        <f>IF(ISNA(MATCH(394,'Transfer Engine'!$C$2:$C$1960,0)),"",INDEX('Compliance Database'!$G$2:$G$1960,MATCH(394,'Transfer Engine'!$C$2:$C$1960,0)))</f>
        <v/>
      </c>
      <c r="H403" s="9">
        <f>IF(ISNA(MATCH(394,'Transfer Engine'!$C$2:$C$1960,0)),"",INDEX('Compliance Database'!$H$2:$H$1960,MATCH(394,'Transfer Engine'!$C$2:$C$1960,0)))</f>
        <v/>
      </c>
      <c r="I403" s="9">
        <f>IF(ISNA(MATCH(394,'Transfer Engine'!$C$2:$C$1960,0)),"",INDEX('Compliance Database'!$I$2:$I$1960,MATCH(394,'Transfer Engine'!$C$2:$C$1960,0)))</f>
        <v/>
      </c>
      <c r="J403" s="8">
        <f>IF(ISNA(MATCH(394,'Transfer Engine'!$C$2:$C$1960,0)),"",INDEX('Compliance Database'!$J$2:$J$1960,MATCH(394,'Transfer Engine'!$C$2:$C$1960,0)))</f>
        <v/>
      </c>
      <c r="K403" s="9">
        <f>IF(ISNA(MATCH(394,'Transfer Engine'!$C$2:$C$1960,0)),"",INDEX('Compliance Database'!$K$2:$K$1960,MATCH(394,'Transfer Engine'!$C$2:$C$1960,0)))</f>
        <v/>
      </c>
      <c r="L403" s="9">
        <f>IF(ISNA(MATCH(394,'Transfer Engine'!$C$2:$C$1960,0)),"",INDEX('Compliance Database'!$L$2:$L$1960,MATCH(394,'Transfer Engine'!$C$2:$C$1960,0)))</f>
        <v/>
      </c>
      <c r="M403" s="9">
        <f>IF(ISNA(MATCH(394,'Transfer Engine'!$C$2:$C$1960,0)),"",INDEX('Compliance Database'!$M$2:$M$1960,MATCH(394,'Transfer Engine'!$C$2:$C$1960,0)))</f>
        <v/>
      </c>
      <c r="N403" s="9">
        <f>IF(ISNA(MATCH(394,'Transfer Engine'!$C$2:$C$1960,0)),"",INDEX('Compliance Database'!$N$2:$N$1960,MATCH(394,'Transfer Engine'!$C$2:$C$1960,0)))</f>
        <v/>
      </c>
      <c r="O403" s="9">
        <f>IF(ISNA(MATCH(394,'Transfer Engine'!$C$2:$C$1960,0)),"",INDEX('Compliance Database'!$O$2:$O$1960,MATCH(394,'Transfer Engine'!$C$2:$C$1960,0)))</f>
        <v/>
      </c>
      <c r="P403" s="8">
        <f>IF(ISNA(MATCH(394,'Transfer Engine'!$C$2:$C$1960,0)),"",HYPERLINK("#Acts!A"&amp;INDEX('Compliance Database'!$P$2:$P$1960,MATCH(394,'Transfer Engine'!$C$2:$C$1960,0)),"Go to Act"))</f>
        <v/>
      </c>
    </row>
    <row r="404" ht="158" customHeight="1">
      <c r="A404" s="8">
        <f>IF(ISNA(MATCH(395,'Transfer Engine'!$C$2:$C$1960,0)),"",INDEX('Compliance Database'!$A$2:$A$1960,MATCH(395,'Transfer Engine'!$C$2:$C$1960,0)))</f>
        <v/>
      </c>
      <c r="B404" s="8">
        <f>IF(ISNA(MATCH(395,'Transfer Engine'!$C$2:$C$1960,0)),"",INDEX('Compliance Database'!$B$2:$B$1960,MATCH(395,'Transfer Engine'!$C$2:$C$1960,0)))</f>
        <v/>
      </c>
      <c r="C404" s="8">
        <f>IF(ISNA(MATCH(395,'Transfer Engine'!$C$2:$C$1960,0)),"",INDEX('Compliance Database'!$C$2:$C$1960,MATCH(395,'Transfer Engine'!$C$2:$C$1960,0)))</f>
        <v/>
      </c>
      <c r="D404" s="9">
        <f>IF(ISNA(MATCH(395,'Transfer Engine'!$C$2:$C$1960,0)),"",INDEX('Compliance Database'!$D$2:$D$1960,MATCH(395,'Transfer Engine'!$C$2:$C$1960,0)))</f>
        <v/>
      </c>
      <c r="E404" s="8">
        <f>IF(ISNA(MATCH(395,'Transfer Engine'!$C$2:$C$1960,0)),"",INDEX('Compliance Database'!$E$2:$E$1960,MATCH(395,'Transfer Engine'!$C$2:$C$1960,0)))</f>
        <v/>
      </c>
      <c r="F404" s="8">
        <f>IF(ISNA(MATCH(395,'Transfer Engine'!$C$2:$C$1960,0)),"",INDEX('Compliance Database'!$F$2:$F$1960,MATCH(395,'Transfer Engine'!$C$2:$C$1960,0)))</f>
        <v/>
      </c>
      <c r="G404" s="8">
        <f>IF(ISNA(MATCH(395,'Transfer Engine'!$C$2:$C$1960,0)),"",INDEX('Compliance Database'!$G$2:$G$1960,MATCH(395,'Transfer Engine'!$C$2:$C$1960,0)))</f>
        <v/>
      </c>
      <c r="H404" s="9">
        <f>IF(ISNA(MATCH(395,'Transfer Engine'!$C$2:$C$1960,0)),"",INDEX('Compliance Database'!$H$2:$H$1960,MATCH(395,'Transfer Engine'!$C$2:$C$1960,0)))</f>
        <v/>
      </c>
      <c r="I404" s="9">
        <f>IF(ISNA(MATCH(395,'Transfer Engine'!$C$2:$C$1960,0)),"",INDEX('Compliance Database'!$I$2:$I$1960,MATCH(395,'Transfer Engine'!$C$2:$C$1960,0)))</f>
        <v/>
      </c>
      <c r="J404" s="8">
        <f>IF(ISNA(MATCH(395,'Transfer Engine'!$C$2:$C$1960,0)),"",INDEX('Compliance Database'!$J$2:$J$1960,MATCH(395,'Transfer Engine'!$C$2:$C$1960,0)))</f>
        <v/>
      </c>
      <c r="K404" s="9">
        <f>IF(ISNA(MATCH(395,'Transfer Engine'!$C$2:$C$1960,0)),"",INDEX('Compliance Database'!$K$2:$K$1960,MATCH(395,'Transfer Engine'!$C$2:$C$1960,0)))</f>
        <v/>
      </c>
      <c r="L404" s="9">
        <f>IF(ISNA(MATCH(395,'Transfer Engine'!$C$2:$C$1960,0)),"",INDEX('Compliance Database'!$L$2:$L$1960,MATCH(395,'Transfer Engine'!$C$2:$C$1960,0)))</f>
        <v/>
      </c>
      <c r="M404" s="9">
        <f>IF(ISNA(MATCH(395,'Transfer Engine'!$C$2:$C$1960,0)),"",INDEX('Compliance Database'!$M$2:$M$1960,MATCH(395,'Transfer Engine'!$C$2:$C$1960,0)))</f>
        <v/>
      </c>
      <c r="N404" s="9">
        <f>IF(ISNA(MATCH(395,'Transfer Engine'!$C$2:$C$1960,0)),"",INDEX('Compliance Database'!$N$2:$N$1960,MATCH(395,'Transfer Engine'!$C$2:$C$1960,0)))</f>
        <v/>
      </c>
      <c r="O404" s="9">
        <f>IF(ISNA(MATCH(395,'Transfer Engine'!$C$2:$C$1960,0)),"",INDEX('Compliance Database'!$O$2:$O$1960,MATCH(395,'Transfer Engine'!$C$2:$C$1960,0)))</f>
        <v/>
      </c>
      <c r="P404" s="8">
        <f>IF(ISNA(MATCH(395,'Transfer Engine'!$C$2:$C$1960,0)),"",HYPERLINK("#Acts!A"&amp;INDEX('Compliance Database'!$P$2:$P$1960,MATCH(395,'Transfer Engine'!$C$2:$C$1960,0)),"Go to Act"))</f>
        <v/>
      </c>
    </row>
    <row r="405" ht="158" customHeight="1">
      <c r="A405" s="8">
        <f>IF(ISNA(MATCH(396,'Transfer Engine'!$C$2:$C$1960,0)),"",INDEX('Compliance Database'!$A$2:$A$1960,MATCH(396,'Transfer Engine'!$C$2:$C$1960,0)))</f>
        <v/>
      </c>
      <c r="B405" s="8">
        <f>IF(ISNA(MATCH(396,'Transfer Engine'!$C$2:$C$1960,0)),"",INDEX('Compliance Database'!$B$2:$B$1960,MATCH(396,'Transfer Engine'!$C$2:$C$1960,0)))</f>
        <v/>
      </c>
      <c r="C405" s="8">
        <f>IF(ISNA(MATCH(396,'Transfer Engine'!$C$2:$C$1960,0)),"",INDEX('Compliance Database'!$C$2:$C$1960,MATCH(396,'Transfer Engine'!$C$2:$C$1960,0)))</f>
        <v/>
      </c>
      <c r="D405" s="9">
        <f>IF(ISNA(MATCH(396,'Transfer Engine'!$C$2:$C$1960,0)),"",INDEX('Compliance Database'!$D$2:$D$1960,MATCH(396,'Transfer Engine'!$C$2:$C$1960,0)))</f>
        <v/>
      </c>
      <c r="E405" s="8">
        <f>IF(ISNA(MATCH(396,'Transfer Engine'!$C$2:$C$1960,0)),"",INDEX('Compliance Database'!$E$2:$E$1960,MATCH(396,'Transfer Engine'!$C$2:$C$1960,0)))</f>
        <v/>
      </c>
      <c r="F405" s="8">
        <f>IF(ISNA(MATCH(396,'Transfer Engine'!$C$2:$C$1960,0)),"",INDEX('Compliance Database'!$F$2:$F$1960,MATCH(396,'Transfer Engine'!$C$2:$C$1960,0)))</f>
        <v/>
      </c>
      <c r="G405" s="8">
        <f>IF(ISNA(MATCH(396,'Transfer Engine'!$C$2:$C$1960,0)),"",INDEX('Compliance Database'!$G$2:$G$1960,MATCH(396,'Transfer Engine'!$C$2:$C$1960,0)))</f>
        <v/>
      </c>
      <c r="H405" s="9">
        <f>IF(ISNA(MATCH(396,'Transfer Engine'!$C$2:$C$1960,0)),"",INDEX('Compliance Database'!$H$2:$H$1960,MATCH(396,'Transfer Engine'!$C$2:$C$1960,0)))</f>
        <v/>
      </c>
      <c r="I405" s="9">
        <f>IF(ISNA(MATCH(396,'Transfer Engine'!$C$2:$C$1960,0)),"",INDEX('Compliance Database'!$I$2:$I$1960,MATCH(396,'Transfer Engine'!$C$2:$C$1960,0)))</f>
        <v/>
      </c>
      <c r="J405" s="8">
        <f>IF(ISNA(MATCH(396,'Transfer Engine'!$C$2:$C$1960,0)),"",INDEX('Compliance Database'!$J$2:$J$1960,MATCH(396,'Transfer Engine'!$C$2:$C$1960,0)))</f>
        <v/>
      </c>
      <c r="K405" s="9">
        <f>IF(ISNA(MATCH(396,'Transfer Engine'!$C$2:$C$1960,0)),"",INDEX('Compliance Database'!$K$2:$K$1960,MATCH(396,'Transfer Engine'!$C$2:$C$1960,0)))</f>
        <v/>
      </c>
      <c r="L405" s="9">
        <f>IF(ISNA(MATCH(396,'Transfer Engine'!$C$2:$C$1960,0)),"",INDEX('Compliance Database'!$L$2:$L$1960,MATCH(396,'Transfer Engine'!$C$2:$C$1960,0)))</f>
        <v/>
      </c>
      <c r="M405" s="9">
        <f>IF(ISNA(MATCH(396,'Transfer Engine'!$C$2:$C$1960,0)),"",INDEX('Compliance Database'!$M$2:$M$1960,MATCH(396,'Transfer Engine'!$C$2:$C$1960,0)))</f>
        <v/>
      </c>
      <c r="N405" s="9">
        <f>IF(ISNA(MATCH(396,'Transfer Engine'!$C$2:$C$1960,0)),"",INDEX('Compliance Database'!$N$2:$N$1960,MATCH(396,'Transfer Engine'!$C$2:$C$1960,0)))</f>
        <v/>
      </c>
      <c r="O405" s="9">
        <f>IF(ISNA(MATCH(396,'Transfer Engine'!$C$2:$C$1960,0)),"",INDEX('Compliance Database'!$O$2:$O$1960,MATCH(396,'Transfer Engine'!$C$2:$C$1960,0)))</f>
        <v/>
      </c>
      <c r="P405" s="8">
        <f>IF(ISNA(MATCH(396,'Transfer Engine'!$C$2:$C$1960,0)),"",HYPERLINK("#Acts!A"&amp;INDEX('Compliance Database'!$P$2:$P$1960,MATCH(396,'Transfer Engine'!$C$2:$C$1960,0)),"Go to Act"))</f>
        <v/>
      </c>
    </row>
    <row r="406" ht="158" customHeight="1">
      <c r="A406" s="8">
        <f>IF(ISNA(MATCH(397,'Transfer Engine'!$C$2:$C$1960,0)),"",INDEX('Compliance Database'!$A$2:$A$1960,MATCH(397,'Transfer Engine'!$C$2:$C$1960,0)))</f>
        <v/>
      </c>
      <c r="B406" s="8">
        <f>IF(ISNA(MATCH(397,'Transfer Engine'!$C$2:$C$1960,0)),"",INDEX('Compliance Database'!$B$2:$B$1960,MATCH(397,'Transfer Engine'!$C$2:$C$1960,0)))</f>
        <v/>
      </c>
      <c r="C406" s="8">
        <f>IF(ISNA(MATCH(397,'Transfer Engine'!$C$2:$C$1960,0)),"",INDEX('Compliance Database'!$C$2:$C$1960,MATCH(397,'Transfer Engine'!$C$2:$C$1960,0)))</f>
        <v/>
      </c>
      <c r="D406" s="9">
        <f>IF(ISNA(MATCH(397,'Transfer Engine'!$C$2:$C$1960,0)),"",INDEX('Compliance Database'!$D$2:$D$1960,MATCH(397,'Transfer Engine'!$C$2:$C$1960,0)))</f>
        <v/>
      </c>
      <c r="E406" s="8">
        <f>IF(ISNA(MATCH(397,'Transfer Engine'!$C$2:$C$1960,0)),"",INDEX('Compliance Database'!$E$2:$E$1960,MATCH(397,'Transfer Engine'!$C$2:$C$1960,0)))</f>
        <v/>
      </c>
      <c r="F406" s="8">
        <f>IF(ISNA(MATCH(397,'Transfer Engine'!$C$2:$C$1960,0)),"",INDEX('Compliance Database'!$F$2:$F$1960,MATCH(397,'Transfer Engine'!$C$2:$C$1960,0)))</f>
        <v/>
      </c>
      <c r="G406" s="8">
        <f>IF(ISNA(MATCH(397,'Transfer Engine'!$C$2:$C$1960,0)),"",INDEX('Compliance Database'!$G$2:$G$1960,MATCH(397,'Transfer Engine'!$C$2:$C$1960,0)))</f>
        <v/>
      </c>
      <c r="H406" s="9">
        <f>IF(ISNA(MATCH(397,'Transfer Engine'!$C$2:$C$1960,0)),"",INDEX('Compliance Database'!$H$2:$H$1960,MATCH(397,'Transfer Engine'!$C$2:$C$1960,0)))</f>
        <v/>
      </c>
      <c r="I406" s="9">
        <f>IF(ISNA(MATCH(397,'Transfer Engine'!$C$2:$C$1960,0)),"",INDEX('Compliance Database'!$I$2:$I$1960,MATCH(397,'Transfer Engine'!$C$2:$C$1960,0)))</f>
        <v/>
      </c>
      <c r="J406" s="8">
        <f>IF(ISNA(MATCH(397,'Transfer Engine'!$C$2:$C$1960,0)),"",INDEX('Compliance Database'!$J$2:$J$1960,MATCH(397,'Transfer Engine'!$C$2:$C$1960,0)))</f>
        <v/>
      </c>
      <c r="K406" s="9">
        <f>IF(ISNA(MATCH(397,'Transfer Engine'!$C$2:$C$1960,0)),"",INDEX('Compliance Database'!$K$2:$K$1960,MATCH(397,'Transfer Engine'!$C$2:$C$1960,0)))</f>
        <v/>
      </c>
      <c r="L406" s="9">
        <f>IF(ISNA(MATCH(397,'Transfer Engine'!$C$2:$C$1960,0)),"",INDEX('Compliance Database'!$L$2:$L$1960,MATCH(397,'Transfer Engine'!$C$2:$C$1960,0)))</f>
        <v/>
      </c>
      <c r="M406" s="9">
        <f>IF(ISNA(MATCH(397,'Transfer Engine'!$C$2:$C$1960,0)),"",INDEX('Compliance Database'!$M$2:$M$1960,MATCH(397,'Transfer Engine'!$C$2:$C$1960,0)))</f>
        <v/>
      </c>
      <c r="N406" s="9">
        <f>IF(ISNA(MATCH(397,'Transfer Engine'!$C$2:$C$1960,0)),"",INDEX('Compliance Database'!$N$2:$N$1960,MATCH(397,'Transfer Engine'!$C$2:$C$1960,0)))</f>
        <v/>
      </c>
      <c r="O406" s="9">
        <f>IF(ISNA(MATCH(397,'Transfer Engine'!$C$2:$C$1960,0)),"",INDEX('Compliance Database'!$O$2:$O$1960,MATCH(397,'Transfer Engine'!$C$2:$C$1960,0)))</f>
        <v/>
      </c>
      <c r="P406" s="8">
        <f>IF(ISNA(MATCH(397,'Transfer Engine'!$C$2:$C$1960,0)),"",HYPERLINK("#Acts!A"&amp;INDEX('Compliance Database'!$P$2:$P$1960,MATCH(397,'Transfer Engine'!$C$2:$C$1960,0)),"Go to Act"))</f>
        <v/>
      </c>
    </row>
    <row r="407" ht="158" customHeight="1">
      <c r="A407" s="8">
        <f>IF(ISNA(MATCH(398,'Transfer Engine'!$C$2:$C$1960,0)),"",INDEX('Compliance Database'!$A$2:$A$1960,MATCH(398,'Transfer Engine'!$C$2:$C$1960,0)))</f>
        <v/>
      </c>
      <c r="B407" s="8">
        <f>IF(ISNA(MATCH(398,'Transfer Engine'!$C$2:$C$1960,0)),"",INDEX('Compliance Database'!$B$2:$B$1960,MATCH(398,'Transfer Engine'!$C$2:$C$1960,0)))</f>
        <v/>
      </c>
      <c r="C407" s="8">
        <f>IF(ISNA(MATCH(398,'Transfer Engine'!$C$2:$C$1960,0)),"",INDEX('Compliance Database'!$C$2:$C$1960,MATCH(398,'Transfer Engine'!$C$2:$C$1960,0)))</f>
        <v/>
      </c>
      <c r="D407" s="9">
        <f>IF(ISNA(MATCH(398,'Transfer Engine'!$C$2:$C$1960,0)),"",INDEX('Compliance Database'!$D$2:$D$1960,MATCH(398,'Transfer Engine'!$C$2:$C$1960,0)))</f>
        <v/>
      </c>
      <c r="E407" s="8">
        <f>IF(ISNA(MATCH(398,'Transfer Engine'!$C$2:$C$1960,0)),"",INDEX('Compliance Database'!$E$2:$E$1960,MATCH(398,'Transfer Engine'!$C$2:$C$1960,0)))</f>
        <v/>
      </c>
      <c r="F407" s="8">
        <f>IF(ISNA(MATCH(398,'Transfer Engine'!$C$2:$C$1960,0)),"",INDEX('Compliance Database'!$F$2:$F$1960,MATCH(398,'Transfer Engine'!$C$2:$C$1960,0)))</f>
        <v/>
      </c>
      <c r="G407" s="8">
        <f>IF(ISNA(MATCH(398,'Transfer Engine'!$C$2:$C$1960,0)),"",INDEX('Compliance Database'!$G$2:$G$1960,MATCH(398,'Transfer Engine'!$C$2:$C$1960,0)))</f>
        <v/>
      </c>
      <c r="H407" s="9">
        <f>IF(ISNA(MATCH(398,'Transfer Engine'!$C$2:$C$1960,0)),"",INDEX('Compliance Database'!$H$2:$H$1960,MATCH(398,'Transfer Engine'!$C$2:$C$1960,0)))</f>
        <v/>
      </c>
      <c r="I407" s="9">
        <f>IF(ISNA(MATCH(398,'Transfer Engine'!$C$2:$C$1960,0)),"",INDEX('Compliance Database'!$I$2:$I$1960,MATCH(398,'Transfer Engine'!$C$2:$C$1960,0)))</f>
        <v/>
      </c>
      <c r="J407" s="8">
        <f>IF(ISNA(MATCH(398,'Transfer Engine'!$C$2:$C$1960,0)),"",INDEX('Compliance Database'!$J$2:$J$1960,MATCH(398,'Transfer Engine'!$C$2:$C$1960,0)))</f>
        <v/>
      </c>
      <c r="K407" s="9">
        <f>IF(ISNA(MATCH(398,'Transfer Engine'!$C$2:$C$1960,0)),"",INDEX('Compliance Database'!$K$2:$K$1960,MATCH(398,'Transfer Engine'!$C$2:$C$1960,0)))</f>
        <v/>
      </c>
      <c r="L407" s="9">
        <f>IF(ISNA(MATCH(398,'Transfer Engine'!$C$2:$C$1960,0)),"",INDEX('Compliance Database'!$L$2:$L$1960,MATCH(398,'Transfer Engine'!$C$2:$C$1960,0)))</f>
        <v/>
      </c>
      <c r="M407" s="9">
        <f>IF(ISNA(MATCH(398,'Transfer Engine'!$C$2:$C$1960,0)),"",INDEX('Compliance Database'!$M$2:$M$1960,MATCH(398,'Transfer Engine'!$C$2:$C$1960,0)))</f>
        <v/>
      </c>
      <c r="N407" s="9">
        <f>IF(ISNA(MATCH(398,'Transfer Engine'!$C$2:$C$1960,0)),"",INDEX('Compliance Database'!$N$2:$N$1960,MATCH(398,'Transfer Engine'!$C$2:$C$1960,0)))</f>
        <v/>
      </c>
      <c r="O407" s="9">
        <f>IF(ISNA(MATCH(398,'Transfer Engine'!$C$2:$C$1960,0)),"",INDEX('Compliance Database'!$O$2:$O$1960,MATCH(398,'Transfer Engine'!$C$2:$C$1960,0)))</f>
        <v/>
      </c>
      <c r="P407" s="8">
        <f>IF(ISNA(MATCH(398,'Transfer Engine'!$C$2:$C$1960,0)),"",HYPERLINK("#Acts!A"&amp;INDEX('Compliance Database'!$P$2:$P$1960,MATCH(398,'Transfer Engine'!$C$2:$C$1960,0)),"Go to Act"))</f>
        <v/>
      </c>
    </row>
    <row r="408" ht="158" customHeight="1">
      <c r="A408" s="8">
        <f>IF(ISNA(MATCH(399,'Transfer Engine'!$C$2:$C$1960,0)),"",INDEX('Compliance Database'!$A$2:$A$1960,MATCH(399,'Transfer Engine'!$C$2:$C$1960,0)))</f>
        <v/>
      </c>
      <c r="B408" s="8">
        <f>IF(ISNA(MATCH(399,'Transfer Engine'!$C$2:$C$1960,0)),"",INDEX('Compliance Database'!$B$2:$B$1960,MATCH(399,'Transfer Engine'!$C$2:$C$1960,0)))</f>
        <v/>
      </c>
      <c r="C408" s="8">
        <f>IF(ISNA(MATCH(399,'Transfer Engine'!$C$2:$C$1960,0)),"",INDEX('Compliance Database'!$C$2:$C$1960,MATCH(399,'Transfer Engine'!$C$2:$C$1960,0)))</f>
        <v/>
      </c>
      <c r="D408" s="9">
        <f>IF(ISNA(MATCH(399,'Transfer Engine'!$C$2:$C$1960,0)),"",INDEX('Compliance Database'!$D$2:$D$1960,MATCH(399,'Transfer Engine'!$C$2:$C$1960,0)))</f>
        <v/>
      </c>
      <c r="E408" s="8">
        <f>IF(ISNA(MATCH(399,'Transfer Engine'!$C$2:$C$1960,0)),"",INDEX('Compliance Database'!$E$2:$E$1960,MATCH(399,'Transfer Engine'!$C$2:$C$1960,0)))</f>
        <v/>
      </c>
      <c r="F408" s="8">
        <f>IF(ISNA(MATCH(399,'Transfer Engine'!$C$2:$C$1960,0)),"",INDEX('Compliance Database'!$F$2:$F$1960,MATCH(399,'Transfer Engine'!$C$2:$C$1960,0)))</f>
        <v/>
      </c>
      <c r="G408" s="8">
        <f>IF(ISNA(MATCH(399,'Transfer Engine'!$C$2:$C$1960,0)),"",INDEX('Compliance Database'!$G$2:$G$1960,MATCH(399,'Transfer Engine'!$C$2:$C$1960,0)))</f>
        <v/>
      </c>
      <c r="H408" s="9">
        <f>IF(ISNA(MATCH(399,'Transfer Engine'!$C$2:$C$1960,0)),"",INDEX('Compliance Database'!$H$2:$H$1960,MATCH(399,'Transfer Engine'!$C$2:$C$1960,0)))</f>
        <v/>
      </c>
      <c r="I408" s="9">
        <f>IF(ISNA(MATCH(399,'Transfer Engine'!$C$2:$C$1960,0)),"",INDEX('Compliance Database'!$I$2:$I$1960,MATCH(399,'Transfer Engine'!$C$2:$C$1960,0)))</f>
        <v/>
      </c>
      <c r="J408" s="8">
        <f>IF(ISNA(MATCH(399,'Transfer Engine'!$C$2:$C$1960,0)),"",INDEX('Compliance Database'!$J$2:$J$1960,MATCH(399,'Transfer Engine'!$C$2:$C$1960,0)))</f>
        <v/>
      </c>
      <c r="K408" s="9">
        <f>IF(ISNA(MATCH(399,'Transfer Engine'!$C$2:$C$1960,0)),"",INDEX('Compliance Database'!$K$2:$K$1960,MATCH(399,'Transfer Engine'!$C$2:$C$1960,0)))</f>
        <v/>
      </c>
      <c r="L408" s="9">
        <f>IF(ISNA(MATCH(399,'Transfer Engine'!$C$2:$C$1960,0)),"",INDEX('Compliance Database'!$L$2:$L$1960,MATCH(399,'Transfer Engine'!$C$2:$C$1960,0)))</f>
        <v/>
      </c>
      <c r="M408" s="9">
        <f>IF(ISNA(MATCH(399,'Transfer Engine'!$C$2:$C$1960,0)),"",INDEX('Compliance Database'!$M$2:$M$1960,MATCH(399,'Transfer Engine'!$C$2:$C$1960,0)))</f>
        <v/>
      </c>
      <c r="N408" s="9">
        <f>IF(ISNA(MATCH(399,'Transfer Engine'!$C$2:$C$1960,0)),"",INDEX('Compliance Database'!$N$2:$N$1960,MATCH(399,'Transfer Engine'!$C$2:$C$1960,0)))</f>
        <v/>
      </c>
      <c r="O408" s="9">
        <f>IF(ISNA(MATCH(399,'Transfer Engine'!$C$2:$C$1960,0)),"",INDEX('Compliance Database'!$O$2:$O$1960,MATCH(399,'Transfer Engine'!$C$2:$C$1960,0)))</f>
        <v/>
      </c>
      <c r="P408" s="8">
        <f>IF(ISNA(MATCH(399,'Transfer Engine'!$C$2:$C$1960,0)),"",HYPERLINK("#Acts!A"&amp;INDEX('Compliance Database'!$P$2:$P$1960,MATCH(399,'Transfer Engine'!$C$2:$C$1960,0)),"Go to Act"))</f>
        <v/>
      </c>
    </row>
    <row r="409" ht="158" customHeight="1">
      <c r="A409" s="8">
        <f>IF(ISNA(MATCH(400,'Transfer Engine'!$C$2:$C$1960,0)),"",INDEX('Compliance Database'!$A$2:$A$1960,MATCH(400,'Transfer Engine'!$C$2:$C$1960,0)))</f>
        <v/>
      </c>
      <c r="B409" s="8">
        <f>IF(ISNA(MATCH(400,'Transfer Engine'!$C$2:$C$1960,0)),"",INDEX('Compliance Database'!$B$2:$B$1960,MATCH(400,'Transfer Engine'!$C$2:$C$1960,0)))</f>
        <v/>
      </c>
      <c r="C409" s="8">
        <f>IF(ISNA(MATCH(400,'Transfer Engine'!$C$2:$C$1960,0)),"",INDEX('Compliance Database'!$C$2:$C$1960,MATCH(400,'Transfer Engine'!$C$2:$C$1960,0)))</f>
        <v/>
      </c>
      <c r="D409" s="9">
        <f>IF(ISNA(MATCH(400,'Transfer Engine'!$C$2:$C$1960,0)),"",INDEX('Compliance Database'!$D$2:$D$1960,MATCH(400,'Transfer Engine'!$C$2:$C$1960,0)))</f>
        <v/>
      </c>
      <c r="E409" s="8">
        <f>IF(ISNA(MATCH(400,'Transfer Engine'!$C$2:$C$1960,0)),"",INDEX('Compliance Database'!$E$2:$E$1960,MATCH(400,'Transfer Engine'!$C$2:$C$1960,0)))</f>
        <v/>
      </c>
      <c r="F409" s="8">
        <f>IF(ISNA(MATCH(400,'Transfer Engine'!$C$2:$C$1960,0)),"",INDEX('Compliance Database'!$F$2:$F$1960,MATCH(400,'Transfer Engine'!$C$2:$C$1960,0)))</f>
        <v/>
      </c>
      <c r="G409" s="8">
        <f>IF(ISNA(MATCH(400,'Transfer Engine'!$C$2:$C$1960,0)),"",INDEX('Compliance Database'!$G$2:$G$1960,MATCH(400,'Transfer Engine'!$C$2:$C$1960,0)))</f>
        <v/>
      </c>
      <c r="H409" s="9">
        <f>IF(ISNA(MATCH(400,'Transfer Engine'!$C$2:$C$1960,0)),"",INDEX('Compliance Database'!$H$2:$H$1960,MATCH(400,'Transfer Engine'!$C$2:$C$1960,0)))</f>
        <v/>
      </c>
      <c r="I409" s="9">
        <f>IF(ISNA(MATCH(400,'Transfer Engine'!$C$2:$C$1960,0)),"",INDEX('Compliance Database'!$I$2:$I$1960,MATCH(400,'Transfer Engine'!$C$2:$C$1960,0)))</f>
        <v/>
      </c>
      <c r="J409" s="8">
        <f>IF(ISNA(MATCH(400,'Transfer Engine'!$C$2:$C$1960,0)),"",INDEX('Compliance Database'!$J$2:$J$1960,MATCH(400,'Transfer Engine'!$C$2:$C$1960,0)))</f>
        <v/>
      </c>
      <c r="K409" s="9">
        <f>IF(ISNA(MATCH(400,'Transfer Engine'!$C$2:$C$1960,0)),"",INDEX('Compliance Database'!$K$2:$K$1960,MATCH(400,'Transfer Engine'!$C$2:$C$1960,0)))</f>
        <v/>
      </c>
      <c r="L409" s="9">
        <f>IF(ISNA(MATCH(400,'Transfer Engine'!$C$2:$C$1960,0)),"",INDEX('Compliance Database'!$L$2:$L$1960,MATCH(400,'Transfer Engine'!$C$2:$C$1960,0)))</f>
        <v/>
      </c>
      <c r="M409" s="9">
        <f>IF(ISNA(MATCH(400,'Transfer Engine'!$C$2:$C$1960,0)),"",INDEX('Compliance Database'!$M$2:$M$1960,MATCH(400,'Transfer Engine'!$C$2:$C$1960,0)))</f>
        <v/>
      </c>
      <c r="N409" s="9">
        <f>IF(ISNA(MATCH(400,'Transfer Engine'!$C$2:$C$1960,0)),"",INDEX('Compliance Database'!$N$2:$N$1960,MATCH(400,'Transfer Engine'!$C$2:$C$1960,0)))</f>
        <v/>
      </c>
      <c r="O409" s="9">
        <f>IF(ISNA(MATCH(400,'Transfer Engine'!$C$2:$C$1960,0)),"",INDEX('Compliance Database'!$O$2:$O$1960,MATCH(400,'Transfer Engine'!$C$2:$C$1960,0)))</f>
        <v/>
      </c>
      <c r="P409" s="8">
        <f>IF(ISNA(MATCH(400,'Transfer Engine'!$C$2:$C$1960,0)),"",HYPERLINK("#Acts!A"&amp;INDEX('Compliance Database'!$P$2:$P$1960,MATCH(400,'Transfer Engine'!$C$2:$C$1960,0)),"Go to Act"))</f>
        <v/>
      </c>
    </row>
    <row r="410" ht="158" customHeight="1">
      <c r="A410" s="8">
        <f>IF(ISNA(MATCH(401,'Transfer Engine'!$C$2:$C$1960,0)),"",INDEX('Compliance Database'!$A$2:$A$1960,MATCH(401,'Transfer Engine'!$C$2:$C$1960,0)))</f>
        <v/>
      </c>
      <c r="B410" s="8">
        <f>IF(ISNA(MATCH(401,'Transfer Engine'!$C$2:$C$1960,0)),"",INDEX('Compliance Database'!$B$2:$B$1960,MATCH(401,'Transfer Engine'!$C$2:$C$1960,0)))</f>
        <v/>
      </c>
      <c r="C410" s="8">
        <f>IF(ISNA(MATCH(401,'Transfer Engine'!$C$2:$C$1960,0)),"",INDEX('Compliance Database'!$C$2:$C$1960,MATCH(401,'Transfer Engine'!$C$2:$C$1960,0)))</f>
        <v/>
      </c>
      <c r="D410" s="9">
        <f>IF(ISNA(MATCH(401,'Transfer Engine'!$C$2:$C$1960,0)),"",INDEX('Compliance Database'!$D$2:$D$1960,MATCH(401,'Transfer Engine'!$C$2:$C$1960,0)))</f>
        <v/>
      </c>
      <c r="E410" s="8">
        <f>IF(ISNA(MATCH(401,'Transfer Engine'!$C$2:$C$1960,0)),"",INDEX('Compliance Database'!$E$2:$E$1960,MATCH(401,'Transfer Engine'!$C$2:$C$1960,0)))</f>
        <v/>
      </c>
      <c r="F410" s="8">
        <f>IF(ISNA(MATCH(401,'Transfer Engine'!$C$2:$C$1960,0)),"",INDEX('Compliance Database'!$F$2:$F$1960,MATCH(401,'Transfer Engine'!$C$2:$C$1960,0)))</f>
        <v/>
      </c>
      <c r="G410" s="8">
        <f>IF(ISNA(MATCH(401,'Transfer Engine'!$C$2:$C$1960,0)),"",INDEX('Compliance Database'!$G$2:$G$1960,MATCH(401,'Transfer Engine'!$C$2:$C$1960,0)))</f>
        <v/>
      </c>
      <c r="H410" s="9">
        <f>IF(ISNA(MATCH(401,'Transfer Engine'!$C$2:$C$1960,0)),"",INDEX('Compliance Database'!$H$2:$H$1960,MATCH(401,'Transfer Engine'!$C$2:$C$1960,0)))</f>
        <v/>
      </c>
      <c r="I410" s="9">
        <f>IF(ISNA(MATCH(401,'Transfer Engine'!$C$2:$C$1960,0)),"",INDEX('Compliance Database'!$I$2:$I$1960,MATCH(401,'Transfer Engine'!$C$2:$C$1960,0)))</f>
        <v/>
      </c>
      <c r="J410" s="8">
        <f>IF(ISNA(MATCH(401,'Transfer Engine'!$C$2:$C$1960,0)),"",INDEX('Compliance Database'!$J$2:$J$1960,MATCH(401,'Transfer Engine'!$C$2:$C$1960,0)))</f>
        <v/>
      </c>
      <c r="K410" s="9">
        <f>IF(ISNA(MATCH(401,'Transfer Engine'!$C$2:$C$1960,0)),"",INDEX('Compliance Database'!$K$2:$K$1960,MATCH(401,'Transfer Engine'!$C$2:$C$1960,0)))</f>
        <v/>
      </c>
      <c r="L410" s="9">
        <f>IF(ISNA(MATCH(401,'Transfer Engine'!$C$2:$C$1960,0)),"",INDEX('Compliance Database'!$L$2:$L$1960,MATCH(401,'Transfer Engine'!$C$2:$C$1960,0)))</f>
        <v/>
      </c>
      <c r="M410" s="9">
        <f>IF(ISNA(MATCH(401,'Transfer Engine'!$C$2:$C$1960,0)),"",INDEX('Compliance Database'!$M$2:$M$1960,MATCH(401,'Transfer Engine'!$C$2:$C$1960,0)))</f>
        <v/>
      </c>
      <c r="N410" s="9">
        <f>IF(ISNA(MATCH(401,'Transfer Engine'!$C$2:$C$1960,0)),"",INDEX('Compliance Database'!$N$2:$N$1960,MATCH(401,'Transfer Engine'!$C$2:$C$1960,0)))</f>
        <v/>
      </c>
      <c r="O410" s="9">
        <f>IF(ISNA(MATCH(401,'Transfer Engine'!$C$2:$C$1960,0)),"",INDEX('Compliance Database'!$O$2:$O$1960,MATCH(401,'Transfer Engine'!$C$2:$C$1960,0)))</f>
        <v/>
      </c>
      <c r="P410" s="8">
        <f>IF(ISNA(MATCH(401,'Transfer Engine'!$C$2:$C$1960,0)),"",HYPERLINK("#Acts!A"&amp;INDEX('Compliance Database'!$P$2:$P$1960,MATCH(401,'Transfer Engine'!$C$2:$C$1960,0)),"Go to Act"))</f>
        <v/>
      </c>
    </row>
    <row r="411" ht="158" customHeight="1">
      <c r="A411" s="8">
        <f>IF(ISNA(MATCH(402,'Transfer Engine'!$C$2:$C$1960,0)),"",INDEX('Compliance Database'!$A$2:$A$1960,MATCH(402,'Transfer Engine'!$C$2:$C$1960,0)))</f>
        <v/>
      </c>
      <c r="B411" s="8">
        <f>IF(ISNA(MATCH(402,'Transfer Engine'!$C$2:$C$1960,0)),"",INDEX('Compliance Database'!$B$2:$B$1960,MATCH(402,'Transfer Engine'!$C$2:$C$1960,0)))</f>
        <v/>
      </c>
      <c r="C411" s="8">
        <f>IF(ISNA(MATCH(402,'Transfer Engine'!$C$2:$C$1960,0)),"",INDEX('Compliance Database'!$C$2:$C$1960,MATCH(402,'Transfer Engine'!$C$2:$C$1960,0)))</f>
        <v/>
      </c>
      <c r="D411" s="9">
        <f>IF(ISNA(MATCH(402,'Transfer Engine'!$C$2:$C$1960,0)),"",INDEX('Compliance Database'!$D$2:$D$1960,MATCH(402,'Transfer Engine'!$C$2:$C$1960,0)))</f>
        <v/>
      </c>
      <c r="E411" s="8">
        <f>IF(ISNA(MATCH(402,'Transfer Engine'!$C$2:$C$1960,0)),"",INDEX('Compliance Database'!$E$2:$E$1960,MATCH(402,'Transfer Engine'!$C$2:$C$1960,0)))</f>
        <v/>
      </c>
      <c r="F411" s="8">
        <f>IF(ISNA(MATCH(402,'Transfer Engine'!$C$2:$C$1960,0)),"",INDEX('Compliance Database'!$F$2:$F$1960,MATCH(402,'Transfer Engine'!$C$2:$C$1960,0)))</f>
        <v/>
      </c>
      <c r="G411" s="8">
        <f>IF(ISNA(MATCH(402,'Transfer Engine'!$C$2:$C$1960,0)),"",INDEX('Compliance Database'!$G$2:$G$1960,MATCH(402,'Transfer Engine'!$C$2:$C$1960,0)))</f>
        <v/>
      </c>
      <c r="H411" s="9">
        <f>IF(ISNA(MATCH(402,'Transfer Engine'!$C$2:$C$1960,0)),"",INDEX('Compliance Database'!$H$2:$H$1960,MATCH(402,'Transfer Engine'!$C$2:$C$1960,0)))</f>
        <v/>
      </c>
      <c r="I411" s="9">
        <f>IF(ISNA(MATCH(402,'Transfer Engine'!$C$2:$C$1960,0)),"",INDEX('Compliance Database'!$I$2:$I$1960,MATCH(402,'Transfer Engine'!$C$2:$C$1960,0)))</f>
        <v/>
      </c>
      <c r="J411" s="8">
        <f>IF(ISNA(MATCH(402,'Transfer Engine'!$C$2:$C$1960,0)),"",INDEX('Compliance Database'!$J$2:$J$1960,MATCH(402,'Transfer Engine'!$C$2:$C$1960,0)))</f>
        <v/>
      </c>
      <c r="K411" s="9">
        <f>IF(ISNA(MATCH(402,'Transfer Engine'!$C$2:$C$1960,0)),"",INDEX('Compliance Database'!$K$2:$K$1960,MATCH(402,'Transfer Engine'!$C$2:$C$1960,0)))</f>
        <v/>
      </c>
      <c r="L411" s="9">
        <f>IF(ISNA(MATCH(402,'Transfer Engine'!$C$2:$C$1960,0)),"",INDEX('Compliance Database'!$L$2:$L$1960,MATCH(402,'Transfer Engine'!$C$2:$C$1960,0)))</f>
        <v/>
      </c>
      <c r="M411" s="9">
        <f>IF(ISNA(MATCH(402,'Transfer Engine'!$C$2:$C$1960,0)),"",INDEX('Compliance Database'!$M$2:$M$1960,MATCH(402,'Transfer Engine'!$C$2:$C$1960,0)))</f>
        <v/>
      </c>
      <c r="N411" s="9">
        <f>IF(ISNA(MATCH(402,'Transfer Engine'!$C$2:$C$1960,0)),"",INDEX('Compliance Database'!$N$2:$N$1960,MATCH(402,'Transfer Engine'!$C$2:$C$1960,0)))</f>
        <v/>
      </c>
      <c r="O411" s="9">
        <f>IF(ISNA(MATCH(402,'Transfer Engine'!$C$2:$C$1960,0)),"",INDEX('Compliance Database'!$O$2:$O$1960,MATCH(402,'Transfer Engine'!$C$2:$C$1960,0)))</f>
        <v/>
      </c>
      <c r="P411" s="8">
        <f>IF(ISNA(MATCH(402,'Transfer Engine'!$C$2:$C$1960,0)),"",HYPERLINK("#Acts!A"&amp;INDEX('Compliance Database'!$P$2:$P$1960,MATCH(402,'Transfer Engine'!$C$2:$C$1960,0)),"Go to Act"))</f>
        <v/>
      </c>
    </row>
    <row r="412" ht="158" customHeight="1">
      <c r="A412" s="8">
        <f>IF(ISNA(MATCH(403,'Transfer Engine'!$C$2:$C$1960,0)),"",INDEX('Compliance Database'!$A$2:$A$1960,MATCH(403,'Transfer Engine'!$C$2:$C$1960,0)))</f>
        <v/>
      </c>
      <c r="B412" s="8">
        <f>IF(ISNA(MATCH(403,'Transfer Engine'!$C$2:$C$1960,0)),"",INDEX('Compliance Database'!$B$2:$B$1960,MATCH(403,'Transfer Engine'!$C$2:$C$1960,0)))</f>
        <v/>
      </c>
      <c r="C412" s="8">
        <f>IF(ISNA(MATCH(403,'Transfer Engine'!$C$2:$C$1960,0)),"",INDEX('Compliance Database'!$C$2:$C$1960,MATCH(403,'Transfer Engine'!$C$2:$C$1960,0)))</f>
        <v/>
      </c>
      <c r="D412" s="9">
        <f>IF(ISNA(MATCH(403,'Transfer Engine'!$C$2:$C$1960,0)),"",INDEX('Compliance Database'!$D$2:$D$1960,MATCH(403,'Transfer Engine'!$C$2:$C$1960,0)))</f>
        <v/>
      </c>
      <c r="E412" s="8">
        <f>IF(ISNA(MATCH(403,'Transfer Engine'!$C$2:$C$1960,0)),"",INDEX('Compliance Database'!$E$2:$E$1960,MATCH(403,'Transfer Engine'!$C$2:$C$1960,0)))</f>
        <v/>
      </c>
      <c r="F412" s="8">
        <f>IF(ISNA(MATCH(403,'Transfer Engine'!$C$2:$C$1960,0)),"",INDEX('Compliance Database'!$F$2:$F$1960,MATCH(403,'Transfer Engine'!$C$2:$C$1960,0)))</f>
        <v/>
      </c>
      <c r="G412" s="8">
        <f>IF(ISNA(MATCH(403,'Transfer Engine'!$C$2:$C$1960,0)),"",INDEX('Compliance Database'!$G$2:$G$1960,MATCH(403,'Transfer Engine'!$C$2:$C$1960,0)))</f>
        <v/>
      </c>
      <c r="H412" s="9">
        <f>IF(ISNA(MATCH(403,'Transfer Engine'!$C$2:$C$1960,0)),"",INDEX('Compliance Database'!$H$2:$H$1960,MATCH(403,'Transfer Engine'!$C$2:$C$1960,0)))</f>
        <v/>
      </c>
      <c r="I412" s="9">
        <f>IF(ISNA(MATCH(403,'Transfer Engine'!$C$2:$C$1960,0)),"",INDEX('Compliance Database'!$I$2:$I$1960,MATCH(403,'Transfer Engine'!$C$2:$C$1960,0)))</f>
        <v/>
      </c>
      <c r="J412" s="8">
        <f>IF(ISNA(MATCH(403,'Transfer Engine'!$C$2:$C$1960,0)),"",INDEX('Compliance Database'!$J$2:$J$1960,MATCH(403,'Transfer Engine'!$C$2:$C$1960,0)))</f>
        <v/>
      </c>
      <c r="K412" s="9">
        <f>IF(ISNA(MATCH(403,'Transfer Engine'!$C$2:$C$1960,0)),"",INDEX('Compliance Database'!$K$2:$K$1960,MATCH(403,'Transfer Engine'!$C$2:$C$1960,0)))</f>
        <v/>
      </c>
      <c r="L412" s="9">
        <f>IF(ISNA(MATCH(403,'Transfer Engine'!$C$2:$C$1960,0)),"",INDEX('Compliance Database'!$L$2:$L$1960,MATCH(403,'Transfer Engine'!$C$2:$C$1960,0)))</f>
        <v/>
      </c>
      <c r="M412" s="9">
        <f>IF(ISNA(MATCH(403,'Transfer Engine'!$C$2:$C$1960,0)),"",INDEX('Compliance Database'!$M$2:$M$1960,MATCH(403,'Transfer Engine'!$C$2:$C$1960,0)))</f>
        <v/>
      </c>
      <c r="N412" s="9">
        <f>IF(ISNA(MATCH(403,'Transfer Engine'!$C$2:$C$1960,0)),"",INDEX('Compliance Database'!$N$2:$N$1960,MATCH(403,'Transfer Engine'!$C$2:$C$1960,0)))</f>
        <v/>
      </c>
      <c r="O412" s="9">
        <f>IF(ISNA(MATCH(403,'Transfer Engine'!$C$2:$C$1960,0)),"",INDEX('Compliance Database'!$O$2:$O$1960,MATCH(403,'Transfer Engine'!$C$2:$C$1960,0)))</f>
        <v/>
      </c>
      <c r="P412" s="8">
        <f>IF(ISNA(MATCH(403,'Transfer Engine'!$C$2:$C$1960,0)),"",HYPERLINK("#Acts!A"&amp;INDEX('Compliance Database'!$P$2:$P$1960,MATCH(403,'Transfer Engine'!$C$2:$C$1960,0)),"Go to Act"))</f>
        <v/>
      </c>
    </row>
    <row r="413" ht="158" customHeight="1">
      <c r="A413" s="8">
        <f>IF(ISNA(MATCH(404,'Transfer Engine'!$C$2:$C$1960,0)),"",INDEX('Compliance Database'!$A$2:$A$1960,MATCH(404,'Transfer Engine'!$C$2:$C$1960,0)))</f>
        <v/>
      </c>
      <c r="B413" s="8">
        <f>IF(ISNA(MATCH(404,'Transfer Engine'!$C$2:$C$1960,0)),"",INDEX('Compliance Database'!$B$2:$B$1960,MATCH(404,'Transfer Engine'!$C$2:$C$1960,0)))</f>
        <v/>
      </c>
      <c r="C413" s="8">
        <f>IF(ISNA(MATCH(404,'Transfer Engine'!$C$2:$C$1960,0)),"",INDEX('Compliance Database'!$C$2:$C$1960,MATCH(404,'Transfer Engine'!$C$2:$C$1960,0)))</f>
        <v/>
      </c>
      <c r="D413" s="9">
        <f>IF(ISNA(MATCH(404,'Transfer Engine'!$C$2:$C$1960,0)),"",INDEX('Compliance Database'!$D$2:$D$1960,MATCH(404,'Transfer Engine'!$C$2:$C$1960,0)))</f>
        <v/>
      </c>
      <c r="E413" s="8">
        <f>IF(ISNA(MATCH(404,'Transfer Engine'!$C$2:$C$1960,0)),"",INDEX('Compliance Database'!$E$2:$E$1960,MATCH(404,'Transfer Engine'!$C$2:$C$1960,0)))</f>
        <v/>
      </c>
      <c r="F413" s="8">
        <f>IF(ISNA(MATCH(404,'Transfer Engine'!$C$2:$C$1960,0)),"",INDEX('Compliance Database'!$F$2:$F$1960,MATCH(404,'Transfer Engine'!$C$2:$C$1960,0)))</f>
        <v/>
      </c>
      <c r="G413" s="8">
        <f>IF(ISNA(MATCH(404,'Transfer Engine'!$C$2:$C$1960,0)),"",INDEX('Compliance Database'!$G$2:$G$1960,MATCH(404,'Transfer Engine'!$C$2:$C$1960,0)))</f>
        <v/>
      </c>
      <c r="H413" s="9">
        <f>IF(ISNA(MATCH(404,'Transfer Engine'!$C$2:$C$1960,0)),"",INDEX('Compliance Database'!$H$2:$H$1960,MATCH(404,'Transfer Engine'!$C$2:$C$1960,0)))</f>
        <v/>
      </c>
      <c r="I413" s="9">
        <f>IF(ISNA(MATCH(404,'Transfer Engine'!$C$2:$C$1960,0)),"",INDEX('Compliance Database'!$I$2:$I$1960,MATCH(404,'Transfer Engine'!$C$2:$C$1960,0)))</f>
        <v/>
      </c>
      <c r="J413" s="8">
        <f>IF(ISNA(MATCH(404,'Transfer Engine'!$C$2:$C$1960,0)),"",INDEX('Compliance Database'!$J$2:$J$1960,MATCH(404,'Transfer Engine'!$C$2:$C$1960,0)))</f>
        <v/>
      </c>
      <c r="K413" s="9">
        <f>IF(ISNA(MATCH(404,'Transfer Engine'!$C$2:$C$1960,0)),"",INDEX('Compliance Database'!$K$2:$K$1960,MATCH(404,'Transfer Engine'!$C$2:$C$1960,0)))</f>
        <v/>
      </c>
      <c r="L413" s="9">
        <f>IF(ISNA(MATCH(404,'Transfer Engine'!$C$2:$C$1960,0)),"",INDEX('Compliance Database'!$L$2:$L$1960,MATCH(404,'Transfer Engine'!$C$2:$C$1960,0)))</f>
        <v/>
      </c>
      <c r="M413" s="9">
        <f>IF(ISNA(MATCH(404,'Transfer Engine'!$C$2:$C$1960,0)),"",INDEX('Compliance Database'!$M$2:$M$1960,MATCH(404,'Transfer Engine'!$C$2:$C$1960,0)))</f>
        <v/>
      </c>
      <c r="N413" s="9">
        <f>IF(ISNA(MATCH(404,'Transfer Engine'!$C$2:$C$1960,0)),"",INDEX('Compliance Database'!$N$2:$N$1960,MATCH(404,'Transfer Engine'!$C$2:$C$1960,0)))</f>
        <v/>
      </c>
      <c r="O413" s="9">
        <f>IF(ISNA(MATCH(404,'Transfer Engine'!$C$2:$C$1960,0)),"",INDEX('Compliance Database'!$O$2:$O$1960,MATCH(404,'Transfer Engine'!$C$2:$C$1960,0)))</f>
        <v/>
      </c>
      <c r="P413" s="8">
        <f>IF(ISNA(MATCH(404,'Transfer Engine'!$C$2:$C$1960,0)),"",HYPERLINK("#Acts!A"&amp;INDEX('Compliance Database'!$P$2:$P$1960,MATCH(404,'Transfer Engine'!$C$2:$C$1960,0)),"Go to Act"))</f>
        <v/>
      </c>
    </row>
    <row r="414" ht="158" customHeight="1">
      <c r="A414" s="8">
        <f>IF(ISNA(MATCH(405,'Transfer Engine'!$C$2:$C$1960,0)),"",INDEX('Compliance Database'!$A$2:$A$1960,MATCH(405,'Transfer Engine'!$C$2:$C$1960,0)))</f>
        <v/>
      </c>
      <c r="B414" s="8">
        <f>IF(ISNA(MATCH(405,'Transfer Engine'!$C$2:$C$1960,0)),"",INDEX('Compliance Database'!$B$2:$B$1960,MATCH(405,'Transfer Engine'!$C$2:$C$1960,0)))</f>
        <v/>
      </c>
      <c r="C414" s="8">
        <f>IF(ISNA(MATCH(405,'Transfer Engine'!$C$2:$C$1960,0)),"",INDEX('Compliance Database'!$C$2:$C$1960,MATCH(405,'Transfer Engine'!$C$2:$C$1960,0)))</f>
        <v/>
      </c>
      <c r="D414" s="9">
        <f>IF(ISNA(MATCH(405,'Transfer Engine'!$C$2:$C$1960,0)),"",INDEX('Compliance Database'!$D$2:$D$1960,MATCH(405,'Transfer Engine'!$C$2:$C$1960,0)))</f>
        <v/>
      </c>
      <c r="E414" s="8">
        <f>IF(ISNA(MATCH(405,'Transfer Engine'!$C$2:$C$1960,0)),"",INDEX('Compliance Database'!$E$2:$E$1960,MATCH(405,'Transfer Engine'!$C$2:$C$1960,0)))</f>
        <v/>
      </c>
      <c r="F414" s="8">
        <f>IF(ISNA(MATCH(405,'Transfer Engine'!$C$2:$C$1960,0)),"",INDEX('Compliance Database'!$F$2:$F$1960,MATCH(405,'Transfer Engine'!$C$2:$C$1960,0)))</f>
        <v/>
      </c>
      <c r="G414" s="8">
        <f>IF(ISNA(MATCH(405,'Transfer Engine'!$C$2:$C$1960,0)),"",INDEX('Compliance Database'!$G$2:$G$1960,MATCH(405,'Transfer Engine'!$C$2:$C$1960,0)))</f>
        <v/>
      </c>
      <c r="H414" s="9">
        <f>IF(ISNA(MATCH(405,'Transfer Engine'!$C$2:$C$1960,0)),"",INDEX('Compliance Database'!$H$2:$H$1960,MATCH(405,'Transfer Engine'!$C$2:$C$1960,0)))</f>
        <v/>
      </c>
      <c r="I414" s="9">
        <f>IF(ISNA(MATCH(405,'Transfer Engine'!$C$2:$C$1960,0)),"",INDEX('Compliance Database'!$I$2:$I$1960,MATCH(405,'Transfer Engine'!$C$2:$C$1960,0)))</f>
        <v/>
      </c>
      <c r="J414" s="8">
        <f>IF(ISNA(MATCH(405,'Transfer Engine'!$C$2:$C$1960,0)),"",INDEX('Compliance Database'!$J$2:$J$1960,MATCH(405,'Transfer Engine'!$C$2:$C$1960,0)))</f>
        <v/>
      </c>
      <c r="K414" s="9">
        <f>IF(ISNA(MATCH(405,'Transfer Engine'!$C$2:$C$1960,0)),"",INDEX('Compliance Database'!$K$2:$K$1960,MATCH(405,'Transfer Engine'!$C$2:$C$1960,0)))</f>
        <v/>
      </c>
      <c r="L414" s="9">
        <f>IF(ISNA(MATCH(405,'Transfer Engine'!$C$2:$C$1960,0)),"",INDEX('Compliance Database'!$L$2:$L$1960,MATCH(405,'Transfer Engine'!$C$2:$C$1960,0)))</f>
        <v/>
      </c>
      <c r="M414" s="9">
        <f>IF(ISNA(MATCH(405,'Transfer Engine'!$C$2:$C$1960,0)),"",INDEX('Compliance Database'!$M$2:$M$1960,MATCH(405,'Transfer Engine'!$C$2:$C$1960,0)))</f>
        <v/>
      </c>
      <c r="N414" s="9">
        <f>IF(ISNA(MATCH(405,'Transfer Engine'!$C$2:$C$1960,0)),"",INDEX('Compliance Database'!$N$2:$N$1960,MATCH(405,'Transfer Engine'!$C$2:$C$1960,0)))</f>
        <v/>
      </c>
      <c r="O414" s="9">
        <f>IF(ISNA(MATCH(405,'Transfer Engine'!$C$2:$C$1960,0)),"",INDEX('Compliance Database'!$O$2:$O$1960,MATCH(405,'Transfer Engine'!$C$2:$C$1960,0)))</f>
        <v/>
      </c>
      <c r="P414" s="8">
        <f>IF(ISNA(MATCH(405,'Transfer Engine'!$C$2:$C$1960,0)),"",HYPERLINK("#Acts!A"&amp;INDEX('Compliance Database'!$P$2:$P$1960,MATCH(405,'Transfer Engine'!$C$2:$C$1960,0)),"Go to Act"))</f>
        <v/>
      </c>
    </row>
    <row r="415" ht="158" customHeight="1">
      <c r="A415" s="8">
        <f>IF(ISNA(MATCH(406,'Transfer Engine'!$C$2:$C$1960,0)),"",INDEX('Compliance Database'!$A$2:$A$1960,MATCH(406,'Transfer Engine'!$C$2:$C$1960,0)))</f>
        <v/>
      </c>
      <c r="B415" s="8">
        <f>IF(ISNA(MATCH(406,'Transfer Engine'!$C$2:$C$1960,0)),"",INDEX('Compliance Database'!$B$2:$B$1960,MATCH(406,'Transfer Engine'!$C$2:$C$1960,0)))</f>
        <v/>
      </c>
      <c r="C415" s="8">
        <f>IF(ISNA(MATCH(406,'Transfer Engine'!$C$2:$C$1960,0)),"",INDEX('Compliance Database'!$C$2:$C$1960,MATCH(406,'Transfer Engine'!$C$2:$C$1960,0)))</f>
        <v/>
      </c>
      <c r="D415" s="9">
        <f>IF(ISNA(MATCH(406,'Transfer Engine'!$C$2:$C$1960,0)),"",INDEX('Compliance Database'!$D$2:$D$1960,MATCH(406,'Transfer Engine'!$C$2:$C$1960,0)))</f>
        <v/>
      </c>
      <c r="E415" s="8">
        <f>IF(ISNA(MATCH(406,'Transfer Engine'!$C$2:$C$1960,0)),"",INDEX('Compliance Database'!$E$2:$E$1960,MATCH(406,'Transfer Engine'!$C$2:$C$1960,0)))</f>
        <v/>
      </c>
      <c r="F415" s="8">
        <f>IF(ISNA(MATCH(406,'Transfer Engine'!$C$2:$C$1960,0)),"",INDEX('Compliance Database'!$F$2:$F$1960,MATCH(406,'Transfer Engine'!$C$2:$C$1960,0)))</f>
        <v/>
      </c>
      <c r="G415" s="8">
        <f>IF(ISNA(MATCH(406,'Transfer Engine'!$C$2:$C$1960,0)),"",INDEX('Compliance Database'!$G$2:$G$1960,MATCH(406,'Transfer Engine'!$C$2:$C$1960,0)))</f>
        <v/>
      </c>
      <c r="H415" s="9">
        <f>IF(ISNA(MATCH(406,'Transfer Engine'!$C$2:$C$1960,0)),"",INDEX('Compliance Database'!$H$2:$H$1960,MATCH(406,'Transfer Engine'!$C$2:$C$1960,0)))</f>
        <v/>
      </c>
      <c r="I415" s="9">
        <f>IF(ISNA(MATCH(406,'Transfer Engine'!$C$2:$C$1960,0)),"",INDEX('Compliance Database'!$I$2:$I$1960,MATCH(406,'Transfer Engine'!$C$2:$C$1960,0)))</f>
        <v/>
      </c>
      <c r="J415" s="8">
        <f>IF(ISNA(MATCH(406,'Transfer Engine'!$C$2:$C$1960,0)),"",INDEX('Compliance Database'!$J$2:$J$1960,MATCH(406,'Transfer Engine'!$C$2:$C$1960,0)))</f>
        <v/>
      </c>
      <c r="K415" s="9">
        <f>IF(ISNA(MATCH(406,'Transfer Engine'!$C$2:$C$1960,0)),"",INDEX('Compliance Database'!$K$2:$K$1960,MATCH(406,'Transfer Engine'!$C$2:$C$1960,0)))</f>
        <v/>
      </c>
      <c r="L415" s="9">
        <f>IF(ISNA(MATCH(406,'Transfer Engine'!$C$2:$C$1960,0)),"",INDEX('Compliance Database'!$L$2:$L$1960,MATCH(406,'Transfer Engine'!$C$2:$C$1960,0)))</f>
        <v/>
      </c>
      <c r="M415" s="9">
        <f>IF(ISNA(MATCH(406,'Transfer Engine'!$C$2:$C$1960,0)),"",INDEX('Compliance Database'!$M$2:$M$1960,MATCH(406,'Transfer Engine'!$C$2:$C$1960,0)))</f>
        <v/>
      </c>
      <c r="N415" s="9">
        <f>IF(ISNA(MATCH(406,'Transfer Engine'!$C$2:$C$1960,0)),"",INDEX('Compliance Database'!$N$2:$N$1960,MATCH(406,'Transfer Engine'!$C$2:$C$1960,0)))</f>
        <v/>
      </c>
      <c r="O415" s="9">
        <f>IF(ISNA(MATCH(406,'Transfer Engine'!$C$2:$C$1960,0)),"",INDEX('Compliance Database'!$O$2:$O$1960,MATCH(406,'Transfer Engine'!$C$2:$C$1960,0)))</f>
        <v/>
      </c>
      <c r="P415" s="8">
        <f>IF(ISNA(MATCH(406,'Transfer Engine'!$C$2:$C$1960,0)),"",HYPERLINK("#Acts!A"&amp;INDEX('Compliance Database'!$P$2:$P$1960,MATCH(406,'Transfer Engine'!$C$2:$C$1960,0)),"Go to Act"))</f>
        <v/>
      </c>
    </row>
    <row r="416" ht="158" customHeight="1">
      <c r="A416" s="8">
        <f>IF(ISNA(MATCH(407,'Transfer Engine'!$C$2:$C$1960,0)),"",INDEX('Compliance Database'!$A$2:$A$1960,MATCH(407,'Transfer Engine'!$C$2:$C$1960,0)))</f>
        <v/>
      </c>
      <c r="B416" s="8">
        <f>IF(ISNA(MATCH(407,'Transfer Engine'!$C$2:$C$1960,0)),"",INDEX('Compliance Database'!$B$2:$B$1960,MATCH(407,'Transfer Engine'!$C$2:$C$1960,0)))</f>
        <v/>
      </c>
      <c r="C416" s="8">
        <f>IF(ISNA(MATCH(407,'Transfer Engine'!$C$2:$C$1960,0)),"",INDEX('Compliance Database'!$C$2:$C$1960,MATCH(407,'Transfer Engine'!$C$2:$C$1960,0)))</f>
        <v/>
      </c>
      <c r="D416" s="9">
        <f>IF(ISNA(MATCH(407,'Transfer Engine'!$C$2:$C$1960,0)),"",INDEX('Compliance Database'!$D$2:$D$1960,MATCH(407,'Transfer Engine'!$C$2:$C$1960,0)))</f>
        <v/>
      </c>
      <c r="E416" s="8">
        <f>IF(ISNA(MATCH(407,'Transfer Engine'!$C$2:$C$1960,0)),"",INDEX('Compliance Database'!$E$2:$E$1960,MATCH(407,'Transfer Engine'!$C$2:$C$1960,0)))</f>
        <v/>
      </c>
      <c r="F416" s="8">
        <f>IF(ISNA(MATCH(407,'Transfer Engine'!$C$2:$C$1960,0)),"",INDEX('Compliance Database'!$F$2:$F$1960,MATCH(407,'Transfer Engine'!$C$2:$C$1960,0)))</f>
        <v/>
      </c>
      <c r="G416" s="8">
        <f>IF(ISNA(MATCH(407,'Transfer Engine'!$C$2:$C$1960,0)),"",INDEX('Compliance Database'!$G$2:$G$1960,MATCH(407,'Transfer Engine'!$C$2:$C$1960,0)))</f>
        <v/>
      </c>
      <c r="H416" s="9">
        <f>IF(ISNA(MATCH(407,'Transfer Engine'!$C$2:$C$1960,0)),"",INDEX('Compliance Database'!$H$2:$H$1960,MATCH(407,'Transfer Engine'!$C$2:$C$1960,0)))</f>
        <v/>
      </c>
      <c r="I416" s="9">
        <f>IF(ISNA(MATCH(407,'Transfer Engine'!$C$2:$C$1960,0)),"",INDEX('Compliance Database'!$I$2:$I$1960,MATCH(407,'Transfer Engine'!$C$2:$C$1960,0)))</f>
        <v/>
      </c>
      <c r="J416" s="8">
        <f>IF(ISNA(MATCH(407,'Transfer Engine'!$C$2:$C$1960,0)),"",INDEX('Compliance Database'!$J$2:$J$1960,MATCH(407,'Transfer Engine'!$C$2:$C$1960,0)))</f>
        <v/>
      </c>
      <c r="K416" s="9">
        <f>IF(ISNA(MATCH(407,'Transfer Engine'!$C$2:$C$1960,0)),"",INDEX('Compliance Database'!$K$2:$K$1960,MATCH(407,'Transfer Engine'!$C$2:$C$1960,0)))</f>
        <v/>
      </c>
      <c r="L416" s="9">
        <f>IF(ISNA(MATCH(407,'Transfer Engine'!$C$2:$C$1960,0)),"",INDEX('Compliance Database'!$L$2:$L$1960,MATCH(407,'Transfer Engine'!$C$2:$C$1960,0)))</f>
        <v/>
      </c>
      <c r="M416" s="9">
        <f>IF(ISNA(MATCH(407,'Transfer Engine'!$C$2:$C$1960,0)),"",INDEX('Compliance Database'!$M$2:$M$1960,MATCH(407,'Transfer Engine'!$C$2:$C$1960,0)))</f>
        <v/>
      </c>
      <c r="N416" s="9">
        <f>IF(ISNA(MATCH(407,'Transfer Engine'!$C$2:$C$1960,0)),"",INDEX('Compliance Database'!$N$2:$N$1960,MATCH(407,'Transfer Engine'!$C$2:$C$1960,0)))</f>
        <v/>
      </c>
      <c r="O416" s="9">
        <f>IF(ISNA(MATCH(407,'Transfer Engine'!$C$2:$C$1960,0)),"",INDEX('Compliance Database'!$O$2:$O$1960,MATCH(407,'Transfer Engine'!$C$2:$C$1960,0)))</f>
        <v/>
      </c>
      <c r="P416" s="8">
        <f>IF(ISNA(MATCH(407,'Transfer Engine'!$C$2:$C$1960,0)),"",HYPERLINK("#Acts!A"&amp;INDEX('Compliance Database'!$P$2:$P$1960,MATCH(407,'Transfer Engine'!$C$2:$C$1960,0)),"Go to Act"))</f>
        <v/>
      </c>
    </row>
    <row r="417" ht="158" customHeight="1">
      <c r="A417" s="8">
        <f>IF(ISNA(MATCH(408,'Transfer Engine'!$C$2:$C$1960,0)),"",INDEX('Compliance Database'!$A$2:$A$1960,MATCH(408,'Transfer Engine'!$C$2:$C$1960,0)))</f>
        <v/>
      </c>
      <c r="B417" s="8">
        <f>IF(ISNA(MATCH(408,'Transfer Engine'!$C$2:$C$1960,0)),"",INDEX('Compliance Database'!$B$2:$B$1960,MATCH(408,'Transfer Engine'!$C$2:$C$1960,0)))</f>
        <v/>
      </c>
      <c r="C417" s="8">
        <f>IF(ISNA(MATCH(408,'Transfer Engine'!$C$2:$C$1960,0)),"",INDEX('Compliance Database'!$C$2:$C$1960,MATCH(408,'Transfer Engine'!$C$2:$C$1960,0)))</f>
        <v/>
      </c>
      <c r="D417" s="9">
        <f>IF(ISNA(MATCH(408,'Transfer Engine'!$C$2:$C$1960,0)),"",INDEX('Compliance Database'!$D$2:$D$1960,MATCH(408,'Transfer Engine'!$C$2:$C$1960,0)))</f>
        <v/>
      </c>
      <c r="E417" s="8">
        <f>IF(ISNA(MATCH(408,'Transfer Engine'!$C$2:$C$1960,0)),"",INDEX('Compliance Database'!$E$2:$E$1960,MATCH(408,'Transfer Engine'!$C$2:$C$1960,0)))</f>
        <v/>
      </c>
      <c r="F417" s="8">
        <f>IF(ISNA(MATCH(408,'Transfer Engine'!$C$2:$C$1960,0)),"",INDEX('Compliance Database'!$F$2:$F$1960,MATCH(408,'Transfer Engine'!$C$2:$C$1960,0)))</f>
        <v/>
      </c>
      <c r="G417" s="8">
        <f>IF(ISNA(MATCH(408,'Transfer Engine'!$C$2:$C$1960,0)),"",INDEX('Compliance Database'!$G$2:$G$1960,MATCH(408,'Transfer Engine'!$C$2:$C$1960,0)))</f>
        <v/>
      </c>
      <c r="H417" s="9">
        <f>IF(ISNA(MATCH(408,'Transfer Engine'!$C$2:$C$1960,0)),"",INDEX('Compliance Database'!$H$2:$H$1960,MATCH(408,'Transfer Engine'!$C$2:$C$1960,0)))</f>
        <v/>
      </c>
      <c r="I417" s="9">
        <f>IF(ISNA(MATCH(408,'Transfer Engine'!$C$2:$C$1960,0)),"",INDEX('Compliance Database'!$I$2:$I$1960,MATCH(408,'Transfer Engine'!$C$2:$C$1960,0)))</f>
        <v/>
      </c>
      <c r="J417" s="8">
        <f>IF(ISNA(MATCH(408,'Transfer Engine'!$C$2:$C$1960,0)),"",INDEX('Compliance Database'!$J$2:$J$1960,MATCH(408,'Transfer Engine'!$C$2:$C$1960,0)))</f>
        <v/>
      </c>
      <c r="K417" s="9">
        <f>IF(ISNA(MATCH(408,'Transfer Engine'!$C$2:$C$1960,0)),"",INDEX('Compliance Database'!$K$2:$K$1960,MATCH(408,'Transfer Engine'!$C$2:$C$1960,0)))</f>
        <v/>
      </c>
      <c r="L417" s="9">
        <f>IF(ISNA(MATCH(408,'Transfer Engine'!$C$2:$C$1960,0)),"",INDEX('Compliance Database'!$L$2:$L$1960,MATCH(408,'Transfer Engine'!$C$2:$C$1960,0)))</f>
        <v/>
      </c>
      <c r="M417" s="9">
        <f>IF(ISNA(MATCH(408,'Transfer Engine'!$C$2:$C$1960,0)),"",INDEX('Compliance Database'!$M$2:$M$1960,MATCH(408,'Transfer Engine'!$C$2:$C$1960,0)))</f>
        <v/>
      </c>
      <c r="N417" s="9">
        <f>IF(ISNA(MATCH(408,'Transfer Engine'!$C$2:$C$1960,0)),"",INDEX('Compliance Database'!$N$2:$N$1960,MATCH(408,'Transfer Engine'!$C$2:$C$1960,0)))</f>
        <v/>
      </c>
      <c r="O417" s="9">
        <f>IF(ISNA(MATCH(408,'Transfer Engine'!$C$2:$C$1960,0)),"",INDEX('Compliance Database'!$O$2:$O$1960,MATCH(408,'Transfer Engine'!$C$2:$C$1960,0)))</f>
        <v/>
      </c>
      <c r="P417" s="8">
        <f>IF(ISNA(MATCH(408,'Transfer Engine'!$C$2:$C$1960,0)),"",HYPERLINK("#Acts!A"&amp;INDEX('Compliance Database'!$P$2:$P$1960,MATCH(408,'Transfer Engine'!$C$2:$C$1960,0)),"Go to Act"))</f>
        <v/>
      </c>
    </row>
    <row r="418" ht="158" customHeight="1">
      <c r="A418" s="8">
        <f>IF(ISNA(MATCH(409,'Transfer Engine'!$C$2:$C$1960,0)),"",INDEX('Compliance Database'!$A$2:$A$1960,MATCH(409,'Transfer Engine'!$C$2:$C$1960,0)))</f>
        <v/>
      </c>
      <c r="B418" s="8">
        <f>IF(ISNA(MATCH(409,'Transfer Engine'!$C$2:$C$1960,0)),"",INDEX('Compliance Database'!$B$2:$B$1960,MATCH(409,'Transfer Engine'!$C$2:$C$1960,0)))</f>
        <v/>
      </c>
      <c r="C418" s="8">
        <f>IF(ISNA(MATCH(409,'Transfer Engine'!$C$2:$C$1960,0)),"",INDEX('Compliance Database'!$C$2:$C$1960,MATCH(409,'Transfer Engine'!$C$2:$C$1960,0)))</f>
        <v/>
      </c>
      <c r="D418" s="9">
        <f>IF(ISNA(MATCH(409,'Transfer Engine'!$C$2:$C$1960,0)),"",INDEX('Compliance Database'!$D$2:$D$1960,MATCH(409,'Transfer Engine'!$C$2:$C$1960,0)))</f>
        <v/>
      </c>
      <c r="E418" s="8">
        <f>IF(ISNA(MATCH(409,'Transfer Engine'!$C$2:$C$1960,0)),"",INDEX('Compliance Database'!$E$2:$E$1960,MATCH(409,'Transfer Engine'!$C$2:$C$1960,0)))</f>
        <v/>
      </c>
      <c r="F418" s="8">
        <f>IF(ISNA(MATCH(409,'Transfer Engine'!$C$2:$C$1960,0)),"",INDEX('Compliance Database'!$F$2:$F$1960,MATCH(409,'Transfer Engine'!$C$2:$C$1960,0)))</f>
        <v/>
      </c>
      <c r="G418" s="8">
        <f>IF(ISNA(MATCH(409,'Transfer Engine'!$C$2:$C$1960,0)),"",INDEX('Compliance Database'!$G$2:$G$1960,MATCH(409,'Transfer Engine'!$C$2:$C$1960,0)))</f>
        <v/>
      </c>
      <c r="H418" s="9">
        <f>IF(ISNA(MATCH(409,'Transfer Engine'!$C$2:$C$1960,0)),"",INDEX('Compliance Database'!$H$2:$H$1960,MATCH(409,'Transfer Engine'!$C$2:$C$1960,0)))</f>
        <v/>
      </c>
      <c r="I418" s="9">
        <f>IF(ISNA(MATCH(409,'Transfer Engine'!$C$2:$C$1960,0)),"",INDEX('Compliance Database'!$I$2:$I$1960,MATCH(409,'Transfer Engine'!$C$2:$C$1960,0)))</f>
        <v/>
      </c>
      <c r="J418" s="8">
        <f>IF(ISNA(MATCH(409,'Transfer Engine'!$C$2:$C$1960,0)),"",INDEX('Compliance Database'!$J$2:$J$1960,MATCH(409,'Transfer Engine'!$C$2:$C$1960,0)))</f>
        <v/>
      </c>
      <c r="K418" s="9">
        <f>IF(ISNA(MATCH(409,'Transfer Engine'!$C$2:$C$1960,0)),"",INDEX('Compliance Database'!$K$2:$K$1960,MATCH(409,'Transfer Engine'!$C$2:$C$1960,0)))</f>
        <v/>
      </c>
      <c r="L418" s="9">
        <f>IF(ISNA(MATCH(409,'Transfer Engine'!$C$2:$C$1960,0)),"",INDEX('Compliance Database'!$L$2:$L$1960,MATCH(409,'Transfer Engine'!$C$2:$C$1960,0)))</f>
        <v/>
      </c>
      <c r="M418" s="9">
        <f>IF(ISNA(MATCH(409,'Transfer Engine'!$C$2:$C$1960,0)),"",INDEX('Compliance Database'!$M$2:$M$1960,MATCH(409,'Transfer Engine'!$C$2:$C$1960,0)))</f>
        <v/>
      </c>
      <c r="N418" s="9">
        <f>IF(ISNA(MATCH(409,'Transfer Engine'!$C$2:$C$1960,0)),"",INDEX('Compliance Database'!$N$2:$N$1960,MATCH(409,'Transfer Engine'!$C$2:$C$1960,0)))</f>
        <v/>
      </c>
      <c r="O418" s="9">
        <f>IF(ISNA(MATCH(409,'Transfer Engine'!$C$2:$C$1960,0)),"",INDEX('Compliance Database'!$O$2:$O$1960,MATCH(409,'Transfer Engine'!$C$2:$C$1960,0)))</f>
        <v/>
      </c>
      <c r="P418" s="8">
        <f>IF(ISNA(MATCH(409,'Transfer Engine'!$C$2:$C$1960,0)),"",HYPERLINK("#Acts!A"&amp;INDEX('Compliance Database'!$P$2:$P$1960,MATCH(409,'Transfer Engine'!$C$2:$C$1960,0)),"Go to Act"))</f>
        <v/>
      </c>
    </row>
    <row r="419" ht="158" customHeight="1">
      <c r="A419" s="8">
        <f>IF(ISNA(MATCH(410,'Transfer Engine'!$C$2:$C$1960,0)),"",INDEX('Compliance Database'!$A$2:$A$1960,MATCH(410,'Transfer Engine'!$C$2:$C$1960,0)))</f>
        <v/>
      </c>
      <c r="B419" s="8">
        <f>IF(ISNA(MATCH(410,'Transfer Engine'!$C$2:$C$1960,0)),"",INDEX('Compliance Database'!$B$2:$B$1960,MATCH(410,'Transfer Engine'!$C$2:$C$1960,0)))</f>
        <v/>
      </c>
      <c r="C419" s="8">
        <f>IF(ISNA(MATCH(410,'Transfer Engine'!$C$2:$C$1960,0)),"",INDEX('Compliance Database'!$C$2:$C$1960,MATCH(410,'Transfer Engine'!$C$2:$C$1960,0)))</f>
        <v/>
      </c>
      <c r="D419" s="9">
        <f>IF(ISNA(MATCH(410,'Transfer Engine'!$C$2:$C$1960,0)),"",INDEX('Compliance Database'!$D$2:$D$1960,MATCH(410,'Transfer Engine'!$C$2:$C$1960,0)))</f>
        <v/>
      </c>
      <c r="E419" s="8">
        <f>IF(ISNA(MATCH(410,'Transfer Engine'!$C$2:$C$1960,0)),"",INDEX('Compliance Database'!$E$2:$E$1960,MATCH(410,'Transfer Engine'!$C$2:$C$1960,0)))</f>
        <v/>
      </c>
      <c r="F419" s="8">
        <f>IF(ISNA(MATCH(410,'Transfer Engine'!$C$2:$C$1960,0)),"",INDEX('Compliance Database'!$F$2:$F$1960,MATCH(410,'Transfer Engine'!$C$2:$C$1960,0)))</f>
        <v/>
      </c>
      <c r="G419" s="8">
        <f>IF(ISNA(MATCH(410,'Transfer Engine'!$C$2:$C$1960,0)),"",INDEX('Compliance Database'!$G$2:$G$1960,MATCH(410,'Transfer Engine'!$C$2:$C$1960,0)))</f>
        <v/>
      </c>
      <c r="H419" s="9">
        <f>IF(ISNA(MATCH(410,'Transfer Engine'!$C$2:$C$1960,0)),"",INDEX('Compliance Database'!$H$2:$H$1960,MATCH(410,'Transfer Engine'!$C$2:$C$1960,0)))</f>
        <v/>
      </c>
      <c r="I419" s="9">
        <f>IF(ISNA(MATCH(410,'Transfer Engine'!$C$2:$C$1960,0)),"",INDEX('Compliance Database'!$I$2:$I$1960,MATCH(410,'Transfer Engine'!$C$2:$C$1960,0)))</f>
        <v/>
      </c>
      <c r="J419" s="8">
        <f>IF(ISNA(MATCH(410,'Transfer Engine'!$C$2:$C$1960,0)),"",INDEX('Compliance Database'!$J$2:$J$1960,MATCH(410,'Transfer Engine'!$C$2:$C$1960,0)))</f>
        <v/>
      </c>
      <c r="K419" s="9">
        <f>IF(ISNA(MATCH(410,'Transfer Engine'!$C$2:$C$1960,0)),"",INDEX('Compliance Database'!$K$2:$K$1960,MATCH(410,'Transfer Engine'!$C$2:$C$1960,0)))</f>
        <v/>
      </c>
      <c r="L419" s="9">
        <f>IF(ISNA(MATCH(410,'Transfer Engine'!$C$2:$C$1960,0)),"",INDEX('Compliance Database'!$L$2:$L$1960,MATCH(410,'Transfer Engine'!$C$2:$C$1960,0)))</f>
        <v/>
      </c>
      <c r="M419" s="9">
        <f>IF(ISNA(MATCH(410,'Transfer Engine'!$C$2:$C$1960,0)),"",INDEX('Compliance Database'!$M$2:$M$1960,MATCH(410,'Transfer Engine'!$C$2:$C$1960,0)))</f>
        <v/>
      </c>
      <c r="N419" s="9">
        <f>IF(ISNA(MATCH(410,'Transfer Engine'!$C$2:$C$1960,0)),"",INDEX('Compliance Database'!$N$2:$N$1960,MATCH(410,'Transfer Engine'!$C$2:$C$1960,0)))</f>
        <v/>
      </c>
      <c r="O419" s="9">
        <f>IF(ISNA(MATCH(410,'Transfer Engine'!$C$2:$C$1960,0)),"",INDEX('Compliance Database'!$O$2:$O$1960,MATCH(410,'Transfer Engine'!$C$2:$C$1960,0)))</f>
        <v/>
      </c>
      <c r="P419" s="8">
        <f>IF(ISNA(MATCH(410,'Transfer Engine'!$C$2:$C$1960,0)),"",HYPERLINK("#Acts!A"&amp;INDEX('Compliance Database'!$P$2:$P$1960,MATCH(410,'Transfer Engine'!$C$2:$C$1960,0)),"Go to Act"))</f>
        <v/>
      </c>
    </row>
    <row r="420" ht="158" customHeight="1">
      <c r="A420" s="8">
        <f>IF(ISNA(MATCH(411,'Transfer Engine'!$C$2:$C$1960,0)),"",INDEX('Compliance Database'!$A$2:$A$1960,MATCH(411,'Transfer Engine'!$C$2:$C$1960,0)))</f>
        <v/>
      </c>
      <c r="B420" s="8">
        <f>IF(ISNA(MATCH(411,'Transfer Engine'!$C$2:$C$1960,0)),"",INDEX('Compliance Database'!$B$2:$B$1960,MATCH(411,'Transfer Engine'!$C$2:$C$1960,0)))</f>
        <v/>
      </c>
      <c r="C420" s="8">
        <f>IF(ISNA(MATCH(411,'Transfer Engine'!$C$2:$C$1960,0)),"",INDEX('Compliance Database'!$C$2:$C$1960,MATCH(411,'Transfer Engine'!$C$2:$C$1960,0)))</f>
        <v/>
      </c>
      <c r="D420" s="9">
        <f>IF(ISNA(MATCH(411,'Transfer Engine'!$C$2:$C$1960,0)),"",INDEX('Compliance Database'!$D$2:$D$1960,MATCH(411,'Transfer Engine'!$C$2:$C$1960,0)))</f>
        <v/>
      </c>
      <c r="E420" s="8">
        <f>IF(ISNA(MATCH(411,'Transfer Engine'!$C$2:$C$1960,0)),"",INDEX('Compliance Database'!$E$2:$E$1960,MATCH(411,'Transfer Engine'!$C$2:$C$1960,0)))</f>
        <v/>
      </c>
      <c r="F420" s="8">
        <f>IF(ISNA(MATCH(411,'Transfer Engine'!$C$2:$C$1960,0)),"",INDEX('Compliance Database'!$F$2:$F$1960,MATCH(411,'Transfer Engine'!$C$2:$C$1960,0)))</f>
        <v/>
      </c>
      <c r="G420" s="8">
        <f>IF(ISNA(MATCH(411,'Transfer Engine'!$C$2:$C$1960,0)),"",INDEX('Compliance Database'!$G$2:$G$1960,MATCH(411,'Transfer Engine'!$C$2:$C$1960,0)))</f>
        <v/>
      </c>
      <c r="H420" s="9">
        <f>IF(ISNA(MATCH(411,'Transfer Engine'!$C$2:$C$1960,0)),"",INDEX('Compliance Database'!$H$2:$H$1960,MATCH(411,'Transfer Engine'!$C$2:$C$1960,0)))</f>
        <v/>
      </c>
      <c r="I420" s="9">
        <f>IF(ISNA(MATCH(411,'Transfer Engine'!$C$2:$C$1960,0)),"",INDEX('Compliance Database'!$I$2:$I$1960,MATCH(411,'Transfer Engine'!$C$2:$C$1960,0)))</f>
        <v/>
      </c>
      <c r="J420" s="8">
        <f>IF(ISNA(MATCH(411,'Transfer Engine'!$C$2:$C$1960,0)),"",INDEX('Compliance Database'!$J$2:$J$1960,MATCH(411,'Transfer Engine'!$C$2:$C$1960,0)))</f>
        <v/>
      </c>
      <c r="K420" s="9">
        <f>IF(ISNA(MATCH(411,'Transfer Engine'!$C$2:$C$1960,0)),"",INDEX('Compliance Database'!$K$2:$K$1960,MATCH(411,'Transfer Engine'!$C$2:$C$1960,0)))</f>
        <v/>
      </c>
      <c r="L420" s="9">
        <f>IF(ISNA(MATCH(411,'Transfer Engine'!$C$2:$C$1960,0)),"",INDEX('Compliance Database'!$L$2:$L$1960,MATCH(411,'Transfer Engine'!$C$2:$C$1960,0)))</f>
        <v/>
      </c>
      <c r="M420" s="9">
        <f>IF(ISNA(MATCH(411,'Transfer Engine'!$C$2:$C$1960,0)),"",INDEX('Compliance Database'!$M$2:$M$1960,MATCH(411,'Transfer Engine'!$C$2:$C$1960,0)))</f>
        <v/>
      </c>
      <c r="N420" s="9">
        <f>IF(ISNA(MATCH(411,'Transfer Engine'!$C$2:$C$1960,0)),"",INDEX('Compliance Database'!$N$2:$N$1960,MATCH(411,'Transfer Engine'!$C$2:$C$1960,0)))</f>
        <v/>
      </c>
      <c r="O420" s="9">
        <f>IF(ISNA(MATCH(411,'Transfer Engine'!$C$2:$C$1960,0)),"",INDEX('Compliance Database'!$O$2:$O$1960,MATCH(411,'Transfer Engine'!$C$2:$C$1960,0)))</f>
        <v/>
      </c>
      <c r="P420" s="8">
        <f>IF(ISNA(MATCH(411,'Transfer Engine'!$C$2:$C$1960,0)),"",HYPERLINK("#Acts!A"&amp;INDEX('Compliance Database'!$P$2:$P$1960,MATCH(411,'Transfer Engine'!$C$2:$C$1960,0)),"Go to Act"))</f>
        <v/>
      </c>
    </row>
    <row r="421" ht="158" customHeight="1">
      <c r="A421" s="8">
        <f>IF(ISNA(MATCH(412,'Transfer Engine'!$C$2:$C$1960,0)),"",INDEX('Compliance Database'!$A$2:$A$1960,MATCH(412,'Transfer Engine'!$C$2:$C$1960,0)))</f>
        <v/>
      </c>
      <c r="B421" s="8">
        <f>IF(ISNA(MATCH(412,'Transfer Engine'!$C$2:$C$1960,0)),"",INDEX('Compliance Database'!$B$2:$B$1960,MATCH(412,'Transfer Engine'!$C$2:$C$1960,0)))</f>
        <v/>
      </c>
      <c r="C421" s="8">
        <f>IF(ISNA(MATCH(412,'Transfer Engine'!$C$2:$C$1960,0)),"",INDEX('Compliance Database'!$C$2:$C$1960,MATCH(412,'Transfer Engine'!$C$2:$C$1960,0)))</f>
        <v/>
      </c>
      <c r="D421" s="9">
        <f>IF(ISNA(MATCH(412,'Transfer Engine'!$C$2:$C$1960,0)),"",INDEX('Compliance Database'!$D$2:$D$1960,MATCH(412,'Transfer Engine'!$C$2:$C$1960,0)))</f>
        <v/>
      </c>
      <c r="E421" s="8">
        <f>IF(ISNA(MATCH(412,'Transfer Engine'!$C$2:$C$1960,0)),"",INDEX('Compliance Database'!$E$2:$E$1960,MATCH(412,'Transfer Engine'!$C$2:$C$1960,0)))</f>
        <v/>
      </c>
      <c r="F421" s="8">
        <f>IF(ISNA(MATCH(412,'Transfer Engine'!$C$2:$C$1960,0)),"",INDEX('Compliance Database'!$F$2:$F$1960,MATCH(412,'Transfer Engine'!$C$2:$C$1960,0)))</f>
        <v/>
      </c>
      <c r="G421" s="8">
        <f>IF(ISNA(MATCH(412,'Transfer Engine'!$C$2:$C$1960,0)),"",INDEX('Compliance Database'!$G$2:$G$1960,MATCH(412,'Transfer Engine'!$C$2:$C$1960,0)))</f>
        <v/>
      </c>
      <c r="H421" s="9">
        <f>IF(ISNA(MATCH(412,'Transfer Engine'!$C$2:$C$1960,0)),"",INDEX('Compliance Database'!$H$2:$H$1960,MATCH(412,'Transfer Engine'!$C$2:$C$1960,0)))</f>
        <v/>
      </c>
      <c r="I421" s="9">
        <f>IF(ISNA(MATCH(412,'Transfer Engine'!$C$2:$C$1960,0)),"",INDEX('Compliance Database'!$I$2:$I$1960,MATCH(412,'Transfer Engine'!$C$2:$C$1960,0)))</f>
        <v/>
      </c>
      <c r="J421" s="8">
        <f>IF(ISNA(MATCH(412,'Transfer Engine'!$C$2:$C$1960,0)),"",INDEX('Compliance Database'!$J$2:$J$1960,MATCH(412,'Transfer Engine'!$C$2:$C$1960,0)))</f>
        <v/>
      </c>
      <c r="K421" s="9">
        <f>IF(ISNA(MATCH(412,'Transfer Engine'!$C$2:$C$1960,0)),"",INDEX('Compliance Database'!$K$2:$K$1960,MATCH(412,'Transfer Engine'!$C$2:$C$1960,0)))</f>
        <v/>
      </c>
      <c r="L421" s="9">
        <f>IF(ISNA(MATCH(412,'Transfer Engine'!$C$2:$C$1960,0)),"",INDEX('Compliance Database'!$L$2:$L$1960,MATCH(412,'Transfer Engine'!$C$2:$C$1960,0)))</f>
        <v/>
      </c>
      <c r="M421" s="9">
        <f>IF(ISNA(MATCH(412,'Transfer Engine'!$C$2:$C$1960,0)),"",INDEX('Compliance Database'!$M$2:$M$1960,MATCH(412,'Transfer Engine'!$C$2:$C$1960,0)))</f>
        <v/>
      </c>
      <c r="N421" s="9">
        <f>IF(ISNA(MATCH(412,'Transfer Engine'!$C$2:$C$1960,0)),"",INDEX('Compliance Database'!$N$2:$N$1960,MATCH(412,'Transfer Engine'!$C$2:$C$1960,0)))</f>
        <v/>
      </c>
      <c r="O421" s="9">
        <f>IF(ISNA(MATCH(412,'Transfer Engine'!$C$2:$C$1960,0)),"",INDEX('Compliance Database'!$O$2:$O$1960,MATCH(412,'Transfer Engine'!$C$2:$C$1960,0)))</f>
        <v/>
      </c>
      <c r="P421" s="8">
        <f>IF(ISNA(MATCH(412,'Transfer Engine'!$C$2:$C$1960,0)),"",HYPERLINK("#Acts!A"&amp;INDEX('Compliance Database'!$P$2:$P$1960,MATCH(412,'Transfer Engine'!$C$2:$C$1960,0)),"Go to Act"))</f>
        <v/>
      </c>
    </row>
    <row r="422" ht="158" customHeight="1">
      <c r="A422" s="8">
        <f>IF(ISNA(MATCH(413,'Transfer Engine'!$C$2:$C$1960,0)),"",INDEX('Compliance Database'!$A$2:$A$1960,MATCH(413,'Transfer Engine'!$C$2:$C$1960,0)))</f>
        <v/>
      </c>
      <c r="B422" s="8">
        <f>IF(ISNA(MATCH(413,'Transfer Engine'!$C$2:$C$1960,0)),"",INDEX('Compliance Database'!$B$2:$B$1960,MATCH(413,'Transfer Engine'!$C$2:$C$1960,0)))</f>
        <v/>
      </c>
      <c r="C422" s="8">
        <f>IF(ISNA(MATCH(413,'Transfer Engine'!$C$2:$C$1960,0)),"",INDEX('Compliance Database'!$C$2:$C$1960,MATCH(413,'Transfer Engine'!$C$2:$C$1960,0)))</f>
        <v/>
      </c>
      <c r="D422" s="9">
        <f>IF(ISNA(MATCH(413,'Transfer Engine'!$C$2:$C$1960,0)),"",INDEX('Compliance Database'!$D$2:$D$1960,MATCH(413,'Transfer Engine'!$C$2:$C$1960,0)))</f>
        <v/>
      </c>
      <c r="E422" s="8">
        <f>IF(ISNA(MATCH(413,'Transfer Engine'!$C$2:$C$1960,0)),"",INDEX('Compliance Database'!$E$2:$E$1960,MATCH(413,'Transfer Engine'!$C$2:$C$1960,0)))</f>
        <v/>
      </c>
      <c r="F422" s="8">
        <f>IF(ISNA(MATCH(413,'Transfer Engine'!$C$2:$C$1960,0)),"",INDEX('Compliance Database'!$F$2:$F$1960,MATCH(413,'Transfer Engine'!$C$2:$C$1960,0)))</f>
        <v/>
      </c>
      <c r="G422" s="8">
        <f>IF(ISNA(MATCH(413,'Transfer Engine'!$C$2:$C$1960,0)),"",INDEX('Compliance Database'!$G$2:$G$1960,MATCH(413,'Transfer Engine'!$C$2:$C$1960,0)))</f>
        <v/>
      </c>
      <c r="H422" s="9">
        <f>IF(ISNA(MATCH(413,'Transfer Engine'!$C$2:$C$1960,0)),"",INDEX('Compliance Database'!$H$2:$H$1960,MATCH(413,'Transfer Engine'!$C$2:$C$1960,0)))</f>
        <v/>
      </c>
      <c r="I422" s="9">
        <f>IF(ISNA(MATCH(413,'Transfer Engine'!$C$2:$C$1960,0)),"",INDEX('Compliance Database'!$I$2:$I$1960,MATCH(413,'Transfer Engine'!$C$2:$C$1960,0)))</f>
        <v/>
      </c>
      <c r="J422" s="8">
        <f>IF(ISNA(MATCH(413,'Transfer Engine'!$C$2:$C$1960,0)),"",INDEX('Compliance Database'!$J$2:$J$1960,MATCH(413,'Transfer Engine'!$C$2:$C$1960,0)))</f>
        <v/>
      </c>
      <c r="K422" s="9">
        <f>IF(ISNA(MATCH(413,'Transfer Engine'!$C$2:$C$1960,0)),"",INDEX('Compliance Database'!$K$2:$K$1960,MATCH(413,'Transfer Engine'!$C$2:$C$1960,0)))</f>
        <v/>
      </c>
      <c r="L422" s="9">
        <f>IF(ISNA(MATCH(413,'Transfer Engine'!$C$2:$C$1960,0)),"",INDEX('Compliance Database'!$L$2:$L$1960,MATCH(413,'Transfer Engine'!$C$2:$C$1960,0)))</f>
        <v/>
      </c>
      <c r="M422" s="9">
        <f>IF(ISNA(MATCH(413,'Transfer Engine'!$C$2:$C$1960,0)),"",INDEX('Compliance Database'!$M$2:$M$1960,MATCH(413,'Transfer Engine'!$C$2:$C$1960,0)))</f>
        <v/>
      </c>
      <c r="N422" s="9">
        <f>IF(ISNA(MATCH(413,'Transfer Engine'!$C$2:$C$1960,0)),"",INDEX('Compliance Database'!$N$2:$N$1960,MATCH(413,'Transfer Engine'!$C$2:$C$1960,0)))</f>
        <v/>
      </c>
      <c r="O422" s="9">
        <f>IF(ISNA(MATCH(413,'Transfer Engine'!$C$2:$C$1960,0)),"",INDEX('Compliance Database'!$O$2:$O$1960,MATCH(413,'Transfer Engine'!$C$2:$C$1960,0)))</f>
        <v/>
      </c>
      <c r="P422" s="8">
        <f>IF(ISNA(MATCH(413,'Transfer Engine'!$C$2:$C$1960,0)),"",HYPERLINK("#Acts!A"&amp;INDEX('Compliance Database'!$P$2:$P$1960,MATCH(413,'Transfer Engine'!$C$2:$C$1960,0)),"Go to Act"))</f>
        <v/>
      </c>
    </row>
    <row r="423" ht="158" customHeight="1">
      <c r="A423" s="8">
        <f>IF(ISNA(MATCH(414,'Transfer Engine'!$C$2:$C$1960,0)),"",INDEX('Compliance Database'!$A$2:$A$1960,MATCH(414,'Transfer Engine'!$C$2:$C$1960,0)))</f>
        <v/>
      </c>
      <c r="B423" s="8">
        <f>IF(ISNA(MATCH(414,'Transfer Engine'!$C$2:$C$1960,0)),"",INDEX('Compliance Database'!$B$2:$B$1960,MATCH(414,'Transfer Engine'!$C$2:$C$1960,0)))</f>
        <v/>
      </c>
      <c r="C423" s="8">
        <f>IF(ISNA(MATCH(414,'Transfer Engine'!$C$2:$C$1960,0)),"",INDEX('Compliance Database'!$C$2:$C$1960,MATCH(414,'Transfer Engine'!$C$2:$C$1960,0)))</f>
        <v/>
      </c>
      <c r="D423" s="9">
        <f>IF(ISNA(MATCH(414,'Transfer Engine'!$C$2:$C$1960,0)),"",INDEX('Compliance Database'!$D$2:$D$1960,MATCH(414,'Transfer Engine'!$C$2:$C$1960,0)))</f>
        <v/>
      </c>
      <c r="E423" s="8">
        <f>IF(ISNA(MATCH(414,'Transfer Engine'!$C$2:$C$1960,0)),"",INDEX('Compliance Database'!$E$2:$E$1960,MATCH(414,'Transfer Engine'!$C$2:$C$1960,0)))</f>
        <v/>
      </c>
      <c r="F423" s="8">
        <f>IF(ISNA(MATCH(414,'Transfer Engine'!$C$2:$C$1960,0)),"",INDEX('Compliance Database'!$F$2:$F$1960,MATCH(414,'Transfer Engine'!$C$2:$C$1960,0)))</f>
        <v/>
      </c>
      <c r="G423" s="8">
        <f>IF(ISNA(MATCH(414,'Transfer Engine'!$C$2:$C$1960,0)),"",INDEX('Compliance Database'!$G$2:$G$1960,MATCH(414,'Transfer Engine'!$C$2:$C$1960,0)))</f>
        <v/>
      </c>
      <c r="H423" s="9">
        <f>IF(ISNA(MATCH(414,'Transfer Engine'!$C$2:$C$1960,0)),"",INDEX('Compliance Database'!$H$2:$H$1960,MATCH(414,'Transfer Engine'!$C$2:$C$1960,0)))</f>
        <v/>
      </c>
      <c r="I423" s="9">
        <f>IF(ISNA(MATCH(414,'Transfer Engine'!$C$2:$C$1960,0)),"",INDEX('Compliance Database'!$I$2:$I$1960,MATCH(414,'Transfer Engine'!$C$2:$C$1960,0)))</f>
        <v/>
      </c>
      <c r="J423" s="8">
        <f>IF(ISNA(MATCH(414,'Transfer Engine'!$C$2:$C$1960,0)),"",INDEX('Compliance Database'!$J$2:$J$1960,MATCH(414,'Transfer Engine'!$C$2:$C$1960,0)))</f>
        <v/>
      </c>
      <c r="K423" s="9">
        <f>IF(ISNA(MATCH(414,'Transfer Engine'!$C$2:$C$1960,0)),"",INDEX('Compliance Database'!$K$2:$K$1960,MATCH(414,'Transfer Engine'!$C$2:$C$1960,0)))</f>
        <v/>
      </c>
      <c r="L423" s="9">
        <f>IF(ISNA(MATCH(414,'Transfer Engine'!$C$2:$C$1960,0)),"",INDEX('Compliance Database'!$L$2:$L$1960,MATCH(414,'Transfer Engine'!$C$2:$C$1960,0)))</f>
        <v/>
      </c>
      <c r="M423" s="9">
        <f>IF(ISNA(MATCH(414,'Transfer Engine'!$C$2:$C$1960,0)),"",INDEX('Compliance Database'!$M$2:$M$1960,MATCH(414,'Transfer Engine'!$C$2:$C$1960,0)))</f>
        <v/>
      </c>
      <c r="N423" s="9">
        <f>IF(ISNA(MATCH(414,'Transfer Engine'!$C$2:$C$1960,0)),"",INDEX('Compliance Database'!$N$2:$N$1960,MATCH(414,'Transfer Engine'!$C$2:$C$1960,0)))</f>
        <v/>
      </c>
      <c r="O423" s="9">
        <f>IF(ISNA(MATCH(414,'Transfer Engine'!$C$2:$C$1960,0)),"",INDEX('Compliance Database'!$O$2:$O$1960,MATCH(414,'Transfer Engine'!$C$2:$C$1960,0)))</f>
        <v/>
      </c>
      <c r="P423" s="8">
        <f>IF(ISNA(MATCH(414,'Transfer Engine'!$C$2:$C$1960,0)),"",HYPERLINK("#Acts!A"&amp;INDEX('Compliance Database'!$P$2:$P$1960,MATCH(414,'Transfer Engine'!$C$2:$C$1960,0)),"Go to Act"))</f>
        <v/>
      </c>
    </row>
    <row r="424" ht="158" customHeight="1">
      <c r="A424" s="8">
        <f>IF(ISNA(MATCH(415,'Transfer Engine'!$C$2:$C$1960,0)),"",INDEX('Compliance Database'!$A$2:$A$1960,MATCH(415,'Transfer Engine'!$C$2:$C$1960,0)))</f>
        <v/>
      </c>
      <c r="B424" s="8">
        <f>IF(ISNA(MATCH(415,'Transfer Engine'!$C$2:$C$1960,0)),"",INDEX('Compliance Database'!$B$2:$B$1960,MATCH(415,'Transfer Engine'!$C$2:$C$1960,0)))</f>
        <v/>
      </c>
      <c r="C424" s="8">
        <f>IF(ISNA(MATCH(415,'Transfer Engine'!$C$2:$C$1960,0)),"",INDEX('Compliance Database'!$C$2:$C$1960,MATCH(415,'Transfer Engine'!$C$2:$C$1960,0)))</f>
        <v/>
      </c>
      <c r="D424" s="9">
        <f>IF(ISNA(MATCH(415,'Transfer Engine'!$C$2:$C$1960,0)),"",INDEX('Compliance Database'!$D$2:$D$1960,MATCH(415,'Transfer Engine'!$C$2:$C$1960,0)))</f>
        <v/>
      </c>
      <c r="E424" s="8">
        <f>IF(ISNA(MATCH(415,'Transfer Engine'!$C$2:$C$1960,0)),"",INDEX('Compliance Database'!$E$2:$E$1960,MATCH(415,'Transfer Engine'!$C$2:$C$1960,0)))</f>
        <v/>
      </c>
      <c r="F424" s="8">
        <f>IF(ISNA(MATCH(415,'Transfer Engine'!$C$2:$C$1960,0)),"",INDEX('Compliance Database'!$F$2:$F$1960,MATCH(415,'Transfer Engine'!$C$2:$C$1960,0)))</f>
        <v/>
      </c>
      <c r="G424" s="8">
        <f>IF(ISNA(MATCH(415,'Transfer Engine'!$C$2:$C$1960,0)),"",INDEX('Compliance Database'!$G$2:$G$1960,MATCH(415,'Transfer Engine'!$C$2:$C$1960,0)))</f>
        <v/>
      </c>
      <c r="H424" s="9">
        <f>IF(ISNA(MATCH(415,'Transfer Engine'!$C$2:$C$1960,0)),"",INDEX('Compliance Database'!$H$2:$H$1960,MATCH(415,'Transfer Engine'!$C$2:$C$1960,0)))</f>
        <v/>
      </c>
      <c r="I424" s="9">
        <f>IF(ISNA(MATCH(415,'Transfer Engine'!$C$2:$C$1960,0)),"",INDEX('Compliance Database'!$I$2:$I$1960,MATCH(415,'Transfer Engine'!$C$2:$C$1960,0)))</f>
        <v/>
      </c>
      <c r="J424" s="8">
        <f>IF(ISNA(MATCH(415,'Transfer Engine'!$C$2:$C$1960,0)),"",INDEX('Compliance Database'!$J$2:$J$1960,MATCH(415,'Transfer Engine'!$C$2:$C$1960,0)))</f>
        <v/>
      </c>
      <c r="K424" s="9">
        <f>IF(ISNA(MATCH(415,'Transfer Engine'!$C$2:$C$1960,0)),"",INDEX('Compliance Database'!$K$2:$K$1960,MATCH(415,'Transfer Engine'!$C$2:$C$1960,0)))</f>
        <v/>
      </c>
      <c r="L424" s="9">
        <f>IF(ISNA(MATCH(415,'Transfer Engine'!$C$2:$C$1960,0)),"",INDEX('Compliance Database'!$L$2:$L$1960,MATCH(415,'Transfer Engine'!$C$2:$C$1960,0)))</f>
        <v/>
      </c>
      <c r="M424" s="9">
        <f>IF(ISNA(MATCH(415,'Transfer Engine'!$C$2:$C$1960,0)),"",INDEX('Compliance Database'!$M$2:$M$1960,MATCH(415,'Transfer Engine'!$C$2:$C$1960,0)))</f>
        <v/>
      </c>
      <c r="N424" s="9">
        <f>IF(ISNA(MATCH(415,'Transfer Engine'!$C$2:$C$1960,0)),"",INDEX('Compliance Database'!$N$2:$N$1960,MATCH(415,'Transfer Engine'!$C$2:$C$1960,0)))</f>
        <v/>
      </c>
      <c r="O424" s="9">
        <f>IF(ISNA(MATCH(415,'Transfer Engine'!$C$2:$C$1960,0)),"",INDEX('Compliance Database'!$O$2:$O$1960,MATCH(415,'Transfer Engine'!$C$2:$C$1960,0)))</f>
        <v/>
      </c>
      <c r="P424" s="8">
        <f>IF(ISNA(MATCH(415,'Transfer Engine'!$C$2:$C$1960,0)),"",HYPERLINK("#Acts!A"&amp;INDEX('Compliance Database'!$P$2:$P$1960,MATCH(415,'Transfer Engine'!$C$2:$C$1960,0)),"Go to Act"))</f>
        <v/>
      </c>
    </row>
    <row r="425" ht="158" customHeight="1">
      <c r="A425" s="8">
        <f>IF(ISNA(MATCH(416,'Transfer Engine'!$C$2:$C$1960,0)),"",INDEX('Compliance Database'!$A$2:$A$1960,MATCH(416,'Transfer Engine'!$C$2:$C$1960,0)))</f>
        <v/>
      </c>
      <c r="B425" s="8">
        <f>IF(ISNA(MATCH(416,'Transfer Engine'!$C$2:$C$1960,0)),"",INDEX('Compliance Database'!$B$2:$B$1960,MATCH(416,'Transfer Engine'!$C$2:$C$1960,0)))</f>
        <v/>
      </c>
      <c r="C425" s="8">
        <f>IF(ISNA(MATCH(416,'Transfer Engine'!$C$2:$C$1960,0)),"",INDEX('Compliance Database'!$C$2:$C$1960,MATCH(416,'Transfer Engine'!$C$2:$C$1960,0)))</f>
        <v/>
      </c>
      <c r="D425" s="9">
        <f>IF(ISNA(MATCH(416,'Transfer Engine'!$C$2:$C$1960,0)),"",INDEX('Compliance Database'!$D$2:$D$1960,MATCH(416,'Transfer Engine'!$C$2:$C$1960,0)))</f>
        <v/>
      </c>
      <c r="E425" s="8">
        <f>IF(ISNA(MATCH(416,'Transfer Engine'!$C$2:$C$1960,0)),"",INDEX('Compliance Database'!$E$2:$E$1960,MATCH(416,'Transfer Engine'!$C$2:$C$1960,0)))</f>
        <v/>
      </c>
      <c r="F425" s="8">
        <f>IF(ISNA(MATCH(416,'Transfer Engine'!$C$2:$C$1960,0)),"",INDEX('Compliance Database'!$F$2:$F$1960,MATCH(416,'Transfer Engine'!$C$2:$C$1960,0)))</f>
        <v/>
      </c>
      <c r="G425" s="8">
        <f>IF(ISNA(MATCH(416,'Transfer Engine'!$C$2:$C$1960,0)),"",INDEX('Compliance Database'!$G$2:$G$1960,MATCH(416,'Transfer Engine'!$C$2:$C$1960,0)))</f>
        <v/>
      </c>
      <c r="H425" s="9">
        <f>IF(ISNA(MATCH(416,'Transfer Engine'!$C$2:$C$1960,0)),"",INDEX('Compliance Database'!$H$2:$H$1960,MATCH(416,'Transfer Engine'!$C$2:$C$1960,0)))</f>
        <v/>
      </c>
      <c r="I425" s="9">
        <f>IF(ISNA(MATCH(416,'Transfer Engine'!$C$2:$C$1960,0)),"",INDEX('Compliance Database'!$I$2:$I$1960,MATCH(416,'Transfer Engine'!$C$2:$C$1960,0)))</f>
        <v/>
      </c>
      <c r="J425" s="8">
        <f>IF(ISNA(MATCH(416,'Transfer Engine'!$C$2:$C$1960,0)),"",INDEX('Compliance Database'!$J$2:$J$1960,MATCH(416,'Transfer Engine'!$C$2:$C$1960,0)))</f>
        <v/>
      </c>
      <c r="K425" s="9">
        <f>IF(ISNA(MATCH(416,'Transfer Engine'!$C$2:$C$1960,0)),"",INDEX('Compliance Database'!$K$2:$K$1960,MATCH(416,'Transfer Engine'!$C$2:$C$1960,0)))</f>
        <v/>
      </c>
      <c r="L425" s="9">
        <f>IF(ISNA(MATCH(416,'Transfer Engine'!$C$2:$C$1960,0)),"",INDEX('Compliance Database'!$L$2:$L$1960,MATCH(416,'Transfer Engine'!$C$2:$C$1960,0)))</f>
        <v/>
      </c>
      <c r="M425" s="9">
        <f>IF(ISNA(MATCH(416,'Transfer Engine'!$C$2:$C$1960,0)),"",INDEX('Compliance Database'!$M$2:$M$1960,MATCH(416,'Transfer Engine'!$C$2:$C$1960,0)))</f>
        <v/>
      </c>
      <c r="N425" s="9">
        <f>IF(ISNA(MATCH(416,'Transfer Engine'!$C$2:$C$1960,0)),"",INDEX('Compliance Database'!$N$2:$N$1960,MATCH(416,'Transfer Engine'!$C$2:$C$1960,0)))</f>
        <v/>
      </c>
      <c r="O425" s="9">
        <f>IF(ISNA(MATCH(416,'Transfer Engine'!$C$2:$C$1960,0)),"",INDEX('Compliance Database'!$O$2:$O$1960,MATCH(416,'Transfer Engine'!$C$2:$C$1960,0)))</f>
        <v/>
      </c>
      <c r="P425" s="8">
        <f>IF(ISNA(MATCH(416,'Transfer Engine'!$C$2:$C$1960,0)),"",HYPERLINK("#Acts!A"&amp;INDEX('Compliance Database'!$P$2:$P$1960,MATCH(416,'Transfer Engine'!$C$2:$C$1960,0)),"Go to Act"))</f>
        <v/>
      </c>
    </row>
    <row r="426" ht="158" customHeight="1">
      <c r="A426" s="8">
        <f>IF(ISNA(MATCH(417,'Transfer Engine'!$C$2:$C$1960,0)),"",INDEX('Compliance Database'!$A$2:$A$1960,MATCH(417,'Transfer Engine'!$C$2:$C$1960,0)))</f>
        <v/>
      </c>
      <c r="B426" s="8">
        <f>IF(ISNA(MATCH(417,'Transfer Engine'!$C$2:$C$1960,0)),"",INDEX('Compliance Database'!$B$2:$B$1960,MATCH(417,'Transfer Engine'!$C$2:$C$1960,0)))</f>
        <v/>
      </c>
      <c r="C426" s="8">
        <f>IF(ISNA(MATCH(417,'Transfer Engine'!$C$2:$C$1960,0)),"",INDEX('Compliance Database'!$C$2:$C$1960,MATCH(417,'Transfer Engine'!$C$2:$C$1960,0)))</f>
        <v/>
      </c>
      <c r="D426" s="9">
        <f>IF(ISNA(MATCH(417,'Transfer Engine'!$C$2:$C$1960,0)),"",INDEX('Compliance Database'!$D$2:$D$1960,MATCH(417,'Transfer Engine'!$C$2:$C$1960,0)))</f>
        <v/>
      </c>
      <c r="E426" s="8">
        <f>IF(ISNA(MATCH(417,'Transfer Engine'!$C$2:$C$1960,0)),"",INDEX('Compliance Database'!$E$2:$E$1960,MATCH(417,'Transfer Engine'!$C$2:$C$1960,0)))</f>
        <v/>
      </c>
      <c r="F426" s="8">
        <f>IF(ISNA(MATCH(417,'Transfer Engine'!$C$2:$C$1960,0)),"",INDEX('Compliance Database'!$F$2:$F$1960,MATCH(417,'Transfer Engine'!$C$2:$C$1960,0)))</f>
        <v/>
      </c>
      <c r="G426" s="8">
        <f>IF(ISNA(MATCH(417,'Transfer Engine'!$C$2:$C$1960,0)),"",INDEX('Compliance Database'!$G$2:$G$1960,MATCH(417,'Transfer Engine'!$C$2:$C$1960,0)))</f>
        <v/>
      </c>
      <c r="H426" s="9">
        <f>IF(ISNA(MATCH(417,'Transfer Engine'!$C$2:$C$1960,0)),"",INDEX('Compliance Database'!$H$2:$H$1960,MATCH(417,'Transfer Engine'!$C$2:$C$1960,0)))</f>
        <v/>
      </c>
      <c r="I426" s="9">
        <f>IF(ISNA(MATCH(417,'Transfer Engine'!$C$2:$C$1960,0)),"",INDEX('Compliance Database'!$I$2:$I$1960,MATCH(417,'Transfer Engine'!$C$2:$C$1960,0)))</f>
        <v/>
      </c>
      <c r="J426" s="8">
        <f>IF(ISNA(MATCH(417,'Transfer Engine'!$C$2:$C$1960,0)),"",INDEX('Compliance Database'!$J$2:$J$1960,MATCH(417,'Transfer Engine'!$C$2:$C$1960,0)))</f>
        <v/>
      </c>
      <c r="K426" s="9">
        <f>IF(ISNA(MATCH(417,'Transfer Engine'!$C$2:$C$1960,0)),"",INDEX('Compliance Database'!$K$2:$K$1960,MATCH(417,'Transfer Engine'!$C$2:$C$1960,0)))</f>
        <v/>
      </c>
      <c r="L426" s="9">
        <f>IF(ISNA(MATCH(417,'Transfer Engine'!$C$2:$C$1960,0)),"",INDEX('Compliance Database'!$L$2:$L$1960,MATCH(417,'Transfer Engine'!$C$2:$C$1960,0)))</f>
        <v/>
      </c>
      <c r="M426" s="9">
        <f>IF(ISNA(MATCH(417,'Transfer Engine'!$C$2:$C$1960,0)),"",INDEX('Compliance Database'!$M$2:$M$1960,MATCH(417,'Transfer Engine'!$C$2:$C$1960,0)))</f>
        <v/>
      </c>
      <c r="N426" s="9">
        <f>IF(ISNA(MATCH(417,'Transfer Engine'!$C$2:$C$1960,0)),"",INDEX('Compliance Database'!$N$2:$N$1960,MATCH(417,'Transfer Engine'!$C$2:$C$1960,0)))</f>
        <v/>
      </c>
      <c r="O426" s="9">
        <f>IF(ISNA(MATCH(417,'Transfer Engine'!$C$2:$C$1960,0)),"",INDEX('Compliance Database'!$O$2:$O$1960,MATCH(417,'Transfer Engine'!$C$2:$C$1960,0)))</f>
        <v/>
      </c>
      <c r="P426" s="8">
        <f>IF(ISNA(MATCH(417,'Transfer Engine'!$C$2:$C$1960,0)),"",HYPERLINK("#Acts!A"&amp;INDEX('Compliance Database'!$P$2:$P$1960,MATCH(417,'Transfer Engine'!$C$2:$C$1960,0)),"Go to Act"))</f>
        <v/>
      </c>
    </row>
    <row r="427" ht="158" customHeight="1">
      <c r="A427" s="8">
        <f>IF(ISNA(MATCH(418,'Transfer Engine'!$C$2:$C$1960,0)),"",INDEX('Compliance Database'!$A$2:$A$1960,MATCH(418,'Transfer Engine'!$C$2:$C$1960,0)))</f>
        <v/>
      </c>
      <c r="B427" s="8">
        <f>IF(ISNA(MATCH(418,'Transfer Engine'!$C$2:$C$1960,0)),"",INDEX('Compliance Database'!$B$2:$B$1960,MATCH(418,'Transfer Engine'!$C$2:$C$1960,0)))</f>
        <v/>
      </c>
      <c r="C427" s="8">
        <f>IF(ISNA(MATCH(418,'Transfer Engine'!$C$2:$C$1960,0)),"",INDEX('Compliance Database'!$C$2:$C$1960,MATCH(418,'Transfer Engine'!$C$2:$C$1960,0)))</f>
        <v/>
      </c>
      <c r="D427" s="9">
        <f>IF(ISNA(MATCH(418,'Transfer Engine'!$C$2:$C$1960,0)),"",INDEX('Compliance Database'!$D$2:$D$1960,MATCH(418,'Transfer Engine'!$C$2:$C$1960,0)))</f>
        <v/>
      </c>
      <c r="E427" s="8">
        <f>IF(ISNA(MATCH(418,'Transfer Engine'!$C$2:$C$1960,0)),"",INDEX('Compliance Database'!$E$2:$E$1960,MATCH(418,'Transfer Engine'!$C$2:$C$1960,0)))</f>
        <v/>
      </c>
      <c r="F427" s="8">
        <f>IF(ISNA(MATCH(418,'Transfer Engine'!$C$2:$C$1960,0)),"",INDEX('Compliance Database'!$F$2:$F$1960,MATCH(418,'Transfer Engine'!$C$2:$C$1960,0)))</f>
        <v/>
      </c>
      <c r="G427" s="8">
        <f>IF(ISNA(MATCH(418,'Transfer Engine'!$C$2:$C$1960,0)),"",INDEX('Compliance Database'!$G$2:$G$1960,MATCH(418,'Transfer Engine'!$C$2:$C$1960,0)))</f>
        <v/>
      </c>
      <c r="H427" s="9">
        <f>IF(ISNA(MATCH(418,'Transfer Engine'!$C$2:$C$1960,0)),"",INDEX('Compliance Database'!$H$2:$H$1960,MATCH(418,'Transfer Engine'!$C$2:$C$1960,0)))</f>
        <v/>
      </c>
      <c r="I427" s="9">
        <f>IF(ISNA(MATCH(418,'Transfer Engine'!$C$2:$C$1960,0)),"",INDEX('Compliance Database'!$I$2:$I$1960,MATCH(418,'Transfer Engine'!$C$2:$C$1960,0)))</f>
        <v/>
      </c>
      <c r="J427" s="8">
        <f>IF(ISNA(MATCH(418,'Transfer Engine'!$C$2:$C$1960,0)),"",INDEX('Compliance Database'!$J$2:$J$1960,MATCH(418,'Transfer Engine'!$C$2:$C$1960,0)))</f>
        <v/>
      </c>
      <c r="K427" s="9">
        <f>IF(ISNA(MATCH(418,'Transfer Engine'!$C$2:$C$1960,0)),"",INDEX('Compliance Database'!$K$2:$K$1960,MATCH(418,'Transfer Engine'!$C$2:$C$1960,0)))</f>
        <v/>
      </c>
      <c r="L427" s="9">
        <f>IF(ISNA(MATCH(418,'Transfer Engine'!$C$2:$C$1960,0)),"",INDEX('Compliance Database'!$L$2:$L$1960,MATCH(418,'Transfer Engine'!$C$2:$C$1960,0)))</f>
        <v/>
      </c>
      <c r="M427" s="9">
        <f>IF(ISNA(MATCH(418,'Transfer Engine'!$C$2:$C$1960,0)),"",INDEX('Compliance Database'!$M$2:$M$1960,MATCH(418,'Transfer Engine'!$C$2:$C$1960,0)))</f>
        <v/>
      </c>
      <c r="N427" s="9">
        <f>IF(ISNA(MATCH(418,'Transfer Engine'!$C$2:$C$1960,0)),"",INDEX('Compliance Database'!$N$2:$N$1960,MATCH(418,'Transfer Engine'!$C$2:$C$1960,0)))</f>
        <v/>
      </c>
      <c r="O427" s="9">
        <f>IF(ISNA(MATCH(418,'Transfer Engine'!$C$2:$C$1960,0)),"",INDEX('Compliance Database'!$O$2:$O$1960,MATCH(418,'Transfer Engine'!$C$2:$C$1960,0)))</f>
        <v/>
      </c>
      <c r="P427" s="8">
        <f>IF(ISNA(MATCH(418,'Transfer Engine'!$C$2:$C$1960,0)),"",HYPERLINK("#Acts!A"&amp;INDEX('Compliance Database'!$P$2:$P$1960,MATCH(418,'Transfer Engine'!$C$2:$C$1960,0)),"Go to Act"))</f>
        <v/>
      </c>
    </row>
    <row r="428" ht="158" customHeight="1">
      <c r="A428" s="8">
        <f>IF(ISNA(MATCH(419,'Transfer Engine'!$C$2:$C$1960,0)),"",INDEX('Compliance Database'!$A$2:$A$1960,MATCH(419,'Transfer Engine'!$C$2:$C$1960,0)))</f>
        <v/>
      </c>
      <c r="B428" s="8">
        <f>IF(ISNA(MATCH(419,'Transfer Engine'!$C$2:$C$1960,0)),"",INDEX('Compliance Database'!$B$2:$B$1960,MATCH(419,'Transfer Engine'!$C$2:$C$1960,0)))</f>
        <v/>
      </c>
      <c r="C428" s="8">
        <f>IF(ISNA(MATCH(419,'Transfer Engine'!$C$2:$C$1960,0)),"",INDEX('Compliance Database'!$C$2:$C$1960,MATCH(419,'Transfer Engine'!$C$2:$C$1960,0)))</f>
        <v/>
      </c>
      <c r="D428" s="9">
        <f>IF(ISNA(MATCH(419,'Transfer Engine'!$C$2:$C$1960,0)),"",INDEX('Compliance Database'!$D$2:$D$1960,MATCH(419,'Transfer Engine'!$C$2:$C$1960,0)))</f>
        <v/>
      </c>
      <c r="E428" s="8">
        <f>IF(ISNA(MATCH(419,'Transfer Engine'!$C$2:$C$1960,0)),"",INDEX('Compliance Database'!$E$2:$E$1960,MATCH(419,'Transfer Engine'!$C$2:$C$1960,0)))</f>
        <v/>
      </c>
      <c r="F428" s="8">
        <f>IF(ISNA(MATCH(419,'Transfer Engine'!$C$2:$C$1960,0)),"",INDEX('Compliance Database'!$F$2:$F$1960,MATCH(419,'Transfer Engine'!$C$2:$C$1960,0)))</f>
        <v/>
      </c>
      <c r="G428" s="8">
        <f>IF(ISNA(MATCH(419,'Transfer Engine'!$C$2:$C$1960,0)),"",INDEX('Compliance Database'!$G$2:$G$1960,MATCH(419,'Transfer Engine'!$C$2:$C$1960,0)))</f>
        <v/>
      </c>
      <c r="H428" s="9">
        <f>IF(ISNA(MATCH(419,'Transfer Engine'!$C$2:$C$1960,0)),"",INDEX('Compliance Database'!$H$2:$H$1960,MATCH(419,'Transfer Engine'!$C$2:$C$1960,0)))</f>
        <v/>
      </c>
      <c r="I428" s="9">
        <f>IF(ISNA(MATCH(419,'Transfer Engine'!$C$2:$C$1960,0)),"",INDEX('Compliance Database'!$I$2:$I$1960,MATCH(419,'Transfer Engine'!$C$2:$C$1960,0)))</f>
        <v/>
      </c>
      <c r="J428" s="8">
        <f>IF(ISNA(MATCH(419,'Transfer Engine'!$C$2:$C$1960,0)),"",INDEX('Compliance Database'!$J$2:$J$1960,MATCH(419,'Transfer Engine'!$C$2:$C$1960,0)))</f>
        <v/>
      </c>
      <c r="K428" s="9">
        <f>IF(ISNA(MATCH(419,'Transfer Engine'!$C$2:$C$1960,0)),"",INDEX('Compliance Database'!$K$2:$K$1960,MATCH(419,'Transfer Engine'!$C$2:$C$1960,0)))</f>
        <v/>
      </c>
      <c r="L428" s="9">
        <f>IF(ISNA(MATCH(419,'Transfer Engine'!$C$2:$C$1960,0)),"",INDEX('Compliance Database'!$L$2:$L$1960,MATCH(419,'Transfer Engine'!$C$2:$C$1960,0)))</f>
        <v/>
      </c>
      <c r="M428" s="9">
        <f>IF(ISNA(MATCH(419,'Transfer Engine'!$C$2:$C$1960,0)),"",INDEX('Compliance Database'!$M$2:$M$1960,MATCH(419,'Transfer Engine'!$C$2:$C$1960,0)))</f>
        <v/>
      </c>
      <c r="N428" s="9">
        <f>IF(ISNA(MATCH(419,'Transfer Engine'!$C$2:$C$1960,0)),"",INDEX('Compliance Database'!$N$2:$N$1960,MATCH(419,'Transfer Engine'!$C$2:$C$1960,0)))</f>
        <v/>
      </c>
      <c r="O428" s="9">
        <f>IF(ISNA(MATCH(419,'Transfer Engine'!$C$2:$C$1960,0)),"",INDEX('Compliance Database'!$O$2:$O$1960,MATCH(419,'Transfer Engine'!$C$2:$C$1960,0)))</f>
        <v/>
      </c>
      <c r="P428" s="8">
        <f>IF(ISNA(MATCH(419,'Transfer Engine'!$C$2:$C$1960,0)),"",HYPERLINK("#Acts!A"&amp;INDEX('Compliance Database'!$P$2:$P$1960,MATCH(419,'Transfer Engine'!$C$2:$C$1960,0)),"Go to Act"))</f>
        <v/>
      </c>
    </row>
    <row r="429" ht="158" customHeight="1">
      <c r="A429" s="8">
        <f>IF(ISNA(MATCH(420,'Transfer Engine'!$C$2:$C$1960,0)),"",INDEX('Compliance Database'!$A$2:$A$1960,MATCH(420,'Transfer Engine'!$C$2:$C$1960,0)))</f>
        <v/>
      </c>
      <c r="B429" s="8">
        <f>IF(ISNA(MATCH(420,'Transfer Engine'!$C$2:$C$1960,0)),"",INDEX('Compliance Database'!$B$2:$B$1960,MATCH(420,'Transfer Engine'!$C$2:$C$1960,0)))</f>
        <v/>
      </c>
      <c r="C429" s="8">
        <f>IF(ISNA(MATCH(420,'Transfer Engine'!$C$2:$C$1960,0)),"",INDEX('Compliance Database'!$C$2:$C$1960,MATCH(420,'Transfer Engine'!$C$2:$C$1960,0)))</f>
        <v/>
      </c>
      <c r="D429" s="9">
        <f>IF(ISNA(MATCH(420,'Transfer Engine'!$C$2:$C$1960,0)),"",INDEX('Compliance Database'!$D$2:$D$1960,MATCH(420,'Transfer Engine'!$C$2:$C$1960,0)))</f>
        <v/>
      </c>
      <c r="E429" s="8">
        <f>IF(ISNA(MATCH(420,'Transfer Engine'!$C$2:$C$1960,0)),"",INDEX('Compliance Database'!$E$2:$E$1960,MATCH(420,'Transfer Engine'!$C$2:$C$1960,0)))</f>
        <v/>
      </c>
      <c r="F429" s="8">
        <f>IF(ISNA(MATCH(420,'Transfer Engine'!$C$2:$C$1960,0)),"",INDEX('Compliance Database'!$F$2:$F$1960,MATCH(420,'Transfer Engine'!$C$2:$C$1960,0)))</f>
        <v/>
      </c>
      <c r="G429" s="8">
        <f>IF(ISNA(MATCH(420,'Transfer Engine'!$C$2:$C$1960,0)),"",INDEX('Compliance Database'!$G$2:$G$1960,MATCH(420,'Transfer Engine'!$C$2:$C$1960,0)))</f>
        <v/>
      </c>
      <c r="H429" s="9">
        <f>IF(ISNA(MATCH(420,'Transfer Engine'!$C$2:$C$1960,0)),"",INDEX('Compliance Database'!$H$2:$H$1960,MATCH(420,'Transfer Engine'!$C$2:$C$1960,0)))</f>
        <v/>
      </c>
      <c r="I429" s="9">
        <f>IF(ISNA(MATCH(420,'Transfer Engine'!$C$2:$C$1960,0)),"",INDEX('Compliance Database'!$I$2:$I$1960,MATCH(420,'Transfer Engine'!$C$2:$C$1960,0)))</f>
        <v/>
      </c>
      <c r="J429" s="8">
        <f>IF(ISNA(MATCH(420,'Transfer Engine'!$C$2:$C$1960,0)),"",INDEX('Compliance Database'!$J$2:$J$1960,MATCH(420,'Transfer Engine'!$C$2:$C$1960,0)))</f>
        <v/>
      </c>
      <c r="K429" s="9">
        <f>IF(ISNA(MATCH(420,'Transfer Engine'!$C$2:$C$1960,0)),"",INDEX('Compliance Database'!$K$2:$K$1960,MATCH(420,'Transfer Engine'!$C$2:$C$1960,0)))</f>
        <v/>
      </c>
      <c r="L429" s="9">
        <f>IF(ISNA(MATCH(420,'Transfer Engine'!$C$2:$C$1960,0)),"",INDEX('Compliance Database'!$L$2:$L$1960,MATCH(420,'Transfer Engine'!$C$2:$C$1960,0)))</f>
        <v/>
      </c>
      <c r="M429" s="9">
        <f>IF(ISNA(MATCH(420,'Transfer Engine'!$C$2:$C$1960,0)),"",INDEX('Compliance Database'!$M$2:$M$1960,MATCH(420,'Transfer Engine'!$C$2:$C$1960,0)))</f>
        <v/>
      </c>
      <c r="N429" s="9">
        <f>IF(ISNA(MATCH(420,'Transfer Engine'!$C$2:$C$1960,0)),"",INDEX('Compliance Database'!$N$2:$N$1960,MATCH(420,'Transfer Engine'!$C$2:$C$1960,0)))</f>
        <v/>
      </c>
      <c r="O429" s="9">
        <f>IF(ISNA(MATCH(420,'Transfer Engine'!$C$2:$C$1960,0)),"",INDEX('Compliance Database'!$O$2:$O$1960,MATCH(420,'Transfer Engine'!$C$2:$C$1960,0)))</f>
        <v/>
      </c>
      <c r="P429" s="8">
        <f>IF(ISNA(MATCH(420,'Transfer Engine'!$C$2:$C$1960,0)),"",HYPERLINK("#Acts!A"&amp;INDEX('Compliance Database'!$P$2:$P$1960,MATCH(420,'Transfer Engine'!$C$2:$C$1960,0)),"Go to Act"))</f>
        <v/>
      </c>
    </row>
    <row r="430" ht="158" customHeight="1">
      <c r="A430" s="8">
        <f>IF(ISNA(MATCH(421,'Transfer Engine'!$C$2:$C$1960,0)),"",INDEX('Compliance Database'!$A$2:$A$1960,MATCH(421,'Transfer Engine'!$C$2:$C$1960,0)))</f>
        <v/>
      </c>
      <c r="B430" s="8">
        <f>IF(ISNA(MATCH(421,'Transfer Engine'!$C$2:$C$1960,0)),"",INDEX('Compliance Database'!$B$2:$B$1960,MATCH(421,'Transfer Engine'!$C$2:$C$1960,0)))</f>
        <v/>
      </c>
      <c r="C430" s="8">
        <f>IF(ISNA(MATCH(421,'Transfer Engine'!$C$2:$C$1960,0)),"",INDEX('Compliance Database'!$C$2:$C$1960,MATCH(421,'Transfer Engine'!$C$2:$C$1960,0)))</f>
        <v/>
      </c>
      <c r="D430" s="9">
        <f>IF(ISNA(MATCH(421,'Transfer Engine'!$C$2:$C$1960,0)),"",INDEX('Compliance Database'!$D$2:$D$1960,MATCH(421,'Transfer Engine'!$C$2:$C$1960,0)))</f>
        <v/>
      </c>
      <c r="E430" s="8">
        <f>IF(ISNA(MATCH(421,'Transfer Engine'!$C$2:$C$1960,0)),"",INDEX('Compliance Database'!$E$2:$E$1960,MATCH(421,'Transfer Engine'!$C$2:$C$1960,0)))</f>
        <v/>
      </c>
      <c r="F430" s="8">
        <f>IF(ISNA(MATCH(421,'Transfer Engine'!$C$2:$C$1960,0)),"",INDEX('Compliance Database'!$F$2:$F$1960,MATCH(421,'Transfer Engine'!$C$2:$C$1960,0)))</f>
        <v/>
      </c>
      <c r="G430" s="8">
        <f>IF(ISNA(MATCH(421,'Transfer Engine'!$C$2:$C$1960,0)),"",INDEX('Compliance Database'!$G$2:$G$1960,MATCH(421,'Transfer Engine'!$C$2:$C$1960,0)))</f>
        <v/>
      </c>
      <c r="H430" s="9">
        <f>IF(ISNA(MATCH(421,'Transfer Engine'!$C$2:$C$1960,0)),"",INDEX('Compliance Database'!$H$2:$H$1960,MATCH(421,'Transfer Engine'!$C$2:$C$1960,0)))</f>
        <v/>
      </c>
      <c r="I430" s="9">
        <f>IF(ISNA(MATCH(421,'Transfer Engine'!$C$2:$C$1960,0)),"",INDEX('Compliance Database'!$I$2:$I$1960,MATCH(421,'Transfer Engine'!$C$2:$C$1960,0)))</f>
        <v/>
      </c>
      <c r="J430" s="8">
        <f>IF(ISNA(MATCH(421,'Transfer Engine'!$C$2:$C$1960,0)),"",INDEX('Compliance Database'!$J$2:$J$1960,MATCH(421,'Transfer Engine'!$C$2:$C$1960,0)))</f>
        <v/>
      </c>
      <c r="K430" s="9">
        <f>IF(ISNA(MATCH(421,'Transfer Engine'!$C$2:$C$1960,0)),"",INDEX('Compliance Database'!$K$2:$K$1960,MATCH(421,'Transfer Engine'!$C$2:$C$1960,0)))</f>
        <v/>
      </c>
      <c r="L430" s="9">
        <f>IF(ISNA(MATCH(421,'Transfer Engine'!$C$2:$C$1960,0)),"",INDEX('Compliance Database'!$L$2:$L$1960,MATCH(421,'Transfer Engine'!$C$2:$C$1960,0)))</f>
        <v/>
      </c>
      <c r="M430" s="9">
        <f>IF(ISNA(MATCH(421,'Transfer Engine'!$C$2:$C$1960,0)),"",INDEX('Compliance Database'!$M$2:$M$1960,MATCH(421,'Transfer Engine'!$C$2:$C$1960,0)))</f>
        <v/>
      </c>
      <c r="N430" s="9">
        <f>IF(ISNA(MATCH(421,'Transfer Engine'!$C$2:$C$1960,0)),"",INDEX('Compliance Database'!$N$2:$N$1960,MATCH(421,'Transfer Engine'!$C$2:$C$1960,0)))</f>
        <v/>
      </c>
      <c r="O430" s="9">
        <f>IF(ISNA(MATCH(421,'Transfer Engine'!$C$2:$C$1960,0)),"",INDEX('Compliance Database'!$O$2:$O$1960,MATCH(421,'Transfer Engine'!$C$2:$C$1960,0)))</f>
        <v/>
      </c>
      <c r="P430" s="8">
        <f>IF(ISNA(MATCH(421,'Transfer Engine'!$C$2:$C$1960,0)),"",HYPERLINK("#Acts!A"&amp;INDEX('Compliance Database'!$P$2:$P$1960,MATCH(421,'Transfer Engine'!$C$2:$C$1960,0)),"Go to Act"))</f>
        <v/>
      </c>
    </row>
    <row r="431" ht="158" customHeight="1">
      <c r="A431" s="8">
        <f>IF(ISNA(MATCH(422,'Transfer Engine'!$C$2:$C$1960,0)),"",INDEX('Compliance Database'!$A$2:$A$1960,MATCH(422,'Transfer Engine'!$C$2:$C$1960,0)))</f>
        <v/>
      </c>
      <c r="B431" s="8">
        <f>IF(ISNA(MATCH(422,'Transfer Engine'!$C$2:$C$1960,0)),"",INDEX('Compliance Database'!$B$2:$B$1960,MATCH(422,'Transfer Engine'!$C$2:$C$1960,0)))</f>
        <v/>
      </c>
      <c r="C431" s="8">
        <f>IF(ISNA(MATCH(422,'Transfer Engine'!$C$2:$C$1960,0)),"",INDEX('Compliance Database'!$C$2:$C$1960,MATCH(422,'Transfer Engine'!$C$2:$C$1960,0)))</f>
        <v/>
      </c>
      <c r="D431" s="9">
        <f>IF(ISNA(MATCH(422,'Transfer Engine'!$C$2:$C$1960,0)),"",INDEX('Compliance Database'!$D$2:$D$1960,MATCH(422,'Transfer Engine'!$C$2:$C$1960,0)))</f>
        <v/>
      </c>
      <c r="E431" s="8">
        <f>IF(ISNA(MATCH(422,'Transfer Engine'!$C$2:$C$1960,0)),"",INDEX('Compliance Database'!$E$2:$E$1960,MATCH(422,'Transfer Engine'!$C$2:$C$1960,0)))</f>
        <v/>
      </c>
      <c r="F431" s="8">
        <f>IF(ISNA(MATCH(422,'Transfer Engine'!$C$2:$C$1960,0)),"",INDEX('Compliance Database'!$F$2:$F$1960,MATCH(422,'Transfer Engine'!$C$2:$C$1960,0)))</f>
        <v/>
      </c>
      <c r="G431" s="8">
        <f>IF(ISNA(MATCH(422,'Transfer Engine'!$C$2:$C$1960,0)),"",INDEX('Compliance Database'!$G$2:$G$1960,MATCH(422,'Transfer Engine'!$C$2:$C$1960,0)))</f>
        <v/>
      </c>
      <c r="H431" s="9">
        <f>IF(ISNA(MATCH(422,'Transfer Engine'!$C$2:$C$1960,0)),"",INDEX('Compliance Database'!$H$2:$H$1960,MATCH(422,'Transfer Engine'!$C$2:$C$1960,0)))</f>
        <v/>
      </c>
      <c r="I431" s="9">
        <f>IF(ISNA(MATCH(422,'Transfer Engine'!$C$2:$C$1960,0)),"",INDEX('Compliance Database'!$I$2:$I$1960,MATCH(422,'Transfer Engine'!$C$2:$C$1960,0)))</f>
        <v/>
      </c>
      <c r="J431" s="8">
        <f>IF(ISNA(MATCH(422,'Transfer Engine'!$C$2:$C$1960,0)),"",INDEX('Compliance Database'!$J$2:$J$1960,MATCH(422,'Transfer Engine'!$C$2:$C$1960,0)))</f>
        <v/>
      </c>
      <c r="K431" s="9">
        <f>IF(ISNA(MATCH(422,'Transfer Engine'!$C$2:$C$1960,0)),"",INDEX('Compliance Database'!$K$2:$K$1960,MATCH(422,'Transfer Engine'!$C$2:$C$1960,0)))</f>
        <v/>
      </c>
      <c r="L431" s="9">
        <f>IF(ISNA(MATCH(422,'Transfer Engine'!$C$2:$C$1960,0)),"",INDEX('Compliance Database'!$L$2:$L$1960,MATCH(422,'Transfer Engine'!$C$2:$C$1960,0)))</f>
        <v/>
      </c>
      <c r="M431" s="9">
        <f>IF(ISNA(MATCH(422,'Transfer Engine'!$C$2:$C$1960,0)),"",INDEX('Compliance Database'!$M$2:$M$1960,MATCH(422,'Transfer Engine'!$C$2:$C$1960,0)))</f>
        <v/>
      </c>
      <c r="N431" s="9">
        <f>IF(ISNA(MATCH(422,'Transfer Engine'!$C$2:$C$1960,0)),"",INDEX('Compliance Database'!$N$2:$N$1960,MATCH(422,'Transfer Engine'!$C$2:$C$1960,0)))</f>
        <v/>
      </c>
      <c r="O431" s="9">
        <f>IF(ISNA(MATCH(422,'Transfer Engine'!$C$2:$C$1960,0)),"",INDEX('Compliance Database'!$O$2:$O$1960,MATCH(422,'Transfer Engine'!$C$2:$C$1960,0)))</f>
        <v/>
      </c>
      <c r="P431" s="8">
        <f>IF(ISNA(MATCH(422,'Transfer Engine'!$C$2:$C$1960,0)),"",HYPERLINK("#Acts!A"&amp;INDEX('Compliance Database'!$P$2:$P$1960,MATCH(422,'Transfer Engine'!$C$2:$C$1960,0)),"Go to Act"))</f>
        <v/>
      </c>
    </row>
    <row r="432" ht="158" customHeight="1">
      <c r="A432" s="8">
        <f>IF(ISNA(MATCH(423,'Transfer Engine'!$C$2:$C$1960,0)),"",INDEX('Compliance Database'!$A$2:$A$1960,MATCH(423,'Transfer Engine'!$C$2:$C$1960,0)))</f>
        <v/>
      </c>
      <c r="B432" s="8">
        <f>IF(ISNA(MATCH(423,'Transfer Engine'!$C$2:$C$1960,0)),"",INDEX('Compliance Database'!$B$2:$B$1960,MATCH(423,'Transfer Engine'!$C$2:$C$1960,0)))</f>
        <v/>
      </c>
      <c r="C432" s="8">
        <f>IF(ISNA(MATCH(423,'Transfer Engine'!$C$2:$C$1960,0)),"",INDEX('Compliance Database'!$C$2:$C$1960,MATCH(423,'Transfer Engine'!$C$2:$C$1960,0)))</f>
        <v/>
      </c>
      <c r="D432" s="9">
        <f>IF(ISNA(MATCH(423,'Transfer Engine'!$C$2:$C$1960,0)),"",INDEX('Compliance Database'!$D$2:$D$1960,MATCH(423,'Transfer Engine'!$C$2:$C$1960,0)))</f>
        <v/>
      </c>
      <c r="E432" s="8">
        <f>IF(ISNA(MATCH(423,'Transfer Engine'!$C$2:$C$1960,0)),"",INDEX('Compliance Database'!$E$2:$E$1960,MATCH(423,'Transfer Engine'!$C$2:$C$1960,0)))</f>
        <v/>
      </c>
      <c r="F432" s="8">
        <f>IF(ISNA(MATCH(423,'Transfer Engine'!$C$2:$C$1960,0)),"",INDEX('Compliance Database'!$F$2:$F$1960,MATCH(423,'Transfer Engine'!$C$2:$C$1960,0)))</f>
        <v/>
      </c>
      <c r="G432" s="8">
        <f>IF(ISNA(MATCH(423,'Transfer Engine'!$C$2:$C$1960,0)),"",INDEX('Compliance Database'!$G$2:$G$1960,MATCH(423,'Transfer Engine'!$C$2:$C$1960,0)))</f>
        <v/>
      </c>
      <c r="H432" s="9">
        <f>IF(ISNA(MATCH(423,'Transfer Engine'!$C$2:$C$1960,0)),"",INDEX('Compliance Database'!$H$2:$H$1960,MATCH(423,'Transfer Engine'!$C$2:$C$1960,0)))</f>
        <v/>
      </c>
      <c r="I432" s="9">
        <f>IF(ISNA(MATCH(423,'Transfer Engine'!$C$2:$C$1960,0)),"",INDEX('Compliance Database'!$I$2:$I$1960,MATCH(423,'Transfer Engine'!$C$2:$C$1960,0)))</f>
        <v/>
      </c>
      <c r="J432" s="8">
        <f>IF(ISNA(MATCH(423,'Transfer Engine'!$C$2:$C$1960,0)),"",INDEX('Compliance Database'!$J$2:$J$1960,MATCH(423,'Transfer Engine'!$C$2:$C$1960,0)))</f>
        <v/>
      </c>
      <c r="K432" s="9">
        <f>IF(ISNA(MATCH(423,'Transfer Engine'!$C$2:$C$1960,0)),"",INDEX('Compliance Database'!$K$2:$K$1960,MATCH(423,'Transfer Engine'!$C$2:$C$1960,0)))</f>
        <v/>
      </c>
      <c r="L432" s="9">
        <f>IF(ISNA(MATCH(423,'Transfer Engine'!$C$2:$C$1960,0)),"",INDEX('Compliance Database'!$L$2:$L$1960,MATCH(423,'Transfer Engine'!$C$2:$C$1960,0)))</f>
        <v/>
      </c>
      <c r="M432" s="9">
        <f>IF(ISNA(MATCH(423,'Transfer Engine'!$C$2:$C$1960,0)),"",INDEX('Compliance Database'!$M$2:$M$1960,MATCH(423,'Transfer Engine'!$C$2:$C$1960,0)))</f>
        <v/>
      </c>
      <c r="N432" s="9">
        <f>IF(ISNA(MATCH(423,'Transfer Engine'!$C$2:$C$1960,0)),"",INDEX('Compliance Database'!$N$2:$N$1960,MATCH(423,'Transfer Engine'!$C$2:$C$1960,0)))</f>
        <v/>
      </c>
      <c r="O432" s="9">
        <f>IF(ISNA(MATCH(423,'Transfer Engine'!$C$2:$C$1960,0)),"",INDEX('Compliance Database'!$O$2:$O$1960,MATCH(423,'Transfer Engine'!$C$2:$C$1960,0)))</f>
        <v/>
      </c>
      <c r="P432" s="8">
        <f>IF(ISNA(MATCH(423,'Transfer Engine'!$C$2:$C$1960,0)),"",HYPERLINK("#Acts!A"&amp;INDEX('Compliance Database'!$P$2:$P$1960,MATCH(423,'Transfer Engine'!$C$2:$C$1960,0)),"Go to Act"))</f>
        <v/>
      </c>
    </row>
    <row r="433" ht="158" customHeight="1">
      <c r="A433" s="8">
        <f>IF(ISNA(MATCH(424,'Transfer Engine'!$C$2:$C$1960,0)),"",INDEX('Compliance Database'!$A$2:$A$1960,MATCH(424,'Transfer Engine'!$C$2:$C$1960,0)))</f>
        <v/>
      </c>
      <c r="B433" s="8">
        <f>IF(ISNA(MATCH(424,'Transfer Engine'!$C$2:$C$1960,0)),"",INDEX('Compliance Database'!$B$2:$B$1960,MATCH(424,'Transfer Engine'!$C$2:$C$1960,0)))</f>
        <v/>
      </c>
      <c r="C433" s="8">
        <f>IF(ISNA(MATCH(424,'Transfer Engine'!$C$2:$C$1960,0)),"",INDEX('Compliance Database'!$C$2:$C$1960,MATCH(424,'Transfer Engine'!$C$2:$C$1960,0)))</f>
        <v/>
      </c>
      <c r="D433" s="9">
        <f>IF(ISNA(MATCH(424,'Transfer Engine'!$C$2:$C$1960,0)),"",INDEX('Compliance Database'!$D$2:$D$1960,MATCH(424,'Transfer Engine'!$C$2:$C$1960,0)))</f>
        <v/>
      </c>
      <c r="E433" s="8">
        <f>IF(ISNA(MATCH(424,'Transfer Engine'!$C$2:$C$1960,0)),"",INDEX('Compliance Database'!$E$2:$E$1960,MATCH(424,'Transfer Engine'!$C$2:$C$1960,0)))</f>
        <v/>
      </c>
      <c r="F433" s="8">
        <f>IF(ISNA(MATCH(424,'Transfer Engine'!$C$2:$C$1960,0)),"",INDEX('Compliance Database'!$F$2:$F$1960,MATCH(424,'Transfer Engine'!$C$2:$C$1960,0)))</f>
        <v/>
      </c>
      <c r="G433" s="8">
        <f>IF(ISNA(MATCH(424,'Transfer Engine'!$C$2:$C$1960,0)),"",INDEX('Compliance Database'!$G$2:$G$1960,MATCH(424,'Transfer Engine'!$C$2:$C$1960,0)))</f>
        <v/>
      </c>
      <c r="H433" s="9">
        <f>IF(ISNA(MATCH(424,'Transfer Engine'!$C$2:$C$1960,0)),"",INDEX('Compliance Database'!$H$2:$H$1960,MATCH(424,'Transfer Engine'!$C$2:$C$1960,0)))</f>
        <v/>
      </c>
      <c r="I433" s="9">
        <f>IF(ISNA(MATCH(424,'Transfer Engine'!$C$2:$C$1960,0)),"",INDEX('Compliance Database'!$I$2:$I$1960,MATCH(424,'Transfer Engine'!$C$2:$C$1960,0)))</f>
        <v/>
      </c>
      <c r="J433" s="8">
        <f>IF(ISNA(MATCH(424,'Transfer Engine'!$C$2:$C$1960,0)),"",INDEX('Compliance Database'!$J$2:$J$1960,MATCH(424,'Transfer Engine'!$C$2:$C$1960,0)))</f>
        <v/>
      </c>
      <c r="K433" s="9">
        <f>IF(ISNA(MATCH(424,'Transfer Engine'!$C$2:$C$1960,0)),"",INDEX('Compliance Database'!$K$2:$K$1960,MATCH(424,'Transfer Engine'!$C$2:$C$1960,0)))</f>
        <v/>
      </c>
      <c r="L433" s="9">
        <f>IF(ISNA(MATCH(424,'Transfer Engine'!$C$2:$C$1960,0)),"",INDEX('Compliance Database'!$L$2:$L$1960,MATCH(424,'Transfer Engine'!$C$2:$C$1960,0)))</f>
        <v/>
      </c>
      <c r="M433" s="9">
        <f>IF(ISNA(MATCH(424,'Transfer Engine'!$C$2:$C$1960,0)),"",INDEX('Compliance Database'!$M$2:$M$1960,MATCH(424,'Transfer Engine'!$C$2:$C$1960,0)))</f>
        <v/>
      </c>
      <c r="N433" s="9">
        <f>IF(ISNA(MATCH(424,'Transfer Engine'!$C$2:$C$1960,0)),"",INDEX('Compliance Database'!$N$2:$N$1960,MATCH(424,'Transfer Engine'!$C$2:$C$1960,0)))</f>
        <v/>
      </c>
      <c r="O433" s="9">
        <f>IF(ISNA(MATCH(424,'Transfer Engine'!$C$2:$C$1960,0)),"",INDEX('Compliance Database'!$O$2:$O$1960,MATCH(424,'Transfer Engine'!$C$2:$C$1960,0)))</f>
        <v/>
      </c>
      <c r="P433" s="8">
        <f>IF(ISNA(MATCH(424,'Transfer Engine'!$C$2:$C$1960,0)),"",HYPERLINK("#Acts!A"&amp;INDEX('Compliance Database'!$P$2:$P$1960,MATCH(424,'Transfer Engine'!$C$2:$C$1960,0)),"Go to Act"))</f>
        <v/>
      </c>
    </row>
    <row r="434" ht="158" customHeight="1">
      <c r="A434" s="8">
        <f>IF(ISNA(MATCH(425,'Transfer Engine'!$C$2:$C$1960,0)),"",INDEX('Compliance Database'!$A$2:$A$1960,MATCH(425,'Transfer Engine'!$C$2:$C$1960,0)))</f>
        <v/>
      </c>
      <c r="B434" s="8">
        <f>IF(ISNA(MATCH(425,'Transfer Engine'!$C$2:$C$1960,0)),"",INDEX('Compliance Database'!$B$2:$B$1960,MATCH(425,'Transfer Engine'!$C$2:$C$1960,0)))</f>
        <v/>
      </c>
      <c r="C434" s="8">
        <f>IF(ISNA(MATCH(425,'Transfer Engine'!$C$2:$C$1960,0)),"",INDEX('Compliance Database'!$C$2:$C$1960,MATCH(425,'Transfer Engine'!$C$2:$C$1960,0)))</f>
        <v/>
      </c>
      <c r="D434" s="9">
        <f>IF(ISNA(MATCH(425,'Transfer Engine'!$C$2:$C$1960,0)),"",INDEX('Compliance Database'!$D$2:$D$1960,MATCH(425,'Transfer Engine'!$C$2:$C$1960,0)))</f>
        <v/>
      </c>
      <c r="E434" s="8">
        <f>IF(ISNA(MATCH(425,'Transfer Engine'!$C$2:$C$1960,0)),"",INDEX('Compliance Database'!$E$2:$E$1960,MATCH(425,'Transfer Engine'!$C$2:$C$1960,0)))</f>
        <v/>
      </c>
      <c r="F434" s="8">
        <f>IF(ISNA(MATCH(425,'Transfer Engine'!$C$2:$C$1960,0)),"",INDEX('Compliance Database'!$F$2:$F$1960,MATCH(425,'Transfer Engine'!$C$2:$C$1960,0)))</f>
        <v/>
      </c>
      <c r="G434" s="8">
        <f>IF(ISNA(MATCH(425,'Transfer Engine'!$C$2:$C$1960,0)),"",INDEX('Compliance Database'!$G$2:$G$1960,MATCH(425,'Transfer Engine'!$C$2:$C$1960,0)))</f>
        <v/>
      </c>
      <c r="H434" s="9">
        <f>IF(ISNA(MATCH(425,'Transfer Engine'!$C$2:$C$1960,0)),"",INDEX('Compliance Database'!$H$2:$H$1960,MATCH(425,'Transfer Engine'!$C$2:$C$1960,0)))</f>
        <v/>
      </c>
      <c r="I434" s="9">
        <f>IF(ISNA(MATCH(425,'Transfer Engine'!$C$2:$C$1960,0)),"",INDEX('Compliance Database'!$I$2:$I$1960,MATCH(425,'Transfer Engine'!$C$2:$C$1960,0)))</f>
        <v/>
      </c>
      <c r="J434" s="8">
        <f>IF(ISNA(MATCH(425,'Transfer Engine'!$C$2:$C$1960,0)),"",INDEX('Compliance Database'!$J$2:$J$1960,MATCH(425,'Transfer Engine'!$C$2:$C$1960,0)))</f>
        <v/>
      </c>
      <c r="K434" s="9">
        <f>IF(ISNA(MATCH(425,'Transfer Engine'!$C$2:$C$1960,0)),"",INDEX('Compliance Database'!$K$2:$K$1960,MATCH(425,'Transfer Engine'!$C$2:$C$1960,0)))</f>
        <v/>
      </c>
      <c r="L434" s="9">
        <f>IF(ISNA(MATCH(425,'Transfer Engine'!$C$2:$C$1960,0)),"",INDEX('Compliance Database'!$L$2:$L$1960,MATCH(425,'Transfer Engine'!$C$2:$C$1960,0)))</f>
        <v/>
      </c>
      <c r="M434" s="9">
        <f>IF(ISNA(MATCH(425,'Transfer Engine'!$C$2:$C$1960,0)),"",INDEX('Compliance Database'!$M$2:$M$1960,MATCH(425,'Transfer Engine'!$C$2:$C$1960,0)))</f>
        <v/>
      </c>
      <c r="N434" s="9">
        <f>IF(ISNA(MATCH(425,'Transfer Engine'!$C$2:$C$1960,0)),"",INDEX('Compliance Database'!$N$2:$N$1960,MATCH(425,'Transfer Engine'!$C$2:$C$1960,0)))</f>
        <v/>
      </c>
      <c r="O434" s="9">
        <f>IF(ISNA(MATCH(425,'Transfer Engine'!$C$2:$C$1960,0)),"",INDEX('Compliance Database'!$O$2:$O$1960,MATCH(425,'Transfer Engine'!$C$2:$C$1960,0)))</f>
        <v/>
      </c>
      <c r="P434" s="8">
        <f>IF(ISNA(MATCH(425,'Transfer Engine'!$C$2:$C$1960,0)),"",HYPERLINK("#Acts!A"&amp;INDEX('Compliance Database'!$P$2:$P$1960,MATCH(425,'Transfer Engine'!$C$2:$C$1960,0)),"Go to Act"))</f>
        <v/>
      </c>
    </row>
    <row r="435" ht="158" customHeight="1">
      <c r="A435" s="8">
        <f>IF(ISNA(MATCH(426,'Transfer Engine'!$C$2:$C$1960,0)),"",INDEX('Compliance Database'!$A$2:$A$1960,MATCH(426,'Transfer Engine'!$C$2:$C$1960,0)))</f>
        <v/>
      </c>
      <c r="B435" s="8">
        <f>IF(ISNA(MATCH(426,'Transfer Engine'!$C$2:$C$1960,0)),"",INDEX('Compliance Database'!$B$2:$B$1960,MATCH(426,'Transfer Engine'!$C$2:$C$1960,0)))</f>
        <v/>
      </c>
      <c r="C435" s="8">
        <f>IF(ISNA(MATCH(426,'Transfer Engine'!$C$2:$C$1960,0)),"",INDEX('Compliance Database'!$C$2:$C$1960,MATCH(426,'Transfer Engine'!$C$2:$C$1960,0)))</f>
        <v/>
      </c>
      <c r="D435" s="9">
        <f>IF(ISNA(MATCH(426,'Transfer Engine'!$C$2:$C$1960,0)),"",INDEX('Compliance Database'!$D$2:$D$1960,MATCH(426,'Transfer Engine'!$C$2:$C$1960,0)))</f>
        <v/>
      </c>
      <c r="E435" s="8">
        <f>IF(ISNA(MATCH(426,'Transfer Engine'!$C$2:$C$1960,0)),"",INDEX('Compliance Database'!$E$2:$E$1960,MATCH(426,'Transfer Engine'!$C$2:$C$1960,0)))</f>
        <v/>
      </c>
      <c r="F435" s="8">
        <f>IF(ISNA(MATCH(426,'Transfer Engine'!$C$2:$C$1960,0)),"",INDEX('Compliance Database'!$F$2:$F$1960,MATCH(426,'Transfer Engine'!$C$2:$C$1960,0)))</f>
        <v/>
      </c>
      <c r="G435" s="8">
        <f>IF(ISNA(MATCH(426,'Transfer Engine'!$C$2:$C$1960,0)),"",INDEX('Compliance Database'!$G$2:$G$1960,MATCH(426,'Transfer Engine'!$C$2:$C$1960,0)))</f>
        <v/>
      </c>
      <c r="H435" s="9">
        <f>IF(ISNA(MATCH(426,'Transfer Engine'!$C$2:$C$1960,0)),"",INDEX('Compliance Database'!$H$2:$H$1960,MATCH(426,'Transfer Engine'!$C$2:$C$1960,0)))</f>
        <v/>
      </c>
      <c r="I435" s="9">
        <f>IF(ISNA(MATCH(426,'Transfer Engine'!$C$2:$C$1960,0)),"",INDEX('Compliance Database'!$I$2:$I$1960,MATCH(426,'Transfer Engine'!$C$2:$C$1960,0)))</f>
        <v/>
      </c>
      <c r="J435" s="8">
        <f>IF(ISNA(MATCH(426,'Transfer Engine'!$C$2:$C$1960,0)),"",INDEX('Compliance Database'!$J$2:$J$1960,MATCH(426,'Transfer Engine'!$C$2:$C$1960,0)))</f>
        <v/>
      </c>
      <c r="K435" s="9">
        <f>IF(ISNA(MATCH(426,'Transfer Engine'!$C$2:$C$1960,0)),"",INDEX('Compliance Database'!$K$2:$K$1960,MATCH(426,'Transfer Engine'!$C$2:$C$1960,0)))</f>
        <v/>
      </c>
      <c r="L435" s="9">
        <f>IF(ISNA(MATCH(426,'Transfer Engine'!$C$2:$C$1960,0)),"",INDEX('Compliance Database'!$L$2:$L$1960,MATCH(426,'Transfer Engine'!$C$2:$C$1960,0)))</f>
        <v/>
      </c>
      <c r="M435" s="9">
        <f>IF(ISNA(MATCH(426,'Transfer Engine'!$C$2:$C$1960,0)),"",INDEX('Compliance Database'!$M$2:$M$1960,MATCH(426,'Transfer Engine'!$C$2:$C$1960,0)))</f>
        <v/>
      </c>
      <c r="N435" s="9">
        <f>IF(ISNA(MATCH(426,'Transfer Engine'!$C$2:$C$1960,0)),"",INDEX('Compliance Database'!$N$2:$N$1960,MATCH(426,'Transfer Engine'!$C$2:$C$1960,0)))</f>
        <v/>
      </c>
      <c r="O435" s="9">
        <f>IF(ISNA(MATCH(426,'Transfer Engine'!$C$2:$C$1960,0)),"",INDEX('Compliance Database'!$O$2:$O$1960,MATCH(426,'Transfer Engine'!$C$2:$C$1960,0)))</f>
        <v/>
      </c>
      <c r="P435" s="8">
        <f>IF(ISNA(MATCH(426,'Transfer Engine'!$C$2:$C$1960,0)),"",HYPERLINK("#Acts!A"&amp;INDEX('Compliance Database'!$P$2:$P$1960,MATCH(426,'Transfer Engine'!$C$2:$C$1960,0)),"Go to Act"))</f>
        <v/>
      </c>
    </row>
    <row r="436" ht="158" customHeight="1">
      <c r="A436" s="8">
        <f>IF(ISNA(MATCH(427,'Transfer Engine'!$C$2:$C$1960,0)),"",INDEX('Compliance Database'!$A$2:$A$1960,MATCH(427,'Transfer Engine'!$C$2:$C$1960,0)))</f>
        <v/>
      </c>
      <c r="B436" s="8">
        <f>IF(ISNA(MATCH(427,'Transfer Engine'!$C$2:$C$1960,0)),"",INDEX('Compliance Database'!$B$2:$B$1960,MATCH(427,'Transfer Engine'!$C$2:$C$1960,0)))</f>
        <v/>
      </c>
      <c r="C436" s="8">
        <f>IF(ISNA(MATCH(427,'Transfer Engine'!$C$2:$C$1960,0)),"",INDEX('Compliance Database'!$C$2:$C$1960,MATCH(427,'Transfer Engine'!$C$2:$C$1960,0)))</f>
        <v/>
      </c>
      <c r="D436" s="9">
        <f>IF(ISNA(MATCH(427,'Transfer Engine'!$C$2:$C$1960,0)),"",INDEX('Compliance Database'!$D$2:$D$1960,MATCH(427,'Transfer Engine'!$C$2:$C$1960,0)))</f>
        <v/>
      </c>
      <c r="E436" s="8">
        <f>IF(ISNA(MATCH(427,'Transfer Engine'!$C$2:$C$1960,0)),"",INDEX('Compliance Database'!$E$2:$E$1960,MATCH(427,'Transfer Engine'!$C$2:$C$1960,0)))</f>
        <v/>
      </c>
      <c r="F436" s="8">
        <f>IF(ISNA(MATCH(427,'Transfer Engine'!$C$2:$C$1960,0)),"",INDEX('Compliance Database'!$F$2:$F$1960,MATCH(427,'Transfer Engine'!$C$2:$C$1960,0)))</f>
        <v/>
      </c>
      <c r="G436" s="8">
        <f>IF(ISNA(MATCH(427,'Transfer Engine'!$C$2:$C$1960,0)),"",INDEX('Compliance Database'!$G$2:$G$1960,MATCH(427,'Transfer Engine'!$C$2:$C$1960,0)))</f>
        <v/>
      </c>
      <c r="H436" s="9">
        <f>IF(ISNA(MATCH(427,'Transfer Engine'!$C$2:$C$1960,0)),"",INDEX('Compliance Database'!$H$2:$H$1960,MATCH(427,'Transfer Engine'!$C$2:$C$1960,0)))</f>
        <v/>
      </c>
      <c r="I436" s="9">
        <f>IF(ISNA(MATCH(427,'Transfer Engine'!$C$2:$C$1960,0)),"",INDEX('Compliance Database'!$I$2:$I$1960,MATCH(427,'Transfer Engine'!$C$2:$C$1960,0)))</f>
        <v/>
      </c>
      <c r="J436" s="8">
        <f>IF(ISNA(MATCH(427,'Transfer Engine'!$C$2:$C$1960,0)),"",INDEX('Compliance Database'!$J$2:$J$1960,MATCH(427,'Transfer Engine'!$C$2:$C$1960,0)))</f>
        <v/>
      </c>
      <c r="K436" s="9">
        <f>IF(ISNA(MATCH(427,'Transfer Engine'!$C$2:$C$1960,0)),"",INDEX('Compliance Database'!$K$2:$K$1960,MATCH(427,'Transfer Engine'!$C$2:$C$1960,0)))</f>
        <v/>
      </c>
      <c r="L436" s="9">
        <f>IF(ISNA(MATCH(427,'Transfer Engine'!$C$2:$C$1960,0)),"",INDEX('Compliance Database'!$L$2:$L$1960,MATCH(427,'Transfer Engine'!$C$2:$C$1960,0)))</f>
        <v/>
      </c>
      <c r="M436" s="9">
        <f>IF(ISNA(MATCH(427,'Transfer Engine'!$C$2:$C$1960,0)),"",INDEX('Compliance Database'!$M$2:$M$1960,MATCH(427,'Transfer Engine'!$C$2:$C$1960,0)))</f>
        <v/>
      </c>
      <c r="N436" s="9">
        <f>IF(ISNA(MATCH(427,'Transfer Engine'!$C$2:$C$1960,0)),"",INDEX('Compliance Database'!$N$2:$N$1960,MATCH(427,'Transfer Engine'!$C$2:$C$1960,0)))</f>
        <v/>
      </c>
      <c r="O436" s="9">
        <f>IF(ISNA(MATCH(427,'Transfer Engine'!$C$2:$C$1960,0)),"",INDEX('Compliance Database'!$O$2:$O$1960,MATCH(427,'Transfer Engine'!$C$2:$C$1960,0)))</f>
        <v/>
      </c>
      <c r="P436" s="8">
        <f>IF(ISNA(MATCH(427,'Transfer Engine'!$C$2:$C$1960,0)),"",HYPERLINK("#Acts!A"&amp;INDEX('Compliance Database'!$P$2:$P$1960,MATCH(427,'Transfer Engine'!$C$2:$C$1960,0)),"Go to Act"))</f>
        <v/>
      </c>
    </row>
    <row r="437" ht="158" customHeight="1">
      <c r="A437" s="8">
        <f>IF(ISNA(MATCH(428,'Transfer Engine'!$C$2:$C$1960,0)),"",INDEX('Compliance Database'!$A$2:$A$1960,MATCH(428,'Transfer Engine'!$C$2:$C$1960,0)))</f>
        <v/>
      </c>
      <c r="B437" s="8">
        <f>IF(ISNA(MATCH(428,'Transfer Engine'!$C$2:$C$1960,0)),"",INDEX('Compliance Database'!$B$2:$B$1960,MATCH(428,'Transfer Engine'!$C$2:$C$1960,0)))</f>
        <v/>
      </c>
      <c r="C437" s="8">
        <f>IF(ISNA(MATCH(428,'Transfer Engine'!$C$2:$C$1960,0)),"",INDEX('Compliance Database'!$C$2:$C$1960,MATCH(428,'Transfer Engine'!$C$2:$C$1960,0)))</f>
        <v/>
      </c>
      <c r="D437" s="9">
        <f>IF(ISNA(MATCH(428,'Transfer Engine'!$C$2:$C$1960,0)),"",INDEX('Compliance Database'!$D$2:$D$1960,MATCH(428,'Transfer Engine'!$C$2:$C$1960,0)))</f>
        <v/>
      </c>
      <c r="E437" s="8">
        <f>IF(ISNA(MATCH(428,'Transfer Engine'!$C$2:$C$1960,0)),"",INDEX('Compliance Database'!$E$2:$E$1960,MATCH(428,'Transfer Engine'!$C$2:$C$1960,0)))</f>
        <v/>
      </c>
      <c r="F437" s="8">
        <f>IF(ISNA(MATCH(428,'Transfer Engine'!$C$2:$C$1960,0)),"",INDEX('Compliance Database'!$F$2:$F$1960,MATCH(428,'Transfer Engine'!$C$2:$C$1960,0)))</f>
        <v/>
      </c>
      <c r="G437" s="8">
        <f>IF(ISNA(MATCH(428,'Transfer Engine'!$C$2:$C$1960,0)),"",INDEX('Compliance Database'!$G$2:$G$1960,MATCH(428,'Transfer Engine'!$C$2:$C$1960,0)))</f>
        <v/>
      </c>
      <c r="H437" s="9">
        <f>IF(ISNA(MATCH(428,'Transfer Engine'!$C$2:$C$1960,0)),"",INDEX('Compliance Database'!$H$2:$H$1960,MATCH(428,'Transfer Engine'!$C$2:$C$1960,0)))</f>
        <v/>
      </c>
      <c r="I437" s="9">
        <f>IF(ISNA(MATCH(428,'Transfer Engine'!$C$2:$C$1960,0)),"",INDEX('Compliance Database'!$I$2:$I$1960,MATCH(428,'Transfer Engine'!$C$2:$C$1960,0)))</f>
        <v/>
      </c>
      <c r="J437" s="8">
        <f>IF(ISNA(MATCH(428,'Transfer Engine'!$C$2:$C$1960,0)),"",INDEX('Compliance Database'!$J$2:$J$1960,MATCH(428,'Transfer Engine'!$C$2:$C$1960,0)))</f>
        <v/>
      </c>
      <c r="K437" s="9">
        <f>IF(ISNA(MATCH(428,'Transfer Engine'!$C$2:$C$1960,0)),"",INDEX('Compliance Database'!$K$2:$K$1960,MATCH(428,'Transfer Engine'!$C$2:$C$1960,0)))</f>
        <v/>
      </c>
      <c r="L437" s="9">
        <f>IF(ISNA(MATCH(428,'Transfer Engine'!$C$2:$C$1960,0)),"",INDEX('Compliance Database'!$L$2:$L$1960,MATCH(428,'Transfer Engine'!$C$2:$C$1960,0)))</f>
        <v/>
      </c>
      <c r="M437" s="9">
        <f>IF(ISNA(MATCH(428,'Transfer Engine'!$C$2:$C$1960,0)),"",INDEX('Compliance Database'!$M$2:$M$1960,MATCH(428,'Transfer Engine'!$C$2:$C$1960,0)))</f>
        <v/>
      </c>
      <c r="N437" s="9">
        <f>IF(ISNA(MATCH(428,'Transfer Engine'!$C$2:$C$1960,0)),"",INDEX('Compliance Database'!$N$2:$N$1960,MATCH(428,'Transfer Engine'!$C$2:$C$1960,0)))</f>
        <v/>
      </c>
      <c r="O437" s="9">
        <f>IF(ISNA(MATCH(428,'Transfer Engine'!$C$2:$C$1960,0)),"",INDEX('Compliance Database'!$O$2:$O$1960,MATCH(428,'Transfer Engine'!$C$2:$C$1960,0)))</f>
        <v/>
      </c>
      <c r="P437" s="8">
        <f>IF(ISNA(MATCH(428,'Transfer Engine'!$C$2:$C$1960,0)),"",HYPERLINK("#Acts!A"&amp;INDEX('Compliance Database'!$P$2:$P$1960,MATCH(428,'Transfer Engine'!$C$2:$C$1960,0)),"Go to Act"))</f>
        <v/>
      </c>
    </row>
    <row r="438" ht="158" customHeight="1">
      <c r="A438" s="8">
        <f>IF(ISNA(MATCH(429,'Transfer Engine'!$C$2:$C$1960,0)),"",INDEX('Compliance Database'!$A$2:$A$1960,MATCH(429,'Transfer Engine'!$C$2:$C$1960,0)))</f>
        <v/>
      </c>
      <c r="B438" s="8">
        <f>IF(ISNA(MATCH(429,'Transfer Engine'!$C$2:$C$1960,0)),"",INDEX('Compliance Database'!$B$2:$B$1960,MATCH(429,'Transfer Engine'!$C$2:$C$1960,0)))</f>
        <v/>
      </c>
      <c r="C438" s="8">
        <f>IF(ISNA(MATCH(429,'Transfer Engine'!$C$2:$C$1960,0)),"",INDEX('Compliance Database'!$C$2:$C$1960,MATCH(429,'Transfer Engine'!$C$2:$C$1960,0)))</f>
        <v/>
      </c>
      <c r="D438" s="9">
        <f>IF(ISNA(MATCH(429,'Transfer Engine'!$C$2:$C$1960,0)),"",INDEX('Compliance Database'!$D$2:$D$1960,MATCH(429,'Transfer Engine'!$C$2:$C$1960,0)))</f>
        <v/>
      </c>
      <c r="E438" s="8">
        <f>IF(ISNA(MATCH(429,'Transfer Engine'!$C$2:$C$1960,0)),"",INDEX('Compliance Database'!$E$2:$E$1960,MATCH(429,'Transfer Engine'!$C$2:$C$1960,0)))</f>
        <v/>
      </c>
      <c r="F438" s="8">
        <f>IF(ISNA(MATCH(429,'Transfer Engine'!$C$2:$C$1960,0)),"",INDEX('Compliance Database'!$F$2:$F$1960,MATCH(429,'Transfer Engine'!$C$2:$C$1960,0)))</f>
        <v/>
      </c>
      <c r="G438" s="8">
        <f>IF(ISNA(MATCH(429,'Transfer Engine'!$C$2:$C$1960,0)),"",INDEX('Compliance Database'!$G$2:$G$1960,MATCH(429,'Transfer Engine'!$C$2:$C$1960,0)))</f>
        <v/>
      </c>
      <c r="H438" s="9">
        <f>IF(ISNA(MATCH(429,'Transfer Engine'!$C$2:$C$1960,0)),"",INDEX('Compliance Database'!$H$2:$H$1960,MATCH(429,'Transfer Engine'!$C$2:$C$1960,0)))</f>
        <v/>
      </c>
      <c r="I438" s="9">
        <f>IF(ISNA(MATCH(429,'Transfer Engine'!$C$2:$C$1960,0)),"",INDEX('Compliance Database'!$I$2:$I$1960,MATCH(429,'Transfer Engine'!$C$2:$C$1960,0)))</f>
        <v/>
      </c>
      <c r="J438" s="8">
        <f>IF(ISNA(MATCH(429,'Transfer Engine'!$C$2:$C$1960,0)),"",INDEX('Compliance Database'!$J$2:$J$1960,MATCH(429,'Transfer Engine'!$C$2:$C$1960,0)))</f>
        <v/>
      </c>
      <c r="K438" s="9">
        <f>IF(ISNA(MATCH(429,'Transfer Engine'!$C$2:$C$1960,0)),"",INDEX('Compliance Database'!$K$2:$K$1960,MATCH(429,'Transfer Engine'!$C$2:$C$1960,0)))</f>
        <v/>
      </c>
      <c r="L438" s="9">
        <f>IF(ISNA(MATCH(429,'Transfer Engine'!$C$2:$C$1960,0)),"",INDEX('Compliance Database'!$L$2:$L$1960,MATCH(429,'Transfer Engine'!$C$2:$C$1960,0)))</f>
        <v/>
      </c>
      <c r="M438" s="9">
        <f>IF(ISNA(MATCH(429,'Transfer Engine'!$C$2:$C$1960,0)),"",INDEX('Compliance Database'!$M$2:$M$1960,MATCH(429,'Transfer Engine'!$C$2:$C$1960,0)))</f>
        <v/>
      </c>
      <c r="N438" s="9">
        <f>IF(ISNA(MATCH(429,'Transfer Engine'!$C$2:$C$1960,0)),"",INDEX('Compliance Database'!$N$2:$N$1960,MATCH(429,'Transfer Engine'!$C$2:$C$1960,0)))</f>
        <v/>
      </c>
      <c r="O438" s="9">
        <f>IF(ISNA(MATCH(429,'Transfer Engine'!$C$2:$C$1960,0)),"",INDEX('Compliance Database'!$O$2:$O$1960,MATCH(429,'Transfer Engine'!$C$2:$C$1960,0)))</f>
        <v/>
      </c>
      <c r="P438" s="8">
        <f>IF(ISNA(MATCH(429,'Transfer Engine'!$C$2:$C$1960,0)),"",HYPERLINK("#Acts!A"&amp;INDEX('Compliance Database'!$P$2:$P$1960,MATCH(429,'Transfer Engine'!$C$2:$C$1960,0)),"Go to Act"))</f>
        <v/>
      </c>
    </row>
    <row r="439" ht="158" customHeight="1">
      <c r="A439" s="8">
        <f>IF(ISNA(MATCH(430,'Transfer Engine'!$C$2:$C$1960,0)),"",INDEX('Compliance Database'!$A$2:$A$1960,MATCH(430,'Transfer Engine'!$C$2:$C$1960,0)))</f>
        <v/>
      </c>
      <c r="B439" s="8">
        <f>IF(ISNA(MATCH(430,'Transfer Engine'!$C$2:$C$1960,0)),"",INDEX('Compliance Database'!$B$2:$B$1960,MATCH(430,'Transfer Engine'!$C$2:$C$1960,0)))</f>
        <v/>
      </c>
      <c r="C439" s="8">
        <f>IF(ISNA(MATCH(430,'Transfer Engine'!$C$2:$C$1960,0)),"",INDEX('Compliance Database'!$C$2:$C$1960,MATCH(430,'Transfer Engine'!$C$2:$C$1960,0)))</f>
        <v/>
      </c>
      <c r="D439" s="9">
        <f>IF(ISNA(MATCH(430,'Transfer Engine'!$C$2:$C$1960,0)),"",INDEX('Compliance Database'!$D$2:$D$1960,MATCH(430,'Transfer Engine'!$C$2:$C$1960,0)))</f>
        <v/>
      </c>
      <c r="E439" s="8">
        <f>IF(ISNA(MATCH(430,'Transfer Engine'!$C$2:$C$1960,0)),"",INDEX('Compliance Database'!$E$2:$E$1960,MATCH(430,'Transfer Engine'!$C$2:$C$1960,0)))</f>
        <v/>
      </c>
      <c r="F439" s="8">
        <f>IF(ISNA(MATCH(430,'Transfer Engine'!$C$2:$C$1960,0)),"",INDEX('Compliance Database'!$F$2:$F$1960,MATCH(430,'Transfer Engine'!$C$2:$C$1960,0)))</f>
        <v/>
      </c>
      <c r="G439" s="8">
        <f>IF(ISNA(MATCH(430,'Transfer Engine'!$C$2:$C$1960,0)),"",INDEX('Compliance Database'!$G$2:$G$1960,MATCH(430,'Transfer Engine'!$C$2:$C$1960,0)))</f>
        <v/>
      </c>
      <c r="H439" s="9">
        <f>IF(ISNA(MATCH(430,'Transfer Engine'!$C$2:$C$1960,0)),"",INDEX('Compliance Database'!$H$2:$H$1960,MATCH(430,'Transfer Engine'!$C$2:$C$1960,0)))</f>
        <v/>
      </c>
      <c r="I439" s="9">
        <f>IF(ISNA(MATCH(430,'Transfer Engine'!$C$2:$C$1960,0)),"",INDEX('Compliance Database'!$I$2:$I$1960,MATCH(430,'Transfer Engine'!$C$2:$C$1960,0)))</f>
        <v/>
      </c>
      <c r="J439" s="8">
        <f>IF(ISNA(MATCH(430,'Transfer Engine'!$C$2:$C$1960,0)),"",INDEX('Compliance Database'!$J$2:$J$1960,MATCH(430,'Transfer Engine'!$C$2:$C$1960,0)))</f>
        <v/>
      </c>
      <c r="K439" s="9">
        <f>IF(ISNA(MATCH(430,'Transfer Engine'!$C$2:$C$1960,0)),"",INDEX('Compliance Database'!$K$2:$K$1960,MATCH(430,'Transfer Engine'!$C$2:$C$1960,0)))</f>
        <v/>
      </c>
      <c r="L439" s="9">
        <f>IF(ISNA(MATCH(430,'Transfer Engine'!$C$2:$C$1960,0)),"",INDEX('Compliance Database'!$L$2:$L$1960,MATCH(430,'Transfer Engine'!$C$2:$C$1960,0)))</f>
        <v/>
      </c>
      <c r="M439" s="9">
        <f>IF(ISNA(MATCH(430,'Transfer Engine'!$C$2:$C$1960,0)),"",INDEX('Compliance Database'!$M$2:$M$1960,MATCH(430,'Transfer Engine'!$C$2:$C$1960,0)))</f>
        <v/>
      </c>
      <c r="N439" s="9">
        <f>IF(ISNA(MATCH(430,'Transfer Engine'!$C$2:$C$1960,0)),"",INDEX('Compliance Database'!$N$2:$N$1960,MATCH(430,'Transfer Engine'!$C$2:$C$1960,0)))</f>
        <v/>
      </c>
      <c r="O439" s="9">
        <f>IF(ISNA(MATCH(430,'Transfer Engine'!$C$2:$C$1960,0)),"",INDEX('Compliance Database'!$O$2:$O$1960,MATCH(430,'Transfer Engine'!$C$2:$C$1960,0)))</f>
        <v/>
      </c>
      <c r="P439" s="8">
        <f>IF(ISNA(MATCH(430,'Transfer Engine'!$C$2:$C$1960,0)),"",HYPERLINK("#Acts!A"&amp;INDEX('Compliance Database'!$P$2:$P$1960,MATCH(430,'Transfer Engine'!$C$2:$C$1960,0)),"Go to Act"))</f>
        <v/>
      </c>
    </row>
    <row r="440" ht="158" customHeight="1">
      <c r="A440" s="8">
        <f>IF(ISNA(MATCH(431,'Transfer Engine'!$C$2:$C$1960,0)),"",INDEX('Compliance Database'!$A$2:$A$1960,MATCH(431,'Transfer Engine'!$C$2:$C$1960,0)))</f>
        <v/>
      </c>
      <c r="B440" s="8">
        <f>IF(ISNA(MATCH(431,'Transfer Engine'!$C$2:$C$1960,0)),"",INDEX('Compliance Database'!$B$2:$B$1960,MATCH(431,'Transfer Engine'!$C$2:$C$1960,0)))</f>
        <v/>
      </c>
      <c r="C440" s="8">
        <f>IF(ISNA(MATCH(431,'Transfer Engine'!$C$2:$C$1960,0)),"",INDEX('Compliance Database'!$C$2:$C$1960,MATCH(431,'Transfer Engine'!$C$2:$C$1960,0)))</f>
        <v/>
      </c>
      <c r="D440" s="9">
        <f>IF(ISNA(MATCH(431,'Transfer Engine'!$C$2:$C$1960,0)),"",INDEX('Compliance Database'!$D$2:$D$1960,MATCH(431,'Transfer Engine'!$C$2:$C$1960,0)))</f>
        <v/>
      </c>
      <c r="E440" s="8">
        <f>IF(ISNA(MATCH(431,'Transfer Engine'!$C$2:$C$1960,0)),"",INDEX('Compliance Database'!$E$2:$E$1960,MATCH(431,'Transfer Engine'!$C$2:$C$1960,0)))</f>
        <v/>
      </c>
      <c r="F440" s="8">
        <f>IF(ISNA(MATCH(431,'Transfer Engine'!$C$2:$C$1960,0)),"",INDEX('Compliance Database'!$F$2:$F$1960,MATCH(431,'Transfer Engine'!$C$2:$C$1960,0)))</f>
        <v/>
      </c>
      <c r="G440" s="8">
        <f>IF(ISNA(MATCH(431,'Transfer Engine'!$C$2:$C$1960,0)),"",INDEX('Compliance Database'!$G$2:$G$1960,MATCH(431,'Transfer Engine'!$C$2:$C$1960,0)))</f>
        <v/>
      </c>
      <c r="H440" s="9">
        <f>IF(ISNA(MATCH(431,'Transfer Engine'!$C$2:$C$1960,0)),"",INDEX('Compliance Database'!$H$2:$H$1960,MATCH(431,'Transfer Engine'!$C$2:$C$1960,0)))</f>
        <v/>
      </c>
      <c r="I440" s="9">
        <f>IF(ISNA(MATCH(431,'Transfer Engine'!$C$2:$C$1960,0)),"",INDEX('Compliance Database'!$I$2:$I$1960,MATCH(431,'Transfer Engine'!$C$2:$C$1960,0)))</f>
        <v/>
      </c>
      <c r="J440" s="8">
        <f>IF(ISNA(MATCH(431,'Transfer Engine'!$C$2:$C$1960,0)),"",INDEX('Compliance Database'!$J$2:$J$1960,MATCH(431,'Transfer Engine'!$C$2:$C$1960,0)))</f>
        <v/>
      </c>
      <c r="K440" s="9">
        <f>IF(ISNA(MATCH(431,'Transfer Engine'!$C$2:$C$1960,0)),"",INDEX('Compliance Database'!$K$2:$K$1960,MATCH(431,'Transfer Engine'!$C$2:$C$1960,0)))</f>
        <v/>
      </c>
      <c r="L440" s="9">
        <f>IF(ISNA(MATCH(431,'Transfer Engine'!$C$2:$C$1960,0)),"",INDEX('Compliance Database'!$L$2:$L$1960,MATCH(431,'Transfer Engine'!$C$2:$C$1960,0)))</f>
        <v/>
      </c>
      <c r="M440" s="9">
        <f>IF(ISNA(MATCH(431,'Transfer Engine'!$C$2:$C$1960,0)),"",INDEX('Compliance Database'!$M$2:$M$1960,MATCH(431,'Transfer Engine'!$C$2:$C$1960,0)))</f>
        <v/>
      </c>
      <c r="N440" s="9">
        <f>IF(ISNA(MATCH(431,'Transfer Engine'!$C$2:$C$1960,0)),"",INDEX('Compliance Database'!$N$2:$N$1960,MATCH(431,'Transfer Engine'!$C$2:$C$1960,0)))</f>
        <v/>
      </c>
      <c r="O440" s="9">
        <f>IF(ISNA(MATCH(431,'Transfer Engine'!$C$2:$C$1960,0)),"",INDEX('Compliance Database'!$O$2:$O$1960,MATCH(431,'Transfer Engine'!$C$2:$C$1960,0)))</f>
        <v/>
      </c>
      <c r="P440" s="8">
        <f>IF(ISNA(MATCH(431,'Transfer Engine'!$C$2:$C$1960,0)),"",HYPERLINK("#Acts!A"&amp;INDEX('Compliance Database'!$P$2:$P$1960,MATCH(431,'Transfer Engine'!$C$2:$C$1960,0)),"Go to Act"))</f>
        <v/>
      </c>
    </row>
    <row r="441" ht="158" customHeight="1">
      <c r="A441" s="8">
        <f>IF(ISNA(MATCH(432,'Transfer Engine'!$C$2:$C$1960,0)),"",INDEX('Compliance Database'!$A$2:$A$1960,MATCH(432,'Transfer Engine'!$C$2:$C$1960,0)))</f>
        <v/>
      </c>
      <c r="B441" s="8">
        <f>IF(ISNA(MATCH(432,'Transfer Engine'!$C$2:$C$1960,0)),"",INDEX('Compliance Database'!$B$2:$B$1960,MATCH(432,'Transfer Engine'!$C$2:$C$1960,0)))</f>
        <v/>
      </c>
      <c r="C441" s="8">
        <f>IF(ISNA(MATCH(432,'Transfer Engine'!$C$2:$C$1960,0)),"",INDEX('Compliance Database'!$C$2:$C$1960,MATCH(432,'Transfer Engine'!$C$2:$C$1960,0)))</f>
        <v/>
      </c>
      <c r="D441" s="9">
        <f>IF(ISNA(MATCH(432,'Transfer Engine'!$C$2:$C$1960,0)),"",INDEX('Compliance Database'!$D$2:$D$1960,MATCH(432,'Transfer Engine'!$C$2:$C$1960,0)))</f>
        <v/>
      </c>
      <c r="E441" s="8">
        <f>IF(ISNA(MATCH(432,'Transfer Engine'!$C$2:$C$1960,0)),"",INDEX('Compliance Database'!$E$2:$E$1960,MATCH(432,'Transfer Engine'!$C$2:$C$1960,0)))</f>
        <v/>
      </c>
      <c r="F441" s="8">
        <f>IF(ISNA(MATCH(432,'Transfer Engine'!$C$2:$C$1960,0)),"",INDEX('Compliance Database'!$F$2:$F$1960,MATCH(432,'Transfer Engine'!$C$2:$C$1960,0)))</f>
        <v/>
      </c>
      <c r="G441" s="8">
        <f>IF(ISNA(MATCH(432,'Transfer Engine'!$C$2:$C$1960,0)),"",INDEX('Compliance Database'!$G$2:$G$1960,MATCH(432,'Transfer Engine'!$C$2:$C$1960,0)))</f>
        <v/>
      </c>
      <c r="H441" s="9">
        <f>IF(ISNA(MATCH(432,'Transfer Engine'!$C$2:$C$1960,0)),"",INDEX('Compliance Database'!$H$2:$H$1960,MATCH(432,'Transfer Engine'!$C$2:$C$1960,0)))</f>
        <v/>
      </c>
      <c r="I441" s="9">
        <f>IF(ISNA(MATCH(432,'Transfer Engine'!$C$2:$C$1960,0)),"",INDEX('Compliance Database'!$I$2:$I$1960,MATCH(432,'Transfer Engine'!$C$2:$C$1960,0)))</f>
        <v/>
      </c>
      <c r="J441" s="8">
        <f>IF(ISNA(MATCH(432,'Transfer Engine'!$C$2:$C$1960,0)),"",INDEX('Compliance Database'!$J$2:$J$1960,MATCH(432,'Transfer Engine'!$C$2:$C$1960,0)))</f>
        <v/>
      </c>
      <c r="K441" s="9">
        <f>IF(ISNA(MATCH(432,'Transfer Engine'!$C$2:$C$1960,0)),"",INDEX('Compliance Database'!$K$2:$K$1960,MATCH(432,'Transfer Engine'!$C$2:$C$1960,0)))</f>
        <v/>
      </c>
      <c r="L441" s="9">
        <f>IF(ISNA(MATCH(432,'Transfer Engine'!$C$2:$C$1960,0)),"",INDEX('Compliance Database'!$L$2:$L$1960,MATCH(432,'Transfer Engine'!$C$2:$C$1960,0)))</f>
        <v/>
      </c>
      <c r="M441" s="9">
        <f>IF(ISNA(MATCH(432,'Transfer Engine'!$C$2:$C$1960,0)),"",INDEX('Compliance Database'!$M$2:$M$1960,MATCH(432,'Transfer Engine'!$C$2:$C$1960,0)))</f>
        <v/>
      </c>
      <c r="N441" s="9">
        <f>IF(ISNA(MATCH(432,'Transfer Engine'!$C$2:$C$1960,0)),"",INDEX('Compliance Database'!$N$2:$N$1960,MATCH(432,'Transfer Engine'!$C$2:$C$1960,0)))</f>
        <v/>
      </c>
      <c r="O441" s="9">
        <f>IF(ISNA(MATCH(432,'Transfer Engine'!$C$2:$C$1960,0)),"",INDEX('Compliance Database'!$O$2:$O$1960,MATCH(432,'Transfer Engine'!$C$2:$C$1960,0)))</f>
        <v/>
      </c>
      <c r="P441" s="8">
        <f>IF(ISNA(MATCH(432,'Transfer Engine'!$C$2:$C$1960,0)),"",HYPERLINK("#Acts!A"&amp;INDEX('Compliance Database'!$P$2:$P$1960,MATCH(432,'Transfer Engine'!$C$2:$C$1960,0)),"Go to Act"))</f>
        <v/>
      </c>
    </row>
    <row r="442" ht="158" customHeight="1">
      <c r="A442" s="8">
        <f>IF(ISNA(MATCH(433,'Transfer Engine'!$C$2:$C$1960,0)),"",INDEX('Compliance Database'!$A$2:$A$1960,MATCH(433,'Transfer Engine'!$C$2:$C$1960,0)))</f>
        <v/>
      </c>
      <c r="B442" s="8">
        <f>IF(ISNA(MATCH(433,'Transfer Engine'!$C$2:$C$1960,0)),"",INDEX('Compliance Database'!$B$2:$B$1960,MATCH(433,'Transfer Engine'!$C$2:$C$1960,0)))</f>
        <v/>
      </c>
      <c r="C442" s="8">
        <f>IF(ISNA(MATCH(433,'Transfer Engine'!$C$2:$C$1960,0)),"",INDEX('Compliance Database'!$C$2:$C$1960,MATCH(433,'Transfer Engine'!$C$2:$C$1960,0)))</f>
        <v/>
      </c>
      <c r="D442" s="9">
        <f>IF(ISNA(MATCH(433,'Transfer Engine'!$C$2:$C$1960,0)),"",INDEX('Compliance Database'!$D$2:$D$1960,MATCH(433,'Transfer Engine'!$C$2:$C$1960,0)))</f>
        <v/>
      </c>
      <c r="E442" s="8">
        <f>IF(ISNA(MATCH(433,'Transfer Engine'!$C$2:$C$1960,0)),"",INDEX('Compliance Database'!$E$2:$E$1960,MATCH(433,'Transfer Engine'!$C$2:$C$1960,0)))</f>
        <v/>
      </c>
      <c r="F442" s="8">
        <f>IF(ISNA(MATCH(433,'Transfer Engine'!$C$2:$C$1960,0)),"",INDEX('Compliance Database'!$F$2:$F$1960,MATCH(433,'Transfer Engine'!$C$2:$C$1960,0)))</f>
        <v/>
      </c>
      <c r="G442" s="8">
        <f>IF(ISNA(MATCH(433,'Transfer Engine'!$C$2:$C$1960,0)),"",INDEX('Compliance Database'!$G$2:$G$1960,MATCH(433,'Transfer Engine'!$C$2:$C$1960,0)))</f>
        <v/>
      </c>
      <c r="H442" s="9">
        <f>IF(ISNA(MATCH(433,'Transfer Engine'!$C$2:$C$1960,0)),"",INDEX('Compliance Database'!$H$2:$H$1960,MATCH(433,'Transfer Engine'!$C$2:$C$1960,0)))</f>
        <v/>
      </c>
      <c r="I442" s="9">
        <f>IF(ISNA(MATCH(433,'Transfer Engine'!$C$2:$C$1960,0)),"",INDEX('Compliance Database'!$I$2:$I$1960,MATCH(433,'Transfer Engine'!$C$2:$C$1960,0)))</f>
        <v/>
      </c>
      <c r="J442" s="8">
        <f>IF(ISNA(MATCH(433,'Transfer Engine'!$C$2:$C$1960,0)),"",INDEX('Compliance Database'!$J$2:$J$1960,MATCH(433,'Transfer Engine'!$C$2:$C$1960,0)))</f>
        <v/>
      </c>
      <c r="K442" s="9">
        <f>IF(ISNA(MATCH(433,'Transfer Engine'!$C$2:$C$1960,0)),"",INDEX('Compliance Database'!$K$2:$K$1960,MATCH(433,'Transfer Engine'!$C$2:$C$1960,0)))</f>
        <v/>
      </c>
      <c r="L442" s="9">
        <f>IF(ISNA(MATCH(433,'Transfer Engine'!$C$2:$C$1960,0)),"",INDEX('Compliance Database'!$L$2:$L$1960,MATCH(433,'Transfer Engine'!$C$2:$C$1960,0)))</f>
        <v/>
      </c>
      <c r="M442" s="9">
        <f>IF(ISNA(MATCH(433,'Transfer Engine'!$C$2:$C$1960,0)),"",INDEX('Compliance Database'!$M$2:$M$1960,MATCH(433,'Transfer Engine'!$C$2:$C$1960,0)))</f>
        <v/>
      </c>
      <c r="N442" s="9">
        <f>IF(ISNA(MATCH(433,'Transfer Engine'!$C$2:$C$1960,0)),"",INDEX('Compliance Database'!$N$2:$N$1960,MATCH(433,'Transfer Engine'!$C$2:$C$1960,0)))</f>
        <v/>
      </c>
      <c r="O442" s="9">
        <f>IF(ISNA(MATCH(433,'Transfer Engine'!$C$2:$C$1960,0)),"",INDEX('Compliance Database'!$O$2:$O$1960,MATCH(433,'Transfer Engine'!$C$2:$C$1960,0)))</f>
        <v/>
      </c>
      <c r="P442" s="8">
        <f>IF(ISNA(MATCH(433,'Transfer Engine'!$C$2:$C$1960,0)),"",HYPERLINK("#Acts!A"&amp;INDEX('Compliance Database'!$P$2:$P$1960,MATCH(433,'Transfer Engine'!$C$2:$C$1960,0)),"Go to Act"))</f>
        <v/>
      </c>
    </row>
    <row r="443" ht="158" customHeight="1">
      <c r="A443" s="8">
        <f>IF(ISNA(MATCH(434,'Transfer Engine'!$C$2:$C$1960,0)),"",INDEX('Compliance Database'!$A$2:$A$1960,MATCH(434,'Transfer Engine'!$C$2:$C$1960,0)))</f>
        <v/>
      </c>
      <c r="B443" s="8">
        <f>IF(ISNA(MATCH(434,'Transfer Engine'!$C$2:$C$1960,0)),"",INDEX('Compliance Database'!$B$2:$B$1960,MATCH(434,'Transfer Engine'!$C$2:$C$1960,0)))</f>
        <v/>
      </c>
      <c r="C443" s="8">
        <f>IF(ISNA(MATCH(434,'Transfer Engine'!$C$2:$C$1960,0)),"",INDEX('Compliance Database'!$C$2:$C$1960,MATCH(434,'Transfer Engine'!$C$2:$C$1960,0)))</f>
        <v/>
      </c>
      <c r="D443" s="9">
        <f>IF(ISNA(MATCH(434,'Transfer Engine'!$C$2:$C$1960,0)),"",INDEX('Compliance Database'!$D$2:$D$1960,MATCH(434,'Transfer Engine'!$C$2:$C$1960,0)))</f>
        <v/>
      </c>
      <c r="E443" s="8">
        <f>IF(ISNA(MATCH(434,'Transfer Engine'!$C$2:$C$1960,0)),"",INDEX('Compliance Database'!$E$2:$E$1960,MATCH(434,'Transfer Engine'!$C$2:$C$1960,0)))</f>
        <v/>
      </c>
      <c r="F443" s="8">
        <f>IF(ISNA(MATCH(434,'Transfer Engine'!$C$2:$C$1960,0)),"",INDEX('Compliance Database'!$F$2:$F$1960,MATCH(434,'Transfer Engine'!$C$2:$C$1960,0)))</f>
        <v/>
      </c>
      <c r="G443" s="8">
        <f>IF(ISNA(MATCH(434,'Transfer Engine'!$C$2:$C$1960,0)),"",INDEX('Compliance Database'!$G$2:$G$1960,MATCH(434,'Transfer Engine'!$C$2:$C$1960,0)))</f>
        <v/>
      </c>
      <c r="H443" s="9">
        <f>IF(ISNA(MATCH(434,'Transfer Engine'!$C$2:$C$1960,0)),"",INDEX('Compliance Database'!$H$2:$H$1960,MATCH(434,'Transfer Engine'!$C$2:$C$1960,0)))</f>
        <v/>
      </c>
      <c r="I443" s="9">
        <f>IF(ISNA(MATCH(434,'Transfer Engine'!$C$2:$C$1960,0)),"",INDEX('Compliance Database'!$I$2:$I$1960,MATCH(434,'Transfer Engine'!$C$2:$C$1960,0)))</f>
        <v/>
      </c>
      <c r="J443" s="8">
        <f>IF(ISNA(MATCH(434,'Transfer Engine'!$C$2:$C$1960,0)),"",INDEX('Compliance Database'!$J$2:$J$1960,MATCH(434,'Transfer Engine'!$C$2:$C$1960,0)))</f>
        <v/>
      </c>
      <c r="K443" s="9">
        <f>IF(ISNA(MATCH(434,'Transfer Engine'!$C$2:$C$1960,0)),"",INDEX('Compliance Database'!$K$2:$K$1960,MATCH(434,'Transfer Engine'!$C$2:$C$1960,0)))</f>
        <v/>
      </c>
      <c r="L443" s="9">
        <f>IF(ISNA(MATCH(434,'Transfer Engine'!$C$2:$C$1960,0)),"",INDEX('Compliance Database'!$L$2:$L$1960,MATCH(434,'Transfer Engine'!$C$2:$C$1960,0)))</f>
        <v/>
      </c>
      <c r="M443" s="9">
        <f>IF(ISNA(MATCH(434,'Transfer Engine'!$C$2:$C$1960,0)),"",INDEX('Compliance Database'!$M$2:$M$1960,MATCH(434,'Transfer Engine'!$C$2:$C$1960,0)))</f>
        <v/>
      </c>
      <c r="N443" s="9">
        <f>IF(ISNA(MATCH(434,'Transfer Engine'!$C$2:$C$1960,0)),"",INDEX('Compliance Database'!$N$2:$N$1960,MATCH(434,'Transfer Engine'!$C$2:$C$1960,0)))</f>
        <v/>
      </c>
      <c r="O443" s="9">
        <f>IF(ISNA(MATCH(434,'Transfer Engine'!$C$2:$C$1960,0)),"",INDEX('Compliance Database'!$O$2:$O$1960,MATCH(434,'Transfer Engine'!$C$2:$C$1960,0)))</f>
        <v/>
      </c>
      <c r="P443" s="8">
        <f>IF(ISNA(MATCH(434,'Transfer Engine'!$C$2:$C$1960,0)),"",HYPERLINK("#Acts!A"&amp;INDEX('Compliance Database'!$P$2:$P$1960,MATCH(434,'Transfer Engine'!$C$2:$C$1960,0)),"Go to Act"))</f>
        <v/>
      </c>
    </row>
    <row r="444" ht="158" customHeight="1">
      <c r="A444" s="8">
        <f>IF(ISNA(MATCH(435,'Transfer Engine'!$C$2:$C$1960,0)),"",INDEX('Compliance Database'!$A$2:$A$1960,MATCH(435,'Transfer Engine'!$C$2:$C$1960,0)))</f>
        <v/>
      </c>
      <c r="B444" s="8">
        <f>IF(ISNA(MATCH(435,'Transfer Engine'!$C$2:$C$1960,0)),"",INDEX('Compliance Database'!$B$2:$B$1960,MATCH(435,'Transfer Engine'!$C$2:$C$1960,0)))</f>
        <v/>
      </c>
      <c r="C444" s="8">
        <f>IF(ISNA(MATCH(435,'Transfer Engine'!$C$2:$C$1960,0)),"",INDEX('Compliance Database'!$C$2:$C$1960,MATCH(435,'Transfer Engine'!$C$2:$C$1960,0)))</f>
        <v/>
      </c>
      <c r="D444" s="9">
        <f>IF(ISNA(MATCH(435,'Transfer Engine'!$C$2:$C$1960,0)),"",INDEX('Compliance Database'!$D$2:$D$1960,MATCH(435,'Transfer Engine'!$C$2:$C$1960,0)))</f>
        <v/>
      </c>
      <c r="E444" s="8">
        <f>IF(ISNA(MATCH(435,'Transfer Engine'!$C$2:$C$1960,0)),"",INDEX('Compliance Database'!$E$2:$E$1960,MATCH(435,'Transfer Engine'!$C$2:$C$1960,0)))</f>
        <v/>
      </c>
      <c r="F444" s="8">
        <f>IF(ISNA(MATCH(435,'Transfer Engine'!$C$2:$C$1960,0)),"",INDEX('Compliance Database'!$F$2:$F$1960,MATCH(435,'Transfer Engine'!$C$2:$C$1960,0)))</f>
        <v/>
      </c>
      <c r="G444" s="8">
        <f>IF(ISNA(MATCH(435,'Transfer Engine'!$C$2:$C$1960,0)),"",INDEX('Compliance Database'!$G$2:$G$1960,MATCH(435,'Transfer Engine'!$C$2:$C$1960,0)))</f>
        <v/>
      </c>
      <c r="H444" s="9">
        <f>IF(ISNA(MATCH(435,'Transfer Engine'!$C$2:$C$1960,0)),"",INDEX('Compliance Database'!$H$2:$H$1960,MATCH(435,'Transfer Engine'!$C$2:$C$1960,0)))</f>
        <v/>
      </c>
      <c r="I444" s="9">
        <f>IF(ISNA(MATCH(435,'Transfer Engine'!$C$2:$C$1960,0)),"",INDEX('Compliance Database'!$I$2:$I$1960,MATCH(435,'Transfer Engine'!$C$2:$C$1960,0)))</f>
        <v/>
      </c>
      <c r="J444" s="8">
        <f>IF(ISNA(MATCH(435,'Transfer Engine'!$C$2:$C$1960,0)),"",INDEX('Compliance Database'!$J$2:$J$1960,MATCH(435,'Transfer Engine'!$C$2:$C$1960,0)))</f>
        <v/>
      </c>
      <c r="K444" s="9">
        <f>IF(ISNA(MATCH(435,'Transfer Engine'!$C$2:$C$1960,0)),"",INDEX('Compliance Database'!$K$2:$K$1960,MATCH(435,'Transfer Engine'!$C$2:$C$1960,0)))</f>
        <v/>
      </c>
      <c r="L444" s="9">
        <f>IF(ISNA(MATCH(435,'Transfer Engine'!$C$2:$C$1960,0)),"",INDEX('Compliance Database'!$L$2:$L$1960,MATCH(435,'Transfer Engine'!$C$2:$C$1960,0)))</f>
        <v/>
      </c>
      <c r="M444" s="9">
        <f>IF(ISNA(MATCH(435,'Transfer Engine'!$C$2:$C$1960,0)),"",INDEX('Compliance Database'!$M$2:$M$1960,MATCH(435,'Transfer Engine'!$C$2:$C$1960,0)))</f>
        <v/>
      </c>
      <c r="N444" s="9">
        <f>IF(ISNA(MATCH(435,'Transfer Engine'!$C$2:$C$1960,0)),"",INDEX('Compliance Database'!$N$2:$N$1960,MATCH(435,'Transfer Engine'!$C$2:$C$1960,0)))</f>
        <v/>
      </c>
      <c r="O444" s="9">
        <f>IF(ISNA(MATCH(435,'Transfer Engine'!$C$2:$C$1960,0)),"",INDEX('Compliance Database'!$O$2:$O$1960,MATCH(435,'Transfer Engine'!$C$2:$C$1960,0)))</f>
        <v/>
      </c>
      <c r="P444" s="8">
        <f>IF(ISNA(MATCH(435,'Transfer Engine'!$C$2:$C$1960,0)),"",HYPERLINK("#Acts!A"&amp;INDEX('Compliance Database'!$P$2:$P$1960,MATCH(435,'Transfer Engine'!$C$2:$C$1960,0)),"Go to Act"))</f>
        <v/>
      </c>
    </row>
    <row r="445" ht="158" customHeight="1">
      <c r="A445" s="8">
        <f>IF(ISNA(MATCH(436,'Transfer Engine'!$C$2:$C$1960,0)),"",INDEX('Compliance Database'!$A$2:$A$1960,MATCH(436,'Transfer Engine'!$C$2:$C$1960,0)))</f>
        <v/>
      </c>
      <c r="B445" s="8">
        <f>IF(ISNA(MATCH(436,'Transfer Engine'!$C$2:$C$1960,0)),"",INDEX('Compliance Database'!$B$2:$B$1960,MATCH(436,'Transfer Engine'!$C$2:$C$1960,0)))</f>
        <v/>
      </c>
      <c r="C445" s="8">
        <f>IF(ISNA(MATCH(436,'Transfer Engine'!$C$2:$C$1960,0)),"",INDEX('Compliance Database'!$C$2:$C$1960,MATCH(436,'Transfer Engine'!$C$2:$C$1960,0)))</f>
        <v/>
      </c>
      <c r="D445" s="9">
        <f>IF(ISNA(MATCH(436,'Transfer Engine'!$C$2:$C$1960,0)),"",INDEX('Compliance Database'!$D$2:$D$1960,MATCH(436,'Transfer Engine'!$C$2:$C$1960,0)))</f>
        <v/>
      </c>
      <c r="E445" s="8">
        <f>IF(ISNA(MATCH(436,'Transfer Engine'!$C$2:$C$1960,0)),"",INDEX('Compliance Database'!$E$2:$E$1960,MATCH(436,'Transfer Engine'!$C$2:$C$1960,0)))</f>
        <v/>
      </c>
      <c r="F445" s="8">
        <f>IF(ISNA(MATCH(436,'Transfer Engine'!$C$2:$C$1960,0)),"",INDEX('Compliance Database'!$F$2:$F$1960,MATCH(436,'Transfer Engine'!$C$2:$C$1960,0)))</f>
        <v/>
      </c>
      <c r="G445" s="8">
        <f>IF(ISNA(MATCH(436,'Transfer Engine'!$C$2:$C$1960,0)),"",INDEX('Compliance Database'!$G$2:$G$1960,MATCH(436,'Transfer Engine'!$C$2:$C$1960,0)))</f>
        <v/>
      </c>
      <c r="H445" s="9">
        <f>IF(ISNA(MATCH(436,'Transfer Engine'!$C$2:$C$1960,0)),"",INDEX('Compliance Database'!$H$2:$H$1960,MATCH(436,'Transfer Engine'!$C$2:$C$1960,0)))</f>
        <v/>
      </c>
      <c r="I445" s="9">
        <f>IF(ISNA(MATCH(436,'Transfer Engine'!$C$2:$C$1960,0)),"",INDEX('Compliance Database'!$I$2:$I$1960,MATCH(436,'Transfer Engine'!$C$2:$C$1960,0)))</f>
        <v/>
      </c>
      <c r="J445" s="8">
        <f>IF(ISNA(MATCH(436,'Transfer Engine'!$C$2:$C$1960,0)),"",INDEX('Compliance Database'!$J$2:$J$1960,MATCH(436,'Transfer Engine'!$C$2:$C$1960,0)))</f>
        <v/>
      </c>
      <c r="K445" s="9">
        <f>IF(ISNA(MATCH(436,'Transfer Engine'!$C$2:$C$1960,0)),"",INDEX('Compliance Database'!$K$2:$K$1960,MATCH(436,'Transfer Engine'!$C$2:$C$1960,0)))</f>
        <v/>
      </c>
      <c r="L445" s="9">
        <f>IF(ISNA(MATCH(436,'Transfer Engine'!$C$2:$C$1960,0)),"",INDEX('Compliance Database'!$L$2:$L$1960,MATCH(436,'Transfer Engine'!$C$2:$C$1960,0)))</f>
        <v/>
      </c>
      <c r="M445" s="9">
        <f>IF(ISNA(MATCH(436,'Transfer Engine'!$C$2:$C$1960,0)),"",INDEX('Compliance Database'!$M$2:$M$1960,MATCH(436,'Transfer Engine'!$C$2:$C$1960,0)))</f>
        <v/>
      </c>
      <c r="N445" s="9">
        <f>IF(ISNA(MATCH(436,'Transfer Engine'!$C$2:$C$1960,0)),"",INDEX('Compliance Database'!$N$2:$N$1960,MATCH(436,'Transfer Engine'!$C$2:$C$1960,0)))</f>
        <v/>
      </c>
      <c r="O445" s="9">
        <f>IF(ISNA(MATCH(436,'Transfer Engine'!$C$2:$C$1960,0)),"",INDEX('Compliance Database'!$O$2:$O$1960,MATCH(436,'Transfer Engine'!$C$2:$C$1960,0)))</f>
        <v/>
      </c>
      <c r="P445" s="8">
        <f>IF(ISNA(MATCH(436,'Transfer Engine'!$C$2:$C$1960,0)),"",HYPERLINK("#Acts!A"&amp;INDEX('Compliance Database'!$P$2:$P$1960,MATCH(436,'Transfer Engine'!$C$2:$C$1960,0)),"Go to Act"))</f>
        <v/>
      </c>
    </row>
    <row r="446" ht="158" customHeight="1">
      <c r="A446" s="8">
        <f>IF(ISNA(MATCH(437,'Transfer Engine'!$C$2:$C$1960,0)),"",INDEX('Compliance Database'!$A$2:$A$1960,MATCH(437,'Transfer Engine'!$C$2:$C$1960,0)))</f>
        <v/>
      </c>
      <c r="B446" s="8">
        <f>IF(ISNA(MATCH(437,'Transfer Engine'!$C$2:$C$1960,0)),"",INDEX('Compliance Database'!$B$2:$B$1960,MATCH(437,'Transfer Engine'!$C$2:$C$1960,0)))</f>
        <v/>
      </c>
      <c r="C446" s="8">
        <f>IF(ISNA(MATCH(437,'Transfer Engine'!$C$2:$C$1960,0)),"",INDEX('Compliance Database'!$C$2:$C$1960,MATCH(437,'Transfer Engine'!$C$2:$C$1960,0)))</f>
        <v/>
      </c>
      <c r="D446" s="9">
        <f>IF(ISNA(MATCH(437,'Transfer Engine'!$C$2:$C$1960,0)),"",INDEX('Compliance Database'!$D$2:$D$1960,MATCH(437,'Transfer Engine'!$C$2:$C$1960,0)))</f>
        <v/>
      </c>
      <c r="E446" s="8">
        <f>IF(ISNA(MATCH(437,'Transfer Engine'!$C$2:$C$1960,0)),"",INDEX('Compliance Database'!$E$2:$E$1960,MATCH(437,'Transfer Engine'!$C$2:$C$1960,0)))</f>
        <v/>
      </c>
      <c r="F446" s="8">
        <f>IF(ISNA(MATCH(437,'Transfer Engine'!$C$2:$C$1960,0)),"",INDEX('Compliance Database'!$F$2:$F$1960,MATCH(437,'Transfer Engine'!$C$2:$C$1960,0)))</f>
        <v/>
      </c>
      <c r="G446" s="8">
        <f>IF(ISNA(MATCH(437,'Transfer Engine'!$C$2:$C$1960,0)),"",INDEX('Compliance Database'!$G$2:$G$1960,MATCH(437,'Transfer Engine'!$C$2:$C$1960,0)))</f>
        <v/>
      </c>
      <c r="H446" s="9">
        <f>IF(ISNA(MATCH(437,'Transfer Engine'!$C$2:$C$1960,0)),"",INDEX('Compliance Database'!$H$2:$H$1960,MATCH(437,'Transfer Engine'!$C$2:$C$1960,0)))</f>
        <v/>
      </c>
      <c r="I446" s="9">
        <f>IF(ISNA(MATCH(437,'Transfer Engine'!$C$2:$C$1960,0)),"",INDEX('Compliance Database'!$I$2:$I$1960,MATCH(437,'Transfer Engine'!$C$2:$C$1960,0)))</f>
        <v/>
      </c>
      <c r="J446" s="8">
        <f>IF(ISNA(MATCH(437,'Transfer Engine'!$C$2:$C$1960,0)),"",INDEX('Compliance Database'!$J$2:$J$1960,MATCH(437,'Transfer Engine'!$C$2:$C$1960,0)))</f>
        <v/>
      </c>
      <c r="K446" s="9">
        <f>IF(ISNA(MATCH(437,'Transfer Engine'!$C$2:$C$1960,0)),"",INDEX('Compliance Database'!$K$2:$K$1960,MATCH(437,'Transfer Engine'!$C$2:$C$1960,0)))</f>
        <v/>
      </c>
      <c r="L446" s="9">
        <f>IF(ISNA(MATCH(437,'Transfer Engine'!$C$2:$C$1960,0)),"",INDEX('Compliance Database'!$L$2:$L$1960,MATCH(437,'Transfer Engine'!$C$2:$C$1960,0)))</f>
        <v/>
      </c>
      <c r="M446" s="9">
        <f>IF(ISNA(MATCH(437,'Transfer Engine'!$C$2:$C$1960,0)),"",INDEX('Compliance Database'!$M$2:$M$1960,MATCH(437,'Transfer Engine'!$C$2:$C$1960,0)))</f>
        <v/>
      </c>
      <c r="N446" s="9">
        <f>IF(ISNA(MATCH(437,'Transfer Engine'!$C$2:$C$1960,0)),"",INDEX('Compliance Database'!$N$2:$N$1960,MATCH(437,'Transfer Engine'!$C$2:$C$1960,0)))</f>
        <v/>
      </c>
      <c r="O446" s="9">
        <f>IF(ISNA(MATCH(437,'Transfer Engine'!$C$2:$C$1960,0)),"",INDEX('Compliance Database'!$O$2:$O$1960,MATCH(437,'Transfer Engine'!$C$2:$C$1960,0)))</f>
        <v/>
      </c>
      <c r="P446" s="8">
        <f>IF(ISNA(MATCH(437,'Transfer Engine'!$C$2:$C$1960,0)),"",HYPERLINK("#Acts!A"&amp;INDEX('Compliance Database'!$P$2:$P$1960,MATCH(437,'Transfer Engine'!$C$2:$C$1960,0)),"Go to Act"))</f>
        <v/>
      </c>
    </row>
    <row r="447" ht="158" customHeight="1">
      <c r="A447" s="8">
        <f>IF(ISNA(MATCH(438,'Transfer Engine'!$C$2:$C$1960,0)),"",INDEX('Compliance Database'!$A$2:$A$1960,MATCH(438,'Transfer Engine'!$C$2:$C$1960,0)))</f>
        <v/>
      </c>
      <c r="B447" s="8">
        <f>IF(ISNA(MATCH(438,'Transfer Engine'!$C$2:$C$1960,0)),"",INDEX('Compliance Database'!$B$2:$B$1960,MATCH(438,'Transfer Engine'!$C$2:$C$1960,0)))</f>
        <v/>
      </c>
      <c r="C447" s="8">
        <f>IF(ISNA(MATCH(438,'Transfer Engine'!$C$2:$C$1960,0)),"",INDEX('Compliance Database'!$C$2:$C$1960,MATCH(438,'Transfer Engine'!$C$2:$C$1960,0)))</f>
        <v/>
      </c>
      <c r="D447" s="9">
        <f>IF(ISNA(MATCH(438,'Transfer Engine'!$C$2:$C$1960,0)),"",INDEX('Compliance Database'!$D$2:$D$1960,MATCH(438,'Transfer Engine'!$C$2:$C$1960,0)))</f>
        <v/>
      </c>
      <c r="E447" s="8">
        <f>IF(ISNA(MATCH(438,'Transfer Engine'!$C$2:$C$1960,0)),"",INDEX('Compliance Database'!$E$2:$E$1960,MATCH(438,'Transfer Engine'!$C$2:$C$1960,0)))</f>
        <v/>
      </c>
      <c r="F447" s="8">
        <f>IF(ISNA(MATCH(438,'Transfer Engine'!$C$2:$C$1960,0)),"",INDEX('Compliance Database'!$F$2:$F$1960,MATCH(438,'Transfer Engine'!$C$2:$C$1960,0)))</f>
        <v/>
      </c>
      <c r="G447" s="8">
        <f>IF(ISNA(MATCH(438,'Transfer Engine'!$C$2:$C$1960,0)),"",INDEX('Compliance Database'!$G$2:$G$1960,MATCH(438,'Transfer Engine'!$C$2:$C$1960,0)))</f>
        <v/>
      </c>
      <c r="H447" s="9">
        <f>IF(ISNA(MATCH(438,'Transfer Engine'!$C$2:$C$1960,0)),"",INDEX('Compliance Database'!$H$2:$H$1960,MATCH(438,'Transfer Engine'!$C$2:$C$1960,0)))</f>
        <v/>
      </c>
      <c r="I447" s="9">
        <f>IF(ISNA(MATCH(438,'Transfer Engine'!$C$2:$C$1960,0)),"",INDEX('Compliance Database'!$I$2:$I$1960,MATCH(438,'Transfer Engine'!$C$2:$C$1960,0)))</f>
        <v/>
      </c>
      <c r="J447" s="8">
        <f>IF(ISNA(MATCH(438,'Transfer Engine'!$C$2:$C$1960,0)),"",INDEX('Compliance Database'!$J$2:$J$1960,MATCH(438,'Transfer Engine'!$C$2:$C$1960,0)))</f>
        <v/>
      </c>
      <c r="K447" s="9">
        <f>IF(ISNA(MATCH(438,'Transfer Engine'!$C$2:$C$1960,0)),"",INDEX('Compliance Database'!$K$2:$K$1960,MATCH(438,'Transfer Engine'!$C$2:$C$1960,0)))</f>
        <v/>
      </c>
      <c r="L447" s="9">
        <f>IF(ISNA(MATCH(438,'Transfer Engine'!$C$2:$C$1960,0)),"",INDEX('Compliance Database'!$L$2:$L$1960,MATCH(438,'Transfer Engine'!$C$2:$C$1960,0)))</f>
        <v/>
      </c>
      <c r="M447" s="9">
        <f>IF(ISNA(MATCH(438,'Transfer Engine'!$C$2:$C$1960,0)),"",INDEX('Compliance Database'!$M$2:$M$1960,MATCH(438,'Transfer Engine'!$C$2:$C$1960,0)))</f>
        <v/>
      </c>
      <c r="N447" s="9">
        <f>IF(ISNA(MATCH(438,'Transfer Engine'!$C$2:$C$1960,0)),"",INDEX('Compliance Database'!$N$2:$N$1960,MATCH(438,'Transfer Engine'!$C$2:$C$1960,0)))</f>
        <v/>
      </c>
      <c r="O447" s="9">
        <f>IF(ISNA(MATCH(438,'Transfer Engine'!$C$2:$C$1960,0)),"",INDEX('Compliance Database'!$O$2:$O$1960,MATCH(438,'Transfer Engine'!$C$2:$C$1960,0)))</f>
        <v/>
      </c>
      <c r="P447" s="8">
        <f>IF(ISNA(MATCH(438,'Transfer Engine'!$C$2:$C$1960,0)),"",HYPERLINK("#Acts!A"&amp;INDEX('Compliance Database'!$P$2:$P$1960,MATCH(438,'Transfer Engine'!$C$2:$C$1960,0)),"Go to Act"))</f>
        <v/>
      </c>
    </row>
    <row r="448" ht="158" customHeight="1">
      <c r="A448" s="8">
        <f>IF(ISNA(MATCH(439,'Transfer Engine'!$C$2:$C$1960,0)),"",INDEX('Compliance Database'!$A$2:$A$1960,MATCH(439,'Transfer Engine'!$C$2:$C$1960,0)))</f>
        <v/>
      </c>
      <c r="B448" s="8">
        <f>IF(ISNA(MATCH(439,'Transfer Engine'!$C$2:$C$1960,0)),"",INDEX('Compliance Database'!$B$2:$B$1960,MATCH(439,'Transfer Engine'!$C$2:$C$1960,0)))</f>
        <v/>
      </c>
      <c r="C448" s="8">
        <f>IF(ISNA(MATCH(439,'Transfer Engine'!$C$2:$C$1960,0)),"",INDEX('Compliance Database'!$C$2:$C$1960,MATCH(439,'Transfer Engine'!$C$2:$C$1960,0)))</f>
        <v/>
      </c>
      <c r="D448" s="9">
        <f>IF(ISNA(MATCH(439,'Transfer Engine'!$C$2:$C$1960,0)),"",INDEX('Compliance Database'!$D$2:$D$1960,MATCH(439,'Transfer Engine'!$C$2:$C$1960,0)))</f>
        <v/>
      </c>
      <c r="E448" s="8">
        <f>IF(ISNA(MATCH(439,'Transfer Engine'!$C$2:$C$1960,0)),"",INDEX('Compliance Database'!$E$2:$E$1960,MATCH(439,'Transfer Engine'!$C$2:$C$1960,0)))</f>
        <v/>
      </c>
      <c r="F448" s="8">
        <f>IF(ISNA(MATCH(439,'Transfer Engine'!$C$2:$C$1960,0)),"",INDEX('Compliance Database'!$F$2:$F$1960,MATCH(439,'Transfer Engine'!$C$2:$C$1960,0)))</f>
        <v/>
      </c>
      <c r="G448" s="8">
        <f>IF(ISNA(MATCH(439,'Transfer Engine'!$C$2:$C$1960,0)),"",INDEX('Compliance Database'!$G$2:$G$1960,MATCH(439,'Transfer Engine'!$C$2:$C$1960,0)))</f>
        <v/>
      </c>
      <c r="H448" s="9">
        <f>IF(ISNA(MATCH(439,'Transfer Engine'!$C$2:$C$1960,0)),"",INDEX('Compliance Database'!$H$2:$H$1960,MATCH(439,'Transfer Engine'!$C$2:$C$1960,0)))</f>
        <v/>
      </c>
      <c r="I448" s="9">
        <f>IF(ISNA(MATCH(439,'Transfer Engine'!$C$2:$C$1960,0)),"",INDEX('Compliance Database'!$I$2:$I$1960,MATCH(439,'Transfer Engine'!$C$2:$C$1960,0)))</f>
        <v/>
      </c>
      <c r="J448" s="8">
        <f>IF(ISNA(MATCH(439,'Transfer Engine'!$C$2:$C$1960,0)),"",INDEX('Compliance Database'!$J$2:$J$1960,MATCH(439,'Transfer Engine'!$C$2:$C$1960,0)))</f>
        <v/>
      </c>
      <c r="K448" s="9">
        <f>IF(ISNA(MATCH(439,'Transfer Engine'!$C$2:$C$1960,0)),"",INDEX('Compliance Database'!$K$2:$K$1960,MATCH(439,'Transfer Engine'!$C$2:$C$1960,0)))</f>
        <v/>
      </c>
      <c r="L448" s="9">
        <f>IF(ISNA(MATCH(439,'Transfer Engine'!$C$2:$C$1960,0)),"",INDEX('Compliance Database'!$L$2:$L$1960,MATCH(439,'Transfer Engine'!$C$2:$C$1960,0)))</f>
        <v/>
      </c>
      <c r="M448" s="9">
        <f>IF(ISNA(MATCH(439,'Transfer Engine'!$C$2:$C$1960,0)),"",INDEX('Compliance Database'!$M$2:$M$1960,MATCH(439,'Transfer Engine'!$C$2:$C$1960,0)))</f>
        <v/>
      </c>
      <c r="N448" s="9">
        <f>IF(ISNA(MATCH(439,'Transfer Engine'!$C$2:$C$1960,0)),"",INDEX('Compliance Database'!$N$2:$N$1960,MATCH(439,'Transfer Engine'!$C$2:$C$1960,0)))</f>
        <v/>
      </c>
      <c r="O448" s="9">
        <f>IF(ISNA(MATCH(439,'Transfer Engine'!$C$2:$C$1960,0)),"",INDEX('Compliance Database'!$O$2:$O$1960,MATCH(439,'Transfer Engine'!$C$2:$C$1960,0)))</f>
        <v/>
      </c>
      <c r="P448" s="8">
        <f>IF(ISNA(MATCH(439,'Transfer Engine'!$C$2:$C$1960,0)),"",HYPERLINK("#Acts!A"&amp;INDEX('Compliance Database'!$P$2:$P$1960,MATCH(439,'Transfer Engine'!$C$2:$C$1960,0)),"Go to Act"))</f>
        <v/>
      </c>
    </row>
    <row r="449" ht="158" customHeight="1">
      <c r="A449" s="8">
        <f>IF(ISNA(MATCH(440,'Transfer Engine'!$C$2:$C$1960,0)),"",INDEX('Compliance Database'!$A$2:$A$1960,MATCH(440,'Transfer Engine'!$C$2:$C$1960,0)))</f>
        <v/>
      </c>
      <c r="B449" s="8">
        <f>IF(ISNA(MATCH(440,'Transfer Engine'!$C$2:$C$1960,0)),"",INDEX('Compliance Database'!$B$2:$B$1960,MATCH(440,'Transfer Engine'!$C$2:$C$1960,0)))</f>
        <v/>
      </c>
      <c r="C449" s="8">
        <f>IF(ISNA(MATCH(440,'Transfer Engine'!$C$2:$C$1960,0)),"",INDEX('Compliance Database'!$C$2:$C$1960,MATCH(440,'Transfer Engine'!$C$2:$C$1960,0)))</f>
        <v/>
      </c>
      <c r="D449" s="9">
        <f>IF(ISNA(MATCH(440,'Transfer Engine'!$C$2:$C$1960,0)),"",INDEX('Compliance Database'!$D$2:$D$1960,MATCH(440,'Transfer Engine'!$C$2:$C$1960,0)))</f>
        <v/>
      </c>
      <c r="E449" s="8">
        <f>IF(ISNA(MATCH(440,'Transfer Engine'!$C$2:$C$1960,0)),"",INDEX('Compliance Database'!$E$2:$E$1960,MATCH(440,'Transfer Engine'!$C$2:$C$1960,0)))</f>
        <v/>
      </c>
      <c r="F449" s="8">
        <f>IF(ISNA(MATCH(440,'Transfer Engine'!$C$2:$C$1960,0)),"",INDEX('Compliance Database'!$F$2:$F$1960,MATCH(440,'Transfer Engine'!$C$2:$C$1960,0)))</f>
        <v/>
      </c>
      <c r="G449" s="8">
        <f>IF(ISNA(MATCH(440,'Transfer Engine'!$C$2:$C$1960,0)),"",INDEX('Compliance Database'!$G$2:$G$1960,MATCH(440,'Transfer Engine'!$C$2:$C$1960,0)))</f>
        <v/>
      </c>
      <c r="H449" s="9">
        <f>IF(ISNA(MATCH(440,'Transfer Engine'!$C$2:$C$1960,0)),"",INDEX('Compliance Database'!$H$2:$H$1960,MATCH(440,'Transfer Engine'!$C$2:$C$1960,0)))</f>
        <v/>
      </c>
      <c r="I449" s="9">
        <f>IF(ISNA(MATCH(440,'Transfer Engine'!$C$2:$C$1960,0)),"",INDEX('Compliance Database'!$I$2:$I$1960,MATCH(440,'Transfer Engine'!$C$2:$C$1960,0)))</f>
        <v/>
      </c>
      <c r="J449" s="8">
        <f>IF(ISNA(MATCH(440,'Transfer Engine'!$C$2:$C$1960,0)),"",INDEX('Compliance Database'!$J$2:$J$1960,MATCH(440,'Transfer Engine'!$C$2:$C$1960,0)))</f>
        <v/>
      </c>
      <c r="K449" s="9">
        <f>IF(ISNA(MATCH(440,'Transfer Engine'!$C$2:$C$1960,0)),"",INDEX('Compliance Database'!$K$2:$K$1960,MATCH(440,'Transfer Engine'!$C$2:$C$1960,0)))</f>
        <v/>
      </c>
      <c r="L449" s="9">
        <f>IF(ISNA(MATCH(440,'Transfer Engine'!$C$2:$C$1960,0)),"",INDEX('Compliance Database'!$L$2:$L$1960,MATCH(440,'Transfer Engine'!$C$2:$C$1960,0)))</f>
        <v/>
      </c>
      <c r="M449" s="9">
        <f>IF(ISNA(MATCH(440,'Transfer Engine'!$C$2:$C$1960,0)),"",INDEX('Compliance Database'!$M$2:$M$1960,MATCH(440,'Transfer Engine'!$C$2:$C$1960,0)))</f>
        <v/>
      </c>
      <c r="N449" s="9">
        <f>IF(ISNA(MATCH(440,'Transfer Engine'!$C$2:$C$1960,0)),"",INDEX('Compliance Database'!$N$2:$N$1960,MATCH(440,'Transfer Engine'!$C$2:$C$1960,0)))</f>
        <v/>
      </c>
      <c r="O449" s="9">
        <f>IF(ISNA(MATCH(440,'Transfer Engine'!$C$2:$C$1960,0)),"",INDEX('Compliance Database'!$O$2:$O$1960,MATCH(440,'Transfer Engine'!$C$2:$C$1960,0)))</f>
        <v/>
      </c>
      <c r="P449" s="8">
        <f>IF(ISNA(MATCH(440,'Transfer Engine'!$C$2:$C$1960,0)),"",HYPERLINK("#Acts!A"&amp;INDEX('Compliance Database'!$P$2:$P$1960,MATCH(440,'Transfer Engine'!$C$2:$C$1960,0)),"Go to Act"))</f>
        <v/>
      </c>
    </row>
    <row r="450" ht="158" customHeight="1">
      <c r="A450" s="8">
        <f>IF(ISNA(MATCH(441,'Transfer Engine'!$C$2:$C$1960,0)),"",INDEX('Compliance Database'!$A$2:$A$1960,MATCH(441,'Transfer Engine'!$C$2:$C$1960,0)))</f>
        <v/>
      </c>
      <c r="B450" s="8">
        <f>IF(ISNA(MATCH(441,'Transfer Engine'!$C$2:$C$1960,0)),"",INDEX('Compliance Database'!$B$2:$B$1960,MATCH(441,'Transfer Engine'!$C$2:$C$1960,0)))</f>
        <v/>
      </c>
      <c r="C450" s="8">
        <f>IF(ISNA(MATCH(441,'Transfer Engine'!$C$2:$C$1960,0)),"",INDEX('Compliance Database'!$C$2:$C$1960,MATCH(441,'Transfer Engine'!$C$2:$C$1960,0)))</f>
        <v/>
      </c>
      <c r="D450" s="9">
        <f>IF(ISNA(MATCH(441,'Transfer Engine'!$C$2:$C$1960,0)),"",INDEX('Compliance Database'!$D$2:$D$1960,MATCH(441,'Transfer Engine'!$C$2:$C$1960,0)))</f>
        <v/>
      </c>
      <c r="E450" s="8">
        <f>IF(ISNA(MATCH(441,'Transfer Engine'!$C$2:$C$1960,0)),"",INDEX('Compliance Database'!$E$2:$E$1960,MATCH(441,'Transfer Engine'!$C$2:$C$1960,0)))</f>
        <v/>
      </c>
      <c r="F450" s="8">
        <f>IF(ISNA(MATCH(441,'Transfer Engine'!$C$2:$C$1960,0)),"",INDEX('Compliance Database'!$F$2:$F$1960,MATCH(441,'Transfer Engine'!$C$2:$C$1960,0)))</f>
        <v/>
      </c>
      <c r="G450" s="8">
        <f>IF(ISNA(MATCH(441,'Transfer Engine'!$C$2:$C$1960,0)),"",INDEX('Compliance Database'!$G$2:$G$1960,MATCH(441,'Transfer Engine'!$C$2:$C$1960,0)))</f>
        <v/>
      </c>
      <c r="H450" s="9">
        <f>IF(ISNA(MATCH(441,'Transfer Engine'!$C$2:$C$1960,0)),"",INDEX('Compliance Database'!$H$2:$H$1960,MATCH(441,'Transfer Engine'!$C$2:$C$1960,0)))</f>
        <v/>
      </c>
      <c r="I450" s="9">
        <f>IF(ISNA(MATCH(441,'Transfer Engine'!$C$2:$C$1960,0)),"",INDEX('Compliance Database'!$I$2:$I$1960,MATCH(441,'Transfer Engine'!$C$2:$C$1960,0)))</f>
        <v/>
      </c>
      <c r="J450" s="8">
        <f>IF(ISNA(MATCH(441,'Transfer Engine'!$C$2:$C$1960,0)),"",INDEX('Compliance Database'!$J$2:$J$1960,MATCH(441,'Transfer Engine'!$C$2:$C$1960,0)))</f>
        <v/>
      </c>
      <c r="K450" s="9">
        <f>IF(ISNA(MATCH(441,'Transfer Engine'!$C$2:$C$1960,0)),"",INDEX('Compliance Database'!$K$2:$K$1960,MATCH(441,'Transfer Engine'!$C$2:$C$1960,0)))</f>
        <v/>
      </c>
      <c r="L450" s="9">
        <f>IF(ISNA(MATCH(441,'Transfer Engine'!$C$2:$C$1960,0)),"",INDEX('Compliance Database'!$L$2:$L$1960,MATCH(441,'Transfer Engine'!$C$2:$C$1960,0)))</f>
        <v/>
      </c>
      <c r="M450" s="9">
        <f>IF(ISNA(MATCH(441,'Transfer Engine'!$C$2:$C$1960,0)),"",INDEX('Compliance Database'!$M$2:$M$1960,MATCH(441,'Transfer Engine'!$C$2:$C$1960,0)))</f>
        <v/>
      </c>
      <c r="N450" s="9">
        <f>IF(ISNA(MATCH(441,'Transfer Engine'!$C$2:$C$1960,0)),"",INDEX('Compliance Database'!$N$2:$N$1960,MATCH(441,'Transfer Engine'!$C$2:$C$1960,0)))</f>
        <v/>
      </c>
      <c r="O450" s="9">
        <f>IF(ISNA(MATCH(441,'Transfer Engine'!$C$2:$C$1960,0)),"",INDEX('Compliance Database'!$O$2:$O$1960,MATCH(441,'Transfer Engine'!$C$2:$C$1960,0)))</f>
        <v/>
      </c>
      <c r="P450" s="8">
        <f>IF(ISNA(MATCH(441,'Transfer Engine'!$C$2:$C$1960,0)),"",HYPERLINK("#Acts!A"&amp;INDEX('Compliance Database'!$P$2:$P$1960,MATCH(441,'Transfer Engine'!$C$2:$C$1960,0)),"Go to Act"))</f>
        <v/>
      </c>
    </row>
    <row r="451" ht="158" customHeight="1">
      <c r="A451" s="8">
        <f>IF(ISNA(MATCH(442,'Transfer Engine'!$C$2:$C$1960,0)),"",INDEX('Compliance Database'!$A$2:$A$1960,MATCH(442,'Transfer Engine'!$C$2:$C$1960,0)))</f>
        <v/>
      </c>
      <c r="B451" s="8">
        <f>IF(ISNA(MATCH(442,'Transfer Engine'!$C$2:$C$1960,0)),"",INDEX('Compliance Database'!$B$2:$B$1960,MATCH(442,'Transfer Engine'!$C$2:$C$1960,0)))</f>
        <v/>
      </c>
      <c r="C451" s="8">
        <f>IF(ISNA(MATCH(442,'Transfer Engine'!$C$2:$C$1960,0)),"",INDEX('Compliance Database'!$C$2:$C$1960,MATCH(442,'Transfer Engine'!$C$2:$C$1960,0)))</f>
        <v/>
      </c>
      <c r="D451" s="9">
        <f>IF(ISNA(MATCH(442,'Transfer Engine'!$C$2:$C$1960,0)),"",INDEX('Compliance Database'!$D$2:$D$1960,MATCH(442,'Transfer Engine'!$C$2:$C$1960,0)))</f>
        <v/>
      </c>
      <c r="E451" s="8">
        <f>IF(ISNA(MATCH(442,'Transfer Engine'!$C$2:$C$1960,0)),"",INDEX('Compliance Database'!$E$2:$E$1960,MATCH(442,'Transfer Engine'!$C$2:$C$1960,0)))</f>
        <v/>
      </c>
      <c r="F451" s="8">
        <f>IF(ISNA(MATCH(442,'Transfer Engine'!$C$2:$C$1960,0)),"",INDEX('Compliance Database'!$F$2:$F$1960,MATCH(442,'Transfer Engine'!$C$2:$C$1960,0)))</f>
        <v/>
      </c>
      <c r="G451" s="8">
        <f>IF(ISNA(MATCH(442,'Transfer Engine'!$C$2:$C$1960,0)),"",INDEX('Compliance Database'!$G$2:$G$1960,MATCH(442,'Transfer Engine'!$C$2:$C$1960,0)))</f>
        <v/>
      </c>
      <c r="H451" s="9">
        <f>IF(ISNA(MATCH(442,'Transfer Engine'!$C$2:$C$1960,0)),"",INDEX('Compliance Database'!$H$2:$H$1960,MATCH(442,'Transfer Engine'!$C$2:$C$1960,0)))</f>
        <v/>
      </c>
      <c r="I451" s="9">
        <f>IF(ISNA(MATCH(442,'Transfer Engine'!$C$2:$C$1960,0)),"",INDEX('Compliance Database'!$I$2:$I$1960,MATCH(442,'Transfer Engine'!$C$2:$C$1960,0)))</f>
        <v/>
      </c>
      <c r="J451" s="8">
        <f>IF(ISNA(MATCH(442,'Transfer Engine'!$C$2:$C$1960,0)),"",INDEX('Compliance Database'!$J$2:$J$1960,MATCH(442,'Transfer Engine'!$C$2:$C$1960,0)))</f>
        <v/>
      </c>
      <c r="K451" s="9">
        <f>IF(ISNA(MATCH(442,'Transfer Engine'!$C$2:$C$1960,0)),"",INDEX('Compliance Database'!$K$2:$K$1960,MATCH(442,'Transfer Engine'!$C$2:$C$1960,0)))</f>
        <v/>
      </c>
      <c r="L451" s="9">
        <f>IF(ISNA(MATCH(442,'Transfer Engine'!$C$2:$C$1960,0)),"",INDEX('Compliance Database'!$L$2:$L$1960,MATCH(442,'Transfer Engine'!$C$2:$C$1960,0)))</f>
        <v/>
      </c>
      <c r="M451" s="9">
        <f>IF(ISNA(MATCH(442,'Transfer Engine'!$C$2:$C$1960,0)),"",INDEX('Compliance Database'!$M$2:$M$1960,MATCH(442,'Transfer Engine'!$C$2:$C$1960,0)))</f>
        <v/>
      </c>
      <c r="N451" s="9">
        <f>IF(ISNA(MATCH(442,'Transfer Engine'!$C$2:$C$1960,0)),"",INDEX('Compliance Database'!$N$2:$N$1960,MATCH(442,'Transfer Engine'!$C$2:$C$1960,0)))</f>
        <v/>
      </c>
      <c r="O451" s="9">
        <f>IF(ISNA(MATCH(442,'Transfer Engine'!$C$2:$C$1960,0)),"",INDEX('Compliance Database'!$O$2:$O$1960,MATCH(442,'Transfer Engine'!$C$2:$C$1960,0)))</f>
        <v/>
      </c>
      <c r="P451" s="8">
        <f>IF(ISNA(MATCH(442,'Transfer Engine'!$C$2:$C$1960,0)),"",HYPERLINK("#Acts!A"&amp;INDEX('Compliance Database'!$P$2:$P$1960,MATCH(442,'Transfer Engine'!$C$2:$C$1960,0)),"Go to Act"))</f>
        <v/>
      </c>
    </row>
    <row r="452" ht="158" customHeight="1">
      <c r="A452" s="8">
        <f>IF(ISNA(MATCH(443,'Transfer Engine'!$C$2:$C$1960,0)),"",INDEX('Compliance Database'!$A$2:$A$1960,MATCH(443,'Transfer Engine'!$C$2:$C$1960,0)))</f>
        <v/>
      </c>
      <c r="B452" s="8">
        <f>IF(ISNA(MATCH(443,'Transfer Engine'!$C$2:$C$1960,0)),"",INDEX('Compliance Database'!$B$2:$B$1960,MATCH(443,'Transfer Engine'!$C$2:$C$1960,0)))</f>
        <v/>
      </c>
      <c r="C452" s="8">
        <f>IF(ISNA(MATCH(443,'Transfer Engine'!$C$2:$C$1960,0)),"",INDEX('Compliance Database'!$C$2:$C$1960,MATCH(443,'Transfer Engine'!$C$2:$C$1960,0)))</f>
        <v/>
      </c>
      <c r="D452" s="9">
        <f>IF(ISNA(MATCH(443,'Transfer Engine'!$C$2:$C$1960,0)),"",INDEX('Compliance Database'!$D$2:$D$1960,MATCH(443,'Transfer Engine'!$C$2:$C$1960,0)))</f>
        <v/>
      </c>
      <c r="E452" s="8">
        <f>IF(ISNA(MATCH(443,'Transfer Engine'!$C$2:$C$1960,0)),"",INDEX('Compliance Database'!$E$2:$E$1960,MATCH(443,'Transfer Engine'!$C$2:$C$1960,0)))</f>
        <v/>
      </c>
      <c r="F452" s="8">
        <f>IF(ISNA(MATCH(443,'Transfer Engine'!$C$2:$C$1960,0)),"",INDEX('Compliance Database'!$F$2:$F$1960,MATCH(443,'Transfer Engine'!$C$2:$C$1960,0)))</f>
        <v/>
      </c>
      <c r="G452" s="8">
        <f>IF(ISNA(MATCH(443,'Transfer Engine'!$C$2:$C$1960,0)),"",INDEX('Compliance Database'!$G$2:$G$1960,MATCH(443,'Transfer Engine'!$C$2:$C$1960,0)))</f>
        <v/>
      </c>
      <c r="H452" s="9">
        <f>IF(ISNA(MATCH(443,'Transfer Engine'!$C$2:$C$1960,0)),"",INDEX('Compliance Database'!$H$2:$H$1960,MATCH(443,'Transfer Engine'!$C$2:$C$1960,0)))</f>
        <v/>
      </c>
      <c r="I452" s="9">
        <f>IF(ISNA(MATCH(443,'Transfer Engine'!$C$2:$C$1960,0)),"",INDEX('Compliance Database'!$I$2:$I$1960,MATCH(443,'Transfer Engine'!$C$2:$C$1960,0)))</f>
        <v/>
      </c>
      <c r="J452" s="8">
        <f>IF(ISNA(MATCH(443,'Transfer Engine'!$C$2:$C$1960,0)),"",INDEX('Compliance Database'!$J$2:$J$1960,MATCH(443,'Transfer Engine'!$C$2:$C$1960,0)))</f>
        <v/>
      </c>
      <c r="K452" s="9">
        <f>IF(ISNA(MATCH(443,'Transfer Engine'!$C$2:$C$1960,0)),"",INDEX('Compliance Database'!$K$2:$K$1960,MATCH(443,'Transfer Engine'!$C$2:$C$1960,0)))</f>
        <v/>
      </c>
      <c r="L452" s="9">
        <f>IF(ISNA(MATCH(443,'Transfer Engine'!$C$2:$C$1960,0)),"",INDEX('Compliance Database'!$L$2:$L$1960,MATCH(443,'Transfer Engine'!$C$2:$C$1960,0)))</f>
        <v/>
      </c>
      <c r="M452" s="9">
        <f>IF(ISNA(MATCH(443,'Transfer Engine'!$C$2:$C$1960,0)),"",INDEX('Compliance Database'!$M$2:$M$1960,MATCH(443,'Transfer Engine'!$C$2:$C$1960,0)))</f>
        <v/>
      </c>
      <c r="N452" s="9">
        <f>IF(ISNA(MATCH(443,'Transfer Engine'!$C$2:$C$1960,0)),"",INDEX('Compliance Database'!$N$2:$N$1960,MATCH(443,'Transfer Engine'!$C$2:$C$1960,0)))</f>
        <v/>
      </c>
      <c r="O452" s="9">
        <f>IF(ISNA(MATCH(443,'Transfer Engine'!$C$2:$C$1960,0)),"",INDEX('Compliance Database'!$O$2:$O$1960,MATCH(443,'Transfer Engine'!$C$2:$C$1960,0)))</f>
        <v/>
      </c>
      <c r="P452" s="8">
        <f>IF(ISNA(MATCH(443,'Transfer Engine'!$C$2:$C$1960,0)),"",HYPERLINK("#Acts!A"&amp;INDEX('Compliance Database'!$P$2:$P$1960,MATCH(443,'Transfer Engine'!$C$2:$C$1960,0)),"Go to Act"))</f>
        <v/>
      </c>
    </row>
    <row r="453" ht="158" customHeight="1">
      <c r="A453" s="8">
        <f>IF(ISNA(MATCH(444,'Transfer Engine'!$C$2:$C$1960,0)),"",INDEX('Compliance Database'!$A$2:$A$1960,MATCH(444,'Transfer Engine'!$C$2:$C$1960,0)))</f>
        <v/>
      </c>
      <c r="B453" s="8">
        <f>IF(ISNA(MATCH(444,'Transfer Engine'!$C$2:$C$1960,0)),"",INDEX('Compliance Database'!$B$2:$B$1960,MATCH(444,'Transfer Engine'!$C$2:$C$1960,0)))</f>
        <v/>
      </c>
      <c r="C453" s="8">
        <f>IF(ISNA(MATCH(444,'Transfer Engine'!$C$2:$C$1960,0)),"",INDEX('Compliance Database'!$C$2:$C$1960,MATCH(444,'Transfer Engine'!$C$2:$C$1960,0)))</f>
        <v/>
      </c>
      <c r="D453" s="9">
        <f>IF(ISNA(MATCH(444,'Transfer Engine'!$C$2:$C$1960,0)),"",INDEX('Compliance Database'!$D$2:$D$1960,MATCH(444,'Transfer Engine'!$C$2:$C$1960,0)))</f>
        <v/>
      </c>
      <c r="E453" s="8">
        <f>IF(ISNA(MATCH(444,'Transfer Engine'!$C$2:$C$1960,0)),"",INDEX('Compliance Database'!$E$2:$E$1960,MATCH(444,'Transfer Engine'!$C$2:$C$1960,0)))</f>
        <v/>
      </c>
      <c r="F453" s="8">
        <f>IF(ISNA(MATCH(444,'Transfer Engine'!$C$2:$C$1960,0)),"",INDEX('Compliance Database'!$F$2:$F$1960,MATCH(444,'Transfer Engine'!$C$2:$C$1960,0)))</f>
        <v/>
      </c>
      <c r="G453" s="8">
        <f>IF(ISNA(MATCH(444,'Transfer Engine'!$C$2:$C$1960,0)),"",INDEX('Compliance Database'!$G$2:$G$1960,MATCH(444,'Transfer Engine'!$C$2:$C$1960,0)))</f>
        <v/>
      </c>
      <c r="H453" s="9">
        <f>IF(ISNA(MATCH(444,'Transfer Engine'!$C$2:$C$1960,0)),"",INDEX('Compliance Database'!$H$2:$H$1960,MATCH(444,'Transfer Engine'!$C$2:$C$1960,0)))</f>
        <v/>
      </c>
      <c r="I453" s="9">
        <f>IF(ISNA(MATCH(444,'Transfer Engine'!$C$2:$C$1960,0)),"",INDEX('Compliance Database'!$I$2:$I$1960,MATCH(444,'Transfer Engine'!$C$2:$C$1960,0)))</f>
        <v/>
      </c>
      <c r="J453" s="8">
        <f>IF(ISNA(MATCH(444,'Transfer Engine'!$C$2:$C$1960,0)),"",INDEX('Compliance Database'!$J$2:$J$1960,MATCH(444,'Transfer Engine'!$C$2:$C$1960,0)))</f>
        <v/>
      </c>
      <c r="K453" s="9">
        <f>IF(ISNA(MATCH(444,'Transfer Engine'!$C$2:$C$1960,0)),"",INDEX('Compliance Database'!$K$2:$K$1960,MATCH(444,'Transfer Engine'!$C$2:$C$1960,0)))</f>
        <v/>
      </c>
      <c r="L453" s="9">
        <f>IF(ISNA(MATCH(444,'Transfer Engine'!$C$2:$C$1960,0)),"",INDEX('Compliance Database'!$L$2:$L$1960,MATCH(444,'Transfer Engine'!$C$2:$C$1960,0)))</f>
        <v/>
      </c>
      <c r="M453" s="9">
        <f>IF(ISNA(MATCH(444,'Transfer Engine'!$C$2:$C$1960,0)),"",INDEX('Compliance Database'!$M$2:$M$1960,MATCH(444,'Transfer Engine'!$C$2:$C$1960,0)))</f>
        <v/>
      </c>
      <c r="N453" s="9">
        <f>IF(ISNA(MATCH(444,'Transfer Engine'!$C$2:$C$1960,0)),"",INDEX('Compliance Database'!$N$2:$N$1960,MATCH(444,'Transfer Engine'!$C$2:$C$1960,0)))</f>
        <v/>
      </c>
      <c r="O453" s="9">
        <f>IF(ISNA(MATCH(444,'Transfer Engine'!$C$2:$C$1960,0)),"",INDEX('Compliance Database'!$O$2:$O$1960,MATCH(444,'Transfer Engine'!$C$2:$C$1960,0)))</f>
        <v/>
      </c>
      <c r="P453" s="8">
        <f>IF(ISNA(MATCH(444,'Transfer Engine'!$C$2:$C$1960,0)),"",HYPERLINK("#Acts!A"&amp;INDEX('Compliance Database'!$P$2:$P$1960,MATCH(444,'Transfer Engine'!$C$2:$C$1960,0)),"Go to Act"))</f>
        <v/>
      </c>
    </row>
    <row r="454" ht="158" customHeight="1">
      <c r="A454" s="8">
        <f>IF(ISNA(MATCH(445,'Transfer Engine'!$C$2:$C$1960,0)),"",INDEX('Compliance Database'!$A$2:$A$1960,MATCH(445,'Transfer Engine'!$C$2:$C$1960,0)))</f>
        <v/>
      </c>
      <c r="B454" s="8">
        <f>IF(ISNA(MATCH(445,'Transfer Engine'!$C$2:$C$1960,0)),"",INDEX('Compliance Database'!$B$2:$B$1960,MATCH(445,'Transfer Engine'!$C$2:$C$1960,0)))</f>
        <v/>
      </c>
      <c r="C454" s="8">
        <f>IF(ISNA(MATCH(445,'Transfer Engine'!$C$2:$C$1960,0)),"",INDEX('Compliance Database'!$C$2:$C$1960,MATCH(445,'Transfer Engine'!$C$2:$C$1960,0)))</f>
        <v/>
      </c>
      <c r="D454" s="9">
        <f>IF(ISNA(MATCH(445,'Transfer Engine'!$C$2:$C$1960,0)),"",INDEX('Compliance Database'!$D$2:$D$1960,MATCH(445,'Transfer Engine'!$C$2:$C$1960,0)))</f>
        <v/>
      </c>
      <c r="E454" s="8">
        <f>IF(ISNA(MATCH(445,'Transfer Engine'!$C$2:$C$1960,0)),"",INDEX('Compliance Database'!$E$2:$E$1960,MATCH(445,'Transfer Engine'!$C$2:$C$1960,0)))</f>
        <v/>
      </c>
      <c r="F454" s="8">
        <f>IF(ISNA(MATCH(445,'Transfer Engine'!$C$2:$C$1960,0)),"",INDEX('Compliance Database'!$F$2:$F$1960,MATCH(445,'Transfer Engine'!$C$2:$C$1960,0)))</f>
        <v/>
      </c>
      <c r="G454" s="8">
        <f>IF(ISNA(MATCH(445,'Transfer Engine'!$C$2:$C$1960,0)),"",INDEX('Compliance Database'!$G$2:$G$1960,MATCH(445,'Transfer Engine'!$C$2:$C$1960,0)))</f>
        <v/>
      </c>
      <c r="H454" s="9">
        <f>IF(ISNA(MATCH(445,'Transfer Engine'!$C$2:$C$1960,0)),"",INDEX('Compliance Database'!$H$2:$H$1960,MATCH(445,'Transfer Engine'!$C$2:$C$1960,0)))</f>
        <v/>
      </c>
      <c r="I454" s="9">
        <f>IF(ISNA(MATCH(445,'Transfer Engine'!$C$2:$C$1960,0)),"",INDEX('Compliance Database'!$I$2:$I$1960,MATCH(445,'Transfer Engine'!$C$2:$C$1960,0)))</f>
        <v/>
      </c>
      <c r="J454" s="8">
        <f>IF(ISNA(MATCH(445,'Transfer Engine'!$C$2:$C$1960,0)),"",INDEX('Compliance Database'!$J$2:$J$1960,MATCH(445,'Transfer Engine'!$C$2:$C$1960,0)))</f>
        <v/>
      </c>
      <c r="K454" s="9">
        <f>IF(ISNA(MATCH(445,'Transfer Engine'!$C$2:$C$1960,0)),"",INDEX('Compliance Database'!$K$2:$K$1960,MATCH(445,'Transfer Engine'!$C$2:$C$1960,0)))</f>
        <v/>
      </c>
      <c r="L454" s="9">
        <f>IF(ISNA(MATCH(445,'Transfer Engine'!$C$2:$C$1960,0)),"",INDEX('Compliance Database'!$L$2:$L$1960,MATCH(445,'Transfer Engine'!$C$2:$C$1960,0)))</f>
        <v/>
      </c>
      <c r="M454" s="9">
        <f>IF(ISNA(MATCH(445,'Transfer Engine'!$C$2:$C$1960,0)),"",INDEX('Compliance Database'!$M$2:$M$1960,MATCH(445,'Transfer Engine'!$C$2:$C$1960,0)))</f>
        <v/>
      </c>
      <c r="N454" s="9">
        <f>IF(ISNA(MATCH(445,'Transfer Engine'!$C$2:$C$1960,0)),"",INDEX('Compliance Database'!$N$2:$N$1960,MATCH(445,'Transfer Engine'!$C$2:$C$1960,0)))</f>
        <v/>
      </c>
      <c r="O454" s="9">
        <f>IF(ISNA(MATCH(445,'Transfer Engine'!$C$2:$C$1960,0)),"",INDEX('Compliance Database'!$O$2:$O$1960,MATCH(445,'Transfer Engine'!$C$2:$C$1960,0)))</f>
        <v/>
      </c>
      <c r="P454" s="8">
        <f>IF(ISNA(MATCH(445,'Transfer Engine'!$C$2:$C$1960,0)),"",HYPERLINK("#Acts!A"&amp;INDEX('Compliance Database'!$P$2:$P$1960,MATCH(445,'Transfer Engine'!$C$2:$C$1960,0)),"Go to Act"))</f>
        <v/>
      </c>
    </row>
    <row r="455" ht="158" customHeight="1">
      <c r="A455" s="8">
        <f>IF(ISNA(MATCH(446,'Transfer Engine'!$C$2:$C$1960,0)),"",INDEX('Compliance Database'!$A$2:$A$1960,MATCH(446,'Transfer Engine'!$C$2:$C$1960,0)))</f>
        <v/>
      </c>
      <c r="B455" s="8">
        <f>IF(ISNA(MATCH(446,'Transfer Engine'!$C$2:$C$1960,0)),"",INDEX('Compliance Database'!$B$2:$B$1960,MATCH(446,'Transfer Engine'!$C$2:$C$1960,0)))</f>
        <v/>
      </c>
      <c r="C455" s="8">
        <f>IF(ISNA(MATCH(446,'Transfer Engine'!$C$2:$C$1960,0)),"",INDEX('Compliance Database'!$C$2:$C$1960,MATCH(446,'Transfer Engine'!$C$2:$C$1960,0)))</f>
        <v/>
      </c>
      <c r="D455" s="9">
        <f>IF(ISNA(MATCH(446,'Transfer Engine'!$C$2:$C$1960,0)),"",INDEX('Compliance Database'!$D$2:$D$1960,MATCH(446,'Transfer Engine'!$C$2:$C$1960,0)))</f>
        <v/>
      </c>
      <c r="E455" s="8">
        <f>IF(ISNA(MATCH(446,'Transfer Engine'!$C$2:$C$1960,0)),"",INDEX('Compliance Database'!$E$2:$E$1960,MATCH(446,'Transfer Engine'!$C$2:$C$1960,0)))</f>
        <v/>
      </c>
      <c r="F455" s="8">
        <f>IF(ISNA(MATCH(446,'Transfer Engine'!$C$2:$C$1960,0)),"",INDEX('Compliance Database'!$F$2:$F$1960,MATCH(446,'Transfer Engine'!$C$2:$C$1960,0)))</f>
        <v/>
      </c>
      <c r="G455" s="8">
        <f>IF(ISNA(MATCH(446,'Transfer Engine'!$C$2:$C$1960,0)),"",INDEX('Compliance Database'!$G$2:$G$1960,MATCH(446,'Transfer Engine'!$C$2:$C$1960,0)))</f>
        <v/>
      </c>
      <c r="H455" s="9">
        <f>IF(ISNA(MATCH(446,'Transfer Engine'!$C$2:$C$1960,0)),"",INDEX('Compliance Database'!$H$2:$H$1960,MATCH(446,'Transfer Engine'!$C$2:$C$1960,0)))</f>
        <v/>
      </c>
      <c r="I455" s="9">
        <f>IF(ISNA(MATCH(446,'Transfer Engine'!$C$2:$C$1960,0)),"",INDEX('Compliance Database'!$I$2:$I$1960,MATCH(446,'Transfer Engine'!$C$2:$C$1960,0)))</f>
        <v/>
      </c>
      <c r="J455" s="8">
        <f>IF(ISNA(MATCH(446,'Transfer Engine'!$C$2:$C$1960,0)),"",INDEX('Compliance Database'!$J$2:$J$1960,MATCH(446,'Transfer Engine'!$C$2:$C$1960,0)))</f>
        <v/>
      </c>
      <c r="K455" s="9">
        <f>IF(ISNA(MATCH(446,'Transfer Engine'!$C$2:$C$1960,0)),"",INDEX('Compliance Database'!$K$2:$K$1960,MATCH(446,'Transfer Engine'!$C$2:$C$1960,0)))</f>
        <v/>
      </c>
      <c r="L455" s="9">
        <f>IF(ISNA(MATCH(446,'Transfer Engine'!$C$2:$C$1960,0)),"",INDEX('Compliance Database'!$L$2:$L$1960,MATCH(446,'Transfer Engine'!$C$2:$C$1960,0)))</f>
        <v/>
      </c>
      <c r="M455" s="9">
        <f>IF(ISNA(MATCH(446,'Transfer Engine'!$C$2:$C$1960,0)),"",INDEX('Compliance Database'!$M$2:$M$1960,MATCH(446,'Transfer Engine'!$C$2:$C$1960,0)))</f>
        <v/>
      </c>
      <c r="N455" s="9">
        <f>IF(ISNA(MATCH(446,'Transfer Engine'!$C$2:$C$1960,0)),"",INDEX('Compliance Database'!$N$2:$N$1960,MATCH(446,'Transfer Engine'!$C$2:$C$1960,0)))</f>
        <v/>
      </c>
      <c r="O455" s="9">
        <f>IF(ISNA(MATCH(446,'Transfer Engine'!$C$2:$C$1960,0)),"",INDEX('Compliance Database'!$O$2:$O$1960,MATCH(446,'Transfer Engine'!$C$2:$C$1960,0)))</f>
        <v/>
      </c>
      <c r="P455" s="8">
        <f>IF(ISNA(MATCH(446,'Transfer Engine'!$C$2:$C$1960,0)),"",HYPERLINK("#Acts!A"&amp;INDEX('Compliance Database'!$P$2:$P$1960,MATCH(446,'Transfer Engine'!$C$2:$C$1960,0)),"Go to Act"))</f>
        <v/>
      </c>
    </row>
    <row r="456" ht="158" customHeight="1">
      <c r="A456" s="8">
        <f>IF(ISNA(MATCH(447,'Transfer Engine'!$C$2:$C$1960,0)),"",INDEX('Compliance Database'!$A$2:$A$1960,MATCH(447,'Transfer Engine'!$C$2:$C$1960,0)))</f>
        <v/>
      </c>
      <c r="B456" s="8">
        <f>IF(ISNA(MATCH(447,'Transfer Engine'!$C$2:$C$1960,0)),"",INDEX('Compliance Database'!$B$2:$B$1960,MATCH(447,'Transfer Engine'!$C$2:$C$1960,0)))</f>
        <v/>
      </c>
      <c r="C456" s="8">
        <f>IF(ISNA(MATCH(447,'Transfer Engine'!$C$2:$C$1960,0)),"",INDEX('Compliance Database'!$C$2:$C$1960,MATCH(447,'Transfer Engine'!$C$2:$C$1960,0)))</f>
        <v/>
      </c>
      <c r="D456" s="9">
        <f>IF(ISNA(MATCH(447,'Transfer Engine'!$C$2:$C$1960,0)),"",INDEX('Compliance Database'!$D$2:$D$1960,MATCH(447,'Transfer Engine'!$C$2:$C$1960,0)))</f>
        <v/>
      </c>
      <c r="E456" s="8">
        <f>IF(ISNA(MATCH(447,'Transfer Engine'!$C$2:$C$1960,0)),"",INDEX('Compliance Database'!$E$2:$E$1960,MATCH(447,'Transfer Engine'!$C$2:$C$1960,0)))</f>
        <v/>
      </c>
      <c r="F456" s="8">
        <f>IF(ISNA(MATCH(447,'Transfer Engine'!$C$2:$C$1960,0)),"",INDEX('Compliance Database'!$F$2:$F$1960,MATCH(447,'Transfer Engine'!$C$2:$C$1960,0)))</f>
        <v/>
      </c>
      <c r="G456" s="8">
        <f>IF(ISNA(MATCH(447,'Transfer Engine'!$C$2:$C$1960,0)),"",INDEX('Compliance Database'!$G$2:$G$1960,MATCH(447,'Transfer Engine'!$C$2:$C$1960,0)))</f>
        <v/>
      </c>
      <c r="H456" s="9">
        <f>IF(ISNA(MATCH(447,'Transfer Engine'!$C$2:$C$1960,0)),"",INDEX('Compliance Database'!$H$2:$H$1960,MATCH(447,'Transfer Engine'!$C$2:$C$1960,0)))</f>
        <v/>
      </c>
      <c r="I456" s="9">
        <f>IF(ISNA(MATCH(447,'Transfer Engine'!$C$2:$C$1960,0)),"",INDEX('Compliance Database'!$I$2:$I$1960,MATCH(447,'Transfer Engine'!$C$2:$C$1960,0)))</f>
        <v/>
      </c>
      <c r="J456" s="8">
        <f>IF(ISNA(MATCH(447,'Transfer Engine'!$C$2:$C$1960,0)),"",INDEX('Compliance Database'!$J$2:$J$1960,MATCH(447,'Transfer Engine'!$C$2:$C$1960,0)))</f>
        <v/>
      </c>
      <c r="K456" s="9">
        <f>IF(ISNA(MATCH(447,'Transfer Engine'!$C$2:$C$1960,0)),"",INDEX('Compliance Database'!$K$2:$K$1960,MATCH(447,'Transfer Engine'!$C$2:$C$1960,0)))</f>
        <v/>
      </c>
      <c r="L456" s="9">
        <f>IF(ISNA(MATCH(447,'Transfer Engine'!$C$2:$C$1960,0)),"",INDEX('Compliance Database'!$L$2:$L$1960,MATCH(447,'Transfer Engine'!$C$2:$C$1960,0)))</f>
        <v/>
      </c>
      <c r="M456" s="9">
        <f>IF(ISNA(MATCH(447,'Transfer Engine'!$C$2:$C$1960,0)),"",INDEX('Compliance Database'!$M$2:$M$1960,MATCH(447,'Transfer Engine'!$C$2:$C$1960,0)))</f>
        <v/>
      </c>
      <c r="N456" s="9">
        <f>IF(ISNA(MATCH(447,'Transfer Engine'!$C$2:$C$1960,0)),"",INDEX('Compliance Database'!$N$2:$N$1960,MATCH(447,'Transfer Engine'!$C$2:$C$1960,0)))</f>
        <v/>
      </c>
      <c r="O456" s="9">
        <f>IF(ISNA(MATCH(447,'Transfer Engine'!$C$2:$C$1960,0)),"",INDEX('Compliance Database'!$O$2:$O$1960,MATCH(447,'Transfer Engine'!$C$2:$C$1960,0)))</f>
        <v/>
      </c>
      <c r="P456" s="8">
        <f>IF(ISNA(MATCH(447,'Transfer Engine'!$C$2:$C$1960,0)),"",HYPERLINK("#Acts!A"&amp;INDEX('Compliance Database'!$P$2:$P$1960,MATCH(447,'Transfer Engine'!$C$2:$C$1960,0)),"Go to Act"))</f>
        <v/>
      </c>
    </row>
    <row r="457" ht="158" customHeight="1">
      <c r="A457" s="8">
        <f>IF(ISNA(MATCH(448,'Transfer Engine'!$C$2:$C$1960,0)),"",INDEX('Compliance Database'!$A$2:$A$1960,MATCH(448,'Transfer Engine'!$C$2:$C$1960,0)))</f>
        <v/>
      </c>
      <c r="B457" s="8">
        <f>IF(ISNA(MATCH(448,'Transfer Engine'!$C$2:$C$1960,0)),"",INDEX('Compliance Database'!$B$2:$B$1960,MATCH(448,'Transfer Engine'!$C$2:$C$1960,0)))</f>
        <v/>
      </c>
      <c r="C457" s="8">
        <f>IF(ISNA(MATCH(448,'Transfer Engine'!$C$2:$C$1960,0)),"",INDEX('Compliance Database'!$C$2:$C$1960,MATCH(448,'Transfer Engine'!$C$2:$C$1960,0)))</f>
        <v/>
      </c>
      <c r="D457" s="9">
        <f>IF(ISNA(MATCH(448,'Transfer Engine'!$C$2:$C$1960,0)),"",INDEX('Compliance Database'!$D$2:$D$1960,MATCH(448,'Transfer Engine'!$C$2:$C$1960,0)))</f>
        <v/>
      </c>
      <c r="E457" s="8">
        <f>IF(ISNA(MATCH(448,'Transfer Engine'!$C$2:$C$1960,0)),"",INDEX('Compliance Database'!$E$2:$E$1960,MATCH(448,'Transfer Engine'!$C$2:$C$1960,0)))</f>
        <v/>
      </c>
      <c r="F457" s="8">
        <f>IF(ISNA(MATCH(448,'Transfer Engine'!$C$2:$C$1960,0)),"",INDEX('Compliance Database'!$F$2:$F$1960,MATCH(448,'Transfer Engine'!$C$2:$C$1960,0)))</f>
        <v/>
      </c>
      <c r="G457" s="8">
        <f>IF(ISNA(MATCH(448,'Transfer Engine'!$C$2:$C$1960,0)),"",INDEX('Compliance Database'!$G$2:$G$1960,MATCH(448,'Transfer Engine'!$C$2:$C$1960,0)))</f>
        <v/>
      </c>
      <c r="H457" s="9">
        <f>IF(ISNA(MATCH(448,'Transfer Engine'!$C$2:$C$1960,0)),"",INDEX('Compliance Database'!$H$2:$H$1960,MATCH(448,'Transfer Engine'!$C$2:$C$1960,0)))</f>
        <v/>
      </c>
      <c r="I457" s="9">
        <f>IF(ISNA(MATCH(448,'Transfer Engine'!$C$2:$C$1960,0)),"",INDEX('Compliance Database'!$I$2:$I$1960,MATCH(448,'Transfer Engine'!$C$2:$C$1960,0)))</f>
        <v/>
      </c>
      <c r="J457" s="8">
        <f>IF(ISNA(MATCH(448,'Transfer Engine'!$C$2:$C$1960,0)),"",INDEX('Compliance Database'!$J$2:$J$1960,MATCH(448,'Transfer Engine'!$C$2:$C$1960,0)))</f>
        <v/>
      </c>
      <c r="K457" s="9">
        <f>IF(ISNA(MATCH(448,'Transfer Engine'!$C$2:$C$1960,0)),"",INDEX('Compliance Database'!$K$2:$K$1960,MATCH(448,'Transfer Engine'!$C$2:$C$1960,0)))</f>
        <v/>
      </c>
      <c r="L457" s="9">
        <f>IF(ISNA(MATCH(448,'Transfer Engine'!$C$2:$C$1960,0)),"",INDEX('Compliance Database'!$L$2:$L$1960,MATCH(448,'Transfer Engine'!$C$2:$C$1960,0)))</f>
        <v/>
      </c>
      <c r="M457" s="9">
        <f>IF(ISNA(MATCH(448,'Transfer Engine'!$C$2:$C$1960,0)),"",INDEX('Compliance Database'!$M$2:$M$1960,MATCH(448,'Transfer Engine'!$C$2:$C$1960,0)))</f>
        <v/>
      </c>
      <c r="N457" s="9">
        <f>IF(ISNA(MATCH(448,'Transfer Engine'!$C$2:$C$1960,0)),"",INDEX('Compliance Database'!$N$2:$N$1960,MATCH(448,'Transfer Engine'!$C$2:$C$1960,0)))</f>
        <v/>
      </c>
      <c r="O457" s="9">
        <f>IF(ISNA(MATCH(448,'Transfer Engine'!$C$2:$C$1960,0)),"",INDEX('Compliance Database'!$O$2:$O$1960,MATCH(448,'Transfer Engine'!$C$2:$C$1960,0)))</f>
        <v/>
      </c>
      <c r="P457" s="8">
        <f>IF(ISNA(MATCH(448,'Transfer Engine'!$C$2:$C$1960,0)),"",HYPERLINK("#Acts!A"&amp;INDEX('Compliance Database'!$P$2:$P$1960,MATCH(448,'Transfer Engine'!$C$2:$C$1960,0)),"Go to Act"))</f>
        <v/>
      </c>
    </row>
    <row r="458" ht="158" customHeight="1">
      <c r="A458" s="8">
        <f>IF(ISNA(MATCH(449,'Transfer Engine'!$C$2:$C$1960,0)),"",INDEX('Compliance Database'!$A$2:$A$1960,MATCH(449,'Transfer Engine'!$C$2:$C$1960,0)))</f>
        <v/>
      </c>
      <c r="B458" s="8">
        <f>IF(ISNA(MATCH(449,'Transfer Engine'!$C$2:$C$1960,0)),"",INDEX('Compliance Database'!$B$2:$B$1960,MATCH(449,'Transfer Engine'!$C$2:$C$1960,0)))</f>
        <v/>
      </c>
      <c r="C458" s="8">
        <f>IF(ISNA(MATCH(449,'Transfer Engine'!$C$2:$C$1960,0)),"",INDEX('Compliance Database'!$C$2:$C$1960,MATCH(449,'Transfer Engine'!$C$2:$C$1960,0)))</f>
        <v/>
      </c>
      <c r="D458" s="9">
        <f>IF(ISNA(MATCH(449,'Transfer Engine'!$C$2:$C$1960,0)),"",INDEX('Compliance Database'!$D$2:$D$1960,MATCH(449,'Transfer Engine'!$C$2:$C$1960,0)))</f>
        <v/>
      </c>
      <c r="E458" s="8">
        <f>IF(ISNA(MATCH(449,'Transfer Engine'!$C$2:$C$1960,0)),"",INDEX('Compliance Database'!$E$2:$E$1960,MATCH(449,'Transfer Engine'!$C$2:$C$1960,0)))</f>
        <v/>
      </c>
      <c r="F458" s="8">
        <f>IF(ISNA(MATCH(449,'Transfer Engine'!$C$2:$C$1960,0)),"",INDEX('Compliance Database'!$F$2:$F$1960,MATCH(449,'Transfer Engine'!$C$2:$C$1960,0)))</f>
        <v/>
      </c>
      <c r="G458" s="8">
        <f>IF(ISNA(MATCH(449,'Transfer Engine'!$C$2:$C$1960,0)),"",INDEX('Compliance Database'!$G$2:$G$1960,MATCH(449,'Transfer Engine'!$C$2:$C$1960,0)))</f>
        <v/>
      </c>
      <c r="H458" s="9">
        <f>IF(ISNA(MATCH(449,'Transfer Engine'!$C$2:$C$1960,0)),"",INDEX('Compliance Database'!$H$2:$H$1960,MATCH(449,'Transfer Engine'!$C$2:$C$1960,0)))</f>
        <v/>
      </c>
      <c r="I458" s="9">
        <f>IF(ISNA(MATCH(449,'Transfer Engine'!$C$2:$C$1960,0)),"",INDEX('Compliance Database'!$I$2:$I$1960,MATCH(449,'Transfer Engine'!$C$2:$C$1960,0)))</f>
        <v/>
      </c>
      <c r="J458" s="8">
        <f>IF(ISNA(MATCH(449,'Transfer Engine'!$C$2:$C$1960,0)),"",INDEX('Compliance Database'!$J$2:$J$1960,MATCH(449,'Transfer Engine'!$C$2:$C$1960,0)))</f>
        <v/>
      </c>
      <c r="K458" s="9">
        <f>IF(ISNA(MATCH(449,'Transfer Engine'!$C$2:$C$1960,0)),"",INDEX('Compliance Database'!$K$2:$K$1960,MATCH(449,'Transfer Engine'!$C$2:$C$1960,0)))</f>
        <v/>
      </c>
      <c r="L458" s="9">
        <f>IF(ISNA(MATCH(449,'Transfer Engine'!$C$2:$C$1960,0)),"",INDEX('Compliance Database'!$L$2:$L$1960,MATCH(449,'Transfer Engine'!$C$2:$C$1960,0)))</f>
        <v/>
      </c>
      <c r="M458" s="9">
        <f>IF(ISNA(MATCH(449,'Transfer Engine'!$C$2:$C$1960,0)),"",INDEX('Compliance Database'!$M$2:$M$1960,MATCH(449,'Transfer Engine'!$C$2:$C$1960,0)))</f>
        <v/>
      </c>
      <c r="N458" s="9">
        <f>IF(ISNA(MATCH(449,'Transfer Engine'!$C$2:$C$1960,0)),"",INDEX('Compliance Database'!$N$2:$N$1960,MATCH(449,'Transfer Engine'!$C$2:$C$1960,0)))</f>
        <v/>
      </c>
      <c r="O458" s="9">
        <f>IF(ISNA(MATCH(449,'Transfer Engine'!$C$2:$C$1960,0)),"",INDEX('Compliance Database'!$O$2:$O$1960,MATCH(449,'Transfer Engine'!$C$2:$C$1960,0)))</f>
        <v/>
      </c>
      <c r="P458" s="8">
        <f>IF(ISNA(MATCH(449,'Transfer Engine'!$C$2:$C$1960,0)),"",HYPERLINK("#Acts!A"&amp;INDEX('Compliance Database'!$P$2:$P$1960,MATCH(449,'Transfer Engine'!$C$2:$C$1960,0)),"Go to Act"))</f>
        <v/>
      </c>
    </row>
    <row r="459" ht="158" customHeight="1">
      <c r="A459" s="8">
        <f>IF(ISNA(MATCH(450,'Transfer Engine'!$C$2:$C$1960,0)),"",INDEX('Compliance Database'!$A$2:$A$1960,MATCH(450,'Transfer Engine'!$C$2:$C$1960,0)))</f>
        <v/>
      </c>
      <c r="B459" s="8">
        <f>IF(ISNA(MATCH(450,'Transfer Engine'!$C$2:$C$1960,0)),"",INDEX('Compliance Database'!$B$2:$B$1960,MATCH(450,'Transfer Engine'!$C$2:$C$1960,0)))</f>
        <v/>
      </c>
      <c r="C459" s="8">
        <f>IF(ISNA(MATCH(450,'Transfer Engine'!$C$2:$C$1960,0)),"",INDEX('Compliance Database'!$C$2:$C$1960,MATCH(450,'Transfer Engine'!$C$2:$C$1960,0)))</f>
        <v/>
      </c>
      <c r="D459" s="9">
        <f>IF(ISNA(MATCH(450,'Transfer Engine'!$C$2:$C$1960,0)),"",INDEX('Compliance Database'!$D$2:$D$1960,MATCH(450,'Transfer Engine'!$C$2:$C$1960,0)))</f>
        <v/>
      </c>
      <c r="E459" s="8">
        <f>IF(ISNA(MATCH(450,'Transfer Engine'!$C$2:$C$1960,0)),"",INDEX('Compliance Database'!$E$2:$E$1960,MATCH(450,'Transfer Engine'!$C$2:$C$1960,0)))</f>
        <v/>
      </c>
      <c r="F459" s="8">
        <f>IF(ISNA(MATCH(450,'Transfer Engine'!$C$2:$C$1960,0)),"",INDEX('Compliance Database'!$F$2:$F$1960,MATCH(450,'Transfer Engine'!$C$2:$C$1960,0)))</f>
        <v/>
      </c>
      <c r="G459" s="8">
        <f>IF(ISNA(MATCH(450,'Transfer Engine'!$C$2:$C$1960,0)),"",INDEX('Compliance Database'!$G$2:$G$1960,MATCH(450,'Transfer Engine'!$C$2:$C$1960,0)))</f>
        <v/>
      </c>
      <c r="H459" s="9">
        <f>IF(ISNA(MATCH(450,'Transfer Engine'!$C$2:$C$1960,0)),"",INDEX('Compliance Database'!$H$2:$H$1960,MATCH(450,'Transfer Engine'!$C$2:$C$1960,0)))</f>
        <v/>
      </c>
      <c r="I459" s="9">
        <f>IF(ISNA(MATCH(450,'Transfer Engine'!$C$2:$C$1960,0)),"",INDEX('Compliance Database'!$I$2:$I$1960,MATCH(450,'Transfer Engine'!$C$2:$C$1960,0)))</f>
        <v/>
      </c>
      <c r="J459" s="8">
        <f>IF(ISNA(MATCH(450,'Transfer Engine'!$C$2:$C$1960,0)),"",INDEX('Compliance Database'!$J$2:$J$1960,MATCH(450,'Transfer Engine'!$C$2:$C$1960,0)))</f>
        <v/>
      </c>
      <c r="K459" s="9">
        <f>IF(ISNA(MATCH(450,'Transfer Engine'!$C$2:$C$1960,0)),"",INDEX('Compliance Database'!$K$2:$K$1960,MATCH(450,'Transfer Engine'!$C$2:$C$1960,0)))</f>
        <v/>
      </c>
      <c r="L459" s="9">
        <f>IF(ISNA(MATCH(450,'Transfer Engine'!$C$2:$C$1960,0)),"",INDEX('Compliance Database'!$L$2:$L$1960,MATCH(450,'Transfer Engine'!$C$2:$C$1960,0)))</f>
        <v/>
      </c>
      <c r="M459" s="9">
        <f>IF(ISNA(MATCH(450,'Transfer Engine'!$C$2:$C$1960,0)),"",INDEX('Compliance Database'!$M$2:$M$1960,MATCH(450,'Transfer Engine'!$C$2:$C$1960,0)))</f>
        <v/>
      </c>
      <c r="N459" s="9">
        <f>IF(ISNA(MATCH(450,'Transfer Engine'!$C$2:$C$1960,0)),"",INDEX('Compliance Database'!$N$2:$N$1960,MATCH(450,'Transfer Engine'!$C$2:$C$1960,0)))</f>
        <v/>
      </c>
      <c r="O459" s="9">
        <f>IF(ISNA(MATCH(450,'Transfer Engine'!$C$2:$C$1960,0)),"",INDEX('Compliance Database'!$O$2:$O$1960,MATCH(450,'Transfer Engine'!$C$2:$C$1960,0)))</f>
        <v/>
      </c>
      <c r="P459" s="8">
        <f>IF(ISNA(MATCH(450,'Transfer Engine'!$C$2:$C$1960,0)),"",HYPERLINK("#Acts!A"&amp;INDEX('Compliance Database'!$P$2:$P$1960,MATCH(450,'Transfer Engine'!$C$2:$C$1960,0)),"Go to Act"))</f>
        <v/>
      </c>
    </row>
    <row r="460" ht="158" customHeight="1">
      <c r="A460" s="8">
        <f>IF(ISNA(MATCH(451,'Transfer Engine'!$C$2:$C$1960,0)),"",INDEX('Compliance Database'!$A$2:$A$1960,MATCH(451,'Transfer Engine'!$C$2:$C$1960,0)))</f>
        <v/>
      </c>
      <c r="B460" s="8">
        <f>IF(ISNA(MATCH(451,'Transfer Engine'!$C$2:$C$1960,0)),"",INDEX('Compliance Database'!$B$2:$B$1960,MATCH(451,'Transfer Engine'!$C$2:$C$1960,0)))</f>
        <v/>
      </c>
      <c r="C460" s="8">
        <f>IF(ISNA(MATCH(451,'Transfer Engine'!$C$2:$C$1960,0)),"",INDEX('Compliance Database'!$C$2:$C$1960,MATCH(451,'Transfer Engine'!$C$2:$C$1960,0)))</f>
        <v/>
      </c>
      <c r="D460" s="9">
        <f>IF(ISNA(MATCH(451,'Transfer Engine'!$C$2:$C$1960,0)),"",INDEX('Compliance Database'!$D$2:$D$1960,MATCH(451,'Transfer Engine'!$C$2:$C$1960,0)))</f>
        <v/>
      </c>
      <c r="E460" s="8">
        <f>IF(ISNA(MATCH(451,'Transfer Engine'!$C$2:$C$1960,0)),"",INDEX('Compliance Database'!$E$2:$E$1960,MATCH(451,'Transfer Engine'!$C$2:$C$1960,0)))</f>
        <v/>
      </c>
      <c r="F460" s="8">
        <f>IF(ISNA(MATCH(451,'Transfer Engine'!$C$2:$C$1960,0)),"",INDEX('Compliance Database'!$F$2:$F$1960,MATCH(451,'Transfer Engine'!$C$2:$C$1960,0)))</f>
        <v/>
      </c>
      <c r="G460" s="8">
        <f>IF(ISNA(MATCH(451,'Transfer Engine'!$C$2:$C$1960,0)),"",INDEX('Compliance Database'!$G$2:$G$1960,MATCH(451,'Transfer Engine'!$C$2:$C$1960,0)))</f>
        <v/>
      </c>
      <c r="H460" s="9">
        <f>IF(ISNA(MATCH(451,'Transfer Engine'!$C$2:$C$1960,0)),"",INDEX('Compliance Database'!$H$2:$H$1960,MATCH(451,'Transfer Engine'!$C$2:$C$1960,0)))</f>
        <v/>
      </c>
      <c r="I460" s="9">
        <f>IF(ISNA(MATCH(451,'Transfer Engine'!$C$2:$C$1960,0)),"",INDEX('Compliance Database'!$I$2:$I$1960,MATCH(451,'Transfer Engine'!$C$2:$C$1960,0)))</f>
        <v/>
      </c>
      <c r="J460" s="8">
        <f>IF(ISNA(MATCH(451,'Transfer Engine'!$C$2:$C$1960,0)),"",INDEX('Compliance Database'!$J$2:$J$1960,MATCH(451,'Transfer Engine'!$C$2:$C$1960,0)))</f>
        <v/>
      </c>
      <c r="K460" s="9">
        <f>IF(ISNA(MATCH(451,'Transfer Engine'!$C$2:$C$1960,0)),"",INDEX('Compliance Database'!$K$2:$K$1960,MATCH(451,'Transfer Engine'!$C$2:$C$1960,0)))</f>
        <v/>
      </c>
      <c r="L460" s="9">
        <f>IF(ISNA(MATCH(451,'Transfer Engine'!$C$2:$C$1960,0)),"",INDEX('Compliance Database'!$L$2:$L$1960,MATCH(451,'Transfer Engine'!$C$2:$C$1960,0)))</f>
        <v/>
      </c>
      <c r="M460" s="9">
        <f>IF(ISNA(MATCH(451,'Transfer Engine'!$C$2:$C$1960,0)),"",INDEX('Compliance Database'!$M$2:$M$1960,MATCH(451,'Transfer Engine'!$C$2:$C$1960,0)))</f>
        <v/>
      </c>
      <c r="N460" s="9">
        <f>IF(ISNA(MATCH(451,'Transfer Engine'!$C$2:$C$1960,0)),"",INDEX('Compliance Database'!$N$2:$N$1960,MATCH(451,'Transfer Engine'!$C$2:$C$1960,0)))</f>
        <v/>
      </c>
      <c r="O460" s="9">
        <f>IF(ISNA(MATCH(451,'Transfer Engine'!$C$2:$C$1960,0)),"",INDEX('Compliance Database'!$O$2:$O$1960,MATCH(451,'Transfer Engine'!$C$2:$C$1960,0)))</f>
        <v/>
      </c>
      <c r="P460" s="8">
        <f>IF(ISNA(MATCH(451,'Transfer Engine'!$C$2:$C$1960,0)),"",HYPERLINK("#Acts!A"&amp;INDEX('Compliance Database'!$P$2:$P$1960,MATCH(451,'Transfer Engine'!$C$2:$C$1960,0)),"Go to Act"))</f>
        <v/>
      </c>
    </row>
    <row r="461" ht="158" customHeight="1">
      <c r="A461" s="8">
        <f>IF(ISNA(MATCH(452,'Transfer Engine'!$C$2:$C$1960,0)),"",INDEX('Compliance Database'!$A$2:$A$1960,MATCH(452,'Transfer Engine'!$C$2:$C$1960,0)))</f>
        <v/>
      </c>
      <c r="B461" s="8">
        <f>IF(ISNA(MATCH(452,'Transfer Engine'!$C$2:$C$1960,0)),"",INDEX('Compliance Database'!$B$2:$B$1960,MATCH(452,'Transfer Engine'!$C$2:$C$1960,0)))</f>
        <v/>
      </c>
      <c r="C461" s="8">
        <f>IF(ISNA(MATCH(452,'Transfer Engine'!$C$2:$C$1960,0)),"",INDEX('Compliance Database'!$C$2:$C$1960,MATCH(452,'Transfer Engine'!$C$2:$C$1960,0)))</f>
        <v/>
      </c>
      <c r="D461" s="9">
        <f>IF(ISNA(MATCH(452,'Transfer Engine'!$C$2:$C$1960,0)),"",INDEX('Compliance Database'!$D$2:$D$1960,MATCH(452,'Transfer Engine'!$C$2:$C$1960,0)))</f>
        <v/>
      </c>
      <c r="E461" s="8">
        <f>IF(ISNA(MATCH(452,'Transfer Engine'!$C$2:$C$1960,0)),"",INDEX('Compliance Database'!$E$2:$E$1960,MATCH(452,'Transfer Engine'!$C$2:$C$1960,0)))</f>
        <v/>
      </c>
      <c r="F461" s="8">
        <f>IF(ISNA(MATCH(452,'Transfer Engine'!$C$2:$C$1960,0)),"",INDEX('Compliance Database'!$F$2:$F$1960,MATCH(452,'Transfer Engine'!$C$2:$C$1960,0)))</f>
        <v/>
      </c>
      <c r="G461" s="8">
        <f>IF(ISNA(MATCH(452,'Transfer Engine'!$C$2:$C$1960,0)),"",INDEX('Compliance Database'!$G$2:$G$1960,MATCH(452,'Transfer Engine'!$C$2:$C$1960,0)))</f>
        <v/>
      </c>
      <c r="H461" s="9">
        <f>IF(ISNA(MATCH(452,'Transfer Engine'!$C$2:$C$1960,0)),"",INDEX('Compliance Database'!$H$2:$H$1960,MATCH(452,'Transfer Engine'!$C$2:$C$1960,0)))</f>
        <v/>
      </c>
      <c r="I461" s="9">
        <f>IF(ISNA(MATCH(452,'Transfer Engine'!$C$2:$C$1960,0)),"",INDEX('Compliance Database'!$I$2:$I$1960,MATCH(452,'Transfer Engine'!$C$2:$C$1960,0)))</f>
        <v/>
      </c>
      <c r="J461" s="8">
        <f>IF(ISNA(MATCH(452,'Transfer Engine'!$C$2:$C$1960,0)),"",INDEX('Compliance Database'!$J$2:$J$1960,MATCH(452,'Transfer Engine'!$C$2:$C$1960,0)))</f>
        <v/>
      </c>
      <c r="K461" s="9">
        <f>IF(ISNA(MATCH(452,'Transfer Engine'!$C$2:$C$1960,0)),"",INDEX('Compliance Database'!$K$2:$K$1960,MATCH(452,'Transfer Engine'!$C$2:$C$1960,0)))</f>
        <v/>
      </c>
      <c r="L461" s="9">
        <f>IF(ISNA(MATCH(452,'Transfer Engine'!$C$2:$C$1960,0)),"",INDEX('Compliance Database'!$L$2:$L$1960,MATCH(452,'Transfer Engine'!$C$2:$C$1960,0)))</f>
        <v/>
      </c>
      <c r="M461" s="9">
        <f>IF(ISNA(MATCH(452,'Transfer Engine'!$C$2:$C$1960,0)),"",INDEX('Compliance Database'!$M$2:$M$1960,MATCH(452,'Transfer Engine'!$C$2:$C$1960,0)))</f>
        <v/>
      </c>
      <c r="N461" s="9">
        <f>IF(ISNA(MATCH(452,'Transfer Engine'!$C$2:$C$1960,0)),"",INDEX('Compliance Database'!$N$2:$N$1960,MATCH(452,'Transfer Engine'!$C$2:$C$1960,0)))</f>
        <v/>
      </c>
      <c r="O461" s="9">
        <f>IF(ISNA(MATCH(452,'Transfer Engine'!$C$2:$C$1960,0)),"",INDEX('Compliance Database'!$O$2:$O$1960,MATCH(452,'Transfer Engine'!$C$2:$C$1960,0)))</f>
        <v/>
      </c>
      <c r="P461" s="8">
        <f>IF(ISNA(MATCH(452,'Transfer Engine'!$C$2:$C$1960,0)),"",HYPERLINK("#Acts!A"&amp;INDEX('Compliance Database'!$P$2:$P$1960,MATCH(452,'Transfer Engine'!$C$2:$C$1960,0)),"Go to Act"))</f>
        <v/>
      </c>
    </row>
    <row r="462" ht="158" customHeight="1">
      <c r="A462" s="8">
        <f>IF(ISNA(MATCH(453,'Transfer Engine'!$C$2:$C$1960,0)),"",INDEX('Compliance Database'!$A$2:$A$1960,MATCH(453,'Transfer Engine'!$C$2:$C$1960,0)))</f>
        <v/>
      </c>
      <c r="B462" s="8">
        <f>IF(ISNA(MATCH(453,'Transfer Engine'!$C$2:$C$1960,0)),"",INDEX('Compliance Database'!$B$2:$B$1960,MATCH(453,'Transfer Engine'!$C$2:$C$1960,0)))</f>
        <v/>
      </c>
      <c r="C462" s="8">
        <f>IF(ISNA(MATCH(453,'Transfer Engine'!$C$2:$C$1960,0)),"",INDEX('Compliance Database'!$C$2:$C$1960,MATCH(453,'Transfer Engine'!$C$2:$C$1960,0)))</f>
        <v/>
      </c>
      <c r="D462" s="9">
        <f>IF(ISNA(MATCH(453,'Transfer Engine'!$C$2:$C$1960,0)),"",INDEX('Compliance Database'!$D$2:$D$1960,MATCH(453,'Transfer Engine'!$C$2:$C$1960,0)))</f>
        <v/>
      </c>
      <c r="E462" s="8">
        <f>IF(ISNA(MATCH(453,'Transfer Engine'!$C$2:$C$1960,0)),"",INDEX('Compliance Database'!$E$2:$E$1960,MATCH(453,'Transfer Engine'!$C$2:$C$1960,0)))</f>
        <v/>
      </c>
      <c r="F462" s="8">
        <f>IF(ISNA(MATCH(453,'Transfer Engine'!$C$2:$C$1960,0)),"",INDEX('Compliance Database'!$F$2:$F$1960,MATCH(453,'Transfer Engine'!$C$2:$C$1960,0)))</f>
        <v/>
      </c>
      <c r="G462" s="8">
        <f>IF(ISNA(MATCH(453,'Transfer Engine'!$C$2:$C$1960,0)),"",INDEX('Compliance Database'!$G$2:$G$1960,MATCH(453,'Transfer Engine'!$C$2:$C$1960,0)))</f>
        <v/>
      </c>
      <c r="H462" s="9">
        <f>IF(ISNA(MATCH(453,'Transfer Engine'!$C$2:$C$1960,0)),"",INDEX('Compliance Database'!$H$2:$H$1960,MATCH(453,'Transfer Engine'!$C$2:$C$1960,0)))</f>
        <v/>
      </c>
      <c r="I462" s="9">
        <f>IF(ISNA(MATCH(453,'Transfer Engine'!$C$2:$C$1960,0)),"",INDEX('Compliance Database'!$I$2:$I$1960,MATCH(453,'Transfer Engine'!$C$2:$C$1960,0)))</f>
        <v/>
      </c>
      <c r="J462" s="8">
        <f>IF(ISNA(MATCH(453,'Transfer Engine'!$C$2:$C$1960,0)),"",INDEX('Compliance Database'!$J$2:$J$1960,MATCH(453,'Transfer Engine'!$C$2:$C$1960,0)))</f>
        <v/>
      </c>
      <c r="K462" s="9">
        <f>IF(ISNA(MATCH(453,'Transfer Engine'!$C$2:$C$1960,0)),"",INDEX('Compliance Database'!$K$2:$K$1960,MATCH(453,'Transfer Engine'!$C$2:$C$1960,0)))</f>
        <v/>
      </c>
      <c r="L462" s="9">
        <f>IF(ISNA(MATCH(453,'Transfer Engine'!$C$2:$C$1960,0)),"",INDEX('Compliance Database'!$L$2:$L$1960,MATCH(453,'Transfer Engine'!$C$2:$C$1960,0)))</f>
        <v/>
      </c>
      <c r="M462" s="9">
        <f>IF(ISNA(MATCH(453,'Transfer Engine'!$C$2:$C$1960,0)),"",INDEX('Compliance Database'!$M$2:$M$1960,MATCH(453,'Transfer Engine'!$C$2:$C$1960,0)))</f>
        <v/>
      </c>
      <c r="N462" s="9">
        <f>IF(ISNA(MATCH(453,'Transfer Engine'!$C$2:$C$1960,0)),"",INDEX('Compliance Database'!$N$2:$N$1960,MATCH(453,'Transfer Engine'!$C$2:$C$1960,0)))</f>
        <v/>
      </c>
      <c r="O462" s="9">
        <f>IF(ISNA(MATCH(453,'Transfer Engine'!$C$2:$C$1960,0)),"",INDEX('Compliance Database'!$O$2:$O$1960,MATCH(453,'Transfer Engine'!$C$2:$C$1960,0)))</f>
        <v/>
      </c>
      <c r="P462" s="8">
        <f>IF(ISNA(MATCH(453,'Transfer Engine'!$C$2:$C$1960,0)),"",HYPERLINK("#Acts!A"&amp;INDEX('Compliance Database'!$P$2:$P$1960,MATCH(453,'Transfer Engine'!$C$2:$C$1960,0)),"Go to Act"))</f>
        <v/>
      </c>
    </row>
    <row r="463" ht="158" customHeight="1">
      <c r="A463" s="8">
        <f>IF(ISNA(MATCH(454,'Transfer Engine'!$C$2:$C$1960,0)),"",INDEX('Compliance Database'!$A$2:$A$1960,MATCH(454,'Transfer Engine'!$C$2:$C$1960,0)))</f>
        <v/>
      </c>
      <c r="B463" s="8">
        <f>IF(ISNA(MATCH(454,'Transfer Engine'!$C$2:$C$1960,0)),"",INDEX('Compliance Database'!$B$2:$B$1960,MATCH(454,'Transfer Engine'!$C$2:$C$1960,0)))</f>
        <v/>
      </c>
      <c r="C463" s="8">
        <f>IF(ISNA(MATCH(454,'Transfer Engine'!$C$2:$C$1960,0)),"",INDEX('Compliance Database'!$C$2:$C$1960,MATCH(454,'Transfer Engine'!$C$2:$C$1960,0)))</f>
        <v/>
      </c>
      <c r="D463" s="9">
        <f>IF(ISNA(MATCH(454,'Transfer Engine'!$C$2:$C$1960,0)),"",INDEX('Compliance Database'!$D$2:$D$1960,MATCH(454,'Transfer Engine'!$C$2:$C$1960,0)))</f>
        <v/>
      </c>
      <c r="E463" s="8">
        <f>IF(ISNA(MATCH(454,'Transfer Engine'!$C$2:$C$1960,0)),"",INDEX('Compliance Database'!$E$2:$E$1960,MATCH(454,'Transfer Engine'!$C$2:$C$1960,0)))</f>
        <v/>
      </c>
      <c r="F463" s="8">
        <f>IF(ISNA(MATCH(454,'Transfer Engine'!$C$2:$C$1960,0)),"",INDEX('Compliance Database'!$F$2:$F$1960,MATCH(454,'Transfer Engine'!$C$2:$C$1960,0)))</f>
        <v/>
      </c>
      <c r="G463" s="8">
        <f>IF(ISNA(MATCH(454,'Transfer Engine'!$C$2:$C$1960,0)),"",INDEX('Compliance Database'!$G$2:$G$1960,MATCH(454,'Transfer Engine'!$C$2:$C$1960,0)))</f>
        <v/>
      </c>
      <c r="H463" s="9">
        <f>IF(ISNA(MATCH(454,'Transfer Engine'!$C$2:$C$1960,0)),"",INDEX('Compliance Database'!$H$2:$H$1960,MATCH(454,'Transfer Engine'!$C$2:$C$1960,0)))</f>
        <v/>
      </c>
      <c r="I463" s="9">
        <f>IF(ISNA(MATCH(454,'Transfer Engine'!$C$2:$C$1960,0)),"",INDEX('Compliance Database'!$I$2:$I$1960,MATCH(454,'Transfer Engine'!$C$2:$C$1960,0)))</f>
        <v/>
      </c>
      <c r="J463" s="8">
        <f>IF(ISNA(MATCH(454,'Transfer Engine'!$C$2:$C$1960,0)),"",INDEX('Compliance Database'!$J$2:$J$1960,MATCH(454,'Transfer Engine'!$C$2:$C$1960,0)))</f>
        <v/>
      </c>
      <c r="K463" s="9">
        <f>IF(ISNA(MATCH(454,'Transfer Engine'!$C$2:$C$1960,0)),"",INDEX('Compliance Database'!$K$2:$K$1960,MATCH(454,'Transfer Engine'!$C$2:$C$1960,0)))</f>
        <v/>
      </c>
      <c r="L463" s="9">
        <f>IF(ISNA(MATCH(454,'Transfer Engine'!$C$2:$C$1960,0)),"",INDEX('Compliance Database'!$L$2:$L$1960,MATCH(454,'Transfer Engine'!$C$2:$C$1960,0)))</f>
        <v/>
      </c>
      <c r="M463" s="9">
        <f>IF(ISNA(MATCH(454,'Transfer Engine'!$C$2:$C$1960,0)),"",INDEX('Compliance Database'!$M$2:$M$1960,MATCH(454,'Transfer Engine'!$C$2:$C$1960,0)))</f>
        <v/>
      </c>
      <c r="N463" s="9">
        <f>IF(ISNA(MATCH(454,'Transfer Engine'!$C$2:$C$1960,0)),"",INDEX('Compliance Database'!$N$2:$N$1960,MATCH(454,'Transfer Engine'!$C$2:$C$1960,0)))</f>
        <v/>
      </c>
      <c r="O463" s="9">
        <f>IF(ISNA(MATCH(454,'Transfer Engine'!$C$2:$C$1960,0)),"",INDEX('Compliance Database'!$O$2:$O$1960,MATCH(454,'Transfer Engine'!$C$2:$C$1960,0)))</f>
        <v/>
      </c>
      <c r="P463" s="8">
        <f>IF(ISNA(MATCH(454,'Transfer Engine'!$C$2:$C$1960,0)),"",HYPERLINK("#Acts!A"&amp;INDEX('Compliance Database'!$P$2:$P$1960,MATCH(454,'Transfer Engine'!$C$2:$C$1960,0)),"Go to Act"))</f>
        <v/>
      </c>
    </row>
    <row r="464" ht="158" customHeight="1">
      <c r="A464" s="8">
        <f>IF(ISNA(MATCH(455,'Transfer Engine'!$C$2:$C$1960,0)),"",INDEX('Compliance Database'!$A$2:$A$1960,MATCH(455,'Transfer Engine'!$C$2:$C$1960,0)))</f>
        <v/>
      </c>
      <c r="B464" s="8">
        <f>IF(ISNA(MATCH(455,'Transfer Engine'!$C$2:$C$1960,0)),"",INDEX('Compliance Database'!$B$2:$B$1960,MATCH(455,'Transfer Engine'!$C$2:$C$1960,0)))</f>
        <v/>
      </c>
      <c r="C464" s="8">
        <f>IF(ISNA(MATCH(455,'Transfer Engine'!$C$2:$C$1960,0)),"",INDEX('Compliance Database'!$C$2:$C$1960,MATCH(455,'Transfer Engine'!$C$2:$C$1960,0)))</f>
        <v/>
      </c>
      <c r="D464" s="9">
        <f>IF(ISNA(MATCH(455,'Transfer Engine'!$C$2:$C$1960,0)),"",INDEX('Compliance Database'!$D$2:$D$1960,MATCH(455,'Transfer Engine'!$C$2:$C$1960,0)))</f>
        <v/>
      </c>
      <c r="E464" s="8">
        <f>IF(ISNA(MATCH(455,'Transfer Engine'!$C$2:$C$1960,0)),"",INDEX('Compliance Database'!$E$2:$E$1960,MATCH(455,'Transfer Engine'!$C$2:$C$1960,0)))</f>
        <v/>
      </c>
      <c r="F464" s="8">
        <f>IF(ISNA(MATCH(455,'Transfer Engine'!$C$2:$C$1960,0)),"",INDEX('Compliance Database'!$F$2:$F$1960,MATCH(455,'Transfer Engine'!$C$2:$C$1960,0)))</f>
        <v/>
      </c>
      <c r="G464" s="8">
        <f>IF(ISNA(MATCH(455,'Transfer Engine'!$C$2:$C$1960,0)),"",INDEX('Compliance Database'!$G$2:$G$1960,MATCH(455,'Transfer Engine'!$C$2:$C$1960,0)))</f>
        <v/>
      </c>
      <c r="H464" s="9">
        <f>IF(ISNA(MATCH(455,'Transfer Engine'!$C$2:$C$1960,0)),"",INDEX('Compliance Database'!$H$2:$H$1960,MATCH(455,'Transfer Engine'!$C$2:$C$1960,0)))</f>
        <v/>
      </c>
      <c r="I464" s="9">
        <f>IF(ISNA(MATCH(455,'Transfer Engine'!$C$2:$C$1960,0)),"",INDEX('Compliance Database'!$I$2:$I$1960,MATCH(455,'Transfer Engine'!$C$2:$C$1960,0)))</f>
        <v/>
      </c>
      <c r="J464" s="8">
        <f>IF(ISNA(MATCH(455,'Transfer Engine'!$C$2:$C$1960,0)),"",INDEX('Compliance Database'!$J$2:$J$1960,MATCH(455,'Transfer Engine'!$C$2:$C$1960,0)))</f>
        <v/>
      </c>
      <c r="K464" s="9">
        <f>IF(ISNA(MATCH(455,'Transfer Engine'!$C$2:$C$1960,0)),"",INDEX('Compliance Database'!$K$2:$K$1960,MATCH(455,'Transfer Engine'!$C$2:$C$1960,0)))</f>
        <v/>
      </c>
      <c r="L464" s="9">
        <f>IF(ISNA(MATCH(455,'Transfer Engine'!$C$2:$C$1960,0)),"",INDEX('Compliance Database'!$L$2:$L$1960,MATCH(455,'Transfer Engine'!$C$2:$C$1960,0)))</f>
        <v/>
      </c>
      <c r="M464" s="9">
        <f>IF(ISNA(MATCH(455,'Transfer Engine'!$C$2:$C$1960,0)),"",INDEX('Compliance Database'!$M$2:$M$1960,MATCH(455,'Transfer Engine'!$C$2:$C$1960,0)))</f>
        <v/>
      </c>
      <c r="N464" s="9">
        <f>IF(ISNA(MATCH(455,'Transfer Engine'!$C$2:$C$1960,0)),"",INDEX('Compliance Database'!$N$2:$N$1960,MATCH(455,'Transfer Engine'!$C$2:$C$1960,0)))</f>
        <v/>
      </c>
      <c r="O464" s="9">
        <f>IF(ISNA(MATCH(455,'Transfer Engine'!$C$2:$C$1960,0)),"",INDEX('Compliance Database'!$O$2:$O$1960,MATCH(455,'Transfer Engine'!$C$2:$C$1960,0)))</f>
        <v/>
      </c>
      <c r="P464" s="8">
        <f>IF(ISNA(MATCH(455,'Transfer Engine'!$C$2:$C$1960,0)),"",HYPERLINK("#Acts!A"&amp;INDEX('Compliance Database'!$P$2:$P$1960,MATCH(455,'Transfer Engine'!$C$2:$C$1960,0)),"Go to Act"))</f>
        <v/>
      </c>
    </row>
    <row r="465" ht="158" customHeight="1">
      <c r="A465" s="8">
        <f>IF(ISNA(MATCH(456,'Transfer Engine'!$C$2:$C$1960,0)),"",INDEX('Compliance Database'!$A$2:$A$1960,MATCH(456,'Transfer Engine'!$C$2:$C$1960,0)))</f>
        <v/>
      </c>
      <c r="B465" s="8">
        <f>IF(ISNA(MATCH(456,'Transfer Engine'!$C$2:$C$1960,0)),"",INDEX('Compliance Database'!$B$2:$B$1960,MATCH(456,'Transfer Engine'!$C$2:$C$1960,0)))</f>
        <v/>
      </c>
      <c r="C465" s="8">
        <f>IF(ISNA(MATCH(456,'Transfer Engine'!$C$2:$C$1960,0)),"",INDEX('Compliance Database'!$C$2:$C$1960,MATCH(456,'Transfer Engine'!$C$2:$C$1960,0)))</f>
        <v/>
      </c>
      <c r="D465" s="9">
        <f>IF(ISNA(MATCH(456,'Transfer Engine'!$C$2:$C$1960,0)),"",INDEX('Compliance Database'!$D$2:$D$1960,MATCH(456,'Transfer Engine'!$C$2:$C$1960,0)))</f>
        <v/>
      </c>
      <c r="E465" s="8">
        <f>IF(ISNA(MATCH(456,'Transfer Engine'!$C$2:$C$1960,0)),"",INDEX('Compliance Database'!$E$2:$E$1960,MATCH(456,'Transfer Engine'!$C$2:$C$1960,0)))</f>
        <v/>
      </c>
      <c r="F465" s="8">
        <f>IF(ISNA(MATCH(456,'Transfer Engine'!$C$2:$C$1960,0)),"",INDEX('Compliance Database'!$F$2:$F$1960,MATCH(456,'Transfer Engine'!$C$2:$C$1960,0)))</f>
        <v/>
      </c>
      <c r="G465" s="8">
        <f>IF(ISNA(MATCH(456,'Transfer Engine'!$C$2:$C$1960,0)),"",INDEX('Compliance Database'!$G$2:$G$1960,MATCH(456,'Transfer Engine'!$C$2:$C$1960,0)))</f>
        <v/>
      </c>
      <c r="H465" s="9">
        <f>IF(ISNA(MATCH(456,'Transfer Engine'!$C$2:$C$1960,0)),"",INDEX('Compliance Database'!$H$2:$H$1960,MATCH(456,'Transfer Engine'!$C$2:$C$1960,0)))</f>
        <v/>
      </c>
      <c r="I465" s="9">
        <f>IF(ISNA(MATCH(456,'Transfer Engine'!$C$2:$C$1960,0)),"",INDEX('Compliance Database'!$I$2:$I$1960,MATCH(456,'Transfer Engine'!$C$2:$C$1960,0)))</f>
        <v/>
      </c>
      <c r="J465" s="8">
        <f>IF(ISNA(MATCH(456,'Transfer Engine'!$C$2:$C$1960,0)),"",INDEX('Compliance Database'!$J$2:$J$1960,MATCH(456,'Transfer Engine'!$C$2:$C$1960,0)))</f>
        <v/>
      </c>
      <c r="K465" s="9">
        <f>IF(ISNA(MATCH(456,'Transfer Engine'!$C$2:$C$1960,0)),"",INDEX('Compliance Database'!$K$2:$K$1960,MATCH(456,'Transfer Engine'!$C$2:$C$1960,0)))</f>
        <v/>
      </c>
      <c r="L465" s="9">
        <f>IF(ISNA(MATCH(456,'Transfer Engine'!$C$2:$C$1960,0)),"",INDEX('Compliance Database'!$L$2:$L$1960,MATCH(456,'Transfer Engine'!$C$2:$C$1960,0)))</f>
        <v/>
      </c>
      <c r="M465" s="9">
        <f>IF(ISNA(MATCH(456,'Transfer Engine'!$C$2:$C$1960,0)),"",INDEX('Compliance Database'!$M$2:$M$1960,MATCH(456,'Transfer Engine'!$C$2:$C$1960,0)))</f>
        <v/>
      </c>
      <c r="N465" s="9">
        <f>IF(ISNA(MATCH(456,'Transfer Engine'!$C$2:$C$1960,0)),"",INDEX('Compliance Database'!$N$2:$N$1960,MATCH(456,'Transfer Engine'!$C$2:$C$1960,0)))</f>
        <v/>
      </c>
      <c r="O465" s="9">
        <f>IF(ISNA(MATCH(456,'Transfer Engine'!$C$2:$C$1960,0)),"",INDEX('Compliance Database'!$O$2:$O$1960,MATCH(456,'Transfer Engine'!$C$2:$C$1960,0)))</f>
        <v/>
      </c>
      <c r="P465" s="8">
        <f>IF(ISNA(MATCH(456,'Transfer Engine'!$C$2:$C$1960,0)),"",HYPERLINK("#Acts!A"&amp;INDEX('Compliance Database'!$P$2:$P$1960,MATCH(456,'Transfer Engine'!$C$2:$C$1960,0)),"Go to Act"))</f>
        <v/>
      </c>
    </row>
    <row r="466" ht="158" customHeight="1">
      <c r="A466" s="8">
        <f>IF(ISNA(MATCH(457,'Transfer Engine'!$C$2:$C$1960,0)),"",INDEX('Compliance Database'!$A$2:$A$1960,MATCH(457,'Transfer Engine'!$C$2:$C$1960,0)))</f>
        <v/>
      </c>
      <c r="B466" s="8">
        <f>IF(ISNA(MATCH(457,'Transfer Engine'!$C$2:$C$1960,0)),"",INDEX('Compliance Database'!$B$2:$B$1960,MATCH(457,'Transfer Engine'!$C$2:$C$1960,0)))</f>
        <v/>
      </c>
      <c r="C466" s="8">
        <f>IF(ISNA(MATCH(457,'Transfer Engine'!$C$2:$C$1960,0)),"",INDEX('Compliance Database'!$C$2:$C$1960,MATCH(457,'Transfer Engine'!$C$2:$C$1960,0)))</f>
        <v/>
      </c>
      <c r="D466" s="9">
        <f>IF(ISNA(MATCH(457,'Transfer Engine'!$C$2:$C$1960,0)),"",INDEX('Compliance Database'!$D$2:$D$1960,MATCH(457,'Transfer Engine'!$C$2:$C$1960,0)))</f>
        <v/>
      </c>
      <c r="E466" s="8">
        <f>IF(ISNA(MATCH(457,'Transfer Engine'!$C$2:$C$1960,0)),"",INDEX('Compliance Database'!$E$2:$E$1960,MATCH(457,'Transfer Engine'!$C$2:$C$1960,0)))</f>
        <v/>
      </c>
      <c r="F466" s="8">
        <f>IF(ISNA(MATCH(457,'Transfer Engine'!$C$2:$C$1960,0)),"",INDEX('Compliance Database'!$F$2:$F$1960,MATCH(457,'Transfer Engine'!$C$2:$C$1960,0)))</f>
        <v/>
      </c>
      <c r="G466" s="8">
        <f>IF(ISNA(MATCH(457,'Transfer Engine'!$C$2:$C$1960,0)),"",INDEX('Compliance Database'!$G$2:$G$1960,MATCH(457,'Transfer Engine'!$C$2:$C$1960,0)))</f>
        <v/>
      </c>
      <c r="H466" s="9">
        <f>IF(ISNA(MATCH(457,'Transfer Engine'!$C$2:$C$1960,0)),"",INDEX('Compliance Database'!$H$2:$H$1960,MATCH(457,'Transfer Engine'!$C$2:$C$1960,0)))</f>
        <v/>
      </c>
      <c r="I466" s="9">
        <f>IF(ISNA(MATCH(457,'Transfer Engine'!$C$2:$C$1960,0)),"",INDEX('Compliance Database'!$I$2:$I$1960,MATCH(457,'Transfer Engine'!$C$2:$C$1960,0)))</f>
        <v/>
      </c>
      <c r="J466" s="8">
        <f>IF(ISNA(MATCH(457,'Transfer Engine'!$C$2:$C$1960,0)),"",INDEX('Compliance Database'!$J$2:$J$1960,MATCH(457,'Transfer Engine'!$C$2:$C$1960,0)))</f>
        <v/>
      </c>
      <c r="K466" s="9">
        <f>IF(ISNA(MATCH(457,'Transfer Engine'!$C$2:$C$1960,0)),"",INDEX('Compliance Database'!$K$2:$K$1960,MATCH(457,'Transfer Engine'!$C$2:$C$1960,0)))</f>
        <v/>
      </c>
      <c r="L466" s="9">
        <f>IF(ISNA(MATCH(457,'Transfer Engine'!$C$2:$C$1960,0)),"",INDEX('Compliance Database'!$L$2:$L$1960,MATCH(457,'Transfer Engine'!$C$2:$C$1960,0)))</f>
        <v/>
      </c>
      <c r="M466" s="9">
        <f>IF(ISNA(MATCH(457,'Transfer Engine'!$C$2:$C$1960,0)),"",INDEX('Compliance Database'!$M$2:$M$1960,MATCH(457,'Transfer Engine'!$C$2:$C$1960,0)))</f>
        <v/>
      </c>
      <c r="N466" s="9">
        <f>IF(ISNA(MATCH(457,'Transfer Engine'!$C$2:$C$1960,0)),"",INDEX('Compliance Database'!$N$2:$N$1960,MATCH(457,'Transfer Engine'!$C$2:$C$1960,0)))</f>
        <v/>
      </c>
      <c r="O466" s="9">
        <f>IF(ISNA(MATCH(457,'Transfer Engine'!$C$2:$C$1960,0)),"",INDEX('Compliance Database'!$O$2:$O$1960,MATCH(457,'Transfer Engine'!$C$2:$C$1960,0)))</f>
        <v/>
      </c>
      <c r="P466" s="8">
        <f>IF(ISNA(MATCH(457,'Transfer Engine'!$C$2:$C$1960,0)),"",HYPERLINK("#Acts!A"&amp;INDEX('Compliance Database'!$P$2:$P$1960,MATCH(457,'Transfer Engine'!$C$2:$C$1960,0)),"Go to Act"))</f>
        <v/>
      </c>
    </row>
    <row r="467" ht="158" customHeight="1">
      <c r="A467" s="8">
        <f>IF(ISNA(MATCH(458,'Transfer Engine'!$C$2:$C$1960,0)),"",INDEX('Compliance Database'!$A$2:$A$1960,MATCH(458,'Transfer Engine'!$C$2:$C$1960,0)))</f>
        <v/>
      </c>
      <c r="B467" s="8">
        <f>IF(ISNA(MATCH(458,'Transfer Engine'!$C$2:$C$1960,0)),"",INDEX('Compliance Database'!$B$2:$B$1960,MATCH(458,'Transfer Engine'!$C$2:$C$1960,0)))</f>
        <v/>
      </c>
      <c r="C467" s="8">
        <f>IF(ISNA(MATCH(458,'Transfer Engine'!$C$2:$C$1960,0)),"",INDEX('Compliance Database'!$C$2:$C$1960,MATCH(458,'Transfer Engine'!$C$2:$C$1960,0)))</f>
        <v/>
      </c>
      <c r="D467" s="9">
        <f>IF(ISNA(MATCH(458,'Transfer Engine'!$C$2:$C$1960,0)),"",INDEX('Compliance Database'!$D$2:$D$1960,MATCH(458,'Transfer Engine'!$C$2:$C$1960,0)))</f>
        <v/>
      </c>
      <c r="E467" s="8">
        <f>IF(ISNA(MATCH(458,'Transfer Engine'!$C$2:$C$1960,0)),"",INDEX('Compliance Database'!$E$2:$E$1960,MATCH(458,'Transfer Engine'!$C$2:$C$1960,0)))</f>
        <v/>
      </c>
      <c r="F467" s="8">
        <f>IF(ISNA(MATCH(458,'Transfer Engine'!$C$2:$C$1960,0)),"",INDEX('Compliance Database'!$F$2:$F$1960,MATCH(458,'Transfer Engine'!$C$2:$C$1960,0)))</f>
        <v/>
      </c>
      <c r="G467" s="8">
        <f>IF(ISNA(MATCH(458,'Transfer Engine'!$C$2:$C$1960,0)),"",INDEX('Compliance Database'!$G$2:$G$1960,MATCH(458,'Transfer Engine'!$C$2:$C$1960,0)))</f>
        <v/>
      </c>
      <c r="H467" s="9">
        <f>IF(ISNA(MATCH(458,'Transfer Engine'!$C$2:$C$1960,0)),"",INDEX('Compliance Database'!$H$2:$H$1960,MATCH(458,'Transfer Engine'!$C$2:$C$1960,0)))</f>
        <v/>
      </c>
      <c r="I467" s="9">
        <f>IF(ISNA(MATCH(458,'Transfer Engine'!$C$2:$C$1960,0)),"",INDEX('Compliance Database'!$I$2:$I$1960,MATCH(458,'Transfer Engine'!$C$2:$C$1960,0)))</f>
        <v/>
      </c>
      <c r="J467" s="8">
        <f>IF(ISNA(MATCH(458,'Transfer Engine'!$C$2:$C$1960,0)),"",INDEX('Compliance Database'!$J$2:$J$1960,MATCH(458,'Transfer Engine'!$C$2:$C$1960,0)))</f>
        <v/>
      </c>
      <c r="K467" s="9">
        <f>IF(ISNA(MATCH(458,'Transfer Engine'!$C$2:$C$1960,0)),"",INDEX('Compliance Database'!$K$2:$K$1960,MATCH(458,'Transfer Engine'!$C$2:$C$1960,0)))</f>
        <v/>
      </c>
      <c r="L467" s="9">
        <f>IF(ISNA(MATCH(458,'Transfer Engine'!$C$2:$C$1960,0)),"",INDEX('Compliance Database'!$L$2:$L$1960,MATCH(458,'Transfer Engine'!$C$2:$C$1960,0)))</f>
        <v/>
      </c>
      <c r="M467" s="9">
        <f>IF(ISNA(MATCH(458,'Transfer Engine'!$C$2:$C$1960,0)),"",INDEX('Compliance Database'!$M$2:$M$1960,MATCH(458,'Transfer Engine'!$C$2:$C$1960,0)))</f>
        <v/>
      </c>
      <c r="N467" s="9">
        <f>IF(ISNA(MATCH(458,'Transfer Engine'!$C$2:$C$1960,0)),"",INDEX('Compliance Database'!$N$2:$N$1960,MATCH(458,'Transfer Engine'!$C$2:$C$1960,0)))</f>
        <v/>
      </c>
      <c r="O467" s="9">
        <f>IF(ISNA(MATCH(458,'Transfer Engine'!$C$2:$C$1960,0)),"",INDEX('Compliance Database'!$O$2:$O$1960,MATCH(458,'Transfer Engine'!$C$2:$C$1960,0)))</f>
        <v/>
      </c>
      <c r="P467" s="8">
        <f>IF(ISNA(MATCH(458,'Transfer Engine'!$C$2:$C$1960,0)),"",HYPERLINK("#Acts!A"&amp;INDEX('Compliance Database'!$P$2:$P$1960,MATCH(458,'Transfer Engine'!$C$2:$C$1960,0)),"Go to Act"))</f>
        <v/>
      </c>
    </row>
    <row r="468" ht="158" customHeight="1">
      <c r="A468" s="8">
        <f>IF(ISNA(MATCH(459,'Transfer Engine'!$C$2:$C$1960,0)),"",INDEX('Compliance Database'!$A$2:$A$1960,MATCH(459,'Transfer Engine'!$C$2:$C$1960,0)))</f>
        <v/>
      </c>
      <c r="B468" s="8">
        <f>IF(ISNA(MATCH(459,'Transfer Engine'!$C$2:$C$1960,0)),"",INDEX('Compliance Database'!$B$2:$B$1960,MATCH(459,'Transfer Engine'!$C$2:$C$1960,0)))</f>
        <v/>
      </c>
      <c r="C468" s="8">
        <f>IF(ISNA(MATCH(459,'Transfer Engine'!$C$2:$C$1960,0)),"",INDEX('Compliance Database'!$C$2:$C$1960,MATCH(459,'Transfer Engine'!$C$2:$C$1960,0)))</f>
        <v/>
      </c>
      <c r="D468" s="9">
        <f>IF(ISNA(MATCH(459,'Transfer Engine'!$C$2:$C$1960,0)),"",INDEX('Compliance Database'!$D$2:$D$1960,MATCH(459,'Transfer Engine'!$C$2:$C$1960,0)))</f>
        <v/>
      </c>
      <c r="E468" s="8">
        <f>IF(ISNA(MATCH(459,'Transfer Engine'!$C$2:$C$1960,0)),"",INDEX('Compliance Database'!$E$2:$E$1960,MATCH(459,'Transfer Engine'!$C$2:$C$1960,0)))</f>
        <v/>
      </c>
      <c r="F468" s="8">
        <f>IF(ISNA(MATCH(459,'Transfer Engine'!$C$2:$C$1960,0)),"",INDEX('Compliance Database'!$F$2:$F$1960,MATCH(459,'Transfer Engine'!$C$2:$C$1960,0)))</f>
        <v/>
      </c>
      <c r="G468" s="8">
        <f>IF(ISNA(MATCH(459,'Transfer Engine'!$C$2:$C$1960,0)),"",INDEX('Compliance Database'!$G$2:$G$1960,MATCH(459,'Transfer Engine'!$C$2:$C$1960,0)))</f>
        <v/>
      </c>
      <c r="H468" s="9">
        <f>IF(ISNA(MATCH(459,'Transfer Engine'!$C$2:$C$1960,0)),"",INDEX('Compliance Database'!$H$2:$H$1960,MATCH(459,'Transfer Engine'!$C$2:$C$1960,0)))</f>
        <v/>
      </c>
      <c r="I468" s="9">
        <f>IF(ISNA(MATCH(459,'Transfer Engine'!$C$2:$C$1960,0)),"",INDEX('Compliance Database'!$I$2:$I$1960,MATCH(459,'Transfer Engine'!$C$2:$C$1960,0)))</f>
        <v/>
      </c>
      <c r="J468" s="8">
        <f>IF(ISNA(MATCH(459,'Transfer Engine'!$C$2:$C$1960,0)),"",INDEX('Compliance Database'!$J$2:$J$1960,MATCH(459,'Transfer Engine'!$C$2:$C$1960,0)))</f>
        <v/>
      </c>
      <c r="K468" s="9">
        <f>IF(ISNA(MATCH(459,'Transfer Engine'!$C$2:$C$1960,0)),"",INDEX('Compliance Database'!$K$2:$K$1960,MATCH(459,'Transfer Engine'!$C$2:$C$1960,0)))</f>
        <v/>
      </c>
      <c r="L468" s="9">
        <f>IF(ISNA(MATCH(459,'Transfer Engine'!$C$2:$C$1960,0)),"",INDEX('Compliance Database'!$L$2:$L$1960,MATCH(459,'Transfer Engine'!$C$2:$C$1960,0)))</f>
        <v/>
      </c>
      <c r="M468" s="9">
        <f>IF(ISNA(MATCH(459,'Transfer Engine'!$C$2:$C$1960,0)),"",INDEX('Compliance Database'!$M$2:$M$1960,MATCH(459,'Transfer Engine'!$C$2:$C$1960,0)))</f>
        <v/>
      </c>
      <c r="N468" s="9">
        <f>IF(ISNA(MATCH(459,'Transfer Engine'!$C$2:$C$1960,0)),"",INDEX('Compliance Database'!$N$2:$N$1960,MATCH(459,'Transfer Engine'!$C$2:$C$1960,0)))</f>
        <v/>
      </c>
      <c r="O468" s="9">
        <f>IF(ISNA(MATCH(459,'Transfer Engine'!$C$2:$C$1960,0)),"",INDEX('Compliance Database'!$O$2:$O$1960,MATCH(459,'Transfer Engine'!$C$2:$C$1960,0)))</f>
        <v/>
      </c>
      <c r="P468" s="8">
        <f>IF(ISNA(MATCH(459,'Transfer Engine'!$C$2:$C$1960,0)),"",HYPERLINK("#Acts!A"&amp;INDEX('Compliance Database'!$P$2:$P$1960,MATCH(459,'Transfer Engine'!$C$2:$C$1960,0)),"Go to Act"))</f>
        <v/>
      </c>
    </row>
    <row r="469" ht="158" customHeight="1">
      <c r="A469" s="8">
        <f>IF(ISNA(MATCH(460,'Transfer Engine'!$C$2:$C$1960,0)),"",INDEX('Compliance Database'!$A$2:$A$1960,MATCH(460,'Transfer Engine'!$C$2:$C$1960,0)))</f>
        <v/>
      </c>
      <c r="B469" s="8">
        <f>IF(ISNA(MATCH(460,'Transfer Engine'!$C$2:$C$1960,0)),"",INDEX('Compliance Database'!$B$2:$B$1960,MATCH(460,'Transfer Engine'!$C$2:$C$1960,0)))</f>
        <v/>
      </c>
      <c r="C469" s="8">
        <f>IF(ISNA(MATCH(460,'Transfer Engine'!$C$2:$C$1960,0)),"",INDEX('Compliance Database'!$C$2:$C$1960,MATCH(460,'Transfer Engine'!$C$2:$C$1960,0)))</f>
        <v/>
      </c>
      <c r="D469" s="9">
        <f>IF(ISNA(MATCH(460,'Transfer Engine'!$C$2:$C$1960,0)),"",INDEX('Compliance Database'!$D$2:$D$1960,MATCH(460,'Transfer Engine'!$C$2:$C$1960,0)))</f>
        <v/>
      </c>
      <c r="E469" s="8">
        <f>IF(ISNA(MATCH(460,'Transfer Engine'!$C$2:$C$1960,0)),"",INDEX('Compliance Database'!$E$2:$E$1960,MATCH(460,'Transfer Engine'!$C$2:$C$1960,0)))</f>
        <v/>
      </c>
      <c r="F469" s="8">
        <f>IF(ISNA(MATCH(460,'Transfer Engine'!$C$2:$C$1960,0)),"",INDEX('Compliance Database'!$F$2:$F$1960,MATCH(460,'Transfer Engine'!$C$2:$C$1960,0)))</f>
        <v/>
      </c>
      <c r="G469" s="8">
        <f>IF(ISNA(MATCH(460,'Transfer Engine'!$C$2:$C$1960,0)),"",INDEX('Compliance Database'!$G$2:$G$1960,MATCH(460,'Transfer Engine'!$C$2:$C$1960,0)))</f>
        <v/>
      </c>
      <c r="H469" s="9">
        <f>IF(ISNA(MATCH(460,'Transfer Engine'!$C$2:$C$1960,0)),"",INDEX('Compliance Database'!$H$2:$H$1960,MATCH(460,'Transfer Engine'!$C$2:$C$1960,0)))</f>
        <v/>
      </c>
      <c r="I469" s="9">
        <f>IF(ISNA(MATCH(460,'Transfer Engine'!$C$2:$C$1960,0)),"",INDEX('Compliance Database'!$I$2:$I$1960,MATCH(460,'Transfer Engine'!$C$2:$C$1960,0)))</f>
        <v/>
      </c>
      <c r="J469" s="8">
        <f>IF(ISNA(MATCH(460,'Transfer Engine'!$C$2:$C$1960,0)),"",INDEX('Compliance Database'!$J$2:$J$1960,MATCH(460,'Transfer Engine'!$C$2:$C$1960,0)))</f>
        <v/>
      </c>
      <c r="K469" s="9">
        <f>IF(ISNA(MATCH(460,'Transfer Engine'!$C$2:$C$1960,0)),"",INDEX('Compliance Database'!$K$2:$K$1960,MATCH(460,'Transfer Engine'!$C$2:$C$1960,0)))</f>
        <v/>
      </c>
      <c r="L469" s="9">
        <f>IF(ISNA(MATCH(460,'Transfer Engine'!$C$2:$C$1960,0)),"",INDEX('Compliance Database'!$L$2:$L$1960,MATCH(460,'Transfer Engine'!$C$2:$C$1960,0)))</f>
        <v/>
      </c>
      <c r="M469" s="9">
        <f>IF(ISNA(MATCH(460,'Transfer Engine'!$C$2:$C$1960,0)),"",INDEX('Compliance Database'!$M$2:$M$1960,MATCH(460,'Transfer Engine'!$C$2:$C$1960,0)))</f>
        <v/>
      </c>
      <c r="N469" s="9">
        <f>IF(ISNA(MATCH(460,'Transfer Engine'!$C$2:$C$1960,0)),"",INDEX('Compliance Database'!$N$2:$N$1960,MATCH(460,'Transfer Engine'!$C$2:$C$1960,0)))</f>
        <v/>
      </c>
      <c r="O469" s="9">
        <f>IF(ISNA(MATCH(460,'Transfer Engine'!$C$2:$C$1960,0)),"",INDEX('Compliance Database'!$O$2:$O$1960,MATCH(460,'Transfer Engine'!$C$2:$C$1960,0)))</f>
        <v/>
      </c>
      <c r="P469" s="8">
        <f>IF(ISNA(MATCH(460,'Transfer Engine'!$C$2:$C$1960,0)),"",HYPERLINK("#Acts!A"&amp;INDEX('Compliance Database'!$P$2:$P$1960,MATCH(460,'Transfer Engine'!$C$2:$C$1960,0)),"Go to Act"))</f>
        <v/>
      </c>
    </row>
    <row r="470" ht="158" customHeight="1">
      <c r="A470" s="8">
        <f>IF(ISNA(MATCH(461,'Transfer Engine'!$C$2:$C$1960,0)),"",INDEX('Compliance Database'!$A$2:$A$1960,MATCH(461,'Transfer Engine'!$C$2:$C$1960,0)))</f>
        <v/>
      </c>
      <c r="B470" s="8">
        <f>IF(ISNA(MATCH(461,'Transfer Engine'!$C$2:$C$1960,0)),"",INDEX('Compliance Database'!$B$2:$B$1960,MATCH(461,'Transfer Engine'!$C$2:$C$1960,0)))</f>
        <v/>
      </c>
      <c r="C470" s="8">
        <f>IF(ISNA(MATCH(461,'Transfer Engine'!$C$2:$C$1960,0)),"",INDEX('Compliance Database'!$C$2:$C$1960,MATCH(461,'Transfer Engine'!$C$2:$C$1960,0)))</f>
        <v/>
      </c>
      <c r="D470" s="9">
        <f>IF(ISNA(MATCH(461,'Transfer Engine'!$C$2:$C$1960,0)),"",INDEX('Compliance Database'!$D$2:$D$1960,MATCH(461,'Transfer Engine'!$C$2:$C$1960,0)))</f>
        <v/>
      </c>
      <c r="E470" s="8">
        <f>IF(ISNA(MATCH(461,'Transfer Engine'!$C$2:$C$1960,0)),"",INDEX('Compliance Database'!$E$2:$E$1960,MATCH(461,'Transfer Engine'!$C$2:$C$1960,0)))</f>
        <v/>
      </c>
      <c r="F470" s="8">
        <f>IF(ISNA(MATCH(461,'Transfer Engine'!$C$2:$C$1960,0)),"",INDEX('Compliance Database'!$F$2:$F$1960,MATCH(461,'Transfer Engine'!$C$2:$C$1960,0)))</f>
        <v/>
      </c>
      <c r="G470" s="8">
        <f>IF(ISNA(MATCH(461,'Transfer Engine'!$C$2:$C$1960,0)),"",INDEX('Compliance Database'!$G$2:$G$1960,MATCH(461,'Transfer Engine'!$C$2:$C$1960,0)))</f>
        <v/>
      </c>
      <c r="H470" s="9">
        <f>IF(ISNA(MATCH(461,'Transfer Engine'!$C$2:$C$1960,0)),"",INDEX('Compliance Database'!$H$2:$H$1960,MATCH(461,'Transfer Engine'!$C$2:$C$1960,0)))</f>
        <v/>
      </c>
      <c r="I470" s="9">
        <f>IF(ISNA(MATCH(461,'Transfer Engine'!$C$2:$C$1960,0)),"",INDEX('Compliance Database'!$I$2:$I$1960,MATCH(461,'Transfer Engine'!$C$2:$C$1960,0)))</f>
        <v/>
      </c>
      <c r="J470" s="8">
        <f>IF(ISNA(MATCH(461,'Transfer Engine'!$C$2:$C$1960,0)),"",INDEX('Compliance Database'!$J$2:$J$1960,MATCH(461,'Transfer Engine'!$C$2:$C$1960,0)))</f>
        <v/>
      </c>
      <c r="K470" s="9">
        <f>IF(ISNA(MATCH(461,'Transfer Engine'!$C$2:$C$1960,0)),"",INDEX('Compliance Database'!$K$2:$K$1960,MATCH(461,'Transfer Engine'!$C$2:$C$1960,0)))</f>
        <v/>
      </c>
      <c r="L470" s="9">
        <f>IF(ISNA(MATCH(461,'Transfer Engine'!$C$2:$C$1960,0)),"",INDEX('Compliance Database'!$L$2:$L$1960,MATCH(461,'Transfer Engine'!$C$2:$C$1960,0)))</f>
        <v/>
      </c>
      <c r="M470" s="9">
        <f>IF(ISNA(MATCH(461,'Transfer Engine'!$C$2:$C$1960,0)),"",INDEX('Compliance Database'!$M$2:$M$1960,MATCH(461,'Transfer Engine'!$C$2:$C$1960,0)))</f>
        <v/>
      </c>
      <c r="N470" s="9">
        <f>IF(ISNA(MATCH(461,'Transfer Engine'!$C$2:$C$1960,0)),"",INDEX('Compliance Database'!$N$2:$N$1960,MATCH(461,'Transfer Engine'!$C$2:$C$1960,0)))</f>
        <v/>
      </c>
      <c r="O470" s="9">
        <f>IF(ISNA(MATCH(461,'Transfer Engine'!$C$2:$C$1960,0)),"",INDEX('Compliance Database'!$O$2:$O$1960,MATCH(461,'Transfer Engine'!$C$2:$C$1960,0)))</f>
        <v/>
      </c>
      <c r="P470" s="8">
        <f>IF(ISNA(MATCH(461,'Transfer Engine'!$C$2:$C$1960,0)),"",HYPERLINK("#Acts!A"&amp;INDEX('Compliance Database'!$P$2:$P$1960,MATCH(461,'Transfer Engine'!$C$2:$C$1960,0)),"Go to Act"))</f>
        <v/>
      </c>
    </row>
    <row r="471" ht="158" customHeight="1">
      <c r="A471" s="8">
        <f>IF(ISNA(MATCH(462,'Transfer Engine'!$C$2:$C$1960,0)),"",INDEX('Compliance Database'!$A$2:$A$1960,MATCH(462,'Transfer Engine'!$C$2:$C$1960,0)))</f>
        <v/>
      </c>
      <c r="B471" s="8">
        <f>IF(ISNA(MATCH(462,'Transfer Engine'!$C$2:$C$1960,0)),"",INDEX('Compliance Database'!$B$2:$B$1960,MATCH(462,'Transfer Engine'!$C$2:$C$1960,0)))</f>
        <v/>
      </c>
      <c r="C471" s="8">
        <f>IF(ISNA(MATCH(462,'Transfer Engine'!$C$2:$C$1960,0)),"",INDEX('Compliance Database'!$C$2:$C$1960,MATCH(462,'Transfer Engine'!$C$2:$C$1960,0)))</f>
        <v/>
      </c>
      <c r="D471" s="9">
        <f>IF(ISNA(MATCH(462,'Transfer Engine'!$C$2:$C$1960,0)),"",INDEX('Compliance Database'!$D$2:$D$1960,MATCH(462,'Transfer Engine'!$C$2:$C$1960,0)))</f>
        <v/>
      </c>
      <c r="E471" s="8">
        <f>IF(ISNA(MATCH(462,'Transfer Engine'!$C$2:$C$1960,0)),"",INDEX('Compliance Database'!$E$2:$E$1960,MATCH(462,'Transfer Engine'!$C$2:$C$1960,0)))</f>
        <v/>
      </c>
      <c r="F471" s="8">
        <f>IF(ISNA(MATCH(462,'Transfer Engine'!$C$2:$C$1960,0)),"",INDEX('Compliance Database'!$F$2:$F$1960,MATCH(462,'Transfer Engine'!$C$2:$C$1960,0)))</f>
        <v/>
      </c>
      <c r="G471" s="8">
        <f>IF(ISNA(MATCH(462,'Transfer Engine'!$C$2:$C$1960,0)),"",INDEX('Compliance Database'!$G$2:$G$1960,MATCH(462,'Transfer Engine'!$C$2:$C$1960,0)))</f>
        <v/>
      </c>
      <c r="H471" s="9">
        <f>IF(ISNA(MATCH(462,'Transfer Engine'!$C$2:$C$1960,0)),"",INDEX('Compliance Database'!$H$2:$H$1960,MATCH(462,'Transfer Engine'!$C$2:$C$1960,0)))</f>
        <v/>
      </c>
      <c r="I471" s="9">
        <f>IF(ISNA(MATCH(462,'Transfer Engine'!$C$2:$C$1960,0)),"",INDEX('Compliance Database'!$I$2:$I$1960,MATCH(462,'Transfer Engine'!$C$2:$C$1960,0)))</f>
        <v/>
      </c>
      <c r="J471" s="8">
        <f>IF(ISNA(MATCH(462,'Transfer Engine'!$C$2:$C$1960,0)),"",INDEX('Compliance Database'!$J$2:$J$1960,MATCH(462,'Transfer Engine'!$C$2:$C$1960,0)))</f>
        <v/>
      </c>
      <c r="K471" s="9">
        <f>IF(ISNA(MATCH(462,'Transfer Engine'!$C$2:$C$1960,0)),"",INDEX('Compliance Database'!$K$2:$K$1960,MATCH(462,'Transfer Engine'!$C$2:$C$1960,0)))</f>
        <v/>
      </c>
      <c r="L471" s="9">
        <f>IF(ISNA(MATCH(462,'Transfer Engine'!$C$2:$C$1960,0)),"",INDEX('Compliance Database'!$L$2:$L$1960,MATCH(462,'Transfer Engine'!$C$2:$C$1960,0)))</f>
        <v/>
      </c>
      <c r="M471" s="9">
        <f>IF(ISNA(MATCH(462,'Transfer Engine'!$C$2:$C$1960,0)),"",INDEX('Compliance Database'!$M$2:$M$1960,MATCH(462,'Transfer Engine'!$C$2:$C$1960,0)))</f>
        <v/>
      </c>
      <c r="N471" s="9">
        <f>IF(ISNA(MATCH(462,'Transfer Engine'!$C$2:$C$1960,0)),"",INDEX('Compliance Database'!$N$2:$N$1960,MATCH(462,'Transfer Engine'!$C$2:$C$1960,0)))</f>
        <v/>
      </c>
      <c r="O471" s="9">
        <f>IF(ISNA(MATCH(462,'Transfer Engine'!$C$2:$C$1960,0)),"",INDEX('Compliance Database'!$O$2:$O$1960,MATCH(462,'Transfer Engine'!$C$2:$C$1960,0)))</f>
        <v/>
      </c>
      <c r="P471" s="8">
        <f>IF(ISNA(MATCH(462,'Transfer Engine'!$C$2:$C$1960,0)),"",HYPERLINK("#Acts!A"&amp;INDEX('Compliance Database'!$P$2:$P$1960,MATCH(462,'Transfer Engine'!$C$2:$C$1960,0)),"Go to Act"))</f>
        <v/>
      </c>
    </row>
    <row r="472" ht="158" customHeight="1">
      <c r="A472" s="8">
        <f>IF(ISNA(MATCH(463,'Transfer Engine'!$C$2:$C$1960,0)),"",INDEX('Compliance Database'!$A$2:$A$1960,MATCH(463,'Transfer Engine'!$C$2:$C$1960,0)))</f>
        <v/>
      </c>
      <c r="B472" s="8">
        <f>IF(ISNA(MATCH(463,'Transfer Engine'!$C$2:$C$1960,0)),"",INDEX('Compliance Database'!$B$2:$B$1960,MATCH(463,'Transfer Engine'!$C$2:$C$1960,0)))</f>
        <v/>
      </c>
      <c r="C472" s="8">
        <f>IF(ISNA(MATCH(463,'Transfer Engine'!$C$2:$C$1960,0)),"",INDEX('Compliance Database'!$C$2:$C$1960,MATCH(463,'Transfer Engine'!$C$2:$C$1960,0)))</f>
        <v/>
      </c>
      <c r="D472" s="9">
        <f>IF(ISNA(MATCH(463,'Transfer Engine'!$C$2:$C$1960,0)),"",INDEX('Compliance Database'!$D$2:$D$1960,MATCH(463,'Transfer Engine'!$C$2:$C$1960,0)))</f>
        <v/>
      </c>
      <c r="E472" s="8">
        <f>IF(ISNA(MATCH(463,'Transfer Engine'!$C$2:$C$1960,0)),"",INDEX('Compliance Database'!$E$2:$E$1960,MATCH(463,'Transfer Engine'!$C$2:$C$1960,0)))</f>
        <v/>
      </c>
      <c r="F472" s="8">
        <f>IF(ISNA(MATCH(463,'Transfer Engine'!$C$2:$C$1960,0)),"",INDEX('Compliance Database'!$F$2:$F$1960,MATCH(463,'Transfer Engine'!$C$2:$C$1960,0)))</f>
        <v/>
      </c>
      <c r="G472" s="8">
        <f>IF(ISNA(MATCH(463,'Transfer Engine'!$C$2:$C$1960,0)),"",INDEX('Compliance Database'!$G$2:$G$1960,MATCH(463,'Transfer Engine'!$C$2:$C$1960,0)))</f>
        <v/>
      </c>
      <c r="H472" s="9">
        <f>IF(ISNA(MATCH(463,'Transfer Engine'!$C$2:$C$1960,0)),"",INDEX('Compliance Database'!$H$2:$H$1960,MATCH(463,'Transfer Engine'!$C$2:$C$1960,0)))</f>
        <v/>
      </c>
      <c r="I472" s="9">
        <f>IF(ISNA(MATCH(463,'Transfer Engine'!$C$2:$C$1960,0)),"",INDEX('Compliance Database'!$I$2:$I$1960,MATCH(463,'Transfer Engine'!$C$2:$C$1960,0)))</f>
        <v/>
      </c>
      <c r="J472" s="8">
        <f>IF(ISNA(MATCH(463,'Transfer Engine'!$C$2:$C$1960,0)),"",INDEX('Compliance Database'!$J$2:$J$1960,MATCH(463,'Transfer Engine'!$C$2:$C$1960,0)))</f>
        <v/>
      </c>
      <c r="K472" s="9">
        <f>IF(ISNA(MATCH(463,'Transfer Engine'!$C$2:$C$1960,0)),"",INDEX('Compliance Database'!$K$2:$K$1960,MATCH(463,'Transfer Engine'!$C$2:$C$1960,0)))</f>
        <v/>
      </c>
      <c r="L472" s="9">
        <f>IF(ISNA(MATCH(463,'Transfer Engine'!$C$2:$C$1960,0)),"",INDEX('Compliance Database'!$L$2:$L$1960,MATCH(463,'Transfer Engine'!$C$2:$C$1960,0)))</f>
        <v/>
      </c>
      <c r="M472" s="9">
        <f>IF(ISNA(MATCH(463,'Transfer Engine'!$C$2:$C$1960,0)),"",INDEX('Compliance Database'!$M$2:$M$1960,MATCH(463,'Transfer Engine'!$C$2:$C$1960,0)))</f>
        <v/>
      </c>
      <c r="N472" s="9">
        <f>IF(ISNA(MATCH(463,'Transfer Engine'!$C$2:$C$1960,0)),"",INDEX('Compliance Database'!$N$2:$N$1960,MATCH(463,'Transfer Engine'!$C$2:$C$1960,0)))</f>
        <v/>
      </c>
      <c r="O472" s="9">
        <f>IF(ISNA(MATCH(463,'Transfer Engine'!$C$2:$C$1960,0)),"",INDEX('Compliance Database'!$O$2:$O$1960,MATCH(463,'Transfer Engine'!$C$2:$C$1960,0)))</f>
        <v/>
      </c>
      <c r="P472" s="8">
        <f>IF(ISNA(MATCH(463,'Transfer Engine'!$C$2:$C$1960,0)),"",HYPERLINK("#Acts!A"&amp;INDEX('Compliance Database'!$P$2:$P$1960,MATCH(463,'Transfer Engine'!$C$2:$C$1960,0)),"Go to Act"))</f>
        <v/>
      </c>
    </row>
    <row r="473" ht="158" customHeight="1">
      <c r="A473" s="8">
        <f>IF(ISNA(MATCH(464,'Transfer Engine'!$C$2:$C$1960,0)),"",INDEX('Compliance Database'!$A$2:$A$1960,MATCH(464,'Transfer Engine'!$C$2:$C$1960,0)))</f>
        <v/>
      </c>
      <c r="B473" s="8">
        <f>IF(ISNA(MATCH(464,'Transfer Engine'!$C$2:$C$1960,0)),"",INDEX('Compliance Database'!$B$2:$B$1960,MATCH(464,'Transfer Engine'!$C$2:$C$1960,0)))</f>
        <v/>
      </c>
      <c r="C473" s="8">
        <f>IF(ISNA(MATCH(464,'Transfer Engine'!$C$2:$C$1960,0)),"",INDEX('Compliance Database'!$C$2:$C$1960,MATCH(464,'Transfer Engine'!$C$2:$C$1960,0)))</f>
        <v/>
      </c>
      <c r="D473" s="9">
        <f>IF(ISNA(MATCH(464,'Transfer Engine'!$C$2:$C$1960,0)),"",INDEX('Compliance Database'!$D$2:$D$1960,MATCH(464,'Transfer Engine'!$C$2:$C$1960,0)))</f>
        <v/>
      </c>
      <c r="E473" s="8">
        <f>IF(ISNA(MATCH(464,'Transfer Engine'!$C$2:$C$1960,0)),"",INDEX('Compliance Database'!$E$2:$E$1960,MATCH(464,'Transfer Engine'!$C$2:$C$1960,0)))</f>
        <v/>
      </c>
      <c r="F473" s="8">
        <f>IF(ISNA(MATCH(464,'Transfer Engine'!$C$2:$C$1960,0)),"",INDEX('Compliance Database'!$F$2:$F$1960,MATCH(464,'Transfer Engine'!$C$2:$C$1960,0)))</f>
        <v/>
      </c>
      <c r="G473" s="8">
        <f>IF(ISNA(MATCH(464,'Transfer Engine'!$C$2:$C$1960,0)),"",INDEX('Compliance Database'!$G$2:$G$1960,MATCH(464,'Transfer Engine'!$C$2:$C$1960,0)))</f>
        <v/>
      </c>
      <c r="H473" s="9">
        <f>IF(ISNA(MATCH(464,'Transfer Engine'!$C$2:$C$1960,0)),"",INDEX('Compliance Database'!$H$2:$H$1960,MATCH(464,'Transfer Engine'!$C$2:$C$1960,0)))</f>
        <v/>
      </c>
      <c r="I473" s="9">
        <f>IF(ISNA(MATCH(464,'Transfer Engine'!$C$2:$C$1960,0)),"",INDEX('Compliance Database'!$I$2:$I$1960,MATCH(464,'Transfer Engine'!$C$2:$C$1960,0)))</f>
        <v/>
      </c>
      <c r="J473" s="8">
        <f>IF(ISNA(MATCH(464,'Transfer Engine'!$C$2:$C$1960,0)),"",INDEX('Compliance Database'!$J$2:$J$1960,MATCH(464,'Transfer Engine'!$C$2:$C$1960,0)))</f>
        <v/>
      </c>
      <c r="K473" s="9">
        <f>IF(ISNA(MATCH(464,'Transfer Engine'!$C$2:$C$1960,0)),"",INDEX('Compliance Database'!$K$2:$K$1960,MATCH(464,'Transfer Engine'!$C$2:$C$1960,0)))</f>
        <v/>
      </c>
      <c r="L473" s="9">
        <f>IF(ISNA(MATCH(464,'Transfer Engine'!$C$2:$C$1960,0)),"",INDEX('Compliance Database'!$L$2:$L$1960,MATCH(464,'Transfer Engine'!$C$2:$C$1960,0)))</f>
        <v/>
      </c>
      <c r="M473" s="9">
        <f>IF(ISNA(MATCH(464,'Transfer Engine'!$C$2:$C$1960,0)),"",INDEX('Compliance Database'!$M$2:$M$1960,MATCH(464,'Transfer Engine'!$C$2:$C$1960,0)))</f>
        <v/>
      </c>
      <c r="N473" s="9">
        <f>IF(ISNA(MATCH(464,'Transfer Engine'!$C$2:$C$1960,0)),"",INDEX('Compliance Database'!$N$2:$N$1960,MATCH(464,'Transfer Engine'!$C$2:$C$1960,0)))</f>
        <v/>
      </c>
      <c r="O473" s="9">
        <f>IF(ISNA(MATCH(464,'Transfer Engine'!$C$2:$C$1960,0)),"",INDEX('Compliance Database'!$O$2:$O$1960,MATCH(464,'Transfer Engine'!$C$2:$C$1960,0)))</f>
        <v/>
      </c>
      <c r="P473" s="8">
        <f>IF(ISNA(MATCH(464,'Transfer Engine'!$C$2:$C$1960,0)),"",HYPERLINK("#Acts!A"&amp;INDEX('Compliance Database'!$P$2:$P$1960,MATCH(464,'Transfer Engine'!$C$2:$C$1960,0)),"Go to Act"))</f>
        <v/>
      </c>
    </row>
    <row r="474" ht="158" customHeight="1">
      <c r="A474" s="8">
        <f>IF(ISNA(MATCH(465,'Transfer Engine'!$C$2:$C$1960,0)),"",INDEX('Compliance Database'!$A$2:$A$1960,MATCH(465,'Transfer Engine'!$C$2:$C$1960,0)))</f>
        <v/>
      </c>
      <c r="B474" s="8">
        <f>IF(ISNA(MATCH(465,'Transfer Engine'!$C$2:$C$1960,0)),"",INDEX('Compliance Database'!$B$2:$B$1960,MATCH(465,'Transfer Engine'!$C$2:$C$1960,0)))</f>
        <v/>
      </c>
      <c r="C474" s="8">
        <f>IF(ISNA(MATCH(465,'Transfer Engine'!$C$2:$C$1960,0)),"",INDEX('Compliance Database'!$C$2:$C$1960,MATCH(465,'Transfer Engine'!$C$2:$C$1960,0)))</f>
        <v/>
      </c>
      <c r="D474" s="9">
        <f>IF(ISNA(MATCH(465,'Transfer Engine'!$C$2:$C$1960,0)),"",INDEX('Compliance Database'!$D$2:$D$1960,MATCH(465,'Transfer Engine'!$C$2:$C$1960,0)))</f>
        <v/>
      </c>
      <c r="E474" s="8">
        <f>IF(ISNA(MATCH(465,'Transfer Engine'!$C$2:$C$1960,0)),"",INDEX('Compliance Database'!$E$2:$E$1960,MATCH(465,'Transfer Engine'!$C$2:$C$1960,0)))</f>
        <v/>
      </c>
      <c r="F474" s="8">
        <f>IF(ISNA(MATCH(465,'Transfer Engine'!$C$2:$C$1960,0)),"",INDEX('Compliance Database'!$F$2:$F$1960,MATCH(465,'Transfer Engine'!$C$2:$C$1960,0)))</f>
        <v/>
      </c>
      <c r="G474" s="8">
        <f>IF(ISNA(MATCH(465,'Transfer Engine'!$C$2:$C$1960,0)),"",INDEX('Compliance Database'!$G$2:$G$1960,MATCH(465,'Transfer Engine'!$C$2:$C$1960,0)))</f>
        <v/>
      </c>
      <c r="H474" s="9">
        <f>IF(ISNA(MATCH(465,'Transfer Engine'!$C$2:$C$1960,0)),"",INDEX('Compliance Database'!$H$2:$H$1960,MATCH(465,'Transfer Engine'!$C$2:$C$1960,0)))</f>
        <v/>
      </c>
      <c r="I474" s="9">
        <f>IF(ISNA(MATCH(465,'Transfer Engine'!$C$2:$C$1960,0)),"",INDEX('Compliance Database'!$I$2:$I$1960,MATCH(465,'Transfer Engine'!$C$2:$C$1960,0)))</f>
        <v/>
      </c>
      <c r="J474" s="8">
        <f>IF(ISNA(MATCH(465,'Transfer Engine'!$C$2:$C$1960,0)),"",INDEX('Compliance Database'!$J$2:$J$1960,MATCH(465,'Transfer Engine'!$C$2:$C$1960,0)))</f>
        <v/>
      </c>
      <c r="K474" s="9">
        <f>IF(ISNA(MATCH(465,'Transfer Engine'!$C$2:$C$1960,0)),"",INDEX('Compliance Database'!$K$2:$K$1960,MATCH(465,'Transfer Engine'!$C$2:$C$1960,0)))</f>
        <v/>
      </c>
      <c r="L474" s="9">
        <f>IF(ISNA(MATCH(465,'Transfer Engine'!$C$2:$C$1960,0)),"",INDEX('Compliance Database'!$L$2:$L$1960,MATCH(465,'Transfer Engine'!$C$2:$C$1960,0)))</f>
        <v/>
      </c>
      <c r="M474" s="9">
        <f>IF(ISNA(MATCH(465,'Transfer Engine'!$C$2:$C$1960,0)),"",INDEX('Compliance Database'!$M$2:$M$1960,MATCH(465,'Transfer Engine'!$C$2:$C$1960,0)))</f>
        <v/>
      </c>
      <c r="N474" s="9">
        <f>IF(ISNA(MATCH(465,'Transfer Engine'!$C$2:$C$1960,0)),"",INDEX('Compliance Database'!$N$2:$N$1960,MATCH(465,'Transfer Engine'!$C$2:$C$1960,0)))</f>
        <v/>
      </c>
      <c r="O474" s="9">
        <f>IF(ISNA(MATCH(465,'Transfer Engine'!$C$2:$C$1960,0)),"",INDEX('Compliance Database'!$O$2:$O$1960,MATCH(465,'Transfer Engine'!$C$2:$C$1960,0)))</f>
        <v/>
      </c>
      <c r="P474" s="8">
        <f>IF(ISNA(MATCH(465,'Transfer Engine'!$C$2:$C$1960,0)),"",HYPERLINK("#Acts!A"&amp;INDEX('Compliance Database'!$P$2:$P$1960,MATCH(465,'Transfer Engine'!$C$2:$C$1960,0)),"Go to Act"))</f>
        <v/>
      </c>
    </row>
    <row r="475" ht="158" customHeight="1">
      <c r="A475" s="8">
        <f>IF(ISNA(MATCH(466,'Transfer Engine'!$C$2:$C$1960,0)),"",INDEX('Compliance Database'!$A$2:$A$1960,MATCH(466,'Transfer Engine'!$C$2:$C$1960,0)))</f>
        <v/>
      </c>
      <c r="B475" s="8">
        <f>IF(ISNA(MATCH(466,'Transfer Engine'!$C$2:$C$1960,0)),"",INDEX('Compliance Database'!$B$2:$B$1960,MATCH(466,'Transfer Engine'!$C$2:$C$1960,0)))</f>
        <v/>
      </c>
      <c r="C475" s="8">
        <f>IF(ISNA(MATCH(466,'Transfer Engine'!$C$2:$C$1960,0)),"",INDEX('Compliance Database'!$C$2:$C$1960,MATCH(466,'Transfer Engine'!$C$2:$C$1960,0)))</f>
        <v/>
      </c>
      <c r="D475" s="9">
        <f>IF(ISNA(MATCH(466,'Transfer Engine'!$C$2:$C$1960,0)),"",INDEX('Compliance Database'!$D$2:$D$1960,MATCH(466,'Transfer Engine'!$C$2:$C$1960,0)))</f>
        <v/>
      </c>
      <c r="E475" s="8">
        <f>IF(ISNA(MATCH(466,'Transfer Engine'!$C$2:$C$1960,0)),"",INDEX('Compliance Database'!$E$2:$E$1960,MATCH(466,'Transfer Engine'!$C$2:$C$1960,0)))</f>
        <v/>
      </c>
      <c r="F475" s="8">
        <f>IF(ISNA(MATCH(466,'Transfer Engine'!$C$2:$C$1960,0)),"",INDEX('Compliance Database'!$F$2:$F$1960,MATCH(466,'Transfer Engine'!$C$2:$C$1960,0)))</f>
        <v/>
      </c>
      <c r="G475" s="8">
        <f>IF(ISNA(MATCH(466,'Transfer Engine'!$C$2:$C$1960,0)),"",INDEX('Compliance Database'!$G$2:$G$1960,MATCH(466,'Transfer Engine'!$C$2:$C$1960,0)))</f>
        <v/>
      </c>
      <c r="H475" s="9">
        <f>IF(ISNA(MATCH(466,'Transfer Engine'!$C$2:$C$1960,0)),"",INDEX('Compliance Database'!$H$2:$H$1960,MATCH(466,'Transfer Engine'!$C$2:$C$1960,0)))</f>
        <v/>
      </c>
      <c r="I475" s="9">
        <f>IF(ISNA(MATCH(466,'Transfer Engine'!$C$2:$C$1960,0)),"",INDEX('Compliance Database'!$I$2:$I$1960,MATCH(466,'Transfer Engine'!$C$2:$C$1960,0)))</f>
        <v/>
      </c>
      <c r="J475" s="8">
        <f>IF(ISNA(MATCH(466,'Transfer Engine'!$C$2:$C$1960,0)),"",INDEX('Compliance Database'!$J$2:$J$1960,MATCH(466,'Transfer Engine'!$C$2:$C$1960,0)))</f>
        <v/>
      </c>
      <c r="K475" s="9">
        <f>IF(ISNA(MATCH(466,'Transfer Engine'!$C$2:$C$1960,0)),"",INDEX('Compliance Database'!$K$2:$K$1960,MATCH(466,'Transfer Engine'!$C$2:$C$1960,0)))</f>
        <v/>
      </c>
      <c r="L475" s="9">
        <f>IF(ISNA(MATCH(466,'Transfer Engine'!$C$2:$C$1960,0)),"",INDEX('Compliance Database'!$L$2:$L$1960,MATCH(466,'Transfer Engine'!$C$2:$C$1960,0)))</f>
        <v/>
      </c>
      <c r="M475" s="9">
        <f>IF(ISNA(MATCH(466,'Transfer Engine'!$C$2:$C$1960,0)),"",INDEX('Compliance Database'!$M$2:$M$1960,MATCH(466,'Transfer Engine'!$C$2:$C$1960,0)))</f>
        <v/>
      </c>
      <c r="N475" s="9">
        <f>IF(ISNA(MATCH(466,'Transfer Engine'!$C$2:$C$1960,0)),"",INDEX('Compliance Database'!$N$2:$N$1960,MATCH(466,'Transfer Engine'!$C$2:$C$1960,0)))</f>
        <v/>
      </c>
      <c r="O475" s="9">
        <f>IF(ISNA(MATCH(466,'Transfer Engine'!$C$2:$C$1960,0)),"",INDEX('Compliance Database'!$O$2:$O$1960,MATCH(466,'Transfer Engine'!$C$2:$C$1960,0)))</f>
        <v/>
      </c>
      <c r="P475" s="8">
        <f>IF(ISNA(MATCH(466,'Transfer Engine'!$C$2:$C$1960,0)),"",HYPERLINK("#Acts!A"&amp;INDEX('Compliance Database'!$P$2:$P$1960,MATCH(466,'Transfer Engine'!$C$2:$C$1960,0)),"Go to Act"))</f>
        <v/>
      </c>
    </row>
    <row r="476" ht="158" customHeight="1">
      <c r="A476" s="8">
        <f>IF(ISNA(MATCH(467,'Transfer Engine'!$C$2:$C$1960,0)),"",INDEX('Compliance Database'!$A$2:$A$1960,MATCH(467,'Transfer Engine'!$C$2:$C$1960,0)))</f>
        <v/>
      </c>
      <c r="B476" s="8">
        <f>IF(ISNA(MATCH(467,'Transfer Engine'!$C$2:$C$1960,0)),"",INDEX('Compliance Database'!$B$2:$B$1960,MATCH(467,'Transfer Engine'!$C$2:$C$1960,0)))</f>
        <v/>
      </c>
      <c r="C476" s="8">
        <f>IF(ISNA(MATCH(467,'Transfer Engine'!$C$2:$C$1960,0)),"",INDEX('Compliance Database'!$C$2:$C$1960,MATCH(467,'Transfer Engine'!$C$2:$C$1960,0)))</f>
        <v/>
      </c>
      <c r="D476" s="9">
        <f>IF(ISNA(MATCH(467,'Transfer Engine'!$C$2:$C$1960,0)),"",INDEX('Compliance Database'!$D$2:$D$1960,MATCH(467,'Transfer Engine'!$C$2:$C$1960,0)))</f>
        <v/>
      </c>
      <c r="E476" s="8">
        <f>IF(ISNA(MATCH(467,'Transfer Engine'!$C$2:$C$1960,0)),"",INDEX('Compliance Database'!$E$2:$E$1960,MATCH(467,'Transfer Engine'!$C$2:$C$1960,0)))</f>
        <v/>
      </c>
      <c r="F476" s="8">
        <f>IF(ISNA(MATCH(467,'Transfer Engine'!$C$2:$C$1960,0)),"",INDEX('Compliance Database'!$F$2:$F$1960,MATCH(467,'Transfer Engine'!$C$2:$C$1960,0)))</f>
        <v/>
      </c>
      <c r="G476" s="8">
        <f>IF(ISNA(MATCH(467,'Transfer Engine'!$C$2:$C$1960,0)),"",INDEX('Compliance Database'!$G$2:$G$1960,MATCH(467,'Transfer Engine'!$C$2:$C$1960,0)))</f>
        <v/>
      </c>
      <c r="H476" s="9">
        <f>IF(ISNA(MATCH(467,'Transfer Engine'!$C$2:$C$1960,0)),"",INDEX('Compliance Database'!$H$2:$H$1960,MATCH(467,'Transfer Engine'!$C$2:$C$1960,0)))</f>
        <v/>
      </c>
      <c r="I476" s="9">
        <f>IF(ISNA(MATCH(467,'Transfer Engine'!$C$2:$C$1960,0)),"",INDEX('Compliance Database'!$I$2:$I$1960,MATCH(467,'Transfer Engine'!$C$2:$C$1960,0)))</f>
        <v/>
      </c>
      <c r="J476" s="8">
        <f>IF(ISNA(MATCH(467,'Transfer Engine'!$C$2:$C$1960,0)),"",INDEX('Compliance Database'!$J$2:$J$1960,MATCH(467,'Transfer Engine'!$C$2:$C$1960,0)))</f>
        <v/>
      </c>
      <c r="K476" s="9">
        <f>IF(ISNA(MATCH(467,'Transfer Engine'!$C$2:$C$1960,0)),"",INDEX('Compliance Database'!$K$2:$K$1960,MATCH(467,'Transfer Engine'!$C$2:$C$1960,0)))</f>
        <v/>
      </c>
      <c r="L476" s="9">
        <f>IF(ISNA(MATCH(467,'Transfer Engine'!$C$2:$C$1960,0)),"",INDEX('Compliance Database'!$L$2:$L$1960,MATCH(467,'Transfer Engine'!$C$2:$C$1960,0)))</f>
        <v/>
      </c>
      <c r="M476" s="9">
        <f>IF(ISNA(MATCH(467,'Transfer Engine'!$C$2:$C$1960,0)),"",INDEX('Compliance Database'!$M$2:$M$1960,MATCH(467,'Transfer Engine'!$C$2:$C$1960,0)))</f>
        <v/>
      </c>
      <c r="N476" s="9">
        <f>IF(ISNA(MATCH(467,'Transfer Engine'!$C$2:$C$1960,0)),"",INDEX('Compliance Database'!$N$2:$N$1960,MATCH(467,'Transfer Engine'!$C$2:$C$1960,0)))</f>
        <v/>
      </c>
      <c r="O476" s="9">
        <f>IF(ISNA(MATCH(467,'Transfer Engine'!$C$2:$C$1960,0)),"",INDEX('Compliance Database'!$O$2:$O$1960,MATCH(467,'Transfer Engine'!$C$2:$C$1960,0)))</f>
        <v/>
      </c>
      <c r="P476" s="8">
        <f>IF(ISNA(MATCH(467,'Transfer Engine'!$C$2:$C$1960,0)),"",HYPERLINK("#Acts!A"&amp;INDEX('Compliance Database'!$P$2:$P$1960,MATCH(467,'Transfer Engine'!$C$2:$C$1960,0)),"Go to Act"))</f>
        <v/>
      </c>
    </row>
    <row r="477" ht="158" customHeight="1">
      <c r="A477" s="8">
        <f>IF(ISNA(MATCH(468,'Transfer Engine'!$C$2:$C$1960,0)),"",INDEX('Compliance Database'!$A$2:$A$1960,MATCH(468,'Transfer Engine'!$C$2:$C$1960,0)))</f>
        <v/>
      </c>
      <c r="B477" s="8">
        <f>IF(ISNA(MATCH(468,'Transfer Engine'!$C$2:$C$1960,0)),"",INDEX('Compliance Database'!$B$2:$B$1960,MATCH(468,'Transfer Engine'!$C$2:$C$1960,0)))</f>
        <v/>
      </c>
      <c r="C477" s="8">
        <f>IF(ISNA(MATCH(468,'Transfer Engine'!$C$2:$C$1960,0)),"",INDEX('Compliance Database'!$C$2:$C$1960,MATCH(468,'Transfer Engine'!$C$2:$C$1960,0)))</f>
        <v/>
      </c>
      <c r="D477" s="9">
        <f>IF(ISNA(MATCH(468,'Transfer Engine'!$C$2:$C$1960,0)),"",INDEX('Compliance Database'!$D$2:$D$1960,MATCH(468,'Transfer Engine'!$C$2:$C$1960,0)))</f>
        <v/>
      </c>
      <c r="E477" s="8">
        <f>IF(ISNA(MATCH(468,'Transfer Engine'!$C$2:$C$1960,0)),"",INDEX('Compliance Database'!$E$2:$E$1960,MATCH(468,'Transfer Engine'!$C$2:$C$1960,0)))</f>
        <v/>
      </c>
      <c r="F477" s="8">
        <f>IF(ISNA(MATCH(468,'Transfer Engine'!$C$2:$C$1960,0)),"",INDEX('Compliance Database'!$F$2:$F$1960,MATCH(468,'Transfer Engine'!$C$2:$C$1960,0)))</f>
        <v/>
      </c>
      <c r="G477" s="8">
        <f>IF(ISNA(MATCH(468,'Transfer Engine'!$C$2:$C$1960,0)),"",INDEX('Compliance Database'!$G$2:$G$1960,MATCH(468,'Transfer Engine'!$C$2:$C$1960,0)))</f>
        <v/>
      </c>
      <c r="H477" s="9">
        <f>IF(ISNA(MATCH(468,'Transfer Engine'!$C$2:$C$1960,0)),"",INDEX('Compliance Database'!$H$2:$H$1960,MATCH(468,'Transfer Engine'!$C$2:$C$1960,0)))</f>
        <v/>
      </c>
      <c r="I477" s="9">
        <f>IF(ISNA(MATCH(468,'Transfer Engine'!$C$2:$C$1960,0)),"",INDEX('Compliance Database'!$I$2:$I$1960,MATCH(468,'Transfer Engine'!$C$2:$C$1960,0)))</f>
        <v/>
      </c>
      <c r="J477" s="8">
        <f>IF(ISNA(MATCH(468,'Transfer Engine'!$C$2:$C$1960,0)),"",INDEX('Compliance Database'!$J$2:$J$1960,MATCH(468,'Transfer Engine'!$C$2:$C$1960,0)))</f>
        <v/>
      </c>
      <c r="K477" s="9">
        <f>IF(ISNA(MATCH(468,'Transfer Engine'!$C$2:$C$1960,0)),"",INDEX('Compliance Database'!$K$2:$K$1960,MATCH(468,'Transfer Engine'!$C$2:$C$1960,0)))</f>
        <v/>
      </c>
      <c r="L477" s="9">
        <f>IF(ISNA(MATCH(468,'Transfer Engine'!$C$2:$C$1960,0)),"",INDEX('Compliance Database'!$L$2:$L$1960,MATCH(468,'Transfer Engine'!$C$2:$C$1960,0)))</f>
        <v/>
      </c>
      <c r="M477" s="9">
        <f>IF(ISNA(MATCH(468,'Transfer Engine'!$C$2:$C$1960,0)),"",INDEX('Compliance Database'!$M$2:$M$1960,MATCH(468,'Transfer Engine'!$C$2:$C$1960,0)))</f>
        <v/>
      </c>
      <c r="N477" s="9">
        <f>IF(ISNA(MATCH(468,'Transfer Engine'!$C$2:$C$1960,0)),"",INDEX('Compliance Database'!$N$2:$N$1960,MATCH(468,'Transfer Engine'!$C$2:$C$1960,0)))</f>
        <v/>
      </c>
      <c r="O477" s="9">
        <f>IF(ISNA(MATCH(468,'Transfer Engine'!$C$2:$C$1960,0)),"",INDEX('Compliance Database'!$O$2:$O$1960,MATCH(468,'Transfer Engine'!$C$2:$C$1960,0)))</f>
        <v/>
      </c>
      <c r="P477" s="8">
        <f>IF(ISNA(MATCH(468,'Transfer Engine'!$C$2:$C$1960,0)),"",HYPERLINK("#Acts!A"&amp;INDEX('Compliance Database'!$P$2:$P$1960,MATCH(468,'Transfer Engine'!$C$2:$C$1960,0)),"Go to Act"))</f>
        <v/>
      </c>
    </row>
    <row r="478" ht="158" customHeight="1">
      <c r="A478" s="8">
        <f>IF(ISNA(MATCH(469,'Transfer Engine'!$C$2:$C$1960,0)),"",INDEX('Compliance Database'!$A$2:$A$1960,MATCH(469,'Transfer Engine'!$C$2:$C$1960,0)))</f>
        <v/>
      </c>
      <c r="B478" s="8">
        <f>IF(ISNA(MATCH(469,'Transfer Engine'!$C$2:$C$1960,0)),"",INDEX('Compliance Database'!$B$2:$B$1960,MATCH(469,'Transfer Engine'!$C$2:$C$1960,0)))</f>
        <v/>
      </c>
      <c r="C478" s="8">
        <f>IF(ISNA(MATCH(469,'Transfer Engine'!$C$2:$C$1960,0)),"",INDEX('Compliance Database'!$C$2:$C$1960,MATCH(469,'Transfer Engine'!$C$2:$C$1960,0)))</f>
        <v/>
      </c>
      <c r="D478" s="9">
        <f>IF(ISNA(MATCH(469,'Transfer Engine'!$C$2:$C$1960,0)),"",INDEX('Compliance Database'!$D$2:$D$1960,MATCH(469,'Transfer Engine'!$C$2:$C$1960,0)))</f>
        <v/>
      </c>
      <c r="E478" s="8">
        <f>IF(ISNA(MATCH(469,'Transfer Engine'!$C$2:$C$1960,0)),"",INDEX('Compliance Database'!$E$2:$E$1960,MATCH(469,'Transfer Engine'!$C$2:$C$1960,0)))</f>
        <v/>
      </c>
      <c r="F478" s="8">
        <f>IF(ISNA(MATCH(469,'Transfer Engine'!$C$2:$C$1960,0)),"",INDEX('Compliance Database'!$F$2:$F$1960,MATCH(469,'Transfer Engine'!$C$2:$C$1960,0)))</f>
        <v/>
      </c>
      <c r="G478" s="8">
        <f>IF(ISNA(MATCH(469,'Transfer Engine'!$C$2:$C$1960,0)),"",INDEX('Compliance Database'!$G$2:$G$1960,MATCH(469,'Transfer Engine'!$C$2:$C$1960,0)))</f>
        <v/>
      </c>
      <c r="H478" s="9">
        <f>IF(ISNA(MATCH(469,'Transfer Engine'!$C$2:$C$1960,0)),"",INDEX('Compliance Database'!$H$2:$H$1960,MATCH(469,'Transfer Engine'!$C$2:$C$1960,0)))</f>
        <v/>
      </c>
      <c r="I478" s="9">
        <f>IF(ISNA(MATCH(469,'Transfer Engine'!$C$2:$C$1960,0)),"",INDEX('Compliance Database'!$I$2:$I$1960,MATCH(469,'Transfer Engine'!$C$2:$C$1960,0)))</f>
        <v/>
      </c>
      <c r="J478" s="8">
        <f>IF(ISNA(MATCH(469,'Transfer Engine'!$C$2:$C$1960,0)),"",INDEX('Compliance Database'!$J$2:$J$1960,MATCH(469,'Transfer Engine'!$C$2:$C$1960,0)))</f>
        <v/>
      </c>
      <c r="K478" s="9">
        <f>IF(ISNA(MATCH(469,'Transfer Engine'!$C$2:$C$1960,0)),"",INDEX('Compliance Database'!$K$2:$K$1960,MATCH(469,'Transfer Engine'!$C$2:$C$1960,0)))</f>
        <v/>
      </c>
      <c r="L478" s="9">
        <f>IF(ISNA(MATCH(469,'Transfer Engine'!$C$2:$C$1960,0)),"",INDEX('Compliance Database'!$L$2:$L$1960,MATCH(469,'Transfer Engine'!$C$2:$C$1960,0)))</f>
        <v/>
      </c>
      <c r="M478" s="9">
        <f>IF(ISNA(MATCH(469,'Transfer Engine'!$C$2:$C$1960,0)),"",INDEX('Compliance Database'!$M$2:$M$1960,MATCH(469,'Transfer Engine'!$C$2:$C$1960,0)))</f>
        <v/>
      </c>
      <c r="N478" s="9">
        <f>IF(ISNA(MATCH(469,'Transfer Engine'!$C$2:$C$1960,0)),"",INDEX('Compliance Database'!$N$2:$N$1960,MATCH(469,'Transfer Engine'!$C$2:$C$1960,0)))</f>
        <v/>
      </c>
      <c r="O478" s="9">
        <f>IF(ISNA(MATCH(469,'Transfer Engine'!$C$2:$C$1960,0)),"",INDEX('Compliance Database'!$O$2:$O$1960,MATCH(469,'Transfer Engine'!$C$2:$C$1960,0)))</f>
        <v/>
      </c>
      <c r="P478" s="8">
        <f>IF(ISNA(MATCH(469,'Transfer Engine'!$C$2:$C$1960,0)),"",HYPERLINK("#Acts!A"&amp;INDEX('Compliance Database'!$P$2:$P$1960,MATCH(469,'Transfer Engine'!$C$2:$C$1960,0)),"Go to Act"))</f>
        <v/>
      </c>
    </row>
    <row r="479" ht="158" customHeight="1">
      <c r="A479" s="8">
        <f>IF(ISNA(MATCH(470,'Transfer Engine'!$C$2:$C$1960,0)),"",INDEX('Compliance Database'!$A$2:$A$1960,MATCH(470,'Transfer Engine'!$C$2:$C$1960,0)))</f>
        <v/>
      </c>
      <c r="B479" s="8">
        <f>IF(ISNA(MATCH(470,'Transfer Engine'!$C$2:$C$1960,0)),"",INDEX('Compliance Database'!$B$2:$B$1960,MATCH(470,'Transfer Engine'!$C$2:$C$1960,0)))</f>
        <v/>
      </c>
      <c r="C479" s="8">
        <f>IF(ISNA(MATCH(470,'Transfer Engine'!$C$2:$C$1960,0)),"",INDEX('Compliance Database'!$C$2:$C$1960,MATCH(470,'Transfer Engine'!$C$2:$C$1960,0)))</f>
        <v/>
      </c>
      <c r="D479" s="9">
        <f>IF(ISNA(MATCH(470,'Transfer Engine'!$C$2:$C$1960,0)),"",INDEX('Compliance Database'!$D$2:$D$1960,MATCH(470,'Transfer Engine'!$C$2:$C$1960,0)))</f>
        <v/>
      </c>
      <c r="E479" s="8">
        <f>IF(ISNA(MATCH(470,'Transfer Engine'!$C$2:$C$1960,0)),"",INDEX('Compliance Database'!$E$2:$E$1960,MATCH(470,'Transfer Engine'!$C$2:$C$1960,0)))</f>
        <v/>
      </c>
      <c r="F479" s="8">
        <f>IF(ISNA(MATCH(470,'Transfer Engine'!$C$2:$C$1960,0)),"",INDEX('Compliance Database'!$F$2:$F$1960,MATCH(470,'Transfer Engine'!$C$2:$C$1960,0)))</f>
        <v/>
      </c>
      <c r="G479" s="8">
        <f>IF(ISNA(MATCH(470,'Transfer Engine'!$C$2:$C$1960,0)),"",INDEX('Compliance Database'!$G$2:$G$1960,MATCH(470,'Transfer Engine'!$C$2:$C$1960,0)))</f>
        <v/>
      </c>
      <c r="H479" s="9">
        <f>IF(ISNA(MATCH(470,'Transfer Engine'!$C$2:$C$1960,0)),"",INDEX('Compliance Database'!$H$2:$H$1960,MATCH(470,'Transfer Engine'!$C$2:$C$1960,0)))</f>
        <v/>
      </c>
      <c r="I479" s="9">
        <f>IF(ISNA(MATCH(470,'Transfer Engine'!$C$2:$C$1960,0)),"",INDEX('Compliance Database'!$I$2:$I$1960,MATCH(470,'Transfer Engine'!$C$2:$C$1960,0)))</f>
        <v/>
      </c>
      <c r="J479" s="8">
        <f>IF(ISNA(MATCH(470,'Transfer Engine'!$C$2:$C$1960,0)),"",INDEX('Compliance Database'!$J$2:$J$1960,MATCH(470,'Transfer Engine'!$C$2:$C$1960,0)))</f>
        <v/>
      </c>
      <c r="K479" s="9">
        <f>IF(ISNA(MATCH(470,'Transfer Engine'!$C$2:$C$1960,0)),"",INDEX('Compliance Database'!$K$2:$K$1960,MATCH(470,'Transfer Engine'!$C$2:$C$1960,0)))</f>
        <v/>
      </c>
      <c r="L479" s="9">
        <f>IF(ISNA(MATCH(470,'Transfer Engine'!$C$2:$C$1960,0)),"",INDEX('Compliance Database'!$L$2:$L$1960,MATCH(470,'Transfer Engine'!$C$2:$C$1960,0)))</f>
        <v/>
      </c>
      <c r="M479" s="9">
        <f>IF(ISNA(MATCH(470,'Transfer Engine'!$C$2:$C$1960,0)),"",INDEX('Compliance Database'!$M$2:$M$1960,MATCH(470,'Transfer Engine'!$C$2:$C$1960,0)))</f>
        <v/>
      </c>
      <c r="N479" s="9">
        <f>IF(ISNA(MATCH(470,'Transfer Engine'!$C$2:$C$1960,0)),"",INDEX('Compliance Database'!$N$2:$N$1960,MATCH(470,'Transfer Engine'!$C$2:$C$1960,0)))</f>
        <v/>
      </c>
      <c r="O479" s="9">
        <f>IF(ISNA(MATCH(470,'Transfer Engine'!$C$2:$C$1960,0)),"",INDEX('Compliance Database'!$O$2:$O$1960,MATCH(470,'Transfer Engine'!$C$2:$C$1960,0)))</f>
        <v/>
      </c>
      <c r="P479" s="8">
        <f>IF(ISNA(MATCH(470,'Transfer Engine'!$C$2:$C$1960,0)),"",HYPERLINK("#Acts!A"&amp;INDEX('Compliance Database'!$P$2:$P$1960,MATCH(470,'Transfer Engine'!$C$2:$C$1960,0)),"Go to Act"))</f>
        <v/>
      </c>
    </row>
    <row r="480" ht="158" customHeight="1">
      <c r="A480" s="8">
        <f>IF(ISNA(MATCH(471,'Transfer Engine'!$C$2:$C$1960,0)),"",INDEX('Compliance Database'!$A$2:$A$1960,MATCH(471,'Transfer Engine'!$C$2:$C$1960,0)))</f>
        <v/>
      </c>
      <c r="B480" s="8">
        <f>IF(ISNA(MATCH(471,'Transfer Engine'!$C$2:$C$1960,0)),"",INDEX('Compliance Database'!$B$2:$B$1960,MATCH(471,'Transfer Engine'!$C$2:$C$1960,0)))</f>
        <v/>
      </c>
      <c r="C480" s="8">
        <f>IF(ISNA(MATCH(471,'Transfer Engine'!$C$2:$C$1960,0)),"",INDEX('Compliance Database'!$C$2:$C$1960,MATCH(471,'Transfer Engine'!$C$2:$C$1960,0)))</f>
        <v/>
      </c>
      <c r="D480" s="9">
        <f>IF(ISNA(MATCH(471,'Transfer Engine'!$C$2:$C$1960,0)),"",INDEX('Compliance Database'!$D$2:$D$1960,MATCH(471,'Transfer Engine'!$C$2:$C$1960,0)))</f>
        <v/>
      </c>
      <c r="E480" s="8">
        <f>IF(ISNA(MATCH(471,'Transfer Engine'!$C$2:$C$1960,0)),"",INDEX('Compliance Database'!$E$2:$E$1960,MATCH(471,'Transfer Engine'!$C$2:$C$1960,0)))</f>
        <v/>
      </c>
      <c r="F480" s="8">
        <f>IF(ISNA(MATCH(471,'Transfer Engine'!$C$2:$C$1960,0)),"",INDEX('Compliance Database'!$F$2:$F$1960,MATCH(471,'Transfer Engine'!$C$2:$C$1960,0)))</f>
        <v/>
      </c>
      <c r="G480" s="8">
        <f>IF(ISNA(MATCH(471,'Transfer Engine'!$C$2:$C$1960,0)),"",INDEX('Compliance Database'!$G$2:$G$1960,MATCH(471,'Transfer Engine'!$C$2:$C$1960,0)))</f>
        <v/>
      </c>
      <c r="H480" s="9">
        <f>IF(ISNA(MATCH(471,'Transfer Engine'!$C$2:$C$1960,0)),"",INDEX('Compliance Database'!$H$2:$H$1960,MATCH(471,'Transfer Engine'!$C$2:$C$1960,0)))</f>
        <v/>
      </c>
      <c r="I480" s="9">
        <f>IF(ISNA(MATCH(471,'Transfer Engine'!$C$2:$C$1960,0)),"",INDEX('Compliance Database'!$I$2:$I$1960,MATCH(471,'Transfer Engine'!$C$2:$C$1960,0)))</f>
        <v/>
      </c>
      <c r="J480" s="8">
        <f>IF(ISNA(MATCH(471,'Transfer Engine'!$C$2:$C$1960,0)),"",INDEX('Compliance Database'!$J$2:$J$1960,MATCH(471,'Transfer Engine'!$C$2:$C$1960,0)))</f>
        <v/>
      </c>
      <c r="K480" s="9">
        <f>IF(ISNA(MATCH(471,'Transfer Engine'!$C$2:$C$1960,0)),"",INDEX('Compliance Database'!$K$2:$K$1960,MATCH(471,'Transfer Engine'!$C$2:$C$1960,0)))</f>
        <v/>
      </c>
      <c r="L480" s="9">
        <f>IF(ISNA(MATCH(471,'Transfer Engine'!$C$2:$C$1960,0)),"",INDEX('Compliance Database'!$L$2:$L$1960,MATCH(471,'Transfer Engine'!$C$2:$C$1960,0)))</f>
        <v/>
      </c>
      <c r="M480" s="9">
        <f>IF(ISNA(MATCH(471,'Transfer Engine'!$C$2:$C$1960,0)),"",INDEX('Compliance Database'!$M$2:$M$1960,MATCH(471,'Transfer Engine'!$C$2:$C$1960,0)))</f>
        <v/>
      </c>
      <c r="N480" s="9">
        <f>IF(ISNA(MATCH(471,'Transfer Engine'!$C$2:$C$1960,0)),"",INDEX('Compliance Database'!$N$2:$N$1960,MATCH(471,'Transfer Engine'!$C$2:$C$1960,0)))</f>
        <v/>
      </c>
      <c r="O480" s="9">
        <f>IF(ISNA(MATCH(471,'Transfer Engine'!$C$2:$C$1960,0)),"",INDEX('Compliance Database'!$O$2:$O$1960,MATCH(471,'Transfer Engine'!$C$2:$C$1960,0)))</f>
        <v/>
      </c>
      <c r="P480" s="8">
        <f>IF(ISNA(MATCH(471,'Transfer Engine'!$C$2:$C$1960,0)),"",HYPERLINK("#Acts!A"&amp;INDEX('Compliance Database'!$P$2:$P$1960,MATCH(471,'Transfer Engine'!$C$2:$C$1960,0)),"Go to Act"))</f>
        <v/>
      </c>
    </row>
    <row r="481" ht="158" customHeight="1">
      <c r="A481" s="8">
        <f>IF(ISNA(MATCH(472,'Transfer Engine'!$C$2:$C$1960,0)),"",INDEX('Compliance Database'!$A$2:$A$1960,MATCH(472,'Transfer Engine'!$C$2:$C$1960,0)))</f>
        <v/>
      </c>
      <c r="B481" s="8">
        <f>IF(ISNA(MATCH(472,'Transfer Engine'!$C$2:$C$1960,0)),"",INDEX('Compliance Database'!$B$2:$B$1960,MATCH(472,'Transfer Engine'!$C$2:$C$1960,0)))</f>
        <v/>
      </c>
      <c r="C481" s="8">
        <f>IF(ISNA(MATCH(472,'Transfer Engine'!$C$2:$C$1960,0)),"",INDEX('Compliance Database'!$C$2:$C$1960,MATCH(472,'Transfer Engine'!$C$2:$C$1960,0)))</f>
        <v/>
      </c>
      <c r="D481" s="9">
        <f>IF(ISNA(MATCH(472,'Transfer Engine'!$C$2:$C$1960,0)),"",INDEX('Compliance Database'!$D$2:$D$1960,MATCH(472,'Transfer Engine'!$C$2:$C$1960,0)))</f>
        <v/>
      </c>
      <c r="E481" s="8">
        <f>IF(ISNA(MATCH(472,'Transfer Engine'!$C$2:$C$1960,0)),"",INDEX('Compliance Database'!$E$2:$E$1960,MATCH(472,'Transfer Engine'!$C$2:$C$1960,0)))</f>
        <v/>
      </c>
      <c r="F481" s="8">
        <f>IF(ISNA(MATCH(472,'Transfer Engine'!$C$2:$C$1960,0)),"",INDEX('Compliance Database'!$F$2:$F$1960,MATCH(472,'Transfer Engine'!$C$2:$C$1960,0)))</f>
        <v/>
      </c>
      <c r="G481" s="8">
        <f>IF(ISNA(MATCH(472,'Transfer Engine'!$C$2:$C$1960,0)),"",INDEX('Compliance Database'!$G$2:$G$1960,MATCH(472,'Transfer Engine'!$C$2:$C$1960,0)))</f>
        <v/>
      </c>
      <c r="H481" s="9">
        <f>IF(ISNA(MATCH(472,'Transfer Engine'!$C$2:$C$1960,0)),"",INDEX('Compliance Database'!$H$2:$H$1960,MATCH(472,'Transfer Engine'!$C$2:$C$1960,0)))</f>
        <v/>
      </c>
      <c r="I481" s="9">
        <f>IF(ISNA(MATCH(472,'Transfer Engine'!$C$2:$C$1960,0)),"",INDEX('Compliance Database'!$I$2:$I$1960,MATCH(472,'Transfer Engine'!$C$2:$C$1960,0)))</f>
        <v/>
      </c>
      <c r="J481" s="8">
        <f>IF(ISNA(MATCH(472,'Transfer Engine'!$C$2:$C$1960,0)),"",INDEX('Compliance Database'!$J$2:$J$1960,MATCH(472,'Transfer Engine'!$C$2:$C$1960,0)))</f>
        <v/>
      </c>
      <c r="K481" s="9">
        <f>IF(ISNA(MATCH(472,'Transfer Engine'!$C$2:$C$1960,0)),"",INDEX('Compliance Database'!$K$2:$K$1960,MATCH(472,'Transfer Engine'!$C$2:$C$1960,0)))</f>
        <v/>
      </c>
      <c r="L481" s="9">
        <f>IF(ISNA(MATCH(472,'Transfer Engine'!$C$2:$C$1960,0)),"",INDEX('Compliance Database'!$L$2:$L$1960,MATCH(472,'Transfer Engine'!$C$2:$C$1960,0)))</f>
        <v/>
      </c>
      <c r="M481" s="9">
        <f>IF(ISNA(MATCH(472,'Transfer Engine'!$C$2:$C$1960,0)),"",INDEX('Compliance Database'!$M$2:$M$1960,MATCH(472,'Transfer Engine'!$C$2:$C$1960,0)))</f>
        <v/>
      </c>
      <c r="N481" s="9">
        <f>IF(ISNA(MATCH(472,'Transfer Engine'!$C$2:$C$1960,0)),"",INDEX('Compliance Database'!$N$2:$N$1960,MATCH(472,'Transfer Engine'!$C$2:$C$1960,0)))</f>
        <v/>
      </c>
      <c r="O481" s="9">
        <f>IF(ISNA(MATCH(472,'Transfer Engine'!$C$2:$C$1960,0)),"",INDEX('Compliance Database'!$O$2:$O$1960,MATCH(472,'Transfer Engine'!$C$2:$C$1960,0)))</f>
        <v/>
      </c>
      <c r="P481" s="8">
        <f>IF(ISNA(MATCH(472,'Transfer Engine'!$C$2:$C$1960,0)),"",HYPERLINK("#Acts!A"&amp;INDEX('Compliance Database'!$P$2:$P$1960,MATCH(472,'Transfer Engine'!$C$2:$C$1960,0)),"Go to Act"))</f>
        <v/>
      </c>
    </row>
    <row r="482" ht="158" customHeight="1">
      <c r="A482" s="8">
        <f>IF(ISNA(MATCH(473,'Transfer Engine'!$C$2:$C$1960,0)),"",INDEX('Compliance Database'!$A$2:$A$1960,MATCH(473,'Transfer Engine'!$C$2:$C$1960,0)))</f>
        <v/>
      </c>
      <c r="B482" s="8">
        <f>IF(ISNA(MATCH(473,'Transfer Engine'!$C$2:$C$1960,0)),"",INDEX('Compliance Database'!$B$2:$B$1960,MATCH(473,'Transfer Engine'!$C$2:$C$1960,0)))</f>
        <v/>
      </c>
      <c r="C482" s="8">
        <f>IF(ISNA(MATCH(473,'Transfer Engine'!$C$2:$C$1960,0)),"",INDEX('Compliance Database'!$C$2:$C$1960,MATCH(473,'Transfer Engine'!$C$2:$C$1960,0)))</f>
        <v/>
      </c>
      <c r="D482" s="9">
        <f>IF(ISNA(MATCH(473,'Transfer Engine'!$C$2:$C$1960,0)),"",INDEX('Compliance Database'!$D$2:$D$1960,MATCH(473,'Transfer Engine'!$C$2:$C$1960,0)))</f>
        <v/>
      </c>
      <c r="E482" s="8">
        <f>IF(ISNA(MATCH(473,'Transfer Engine'!$C$2:$C$1960,0)),"",INDEX('Compliance Database'!$E$2:$E$1960,MATCH(473,'Transfer Engine'!$C$2:$C$1960,0)))</f>
        <v/>
      </c>
      <c r="F482" s="8">
        <f>IF(ISNA(MATCH(473,'Transfer Engine'!$C$2:$C$1960,0)),"",INDEX('Compliance Database'!$F$2:$F$1960,MATCH(473,'Transfer Engine'!$C$2:$C$1960,0)))</f>
        <v/>
      </c>
      <c r="G482" s="8">
        <f>IF(ISNA(MATCH(473,'Transfer Engine'!$C$2:$C$1960,0)),"",INDEX('Compliance Database'!$G$2:$G$1960,MATCH(473,'Transfer Engine'!$C$2:$C$1960,0)))</f>
        <v/>
      </c>
      <c r="H482" s="9">
        <f>IF(ISNA(MATCH(473,'Transfer Engine'!$C$2:$C$1960,0)),"",INDEX('Compliance Database'!$H$2:$H$1960,MATCH(473,'Transfer Engine'!$C$2:$C$1960,0)))</f>
        <v/>
      </c>
      <c r="I482" s="9">
        <f>IF(ISNA(MATCH(473,'Transfer Engine'!$C$2:$C$1960,0)),"",INDEX('Compliance Database'!$I$2:$I$1960,MATCH(473,'Transfer Engine'!$C$2:$C$1960,0)))</f>
        <v/>
      </c>
      <c r="J482" s="8">
        <f>IF(ISNA(MATCH(473,'Transfer Engine'!$C$2:$C$1960,0)),"",INDEX('Compliance Database'!$J$2:$J$1960,MATCH(473,'Transfer Engine'!$C$2:$C$1960,0)))</f>
        <v/>
      </c>
      <c r="K482" s="9">
        <f>IF(ISNA(MATCH(473,'Transfer Engine'!$C$2:$C$1960,0)),"",INDEX('Compliance Database'!$K$2:$K$1960,MATCH(473,'Transfer Engine'!$C$2:$C$1960,0)))</f>
        <v/>
      </c>
      <c r="L482" s="9">
        <f>IF(ISNA(MATCH(473,'Transfer Engine'!$C$2:$C$1960,0)),"",INDEX('Compliance Database'!$L$2:$L$1960,MATCH(473,'Transfer Engine'!$C$2:$C$1960,0)))</f>
        <v/>
      </c>
      <c r="M482" s="9">
        <f>IF(ISNA(MATCH(473,'Transfer Engine'!$C$2:$C$1960,0)),"",INDEX('Compliance Database'!$M$2:$M$1960,MATCH(473,'Transfer Engine'!$C$2:$C$1960,0)))</f>
        <v/>
      </c>
      <c r="N482" s="9">
        <f>IF(ISNA(MATCH(473,'Transfer Engine'!$C$2:$C$1960,0)),"",INDEX('Compliance Database'!$N$2:$N$1960,MATCH(473,'Transfer Engine'!$C$2:$C$1960,0)))</f>
        <v/>
      </c>
      <c r="O482" s="9">
        <f>IF(ISNA(MATCH(473,'Transfer Engine'!$C$2:$C$1960,0)),"",INDEX('Compliance Database'!$O$2:$O$1960,MATCH(473,'Transfer Engine'!$C$2:$C$1960,0)))</f>
        <v/>
      </c>
      <c r="P482" s="8">
        <f>IF(ISNA(MATCH(473,'Transfer Engine'!$C$2:$C$1960,0)),"",HYPERLINK("#Acts!A"&amp;INDEX('Compliance Database'!$P$2:$P$1960,MATCH(473,'Transfer Engine'!$C$2:$C$1960,0)),"Go to Act"))</f>
        <v/>
      </c>
    </row>
    <row r="483" ht="158" customHeight="1">
      <c r="A483" s="8">
        <f>IF(ISNA(MATCH(474,'Transfer Engine'!$C$2:$C$1960,0)),"",INDEX('Compliance Database'!$A$2:$A$1960,MATCH(474,'Transfer Engine'!$C$2:$C$1960,0)))</f>
        <v/>
      </c>
      <c r="B483" s="8">
        <f>IF(ISNA(MATCH(474,'Transfer Engine'!$C$2:$C$1960,0)),"",INDEX('Compliance Database'!$B$2:$B$1960,MATCH(474,'Transfer Engine'!$C$2:$C$1960,0)))</f>
        <v/>
      </c>
      <c r="C483" s="8">
        <f>IF(ISNA(MATCH(474,'Transfer Engine'!$C$2:$C$1960,0)),"",INDEX('Compliance Database'!$C$2:$C$1960,MATCH(474,'Transfer Engine'!$C$2:$C$1960,0)))</f>
        <v/>
      </c>
      <c r="D483" s="9">
        <f>IF(ISNA(MATCH(474,'Transfer Engine'!$C$2:$C$1960,0)),"",INDEX('Compliance Database'!$D$2:$D$1960,MATCH(474,'Transfer Engine'!$C$2:$C$1960,0)))</f>
        <v/>
      </c>
      <c r="E483" s="8">
        <f>IF(ISNA(MATCH(474,'Transfer Engine'!$C$2:$C$1960,0)),"",INDEX('Compliance Database'!$E$2:$E$1960,MATCH(474,'Transfer Engine'!$C$2:$C$1960,0)))</f>
        <v/>
      </c>
      <c r="F483" s="8">
        <f>IF(ISNA(MATCH(474,'Transfer Engine'!$C$2:$C$1960,0)),"",INDEX('Compliance Database'!$F$2:$F$1960,MATCH(474,'Transfer Engine'!$C$2:$C$1960,0)))</f>
        <v/>
      </c>
      <c r="G483" s="8">
        <f>IF(ISNA(MATCH(474,'Transfer Engine'!$C$2:$C$1960,0)),"",INDEX('Compliance Database'!$G$2:$G$1960,MATCH(474,'Transfer Engine'!$C$2:$C$1960,0)))</f>
        <v/>
      </c>
      <c r="H483" s="9">
        <f>IF(ISNA(MATCH(474,'Transfer Engine'!$C$2:$C$1960,0)),"",INDEX('Compliance Database'!$H$2:$H$1960,MATCH(474,'Transfer Engine'!$C$2:$C$1960,0)))</f>
        <v/>
      </c>
      <c r="I483" s="9">
        <f>IF(ISNA(MATCH(474,'Transfer Engine'!$C$2:$C$1960,0)),"",INDEX('Compliance Database'!$I$2:$I$1960,MATCH(474,'Transfer Engine'!$C$2:$C$1960,0)))</f>
        <v/>
      </c>
      <c r="J483" s="8">
        <f>IF(ISNA(MATCH(474,'Transfer Engine'!$C$2:$C$1960,0)),"",INDEX('Compliance Database'!$J$2:$J$1960,MATCH(474,'Transfer Engine'!$C$2:$C$1960,0)))</f>
        <v/>
      </c>
      <c r="K483" s="9">
        <f>IF(ISNA(MATCH(474,'Transfer Engine'!$C$2:$C$1960,0)),"",INDEX('Compliance Database'!$K$2:$K$1960,MATCH(474,'Transfer Engine'!$C$2:$C$1960,0)))</f>
        <v/>
      </c>
      <c r="L483" s="9">
        <f>IF(ISNA(MATCH(474,'Transfer Engine'!$C$2:$C$1960,0)),"",INDEX('Compliance Database'!$L$2:$L$1960,MATCH(474,'Transfer Engine'!$C$2:$C$1960,0)))</f>
        <v/>
      </c>
      <c r="M483" s="9">
        <f>IF(ISNA(MATCH(474,'Transfer Engine'!$C$2:$C$1960,0)),"",INDEX('Compliance Database'!$M$2:$M$1960,MATCH(474,'Transfer Engine'!$C$2:$C$1960,0)))</f>
        <v/>
      </c>
      <c r="N483" s="9">
        <f>IF(ISNA(MATCH(474,'Transfer Engine'!$C$2:$C$1960,0)),"",INDEX('Compliance Database'!$N$2:$N$1960,MATCH(474,'Transfer Engine'!$C$2:$C$1960,0)))</f>
        <v/>
      </c>
      <c r="O483" s="9">
        <f>IF(ISNA(MATCH(474,'Transfer Engine'!$C$2:$C$1960,0)),"",INDEX('Compliance Database'!$O$2:$O$1960,MATCH(474,'Transfer Engine'!$C$2:$C$1960,0)))</f>
        <v/>
      </c>
      <c r="P483" s="8">
        <f>IF(ISNA(MATCH(474,'Transfer Engine'!$C$2:$C$1960,0)),"",HYPERLINK("#Acts!A"&amp;INDEX('Compliance Database'!$P$2:$P$1960,MATCH(474,'Transfer Engine'!$C$2:$C$1960,0)),"Go to Act"))</f>
        <v/>
      </c>
    </row>
    <row r="484" ht="158" customHeight="1">
      <c r="A484" s="8">
        <f>IF(ISNA(MATCH(475,'Transfer Engine'!$C$2:$C$1960,0)),"",INDEX('Compliance Database'!$A$2:$A$1960,MATCH(475,'Transfer Engine'!$C$2:$C$1960,0)))</f>
        <v/>
      </c>
      <c r="B484" s="8">
        <f>IF(ISNA(MATCH(475,'Transfer Engine'!$C$2:$C$1960,0)),"",INDEX('Compliance Database'!$B$2:$B$1960,MATCH(475,'Transfer Engine'!$C$2:$C$1960,0)))</f>
        <v/>
      </c>
      <c r="C484" s="8">
        <f>IF(ISNA(MATCH(475,'Transfer Engine'!$C$2:$C$1960,0)),"",INDEX('Compliance Database'!$C$2:$C$1960,MATCH(475,'Transfer Engine'!$C$2:$C$1960,0)))</f>
        <v/>
      </c>
      <c r="D484" s="9">
        <f>IF(ISNA(MATCH(475,'Transfer Engine'!$C$2:$C$1960,0)),"",INDEX('Compliance Database'!$D$2:$D$1960,MATCH(475,'Transfer Engine'!$C$2:$C$1960,0)))</f>
        <v/>
      </c>
      <c r="E484" s="8">
        <f>IF(ISNA(MATCH(475,'Transfer Engine'!$C$2:$C$1960,0)),"",INDEX('Compliance Database'!$E$2:$E$1960,MATCH(475,'Transfer Engine'!$C$2:$C$1960,0)))</f>
        <v/>
      </c>
      <c r="F484" s="8">
        <f>IF(ISNA(MATCH(475,'Transfer Engine'!$C$2:$C$1960,0)),"",INDEX('Compliance Database'!$F$2:$F$1960,MATCH(475,'Transfer Engine'!$C$2:$C$1960,0)))</f>
        <v/>
      </c>
      <c r="G484" s="8">
        <f>IF(ISNA(MATCH(475,'Transfer Engine'!$C$2:$C$1960,0)),"",INDEX('Compliance Database'!$G$2:$G$1960,MATCH(475,'Transfer Engine'!$C$2:$C$1960,0)))</f>
        <v/>
      </c>
      <c r="H484" s="9">
        <f>IF(ISNA(MATCH(475,'Transfer Engine'!$C$2:$C$1960,0)),"",INDEX('Compliance Database'!$H$2:$H$1960,MATCH(475,'Transfer Engine'!$C$2:$C$1960,0)))</f>
        <v/>
      </c>
      <c r="I484" s="9">
        <f>IF(ISNA(MATCH(475,'Transfer Engine'!$C$2:$C$1960,0)),"",INDEX('Compliance Database'!$I$2:$I$1960,MATCH(475,'Transfer Engine'!$C$2:$C$1960,0)))</f>
        <v/>
      </c>
      <c r="J484" s="8">
        <f>IF(ISNA(MATCH(475,'Transfer Engine'!$C$2:$C$1960,0)),"",INDEX('Compliance Database'!$J$2:$J$1960,MATCH(475,'Transfer Engine'!$C$2:$C$1960,0)))</f>
        <v/>
      </c>
      <c r="K484" s="9">
        <f>IF(ISNA(MATCH(475,'Transfer Engine'!$C$2:$C$1960,0)),"",INDEX('Compliance Database'!$K$2:$K$1960,MATCH(475,'Transfer Engine'!$C$2:$C$1960,0)))</f>
        <v/>
      </c>
      <c r="L484" s="9">
        <f>IF(ISNA(MATCH(475,'Transfer Engine'!$C$2:$C$1960,0)),"",INDEX('Compliance Database'!$L$2:$L$1960,MATCH(475,'Transfer Engine'!$C$2:$C$1960,0)))</f>
        <v/>
      </c>
      <c r="M484" s="9">
        <f>IF(ISNA(MATCH(475,'Transfer Engine'!$C$2:$C$1960,0)),"",INDEX('Compliance Database'!$M$2:$M$1960,MATCH(475,'Transfer Engine'!$C$2:$C$1960,0)))</f>
        <v/>
      </c>
      <c r="N484" s="9">
        <f>IF(ISNA(MATCH(475,'Transfer Engine'!$C$2:$C$1960,0)),"",INDEX('Compliance Database'!$N$2:$N$1960,MATCH(475,'Transfer Engine'!$C$2:$C$1960,0)))</f>
        <v/>
      </c>
      <c r="O484" s="9">
        <f>IF(ISNA(MATCH(475,'Transfer Engine'!$C$2:$C$1960,0)),"",INDEX('Compliance Database'!$O$2:$O$1960,MATCH(475,'Transfer Engine'!$C$2:$C$1960,0)))</f>
        <v/>
      </c>
      <c r="P484" s="8">
        <f>IF(ISNA(MATCH(475,'Transfer Engine'!$C$2:$C$1960,0)),"",HYPERLINK("#Acts!A"&amp;INDEX('Compliance Database'!$P$2:$P$1960,MATCH(475,'Transfer Engine'!$C$2:$C$1960,0)),"Go to Act"))</f>
        <v/>
      </c>
    </row>
    <row r="485" ht="158" customHeight="1">
      <c r="A485" s="8">
        <f>IF(ISNA(MATCH(476,'Transfer Engine'!$C$2:$C$1960,0)),"",INDEX('Compliance Database'!$A$2:$A$1960,MATCH(476,'Transfer Engine'!$C$2:$C$1960,0)))</f>
        <v/>
      </c>
      <c r="B485" s="8">
        <f>IF(ISNA(MATCH(476,'Transfer Engine'!$C$2:$C$1960,0)),"",INDEX('Compliance Database'!$B$2:$B$1960,MATCH(476,'Transfer Engine'!$C$2:$C$1960,0)))</f>
        <v/>
      </c>
      <c r="C485" s="8">
        <f>IF(ISNA(MATCH(476,'Transfer Engine'!$C$2:$C$1960,0)),"",INDEX('Compliance Database'!$C$2:$C$1960,MATCH(476,'Transfer Engine'!$C$2:$C$1960,0)))</f>
        <v/>
      </c>
      <c r="D485" s="9">
        <f>IF(ISNA(MATCH(476,'Transfer Engine'!$C$2:$C$1960,0)),"",INDEX('Compliance Database'!$D$2:$D$1960,MATCH(476,'Transfer Engine'!$C$2:$C$1960,0)))</f>
        <v/>
      </c>
      <c r="E485" s="8">
        <f>IF(ISNA(MATCH(476,'Transfer Engine'!$C$2:$C$1960,0)),"",INDEX('Compliance Database'!$E$2:$E$1960,MATCH(476,'Transfer Engine'!$C$2:$C$1960,0)))</f>
        <v/>
      </c>
      <c r="F485" s="8">
        <f>IF(ISNA(MATCH(476,'Transfer Engine'!$C$2:$C$1960,0)),"",INDEX('Compliance Database'!$F$2:$F$1960,MATCH(476,'Transfer Engine'!$C$2:$C$1960,0)))</f>
        <v/>
      </c>
      <c r="G485" s="8">
        <f>IF(ISNA(MATCH(476,'Transfer Engine'!$C$2:$C$1960,0)),"",INDEX('Compliance Database'!$G$2:$G$1960,MATCH(476,'Transfer Engine'!$C$2:$C$1960,0)))</f>
        <v/>
      </c>
      <c r="H485" s="9">
        <f>IF(ISNA(MATCH(476,'Transfer Engine'!$C$2:$C$1960,0)),"",INDEX('Compliance Database'!$H$2:$H$1960,MATCH(476,'Transfer Engine'!$C$2:$C$1960,0)))</f>
        <v/>
      </c>
      <c r="I485" s="9">
        <f>IF(ISNA(MATCH(476,'Transfer Engine'!$C$2:$C$1960,0)),"",INDEX('Compliance Database'!$I$2:$I$1960,MATCH(476,'Transfer Engine'!$C$2:$C$1960,0)))</f>
        <v/>
      </c>
      <c r="J485" s="8">
        <f>IF(ISNA(MATCH(476,'Transfer Engine'!$C$2:$C$1960,0)),"",INDEX('Compliance Database'!$J$2:$J$1960,MATCH(476,'Transfer Engine'!$C$2:$C$1960,0)))</f>
        <v/>
      </c>
      <c r="K485" s="9">
        <f>IF(ISNA(MATCH(476,'Transfer Engine'!$C$2:$C$1960,0)),"",INDEX('Compliance Database'!$K$2:$K$1960,MATCH(476,'Transfer Engine'!$C$2:$C$1960,0)))</f>
        <v/>
      </c>
      <c r="L485" s="9">
        <f>IF(ISNA(MATCH(476,'Transfer Engine'!$C$2:$C$1960,0)),"",INDEX('Compliance Database'!$L$2:$L$1960,MATCH(476,'Transfer Engine'!$C$2:$C$1960,0)))</f>
        <v/>
      </c>
      <c r="M485" s="9">
        <f>IF(ISNA(MATCH(476,'Transfer Engine'!$C$2:$C$1960,0)),"",INDEX('Compliance Database'!$M$2:$M$1960,MATCH(476,'Transfer Engine'!$C$2:$C$1960,0)))</f>
        <v/>
      </c>
      <c r="N485" s="9">
        <f>IF(ISNA(MATCH(476,'Transfer Engine'!$C$2:$C$1960,0)),"",INDEX('Compliance Database'!$N$2:$N$1960,MATCH(476,'Transfer Engine'!$C$2:$C$1960,0)))</f>
        <v/>
      </c>
      <c r="O485" s="9">
        <f>IF(ISNA(MATCH(476,'Transfer Engine'!$C$2:$C$1960,0)),"",INDEX('Compliance Database'!$O$2:$O$1960,MATCH(476,'Transfer Engine'!$C$2:$C$1960,0)))</f>
        <v/>
      </c>
      <c r="P485" s="8">
        <f>IF(ISNA(MATCH(476,'Transfer Engine'!$C$2:$C$1960,0)),"",HYPERLINK("#Acts!A"&amp;INDEX('Compliance Database'!$P$2:$P$1960,MATCH(476,'Transfer Engine'!$C$2:$C$1960,0)),"Go to Act"))</f>
        <v/>
      </c>
    </row>
    <row r="486" ht="158" customHeight="1">
      <c r="A486" s="8">
        <f>IF(ISNA(MATCH(477,'Transfer Engine'!$C$2:$C$1960,0)),"",INDEX('Compliance Database'!$A$2:$A$1960,MATCH(477,'Transfer Engine'!$C$2:$C$1960,0)))</f>
        <v/>
      </c>
      <c r="B486" s="8">
        <f>IF(ISNA(MATCH(477,'Transfer Engine'!$C$2:$C$1960,0)),"",INDEX('Compliance Database'!$B$2:$B$1960,MATCH(477,'Transfer Engine'!$C$2:$C$1960,0)))</f>
        <v/>
      </c>
      <c r="C486" s="8">
        <f>IF(ISNA(MATCH(477,'Transfer Engine'!$C$2:$C$1960,0)),"",INDEX('Compliance Database'!$C$2:$C$1960,MATCH(477,'Transfer Engine'!$C$2:$C$1960,0)))</f>
        <v/>
      </c>
      <c r="D486" s="9">
        <f>IF(ISNA(MATCH(477,'Transfer Engine'!$C$2:$C$1960,0)),"",INDEX('Compliance Database'!$D$2:$D$1960,MATCH(477,'Transfer Engine'!$C$2:$C$1960,0)))</f>
        <v/>
      </c>
      <c r="E486" s="8">
        <f>IF(ISNA(MATCH(477,'Transfer Engine'!$C$2:$C$1960,0)),"",INDEX('Compliance Database'!$E$2:$E$1960,MATCH(477,'Transfer Engine'!$C$2:$C$1960,0)))</f>
        <v/>
      </c>
      <c r="F486" s="8">
        <f>IF(ISNA(MATCH(477,'Transfer Engine'!$C$2:$C$1960,0)),"",INDEX('Compliance Database'!$F$2:$F$1960,MATCH(477,'Transfer Engine'!$C$2:$C$1960,0)))</f>
        <v/>
      </c>
      <c r="G486" s="8">
        <f>IF(ISNA(MATCH(477,'Transfer Engine'!$C$2:$C$1960,0)),"",INDEX('Compliance Database'!$G$2:$G$1960,MATCH(477,'Transfer Engine'!$C$2:$C$1960,0)))</f>
        <v/>
      </c>
      <c r="H486" s="9">
        <f>IF(ISNA(MATCH(477,'Transfer Engine'!$C$2:$C$1960,0)),"",INDEX('Compliance Database'!$H$2:$H$1960,MATCH(477,'Transfer Engine'!$C$2:$C$1960,0)))</f>
        <v/>
      </c>
      <c r="I486" s="9">
        <f>IF(ISNA(MATCH(477,'Transfer Engine'!$C$2:$C$1960,0)),"",INDEX('Compliance Database'!$I$2:$I$1960,MATCH(477,'Transfer Engine'!$C$2:$C$1960,0)))</f>
        <v/>
      </c>
      <c r="J486" s="8">
        <f>IF(ISNA(MATCH(477,'Transfer Engine'!$C$2:$C$1960,0)),"",INDEX('Compliance Database'!$J$2:$J$1960,MATCH(477,'Transfer Engine'!$C$2:$C$1960,0)))</f>
        <v/>
      </c>
      <c r="K486" s="9">
        <f>IF(ISNA(MATCH(477,'Transfer Engine'!$C$2:$C$1960,0)),"",INDEX('Compliance Database'!$K$2:$K$1960,MATCH(477,'Transfer Engine'!$C$2:$C$1960,0)))</f>
        <v/>
      </c>
      <c r="L486" s="9">
        <f>IF(ISNA(MATCH(477,'Transfer Engine'!$C$2:$C$1960,0)),"",INDEX('Compliance Database'!$L$2:$L$1960,MATCH(477,'Transfer Engine'!$C$2:$C$1960,0)))</f>
        <v/>
      </c>
      <c r="M486" s="9">
        <f>IF(ISNA(MATCH(477,'Transfer Engine'!$C$2:$C$1960,0)),"",INDEX('Compliance Database'!$M$2:$M$1960,MATCH(477,'Transfer Engine'!$C$2:$C$1960,0)))</f>
        <v/>
      </c>
      <c r="N486" s="9">
        <f>IF(ISNA(MATCH(477,'Transfer Engine'!$C$2:$C$1960,0)),"",INDEX('Compliance Database'!$N$2:$N$1960,MATCH(477,'Transfer Engine'!$C$2:$C$1960,0)))</f>
        <v/>
      </c>
      <c r="O486" s="9">
        <f>IF(ISNA(MATCH(477,'Transfer Engine'!$C$2:$C$1960,0)),"",INDEX('Compliance Database'!$O$2:$O$1960,MATCH(477,'Transfer Engine'!$C$2:$C$1960,0)))</f>
        <v/>
      </c>
      <c r="P486" s="8">
        <f>IF(ISNA(MATCH(477,'Transfer Engine'!$C$2:$C$1960,0)),"",HYPERLINK("#Acts!A"&amp;INDEX('Compliance Database'!$P$2:$P$1960,MATCH(477,'Transfer Engine'!$C$2:$C$1960,0)),"Go to Act"))</f>
        <v/>
      </c>
    </row>
    <row r="487" ht="158" customHeight="1">
      <c r="A487" s="8">
        <f>IF(ISNA(MATCH(478,'Transfer Engine'!$C$2:$C$1960,0)),"",INDEX('Compliance Database'!$A$2:$A$1960,MATCH(478,'Transfer Engine'!$C$2:$C$1960,0)))</f>
        <v/>
      </c>
      <c r="B487" s="8">
        <f>IF(ISNA(MATCH(478,'Transfer Engine'!$C$2:$C$1960,0)),"",INDEX('Compliance Database'!$B$2:$B$1960,MATCH(478,'Transfer Engine'!$C$2:$C$1960,0)))</f>
        <v/>
      </c>
      <c r="C487" s="8">
        <f>IF(ISNA(MATCH(478,'Transfer Engine'!$C$2:$C$1960,0)),"",INDEX('Compliance Database'!$C$2:$C$1960,MATCH(478,'Transfer Engine'!$C$2:$C$1960,0)))</f>
        <v/>
      </c>
      <c r="D487" s="9">
        <f>IF(ISNA(MATCH(478,'Transfer Engine'!$C$2:$C$1960,0)),"",INDEX('Compliance Database'!$D$2:$D$1960,MATCH(478,'Transfer Engine'!$C$2:$C$1960,0)))</f>
        <v/>
      </c>
      <c r="E487" s="8">
        <f>IF(ISNA(MATCH(478,'Transfer Engine'!$C$2:$C$1960,0)),"",INDEX('Compliance Database'!$E$2:$E$1960,MATCH(478,'Transfer Engine'!$C$2:$C$1960,0)))</f>
        <v/>
      </c>
      <c r="F487" s="8">
        <f>IF(ISNA(MATCH(478,'Transfer Engine'!$C$2:$C$1960,0)),"",INDEX('Compliance Database'!$F$2:$F$1960,MATCH(478,'Transfer Engine'!$C$2:$C$1960,0)))</f>
        <v/>
      </c>
      <c r="G487" s="8">
        <f>IF(ISNA(MATCH(478,'Transfer Engine'!$C$2:$C$1960,0)),"",INDEX('Compliance Database'!$G$2:$G$1960,MATCH(478,'Transfer Engine'!$C$2:$C$1960,0)))</f>
        <v/>
      </c>
      <c r="H487" s="9">
        <f>IF(ISNA(MATCH(478,'Transfer Engine'!$C$2:$C$1960,0)),"",INDEX('Compliance Database'!$H$2:$H$1960,MATCH(478,'Transfer Engine'!$C$2:$C$1960,0)))</f>
        <v/>
      </c>
      <c r="I487" s="9">
        <f>IF(ISNA(MATCH(478,'Transfer Engine'!$C$2:$C$1960,0)),"",INDEX('Compliance Database'!$I$2:$I$1960,MATCH(478,'Transfer Engine'!$C$2:$C$1960,0)))</f>
        <v/>
      </c>
      <c r="J487" s="8">
        <f>IF(ISNA(MATCH(478,'Transfer Engine'!$C$2:$C$1960,0)),"",INDEX('Compliance Database'!$J$2:$J$1960,MATCH(478,'Transfer Engine'!$C$2:$C$1960,0)))</f>
        <v/>
      </c>
      <c r="K487" s="9">
        <f>IF(ISNA(MATCH(478,'Transfer Engine'!$C$2:$C$1960,0)),"",INDEX('Compliance Database'!$K$2:$K$1960,MATCH(478,'Transfer Engine'!$C$2:$C$1960,0)))</f>
        <v/>
      </c>
      <c r="L487" s="9">
        <f>IF(ISNA(MATCH(478,'Transfer Engine'!$C$2:$C$1960,0)),"",INDEX('Compliance Database'!$L$2:$L$1960,MATCH(478,'Transfer Engine'!$C$2:$C$1960,0)))</f>
        <v/>
      </c>
      <c r="M487" s="9">
        <f>IF(ISNA(MATCH(478,'Transfer Engine'!$C$2:$C$1960,0)),"",INDEX('Compliance Database'!$M$2:$M$1960,MATCH(478,'Transfer Engine'!$C$2:$C$1960,0)))</f>
        <v/>
      </c>
      <c r="N487" s="9">
        <f>IF(ISNA(MATCH(478,'Transfer Engine'!$C$2:$C$1960,0)),"",INDEX('Compliance Database'!$N$2:$N$1960,MATCH(478,'Transfer Engine'!$C$2:$C$1960,0)))</f>
        <v/>
      </c>
      <c r="O487" s="9">
        <f>IF(ISNA(MATCH(478,'Transfer Engine'!$C$2:$C$1960,0)),"",INDEX('Compliance Database'!$O$2:$O$1960,MATCH(478,'Transfer Engine'!$C$2:$C$1960,0)))</f>
        <v/>
      </c>
      <c r="P487" s="8">
        <f>IF(ISNA(MATCH(478,'Transfer Engine'!$C$2:$C$1960,0)),"",HYPERLINK("#Acts!A"&amp;INDEX('Compliance Database'!$P$2:$P$1960,MATCH(478,'Transfer Engine'!$C$2:$C$1960,0)),"Go to Act"))</f>
        <v/>
      </c>
    </row>
    <row r="488" ht="158" customHeight="1">
      <c r="A488" s="8">
        <f>IF(ISNA(MATCH(479,'Transfer Engine'!$C$2:$C$1960,0)),"",INDEX('Compliance Database'!$A$2:$A$1960,MATCH(479,'Transfer Engine'!$C$2:$C$1960,0)))</f>
        <v/>
      </c>
      <c r="B488" s="8">
        <f>IF(ISNA(MATCH(479,'Transfer Engine'!$C$2:$C$1960,0)),"",INDEX('Compliance Database'!$B$2:$B$1960,MATCH(479,'Transfer Engine'!$C$2:$C$1960,0)))</f>
        <v/>
      </c>
      <c r="C488" s="8">
        <f>IF(ISNA(MATCH(479,'Transfer Engine'!$C$2:$C$1960,0)),"",INDEX('Compliance Database'!$C$2:$C$1960,MATCH(479,'Transfer Engine'!$C$2:$C$1960,0)))</f>
        <v/>
      </c>
      <c r="D488" s="9">
        <f>IF(ISNA(MATCH(479,'Transfer Engine'!$C$2:$C$1960,0)),"",INDEX('Compliance Database'!$D$2:$D$1960,MATCH(479,'Transfer Engine'!$C$2:$C$1960,0)))</f>
        <v/>
      </c>
      <c r="E488" s="8">
        <f>IF(ISNA(MATCH(479,'Transfer Engine'!$C$2:$C$1960,0)),"",INDEX('Compliance Database'!$E$2:$E$1960,MATCH(479,'Transfer Engine'!$C$2:$C$1960,0)))</f>
        <v/>
      </c>
      <c r="F488" s="8">
        <f>IF(ISNA(MATCH(479,'Transfer Engine'!$C$2:$C$1960,0)),"",INDEX('Compliance Database'!$F$2:$F$1960,MATCH(479,'Transfer Engine'!$C$2:$C$1960,0)))</f>
        <v/>
      </c>
      <c r="G488" s="8">
        <f>IF(ISNA(MATCH(479,'Transfer Engine'!$C$2:$C$1960,0)),"",INDEX('Compliance Database'!$G$2:$G$1960,MATCH(479,'Transfer Engine'!$C$2:$C$1960,0)))</f>
        <v/>
      </c>
      <c r="H488" s="9">
        <f>IF(ISNA(MATCH(479,'Transfer Engine'!$C$2:$C$1960,0)),"",INDEX('Compliance Database'!$H$2:$H$1960,MATCH(479,'Transfer Engine'!$C$2:$C$1960,0)))</f>
        <v/>
      </c>
      <c r="I488" s="9">
        <f>IF(ISNA(MATCH(479,'Transfer Engine'!$C$2:$C$1960,0)),"",INDEX('Compliance Database'!$I$2:$I$1960,MATCH(479,'Transfer Engine'!$C$2:$C$1960,0)))</f>
        <v/>
      </c>
      <c r="J488" s="8">
        <f>IF(ISNA(MATCH(479,'Transfer Engine'!$C$2:$C$1960,0)),"",INDEX('Compliance Database'!$J$2:$J$1960,MATCH(479,'Transfer Engine'!$C$2:$C$1960,0)))</f>
        <v/>
      </c>
      <c r="K488" s="9">
        <f>IF(ISNA(MATCH(479,'Transfer Engine'!$C$2:$C$1960,0)),"",INDEX('Compliance Database'!$K$2:$K$1960,MATCH(479,'Transfer Engine'!$C$2:$C$1960,0)))</f>
        <v/>
      </c>
      <c r="L488" s="9">
        <f>IF(ISNA(MATCH(479,'Transfer Engine'!$C$2:$C$1960,0)),"",INDEX('Compliance Database'!$L$2:$L$1960,MATCH(479,'Transfer Engine'!$C$2:$C$1960,0)))</f>
        <v/>
      </c>
      <c r="M488" s="9">
        <f>IF(ISNA(MATCH(479,'Transfer Engine'!$C$2:$C$1960,0)),"",INDEX('Compliance Database'!$M$2:$M$1960,MATCH(479,'Transfer Engine'!$C$2:$C$1960,0)))</f>
        <v/>
      </c>
      <c r="N488" s="9">
        <f>IF(ISNA(MATCH(479,'Transfer Engine'!$C$2:$C$1960,0)),"",INDEX('Compliance Database'!$N$2:$N$1960,MATCH(479,'Transfer Engine'!$C$2:$C$1960,0)))</f>
        <v/>
      </c>
      <c r="O488" s="9">
        <f>IF(ISNA(MATCH(479,'Transfer Engine'!$C$2:$C$1960,0)),"",INDEX('Compliance Database'!$O$2:$O$1960,MATCH(479,'Transfer Engine'!$C$2:$C$1960,0)))</f>
        <v/>
      </c>
      <c r="P488" s="8">
        <f>IF(ISNA(MATCH(479,'Transfer Engine'!$C$2:$C$1960,0)),"",HYPERLINK("#Acts!A"&amp;INDEX('Compliance Database'!$P$2:$P$1960,MATCH(479,'Transfer Engine'!$C$2:$C$1960,0)),"Go to Act"))</f>
        <v/>
      </c>
    </row>
    <row r="489" ht="158" customHeight="1">
      <c r="A489" s="8">
        <f>IF(ISNA(MATCH(480,'Transfer Engine'!$C$2:$C$1960,0)),"",INDEX('Compliance Database'!$A$2:$A$1960,MATCH(480,'Transfer Engine'!$C$2:$C$1960,0)))</f>
        <v/>
      </c>
      <c r="B489" s="8">
        <f>IF(ISNA(MATCH(480,'Transfer Engine'!$C$2:$C$1960,0)),"",INDEX('Compliance Database'!$B$2:$B$1960,MATCH(480,'Transfer Engine'!$C$2:$C$1960,0)))</f>
        <v/>
      </c>
      <c r="C489" s="8">
        <f>IF(ISNA(MATCH(480,'Transfer Engine'!$C$2:$C$1960,0)),"",INDEX('Compliance Database'!$C$2:$C$1960,MATCH(480,'Transfer Engine'!$C$2:$C$1960,0)))</f>
        <v/>
      </c>
      <c r="D489" s="9">
        <f>IF(ISNA(MATCH(480,'Transfer Engine'!$C$2:$C$1960,0)),"",INDEX('Compliance Database'!$D$2:$D$1960,MATCH(480,'Transfer Engine'!$C$2:$C$1960,0)))</f>
        <v/>
      </c>
      <c r="E489" s="8">
        <f>IF(ISNA(MATCH(480,'Transfer Engine'!$C$2:$C$1960,0)),"",INDEX('Compliance Database'!$E$2:$E$1960,MATCH(480,'Transfer Engine'!$C$2:$C$1960,0)))</f>
        <v/>
      </c>
      <c r="F489" s="8">
        <f>IF(ISNA(MATCH(480,'Transfer Engine'!$C$2:$C$1960,0)),"",INDEX('Compliance Database'!$F$2:$F$1960,MATCH(480,'Transfer Engine'!$C$2:$C$1960,0)))</f>
        <v/>
      </c>
      <c r="G489" s="8">
        <f>IF(ISNA(MATCH(480,'Transfer Engine'!$C$2:$C$1960,0)),"",INDEX('Compliance Database'!$G$2:$G$1960,MATCH(480,'Transfer Engine'!$C$2:$C$1960,0)))</f>
        <v/>
      </c>
      <c r="H489" s="9">
        <f>IF(ISNA(MATCH(480,'Transfer Engine'!$C$2:$C$1960,0)),"",INDEX('Compliance Database'!$H$2:$H$1960,MATCH(480,'Transfer Engine'!$C$2:$C$1960,0)))</f>
        <v/>
      </c>
      <c r="I489" s="9">
        <f>IF(ISNA(MATCH(480,'Transfer Engine'!$C$2:$C$1960,0)),"",INDEX('Compliance Database'!$I$2:$I$1960,MATCH(480,'Transfer Engine'!$C$2:$C$1960,0)))</f>
        <v/>
      </c>
      <c r="J489" s="8">
        <f>IF(ISNA(MATCH(480,'Transfer Engine'!$C$2:$C$1960,0)),"",INDEX('Compliance Database'!$J$2:$J$1960,MATCH(480,'Transfer Engine'!$C$2:$C$1960,0)))</f>
        <v/>
      </c>
      <c r="K489" s="9">
        <f>IF(ISNA(MATCH(480,'Transfer Engine'!$C$2:$C$1960,0)),"",INDEX('Compliance Database'!$K$2:$K$1960,MATCH(480,'Transfer Engine'!$C$2:$C$1960,0)))</f>
        <v/>
      </c>
      <c r="L489" s="9">
        <f>IF(ISNA(MATCH(480,'Transfer Engine'!$C$2:$C$1960,0)),"",INDEX('Compliance Database'!$L$2:$L$1960,MATCH(480,'Transfer Engine'!$C$2:$C$1960,0)))</f>
        <v/>
      </c>
      <c r="M489" s="9">
        <f>IF(ISNA(MATCH(480,'Transfer Engine'!$C$2:$C$1960,0)),"",INDEX('Compliance Database'!$M$2:$M$1960,MATCH(480,'Transfer Engine'!$C$2:$C$1960,0)))</f>
        <v/>
      </c>
      <c r="N489" s="9">
        <f>IF(ISNA(MATCH(480,'Transfer Engine'!$C$2:$C$1960,0)),"",INDEX('Compliance Database'!$N$2:$N$1960,MATCH(480,'Transfer Engine'!$C$2:$C$1960,0)))</f>
        <v/>
      </c>
      <c r="O489" s="9">
        <f>IF(ISNA(MATCH(480,'Transfer Engine'!$C$2:$C$1960,0)),"",INDEX('Compliance Database'!$O$2:$O$1960,MATCH(480,'Transfer Engine'!$C$2:$C$1960,0)))</f>
        <v/>
      </c>
      <c r="P489" s="8">
        <f>IF(ISNA(MATCH(480,'Transfer Engine'!$C$2:$C$1960,0)),"",HYPERLINK("#Acts!A"&amp;INDEX('Compliance Database'!$P$2:$P$1960,MATCH(480,'Transfer Engine'!$C$2:$C$1960,0)),"Go to Act"))</f>
        <v/>
      </c>
    </row>
    <row r="490" ht="158" customHeight="1">
      <c r="A490" s="8">
        <f>IF(ISNA(MATCH(481,'Transfer Engine'!$C$2:$C$1960,0)),"",INDEX('Compliance Database'!$A$2:$A$1960,MATCH(481,'Transfer Engine'!$C$2:$C$1960,0)))</f>
        <v/>
      </c>
      <c r="B490" s="8">
        <f>IF(ISNA(MATCH(481,'Transfer Engine'!$C$2:$C$1960,0)),"",INDEX('Compliance Database'!$B$2:$B$1960,MATCH(481,'Transfer Engine'!$C$2:$C$1960,0)))</f>
        <v/>
      </c>
      <c r="C490" s="8">
        <f>IF(ISNA(MATCH(481,'Transfer Engine'!$C$2:$C$1960,0)),"",INDEX('Compliance Database'!$C$2:$C$1960,MATCH(481,'Transfer Engine'!$C$2:$C$1960,0)))</f>
        <v/>
      </c>
      <c r="D490" s="9">
        <f>IF(ISNA(MATCH(481,'Transfer Engine'!$C$2:$C$1960,0)),"",INDEX('Compliance Database'!$D$2:$D$1960,MATCH(481,'Transfer Engine'!$C$2:$C$1960,0)))</f>
        <v/>
      </c>
      <c r="E490" s="8">
        <f>IF(ISNA(MATCH(481,'Transfer Engine'!$C$2:$C$1960,0)),"",INDEX('Compliance Database'!$E$2:$E$1960,MATCH(481,'Transfer Engine'!$C$2:$C$1960,0)))</f>
        <v/>
      </c>
      <c r="F490" s="8">
        <f>IF(ISNA(MATCH(481,'Transfer Engine'!$C$2:$C$1960,0)),"",INDEX('Compliance Database'!$F$2:$F$1960,MATCH(481,'Transfer Engine'!$C$2:$C$1960,0)))</f>
        <v/>
      </c>
      <c r="G490" s="8">
        <f>IF(ISNA(MATCH(481,'Transfer Engine'!$C$2:$C$1960,0)),"",INDEX('Compliance Database'!$G$2:$G$1960,MATCH(481,'Transfer Engine'!$C$2:$C$1960,0)))</f>
        <v/>
      </c>
      <c r="H490" s="9">
        <f>IF(ISNA(MATCH(481,'Transfer Engine'!$C$2:$C$1960,0)),"",INDEX('Compliance Database'!$H$2:$H$1960,MATCH(481,'Transfer Engine'!$C$2:$C$1960,0)))</f>
        <v/>
      </c>
      <c r="I490" s="9">
        <f>IF(ISNA(MATCH(481,'Transfer Engine'!$C$2:$C$1960,0)),"",INDEX('Compliance Database'!$I$2:$I$1960,MATCH(481,'Transfer Engine'!$C$2:$C$1960,0)))</f>
        <v/>
      </c>
      <c r="J490" s="8">
        <f>IF(ISNA(MATCH(481,'Transfer Engine'!$C$2:$C$1960,0)),"",INDEX('Compliance Database'!$J$2:$J$1960,MATCH(481,'Transfer Engine'!$C$2:$C$1960,0)))</f>
        <v/>
      </c>
      <c r="K490" s="9">
        <f>IF(ISNA(MATCH(481,'Transfer Engine'!$C$2:$C$1960,0)),"",INDEX('Compliance Database'!$K$2:$K$1960,MATCH(481,'Transfer Engine'!$C$2:$C$1960,0)))</f>
        <v/>
      </c>
      <c r="L490" s="9">
        <f>IF(ISNA(MATCH(481,'Transfer Engine'!$C$2:$C$1960,0)),"",INDEX('Compliance Database'!$L$2:$L$1960,MATCH(481,'Transfer Engine'!$C$2:$C$1960,0)))</f>
        <v/>
      </c>
      <c r="M490" s="9">
        <f>IF(ISNA(MATCH(481,'Transfer Engine'!$C$2:$C$1960,0)),"",INDEX('Compliance Database'!$M$2:$M$1960,MATCH(481,'Transfer Engine'!$C$2:$C$1960,0)))</f>
        <v/>
      </c>
      <c r="N490" s="9">
        <f>IF(ISNA(MATCH(481,'Transfer Engine'!$C$2:$C$1960,0)),"",INDEX('Compliance Database'!$N$2:$N$1960,MATCH(481,'Transfer Engine'!$C$2:$C$1960,0)))</f>
        <v/>
      </c>
      <c r="O490" s="9">
        <f>IF(ISNA(MATCH(481,'Transfer Engine'!$C$2:$C$1960,0)),"",INDEX('Compliance Database'!$O$2:$O$1960,MATCH(481,'Transfer Engine'!$C$2:$C$1960,0)))</f>
        <v/>
      </c>
      <c r="P490" s="8">
        <f>IF(ISNA(MATCH(481,'Transfer Engine'!$C$2:$C$1960,0)),"",HYPERLINK("#Acts!A"&amp;INDEX('Compliance Database'!$P$2:$P$1960,MATCH(481,'Transfer Engine'!$C$2:$C$1960,0)),"Go to Act"))</f>
        <v/>
      </c>
    </row>
    <row r="491" ht="158" customHeight="1">
      <c r="A491" s="8">
        <f>IF(ISNA(MATCH(482,'Transfer Engine'!$C$2:$C$1960,0)),"",INDEX('Compliance Database'!$A$2:$A$1960,MATCH(482,'Transfer Engine'!$C$2:$C$1960,0)))</f>
        <v/>
      </c>
      <c r="B491" s="8">
        <f>IF(ISNA(MATCH(482,'Transfer Engine'!$C$2:$C$1960,0)),"",INDEX('Compliance Database'!$B$2:$B$1960,MATCH(482,'Transfer Engine'!$C$2:$C$1960,0)))</f>
        <v/>
      </c>
      <c r="C491" s="8">
        <f>IF(ISNA(MATCH(482,'Transfer Engine'!$C$2:$C$1960,0)),"",INDEX('Compliance Database'!$C$2:$C$1960,MATCH(482,'Transfer Engine'!$C$2:$C$1960,0)))</f>
        <v/>
      </c>
      <c r="D491" s="9">
        <f>IF(ISNA(MATCH(482,'Transfer Engine'!$C$2:$C$1960,0)),"",INDEX('Compliance Database'!$D$2:$D$1960,MATCH(482,'Transfer Engine'!$C$2:$C$1960,0)))</f>
        <v/>
      </c>
      <c r="E491" s="8">
        <f>IF(ISNA(MATCH(482,'Transfer Engine'!$C$2:$C$1960,0)),"",INDEX('Compliance Database'!$E$2:$E$1960,MATCH(482,'Transfer Engine'!$C$2:$C$1960,0)))</f>
        <v/>
      </c>
      <c r="F491" s="8">
        <f>IF(ISNA(MATCH(482,'Transfer Engine'!$C$2:$C$1960,0)),"",INDEX('Compliance Database'!$F$2:$F$1960,MATCH(482,'Transfer Engine'!$C$2:$C$1960,0)))</f>
        <v/>
      </c>
      <c r="G491" s="8">
        <f>IF(ISNA(MATCH(482,'Transfer Engine'!$C$2:$C$1960,0)),"",INDEX('Compliance Database'!$G$2:$G$1960,MATCH(482,'Transfer Engine'!$C$2:$C$1960,0)))</f>
        <v/>
      </c>
      <c r="H491" s="9">
        <f>IF(ISNA(MATCH(482,'Transfer Engine'!$C$2:$C$1960,0)),"",INDEX('Compliance Database'!$H$2:$H$1960,MATCH(482,'Transfer Engine'!$C$2:$C$1960,0)))</f>
        <v/>
      </c>
      <c r="I491" s="9">
        <f>IF(ISNA(MATCH(482,'Transfer Engine'!$C$2:$C$1960,0)),"",INDEX('Compliance Database'!$I$2:$I$1960,MATCH(482,'Transfer Engine'!$C$2:$C$1960,0)))</f>
        <v/>
      </c>
      <c r="J491" s="8">
        <f>IF(ISNA(MATCH(482,'Transfer Engine'!$C$2:$C$1960,0)),"",INDEX('Compliance Database'!$J$2:$J$1960,MATCH(482,'Transfer Engine'!$C$2:$C$1960,0)))</f>
        <v/>
      </c>
      <c r="K491" s="9">
        <f>IF(ISNA(MATCH(482,'Transfer Engine'!$C$2:$C$1960,0)),"",INDEX('Compliance Database'!$K$2:$K$1960,MATCH(482,'Transfer Engine'!$C$2:$C$1960,0)))</f>
        <v/>
      </c>
      <c r="L491" s="9">
        <f>IF(ISNA(MATCH(482,'Transfer Engine'!$C$2:$C$1960,0)),"",INDEX('Compliance Database'!$L$2:$L$1960,MATCH(482,'Transfer Engine'!$C$2:$C$1960,0)))</f>
        <v/>
      </c>
      <c r="M491" s="9">
        <f>IF(ISNA(MATCH(482,'Transfer Engine'!$C$2:$C$1960,0)),"",INDEX('Compliance Database'!$M$2:$M$1960,MATCH(482,'Transfer Engine'!$C$2:$C$1960,0)))</f>
        <v/>
      </c>
      <c r="N491" s="9">
        <f>IF(ISNA(MATCH(482,'Transfer Engine'!$C$2:$C$1960,0)),"",INDEX('Compliance Database'!$N$2:$N$1960,MATCH(482,'Transfer Engine'!$C$2:$C$1960,0)))</f>
        <v/>
      </c>
      <c r="O491" s="9">
        <f>IF(ISNA(MATCH(482,'Transfer Engine'!$C$2:$C$1960,0)),"",INDEX('Compliance Database'!$O$2:$O$1960,MATCH(482,'Transfer Engine'!$C$2:$C$1960,0)))</f>
        <v/>
      </c>
      <c r="P491" s="8">
        <f>IF(ISNA(MATCH(482,'Transfer Engine'!$C$2:$C$1960,0)),"",HYPERLINK("#Acts!A"&amp;INDEX('Compliance Database'!$P$2:$P$1960,MATCH(482,'Transfer Engine'!$C$2:$C$1960,0)),"Go to Act"))</f>
        <v/>
      </c>
    </row>
    <row r="492" ht="158" customHeight="1">
      <c r="A492" s="8">
        <f>IF(ISNA(MATCH(483,'Transfer Engine'!$C$2:$C$1960,0)),"",INDEX('Compliance Database'!$A$2:$A$1960,MATCH(483,'Transfer Engine'!$C$2:$C$1960,0)))</f>
        <v/>
      </c>
      <c r="B492" s="8">
        <f>IF(ISNA(MATCH(483,'Transfer Engine'!$C$2:$C$1960,0)),"",INDEX('Compliance Database'!$B$2:$B$1960,MATCH(483,'Transfer Engine'!$C$2:$C$1960,0)))</f>
        <v/>
      </c>
      <c r="C492" s="8">
        <f>IF(ISNA(MATCH(483,'Transfer Engine'!$C$2:$C$1960,0)),"",INDEX('Compliance Database'!$C$2:$C$1960,MATCH(483,'Transfer Engine'!$C$2:$C$1960,0)))</f>
        <v/>
      </c>
      <c r="D492" s="9">
        <f>IF(ISNA(MATCH(483,'Transfer Engine'!$C$2:$C$1960,0)),"",INDEX('Compliance Database'!$D$2:$D$1960,MATCH(483,'Transfer Engine'!$C$2:$C$1960,0)))</f>
        <v/>
      </c>
      <c r="E492" s="8">
        <f>IF(ISNA(MATCH(483,'Transfer Engine'!$C$2:$C$1960,0)),"",INDEX('Compliance Database'!$E$2:$E$1960,MATCH(483,'Transfer Engine'!$C$2:$C$1960,0)))</f>
        <v/>
      </c>
      <c r="F492" s="8">
        <f>IF(ISNA(MATCH(483,'Transfer Engine'!$C$2:$C$1960,0)),"",INDEX('Compliance Database'!$F$2:$F$1960,MATCH(483,'Transfer Engine'!$C$2:$C$1960,0)))</f>
        <v/>
      </c>
      <c r="G492" s="8">
        <f>IF(ISNA(MATCH(483,'Transfer Engine'!$C$2:$C$1960,0)),"",INDEX('Compliance Database'!$G$2:$G$1960,MATCH(483,'Transfer Engine'!$C$2:$C$1960,0)))</f>
        <v/>
      </c>
      <c r="H492" s="9">
        <f>IF(ISNA(MATCH(483,'Transfer Engine'!$C$2:$C$1960,0)),"",INDEX('Compliance Database'!$H$2:$H$1960,MATCH(483,'Transfer Engine'!$C$2:$C$1960,0)))</f>
        <v/>
      </c>
      <c r="I492" s="9">
        <f>IF(ISNA(MATCH(483,'Transfer Engine'!$C$2:$C$1960,0)),"",INDEX('Compliance Database'!$I$2:$I$1960,MATCH(483,'Transfer Engine'!$C$2:$C$1960,0)))</f>
        <v/>
      </c>
      <c r="J492" s="8">
        <f>IF(ISNA(MATCH(483,'Transfer Engine'!$C$2:$C$1960,0)),"",INDEX('Compliance Database'!$J$2:$J$1960,MATCH(483,'Transfer Engine'!$C$2:$C$1960,0)))</f>
        <v/>
      </c>
      <c r="K492" s="9">
        <f>IF(ISNA(MATCH(483,'Transfer Engine'!$C$2:$C$1960,0)),"",INDEX('Compliance Database'!$K$2:$K$1960,MATCH(483,'Transfer Engine'!$C$2:$C$1960,0)))</f>
        <v/>
      </c>
      <c r="L492" s="9">
        <f>IF(ISNA(MATCH(483,'Transfer Engine'!$C$2:$C$1960,0)),"",INDEX('Compliance Database'!$L$2:$L$1960,MATCH(483,'Transfer Engine'!$C$2:$C$1960,0)))</f>
        <v/>
      </c>
      <c r="M492" s="9">
        <f>IF(ISNA(MATCH(483,'Transfer Engine'!$C$2:$C$1960,0)),"",INDEX('Compliance Database'!$M$2:$M$1960,MATCH(483,'Transfer Engine'!$C$2:$C$1960,0)))</f>
        <v/>
      </c>
      <c r="N492" s="9">
        <f>IF(ISNA(MATCH(483,'Transfer Engine'!$C$2:$C$1960,0)),"",INDEX('Compliance Database'!$N$2:$N$1960,MATCH(483,'Transfer Engine'!$C$2:$C$1960,0)))</f>
        <v/>
      </c>
      <c r="O492" s="9">
        <f>IF(ISNA(MATCH(483,'Transfer Engine'!$C$2:$C$1960,0)),"",INDEX('Compliance Database'!$O$2:$O$1960,MATCH(483,'Transfer Engine'!$C$2:$C$1960,0)))</f>
        <v/>
      </c>
      <c r="P492" s="8">
        <f>IF(ISNA(MATCH(483,'Transfer Engine'!$C$2:$C$1960,0)),"",HYPERLINK("#Acts!A"&amp;INDEX('Compliance Database'!$P$2:$P$1960,MATCH(483,'Transfer Engine'!$C$2:$C$1960,0)),"Go to Act"))</f>
        <v/>
      </c>
    </row>
    <row r="493" ht="158" customHeight="1">
      <c r="A493" s="8">
        <f>IF(ISNA(MATCH(484,'Transfer Engine'!$C$2:$C$1960,0)),"",INDEX('Compliance Database'!$A$2:$A$1960,MATCH(484,'Transfer Engine'!$C$2:$C$1960,0)))</f>
        <v/>
      </c>
      <c r="B493" s="8">
        <f>IF(ISNA(MATCH(484,'Transfer Engine'!$C$2:$C$1960,0)),"",INDEX('Compliance Database'!$B$2:$B$1960,MATCH(484,'Transfer Engine'!$C$2:$C$1960,0)))</f>
        <v/>
      </c>
      <c r="C493" s="8">
        <f>IF(ISNA(MATCH(484,'Transfer Engine'!$C$2:$C$1960,0)),"",INDEX('Compliance Database'!$C$2:$C$1960,MATCH(484,'Transfer Engine'!$C$2:$C$1960,0)))</f>
        <v/>
      </c>
      <c r="D493" s="9">
        <f>IF(ISNA(MATCH(484,'Transfer Engine'!$C$2:$C$1960,0)),"",INDEX('Compliance Database'!$D$2:$D$1960,MATCH(484,'Transfer Engine'!$C$2:$C$1960,0)))</f>
        <v/>
      </c>
      <c r="E493" s="8">
        <f>IF(ISNA(MATCH(484,'Transfer Engine'!$C$2:$C$1960,0)),"",INDEX('Compliance Database'!$E$2:$E$1960,MATCH(484,'Transfer Engine'!$C$2:$C$1960,0)))</f>
        <v/>
      </c>
      <c r="F493" s="8">
        <f>IF(ISNA(MATCH(484,'Transfer Engine'!$C$2:$C$1960,0)),"",INDEX('Compliance Database'!$F$2:$F$1960,MATCH(484,'Transfer Engine'!$C$2:$C$1960,0)))</f>
        <v/>
      </c>
      <c r="G493" s="8">
        <f>IF(ISNA(MATCH(484,'Transfer Engine'!$C$2:$C$1960,0)),"",INDEX('Compliance Database'!$G$2:$G$1960,MATCH(484,'Transfer Engine'!$C$2:$C$1960,0)))</f>
        <v/>
      </c>
      <c r="H493" s="9">
        <f>IF(ISNA(MATCH(484,'Transfer Engine'!$C$2:$C$1960,0)),"",INDEX('Compliance Database'!$H$2:$H$1960,MATCH(484,'Transfer Engine'!$C$2:$C$1960,0)))</f>
        <v/>
      </c>
      <c r="I493" s="9">
        <f>IF(ISNA(MATCH(484,'Transfer Engine'!$C$2:$C$1960,0)),"",INDEX('Compliance Database'!$I$2:$I$1960,MATCH(484,'Transfer Engine'!$C$2:$C$1960,0)))</f>
        <v/>
      </c>
      <c r="J493" s="8">
        <f>IF(ISNA(MATCH(484,'Transfer Engine'!$C$2:$C$1960,0)),"",INDEX('Compliance Database'!$J$2:$J$1960,MATCH(484,'Transfer Engine'!$C$2:$C$1960,0)))</f>
        <v/>
      </c>
      <c r="K493" s="9">
        <f>IF(ISNA(MATCH(484,'Transfer Engine'!$C$2:$C$1960,0)),"",INDEX('Compliance Database'!$K$2:$K$1960,MATCH(484,'Transfer Engine'!$C$2:$C$1960,0)))</f>
        <v/>
      </c>
      <c r="L493" s="9">
        <f>IF(ISNA(MATCH(484,'Transfer Engine'!$C$2:$C$1960,0)),"",INDEX('Compliance Database'!$L$2:$L$1960,MATCH(484,'Transfer Engine'!$C$2:$C$1960,0)))</f>
        <v/>
      </c>
      <c r="M493" s="9">
        <f>IF(ISNA(MATCH(484,'Transfer Engine'!$C$2:$C$1960,0)),"",INDEX('Compliance Database'!$M$2:$M$1960,MATCH(484,'Transfer Engine'!$C$2:$C$1960,0)))</f>
        <v/>
      </c>
      <c r="N493" s="9">
        <f>IF(ISNA(MATCH(484,'Transfer Engine'!$C$2:$C$1960,0)),"",INDEX('Compliance Database'!$N$2:$N$1960,MATCH(484,'Transfer Engine'!$C$2:$C$1960,0)))</f>
        <v/>
      </c>
      <c r="O493" s="9">
        <f>IF(ISNA(MATCH(484,'Transfer Engine'!$C$2:$C$1960,0)),"",INDEX('Compliance Database'!$O$2:$O$1960,MATCH(484,'Transfer Engine'!$C$2:$C$1960,0)))</f>
        <v/>
      </c>
      <c r="P493" s="8">
        <f>IF(ISNA(MATCH(484,'Transfer Engine'!$C$2:$C$1960,0)),"",HYPERLINK("#Acts!A"&amp;INDEX('Compliance Database'!$P$2:$P$1960,MATCH(484,'Transfer Engine'!$C$2:$C$1960,0)),"Go to Act"))</f>
        <v/>
      </c>
    </row>
    <row r="494" ht="158" customHeight="1">
      <c r="A494" s="8">
        <f>IF(ISNA(MATCH(485,'Transfer Engine'!$C$2:$C$1960,0)),"",INDEX('Compliance Database'!$A$2:$A$1960,MATCH(485,'Transfer Engine'!$C$2:$C$1960,0)))</f>
        <v/>
      </c>
      <c r="B494" s="8">
        <f>IF(ISNA(MATCH(485,'Transfer Engine'!$C$2:$C$1960,0)),"",INDEX('Compliance Database'!$B$2:$B$1960,MATCH(485,'Transfer Engine'!$C$2:$C$1960,0)))</f>
        <v/>
      </c>
      <c r="C494" s="8">
        <f>IF(ISNA(MATCH(485,'Transfer Engine'!$C$2:$C$1960,0)),"",INDEX('Compliance Database'!$C$2:$C$1960,MATCH(485,'Transfer Engine'!$C$2:$C$1960,0)))</f>
        <v/>
      </c>
      <c r="D494" s="9">
        <f>IF(ISNA(MATCH(485,'Transfer Engine'!$C$2:$C$1960,0)),"",INDEX('Compliance Database'!$D$2:$D$1960,MATCH(485,'Transfer Engine'!$C$2:$C$1960,0)))</f>
        <v/>
      </c>
      <c r="E494" s="8">
        <f>IF(ISNA(MATCH(485,'Transfer Engine'!$C$2:$C$1960,0)),"",INDEX('Compliance Database'!$E$2:$E$1960,MATCH(485,'Transfer Engine'!$C$2:$C$1960,0)))</f>
        <v/>
      </c>
      <c r="F494" s="8">
        <f>IF(ISNA(MATCH(485,'Transfer Engine'!$C$2:$C$1960,0)),"",INDEX('Compliance Database'!$F$2:$F$1960,MATCH(485,'Transfer Engine'!$C$2:$C$1960,0)))</f>
        <v/>
      </c>
      <c r="G494" s="8">
        <f>IF(ISNA(MATCH(485,'Transfer Engine'!$C$2:$C$1960,0)),"",INDEX('Compliance Database'!$G$2:$G$1960,MATCH(485,'Transfer Engine'!$C$2:$C$1960,0)))</f>
        <v/>
      </c>
      <c r="H494" s="9">
        <f>IF(ISNA(MATCH(485,'Transfer Engine'!$C$2:$C$1960,0)),"",INDEX('Compliance Database'!$H$2:$H$1960,MATCH(485,'Transfer Engine'!$C$2:$C$1960,0)))</f>
        <v/>
      </c>
      <c r="I494" s="9">
        <f>IF(ISNA(MATCH(485,'Transfer Engine'!$C$2:$C$1960,0)),"",INDEX('Compliance Database'!$I$2:$I$1960,MATCH(485,'Transfer Engine'!$C$2:$C$1960,0)))</f>
        <v/>
      </c>
      <c r="J494" s="8">
        <f>IF(ISNA(MATCH(485,'Transfer Engine'!$C$2:$C$1960,0)),"",INDEX('Compliance Database'!$J$2:$J$1960,MATCH(485,'Transfer Engine'!$C$2:$C$1960,0)))</f>
        <v/>
      </c>
      <c r="K494" s="9">
        <f>IF(ISNA(MATCH(485,'Transfer Engine'!$C$2:$C$1960,0)),"",INDEX('Compliance Database'!$K$2:$K$1960,MATCH(485,'Transfer Engine'!$C$2:$C$1960,0)))</f>
        <v/>
      </c>
      <c r="L494" s="9">
        <f>IF(ISNA(MATCH(485,'Transfer Engine'!$C$2:$C$1960,0)),"",INDEX('Compliance Database'!$L$2:$L$1960,MATCH(485,'Transfer Engine'!$C$2:$C$1960,0)))</f>
        <v/>
      </c>
      <c r="M494" s="9">
        <f>IF(ISNA(MATCH(485,'Transfer Engine'!$C$2:$C$1960,0)),"",INDEX('Compliance Database'!$M$2:$M$1960,MATCH(485,'Transfer Engine'!$C$2:$C$1960,0)))</f>
        <v/>
      </c>
      <c r="N494" s="9">
        <f>IF(ISNA(MATCH(485,'Transfer Engine'!$C$2:$C$1960,0)),"",INDEX('Compliance Database'!$N$2:$N$1960,MATCH(485,'Transfer Engine'!$C$2:$C$1960,0)))</f>
        <v/>
      </c>
      <c r="O494" s="9">
        <f>IF(ISNA(MATCH(485,'Transfer Engine'!$C$2:$C$1960,0)),"",INDEX('Compliance Database'!$O$2:$O$1960,MATCH(485,'Transfer Engine'!$C$2:$C$1960,0)))</f>
        <v/>
      </c>
      <c r="P494" s="8">
        <f>IF(ISNA(MATCH(485,'Transfer Engine'!$C$2:$C$1960,0)),"",HYPERLINK("#Acts!A"&amp;INDEX('Compliance Database'!$P$2:$P$1960,MATCH(485,'Transfer Engine'!$C$2:$C$1960,0)),"Go to Act"))</f>
        <v/>
      </c>
    </row>
    <row r="495" ht="158" customHeight="1">
      <c r="A495" s="8">
        <f>IF(ISNA(MATCH(486,'Transfer Engine'!$C$2:$C$1960,0)),"",INDEX('Compliance Database'!$A$2:$A$1960,MATCH(486,'Transfer Engine'!$C$2:$C$1960,0)))</f>
        <v/>
      </c>
      <c r="B495" s="8">
        <f>IF(ISNA(MATCH(486,'Transfer Engine'!$C$2:$C$1960,0)),"",INDEX('Compliance Database'!$B$2:$B$1960,MATCH(486,'Transfer Engine'!$C$2:$C$1960,0)))</f>
        <v/>
      </c>
      <c r="C495" s="8">
        <f>IF(ISNA(MATCH(486,'Transfer Engine'!$C$2:$C$1960,0)),"",INDEX('Compliance Database'!$C$2:$C$1960,MATCH(486,'Transfer Engine'!$C$2:$C$1960,0)))</f>
        <v/>
      </c>
      <c r="D495" s="9">
        <f>IF(ISNA(MATCH(486,'Transfer Engine'!$C$2:$C$1960,0)),"",INDEX('Compliance Database'!$D$2:$D$1960,MATCH(486,'Transfer Engine'!$C$2:$C$1960,0)))</f>
        <v/>
      </c>
      <c r="E495" s="8">
        <f>IF(ISNA(MATCH(486,'Transfer Engine'!$C$2:$C$1960,0)),"",INDEX('Compliance Database'!$E$2:$E$1960,MATCH(486,'Transfer Engine'!$C$2:$C$1960,0)))</f>
        <v/>
      </c>
      <c r="F495" s="8">
        <f>IF(ISNA(MATCH(486,'Transfer Engine'!$C$2:$C$1960,0)),"",INDEX('Compliance Database'!$F$2:$F$1960,MATCH(486,'Transfer Engine'!$C$2:$C$1960,0)))</f>
        <v/>
      </c>
      <c r="G495" s="8">
        <f>IF(ISNA(MATCH(486,'Transfer Engine'!$C$2:$C$1960,0)),"",INDEX('Compliance Database'!$G$2:$G$1960,MATCH(486,'Transfer Engine'!$C$2:$C$1960,0)))</f>
        <v/>
      </c>
      <c r="H495" s="9">
        <f>IF(ISNA(MATCH(486,'Transfer Engine'!$C$2:$C$1960,0)),"",INDEX('Compliance Database'!$H$2:$H$1960,MATCH(486,'Transfer Engine'!$C$2:$C$1960,0)))</f>
        <v/>
      </c>
      <c r="I495" s="9">
        <f>IF(ISNA(MATCH(486,'Transfer Engine'!$C$2:$C$1960,0)),"",INDEX('Compliance Database'!$I$2:$I$1960,MATCH(486,'Transfer Engine'!$C$2:$C$1960,0)))</f>
        <v/>
      </c>
      <c r="J495" s="8">
        <f>IF(ISNA(MATCH(486,'Transfer Engine'!$C$2:$C$1960,0)),"",INDEX('Compliance Database'!$J$2:$J$1960,MATCH(486,'Transfer Engine'!$C$2:$C$1960,0)))</f>
        <v/>
      </c>
      <c r="K495" s="9">
        <f>IF(ISNA(MATCH(486,'Transfer Engine'!$C$2:$C$1960,0)),"",INDEX('Compliance Database'!$K$2:$K$1960,MATCH(486,'Transfer Engine'!$C$2:$C$1960,0)))</f>
        <v/>
      </c>
      <c r="L495" s="9">
        <f>IF(ISNA(MATCH(486,'Transfer Engine'!$C$2:$C$1960,0)),"",INDEX('Compliance Database'!$L$2:$L$1960,MATCH(486,'Transfer Engine'!$C$2:$C$1960,0)))</f>
        <v/>
      </c>
      <c r="M495" s="9">
        <f>IF(ISNA(MATCH(486,'Transfer Engine'!$C$2:$C$1960,0)),"",INDEX('Compliance Database'!$M$2:$M$1960,MATCH(486,'Transfer Engine'!$C$2:$C$1960,0)))</f>
        <v/>
      </c>
      <c r="N495" s="9">
        <f>IF(ISNA(MATCH(486,'Transfer Engine'!$C$2:$C$1960,0)),"",INDEX('Compliance Database'!$N$2:$N$1960,MATCH(486,'Transfer Engine'!$C$2:$C$1960,0)))</f>
        <v/>
      </c>
      <c r="O495" s="9">
        <f>IF(ISNA(MATCH(486,'Transfer Engine'!$C$2:$C$1960,0)),"",INDEX('Compliance Database'!$O$2:$O$1960,MATCH(486,'Transfer Engine'!$C$2:$C$1960,0)))</f>
        <v/>
      </c>
      <c r="P495" s="8">
        <f>IF(ISNA(MATCH(486,'Transfer Engine'!$C$2:$C$1960,0)),"",HYPERLINK("#Acts!A"&amp;INDEX('Compliance Database'!$P$2:$P$1960,MATCH(486,'Transfer Engine'!$C$2:$C$1960,0)),"Go to Act"))</f>
        <v/>
      </c>
    </row>
    <row r="496" ht="158" customHeight="1">
      <c r="A496" s="8">
        <f>IF(ISNA(MATCH(487,'Transfer Engine'!$C$2:$C$1960,0)),"",INDEX('Compliance Database'!$A$2:$A$1960,MATCH(487,'Transfer Engine'!$C$2:$C$1960,0)))</f>
        <v/>
      </c>
      <c r="B496" s="8">
        <f>IF(ISNA(MATCH(487,'Transfer Engine'!$C$2:$C$1960,0)),"",INDEX('Compliance Database'!$B$2:$B$1960,MATCH(487,'Transfer Engine'!$C$2:$C$1960,0)))</f>
        <v/>
      </c>
      <c r="C496" s="8">
        <f>IF(ISNA(MATCH(487,'Transfer Engine'!$C$2:$C$1960,0)),"",INDEX('Compliance Database'!$C$2:$C$1960,MATCH(487,'Transfer Engine'!$C$2:$C$1960,0)))</f>
        <v/>
      </c>
      <c r="D496" s="9">
        <f>IF(ISNA(MATCH(487,'Transfer Engine'!$C$2:$C$1960,0)),"",INDEX('Compliance Database'!$D$2:$D$1960,MATCH(487,'Transfer Engine'!$C$2:$C$1960,0)))</f>
        <v/>
      </c>
      <c r="E496" s="8">
        <f>IF(ISNA(MATCH(487,'Transfer Engine'!$C$2:$C$1960,0)),"",INDEX('Compliance Database'!$E$2:$E$1960,MATCH(487,'Transfer Engine'!$C$2:$C$1960,0)))</f>
        <v/>
      </c>
      <c r="F496" s="8">
        <f>IF(ISNA(MATCH(487,'Transfer Engine'!$C$2:$C$1960,0)),"",INDEX('Compliance Database'!$F$2:$F$1960,MATCH(487,'Transfer Engine'!$C$2:$C$1960,0)))</f>
        <v/>
      </c>
      <c r="G496" s="8">
        <f>IF(ISNA(MATCH(487,'Transfer Engine'!$C$2:$C$1960,0)),"",INDEX('Compliance Database'!$G$2:$G$1960,MATCH(487,'Transfer Engine'!$C$2:$C$1960,0)))</f>
        <v/>
      </c>
      <c r="H496" s="9">
        <f>IF(ISNA(MATCH(487,'Transfer Engine'!$C$2:$C$1960,0)),"",INDEX('Compliance Database'!$H$2:$H$1960,MATCH(487,'Transfer Engine'!$C$2:$C$1960,0)))</f>
        <v/>
      </c>
      <c r="I496" s="9">
        <f>IF(ISNA(MATCH(487,'Transfer Engine'!$C$2:$C$1960,0)),"",INDEX('Compliance Database'!$I$2:$I$1960,MATCH(487,'Transfer Engine'!$C$2:$C$1960,0)))</f>
        <v/>
      </c>
      <c r="J496" s="8">
        <f>IF(ISNA(MATCH(487,'Transfer Engine'!$C$2:$C$1960,0)),"",INDEX('Compliance Database'!$J$2:$J$1960,MATCH(487,'Transfer Engine'!$C$2:$C$1960,0)))</f>
        <v/>
      </c>
      <c r="K496" s="9">
        <f>IF(ISNA(MATCH(487,'Transfer Engine'!$C$2:$C$1960,0)),"",INDEX('Compliance Database'!$K$2:$K$1960,MATCH(487,'Transfer Engine'!$C$2:$C$1960,0)))</f>
        <v/>
      </c>
      <c r="L496" s="9">
        <f>IF(ISNA(MATCH(487,'Transfer Engine'!$C$2:$C$1960,0)),"",INDEX('Compliance Database'!$L$2:$L$1960,MATCH(487,'Transfer Engine'!$C$2:$C$1960,0)))</f>
        <v/>
      </c>
      <c r="M496" s="9">
        <f>IF(ISNA(MATCH(487,'Transfer Engine'!$C$2:$C$1960,0)),"",INDEX('Compliance Database'!$M$2:$M$1960,MATCH(487,'Transfer Engine'!$C$2:$C$1960,0)))</f>
        <v/>
      </c>
      <c r="N496" s="9">
        <f>IF(ISNA(MATCH(487,'Transfer Engine'!$C$2:$C$1960,0)),"",INDEX('Compliance Database'!$N$2:$N$1960,MATCH(487,'Transfer Engine'!$C$2:$C$1960,0)))</f>
        <v/>
      </c>
      <c r="O496" s="9">
        <f>IF(ISNA(MATCH(487,'Transfer Engine'!$C$2:$C$1960,0)),"",INDEX('Compliance Database'!$O$2:$O$1960,MATCH(487,'Transfer Engine'!$C$2:$C$1960,0)))</f>
        <v/>
      </c>
      <c r="P496" s="8">
        <f>IF(ISNA(MATCH(487,'Transfer Engine'!$C$2:$C$1960,0)),"",HYPERLINK("#Acts!A"&amp;INDEX('Compliance Database'!$P$2:$P$1960,MATCH(487,'Transfer Engine'!$C$2:$C$1960,0)),"Go to Act"))</f>
        <v/>
      </c>
    </row>
    <row r="497" ht="158" customHeight="1">
      <c r="A497" s="8">
        <f>IF(ISNA(MATCH(488,'Transfer Engine'!$C$2:$C$1960,0)),"",INDEX('Compliance Database'!$A$2:$A$1960,MATCH(488,'Transfer Engine'!$C$2:$C$1960,0)))</f>
        <v/>
      </c>
      <c r="B497" s="8">
        <f>IF(ISNA(MATCH(488,'Transfer Engine'!$C$2:$C$1960,0)),"",INDEX('Compliance Database'!$B$2:$B$1960,MATCH(488,'Transfer Engine'!$C$2:$C$1960,0)))</f>
        <v/>
      </c>
      <c r="C497" s="8">
        <f>IF(ISNA(MATCH(488,'Transfer Engine'!$C$2:$C$1960,0)),"",INDEX('Compliance Database'!$C$2:$C$1960,MATCH(488,'Transfer Engine'!$C$2:$C$1960,0)))</f>
        <v/>
      </c>
      <c r="D497" s="9">
        <f>IF(ISNA(MATCH(488,'Transfer Engine'!$C$2:$C$1960,0)),"",INDEX('Compliance Database'!$D$2:$D$1960,MATCH(488,'Transfer Engine'!$C$2:$C$1960,0)))</f>
        <v/>
      </c>
      <c r="E497" s="8">
        <f>IF(ISNA(MATCH(488,'Transfer Engine'!$C$2:$C$1960,0)),"",INDEX('Compliance Database'!$E$2:$E$1960,MATCH(488,'Transfer Engine'!$C$2:$C$1960,0)))</f>
        <v/>
      </c>
      <c r="F497" s="8">
        <f>IF(ISNA(MATCH(488,'Transfer Engine'!$C$2:$C$1960,0)),"",INDEX('Compliance Database'!$F$2:$F$1960,MATCH(488,'Transfer Engine'!$C$2:$C$1960,0)))</f>
        <v/>
      </c>
      <c r="G497" s="8">
        <f>IF(ISNA(MATCH(488,'Transfer Engine'!$C$2:$C$1960,0)),"",INDEX('Compliance Database'!$G$2:$G$1960,MATCH(488,'Transfer Engine'!$C$2:$C$1960,0)))</f>
        <v/>
      </c>
      <c r="H497" s="9">
        <f>IF(ISNA(MATCH(488,'Transfer Engine'!$C$2:$C$1960,0)),"",INDEX('Compliance Database'!$H$2:$H$1960,MATCH(488,'Transfer Engine'!$C$2:$C$1960,0)))</f>
        <v/>
      </c>
      <c r="I497" s="9">
        <f>IF(ISNA(MATCH(488,'Transfer Engine'!$C$2:$C$1960,0)),"",INDEX('Compliance Database'!$I$2:$I$1960,MATCH(488,'Transfer Engine'!$C$2:$C$1960,0)))</f>
        <v/>
      </c>
      <c r="J497" s="8">
        <f>IF(ISNA(MATCH(488,'Transfer Engine'!$C$2:$C$1960,0)),"",INDEX('Compliance Database'!$J$2:$J$1960,MATCH(488,'Transfer Engine'!$C$2:$C$1960,0)))</f>
        <v/>
      </c>
      <c r="K497" s="9">
        <f>IF(ISNA(MATCH(488,'Transfer Engine'!$C$2:$C$1960,0)),"",INDEX('Compliance Database'!$K$2:$K$1960,MATCH(488,'Transfer Engine'!$C$2:$C$1960,0)))</f>
        <v/>
      </c>
      <c r="L497" s="9">
        <f>IF(ISNA(MATCH(488,'Transfer Engine'!$C$2:$C$1960,0)),"",INDEX('Compliance Database'!$L$2:$L$1960,MATCH(488,'Transfer Engine'!$C$2:$C$1960,0)))</f>
        <v/>
      </c>
      <c r="M497" s="9">
        <f>IF(ISNA(MATCH(488,'Transfer Engine'!$C$2:$C$1960,0)),"",INDEX('Compliance Database'!$M$2:$M$1960,MATCH(488,'Transfer Engine'!$C$2:$C$1960,0)))</f>
        <v/>
      </c>
      <c r="N497" s="9">
        <f>IF(ISNA(MATCH(488,'Transfer Engine'!$C$2:$C$1960,0)),"",INDEX('Compliance Database'!$N$2:$N$1960,MATCH(488,'Transfer Engine'!$C$2:$C$1960,0)))</f>
        <v/>
      </c>
      <c r="O497" s="9">
        <f>IF(ISNA(MATCH(488,'Transfer Engine'!$C$2:$C$1960,0)),"",INDEX('Compliance Database'!$O$2:$O$1960,MATCH(488,'Transfer Engine'!$C$2:$C$1960,0)))</f>
        <v/>
      </c>
      <c r="P497" s="8">
        <f>IF(ISNA(MATCH(488,'Transfer Engine'!$C$2:$C$1960,0)),"",HYPERLINK("#Acts!A"&amp;INDEX('Compliance Database'!$P$2:$P$1960,MATCH(488,'Transfer Engine'!$C$2:$C$1960,0)),"Go to Act"))</f>
        <v/>
      </c>
    </row>
    <row r="498" ht="158" customHeight="1">
      <c r="A498" s="8">
        <f>IF(ISNA(MATCH(489,'Transfer Engine'!$C$2:$C$1960,0)),"",INDEX('Compliance Database'!$A$2:$A$1960,MATCH(489,'Transfer Engine'!$C$2:$C$1960,0)))</f>
        <v/>
      </c>
      <c r="B498" s="8">
        <f>IF(ISNA(MATCH(489,'Transfer Engine'!$C$2:$C$1960,0)),"",INDEX('Compliance Database'!$B$2:$B$1960,MATCH(489,'Transfer Engine'!$C$2:$C$1960,0)))</f>
        <v/>
      </c>
      <c r="C498" s="8">
        <f>IF(ISNA(MATCH(489,'Transfer Engine'!$C$2:$C$1960,0)),"",INDEX('Compliance Database'!$C$2:$C$1960,MATCH(489,'Transfer Engine'!$C$2:$C$1960,0)))</f>
        <v/>
      </c>
      <c r="D498" s="9">
        <f>IF(ISNA(MATCH(489,'Transfer Engine'!$C$2:$C$1960,0)),"",INDEX('Compliance Database'!$D$2:$D$1960,MATCH(489,'Transfer Engine'!$C$2:$C$1960,0)))</f>
        <v/>
      </c>
      <c r="E498" s="8">
        <f>IF(ISNA(MATCH(489,'Transfer Engine'!$C$2:$C$1960,0)),"",INDEX('Compliance Database'!$E$2:$E$1960,MATCH(489,'Transfer Engine'!$C$2:$C$1960,0)))</f>
        <v/>
      </c>
      <c r="F498" s="8">
        <f>IF(ISNA(MATCH(489,'Transfer Engine'!$C$2:$C$1960,0)),"",INDEX('Compliance Database'!$F$2:$F$1960,MATCH(489,'Transfer Engine'!$C$2:$C$1960,0)))</f>
        <v/>
      </c>
      <c r="G498" s="8">
        <f>IF(ISNA(MATCH(489,'Transfer Engine'!$C$2:$C$1960,0)),"",INDEX('Compliance Database'!$G$2:$G$1960,MATCH(489,'Transfer Engine'!$C$2:$C$1960,0)))</f>
        <v/>
      </c>
      <c r="H498" s="9">
        <f>IF(ISNA(MATCH(489,'Transfer Engine'!$C$2:$C$1960,0)),"",INDEX('Compliance Database'!$H$2:$H$1960,MATCH(489,'Transfer Engine'!$C$2:$C$1960,0)))</f>
        <v/>
      </c>
      <c r="I498" s="9">
        <f>IF(ISNA(MATCH(489,'Transfer Engine'!$C$2:$C$1960,0)),"",INDEX('Compliance Database'!$I$2:$I$1960,MATCH(489,'Transfer Engine'!$C$2:$C$1960,0)))</f>
        <v/>
      </c>
      <c r="J498" s="8">
        <f>IF(ISNA(MATCH(489,'Transfer Engine'!$C$2:$C$1960,0)),"",INDEX('Compliance Database'!$J$2:$J$1960,MATCH(489,'Transfer Engine'!$C$2:$C$1960,0)))</f>
        <v/>
      </c>
      <c r="K498" s="9">
        <f>IF(ISNA(MATCH(489,'Transfer Engine'!$C$2:$C$1960,0)),"",INDEX('Compliance Database'!$K$2:$K$1960,MATCH(489,'Transfer Engine'!$C$2:$C$1960,0)))</f>
        <v/>
      </c>
      <c r="L498" s="9">
        <f>IF(ISNA(MATCH(489,'Transfer Engine'!$C$2:$C$1960,0)),"",INDEX('Compliance Database'!$L$2:$L$1960,MATCH(489,'Transfer Engine'!$C$2:$C$1960,0)))</f>
        <v/>
      </c>
      <c r="M498" s="9">
        <f>IF(ISNA(MATCH(489,'Transfer Engine'!$C$2:$C$1960,0)),"",INDEX('Compliance Database'!$M$2:$M$1960,MATCH(489,'Transfer Engine'!$C$2:$C$1960,0)))</f>
        <v/>
      </c>
      <c r="N498" s="9">
        <f>IF(ISNA(MATCH(489,'Transfer Engine'!$C$2:$C$1960,0)),"",INDEX('Compliance Database'!$N$2:$N$1960,MATCH(489,'Transfer Engine'!$C$2:$C$1960,0)))</f>
        <v/>
      </c>
      <c r="O498" s="9">
        <f>IF(ISNA(MATCH(489,'Transfer Engine'!$C$2:$C$1960,0)),"",INDEX('Compliance Database'!$O$2:$O$1960,MATCH(489,'Transfer Engine'!$C$2:$C$1960,0)))</f>
        <v/>
      </c>
      <c r="P498" s="8">
        <f>IF(ISNA(MATCH(489,'Transfer Engine'!$C$2:$C$1960,0)),"",HYPERLINK("#Acts!A"&amp;INDEX('Compliance Database'!$P$2:$P$1960,MATCH(489,'Transfer Engine'!$C$2:$C$1960,0)),"Go to Act"))</f>
        <v/>
      </c>
    </row>
    <row r="499" ht="158" customHeight="1">
      <c r="A499" s="8">
        <f>IF(ISNA(MATCH(490,'Transfer Engine'!$C$2:$C$1960,0)),"",INDEX('Compliance Database'!$A$2:$A$1960,MATCH(490,'Transfer Engine'!$C$2:$C$1960,0)))</f>
        <v/>
      </c>
      <c r="B499" s="8">
        <f>IF(ISNA(MATCH(490,'Transfer Engine'!$C$2:$C$1960,0)),"",INDEX('Compliance Database'!$B$2:$B$1960,MATCH(490,'Transfer Engine'!$C$2:$C$1960,0)))</f>
        <v/>
      </c>
      <c r="C499" s="8">
        <f>IF(ISNA(MATCH(490,'Transfer Engine'!$C$2:$C$1960,0)),"",INDEX('Compliance Database'!$C$2:$C$1960,MATCH(490,'Transfer Engine'!$C$2:$C$1960,0)))</f>
        <v/>
      </c>
      <c r="D499" s="9">
        <f>IF(ISNA(MATCH(490,'Transfer Engine'!$C$2:$C$1960,0)),"",INDEX('Compliance Database'!$D$2:$D$1960,MATCH(490,'Transfer Engine'!$C$2:$C$1960,0)))</f>
        <v/>
      </c>
      <c r="E499" s="8">
        <f>IF(ISNA(MATCH(490,'Transfer Engine'!$C$2:$C$1960,0)),"",INDEX('Compliance Database'!$E$2:$E$1960,MATCH(490,'Transfer Engine'!$C$2:$C$1960,0)))</f>
        <v/>
      </c>
      <c r="F499" s="8">
        <f>IF(ISNA(MATCH(490,'Transfer Engine'!$C$2:$C$1960,0)),"",INDEX('Compliance Database'!$F$2:$F$1960,MATCH(490,'Transfer Engine'!$C$2:$C$1960,0)))</f>
        <v/>
      </c>
      <c r="G499" s="8">
        <f>IF(ISNA(MATCH(490,'Transfer Engine'!$C$2:$C$1960,0)),"",INDEX('Compliance Database'!$G$2:$G$1960,MATCH(490,'Transfer Engine'!$C$2:$C$1960,0)))</f>
        <v/>
      </c>
      <c r="H499" s="9">
        <f>IF(ISNA(MATCH(490,'Transfer Engine'!$C$2:$C$1960,0)),"",INDEX('Compliance Database'!$H$2:$H$1960,MATCH(490,'Transfer Engine'!$C$2:$C$1960,0)))</f>
        <v/>
      </c>
      <c r="I499" s="9">
        <f>IF(ISNA(MATCH(490,'Transfer Engine'!$C$2:$C$1960,0)),"",INDEX('Compliance Database'!$I$2:$I$1960,MATCH(490,'Transfer Engine'!$C$2:$C$1960,0)))</f>
        <v/>
      </c>
      <c r="J499" s="8">
        <f>IF(ISNA(MATCH(490,'Transfer Engine'!$C$2:$C$1960,0)),"",INDEX('Compliance Database'!$J$2:$J$1960,MATCH(490,'Transfer Engine'!$C$2:$C$1960,0)))</f>
        <v/>
      </c>
      <c r="K499" s="9">
        <f>IF(ISNA(MATCH(490,'Transfer Engine'!$C$2:$C$1960,0)),"",INDEX('Compliance Database'!$K$2:$K$1960,MATCH(490,'Transfer Engine'!$C$2:$C$1960,0)))</f>
        <v/>
      </c>
      <c r="L499" s="9">
        <f>IF(ISNA(MATCH(490,'Transfer Engine'!$C$2:$C$1960,0)),"",INDEX('Compliance Database'!$L$2:$L$1960,MATCH(490,'Transfer Engine'!$C$2:$C$1960,0)))</f>
        <v/>
      </c>
      <c r="M499" s="9">
        <f>IF(ISNA(MATCH(490,'Transfer Engine'!$C$2:$C$1960,0)),"",INDEX('Compliance Database'!$M$2:$M$1960,MATCH(490,'Transfer Engine'!$C$2:$C$1960,0)))</f>
        <v/>
      </c>
      <c r="N499" s="9">
        <f>IF(ISNA(MATCH(490,'Transfer Engine'!$C$2:$C$1960,0)),"",INDEX('Compliance Database'!$N$2:$N$1960,MATCH(490,'Transfer Engine'!$C$2:$C$1960,0)))</f>
        <v/>
      </c>
      <c r="O499" s="9">
        <f>IF(ISNA(MATCH(490,'Transfer Engine'!$C$2:$C$1960,0)),"",INDEX('Compliance Database'!$O$2:$O$1960,MATCH(490,'Transfer Engine'!$C$2:$C$1960,0)))</f>
        <v/>
      </c>
      <c r="P499" s="8">
        <f>IF(ISNA(MATCH(490,'Transfer Engine'!$C$2:$C$1960,0)),"",HYPERLINK("#Acts!A"&amp;INDEX('Compliance Database'!$P$2:$P$1960,MATCH(490,'Transfer Engine'!$C$2:$C$1960,0)),"Go to Act"))</f>
        <v/>
      </c>
    </row>
    <row r="500" ht="158" customHeight="1">
      <c r="A500" s="8">
        <f>IF(ISNA(MATCH(491,'Transfer Engine'!$C$2:$C$1960,0)),"",INDEX('Compliance Database'!$A$2:$A$1960,MATCH(491,'Transfer Engine'!$C$2:$C$1960,0)))</f>
        <v/>
      </c>
      <c r="B500" s="8">
        <f>IF(ISNA(MATCH(491,'Transfer Engine'!$C$2:$C$1960,0)),"",INDEX('Compliance Database'!$B$2:$B$1960,MATCH(491,'Transfer Engine'!$C$2:$C$1960,0)))</f>
        <v/>
      </c>
      <c r="C500" s="8">
        <f>IF(ISNA(MATCH(491,'Transfer Engine'!$C$2:$C$1960,0)),"",INDEX('Compliance Database'!$C$2:$C$1960,MATCH(491,'Transfer Engine'!$C$2:$C$1960,0)))</f>
        <v/>
      </c>
      <c r="D500" s="9">
        <f>IF(ISNA(MATCH(491,'Transfer Engine'!$C$2:$C$1960,0)),"",INDEX('Compliance Database'!$D$2:$D$1960,MATCH(491,'Transfer Engine'!$C$2:$C$1960,0)))</f>
        <v/>
      </c>
      <c r="E500" s="8">
        <f>IF(ISNA(MATCH(491,'Transfer Engine'!$C$2:$C$1960,0)),"",INDEX('Compliance Database'!$E$2:$E$1960,MATCH(491,'Transfer Engine'!$C$2:$C$1960,0)))</f>
        <v/>
      </c>
      <c r="F500" s="8">
        <f>IF(ISNA(MATCH(491,'Transfer Engine'!$C$2:$C$1960,0)),"",INDEX('Compliance Database'!$F$2:$F$1960,MATCH(491,'Transfer Engine'!$C$2:$C$1960,0)))</f>
        <v/>
      </c>
      <c r="G500" s="8">
        <f>IF(ISNA(MATCH(491,'Transfer Engine'!$C$2:$C$1960,0)),"",INDEX('Compliance Database'!$G$2:$G$1960,MATCH(491,'Transfer Engine'!$C$2:$C$1960,0)))</f>
        <v/>
      </c>
      <c r="H500" s="9">
        <f>IF(ISNA(MATCH(491,'Transfer Engine'!$C$2:$C$1960,0)),"",INDEX('Compliance Database'!$H$2:$H$1960,MATCH(491,'Transfer Engine'!$C$2:$C$1960,0)))</f>
        <v/>
      </c>
      <c r="I500" s="9">
        <f>IF(ISNA(MATCH(491,'Transfer Engine'!$C$2:$C$1960,0)),"",INDEX('Compliance Database'!$I$2:$I$1960,MATCH(491,'Transfer Engine'!$C$2:$C$1960,0)))</f>
        <v/>
      </c>
      <c r="J500" s="8">
        <f>IF(ISNA(MATCH(491,'Transfer Engine'!$C$2:$C$1960,0)),"",INDEX('Compliance Database'!$J$2:$J$1960,MATCH(491,'Transfer Engine'!$C$2:$C$1960,0)))</f>
        <v/>
      </c>
      <c r="K500" s="9">
        <f>IF(ISNA(MATCH(491,'Transfer Engine'!$C$2:$C$1960,0)),"",INDEX('Compliance Database'!$K$2:$K$1960,MATCH(491,'Transfer Engine'!$C$2:$C$1960,0)))</f>
        <v/>
      </c>
      <c r="L500" s="9">
        <f>IF(ISNA(MATCH(491,'Transfer Engine'!$C$2:$C$1960,0)),"",INDEX('Compliance Database'!$L$2:$L$1960,MATCH(491,'Transfer Engine'!$C$2:$C$1960,0)))</f>
        <v/>
      </c>
      <c r="M500" s="9">
        <f>IF(ISNA(MATCH(491,'Transfer Engine'!$C$2:$C$1960,0)),"",INDEX('Compliance Database'!$M$2:$M$1960,MATCH(491,'Transfer Engine'!$C$2:$C$1960,0)))</f>
        <v/>
      </c>
      <c r="N500" s="9">
        <f>IF(ISNA(MATCH(491,'Transfer Engine'!$C$2:$C$1960,0)),"",INDEX('Compliance Database'!$N$2:$N$1960,MATCH(491,'Transfer Engine'!$C$2:$C$1960,0)))</f>
        <v/>
      </c>
      <c r="O500" s="9">
        <f>IF(ISNA(MATCH(491,'Transfer Engine'!$C$2:$C$1960,0)),"",INDEX('Compliance Database'!$O$2:$O$1960,MATCH(491,'Transfer Engine'!$C$2:$C$1960,0)))</f>
        <v/>
      </c>
      <c r="P500" s="8">
        <f>IF(ISNA(MATCH(491,'Transfer Engine'!$C$2:$C$1960,0)),"",HYPERLINK("#Acts!A"&amp;INDEX('Compliance Database'!$P$2:$P$1960,MATCH(491,'Transfer Engine'!$C$2:$C$1960,0)),"Go to Act"))</f>
        <v/>
      </c>
    </row>
    <row r="501" ht="158" customHeight="1">
      <c r="A501" s="8">
        <f>IF(ISNA(MATCH(492,'Transfer Engine'!$C$2:$C$1960,0)),"",INDEX('Compliance Database'!$A$2:$A$1960,MATCH(492,'Transfer Engine'!$C$2:$C$1960,0)))</f>
        <v/>
      </c>
      <c r="B501" s="8">
        <f>IF(ISNA(MATCH(492,'Transfer Engine'!$C$2:$C$1960,0)),"",INDEX('Compliance Database'!$B$2:$B$1960,MATCH(492,'Transfer Engine'!$C$2:$C$1960,0)))</f>
        <v/>
      </c>
      <c r="C501" s="8">
        <f>IF(ISNA(MATCH(492,'Transfer Engine'!$C$2:$C$1960,0)),"",INDEX('Compliance Database'!$C$2:$C$1960,MATCH(492,'Transfer Engine'!$C$2:$C$1960,0)))</f>
        <v/>
      </c>
      <c r="D501" s="9">
        <f>IF(ISNA(MATCH(492,'Transfer Engine'!$C$2:$C$1960,0)),"",INDEX('Compliance Database'!$D$2:$D$1960,MATCH(492,'Transfer Engine'!$C$2:$C$1960,0)))</f>
        <v/>
      </c>
      <c r="E501" s="8">
        <f>IF(ISNA(MATCH(492,'Transfer Engine'!$C$2:$C$1960,0)),"",INDEX('Compliance Database'!$E$2:$E$1960,MATCH(492,'Transfer Engine'!$C$2:$C$1960,0)))</f>
        <v/>
      </c>
      <c r="F501" s="8">
        <f>IF(ISNA(MATCH(492,'Transfer Engine'!$C$2:$C$1960,0)),"",INDEX('Compliance Database'!$F$2:$F$1960,MATCH(492,'Transfer Engine'!$C$2:$C$1960,0)))</f>
        <v/>
      </c>
      <c r="G501" s="8">
        <f>IF(ISNA(MATCH(492,'Transfer Engine'!$C$2:$C$1960,0)),"",INDEX('Compliance Database'!$G$2:$G$1960,MATCH(492,'Transfer Engine'!$C$2:$C$1960,0)))</f>
        <v/>
      </c>
      <c r="H501" s="9">
        <f>IF(ISNA(MATCH(492,'Transfer Engine'!$C$2:$C$1960,0)),"",INDEX('Compliance Database'!$H$2:$H$1960,MATCH(492,'Transfer Engine'!$C$2:$C$1960,0)))</f>
        <v/>
      </c>
      <c r="I501" s="9">
        <f>IF(ISNA(MATCH(492,'Transfer Engine'!$C$2:$C$1960,0)),"",INDEX('Compliance Database'!$I$2:$I$1960,MATCH(492,'Transfer Engine'!$C$2:$C$1960,0)))</f>
        <v/>
      </c>
      <c r="J501" s="8">
        <f>IF(ISNA(MATCH(492,'Transfer Engine'!$C$2:$C$1960,0)),"",INDEX('Compliance Database'!$J$2:$J$1960,MATCH(492,'Transfer Engine'!$C$2:$C$1960,0)))</f>
        <v/>
      </c>
      <c r="K501" s="9">
        <f>IF(ISNA(MATCH(492,'Transfer Engine'!$C$2:$C$1960,0)),"",INDEX('Compliance Database'!$K$2:$K$1960,MATCH(492,'Transfer Engine'!$C$2:$C$1960,0)))</f>
        <v/>
      </c>
      <c r="L501" s="9">
        <f>IF(ISNA(MATCH(492,'Transfer Engine'!$C$2:$C$1960,0)),"",INDEX('Compliance Database'!$L$2:$L$1960,MATCH(492,'Transfer Engine'!$C$2:$C$1960,0)))</f>
        <v/>
      </c>
      <c r="M501" s="9">
        <f>IF(ISNA(MATCH(492,'Transfer Engine'!$C$2:$C$1960,0)),"",INDEX('Compliance Database'!$M$2:$M$1960,MATCH(492,'Transfer Engine'!$C$2:$C$1960,0)))</f>
        <v/>
      </c>
      <c r="N501" s="9">
        <f>IF(ISNA(MATCH(492,'Transfer Engine'!$C$2:$C$1960,0)),"",INDEX('Compliance Database'!$N$2:$N$1960,MATCH(492,'Transfer Engine'!$C$2:$C$1960,0)))</f>
        <v/>
      </c>
      <c r="O501" s="9">
        <f>IF(ISNA(MATCH(492,'Transfer Engine'!$C$2:$C$1960,0)),"",INDEX('Compliance Database'!$O$2:$O$1960,MATCH(492,'Transfer Engine'!$C$2:$C$1960,0)))</f>
        <v/>
      </c>
      <c r="P501" s="8">
        <f>IF(ISNA(MATCH(492,'Transfer Engine'!$C$2:$C$1960,0)),"",HYPERLINK("#Acts!A"&amp;INDEX('Compliance Database'!$P$2:$P$1960,MATCH(492,'Transfer Engine'!$C$2:$C$1960,0)),"Go to Act"))</f>
        <v/>
      </c>
    </row>
    <row r="502" ht="158" customHeight="1">
      <c r="A502" s="8">
        <f>IF(ISNA(MATCH(493,'Transfer Engine'!$C$2:$C$1960,0)),"",INDEX('Compliance Database'!$A$2:$A$1960,MATCH(493,'Transfer Engine'!$C$2:$C$1960,0)))</f>
        <v/>
      </c>
      <c r="B502" s="8">
        <f>IF(ISNA(MATCH(493,'Transfer Engine'!$C$2:$C$1960,0)),"",INDEX('Compliance Database'!$B$2:$B$1960,MATCH(493,'Transfer Engine'!$C$2:$C$1960,0)))</f>
        <v/>
      </c>
      <c r="C502" s="8">
        <f>IF(ISNA(MATCH(493,'Transfer Engine'!$C$2:$C$1960,0)),"",INDEX('Compliance Database'!$C$2:$C$1960,MATCH(493,'Transfer Engine'!$C$2:$C$1960,0)))</f>
        <v/>
      </c>
      <c r="D502" s="9">
        <f>IF(ISNA(MATCH(493,'Transfer Engine'!$C$2:$C$1960,0)),"",INDEX('Compliance Database'!$D$2:$D$1960,MATCH(493,'Transfer Engine'!$C$2:$C$1960,0)))</f>
        <v/>
      </c>
      <c r="E502" s="8">
        <f>IF(ISNA(MATCH(493,'Transfer Engine'!$C$2:$C$1960,0)),"",INDEX('Compliance Database'!$E$2:$E$1960,MATCH(493,'Transfer Engine'!$C$2:$C$1960,0)))</f>
        <v/>
      </c>
      <c r="F502" s="8">
        <f>IF(ISNA(MATCH(493,'Transfer Engine'!$C$2:$C$1960,0)),"",INDEX('Compliance Database'!$F$2:$F$1960,MATCH(493,'Transfer Engine'!$C$2:$C$1960,0)))</f>
        <v/>
      </c>
      <c r="G502" s="8">
        <f>IF(ISNA(MATCH(493,'Transfer Engine'!$C$2:$C$1960,0)),"",INDEX('Compliance Database'!$G$2:$G$1960,MATCH(493,'Transfer Engine'!$C$2:$C$1960,0)))</f>
        <v/>
      </c>
      <c r="H502" s="9">
        <f>IF(ISNA(MATCH(493,'Transfer Engine'!$C$2:$C$1960,0)),"",INDEX('Compliance Database'!$H$2:$H$1960,MATCH(493,'Transfer Engine'!$C$2:$C$1960,0)))</f>
        <v/>
      </c>
      <c r="I502" s="9">
        <f>IF(ISNA(MATCH(493,'Transfer Engine'!$C$2:$C$1960,0)),"",INDEX('Compliance Database'!$I$2:$I$1960,MATCH(493,'Transfer Engine'!$C$2:$C$1960,0)))</f>
        <v/>
      </c>
      <c r="J502" s="8">
        <f>IF(ISNA(MATCH(493,'Transfer Engine'!$C$2:$C$1960,0)),"",INDEX('Compliance Database'!$J$2:$J$1960,MATCH(493,'Transfer Engine'!$C$2:$C$1960,0)))</f>
        <v/>
      </c>
      <c r="K502" s="9">
        <f>IF(ISNA(MATCH(493,'Transfer Engine'!$C$2:$C$1960,0)),"",INDEX('Compliance Database'!$K$2:$K$1960,MATCH(493,'Transfer Engine'!$C$2:$C$1960,0)))</f>
        <v/>
      </c>
      <c r="L502" s="9">
        <f>IF(ISNA(MATCH(493,'Transfer Engine'!$C$2:$C$1960,0)),"",INDEX('Compliance Database'!$L$2:$L$1960,MATCH(493,'Transfer Engine'!$C$2:$C$1960,0)))</f>
        <v/>
      </c>
      <c r="M502" s="9">
        <f>IF(ISNA(MATCH(493,'Transfer Engine'!$C$2:$C$1960,0)),"",INDEX('Compliance Database'!$M$2:$M$1960,MATCH(493,'Transfer Engine'!$C$2:$C$1960,0)))</f>
        <v/>
      </c>
      <c r="N502" s="9">
        <f>IF(ISNA(MATCH(493,'Transfer Engine'!$C$2:$C$1960,0)),"",INDEX('Compliance Database'!$N$2:$N$1960,MATCH(493,'Transfer Engine'!$C$2:$C$1960,0)))</f>
        <v/>
      </c>
      <c r="O502" s="9">
        <f>IF(ISNA(MATCH(493,'Transfer Engine'!$C$2:$C$1960,0)),"",INDEX('Compliance Database'!$O$2:$O$1960,MATCH(493,'Transfer Engine'!$C$2:$C$1960,0)))</f>
        <v/>
      </c>
      <c r="P502" s="8">
        <f>IF(ISNA(MATCH(493,'Transfer Engine'!$C$2:$C$1960,0)),"",HYPERLINK("#Acts!A"&amp;INDEX('Compliance Database'!$P$2:$P$1960,MATCH(493,'Transfer Engine'!$C$2:$C$1960,0)),"Go to Act"))</f>
        <v/>
      </c>
    </row>
    <row r="503" ht="158" customHeight="1">
      <c r="A503" s="8">
        <f>IF(ISNA(MATCH(494,'Transfer Engine'!$C$2:$C$1960,0)),"",INDEX('Compliance Database'!$A$2:$A$1960,MATCH(494,'Transfer Engine'!$C$2:$C$1960,0)))</f>
        <v/>
      </c>
      <c r="B503" s="8">
        <f>IF(ISNA(MATCH(494,'Transfer Engine'!$C$2:$C$1960,0)),"",INDEX('Compliance Database'!$B$2:$B$1960,MATCH(494,'Transfer Engine'!$C$2:$C$1960,0)))</f>
        <v/>
      </c>
      <c r="C503" s="8">
        <f>IF(ISNA(MATCH(494,'Transfer Engine'!$C$2:$C$1960,0)),"",INDEX('Compliance Database'!$C$2:$C$1960,MATCH(494,'Transfer Engine'!$C$2:$C$1960,0)))</f>
        <v/>
      </c>
      <c r="D503" s="9">
        <f>IF(ISNA(MATCH(494,'Transfer Engine'!$C$2:$C$1960,0)),"",INDEX('Compliance Database'!$D$2:$D$1960,MATCH(494,'Transfer Engine'!$C$2:$C$1960,0)))</f>
        <v/>
      </c>
      <c r="E503" s="8">
        <f>IF(ISNA(MATCH(494,'Transfer Engine'!$C$2:$C$1960,0)),"",INDEX('Compliance Database'!$E$2:$E$1960,MATCH(494,'Transfer Engine'!$C$2:$C$1960,0)))</f>
        <v/>
      </c>
      <c r="F503" s="8">
        <f>IF(ISNA(MATCH(494,'Transfer Engine'!$C$2:$C$1960,0)),"",INDEX('Compliance Database'!$F$2:$F$1960,MATCH(494,'Transfer Engine'!$C$2:$C$1960,0)))</f>
        <v/>
      </c>
      <c r="G503" s="8">
        <f>IF(ISNA(MATCH(494,'Transfer Engine'!$C$2:$C$1960,0)),"",INDEX('Compliance Database'!$G$2:$G$1960,MATCH(494,'Transfer Engine'!$C$2:$C$1960,0)))</f>
        <v/>
      </c>
      <c r="H503" s="9">
        <f>IF(ISNA(MATCH(494,'Transfer Engine'!$C$2:$C$1960,0)),"",INDEX('Compliance Database'!$H$2:$H$1960,MATCH(494,'Transfer Engine'!$C$2:$C$1960,0)))</f>
        <v/>
      </c>
      <c r="I503" s="9">
        <f>IF(ISNA(MATCH(494,'Transfer Engine'!$C$2:$C$1960,0)),"",INDEX('Compliance Database'!$I$2:$I$1960,MATCH(494,'Transfer Engine'!$C$2:$C$1960,0)))</f>
        <v/>
      </c>
      <c r="J503" s="8">
        <f>IF(ISNA(MATCH(494,'Transfer Engine'!$C$2:$C$1960,0)),"",INDEX('Compliance Database'!$J$2:$J$1960,MATCH(494,'Transfer Engine'!$C$2:$C$1960,0)))</f>
        <v/>
      </c>
      <c r="K503" s="9">
        <f>IF(ISNA(MATCH(494,'Transfer Engine'!$C$2:$C$1960,0)),"",INDEX('Compliance Database'!$K$2:$K$1960,MATCH(494,'Transfer Engine'!$C$2:$C$1960,0)))</f>
        <v/>
      </c>
      <c r="L503" s="9">
        <f>IF(ISNA(MATCH(494,'Transfer Engine'!$C$2:$C$1960,0)),"",INDEX('Compliance Database'!$L$2:$L$1960,MATCH(494,'Transfer Engine'!$C$2:$C$1960,0)))</f>
        <v/>
      </c>
      <c r="M503" s="9">
        <f>IF(ISNA(MATCH(494,'Transfer Engine'!$C$2:$C$1960,0)),"",INDEX('Compliance Database'!$M$2:$M$1960,MATCH(494,'Transfer Engine'!$C$2:$C$1960,0)))</f>
        <v/>
      </c>
      <c r="N503" s="9">
        <f>IF(ISNA(MATCH(494,'Transfer Engine'!$C$2:$C$1960,0)),"",INDEX('Compliance Database'!$N$2:$N$1960,MATCH(494,'Transfer Engine'!$C$2:$C$1960,0)))</f>
        <v/>
      </c>
      <c r="O503" s="9">
        <f>IF(ISNA(MATCH(494,'Transfer Engine'!$C$2:$C$1960,0)),"",INDEX('Compliance Database'!$O$2:$O$1960,MATCH(494,'Transfer Engine'!$C$2:$C$1960,0)))</f>
        <v/>
      </c>
      <c r="P503" s="8">
        <f>IF(ISNA(MATCH(494,'Transfer Engine'!$C$2:$C$1960,0)),"",HYPERLINK("#Acts!A"&amp;INDEX('Compliance Database'!$P$2:$P$1960,MATCH(494,'Transfer Engine'!$C$2:$C$1960,0)),"Go to Act"))</f>
        <v/>
      </c>
    </row>
    <row r="504" ht="158" customHeight="1">
      <c r="A504" s="8">
        <f>IF(ISNA(MATCH(495,'Transfer Engine'!$C$2:$C$1960,0)),"",INDEX('Compliance Database'!$A$2:$A$1960,MATCH(495,'Transfer Engine'!$C$2:$C$1960,0)))</f>
        <v/>
      </c>
      <c r="B504" s="8">
        <f>IF(ISNA(MATCH(495,'Transfer Engine'!$C$2:$C$1960,0)),"",INDEX('Compliance Database'!$B$2:$B$1960,MATCH(495,'Transfer Engine'!$C$2:$C$1960,0)))</f>
        <v/>
      </c>
      <c r="C504" s="8">
        <f>IF(ISNA(MATCH(495,'Transfer Engine'!$C$2:$C$1960,0)),"",INDEX('Compliance Database'!$C$2:$C$1960,MATCH(495,'Transfer Engine'!$C$2:$C$1960,0)))</f>
        <v/>
      </c>
      <c r="D504" s="9">
        <f>IF(ISNA(MATCH(495,'Transfer Engine'!$C$2:$C$1960,0)),"",INDEX('Compliance Database'!$D$2:$D$1960,MATCH(495,'Transfer Engine'!$C$2:$C$1960,0)))</f>
        <v/>
      </c>
      <c r="E504" s="8">
        <f>IF(ISNA(MATCH(495,'Transfer Engine'!$C$2:$C$1960,0)),"",INDEX('Compliance Database'!$E$2:$E$1960,MATCH(495,'Transfer Engine'!$C$2:$C$1960,0)))</f>
        <v/>
      </c>
      <c r="F504" s="8">
        <f>IF(ISNA(MATCH(495,'Transfer Engine'!$C$2:$C$1960,0)),"",INDEX('Compliance Database'!$F$2:$F$1960,MATCH(495,'Transfer Engine'!$C$2:$C$1960,0)))</f>
        <v/>
      </c>
      <c r="G504" s="8">
        <f>IF(ISNA(MATCH(495,'Transfer Engine'!$C$2:$C$1960,0)),"",INDEX('Compliance Database'!$G$2:$G$1960,MATCH(495,'Transfer Engine'!$C$2:$C$1960,0)))</f>
        <v/>
      </c>
      <c r="H504" s="9">
        <f>IF(ISNA(MATCH(495,'Transfer Engine'!$C$2:$C$1960,0)),"",INDEX('Compliance Database'!$H$2:$H$1960,MATCH(495,'Transfer Engine'!$C$2:$C$1960,0)))</f>
        <v/>
      </c>
      <c r="I504" s="9">
        <f>IF(ISNA(MATCH(495,'Transfer Engine'!$C$2:$C$1960,0)),"",INDEX('Compliance Database'!$I$2:$I$1960,MATCH(495,'Transfer Engine'!$C$2:$C$1960,0)))</f>
        <v/>
      </c>
      <c r="J504" s="8">
        <f>IF(ISNA(MATCH(495,'Transfer Engine'!$C$2:$C$1960,0)),"",INDEX('Compliance Database'!$J$2:$J$1960,MATCH(495,'Transfer Engine'!$C$2:$C$1960,0)))</f>
        <v/>
      </c>
      <c r="K504" s="9">
        <f>IF(ISNA(MATCH(495,'Transfer Engine'!$C$2:$C$1960,0)),"",INDEX('Compliance Database'!$K$2:$K$1960,MATCH(495,'Transfer Engine'!$C$2:$C$1960,0)))</f>
        <v/>
      </c>
      <c r="L504" s="9">
        <f>IF(ISNA(MATCH(495,'Transfer Engine'!$C$2:$C$1960,0)),"",INDEX('Compliance Database'!$L$2:$L$1960,MATCH(495,'Transfer Engine'!$C$2:$C$1960,0)))</f>
        <v/>
      </c>
      <c r="M504" s="9">
        <f>IF(ISNA(MATCH(495,'Transfer Engine'!$C$2:$C$1960,0)),"",INDEX('Compliance Database'!$M$2:$M$1960,MATCH(495,'Transfer Engine'!$C$2:$C$1960,0)))</f>
        <v/>
      </c>
      <c r="N504" s="9">
        <f>IF(ISNA(MATCH(495,'Transfer Engine'!$C$2:$C$1960,0)),"",INDEX('Compliance Database'!$N$2:$N$1960,MATCH(495,'Transfer Engine'!$C$2:$C$1960,0)))</f>
        <v/>
      </c>
      <c r="O504" s="9">
        <f>IF(ISNA(MATCH(495,'Transfer Engine'!$C$2:$C$1960,0)),"",INDEX('Compliance Database'!$O$2:$O$1960,MATCH(495,'Transfer Engine'!$C$2:$C$1960,0)))</f>
        <v/>
      </c>
      <c r="P504" s="8">
        <f>IF(ISNA(MATCH(495,'Transfer Engine'!$C$2:$C$1960,0)),"",HYPERLINK("#Acts!A"&amp;INDEX('Compliance Database'!$P$2:$P$1960,MATCH(495,'Transfer Engine'!$C$2:$C$1960,0)),"Go to Act"))</f>
        <v/>
      </c>
    </row>
    <row r="505" ht="158" customHeight="1">
      <c r="A505" s="8">
        <f>IF(ISNA(MATCH(496,'Transfer Engine'!$C$2:$C$1960,0)),"",INDEX('Compliance Database'!$A$2:$A$1960,MATCH(496,'Transfer Engine'!$C$2:$C$1960,0)))</f>
        <v/>
      </c>
      <c r="B505" s="8">
        <f>IF(ISNA(MATCH(496,'Transfer Engine'!$C$2:$C$1960,0)),"",INDEX('Compliance Database'!$B$2:$B$1960,MATCH(496,'Transfer Engine'!$C$2:$C$1960,0)))</f>
        <v/>
      </c>
      <c r="C505" s="8">
        <f>IF(ISNA(MATCH(496,'Transfer Engine'!$C$2:$C$1960,0)),"",INDEX('Compliance Database'!$C$2:$C$1960,MATCH(496,'Transfer Engine'!$C$2:$C$1960,0)))</f>
        <v/>
      </c>
      <c r="D505" s="9">
        <f>IF(ISNA(MATCH(496,'Transfer Engine'!$C$2:$C$1960,0)),"",INDEX('Compliance Database'!$D$2:$D$1960,MATCH(496,'Transfer Engine'!$C$2:$C$1960,0)))</f>
        <v/>
      </c>
      <c r="E505" s="8">
        <f>IF(ISNA(MATCH(496,'Transfer Engine'!$C$2:$C$1960,0)),"",INDEX('Compliance Database'!$E$2:$E$1960,MATCH(496,'Transfer Engine'!$C$2:$C$1960,0)))</f>
        <v/>
      </c>
      <c r="F505" s="8">
        <f>IF(ISNA(MATCH(496,'Transfer Engine'!$C$2:$C$1960,0)),"",INDEX('Compliance Database'!$F$2:$F$1960,MATCH(496,'Transfer Engine'!$C$2:$C$1960,0)))</f>
        <v/>
      </c>
      <c r="G505" s="8">
        <f>IF(ISNA(MATCH(496,'Transfer Engine'!$C$2:$C$1960,0)),"",INDEX('Compliance Database'!$G$2:$G$1960,MATCH(496,'Transfer Engine'!$C$2:$C$1960,0)))</f>
        <v/>
      </c>
      <c r="H505" s="9">
        <f>IF(ISNA(MATCH(496,'Transfer Engine'!$C$2:$C$1960,0)),"",INDEX('Compliance Database'!$H$2:$H$1960,MATCH(496,'Transfer Engine'!$C$2:$C$1960,0)))</f>
        <v/>
      </c>
      <c r="I505" s="9">
        <f>IF(ISNA(MATCH(496,'Transfer Engine'!$C$2:$C$1960,0)),"",INDEX('Compliance Database'!$I$2:$I$1960,MATCH(496,'Transfer Engine'!$C$2:$C$1960,0)))</f>
        <v/>
      </c>
      <c r="J505" s="8">
        <f>IF(ISNA(MATCH(496,'Transfer Engine'!$C$2:$C$1960,0)),"",INDEX('Compliance Database'!$J$2:$J$1960,MATCH(496,'Transfer Engine'!$C$2:$C$1960,0)))</f>
        <v/>
      </c>
      <c r="K505" s="9">
        <f>IF(ISNA(MATCH(496,'Transfer Engine'!$C$2:$C$1960,0)),"",INDEX('Compliance Database'!$K$2:$K$1960,MATCH(496,'Transfer Engine'!$C$2:$C$1960,0)))</f>
        <v/>
      </c>
      <c r="L505" s="9">
        <f>IF(ISNA(MATCH(496,'Transfer Engine'!$C$2:$C$1960,0)),"",INDEX('Compliance Database'!$L$2:$L$1960,MATCH(496,'Transfer Engine'!$C$2:$C$1960,0)))</f>
        <v/>
      </c>
      <c r="M505" s="9">
        <f>IF(ISNA(MATCH(496,'Transfer Engine'!$C$2:$C$1960,0)),"",INDEX('Compliance Database'!$M$2:$M$1960,MATCH(496,'Transfer Engine'!$C$2:$C$1960,0)))</f>
        <v/>
      </c>
      <c r="N505" s="9">
        <f>IF(ISNA(MATCH(496,'Transfer Engine'!$C$2:$C$1960,0)),"",INDEX('Compliance Database'!$N$2:$N$1960,MATCH(496,'Transfer Engine'!$C$2:$C$1960,0)))</f>
        <v/>
      </c>
      <c r="O505" s="9">
        <f>IF(ISNA(MATCH(496,'Transfer Engine'!$C$2:$C$1960,0)),"",INDEX('Compliance Database'!$O$2:$O$1960,MATCH(496,'Transfer Engine'!$C$2:$C$1960,0)))</f>
        <v/>
      </c>
      <c r="P505" s="8">
        <f>IF(ISNA(MATCH(496,'Transfer Engine'!$C$2:$C$1960,0)),"",HYPERLINK("#Acts!A"&amp;INDEX('Compliance Database'!$P$2:$P$1960,MATCH(496,'Transfer Engine'!$C$2:$C$1960,0)),"Go to Act"))</f>
        <v/>
      </c>
    </row>
    <row r="506" ht="158" customHeight="1">
      <c r="A506" s="8">
        <f>IF(ISNA(MATCH(497,'Transfer Engine'!$C$2:$C$1960,0)),"",INDEX('Compliance Database'!$A$2:$A$1960,MATCH(497,'Transfer Engine'!$C$2:$C$1960,0)))</f>
        <v/>
      </c>
      <c r="B506" s="8">
        <f>IF(ISNA(MATCH(497,'Transfer Engine'!$C$2:$C$1960,0)),"",INDEX('Compliance Database'!$B$2:$B$1960,MATCH(497,'Transfer Engine'!$C$2:$C$1960,0)))</f>
        <v/>
      </c>
      <c r="C506" s="8">
        <f>IF(ISNA(MATCH(497,'Transfer Engine'!$C$2:$C$1960,0)),"",INDEX('Compliance Database'!$C$2:$C$1960,MATCH(497,'Transfer Engine'!$C$2:$C$1960,0)))</f>
        <v/>
      </c>
      <c r="D506" s="9">
        <f>IF(ISNA(MATCH(497,'Transfer Engine'!$C$2:$C$1960,0)),"",INDEX('Compliance Database'!$D$2:$D$1960,MATCH(497,'Transfer Engine'!$C$2:$C$1960,0)))</f>
        <v/>
      </c>
      <c r="E506" s="8">
        <f>IF(ISNA(MATCH(497,'Transfer Engine'!$C$2:$C$1960,0)),"",INDEX('Compliance Database'!$E$2:$E$1960,MATCH(497,'Transfer Engine'!$C$2:$C$1960,0)))</f>
        <v/>
      </c>
      <c r="F506" s="8">
        <f>IF(ISNA(MATCH(497,'Transfer Engine'!$C$2:$C$1960,0)),"",INDEX('Compliance Database'!$F$2:$F$1960,MATCH(497,'Transfer Engine'!$C$2:$C$1960,0)))</f>
        <v/>
      </c>
      <c r="G506" s="8">
        <f>IF(ISNA(MATCH(497,'Transfer Engine'!$C$2:$C$1960,0)),"",INDEX('Compliance Database'!$G$2:$G$1960,MATCH(497,'Transfer Engine'!$C$2:$C$1960,0)))</f>
        <v/>
      </c>
      <c r="H506" s="9">
        <f>IF(ISNA(MATCH(497,'Transfer Engine'!$C$2:$C$1960,0)),"",INDEX('Compliance Database'!$H$2:$H$1960,MATCH(497,'Transfer Engine'!$C$2:$C$1960,0)))</f>
        <v/>
      </c>
      <c r="I506" s="9">
        <f>IF(ISNA(MATCH(497,'Transfer Engine'!$C$2:$C$1960,0)),"",INDEX('Compliance Database'!$I$2:$I$1960,MATCH(497,'Transfer Engine'!$C$2:$C$1960,0)))</f>
        <v/>
      </c>
      <c r="J506" s="8">
        <f>IF(ISNA(MATCH(497,'Transfer Engine'!$C$2:$C$1960,0)),"",INDEX('Compliance Database'!$J$2:$J$1960,MATCH(497,'Transfer Engine'!$C$2:$C$1960,0)))</f>
        <v/>
      </c>
      <c r="K506" s="9">
        <f>IF(ISNA(MATCH(497,'Transfer Engine'!$C$2:$C$1960,0)),"",INDEX('Compliance Database'!$K$2:$K$1960,MATCH(497,'Transfer Engine'!$C$2:$C$1960,0)))</f>
        <v/>
      </c>
      <c r="L506" s="9">
        <f>IF(ISNA(MATCH(497,'Transfer Engine'!$C$2:$C$1960,0)),"",INDEX('Compliance Database'!$L$2:$L$1960,MATCH(497,'Transfer Engine'!$C$2:$C$1960,0)))</f>
        <v/>
      </c>
      <c r="M506" s="9">
        <f>IF(ISNA(MATCH(497,'Transfer Engine'!$C$2:$C$1960,0)),"",INDEX('Compliance Database'!$M$2:$M$1960,MATCH(497,'Transfer Engine'!$C$2:$C$1960,0)))</f>
        <v/>
      </c>
      <c r="N506" s="9">
        <f>IF(ISNA(MATCH(497,'Transfer Engine'!$C$2:$C$1960,0)),"",INDEX('Compliance Database'!$N$2:$N$1960,MATCH(497,'Transfer Engine'!$C$2:$C$1960,0)))</f>
        <v/>
      </c>
      <c r="O506" s="9">
        <f>IF(ISNA(MATCH(497,'Transfer Engine'!$C$2:$C$1960,0)),"",INDEX('Compliance Database'!$O$2:$O$1960,MATCH(497,'Transfer Engine'!$C$2:$C$1960,0)))</f>
        <v/>
      </c>
      <c r="P506" s="8">
        <f>IF(ISNA(MATCH(497,'Transfer Engine'!$C$2:$C$1960,0)),"",HYPERLINK("#Acts!A"&amp;INDEX('Compliance Database'!$P$2:$P$1960,MATCH(497,'Transfer Engine'!$C$2:$C$1960,0)),"Go to Act"))</f>
        <v/>
      </c>
    </row>
    <row r="507" ht="158" customHeight="1">
      <c r="A507" s="8">
        <f>IF(ISNA(MATCH(498,'Transfer Engine'!$C$2:$C$1960,0)),"",INDEX('Compliance Database'!$A$2:$A$1960,MATCH(498,'Transfer Engine'!$C$2:$C$1960,0)))</f>
        <v/>
      </c>
      <c r="B507" s="8">
        <f>IF(ISNA(MATCH(498,'Transfer Engine'!$C$2:$C$1960,0)),"",INDEX('Compliance Database'!$B$2:$B$1960,MATCH(498,'Transfer Engine'!$C$2:$C$1960,0)))</f>
        <v/>
      </c>
      <c r="C507" s="8">
        <f>IF(ISNA(MATCH(498,'Transfer Engine'!$C$2:$C$1960,0)),"",INDEX('Compliance Database'!$C$2:$C$1960,MATCH(498,'Transfer Engine'!$C$2:$C$1960,0)))</f>
        <v/>
      </c>
      <c r="D507" s="9">
        <f>IF(ISNA(MATCH(498,'Transfer Engine'!$C$2:$C$1960,0)),"",INDEX('Compliance Database'!$D$2:$D$1960,MATCH(498,'Transfer Engine'!$C$2:$C$1960,0)))</f>
        <v/>
      </c>
      <c r="E507" s="8">
        <f>IF(ISNA(MATCH(498,'Transfer Engine'!$C$2:$C$1960,0)),"",INDEX('Compliance Database'!$E$2:$E$1960,MATCH(498,'Transfer Engine'!$C$2:$C$1960,0)))</f>
        <v/>
      </c>
      <c r="F507" s="8">
        <f>IF(ISNA(MATCH(498,'Transfer Engine'!$C$2:$C$1960,0)),"",INDEX('Compliance Database'!$F$2:$F$1960,MATCH(498,'Transfer Engine'!$C$2:$C$1960,0)))</f>
        <v/>
      </c>
      <c r="G507" s="8">
        <f>IF(ISNA(MATCH(498,'Transfer Engine'!$C$2:$C$1960,0)),"",INDEX('Compliance Database'!$G$2:$G$1960,MATCH(498,'Transfer Engine'!$C$2:$C$1960,0)))</f>
        <v/>
      </c>
      <c r="H507" s="9">
        <f>IF(ISNA(MATCH(498,'Transfer Engine'!$C$2:$C$1960,0)),"",INDEX('Compliance Database'!$H$2:$H$1960,MATCH(498,'Transfer Engine'!$C$2:$C$1960,0)))</f>
        <v/>
      </c>
      <c r="I507" s="9">
        <f>IF(ISNA(MATCH(498,'Transfer Engine'!$C$2:$C$1960,0)),"",INDEX('Compliance Database'!$I$2:$I$1960,MATCH(498,'Transfer Engine'!$C$2:$C$1960,0)))</f>
        <v/>
      </c>
      <c r="J507" s="8">
        <f>IF(ISNA(MATCH(498,'Transfer Engine'!$C$2:$C$1960,0)),"",INDEX('Compliance Database'!$J$2:$J$1960,MATCH(498,'Transfer Engine'!$C$2:$C$1960,0)))</f>
        <v/>
      </c>
      <c r="K507" s="9">
        <f>IF(ISNA(MATCH(498,'Transfer Engine'!$C$2:$C$1960,0)),"",INDEX('Compliance Database'!$K$2:$K$1960,MATCH(498,'Transfer Engine'!$C$2:$C$1960,0)))</f>
        <v/>
      </c>
      <c r="L507" s="9">
        <f>IF(ISNA(MATCH(498,'Transfer Engine'!$C$2:$C$1960,0)),"",INDEX('Compliance Database'!$L$2:$L$1960,MATCH(498,'Transfer Engine'!$C$2:$C$1960,0)))</f>
        <v/>
      </c>
      <c r="M507" s="9">
        <f>IF(ISNA(MATCH(498,'Transfer Engine'!$C$2:$C$1960,0)),"",INDEX('Compliance Database'!$M$2:$M$1960,MATCH(498,'Transfer Engine'!$C$2:$C$1960,0)))</f>
        <v/>
      </c>
      <c r="N507" s="9">
        <f>IF(ISNA(MATCH(498,'Transfer Engine'!$C$2:$C$1960,0)),"",INDEX('Compliance Database'!$N$2:$N$1960,MATCH(498,'Transfer Engine'!$C$2:$C$1960,0)))</f>
        <v/>
      </c>
      <c r="O507" s="9">
        <f>IF(ISNA(MATCH(498,'Transfer Engine'!$C$2:$C$1960,0)),"",INDEX('Compliance Database'!$O$2:$O$1960,MATCH(498,'Transfer Engine'!$C$2:$C$1960,0)))</f>
        <v/>
      </c>
      <c r="P507" s="8">
        <f>IF(ISNA(MATCH(498,'Transfer Engine'!$C$2:$C$1960,0)),"",HYPERLINK("#Acts!A"&amp;INDEX('Compliance Database'!$P$2:$P$1960,MATCH(498,'Transfer Engine'!$C$2:$C$1960,0)),"Go to Act"))</f>
        <v/>
      </c>
    </row>
    <row r="508" ht="158" customHeight="1">
      <c r="A508" s="8">
        <f>IF(ISNA(MATCH(499,'Transfer Engine'!$C$2:$C$1960,0)),"",INDEX('Compliance Database'!$A$2:$A$1960,MATCH(499,'Transfer Engine'!$C$2:$C$1960,0)))</f>
        <v/>
      </c>
      <c r="B508" s="8">
        <f>IF(ISNA(MATCH(499,'Transfer Engine'!$C$2:$C$1960,0)),"",INDEX('Compliance Database'!$B$2:$B$1960,MATCH(499,'Transfer Engine'!$C$2:$C$1960,0)))</f>
        <v/>
      </c>
      <c r="C508" s="8">
        <f>IF(ISNA(MATCH(499,'Transfer Engine'!$C$2:$C$1960,0)),"",INDEX('Compliance Database'!$C$2:$C$1960,MATCH(499,'Transfer Engine'!$C$2:$C$1960,0)))</f>
        <v/>
      </c>
      <c r="D508" s="9">
        <f>IF(ISNA(MATCH(499,'Transfer Engine'!$C$2:$C$1960,0)),"",INDEX('Compliance Database'!$D$2:$D$1960,MATCH(499,'Transfer Engine'!$C$2:$C$1960,0)))</f>
        <v/>
      </c>
      <c r="E508" s="8">
        <f>IF(ISNA(MATCH(499,'Transfer Engine'!$C$2:$C$1960,0)),"",INDEX('Compliance Database'!$E$2:$E$1960,MATCH(499,'Transfer Engine'!$C$2:$C$1960,0)))</f>
        <v/>
      </c>
      <c r="F508" s="8">
        <f>IF(ISNA(MATCH(499,'Transfer Engine'!$C$2:$C$1960,0)),"",INDEX('Compliance Database'!$F$2:$F$1960,MATCH(499,'Transfer Engine'!$C$2:$C$1960,0)))</f>
        <v/>
      </c>
      <c r="G508" s="8">
        <f>IF(ISNA(MATCH(499,'Transfer Engine'!$C$2:$C$1960,0)),"",INDEX('Compliance Database'!$G$2:$G$1960,MATCH(499,'Transfer Engine'!$C$2:$C$1960,0)))</f>
        <v/>
      </c>
      <c r="H508" s="9">
        <f>IF(ISNA(MATCH(499,'Transfer Engine'!$C$2:$C$1960,0)),"",INDEX('Compliance Database'!$H$2:$H$1960,MATCH(499,'Transfer Engine'!$C$2:$C$1960,0)))</f>
        <v/>
      </c>
      <c r="I508" s="9">
        <f>IF(ISNA(MATCH(499,'Transfer Engine'!$C$2:$C$1960,0)),"",INDEX('Compliance Database'!$I$2:$I$1960,MATCH(499,'Transfer Engine'!$C$2:$C$1960,0)))</f>
        <v/>
      </c>
      <c r="J508" s="8">
        <f>IF(ISNA(MATCH(499,'Transfer Engine'!$C$2:$C$1960,0)),"",INDEX('Compliance Database'!$J$2:$J$1960,MATCH(499,'Transfer Engine'!$C$2:$C$1960,0)))</f>
        <v/>
      </c>
      <c r="K508" s="9">
        <f>IF(ISNA(MATCH(499,'Transfer Engine'!$C$2:$C$1960,0)),"",INDEX('Compliance Database'!$K$2:$K$1960,MATCH(499,'Transfer Engine'!$C$2:$C$1960,0)))</f>
        <v/>
      </c>
      <c r="L508" s="9">
        <f>IF(ISNA(MATCH(499,'Transfer Engine'!$C$2:$C$1960,0)),"",INDEX('Compliance Database'!$L$2:$L$1960,MATCH(499,'Transfer Engine'!$C$2:$C$1960,0)))</f>
        <v/>
      </c>
      <c r="M508" s="9">
        <f>IF(ISNA(MATCH(499,'Transfer Engine'!$C$2:$C$1960,0)),"",INDEX('Compliance Database'!$M$2:$M$1960,MATCH(499,'Transfer Engine'!$C$2:$C$1960,0)))</f>
        <v/>
      </c>
      <c r="N508" s="9">
        <f>IF(ISNA(MATCH(499,'Transfer Engine'!$C$2:$C$1960,0)),"",INDEX('Compliance Database'!$N$2:$N$1960,MATCH(499,'Transfer Engine'!$C$2:$C$1960,0)))</f>
        <v/>
      </c>
      <c r="O508" s="9">
        <f>IF(ISNA(MATCH(499,'Transfer Engine'!$C$2:$C$1960,0)),"",INDEX('Compliance Database'!$O$2:$O$1960,MATCH(499,'Transfer Engine'!$C$2:$C$1960,0)))</f>
        <v/>
      </c>
      <c r="P508" s="8">
        <f>IF(ISNA(MATCH(499,'Transfer Engine'!$C$2:$C$1960,0)),"",HYPERLINK("#Acts!A"&amp;INDEX('Compliance Database'!$P$2:$P$1960,MATCH(499,'Transfer Engine'!$C$2:$C$1960,0)),"Go to Act"))</f>
        <v/>
      </c>
    </row>
    <row r="509" ht="158" customHeight="1">
      <c r="A509" s="8">
        <f>IF(ISNA(MATCH(500,'Transfer Engine'!$C$2:$C$1960,0)),"",INDEX('Compliance Database'!$A$2:$A$1960,MATCH(500,'Transfer Engine'!$C$2:$C$1960,0)))</f>
        <v/>
      </c>
      <c r="B509" s="8">
        <f>IF(ISNA(MATCH(500,'Transfer Engine'!$C$2:$C$1960,0)),"",INDEX('Compliance Database'!$B$2:$B$1960,MATCH(500,'Transfer Engine'!$C$2:$C$1960,0)))</f>
        <v/>
      </c>
      <c r="C509" s="8">
        <f>IF(ISNA(MATCH(500,'Transfer Engine'!$C$2:$C$1960,0)),"",INDEX('Compliance Database'!$C$2:$C$1960,MATCH(500,'Transfer Engine'!$C$2:$C$1960,0)))</f>
        <v/>
      </c>
      <c r="D509" s="9">
        <f>IF(ISNA(MATCH(500,'Transfer Engine'!$C$2:$C$1960,0)),"",INDEX('Compliance Database'!$D$2:$D$1960,MATCH(500,'Transfer Engine'!$C$2:$C$1960,0)))</f>
        <v/>
      </c>
      <c r="E509" s="8">
        <f>IF(ISNA(MATCH(500,'Transfer Engine'!$C$2:$C$1960,0)),"",INDEX('Compliance Database'!$E$2:$E$1960,MATCH(500,'Transfer Engine'!$C$2:$C$1960,0)))</f>
        <v/>
      </c>
      <c r="F509" s="8">
        <f>IF(ISNA(MATCH(500,'Transfer Engine'!$C$2:$C$1960,0)),"",INDEX('Compliance Database'!$F$2:$F$1960,MATCH(500,'Transfer Engine'!$C$2:$C$1960,0)))</f>
        <v/>
      </c>
      <c r="G509" s="8">
        <f>IF(ISNA(MATCH(500,'Transfer Engine'!$C$2:$C$1960,0)),"",INDEX('Compliance Database'!$G$2:$G$1960,MATCH(500,'Transfer Engine'!$C$2:$C$1960,0)))</f>
        <v/>
      </c>
      <c r="H509" s="9">
        <f>IF(ISNA(MATCH(500,'Transfer Engine'!$C$2:$C$1960,0)),"",INDEX('Compliance Database'!$H$2:$H$1960,MATCH(500,'Transfer Engine'!$C$2:$C$1960,0)))</f>
        <v/>
      </c>
      <c r="I509" s="9">
        <f>IF(ISNA(MATCH(500,'Transfer Engine'!$C$2:$C$1960,0)),"",INDEX('Compliance Database'!$I$2:$I$1960,MATCH(500,'Transfer Engine'!$C$2:$C$1960,0)))</f>
        <v/>
      </c>
      <c r="J509" s="8">
        <f>IF(ISNA(MATCH(500,'Transfer Engine'!$C$2:$C$1960,0)),"",INDEX('Compliance Database'!$J$2:$J$1960,MATCH(500,'Transfer Engine'!$C$2:$C$1960,0)))</f>
        <v/>
      </c>
      <c r="K509" s="9">
        <f>IF(ISNA(MATCH(500,'Transfer Engine'!$C$2:$C$1960,0)),"",INDEX('Compliance Database'!$K$2:$K$1960,MATCH(500,'Transfer Engine'!$C$2:$C$1960,0)))</f>
        <v/>
      </c>
      <c r="L509" s="9">
        <f>IF(ISNA(MATCH(500,'Transfer Engine'!$C$2:$C$1960,0)),"",INDEX('Compliance Database'!$L$2:$L$1960,MATCH(500,'Transfer Engine'!$C$2:$C$1960,0)))</f>
        <v/>
      </c>
      <c r="M509" s="9">
        <f>IF(ISNA(MATCH(500,'Transfer Engine'!$C$2:$C$1960,0)),"",INDEX('Compliance Database'!$M$2:$M$1960,MATCH(500,'Transfer Engine'!$C$2:$C$1960,0)))</f>
        <v/>
      </c>
      <c r="N509" s="9">
        <f>IF(ISNA(MATCH(500,'Transfer Engine'!$C$2:$C$1960,0)),"",INDEX('Compliance Database'!$N$2:$N$1960,MATCH(500,'Transfer Engine'!$C$2:$C$1960,0)))</f>
        <v/>
      </c>
      <c r="O509" s="9">
        <f>IF(ISNA(MATCH(500,'Transfer Engine'!$C$2:$C$1960,0)),"",INDEX('Compliance Database'!$O$2:$O$1960,MATCH(500,'Transfer Engine'!$C$2:$C$1960,0)))</f>
        <v/>
      </c>
      <c r="P509" s="8">
        <f>IF(ISNA(MATCH(500,'Transfer Engine'!$C$2:$C$1960,0)),"",HYPERLINK("#Acts!A"&amp;INDEX('Compliance Database'!$P$2:$P$1960,MATCH(500,'Transfer Engine'!$C$2:$C$1960,0)),"Go to Act"))</f>
        <v/>
      </c>
    </row>
    <row r="510" ht="158" customHeight="1">
      <c r="A510" s="8">
        <f>IF(ISNA(MATCH(501,'Transfer Engine'!$C$2:$C$1960,0)),"",INDEX('Compliance Database'!$A$2:$A$1960,MATCH(501,'Transfer Engine'!$C$2:$C$1960,0)))</f>
        <v/>
      </c>
      <c r="B510" s="8">
        <f>IF(ISNA(MATCH(501,'Transfer Engine'!$C$2:$C$1960,0)),"",INDEX('Compliance Database'!$B$2:$B$1960,MATCH(501,'Transfer Engine'!$C$2:$C$1960,0)))</f>
        <v/>
      </c>
      <c r="C510" s="8">
        <f>IF(ISNA(MATCH(501,'Transfer Engine'!$C$2:$C$1960,0)),"",INDEX('Compliance Database'!$C$2:$C$1960,MATCH(501,'Transfer Engine'!$C$2:$C$1960,0)))</f>
        <v/>
      </c>
      <c r="D510" s="9">
        <f>IF(ISNA(MATCH(501,'Transfer Engine'!$C$2:$C$1960,0)),"",INDEX('Compliance Database'!$D$2:$D$1960,MATCH(501,'Transfer Engine'!$C$2:$C$1960,0)))</f>
        <v/>
      </c>
      <c r="E510" s="8">
        <f>IF(ISNA(MATCH(501,'Transfer Engine'!$C$2:$C$1960,0)),"",INDEX('Compliance Database'!$E$2:$E$1960,MATCH(501,'Transfer Engine'!$C$2:$C$1960,0)))</f>
        <v/>
      </c>
      <c r="F510" s="8">
        <f>IF(ISNA(MATCH(501,'Transfer Engine'!$C$2:$C$1960,0)),"",INDEX('Compliance Database'!$F$2:$F$1960,MATCH(501,'Transfer Engine'!$C$2:$C$1960,0)))</f>
        <v/>
      </c>
      <c r="G510" s="8">
        <f>IF(ISNA(MATCH(501,'Transfer Engine'!$C$2:$C$1960,0)),"",INDEX('Compliance Database'!$G$2:$G$1960,MATCH(501,'Transfer Engine'!$C$2:$C$1960,0)))</f>
        <v/>
      </c>
      <c r="H510" s="9">
        <f>IF(ISNA(MATCH(501,'Transfer Engine'!$C$2:$C$1960,0)),"",INDEX('Compliance Database'!$H$2:$H$1960,MATCH(501,'Transfer Engine'!$C$2:$C$1960,0)))</f>
        <v/>
      </c>
      <c r="I510" s="9">
        <f>IF(ISNA(MATCH(501,'Transfer Engine'!$C$2:$C$1960,0)),"",INDEX('Compliance Database'!$I$2:$I$1960,MATCH(501,'Transfer Engine'!$C$2:$C$1960,0)))</f>
        <v/>
      </c>
      <c r="J510" s="8">
        <f>IF(ISNA(MATCH(501,'Transfer Engine'!$C$2:$C$1960,0)),"",INDEX('Compliance Database'!$J$2:$J$1960,MATCH(501,'Transfer Engine'!$C$2:$C$1960,0)))</f>
        <v/>
      </c>
      <c r="K510" s="9">
        <f>IF(ISNA(MATCH(501,'Transfer Engine'!$C$2:$C$1960,0)),"",INDEX('Compliance Database'!$K$2:$K$1960,MATCH(501,'Transfer Engine'!$C$2:$C$1960,0)))</f>
        <v/>
      </c>
      <c r="L510" s="9">
        <f>IF(ISNA(MATCH(501,'Transfer Engine'!$C$2:$C$1960,0)),"",INDEX('Compliance Database'!$L$2:$L$1960,MATCH(501,'Transfer Engine'!$C$2:$C$1960,0)))</f>
        <v/>
      </c>
      <c r="M510" s="9">
        <f>IF(ISNA(MATCH(501,'Transfer Engine'!$C$2:$C$1960,0)),"",INDEX('Compliance Database'!$M$2:$M$1960,MATCH(501,'Transfer Engine'!$C$2:$C$1960,0)))</f>
        <v/>
      </c>
      <c r="N510" s="9">
        <f>IF(ISNA(MATCH(501,'Transfer Engine'!$C$2:$C$1960,0)),"",INDEX('Compliance Database'!$N$2:$N$1960,MATCH(501,'Transfer Engine'!$C$2:$C$1960,0)))</f>
        <v/>
      </c>
      <c r="O510" s="9">
        <f>IF(ISNA(MATCH(501,'Transfer Engine'!$C$2:$C$1960,0)),"",INDEX('Compliance Database'!$O$2:$O$1960,MATCH(501,'Transfer Engine'!$C$2:$C$1960,0)))</f>
        <v/>
      </c>
      <c r="P510" s="8">
        <f>IF(ISNA(MATCH(501,'Transfer Engine'!$C$2:$C$1960,0)),"",HYPERLINK("#Acts!A"&amp;INDEX('Compliance Database'!$P$2:$P$1960,MATCH(501,'Transfer Engine'!$C$2:$C$1960,0)),"Go to Act"))</f>
        <v/>
      </c>
    </row>
    <row r="511" ht="158" customHeight="1">
      <c r="A511" s="8">
        <f>IF(ISNA(MATCH(502,'Transfer Engine'!$C$2:$C$1960,0)),"",INDEX('Compliance Database'!$A$2:$A$1960,MATCH(502,'Transfer Engine'!$C$2:$C$1960,0)))</f>
        <v/>
      </c>
      <c r="B511" s="8">
        <f>IF(ISNA(MATCH(502,'Transfer Engine'!$C$2:$C$1960,0)),"",INDEX('Compliance Database'!$B$2:$B$1960,MATCH(502,'Transfer Engine'!$C$2:$C$1960,0)))</f>
        <v/>
      </c>
      <c r="C511" s="8">
        <f>IF(ISNA(MATCH(502,'Transfer Engine'!$C$2:$C$1960,0)),"",INDEX('Compliance Database'!$C$2:$C$1960,MATCH(502,'Transfer Engine'!$C$2:$C$1960,0)))</f>
        <v/>
      </c>
      <c r="D511" s="9">
        <f>IF(ISNA(MATCH(502,'Transfer Engine'!$C$2:$C$1960,0)),"",INDEX('Compliance Database'!$D$2:$D$1960,MATCH(502,'Transfer Engine'!$C$2:$C$1960,0)))</f>
        <v/>
      </c>
      <c r="E511" s="8">
        <f>IF(ISNA(MATCH(502,'Transfer Engine'!$C$2:$C$1960,0)),"",INDEX('Compliance Database'!$E$2:$E$1960,MATCH(502,'Transfer Engine'!$C$2:$C$1960,0)))</f>
        <v/>
      </c>
      <c r="F511" s="8">
        <f>IF(ISNA(MATCH(502,'Transfer Engine'!$C$2:$C$1960,0)),"",INDEX('Compliance Database'!$F$2:$F$1960,MATCH(502,'Transfer Engine'!$C$2:$C$1960,0)))</f>
        <v/>
      </c>
      <c r="G511" s="8">
        <f>IF(ISNA(MATCH(502,'Transfer Engine'!$C$2:$C$1960,0)),"",INDEX('Compliance Database'!$G$2:$G$1960,MATCH(502,'Transfer Engine'!$C$2:$C$1960,0)))</f>
        <v/>
      </c>
      <c r="H511" s="9">
        <f>IF(ISNA(MATCH(502,'Transfer Engine'!$C$2:$C$1960,0)),"",INDEX('Compliance Database'!$H$2:$H$1960,MATCH(502,'Transfer Engine'!$C$2:$C$1960,0)))</f>
        <v/>
      </c>
      <c r="I511" s="9">
        <f>IF(ISNA(MATCH(502,'Transfer Engine'!$C$2:$C$1960,0)),"",INDEX('Compliance Database'!$I$2:$I$1960,MATCH(502,'Transfer Engine'!$C$2:$C$1960,0)))</f>
        <v/>
      </c>
      <c r="J511" s="8">
        <f>IF(ISNA(MATCH(502,'Transfer Engine'!$C$2:$C$1960,0)),"",INDEX('Compliance Database'!$J$2:$J$1960,MATCH(502,'Transfer Engine'!$C$2:$C$1960,0)))</f>
        <v/>
      </c>
      <c r="K511" s="9">
        <f>IF(ISNA(MATCH(502,'Transfer Engine'!$C$2:$C$1960,0)),"",INDEX('Compliance Database'!$K$2:$K$1960,MATCH(502,'Transfer Engine'!$C$2:$C$1960,0)))</f>
        <v/>
      </c>
      <c r="L511" s="9">
        <f>IF(ISNA(MATCH(502,'Transfer Engine'!$C$2:$C$1960,0)),"",INDEX('Compliance Database'!$L$2:$L$1960,MATCH(502,'Transfer Engine'!$C$2:$C$1960,0)))</f>
        <v/>
      </c>
      <c r="M511" s="9">
        <f>IF(ISNA(MATCH(502,'Transfer Engine'!$C$2:$C$1960,0)),"",INDEX('Compliance Database'!$M$2:$M$1960,MATCH(502,'Transfer Engine'!$C$2:$C$1960,0)))</f>
        <v/>
      </c>
      <c r="N511" s="9">
        <f>IF(ISNA(MATCH(502,'Transfer Engine'!$C$2:$C$1960,0)),"",INDEX('Compliance Database'!$N$2:$N$1960,MATCH(502,'Transfer Engine'!$C$2:$C$1960,0)))</f>
        <v/>
      </c>
      <c r="O511" s="9">
        <f>IF(ISNA(MATCH(502,'Transfer Engine'!$C$2:$C$1960,0)),"",INDEX('Compliance Database'!$O$2:$O$1960,MATCH(502,'Transfer Engine'!$C$2:$C$1960,0)))</f>
        <v/>
      </c>
      <c r="P511" s="8">
        <f>IF(ISNA(MATCH(502,'Transfer Engine'!$C$2:$C$1960,0)),"",HYPERLINK("#Acts!A"&amp;INDEX('Compliance Database'!$P$2:$P$1960,MATCH(502,'Transfer Engine'!$C$2:$C$1960,0)),"Go to Act"))</f>
        <v/>
      </c>
    </row>
    <row r="512" ht="158" customHeight="1">
      <c r="A512" s="8">
        <f>IF(ISNA(MATCH(503,'Transfer Engine'!$C$2:$C$1960,0)),"",INDEX('Compliance Database'!$A$2:$A$1960,MATCH(503,'Transfer Engine'!$C$2:$C$1960,0)))</f>
        <v/>
      </c>
      <c r="B512" s="8">
        <f>IF(ISNA(MATCH(503,'Transfer Engine'!$C$2:$C$1960,0)),"",INDEX('Compliance Database'!$B$2:$B$1960,MATCH(503,'Transfer Engine'!$C$2:$C$1960,0)))</f>
        <v/>
      </c>
      <c r="C512" s="8">
        <f>IF(ISNA(MATCH(503,'Transfer Engine'!$C$2:$C$1960,0)),"",INDEX('Compliance Database'!$C$2:$C$1960,MATCH(503,'Transfer Engine'!$C$2:$C$1960,0)))</f>
        <v/>
      </c>
      <c r="D512" s="9">
        <f>IF(ISNA(MATCH(503,'Transfer Engine'!$C$2:$C$1960,0)),"",INDEX('Compliance Database'!$D$2:$D$1960,MATCH(503,'Transfer Engine'!$C$2:$C$1960,0)))</f>
        <v/>
      </c>
      <c r="E512" s="8">
        <f>IF(ISNA(MATCH(503,'Transfer Engine'!$C$2:$C$1960,0)),"",INDEX('Compliance Database'!$E$2:$E$1960,MATCH(503,'Transfer Engine'!$C$2:$C$1960,0)))</f>
        <v/>
      </c>
      <c r="F512" s="8">
        <f>IF(ISNA(MATCH(503,'Transfer Engine'!$C$2:$C$1960,0)),"",INDEX('Compliance Database'!$F$2:$F$1960,MATCH(503,'Transfer Engine'!$C$2:$C$1960,0)))</f>
        <v/>
      </c>
      <c r="G512" s="8">
        <f>IF(ISNA(MATCH(503,'Transfer Engine'!$C$2:$C$1960,0)),"",INDEX('Compliance Database'!$G$2:$G$1960,MATCH(503,'Transfer Engine'!$C$2:$C$1960,0)))</f>
        <v/>
      </c>
      <c r="H512" s="9">
        <f>IF(ISNA(MATCH(503,'Transfer Engine'!$C$2:$C$1960,0)),"",INDEX('Compliance Database'!$H$2:$H$1960,MATCH(503,'Transfer Engine'!$C$2:$C$1960,0)))</f>
        <v/>
      </c>
      <c r="I512" s="9">
        <f>IF(ISNA(MATCH(503,'Transfer Engine'!$C$2:$C$1960,0)),"",INDEX('Compliance Database'!$I$2:$I$1960,MATCH(503,'Transfer Engine'!$C$2:$C$1960,0)))</f>
        <v/>
      </c>
      <c r="J512" s="8">
        <f>IF(ISNA(MATCH(503,'Transfer Engine'!$C$2:$C$1960,0)),"",INDEX('Compliance Database'!$J$2:$J$1960,MATCH(503,'Transfer Engine'!$C$2:$C$1960,0)))</f>
        <v/>
      </c>
      <c r="K512" s="9">
        <f>IF(ISNA(MATCH(503,'Transfer Engine'!$C$2:$C$1960,0)),"",INDEX('Compliance Database'!$K$2:$K$1960,MATCH(503,'Transfer Engine'!$C$2:$C$1960,0)))</f>
        <v/>
      </c>
      <c r="L512" s="9">
        <f>IF(ISNA(MATCH(503,'Transfer Engine'!$C$2:$C$1960,0)),"",INDEX('Compliance Database'!$L$2:$L$1960,MATCH(503,'Transfer Engine'!$C$2:$C$1960,0)))</f>
        <v/>
      </c>
      <c r="M512" s="9">
        <f>IF(ISNA(MATCH(503,'Transfer Engine'!$C$2:$C$1960,0)),"",INDEX('Compliance Database'!$M$2:$M$1960,MATCH(503,'Transfer Engine'!$C$2:$C$1960,0)))</f>
        <v/>
      </c>
      <c r="N512" s="9">
        <f>IF(ISNA(MATCH(503,'Transfer Engine'!$C$2:$C$1960,0)),"",INDEX('Compliance Database'!$N$2:$N$1960,MATCH(503,'Transfer Engine'!$C$2:$C$1960,0)))</f>
        <v/>
      </c>
      <c r="O512" s="9">
        <f>IF(ISNA(MATCH(503,'Transfer Engine'!$C$2:$C$1960,0)),"",INDEX('Compliance Database'!$O$2:$O$1960,MATCH(503,'Transfer Engine'!$C$2:$C$1960,0)))</f>
        <v/>
      </c>
      <c r="P512" s="8">
        <f>IF(ISNA(MATCH(503,'Transfer Engine'!$C$2:$C$1960,0)),"",HYPERLINK("#Acts!A"&amp;INDEX('Compliance Database'!$P$2:$P$1960,MATCH(503,'Transfer Engine'!$C$2:$C$1960,0)),"Go to Act"))</f>
        <v/>
      </c>
    </row>
    <row r="513" ht="158" customHeight="1">
      <c r="A513" s="8">
        <f>IF(ISNA(MATCH(504,'Transfer Engine'!$C$2:$C$1960,0)),"",INDEX('Compliance Database'!$A$2:$A$1960,MATCH(504,'Transfer Engine'!$C$2:$C$1960,0)))</f>
        <v/>
      </c>
      <c r="B513" s="8">
        <f>IF(ISNA(MATCH(504,'Transfer Engine'!$C$2:$C$1960,0)),"",INDEX('Compliance Database'!$B$2:$B$1960,MATCH(504,'Transfer Engine'!$C$2:$C$1960,0)))</f>
        <v/>
      </c>
      <c r="C513" s="8">
        <f>IF(ISNA(MATCH(504,'Transfer Engine'!$C$2:$C$1960,0)),"",INDEX('Compliance Database'!$C$2:$C$1960,MATCH(504,'Transfer Engine'!$C$2:$C$1960,0)))</f>
        <v/>
      </c>
      <c r="D513" s="9">
        <f>IF(ISNA(MATCH(504,'Transfer Engine'!$C$2:$C$1960,0)),"",INDEX('Compliance Database'!$D$2:$D$1960,MATCH(504,'Transfer Engine'!$C$2:$C$1960,0)))</f>
        <v/>
      </c>
      <c r="E513" s="8">
        <f>IF(ISNA(MATCH(504,'Transfer Engine'!$C$2:$C$1960,0)),"",INDEX('Compliance Database'!$E$2:$E$1960,MATCH(504,'Transfer Engine'!$C$2:$C$1960,0)))</f>
        <v/>
      </c>
      <c r="F513" s="8">
        <f>IF(ISNA(MATCH(504,'Transfer Engine'!$C$2:$C$1960,0)),"",INDEX('Compliance Database'!$F$2:$F$1960,MATCH(504,'Transfer Engine'!$C$2:$C$1960,0)))</f>
        <v/>
      </c>
      <c r="G513" s="8">
        <f>IF(ISNA(MATCH(504,'Transfer Engine'!$C$2:$C$1960,0)),"",INDEX('Compliance Database'!$G$2:$G$1960,MATCH(504,'Transfer Engine'!$C$2:$C$1960,0)))</f>
        <v/>
      </c>
      <c r="H513" s="9">
        <f>IF(ISNA(MATCH(504,'Transfer Engine'!$C$2:$C$1960,0)),"",INDEX('Compliance Database'!$H$2:$H$1960,MATCH(504,'Transfer Engine'!$C$2:$C$1960,0)))</f>
        <v/>
      </c>
      <c r="I513" s="9">
        <f>IF(ISNA(MATCH(504,'Transfer Engine'!$C$2:$C$1960,0)),"",INDEX('Compliance Database'!$I$2:$I$1960,MATCH(504,'Transfer Engine'!$C$2:$C$1960,0)))</f>
        <v/>
      </c>
      <c r="J513" s="8">
        <f>IF(ISNA(MATCH(504,'Transfer Engine'!$C$2:$C$1960,0)),"",INDEX('Compliance Database'!$J$2:$J$1960,MATCH(504,'Transfer Engine'!$C$2:$C$1960,0)))</f>
        <v/>
      </c>
      <c r="K513" s="9">
        <f>IF(ISNA(MATCH(504,'Transfer Engine'!$C$2:$C$1960,0)),"",INDEX('Compliance Database'!$K$2:$K$1960,MATCH(504,'Transfer Engine'!$C$2:$C$1960,0)))</f>
        <v/>
      </c>
      <c r="L513" s="9">
        <f>IF(ISNA(MATCH(504,'Transfer Engine'!$C$2:$C$1960,0)),"",INDEX('Compliance Database'!$L$2:$L$1960,MATCH(504,'Transfer Engine'!$C$2:$C$1960,0)))</f>
        <v/>
      </c>
      <c r="M513" s="9">
        <f>IF(ISNA(MATCH(504,'Transfer Engine'!$C$2:$C$1960,0)),"",INDEX('Compliance Database'!$M$2:$M$1960,MATCH(504,'Transfer Engine'!$C$2:$C$1960,0)))</f>
        <v/>
      </c>
      <c r="N513" s="9">
        <f>IF(ISNA(MATCH(504,'Transfer Engine'!$C$2:$C$1960,0)),"",INDEX('Compliance Database'!$N$2:$N$1960,MATCH(504,'Transfer Engine'!$C$2:$C$1960,0)))</f>
        <v/>
      </c>
      <c r="O513" s="9">
        <f>IF(ISNA(MATCH(504,'Transfer Engine'!$C$2:$C$1960,0)),"",INDEX('Compliance Database'!$O$2:$O$1960,MATCH(504,'Transfer Engine'!$C$2:$C$1960,0)))</f>
        <v/>
      </c>
      <c r="P513" s="8">
        <f>IF(ISNA(MATCH(504,'Transfer Engine'!$C$2:$C$1960,0)),"",HYPERLINK("#Acts!A"&amp;INDEX('Compliance Database'!$P$2:$P$1960,MATCH(504,'Transfer Engine'!$C$2:$C$1960,0)),"Go to Act"))</f>
        <v/>
      </c>
    </row>
    <row r="514" ht="158" customHeight="1">
      <c r="A514" s="8">
        <f>IF(ISNA(MATCH(505,'Transfer Engine'!$C$2:$C$1960,0)),"",INDEX('Compliance Database'!$A$2:$A$1960,MATCH(505,'Transfer Engine'!$C$2:$C$1960,0)))</f>
        <v/>
      </c>
      <c r="B514" s="8">
        <f>IF(ISNA(MATCH(505,'Transfer Engine'!$C$2:$C$1960,0)),"",INDEX('Compliance Database'!$B$2:$B$1960,MATCH(505,'Transfer Engine'!$C$2:$C$1960,0)))</f>
        <v/>
      </c>
      <c r="C514" s="8">
        <f>IF(ISNA(MATCH(505,'Transfer Engine'!$C$2:$C$1960,0)),"",INDEX('Compliance Database'!$C$2:$C$1960,MATCH(505,'Transfer Engine'!$C$2:$C$1960,0)))</f>
        <v/>
      </c>
      <c r="D514" s="9">
        <f>IF(ISNA(MATCH(505,'Transfer Engine'!$C$2:$C$1960,0)),"",INDEX('Compliance Database'!$D$2:$D$1960,MATCH(505,'Transfer Engine'!$C$2:$C$1960,0)))</f>
        <v/>
      </c>
      <c r="E514" s="8">
        <f>IF(ISNA(MATCH(505,'Transfer Engine'!$C$2:$C$1960,0)),"",INDEX('Compliance Database'!$E$2:$E$1960,MATCH(505,'Transfer Engine'!$C$2:$C$1960,0)))</f>
        <v/>
      </c>
      <c r="F514" s="8">
        <f>IF(ISNA(MATCH(505,'Transfer Engine'!$C$2:$C$1960,0)),"",INDEX('Compliance Database'!$F$2:$F$1960,MATCH(505,'Transfer Engine'!$C$2:$C$1960,0)))</f>
        <v/>
      </c>
      <c r="G514" s="8">
        <f>IF(ISNA(MATCH(505,'Transfer Engine'!$C$2:$C$1960,0)),"",INDEX('Compliance Database'!$G$2:$G$1960,MATCH(505,'Transfer Engine'!$C$2:$C$1960,0)))</f>
        <v/>
      </c>
      <c r="H514" s="9">
        <f>IF(ISNA(MATCH(505,'Transfer Engine'!$C$2:$C$1960,0)),"",INDEX('Compliance Database'!$H$2:$H$1960,MATCH(505,'Transfer Engine'!$C$2:$C$1960,0)))</f>
        <v/>
      </c>
      <c r="I514" s="9">
        <f>IF(ISNA(MATCH(505,'Transfer Engine'!$C$2:$C$1960,0)),"",INDEX('Compliance Database'!$I$2:$I$1960,MATCH(505,'Transfer Engine'!$C$2:$C$1960,0)))</f>
        <v/>
      </c>
      <c r="J514" s="8">
        <f>IF(ISNA(MATCH(505,'Transfer Engine'!$C$2:$C$1960,0)),"",INDEX('Compliance Database'!$J$2:$J$1960,MATCH(505,'Transfer Engine'!$C$2:$C$1960,0)))</f>
        <v/>
      </c>
      <c r="K514" s="9">
        <f>IF(ISNA(MATCH(505,'Transfer Engine'!$C$2:$C$1960,0)),"",INDEX('Compliance Database'!$K$2:$K$1960,MATCH(505,'Transfer Engine'!$C$2:$C$1960,0)))</f>
        <v/>
      </c>
      <c r="L514" s="9">
        <f>IF(ISNA(MATCH(505,'Transfer Engine'!$C$2:$C$1960,0)),"",INDEX('Compliance Database'!$L$2:$L$1960,MATCH(505,'Transfer Engine'!$C$2:$C$1960,0)))</f>
        <v/>
      </c>
      <c r="M514" s="9">
        <f>IF(ISNA(MATCH(505,'Transfer Engine'!$C$2:$C$1960,0)),"",INDEX('Compliance Database'!$M$2:$M$1960,MATCH(505,'Transfer Engine'!$C$2:$C$1960,0)))</f>
        <v/>
      </c>
      <c r="N514" s="9">
        <f>IF(ISNA(MATCH(505,'Transfer Engine'!$C$2:$C$1960,0)),"",INDEX('Compliance Database'!$N$2:$N$1960,MATCH(505,'Transfer Engine'!$C$2:$C$1960,0)))</f>
        <v/>
      </c>
      <c r="O514" s="9">
        <f>IF(ISNA(MATCH(505,'Transfer Engine'!$C$2:$C$1960,0)),"",INDEX('Compliance Database'!$O$2:$O$1960,MATCH(505,'Transfer Engine'!$C$2:$C$1960,0)))</f>
        <v/>
      </c>
      <c r="P514" s="8">
        <f>IF(ISNA(MATCH(505,'Transfer Engine'!$C$2:$C$1960,0)),"",HYPERLINK("#Acts!A"&amp;INDEX('Compliance Database'!$P$2:$P$1960,MATCH(505,'Transfer Engine'!$C$2:$C$1960,0)),"Go to Act"))</f>
        <v/>
      </c>
    </row>
    <row r="515" ht="158" customHeight="1">
      <c r="A515" s="8">
        <f>IF(ISNA(MATCH(506,'Transfer Engine'!$C$2:$C$1960,0)),"",INDEX('Compliance Database'!$A$2:$A$1960,MATCH(506,'Transfer Engine'!$C$2:$C$1960,0)))</f>
        <v/>
      </c>
      <c r="B515" s="8">
        <f>IF(ISNA(MATCH(506,'Transfer Engine'!$C$2:$C$1960,0)),"",INDEX('Compliance Database'!$B$2:$B$1960,MATCH(506,'Transfer Engine'!$C$2:$C$1960,0)))</f>
        <v/>
      </c>
      <c r="C515" s="8">
        <f>IF(ISNA(MATCH(506,'Transfer Engine'!$C$2:$C$1960,0)),"",INDEX('Compliance Database'!$C$2:$C$1960,MATCH(506,'Transfer Engine'!$C$2:$C$1960,0)))</f>
        <v/>
      </c>
      <c r="D515" s="9">
        <f>IF(ISNA(MATCH(506,'Transfer Engine'!$C$2:$C$1960,0)),"",INDEX('Compliance Database'!$D$2:$D$1960,MATCH(506,'Transfer Engine'!$C$2:$C$1960,0)))</f>
        <v/>
      </c>
      <c r="E515" s="8">
        <f>IF(ISNA(MATCH(506,'Transfer Engine'!$C$2:$C$1960,0)),"",INDEX('Compliance Database'!$E$2:$E$1960,MATCH(506,'Transfer Engine'!$C$2:$C$1960,0)))</f>
        <v/>
      </c>
      <c r="F515" s="8">
        <f>IF(ISNA(MATCH(506,'Transfer Engine'!$C$2:$C$1960,0)),"",INDEX('Compliance Database'!$F$2:$F$1960,MATCH(506,'Transfer Engine'!$C$2:$C$1960,0)))</f>
        <v/>
      </c>
      <c r="G515" s="8">
        <f>IF(ISNA(MATCH(506,'Transfer Engine'!$C$2:$C$1960,0)),"",INDEX('Compliance Database'!$G$2:$G$1960,MATCH(506,'Transfer Engine'!$C$2:$C$1960,0)))</f>
        <v/>
      </c>
      <c r="H515" s="9">
        <f>IF(ISNA(MATCH(506,'Transfer Engine'!$C$2:$C$1960,0)),"",INDEX('Compliance Database'!$H$2:$H$1960,MATCH(506,'Transfer Engine'!$C$2:$C$1960,0)))</f>
        <v/>
      </c>
      <c r="I515" s="9">
        <f>IF(ISNA(MATCH(506,'Transfer Engine'!$C$2:$C$1960,0)),"",INDEX('Compliance Database'!$I$2:$I$1960,MATCH(506,'Transfer Engine'!$C$2:$C$1960,0)))</f>
        <v/>
      </c>
      <c r="J515" s="8">
        <f>IF(ISNA(MATCH(506,'Transfer Engine'!$C$2:$C$1960,0)),"",INDEX('Compliance Database'!$J$2:$J$1960,MATCH(506,'Transfer Engine'!$C$2:$C$1960,0)))</f>
        <v/>
      </c>
      <c r="K515" s="9">
        <f>IF(ISNA(MATCH(506,'Transfer Engine'!$C$2:$C$1960,0)),"",INDEX('Compliance Database'!$K$2:$K$1960,MATCH(506,'Transfer Engine'!$C$2:$C$1960,0)))</f>
        <v/>
      </c>
      <c r="L515" s="9">
        <f>IF(ISNA(MATCH(506,'Transfer Engine'!$C$2:$C$1960,0)),"",INDEX('Compliance Database'!$L$2:$L$1960,MATCH(506,'Transfer Engine'!$C$2:$C$1960,0)))</f>
        <v/>
      </c>
      <c r="M515" s="9">
        <f>IF(ISNA(MATCH(506,'Transfer Engine'!$C$2:$C$1960,0)),"",INDEX('Compliance Database'!$M$2:$M$1960,MATCH(506,'Transfer Engine'!$C$2:$C$1960,0)))</f>
        <v/>
      </c>
      <c r="N515" s="9">
        <f>IF(ISNA(MATCH(506,'Transfer Engine'!$C$2:$C$1960,0)),"",INDEX('Compliance Database'!$N$2:$N$1960,MATCH(506,'Transfer Engine'!$C$2:$C$1960,0)))</f>
        <v/>
      </c>
      <c r="O515" s="9">
        <f>IF(ISNA(MATCH(506,'Transfer Engine'!$C$2:$C$1960,0)),"",INDEX('Compliance Database'!$O$2:$O$1960,MATCH(506,'Transfer Engine'!$C$2:$C$1960,0)))</f>
        <v/>
      </c>
      <c r="P515" s="8">
        <f>IF(ISNA(MATCH(506,'Transfer Engine'!$C$2:$C$1960,0)),"",HYPERLINK("#Acts!A"&amp;INDEX('Compliance Database'!$P$2:$P$1960,MATCH(506,'Transfer Engine'!$C$2:$C$1960,0)),"Go to Act"))</f>
        <v/>
      </c>
    </row>
    <row r="516" ht="158" customHeight="1">
      <c r="A516" s="8">
        <f>IF(ISNA(MATCH(507,'Transfer Engine'!$C$2:$C$1960,0)),"",INDEX('Compliance Database'!$A$2:$A$1960,MATCH(507,'Transfer Engine'!$C$2:$C$1960,0)))</f>
        <v/>
      </c>
      <c r="B516" s="8">
        <f>IF(ISNA(MATCH(507,'Transfer Engine'!$C$2:$C$1960,0)),"",INDEX('Compliance Database'!$B$2:$B$1960,MATCH(507,'Transfer Engine'!$C$2:$C$1960,0)))</f>
        <v/>
      </c>
      <c r="C516" s="8">
        <f>IF(ISNA(MATCH(507,'Transfer Engine'!$C$2:$C$1960,0)),"",INDEX('Compliance Database'!$C$2:$C$1960,MATCH(507,'Transfer Engine'!$C$2:$C$1960,0)))</f>
        <v/>
      </c>
      <c r="D516" s="9">
        <f>IF(ISNA(MATCH(507,'Transfer Engine'!$C$2:$C$1960,0)),"",INDEX('Compliance Database'!$D$2:$D$1960,MATCH(507,'Transfer Engine'!$C$2:$C$1960,0)))</f>
        <v/>
      </c>
      <c r="E516" s="8">
        <f>IF(ISNA(MATCH(507,'Transfer Engine'!$C$2:$C$1960,0)),"",INDEX('Compliance Database'!$E$2:$E$1960,MATCH(507,'Transfer Engine'!$C$2:$C$1960,0)))</f>
        <v/>
      </c>
      <c r="F516" s="8">
        <f>IF(ISNA(MATCH(507,'Transfer Engine'!$C$2:$C$1960,0)),"",INDEX('Compliance Database'!$F$2:$F$1960,MATCH(507,'Transfer Engine'!$C$2:$C$1960,0)))</f>
        <v/>
      </c>
      <c r="G516" s="8">
        <f>IF(ISNA(MATCH(507,'Transfer Engine'!$C$2:$C$1960,0)),"",INDEX('Compliance Database'!$G$2:$G$1960,MATCH(507,'Transfer Engine'!$C$2:$C$1960,0)))</f>
        <v/>
      </c>
      <c r="H516" s="9">
        <f>IF(ISNA(MATCH(507,'Transfer Engine'!$C$2:$C$1960,0)),"",INDEX('Compliance Database'!$H$2:$H$1960,MATCH(507,'Transfer Engine'!$C$2:$C$1960,0)))</f>
        <v/>
      </c>
      <c r="I516" s="9">
        <f>IF(ISNA(MATCH(507,'Transfer Engine'!$C$2:$C$1960,0)),"",INDEX('Compliance Database'!$I$2:$I$1960,MATCH(507,'Transfer Engine'!$C$2:$C$1960,0)))</f>
        <v/>
      </c>
      <c r="J516" s="8">
        <f>IF(ISNA(MATCH(507,'Transfer Engine'!$C$2:$C$1960,0)),"",INDEX('Compliance Database'!$J$2:$J$1960,MATCH(507,'Transfer Engine'!$C$2:$C$1960,0)))</f>
        <v/>
      </c>
      <c r="K516" s="9">
        <f>IF(ISNA(MATCH(507,'Transfer Engine'!$C$2:$C$1960,0)),"",INDEX('Compliance Database'!$K$2:$K$1960,MATCH(507,'Transfer Engine'!$C$2:$C$1960,0)))</f>
        <v/>
      </c>
      <c r="L516" s="9">
        <f>IF(ISNA(MATCH(507,'Transfer Engine'!$C$2:$C$1960,0)),"",INDEX('Compliance Database'!$L$2:$L$1960,MATCH(507,'Transfer Engine'!$C$2:$C$1960,0)))</f>
        <v/>
      </c>
      <c r="M516" s="9">
        <f>IF(ISNA(MATCH(507,'Transfer Engine'!$C$2:$C$1960,0)),"",INDEX('Compliance Database'!$M$2:$M$1960,MATCH(507,'Transfer Engine'!$C$2:$C$1960,0)))</f>
        <v/>
      </c>
      <c r="N516" s="9">
        <f>IF(ISNA(MATCH(507,'Transfer Engine'!$C$2:$C$1960,0)),"",INDEX('Compliance Database'!$N$2:$N$1960,MATCH(507,'Transfer Engine'!$C$2:$C$1960,0)))</f>
        <v/>
      </c>
      <c r="O516" s="9">
        <f>IF(ISNA(MATCH(507,'Transfer Engine'!$C$2:$C$1960,0)),"",INDEX('Compliance Database'!$O$2:$O$1960,MATCH(507,'Transfer Engine'!$C$2:$C$1960,0)))</f>
        <v/>
      </c>
      <c r="P516" s="8">
        <f>IF(ISNA(MATCH(507,'Transfer Engine'!$C$2:$C$1960,0)),"",HYPERLINK("#Acts!A"&amp;INDEX('Compliance Database'!$P$2:$P$1960,MATCH(507,'Transfer Engine'!$C$2:$C$1960,0)),"Go to Act"))</f>
        <v/>
      </c>
    </row>
    <row r="517" ht="158" customHeight="1">
      <c r="A517" s="8">
        <f>IF(ISNA(MATCH(508,'Transfer Engine'!$C$2:$C$1960,0)),"",INDEX('Compliance Database'!$A$2:$A$1960,MATCH(508,'Transfer Engine'!$C$2:$C$1960,0)))</f>
        <v/>
      </c>
      <c r="B517" s="8">
        <f>IF(ISNA(MATCH(508,'Transfer Engine'!$C$2:$C$1960,0)),"",INDEX('Compliance Database'!$B$2:$B$1960,MATCH(508,'Transfer Engine'!$C$2:$C$1960,0)))</f>
        <v/>
      </c>
      <c r="C517" s="8">
        <f>IF(ISNA(MATCH(508,'Transfer Engine'!$C$2:$C$1960,0)),"",INDEX('Compliance Database'!$C$2:$C$1960,MATCH(508,'Transfer Engine'!$C$2:$C$1960,0)))</f>
        <v/>
      </c>
      <c r="D517" s="9">
        <f>IF(ISNA(MATCH(508,'Transfer Engine'!$C$2:$C$1960,0)),"",INDEX('Compliance Database'!$D$2:$D$1960,MATCH(508,'Transfer Engine'!$C$2:$C$1960,0)))</f>
        <v/>
      </c>
      <c r="E517" s="8">
        <f>IF(ISNA(MATCH(508,'Transfer Engine'!$C$2:$C$1960,0)),"",INDEX('Compliance Database'!$E$2:$E$1960,MATCH(508,'Transfer Engine'!$C$2:$C$1960,0)))</f>
        <v/>
      </c>
      <c r="F517" s="8">
        <f>IF(ISNA(MATCH(508,'Transfer Engine'!$C$2:$C$1960,0)),"",INDEX('Compliance Database'!$F$2:$F$1960,MATCH(508,'Transfer Engine'!$C$2:$C$1960,0)))</f>
        <v/>
      </c>
      <c r="G517" s="8">
        <f>IF(ISNA(MATCH(508,'Transfer Engine'!$C$2:$C$1960,0)),"",INDEX('Compliance Database'!$G$2:$G$1960,MATCH(508,'Transfer Engine'!$C$2:$C$1960,0)))</f>
        <v/>
      </c>
      <c r="H517" s="9">
        <f>IF(ISNA(MATCH(508,'Transfer Engine'!$C$2:$C$1960,0)),"",INDEX('Compliance Database'!$H$2:$H$1960,MATCH(508,'Transfer Engine'!$C$2:$C$1960,0)))</f>
        <v/>
      </c>
      <c r="I517" s="9">
        <f>IF(ISNA(MATCH(508,'Transfer Engine'!$C$2:$C$1960,0)),"",INDEX('Compliance Database'!$I$2:$I$1960,MATCH(508,'Transfer Engine'!$C$2:$C$1960,0)))</f>
        <v/>
      </c>
      <c r="J517" s="8">
        <f>IF(ISNA(MATCH(508,'Transfer Engine'!$C$2:$C$1960,0)),"",INDEX('Compliance Database'!$J$2:$J$1960,MATCH(508,'Transfer Engine'!$C$2:$C$1960,0)))</f>
        <v/>
      </c>
      <c r="K517" s="9">
        <f>IF(ISNA(MATCH(508,'Transfer Engine'!$C$2:$C$1960,0)),"",INDEX('Compliance Database'!$K$2:$K$1960,MATCH(508,'Transfer Engine'!$C$2:$C$1960,0)))</f>
        <v/>
      </c>
      <c r="L517" s="9">
        <f>IF(ISNA(MATCH(508,'Transfer Engine'!$C$2:$C$1960,0)),"",INDEX('Compliance Database'!$L$2:$L$1960,MATCH(508,'Transfer Engine'!$C$2:$C$1960,0)))</f>
        <v/>
      </c>
      <c r="M517" s="9">
        <f>IF(ISNA(MATCH(508,'Transfer Engine'!$C$2:$C$1960,0)),"",INDEX('Compliance Database'!$M$2:$M$1960,MATCH(508,'Transfer Engine'!$C$2:$C$1960,0)))</f>
        <v/>
      </c>
      <c r="N517" s="9">
        <f>IF(ISNA(MATCH(508,'Transfer Engine'!$C$2:$C$1960,0)),"",INDEX('Compliance Database'!$N$2:$N$1960,MATCH(508,'Transfer Engine'!$C$2:$C$1960,0)))</f>
        <v/>
      </c>
      <c r="O517" s="9">
        <f>IF(ISNA(MATCH(508,'Transfer Engine'!$C$2:$C$1960,0)),"",INDEX('Compliance Database'!$O$2:$O$1960,MATCH(508,'Transfer Engine'!$C$2:$C$1960,0)))</f>
        <v/>
      </c>
      <c r="P517" s="8">
        <f>IF(ISNA(MATCH(508,'Transfer Engine'!$C$2:$C$1960,0)),"",HYPERLINK("#Acts!A"&amp;INDEX('Compliance Database'!$P$2:$P$1960,MATCH(508,'Transfer Engine'!$C$2:$C$1960,0)),"Go to Act"))</f>
        <v/>
      </c>
    </row>
    <row r="518" ht="158" customHeight="1">
      <c r="A518" s="8">
        <f>IF(ISNA(MATCH(509,'Transfer Engine'!$C$2:$C$1960,0)),"",INDEX('Compliance Database'!$A$2:$A$1960,MATCH(509,'Transfer Engine'!$C$2:$C$1960,0)))</f>
        <v/>
      </c>
      <c r="B518" s="8">
        <f>IF(ISNA(MATCH(509,'Transfer Engine'!$C$2:$C$1960,0)),"",INDEX('Compliance Database'!$B$2:$B$1960,MATCH(509,'Transfer Engine'!$C$2:$C$1960,0)))</f>
        <v/>
      </c>
      <c r="C518" s="8">
        <f>IF(ISNA(MATCH(509,'Transfer Engine'!$C$2:$C$1960,0)),"",INDEX('Compliance Database'!$C$2:$C$1960,MATCH(509,'Transfer Engine'!$C$2:$C$1960,0)))</f>
        <v/>
      </c>
      <c r="D518" s="9">
        <f>IF(ISNA(MATCH(509,'Transfer Engine'!$C$2:$C$1960,0)),"",INDEX('Compliance Database'!$D$2:$D$1960,MATCH(509,'Transfer Engine'!$C$2:$C$1960,0)))</f>
        <v/>
      </c>
      <c r="E518" s="8">
        <f>IF(ISNA(MATCH(509,'Transfer Engine'!$C$2:$C$1960,0)),"",INDEX('Compliance Database'!$E$2:$E$1960,MATCH(509,'Transfer Engine'!$C$2:$C$1960,0)))</f>
        <v/>
      </c>
      <c r="F518" s="8">
        <f>IF(ISNA(MATCH(509,'Transfer Engine'!$C$2:$C$1960,0)),"",INDEX('Compliance Database'!$F$2:$F$1960,MATCH(509,'Transfer Engine'!$C$2:$C$1960,0)))</f>
        <v/>
      </c>
      <c r="G518" s="8">
        <f>IF(ISNA(MATCH(509,'Transfer Engine'!$C$2:$C$1960,0)),"",INDEX('Compliance Database'!$G$2:$G$1960,MATCH(509,'Transfer Engine'!$C$2:$C$1960,0)))</f>
        <v/>
      </c>
      <c r="H518" s="9">
        <f>IF(ISNA(MATCH(509,'Transfer Engine'!$C$2:$C$1960,0)),"",INDEX('Compliance Database'!$H$2:$H$1960,MATCH(509,'Transfer Engine'!$C$2:$C$1960,0)))</f>
        <v/>
      </c>
      <c r="I518" s="9">
        <f>IF(ISNA(MATCH(509,'Transfer Engine'!$C$2:$C$1960,0)),"",INDEX('Compliance Database'!$I$2:$I$1960,MATCH(509,'Transfer Engine'!$C$2:$C$1960,0)))</f>
        <v/>
      </c>
      <c r="J518" s="8">
        <f>IF(ISNA(MATCH(509,'Transfer Engine'!$C$2:$C$1960,0)),"",INDEX('Compliance Database'!$J$2:$J$1960,MATCH(509,'Transfer Engine'!$C$2:$C$1960,0)))</f>
        <v/>
      </c>
      <c r="K518" s="9">
        <f>IF(ISNA(MATCH(509,'Transfer Engine'!$C$2:$C$1960,0)),"",INDEX('Compliance Database'!$K$2:$K$1960,MATCH(509,'Transfer Engine'!$C$2:$C$1960,0)))</f>
        <v/>
      </c>
      <c r="L518" s="9">
        <f>IF(ISNA(MATCH(509,'Transfer Engine'!$C$2:$C$1960,0)),"",INDEX('Compliance Database'!$L$2:$L$1960,MATCH(509,'Transfer Engine'!$C$2:$C$1960,0)))</f>
        <v/>
      </c>
      <c r="M518" s="9">
        <f>IF(ISNA(MATCH(509,'Transfer Engine'!$C$2:$C$1960,0)),"",INDEX('Compliance Database'!$M$2:$M$1960,MATCH(509,'Transfer Engine'!$C$2:$C$1960,0)))</f>
        <v/>
      </c>
      <c r="N518" s="9">
        <f>IF(ISNA(MATCH(509,'Transfer Engine'!$C$2:$C$1960,0)),"",INDEX('Compliance Database'!$N$2:$N$1960,MATCH(509,'Transfer Engine'!$C$2:$C$1960,0)))</f>
        <v/>
      </c>
      <c r="O518" s="9">
        <f>IF(ISNA(MATCH(509,'Transfer Engine'!$C$2:$C$1960,0)),"",INDEX('Compliance Database'!$O$2:$O$1960,MATCH(509,'Transfer Engine'!$C$2:$C$1960,0)))</f>
        <v/>
      </c>
      <c r="P518" s="8">
        <f>IF(ISNA(MATCH(509,'Transfer Engine'!$C$2:$C$1960,0)),"",HYPERLINK("#Acts!A"&amp;INDEX('Compliance Database'!$P$2:$P$1960,MATCH(509,'Transfer Engine'!$C$2:$C$1960,0)),"Go to Act"))</f>
        <v/>
      </c>
    </row>
    <row r="519" ht="158" customHeight="1">
      <c r="A519" s="8">
        <f>IF(ISNA(MATCH(510,'Transfer Engine'!$C$2:$C$1960,0)),"",INDEX('Compliance Database'!$A$2:$A$1960,MATCH(510,'Transfer Engine'!$C$2:$C$1960,0)))</f>
        <v/>
      </c>
      <c r="B519" s="8">
        <f>IF(ISNA(MATCH(510,'Transfer Engine'!$C$2:$C$1960,0)),"",INDEX('Compliance Database'!$B$2:$B$1960,MATCH(510,'Transfer Engine'!$C$2:$C$1960,0)))</f>
        <v/>
      </c>
      <c r="C519" s="8">
        <f>IF(ISNA(MATCH(510,'Transfer Engine'!$C$2:$C$1960,0)),"",INDEX('Compliance Database'!$C$2:$C$1960,MATCH(510,'Transfer Engine'!$C$2:$C$1960,0)))</f>
        <v/>
      </c>
      <c r="D519" s="9">
        <f>IF(ISNA(MATCH(510,'Transfer Engine'!$C$2:$C$1960,0)),"",INDEX('Compliance Database'!$D$2:$D$1960,MATCH(510,'Transfer Engine'!$C$2:$C$1960,0)))</f>
        <v/>
      </c>
      <c r="E519" s="8">
        <f>IF(ISNA(MATCH(510,'Transfer Engine'!$C$2:$C$1960,0)),"",INDEX('Compliance Database'!$E$2:$E$1960,MATCH(510,'Transfer Engine'!$C$2:$C$1960,0)))</f>
        <v/>
      </c>
      <c r="F519" s="8">
        <f>IF(ISNA(MATCH(510,'Transfer Engine'!$C$2:$C$1960,0)),"",INDEX('Compliance Database'!$F$2:$F$1960,MATCH(510,'Transfer Engine'!$C$2:$C$1960,0)))</f>
        <v/>
      </c>
      <c r="G519" s="8">
        <f>IF(ISNA(MATCH(510,'Transfer Engine'!$C$2:$C$1960,0)),"",INDEX('Compliance Database'!$G$2:$G$1960,MATCH(510,'Transfer Engine'!$C$2:$C$1960,0)))</f>
        <v/>
      </c>
      <c r="H519" s="9">
        <f>IF(ISNA(MATCH(510,'Transfer Engine'!$C$2:$C$1960,0)),"",INDEX('Compliance Database'!$H$2:$H$1960,MATCH(510,'Transfer Engine'!$C$2:$C$1960,0)))</f>
        <v/>
      </c>
      <c r="I519" s="9">
        <f>IF(ISNA(MATCH(510,'Transfer Engine'!$C$2:$C$1960,0)),"",INDEX('Compliance Database'!$I$2:$I$1960,MATCH(510,'Transfer Engine'!$C$2:$C$1960,0)))</f>
        <v/>
      </c>
      <c r="J519" s="8">
        <f>IF(ISNA(MATCH(510,'Transfer Engine'!$C$2:$C$1960,0)),"",INDEX('Compliance Database'!$J$2:$J$1960,MATCH(510,'Transfer Engine'!$C$2:$C$1960,0)))</f>
        <v/>
      </c>
      <c r="K519" s="9">
        <f>IF(ISNA(MATCH(510,'Transfer Engine'!$C$2:$C$1960,0)),"",INDEX('Compliance Database'!$K$2:$K$1960,MATCH(510,'Transfer Engine'!$C$2:$C$1960,0)))</f>
        <v/>
      </c>
      <c r="L519" s="9">
        <f>IF(ISNA(MATCH(510,'Transfer Engine'!$C$2:$C$1960,0)),"",INDEX('Compliance Database'!$L$2:$L$1960,MATCH(510,'Transfer Engine'!$C$2:$C$1960,0)))</f>
        <v/>
      </c>
      <c r="M519" s="9">
        <f>IF(ISNA(MATCH(510,'Transfer Engine'!$C$2:$C$1960,0)),"",INDEX('Compliance Database'!$M$2:$M$1960,MATCH(510,'Transfer Engine'!$C$2:$C$1960,0)))</f>
        <v/>
      </c>
      <c r="N519" s="9">
        <f>IF(ISNA(MATCH(510,'Transfer Engine'!$C$2:$C$1960,0)),"",INDEX('Compliance Database'!$N$2:$N$1960,MATCH(510,'Transfer Engine'!$C$2:$C$1960,0)))</f>
        <v/>
      </c>
      <c r="O519" s="9">
        <f>IF(ISNA(MATCH(510,'Transfer Engine'!$C$2:$C$1960,0)),"",INDEX('Compliance Database'!$O$2:$O$1960,MATCH(510,'Transfer Engine'!$C$2:$C$1960,0)))</f>
        <v/>
      </c>
      <c r="P519" s="8">
        <f>IF(ISNA(MATCH(510,'Transfer Engine'!$C$2:$C$1960,0)),"",HYPERLINK("#Acts!A"&amp;INDEX('Compliance Database'!$P$2:$P$1960,MATCH(510,'Transfer Engine'!$C$2:$C$1960,0)),"Go to Act"))</f>
        <v/>
      </c>
    </row>
    <row r="520" ht="158" customHeight="1">
      <c r="A520" s="8">
        <f>IF(ISNA(MATCH(511,'Transfer Engine'!$C$2:$C$1960,0)),"",INDEX('Compliance Database'!$A$2:$A$1960,MATCH(511,'Transfer Engine'!$C$2:$C$1960,0)))</f>
        <v/>
      </c>
      <c r="B520" s="8">
        <f>IF(ISNA(MATCH(511,'Transfer Engine'!$C$2:$C$1960,0)),"",INDEX('Compliance Database'!$B$2:$B$1960,MATCH(511,'Transfer Engine'!$C$2:$C$1960,0)))</f>
        <v/>
      </c>
      <c r="C520" s="8">
        <f>IF(ISNA(MATCH(511,'Transfer Engine'!$C$2:$C$1960,0)),"",INDEX('Compliance Database'!$C$2:$C$1960,MATCH(511,'Transfer Engine'!$C$2:$C$1960,0)))</f>
        <v/>
      </c>
      <c r="D520" s="9">
        <f>IF(ISNA(MATCH(511,'Transfer Engine'!$C$2:$C$1960,0)),"",INDEX('Compliance Database'!$D$2:$D$1960,MATCH(511,'Transfer Engine'!$C$2:$C$1960,0)))</f>
        <v/>
      </c>
      <c r="E520" s="8">
        <f>IF(ISNA(MATCH(511,'Transfer Engine'!$C$2:$C$1960,0)),"",INDEX('Compliance Database'!$E$2:$E$1960,MATCH(511,'Transfer Engine'!$C$2:$C$1960,0)))</f>
        <v/>
      </c>
      <c r="F520" s="8">
        <f>IF(ISNA(MATCH(511,'Transfer Engine'!$C$2:$C$1960,0)),"",INDEX('Compliance Database'!$F$2:$F$1960,MATCH(511,'Transfer Engine'!$C$2:$C$1960,0)))</f>
        <v/>
      </c>
      <c r="G520" s="8">
        <f>IF(ISNA(MATCH(511,'Transfer Engine'!$C$2:$C$1960,0)),"",INDEX('Compliance Database'!$G$2:$G$1960,MATCH(511,'Transfer Engine'!$C$2:$C$1960,0)))</f>
        <v/>
      </c>
      <c r="H520" s="9">
        <f>IF(ISNA(MATCH(511,'Transfer Engine'!$C$2:$C$1960,0)),"",INDEX('Compliance Database'!$H$2:$H$1960,MATCH(511,'Transfer Engine'!$C$2:$C$1960,0)))</f>
        <v/>
      </c>
      <c r="I520" s="9">
        <f>IF(ISNA(MATCH(511,'Transfer Engine'!$C$2:$C$1960,0)),"",INDEX('Compliance Database'!$I$2:$I$1960,MATCH(511,'Transfer Engine'!$C$2:$C$1960,0)))</f>
        <v/>
      </c>
      <c r="J520" s="8">
        <f>IF(ISNA(MATCH(511,'Transfer Engine'!$C$2:$C$1960,0)),"",INDEX('Compliance Database'!$J$2:$J$1960,MATCH(511,'Transfer Engine'!$C$2:$C$1960,0)))</f>
        <v/>
      </c>
      <c r="K520" s="9">
        <f>IF(ISNA(MATCH(511,'Transfer Engine'!$C$2:$C$1960,0)),"",INDEX('Compliance Database'!$K$2:$K$1960,MATCH(511,'Transfer Engine'!$C$2:$C$1960,0)))</f>
        <v/>
      </c>
      <c r="L520" s="9">
        <f>IF(ISNA(MATCH(511,'Transfer Engine'!$C$2:$C$1960,0)),"",INDEX('Compliance Database'!$L$2:$L$1960,MATCH(511,'Transfer Engine'!$C$2:$C$1960,0)))</f>
        <v/>
      </c>
      <c r="M520" s="9">
        <f>IF(ISNA(MATCH(511,'Transfer Engine'!$C$2:$C$1960,0)),"",INDEX('Compliance Database'!$M$2:$M$1960,MATCH(511,'Transfer Engine'!$C$2:$C$1960,0)))</f>
        <v/>
      </c>
      <c r="N520" s="9">
        <f>IF(ISNA(MATCH(511,'Transfer Engine'!$C$2:$C$1960,0)),"",INDEX('Compliance Database'!$N$2:$N$1960,MATCH(511,'Transfer Engine'!$C$2:$C$1960,0)))</f>
        <v/>
      </c>
      <c r="O520" s="9">
        <f>IF(ISNA(MATCH(511,'Transfer Engine'!$C$2:$C$1960,0)),"",INDEX('Compliance Database'!$O$2:$O$1960,MATCH(511,'Transfer Engine'!$C$2:$C$1960,0)))</f>
        <v/>
      </c>
      <c r="P520" s="8">
        <f>IF(ISNA(MATCH(511,'Transfer Engine'!$C$2:$C$1960,0)),"",HYPERLINK("#Acts!A"&amp;INDEX('Compliance Database'!$P$2:$P$1960,MATCH(511,'Transfer Engine'!$C$2:$C$1960,0)),"Go to Act"))</f>
        <v/>
      </c>
    </row>
    <row r="521" ht="158" customHeight="1">
      <c r="A521" s="8">
        <f>IF(ISNA(MATCH(512,'Transfer Engine'!$C$2:$C$1960,0)),"",INDEX('Compliance Database'!$A$2:$A$1960,MATCH(512,'Transfer Engine'!$C$2:$C$1960,0)))</f>
        <v/>
      </c>
      <c r="B521" s="8">
        <f>IF(ISNA(MATCH(512,'Transfer Engine'!$C$2:$C$1960,0)),"",INDEX('Compliance Database'!$B$2:$B$1960,MATCH(512,'Transfer Engine'!$C$2:$C$1960,0)))</f>
        <v/>
      </c>
      <c r="C521" s="8">
        <f>IF(ISNA(MATCH(512,'Transfer Engine'!$C$2:$C$1960,0)),"",INDEX('Compliance Database'!$C$2:$C$1960,MATCH(512,'Transfer Engine'!$C$2:$C$1960,0)))</f>
        <v/>
      </c>
      <c r="D521" s="9">
        <f>IF(ISNA(MATCH(512,'Transfer Engine'!$C$2:$C$1960,0)),"",INDEX('Compliance Database'!$D$2:$D$1960,MATCH(512,'Transfer Engine'!$C$2:$C$1960,0)))</f>
        <v/>
      </c>
      <c r="E521" s="8">
        <f>IF(ISNA(MATCH(512,'Transfer Engine'!$C$2:$C$1960,0)),"",INDEX('Compliance Database'!$E$2:$E$1960,MATCH(512,'Transfer Engine'!$C$2:$C$1960,0)))</f>
        <v/>
      </c>
      <c r="F521" s="8">
        <f>IF(ISNA(MATCH(512,'Transfer Engine'!$C$2:$C$1960,0)),"",INDEX('Compliance Database'!$F$2:$F$1960,MATCH(512,'Transfer Engine'!$C$2:$C$1960,0)))</f>
        <v/>
      </c>
      <c r="G521" s="8">
        <f>IF(ISNA(MATCH(512,'Transfer Engine'!$C$2:$C$1960,0)),"",INDEX('Compliance Database'!$G$2:$G$1960,MATCH(512,'Transfer Engine'!$C$2:$C$1960,0)))</f>
        <v/>
      </c>
      <c r="H521" s="9">
        <f>IF(ISNA(MATCH(512,'Transfer Engine'!$C$2:$C$1960,0)),"",INDEX('Compliance Database'!$H$2:$H$1960,MATCH(512,'Transfer Engine'!$C$2:$C$1960,0)))</f>
        <v/>
      </c>
      <c r="I521" s="9">
        <f>IF(ISNA(MATCH(512,'Transfer Engine'!$C$2:$C$1960,0)),"",INDEX('Compliance Database'!$I$2:$I$1960,MATCH(512,'Transfer Engine'!$C$2:$C$1960,0)))</f>
        <v/>
      </c>
      <c r="J521" s="8">
        <f>IF(ISNA(MATCH(512,'Transfer Engine'!$C$2:$C$1960,0)),"",INDEX('Compliance Database'!$J$2:$J$1960,MATCH(512,'Transfer Engine'!$C$2:$C$1960,0)))</f>
        <v/>
      </c>
      <c r="K521" s="9">
        <f>IF(ISNA(MATCH(512,'Transfer Engine'!$C$2:$C$1960,0)),"",INDEX('Compliance Database'!$K$2:$K$1960,MATCH(512,'Transfer Engine'!$C$2:$C$1960,0)))</f>
        <v/>
      </c>
      <c r="L521" s="9">
        <f>IF(ISNA(MATCH(512,'Transfer Engine'!$C$2:$C$1960,0)),"",INDEX('Compliance Database'!$L$2:$L$1960,MATCH(512,'Transfer Engine'!$C$2:$C$1960,0)))</f>
        <v/>
      </c>
      <c r="M521" s="9">
        <f>IF(ISNA(MATCH(512,'Transfer Engine'!$C$2:$C$1960,0)),"",INDEX('Compliance Database'!$M$2:$M$1960,MATCH(512,'Transfer Engine'!$C$2:$C$1960,0)))</f>
        <v/>
      </c>
      <c r="N521" s="9">
        <f>IF(ISNA(MATCH(512,'Transfer Engine'!$C$2:$C$1960,0)),"",INDEX('Compliance Database'!$N$2:$N$1960,MATCH(512,'Transfer Engine'!$C$2:$C$1960,0)))</f>
        <v/>
      </c>
      <c r="O521" s="9">
        <f>IF(ISNA(MATCH(512,'Transfer Engine'!$C$2:$C$1960,0)),"",INDEX('Compliance Database'!$O$2:$O$1960,MATCH(512,'Transfer Engine'!$C$2:$C$1960,0)))</f>
        <v/>
      </c>
      <c r="P521" s="8">
        <f>IF(ISNA(MATCH(512,'Transfer Engine'!$C$2:$C$1960,0)),"",HYPERLINK("#Acts!A"&amp;INDEX('Compliance Database'!$P$2:$P$1960,MATCH(512,'Transfer Engine'!$C$2:$C$1960,0)),"Go to Act"))</f>
        <v/>
      </c>
    </row>
    <row r="522" ht="158" customHeight="1">
      <c r="A522" s="8">
        <f>IF(ISNA(MATCH(513,'Transfer Engine'!$C$2:$C$1960,0)),"",INDEX('Compliance Database'!$A$2:$A$1960,MATCH(513,'Transfer Engine'!$C$2:$C$1960,0)))</f>
        <v/>
      </c>
      <c r="B522" s="8">
        <f>IF(ISNA(MATCH(513,'Transfer Engine'!$C$2:$C$1960,0)),"",INDEX('Compliance Database'!$B$2:$B$1960,MATCH(513,'Transfer Engine'!$C$2:$C$1960,0)))</f>
        <v/>
      </c>
      <c r="C522" s="8">
        <f>IF(ISNA(MATCH(513,'Transfer Engine'!$C$2:$C$1960,0)),"",INDEX('Compliance Database'!$C$2:$C$1960,MATCH(513,'Transfer Engine'!$C$2:$C$1960,0)))</f>
        <v/>
      </c>
      <c r="D522" s="9">
        <f>IF(ISNA(MATCH(513,'Transfer Engine'!$C$2:$C$1960,0)),"",INDEX('Compliance Database'!$D$2:$D$1960,MATCH(513,'Transfer Engine'!$C$2:$C$1960,0)))</f>
        <v/>
      </c>
      <c r="E522" s="8">
        <f>IF(ISNA(MATCH(513,'Transfer Engine'!$C$2:$C$1960,0)),"",INDEX('Compliance Database'!$E$2:$E$1960,MATCH(513,'Transfer Engine'!$C$2:$C$1960,0)))</f>
        <v/>
      </c>
      <c r="F522" s="8">
        <f>IF(ISNA(MATCH(513,'Transfer Engine'!$C$2:$C$1960,0)),"",INDEX('Compliance Database'!$F$2:$F$1960,MATCH(513,'Transfer Engine'!$C$2:$C$1960,0)))</f>
        <v/>
      </c>
      <c r="G522" s="8">
        <f>IF(ISNA(MATCH(513,'Transfer Engine'!$C$2:$C$1960,0)),"",INDEX('Compliance Database'!$G$2:$G$1960,MATCH(513,'Transfer Engine'!$C$2:$C$1960,0)))</f>
        <v/>
      </c>
      <c r="H522" s="9">
        <f>IF(ISNA(MATCH(513,'Transfer Engine'!$C$2:$C$1960,0)),"",INDEX('Compliance Database'!$H$2:$H$1960,MATCH(513,'Transfer Engine'!$C$2:$C$1960,0)))</f>
        <v/>
      </c>
      <c r="I522" s="9">
        <f>IF(ISNA(MATCH(513,'Transfer Engine'!$C$2:$C$1960,0)),"",INDEX('Compliance Database'!$I$2:$I$1960,MATCH(513,'Transfer Engine'!$C$2:$C$1960,0)))</f>
        <v/>
      </c>
      <c r="J522" s="8">
        <f>IF(ISNA(MATCH(513,'Transfer Engine'!$C$2:$C$1960,0)),"",INDEX('Compliance Database'!$J$2:$J$1960,MATCH(513,'Transfer Engine'!$C$2:$C$1960,0)))</f>
        <v/>
      </c>
      <c r="K522" s="9">
        <f>IF(ISNA(MATCH(513,'Transfer Engine'!$C$2:$C$1960,0)),"",INDEX('Compliance Database'!$K$2:$K$1960,MATCH(513,'Transfer Engine'!$C$2:$C$1960,0)))</f>
        <v/>
      </c>
      <c r="L522" s="9">
        <f>IF(ISNA(MATCH(513,'Transfer Engine'!$C$2:$C$1960,0)),"",INDEX('Compliance Database'!$L$2:$L$1960,MATCH(513,'Transfer Engine'!$C$2:$C$1960,0)))</f>
        <v/>
      </c>
      <c r="M522" s="9">
        <f>IF(ISNA(MATCH(513,'Transfer Engine'!$C$2:$C$1960,0)),"",INDEX('Compliance Database'!$M$2:$M$1960,MATCH(513,'Transfer Engine'!$C$2:$C$1960,0)))</f>
        <v/>
      </c>
      <c r="N522" s="9">
        <f>IF(ISNA(MATCH(513,'Transfer Engine'!$C$2:$C$1960,0)),"",INDEX('Compliance Database'!$N$2:$N$1960,MATCH(513,'Transfer Engine'!$C$2:$C$1960,0)))</f>
        <v/>
      </c>
      <c r="O522" s="9">
        <f>IF(ISNA(MATCH(513,'Transfer Engine'!$C$2:$C$1960,0)),"",INDEX('Compliance Database'!$O$2:$O$1960,MATCH(513,'Transfer Engine'!$C$2:$C$1960,0)))</f>
        <v/>
      </c>
      <c r="P522" s="8">
        <f>IF(ISNA(MATCH(513,'Transfer Engine'!$C$2:$C$1960,0)),"",HYPERLINK("#Acts!A"&amp;INDEX('Compliance Database'!$P$2:$P$1960,MATCH(513,'Transfer Engine'!$C$2:$C$1960,0)),"Go to Act"))</f>
        <v/>
      </c>
    </row>
    <row r="523" ht="158" customHeight="1">
      <c r="A523" s="8">
        <f>IF(ISNA(MATCH(514,'Transfer Engine'!$C$2:$C$1960,0)),"",INDEX('Compliance Database'!$A$2:$A$1960,MATCH(514,'Transfer Engine'!$C$2:$C$1960,0)))</f>
        <v/>
      </c>
      <c r="B523" s="8">
        <f>IF(ISNA(MATCH(514,'Transfer Engine'!$C$2:$C$1960,0)),"",INDEX('Compliance Database'!$B$2:$B$1960,MATCH(514,'Transfer Engine'!$C$2:$C$1960,0)))</f>
        <v/>
      </c>
      <c r="C523" s="8">
        <f>IF(ISNA(MATCH(514,'Transfer Engine'!$C$2:$C$1960,0)),"",INDEX('Compliance Database'!$C$2:$C$1960,MATCH(514,'Transfer Engine'!$C$2:$C$1960,0)))</f>
        <v/>
      </c>
      <c r="D523" s="9">
        <f>IF(ISNA(MATCH(514,'Transfer Engine'!$C$2:$C$1960,0)),"",INDEX('Compliance Database'!$D$2:$D$1960,MATCH(514,'Transfer Engine'!$C$2:$C$1960,0)))</f>
        <v/>
      </c>
      <c r="E523" s="8">
        <f>IF(ISNA(MATCH(514,'Transfer Engine'!$C$2:$C$1960,0)),"",INDEX('Compliance Database'!$E$2:$E$1960,MATCH(514,'Transfer Engine'!$C$2:$C$1960,0)))</f>
        <v/>
      </c>
      <c r="F523" s="8">
        <f>IF(ISNA(MATCH(514,'Transfer Engine'!$C$2:$C$1960,0)),"",INDEX('Compliance Database'!$F$2:$F$1960,MATCH(514,'Transfer Engine'!$C$2:$C$1960,0)))</f>
        <v/>
      </c>
      <c r="G523" s="8">
        <f>IF(ISNA(MATCH(514,'Transfer Engine'!$C$2:$C$1960,0)),"",INDEX('Compliance Database'!$G$2:$G$1960,MATCH(514,'Transfer Engine'!$C$2:$C$1960,0)))</f>
        <v/>
      </c>
      <c r="H523" s="9">
        <f>IF(ISNA(MATCH(514,'Transfer Engine'!$C$2:$C$1960,0)),"",INDEX('Compliance Database'!$H$2:$H$1960,MATCH(514,'Transfer Engine'!$C$2:$C$1960,0)))</f>
        <v/>
      </c>
      <c r="I523" s="9">
        <f>IF(ISNA(MATCH(514,'Transfer Engine'!$C$2:$C$1960,0)),"",INDEX('Compliance Database'!$I$2:$I$1960,MATCH(514,'Transfer Engine'!$C$2:$C$1960,0)))</f>
        <v/>
      </c>
      <c r="J523" s="8">
        <f>IF(ISNA(MATCH(514,'Transfer Engine'!$C$2:$C$1960,0)),"",INDEX('Compliance Database'!$J$2:$J$1960,MATCH(514,'Transfer Engine'!$C$2:$C$1960,0)))</f>
        <v/>
      </c>
      <c r="K523" s="9">
        <f>IF(ISNA(MATCH(514,'Transfer Engine'!$C$2:$C$1960,0)),"",INDEX('Compliance Database'!$K$2:$K$1960,MATCH(514,'Transfer Engine'!$C$2:$C$1960,0)))</f>
        <v/>
      </c>
      <c r="L523" s="9">
        <f>IF(ISNA(MATCH(514,'Transfer Engine'!$C$2:$C$1960,0)),"",INDEX('Compliance Database'!$L$2:$L$1960,MATCH(514,'Transfer Engine'!$C$2:$C$1960,0)))</f>
        <v/>
      </c>
      <c r="M523" s="9">
        <f>IF(ISNA(MATCH(514,'Transfer Engine'!$C$2:$C$1960,0)),"",INDEX('Compliance Database'!$M$2:$M$1960,MATCH(514,'Transfer Engine'!$C$2:$C$1960,0)))</f>
        <v/>
      </c>
      <c r="N523" s="9">
        <f>IF(ISNA(MATCH(514,'Transfer Engine'!$C$2:$C$1960,0)),"",INDEX('Compliance Database'!$N$2:$N$1960,MATCH(514,'Transfer Engine'!$C$2:$C$1960,0)))</f>
        <v/>
      </c>
      <c r="O523" s="9">
        <f>IF(ISNA(MATCH(514,'Transfer Engine'!$C$2:$C$1960,0)),"",INDEX('Compliance Database'!$O$2:$O$1960,MATCH(514,'Transfer Engine'!$C$2:$C$1960,0)))</f>
        <v/>
      </c>
      <c r="P523" s="8">
        <f>IF(ISNA(MATCH(514,'Transfer Engine'!$C$2:$C$1960,0)),"",HYPERLINK("#Acts!A"&amp;INDEX('Compliance Database'!$P$2:$P$1960,MATCH(514,'Transfer Engine'!$C$2:$C$1960,0)),"Go to Act"))</f>
        <v/>
      </c>
    </row>
    <row r="524" ht="158" customHeight="1">
      <c r="A524" s="8">
        <f>IF(ISNA(MATCH(515,'Transfer Engine'!$C$2:$C$1960,0)),"",INDEX('Compliance Database'!$A$2:$A$1960,MATCH(515,'Transfer Engine'!$C$2:$C$1960,0)))</f>
        <v/>
      </c>
      <c r="B524" s="8">
        <f>IF(ISNA(MATCH(515,'Transfer Engine'!$C$2:$C$1960,0)),"",INDEX('Compliance Database'!$B$2:$B$1960,MATCH(515,'Transfer Engine'!$C$2:$C$1960,0)))</f>
        <v/>
      </c>
      <c r="C524" s="8">
        <f>IF(ISNA(MATCH(515,'Transfer Engine'!$C$2:$C$1960,0)),"",INDEX('Compliance Database'!$C$2:$C$1960,MATCH(515,'Transfer Engine'!$C$2:$C$1960,0)))</f>
        <v/>
      </c>
      <c r="D524" s="9">
        <f>IF(ISNA(MATCH(515,'Transfer Engine'!$C$2:$C$1960,0)),"",INDEX('Compliance Database'!$D$2:$D$1960,MATCH(515,'Transfer Engine'!$C$2:$C$1960,0)))</f>
        <v/>
      </c>
      <c r="E524" s="8">
        <f>IF(ISNA(MATCH(515,'Transfer Engine'!$C$2:$C$1960,0)),"",INDEX('Compliance Database'!$E$2:$E$1960,MATCH(515,'Transfer Engine'!$C$2:$C$1960,0)))</f>
        <v/>
      </c>
      <c r="F524" s="8">
        <f>IF(ISNA(MATCH(515,'Transfer Engine'!$C$2:$C$1960,0)),"",INDEX('Compliance Database'!$F$2:$F$1960,MATCH(515,'Transfer Engine'!$C$2:$C$1960,0)))</f>
        <v/>
      </c>
      <c r="G524" s="8">
        <f>IF(ISNA(MATCH(515,'Transfer Engine'!$C$2:$C$1960,0)),"",INDEX('Compliance Database'!$G$2:$G$1960,MATCH(515,'Transfer Engine'!$C$2:$C$1960,0)))</f>
        <v/>
      </c>
      <c r="H524" s="9">
        <f>IF(ISNA(MATCH(515,'Transfer Engine'!$C$2:$C$1960,0)),"",INDEX('Compliance Database'!$H$2:$H$1960,MATCH(515,'Transfer Engine'!$C$2:$C$1960,0)))</f>
        <v/>
      </c>
      <c r="I524" s="9">
        <f>IF(ISNA(MATCH(515,'Transfer Engine'!$C$2:$C$1960,0)),"",INDEX('Compliance Database'!$I$2:$I$1960,MATCH(515,'Transfer Engine'!$C$2:$C$1960,0)))</f>
        <v/>
      </c>
      <c r="J524" s="8">
        <f>IF(ISNA(MATCH(515,'Transfer Engine'!$C$2:$C$1960,0)),"",INDEX('Compliance Database'!$J$2:$J$1960,MATCH(515,'Transfer Engine'!$C$2:$C$1960,0)))</f>
        <v/>
      </c>
      <c r="K524" s="9">
        <f>IF(ISNA(MATCH(515,'Transfer Engine'!$C$2:$C$1960,0)),"",INDEX('Compliance Database'!$K$2:$K$1960,MATCH(515,'Transfer Engine'!$C$2:$C$1960,0)))</f>
        <v/>
      </c>
      <c r="L524" s="9">
        <f>IF(ISNA(MATCH(515,'Transfer Engine'!$C$2:$C$1960,0)),"",INDEX('Compliance Database'!$L$2:$L$1960,MATCH(515,'Transfer Engine'!$C$2:$C$1960,0)))</f>
        <v/>
      </c>
      <c r="M524" s="9">
        <f>IF(ISNA(MATCH(515,'Transfer Engine'!$C$2:$C$1960,0)),"",INDEX('Compliance Database'!$M$2:$M$1960,MATCH(515,'Transfer Engine'!$C$2:$C$1960,0)))</f>
        <v/>
      </c>
      <c r="N524" s="9">
        <f>IF(ISNA(MATCH(515,'Transfer Engine'!$C$2:$C$1960,0)),"",INDEX('Compliance Database'!$N$2:$N$1960,MATCH(515,'Transfer Engine'!$C$2:$C$1960,0)))</f>
        <v/>
      </c>
      <c r="O524" s="9">
        <f>IF(ISNA(MATCH(515,'Transfer Engine'!$C$2:$C$1960,0)),"",INDEX('Compliance Database'!$O$2:$O$1960,MATCH(515,'Transfer Engine'!$C$2:$C$1960,0)))</f>
        <v/>
      </c>
      <c r="P524" s="8">
        <f>IF(ISNA(MATCH(515,'Transfer Engine'!$C$2:$C$1960,0)),"",HYPERLINK("#Acts!A"&amp;INDEX('Compliance Database'!$P$2:$P$1960,MATCH(515,'Transfer Engine'!$C$2:$C$1960,0)),"Go to Act"))</f>
        <v/>
      </c>
    </row>
    <row r="525" ht="158" customHeight="1">
      <c r="A525" s="8">
        <f>IF(ISNA(MATCH(516,'Transfer Engine'!$C$2:$C$1960,0)),"",INDEX('Compliance Database'!$A$2:$A$1960,MATCH(516,'Transfer Engine'!$C$2:$C$1960,0)))</f>
        <v/>
      </c>
      <c r="B525" s="8">
        <f>IF(ISNA(MATCH(516,'Transfer Engine'!$C$2:$C$1960,0)),"",INDEX('Compliance Database'!$B$2:$B$1960,MATCH(516,'Transfer Engine'!$C$2:$C$1960,0)))</f>
        <v/>
      </c>
      <c r="C525" s="8">
        <f>IF(ISNA(MATCH(516,'Transfer Engine'!$C$2:$C$1960,0)),"",INDEX('Compliance Database'!$C$2:$C$1960,MATCH(516,'Transfer Engine'!$C$2:$C$1960,0)))</f>
        <v/>
      </c>
      <c r="D525" s="9">
        <f>IF(ISNA(MATCH(516,'Transfer Engine'!$C$2:$C$1960,0)),"",INDEX('Compliance Database'!$D$2:$D$1960,MATCH(516,'Transfer Engine'!$C$2:$C$1960,0)))</f>
        <v/>
      </c>
      <c r="E525" s="8">
        <f>IF(ISNA(MATCH(516,'Transfer Engine'!$C$2:$C$1960,0)),"",INDEX('Compliance Database'!$E$2:$E$1960,MATCH(516,'Transfer Engine'!$C$2:$C$1960,0)))</f>
        <v/>
      </c>
      <c r="F525" s="8">
        <f>IF(ISNA(MATCH(516,'Transfer Engine'!$C$2:$C$1960,0)),"",INDEX('Compliance Database'!$F$2:$F$1960,MATCH(516,'Transfer Engine'!$C$2:$C$1960,0)))</f>
        <v/>
      </c>
      <c r="G525" s="8">
        <f>IF(ISNA(MATCH(516,'Transfer Engine'!$C$2:$C$1960,0)),"",INDEX('Compliance Database'!$G$2:$G$1960,MATCH(516,'Transfer Engine'!$C$2:$C$1960,0)))</f>
        <v/>
      </c>
      <c r="H525" s="9">
        <f>IF(ISNA(MATCH(516,'Transfer Engine'!$C$2:$C$1960,0)),"",INDEX('Compliance Database'!$H$2:$H$1960,MATCH(516,'Transfer Engine'!$C$2:$C$1960,0)))</f>
        <v/>
      </c>
      <c r="I525" s="9">
        <f>IF(ISNA(MATCH(516,'Transfer Engine'!$C$2:$C$1960,0)),"",INDEX('Compliance Database'!$I$2:$I$1960,MATCH(516,'Transfer Engine'!$C$2:$C$1960,0)))</f>
        <v/>
      </c>
      <c r="J525" s="8">
        <f>IF(ISNA(MATCH(516,'Transfer Engine'!$C$2:$C$1960,0)),"",INDEX('Compliance Database'!$J$2:$J$1960,MATCH(516,'Transfer Engine'!$C$2:$C$1960,0)))</f>
        <v/>
      </c>
      <c r="K525" s="9">
        <f>IF(ISNA(MATCH(516,'Transfer Engine'!$C$2:$C$1960,0)),"",INDEX('Compliance Database'!$K$2:$K$1960,MATCH(516,'Transfer Engine'!$C$2:$C$1960,0)))</f>
        <v/>
      </c>
      <c r="L525" s="9">
        <f>IF(ISNA(MATCH(516,'Transfer Engine'!$C$2:$C$1960,0)),"",INDEX('Compliance Database'!$L$2:$L$1960,MATCH(516,'Transfer Engine'!$C$2:$C$1960,0)))</f>
        <v/>
      </c>
      <c r="M525" s="9">
        <f>IF(ISNA(MATCH(516,'Transfer Engine'!$C$2:$C$1960,0)),"",INDEX('Compliance Database'!$M$2:$M$1960,MATCH(516,'Transfer Engine'!$C$2:$C$1960,0)))</f>
        <v/>
      </c>
      <c r="N525" s="9">
        <f>IF(ISNA(MATCH(516,'Transfer Engine'!$C$2:$C$1960,0)),"",INDEX('Compliance Database'!$N$2:$N$1960,MATCH(516,'Transfer Engine'!$C$2:$C$1960,0)))</f>
        <v/>
      </c>
      <c r="O525" s="9">
        <f>IF(ISNA(MATCH(516,'Transfer Engine'!$C$2:$C$1960,0)),"",INDEX('Compliance Database'!$O$2:$O$1960,MATCH(516,'Transfer Engine'!$C$2:$C$1960,0)))</f>
        <v/>
      </c>
      <c r="P525" s="8">
        <f>IF(ISNA(MATCH(516,'Transfer Engine'!$C$2:$C$1960,0)),"",HYPERLINK("#Acts!A"&amp;INDEX('Compliance Database'!$P$2:$P$1960,MATCH(516,'Transfer Engine'!$C$2:$C$1960,0)),"Go to Act"))</f>
        <v/>
      </c>
    </row>
    <row r="526" ht="158" customHeight="1">
      <c r="A526" s="8">
        <f>IF(ISNA(MATCH(517,'Transfer Engine'!$C$2:$C$1960,0)),"",INDEX('Compliance Database'!$A$2:$A$1960,MATCH(517,'Transfer Engine'!$C$2:$C$1960,0)))</f>
        <v/>
      </c>
      <c r="B526" s="8">
        <f>IF(ISNA(MATCH(517,'Transfer Engine'!$C$2:$C$1960,0)),"",INDEX('Compliance Database'!$B$2:$B$1960,MATCH(517,'Transfer Engine'!$C$2:$C$1960,0)))</f>
        <v/>
      </c>
      <c r="C526" s="8">
        <f>IF(ISNA(MATCH(517,'Transfer Engine'!$C$2:$C$1960,0)),"",INDEX('Compliance Database'!$C$2:$C$1960,MATCH(517,'Transfer Engine'!$C$2:$C$1960,0)))</f>
        <v/>
      </c>
      <c r="D526" s="9">
        <f>IF(ISNA(MATCH(517,'Transfer Engine'!$C$2:$C$1960,0)),"",INDEX('Compliance Database'!$D$2:$D$1960,MATCH(517,'Transfer Engine'!$C$2:$C$1960,0)))</f>
        <v/>
      </c>
      <c r="E526" s="8">
        <f>IF(ISNA(MATCH(517,'Transfer Engine'!$C$2:$C$1960,0)),"",INDEX('Compliance Database'!$E$2:$E$1960,MATCH(517,'Transfer Engine'!$C$2:$C$1960,0)))</f>
        <v/>
      </c>
      <c r="F526" s="8">
        <f>IF(ISNA(MATCH(517,'Transfer Engine'!$C$2:$C$1960,0)),"",INDEX('Compliance Database'!$F$2:$F$1960,MATCH(517,'Transfer Engine'!$C$2:$C$1960,0)))</f>
        <v/>
      </c>
      <c r="G526" s="8">
        <f>IF(ISNA(MATCH(517,'Transfer Engine'!$C$2:$C$1960,0)),"",INDEX('Compliance Database'!$G$2:$G$1960,MATCH(517,'Transfer Engine'!$C$2:$C$1960,0)))</f>
        <v/>
      </c>
      <c r="H526" s="9">
        <f>IF(ISNA(MATCH(517,'Transfer Engine'!$C$2:$C$1960,0)),"",INDEX('Compliance Database'!$H$2:$H$1960,MATCH(517,'Transfer Engine'!$C$2:$C$1960,0)))</f>
        <v/>
      </c>
      <c r="I526" s="9">
        <f>IF(ISNA(MATCH(517,'Transfer Engine'!$C$2:$C$1960,0)),"",INDEX('Compliance Database'!$I$2:$I$1960,MATCH(517,'Transfer Engine'!$C$2:$C$1960,0)))</f>
        <v/>
      </c>
      <c r="J526" s="8">
        <f>IF(ISNA(MATCH(517,'Transfer Engine'!$C$2:$C$1960,0)),"",INDEX('Compliance Database'!$J$2:$J$1960,MATCH(517,'Transfer Engine'!$C$2:$C$1960,0)))</f>
        <v/>
      </c>
      <c r="K526" s="9">
        <f>IF(ISNA(MATCH(517,'Transfer Engine'!$C$2:$C$1960,0)),"",INDEX('Compliance Database'!$K$2:$K$1960,MATCH(517,'Transfer Engine'!$C$2:$C$1960,0)))</f>
        <v/>
      </c>
      <c r="L526" s="9">
        <f>IF(ISNA(MATCH(517,'Transfer Engine'!$C$2:$C$1960,0)),"",INDEX('Compliance Database'!$L$2:$L$1960,MATCH(517,'Transfer Engine'!$C$2:$C$1960,0)))</f>
        <v/>
      </c>
      <c r="M526" s="9">
        <f>IF(ISNA(MATCH(517,'Transfer Engine'!$C$2:$C$1960,0)),"",INDEX('Compliance Database'!$M$2:$M$1960,MATCH(517,'Transfer Engine'!$C$2:$C$1960,0)))</f>
        <v/>
      </c>
      <c r="N526" s="9">
        <f>IF(ISNA(MATCH(517,'Transfer Engine'!$C$2:$C$1960,0)),"",INDEX('Compliance Database'!$N$2:$N$1960,MATCH(517,'Transfer Engine'!$C$2:$C$1960,0)))</f>
        <v/>
      </c>
      <c r="O526" s="9">
        <f>IF(ISNA(MATCH(517,'Transfer Engine'!$C$2:$C$1960,0)),"",INDEX('Compliance Database'!$O$2:$O$1960,MATCH(517,'Transfer Engine'!$C$2:$C$1960,0)))</f>
        <v/>
      </c>
      <c r="P526" s="8">
        <f>IF(ISNA(MATCH(517,'Transfer Engine'!$C$2:$C$1960,0)),"",HYPERLINK("#Acts!A"&amp;INDEX('Compliance Database'!$P$2:$P$1960,MATCH(517,'Transfer Engine'!$C$2:$C$1960,0)),"Go to Act"))</f>
        <v/>
      </c>
    </row>
    <row r="527" ht="158" customHeight="1">
      <c r="A527" s="8">
        <f>IF(ISNA(MATCH(518,'Transfer Engine'!$C$2:$C$1960,0)),"",INDEX('Compliance Database'!$A$2:$A$1960,MATCH(518,'Transfer Engine'!$C$2:$C$1960,0)))</f>
        <v/>
      </c>
      <c r="B527" s="8">
        <f>IF(ISNA(MATCH(518,'Transfer Engine'!$C$2:$C$1960,0)),"",INDEX('Compliance Database'!$B$2:$B$1960,MATCH(518,'Transfer Engine'!$C$2:$C$1960,0)))</f>
        <v/>
      </c>
      <c r="C527" s="8">
        <f>IF(ISNA(MATCH(518,'Transfer Engine'!$C$2:$C$1960,0)),"",INDEX('Compliance Database'!$C$2:$C$1960,MATCH(518,'Transfer Engine'!$C$2:$C$1960,0)))</f>
        <v/>
      </c>
      <c r="D527" s="9">
        <f>IF(ISNA(MATCH(518,'Transfer Engine'!$C$2:$C$1960,0)),"",INDEX('Compliance Database'!$D$2:$D$1960,MATCH(518,'Transfer Engine'!$C$2:$C$1960,0)))</f>
        <v/>
      </c>
      <c r="E527" s="8">
        <f>IF(ISNA(MATCH(518,'Transfer Engine'!$C$2:$C$1960,0)),"",INDEX('Compliance Database'!$E$2:$E$1960,MATCH(518,'Transfer Engine'!$C$2:$C$1960,0)))</f>
        <v/>
      </c>
      <c r="F527" s="8">
        <f>IF(ISNA(MATCH(518,'Transfer Engine'!$C$2:$C$1960,0)),"",INDEX('Compliance Database'!$F$2:$F$1960,MATCH(518,'Transfer Engine'!$C$2:$C$1960,0)))</f>
        <v/>
      </c>
      <c r="G527" s="8">
        <f>IF(ISNA(MATCH(518,'Transfer Engine'!$C$2:$C$1960,0)),"",INDEX('Compliance Database'!$G$2:$G$1960,MATCH(518,'Transfer Engine'!$C$2:$C$1960,0)))</f>
        <v/>
      </c>
      <c r="H527" s="9">
        <f>IF(ISNA(MATCH(518,'Transfer Engine'!$C$2:$C$1960,0)),"",INDEX('Compliance Database'!$H$2:$H$1960,MATCH(518,'Transfer Engine'!$C$2:$C$1960,0)))</f>
        <v/>
      </c>
      <c r="I527" s="9">
        <f>IF(ISNA(MATCH(518,'Transfer Engine'!$C$2:$C$1960,0)),"",INDEX('Compliance Database'!$I$2:$I$1960,MATCH(518,'Transfer Engine'!$C$2:$C$1960,0)))</f>
        <v/>
      </c>
      <c r="J527" s="8">
        <f>IF(ISNA(MATCH(518,'Transfer Engine'!$C$2:$C$1960,0)),"",INDEX('Compliance Database'!$J$2:$J$1960,MATCH(518,'Transfer Engine'!$C$2:$C$1960,0)))</f>
        <v/>
      </c>
      <c r="K527" s="9">
        <f>IF(ISNA(MATCH(518,'Transfer Engine'!$C$2:$C$1960,0)),"",INDEX('Compliance Database'!$K$2:$K$1960,MATCH(518,'Transfer Engine'!$C$2:$C$1960,0)))</f>
        <v/>
      </c>
      <c r="L527" s="9">
        <f>IF(ISNA(MATCH(518,'Transfer Engine'!$C$2:$C$1960,0)),"",INDEX('Compliance Database'!$L$2:$L$1960,MATCH(518,'Transfer Engine'!$C$2:$C$1960,0)))</f>
        <v/>
      </c>
      <c r="M527" s="9">
        <f>IF(ISNA(MATCH(518,'Transfer Engine'!$C$2:$C$1960,0)),"",INDEX('Compliance Database'!$M$2:$M$1960,MATCH(518,'Transfer Engine'!$C$2:$C$1960,0)))</f>
        <v/>
      </c>
      <c r="N527" s="9">
        <f>IF(ISNA(MATCH(518,'Transfer Engine'!$C$2:$C$1960,0)),"",INDEX('Compliance Database'!$N$2:$N$1960,MATCH(518,'Transfer Engine'!$C$2:$C$1960,0)))</f>
        <v/>
      </c>
      <c r="O527" s="9">
        <f>IF(ISNA(MATCH(518,'Transfer Engine'!$C$2:$C$1960,0)),"",INDEX('Compliance Database'!$O$2:$O$1960,MATCH(518,'Transfer Engine'!$C$2:$C$1960,0)))</f>
        <v/>
      </c>
      <c r="P527" s="8">
        <f>IF(ISNA(MATCH(518,'Transfer Engine'!$C$2:$C$1960,0)),"",HYPERLINK("#Acts!A"&amp;INDEX('Compliance Database'!$P$2:$P$1960,MATCH(518,'Transfer Engine'!$C$2:$C$1960,0)),"Go to Act"))</f>
        <v/>
      </c>
    </row>
    <row r="528" ht="158" customHeight="1">
      <c r="A528" s="8">
        <f>IF(ISNA(MATCH(519,'Transfer Engine'!$C$2:$C$1960,0)),"",INDEX('Compliance Database'!$A$2:$A$1960,MATCH(519,'Transfer Engine'!$C$2:$C$1960,0)))</f>
        <v/>
      </c>
      <c r="B528" s="8">
        <f>IF(ISNA(MATCH(519,'Transfer Engine'!$C$2:$C$1960,0)),"",INDEX('Compliance Database'!$B$2:$B$1960,MATCH(519,'Transfer Engine'!$C$2:$C$1960,0)))</f>
        <v/>
      </c>
      <c r="C528" s="8">
        <f>IF(ISNA(MATCH(519,'Transfer Engine'!$C$2:$C$1960,0)),"",INDEX('Compliance Database'!$C$2:$C$1960,MATCH(519,'Transfer Engine'!$C$2:$C$1960,0)))</f>
        <v/>
      </c>
      <c r="D528" s="9">
        <f>IF(ISNA(MATCH(519,'Transfer Engine'!$C$2:$C$1960,0)),"",INDEX('Compliance Database'!$D$2:$D$1960,MATCH(519,'Transfer Engine'!$C$2:$C$1960,0)))</f>
        <v/>
      </c>
      <c r="E528" s="8">
        <f>IF(ISNA(MATCH(519,'Transfer Engine'!$C$2:$C$1960,0)),"",INDEX('Compliance Database'!$E$2:$E$1960,MATCH(519,'Transfer Engine'!$C$2:$C$1960,0)))</f>
        <v/>
      </c>
      <c r="F528" s="8">
        <f>IF(ISNA(MATCH(519,'Transfer Engine'!$C$2:$C$1960,0)),"",INDEX('Compliance Database'!$F$2:$F$1960,MATCH(519,'Transfer Engine'!$C$2:$C$1960,0)))</f>
        <v/>
      </c>
      <c r="G528" s="8">
        <f>IF(ISNA(MATCH(519,'Transfer Engine'!$C$2:$C$1960,0)),"",INDEX('Compliance Database'!$G$2:$G$1960,MATCH(519,'Transfer Engine'!$C$2:$C$1960,0)))</f>
        <v/>
      </c>
      <c r="H528" s="9">
        <f>IF(ISNA(MATCH(519,'Transfer Engine'!$C$2:$C$1960,0)),"",INDEX('Compliance Database'!$H$2:$H$1960,MATCH(519,'Transfer Engine'!$C$2:$C$1960,0)))</f>
        <v/>
      </c>
      <c r="I528" s="9">
        <f>IF(ISNA(MATCH(519,'Transfer Engine'!$C$2:$C$1960,0)),"",INDEX('Compliance Database'!$I$2:$I$1960,MATCH(519,'Transfer Engine'!$C$2:$C$1960,0)))</f>
        <v/>
      </c>
      <c r="J528" s="8">
        <f>IF(ISNA(MATCH(519,'Transfer Engine'!$C$2:$C$1960,0)),"",INDEX('Compliance Database'!$J$2:$J$1960,MATCH(519,'Transfer Engine'!$C$2:$C$1960,0)))</f>
        <v/>
      </c>
      <c r="K528" s="9">
        <f>IF(ISNA(MATCH(519,'Transfer Engine'!$C$2:$C$1960,0)),"",INDEX('Compliance Database'!$K$2:$K$1960,MATCH(519,'Transfer Engine'!$C$2:$C$1960,0)))</f>
        <v/>
      </c>
      <c r="L528" s="9">
        <f>IF(ISNA(MATCH(519,'Transfer Engine'!$C$2:$C$1960,0)),"",INDEX('Compliance Database'!$L$2:$L$1960,MATCH(519,'Transfer Engine'!$C$2:$C$1960,0)))</f>
        <v/>
      </c>
      <c r="M528" s="9">
        <f>IF(ISNA(MATCH(519,'Transfer Engine'!$C$2:$C$1960,0)),"",INDEX('Compliance Database'!$M$2:$M$1960,MATCH(519,'Transfer Engine'!$C$2:$C$1960,0)))</f>
        <v/>
      </c>
      <c r="N528" s="9">
        <f>IF(ISNA(MATCH(519,'Transfer Engine'!$C$2:$C$1960,0)),"",INDEX('Compliance Database'!$N$2:$N$1960,MATCH(519,'Transfer Engine'!$C$2:$C$1960,0)))</f>
        <v/>
      </c>
      <c r="O528" s="9">
        <f>IF(ISNA(MATCH(519,'Transfer Engine'!$C$2:$C$1960,0)),"",INDEX('Compliance Database'!$O$2:$O$1960,MATCH(519,'Transfer Engine'!$C$2:$C$1960,0)))</f>
        <v/>
      </c>
      <c r="P528" s="8">
        <f>IF(ISNA(MATCH(519,'Transfer Engine'!$C$2:$C$1960,0)),"",HYPERLINK("#Acts!A"&amp;INDEX('Compliance Database'!$P$2:$P$1960,MATCH(519,'Transfer Engine'!$C$2:$C$1960,0)),"Go to Act"))</f>
        <v/>
      </c>
    </row>
    <row r="529" ht="158" customHeight="1">
      <c r="A529" s="8">
        <f>IF(ISNA(MATCH(520,'Transfer Engine'!$C$2:$C$1960,0)),"",INDEX('Compliance Database'!$A$2:$A$1960,MATCH(520,'Transfer Engine'!$C$2:$C$1960,0)))</f>
        <v/>
      </c>
      <c r="B529" s="8">
        <f>IF(ISNA(MATCH(520,'Transfer Engine'!$C$2:$C$1960,0)),"",INDEX('Compliance Database'!$B$2:$B$1960,MATCH(520,'Transfer Engine'!$C$2:$C$1960,0)))</f>
        <v/>
      </c>
      <c r="C529" s="8">
        <f>IF(ISNA(MATCH(520,'Transfer Engine'!$C$2:$C$1960,0)),"",INDEX('Compliance Database'!$C$2:$C$1960,MATCH(520,'Transfer Engine'!$C$2:$C$1960,0)))</f>
        <v/>
      </c>
      <c r="D529" s="9">
        <f>IF(ISNA(MATCH(520,'Transfer Engine'!$C$2:$C$1960,0)),"",INDEX('Compliance Database'!$D$2:$D$1960,MATCH(520,'Transfer Engine'!$C$2:$C$1960,0)))</f>
        <v/>
      </c>
      <c r="E529" s="8">
        <f>IF(ISNA(MATCH(520,'Transfer Engine'!$C$2:$C$1960,0)),"",INDEX('Compliance Database'!$E$2:$E$1960,MATCH(520,'Transfer Engine'!$C$2:$C$1960,0)))</f>
        <v/>
      </c>
      <c r="F529" s="8">
        <f>IF(ISNA(MATCH(520,'Transfer Engine'!$C$2:$C$1960,0)),"",INDEX('Compliance Database'!$F$2:$F$1960,MATCH(520,'Transfer Engine'!$C$2:$C$1960,0)))</f>
        <v/>
      </c>
      <c r="G529" s="8">
        <f>IF(ISNA(MATCH(520,'Transfer Engine'!$C$2:$C$1960,0)),"",INDEX('Compliance Database'!$G$2:$G$1960,MATCH(520,'Transfer Engine'!$C$2:$C$1960,0)))</f>
        <v/>
      </c>
      <c r="H529" s="9">
        <f>IF(ISNA(MATCH(520,'Transfer Engine'!$C$2:$C$1960,0)),"",INDEX('Compliance Database'!$H$2:$H$1960,MATCH(520,'Transfer Engine'!$C$2:$C$1960,0)))</f>
        <v/>
      </c>
      <c r="I529" s="9">
        <f>IF(ISNA(MATCH(520,'Transfer Engine'!$C$2:$C$1960,0)),"",INDEX('Compliance Database'!$I$2:$I$1960,MATCH(520,'Transfer Engine'!$C$2:$C$1960,0)))</f>
        <v/>
      </c>
      <c r="J529" s="8">
        <f>IF(ISNA(MATCH(520,'Transfer Engine'!$C$2:$C$1960,0)),"",INDEX('Compliance Database'!$J$2:$J$1960,MATCH(520,'Transfer Engine'!$C$2:$C$1960,0)))</f>
        <v/>
      </c>
      <c r="K529" s="9">
        <f>IF(ISNA(MATCH(520,'Transfer Engine'!$C$2:$C$1960,0)),"",INDEX('Compliance Database'!$K$2:$K$1960,MATCH(520,'Transfer Engine'!$C$2:$C$1960,0)))</f>
        <v/>
      </c>
      <c r="L529" s="9">
        <f>IF(ISNA(MATCH(520,'Transfer Engine'!$C$2:$C$1960,0)),"",INDEX('Compliance Database'!$L$2:$L$1960,MATCH(520,'Transfer Engine'!$C$2:$C$1960,0)))</f>
        <v/>
      </c>
      <c r="M529" s="9">
        <f>IF(ISNA(MATCH(520,'Transfer Engine'!$C$2:$C$1960,0)),"",INDEX('Compliance Database'!$M$2:$M$1960,MATCH(520,'Transfer Engine'!$C$2:$C$1960,0)))</f>
        <v/>
      </c>
      <c r="N529" s="9">
        <f>IF(ISNA(MATCH(520,'Transfer Engine'!$C$2:$C$1960,0)),"",INDEX('Compliance Database'!$N$2:$N$1960,MATCH(520,'Transfer Engine'!$C$2:$C$1960,0)))</f>
        <v/>
      </c>
      <c r="O529" s="9">
        <f>IF(ISNA(MATCH(520,'Transfer Engine'!$C$2:$C$1960,0)),"",INDEX('Compliance Database'!$O$2:$O$1960,MATCH(520,'Transfer Engine'!$C$2:$C$1960,0)))</f>
        <v/>
      </c>
      <c r="P529" s="8">
        <f>IF(ISNA(MATCH(520,'Transfer Engine'!$C$2:$C$1960,0)),"",HYPERLINK("#Acts!A"&amp;INDEX('Compliance Database'!$P$2:$P$1960,MATCH(520,'Transfer Engine'!$C$2:$C$1960,0)),"Go to Act"))</f>
        <v/>
      </c>
    </row>
    <row r="530" ht="158" customHeight="1">
      <c r="A530" s="8">
        <f>IF(ISNA(MATCH(521,'Transfer Engine'!$C$2:$C$1960,0)),"",INDEX('Compliance Database'!$A$2:$A$1960,MATCH(521,'Transfer Engine'!$C$2:$C$1960,0)))</f>
        <v/>
      </c>
      <c r="B530" s="8">
        <f>IF(ISNA(MATCH(521,'Transfer Engine'!$C$2:$C$1960,0)),"",INDEX('Compliance Database'!$B$2:$B$1960,MATCH(521,'Transfer Engine'!$C$2:$C$1960,0)))</f>
        <v/>
      </c>
      <c r="C530" s="8">
        <f>IF(ISNA(MATCH(521,'Transfer Engine'!$C$2:$C$1960,0)),"",INDEX('Compliance Database'!$C$2:$C$1960,MATCH(521,'Transfer Engine'!$C$2:$C$1960,0)))</f>
        <v/>
      </c>
      <c r="D530" s="9">
        <f>IF(ISNA(MATCH(521,'Transfer Engine'!$C$2:$C$1960,0)),"",INDEX('Compliance Database'!$D$2:$D$1960,MATCH(521,'Transfer Engine'!$C$2:$C$1960,0)))</f>
        <v/>
      </c>
      <c r="E530" s="8">
        <f>IF(ISNA(MATCH(521,'Transfer Engine'!$C$2:$C$1960,0)),"",INDEX('Compliance Database'!$E$2:$E$1960,MATCH(521,'Transfer Engine'!$C$2:$C$1960,0)))</f>
        <v/>
      </c>
      <c r="F530" s="8">
        <f>IF(ISNA(MATCH(521,'Transfer Engine'!$C$2:$C$1960,0)),"",INDEX('Compliance Database'!$F$2:$F$1960,MATCH(521,'Transfer Engine'!$C$2:$C$1960,0)))</f>
        <v/>
      </c>
      <c r="G530" s="8">
        <f>IF(ISNA(MATCH(521,'Transfer Engine'!$C$2:$C$1960,0)),"",INDEX('Compliance Database'!$G$2:$G$1960,MATCH(521,'Transfer Engine'!$C$2:$C$1960,0)))</f>
        <v/>
      </c>
      <c r="H530" s="9">
        <f>IF(ISNA(MATCH(521,'Transfer Engine'!$C$2:$C$1960,0)),"",INDEX('Compliance Database'!$H$2:$H$1960,MATCH(521,'Transfer Engine'!$C$2:$C$1960,0)))</f>
        <v/>
      </c>
      <c r="I530" s="9">
        <f>IF(ISNA(MATCH(521,'Transfer Engine'!$C$2:$C$1960,0)),"",INDEX('Compliance Database'!$I$2:$I$1960,MATCH(521,'Transfer Engine'!$C$2:$C$1960,0)))</f>
        <v/>
      </c>
      <c r="J530" s="8">
        <f>IF(ISNA(MATCH(521,'Transfer Engine'!$C$2:$C$1960,0)),"",INDEX('Compliance Database'!$J$2:$J$1960,MATCH(521,'Transfer Engine'!$C$2:$C$1960,0)))</f>
        <v/>
      </c>
      <c r="K530" s="9">
        <f>IF(ISNA(MATCH(521,'Transfer Engine'!$C$2:$C$1960,0)),"",INDEX('Compliance Database'!$K$2:$K$1960,MATCH(521,'Transfer Engine'!$C$2:$C$1960,0)))</f>
        <v/>
      </c>
      <c r="L530" s="9">
        <f>IF(ISNA(MATCH(521,'Transfer Engine'!$C$2:$C$1960,0)),"",INDEX('Compliance Database'!$L$2:$L$1960,MATCH(521,'Transfer Engine'!$C$2:$C$1960,0)))</f>
        <v/>
      </c>
      <c r="M530" s="9">
        <f>IF(ISNA(MATCH(521,'Transfer Engine'!$C$2:$C$1960,0)),"",INDEX('Compliance Database'!$M$2:$M$1960,MATCH(521,'Transfer Engine'!$C$2:$C$1960,0)))</f>
        <v/>
      </c>
      <c r="N530" s="9">
        <f>IF(ISNA(MATCH(521,'Transfer Engine'!$C$2:$C$1960,0)),"",INDEX('Compliance Database'!$N$2:$N$1960,MATCH(521,'Transfer Engine'!$C$2:$C$1960,0)))</f>
        <v/>
      </c>
      <c r="O530" s="9">
        <f>IF(ISNA(MATCH(521,'Transfer Engine'!$C$2:$C$1960,0)),"",INDEX('Compliance Database'!$O$2:$O$1960,MATCH(521,'Transfer Engine'!$C$2:$C$1960,0)))</f>
        <v/>
      </c>
      <c r="P530" s="8">
        <f>IF(ISNA(MATCH(521,'Transfer Engine'!$C$2:$C$1960,0)),"",HYPERLINK("#Acts!A"&amp;INDEX('Compliance Database'!$P$2:$P$1960,MATCH(521,'Transfer Engine'!$C$2:$C$1960,0)),"Go to Act"))</f>
        <v/>
      </c>
    </row>
    <row r="531" ht="158" customHeight="1">
      <c r="A531" s="8">
        <f>IF(ISNA(MATCH(522,'Transfer Engine'!$C$2:$C$1960,0)),"",INDEX('Compliance Database'!$A$2:$A$1960,MATCH(522,'Transfer Engine'!$C$2:$C$1960,0)))</f>
        <v/>
      </c>
      <c r="B531" s="8">
        <f>IF(ISNA(MATCH(522,'Transfer Engine'!$C$2:$C$1960,0)),"",INDEX('Compliance Database'!$B$2:$B$1960,MATCH(522,'Transfer Engine'!$C$2:$C$1960,0)))</f>
        <v/>
      </c>
      <c r="C531" s="8">
        <f>IF(ISNA(MATCH(522,'Transfer Engine'!$C$2:$C$1960,0)),"",INDEX('Compliance Database'!$C$2:$C$1960,MATCH(522,'Transfer Engine'!$C$2:$C$1960,0)))</f>
        <v/>
      </c>
      <c r="D531" s="9">
        <f>IF(ISNA(MATCH(522,'Transfer Engine'!$C$2:$C$1960,0)),"",INDEX('Compliance Database'!$D$2:$D$1960,MATCH(522,'Transfer Engine'!$C$2:$C$1960,0)))</f>
        <v/>
      </c>
      <c r="E531" s="8">
        <f>IF(ISNA(MATCH(522,'Transfer Engine'!$C$2:$C$1960,0)),"",INDEX('Compliance Database'!$E$2:$E$1960,MATCH(522,'Transfer Engine'!$C$2:$C$1960,0)))</f>
        <v/>
      </c>
      <c r="F531" s="8">
        <f>IF(ISNA(MATCH(522,'Transfer Engine'!$C$2:$C$1960,0)),"",INDEX('Compliance Database'!$F$2:$F$1960,MATCH(522,'Transfer Engine'!$C$2:$C$1960,0)))</f>
        <v/>
      </c>
      <c r="G531" s="8">
        <f>IF(ISNA(MATCH(522,'Transfer Engine'!$C$2:$C$1960,0)),"",INDEX('Compliance Database'!$G$2:$G$1960,MATCH(522,'Transfer Engine'!$C$2:$C$1960,0)))</f>
        <v/>
      </c>
      <c r="H531" s="9">
        <f>IF(ISNA(MATCH(522,'Transfer Engine'!$C$2:$C$1960,0)),"",INDEX('Compliance Database'!$H$2:$H$1960,MATCH(522,'Transfer Engine'!$C$2:$C$1960,0)))</f>
        <v/>
      </c>
      <c r="I531" s="9">
        <f>IF(ISNA(MATCH(522,'Transfer Engine'!$C$2:$C$1960,0)),"",INDEX('Compliance Database'!$I$2:$I$1960,MATCH(522,'Transfer Engine'!$C$2:$C$1960,0)))</f>
        <v/>
      </c>
      <c r="J531" s="8">
        <f>IF(ISNA(MATCH(522,'Transfer Engine'!$C$2:$C$1960,0)),"",INDEX('Compliance Database'!$J$2:$J$1960,MATCH(522,'Transfer Engine'!$C$2:$C$1960,0)))</f>
        <v/>
      </c>
      <c r="K531" s="9">
        <f>IF(ISNA(MATCH(522,'Transfer Engine'!$C$2:$C$1960,0)),"",INDEX('Compliance Database'!$K$2:$K$1960,MATCH(522,'Transfer Engine'!$C$2:$C$1960,0)))</f>
        <v/>
      </c>
      <c r="L531" s="9">
        <f>IF(ISNA(MATCH(522,'Transfer Engine'!$C$2:$C$1960,0)),"",INDEX('Compliance Database'!$L$2:$L$1960,MATCH(522,'Transfer Engine'!$C$2:$C$1960,0)))</f>
        <v/>
      </c>
      <c r="M531" s="9">
        <f>IF(ISNA(MATCH(522,'Transfer Engine'!$C$2:$C$1960,0)),"",INDEX('Compliance Database'!$M$2:$M$1960,MATCH(522,'Transfer Engine'!$C$2:$C$1960,0)))</f>
        <v/>
      </c>
      <c r="N531" s="9">
        <f>IF(ISNA(MATCH(522,'Transfer Engine'!$C$2:$C$1960,0)),"",INDEX('Compliance Database'!$N$2:$N$1960,MATCH(522,'Transfer Engine'!$C$2:$C$1960,0)))</f>
        <v/>
      </c>
      <c r="O531" s="9">
        <f>IF(ISNA(MATCH(522,'Transfer Engine'!$C$2:$C$1960,0)),"",INDEX('Compliance Database'!$O$2:$O$1960,MATCH(522,'Transfer Engine'!$C$2:$C$1960,0)))</f>
        <v/>
      </c>
      <c r="P531" s="8">
        <f>IF(ISNA(MATCH(522,'Transfer Engine'!$C$2:$C$1960,0)),"",HYPERLINK("#Acts!A"&amp;INDEX('Compliance Database'!$P$2:$P$1960,MATCH(522,'Transfer Engine'!$C$2:$C$1960,0)),"Go to Act"))</f>
        <v/>
      </c>
    </row>
    <row r="532" ht="158" customHeight="1">
      <c r="A532" s="8">
        <f>IF(ISNA(MATCH(523,'Transfer Engine'!$C$2:$C$1960,0)),"",INDEX('Compliance Database'!$A$2:$A$1960,MATCH(523,'Transfer Engine'!$C$2:$C$1960,0)))</f>
        <v/>
      </c>
      <c r="B532" s="8">
        <f>IF(ISNA(MATCH(523,'Transfer Engine'!$C$2:$C$1960,0)),"",INDEX('Compliance Database'!$B$2:$B$1960,MATCH(523,'Transfer Engine'!$C$2:$C$1960,0)))</f>
        <v/>
      </c>
      <c r="C532" s="8">
        <f>IF(ISNA(MATCH(523,'Transfer Engine'!$C$2:$C$1960,0)),"",INDEX('Compliance Database'!$C$2:$C$1960,MATCH(523,'Transfer Engine'!$C$2:$C$1960,0)))</f>
        <v/>
      </c>
      <c r="D532" s="9">
        <f>IF(ISNA(MATCH(523,'Transfer Engine'!$C$2:$C$1960,0)),"",INDEX('Compliance Database'!$D$2:$D$1960,MATCH(523,'Transfer Engine'!$C$2:$C$1960,0)))</f>
        <v/>
      </c>
      <c r="E532" s="8">
        <f>IF(ISNA(MATCH(523,'Transfer Engine'!$C$2:$C$1960,0)),"",INDEX('Compliance Database'!$E$2:$E$1960,MATCH(523,'Transfer Engine'!$C$2:$C$1960,0)))</f>
        <v/>
      </c>
      <c r="F532" s="8">
        <f>IF(ISNA(MATCH(523,'Transfer Engine'!$C$2:$C$1960,0)),"",INDEX('Compliance Database'!$F$2:$F$1960,MATCH(523,'Transfer Engine'!$C$2:$C$1960,0)))</f>
        <v/>
      </c>
      <c r="G532" s="8">
        <f>IF(ISNA(MATCH(523,'Transfer Engine'!$C$2:$C$1960,0)),"",INDEX('Compliance Database'!$G$2:$G$1960,MATCH(523,'Transfer Engine'!$C$2:$C$1960,0)))</f>
        <v/>
      </c>
      <c r="H532" s="9">
        <f>IF(ISNA(MATCH(523,'Transfer Engine'!$C$2:$C$1960,0)),"",INDEX('Compliance Database'!$H$2:$H$1960,MATCH(523,'Transfer Engine'!$C$2:$C$1960,0)))</f>
        <v/>
      </c>
      <c r="I532" s="9">
        <f>IF(ISNA(MATCH(523,'Transfer Engine'!$C$2:$C$1960,0)),"",INDEX('Compliance Database'!$I$2:$I$1960,MATCH(523,'Transfer Engine'!$C$2:$C$1960,0)))</f>
        <v/>
      </c>
      <c r="J532" s="8">
        <f>IF(ISNA(MATCH(523,'Transfer Engine'!$C$2:$C$1960,0)),"",INDEX('Compliance Database'!$J$2:$J$1960,MATCH(523,'Transfer Engine'!$C$2:$C$1960,0)))</f>
        <v/>
      </c>
      <c r="K532" s="9">
        <f>IF(ISNA(MATCH(523,'Transfer Engine'!$C$2:$C$1960,0)),"",INDEX('Compliance Database'!$K$2:$K$1960,MATCH(523,'Transfer Engine'!$C$2:$C$1960,0)))</f>
        <v/>
      </c>
      <c r="L532" s="9">
        <f>IF(ISNA(MATCH(523,'Transfer Engine'!$C$2:$C$1960,0)),"",INDEX('Compliance Database'!$L$2:$L$1960,MATCH(523,'Transfer Engine'!$C$2:$C$1960,0)))</f>
        <v/>
      </c>
      <c r="M532" s="9">
        <f>IF(ISNA(MATCH(523,'Transfer Engine'!$C$2:$C$1960,0)),"",INDEX('Compliance Database'!$M$2:$M$1960,MATCH(523,'Transfer Engine'!$C$2:$C$1960,0)))</f>
        <v/>
      </c>
      <c r="N532" s="9">
        <f>IF(ISNA(MATCH(523,'Transfer Engine'!$C$2:$C$1960,0)),"",INDEX('Compliance Database'!$N$2:$N$1960,MATCH(523,'Transfer Engine'!$C$2:$C$1960,0)))</f>
        <v/>
      </c>
      <c r="O532" s="9">
        <f>IF(ISNA(MATCH(523,'Transfer Engine'!$C$2:$C$1960,0)),"",INDEX('Compliance Database'!$O$2:$O$1960,MATCH(523,'Transfer Engine'!$C$2:$C$1960,0)))</f>
        <v/>
      </c>
      <c r="P532" s="8">
        <f>IF(ISNA(MATCH(523,'Transfer Engine'!$C$2:$C$1960,0)),"",HYPERLINK("#Acts!A"&amp;INDEX('Compliance Database'!$P$2:$P$1960,MATCH(523,'Transfer Engine'!$C$2:$C$1960,0)),"Go to Act"))</f>
        <v/>
      </c>
    </row>
    <row r="533" ht="158" customHeight="1">
      <c r="A533" s="8">
        <f>IF(ISNA(MATCH(524,'Transfer Engine'!$C$2:$C$1960,0)),"",INDEX('Compliance Database'!$A$2:$A$1960,MATCH(524,'Transfer Engine'!$C$2:$C$1960,0)))</f>
        <v/>
      </c>
      <c r="B533" s="8">
        <f>IF(ISNA(MATCH(524,'Transfer Engine'!$C$2:$C$1960,0)),"",INDEX('Compliance Database'!$B$2:$B$1960,MATCH(524,'Transfer Engine'!$C$2:$C$1960,0)))</f>
        <v/>
      </c>
      <c r="C533" s="8">
        <f>IF(ISNA(MATCH(524,'Transfer Engine'!$C$2:$C$1960,0)),"",INDEX('Compliance Database'!$C$2:$C$1960,MATCH(524,'Transfer Engine'!$C$2:$C$1960,0)))</f>
        <v/>
      </c>
      <c r="D533" s="9">
        <f>IF(ISNA(MATCH(524,'Transfer Engine'!$C$2:$C$1960,0)),"",INDEX('Compliance Database'!$D$2:$D$1960,MATCH(524,'Transfer Engine'!$C$2:$C$1960,0)))</f>
        <v/>
      </c>
      <c r="E533" s="8">
        <f>IF(ISNA(MATCH(524,'Transfer Engine'!$C$2:$C$1960,0)),"",INDEX('Compliance Database'!$E$2:$E$1960,MATCH(524,'Transfer Engine'!$C$2:$C$1960,0)))</f>
        <v/>
      </c>
      <c r="F533" s="8">
        <f>IF(ISNA(MATCH(524,'Transfer Engine'!$C$2:$C$1960,0)),"",INDEX('Compliance Database'!$F$2:$F$1960,MATCH(524,'Transfer Engine'!$C$2:$C$1960,0)))</f>
        <v/>
      </c>
      <c r="G533" s="8">
        <f>IF(ISNA(MATCH(524,'Transfer Engine'!$C$2:$C$1960,0)),"",INDEX('Compliance Database'!$G$2:$G$1960,MATCH(524,'Transfer Engine'!$C$2:$C$1960,0)))</f>
        <v/>
      </c>
      <c r="H533" s="9">
        <f>IF(ISNA(MATCH(524,'Transfer Engine'!$C$2:$C$1960,0)),"",INDEX('Compliance Database'!$H$2:$H$1960,MATCH(524,'Transfer Engine'!$C$2:$C$1960,0)))</f>
        <v/>
      </c>
      <c r="I533" s="9">
        <f>IF(ISNA(MATCH(524,'Transfer Engine'!$C$2:$C$1960,0)),"",INDEX('Compliance Database'!$I$2:$I$1960,MATCH(524,'Transfer Engine'!$C$2:$C$1960,0)))</f>
        <v/>
      </c>
      <c r="J533" s="8">
        <f>IF(ISNA(MATCH(524,'Transfer Engine'!$C$2:$C$1960,0)),"",INDEX('Compliance Database'!$J$2:$J$1960,MATCH(524,'Transfer Engine'!$C$2:$C$1960,0)))</f>
        <v/>
      </c>
      <c r="K533" s="9">
        <f>IF(ISNA(MATCH(524,'Transfer Engine'!$C$2:$C$1960,0)),"",INDEX('Compliance Database'!$K$2:$K$1960,MATCH(524,'Transfer Engine'!$C$2:$C$1960,0)))</f>
        <v/>
      </c>
      <c r="L533" s="9">
        <f>IF(ISNA(MATCH(524,'Transfer Engine'!$C$2:$C$1960,0)),"",INDEX('Compliance Database'!$L$2:$L$1960,MATCH(524,'Transfer Engine'!$C$2:$C$1960,0)))</f>
        <v/>
      </c>
      <c r="M533" s="9">
        <f>IF(ISNA(MATCH(524,'Transfer Engine'!$C$2:$C$1960,0)),"",INDEX('Compliance Database'!$M$2:$M$1960,MATCH(524,'Transfer Engine'!$C$2:$C$1960,0)))</f>
        <v/>
      </c>
      <c r="N533" s="9">
        <f>IF(ISNA(MATCH(524,'Transfer Engine'!$C$2:$C$1960,0)),"",INDEX('Compliance Database'!$N$2:$N$1960,MATCH(524,'Transfer Engine'!$C$2:$C$1960,0)))</f>
        <v/>
      </c>
      <c r="O533" s="9">
        <f>IF(ISNA(MATCH(524,'Transfer Engine'!$C$2:$C$1960,0)),"",INDEX('Compliance Database'!$O$2:$O$1960,MATCH(524,'Transfer Engine'!$C$2:$C$1960,0)))</f>
        <v/>
      </c>
      <c r="P533" s="8">
        <f>IF(ISNA(MATCH(524,'Transfer Engine'!$C$2:$C$1960,0)),"",HYPERLINK("#Acts!A"&amp;INDEX('Compliance Database'!$P$2:$P$1960,MATCH(524,'Transfer Engine'!$C$2:$C$1960,0)),"Go to Act"))</f>
        <v/>
      </c>
    </row>
    <row r="534" ht="158" customHeight="1">
      <c r="A534" s="8">
        <f>IF(ISNA(MATCH(525,'Transfer Engine'!$C$2:$C$1960,0)),"",INDEX('Compliance Database'!$A$2:$A$1960,MATCH(525,'Transfer Engine'!$C$2:$C$1960,0)))</f>
        <v/>
      </c>
      <c r="B534" s="8">
        <f>IF(ISNA(MATCH(525,'Transfer Engine'!$C$2:$C$1960,0)),"",INDEX('Compliance Database'!$B$2:$B$1960,MATCH(525,'Transfer Engine'!$C$2:$C$1960,0)))</f>
        <v/>
      </c>
      <c r="C534" s="8">
        <f>IF(ISNA(MATCH(525,'Transfer Engine'!$C$2:$C$1960,0)),"",INDEX('Compliance Database'!$C$2:$C$1960,MATCH(525,'Transfer Engine'!$C$2:$C$1960,0)))</f>
        <v/>
      </c>
      <c r="D534" s="9">
        <f>IF(ISNA(MATCH(525,'Transfer Engine'!$C$2:$C$1960,0)),"",INDEX('Compliance Database'!$D$2:$D$1960,MATCH(525,'Transfer Engine'!$C$2:$C$1960,0)))</f>
        <v/>
      </c>
      <c r="E534" s="8">
        <f>IF(ISNA(MATCH(525,'Transfer Engine'!$C$2:$C$1960,0)),"",INDEX('Compliance Database'!$E$2:$E$1960,MATCH(525,'Transfer Engine'!$C$2:$C$1960,0)))</f>
        <v/>
      </c>
      <c r="F534" s="8">
        <f>IF(ISNA(MATCH(525,'Transfer Engine'!$C$2:$C$1960,0)),"",INDEX('Compliance Database'!$F$2:$F$1960,MATCH(525,'Transfer Engine'!$C$2:$C$1960,0)))</f>
        <v/>
      </c>
      <c r="G534" s="8">
        <f>IF(ISNA(MATCH(525,'Transfer Engine'!$C$2:$C$1960,0)),"",INDEX('Compliance Database'!$G$2:$G$1960,MATCH(525,'Transfer Engine'!$C$2:$C$1960,0)))</f>
        <v/>
      </c>
      <c r="H534" s="9">
        <f>IF(ISNA(MATCH(525,'Transfer Engine'!$C$2:$C$1960,0)),"",INDEX('Compliance Database'!$H$2:$H$1960,MATCH(525,'Transfer Engine'!$C$2:$C$1960,0)))</f>
        <v/>
      </c>
      <c r="I534" s="9">
        <f>IF(ISNA(MATCH(525,'Transfer Engine'!$C$2:$C$1960,0)),"",INDEX('Compliance Database'!$I$2:$I$1960,MATCH(525,'Transfer Engine'!$C$2:$C$1960,0)))</f>
        <v/>
      </c>
      <c r="J534" s="8">
        <f>IF(ISNA(MATCH(525,'Transfer Engine'!$C$2:$C$1960,0)),"",INDEX('Compliance Database'!$J$2:$J$1960,MATCH(525,'Transfer Engine'!$C$2:$C$1960,0)))</f>
        <v/>
      </c>
      <c r="K534" s="9">
        <f>IF(ISNA(MATCH(525,'Transfer Engine'!$C$2:$C$1960,0)),"",INDEX('Compliance Database'!$K$2:$K$1960,MATCH(525,'Transfer Engine'!$C$2:$C$1960,0)))</f>
        <v/>
      </c>
      <c r="L534" s="9">
        <f>IF(ISNA(MATCH(525,'Transfer Engine'!$C$2:$C$1960,0)),"",INDEX('Compliance Database'!$L$2:$L$1960,MATCH(525,'Transfer Engine'!$C$2:$C$1960,0)))</f>
        <v/>
      </c>
      <c r="M534" s="9">
        <f>IF(ISNA(MATCH(525,'Transfer Engine'!$C$2:$C$1960,0)),"",INDEX('Compliance Database'!$M$2:$M$1960,MATCH(525,'Transfer Engine'!$C$2:$C$1960,0)))</f>
        <v/>
      </c>
      <c r="N534" s="9">
        <f>IF(ISNA(MATCH(525,'Transfer Engine'!$C$2:$C$1960,0)),"",INDEX('Compliance Database'!$N$2:$N$1960,MATCH(525,'Transfer Engine'!$C$2:$C$1960,0)))</f>
        <v/>
      </c>
      <c r="O534" s="9">
        <f>IF(ISNA(MATCH(525,'Transfer Engine'!$C$2:$C$1960,0)),"",INDEX('Compliance Database'!$O$2:$O$1960,MATCH(525,'Transfer Engine'!$C$2:$C$1960,0)))</f>
        <v/>
      </c>
      <c r="P534" s="8">
        <f>IF(ISNA(MATCH(525,'Transfer Engine'!$C$2:$C$1960,0)),"",HYPERLINK("#Acts!A"&amp;INDEX('Compliance Database'!$P$2:$P$1960,MATCH(525,'Transfer Engine'!$C$2:$C$1960,0)),"Go to Act"))</f>
        <v/>
      </c>
    </row>
    <row r="535" ht="158" customHeight="1">
      <c r="A535" s="8">
        <f>IF(ISNA(MATCH(526,'Transfer Engine'!$C$2:$C$1960,0)),"",INDEX('Compliance Database'!$A$2:$A$1960,MATCH(526,'Transfer Engine'!$C$2:$C$1960,0)))</f>
        <v/>
      </c>
      <c r="B535" s="8">
        <f>IF(ISNA(MATCH(526,'Transfer Engine'!$C$2:$C$1960,0)),"",INDEX('Compliance Database'!$B$2:$B$1960,MATCH(526,'Transfer Engine'!$C$2:$C$1960,0)))</f>
        <v/>
      </c>
      <c r="C535" s="8">
        <f>IF(ISNA(MATCH(526,'Transfer Engine'!$C$2:$C$1960,0)),"",INDEX('Compliance Database'!$C$2:$C$1960,MATCH(526,'Transfer Engine'!$C$2:$C$1960,0)))</f>
        <v/>
      </c>
      <c r="D535" s="9">
        <f>IF(ISNA(MATCH(526,'Transfer Engine'!$C$2:$C$1960,0)),"",INDEX('Compliance Database'!$D$2:$D$1960,MATCH(526,'Transfer Engine'!$C$2:$C$1960,0)))</f>
        <v/>
      </c>
      <c r="E535" s="8">
        <f>IF(ISNA(MATCH(526,'Transfer Engine'!$C$2:$C$1960,0)),"",INDEX('Compliance Database'!$E$2:$E$1960,MATCH(526,'Transfer Engine'!$C$2:$C$1960,0)))</f>
        <v/>
      </c>
      <c r="F535" s="8">
        <f>IF(ISNA(MATCH(526,'Transfer Engine'!$C$2:$C$1960,0)),"",INDEX('Compliance Database'!$F$2:$F$1960,MATCH(526,'Transfer Engine'!$C$2:$C$1960,0)))</f>
        <v/>
      </c>
      <c r="G535" s="8">
        <f>IF(ISNA(MATCH(526,'Transfer Engine'!$C$2:$C$1960,0)),"",INDEX('Compliance Database'!$G$2:$G$1960,MATCH(526,'Transfer Engine'!$C$2:$C$1960,0)))</f>
        <v/>
      </c>
      <c r="H535" s="9">
        <f>IF(ISNA(MATCH(526,'Transfer Engine'!$C$2:$C$1960,0)),"",INDEX('Compliance Database'!$H$2:$H$1960,MATCH(526,'Transfer Engine'!$C$2:$C$1960,0)))</f>
        <v/>
      </c>
      <c r="I535" s="9">
        <f>IF(ISNA(MATCH(526,'Transfer Engine'!$C$2:$C$1960,0)),"",INDEX('Compliance Database'!$I$2:$I$1960,MATCH(526,'Transfer Engine'!$C$2:$C$1960,0)))</f>
        <v/>
      </c>
      <c r="J535" s="8">
        <f>IF(ISNA(MATCH(526,'Transfer Engine'!$C$2:$C$1960,0)),"",INDEX('Compliance Database'!$J$2:$J$1960,MATCH(526,'Transfer Engine'!$C$2:$C$1960,0)))</f>
        <v/>
      </c>
      <c r="K535" s="9">
        <f>IF(ISNA(MATCH(526,'Transfer Engine'!$C$2:$C$1960,0)),"",INDEX('Compliance Database'!$K$2:$K$1960,MATCH(526,'Transfer Engine'!$C$2:$C$1960,0)))</f>
        <v/>
      </c>
      <c r="L535" s="9">
        <f>IF(ISNA(MATCH(526,'Transfer Engine'!$C$2:$C$1960,0)),"",INDEX('Compliance Database'!$L$2:$L$1960,MATCH(526,'Transfer Engine'!$C$2:$C$1960,0)))</f>
        <v/>
      </c>
      <c r="M535" s="9">
        <f>IF(ISNA(MATCH(526,'Transfer Engine'!$C$2:$C$1960,0)),"",INDEX('Compliance Database'!$M$2:$M$1960,MATCH(526,'Transfer Engine'!$C$2:$C$1960,0)))</f>
        <v/>
      </c>
      <c r="N535" s="9">
        <f>IF(ISNA(MATCH(526,'Transfer Engine'!$C$2:$C$1960,0)),"",INDEX('Compliance Database'!$N$2:$N$1960,MATCH(526,'Transfer Engine'!$C$2:$C$1960,0)))</f>
        <v/>
      </c>
      <c r="O535" s="9">
        <f>IF(ISNA(MATCH(526,'Transfer Engine'!$C$2:$C$1960,0)),"",INDEX('Compliance Database'!$O$2:$O$1960,MATCH(526,'Transfer Engine'!$C$2:$C$1960,0)))</f>
        <v/>
      </c>
      <c r="P535" s="8">
        <f>IF(ISNA(MATCH(526,'Transfer Engine'!$C$2:$C$1960,0)),"",HYPERLINK("#Acts!A"&amp;INDEX('Compliance Database'!$P$2:$P$1960,MATCH(526,'Transfer Engine'!$C$2:$C$1960,0)),"Go to Act"))</f>
        <v/>
      </c>
    </row>
    <row r="536" ht="158" customHeight="1">
      <c r="A536" s="8">
        <f>IF(ISNA(MATCH(527,'Transfer Engine'!$C$2:$C$1960,0)),"",INDEX('Compliance Database'!$A$2:$A$1960,MATCH(527,'Transfer Engine'!$C$2:$C$1960,0)))</f>
        <v/>
      </c>
      <c r="B536" s="8">
        <f>IF(ISNA(MATCH(527,'Transfer Engine'!$C$2:$C$1960,0)),"",INDEX('Compliance Database'!$B$2:$B$1960,MATCH(527,'Transfer Engine'!$C$2:$C$1960,0)))</f>
        <v/>
      </c>
      <c r="C536" s="8">
        <f>IF(ISNA(MATCH(527,'Transfer Engine'!$C$2:$C$1960,0)),"",INDEX('Compliance Database'!$C$2:$C$1960,MATCH(527,'Transfer Engine'!$C$2:$C$1960,0)))</f>
        <v/>
      </c>
      <c r="D536" s="9">
        <f>IF(ISNA(MATCH(527,'Transfer Engine'!$C$2:$C$1960,0)),"",INDEX('Compliance Database'!$D$2:$D$1960,MATCH(527,'Transfer Engine'!$C$2:$C$1960,0)))</f>
        <v/>
      </c>
      <c r="E536" s="8">
        <f>IF(ISNA(MATCH(527,'Transfer Engine'!$C$2:$C$1960,0)),"",INDEX('Compliance Database'!$E$2:$E$1960,MATCH(527,'Transfer Engine'!$C$2:$C$1960,0)))</f>
        <v/>
      </c>
      <c r="F536" s="8">
        <f>IF(ISNA(MATCH(527,'Transfer Engine'!$C$2:$C$1960,0)),"",INDEX('Compliance Database'!$F$2:$F$1960,MATCH(527,'Transfer Engine'!$C$2:$C$1960,0)))</f>
        <v/>
      </c>
      <c r="G536" s="8">
        <f>IF(ISNA(MATCH(527,'Transfer Engine'!$C$2:$C$1960,0)),"",INDEX('Compliance Database'!$G$2:$G$1960,MATCH(527,'Transfer Engine'!$C$2:$C$1960,0)))</f>
        <v/>
      </c>
      <c r="H536" s="9">
        <f>IF(ISNA(MATCH(527,'Transfer Engine'!$C$2:$C$1960,0)),"",INDEX('Compliance Database'!$H$2:$H$1960,MATCH(527,'Transfer Engine'!$C$2:$C$1960,0)))</f>
        <v/>
      </c>
      <c r="I536" s="9">
        <f>IF(ISNA(MATCH(527,'Transfer Engine'!$C$2:$C$1960,0)),"",INDEX('Compliance Database'!$I$2:$I$1960,MATCH(527,'Transfer Engine'!$C$2:$C$1960,0)))</f>
        <v/>
      </c>
      <c r="J536" s="8">
        <f>IF(ISNA(MATCH(527,'Transfer Engine'!$C$2:$C$1960,0)),"",INDEX('Compliance Database'!$J$2:$J$1960,MATCH(527,'Transfer Engine'!$C$2:$C$1960,0)))</f>
        <v/>
      </c>
      <c r="K536" s="9">
        <f>IF(ISNA(MATCH(527,'Transfer Engine'!$C$2:$C$1960,0)),"",INDEX('Compliance Database'!$K$2:$K$1960,MATCH(527,'Transfer Engine'!$C$2:$C$1960,0)))</f>
        <v/>
      </c>
      <c r="L536" s="9">
        <f>IF(ISNA(MATCH(527,'Transfer Engine'!$C$2:$C$1960,0)),"",INDEX('Compliance Database'!$L$2:$L$1960,MATCH(527,'Transfer Engine'!$C$2:$C$1960,0)))</f>
        <v/>
      </c>
      <c r="M536" s="9">
        <f>IF(ISNA(MATCH(527,'Transfer Engine'!$C$2:$C$1960,0)),"",INDEX('Compliance Database'!$M$2:$M$1960,MATCH(527,'Transfer Engine'!$C$2:$C$1960,0)))</f>
        <v/>
      </c>
      <c r="N536" s="9">
        <f>IF(ISNA(MATCH(527,'Transfer Engine'!$C$2:$C$1960,0)),"",INDEX('Compliance Database'!$N$2:$N$1960,MATCH(527,'Transfer Engine'!$C$2:$C$1960,0)))</f>
        <v/>
      </c>
      <c r="O536" s="9">
        <f>IF(ISNA(MATCH(527,'Transfer Engine'!$C$2:$C$1960,0)),"",INDEX('Compliance Database'!$O$2:$O$1960,MATCH(527,'Transfer Engine'!$C$2:$C$1960,0)))</f>
        <v/>
      </c>
      <c r="P536" s="8">
        <f>IF(ISNA(MATCH(527,'Transfer Engine'!$C$2:$C$1960,0)),"",HYPERLINK("#Acts!A"&amp;INDEX('Compliance Database'!$P$2:$P$1960,MATCH(527,'Transfer Engine'!$C$2:$C$1960,0)),"Go to Act"))</f>
        <v/>
      </c>
    </row>
    <row r="537" ht="158" customHeight="1">
      <c r="A537" s="8">
        <f>IF(ISNA(MATCH(528,'Transfer Engine'!$C$2:$C$1960,0)),"",INDEX('Compliance Database'!$A$2:$A$1960,MATCH(528,'Transfer Engine'!$C$2:$C$1960,0)))</f>
        <v/>
      </c>
      <c r="B537" s="8">
        <f>IF(ISNA(MATCH(528,'Transfer Engine'!$C$2:$C$1960,0)),"",INDEX('Compliance Database'!$B$2:$B$1960,MATCH(528,'Transfer Engine'!$C$2:$C$1960,0)))</f>
        <v/>
      </c>
      <c r="C537" s="8">
        <f>IF(ISNA(MATCH(528,'Transfer Engine'!$C$2:$C$1960,0)),"",INDEX('Compliance Database'!$C$2:$C$1960,MATCH(528,'Transfer Engine'!$C$2:$C$1960,0)))</f>
        <v/>
      </c>
      <c r="D537" s="9">
        <f>IF(ISNA(MATCH(528,'Transfer Engine'!$C$2:$C$1960,0)),"",INDEX('Compliance Database'!$D$2:$D$1960,MATCH(528,'Transfer Engine'!$C$2:$C$1960,0)))</f>
        <v/>
      </c>
      <c r="E537" s="8">
        <f>IF(ISNA(MATCH(528,'Transfer Engine'!$C$2:$C$1960,0)),"",INDEX('Compliance Database'!$E$2:$E$1960,MATCH(528,'Transfer Engine'!$C$2:$C$1960,0)))</f>
        <v/>
      </c>
      <c r="F537" s="8">
        <f>IF(ISNA(MATCH(528,'Transfer Engine'!$C$2:$C$1960,0)),"",INDEX('Compliance Database'!$F$2:$F$1960,MATCH(528,'Transfer Engine'!$C$2:$C$1960,0)))</f>
        <v/>
      </c>
      <c r="G537" s="8">
        <f>IF(ISNA(MATCH(528,'Transfer Engine'!$C$2:$C$1960,0)),"",INDEX('Compliance Database'!$G$2:$G$1960,MATCH(528,'Transfer Engine'!$C$2:$C$1960,0)))</f>
        <v/>
      </c>
      <c r="H537" s="9">
        <f>IF(ISNA(MATCH(528,'Transfer Engine'!$C$2:$C$1960,0)),"",INDEX('Compliance Database'!$H$2:$H$1960,MATCH(528,'Transfer Engine'!$C$2:$C$1960,0)))</f>
        <v/>
      </c>
      <c r="I537" s="9">
        <f>IF(ISNA(MATCH(528,'Transfer Engine'!$C$2:$C$1960,0)),"",INDEX('Compliance Database'!$I$2:$I$1960,MATCH(528,'Transfer Engine'!$C$2:$C$1960,0)))</f>
        <v/>
      </c>
      <c r="J537" s="8">
        <f>IF(ISNA(MATCH(528,'Transfer Engine'!$C$2:$C$1960,0)),"",INDEX('Compliance Database'!$J$2:$J$1960,MATCH(528,'Transfer Engine'!$C$2:$C$1960,0)))</f>
        <v/>
      </c>
      <c r="K537" s="9">
        <f>IF(ISNA(MATCH(528,'Transfer Engine'!$C$2:$C$1960,0)),"",INDEX('Compliance Database'!$K$2:$K$1960,MATCH(528,'Transfer Engine'!$C$2:$C$1960,0)))</f>
        <v/>
      </c>
      <c r="L537" s="9">
        <f>IF(ISNA(MATCH(528,'Transfer Engine'!$C$2:$C$1960,0)),"",INDEX('Compliance Database'!$L$2:$L$1960,MATCH(528,'Transfer Engine'!$C$2:$C$1960,0)))</f>
        <v/>
      </c>
      <c r="M537" s="9">
        <f>IF(ISNA(MATCH(528,'Transfer Engine'!$C$2:$C$1960,0)),"",INDEX('Compliance Database'!$M$2:$M$1960,MATCH(528,'Transfer Engine'!$C$2:$C$1960,0)))</f>
        <v/>
      </c>
      <c r="N537" s="9">
        <f>IF(ISNA(MATCH(528,'Transfer Engine'!$C$2:$C$1960,0)),"",INDEX('Compliance Database'!$N$2:$N$1960,MATCH(528,'Transfer Engine'!$C$2:$C$1960,0)))</f>
        <v/>
      </c>
      <c r="O537" s="9">
        <f>IF(ISNA(MATCH(528,'Transfer Engine'!$C$2:$C$1960,0)),"",INDEX('Compliance Database'!$O$2:$O$1960,MATCH(528,'Transfer Engine'!$C$2:$C$1960,0)))</f>
        <v/>
      </c>
      <c r="P537" s="8">
        <f>IF(ISNA(MATCH(528,'Transfer Engine'!$C$2:$C$1960,0)),"",HYPERLINK("#Acts!A"&amp;INDEX('Compliance Database'!$P$2:$P$1960,MATCH(528,'Transfer Engine'!$C$2:$C$1960,0)),"Go to Act"))</f>
        <v/>
      </c>
    </row>
    <row r="538" ht="158" customHeight="1">
      <c r="A538" s="8">
        <f>IF(ISNA(MATCH(529,'Transfer Engine'!$C$2:$C$1960,0)),"",INDEX('Compliance Database'!$A$2:$A$1960,MATCH(529,'Transfer Engine'!$C$2:$C$1960,0)))</f>
        <v/>
      </c>
      <c r="B538" s="8">
        <f>IF(ISNA(MATCH(529,'Transfer Engine'!$C$2:$C$1960,0)),"",INDEX('Compliance Database'!$B$2:$B$1960,MATCH(529,'Transfer Engine'!$C$2:$C$1960,0)))</f>
        <v/>
      </c>
      <c r="C538" s="8">
        <f>IF(ISNA(MATCH(529,'Transfer Engine'!$C$2:$C$1960,0)),"",INDEX('Compliance Database'!$C$2:$C$1960,MATCH(529,'Transfer Engine'!$C$2:$C$1960,0)))</f>
        <v/>
      </c>
      <c r="D538" s="9">
        <f>IF(ISNA(MATCH(529,'Transfer Engine'!$C$2:$C$1960,0)),"",INDEX('Compliance Database'!$D$2:$D$1960,MATCH(529,'Transfer Engine'!$C$2:$C$1960,0)))</f>
        <v/>
      </c>
      <c r="E538" s="8">
        <f>IF(ISNA(MATCH(529,'Transfer Engine'!$C$2:$C$1960,0)),"",INDEX('Compliance Database'!$E$2:$E$1960,MATCH(529,'Transfer Engine'!$C$2:$C$1960,0)))</f>
        <v/>
      </c>
      <c r="F538" s="8">
        <f>IF(ISNA(MATCH(529,'Transfer Engine'!$C$2:$C$1960,0)),"",INDEX('Compliance Database'!$F$2:$F$1960,MATCH(529,'Transfer Engine'!$C$2:$C$1960,0)))</f>
        <v/>
      </c>
      <c r="G538" s="8">
        <f>IF(ISNA(MATCH(529,'Transfer Engine'!$C$2:$C$1960,0)),"",INDEX('Compliance Database'!$G$2:$G$1960,MATCH(529,'Transfer Engine'!$C$2:$C$1960,0)))</f>
        <v/>
      </c>
      <c r="H538" s="9">
        <f>IF(ISNA(MATCH(529,'Transfer Engine'!$C$2:$C$1960,0)),"",INDEX('Compliance Database'!$H$2:$H$1960,MATCH(529,'Transfer Engine'!$C$2:$C$1960,0)))</f>
        <v/>
      </c>
      <c r="I538" s="9">
        <f>IF(ISNA(MATCH(529,'Transfer Engine'!$C$2:$C$1960,0)),"",INDEX('Compliance Database'!$I$2:$I$1960,MATCH(529,'Transfer Engine'!$C$2:$C$1960,0)))</f>
        <v/>
      </c>
      <c r="J538" s="8">
        <f>IF(ISNA(MATCH(529,'Transfer Engine'!$C$2:$C$1960,0)),"",INDEX('Compliance Database'!$J$2:$J$1960,MATCH(529,'Transfer Engine'!$C$2:$C$1960,0)))</f>
        <v/>
      </c>
      <c r="K538" s="9">
        <f>IF(ISNA(MATCH(529,'Transfer Engine'!$C$2:$C$1960,0)),"",INDEX('Compliance Database'!$K$2:$K$1960,MATCH(529,'Transfer Engine'!$C$2:$C$1960,0)))</f>
        <v/>
      </c>
      <c r="L538" s="9">
        <f>IF(ISNA(MATCH(529,'Transfer Engine'!$C$2:$C$1960,0)),"",INDEX('Compliance Database'!$L$2:$L$1960,MATCH(529,'Transfer Engine'!$C$2:$C$1960,0)))</f>
        <v/>
      </c>
      <c r="M538" s="9">
        <f>IF(ISNA(MATCH(529,'Transfer Engine'!$C$2:$C$1960,0)),"",INDEX('Compliance Database'!$M$2:$M$1960,MATCH(529,'Transfer Engine'!$C$2:$C$1960,0)))</f>
        <v/>
      </c>
      <c r="N538" s="9">
        <f>IF(ISNA(MATCH(529,'Transfer Engine'!$C$2:$C$1960,0)),"",INDEX('Compliance Database'!$N$2:$N$1960,MATCH(529,'Transfer Engine'!$C$2:$C$1960,0)))</f>
        <v/>
      </c>
      <c r="O538" s="9">
        <f>IF(ISNA(MATCH(529,'Transfer Engine'!$C$2:$C$1960,0)),"",INDEX('Compliance Database'!$O$2:$O$1960,MATCH(529,'Transfer Engine'!$C$2:$C$1960,0)))</f>
        <v/>
      </c>
      <c r="P538" s="8">
        <f>IF(ISNA(MATCH(529,'Transfer Engine'!$C$2:$C$1960,0)),"",HYPERLINK("#Acts!A"&amp;INDEX('Compliance Database'!$P$2:$P$1960,MATCH(529,'Transfer Engine'!$C$2:$C$1960,0)),"Go to Act"))</f>
        <v/>
      </c>
    </row>
    <row r="539" ht="158" customHeight="1">
      <c r="A539" s="8">
        <f>IF(ISNA(MATCH(530,'Transfer Engine'!$C$2:$C$1960,0)),"",INDEX('Compliance Database'!$A$2:$A$1960,MATCH(530,'Transfer Engine'!$C$2:$C$1960,0)))</f>
        <v/>
      </c>
      <c r="B539" s="8">
        <f>IF(ISNA(MATCH(530,'Transfer Engine'!$C$2:$C$1960,0)),"",INDEX('Compliance Database'!$B$2:$B$1960,MATCH(530,'Transfer Engine'!$C$2:$C$1960,0)))</f>
        <v/>
      </c>
      <c r="C539" s="8">
        <f>IF(ISNA(MATCH(530,'Transfer Engine'!$C$2:$C$1960,0)),"",INDEX('Compliance Database'!$C$2:$C$1960,MATCH(530,'Transfer Engine'!$C$2:$C$1960,0)))</f>
        <v/>
      </c>
      <c r="D539" s="9">
        <f>IF(ISNA(MATCH(530,'Transfer Engine'!$C$2:$C$1960,0)),"",INDEX('Compliance Database'!$D$2:$D$1960,MATCH(530,'Transfer Engine'!$C$2:$C$1960,0)))</f>
        <v/>
      </c>
      <c r="E539" s="8">
        <f>IF(ISNA(MATCH(530,'Transfer Engine'!$C$2:$C$1960,0)),"",INDEX('Compliance Database'!$E$2:$E$1960,MATCH(530,'Transfer Engine'!$C$2:$C$1960,0)))</f>
        <v/>
      </c>
      <c r="F539" s="8">
        <f>IF(ISNA(MATCH(530,'Transfer Engine'!$C$2:$C$1960,0)),"",INDEX('Compliance Database'!$F$2:$F$1960,MATCH(530,'Transfer Engine'!$C$2:$C$1960,0)))</f>
        <v/>
      </c>
      <c r="G539" s="8">
        <f>IF(ISNA(MATCH(530,'Transfer Engine'!$C$2:$C$1960,0)),"",INDEX('Compliance Database'!$G$2:$G$1960,MATCH(530,'Transfer Engine'!$C$2:$C$1960,0)))</f>
        <v/>
      </c>
      <c r="H539" s="9">
        <f>IF(ISNA(MATCH(530,'Transfer Engine'!$C$2:$C$1960,0)),"",INDEX('Compliance Database'!$H$2:$H$1960,MATCH(530,'Transfer Engine'!$C$2:$C$1960,0)))</f>
        <v/>
      </c>
      <c r="I539" s="9">
        <f>IF(ISNA(MATCH(530,'Transfer Engine'!$C$2:$C$1960,0)),"",INDEX('Compliance Database'!$I$2:$I$1960,MATCH(530,'Transfer Engine'!$C$2:$C$1960,0)))</f>
        <v/>
      </c>
      <c r="J539" s="8">
        <f>IF(ISNA(MATCH(530,'Transfer Engine'!$C$2:$C$1960,0)),"",INDEX('Compliance Database'!$J$2:$J$1960,MATCH(530,'Transfer Engine'!$C$2:$C$1960,0)))</f>
        <v/>
      </c>
      <c r="K539" s="9">
        <f>IF(ISNA(MATCH(530,'Transfer Engine'!$C$2:$C$1960,0)),"",INDEX('Compliance Database'!$K$2:$K$1960,MATCH(530,'Transfer Engine'!$C$2:$C$1960,0)))</f>
        <v/>
      </c>
      <c r="L539" s="9">
        <f>IF(ISNA(MATCH(530,'Transfer Engine'!$C$2:$C$1960,0)),"",INDEX('Compliance Database'!$L$2:$L$1960,MATCH(530,'Transfer Engine'!$C$2:$C$1960,0)))</f>
        <v/>
      </c>
      <c r="M539" s="9">
        <f>IF(ISNA(MATCH(530,'Transfer Engine'!$C$2:$C$1960,0)),"",INDEX('Compliance Database'!$M$2:$M$1960,MATCH(530,'Transfer Engine'!$C$2:$C$1960,0)))</f>
        <v/>
      </c>
      <c r="N539" s="9">
        <f>IF(ISNA(MATCH(530,'Transfer Engine'!$C$2:$C$1960,0)),"",INDEX('Compliance Database'!$N$2:$N$1960,MATCH(530,'Transfer Engine'!$C$2:$C$1960,0)))</f>
        <v/>
      </c>
      <c r="O539" s="9">
        <f>IF(ISNA(MATCH(530,'Transfer Engine'!$C$2:$C$1960,0)),"",INDEX('Compliance Database'!$O$2:$O$1960,MATCH(530,'Transfer Engine'!$C$2:$C$1960,0)))</f>
        <v/>
      </c>
      <c r="P539" s="8">
        <f>IF(ISNA(MATCH(530,'Transfer Engine'!$C$2:$C$1960,0)),"",HYPERLINK("#Acts!A"&amp;INDEX('Compliance Database'!$P$2:$P$1960,MATCH(530,'Transfer Engine'!$C$2:$C$1960,0)),"Go to Act"))</f>
        <v/>
      </c>
    </row>
    <row r="540" ht="158" customHeight="1">
      <c r="A540" s="8">
        <f>IF(ISNA(MATCH(531,'Transfer Engine'!$C$2:$C$1960,0)),"",INDEX('Compliance Database'!$A$2:$A$1960,MATCH(531,'Transfer Engine'!$C$2:$C$1960,0)))</f>
        <v/>
      </c>
      <c r="B540" s="8">
        <f>IF(ISNA(MATCH(531,'Transfer Engine'!$C$2:$C$1960,0)),"",INDEX('Compliance Database'!$B$2:$B$1960,MATCH(531,'Transfer Engine'!$C$2:$C$1960,0)))</f>
        <v/>
      </c>
      <c r="C540" s="8">
        <f>IF(ISNA(MATCH(531,'Transfer Engine'!$C$2:$C$1960,0)),"",INDEX('Compliance Database'!$C$2:$C$1960,MATCH(531,'Transfer Engine'!$C$2:$C$1960,0)))</f>
        <v/>
      </c>
      <c r="D540" s="9">
        <f>IF(ISNA(MATCH(531,'Transfer Engine'!$C$2:$C$1960,0)),"",INDEX('Compliance Database'!$D$2:$D$1960,MATCH(531,'Transfer Engine'!$C$2:$C$1960,0)))</f>
        <v/>
      </c>
      <c r="E540" s="8">
        <f>IF(ISNA(MATCH(531,'Transfer Engine'!$C$2:$C$1960,0)),"",INDEX('Compliance Database'!$E$2:$E$1960,MATCH(531,'Transfer Engine'!$C$2:$C$1960,0)))</f>
        <v/>
      </c>
      <c r="F540" s="8">
        <f>IF(ISNA(MATCH(531,'Transfer Engine'!$C$2:$C$1960,0)),"",INDEX('Compliance Database'!$F$2:$F$1960,MATCH(531,'Transfer Engine'!$C$2:$C$1960,0)))</f>
        <v/>
      </c>
      <c r="G540" s="8">
        <f>IF(ISNA(MATCH(531,'Transfer Engine'!$C$2:$C$1960,0)),"",INDEX('Compliance Database'!$G$2:$G$1960,MATCH(531,'Transfer Engine'!$C$2:$C$1960,0)))</f>
        <v/>
      </c>
      <c r="H540" s="9">
        <f>IF(ISNA(MATCH(531,'Transfer Engine'!$C$2:$C$1960,0)),"",INDEX('Compliance Database'!$H$2:$H$1960,MATCH(531,'Transfer Engine'!$C$2:$C$1960,0)))</f>
        <v/>
      </c>
      <c r="I540" s="9">
        <f>IF(ISNA(MATCH(531,'Transfer Engine'!$C$2:$C$1960,0)),"",INDEX('Compliance Database'!$I$2:$I$1960,MATCH(531,'Transfer Engine'!$C$2:$C$1960,0)))</f>
        <v/>
      </c>
      <c r="J540" s="8">
        <f>IF(ISNA(MATCH(531,'Transfer Engine'!$C$2:$C$1960,0)),"",INDEX('Compliance Database'!$J$2:$J$1960,MATCH(531,'Transfer Engine'!$C$2:$C$1960,0)))</f>
        <v/>
      </c>
      <c r="K540" s="9">
        <f>IF(ISNA(MATCH(531,'Transfer Engine'!$C$2:$C$1960,0)),"",INDEX('Compliance Database'!$K$2:$K$1960,MATCH(531,'Transfer Engine'!$C$2:$C$1960,0)))</f>
        <v/>
      </c>
      <c r="L540" s="9">
        <f>IF(ISNA(MATCH(531,'Transfer Engine'!$C$2:$C$1960,0)),"",INDEX('Compliance Database'!$L$2:$L$1960,MATCH(531,'Transfer Engine'!$C$2:$C$1960,0)))</f>
        <v/>
      </c>
      <c r="M540" s="9">
        <f>IF(ISNA(MATCH(531,'Transfer Engine'!$C$2:$C$1960,0)),"",INDEX('Compliance Database'!$M$2:$M$1960,MATCH(531,'Transfer Engine'!$C$2:$C$1960,0)))</f>
        <v/>
      </c>
      <c r="N540" s="9">
        <f>IF(ISNA(MATCH(531,'Transfer Engine'!$C$2:$C$1960,0)),"",INDEX('Compliance Database'!$N$2:$N$1960,MATCH(531,'Transfer Engine'!$C$2:$C$1960,0)))</f>
        <v/>
      </c>
      <c r="O540" s="9">
        <f>IF(ISNA(MATCH(531,'Transfer Engine'!$C$2:$C$1960,0)),"",INDEX('Compliance Database'!$O$2:$O$1960,MATCH(531,'Transfer Engine'!$C$2:$C$1960,0)))</f>
        <v/>
      </c>
      <c r="P540" s="8">
        <f>IF(ISNA(MATCH(531,'Transfer Engine'!$C$2:$C$1960,0)),"",HYPERLINK("#Acts!A"&amp;INDEX('Compliance Database'!$P$2:$P$1960,MATCH(531,'Transfer Engine'!$C$2:$C$1960,0)),"Go to Act"))</f>
        <v/>
      </c>
    </row>
    <row r="541" ht="158" customHeight="1">
      <c r="A541" s="8">
        <f>IF(ISNA(MATCH(532,'Transfer Engine'!$C$2:$C$1960,0)),"",INDEX('Compliance Database'!$A$2:$A$1960,MATCH(532,'Transfer Engine'!$C$2:$C$1960,0)))</f>
        <v/>
      </c>
      <c r="B541" s="8">
        <f>IF(ISNA(MATCH(532,'Transfer Engine'!$C$2:$C$1960,0)),"",INDEX('Compliance Database'!$B$2:$B$1960,MATCH(532,'Transfer Engine'!$C$2:$C$1960,0)))</f>
        <v/>
      </c>
      <c r="C541" s="8">
        <f>IF(ISNA(MATCH(532,'Transfer Engine'!$C$2:$C$1960,0)),"",INDEX('Compliance Database'!$C$2:$C$1960,MATCH(532,'Transfer Engine'!$C$2:$C$1960,0)))</f>
        <v/>
      </c>
      <c r="D541" s="9">
        <f>IF(ISNA(MATCH(532,'Transfer Engine'!$C$2:$C$1960,0)),"",INDEX('Compliance Database'!$D$2:$D$1960,MATCH(532,'Transfer Engine'!$C$2:$C$1960,0)))</f>
        <v/>
      </c>
      <c r="E541" s="8">
        <f>IF(ISNA(MATCH(532,'Transfer Engine'!$C$2:$C$1960,0)),"",INDEX('Compliance Database'!$E$2:$E$1960,MATCH(532,'Transfer Engine'!$C$2:$C$1960,0)))</f>
        <v/>
      </c>
      <c r="F541" s="8">
        <f>IF(ISNA(MATCH(532,'Transfer Engine'!$C$2:$C$1960,0)),"",INDEX('Compliance Database'!$F$2:$F$1960,MATCH(532,'Transfer Engine'!$C$2:$C$1960,0)))</f>
        <v/>
      </c>
      <c r="G541" s="8">
        <f>IF(ISNA(MATCH(532,'Transfer Engine'!$C$2:$C$1960,0)),"",INDEX('Compliance Database'!$G$2:$G$1960,MATCH(532,'Transfer Engine'!$C$2:$C$1960,0)))</f>
        <v/>
      </c>
      <c r="H541" s="9">
        <f>IF(ISNA(MATCH(532,'Transfer Engine'!$C$2:$C$1960,0)),"",INDEX('Compliance Database'!$H$2:$H$1960,MATCH(532,'Transfer Engine'!$C$2:$C$1960,0)))</f>
        <v/>
      </c>
      <c r="I541" s="9">
        <f>IF(ISNA(MATCH(532,'Transfer Engine'!$C$2:$C$1960,0)),"",INDEX('Compliance Database'!$I$2:$I$1960,MATCH(532,'Transfer Engine'!$C$2:$C$1960,0)))</f>
        <v/>
      </c>
      <c r="J541" s="8">
        <f>IF(ISNA(MATCH(532,'Transfer Engine'!$C$2:$C$1960,0)),"",INDEX('Compliance Database'!$J$2:$J$1960,MATCH(532,'Transfer Engine'!$C$2:$C$1960,0)))</f>
        <v/>
      </c>
      <c r="K541" s="9">
        <f>IF(ISNA(MATCH(532,'Transfer Engine'!$C$2:$C$1960,0)),"",INDEX('Compliance Database'!$K$2:$K$1960,MATCH(532,'Transfer Engine'!$C$2:$C$1960,0)))</f>
        <v/>
      </c>
      <c r="L541" s="9">
        <f>IF(ISNA(MATCH(532,'Transfer Engine'!$C$2:$C$1960,0)),"",INDEX('Compliance Database'!$L$2:$L$1960,MATCH(532,'Transfer Engine'!$C$2:$C$1960,0)))</f>
        <v/>
      </c>
      <c r="M541" s="9">
        <f>IF(ISNA(MATCH(532,'Transfer Engine'!$C$2:$C$1960,0)),"",INDEX('Compliance Database'!$M$2:$M$1960,MATCH(532,'Transfer Engine'!$C$2:$C$1960,0)))</f>
        <v/>
      </c>
      <c r="N541" s="9">
        <f>IF(ISNA(MATCH(532,'Transfer Engine'!$C$2:$C$1960,0)),"",INDEX('Compliance Database'!$N$2:$N$1960,MATCH(532,'Transfer Engine'!$C$2:$C$1960,0)))</f>
        <v/>
      </c>
      <c r="O541" s="9">
        <f>IF(ISNA(MATCH(532,'Transfer Engine'!$C$2:$C$1960,0)),"",INDEX('Compliance Database'!$O$2:$O$1960,MATCH(532,'Transfer Engine'!$C$2:$C$1960,0)))</f>
        <v/>
      </c>
      <c r="P541" s="8">
        <f>IF(ISNA(MATCH(532,'Transfer Engine'!$C$2:$C$1960,0)),"",HYPERLINK("#Acts!A"&amp;INDEX('Compliance Database'!$P$2:$P$1960,MATCH(532,'Transfer Engine'!$C$2:$C$1960,0)),"Go to Act"))</f>
        <v/>
      </c>
    </row>
    <row r="542" ht="158" customHeight="1">
      <c r="A542" s="8">
        <f>IF(ISNA(MATCH(533,'Transfer Engine'!$C$2:$C$1960,0)),"",INDEX('Compliance Database'!$A$2:$A$1960,MATCH(533,'Transfer Engine'!$C$2:$C$1960,0)))</f>
        <v/>
      </c>
      <c r="B542" s="8">
        <f>IF(ISNA(MATCH(533,'Transfer Engine'!$C$2:$C$1960,0)),"",INDEX('Compliance Database'!$B$2:$B$1960,MATCH(533,'Transfer Engine'!$C$2:$C$1960,0)))</f>
        <v/>
      </c>
      <c r="C542" s="8">
        <f>IF(ISNA(MATCH(533,'Transfer Engine'!$C$2:$C$1960,0)),"",INDEX('Compliance Database'!$C$2:$C$1960,MATCH(533,'Transfer Engine'!$C$2:$C$1960,0)))</f>
        <v/>
      </c>
      <c r="D542" s="9">
        <f>IF(ISNA(MATCH(533,'Transfer Engine'!$C$2:$C$1960,0)),"",INDEX('Compliance Database'!$D$2:$D$1960,MATCH(533,'Transfer Engine'!$C$2:$C$1960,0)))</f>
        <v/>
      </c>
      <c r="E542" s="8">
        <f>IF(ISNA(MATCH(533,'Transfer Engine'!$C$2:$C$1960,0)),"",INDEX('Compliance Database'!$E$2:$E$1960,MATCH(533,'Transfer Engine'!$C$2:$C$1960,0)))</f>
        <v/>
      </c>
      <c r="F542" s="8">
        <f>IF(ISNA(MATCH(533,'Transfer Engine'!$C$2:$C$1960,0)),"",INDEX('Compliance Database'!$F$2:$F$1960,MATCH(533,'Transfer Engine'!$C$2:$C$1960,0)))</f>
        <v/>
      </c>
      <c r="G542" s="8">
        <f>IF(ISNA(MATCH(533,'Transfer Engine'!$C$2:$C$1960,0)),"",INDEX('Compliance Database'!$G$2:$G$1960,MATCH(533,'Transfer Engine'!$C$2:$C$1960,0)))</f>
        <v/>
      </c>
      <c r="H542" s="9">
        <f>IF(ISNA(MATCH(533,'Transfer Engine'!$C$2:$C$1960,0)),"",INDEX('Compliance Database'!$H$2:$H$1960,MATCH(533,'Transfer Engine'!$C$2:$C$1960,0)))</f>
        <v/>
      </c>
      <c r="I542" s="9">
        <f>IF(ISNA(MATCH(533,'Transfer Engine'!$C$2:$C$1960,0)),"",INDEX('Compliance Database'!$I$2:$I$1960,MATCH(533,'Transfer Engine'!$C$2:$C$1960,0)))</f>
        <v/>
      </c>
      <c r="J542" s="8">
        <f>IF(ISNA(MATCH(533,'Transfer Engine'!$C$2:$C$1960,0)),"",INDEX('Compliance Database'!$J$2:$J$1960,MATCH(533,'Transfer Engine'!$C$2:$C$1960,0)))</f>
        <v/>
      </c>
      <c r="K542" s="9">
        <f>IF(ISNA(MATCH(533,'Transfer Engine'!$C$2:$C$1960,0)),"",INDEX('Compliance Database'!$K$2:$K$1960,MATCH(533,'Transfer Engine'!$C$2:$C$1960,0)))</f>
        <v/>
      </c>
      <c r="L542" s="9">
        <f>IF(ISNA(MATCH(533,'Transfer Engine'!$C$2:$C$1960,0)),"",INDEX('Compliance Database'!$L$2:$L$1960,MATCH(533,'Transfer Engine'!$C$2:$C$1960,0)))</f>
        <v/>
      </c>
      <c r="M542" s="9">
        <f>IF(ISNA(MATCH(533,'Transfer Engine'!$C$2:$C$1960,0)),"",INDEX('Compliance Database'!$M$2:$M$1960,MATCH(533,'Transfer Engine'!$C$2:$C$1960,0)))</f>
        <v/>
      </c>
      <c r="N542" s="9">
        <f>IF(ISNA(MATCH(533,'Transfer Engine'!$C$2:$C$1960,0)),"",INDEX('Compliance Database'!$N$2:$N$1960,MATCH(533,'Transfer Engine'!$C$2:$C$1960,0)))</f>
        <v/>
      </c>
      <c r="O542" s="9">
        <f>IF(ISNA(MATCH(533,'Transfer Engine'!$C$2:$C$1960,0)),"",INDEX('Compliance Database'!$O$2:$O$1960,MATCH(533,'Transfer Engine'!$C$2:$C$1960,0)))</f>
        <v/>
      </c>
      <c r="P542" s="8">
        <f>IF(ISNA(MATCH(533,'Transfer Engine'!$C$2:$C$1960,0)),"",HYPERLINK("#Acts!A"&amp;INDEX('Compliance Database'!$P$2:$P$1960,MATCH(533,'Transfer Engine'!$C$2:$C$1960,0)),"Go to Act"))</f>
        <v/>
      </c>
    </row>
    <row r="543" ht="158" customHeight="1">
      <c r="A543" s="8">
        <f>IF(ISNA(MATCH(534,'Transfer Engine'!$C$2:$C$1960,0)),"",INDEX('Compliance Database'!$A$2:$A$1960,MATCH(534,'Transfer Engine'!$C$2:$C$1960,0)))</f>
        <v/>
      </c>
      <c r="B543" s="8">
        <f>IF(ISNA(MATCH(534,'Transfer Engine'!$C$2:$C$1960,0)),"",INDEX('Compliance Database'!$B$2:$B$1960,MATCH(534,'Transfer Engine'!$C$2:$C$1960,0)))</f>
        <v/>
      </c>
      <c r="C543" s="8">
        <f>IF(ISNA(MATCH(534,'Transfer Engine'!$C$2:$C$1960,0)),"",INDEX('Compliance Database'!$C$2:$C$1960,MATCH(534,'Transfer Engine'!$C$2:$C$1960,0)))</f>
        <v/>
      </c>
      <c r="D543" s="9">
        <f>IF(ISNA(MATCH(534,'Transfer Engine'!$C$2:$C$1960,0)),"",INDEX('Compliance Database'!$D$2:$D$1960,MATCH(534,'Transfer Engine'!$C$2:$C$1960,0)))</f>
        <v/>
      </c>
      <c r="E543" s="8">
        <f>IF(ISNA(MATCH(534,'Transfer Engine'!$C$2:$C$1960,0)),"",INDEX('Compliance Database'!$E$2:$E$1960,MATCH(534,'Transfer Engine'!$C$2:$C$1960,0)))</f>
        <v/>
      </c>
      <c r="F543" s="8">
        <f>IF(ISNA(MATCH(534,'Transfer Engine'!$C$2:$C$1960,0)),"",INDEX('Compliance Database'!$F$2:$F$1960,MATCH(534,'Transfer Engine'!$C$2:$C$1960,0)))</f>
        <v/>
      </c>
      <c r="G543" s="8">
        <f>IF(ISNA(MATCH(534,'Transfer Engine'!$C$2:$C$1960,0)),"",INDEX('Compliance Database'!$G$2:$G$1960,MATCH(534,'Transfer Engine'!$C$2:$C$1960,0)))</f>
        <v/>
      </c>
      <c r="H543" s="9">
        <f>IF(ISNA(MATCH(534,'Transfer Engine'!$C$2:$C$1960,0)),"",INDEX('Compliance Database'!$H$2:$H$1960,MATCH(534,'Transfer Engine'!$C$2:$C$1960,0)))</f>
        <v/>
      </c>
      <c r="I543" s="9">
        <f>IF(ISNA(MATCH(534,'Transfer Engine'!$C$2:$C$1960,0)),"",INDEX('Compliance Database'!$I$2:$I$1960,MATCH(534,'Transfer Engine'!$C$2:$C$1960,0)))</f>
        <v/>
      </c>
      <c r="J543" s="8">
        <f>IF(ISNA(MATCH(534,'Transfer Engine'!$C$2:$C$1960,0)),"",INDEX('Compliance Database'!$J$2:$J$1960,MATCH(534,'Transfer Engine'!$C$2:$C$1960,0)))</f>
        <v/>
      </c>
      <c r="K543" s="9">
        <f>IF(ISNA(MATCH(534,'Transfer Engine'!$C$2:$C$1960,0)),"",INDEX('Compliance Database'!$K$2:$K$1960,MATCH(534,'Transfer Engine'!$C$2:$C$1960,0)))</f>
        <v/>
      </c>
      <c r="L543" s="9">
        <f>IF(ISNA(MATCH(534,'Transfer Engine'!$C$2:$C$1960,0)),"",INDEX('Compliance Database'!$L$2:$L$1960,MATCH(534,'Transfer Engine'!$C$2:$C$1960,0)))</f>
        <v/>
      </c>
      <c r="M543" s="9">
        <f>IF(ISNA(MATCH(534,'Transfer Engine'!$C$2:$C$1960,0)),"",INDEX('Compliance Database'!$M$2:$M$1960,MATCH(534,'Transfer Engine'!$C$2:$C$1960,0)))</f>
        <v/>
      </c>
      <c r="N543" s="9">
        <f>IF(ISNA(MATCH(534,'Transfer Engine'!$C$2:$C$1960,0)),"",INDEX('Compliance Database'!$N$2:$N$1960,MATCH(534,'Transfer Engine'!$C$2:$C$1960,0)))</f>
        <v/>
      </c>
      <c r="O543" s="9">
        <f>IF(ISNA(MATCH(534,'Transfer Engine'!$C$2:$C$1960,0)),"",INDEX('Compliance Database'!$O$2:$O$1960,MATCH(534,'Transfer Engine'!$C$2:$C$1960,0)))</f>
        <v/>
      </c>
      <c r="P543" s="8">
        <f>IF(ISNA(MATCH(534,'Transfer Engine'!$C$2:$C$1960,0)),"",HYPERLINK("#Acts!A"&amp;INDEX('Compliance Database'!$P$2:$P$1960,MATCH(534,'Transfer Engine'!$C$2:$C$1960,0)),"Go to Act"))</f>
        <v/>
      </c>
    </row>
    <row r="544" ht="158" customHeight="1">
      <c r="A544" s="8">
        <f>IF(ISNA(MATCH(535,'Transfer Engine'!$C$2:$C$1960,0)),"",INDEX('Compliance Database'!$A$2:$A$1960,MATCH(535,'Transfer Engine'!$C$2:$C$1960,0)))</f>
        <v/>
      </c>
      <c r="B544" s="8">
        <f>IF(ISNA(MATCH(535,'Transfer Engine'!$C$2:$C$1960,0)),"",INDEX('Compliance Database'!$B$2:$B$1960,MATCH(535,'Transfer Engine'!$C$2:$C$1960,0)))</f>
        <v/>
      </c>
      <c r="C544" s="8">
        <f>IF(ISNA(MATCH(535,'Transfer Engine'!$C$2:$C$1960,0)),"",INDEX('Compliance Database'!$C$2:$C$1960,MATCH(535,'Transfer Engine'!$C$2:$C$1960,0)))</f>
        <v/>
      </c>
      <c r="D544" s="9">
        <f>IF(ISNA(MATCH(535,'Transfer Engine'!$C$2:$C$1960,0)),"",INDEX('Compliance Database'!$D$2:$D$1960,MATCH(535,'Transfer Engine'!$C$2:$C$1960,0)))</f>
        <v/>
      </c>
      <c r="E544" s="8">
        <f>IF(ISNA(MATCH(535,'Transfer Engine'!$C$2:$C$1960,0)),"",INDEX('Compliance Database'!$E$2:$E$1960,MATCH(535,'Transfer Engine'!$C$2:$C$1960,0)))</f>
        <v/>
      </c>
      <c r="F544" s="8">
        <f>IF(ISNA(MATCH(535,'Transfer Engine'!$C$2:$C$1960,0)),"",INDEX('Compliance Database'!$F$2:$F$1960,MATCH(535,'Transfer Engine'!$C$2:$C$1960,0)))</f>
        <v/>
      </c>
      <c r="G544" s="8">
        <f>IF(ISNA(MATCH(535,'Transfer Engine'!$C$2:$C$1960,0)),"",INDEX('Compliance Database'!$G$2:$G$1960,MATCH(535,'Transfer Engine'!$C$2:$C$1960,0)))</f>
        <v/>
      </c>
      <c r="H544" s="9">
        <f>IF(ISNA(MATCH(535,'Transfer Engine'!$C$2:$C$1960,0)),"",INDEX('Compliance Database'!$H$2:$H$1960,MATCH(535,'Transfer Engine'!$C$2:$C$1960,0)))</f>
        <v/>
      </c>
      <c r="I544" s="9">
        <f>IF(ISNA(MATCH(535,'Transfer Engine'!$C$2:$C$1960,0)),"",INDEX('Compliance Database'!$I$2:$I$1960,MATCH(535,'Transfer Engine'!$C$2:$C$1960,0)))</f>
        <v/>
      </c>
      <c r="J544" s="8">
        <f>IF(ISNA(MATCH(535,'Transfer Engine'!$C$2:$C$1960,0)),"",INDEX('Compliance Database'!$J$2:$J$1960,MATCH(535,'Transfer Engine'!$C$2:$C$1960,0)))</f>
        <v/>
      </c>
      <c r="K544" s="9">
        <f>IF(ISNA(MATCH(535,'Transfer Engine'!$C$2:$C$1960,0)),"",INDEX('Compliance Database'!$K$2:$K$1960,MATCH(535,'Transfer Engine'!$C$2:$C$1960,0)))</f>
        <v/>
      </c>
      <c r="L544" s="9">
        <f>IF(ISNA(MATCH(535,'Transfer Engine'!$C$2:$C$1960,0)),"",INDEX('Compliance Database'!$L$2:$L$1960,MATCH(535,'Transfer Engine'!$C$2:$C$1960,0)))</f>
        <v/>
      </c>
      <c r="M544" s="9">
        <f>IF(ISNA(MATCH(535,'Transfer Engine'!$C$2:$C$1960,0)),"",INDEX('Compliance Database'!$M$2:$M$1960,MATCH(535,'Transfer Engine'!$C$2:$C$1960,0)))</f>
        <v/>
      </c>
      <c r="N544" s="9">
        <f>IF(ISNA(MATCH(535,'Transfer Engine'!$C$2:$C$1960,0)),"",INDEX('Compliance Database'!$N$2:$N$1960,MATCH(535,'Transfer Engine'!$C$2:$C$1960,0)))</f>
        <v/>
      </c>
      <c r="O544" s="9">
        <f>IF(ISNA(MATCH(535,'Transfer Engine'!$C$2:$C$1960,0)),"",INDEX('Compliance Database'!$O$2:$O$1960,MATCH(535,'Transfer Engine'!$C$2:$C$1960,0)))</f>
        <v/>
      </c>
      <c r="P544" s="8">
        <f>IF(ISNA(MATCH(535,'Transfer Engine'!$C$2:$C$1960,0)),"",HYPERLINK("#Acts!A"&amp;INDEX('Compliance Database'!$P$2:$P$1960,MATCH(535,'Transfer Engine'!$C$2:$C$1960,0)),"Go to Act"))</f>
        <v/>
      </c>
    </row>
    <row r="545" ht="158" customHeight="1">
      <c r="A545" s="8">
        <f>IF(ISNA(MATCH(536,'Transfer Engine'!$C$2:$C$1960,0)),"",INDEX('Compliance Database'!$A$2:$A$1960,MATCH(536,'Transfer Engine'!$C$2:$C$1960,0)))</f>
        <v/>
      </c>
      <c r="B545" s="8">
        <f>IF(ISNA(MATCH(536,'Transfer Engine'!$C$2:$C$1960,0)),"",INDEX('Compliance Database'!$B$2:$B$1960,MATCH(536,'Transfer Engine'!$C$2:$C$1960,0)))</f>
        <v/>
      </c>
      <c r="C545" s="8">
        <f>IF(ISNA(MATCH(536,'Transfer Engine'!$C$2:$C$1960,0)),"",INDEX('Compliance Database'!$C$2:$C$1960,MATCH(536,'Transfer Engine'!$C$2:$C$1960,0)))</f>
        <v/>
      </c>
      <c r="D545" s="9">
        <f>IF(ISNA(MATCH(536,'Transfer Engine'!$C$2:$C$1960,0)),"",INDEX('Compliance Database'!$D$2:$D$1960,MATCH(536,'Transfer Engine'!$C$2:$C$1960,0)))</f>
        <v/>
      </c>
      <c r="E545" s="8">
        <f>IF(ISNA(MATCH(536,'Transfer Engine'!$C$2:$C$1960,0)),"",INDEX('Compliance Database'!$E$2:$E$1960,MATCH(536,'Transfer Engine'!$C$2:$C$1960,0)))</f>
        <v/>
      </c>
      <c r="F545" s="8">
        <f>IF(ISNA(MATCH(536,'Transfer Engine'!$C$2:$C$1960,0)),"",INDEX('Compliance Database'!$F$2:$F$1960,MATCH(536,'Transfer Engine'!$C$2:$C$1960,0)))</f>
        <v/>
      </c>
      <c r="G545" s="8">
        <f>IF(ISNA(MATCH(536,'Transfer Engine'!$C$2:$C$1960,0)),"",INDEX('Compliance Database'!$G$2:$G$1960,MATCH(536,'Transfer Engine'!$C$2:$C$1960,0)))</f>
        <v/>
      </c>
      <c r="H545" s="9">
        <f>IF(ISNA(MATCH(536,'Transfer Engine'!$C$2:$C$1960,0)),"",INDEX('Compliance Database'!$H$2:$H$1960,MATCH(536,'Transfer Engine'!$C$2:$C$1960,0)))</f>
        <v/>
      </c>
      <c r="I545" s="9">
        <f>IF(ISNA(MATCH(536,'Transfer Engine'!$C$2:$C$1960,0)),"",INDEX('Compliance Database'!$I$2:$I$1960,MATCH(536,'Transfer Engine'!$C$2:$C$1960,0)))</f>
        <v/>
      </c>
      <c r="J545" s="8">
        <f>IF(ISNA(MATCH(536,'Transfer Engine'!$C$2:$C$1960,0)),"",INDEX('Compliance Database'!$J$2:$J$1960,MATCH(536,'Transfer Engine'!$C$2:$C$1960,0)))</f>
        <v/>
      </c>
      <c r="K545" s="9">
        <f>IF(ISNA(MATCH(536,'Transfer Engine'!$C$2:$C$1960,0)),"",INDEX('Compliance Database'!$K$2:$K$1960,MATCH(536,'Transfer Engine'!$C$2:$C$1960,0)))</f>
        <v/>
      </c>
      <c r="L545" s="9">
        <f>IF(ISNA(MATCH(536,'Transfer Engine'!$C$2:$C$1960,0)),"",INDEX('Compliance Database'!$L$2:$L$1960,MATCH(536,'Transfer Engine'!$C$2:$C$1960,0)))</f>
        <v/>
      </c>
      <c r="M545" s="9">
        <f>IF(ISNA(MATCH(536,'Transfer Engine'!$C$2:$C$1960,0)),"",INDEX('Compliance Database'!$M$2:$M$1960,MATCH(536,'Transfer Engine'!$C$2:$C$1960,0)))</f>
        <v/>
      </c>
      <c r="N545" s="9">
        <f>IF(ISNA(MATCH(536,'Transfer Engine'!$C$2:$C$1960,0)),"",INDEX('Compliance Database'!$N$2:$N$1960,MATCH(536,'Transfer Engine'!$C$2:$C$1960,0)))</f>
        <v/>
      </c>
      <c r="O545" s="9">
        <f>IF(ISNA(MATCH(536,'Transfer Engine'!$C$2:$C$1960,0)),"",INDEX('Compliance Database'!$O$2:$O$1960,MATCH(536,'Transfer Engine'!$C$2:$C$1960,0)))</f>
        <v/>
      </c>
      <c r="P545" s="8">
        <f>IF(ISNA(MATCH(536,'Transfer Engine'!$C$2:$C$1960,0)),"",HYPERLINK("#Acts!A"&amp;INDEX('Compliance Database'!$P$2:$P$1960,MATCH(536,'Transfer Engine'!$C$2:$C$1960,0)),"Go to Act"))</f>
        <v/>
      </c>
    </row>
    <row r="546" ht="158" customHeight="1">
      <c r="A546" s="8">
        <f>IF(ISNA(MATCH(537,'Transfer Engine'!$C$2:$C$1960,0)),"",INDEX('Compliance Database'!$A$2:$A$1960,MATCH(537,'Transfer Engine'!$C$2:$C$1960,0)))</f>
        <v/>
      </c>
      <c r="B546" s="8">
        <f>IF(ISNA(MATCH(537,'Transfer Engine'!$C$2:$C$1960,0)),"",INDEX('Compliance Database'!$B$2:$B$1960,MATCH(537,'Transfer Engine'!$C$2:$C$1960,0)))</f>
        <v/>
      </c>
      <c r="C546" s="8">
        <f>IF(ISNA(MATCH(537,'Transfer Engine'!$C$2:$C$1960,0)),"",INDEX('Compliance Database'!$C$2:$C$1960,MATCH(537,'Transfer Engine'!$C$2:$C$1960,0)))</f>
        <v/>
      </c>
      <c r="D546" s="9">
        <f>IF(ISNA(MATCH(537,'Transfer Engine'!$C$2:$C$1960,0)),"",INDEX('Compliance Database'!$D$2:$D$1960,MATCH(537,'Transfer Engine'!$C$2:$C$1960,0)))</f>
        <v/>
      </c>
      <c r="E546" s="8">
        <f>IF(ISNA(MATCH(537,'Transfer Engine'!$C$2:$C$1960,0)),"",INDEX('Compliance Database'!$E$2:$E$1960,MATCH(537,'Transfer Engine'!$C$2:$C$1960,0)))</f>
        <v/>
      </c>
      <c r="F546" s="8">
        <f>IF(ISNA(MATCH(537,'Transfer Engine'!$C$2:$C$1960,0)),"",INDEX('Compliance Database'!$F$2:$F$1960,MATCH(537,'Transfer Engine'!$C$2:$C$1960,0)))</f>
        <v/>
      </c>
      <c r="G546" s="8">
        <f>IF(ISNA(MATCH(537,'Transfer Engine'!$C$2:$C$1960,0)),"",INDEX('Compliance Database'!$G$2:$G$1960,MATCH(537,'Transfer Engine'!$C$2:$C$1960,0)))</f>
        <v/>
      </c>
      <c r="H546" s="9">
        <f>IF(ISNA(MATCH(537,'Transfer Engine'!$C$2:$C$1960,0)),"",INDEX('Compliance Database'!$H$2:$H$1960,MATCH(537,'Transfer Engine'!$C$2:$C$1960,0)))</f>
        <v/>
      </c>
      <c r="I546" s="9">
        <f>IF(ISNA(MATCH(537,'Transfer Engine'!$C$2:$C$1960,0)),"",INDEX('Compliance Database'!$I$2:$I$1960,MATCH(537,'Transfer Engine'!$C$2:$C$1960,0)))</f>
        <v/>
      </c>
      <c r="J546" s="8">
        <f>IF(ISNA(MATCH(537,'Transfer Engine'!$C$2:$C$1960,0)),"",INDEX('Compliance Database'!$J$2:$J$1960,MATCH(537,'Transfer Engine'!$C$2:$C$1960,0)))</f>
        <v/>
      </c>
      <c r="K546" s="9">
        <f>IF(ISNA(MATCH(537,'Transfer Engine'!$C$2:$C$1960,0)),"",INDEX('Compliance Database'!$K$2:$K$1960,MATCH(537,'Transfer Engine'!$C$2:$C$1960,0)))</f>
        <v/>
      </c>
      <c r="L546" s="9">
        <f>IF(ISNA(MATCH(537,'Transfer Engine'!$C$2:$C$1960,0)),"",INDEX('Compliance Database'!$L$2:$L$1960,MATCH(537,'Transfer Engine'!$C$2:$C$1960,0)))</f>
        <v/>
      </c>
      <c r="M546" s="9">
        <f>IF(ISNA(MATCH(537,'Transfer Engine'!$C$2:$C$1960,0)),"",INDEX('Compliance Database'!$M$2:$M$1960,MATCH(537,'Transfer Engine'!$C$2:$C$1960,0)))</f>
        <v/>
      </c>
      <c r="N546" s="9">
        <f>IF(ISNA(MATCH(537,'Transfer Engine'!$C$2:$C$1960,0)),"",INDEX('Compliance Database'!$N$2:$N$1960,MATCH(537,'Transfer Engine'!$C$2:$C$1960,0)))</f>
        <v/>
      </c>
      <c r="O546" s="9">
        <f>IF(ISNA(MATCH(537,'Transfer Engine'!$C$2:$C$1960,0)),"",INDEX('Compliance Database'!$O$2:$O$1960,MATCH(537,'Transfer Engine'!$C$2:$C$1960,0)))</f>
        <v/>
      </c>
      <c r="P546" s="8">
        <f>IF(ISNA(MATCH(537,'Transfer Engine'!$C$2:$C$1960,0)),"",HYPERLINK("#Acts!A"&amp;INDEX('Compliance Database'!$P$2:$P$1960,MATCH(537,'Transfer Engine'!$C$2:$C$1960,0)),"Go to Act"))</f>
        <v/>
      </c>
    </row>
    <row r="547" ht="158" customHeight="1">
      <c r="A547" s="8">
        <f>IF(ISNA(MATCH(538,'Transfer Engine'!$C$2:$C$1960,0)),"",INDEX('Compliance Database'!$A$2:$A$1960,MATCH(538,'Transfer Engine'!$C$2:$C$1960,0)))</f>
        <v/>
      </c>
      <c r="B547" s="8">
        <f>IF(ISNA(MATCH(538,'Transfer Engine'!$C$2:$C$1960,0)),"",INDEX('Compliance Database'!$B$2:$B$1960,MATCH(538,'Transfer Engine'!$C$2:$C$1960,0)))</f>
        <v/>
      </c>
      <c r="C547" s="8">
        <f>IF(ISNA(MATCH(538,'Transfer Engine'!$C$2:$C$1960,0)),"",INDEX('Compliance Database'!$C$2:$C$1960,MATCH(538,'Transfer Engine'!$C$2:$C$1960,0)))</f>
        <v/>
      </c>
      <c r="D547" s="9">
        <f>IF(ISNA(MATCH(538,'Transfer Engine'!$C$2:$C$1960,0)),"",INDEX('Compliance Database'!$D$2:$D$1960,MATCH(538,'Transfer Engine'!$C$2:$C$1960,0)))</f>
        <v/>
      </c>
      <c r="E547" s="8">
        <f>IF(ISNA(MATCH(538,'Transfer Engine'!$C$2:$C$1960,0)),"",INDEX('Compliance Database'!$E$2:$E$1960,MATCH(538,'Transfer Engine'!$C$2:$C$1960,0)))</f>
        <v/>
      </c>
      <c r="F547" s="8">
        <f>IF(ISNA(MATCH(538,'Transfer Engine'!$C$2:$C$1960,0)),"",INDEX('Compliance Database'!$F$2:$F$1960,MATCH(538,'Transfer Engine'!$C$2:$C$1960,0)))</f>
        <v/>
      </c>
      <c r="G547" s="8">
        <f>IF(ISNA(MATCH(538,'Transfer Engine'!$C$2:$C$1960,0)),"",INDEX('Compliance Database'!$G$2:$G$1960,MATCH(538,'Transfer Engine'!$C$2:$C$1960,0)))</f>
        <v/>
      </c>
      <c r="H547" s="9">
        <f>IF(ISNA(MATCH(538,'Transfer Engine'!$C$2:$C$1960,0)),"",INDEX('Compliance Database'!$H$2:$H$1960,MATCH(538,'Transfer Engine'!$C$2:$C$1960,0)))</f>
        <v/>
      </c>
      <c r="I547" s="9">
        <f>IF(ISNA(MATCH(538,'Transfer Engine'!$C$2:$C$1960,0)),"",INDEX('Compliance Database'!$I$2:$I$1960,MATCH(538,'Transfer Engine'!$C$2:$C$1960,0)))</f>
        <v/>
      </c>
      <c r="J547" s="8">
        <f>IF(ISNA(MATCH(538,'Transfer Engine'!$C$2:$C$1960,0)),"",INDEX('Compliance Database'!$J$2:$J$1960,MATCH(538,'Transfer Engine'!$C$2:$C$1960,0)))</f>
        <v/>
      </c>
      <c r="K547" s="9">
        <f>IF(ISNA(MATCH(538,'Transfer Engine'!$C$2:$C$1960,0)),"",INDEX('Compliance Database'!$K$2:$K$1960,MATCH(538,'Transfer Engine'!$C$2:$C$1960,0)))</f>
        <v/>
      </c>
      <c r="L547" s="9">
        <f>IF(ISNA(MATCH(538,'Transfer Engine'!$C$2:$C$1960,0)),"",INDEX('Compliance Database'!$L$2:$L$1960,MATCH(538,'Transfer Engine'!$C$2:$C$1960,0)))</f>
        <v/>
      </c>
      <c r="M547" s="9">
        <f>IF(ISNA(MATCH(538,'Transfer Engine'!$C$2:$C$1960,0)),"",INDEX('Compliance Database'!$M$2:$M$1960,MATCH(538,'Transfer Engine'!$C$2:$C$1960,0)))</f>
        <v/>
      </c>
      <c r="N547" s="9">
        <f>IF(ISNA(MATCH(538,'Transfer Engine'!$C$2:$C$1960,0)),"",INDEX('Compliance Database'!$N$2:$N$1960,MATCH(538,'Transfer Engine'!$C$2:$C$1960,0)))</f>
        <v/>
      </c>
      <c r="O547" s="9">
        <f>IF(ISNA(MATCH(538,'Transfer Engine'!$C$2:$C$1960,0)),"",INDEX('Compliance Database'!$O$2:$O$1960,MATCH(538,'Transfer Engine'!$C$2:$C$1960,0)))</f>
        <v/>
      </c>
      <c r="P547" s="8">
        <f>IF(ISNA(MATCH(538,'Transfer Engine'!$C$2:$C$1960,0)),"",HYPERLINK("#Acts!A"&amp;INDEX('Compliance Database'!$P$2:$P$1960,MATCH(538,'Transfer Engine'!$C$2:$C$1960,0)),"Go to Act"))</f>
        <v/>
      </c>
    </row>
    <row r="548" ht="158" customHeight="1">
      <c r="A548" s="8">
        <f>IF(ISNA(MATCH(539,'Transfer Engine'!$C$2:$C$1960,0)),"",INDEX('Compliance Database'!$A$2:$A$1960,MATCH(539,'Transfer Engine'!$C$2:$C$1960,0)))</f>
        <v/>
      </c>
      <c r="B548" s="8">
        <f>IF(ISNA(MATCH(539,'Transfer Engine'!$C$2:$C$1960,0)),"",INDEX('Compliance Database'!$B$2:$B$1960,MATCH(539,'Transfer Engine'!$C$2:$C$1960,0)))</f>
        <v/>
      </c>
      <c r="C548" s="8">
        <f>IF(ISNA(MATCH(539,'Transfer Engine'!$C$2:$C$1960,0)),"",INDEX('Compliance Database'!$C$2:$C$1960,MATCH(539,'Transfer Engine'!$C$2:$C$1960,0)))</f>
        <v/>
      </c>
      <c r="D548" s="9">
        <f>IF(ISNA(MATCH(539,'Transfer Engine'!$C$2:$C$1960,0)),"",INDEX('Compliance Database'!$D$2:$D$1960,MATCH(539,'Transfer Engine'!$C$2:$C$1960,0)))</f>
        <v/>
      </c>
      <c r="E548" s="8">
        <f>IF(ISNA(MATCH(539,'Transfer Engine'!$C$2:$C$1960,0)),"",INDEX('Compliance Database'!$E$2:$E$1960,MATCH(539,'Transfer Engine'!$C$2:$C$1960,0)))</f>
        <v/>
      </c>
      <c r="F548" s="8">
        <f>IF(ISNA(MATCH(539,'Transfer Engine'!$C$2:$C$1960,0)),"",INDEX('Compliance Database'!$F$2:$F$1960,MATCH(539,'Transfer Engine'!$C$2:$C$1960,0)))</f>
        <v/>
      </c>
      <c r="G548" s="8">
        <f>IF(ISNA(MATCH(539,'Transfer Engine'!$C$2:$C$1960,0)),"",INDEX('Compliance Database'!$G$2:$G$1960,MATCH(539,'Transfer Engine'!$C$2:$C$1960,0)))</f>
        <v/>
      </c>
      <c r="H548" s="9">
        <f>IF(ISNA(MATCH(539,'Transfer Engine'!$C$2:$C$1960,0)),"",INDEX('Compliance Database'!$H$2:$H$1960,MATCH(539,'Transfer Engine'!$C$2:$C$1960,0)))</f>
        <v/>
      </c>
      <c r="I548" s="9">
        <f>IF(ISNA(MATCH(539,'Transfer Engine'!$C$2:$C$1960,0)),"",INDEX('Compliance Database'!$I$2:$I$1960,MATCH(539,'Transfer Engine'!$C$2:$C$1960,0)))</f>
        <v/>
      </c>
      <c r="J548" s="8">
        <f>IF(ISNA(MATCH(539,'Transfer Engine'!$C$2:$C$1960,0)),"",INDEX('Compliance Database'!$J$2:$J$1960,MATCH(539,'Transfer Engine'!$C$2:$C$1960,0)))</f>
        <v/>
      </c>
      <c r="K548" s="9">
        <f>IF(ISNA(MATCH(539,'Transfer Engine'!$C$2:$C$1960,0)),"",INDEX('Compliance Database'!$K$2:$K$1960,MATCH(539,'Transfer Engine'!$C$2:$C$1960,0)))</f>
        <v/>
      </c>
      <c r="L548" s="9">
        <f>IF(ISNA(MATCH(539,'Transfer Engine'!$C$2:$C$1960,0)),"",INDEX('Compliance Database'!$L$2:$L$1960,MATCH(539,'Transfer Engine'!$C$2:$C$1960,0)))</f>
        <v/>
      </c>
      <c r="M548" s="9">
        <f>IF(ISNA(MATCH(539,'Transfer Engine'!$C$2:$C$1960,0)),"",INDEX('Compliance Database'!$M$2:$M$1960,MATCH(539,'Transfer Engine'!$C$2:$C$1960,0)))</f>
        <v/>
      </c>
      <c r="N548" s="9">
        <f>IF(ISNA(MATCH(539,'Transfer Engine'!$C$2:$C$1960,0)),"",INDEX('Compliance Database'!$N$2:$N$1960,MATCH(539,'Transfer Engine'!$C$2:$C$1960,0)))</f>
        <v/>
      </c>
      <c r="O548" s="9">
        <f>IF(ISNA(MATCH(539,'Transfer Engine'!$C$2:$C$1960,0)),"",INDEX('Compliance Database'!$O$2:$O$1960,MATCH(539,'Transfer Engine'!$C$2:$C$1960,0)))</f>
        <v/>
      </c>
      <c r="P548" s="8">
        <f>IF(ISNA(MATCH(539,'Transfer Engine'!$C$2:$C$1960,0)),"",HYPERLINK("#Acts!A"&amp;INDEX('Compliance Database'!$P$2:$P$1960,MATCH(539,'Transfer Engine'!$C$2:$C$1960,0)),"Go to Act"))</f>
        <v/>
      </c>
    </row>
    <row r="549" ht="158" customHeight="1">
      <c r="A549" s="8">
        <f>IF(ISNA(MATCH(540,'Transfer Engine'!$C$2:$C$1960,0)),"",INDEX('Compliance Database'!$A$2:$A$1960,MATCH(540,'Transfer Engine'!$C$2:$C$1960,0)))</f>
        <v/>
      </c>
      <c r="B549" s="8">
        <f>IF(ISNA(MATCH(540,'Transfer Engine'!$C$2:$C$1960,0)),"",INDEX('Compliance Database'!$B$2:$B$1960,MATCH(540,'Transfer Engine'!$C$2:$C$1960,0)))</f>
        <v/>
      </c>
      <c r="C549" s="8">
        <f>IF(ISNA(MATCH(540,'Transfer Engine'!$C$2:$C$1960,0)),"",INDEX('Compliance Database'!$C$2:$C$1960,MATCH(540,'Transfer Engine'!$C$2:$C$1960,0)))</f>
        <v/>
      </c>
      <c r="D549" s="9">
        <f>IF(ISNA(MATCH(540,'Transfer Engine'!$C$2:$C$1960,0)),"",INDEX('Compliance Database'!$D$2:$D$1960,MATCH(540,'Transfer Engine'!$C$2:$C$1960,0)))</f>
        <v/>
      </c>
      <c r="E549" s="8">
        <f>IF(ISNA(MATCH(540,'Transfer Engine'!$C$2:$C$1960,0)),"",INDEX('Compliance Database'!$E$2:$E$1960,MATCH(540,'Transfer Engine'!$C$2:$C$1960,0)))</f>
        <v/>
      </c>
      <c r="F549" s="8">
        <f>IF(ISNA(MATCH(540,'Transfer Engine'!$C$2:$C$1960,0)),"",INDEX('Compliance Database'!$F$2:$F$1960,MATCH(540,'Transfer Engine'!$C$2:$C$1960,0)))</f>
        <v/>
      </c>
      <c r="G549" s="8">
        <f>IF(ISNA(MATCH(540,'Transfer Engine'!$C$2:$C$1960,0)),"",INDEX('Compliance Database'!$G$2:$G$1960,MATCH(540,'Transfer Engine'!$C$2:$C$1960,0)))</f>
        <v/>
      </c>
      <c r="H549" s="9">
        <f>IF(ISNA(MATCH(540,'Transfer Engine'!$C$2:$C$1960,0)),"",INDEX('Compliance Database'!$H$2:$H$1960,MATCH(540,'Transfer Engine'!$C$2:$C$1960,0)))</f>
        <v/>
      </c>
      <c r="I549" s="9">
        <f>IF(ISNA(MATCH(540,'Transfer Engine'!$C$2:$C$1960,0)),"",INDEX('Compliance Database'!$I$2:$I$1960,MATCH(540,'Transfer Engine'!$C$2:$C$1960,0)))</f>
        <v/>
      </c>
      <c r="J549" s="8">
        <f>IF(ISNA(MATCH(540,'Transfer Engine'!$C$2:$C$1960,0)),"",INDEX('Compliance Database'!$J$2:$J$1960,MATCH(540,'Transfer Engine'!$C$2:$C$1960,0)))</f>
        <v/>
      </c>
      <c r="K549" s="9">
        <f>IF(ISNA(MATCH(540,'Transfer Engine'!$C$2:$C$1960,0)),"",INDEX('Compliance Database'!$K$2:$K$1960,MATCH(540,'Transfer Engine'!$C$2:$C$1960,0)))</f>
        <v/>
      </c>
      <c r="L549" s="9">
        <f>IF(ISNA(MATCH(540,'Transfer Engine'!$C$2:$C$1960,0)),"",INDEX('Compliance Database'!$L$2:$L$1960,MATCH(540,'Transfer Engine'!$C$2:$C$1960,0)))</f>
        <v/>
      </c>
      <c r="M549" s="9">
        <f>IF(ISNA(MATCH(540,'Transfer Engine'!$C$2:$C$1960,0)),"",INDEX('Compliance Database'!$M$2:$M$1960,MATCH(540,'Transfer Engine'!$C$2:$C$1960,0)))</f>
        <v/>
      </c>
      <c r="N549" s="9">
        <f>IF(ISNA(MATCH(540,'Transfer Engine'!$C$2:$C$1960,0)),"",INDEX('Compliance Database'!$N$2:$N$1960,MATCH(540,'Transfer Engine'!$C$2:$C$1960,0)))</f>
        <v/>
      </c>
      <c r="O549" s="9">
        <f>IF(ISNA(MATCH(540,'Transfer Engine'!$C$2:$C$1960,0)),"",INDEX('Compliance Database'!$O$2:$O$1960,MATCH(540,'Transfer Engine'!$C$2:$C$1960,0)))</f>
        <v/>
      </c>
      <c r="P549" s="8">
        <f>IF(ISNA(MATCH(540,'Transfer Engine'!$C$2:$C$1960,0)),"",HYPERLINK("#Acts!A"&amp;INDEX('Compliance Database'!$P$2:$P$1960,MATCH(540,'Transfer Engine'!$C$2:$C$1960,0)),"Go to Act"))</f>
        <v/>
      </c>
    </row>
    <row r="550" ht="158" customHeight="1">
      <c r="A550" s="8">
        <f>IF(ISNA(MATCH(541,'Transfer Engine'!$C$2:$C$1960,0)),"",INDEX('Compliance Database'!$A$2:$A$1960,MATCH(541,'Transfer Engine'!$C$2:$C$1960,0)))</f>
        <v/>
      </c>
      <c r="B550" s="8">
        <f>IF(ISNA(MATCH(541,'Transfer Engine'!$C$2:$C$1960,0)),"",INDEX('Compliance Database'!$B$2:$B$1960,MATCH(541,'Transfer Engine'!$C$2:$C$1960,0)))</f>
        <v/>
      </c>
      <c r="C550" s="8">
        <f>IF(ISNA(MATCH(541,'Transfer Engine'!$C$2:$C$1960,0)),"",INDEX('Compliance Database'!$C$2:$C$1960,MATCH(541,'Transfer Engine'!$C$2:$C$1960,0)))</f>
        <v/>
      </c>
      <c r="D550" s="9">
        <f>IF(ISNA(MATCH(541,'Transfer Engine'!$C$2:$C$1960,0)),"",INDEX('Compliance Database'!$D$2:$D$1960,MATCH(541,'Transfer Engine'!$C$2:$C$1960,0)))</f>
        <v/>
      </c>
      <c r="E550" s="8">
        <f>IF(ISNA(MATCH(541,'Transfer Engine'!$C$2:$C$1960,0)),"",INDEX('Compliance Database'!$E$2:$E$1960,MATCH(541,'Transfer Engine'!$C$2:$C$1960,0)))</f>
        <v/>
      </c>
      <c r="F550" s="8">
        <f>IF(ISNA(MATCH(541,'Transfer Engine'!$C$2:$C$1960,0)),"",INDEX('Compliance Database'!$F$2:$F$1960,MATCH(541,'Transfer Engine'!$C$2:$C$1960,0)))</f>
        <v/>
      </c>
      <c r="G550" s="8">
        <f>IF(ISNA(MATCH(541,'Transfer Engine'!$C$2:$C$1960,0)),"",INDEX('Compliance Database'!$G$2:$G$1960,MATCH(541,'Transfer Engine'!$C$2:$C$1960,0)))</f>
        <v/>
      </c>
      <c r="H550" s="9">
        <f>IF(ISNA(MATCH(541,'Transfer Engine'!$C$2:$C$1960,0)),"",INDEX('Compliance Database'!$H$2:$H$1960,MATCH(541,'Transfer Engine'!$C$2:$C$1960,0)))</f>
        <v/>
      </c>
      <c r="I550" s="9">
        <f>IF(ISNA(MATCH(541,'Transfer Engine'!$C$2:$C$1960,0)),"",INDEX('Compliance Database'!$I$2:$I$1960,MATCH(541,'Transfer Engine'!$C$2:$C$1960,0)))</f>
        <v/>
      </c>
      <c r="J550" s="8">
        <f>IF(ISNA(MATCH(541,'Transfer Engine'!$C$2:$C$1960,0)),"",INDEX('Compliance Database'!$J$2:$J$1960,MATCH(541,'Transfer Engine'!$C$2:$C$1960,0)))</f>
        <v/>
      </c>
      <c r="K550" s="9">
        <f>IF(ISNA(MATCH(541,'Transfer Engine'!$C$2:$C$1960,0)),"",INDEX('Compliance Database'!$K$2:$K$1960,MATCH(541,'Transfer Engine'!$C$2:$C$1960,0)))</f>
        <v/>
      </c>
      <c r="L550" s="9">
        <f>IF(ISNA(MATCH(541,'Transfer Engine'!$C$2:$C$1960,0)),"",INDEX('Compliance Database'!$L$2:$L$1960,MATCH(541,'Transfer Engine'!$C$2:$C$1960,0)))</f>
        <v/>
      </c>
      <c r="M550" s="9">
        <f>IF(ISNA(MATCH(541,'Transfer Engine'!$C$2:$C$1960,0)),"",INDEX('Compliance Database'!$M$2:$M$1960,MATCH(541,'Transfer Engine'!$C$2:$C$1960,0)))</f>
        <v/>
      </c>
      <c r="N550" s="9">
        <f>IF(ISNA(MATCH(541,'Transfer Engine'!$C$2:$C$1960,0)),"",INDEX('Compliance Database'!$N$2:$N$1960,MATCH(541,'Transfer Engine'!$C$2:$C$1960,0)))</f>
        <v/>
      </c>
      <c r="O550" s="9">
        <f>IF(ISNA(MATCH(541,'Transfer Engine'!$C$2:$C$1960,0)),"",INDEX('Compliance Database'!$O$2:$O$1960,MATCH(541,'Transfer Engine'!$C$2:$C$1960,0)))</f>
        <v/>
      </c>
      <c r="P550" s="8">
        <f>IF(ISNA(MATCH(541,'Transfer Engine'!$C$2:$C$1960,0)),"",HYPERLINK("#Acts!A"&amp;INDEX('Compliance Database'!$P$2:$P$1960,MATCH(541,'Transfer Engine'!$C$2:$C$1960,0)),"Go to Act"))</f>
        <v/>
      </c>
    </row>
    <row r="551" ht="158" customHeight="1">
      <c r="A551" s="8">
        <f>IF(ISNA(MATCH(542,'Transfer Engine'!$C$2:$C$1960,0)),"",INDEX('Compliance Database'!$A$2:$A$1960,MATCH(542,'Transfer Engine'!$C$2:$C$1960,0)))</f>
        <v/>
      </c>
      <c r="B551" s="8">
        <f>IF(ISNA(MATCH(542,'Transfer Engine'!$C$2:$C$1960,0)),"",INDEX('Compliance Database'!$B$2:$B$1960,MATCH(542,'Transfer Engine'!$C$2:$C$1960,0)))</f>
        <v/>
      </c>
      <c r="C551" s="8">
        <f>IF(ISNA(MATCH(542,'Transfer Engine'!$C$2:$C$1960,0)),"",INDEX('Compliance Database'!$C$2:$C$1960,MATCH(542,'Transfer Engine'!$C$2:$C$1960,0)))</f>
        <v/>
      </c>
      <c r="D551" s="9">
        <f>IF(ISNA(MATCH(542,'Transfer Engine'!$C$2:$C$1960,0)),"",INDEX('Compliance Database'!$D$2:$D$1960,MATCH(542,'Transfer Engine'!$C$2:$C$1960,0)))</f>
        <v/>
      </c>
      <c r="E551" s="8">
        <f>IF(ISNA(MATCH(542,'Transfer Engine'!$C$2:$C$1960,0)),"",INDEX('Compliance Database'!$E$2:$E$1960,MATCH(542,'Transfer Engine'!$C$2:$C$1960,0)))</f>
        <v/>
      </c>
      <c r="F551" s="8">
        <f>IF(ISNA(MATCH(542,'Transfer Engine'!$C$2:$C$1960,0)),"",INDEX('Compliance Database'!$F$2:$F$1960,MATCH(542,'Transfer Engine'!$C$2:$C$1960,0)))</f>
        <v/>
      </c>
      <c r="G551" s="8">
        <f>IF(ISNA(MATCH(542,'Transfer Engine'!$C$2:$C$1960,0)),"",INDEX('Compliance Database'!$G$2:$G$1960,MATCH(542,'Transfer Engine'!$C$2:$C$1960,0)))</f>
        <v/>
      </c>
      <c r="H551" s="9">
        <f>IF(ISNA(MATCH(542,'Transfer Engine'!$C$2:$C$1960,0)),"",INDEX('Compliance Database'!$H$2:$H$1960,MATCH(542,'Transfer Engine'!$C$2:$C$1960,0)))</f>
        <v/>
      </c>
      <c r="I551" s="9">
        <f>IF(ISNA(MATCH(542,'Transfer Engine'!$C$2:$C$1960,0)),"",INDEX('Compliance Database'!$I$2:$I$1960,MATCH(542,'Transfer Engine'!$C$2:$C$1960,0)))</f>
        <v/>
      </c>
      <c r="J551" s="8">
        <f>IF(ISNA(MATCH(542,'Transfer Engine'!$C$2:$C$1960,0)),"",INDEX('Compliance Database'!$J$2:$J$1960,MATCH(542,'Transfer Engine'!$C$2:$C$1960,0)))</f>
        <v/>
      </c>
      <c r="K551" s="9">
        <f>IF(ISNA(MATCH(542,'Transfer Engine'!$C$2:$C$1960,0)),"",INDEX('Compliance Database'!$K$2:$K$1960,MATCH(542,'Transfer Engine'!$C$2:$C$1960,0)))</f>
        <v/>
      </c>
      <c r="L551" s="9">
        <f>IF(ISNA(MATCH(542,'Transfer Engine'!$C$2:$C$1960,0)),"",INDEX('Compliance Database'!$L$2:$L$1960,MATCH(542,'Transfer Engine'!$C$2:$C$1960,0)))</f>
        <v/>
      </c>
      <c r="M551" s="9">
        <f>IF(ISNA(MATCH(542,'Transfer Engine'!$C$2:$C$1960,0)),"",INDEX('Compliance Database'!$M$2:$M$1960,MATCH(542,'Transfer Engine'!$C$2:$C$1960,0)))</f>
        <v/>
      </c>
      <c r="N551" s="9">
        <f>IF(ISNA(MATCH(542,'Transfer Engine'!$C$2:$C$1960,0)),"",INDEX('Compliance Database'!$N$2:$N$1960,MATCH(542,'Transfer Engine'!$C$2:$C$1960,0)))</f>
        <v/>
      </c>
      <c r="O551" s="9">
        <f>IF(ISNA(MATCH(542,'Transfer Engine'!$C$2:$C$1960,0)),"",INDEX('Compliance Database'!$O$2:$O$1960,MATCH(542,'Transfer Engine'!$C$2:$C$1960,0)))</f>
        <v/>
      </c>
      <c r="P551" s="8">
        <f>IF(ISNA(MATCH(542,'Transfer Engine'!$C$2:$C$1960,0)),"",HYPERLINK("#Acts!A"&amp;INDEX('Compliance Database'!$P$2:$P$1960,MATCH(542,'Transfer Engine'!$C$2:$C$1960,0)),"Go to Act"))</f>
        <v/>
      </c>
    </row>
    <row r="552" ht="158" customHeight="1">
      <c r="A552" s="8">
        <f>IF(ISNA(MATCH(543,'Transfer Engine'!$C$2:$C$1960,0)),"",INDEX('Compliance Database'!$A$2:$A$1960,MATCH(543,'Transfer Engine'!$C$2:$C$1960,0)))</f>
        <v/>
      </c>
      <c r="B552" s="8">
        <f>IF(ISNA(MATCH(543,'Transfer Engine'!$C$2:$C$1960,0)),"",INDEX('Compliance Database'!$B$2:$B$1960,MATCH(543,'Transfer Engine'!$C$2:$C$1960,0)))</f>
        <v/>
      </c>
      <c r="C552" s="8">
        <f>IF(ISNA(MATCH(543,'Transfer Engine'!$C$2:$C$1960,0)),"",INDEX('Compliance Database'!$C$2:$C$1960,MATCH(543,'Transfer Engine'!$C$2:$C$1960,0)))</f>
        <v/>
      </c>
      <c r="D552" s="9">
        <f>IF(ISNA(MATCH(543,'Transfer Engine'!$C$2:$C$1960,0)),"",INDEX('Compliance Database'!$D$2:$D$1960,MATCH(543,'Transfer Engine'!$C$2:$C$1960,0)))</f>
        <v/>
      </c>
      <c r="E552" s="8">
        <f>IF(ISNA(MATCH(543,'Transfer Engine'!$C$2:$C$1960,0)),"",INDEX('Compliance Database'!$E$2:$E$1960,MATCH(543,'Transfer Engine'!$C$2:$C$1960,0)))</f>
        <v/>
      </c>
      <c r="F552" s="8">
        <f>IF(ISNA(MATCH(543,'Transfer Engine'!$C$2:$C$1960,0)),"",INDEX('Compliance Database'!$F$2:$F$1960,MATCH(543,'Transfer Engine'!$C$2:$C$1960,0)))</f>
        <v/>
      </c>
      <c r="G552" s="8">
        <f>IF(ISNA(MATCH(543,'Transfer Engine'!$C$2:$C$1960,0)),"",INDEX('Compliance Database'!$G$2:$G$1960,MATCH(543,'Transfer Engine'!$C$2:$C$1960,0)))</f>
        <v/>
      </c>
      <c r="H552" s="9">
        <f>IF(ISNA(MATCH(543,'Transfer Engine'!$C$2:$C$1960,0)),"",INDEX('Compliance Database'!$H$2:$H$1960,MATCH(543,'Transfer Engine'!$C$2:$C$1960,0)))</f>
        <v/>
      </c>
      <c r="I552" s="9">
        <f>IF(ISNA(MATCH(543,'Transfer Engine'!$C$2:$C$1960,0)),"",INDEX('Compliance Database'!$I$2:$I$1960,MATCH(543,'Transfer Engine'!$C$2:$C$1960,0)))</f>
        <v/>
      </c>
      <c r="J552" s="8">
        <f>IF(ISNA(MATCH(543,'Transfer Engine'!$C$2:$C$1960,0)),"",INDEX('Compliance Database'!$J$2:$J$1960,MATCH(543,'Transfer Engine'!$C$2:$C$1960,0)))</f>
        <v/>
      </c>
      <c r="K552" s="9">
        <f>IF(ISNA(MATCH(543,'Transfer Engine'!$C$2:$C$1960,0)),"",INDEX('Compliance Database'!$K$2:$K$1960,MATCH(543,'Transfer Engine'!$C$2:$C$1960,0)))</f>
        <v/>
      </c>
      <c r="L552" s="9">
        <f>IF(ISNA(MATCH(543,'Transfer Engine'!$C$2:$C$1960,0)),"",INDEX('Compliance Database'!$L$2:$L$1960,MATCH(543,'Transfer Engine'!$C$2:$C$1960,0)))</f>
        <v/>
      </c>
      <c r="M552" s="9">
        <f>IF(ISNA(MATCH(543,'Transfer Engine'!$C$2:$C$1960,0)),"",INDEX('Compliance Database'!$M$2:$M$1960,MATCH(543,'Transfer Engine'!$C$2:$C$1960,0)))</f>
        <v/>
      </c>
      <c r="N552" s="9">
        <f>IF(ISNA(MATCH(543,'Transfer Engine'!$C$2:$C$1960,0)),"",INDEX('Compliance Database'!$N$2:$N$1960,MATCH(543,'Transfer Engine'!$C$2:$C$1960,0)))</f>
        <v/>
      </c>
      <c r="O552" s="9">
        <f>IF(ISNA(MATCH(543,'Transfer Engine'!$C$2:$C$1960,0)),"",INDEX('Compliance Database'!$O$2:$O$1960,MATCH(543,'Transfer Engine'!$C$2:$C$1960,0)))</f>
        <v/>
      </c>
      <c r="P552" s="8">
        <f>IF(ISNA(MATCH(543,'Transfer Engine'!$C$2:$C$1960,0)),"",HYPERLINK("#Acts!A"&amp;INDEX('Compliance Database'!$P$2:$P$1960,MATCH(543,'Transfer Engine'!$C$2:$C$1960,0)),"Go to Act"))</f>
        <v/>
      </c>
    </row>
    <row r="553" ht="158" customHeight="1">
      <c r="A553" s="8">
        <f>IF(ISNA(MATCH(544,'Transfer Engine'!$C$2:$C$1960,0)),"",INDEX('Compliance Database'!$A$2:$A$1960,MATCH(544,'Transfer Engine'!$C$2:$C$1960,0)))</f>
        <v/>
      </c>
      <c r="B553" s="8">
        <f>IF(ISNA(MATCH(544,'Transfer Engine'!$C$2:$C$1960,0)),"",INDEX('Compliance Database'!$B$2:$B$1960,MATCH(544,'Transfer Engine'!$C$2:$C$1960,0)))</f>
        <v/>
      </c>
      <c r="C553" s="8">
        <f>IF(ISNA(MATCH(544,'Transfer Engine'!$C$2:$C$1960,0)),"",INDEX('Compliance Database'!$C$2:$C$1960,MATCH(544,'Transfer Engine'!$C$2:$C$1960,0)))</f>
        <v/>
      </c>
      <c r="D553" s="9">
        <f>IF(ISNA(MATCH(544,'Transfer Engine'!$C$2:$C$1960,0)),"",INDEX('Compliance Database'!$D$2:$D$1960,MATCH(544,'Transfer Engine'!$C$2:$C$1960,0)))</f>
        <v/>
      </c>
      <c r="E553" s="8">
        <f>IF(ISNA(MATCH(544,'Transfer Engine'!$C$2:$C$1960,0)),"",INDEX('Compliance Database'!$E$2:$E$1960,MATCH(544,'Transfer Engine'!$C$2:$C$1960,0)))</f>
        <v/>
      </c>
      <c r="F553" s="8">
        <f>IF(ISNA(MATCH(544,'Transfer Engine'!$C$2:$C$1960,0)),"",INDEX('Compliance Database'!$F$2:$F$1960,MATCH(544,'Transfer Engine'!$C$2:$C$1960,0)))</f>
        <v/>
      </c>
      <c r="G553" s="8">
        <f>IF(ISNA(MATCH(544,'Transfer Engine'!$C$2:$C$1960,0)),"",INDEX('Compliance Database'!$G$2:$G$1960,MATCH(544,'Transfer Engine'!$C$2:$C$1960,0)))</f>
        <v/>
      </c>
      <c r="H553" s="9">
        <f>IF(ISNA(MATCH(544,'Transfer Engine'!$C$2:$C$1960,0)),"",INDEX('Compliance Database'!$H$2:$H$1960,MATCH(544,'Transfer Engine'!$C$2:$C$1960,0)))</f>
        <v/>
      </c>
      <c r="I553" s="9">
        <f>IF(ISNA(MATCH(544,'Transfer Engine'!$C$2:$C$1960,0)),"",INDEX('Compliance Database'!$I$2:$I$1960,MATCH(544,'Transfer Engine'!$C$2:$C$1960,0)))</f>
        <v/>
      </c>
      <c r="J553" s="8">
        <f>IF(ISNA(MATCH(544,'Transfer Engine'!$C$2:$C$1960,0)),"",INDEX('Compliance Database'!$J$2:$J$1960,MATCH(544,'Transfer Engine'!$C$2:$C$1960,0)))</f>
        <v/>
      </c>
      <c r="K553" s="9">
        <f>IF(ISNA(MATCH(544,'Transfer Engine'!$C$2:$C$1960,0)),"",INDEX('Compliance Database'!$K$2:$K$1960,MATCH(544,'Transfer Engine'!$C$2:$C$1960,0)))</f>
        <v/>
      </c>
      <c r="L553" s="9">
        <f>IF(ISNA(MATCH(544,'Transfer Engine'!$C$2:$C$1960,0)),"",INDEX('Compliance Database'!$L$2:$L$1960,MATCH(544,'Transfer Engine'!$C$2:$C$1960,0)))</f>
        <v/>
      </c>
      <c r="M553" s="9">
        <f>IF(ISNA(MATCH(544,'Transfer Engine'!$C$2:$C$1960,0)),"",INDEX('Compliance Database'!$M$2:$M$1960,MATCH(544,'Transfer Engine'!$C$2:$C$1960,0)))</f>
        <v/>
      </c>
      <c r="N553" s="9">
        <f>IF(ISNA(MATCH(544,'Transfer Engine'!$C$2:$C$1960,0)),"",INDEX('Compliance Database'!$N$2:$N$1960,MATCH(544,'Transfer Engine'!$C$2:$C$1960,0)))</f>
        <v/>
      </c>
      <c r="O553" s="9">
        <f>IF(ISNA(MATCH(544,'Transfer Engine'!$C$2:$C$1960,0)),"",INDEX('Compliance Database'!$O$2:$O$1960,MATCH(544,'Transfer Engine'!$C$2:$C$1960,0)))</f>
        <v/>
      </c>
      <c r="P553" s="8">
        <f>IF(ISNA(MATCH(544,'Transfer Engine'!$C$2:$C$1960,0)),"",HYPERLINK("#Acts!A"&amp;INDEX('Compliance Database'!$P$2:$P$1960,MATCH(544,'Transfer Engine'!$C$2:$C$1960,0)),"Go to Act"))</f>
        <v/>
      </c>
    </row>
    <row r="554" ht="158" customHeight="1">
      <c r="A554" s="8">
        <f>IF(ISNA(MATCH(545,'Transfer Engine'!$C$2:$C$1960,0)),"",INDEX('Compliance Database'!$A$2:$A$1960,MATCH(545,'Transfer Engine'!$C$2:$C$1960,0)))</f>
        <v/>
      </c>
      <c r="B554" s="8">
        <f>IF(ISNA(MATCH(545,'Transfer Engine'!$C$2:$C$1960,0)),"",INDEX('Compliance Database'!$B$2:$B$1960,MATCH(545,'Transfer Engine'!$C$2:$C$1960,0)))</f>
        <v/>
      </c>
      <c r="C554" s="8">
        <f>IF(ISNA(MATCH(545,'Transfer Engine'!$C$2:$C$1960,0)),"",INDEX('Compliance Database'!$C$2:$C$1960,MATCH(545,'Transfer Engine'!$C$2:$C$1960,0)))</f>
        <v/>
      </c>
      <c r="D554" s="9">
        <f>IF(ISNA(MATCH(545,'Transfer Engine'!$C$2:$C$1960,0)),"",INDEX('Compliance Database'!$D$2:$D$1960,MATCH(545,'Transfer Engine'!$C$2:$C$1960,0)))</f>
        <v/>
      </c>
      <c r="E554" s="8">
        <f>IF(ISNA(MATCH(545,'Transfer Engine'!$C$2:$C$1960,0)),"",INDEX('Compliance Database'!$E$2:$E$1960,MATCH(545,'Transfer Engine'!$C$2:$C$1960,0)))</f>
        <v/>
      </c>
      <c r="F554" s="8">
        <f>IF(ISNA(MATCH(545,'Transfer Engine'!$C$2:$C$1960,0)),"",INDEX('Compliance Database'!$F$2:$F$1960,MATCH(545,'Transfer Engine'!$C$2:$C$1960,0)))</f>
        <v/>
      </c>
      <c r="G554" s="8">
        <f>IF(ISNA(MATCH(545,'Transfer Engine'!$C$2:$C$1960,0)),"",INDEX('Compliance Database'!$G$2:$G$1960,MATCH(545,'Transfer Engine'!$C$2:$C$1960,0)))</f>
        <v/>
      </c>
      <c r="H554" s="9">
        <f>IF(ISNA(MATCH(545,'Transfer Engine'!$C$2:$C$1960,0)),"",INDEX('Compliance Database'!$H$2:$H$1960,MATCH(545,'Transfer Engine'!$C$2:$C$1960,0)))</f>
        <v/>
      </c>
      <c r="I554" s="9">
        <f>IF(ISNA(MATCH(545,'Transfer Engine'!$C$2:$C$1960,0)),"",INDEX('Compliance Database'!$I$2:$I$1960,MATCH(545,'Transfer Engine'!$C$2:$C$1960,0)))</f>
        <v/>
      </c>
      <c r="J554" s="8">
        <f>IF(ISNA(MATCH(545,'Transfer Engine'!$C$2:$C$1960,0)),"",INDEX('Compliance Database'!$J$2:$J$1960,MATCH(545,'Transfer Engine'!$C$2:$C$1960,0)))</f>
        <v/>
      </c>
      <c r="K554" s="9">
        <f>IF(ISNA(MATCH(545,'Transfer Engine'!$C$2:$C$1960,0)),"",INDEX('Compliance Database'!$K$2:$K$1960,MATCH(545,'Transfer Engine'!$C$2:$C$1960,0)))</f>
        <v/>
      </c>
      <c r="L554" s="9">
        <f>IF(ISNA(MATCH(545,'Transfer Engine'!$C$2:$C$1960,0)),"",INDEX('Compliance Database'!$L$2:$L$1960,MATCH(545,'Transfer Engine'!$C$2:$C$1960,0)))</f>
        <v/>
      </c>
      <c r="M554" s="9">
        <f>IF(ISNA(MATCH(545,'Transfer Engine'!$C$2:$C$1960,0)),"",INDEX('Compliance Database'!$M$2:$M$1960,MATCH(545,'Transfer Engine'!$C$2:$C$1960,0)))</f>
        <v/>
      </c>
      <c r="N554" s="9">
        <f>IF(ISNA(MATCH(545,'Transfer Engine'!$C$2:$C$1960,0)),"",INDEX('Compliance Database'!$N$2:$N$1960,MATCH(545,'Transfer Engine'!$C$2:$C$1960,0)))</f>
        <v/>
      </c>
      <c r="O554" s="9">
        <f>IF(ISNA(MATCH(545,'Transfer Engine'!$C$2:$C$1960,0)),"",INDEX('Compliance Database'!$O$2:$O$1960,MATCH(545,'Transfer Engine'!$C$2:$C$1960,0)))</f>
        <v/>
      </c>
      <c r="P554" s="8">
        <f>IF(ISNA(MATCH(545,'Transfer Engine'!$C$2:$C$1960,0)),"",HYPERLINK("#Acts!A"&amp;INDEX('Compliance Database'!$P$2:$P$1960,MATCH(545,'Transfer Engine'!$C$2:$C$1960,0)),"Go to Act"))</f>
        <v/>
      </c>
    </row>
    <row r="555" ht="158" customHeight="1">
      <c r="A555" s="8">
        <f>IF(ISNA(MATCH(546,'Transfer Engine'!$C$2:$C$1960,0)),"",INDEX('Compliance Database'!$A$2:$A$1960,MATCH(546,'Transfer Engine'!$C$2:$C$1960,0)))</f>
        <v/>
      </c>
      <c r="B555" s="8">
        <f>IF(ISNA(MATCH(546,'Transfer Engine'!$C$2:$C$1960,0)),"",INDEX('Compliance Database'!$B$2:$B$1960,MATCH(546,'Transfer Engine'!$C$2:$C$1960,0)))</f>
        <v/>
      </c>
      <c r="C555" s="8">
        <f>IF(ISNA(MATCH(546,'Transfer Engine'!$C$2:$C$1960,0)),"",INDEX('Compliance Database'!$C$2:$C$1960,MATCH(546,'Transfer Engine'!$C$2:$C$1960,0)))</f>
        <v/>
      </c>
      <c r="D555" s="9">
        <f>IF(ISNA(MATCH(546,'Transfer Engine'!$C$2:$C$1960,0)),"",INDEX('Compliance Database'!$D$2:$D$1960,MATCH(546,'Transfer Engine'!$C$2:$C$1960,0)))</f>
        <v/>
      </c>
      <c r="E555" s="8">
        <f>IF(ISNA(MATCH(546,'Transfer Engine'!$C$2:$C$1960,0)),"",INDEX('Compliance Database'!$E$2:$E$1960,MATCH(546,'Transfer Engine'!$C$2:$C$1960,0)))</f>
        <v/>
      </c>
      <c r="F555" s="8">
        <f>IF(ISNA(MATCH(546,'Transfer Engine'!$C$2:$C$1960,0)),"",INDEX('Compliance Database'!$F$2:$F$1960,MATCH(546,'Transfer Engine'!$C$2:$C$1960,0)))</f>
        <v/>
      </c>
      <c r="G555" s="8">
        <f>IF(ISNA(MATCH(546,'Transfer Engine'!$C$2:$C$1960,0)),"",INDEX('Compliance Database'!$G$2:$G$1960,MATCH(546,'Transfer Engine'!$C$2:$C$1960,0)))</f>
        <v/>
      </c>
      <c r="H555" s="9">
        <f>IF(ISNA(MATCH(546,'Transfer Engine'!$C$2:$C$1960,0)),"",INDEX('Compliance Database'!$H$2:$H$1960,MATCH(546,'Transfer Engine'!$C$2:$C$1960,0)))</f>
        <v/>
      </c>
      <c r="I555" s="9">
        <f>IF(ISNA(MATCH(546,'Transfer Engine'!$C$2:$C$1960,0)),"",INDEX('Compliance Database'!$I$2:$I$1960,MATCH(546,'Transfer Engine'!$C$2:$C$1960,0)))</f>
        <v/>
      </c>
      <c r="J555" s="8">
        <f>IF(ISNA(MATCH(546,'Transfer Engine'!$C$2:$C$1960,0)),"",INDEX('Compliance Database'!$J$2:$J$1960,MATCH(546,'Transfer Engine'!$C$2:$C$1960,0)))</f>
        <v/>
      </c>
      <c r="K555" s="9">
        <f>IF(ISNA(MATCH(546,'Transfer Engine'!$C$2:$C$1960,0)),"",INDEX('Compliance Database'!$K$2:$K$1960,MATCH(546,'Transfer Engine'!$C$2:$C$1960,0)))</f>
        <v/>
      </c>
      <c r="L555" s="9">
        <f>IF(ISNA(MATCH(546,'Transfer Engine'!$C$2:$C$1960,0)),"",INDEX('Compliance Database'!$L$2:$L$1960,MATCH(546,'Transfer Engine'!$C$2:$C$1960,0)))</f>
        <v/>
      </c>
      <c r="M555" s="9">
        <f>IF(ISNA(MATCH(546,'Transfer Engine'!$C$2:$C$1960,0)),"",INDEX('Compliance Database'!$M$2:$M$1960,MATCH(546,'Transfer Engine'!$C$2:$C$1960,0)))</f>
        <v/>
      </c>
      <c r="N555" s="9">
        <f>IF(ISNA(MATCH(546,'Transfer Engine'!$C$2:$C$1960,0)),"",INDEX('Compliance Database'!$N$2:$N$1960,MATCH(546,'Transfer Engine'!$C$2:$C$1960,0)))</f>
        <v/>
      </c>
      <c r="O555" s="9">
        <f>IF(ISNA(MATCH(546,'Transfer Engine'!$C$2:$C$1960,0)),"",INDEX('Compliance Database'!$O$2:$O$1960,MATCH(546,'Transfer Engine'!$C$2:$C$1960,0)))</f>
        <v/>
      </c>
      <c r="P555" s="8">
        <f>IF(ISNA(MATCH(546,'Transfer Engine'!$C$2:$C$1960,0)),"",HYPERLINK("#Acts!A"&amp;INDEX('Compliance Database'!$P$2:$P$1960,MATCH(546,'Transfer Engine'!$C$2:$C$1960,0)),"Go to Act"))</f>
        <v/>
      </c>
    </row>
    <row r="556" ht="158" customHeight="1">
      <c r="A556" s="8">
        <f>IF(ISNA(MATCH(547,'Transfer Engine'!$C$2:$C$1960,0)),"",INDEX('Compliance Database'!$A$2:$A$1960,MATCH(547,'Transfer Engine'!$C$2:$C$1960,0)))</f>
        <v/>
      </c>
      <c r="B556" s="8">
        <f>IF(ISNA(MATCH(547,'Transfer Engine'!$C$2:$C$1960,0)),"",INDEX('Compliance Database'!$B$2:$B$1960,MATCH(547,'Transfer Engine'!$C$2:$C$1960,0)))</f>
        <v/>
      </c>
      <c r="C556" s="8">
        <f>IF(ISNA(MATCH(547,'Transfer Engine'!$C$2:$C$1960,0)),"",INDEX('Compliance Database'!$C$2:$C$1960,MATCH(547,'Transfer Engine'!$C$2:$C$1960,0)))</f>
        <v/>
      </c>
      <c r="D556" s="9">
        <f>IF(ISNA(MATCH(547,'Transfer Engine'!$C$2:$C$1960,0)),"",INDEX('Compliance Database'!$D$2:$D$1960,MATCH(547,'Transfer Engine'!$C$2:$C$1960,0)))</f>
        <v/>
      </c>
      <c r="E556" s="8">
        <f>IF(ISNA(MATCH(547,'Transfer Engine'!$C$2:$C$1960,0)),"",INDEX('Compliance Database'!$E$2:$E$1960,MATCH(547,'Transfer Engine'!$C$2:$C$1960,0)))</f>
        <v/>
      </c>
      <c r="F556" s="8">
        <f>IF(ISNA(MATCH(547,'Transfer Engine'!$C$2:$C$1960,0)),"",INDEX('Compliance Database'!$F$2:$F$1960,MATCH(547,'Transfer Engine'!$C$2:$C$1960,0)))</f>
        <v/>
      </c>
      <c r="G556" s="8">
        <f>IF(ISNA(MATCH(547,'Transfer Engine'!$C$2:$C$1960,0)),"",INDEX('Compliance Database'!$G$2:$G$1960,MATCH(547,'Transfer Engine'!$C$2:$C$1960,0)))</f>
        <v/>
      </c>
      <c r="H556" s="9">
        <f>IF(ISNA(MATCH(547,'Transfer Engine'!$C$2:$C$1960,0)),"",INDEX('Compliance Database'!$H$2:$H$1960,MATCH(547,'Transfer Engine'!$C$2:$C$1960,0)))</f>
        <v/>
      </c>
      <c r="I556" s="9">
        <f>IF(ISNA(MATCH(547,'Transfer Engine'!$C$2:$C$1960,0)),"",INDEX('Compliance Database'!$I$2:$I$1960,MATCH(547,'Transfer Engine'!$C$2:$C$1960,0)))</f>
        <v/>
      </c>
      <c r="J556" s="8">
        <f>IF(ISNA(MATCH(547,'Transfer Engine'!$C$2:$C$1960,0)),"",INDEX('Compliance Database'!$J$2:$J$1960,MATCH(547,'Transfer Engine'!$C$2:$C$1960,0)))</f>
        <v/>
      </c>
      <c r="K556" s="9">
        <f>IF(ISNA(MATCH(547,'Transfer Engine'!$C$2:$C$1960,0)),"",INDEX('Compliance Database'!$K$2:$K$1960,MATCH(547,'Transfer Engine'!$C$2:$C$1960,0)))</f>
        <v/>
      </c>
      <c r="L556" s="9">
        <f>IF(ISNA(MATCH(547,'Transfer Engine'!$C$2:$C$1960,0)),"",INDEX('Compliance Database'!$L$2:$L$1960,MATCH(547,'Transfer Engine'!$C$2:$C$1960,0)))</f>
        <v/>
      </c>
      <c r="M556" s="9">
        <f>IF(ISNA(MATCH(547,'Transfer Engine'!$C$2:$C$1960,0)),"",INDEX('Compliance Database'!$M$2:$M$1960,MATCH(547,'Transfer Engine'!$C$2:$C$1960,0)))</f>
        <v/>
      </c>
      <c r="N556" s="9">
        <f>IF(ISNA(MATCH(547,'Transfer Engine'!$C$2:$C$1960,0)),"",INDEX('Compliance Database'!$N$2:$N$1960,MATCH(547,'Transfer Engine'!$C$2:$C$1960,0)))</f>
        <v/>
      </c>
      <c r="O556" s="9">
        <f>IF(ISNA(MATCH(547,'Transfer Engine'!$C$2:$C$1960,0)),"",INDEX('Compliance Database'!$O$2:$O$1960,MATCH(547,'Transfer Engine'!$C$2:$C$1960,0)))</f>
        <v/>
      </c>
      <c r="P556" s="8">
        <f>IF(ISNA(MATCH(547,'Transfer Engine'!$C$2:$C$1960,0)),"",HYPERLINK("#Acts!A"&amp;INDEX('Compliance Database'!$P$2:$P$1960,MATCH(547,'Transfer Engine'!$C$2:$C$1960,0)),"Go to Act"))</f>
        <v/>
      </c>
    </row>
    <row r="557" ht="158" customHeight="1">
      <c r="A557" s="8">
        <f>IF(ISNA(MATCH(548,'Transfer Engine'!$C$2:$C$1960,0)),"",INDEX('Compliance Database'!$A$2:$A$1960,MATCH(548,'Transfer Engine'!$C$2:$C$1960,0)))</f>
        <v/>
      </c>
      <c r="B557" s="8">
        <f>IF(ISNA(MATCH(548,'Transfer Engine'!$C$2:$C$1960,0)),"",INDEX('Compliance Database'!$B$2:$B$1960,MATCH(548,'Transfer Engine'!$C$2:$C$1960,0)))</f>
        <v/>
      </c>
      <c r="C557" s="8">
        <f>IF(ISNA(MATCH(548,'Transfer Engine'!$C$2:$C$1960,0)),"",INDEX('Compliance Database'!$C$2:$C$1960,MATCH(548,'Transfer Engine'!$C$2:$C$1960,0)))</f>
        <v/>
      </c>
      <c r="D557" s="9">
        <f>IF(ISNA(MATCH(548,'Transfer Engine'!$C$2:$C$1960,0)),"",INDEX('Compliance Database'!$D$2:$D$1960,MATCH(548,'Transfer Engine'!$C$2:$C$1960,0)))</f>
        <v/>
      </c>
      <c r="E557" s="8">
        <f>IF(ISNA(MATCH(548,'Transfer Engine'!$C$2:$C$1960,0)),"",INDEX('Compliance Database'!$E$2:$E$1960,MATCH(548,'Transfer Engine'!$C$2:$C$1960,0)))</f>
        <v/>
      </c>
      <c r="F557" s="8">
        <f>IF(ISNA(MATCH(548,'Transfer Engine'!$C$2:$C$1960,0)),"",INDEX('Compliance Database'!$F$2:$F$1960,MATCH(548,'Transfer Engine'!$C$2:$C$1960,0)))</f>
        <v/>
      </c>
      <c r="G557" s="8">
        <f>IF(ISNA(MATCH(548,'Transfer Engine'!$C$2:$C$1960,0)),"",INDEX('Compliance Database'!$G$2:$G$1960,MATCH(548,'Transfer Engine'!$C$2:$C$1960,0)))</f>
        <v/>
      </c>
      <c r="H557" s="9">
        <f>IF(ISNA(MATCH(548,'Transfer Engine'!$C$2:$C$1960,0)),"",INDEX('Compliance Database'!$H$2:$H$1960,MATCH(548,'Transfer Engine'!$C$2:$C$1960,0)))</f>
        <v/>
      </c>
      <c r="I557" s="9">
        <f>IF(ISNA(MATCH(548,'Transfer Engine'!$C$2:$C$1960,0)),"",INDEX('Compliance Database'!$I$2:$I$1960,MATCH(548,'Transfer Engine'!$C$2:$C$1960,0)))</f>
        <v/>
      </c>
      <c r="J557" s="8">
        <f>IF(ISNA(MATCH(548,'Transfer Engine'!$C$2:$C$1960,0)),"",INDEX('Compliance Database'!$J$2:$J$1960,MATCH(548,'Transfer Engine'!$C$2:$C$1960,0)))</f>
        <v/>
      </c>
      <c r="K557" s="9">
        <f>IF(ISNA(MATCH(548,'Transfer Engine'!$C$2:$C$1960,0)),"",INDEX('Compliance Database'!$K$2:$K$1960,MATCH(548,'Transfer Engine'!$C$2:$C$1960,0)))</f>
        <v/>
      </c>
      <c r="L557" s="9">
        <f>IF(ISNA(MATCH(548,'Transfer Engine'!$C$2:$C$1960,0)),"",INDEX('Compliance Database'!$L$2:$L$1960,MATCH(548,'Transfer Engine'!$C$2:$C$1960,0)))</f>
        <v/>
      </c>
      <c r="M557" s="9">
        <f>IF(ISNA(MATCH(548,'Transfer Engine'!$C$2:$C$1960,0)),"",INDEX('Compliance Database'!$M$2:$M$1960,MATCH(548,'Transfer Engine'!$C$2:$C$1960,0)))</f>
        <v/>
      </c>
      <c r="N557" s="9">
        <f>IF(ISNA(MATCH(548,'Transfer Engine'!$C$2:$C$1960,0)),"",INDEX('Compliance Database'!$N$2:$N$1960,MATCH(548,'Transfer Engine'!$C$2:$C$1960,0)))</f>
        <v/>
      </c>
      <c r="O557" s="9">
        <f>IF(ISNA(MATCH(548,'Transfer Engine'!$C$2:$C$1960,0)),"",INDEX('Compliance Database'!$O$2:$O$1960,MATCH(548,'Transfer Engine'!$C$2:$C$1960,0)))</f>
        <v/>
      </c>
      <c r="P557" s="8">
        <f>IF(ISNA(MATCH(548,'Transfer Engine'!$C$2:$C$1960,0)),"",HYPERLINK("#Acts!A"&amp;INDEX('Compliance Database'!$P$2:$P$1960,MATCH(548,'Transfer Engine'!$C$2:$C$1960,0)),"Go to Act"))</f>
        <v/>
      </c>
    </row>
    <row r="558" ht="158" customHeight="1">
      <c r="A558" s="8">
        <f>IF(ISNA(MATCH(549,'Transfer Engine'!$C$2:$C$1960,0)),"",INDEX('Compliance Database'!$A$2:$A$1960,MATCH(549,'Transfer Engine'!$C$2:$C$1960,0)))</f>
        <v/>
      </c>
      <c r="B558" s="8">
        <f>IF(ISNA(MATCH(549,'Transfer Engine'!$C$2:$C$1960,0)),"",INDEX('Compliance Database'!$B$2:$B$1960,MATCH(549,'Transfer Engine'!$C$2:$C$1960,0)))</f>
        <v/>
      </c>
      <c r="C558" s="8">
        <f>IF(ISNA(MATCH(549,'Transfer Engine'!$C$2:$C$1960,0)),"",INDEX('Compliance Database'!$C$2:$C$1960,MATCH(549,'Transfer Engine'!$C$2:$C$1960,0)))</f>
        <v/>
      </c>
      <c r="D558" s="9">
        <f>IF(ISNA(MATCH(549,'Transfer Engine'!$C$2:$C$1960,0)),"",INDEX('Compliance Database'!$D$2:$D$1960,MATCH(549,'Transfer Engine'!$C$2:$C$1960,0)))</f>
        <v/>
      </c>
      <c r="E558" s="8">
        <f>IF(ISNA(MATCH(549,'Transfer Engine'!$C$2:$C$1960,0)),"",INDEX('Compliance Database'!$E$2:$E$1960,MATCH(549,'Transfer Engine'!$C$2:$C$1960,0)))</f>
        <v/>
      </c>
      <c r="F558" s="8">
        <f>IF(ISNA(MATCH(549,'Transfer Engine'!$C$2:$C$1960,0)),"",INDEX('Compliance Database'!$F$2:$F$1960,MATCH(549,'Transfer Engine'!$C$2:$C$1960,0)))</f>
        <v/>
      </c>
      <c r="G558" s="8">
        <f>IF(ISNA(MATCH(549,'Transfer Engine'!$C$2:$C$1960,0)),"",INDEX('Compliance Database'!$G$2:$G$1960,MATCH(549,'Transfer Engine'!$C$2:$C$1960,0)))</f>
        <v/>
      </c>
      <c r="H558" s="9">
        <f>IF(ISNA(MATCH(549,'Transfer Engine'!$C$2:$C$1960,0)),"",INDEX('Compliance Database'!$H$2:$H$1960,MATCH(549,'Transfer Engine'!$C$2:$C$1960,0)))</f>
        <v/>
      </c>
      <c r="I558" s="9">
        <f>IF(ISNA(MATCH(549,'Transfer Engine'!$C$2:$C$1960,0)),"",INDEX('Compliance Database'!$I$2:$I$1960,MATCH(549,'Transfer Engine'!$C$2:$C$1960,0)))</f>
        <v/>
      </c>
      <c r="J558" s="8">
        <f>IF(ISNA(MATCH(549,'Transfer Engine'!$C$2:$C$1960,0)),"",INDEX('Compliance Database'!$J$2:$J$1960,MATCH(549,'Transfer Engine'!$C$2:$C$1960,0)))</f>
        <v/>
      </c>
      <c r="K558" s="9">
        <f>IF(ISNA(MATCH(549,'Transfer Engine'!$C$2:$C$1960,0)),"",INDEX('Compliance Database'!$K$2:$K$1960,MATCH(549,'Transfer Engine'!$C$2:$C$1960,0)))</f>
        <v/>
      </c>
      <c r="L558" s="9">
        <f>IF(ISNA(MATCH(549,'Transfer Engine'!$C$2:$C$1960,0)),"",INDEX('Compliance Database'!$L$2:$L$1960,MATCH(549,'Transfer Engine'!$C$2:$C$1960,0)))</f>
        <v/>
      </c>
      <c r="M558" s="9">
        <f>IF(ISNA(MATCH(549,'Transfer Engine'!$C$2:$C$1960,0)),"",INDEX('Compliance Database'!$M$2:$M$1960,MATCH(549,'Transfer Engine'!$C$2:$C$1960,0)))</f>
        <v/>
      </c>
      <c r="N558" s="9">
        <f>IF(ISNA(MATCH(549,'Transfer Engine'!$C$2:$C$1960,0)),"",INDEX('Compliance Database'!$N$2:$N$1960,MATCH(549,'Transfer Engine'!$C$2:$C$1960,0)))</f>
        <v/>
      </c>
      <c r="O558" s="9">
        <f>IF(ISNA(MATCH(549,'Transfer Engine'!$C$2:$C$1960,0)),"",INDEX('Compliance Database'!$O$2:$O$1960,MATCH(549,'Transfer Engine'!$C$2:$C$1960,0)))</f>
        <v/>
      </c>
      <c r="P558" s="8">
        <f>IF(ISNA(MATCH(549,'Transfer Engine'!$C$2:$C$1960,0)),"",HYPERLINK("#Acts!A"&amp;INDEX('Compliance Database'!$P$2:$P$1960,MATCH(549,'Transfer Engine'!$C$2:$C$1960,0)),"Go to Act"))</f>
        <v/>
      </c>
    </row>
    <row r="559" ht="158" customHeight="1">
      <c r="A559" s="8">
        <f>IF(ISNA(MATCH(550,'Transfer Engine'!$C$2:$C$1960,0)),"",INDEX('Compliance Database'!$A$2:$A$1960,MATCH(550,'Transfer Engine'!$C$2:$C$1960,0)))</f>
        <v/>
      </c>
      <c r="B559" s="8">
        <f>IF(ISNA(MATCH(550,'Transfer Engine'!$C$2:$C$1960,0)),"",INDEX('Compliance Database'!$B$2:$B$1960,MATCH(550,'Transfer Engine'!$C$2:$C$1960,0)))</f>
        <v/>
      </c>
      <c r="C559" s="8">
        <f>IF(ISNA(MATCH(550,'Transfer Engine'!$C$2:$C$1960,0)),"",INDEX('Compliance Database'!$C$2:$C$1960,MATCH(550,'Transfer Engine'!$C$2:$C$1960,0)))</f>
        <v/>
      </c>
      <c r="D559" s="9">
        <f>IF(ISNA(MATCH(550,'Transfer Engine'!$C$2:$C$1960,0)),"",INDEX('Compliance Database'!$D$2:$D$1960,MATCH(550,'Transfer Engine'!$C$2:$C$1960,0)))</f>
        <v/>
      </c>
      <c r="E559" s="8">
        <f>IF(ISNA(MATCH(550,'Transfer Engine'!$C$2:$C$1960,0)),"",INDEX('Compliance Database'!$E$2:$E$1960,MATCH(550,'Transfer Engine'!$C$2:$C$1960,0)))</f>
        <v/>
      </c>
      <c r="F559" s="8">
        <f>IF(ISNA(MATCH(550,'Transfer Engine'!$C$2:$C$1960,0)),"",INDEX('Compliance Database'!$F$2:$F$1960,MATCH(550,'Transfer Engine'!$C$2:$C$1960,0)))</f>
        <v/>
      </c>
      <c r="G559" s="8">
        <f>IF(ISNA(MATCH(550,'Transfer Engine'!$C$2:$C$1960,0)),"",INDEX('Compliance Database'!$G$2:$G$1960,MATCH(550,'Transfer Engine'!$C$2:$C$1960,0)))</f>
        <v/>
      </c>
      <c r="H559" s="9">
        <f>IF(ISNA(MATCH(550,'Transfer Engine'!$C$2:$C$1960,0)),"",INDEX('Compliance Database'!$H$2:$H$1960,MATCH(550,'Transfer Engine'!$C$2:$C$1960,0)))</f>
        <v/>
      </c>
      <c r="I559" s="9">
        <f>IF(ISNA(MATCH(550,'Transfer Engine'!$C$2:$C$1960,0)),"",INDEX('Compliance Database'!$I$2:$I$1960,MATCH(550,'Transfer Engine'!$C$2:$C$1960,0)))</f>
        <v/>
      </c>
      <c r="J559" s="8">
        <f>IF(ISNA(MATCH(550,'Transfer Engine'!$C$2:$C$1960,0)),"",INDEX('Compliance Database'!$J$2:$J$1960,MATCH(550,'Transfer Engine'!$C$2:$C$1960,0)))</f>
        <v/>
      </c>
      <c r="K559" s="9">
        <f>IF(ISNA(MATCH(550,'Transfer Engine'!$C$2:$C$1960,0)),"",INDEX('Compliance Database'!$K$2:$K$1960,MATCH(550,'Transfer Engine'!$C$2:$C$1960,0)))</f>
        <v/>
      </c>
      <c r="L559" s="9">
        <f>IF(ISNA(MATCH(550,'Transfer Engine'!$C$2:$C$1960,0)),"",INDEX('Compliance Database'!$L$2:$L$1960,MATCH(550,'Transfer Engine'!$C$2:$C$1960,0)))</f>
        <v/>
      </c>
      <c r="M559" s="9">
        <f>IF(ISNA(MATCH(550,'Transfer Engine'!$C$2:$C$1960,0)),"",INDEX('Compliance Database'!$M$2:$M$1960,MATCH(550,'Transfer Engine'!$C$2:$C$1960,0)))</f>
        <v/>
      </c>
      <c r="N559" s="9">
        <f>IF(ISNA(MATCH(550,'Transfer Engine'!$C$2:$C$1960,0)),"",INDEX('Compliance Database'!$N$2:$N$1960,MATCH(550,'Transfer Engine'!$C$2:$C$1960,0)))</f>
        <v/>
      </c>
      <c r="O559" s="9">
        <f>IF(ISNA(MATCH(550,'Transfer Engine'!$C$2:$C$1960,0)),"",INDEX('Compliance Database'!$O$2:$O$1960,MATCH(550,'Transfer Engine'!$C$2:$C$1960,0)))</f>
        <v/>
      </c>
      <c r="P559" s="8">
        <f>IF(ISNA(MATCH(550,'Transfer Engine'!$C$2:$C$1960,0)),"",HYPERLINK("#Acts!A"&amp;INDEX('Compliance Database'!$P$2:$P$1960,MATCH(550,'Transfer Engine'!$C$2:$C$1960,0)),"Go to Act"))</f>
        <v/>
      </c>
    </row>
    <row r="560" ht="158" customHeight="1">
      <c r="A560" s="8">
        <f>IF(ISNA(MATCH(551,'Transfer Engine'!$C$2:$C$1960,0)),"",INDEX('Compliance Database'!$A$2:$A$1960,MATCH(551,'Transfer Engine'!$C$2:$C$1960,0)))</f>
        <v/>
      </c>
      <c r="B560" s="8">
        <f>IF(ISNA(MATCH(551,'Transfer Engine'!$C$2:$C$1960,0)),"",INDEX('Compliance Database'!$B$2:$B$1960,MATCH(551,'Transfer Engine'!$C$2:$C$1960,0)))</f>
        <v/>
      </c>
      <c r="C560" s="8">
        <f>IF(ISNA(MATCH(551,'Transfer Engine'!$C$2:$C$1960,0)),"",INDEX('Compliance Database'!$C$2:$C$1960,MATCH(551,'Transfer Engine'!$C$2:$C$1960,0)))</f>
        <v/>
      </c>
      <c r="D560" s="9">
        <f>IF(ISNA(MATCH(551,'Transfer Engine'!$C$2:$C$1960,0)),"",INDEX('Compliance Database'!$D$2:$D$1960,MATCH(551,'Transfer Engine'!$C$2:$C$1960,0)))</f>
        <v/>
      </c>
      <c r="E560" s="8">
        <f>IF(ISNA(MATCH(551,'Transfer Engine'!$C$2:$C$1960,0)),"",INDEX('Compliance Database'!$E$2:$E$1960,MATCH(551,'Transfer Engine'!$C$2:$C$1960,0)))</f>
        <v/>
      </c>
      <c r="F560" s="8">
        <f>IF(ISNA(MATCH(551,'Transfer Engine'!$C$2:$C$1960,0)),"",INDEX('Compliance Database'!$F$2:$F$1960,MATCH(551,'Transfer Engine'!$C$2:$C$1960,0)))</f>
        <v/>
      </c>
      <c r="G560" s="8">
        <f>IF(ISNA(MATCH(551,'Transfer Engine'!$C$2:$C$1960,0)),"",INDEX('Compliance Database'!$G$2:$G$1960,MATCH(551,'Transfer Engine'!$C$2:$C$1960,0)))</f>
        <v/>
      </c>
      <c r="H560" s="9">
        <f>IF(ISNA(MATCH(551,'Transfer Engine'!$C$2:$C$1960,0)),"",INDEX('Compliance Database'!$H$2:$H$1960,MATCH(551,'Transfer Engine'!$C$2:$C$1960,0)))</f>
        <v/>
      </c>
      <c r="I560" s="9">
        <f>IF(ISNA(MATCH(551,'Transfer Engine'!$C$2:$C$1960,0)),"",INDEX('Compliance Database'!$I$2:$I$1960,MATCH(551,'Transfer Engine'!$C$2:$C$1960,0)))</f>
        <v/>
      </c>
      <c r="J560" s="8">
        <f>IF(ISNA(MATCH(551,'Transfer Engine'!$C$2:$C$1960,0)),"",INDEX('Compliance Database'!$J$2:$J$1960,MATCH(551,'Transfer Engine'!$C$2:$C$1960,0)))</f>
        <v/>
      </c>
      <c r="K560" s="9">
        <f>IF(ISNA(MATCH(551,'Transfer Engine'!$C$2:$C$1960,0)),"",INDEX('Compliance Database'!$K$2:$K$1960,MATCH(551,'Transfer Engine'!$C$2:$C$1960,0)))</f>
        <v/>
      </c>
      <c r="L560" s="9">
        <f>IF(ISNA(MATCH(551,'Transfer Engine'!$C$2:$C$1960,0)),"",INDEX('Compliance Database'!$L$2:$L$1960,MATCH(551,'Transfer Engine'!$C$2:$C$1960,0)))</f>
        <v/>
      </c>
      <c r="M560" s="9">
        <f>IF(ISNA(MATCH(551,'Transfer Engine'!$C$2:$C$1960,0)),"",INDEX('Compliance Database'!$M$2:$M$1960,MATCH(551,'Transfer Engine'!$C$2:$C$1960,0)))</f>
        <v/>
      </c>
      <c r="N560" s="9">
        <f>IF(ISNA(MATCH(551,'Transfer Engine'!$C$2:$C$1960,0)),"",INDEX('Compliance Database'!$N$2:$N$1960,MATCH(551,'Transfer Engine'!$C$2:$C$1960,0)))</f>
        <v/>
      </c>
      <c r="O560" s="9">
        <f>IF(ISNA(MATCH(551,'Transfer Engine'!$C$2:$C$1960,0)),"",INDEX('Compliance Database'!$O$2:$O$1960,MATCH(551,'Transfer Engine'!$C$2:$C$1960,0)))</f>
        <v/>
      </c>
      <c r="P560" s="8">
        <f>IF(ISNA(MATCH(551,'Transfer Engine'!$C$2:$C$1960,0)),"",HYPERLINK("#Acts!A"&amp;INDEX('Compliance Database'!$P$2:$P$1960,MATCH(551,'Transfer Engine'!$C$2:$C$1960,0)),"Go to Act"))</f>
        <v/>
      </c>
    </row>
    <row r="561" ht="158" customHeight="1">
      <c r="A561" s="8">
        <f>IF(ISNA(MATCH(552,'Transfer Engine'!$C$2:$C$1960,0)),"",INDEX('Compliance Database'!$A$2:$A$1960,MATCH(552,'Transfer Engine'!$C$2:$C$1960,0)))</f>
        <v/>
      </c>
      <c r="B561" s="8">
        <f>IF(ISNA(MATCH(552,'Transfer Engine'!$C$2:$C$1960,0)),"",INDEX('Compliance Database'!$B$2:$B$1960,MATCH(552,'Transfer Engine'!$C$2:$C$1960,0)))</f>
        <v/>
      </c>
      <c r="C561" s="8">
        <f>IF(ISNA(MATCH(552,'Transfer Engine'!$C$2:$C$1960,0)),"",INDEX('Compliance Database'!$C$2:$C$1960,MATCH(552,'Transfer Engine'!$C$2:$C$1960,0)))</f>
        <v/>
      </c>
      <c r="D561" s="9">
        <f>IF(ISNA(MATCH(552,'Transfer Engine'!$C$2:$C$1960,0)),"",INDEX('Compliance Database'!$D$2:$D$1960,MATCH(552,'Transfer Engine'!$C$2:$C$1960,0)))</f>
        <v/>
      </c>
      <c r="E561" s="8">
        <f>IF(ISNA(MATCH(552,'Transfer Engine'!$C$2:$C$1960,0)),"",INDEX('Compliance Database'!$E$2:$E$1960,MATCH(552,'Transfer Engine'!$C$2:$C$1960,0)))</f>
        <v/>
      </c>
      <c r="F561" s="8">
        <f>IF(ISNA(MATCH(552,'Transfer Engine'!$C$2:$C$1960,0)),"",INDEX('Compliance Database'!$F$2:$F$1960,MATCH(552,'Transfer Engine'!$C$2:$C$1960,0)))</f>
        <v/>
      </c>
      <c r="G561" s="8">
        <f>IF(ISNA(MATCH(552,'Transfer Engine'!$C$2:$C$1960,0)),"",INDEX('Compliance Database'!$G$2:$G$1960,MATCH(552,'Transfer Engine'!$C$2:$C$1960,0)))</f>
        <v/>
      </c>
      <c r="H561" s="9">
        <f>IF(ISNA(MATCH(552,'Transfer Engine'!$C$2:$C$1960,0)),"",INDEX('Compliance Database'!$H$2:$H$1960,MATCH(552,'Transfer Engine'!$C$2:$C$1960,0)))</f>
        <v/>
      </c>
      <c r="I561" s="9">
        <f>IF(ISNA(MATCH(552,'Transfer Engine'!$C$2:$C$1960,0)),"",INDEX('Compliance Database'!$I$2:$I$1960,MATCH(552,'Transfer Engine'!$C$2:$C$1960,0)))</f>
        <v/>
      </c>
      <c r="J561" s="8">
        <f>IF(ISNA(MATCH(552,'Transfer Engine'!$C$2:$C$1960,0)),"",INDEX('Compliance Database'!$J$2:$J$1960,MATCH(552,'Transfer Engine'!$C$2:$C$1960,0)))</f>
        <v/>
      </c>
      <c r="K561" s="9">
        <f>IF(ISNA(MATCH(552,'Transfer Engine'!$C$2:$C$1960,0)),"",INDEX('Compliance Database'!$K$2:$K$1960,MATCH(552,'Transfer Engine'!$C$2:$C$1960,0)))</f>
        <v/>
      </c>
      <c r="L561" s="9">
        <f>IF(ISNA(MATCH(552,'Transfer Engine'!$C$2:$C$1960,0)),"",INDEX('Compliance Database'!$L$2:$L$1960,MATCH(552,'Transfer Engine'!$C$2:$C$1960,0)))</f>
        <v/>
      </c>
      <c r="M561" s="9">
        <f>IF(ISNA(MATCH(552,'Transfer Engine'!$C$2:$C$1960,0)),"",INDEX('Compliance Database'!$M$2:$M$1960,MATCH(552,'Transfer Engine'!$C$2:$C$1960,0)))</f>
        <v/>
      </c>
      <c r="N561" s="9">
        <f>IF(ISNA(MATCH(552,'Transfer Engine'!$C$2:$C$1960,0)),"",INDEX('Compliance Database'!$N$2:$N$1960,MATCH(552,'Transfer Engine'!$C$2:$C$1960,0)))</f>
        <v/>
      </c>
      <c r="O561" s="9">
        <f>IF(ISNA(MATCH(552,'Transfer Engine'!$C$2:$C$1960,0)),"",INDEX('Compliance Database'!$O$2:$O$1960,MATCH(552,'Transfer Engine'!$C$2:$C$1960,0)))</f>
        <v/>
      </c>
      <c r="P561" s="8">
        <f>IF(ISNA(MATCH(552,'Transfer Engine'!$C$2:$C$1960,0)),"",HYPERLINK("#Acts!A"&amp;INDEX('Compliance Database'!$P$2:$P$1960,MATCH(552,'Transfer Engine'!$C$2:$C$1960,0)),"Go to Act"))</f>
        <v/>
      </c>
    </row>
    <row r="562" ht="158" customHeight="1">
      <c r="A562" s="8">
        <f>IF(ISNA(MATCH(553,'Transfer Engine'!$C$2:$C$1960,0)),"",INDEX('Compliance Database'!$A$2:$A$1960,MATCH(553,'Transfer Engine'!$C$2:$C$1960,0)))</f>
        <v/>
      </c>
      <c r="B562" s="8">
        <f>IF(ISNA(MATCH(553,'Transfer Engine'!$C$2:$C$1960,0)),"",INDEX('Compliance Database'!$B$2:$B$1960,MATCH(553,'Transfer Engine'!$C$2:$C$1960,0)))</f>
        <v/>
      </c>
      <c r="C562" s="8">
        <f>IF(ISNA(MATCH(553,'Transfer Engine'!$C$2:$C$1960,0)),"",INDEX('Compliance Database'!$C$2:$C$1960,MATCH(553,'Transfer Engine'!$C$2:$C$1960,0)))</f>
        <v/>
      </c>
      <c r="D562" s="9">
        <f>IF(ISNA(MATCH(553,'Transfer Engine'!$C$2:$C$1960,0)),"",INDEX('Compliance Database'!$D$2:$D$1960,MATCH(553,'Transfer Engine'!$C$2:$C$1960,0)))</f>
        <v/>
      </c>
      <c r="E562" s="8">
        <f>IF(ISNA(MATCH(553,'Transfer Engine'!$C$2:$C$1960,0)),"",INDEX('Compliance Database'!$E$2:$E$1960,MATCH(553,'Transfer Engine'!$C$2:$C$1960,0)))</f>
        <v/>
      </c>
      <c r="F562" s="8">
        <f>IF(ISNA(MATCH(553,'Transfer Engine'!$C$2:$C$1960,0)),"",INDEX('Compliance Database'!$F$2:$F$1960,MATCH(553,'Transfer Engine'!$C$2:$C$1960,0)))</f>
        <v/>
      </c>
      <c r="G562" s="8">
        <f>IF(ISNA(MATCH(553,'Transfer Engine'!$C$2:$C$1960,0)),"",INDEX('Compliance Database'!$G$2:$G$1960,MATCH(553,'Transfer Engine'!$C$2:$C$1960,0)))</f>
        <v/>
      </c>
      <c r="H562" s="9">
        <f>IF(ISNA(MATCH(553,'Transfer Engine'!$C$2:$C$1960,0)),"",INDEX('Compliance Database'!$H$2:$H$1960,MATCH(553,'Transfer Engine'!$C$2:$C$1960,0)))</f>
        <v/>
      </c>
      <c r="I562" s="9">
        <f>IF(ISNA(MATCH(553,'Transfer Engine'!$C$2:$C$1960,0)),"",INDEX('Compliance Database'!$I$2:$I$1960,MATCH(553,'Transfer Engine'!$C$2:$C$1960,0)))</f>
        <v/>
      </c>
      <c r="J562" s="8">
        <f>IF(ISNA(MATCH(553,'Transfer Engine'!$C$2:$C$1960,0)),"",INDEX('Compliance Database'!$J$2:$J$1960,MATCH(553,'Transfer Engine'!$C$2:$C$1960,0)))</f>
        <v/>
      </c>
      <c r="K562" s="9">
        <f>IF(ISNA(MATCH(553,'Transfer Engine'!$C$2:$C$1960,0)),"",INDEX('Compliance Database'!$K$2:$K$1960,MATCH(553,'Transfer Engine'!$C$2:$C$1960,0)))</f>
        <v/>
      </c>
      <c r="L562" s="9">
        <f>IF(ISNA(MATCH(553,'Transfer Engine'!$C$2:$C$1960,0)),"",INDEX('Compliance Database'!$L$2:$L$1960,MATCH(553,'Transfer Engine'!$C$2:$C$1960,0)))</f>
        <v/>
      </c>
      <c r="M562" s="9">
        <f>IF(ISNA(MATCH(553,'Transfer Engine'!$C$2:$C$1960,0)),"",INDEX('Compliance Database'!$M$2:$M$1960,MATCH(553,'Transfer Engine'!$C$2:$C$1960,0)))</f>
        <v/>
      </c>
      <c r="N562" s="9">
        <f>IF(ISNA(MATCH(553,'Transfer Engine'!$C$2:$C$1960,0)),"",INDEX('Compliance Database'!$N$2:$N$1960,MATCH(553,'Transfer Engine'!$C$2:$C$1960,0)))</f>
        <v/>
      </c>
      <c r="O562" s="9">
        <f>IF(ISNA(MATCH(553,'Transfer Engine'!$C$2:$C$1960,0)),"",INDEX('Compliance Database'!$O$2:$O$1960,MATCH(553,'Transfer Engine'!$C$2:$C$1960,0)))</f>
        <v/>
      </c>
      <c r="P562" s="8">
        <f>IF(ISNA(MATCH(553,'Transfer Engine'!$C$2:$C$1960,0)),"",HYPERLINK("#Acts!A"&amp;INDEX('Compliance Database'!$P$2:$P$1960,MATCH(553,'Transfer Engine'!$C$2:$C$1960,0)),"Go to Act"))</f>
        <v/>
      </c>
    </row>
    <row r="563" ht="158" customHeight="1">
      <c r="A563" s="8">
        <f>IF(ISNA(MATCH(554,'Transfer Engine'!$C$2:$C$1960,0)),"",INDEX('Compliance Database'!$A$2:$A$1960,MATCH(554,'Transfer Engine'!$C$2:$C$1960,0)))</f>
        <v/>
      </c>
      <c r="B563" s="8">
        <f>IF(ISNA(MATCH(554,'Transfer Engine'!$C$2:$C$1960,0)),"",INDEX('Compliance Database'!$B$2:$B$1960,MATCH(554,'Transfer Engine'!$C$2:$C$1960,0)))</f>
        <v/>
      </c>
      <c r="C563" s="8">
        <f>IF(ISNA(MATCH(554,'Transfer Engine'!$C$2:$C$1960,0)),"",INDEX('Compliance Database'!$C$2:$C$1960,MATCH(554,'Transfer Engine'!$C$2:$C$1960,0)))</f>
        <v/>
      </c>
      <c r="D563" s="9">
        <f>IF(ISNA(MATCH(554,'Transfer Engine'!$C$2:$C$1960,0)),"",INDEX('Compliance Database'!$D$2:$D$1960,MATCH(554,'Transfer Engine'!$C$2:$C$1960,0)))</f>
        <v/>
      </c>
      <c r="E563" s="8">
        <f>IF(ISNA(MATCH(554,'Transfer Engine'!$C$2:$C$1960,0)),"",INDEX('Compliance Database'!$E$2:$E$1960,MATCH(554,'Transfer Engine'!$C$2:$C$1960,0)))</f>
        <v/>
      </c>
      <c r="F563" s="8">
        <f>IF(ISNA(MATCH(554,'Transfer Engine'!$C$2:$C$1960,0)),"",INDEX('Compliance Database'!$F$2:$F$1960,MATCH(554,'Transfer Engine'!$C$2:$C$1960,0)))</f>
        <v/>
      </c>
      <c r="G563" s="8">
        <f>IF(ISNA(MATCH(554,'Transfer Engine'!$C$2:$C$1960,0)),"",INDEX('Compliance Database'!$G$2:$G$1960,MATCH(554,'Transfer Engine'!$C$2:$C$1960,0)))</f>
        <v/>
      </c>
      <c r="H563" s="9">
        <f>IF(ISNA(MATCH(554,'Transfer Engine'!$C$2:$C$1960,0)),"",INDEX('Compliance Database'!$H$2:$H$1960,MATCH(554,'Transfer Engine'!$C$2:$C$1960,0)))</f>
        <v/>
      </c>
      <c r="I563" s="9">
        <f>IF(ISNA(MATCH(554,'Transfer Engine'!$C$2:$C$1960,0)),"",INDEX('Compliance Database'!$I$2:$I$1960,MATCH(554,'Transfer Engine'!$C$2:$C$1960,0)))</f>
        <v/>
      </c>
      <c r="J563" s="8">
        <f>IF(ISNA(MATCH(554,'Transfer Engine'!$C$2:$C$1960,0)),"",INDEX('Compliance Database'!$J$2:$J$1960,MATCH(554,'Transfer Engine'!$C$2:$C$1960,0)))</f>
        <v/>
      </c>
      <c r="K563" s="9">
        <f>IF(ISNA(MATCH(554,'Transfer Engine'!$C$2:$C$1960,0)),"",INDEX('Compliance Database'!$K$2:$K$1960,MATCH(554,'Transfer Engine'!$C$2:$C$1960,0)))</f>
        <v/>
      </c>
      <c r="L563" s="9">
        <f>IF(ISNA(MATCH(554,'Transfer Engine'!$C$2:$C$1960,0)),"",INDEX('Compliance Database'!$L$2:$L$1960,MATCH(554,'Transfer Engine'!$C$2:$C$1960,0)))</f>
        <v/>
      </c>
      <c r="M563" s="9">
        <f>IF(ISNA(MATCH(554,'Transfer Engine'!$C$2:$C$1960,0)),"",INDEX('Compliance Database'!$M$2:$M$1960,MATCH(554,'Transfer Engine'!$C$2:$C$1960,0)))</f>
        <v/>
      </c>
      <c r="N563" s="9">
        <f>IF(ISNA(MATCH(554,'Transfer Engine'!$C$2:$C$1960,0)),"",INDEX('Compliance Database'!$N$2:$N$1960,MATCH(554,'Transfer Engine'!$C$2:$C$1960,0)))</f>
        <v/>
      </c>
      <c r="O563" s="9">
        <f>IF(ISNA(MATCH(554,'Transfer Engine'!$C$2:$C$1960,0)),"",INDEX('Compliance Database'!$O$2:$O$1960,MATCH(554,'Transfer Engine'!$C$2:$C$1960,0)))</f>
        <v/>
      </c>
      <c r="P563" s="8">
        <f>IF(ISNA(MATCH(554,'Transfer Engine'!$C$2:$C$1960,0)),"",HYPERLINK("#Acts!A"&amp;INDEX('Compliance Database'!$P$2:$P$1960,MATCH(554,'Transfer Engine'!$C$2:$C$1960,0)),"Go to Act"))</f>
        <v/>
      </c>
    </row>
    <row r="564" ht="158" customHeight="1">
      <c r="A564" s="8">
        <f>IF(ISNA(MATCH(555,'Transfer Engine'!$C$2:$C$1960,0)),"",INDEX('Compliance Database'!$A$2:$A$1960,MATCH(555,'Transfer Engine'!$C$2:$C$1960,0)))</f>
        <v/>
      </c>
      <c r="B564" s="8">
        <f>IF(ISNA(MATCH(555,'Transfer Engine'!$C$2:$C$1960,0)),"",INDEX('Compliance Database'!$B$2:$B$1960,MATCH(555,'Transfer Engine'!$C$2:$C$1960,0)))</f>
        <v/>
      </c>
      <c r="C564" s="8">
        <f>IF(ISNA(MATCH(555,'Transfer Engine'!$C$2:$C$1960,0)),"",INDEX('Compliance Database'!$C$2:$C$1960,MATCH(555,'Transfer Engine'!$C$2:$C$1960,0)))</f>
        <v/>
      </c>
      <c r="D564" s="9">
        <f>IF(ISNA(MATCH(555,'Transfer Engine'!$C$2:$C$1960,0)),"",INDEX('Compliance Database'!$D$2:$D$1960,MATCH(555,'Transfer Engine'!$C$2:$C$1960,0)))</f>
        <v/>
      </c>
      <c r="E564" s="8">
        <f>IF(ISNA(MATCH(555,'Transfer Engine'!$C$2:$C$1960,0)),"",INDEX('Compliance Database'!$E$2:$E$1960,MATCH(555,'Transfer Engine'!$C$2:$C$1960,0)))</f>
        <v/>
      </c>
      <c r="F564" s="8">
        <f>IF(ISNA(MATCH(555,'Transfer Engine'!$C$2:$C$1960,0)),"",INDEX('Compliance Database'!$F$2:$F$1960,MATCH(555,'Transfer Engine'!$C$2:$C$1960,0)))</f>
        <v/>
      </c>
      <c r="G564" s="8">
        <f>IF(ISNA(MATCH(555,'Transfer Engine'!$C$2:$C$1960,0)),"",INDEX('Compliance Database'!$G$2:$G$1960,MATCH(555,'Transfer Engine'!$C$2:$C$1960,0)))</f>
        <v/>
      </c>
      <c r="H564" s="9">
        <f>IF(ISNA(MATCH(555,'Transfer Engine'!$C$2:$C$1960,0)),"",INDEX('Compliance Database'!$H$2:$H$1960,MATCH(555,'Transfer Engine'!$C$2:$C$1960,0)))</f>
        <v/>
      </c>
      <c r="I564" s="9">
        <f>IF(ISNA(MATCH(555,'Transfer Engine'!$C$2:$C$1960,0)),"",INDEX('Compliance Database'!$I$2:$I$1960,MATCH(555,'Transfer Engine'!$C$2:$C$1960,0)))</f>
        <v/>
      </c>
      <c r="J564" s="8">
        <f>IF(ISNA(MATCH(555,'Transfer Engine'!$C$2:$C$1960,0)),"",INDEX('Compliance Database'!$J$2:$J$1960,MATCH(555,'Transfer Engine'!$C$2:$C$1960,0)))</f>
        <v/>
      </c>
      <c r="K564" s="9">
        <f>IF(ISNA(MATCH(555,'Transfer Engine'!$C$2:$C$1960,0)),"",INDEX('Compliance Database'!$K$2:$K$1960,MATCH(555,'Transfer Engine'!$C$2:$C$1960,0)))</f>
        <v/>
      </c>
      <c r="L564" s="9">
        <f>IF(ISNA(MATCH(555,'Transfer Engine'!$C$2:$C$1960,0)),"",INDEX('Compliance Database'!$L$2:$L$1960,MATCH(555,'Transfer Engine'!$C$2:$C$1960,0)))</f>
        <v/>
      </c>
      <c r="M564" s="9">
        <f>IF(ISNA(MATCH(555,'Transfer Engine'!$C$2:$C$1960,0)),"",INDEX('Compliance Database'!$M$2:$M$1960,MATCH(555,'Transfer Engine'!$C$2:$C$1960,0)))</f>
        <v/>
      </c>
      <c r="N564" s="9">
        <f>IF(ISNA(MATCH(555,'Transfer Engine'!$C$2:$C$1960,0)),"",INDEX('Compliance Database'!$N$2:$N$1960,MATCH(555,'Transfer Engine'!$C$2:$C$1960,0)))</f>
        <v/>
      </c>
      <c r="O564" s="9">
        <f>IF(ISNA(MATCH(555,'Transfer Engine'!$C$2:$C$1960,0)),"",INDEX('Compliance Database'!$O$2:$O$1960,MATCH(555,'Transfer Engine'!$C$2:$C$1960,0)))</f>
        <v/>
      </c>
      <c r="P564" s="8">
        <f>IF(ISNA(MATCH(555,'Transfer Engine'!$C$2:$C$1960,0)),"",HYPERLINK("#Acts!A"&amp;INDEX('Compliance Database'!$P$2:$P$1960,MATCH(555,'Transfer Engine'!$C$2:$C$1960,0)),"Go to Act"))</f>
        <v/>
      </c>
    </row>
    <row r="565" ht="158" customHeight="1">
      <c r="A565" s="8">
        <f>IF(ISNA(MATCH(556,'Transfer Engine'!$C$2:$C$1960,0)),"",INDEX('Compliance Database'!$A$2:$A$1960,MATCH(556,'Transfer Engine'!$C$2:$C$1960,0)))</f>
        <v/>
      </c>
      <c r="B565" s="8">
        <f>IF(ISNA(MATCH(556,'Transfer Engine'!$C$2:$C$1960,0)),"",INDEX('Compliance Database'!$B$2:$B$1960,MATCH(556,'Transfer Engine'!$C$2:$C$1960,0)))</f>
        <v/>
      </c>
      <c r="C565" s="8">
        <f>IF(ISNA(MATCH(556,'Transfer Engine'!$C$2:$C$1960,0)),"",INDEX('Compliance Database'!$C$2:$C$1960,MATCH(556,'Transfer Engine'!$C$2:$C$1960,0)))</f>
        <v/>
      </c>
      <c r="D565" s="9">
        <f>IF(ISNA(MATCH(556,'Transfer Engine'!$C$2:$C$1960,0)),"",INDEX('Compliance Database'!$D$2:$D$1960,MATCH(556,'Transfer Engine'!$C$2:$C$1960,0)))</f>
        <v/>
      </c>
      <c r="E565" s="8">
        <f>IF(ISNA(MATCH(556,'Transfer Engine'!$C$2:$C$1960,0)),"",INDEX('Compliance Database'!$E$2:$E$1960,MATCH(556,'Transfer Engine'!$C$2:$C$1960,0)))</f>
        <v/>
      </c>
      <c r="F565" s="8">
        <f>IF(ISNA(MATCH(556,'Transfer Engine'!$C$2:$C$1960,0)),"",INDEX('Compliance Database'!$F$2:$F$1960,MATCH(556,'Transfer Engine'!$C$2:$C$1960,0)))</f>
        <v/>
      </c>
      <c r="G565" s="8">
        <f>IF(ISNA(MATCH(556,'Transfer Engine'!$C$2:$C$1960,0)),"",INDEX('Compliance Database'!$G$2:$G$1960,MATCH(556,'Transfer Engine'!$C$2:$C$1960,0)))</f>
        <v/>
      </c>
      <c r="H565" s="9">
        <f>IF(ISNA(MATCH(556,'Transfer Engine'!$C$2:$C$1960,0)),"",INDEX('Compliance Database'!$H$2:$H$1960,MATCH(556,'Transfer Engine'!$C$2:$C$1960,0)))</f>
        <v/>
      </c>
      <c r="I565" s="9">
        <f>IF(ISNA(MATCH(556,'Transfer Engine'!$C$2:$C$1960,0)),"",INDEX('Compliance Database'!$I$2:$I$1960,MATCH(556,'Transfer Engine'!$C$2:$C$1960,0)))</f>
        <v/>
      </c>
      <c r="J565" s="8">
        <f>IF(ISNA(MATCH(556,'Transfer Engine'!$C$2:$C$1960,0)),"",INDEX('Compliance Database'!$J$2:$J$1960,MATCH(556,'Transfer Engine'!$C$2:$C$1960,0)))</f>
        <v/>
      </c>
      <c r="K565" s="9">
        <f>IF(ISNA(MATCH(556,'Transfer Engine'!$C$2:$C$1960,0)),"",INDEX('Compliance Database'!$K$2:$K$1960,MATCH(556,'Transfer Engine'!$C$2:$C$1960,0)))</f>
        <v/>
      </c>
      <c r="L565" s="9">
        <f>IF(ISNA(MATCH(556,'Transfer Engine'!$C$2:$C$1960,0)),"",INDEX('Compliance Database'!$L$2:$L$1960,MATCH(556,'Transfer Engine'!$C$2:$C$1960,0)))</f>
        <v/>
      </c>
      <c r="M565" s="9">
        <f>IF(ISNA(MATCH(556,'Transfer Engine'!$C$2:$C$1960,0)),"",INDEX('Compliance Database'!$M$2:$M$1960,MATCH(556,'Transfer Engine'!$C$2:$C$1960,0)))</f>
        <v/>
      </c>
      <c r="N565" s="9">
        <f>IF(ISNA(MATCH(556,'Transfer Engine'!$C$2:$C$1960,0)),"",INDEX('Compliance Database'!$N$2:$N$1960,MATCH(556,'Transfer Engine'!$C$2:$C$1960,0)))</f>
        <v/>
      </c>
      <c r="O565" s="9">
        <f>IF(ISNA(MATCH(556,'Transfer Engine'!$C$2:$C$1960,0)),"",INDEX('Compliance Database'!$O$2:$O$1960,MATCH(556,'Transfer Engine'!$C$2:$C$1960,0)))</f>
        <v/>
      </c>
      <c r="P565" s="8">
        <f>IF(ISNA(MATCH(556,'Transfer Engine'!$C$2:$C$1960,0)),"",HYPERLINK("#Acts!A"&amp;INDEX('Compliance Database'!$P$2:$P$1960,MATCH(556,'Transfer Engine'!$C$2:$C$1960,0)),"Go to Act"))</f>
        <v/>
      </c>
    </row>
    <row r="566" ht="158" customHeight="1">
      <c r="A566" s="8">
        <f>IF(ISNA(MATCH(557,'Transfer Engine'!$C$2:$C$1960,0)),"",INDEX('Compliance Database'!$A$2:$A$1960,MATCH(557,'Transfer Engine'!$C$2:$C$1960,0)))</f>
        <v/>
      </c>
      <c r="B566" s="8">
        <f>IF(ISNA(MATCH(557,'Transfer Engine'!$C$2:$C$1960,0)),"",INDEX('Compliance Database'!$B$2:$B$1960,MATCH(557,'Transfer Engine'!$C$2:$C$1960,0)))</f>
        <v/>
      </c>
      <c r="C566" s="8">
        <f>IF(ISNA(MATCH(557,'Transfer Engine'!$C$2:$C$1960,0)),"",INDEX('Compliance Database'!$C$2:$C$1960,MATCH(557,'Transfer Engine'!$C$2:$C$1960,0)))</f>
        <v/>
      </c>
      <c r="D566" s="9">
        <f>IF(ISNA(MATCH(557,'Transfer Engine'!$C$2:$C$1960,0)),"",INDEX('Compliance Database'!$D$2:$D$1960,MATCH(557,'Transfer Engine'!$C$2:$C$1960,0)))</f>
        <v/>
      </c>
      <c r="E566" s="8">
        <f>IF(ISNA(MATCH(557,'Transfer Engine'!$C$2:$C$1960,0)),"",INDEX('Compliance Database'!$E$2:$E$1960,MATCH(557,'Transfer Engine'!$C$2:$C$1960,0)))</f>
        <v/>
      </c>
      <c r="F566" s="8">
        <f>IF(ISNA(MATCH(557,'Transfer Engine'!$C$2:$C$1960,0)),"",INDEX('Compliance Database'!$F$2:$F$1960,MATCH(557,'Transfer Engine'!$C$2:$C$1960,0)))</f>
        <v/>
      </c>
      <c r="G566" s="8">
        <f>IF(ISNA(MATCH(557,'Transfer Engine'!$C$2:$C$1960,0)),"",INDEX('Compliance Database'!$G$2:$G$1960,MATCH(557,'Transfer Engine'!$C$2:$C$1960,0)))</f>
        <v/>
      </c>
      <c r="H566" s="9">
        <f>IF(ISNA(MATCH(557,'Transfer Engine'!$C$2:$C$1960,0)),"",INDEX('Compliance Database'!$H$2:$H$1960,MATCH(557,'Transfer Engine'!$C$2:$C$1960,0)))</f>
        <v/>
      </c>
      <c r="I566" s="9">
        <f>IF(ISNA(MATCH(557,'Transfer Engine'!$C$2:$C$1960,0)),"",INDEX('Compliance Database'!$I$2:$I$1960,MATCH(557,'Transfer Engine'!$C$2:$C$1960,0)))</f>
        <v/>
      </c>
      <c r="J566" s="8">
        <f>IF(ISNA(MATCH(557,'Transfer Engine'!$C$2:$C$1960,0)),"",INDEX('Compliance Database'!$J$2:$J$1960,MATCH(557,'Transfer Engine'!$C$2:$C$1960,0)))</f>
        <v/>
      </c>
      <c r="K566" s="9">
        <f>IF(ISNA(MATCH(557,'Transfer Engine'!$C$2:$C$1960,0)),"",INDEX('Compliance Database'!$K$2:$K$1960,MATCH(557,'Transfer Engine'!$C$2:$C$1960,0)))</f>
        <v/>
      </c>
      <c r="L566" s="9">
        <f>IF(ISNA(MATCH(557,'Transfer Engine'!$C$2:$C$1960,0)),"",INDEX('Compliance Database'!$L$2:$L$1960,MATCH(557,'Transfer Engine'!$C$2:$C$1960,0)))</f>
        <v/>
      </c>
      <c r="M566" s="9">
        <f>IF(ISNA(MATCH(557,'Transfer Engine'!$C$2:$C$1960,0)),"",INDEX('Compliance Database'!$M$2:$M$1960,MATCH(557,'Transfer Engine'!$C$2:$C$1960,0)))</f>
        <v/>
      </c>
      <c r="N566" s="9">
        <f>IF(ISNA(MATCH(557,'Transfer Engine'!$C$2:$C$1960,0)),"",INDEX('Compliance Database'!$N$2:$N$1960,MATCH(557,'Transfer Engine'!$C$2:$C$1960,0)))</f>
        <v/>
      </c>
      <c r="O566" s="9">
        <f>IF(ISNA(MATCH(557,'Transfer Engine'!$C$2:$C$1960,0)),"",INDEX('Compliance Database'!$O$2:$O$1960,MATCH(557,'Transfer Engine'!$C$2:$C$1960,0)))</f>
        <v/>
      </c>
      <c r="P566" s="8">
        <f>IF(ISNA(MATCH(557,'Transfer Engine'!$C$2:$C$1960,0)),"",HYPERLINK("#Acts!A"&amp;INDEX('Compliance Database'!$P$2:$P$1960,MATCH(557,'Transfer Engine'!$C$2:$C$1960,0)),"Go to Act"))</f>
        <v/>
      </c>
    </row>
    <row r="567" ht="158" customHeight="1">
      <c r="A567" s="8">
        <f>IF(ISNA(MATCH(558,'Transfer Engine'!$C$2:$C$1960,0)),"",INDEX('Compliance Database'!$A$2:$A$1960,MATCH(558,'Transfer Engine'!$C$2:$C$1960,0)))</f>
        <v/>
      </c>
      <c r="B567" s="8">
        <f>IF(ISNA(MATCH(558,'Transfer Engine'!$C$2:$C$1960,0)),"",INDEX('Compliance Database'!$B$2:$B$1960,MATCH(558,'Transfer Engine'!$C$2:$C$1960,0)))</f>
        <v/>
      </c>
      <c r="C567" s="8">
        <f>IF(ISNA(MATCH(558,'Transfer Engine'!$C$2:$C$1960,0)),"",INDEX('Compliance Database'!$C$2:$C$1960,MATCH(558,'Transfer Engine'!$C$2:$C$1960,0)))</f>
        <v/>
      </c>
      <c r="D567" s="9">
        <f>IF(ISNA(MATCH(558,'Transfer Engine'!$C$2:$C$1960,0)),"",INDEX('Compliance Database'!$D$2:$D$1960,MATCH(558,'Transfer Engine'!$C$2:$C$1960,0)))</f>
        <v/>
      </c>
      <c r="E567" s="8">
        <f>IF(ISNA(MATCH(558,'Transfer Engine'!$C$2:$C$1960,0)),"",INDEX('Compliance Database'!$E$2:$E$1960,MATCH(558,'Transfer Engine'!$C$2:$C$1960,0)))</f>
        <v/>
      </c>
      <c r="F567" s="8">
        <f>IF(ISNA(MATCH(558,'Transfer Engine'!$C$2:$C$1960,0)),"",INDEX('Compliance Database'!$F$2:$F$1960,MATCH(558,'Transfer Engine'!$C$2:$C$1960,0)))</f>
        <v/>
      </c>
      <c r="G567" s="8">
        <f>IF(ISNA(MATCH(558,'Transfer Engine'!$C$2:$C$1960,0)),"",INDEX('Compliance Database'!$G$2:$G$1960,MATCH(558,'Transfer Engine'!$C$2:$C$1960,0)))</f>
        <v/>
      </c>
      <c r="H567" s="9">
        <f>IF(ISNA(MATCH(558,'Transfer Engine'!$C$2:$C$1960,0)),"",INDEX('Compliance Database'!$H$2:$H$1960,MATCH(558,'Transfer Engine'!$C$2:$C$1960,0)))</f>
        <v/>
      </c>
      <c r="I567" s="9">
        <f>IF(ISNA(MATCH(558,'Transfer Engine'!$C$2:$C$1960,0)),"",INDEX('Compliance Database'!$I$2:$I$1960,MATCH(558,'Transfer Engine'!$C$2:$C$1960,0)))</f>
        <v/>
      </c>
      <c r="J567" s="8">
        <f>IF(ISNA(MATCH(558,'Transfer Engine'!$C$2:$C$1960,0)),"",INDEX('Compliance Database'!$J$2:$J$1960,MATCH(558,'Transfer Engine'!$C$2:$C$1960,0)))</f>
        <v/>
      </c>
      <c r="K567" s="9">
        <f>IF(ISNA(MATCH(558,'Transfer Engine'!$C$2:$C$1960,0)),"",INDEX('Compliance Database'!$K$2:$K$1960,MATCH(558,'Transfer Engine'!$C$2:$C$1960,0)))</f>
        <v/>
      </c>
      <c r="L567" s="9">
        <f>IF(ISNA(MATCH(558,'Transfer Engine'!$C$2:$C$1960,0)),"",INDEX('Compliance Database'!$L$2:$L$1960,MATCH(558,'Transfer Engine'!$C$2:$C$1960,0)))</f>
        <v/>
      </c>
      <c r="M567" s="9">
        <f>IF(ISNA(MATCH(558,'Transfer Engine'!$C$2:$C$1960,0)),"",INDEX('Compliance Database'!$M$2:$M$1960,MATCH(558,'Transfer Engine'!$C$2:$C$1960,0)))</f>
        <v/>
      </c>
      <c r="N567" s="9">
        <f>IF(ISNA(MATCH(558,'Transfer Engine'!$C$2:$C$1960,0)),"",INDEX('Compliance Database'!$N$2:$N$1960,MATCH(558,'Transfer Engine'!$C$2:$C$1960,0)))</f>
        <v/>
      </c>
      <c r="O567" s="9">
        <f>IF(ISNA(MATCH(558,'Transfer Engine'!$C$2:$C$1960,0)),"",INDEX('Compliance Database'!$O$2:$O$1960,MATCH(558,'Transfer Engine'!$C$2:$C$1960,0)))</f>
        <v/>
      </c>
      <c r="P567" s="8">
        <f>IF(ISNA(MATCH(558,'Transfer Engine'!$C$2:$C$1960,0)),"",HYPERLINK("#Acts!A"&amp;INDEX('Compliance Database'!$P$2:$P$1960,MATCH(558,'Transfer Engine'!$C$2:$C$1960,0)),"Go to Act"))</f>
        <v/>
      </c>
    </row>
    <row r="568" ht="158" customHeight="1">
      <c r="A568" s="8">
        <f>IF(ISNA(MATCH(559,'Transfer Engine'!$C$2:$C$1960,0)),"",INDEX('Compliance Database'!$A$2:$A$1960,MATCH(559,'Transfer Engine'!$C$2:$C$1960,0)))</f>
        <v/>
      </c>
      <c r="B568" s="8">
        <f>IF(ISNA(MATCH(559,'Transfer Engine'!$C$2:$C$1960,0)),"",INDEX('Compliance Database'!$B$2:$B$1960,MATCH(559,'Transfer Engine'!$C$2:$C$1960,0)))</f>
        <v/>
      </c>
      <c r="C568" s="8">
        <f>IF(ISNA(MATCH(559,'Transfer Engine'!$C$2:$C$1960,0)),"",INDEX('Compliance Database'!$C$2:$C$1960,MATCH(559,'Transfer Engine'!$C$2:$C$1960,0)))</f>
        <v/>
      </c>
      <c r="D568" s="9">
        <f>IF(ISNA(MATCH(559,'Transfer Engine'!$C$2:$C$1960,0)),"",INDEX('Compliance Database'!$D$2:$D$1960,MATCH(559,'Transfer Engine'!$C$2:$C$1960,0)))</f>
        <v/>
      </c>
      <c r="E568" s="8">
        <f>IF(ISNA(MATCH(559,'Transfer Engine'!$C$2:$C$1960,0)),"",INDEX('Compliance Database'!$E$2:$E$1960,MATCH(559,'Transfer Engine'!$C$2:$C$1960,0)))</f>
        <v/>
      </c>
      <c r="F568" s="8">
        <f>IF(ISNA(MATCH(559,'Transfer Engine'!$C$2:$C$1960,0)),"",INDEX('Compliance Database'!$F$2:$F$1960,MATCH(559,'Transfer Engine'!$C$2:$C$1960,0)))</f>
        <v/>
      </c>
      <c r="G568" s="8">
        <f>IF(ISNA(MATCH(559,'Transfer Engine'!$C$2:$C$1960,0)),"",INDEX('Compliance Database'!$G$2:$G$1960,MATCH(559,'Transfer Engine'!$C$2:$C$1960,0)))</f>
        <v/>
      </c>
      <c r="H568" s="9">
        <f>IF(ISNA(MATCH(559,'Transfer Engine'!$C$2:$C$1960,0)),"",INDEX('Compliance Database'!$H$2:$H$1960,MATCH(559,'Transfer Engine'!$C$2:$C$1960,0)))</f>
        <v/>
      </c>
      <c r="I568" s="9">
        <f>IF(ISNA(MATCH(559,'Transfer Engine'!$C$2:$C$1960,0)),"",INDEX('Compliance Database'!$I$2:$I$1960,MATCH(559,'Transfer Engine'!$C$2:$C$1960,0)))</f>
        <v/>
      </c>
      <c r="J568" s="8">
        <f>IF(ISNA(MATCH(559,'Transfer Engine'!$C$2:$C$1960,0)),"",INDEX('Compliance Database'!$J$2:$J$1960,MATCH(559,'Transfer Engine'!$C$2:$C$1960,0)))</f>
        <v/>
      </c>
      <c r="K568" s="9">
        <f>IF(ISNA(MATCH(559,'Transfer Engine'!$C$2:$C$1960,0)),"",INDEX('Compliance Database'!$K$2:$K$1960,MATCH(559,'Transfer Engine'!$C$2:$C$1960,0)))</f>
        <v/>
      </c>
      <c r="L568" s="9">
        <f>IF(ISNA(MATCH(559,'Transfer Engine'!$C$2:$C$1960,0)),"",INDEX('Compliance Database'!$L$2:$L$1960,MATCH(559,'Transfer Engine'!$C$2:$C$1960,0)))</f>
        <v/>
      </c>
      <c r="M568" s="9">
        <f>IF(ISNA(MATCH(559,'Transfer Engine'!$C$2:$C$1960,0)),"",INDEX('Compliance Database'!$M$2:$M$1960,MATCH(559,'Transfer Engine'!$C$2:$C$1960,0)))</f>
        <v/>
      </c>
      <c r="N568" s="9">
        <f>IF(ISNA(MATCH(559,'Transfer Engine'!$C$2:$C$1960,0)),"",INDEX('Compliance Database'!$N$2:$N$1960,MATCH(559,'Transfer Engine'!$C$2:$C$1960,0)))</f>
        <v/>
      </c>
      <c r="O568" s="9">
        <f>IF(ISNA(MATCH(559,'Transfer Engine'!$C$2:$C$1960,0)),"",INDEX('Compliance Database'!$O$2:$O$1960,MATCH(559,'Transfer Engine'!$C$2:$C$1960,0)))</f>
        <v/>
      </c>
      <c r="P568" s="8">
        <f>IF(ISNA(MATCH(559,'Transfer Engine'!$C$2:$C$1960,0)),"",HYPERLINK("#Acts!A"&amp;INDEX('Compliance Database'!$P$2:$P$1960,MATCH(559,'Transfer Engine'!$C$2:$C$1960,0)),"Go to Act"))</f>
        <v/>
      </c>
    </row>
    <row r="569" ht="158" customHeight="1">
      <c r="A569" s="8">
        <f>IF(ISNA(MATCH(560,'Transfer Engine'!$C$2:$C$1960,0)),"",INDEX('Compliance Database'!$A$2:$A$1960,MATCH(560,'Transfer Engine'!$C$2:$C$1960,0)))</f>
        <v/>
      </c>
      <c r="B569" s="8">
        <f>IF(ISNA(MATCH(560,'Transfer Engine'!$C$2:$C$1960,0)),"",INDEX('Compliance Database'!$B$2:$B$1960,MATCH(560,'Transfer Engine'!$C$2:$C$1960,0)))</f>
        <v/>
      </c>
      <c r="C569" s="8">
        <f>IF(ISNA(MATCH(560,'Transfer Engine'!$C$2:$C$1960,0)),"",INDEX('Compliance Database'!$C$2:$C$1960,MATCH(560,'Transfer Engine'!$C$2:$C$1960,0)))</f>
        <v/>
      </c>
      <c r="D569" s="9">
        <f>IF(ISNA(MATCH(560,'Transfer Engine'!$C$2:$C$1960,0)),"",INDEX('Compliance Database'!$D$2:$D$1960,MATCH(560,'Transfer Engine'!$C$2:$C$1960,0)))</f>
        <v/>
      </c>
      <c r="E569" s="8">
        <f>IF(ISNA(MATCH(560,'Transfer Engine'!$C$2:$C$1960,0)),"",INDEX('Compliance Database'!$E$2:$E$1960,MATCH(560,'Transfer Engine'!$C$2:$C$1960,0)))</f>
        <v/>
      </c>
      <c r="F569" s="8">
        <f>IF(ISNA(MATCH(560,'Transfer Engine'!$C$2:$C$1960,0)),"",INDEX('Compliance Database'!$F$2:$F$1960,MATCH(560,'Transfer Engine'!$C$2:$C$1960,0)))</f>
        <v/>
      </c>
      <c r="G569" s="8">
        <f>IF(ISNA(MATCH(560,'Transfer Engine'!$C$2:$C$1960,0)),"",INDEX('Compliance Database'!$G$2:$G$1960,MATCH(560,'Transfer Engine'!$C$2:$C$1960,0)))</f>
        <v/>
      </c>
      <c r="H569" s="9">
        <f>IF(ISNA(MATCH(560,'Transfer Engine'!$C$2:$C$1960,0)),"",INDEX('Compliance Database'!$H$2:$H$1960,MATCH(560,'Transfer Engine'!$C$2:$C$1960,0)))</f>
        <v/>
      </c>
      <c r="I569" s="9">
        <f>IF(ISNA(MATCH(560,'Transfer Engine'!$C$2:$C$1960,0)),"",INDEX('Compliance Database'!$I$2:$I$1960,MATCH(560,'Transfer Engine'!$C$2:$C$1960,0)))</f>
        <v/>
      </c>
      <c r="J569" s="8">
        <f>IF(ISNA(MATCH(560,'Transfer Engine'!$C$2:$C$1960,0)),"",INDEX('Compliance Database'!$J$2:$J$1960,MATCH(560,'Transfer Engine'!$C$2:$C$1960,0)))</f>
        <v/>
      </c>
      <c r="K569" s="9">
        <f>IF(ISNA(MATCH(560,'Transfer Engine'!$C$2:$C$1960,0)),"",INDEX('Compliance Database'!$K$2:$K$1960,MATCH(560,'Transfer Engine'!$C$2:$C$1960,0)))</f>
        <v/>
      </c>
      <c r="L569" s="9">
        <f>IF(ISNA(MATCH(560,'Transfer Engine'!$C$2:$C$1960,0)),"",INDEX('Compliance Database'!$L$2:$L$1960,MATCH(560,'Transfer Engine'!$C$2:$C$1960,0)))</f>
        <v/>
      </c>
      <c r="M569" s="9">
        <f>IF(ISNA(MATCH(560,'Transfer Engine'!$C$2:$C$1960,0)),"",INDEX('Compliance Database'!$M$2:$M$1960,MATCH(560,'Transfer Engine'!$C$2:$C$1960,0)))</f>
        <v/>
      </c>
      <c r="N569" s="9">
        <f>IF(ISNA(MATCH(560,'Transfer Engine'!$C$2:$C$1960,0)),"",INDEX('Compliance Database'!$N$2:$N$1960,MATCH(560,'Transfer Engine'!$C$2:$C$1960,0)))</f>
        <v/>
      </c>
      <c r="O569" s="9">
        <f>IF(ISNA(MATCH(560,'Transfer Engine'!$C$2:$C$1960,0)),"",INDEX('Compliance Database'!$O$2:$O$1960,MATCH(560,'Transfer Engine'!$C$2:$C$1960,0)))</f>
        <v/>
      </c>
      <c r="P569" s="8">
        <f>IF(ISNA(MATCH(560,'Transfer Engine'!$C$2:$C$1960,0)),"",HYPERLINK("#Acts!A"&amp;INDEX('Compliance Database'!$P$2:$P$1960,MATCH(560,'Transfer Engine'!$C$2:$C$1960,0)),"Go to Act"))</f>
        <v/>
      </c>
    </row>
    <row r="570" ht="158" customHeight="1">
      <c r="A570" s="8">
        <f>IF(ISNA(MATCH(561,'Transfer Engine'!$C$2:$C$1960,0)),"",INDEX('Compliance Database'!$A$2:$A$1960,MATCH(561,'Transfer Engine'!$C$2:$C$1960,0)))</f>
        <v/>
      </c>
      <c r="B570" s="8">
        <f>IF(ISNA(MATCH(561,'Transfer Engine'!$C$2:$C$1960,0)),"",INDEX('Compliance Database'!$B$2:$B$1960,MATCH(561,'Transfer Engine'!$C$2:$C$1960,0)))</f>
        <v/>
      </c>
      <c r="C570" s="8">
        <f>IF(ISNA(MATCH(561,'Transfer Engine'!$C$2:$C$1960,0)),"",INDEX('Compliance Database'!$C$2:$C$1960,MATCH(561,'Transfer Engine'!$C$2:$C$1960,0)))</f>
        <v/>
      </c>
      <c r="D570" s="9">
        <f>IF(ISNA(MATCH(561,'Transfer Engine'!$C$2:$C$1960,0)),"",INDEX('Compliance Database'!$D$2:$D$1960,MATCH(561,'Transfer Engine'!$C$2:$C$1960,0)))</f>
        <v/>
      </c>
      <c r="E570" s="8">
        <f>IF(ISNA(MATCH(561,'Transfer Engine'!$C$2:$C$1960,0)),"",INDEX('Compliance Database'!$E$2:$E$1960,MATCH(561,'Transfer Engine'!$C$2:$C$1960,0)))</f>
        <v/>
      </c>
      <c r="F570" s="8">
        <f>IF(ISNA(MATCH(561,'Transfer Engine'!$C$2:$C$1960,0)),"",INDEX('Compliance Database'!$F$2:$F$1960,MATCH(561,'Transfer Engine'!$C$2:$C$1960,0)))</f>
        <v/>
      </c>
      <c r="G570" s="8">
        <f>IF(ISNA(MATCH(561,'Transfer Engine'!$C$2:$C$1960,0)),"",INDEX('Compliance Database'!$G$2:$G$1960,MATCH(561,'Transfer Engine'!$C$2:$C$1960,0)))</f>
        <v/>
      </c>
      <c r="H570" s="9">
        <f>IF(ISNA(MATCH(561,'Transfer Engine'!$C$2:$C$1960,0)),"",INDEX('Compliance Database'!$H$2:$H$1960,MATCH(561,'Transfer Engine'!$C$2:$C$1960,0)))</f>
        <v/>
      </c>
      <c r="I570" s="9">
        <f>IF(ISNA(MATCH(561,'Transfer Engine'!$C$2:$C$1960,0)),"",INDEX('Compliance Database'!$I$2:$I$1960,MATCH(561,'Transfer Engine'!$C$2:$C$1960,0)))</f>
        <v/>
      </c>
      <c r="J570" s="8">
        <f>IF(ISNA(MATCH(561,'Transfer Engine'!$C$2:$C$1960,0)),"",INDEX('Compliance Database'!$J$2:$J$1960,MATCH(561,'Transfer Engine'!$C$2:$C$1960,0)))</f>
        <v/>
      </c>
      <c r="K570" s="9">
        <f>IF(ISNA(MATCH(561,'Transfer Engine'!$C$2:$C$1960,0)),"",INDEX('Compliance Database'!$K$2:$K$1960,MATCH(561,'Transfer Engine'!$C$2:$C$1960,0)))</f>
        <v/>
      </c>
      <c r="L570" s="9">
        <f>IF(ISNA(MATCH(561,'Transfer Engine'!$C$2:$C$1960,0)),"",INDEX('Compliance Database'!$L$2:$L$1960,MATCH(561,'Transfer Engine'!$C$2:$C$1960,0)))</f>
        <v/>
      </c>
      <c r="M570" s="9">
        <f>IF(ISNA(MATCH(561,'Transfer Engine'!$C$2:$C$1960,0)),"",INDEX('Compliance Database'!$M$2:$M$1960,MATCH(561,'Transfer Engine'!$C$2:$C$1960,0)))</f>
        <v/>
      </c>
      <c r="N570" s="9">
        <f>IF(ISNA(MATCH(561,'Transfer Engine'!$C$2:$C$1960,0)),"",INDEX('Compliance Database'!$N$2:$N$1960,MATCH(561,'Transfer Engine'!$C$2:$C$1960,0)))</f>
        <v/>
      </c>
      <c r="O570" s="9">
        <f>IF(ISNA(MATCH(561,'Transfer Engine'!$C$2:$C$1960,0)),"",INDEX('Compliance Database'!$O$2:$O$1960,MATCH(561,'Transfer Engine'!$C$2:$C$1960,0)))</f>
        <v/>
      </c>
      <c r="P570" s="8">
        <f>IF(ISNA(MATCH(561,'Transfer Engine'!$C$2:$C$1960,0)),"",HYPERLINK("#Acts!A"&amp;INDEX('Compliance Database'!$P$2:$P$1960,MATCH(561,'Transfer Engine'!$C$2:$C$1960,0)),"Go to Act"))</f>
        <v/>
      </c>
    </row>
    <row r="571" ht="158" customHeight="1">
      <c r="A571" s="8">
        <f>IF(ISNA(MATCH(562,'Transfer Engine'!$C$2:$C$1960,0)),"",INDEX('Compliance Database'!$A$2:$A$1960,MATCH(562,'Transfer Engine'!$C$2:$C$1960,0)))</f>
        <v/>
      </c>
      <c r="B571" s="8">
        <f>IF(ISNA(MATCH(562,'Transfer Engine'!$C$2:$C$1960,0)),"",INDEX('Compliance Database'!$B$2:$B$1960,MATCH(562,'Transfer Engine'!$C$2:$C$1960,0)))</f>
        <v/>
      </c>
      <c r="C571" s="8">
        <f>IF(ISNA(MATCH(562,'Transfer Engine'!$C$2:$C$1960,0)),"",INDEX('Compliance Database'!$C$2:$C$1960,MATCH(562,'Transfer Engine'!$C$2:$C$1960,0)))</f>
        <v/>
      </c>
      <c r="D571" s="9">
        <f>IF(ISNA(MATCH(562,'Transfer Engine'!$C$2:$C$1960,0)),"",INDEX('Compliance Database'!$D$2:$D$1960,MATCH(562,'Transfer Engine'!$C$2:$C$1960,0)))</f>
        <v/>
      </c>
      <c r="E571" s="8">
        <f>IF(ISNA(MATCH(562,'Transfer Engine'!$C$2:$C$1960,0)),"",INDEX('Compliance Database'!$E$2:$E$1960,MATCH(562,'Transfer Engine'!$C$2:$C$1960,0)))</f>
        <v/>
      </c>
      <c r="F571" s="8">
        <f>IF(ISNA(MATCH(562,'Transfer Engine'!$C$2:$C$1960,0)),"",INDEX('Compliance Database'!$F$2:$F$1960,MATCH(562,'Transfer Engine'!$C$2:$C$1960,0)))</f>
        <v/>
      </c>
      <c r="G571" s="8">
        <f>IF(ISNA(MATCH(562,'Transfer Engine'!$C$2:$C$1960,0)),"",INDEX('Compliance Database'!$G$2:$G$1960,MATCH(562,'Transfer Engine'!$C$2:$C$1960,0)))</f>
        <v/>
      </c>
      <c r="H571" s="9">
        <f>IF(ISNA(MATCH(562,'Transfer Engine'!$C$2:$C$1960,0)),"",INDEX('Compliance Database'!$H$2:$H$1960,MATCH(562,'Transfer Engine'!$C$2:$C$1960,0)))</f>
        <v/>
      </c>
      <c r="I571" s="9">
        <f>IF(ISNA(MATCH(562,'Transfer Engine'!$C$2:$C$1960,0)),"",INDEX('Compliance Database'!$I$2:$I$1960,MATCH(562,'Transfer Engine'!$C$2:$C$1960,0)))</f>
        <v/>
      </c>
      <c r="J571" s="8">
        <f>IF(ISNA(MATCH(562,'Transfer Engine'!$C$2:$C$1960,0)),"",INDEX('Compliance Database'!$J$2:$J$1960,MATCH(562,'Transfer Engine'!$C$2:$C$1960,0)))</f>
        <v/>
      </c>
      <c r="K571" s="9">
        <f>IF(ISNA(MATCH(562,'Transfer Engine'!$C$2:$C$1960,0)),"",INDEX('Compliance Database'!$K$2:$K$1960,MATCH(562,'Transfer Engine'!$C$2:$C$1960,0)))</f>
        <v/>
      </c>
      <c r="L571" s="9">
        <f>IF(ISNA(MATCH(562,'Transfer Engine'!$C$2:$C$1960,0)),"",INDEX('Compliance Database'!$L$2:$L$1960,MATCH(562,'Transfer Engine'!$C$2:$C$1960,0)))</f>
        <v/>
      </c>
      <c r="M571" s="9">
        <f>IF(ISNA(MATCH(562,'Transfer Engine'!$C$2:$C$1960,0)),"",INDEX('Compliance Database'!$M$2:$M$1960,MATCH(562,'Transfer Engine'!$C$2:$C$1960,0)))</f>
        <v/>
      </c>
      <c r="N571" s="9">
        <f>IF(ISNA(MATCH(562,'Transfer Engine'!$C$2:$C$1960,0)),"",INDEX('Compliance Database'!$N$2:$N$1960,MATCH(562,'Transfer Engine'!$C$2:$C$1960,0)))</f>
        <v/>
      </c>
      <c r="O571" s="9">
        <f>IF(ISNA(MATCH(562,'Transfer Engine'!$C$2:$C$1960,0)),"",INDEX('Compliance Database'!$O$2:$O$1960,MATCH(562,'Transfer Engine'!$C$2:$C$1960,0)))</f>
        <v/>
      </c>
      <c r="P571" s="8">
        <f>IF(ISNA(MATCH(562,'Transfer Engine'!$C$2:$C$1960,0)),"",HYPERLINK("#Acts!A"&amp;INDEX('Compliance Database'!$P$2:$P$1960,MATCH(562,'Transfer Engine'!$C$2:$C$1960,0)),"Go to Act"))</f>
        <v/>
      </c>
    </row>
    <row r="572" ht="158" customHeight="1">
      <c r="A572" s="8">
        <f>IF(ISNA(MATCH(563,'Transfer Engine'!$C$2:$C$1960,0)),"",INDEX('Compliance Database'!$A$2:$A$1960,MATCH(563,'Transfer Engine'!$C$2:$C$1960,0)))</f>
        <v/>
      </c>
      <c r="B572" s="8">
        <f>IF(ISNA(MATCH(563,'Transfer Engine'!$C$2:$C$1960,0)),"",INDEX('Compliance Database'!$B$2:$B$1960,MATCH(563,'Transfer Engine'!$C$2:$C$1960,0)))</f>
        <v/>
      </c>
      <c r="C572" s="8">
        <f>IF(ISNA(MATCH(563,'Transfer Engine'!$C$2:$C$1960,0)),"",INDEX('Compliance Database'!$C$2:$C$1960,MATCH(563,'Transfer Engine'!$C$2:$C$1960,0)))</f>
        <v/>
      </c>
      <c r="D572" s="9">
        <f>IF(ISNA(MATCH(563,'Transfer Engine'!$C$2:$C$1960,0)),"",INDEX('Compliance Database'!$D$2:$D$1960,MATCH(563,'Transfer Engine'!$C$2:$C$1960,0)))</f>
        <v/>
      </c>
      <c r="E572" s="8">
        <f>IF(ISNA(MATCH(563,'Transfer Engine'!$C$2:$C$1960,0)),"",INDEX('Compliance Database'!$E$2:$E$1960,MATCH(563,'Transfer Engine'!$C$2:$C$1960,0)))</f>
        <v/>
      </c>
      <c r="F572" s="8">
        <f>IF(ISNA(MATCH(563,'Transfer Engine'!$C$2:$C$1960,0)),"",INDEX('Compliance Database'!$F$2:$F$1960,MATCH(563,'Transfer Engine'!$C$2:$C$1960,0)))</f>
        <v/>
      </c>
      <c r="G572" s="8">
        <f>IF(ISNA(MATCH(563,'Transfer Engine'!$C$2:$C$1960,0)),"",INDEX('Compliance Database'!$G$2:$G$1960,MATCH(563,'Transfer Engine'!$C$2:$C$1960,0)))</f>
        <v/>
      </c>
      <c r="H572" s="9">
        <f>IF(ISNA(MATCH(563,'Transfer Engine'!$C$2:$C$1960,0)),"",INDEX('Compliance Database'!$H$2:$H$1960,MATCH(563,'Transfer Engine'!$C$2:$C$1960,0)))</f>
        <v/>
      </c>
      <c r="I572" s="9">
        <f>IF(ISNA(MATCH(563,'Transfer Engine'!$C$2:$C$1960,0)),"",INDEX('Compliance Database'!$I$2:$I$1960,MATCH(563,'Transfer Engine'!$C$2:$C$1960,0)))</f>
        <v/>
      </c>
      <c r="J572" s="8">
        <f>IF(ISNA(MATCH(563,'Transfer Engine'!$C$2:$C$1960,0)),"",INDEX('Compliance Database'!$J$2:$J$1960,MATCH(563,'Transfer Engine'!$C$2:$C$1960,0)))</f>
        <v/>
      </c>
      <c r="K572" s="9">
        <f>IF(ISNA(MATCH(563,'Transfer Engine'!$C$2:$C$1960,0)),"",INDEX('Compliance Database'!$K$2:$K$1960,MATCH(563,'Transfer Engine'!$C$2:$C$1960,0)))</f>
        <v/>
      </c>
      <c r="L572" s="9">
        <f>IF(ISNA(MATCH(563,'Transfer Engine'!$C$2:$C$1960,0)),"",INDEX('Compliance Database'!$L$2:$L$1960,MATCH(563,'Transfer Engine'!$C$2:$C$1960,0)))</f>
        <v/>
      </c>
      <c r="M572" s="9">
        <f>IF(ISNA(MATCH(563,'Transfer Engine'!$C$2:$C$1960,0)),"",INDEX('Compliance Database'!$M$2:$M$1960,MATCH(563,'Transfer Engine'!$C$2:$C$1960,0)))</f>
        <v/>
      </c>
      <c r="N572" s="9">
        <f>IF(ISNA(MATCH(563,'Transfer Engine'!$C$2:$C$1960,0)),"",INDEX('Compliance Database'!$N$2:$N$1960,MATCH(563,'Transfer Engine'!$C$2:$C$1960,0)))</f>
        <v/>
      </c>
      <c r="O572" s="9">
        <f>IF(ISNA(MATCH(563,'Transfer Engine'!$C$2:$C$1960,0)),"",INDEX('Compliance Database'!$O$2:$O$1960,MATCH(563,'Transfer Engine'!$C$2:$C$1960,0)))</f>
        <v/>
      </c>
      <c r="P572" s="8">
        <f>IF(ISNA(MATCH(563,'Transfer Engine'!$C$2:$C$1960,0)),"",HYPERLINK("#Acts!A"&amp;INDEX('Compliance Database'!$P$2:$P$1960,MATCH(563,'Transfer Engine'!$C$2:$C$1960,0)),"Go to Act"))</f>
        <v/>
      </c>
    </row>
    <row r="573" ht="158" customHeight="1">
      <c r="A573" s="8">
        <f>IF(ISNA(MATCH(564,'Transfer Engine'!$C$2:$C$1960,0)),"",INDEX('Compliance Database'!$A$2:$A$1960,MATCH(564,'Transfer Engine'!$C$2:$C$1960,0)))</f>
        <v/>
      </c>
      <c r="B573" s="8">
        <f>IF(ISNA(MATCH(564,'Transfer Engine'!$C$2:$C$1960,0)),"",INDEX('Compliance Database'!$B$2:$B$1960,MATCH(564,'Transfer Engine'!$C$2:$C$1960,0)))</f>
        <v/>
      </c>
      <c r="C573" s="8">
        <f>IF(ISNA(MATCH(564,'Transfer Engine'!$C$2:$C$1960,0)),"",INDEX('Compliance Database'!$C$2:$C$1960,MATCH(564,'Transfer Engine'!$C$2:$C$1960,0)))</f>
        <v/>
      </c>
      <c r="D573" s="9">
        <f>IF(ISNA(MATCH(564,'Transfer Engine'!$C$2:$C$1960,0)),"",INDEX('Compliance Database'!$D$2:$D$1960,MATCH(564,'Transfer Engine'!$C$2:$C$1960,0)))</f>
        <v/>
      </c>
      <c r="E573" s="8">
        <f>IF(ISNA(MATCH(564,'Transfer Engine'!$C$2:$C$1960,0)),"",INDEX('Compliance Database'!$E$2:$E$1960,MATCH(564,'Transfer Engine'!$C$2:$C$1960,0)))</f>
        <v/>
      </c>
      <c r="F573" s="8">
        <f>IF(ISNA(MATCH(564,'Transfer Engine'!$C$2:$C$1960,0)),"",INDEX('Compliance Database'!$F$2:$F$1960,MATCH(564,'Transfer Engine'!$C$2:$C$1960,0)))</f>
        <v/>
      </c>
      <c r="G573" s="8">
        <f>IF(ISNA(MATCH(564,'Transfer Engine'!$C$2:$C$1960,0)),"",INDEX('Compliance Database'!$G$2:$G$1960,MATCH(564,'Transfer Engine'!$C$2:$C$1960,0)))</f>
        <v/>
      </c>
      <c r="H573" s="9">
        <f>IF(ISNA(MATCH(564,'Transfer Engine'!$C$2:$C$1960,0)),"",INDEX('Compliance Database'!$H$2:$H$1960,MATCH(564,'Transfer Engine'!$C$2:$C$1960,0)))</f>
        <v/>
      </c>
      <c r="I573" s="9">
        <f>IF(ISNA(MATCH(564,'Transfer Engine'!$C$2:$C$1960,0)),"",INDEX('Compliance Database'!$I$2:$I$1960,MATCH(564,'Transfer Engine'!$C$2:$C$1960,0)))</f>
        <v/>
      </c>
      <c r="J573" s="8">
        <f>IF(ISNA(MATCH(564,'Transfer Engine'!$C$2:$C$1960,0)),"",INDEX('Compliance Database'!$J$2:$J$1960,MATCH(564,'Transfer Engine'!$C$2:$C$1960,0)))</f>
        <v/>
      </c>
      <c r="K573" s="9">
        <f>IF(ISNA(MATCH(564,'Transfer Engine'!$C$2:$C$1960,0)),"",INDEX('Compliance Database'!$K$2:$K$1960,MATCH(564,'Transfer Engine'!$C$2:$C$1960,0)))</f>
        <v/>
      </c>
      <c r="L573" s="9">
        <f>IF(ISNA(MATCH(564,'Transfer Engine'!$C$2:$C$1960,0)),"",INDEX('Compliance Database'!$L$2:$L$1960,MATCH(564,'Transfer Engine'!$C$2:$C$1960,0)))</f>
        <v/>
      </c>
      <c r="M573" s="9">
        <f>IF(ISNA(MATCH(564,'Transfer Engine'!$C$2:$C$1960,0)),"",INDEX('Compliance Database'!$M$2:$M$1960,MATCH(564,'Transfer Engine'!$C$2:$C$1960,0)))</f>
        <v/>
      </c>
      <c r="N573" s="9">
        <f>IF(ISNA(MATCH(564,'Transfer Engine'!$C$2:$C$1960,0)),"",INDEX('Compliance Database'!$N$2:$N$1960,MATCH(564,'Transfer Engine'!$C$2:$C$1960,0)))</f>
        <v/>
      </c>
      <c r="O573" s="9">
        <f>IF(ISNA(MATCH(564,'Transfer Engine'!$C$2:$C$1960,0)),"",INDEX('Compliance Database'!$O$2:$O$1960,MATCH(564,'Transfer Engine'!$C$2:$C$1960,0)))</f>
        <v/>
      </c>
      <c r="P573" s="8">
        <f>IF(ISNA(MATCH(564,'Transfer Engine'!$C$2:$C$1960,0)),"",HYPERLINK("#Acts!A"&amp;INDEX('Compliance Database'!$P$2:$P$1960,MATCH(564,'Transfer Engine'!$C$2:$C$1960,0)),"Go to Act"))</f>
        <v/>
      </c>
    </row>
    <row r="574" ht="158" customHeight="1">
      <c r="A574" s="8">
        <f>IF(ISNA(MATCH(565,'Transfer Engine'!$C$2:$C$1960,0)),"",INDEX('Compliance Database'!$A$2:$A$1960,MATCH(565,'Transfer Engine'!$C$2:$C$1960,0)))</f>
        <v/>
      </c>
      <c r="B574" s="8">
        <f>IF(ISNA(MATCH(565,'Transfer Engine'!$C$2:$C$1960,0)),"",INDEX('Compliance Database'!$B$2:$B$1960,MATCH(565,'Transfer Engine'!$C$2:$C$1960,0)))</f>
        <v/>
      </c>
      <c r="C574" s="8">
        <f>IF(ISNA(MATCH(565,'Transfer Engine'!$C$2:$C$1960,0)),"",INDEX('Compliance Database'!$C$2:$C$1960,MATCH(565,'Transfer Engine'!$C$2:$C$1960,0)))</f>
        <v/>
      </c>
      <c r="D574" s="9">
        <f>IF(ISNA(MATCH(565,'Transfer Engine'!$C$2:$C$1960,0)),"",INDEX('Compliance Database'!$D$2:$D$1960,MATCH(565,'Transfer Engine'!$C$2:$C$1960,0)))</f>
        <v/>
      </c>
      <c r="E574" s="8">
        <f>IF(ISNA(MATCH(565,'Transfer Engine'!$C$2:$C$1960,0)),"",INDEX('Compliance Database'!$E$2:$E$1960,MATCH(565,'Transfer Engine'!$C$2:$C$1960,0)))</f>
        <v/>
      </c>
      <c r="F574" s="8">
        <f>IF(ISNA(MATCH(565,'Transfer Engine'!$C$2:$C$1960,0)),"",INDEX('Compliance Database'!$F$2:$F$1960,MATCH(565,'Transfer Engine'!$C$2:$C$1960,0)))</f>
        <v/>
      </c>
      <c r="G574" s="8">
        <f>IF(ISNA(MATCH(565,'Transfer Engine'!$C$2:$C$1960,0)),"",INDEX('Compliance Database'!$G$2:$G$1960,MATCH(565,'Transfer Engine'!$C$2:$C$1960,0)))</f>
        <v/>
      </c>
      <c r="H574" s="9">
        <f>IF(ISNA(MATCH(565,'Transfer Engine'!$C$2:$C$1960,0)),"",INDEX('Compliance Database'!$H$2:$H$1960,MATCH(565,'Transfer Engine'!$C$2:$C$1960,0)))</f>
        <v/>
      </c>
      <c r="I574" s="9">
        <f>IF(ISNA(MATCH(565,'Transfer Engine'!$C$2:$C$1960,0)),"",INDEX('Compliance Database'!$I$2:$I$1960,MATCH(565,'Transfer Engine'!$C$2:$C$1960,0)))</f>
        <v/>
      </c>
      <c r="J574" s="8">
        <f>IF(ISNA(MATCH(565,'Transfer Engine'!$C$2:$C$1960,0)),"",INDEX('Compliance Database'!$J$2:$J$1960,MATCH(565,'Transfer Engine'!$C$2:$C$1960,0)))</f>
        <v/>
      </c>
      <c r="K574" s="9">
        <f>IF(ISNA(MATCH(565,'Transfer Engine'!$C$2:$C$1960,0)),"",INDEX('Compliance Database'!$K$2:$K$1960,MATCH(565,'Transfer Engine'!$C$2:$C$1960,0)))</f>
        <v/>
      </c>
      <c r="L574" s="9">
        <f>IF(ISNA(MATCH(565,'Transfer Engine'!$C$2:$C$1960,0)),"",INDEX('Compliance Database'!$L$2:$L$1960,MATCH(565,'Transfer Engine'!$C$2:$C$1960,0)))</f>
        <v/>
      </c>
      <c r="M574" s="9">
        <f>IF(ISNA(MATCH(565,'Transfer Engine'!$C$2:$C$1960,0)),"",INDEX('Compliance Database'!$M$2:$M$1960,MATCH(565,'Transfer Engine'!$C$2:$C$1960,0)))</f>
        <v/>
      </c>
      <c r="N574" s="9">
        <f>IF(ISNA(MATCH(565,'Transfer Engine'!$C$2:$C$1960,0)),"",INDEX('Compliance Database'!$N$2:$N$1960,MATCH(565,'Transfer Engine'!$C$2:$C$1960,0)))</f>
        <v/>
      </c>
      <c r="O574" s="9">
        <f>IF(ISNA(MATCH(565,'Transfer Engine'!$C$2:$C$1960,0)),"",INDEX('Compliance Database'!$O$2:$O$1960,MATCH(565,'Transfer Engine'!$C$2:$C$1960,0)))</f>
        <v/>
      </c>
      <c r="P574" s="8">
        <f>IF(ISNA(MATCH(565,'Transfer Engine'!$C$2:$C$1960,0)),"",HYPERLINK("#Acts!A"&amp;INDEX('Compliance Database'!$P$2:$P$1960,MATCH(565,'Transfer Engine'!$C$2:$C$1960,0)),"Go to Act"))</f>
        <v/>
      </c>
    </row>
    <row r="575" ht="158" customHeight="1">
      <c r="A575" s="8">
        <f>IF(ISNA(MATCH(566,'Transfer Engine'!$C$2:$C$1960,0)),"",INDEX('Compliance Database'!$A$2:$A$1960,MATCH(566,'Transfer Engine'!$C$2:$C$1960,0)))</f>
        <v/>
      </c>
      <c r="B575" s="8">
        <f>IF(ISNA(MATCH(566,'Transfer Engine'!$C$2:$C$1960,0)),"",INDEX('Compliance Database'!$B$2:$B$1960,MATCH(566,'Transfer Engine'!$C$2:$C$1960,0)))</f>
        <v/>
      </c>
      <c r="C575" s="8">
        <f>IF(ISNA(MATCH(566,'Transfer Engine'!$C$2:$C$1960,0)),"",INDEX('Compliance Database'!$C$2:$C$1960,MATCH(566,'Transfer Engine'!$C$2:$C$1960,0)))</f>
        <v/>
      </c>
      <c r="D575" s="9">
        <f>IF(ISNA(MATCH(566,'Transfer Engine'!$C$2:$C$1960,0)),"",INDEX('Compliance Database'!$D$2:$D$1960,MATCH(566,'Transfer Engine'!$C$2:$C$1960,0)))</f>
        <v/>
      </c>
      <c r="E575" s="8">
        <f>IF(ISNA(MATCH(566,'Transfer Engine'!$C$2:$C$1960,0)),"",INDEX('Compliance Database'!$E$2:$E$1960,MATCH(566,'Transfer Engine'!$C$2:$C$1960,0)))</f>
        <v/>
      </c>
      <c r="F575" s="8">
        <f>IF(ISNA(MATCH(566,'Transfer Engine'!$C$2:$C$1960,0)),"",INDEX('Compliance Database'!$F$2:$F$1960,MATCH(566,'Transfer Engine'!$C$2:$C$1960,0)))</f>
        <v/>
      </c>
      <c r="G575" s="8">
        <f>IF(ISNA(MATCH(566,'Transfer Engine'!$C$2:$C$1960,0)),"",INDEX('Compliance Database'!$G$2:$G$1960,MATCH(566,'Transfer Engine'!$C$2:$C$1960,0)))</f>
        <v/>
      </c>
      <c r="H575" s="9">
        <f>IF(ISNA(MATCH(566,'Transfer Engine'!$C$2:$C$1960,0)),"",INDEX('Compliance Database'!$H$2:$H$1960,MATCH(566,'Transfer Engine'!$C$2:$C$1960,0)))</f>
        <v/>
      </c>
      <c r="I575" s="9">
        <f>IF(ISNA(MATCH(566,'Transfer Engine'!$C$2:$C$1960,0)),"",INDEX('Compliance Database'!$I$2:$I$1960,MATCH(566,'Transfer Engine'!$C$2:$C$1960,0)))</f>
        <v/>
      </c>
      <c r="J575" s="8">
        <f>IF(ISNA(MATCH(566,'Transfer Engine'!$C$2:$C$1960,0)),"",INDEX('Compliance Database'!$J$2:$J$1960,MATCH(566,'Transfer Engine'!$C$2:$C$1960,0)))</f>
        <v/>
      </c>
      <c r="K575" s="9">
        <f>IF(ISNA(MATCH(566,'Transfer Engine'!$C$2:$C$1960,0)),"",INDEX('Compliance Database'!$K$2:$K$1960,MATCH(566,'Transfer Engine'!$C$2:$C$1960,0)))</f>
        <v/>
      </c>
      <c r="L575" s="9">
        <f>IF(ISNA(MATCH(566,'Transfer Engine'!$C$2:$C$1960,0)),"",INDEX('Compliance Database'!$L$2:$L$1960,MATCH(566,'Transfer Engine'!$C$2:$C$1960,0)))</f>
        <v/>
      </c>
      <c r="M575" s="9">
        <f>IF(ISNA(MATCH(566,'Transfer Engine'!$C$2:$C$1960,0)),"",INDEX('Compliance Database'!$M$2:$M$1960,MATCH(566,'Transfer Engine'!$C$2:$C$1960,0)))</f>
        <v/>
      </c>
      <c r="N575" s="9">
        <f>IF(ISNA(MATCH(566,'Transfer Engine'!$C$2:$C$1960,0)),"",INDEX('Compliance Database'!$N$2:$N$1960,MATCH(566,'Transfer Engine'!$C$2:$C$1960,0)))</f>
        <v/>
      </c>
      <c r="O575" s="9">
        <f>IF(ISNA(MATCH(566,'Transfer Engine'!$C$2:$C$1960,0)),"",INDEX('Compliance Database'!$O$2:$O$1960,MATCH(566,'Transfer Engine'!$C$2:$C$1960,0)))</f>
        <v/>
      </c>
      <c r="P575" s="8">
        <f>IF(ISNA(MATCH(566,'Transfer Engine'!$C$2:$C$1960,0)),"",HYPERLINK("#Acts!A"&amp;INDEX('Compliance Database'!$P$2:$P$1960,MATCH(566,'Transfer Engine'!$C$2:$C$1960,0)),"Go to Act"))</f>
        <v/>
      </c>
    </row>
    <row r="576" ht="158" customHeight="1">
      <c r="A576" s="8">
        <f>IF(ISNA(MATCH(567,'Transfer Engine'!$C$2:$C$1960,0)),"",INDEX('Compliance Database'!$A$2:$A$1960,MATCH(567,'Transfer Engine'!$C$2:$C$1960,0)))</f>
        <v/>
      </c>
      <c r="B576" s="8">
        <f>IF(ISNA(MATCH(567,'Transfer Engine'!$C$2:$C$1960,0)),"",INDEX('Compliance Database'!$B$2:$B$1960,MATCH(567,'Transfer Engine'!$C$2:$C$1960,0)))</f>
        <v/>
      </c>
      <c r="C576" s="8">
        <f>IF(ISNA(MATCH(567,'Transfer Engine'!$C$2:$C$1960,0)),"",INDEX('Compliance Database'!$C$2:$C$1960,MATCH(567,'Transfer Engine'!$C$2:$C$1960,0)))</f>
        <v/>
      </c>
      <c r="D576" s="9">
        <f>IF(ISNA(MATCH(567,'Transfer Engine'!$C$2:$C$1960,0)),"",INDEX('Compliance Database'!$D$2:$D$1960,MATCH(567,'Transfer Engine'!$C$2:$C$1960,0)))</f>
        <v/>
      </c>
      <c r="E576" s="8">
        <f>IF(ISNA(MATCH(567,'Transfer Engine'!$C$2:$C$1960,0)),"",INDEX('Compliance Database'!$E$2:$E$1960,MATCH(567,'Transfer Engine'!$C$2:$C$1960,0)))</f>
        <v/>
      </c>
      <c r="F576" s="8">
        <f>IF(ISNA(MATCH(567,'Transfer Engine'!$C$2:$C$1960,0)),"",INDEX('Compliance Database'!$F$2:$F$1960,MATCH(567,'Transfer Engine'!$C$2:$C$1960,0)))</f>
        <v/>
      </c>
      <c r="G576" s="8">
        <f>IF(ISNA(MATCH(567,'Transfer Engine'!$C$2:$C$1960,0)),"",INDEX('Compliance Database'!$G$2:$G$1960,MATCH(567,'Transfer Engine'!$C$2:$C$1960,0)))</f>
        <v/>
      </c>
      <c r="H576" s="9">
        <f>IF(ISNA(MATCH(567,'Transfer Engine'!$C$2:$C$1960,0)),"",INDEX('Compliance Database'!$H$2:$H$1960,MATCH(567,'Transfer Engine'!$C$2:$C$1960,0)))</f>
        <v/>
      </c>
      <c r="I576" s="9">
        <f>IF(ISNA(MATCH(567,'Transfer Engine'!$C$2:$C$1960,0)),"",INDEX('Compliance Database'!$I$2:$I$1960,MATCH(567,'Transfer Engine'!$C$2:$C$1960,0)))</f>
        <v/>
      </c>
      <c r="J576" s="8">
        <f>IF(ISNA(MATCH(567,'Transfer Engine'!$C$2:$C$1960,0)),"",INDEX('Compliance Database'!$J$2:$J$1960,MATCH(567,'Transfer Engine'!$C$2:$C$1960,0)))</f>
        <v/>
      </c>
      <c r="K576" s="9">
        <f>IF(ISNA(MATCH(567,'Transfer Engine'!$C$2:$C$1960,0)),"",INDEX('Compliance Database'!$K$2:$K$1960,MATCH(567,'Transfer Engine'!$C$2:$C$1960,0)))</f>
        <v/>
      </c>
      <c r="L576" s="9">
        <f>IF(ISNA(MATCH(567,'Transfer Engine'!$C$2:$C$1960,0)),"",INDEX('Compliance Database'!$L$2:$L$1960,MATCH(567,'Transfer Engine'!$C$2:$C$1960,0)))</f>
        <v/>
      </c>
      <c r="M576" s="9">
        <f>IF(ISNA(MATCH(567,'Transfer Engine'!$C$2:$C$1960,0)),"",INDEX('Compliance Database'!$M$2:$M$1960,MATCH(567,'Transfer Engine'!$C$2:$C$1960,0)))</f>
        <v/>
      </c>
      <c r="N576" s="9">
        <f>IF(ISNA(MATCH(567,'Transfer Engine'!$C$2:$C$1960,0)),"",INDEX('Compliance Database'!$N$2:$N$1960,MATCH(567,'Transfer Engine'!$C$2:$C$1960,0)))</f>
        <v/>
      </c>
      <c r="O576" s="9">
        <f>IF(ISNA(MATCH(567,'Transfer Engine'!$C$2:$C$1960,0)),"",INDEX('Compliance Database'!$O$2:$O$1960,MATCH(567,'Transfer Engine'!$C$2:$C$1960,0)))</f>
        <v/>
      </c>
      <c r="P576" s="8">
        <f>IF(ISNA(MATCH(567,'Transfer Engine'!$C$2:$C$1960,0)),"",HYPERLINK("#Acts!A"&amp;INDEX('Compliance Database'!$P$2:$P$1960,MATCH(567,'Transfer Engine'!$C$2:$C$1960,0)),"Go to Act"))</f>
        <v/>
      </c>
    </row>
    <row r="577" ht="158" customHeight="1">
      <c r="A577" s="8">
        <f>IF(ISNA(MATCH(568,'Transfer Engine'!$C$2:$C$1960,0)),"",INDEX('Compliance Database'!$A$2:$A$1960,MATCH(568,'Transfer Engine'!$C$2:$C$1960,0)))</f>
        <v/>
      </c>
      <c r="B577" s="8">
        <f>IF(ISNA(MATCH(568,'Transfer Engine'!$C$2:$C$1960,0)),"",INDEX('Compliance Database'!$B$2:$B$1960,MATCH(568,'Transfer Engine'!$C$2:$C$1960,0)))</f>
        <v/>
      </c>
      <c r="C577" s="8">
        <f>IF(ISNA(MATCH(568,'Transfer Engine'!$C$2:$C$1960,0)),"",INDEX('Compliance Database'!$C$2:$C$1960,MATCH(568,'Transfer Engine'!$C$2:$C$1960,0)))</f>
        <v/>
      </c>
      <c r="D577" s="9">
        <f>IF(ISNA(MATCH(568,'Transfer Engine'!$C$2:$C$1960,0)),"",INDEX('Compliance Database'!$D$2:$D$1960,MATCH(568,'Transfer Engine'!$C$2:$C$1960,0)))</f>
        <v/>
      </c>
      <c r="E577" s="8">
        <f>IF(ISNA(MATCH(568,'Transfer Engine'!$C$2:$C$1960,0)),"",INDEX('Compliance Database'!$E$2:$E$1960,MATCH(568,'Transfer Engine'!$C$2:$C$1960,0)))</f>
        <v/>
      </c>
      <c r="F577" s="8">
        <f>IF(ISNA(MATCH(568,'Transfer Engine'!$C$2:$C$1960,0)),"",INDEX('Compliance Database'!$F$2:$F$1960,MATCH(568,'Transfer Engine'!$C$2:$C$1960,0)))</f>
        <v/>
      </c>
      <c r="G577" s="8">
        <f>IF(ISNA(MATCH(568,'Transfer Engine'!$C$2:$C$1960,0)),"",INDEX('Compliance Database'!$G$2:$G$1960,MATCH(568,'Transfer Engine'!$C$2:$C$1960,0)))</f>
        <v/>
      </c>
      <c r="H577" s="9">
        <f>IF(ISNA(MATCH(568,'Transfer Engine'!$C$2:$C$1960,0)),"",INDEX('Compliance Database'!$H$2:$H$1960,MATCH(568,'Transfer Engine'!$C$2:$C$1960,0)))</f>
        <v/>
      </c>
      <c r="I577" s="9">
        <f>IF(ISNA(MATCH(568,'Transfer Engine'!$C$2:$C$1960,0)),"",INDEX('Compliance Database'!$I$2:$I$1960,MATCH(568,'Transfer Engine'!$C$2:$C$1960,0)))</f>
        <v/>
      </c>
      <c r="J577" s="8">
        <f>IF(ISNA(MATCH(568,'Transfer Engine'!$C$2:$C$1960,0)),"",INDEX('Compliance Database'!$J$2:$J$1960,MATCH(568,'Transfer Engine'!$C$2:$C$1960,0)))</f>
        <v/>
      </c>
      <c r="K577" s="9">
        <f>IF(ISNA(MATCH(568,'Transfer Engine'!$C$2:$C$1960,0)),"",INDEX('Compliance Database'!$K$2:$K$1960,MATCH(568,'Transfer Engine'!$C$2:$C$1960,0)))</f>
        <v/>
      </c>
      <c r="L577" s="9">
        <f>IF(ISNA(MATCH(568,'Transfer Engine'!$C$2:$C$1960,0)),"",INDEX('Compliance Database'!$L$2:$L$1960,MATCH(568,'Transfer Engine'!$C$2:$C$1960,0)))</f>
        <v/>
      </c>
      <c r="M577" s="9">
        <f>IF(ISNA(MATCH(568,'Transfer Engine'!$C$2:$C$1960,0)),"",INDEX('Compliance Database'!$M$2:$M$1960,MATCH(568,'Transfer Engine'!$C$2:$C$1960,0)))</f>
        <v/>
      </c>
      <c r="N577" s="9">
        <f>IF(ISNA(MATCH(568,'Transfer Engine'!$C$2:$C$1960,0)),"",INDEX('Compliance Database'!$N$2:$N$1960,MATCH(568,'Transfer Engine'!$C$2:$C$1960,0)))</f>
        <v/>
      </c>
      <c r="O577" s="9">
        <f>IF(ISNA(MATCH(568,'Transfer Engine'!$C$2:$C$1960,0)),"",INDEX('Compliance Database'!$O$2:$O$1960,MATCH(568,'Transfer Engine'!$C$2:$C$1960,0)))</f>
        <v/>
      </c>
      <c r="P577" s="8">
        <f>IF(ISNA(MATCH(568,'Transfer Engine'!$C$2:$C$1960,0)),"",HYPERLINK("#Acts!A"&amp;INDEX('Compliance Database'!$P$2:$P$1960,MATCH(568,'Transfer Engine'!$C$2:$C$1960,0)),"Go to Act"))</f>
        <v/>
      </c>
    </row>
    <row r="578" ht="158" customHeight="1">
      <c r="A578" s="8">
        <f>IF(ISNA(MATCH(569,'Transfer Engine'!$C$2:$C$1960,0)),"",INDEX('Compliance Database'!$A$2:$A$1960,MATCH(569,'Transfer Engine'!$C$2:$C$1960,0)))</f>
        <v/>
      </c>
      <c r="B578" s="8">
        <f>IF(ISNA(MATCH(569,'Transfer Engine'!$C$2:$C$1960,0)),"",INDEX('Compliance Database'!$B$2:$B$1960,MATCH(569,'Transfer Engine'!$C$2:$C$1960,0)))</f>
        <v/>
      </c>
      <c r="C578" s="8">
        <f>IF(ISNA(MATCH(569,'Transfer Engine'!$C$2:$C$1960,0)),"",INDEX('Compliance Database'!$C$2:$C$1960,MATCH(569,'Transfer Engine'!$C$2:$C$1960,0)))</f>
        <v/>
      </c>
      <c r="D578" s="9">
        <f>IF(ISNA(MATCH(569,'Transfer Engine'!$C$2:$C$1960,0)),"",INDEX('Compliance Database'!$D$2:$D$1960,MATCH(569,'Transfer Engine'!$C$2:$C$1960,0)))</f>
        <v/>
      </c>
      <c r="E578" s="8">
        <f>IF(ISNA(MATCH(569,'Transfer Engine'!$C$2:$C$1960,0)),"",INDEX('Compliance Database'!$E$2:$E$1960,MATCH(569,'Transfer Engine'!$C$2:$C$1960,0)))</f>
        <v/>
      </c>
      <c r="F578" s="8">
        <f>IF(ISNA(MATCH(569,'Transfer Engine'!$C$2:$C$1960,0)),"",INDEX('Compliance Database'!$F$2:$F$1960,MATCH(569,'Transfer Engine'!$C$2:$C$1960,0)))</f>
        <v/>
      </c>
      <c r="G578" s="8">
        <f>IF(ISNA(MATCH(569,'Transfer Engine'!$C$2:$C$1960,0)),"",INDEX('Compliance Database'!$G$2:$G$1960,MATCH(569,'Transfer Engine'!$C$2:$C$1960,0)))</f>
        <v/>
      </c>
      <c r="H578" s="9">
        <f>IF(ISNA(MATCH(569,'Transfer Engine'!$C$2:$C$1960,0)),"",INDEX('Compliance Database'!$H$2:$H$1960,MATCH(569,'Transfer Engine'!$C$2:$C$1960,0)))</f>
        <v/>
      </c>
      <c r="I578" s="9">
        <f>IF(ISNA(MATCH(569,'Transfer Engine'!$C$2:$C$1960,0)),"",INDEX('Compliance Database'!$I$2:$I$1960,MATCH(569,'Transfer Engine'!$C$2:$C$1960,0)))</f>
        <v/>
      </c>
      <c r="J578" s="8">
        <f>IF(ISNA(MATCH(569,'Transfer Engine'!$C$2:$C$1960,0)),"",INDEX('Compliance Database'!$J$2:$J$1960,MATCH(569,'Transfer Engine'!$C$2:$C$1960,0)))</f>
        <v/>
      </c>
      <c r="K578" s="9">
        <f>IF(ISNA(MATCH(569,'Transfer Engine'!$C$2:$C$1960,0)),"",INDEX('Compliance Database'!$K$2:$K$1960,MATCH(569,'Transfer Engine'!$C$2:$C$1960,0)))</f>
        <v/>
      </c>
      <c r="L578" s="9">
        <f>IF(ISNA(MATCH(569,'Transfer Engine'!$C$2:$C$1960,0)),"",INDEX('Compliance Database'!$L$2:$L$1960,MATCH(569,'Transfer Engine'!$C$2:$C$1960,0)))</f>
        <v/>
      </c>
      <c r="M578" s="9">
        <f>IF(ISNA(MATCH(569,'Transfer Engine'!$C$2:$C$1960,0)),"",INDEX('Compliance Database'!$M$2:$M$1960,MATCH(569,'Transfer Engine'!$C$2:$C$1960,0)))</f>
        <v/>
      </c>
      <c r="N578" s="9">
        <f>IF(ISNA(MATCH(569,'Transfer Engine'!$C$2:$C$1960,0)),"",INDEX('Compliance Database'!$N$2:$N$1960,MATCH(569,'Transfer Engine'!$C$2:$C$1960,0)))</f>
        <v/>
      </c>
      <c r="O578" s="9">
        <f>IF(ISNA(MATCH(569,'Transfer Engine'!$C$2:$C$1960,0)),"",INDEX('Compliance Database'!$O$2:$O$1960,MATCH(569,'Transfer Engine'!$C$2:$C$1960,0)))</f>
        <v/>
      </c>
      <c r="P578" s="8">
        <f>IF(ISNA(MATCH(569,'Transfer Engine'!$C$2:$C$1960,0)),"",HYPERLINK("#Acts!A"&amp;INDEX('Compliance Database'!$P$2:$P$1960,MATCH(569,'Transfer Engine'!$C$2:$C$1960,0)),"Go to Act"))</f>
        <v/>
      </c>
    </row>
    <row r="579" ht="158" customHeight="1">
      <c r="A579" s="8">
        <f>IF(ISNA(MATCH(570,'Transfer Engine'!$C$2:$C$1960,0)),"",INDEX('Compliance Database'!$A$2:$A$1960,MATCH(570,'Transfer Engine'!$C$2:$C$1960,0)))</f>
        <v/>
      </c>
      <c r="B579" s="8">
        <f>IF(ISNA(MATCH(570,'Transfer Engine'!$C$2:$C$1960,0)),"",INDEX('Compliance Database'!$B$2:$B$1960,MATCH(570,'Transfer Engine'!$C$2:$C$1960,0)))</f>
        <v/>
      </c>
      <c r="C579" s="8">
        <f>IF(ISNA(MATCH(570,'Transfer Engine'!$C$2:$C$1960,0)),"",INDEX('Compliance Database'!$C$2:$C$1960,MATCH(570,'Transfer Engine'!$C$2:$C$1960,0)))</f>
        <v/>
      </c>
      <c r="D579" s="9">
        <f>IF(ISNA(MATCH(570,'Transfer Engine'!$C$2:$C$1960,0)),"",INDEX('Compliance Database'!$D$2:$D$1960,MATCH(570,'Transfer Engine'!$C$2:$C$1960,0)))</f>
        <v/>
      </c>
      <c r="E579" s="8">
        <f>IF(ISNA(MATCH(570,'Transfer Engine'!$C$2:$C$1960,0)),"",INDEX('Compliance Database'!$E$2:$E$1960,MATCH(570,'Transfer Engine'!$C$2:$C$1960,0)))</f>
        <v/>
      </c>
      <c r="F579" s="8">
        <f>IF(ISNA(MATCH(570,'Transfer Engine'!$C$2:$C$1960,0)),"",INDEX('Compliance Database'!$F$2:$F$1960,MATCH(570,'Transfer Engine'!$C$2:$C$1960,0)))</f>
        <v/>
      </c>
      <c r="G579" s="8">
        <f>IF(ISNA(MATCH(570,'Transfer Engine'!$C$2:$C$1960,0)),"",INDEX('Compliance Database'!$G$2:$G$1960,MATCH(570,'Transfer Engine'!$C$2:$C$1960,0)))</f>
        <v/>
      </c>
      <c r="H579" s="9">
        <f>IF(ISNA(MATCH(570,'Transfer Engine'!$C$2:$C$1960,0)),"",INDEX('Compliance Database'!$H$2:$H$1960,MATCH(570,'Transfer Engine'!$C$2:$C$1960,0)))</f>
        <v/>
      </c>
      <c r="I579" s="9">
        <f>IF(ISNA(MATCH(570,'Transfer Engine'!$C$2:$C$1960,0)),"",INDEX('Compliance Database'!$I$2:$I$1960,MATCH(570,'Transfer Engine'!$C$2:$C$1960,0)))</f>
        <v/>
      </c>
      <c r="J579" s="8">
        <f>IF(ISNA(MATCH(570,'Transfer Engine'!$C$2:$C$1960,0)),"",INDEX('Compliance Database'!$J$2:$J$1960,MATCH(570,'Transfer Engine'!$C$2:$C$1960,0)))</f>
        <v/>
      </c>
      <c r="K579" s="9">
        <f>IF(ISNA(MATCH(570,'Transfer Engine'!$C$2:$C$1960,0)),"",INDEX('Compliance Database'!$K$2:$K$1960,MATCH(570,'Transfer Engine'!$C$2:$C$1960,0)))</f>
        <v/>
      </c>
      <c r="L579" s="9">
        <f>IF(ISNA(MATCH(570,'Transfer Engine'!$C$2:$C$1960,0)),"",INDEX('Compliance Database'!$L$2:$L$1960,MATCH(570,'Transfer Engine'!$C$2:$C$1960,0)))</f>
        <v/>
      </c>
      <c r="M579" s="9">
        <f>IF(ISNA(MATCH(570,'Transfer Engine'!$C$2:$C$1960,0)),"",INDEX('Compliance Database'!$M$2:$M$1960,MATCH(570,'Transfer Engine'!$C$2:$C$1960,0)))</f>
        <v/>
      </c>
      <c r="N579" s="9">
        <f>IF(ISNA(MATCH(570,'Transfer Engine'!$C$2:$C$1960,0)),"",INDEX('Compliance Database'!$N$2:$N$1960,MATCH(570,'Transfer Engine'!$C$2:$C$1960,0)))</f>
        <v/>
      </c>
      <c r="O579" s="9">
        <f>IF(ISNA(MATCH(570,'Transfer Engine'!$C$2:$C$1960,0)),"",INDEX('Compliance Database'!$O$2:$O$1960,MATCH(570,'Transfer Engine'!$C$2:$C$1960,0)))</f>
        <v/>
      </c>
      <c r="P579" s="8">
        <f>IF(ISNA(MATCH(570,'Transfer Engine'!$C$2:$C$1960,0)),"",HYPERLINK("#Acts!A"&amp;INDEX('Compliance Database'!$P$2:$P$1960,MATCH(570,'Transfer Engine'!$C$2:$C$1960,0)),"Go to Act"))</f>
        <v/>
      </c>
    </row>
    <row r="580" ht="158" customHeight="1">
      <c r="A580" s="8">
        <f>IF(ISNA(MATCH(571,'Transfer Engine'!$C$2:$C$1960,0)),"",INDEX('Compliance Database'!$A$2:$A$1960,MATCH(571,'Transfer Engine'!$C$2:$C$1960,0)))</f>
        <v/>
      </c>
      <c r="B580" s="8">
        <f>IF(ISNA(MATCH(571,'Transfer Engine'!$C$2:$C$1960,0)),"",INDEX('Compliance Database'!$B$2:$B$1960,MATCH(571,'Transfer Engine'!$C$2:$C$1960,0)))</f>
        <v/>
      </c>
      <c r="C580" s="8">
        <f>IF(ISNA(MATCH(571,'Transfer Engine'!$C$2:$C$1960,0)),"",INDEX('Compliance Database'!$C$2:$C$1960,MATCH(571,'Transfer Engine'!$C$2:$C$1960,0)))</f>
        <v/>
      </c>
      <c r="D580" s="9">
        <f>IF(ISNA(MATCH(571,'Transfer Engine'!$C$2:$C$1960,0)),"",INDEX('Compliance Database'!$D$2:$D$1960,MATCH(571,'Transfer Engine'!$C$2:$C$1960,0)))</f>
        <v/>
      </c>
      <c r="E580" s="8">
        <f>IF(ISNA(MATCH(571,'Transfer Engine'!$C$2:$C$1960,0)),"",INDEX('Compliance Database'!$E$2:$E$1960,MATCH(571,'Transfer Engine'!$C$2:$C$1960,0)))</f>
        <v/>
      </c>
      <c r="F580" s="8">
        <f>IF(ISNA(MATCH(571,'Transfer Engine'!$C$2:$C$1960,0)),"",INDEX('Compliance Database'!$F$2:$F$1960,MATCH(571,'Transfer Engine'!$C$2:$C$1960,0)))</f>
        <v/>
      </c>
      <c r="G580" s="8">
        <f>IF(ISNA(MATCH(571,'Transfer Engine'!$C$2:$C$1960,0)),"",INDEX('Compliance Database'!$G$2:$G$1960,MATCH(571,'Transfer Engine'!$C$2:$C$1960,0)))</f>
        <v/>
      </c>
      <c r="H580" s="9">
        <f>IF(ISNA(MATCH(571,'Transfer Engine'!$C$2:$C$1960,0)),"",INDEX('Compliance Database'!$H$2:$H$1960,MATCH(571,'Transfer Engine'!$C$2:$C$1960,0)))</f>
        <v/>
      </c>
      <c r="I580" s="9">
        <f>IF(ISNA(MATCH(571,'Transfer Engine'!$C$2:$C$1960,0)),"",INDEX('Compliance Database'!$I$2:$I$1960,MATCH(571,'Transfer Engine'!$C$2:$C$1960,0)))</f>
        <v/>
      </c>
      <c r="J580" s="8">
        <f>IF(ISNA(MATCH(571,'Transfer Engine'!$C$2:$C$1960,0)),"",INDEX('Compliance Database'!$J$2:$J$1960,MATCH(571,'Transfer Engine'!$C$2:$C$1960,0)))</f>
        <v/>
      </c>
      <c r="K580" s="9">
        <f>IF(ISNA(MATCH(571,'Transfer Engine'!$C$2:$C$1960,0)),"",INDEX('Compliance Database'!$K$2:$K$1960,MATCH(571,'Transfer Engine'!$C$2:$C$1960,0)))</f>
        <v/>
      </c>
      <c r="L580" s="9">
        <f>IF(ISNA(MATCH(571,'Transfer Engine'!$C$2:$C$1960,0)),"",INDEX('Compliance Database'!$L$2:$L$1960,MATCH(571,'Transfer Engine'!$C$2:$C$1960,0)))</f>
        <v/>
      </c>
      <c r="M580" s="9">
        <f>IF(ISNA(MATCH(571,'Transfer Engine'!$C$2:$C$1960,0)),"",INDEX('Compliance Database'!$M$2:$M$1960,MATCH(571,'Transfer Engine'!$C$2:$C$1960,0)))</f>
        <v/>
      </c>
      <c r="N580" s="9">
        <f>IF(ISNA(MATCH(571,'Transfer Engine'!$C$2:$C$1960,0)),"",INDEX('Compliance Database'!$N$2:$N$1960,MATCH(571,'Transfer Engine'!$C$2:$C$1960,0)))</f>
        <v/>
      </c>
      <c r="O580" s="9">
        <f>IF(ISNA(MATCH(571,'Transfer Engine'!$C$2:$C$1960,0)),"",INDEX('Compliance Database'!$O$2:$O$1960,MATCH(571,'Transfer Engine'!$C$2:$C$1960,0)))</f>
        <v/>
      </c>
      <c r="P580" s="8">
        <f>IF(ISNA(MATCH(571,'Transfer Engine'!$C$2:$C$1960,0)),"",HYPERLINK("#Acts!A"&amp;INDEX('Compliance Database'!$P$2:$P$1960,MATCH(571,'Transfer Engine'!$C$2:$C$1960,0)),"Go to Act"))</f>
        <v/>
      </c>
    </row>
    <row r="581" ht="158" customHeight="1">
      <c r="A581" s="8">
        <f>IF(ISNA(MATCH(572,'Transfer Engine'!$C$2:$C$1960,0)),"",INDEX('Compliance Database'!$A$2:$A$1960,MATCH(572,'Transfer Engine'!$C$2:$C$1960,0)))</f>
        <v/>
      </c>
      <c r="B581" s="8">
        <f>IF(ISNA(MATCH(572,'Transfer Engine'!$C$2:$C$1960,0)),"",INDEX('Compliance Database'!$B$2:$B$1960,MATCH(572,'Transfer Engine'!$C$2:$C$1960,0)))</f>
        <v/>
      </c>
      <c r="C581" s="8">
        <f>IF(ISNA(MATCH(572,'Transfer Engine'!$C$2:$C$1960,0)),"",INDEX('Compliance Database'!$C$2:$C$1960,MATCH(572,'Transfer Engine'!$C$2:$C$1960,0)))</f>
        <v/>
      </c>
      <c r="D581" s="9">
        <f>IF(ISNA(MATCH(572,'Transfer Engine'!$C$2:$C$1960,0)),"",INDEX('Compliance Database'!$D$2:$D$1960,MATCH(572,'Transfer Engine'!$C$2:$C$1960,0)))</f>
        <v/>
      </c>
      <c r="E581" s="8">
        <f>IF(ISNA(MATCH(572,'Transfer Engine'!$C$2:$C$1960,0)),"",INDEX('Compliance Database'!$E$2:$E$1960,MATCH(572,'Transfer Engine'!$C$2:$C$1960,0)))</f>
        <v/>
      </c>
      <c r="F581" s="8">
        <f>IF(ISNA(MATCH(572,'Transfer Engine'!$C$2:$C$1960,0)),"",INDEX('Compliance Database'!$F$2:$F$1960,MATCH(572,'Transfer Engine'!$C$2:$C$1960,0)))</f>
        <v/>
      </c>
      <c r="G581" s="8">
        <f>IF(ISNA(MATCH(572,'Transfer Engine'!$C$2:$C$1960,0)),"",INDEX('Compliance Database'!$G$2:$G$1960,MATCH(572,'Transfer Engine'!$C$2:$C$1960,0)))</f>
        <v/>
      </c>
      <c r="H581" s="9">
        <f>IF(ISNA(MATCH(572,'Transfer Engine'!$C$2:$C$1960,0)),"",INDEX('Compliance Database'!$H$2:$H$1960,MATCH(572,'Transfer Engine'!$C$2:$C$1960,0)))</f>
        <v/>
      </c>
      <c r="I581" s="9">
        <f>IF(ISNA(MATCH(572,'Transfer Engine'!$C$2:$C$1960,0)),"",INDEX('Compliance Database'!$I$2:$I$1960,MATCH(572,'Transfer Engine'!$C$2:$C$1960,0)))</f>
        <v/>
      </c>
      <c r="J581" s="8">
        <f>IF(ISNA(MATCH(572,'Transfer Engine'!$C$2:$C$1960,0)),"",INDEX('Compliance Database'!$J$2:$J$1960,MATCH(572,'Transfer Engine'!$C$2:$C$1960,0)))</f>
        <v/>
      </c>
      <c r="K581" s="9">
        <f>IF(ISNA(MATCH(572,'Transfer Engine'!$C$2:$C$1960,0)),"",INDEX('Compliance Database'!$K$2:$K$1960,MATCH(572,'Transfer Engine'!$C$2:$C$1960,0)))</f>
        <v/>
      </c>
      <c r="L581" s="9">
        <f>IF(ISNA(MATCH(572,'Transfer Engine'!$C$2:$C$1960,0)),"",INDEX('Compliance Database'!$L$2:$L$1960,MATCH(572,'Transfer Engine'!$C$2:$C$1960,0)))</f>
        <v/>
      </c>
      <c r="M581" s="9">
        <f>IF(ISNA(MATCH(572,'Transfer Engine'!$C$2:$C$1960,0)),"",INDEX('Compliance Database'!$M$2:$M$1960,MATCH(572,'Transfer Engine'!$C$2:$C$1960,0)))</f>
        <v/>
      </c>
      <c r="N581" s="9">
        <f>IF(ISNA(MATCH(572,'Transfer Engine'!$C$2:$C$1960,0)),"",INDEX('Compliance Database'!$N$2:$N$1960,MATCH(572,'Transfer Engine'!$C$2:$C$1960,0)))</f>
        <v/>
      </c>
      <c r="O581" s="9">
        <f>IF(ISNA(MATCH(572,'Transfer Engine'!$C$2:$C$1960,0)),"",INDEX('Compliance Database'!$O$2:$O$1960,MATCH(572,'Transfer Engine'!$C$2:$C$1960,0)))</f>
        <v/>
      </c>
      <c r="P581" s="8">
        <f>IF(ISNA(MATCH(572,'Transfer Engine'!$C$2:$C$1960,0)),"",HYPERLINK("#Acts!A"&amp;INDEX('Compliance Database'!$P$2:$P$1960,MATCH(572,'Transfer Engine'!$C$2:$C$1960,0)),"Go to Act"))</f>
        <v/>
      </c>
    </row>
    <row r="582" ht="158" customHeight="1">
      <c r="A582" s="8">
        <f>IF(ISNA(MATCH(573,'Transfer Engine'!$C$2:$C$1960,0)),"",INDEX('Compliance Database'!$A$2:$A$1960,MATCH(573,'Transfer Engine'!$C$2:$C$1960,0)))</f>
        <v/>
      </c>
      <c r="B582" s="8">
        <f>IF(ISNA(MATCH(573,'Transfer Engine'!$C$2:$C$1960,0)),"",INDEX('Compliance Database'!$B$2:$B$1960,MATCH(573,'Transfer Engine'!$C$2:$C$1960,0)))</f>
        <v/>
      </c>
      <c r="C582" s="8">
        <f>IF(ISNA(MATCH(573,'Transfer Engine'!$C$2:$C$1960,0)),"",INDEX('Compliance Database'!$C$2:$C$1960,MATCH(573,'Transfer Engine'!$C$2:$C$1960,0)))</f>
        <v/>
      </c>
      <c r="D582" s="9">
        <f>IF(ISNA(MATCH(573,'Transfer Engine'!$C$2:$C$1960,0)),"",INDEX('Compliance Database'!$D$2:$D$1960,MATCH(573,'Transfer Engine'!$C$2:$C$1960,0)))</f>
        <v/>
      </c>
      <c r="E582" s="8">
        <f>IF(ISNA(MATCH(573,'Transfer Engine'!$C$2:$C$1960,0)),"",INDEX('Compliance Database'!$E$2:$E$1960,MATCH(573,'Transfer Engine'!$C$2:$C$1960,0)))</f>
        <v/>
      </c>
      <c r="F582" s="8">
        <f>IF(ISNA(MATCH(573,'Transfer Engine'!$C$2:$C$1960,0)),"",INDEX('Compliance Database'!$F$2:$F$1960,MATCH(573,'Transfer Engine'!$C$2:$C$1960,0)))</f>
        <v/>
      </c>
      <c r="G582" s="8">
        <f>IF(ISNA(MATCH(573,'Transfer Engine'!$C$2:$C$1960,0)),"",INDEX('Compliance Database'!$G$2:$G$1960,MATCH(573,'Transfer Engine'!$C$2:$C$1960,0)))</f>
        <v/>
      </c>
      <c r="H582" s="9">
        <f>IF(ISNA(MATCH(573,'Transfer Engine'!$C$2:$C$1960,0)),"",INDEX('Compliance Database'!$H$2:$H$1960,MATCH(573,'Transfer Engine'!$C$2:$C$1960,0)))</f>
        <v/>
      </c>
      <c r="I582" s="9">
        <f>IF(ISNA(MATCH(573,'Transfer Engine'!$C$2:$C$1960,0)),"",INDEX('Compliance Database'!$I$2:$I$1960,MATCH(573,'Transfer Engine'!$C$2:$C$1960,0)))</f>
        <v/>
      </c>
      <c r="J582" s="8">
        <f>IF(ISNA(MATCH(573,'Transfer Engine'!$C$2:$C$1960,0)),"",INDEX('Compliance Database'!$J$2:$J$1960,MATCH(573,'Transfer Engine'!$C$2:$C$1960,0)))</f>
        <v/>
      </c>
      <c r="K582" s="9">
        <f>IF(ISNA(MATCH(573,'Transfer Engine'!$C$2:$C$1960,0)),"",INDEX('Compliance Database'!$K$2:$K$1960,MATCH(573,'Transfer Engine'!$C$2:$C$1960,0)))</f>
        <v/>
      </c>
      <c r="L582" s="9">
        <f>IF(ISNA(MATCH(573,'Transfer Engine'!$C$2:$C$1960,0)),"",INDEX('Compliance Database'!$L$2:$L$1960,MATCH(573,'Transfer Engine'!$C$2:$C$1960,0)))</f>
        <v/>
      </c>
      <c r="M582" s="9">
        <f>IF(ISNA(MATCH(573,'Transfer Engine'!$C$2:$C$1960,0)),"",INDEX('Compliance Database'!$M$2:$M$1960,MATCH(573,'Transfer Engine'!$C$2:$C$1960,0)))</f>
        <v/>
      </c>
      <c r="N582" s="9">
        <f>IF(ISNA(MATCH(573,'Transfer Engine'!$C$2:$C$1960,0)),"",INDEX('Compliance Database'!$N$2:$N$1960,MATCH(573,'Transfer Engine'!$C$2:$C$1960,0)))</f>
        <v/>
      </c>
      <c r="O582" s="9">
        <f>IF(ISNA(MATCH(573,'Transfer Engine'!$C$2:$C$1960,0)),"",INDEX('Compliance Database'!$O$2:$O$1960,MATCH(573,'Transfer Engine'!$C$2:$C$1960,0)))</f>
        <v/>
      </c>
      <c r="P582" s="8">
        <f>IF(ISNA(MATCH(573,'Transfer Engine'!$C$2:$C$1960,0)),"",HYPERLINK("#Acts!A"&amp;INDEX('Compliance Database'!$P$2:$P$1960,MATCH(573,'Transfer Engine'!$C$2:$C$1960,0)),"Go to Act"))</f>
        <v/>
      </c>
    </row>
    <row r="583" ht="158" customHeight="1">
      <c r="A583" s="8">
        <f>IF(ISNA(MATCH(574,'Transfer Engine'!$C$2:$C$1960,0)),"",INDEX('Compliance Database'!$A$2:$A$1960,MATCH(574,'Transfer Engine'!$C$2:$C$1960,0)))</f>
        <v/>
      </c>
      <c r="B583" s="8">
        <f>IF(ISNA(MATCH(574,'Transfer Engine'!$C$2:$C$1960,0)),"",INDEX('Compliance Database'!$B$2:$B$1960,MATCH(574,'Transfer Engine'!$C$2:$C$1960,0)))</f>
        <v/>
      </c>
      <c r="C583" s="8">
        <f>IF(ISNA(MATCH(574,'Transfer Engine'!$C$2:$C$1960,0)),"",INDEX('Compliance Database'!$C$2:$C$1960,MATCH(574,'Transfer Engine'!$C$2:$C$1960,0)))</f>
        <v/>
      </c>
      <c r="D583" s="9">
        <f>IF(ISNA(MATCH(574,'Transfer Engine'!$C$2:$C$1960,0)),"",INDEX('Compliance Database'!$D$2:$D$1960,MATCH(574,'Transfer Engine'!$C$2:$C$1960,0)))</f>
        <v/>
      </c>
      <c r="E583" s="8">
        <f>IF(ISNA(MATCH(574,'Transfer Engine'!$C$2:$C$1960,0)),"",INDEX('Compliance Database'!$E$2:$E$1960,MATCH(574,'Transfer Engine'!$C$2:$C$1960,0)))</f>
        <v/>
      </c>
      <c r="F583" s="8">
        <f>IF(ISNA(MATCH(574,'Transfer Engine'!$C$2:$C$1960,0)),"",INDEX('Compliance Database'!$F$2:$F$1960,MATCH(574,'Transfer Engine'!$C$2:$C$1960,0)))</f>
        <v/>
      </c>
      <c r="G583" s="8">
        <f>IF(ISNA(MATCH(574,'Transfer Engine'!$C$2:$C$1960,0)),"",INDEX('Compliance Database'!$G$2:$G$1960,MATCH(574,'Transfer Engine'!$C$2:$C$1960,0)))</f>
        <v/>
      </c>
      <c r="H583" s="9">
        <f>IF(ISNA(MATCH(574,'Transfer Engine'!$C$2:$C$1960,0)),"",INDEX('Compliance Database'!$H$2:$H$1960,MATCH(574,'Transfer Engine'!$C$2:$C$1960,0)))</f>
        <v/>
      </c>
      <c r="I583" s="9">
        <f>IF(ISNA(MATCH(574,'Transfer Engine'!$C$2:$C$1960,0)),"",INDEX('Compliance Database'!$I$2:$I$1960,MATCH(574,'Transfer Engine'!$C$2:$C$1960,0)))</f>
        <v/>
      </c>
      <c r="J583" s="8">
        <f>IF(ISNA(MATCH(574,'Transfer Engine'!$C$2:$C$1960,0)),"",INDEX('Compliance Database'!$J$2:$J$1960,MATCH(574,'Transfer Engine'!$C$2:$C$1960,0)))</f>
        <v/>
      </c>
      <c r="K583" s="9">
        <f>IF(ISNA(MATCH(574,'Transfer Engine'!$C$2:$C$1960,0)),"",INDEX('Compliance Database'!$K$2:$K$1960,MATCH(574,'Transfer Engine'!$C$2:$C$1960,0)))</f>
        <v/>
      </c>
      <c r="L583" s="9">
        <f>IF(ISNA(MATCH(574,'Transfer Engine'!$C$2:$C$1960,0)),"",INDEX('Compliance Database'!$L$2:$L$1960,MATCH(574,'Transfer Engine'!$C$2:$C$1960,0)))</f>
        <v/>
      </c>
      <c r="M583" s="9">
        <f>IF(ISNA(MATCH(574,'Transfer Engine'!$C$2:$C$1960,0)),"",INDEX('Compliance Database'!$M$2:$M$1960,MATCH(574,'Transfer Engine'!$C$2:$C$1960,0)))</f>
        <v/>
      </c>
      <c r="N583" s="9">
        <f>IF(ISNA(MATCH(574,'Transfer Engine'!$C$2:$C$1960,0)),"",INDEX('Compliance Database'!$N$2:$N$1960,MATCH(574,'Transfer Engine'!$C$2:$C$1960,0)))</f>
        <v/>
      </c>
      <c r="O583" s="9">
        <f>IF(ISNA(MATCH(574,'Transfer Engine'!$C$2:$C$1960,0)),"",INDEX('Compliance Database'!$O$2:$O$1960,MATCH(574,'Transfer Engine'!$C$2:$C$1960,0)))</f>
        <v/>
      </c>
      <c r="P583" s="8">
        <f>IF(ISNA(MATCH(574,'Transfer Engine'!$C$2:$C$1960,0)),"",HYPERLINK("#Acts!A"&amp;INDEX('Compliance Database'!$P$2:$P$1960,MATCH(574,'Transfer Engine'!$C$2:$C$1960,0)),"Go to Act"))</f>
        <v/>
      </c>
    </row>
    <row r="584" ht="158" customHeight="1">
      <c r="A584" s="8">
        <f>IF(ISNA(MATCH(575,'Transfer Engine'!$C$2:$C$1960,0)),"",INDEX('Compliance Database'!$A$2:$A$1960,MATCH(575,'Transfer Engine'!$C$2:$C$1960,0)))</f>
        <v/>
      </c>
      <c r="B584" s="8">
        <f>IF(ISNA(MATCH(575,'Transfer Engine'!$C$2:$C$1960,0)),"",INDEX('Compliance Database'!$B$2:$B$1960,MATCH(575,'Transfer Engine'!$C$2:$C$1960,0)))</f>
        <v/>
      </c>
      <c r="C584" s="8">
        <f>IF(ISNA(MATCH(575,'Transfer Engine'!$C$2:$C$1960,0)),"",INDEX('Compliance Database'!$C$2:$C$1960,MATCH(575,'Transfer Engine'!$C$2:$C$1960,0)))</f>
        <v/>
      </c>
      <c r="D584" s="9">
        <f>IF(ISNA(MATCH(575,'Transfer Engine'!$C$2:$C$1960,0)),"",INDEX('Compliance Database'!$D$2:$D$1960,MATCH(575,'Transfer Engine'!$C$2:$C$1960,0)))</f>
        <v/>
      </c>
      <c r="E584" s="8">
        <f>IF(ISNA(MATCH(575,'Transfer Engine'!$C$2:$C$1960,0)),"",INDEX('Compliance Database'!$E$2:$E$1960,MATCH(575,'Transfer Engine'!$C$2:$C$1960,0)))</f>
        <v/>
      </c>
      <c r="F584" s="8">
        <f>IF(ISNA(MATCH(575,'Transfer Engine'!$C$2:$C$1960,0)),"",INDEX('Compliance Database'!$F$2:$F$1960,MATCH(575,'Transfer Engine'!$C$2:$C$1960,0)))</f>
        <v/>
      </c>
      <c r="G584" s="8">
        <f>IF(ISNA(MATCH(575,'Transfer Engine'!$C$2:$C$1960,0)),"",INDEX('Compliance Database'!$G$2:$G$1960,MATCH(575,'Transfer Engine'!$C$2:$C$1960,0)))</f>
        <v/>
      </c>
      <c r="H584" s="9">
        <f>IF(ISNA(MATCH(575,'Transfer Engine'!$C$2:$C$1960,0)),"",INDEX('Compliance Database'!$H$2:$H$1960,MATCH(575,'Transfer Engine'!$C$2:$C$1960,0)))</f>
        <v/>
      </c>
      <c r="I584" s="9">
        <f>IF(ISNA(MATCH(575,'Transfer Engine'!$C$2:$C$1960,0)),"",INDEX('Compliance Database'!$I$2:$I$1960,MATCH(575,'Transfer Engine'!$C$2:$C$1960,0)))</f>
        <v/>
      </c>
      <c r="J584" s="8">
        <f>IF(ISNA(MATCH(575,'Transfer Engine'!$C$2:$C$1960,0)),"",INDEX('Compliance Database'!$J$2:$J$1960,MATCH(575,'Transfer Engine'!$C$2:$C$1960,0)))</f>
        <v/>
      </c>
      <c r="K584" s="9">
        <f>IF(ISNA(MATCH(575,'Transfer Engine'!$C$2:$C$1960,0)),"",INDEX('Compliance Database'!$K$2:$K$1960,MATCH(575,'Transfer Engine'!$C$2:$C$1960,0)))</f>
        <v/>
      </c>
      <c r="L584" s="9">
        <f>IF(ISNA(MATCH(575,'Transfer Engine'!$C$2:$C$1960,0)),"",INDEX('Compliance Database'!$L$2:$L$1960,MATCH(575,'Transfer Engine'!$C$2:$C$1960,0)))</f>
        <v/>
      </c>
      <c r="M584" s="9">
        <f>IF(ISNA(MATCH(575,'Transfer Engine'!$C$2:$C$1960,0)),"",INDEX('Compliance Database'!$M$2:$M$1960,MATCH(575,'Transfer Engine'!$C$2:$C$1960,0)))</f>
        <v/>
      </c>
      <c r="N584" s="9">
        <f>IF(ISNA(MATCH(575,'Transfer Engine'!$C$2:$C$1960,0)),"",INDEX('Compliance Database'!$N$2:$N$1960,MATCH(575,'Transfer Engine'!$C$2:$C$1960,0)))</f>
        <v/>
      </c>
      <c r="O584" s="9">
        <f>IF(ISNA(MATCH(575,'Transfer Engine'!$C$2:$C$1960,0)),"",INDEX('Compliance Database'!$O$2:$O$1960,MATCH(575,'Transfer Engine'!$C$2:$C$1960,0)))</f>
        <v/>
      </c>
      <c r="P584" s="8">
        <f>IF(ISNA(MATCH(575,'Transfer Engine'!$C$2:$C$1960,0)),"",HYPERLINK("#Acts!A"&amp;INDEX('Compliance Database'!$P$2:$P$1960,MATCH(575,'Transfer Engine'!$C$2:$C$1960,0)),"Go to Act"))</f>
        <v/>
      </c>
    </row>
    <row r="585" ht="158" customHeight="1">
      <c r="A585" s="8">
        <f>IF(ISNA(MATCH(576,'Transfer Engine'!$C$2:$C$1960,0)),"",INDEX('Compliance Database'!$A$2:$A$1960,MATCH(576,'Transfer Engine'!$C$2:$C$1960,0)))</f>
        <v/>
      </c>
      <c r="B585" s="8">
        <f>IF(ISNA(MATCH(576,'Transfer Engine'!$C$2:$C$1960,0)),"",INDEX('Compliance Database'!$B$2:$B$1960,MATCH(576,'Transfer Engine'!$C$2:$C$1960,0)))</f>
        <v/>
      </c>
      <c r="C585" s="8">
        <f>IF(ISNA(MATCH(576,'Transfer Engine'!$C$2:$C$1960,0)),"",INDEX('Compliance Database'!$C$2:$C$1960,MATCH(576,'Transfer Engine'!$C$2:$C$1960,0)))</f>
        <v/>
      </c>
      <c r="D585" s="9">
        <f>IF(ISNA(MATCH(576,'Transfer Engine'!$C$2:$C$1960,0)),"",INDEX('Compliance Database'!$D$2:$D$1960,MATCH(576,'Transfer Engine'!$C$2:$C$1960,0)))</f>
        <v/>
      </c>
      <c r="E585" s="8">
        <f>IF(ISNA(MATCH(576,'Transfer Engine'!$C$2:$C$1960,0)),"",INDEX('Compliance Database'!$E$2:$E$1960,MATCH(576,'Transfer Engine'!$C$2:$C$1960,0)))</f>
        <v/>
      </c>
      <c r="F585" s="8">
        <f>IF(ISNA(MATCH(576,'Transfer Engine'!$C$2:$C$1960,0)),"",INDEX('Compliance Database'!$F$2:$F$1960,MATCH(576,'Transfer Engine'!$C$2:$C$1960,0)))</f>
        <v/>
      </c>
      <c r="G585" s="8">
        <f>IF(ISNA(MATCH(576,'Transfer Engine'!$C$2:$C$1960,0)),"",INDEX('Compliance Database'!$G$2:$G$1960,MATCH(576,'Transfer Engine'!$C$2:$C$1960,0)))</f>
        <v/>
      </c>
      <c r="H585" s="9">
        <f>IF(ISNA(MATCH(576,'Transfer Engine'!$C$2:$C$1960,0)),"",INDEX('Compliance Database'!$H$2:$H$1960,MATCH(576,'Transfer Engine'!$C$2:$C$1960,0)))</f>
        <v/>
      </c>
      <c r="I585" s="9">
        <f>IF(ISNA(MATCH(576,'Transfer Engine'!$C$2:$C$1960,0)),"",INDEX('Compliance Database'!$I$2:$I$1960,MATCH(576,'Transfer Engine'!$C$2:$C$1960,0)))</f>
        <v/>
      </c>
      <c r="J585" s="8">
        <f>IF(ISNA(MATCH(576,'Transfer Engine'!$C$2:$C$1960,0)),"",INDEX('Compliance Database'!$J$2:$J$1960,MATCH(576,'Transfer Engine'!$C$2:$C$1960,0)))</f>
        <v/>
      </c>
      <c r="K585" s="9">
        <f>IF(ISNA(MATCH(576,'Transfer Engine'!$C$2:$C$1960,0)),"",INDEX('Compliance Database'!$K$2:$K$1960,MATCH(576,'Transfer Engine'!$C$2:$C$1960,0)))</f>
        <v/>
      </c>
      <c r="L585" s="9">
        <f>IF(ISNA(MATCH(576,'Transfer Engine'!$C$2:$C$1960,0)),"",INDEX('Compliance Database'!$L$2:$L$1960,MATCH(576,'Transfer Engine'!$C$2:$C$1960,0)))</f>
        <v/>
      </c>
      <c r="M585" s="9">
        <f>IF(ISNA(MATCH(576,'Transfer Engine'!$C$2:$C$1960,0)),"",INDEX('Compliance Database'!$M$2:$M$1960,MATCH(576,'Transfer Engine'!$C$2:$C$1960,0)))</f>
        <v/>
      </c>
      <c r="N585" s="9">
        <f>IF(ISNA(MATCH(576,'Transfer Engine'!$C$2:$C$1960,0)),"",INDEX('Compliance Database'!$N$2:$N$1960,MATCH(576,'Transfer Engine'!$C$2:$C$1960,0)))</f>
        <v/>
      </c>
      <c r="O585" s="9">
        <f>IF(ISNA(MATCH(576,'Transfer Engine'!$C$2:$C$1960,0)),"",INDEX('Compliance Database'!$O$2:$O$1960,MATCH(576,'Transfer Engine'!$C$2:$C$1960,0)))</f>
        <v/>
      </c>
      <c r="P585" s="8">
        <f>IF(ISNA(MATCH(576,'Transfer Engine'!$C$2:$C$1960,0)),"",HYPERLINK("#Acts!A"&amp;INDEX('Compliance Database'!$P$2:$P$1960,MATCH(576,'Transfer Engine'!$C$2:$C$1960,0)),"Go to Act"))</f>
        <v/>
      </c>
    </row>
    <row r="586" ht="158" customHeight="1">
      <c r="A586" s="8">
        <f>IF(ISNA(MATCH(577,'Transfer Engine'!$C$2:$C$1960,0)),"",INDEX('Compliance Database'!$A$2:$A$1960,MATCH(577,'Transfer Engine'!$C$2:$C$1960,0)))</f>
        <v/>
      </c>
      <c r="B586" s="8">
        <f>IF(ISNA(MATCH(577,'Transfer Engine'!$C$2:$C$1960,0)),"",INDEX('Compliance Database'!$B$2:$B$1960,MATCH(577,'Transfer Engine'!$C$2:$C$1960,0)))</f>
        <v/>
      </c>
      <c r="C586" s="8">
        <f>IF(ISNA(MATCH(577,'Transfer Engine'!$C$2:$C$1960,0)),"",INDEX('Compliance Database'!$C$2:$C$1960,MATCH(577,'Transfer Engine'!$C$2:$C$1960,0)))</f>
        <v/>
      </c>
      <c r="D586" s="9">
        <f>IF(ISNA(MATCH(577,'Transfer Engine'!$C$2:$C$1960,0)),"",INDEX('Compliance Database'!$D$2:$D$1960,MATCH(577,'Transfer Engine'!$C$2:$C$1960,0)))</f>
        <v/>
      </c>
      <c r="E586" s="8">
        <f>IF(ISNA(MATCH(577,'Transfer Engine'!$C$2:$C$1960,0)),"",INDEX('Compliance Database'!$E$2:$E$1960,MATCH(577,'Transfer Engine'!$C$2:$C$1960,0)))</f>
        <v/>
      </c>
      <c r="F586" s="8">
        <f>IF(ISNA(MATCH(577,'Transfer Engine'!$C$2:$C$1960,0)),"",INDEX('Compliance Database'!$F$2:$F$1960,MATCH(577,'Transfer Engine'!$C$2:$C$1960,0)))</f>
        <v/>
      </c>
      <c r="G586" s="8">
        <f>IF(ISNA(MATCH(577,'Transfer Engine'!$C$2:$C$1960,0)),"",INDEX('Compliance Database'!$G$2:$G$1960,MATCH(577,'Transfer Engine'!$C$2:$C$1960,0)))</f>
        <v/>
      </c>
      <c r="H586" s="9">
        <f>IF(ISNA(MATCH(577,'Transfer Engine'!$C$2:$C$1960,0)),"",INDEX('Compliance Database'!$H$2:$H$1960,MATCH(577,'Transfer Engine'!$C$2:$C$1960,0)))</f>
        <v/>
      </c>
      <c r="I586" s="9">
        <f>IF(ISNA(MATCH(577,'Transfer Engine'!$C$2:$C$1960,0)),"",INDEX('Compliance Database'!$I$2:$I$1960,MATCH(577,'Transfer Engine'!$C$2:$C$1960,0)))</f>
        <v/>
      </c>
      <c r="J586" s="8">
        <f>IF(ISNA(MATCH(577,'Transfer Engine'!$C$2:$C$1960,0)),"",INDEX('Compliance Database'!$J$2:$J$1960,MATCH(577,'Transfer Engine'!$C$2:$C$1960,0)))</f>
        <v/>
      </c>
      <c r="K586" s="9">
        <f>IF(ISNA(MATCH(577,'Transfer Engine'!$C$2:$C$1960,0)),"",INDEX('Compliance Database'!$K$2:$K$1960,MATCH(577,'Transfer Engine'!$C$2:$C$1960,0)))</f>
        <v/>
      </c>
      <c r="L586" s="9">
        <f>IF(ISNA(MATCH(577,'Transfer Engine'!$C$2:$C$1960,0)),"",INDEX('Compliance Database'!$L$2:$L$1960,MATCH(577,'Transfer Engine'!$C$2:$C$1960,0)))</f>
        <v/>
      </c>
      <c r="M586" s="9">
        <f>IF(ISNA(MATCH(577,'Transfer Engine'!$C$2:$C$1960,0)),"",INDEX('Compliance Database'!$M$2:$M$1960,MATCH(577,'Transfer Engine'!$C$2:$C$1960,0)))</f>
        <v/>
      </c>
      <c r="N586" s="9">
        <f>IF(ISNA(MATCH(577,'Transfer Engine'!$C$2:$C$1960,0)),"",INDEX('Compliance Database'!$N$2:$N$1960,MATCH(577,'Transfer Engine'!$C$2:$C$1960,0)))</f>
        <v/>
      </c>
      <c r="O586" s="9">
        <f>IF(ISNA(MATCH(577,'Transfer Engine'!$C$2:$C$1960,0)),"",INDEX('Compliance Database'!$O$2:$O$1960,MATCH(577,'Transfer Engine'!$C$2:$C$1960,0)))</f>
        <v/>
      </c>
      <c r="P586" s="8">
        <f>IF(ISNA(MATCH(577,'Transfer Engine'!$C$2:$C$1960,0)),"",HYPERLINK("#Acts!A"&amp;INDEX('Compliance Database'!$P$2:$P$1960,MATCH(577,'Transfer Engine'!$C$2:$C$1960,0)),"Go to Act"))</f>
        <v/>
      </c>
    </row>
    <row r="587" ht="158" customHeight="1">
      <c r="A587" s="8">
        <f>IF(ISNA(MATCH(578,'Transfer Engine'!$C$2:$C$1960,0)),"",INDEX('Compliance Database'!$A$2:$A$1960,MATCH(578,'Transfer Engine'!$C$2:$C$1960,0)))</f>
        <v/>
      </c>
      <c r="B587" s="8">
        <f>IF(ISNA(MATCH(578,'Transfer Engine'!$C$2:$C$1960,0)),"",INDEX('Compliance Database'!$B$2:$B$1960,MATCH(578,'Transfer Engine'!$C$2:$C$1960,0)))</f>
        <v/>
      </c>
      <c r="C587" s="8">
        <f>IF(ISNA(MATCH(578,'Transfer Engine'!$C$2:$C$1960,0)),"",INDEX('Compliance Database'!$C$2:$C$1960,MATCH(578,'Transfer Engine'!$C$2:$C$1960,0)))</f>
        <v/>
      </c>
      <c r="D587" s="9">
        <f>IF(ISNA(MATCH(578,'Transfer Engine'!$C$2:$C$1960,0)),"",INDEX('Compliance Database'!$D$2:$D$1960,MATCH(578,'Transfer Engine'!$C$2:$C$1960,0)))</f>
        <v/>
      </c>
      <c r="E587" s="8">
        <f>IF(ISNA(MATCH(578,'Transfer Engine'!$C$2:$C$1960,0)),"",INDEX('Compliance Database'!$E$2:$E$1960,MATCH(578,'Transfer Engine'!$C$2:$C$1960,0)))</f>
        <v/>
      </c>
      <c r="F587" s="8">
        <f>IF(ISNA(MATCH(578,'Transfer Engine'!$C$2:$C$1960,0)),"",INDEX('Compliance Database'!$F$2:$F$1960,MATCH(578,'Transfer Engine'!$C$2:$C$1960,0)))</f>
        <v/>
      </c>
      <c r="G587" s="8">
        <f>IF(ISNA(MATCH(578,'Transfer Engine'!$C$2:$C$1960,0)),"",INDEX('Compliance Database'!$G$2:$G$1960,MATCH(578,'Transfer Engine'!$C$2:$C$1960,0)))</f>
        <v/>
      </c>
      <c r="H587" s="9">
        <f>IF(ISNA(MATCH(578,'Transfer Engine'!$C$2:$C$1960,0)),"",INDEX('Compliance Database'!$H$2:$H$1960,MATCH(578,'Transfer Engine'!$C$2:$C$1960,0)))</f>
        <v/>
      </c>
      <c r="I587" s="9">
        <f>IF(ISNA(MATCH(578,'Transfer Engine'!$C$2:$C$1960,0)),"",INDEX('Compliance Database'!$I$2:$I$1960,MATCH(578,'Transfer Engine'!$C$2:$C$1960,0)))</f>
        <v/>
      </c>
      <c r="J587" s="8">
        <f>IF(ISNA(MATCH(578,'Transfer Engine'!$C$2:$C$1960,0)),"",INDEX('Compliance Database'!$J$2:$J$1960,MATCH(578,'Transfer Engine'!$C$2:$C$1960,0)))</f>
        <v/>
      </c>
      <c r="K587" s="9">
        <f>IF(ISNA(MATCH(578,'Transfer Engine'!$C$2:$C$1960,0)),"",INDEX('Compliance Database'!$K$2:$K$1960,MATCH(578,'Transfer Engine'!$C$2:$C$1960,0)))</f>
        <v/>
      </c>
      <c r="L587" s="9">
        <f>IF(ISNA(MATCH(578,'Transfer Engine'!$C$2:$C$1960,0)),"",INDEX('Compliance Database'!$L$2:$L$1960,MATCH(578,'Transfer Engine'!$C$2:$C$1960,0)))</f>
        <v/>
      </c>
      <c r="M587" s="9">
        <f>IF(ISNA(MATCH(578,'Transfer Engine'!$C$2:$C$1960,0)),"",INDEX('Compliance Database'!$M$2:$M$1960,MATCH(578,'Transfer Engine'!$C$2:$C$1960,0)))</f>
        <v/>
      </c>
      <c r="N587" s="9">
        <f>IF(ISNA(MATCH(578,'Transfer Engine'!$C$2:$C$1960,0)),"",INDEX('Compliance Database'!$N$2:$N$1960,MATCH(578,'Transfer Engine'!$C$2:$C$1960,0)))</f>
        <v/>
      </c>
      <c r="O587" s="9">
        <f>IF(ISNA(MATCH(578,'Transfer Engine'!$C$2:$C$1960,0)),"",INDEX('Compliance Database'!$O$2:$O$1960,MATCH(578,'Transfer Engine'!$C$2:$C$1960,0)))</f>
        <v/>
      </c>
      <c r="P587" s="8">
        <f>IF(ISNA(MATCH(578,'Transfer Engine'!$C$2:$C$1960,0)),"",HYPERLINK("#Acts!A"&amp;INDEX('Compliance Database'!$P$2:$P$1960,MATCH(578,'Transfer Engine'!$C$2:$C$1960,0)),"Go to Act"))</f>
        <v/>
      </c>
    </row>
    <row r="588" ht="158" customHeight="1">
      <c r="A588" s="8">
        <f>IF(ISNA(MATCH(579,'Transfer Engine'!$C$2:$C$1960,0)),"",INDEX('Compliance Database'!$A$2:$A$1960,MATCH(579,'Transfer Engine'!$C$2:$C$1960,0)))</f>
        <v/>
      </c>
      <c r="B588" s="8">
        <f>IF(ISNA(MATCH(579,'Transfer Engine'!$C$2:$C$1960,0)),"",INDEX('Compliance Database'!$B$2:$B$1960,MATCH(579,'Transfer Engine'!$C$2:$C$1960,0)))</f>
        <v/>
      </c>
      <c r="C588" s="8">
        <f>IF(ISNA(MATCH(579,'Transfer Engine'!$C$2:$C$1960,0)),"",INDEX('Compliance Database'!$C$2:$C$1960,MATCH(579,'Transfer Engine'!$C$2:$C$1960,0)))</f>
        <v/>
      </c>
      <c r="D588" s="9">
        <f>IF(ISNA(MATCH(579,'Transfer Engine'!$C$2:$C$1960,0)),"",INDEX('Compliance Database'!$D$2:$D$1960,MATCH(579,'Transfer Engine'!$C$2:$C$1960,0)))</f>
        <v/>
      </c>
      <c r="E588" s="8">
        <f>IF(ISNA(MATCH(579,'Transfer Engine'!$C$2:$C$1960,0)),"",INDEX('Compliance Database'!$E$2:$E$1960,MATCH(579,'Transfer Engine'!$C$2:$C$1960,0)))</f>
        <v/>
      </c>
      <c r="F588" s="8">
        <f>IF(ISNA(MATCH(579,'Transfer Engine'!$C$2:$C$1960,0)),"",INDEX('Compliance Database'!$F$2:$F$1960,MATCH(579,'Transfer Engine'!$C$2:$C$1960,0)))</f>
        <v/>
      </c>
      <c r="G588" s="8">
        <f>IF(ISNA(MATCH(579,'Transfer Engine'!$C$2:$C$1960,0)),"",INDEX('Compliance Database'!$G$2:$G$1960,MATCH(579,'Transfer Engine'!$C$2:$C$1960,0)))</f>
        <v/>
      </c>
      <c r="H588" s="9">
        <f>IF(ISNA(MATCH(579,'Transfer Engine'!$C$2:$C$1960,0)),"",INDEX('Compliance Database'!$H$2:$H$1960,MATCH(579,'Transfer Engine'!$C$2:$C$1960,0)))</f>
        <v/>
      </c>
      <c r="I588" s="9">
        <f>IF(ISNA(MATCH(579,'Transfer Engine'!$C$2:$C$1960,0)),"",INDEX('Compliance Database'!$I$2:$I$1960,MATCH(579,'Transfer Engine'!$C$2:$C$1960,0)))</f>
        <v/>
      </c>
      <c r="J588" s="8">
        <f>IF(ISNA(MATCH(579,'Transfer Engine'!$C$2:$C$1960,0)),"",INDEX('Compliance Database'!$J$2:$J$1960,MATCH(579,'Transfer Engine'!$C$2:$C$1960,0)))</f>
        <v/>
      </c>
      <c r="K588" s="9">
        <f>IF(ISNA(MATCH(579,'Transfer Engine'!$C$2:$C$1960,0)),"",INDEX('Compliance Database'!$K$2:$K$1960,MATCH(579,'Transfer Engine'!$C$2:$C$1960,0)))</f>
        <v/>
      </c>
      <c r="L588" s="9">
        <f>IF(ISNA(MATCH(579,'Transfer Engine'!$C$2:$C$1960,0)),"",INDEX('Compliance Database'!$L$2:$L$1960,MATCH(579,'Transfer Engine'!$C$2:$C$1960,0)))</f>
        <v/>
      </c>
      <c r="M588" s="9">
        <f>IF(ISNA(MATCH(579,'Transfer Engine'!$C$2:$C$1960,0)),"",INDEX('Compliance Database'!$M$2:$M$1960,MATCH(579,'Transfer Engine'!$C$2:$C$1960,0)))</f>
        <v/>
      </c>
      <c r="N588" s="9">
        <f>IF(ISNA(MATCH(579,'Transfer Engine'!$C$2:$C$1960,0)),"",INDEX('Compliance Database'!$N$2:$N$1960,MATCH(579,'Transfer Engine'!$C$2:$C$1960,0)))</f>
        <v/>
      </c>
      <c r="O588" s="9">
        <f>IF(ISNA(MATCH(579,'Transfer Engine'!$C$2:$C$1960,0)),"",INDEX('Compliance Database'!$O$2:$O$1960,MATCH(579,'Transfer Engine'!$C$2:$C$1960,0)))</f>
        <v/>
      </c>
      <c r="P588" s="8">
        <f>IF(ISNA(MATCH(579,'Transfer Engine'!$C$2:$C$1960,0)),"",HYPERLINK("#Acts!A"&amp;INDEX('Compliance Database'!$P$2:$P$1960,MATCH(579,'Transfer Engine'!$C$2:$C$1960,0)),"Go to Act"))</f>
        <v/>
      </c>
    </row>
    <row r="589" ht="158" customHeight="1">
      <c r="A589" s="8">
        <f>IF(ISNA(MATCH(580,'Transfer Engine'!$C$2:$C$1960,0)),"",INDEX('Compliance Database'!$A$2:$A$1960,MATCH(580,'Transfer Engine'!$C$2:$C$1960,0)))</f>
        <v/>
      </c>
      <c r="B589" s="8">
        <f>IF(ISNA(MATCH(580,'Transfer Engine'!$C$2:$C$1960,0)),"",INDEX('Compliance Database'!$B$2:$B$1960,MATCH(580,'Transfer Engine'!$C$2:$C$1960,0)))</f>
        <v/>
      </c>
      <c r="C589" s="8">
        <f>IF(ISNA(MATCH(580,'Transfer Engine'!$C$2:$C$1960,0)),"",INDEX('Compliance Database'!$C$2:$C$1960,MATCH(580,'Transfer Engine'!$C$2:$C$1960,0)))</f>
        <v/>
      </c>
      <c r="D589" s="9">
        <f>IF(ISNA(MATCH(580,'Transfer Engine'!$C$2:$C$1960,0)),"",INDEX('Compliance Database'!$D$2:$D$1960,MATCH(580,'Transfer Engine'!$C$2:$C$1960,0)))</f>
        <v/>
      </c>
      <c r="E589" s="8">
        <f>IF(ISNA(MATCH(580,'Transfer Engine'!$C$2:$C$1960,0)),"",INDEX('Compliance Database'!$E$2:$E$1960,MATCH(580,'Transfer Engine'!$C$2:$C$1960,0)))</f>
        <v/>
      </c>
      <c r="F589" s="8">
        <f>IF(ISNA(MATCH(580,'Transfer Engine'!$C$2:$C$1960,0)),"",INDEX('Compliance Database'!$F$2:$F$1960,MATCH(580,'Transfer Engine'!$C$2:$C$1960,0)))</f>
        <v/>
      </c>
      <c r="G589" s="8">
        <f>IF(ISNA(MATCH(580,'Transfer Engine'!$C$2:$C$1960,0)),"",INDEX('Compliance Database'!$G$2:$G$1960,MATCH(580,'Transfer Engine'!$C$2:$C$1960,0)))</f>
        <v/>
      </c>
      <c r="H589" s="9">
        <f>IF(ISNA(MATCH(580,'Transfer Engine'!$C$2:$C$1960,0)),"",INDEX('Compliance Database'!$H$2:$H$1960,MATCH(580,'Transfer Engine'!$C$2:$C$1960,0)))</f>
        <v/>
      </c>
      <c r="I589" s="9">
        <f>IF(ISNA(MATCH(580,'Transfer Engine'!$C$2:$C$1960,0)),"",INDEX('Compliance Database'!$I$2:$I$1960,MATCH(580,'Transfer Engine'!$C$2:$C$1960,0)))</f>
        <v/>
      </c>
      <c r="J589" s="8">
        <f>IF(ISNA(MATCH(580,'Transfer Engine'!$C$2:$C$1960,0)),"",INDEX('Compliance Database'!$J$2:$J$1960,MATCH(580,'Transfer Engine'!$C$2:$C$1960,0)))</f>
        <v/>
      </c>
      <c r="K589" s="9">
        <f>IF(ISNA(MATCH(580,'Transfer Engine'!$C$2:$C$1960,0)),"",INDEX('Compliance Database'!$K$2:$K$1960,MATCH(580,'Transfer Engine'!$C$2:$C$1960,0)))</f>
        <v/>
      </c>
      <c r="L589" s="9">
        <f>IF(ISNA(MATCH(580,'Transfer Engine'!$C$2:$C$1960,0)),"",INDEX('Compliance Database'!$L$2:$L$1960,MATCH(580,'Transfer Engine'!$C$2:$C$1960,0)))</f>
        <v/>
      </c>
      <c r="M589" s="9">
        <f>IF(ISNA(MATCH(580,'Transfer Engine'!$C$2:$C$1960,0)),"",INDEX('Compliance Database'!$M$2:$M$1960,MATCH(580,'Transfer Engine'!$C$2:$C$1960,0)))</f>
        <v/>
      </c>
      <c r="N589" s="9">
        <f>IF(ISNA(MATCH(580,'Transfer Engine'!$C$2:$C$1960,0)),"",INDEX('Compliance Database'!$N$2:$N$1960,MATCH(580,'Transfer Engine'!$C$2:$C$1960,0)))</f>
        <v/>
      </c>
      <c r="O589" s="9">
        <f>IF(ISNA(MATCH(580,'Transfer Engine'!$C$2:$C$1960,0)),"",INDEX('Compliance Database'!$O$2:$O$1960,MATCH(580,'Transfer Engine'!$C$2:$C$1960,0)))</f>
        <v/>
      </c>
      <c r="P589" s="8">
        <f>IF(ISNA(MATCH(580,'Transfer Engine'!$C$2:$C$1960,0)),"",HYPERLINK("#Acts!A"&amp;INDEX('Compliance Database'!$P$2:$P$1960,MATCH(580,'Transfer Engine'!$C$2:$C$1960,0)),"Go to Act"))</f>
        <v/>
      </c>
    </row>
    <row r="590" ht="158" customHeight="1">
      <c r="A590" s="8">
        <f>IF(ISNA(MATCH(581,'Transfer Engine'!$C$2:$C$1960,0)),"",INDEX('Compliance Database'!$A$2:$A$1960,MATCH(581,'Transfer Engine'!$C$2:$C$1960,0)))</f>
        <v/>
      </c>
      <c r="B590" s="8">
        <f>IF(ISNA(MATCH(581,'Transfer Engine'!$C$2:$C$1960,0)),"",INDEX('Compliance Database'!$B$2:$B$1960,MATCH(581,'Transfer Engine'!$C$2:$C$1960,0)))</f>
        <v/>
      </c>
      <c r="C590" s="8">
        <f>IF(ISNA(MATCH(581,'Transfer Engine'!$C$2:$C$1960,0)),"",INDEX('Compliance Database'!$C$2:$C$1960,MATCH(581,'Transfer Engine'!$C$2:$C$1960,0)))</f>
        <v/>
      </c>
      <c r="D590" s="9">
        <f>IF(ISNA(MATCH(581,'Transfer Engine'!$C$2:$C$1960,0)),"",INDEX('Compliance Database'!$D$2:$D$1960,MATCH(581,'Transfer Engine'!$C$2:$C$1960,0)))</f>
        <v/>
      </c>
      <c r="E590" s="8">
        <f>IF(ISNA(MATCH(581,'Transfer Engine'!$C$2:$C$1960,0)),"",INDEX('Compliance Database'!$E$2:$E$1960,MATCH(581,'Transfer Engine'!$C$2:$C$1960,0)))</f>
        <v/>
      </c>
      <c r="F590" s="8">
        <f>IF(ISNA(MATCH(581,'Transfer Engine'!$C$2:$C$1960,0)),"",INDEX('Compliance Database'!$F$2:$F$1960,MATCH(581,'Transfer Engine'!$C$2:$C$1960,0)))</f>
        <v/>
      </c>
      <c r="G590" s="8">
        <f>IF(ISNA(MATCH(581,'Transfer Engine'!$C$2:$C$1960,0)),"",INDEX('Compliance Database'!$G$2:$G$1960,MATCH(581,'Transfer Engine'!$C$2:$C$1960,0)))</f>
        <v/>
      </c>
      <c r="H590" s="9">
        <f>IF(ISNA(MATCH(581,'Transfer Engine'!$C$2:$C$1960,0)),"",INDEX('Compliance Database'!$H$2:$H$1960,MATCH(581,'Transfer Engine'!$C$2:$C$1960,0)))</f>
        <v/>
      </c>
      <c r="I590" s="9">
        <f>IF(ISNA(MATCH(581,'Transfer Engine'!$C$2:$C$1960,0)),"",INDEX('Compliance Database'!$I$2:$I$1960,MATCH(581,'Transfer Engine'!$C$2:$C$1960,0)))</f>
        <v/>
      </c>
      <c r="J590" s="8">
        <f>IF(ISNA(MATCH(581,'Transfer Engine'!$C$2:$C$1960,0)),"",INDEX('Compliance Database'!$J$2:$J$1960,MATCH(581,'Transfer Engine'!$C$2:$C$1960,0)))</f>
        <v/>
      </c>
      <c r="K590" s="9">
        <f>IF(ISNA(MATCH(581,'Transfer Engine'!$C$2:$C$1960,0)),"",INDEX('Compliance Database'!$K$2:$K$1960,MATCH(581,'Transfer Engine'!$C$2:$C$1960,0)))</f>
        <v/>
      </c>
      <c r="L590" s="9">
        <f>IF(ISNA(MATCH(581,'Transfer Engine'!$C$2:$C$1960,0)),"",INDEX('Compliance Database'!$L$2:$L$1960,MATCH(581,'Transfer Engine'!$C$2:$C$1960,0)))</f>
        <v/>
      </c>
      <c r="M590" s="9">
        <f>IF(ISNA(MATCH(581,'Transfer Engine'!$C$2:$C$1960,0)),"",INDEX('Compliance Database'!$M$2:$M$1960,MATCH(581,'Transfer Engine'!$C$2:$C$1960,0)))</f>
        <v/>
      </c>
      <c r="N590" s="9">
        <f>IF(ISNA(MATCH(581,'Transfer Engine'!$C$2:$C$1960,0)),"",INDEX('Compliance Database'!$N$2:$N$1960,MATCH(581,'Transfer Engine'!$C$2:$C$1960,0)))</f>
        <v/>
      </c>
      <c r="O590" s="9">
        <f>IF(ISNA(MATCH(581,'Transfer Engine'!$C$2:$C$1960,0)),"",INDEX('Compliance Database'!$O$2:$O$1960,MATCH(581,'Transfer Engine'!$C$2:$C$1960,0)))</f>
        <v/>
      </c>
      <c r="P590" s="8">
        <f>IF(ISNA(MATCH(581,'Transfer Engine'!$C$2:$C$1960,0)),"",HYPERLINK("#Acts!A"&amp;INDEX('Compliance Database'!$P$2:$P$1960,MATCH(581,'Transfer Engine'!$C$2:$C$1960,0)),"Go to Act"))</f>
        <v/>
      </c>
    </row>
    <row r="591" ht="158" customHeight="1">
      <c r="A591" s="8">
        <f>IF(ISNA(MATCH(582,'Transfer Engine'!$C$2:$C$1960,0)),"",INDEX('Compliance Database'!$A$2:$A$1960,MATCH(582,'Transfer Engine'!$C$2:$C$1960,0)))</f>
        <v/>
      </c>
      <c r="B591" s="8">
        <f>IF(ISNA(MATCH(582,'Transfer Engine'!$C$2:$C$1960,0)),"",INDEX('Compliance Database'!$B$2:$B$1960,MATCH(582,'Transfer Engine'!$C$2:$C$1960,0)))</f>
        <v/>
      </c>
      <c r="C591" s="8">
        <f>IF(ISNA(MATCH(582,'Transfer Engine'!$C$2:$C$1960,0)),"",INDEX('Compliance Database'!$C$2:$C$1960,MATCH(582,'Transfer Engine'!$C$2:$C$1960,0)))</f>
        <v/>
      </c>
      <c r="D591" s="9">
        <f>IF(ISNA(MATCH(582,'Transfer Engine'!$C$2:$C$1960,0)),"",INDEX('Compliance Database'!$D$2:$D$1960,MATCH(582,'Transfer Engine'!$C$2:$C$1960,0)))</f>
        <v/>
      </c>
      <c r="E591" s="8">
        <f>IF(ISNA(MATCH(582,'Transfer Engine'!$C$2:$C$1960,0)),"",INDEX('Compliance Database'!$E$2:$E$1960,MATCH(582,'Transfer Engine'!$C$2:$C$1960,0)))</f>
        <v/>
      </c>
      <c r="F591" s="8">
        <f>IF(ISNA(MATCH(582,'Transfer Engine'!$C$2:$C$1960,0)),"",INDEX('Compliance Database'!$F$2:$F$1960,MATCH(582,'Transfer Engine'!$C$2:$C$1960,0)))</f>
        <v/>
      </c>
      <c r="G591" s="8">
        <f>IF(ISNA(MATCH(582,'Transfer Engine'!$C$2:$C$1960,0)),"",INDEX('Compliance Database'!$G$2:$G$1960,MATCH(582,'Transfer Engine'!$C$2:$C$1960,0)))</f>
        <v/>
      </c>
      <c r="H591" s="9">
        <f>IF(ISNA(MATCH(582,'Transfer Engine'!$C$2:$C$1960,0)),"",INDEX('Compliance Database'!$H$2:$H$1960,MATCH(582,'Transfer Engine'!$C$2:$C$1960,0)))</f>
        <v/>
      </c>
      <c r="I591" s="9">
        <f>IF(ISNA(MATCH(582,'Transfer Engine'!$C$2:$C$1960,0)),"",INDEX('Compliance Database'!$I$2:$I$1960,MATCH(582,'Transfer Engine'!$C$2:$C$1960,0)))</f>
        <v/>
      </c>
      <c r="J591" s="8">
        <f>IF(ISNA(MATCH(582,'Transfer Engine'!$C$2:$C$1960,0)),"",INDEX('Compliance Database'!$J$2:$J$1960,MATCH(582,'Transfer Engine'!$C$2:$C$1960,0)))</f>
        <v/>
      </c>
      <c r="K591" s="9">
        <f>IF(ISNA(MATCH(582,'Transfer Engine'!$C$2:$C$1960,0)),"",INDEX('Compliance Database'!$K$2:$K$1960,MATCH(582,'Transfer Engine'!$C$2:$C$1960,0)))</f>
        <v/>
      </c>
      <c r="L591" s="9">
        <f>IF(ISNA(MATCH(582,'Transfer Engine'!$C$2:$C$1960,0)),"",INDEX('Compliance Database'!$L$2:$L$1960,MATCH(582,'Transfer Engine'!$C$2:$C$1960,0)))</f>
        <v/>
      </c>
      <c r="M591" s="9">
        <f>IF(ISNA(MATCH(582,'Transfer Engine'!$C$2:$C$1960,0)),"",INDEX('Compliance Database'!$M$2:$M$1960,MATCH(582,'Transfer Engine'!$C$2:$C$1960,0)))</f>
        <v/>
      </c>
      <c r="N591" s="9">
        <f>IF(ISNA(MATCH(582,'Transfer Engine'!$C$2:$C$1960,0)),"",INDEX('Compliance Database'!$N$2:$N$1960,MATCH(582,'Transfer Engine'!$C$2:$C$1960,0)))</f>
        <v/>
      </c>
      <c r="O591" s="9">
        <f>IF(ISNA(MATCH(582,'Transfer Engine'!$C$2:$C$1960,0)),"",INDEX('Compliance Database'!$O$2:$O$1960,MATCH(582,'Transfer Engine'!$C$2:$C$1960,0)))</f>
        <v/>
      </c>
      <c r="P591" s="8">
        <f>IF(ISNA(MATCH(582,'Transfer Engine'!$C$2:$C$1960,0)),"",HYPERLINK("#Acts!A"&amp;INDEX('Compliance Database'!$P$2:$P$1960,MATCH(582,'Transfer Engine'!$C$2:$C$1960,0)),"Go to Act"))</f>
        <v/>
      </c>
    </row>
    <row r="592" ht="158" customHeight="1">
      <c r="A592" s="8">
        <f>IF(ISNA(MATCH(583,'Transfer Engine'!$C$2:$C$1960,0)),"",INDEX('Compliance Database'!$A$2:$A$1960,MATCH(583,'Transfer Engine'!$C$2:$C$1960,0)))</f>
        <v/>
      </c>
      <c r="B592" s="8">
        <f>IF(ISNA(MATCH(583,'Transfer Engine'!$C$2:$C$1960,0)),"",INDEX('Compliance Database'!$B$2:$B$1960,MATCH(583,'Transfer Engine'!$C$2:$C$1960,0)))</f>
        <v/>
      </c>
      <c r="C592" s="8">
        <f>IF(ISNA(MATCH(583,'Transfer Engine'!$C$2:$C$1960,0)),"",INDEX('Compliance Database'!$C$2:$C$1960,MATCH(583,'Transfer Engine'!$C$2:$C$1960,0)))</f>
        <v/>
      </c>
      <c r="D592" s="9">
        <f>IF(ISNA(MATCH(583,'Transfer Engine'!$C$2:$C$1960,0)),"",INDEX('Compliance Database'!$D$2:$D$1960,MATCH(583,'Transfer Engine'!$C$2:$C$1960,0)))</f>
        <v/>
      </c>
      <c r="E592" s="8">
        <f>IF(ISNA(MATCH(583,'Transfer Engine'!$C$2:$C$1960,0)),"",INDEX('Compliance Database'!$E$2:$E$1960,MATCH(583,'Transfer Engine'!$C$2:$C$1960,0)))</f>
        <v/>
      </c>
      <c r="F592" s="8">
        <f>IF(ISNA(MATCH(583,'Transfer Engine'!$C$2:$C$1960,0)),"",INDEX('Compliance Database'!$F$2:$F$1960,MATCH(583,'Transfer Engine'!$C$2:$C$1960,0)))</f>
        <v/>
      </c>
      <c r="G592" s="8">
        <f>IF(ISNA(MATCH(583,'Transfer Engine'!$C$2:$C$1960,0)),"",INDEX('Compliance Database'!$G$2:$G$1960,MATCH(583,'Transfer Engine'!$C$2:$C$1960,0)))</f>
        <v/>
      </c>
      <c r="H592" s="9">
        <f>IF(ISNA(MATCH(583,'Transfer Engine'!$C$2:$C$1960,0)),"",INDEX('Compliance Database'!$H$2:$H$1960,MATCH(583,'Transfer Engine'!$C$2:$C$1960,0)))</f>
        <v/>
      </c>
      <c r="I592" s="9">
        <f>IF(ISNA(MATCH(583,'Transfer Engine'!$C$2:$C$1960,0)),"",INDEX('Compliance Database'!$I$2:$I$1960,MATCH(583,'Transfer Engine'!$C$2:$C$1960,0)))</f>
        <v/>
      </c>
      <c r="J592" s="8">
        <f>IF(ISNA(MATCH(583,'Transfer Engine'!$C$2:$C$1960,0)),"",INDEX('Compliance Database'!$J$2:$J$1960,MATCH(583,'Transfer Engine'!$C$2:$C$1960,0)))</f>
        <v/>
      </c>
      <c r="K592" s="9">
        <f>IF(ISNA(MATCH(583,'Transfer Engine'!$C$2:$C$1960,0)),"",INDEX('Compliance Database'!$K$2:$K$1960,MATCH(583,'Transfer Engine'!$C$2:$C$1960,0)))</f>
        <v/>
      </c>
      <c r="L592" s="9">
        <f>IF(ISNA(MATCH(583,'Transfer Engine'!$C$2:$C$1960,0)),"",INDEX('Compliance Database'!$L$2:$L$1960,MATCH(583,'Transfer Engine'!$C$2:$C$1960,0)))</f>
        <v/>
      </c>
      <c r="M592" s="9">
        <f>IF(ISNA(MATCH(583,'Transfer Engine'!$C$2:$C$1960,0)),"",INDEX('Compliance Database'!$M$2:$M$1960,MATCH(583,'Transfer Engine'!$C$2:$C$1960,0)))</f>
        <v/>
      </c>
      <c r="N592" s="9">
        <f>IF(ISNA(MATCH(583,'Transfer Engine'!$C$2:$C$1960,0)),"",INDEX('Compliance Database'!$N$2:$N$1960,MATCH(583,'Transfer Engine'!$C$2:$C$1960,0)))</f>
        <v/>
      </c>
      <c r="O592" s="9">
        <f>IF(ISNA(MATCH(583,'Transfer Engine'!$C$2:$C$1960,0)),"",INDEX('Compliance Database'!$O$2:$O$1960,MATCH(583,'Transfer Engine'!$C$2:$C$1960,0)))</f>
        <v/>
      </c>
      <c r="P592" s="8">
        <f>IF(ISNA(MATCH(583,'Transfer Engine'!$C$2:$C$1960,0)),"",HYPERLINK("#Acts!A"&amp;INDEX('Compliance Database'!$P$2:$P$1960,MATCH(583,'Transfer Engine'!$C$2:$C$1960,0)),"Go to Act"))</f>
        <v/>
      </c>
    </row>
    <row r="593" ht="158" customHeight="1">
      <c r="A593" s="8">
        <f>IF(ISNA(MATCH(584,'Transfer Engine'!$C$2:$C$1960,0)),"",INDEX('Compliance Database'!$A$2:$A$1960,MATCH(584,'Transfer Engine'!$C$2:$C$1960,0)))</f>
        <v/>
      </c>
      <c r="B593" s="8">
        <f>IF(ISNA(MATCH(584,'Transfer Engine'!$C$2:$C$1960,0)),"",INDEX('Compliance Database'!$B$2:$B$1960,MATCH(584,'Transfer Engine'!$C$2:$C$1960,0)))</f>
        <v/>
      </c>
      <c r="C593" s="8">
        <f>IF(ISNA(MATCH(584,'Transfer Engine'!$C$2:$C$1960,0)),"",INDEX('Compliance Database'!$C$2:$C$1960,MATCH(584,'Transfer Engine'!$C$2:$C$1960,0)))</f>
        <v/>
      </c>
      <c r="D593" s="9">
        <f>IF(ISNA(MATCH(584,'Transfer Engine'!$C$2:$C$1960,0)),"",INDEX('Compliance Database'!$D$2:$D$1960,MATCH(584,'Transfer Engine'!$C$2:$C$1960,0)))</f>
        <v/>
      </c>
      <c r="E593" s="8">
        <f>IF(ISNA(MATCH(584,'Transfer Engine'!$C$2:$C$1960,0)),"",INDEX('Compliance Database'!$E$2:$E$1960,MATCH(584,'Transfer Engine'!$C$2:$C$1960,0)))</f>
        <v/>
      </c>
      <c r="F593" s="8">
        <f>IF(ISNA(MATCH(584,'Transfer Engine'!$C$2:$C$1960,0)),"",INDEX('Compliance Database'!$F$2:$F$1960,MATCH(584,'Transfer Engine'!$C$2:$C$1960,0)))</f>
        <v/>
      </c>
      <c r="G593" s="8">
        <f>IF(ISNA(MATCH(584,'Transfer Engine'!$C$2:$C$1960,0)),"",INDEX('Compliance Database'!$G$2:$G$1960,MATCH(584,'Transfer Engine'!$C$2:$C$1960,0)))</f>
        <v/>
      </c>
      <c r="H593" s="9">
        <f>IF(ISNA(MATCH(584,'Transfer Engine'!$C$2:$C$1960,0)),"",INDEX('Compliance Database'!$H$2:$H$1960,MATCH(584,'Transfer Engine'!$C$2:$C$1960,0)))</f>
        <v/>
      </c>
      <c r="I593" s="9">
        <f>IF(ISNA(MATCH(584,'Transfer Engine'!$C$2:$C$1960,0)),"",INDEX('Compliance Database'!$I$2:$I$1960,MATCH(584,'Transfer Engine'!$C$2:$C$1960,0)))</f>
        <v/>
      </c>
      <c r="J593" s="8">
        <f>IF(ISNA(MATCH(584,'Transfer Engine'!$C$2:$C$1960,0)),"",INDEX('Compliance Database'!$J$2:$J$1960,MATCH(584,'Transfer Engine'!$C$2:$C$1960,0)))</f>
        <v/>
      </c>
      <c r="K593" s="9">
        <f>IF(ISNA(MATCH(584,'Transfer Engine'!$C$2:$C$1960,0)),"",INDEX('Compliance Database'!$K$2:$K$1960,MATCH(584,'Transfer Engine'!$C$2:$C$1960,0)))</f>
        <v/>
      </c>
      <c r="L593" s="9">
        <f>IF(ISNA(MATCH(584,'Transfer Engine'!$C$2:$C$1960,0)),"",INDEX('Compliance Database'!$L$2:$L$1960,MATCH(584,'Transfer Engine'!$C$2:$C$1960,0)))</f>
        <v/>
      </c>
      <c r="M593" s="9">
        <f>IF(ISNA(MATCH(584,'Transfer Engine'!$C$2:$C$1960,0)),"",INDEX('Compliance Database'!$M$2:$M$1960,MATCH(584,'Transfer Engine'!$C$2:$C$1960,0)))</f>
        <v/>
      </c>
      <c r="N593" s="9">
        <f>IF(ISNA(MATCH(584,'Transfer Engine'!$C$2:$C$1960,0)),"",INDEX('Compliance Database'!$N$2:$N$1960,MATCH(584,'Transfer Engine'!$C$2:$C$1960,0)))</f>
        <v/>
      </c>
      <c r="O593" s="9">
        <f>IF(ISNA(MATCH(584,'Transfer Engine'!$C$2:$C$1960,0)),"",INDEX('Compliance Database'!$O$2:$O$1960,MATCH(584,'Transfer Engine'!$C$2:$C$1960,0)))</f>
        <v/>
      </c>
      <c r="P593" s="8">
        <f>IF(ISNA(MATCH(584,'Transfer Engine'!$C$2:$C$1960,0)),"",HYPERLINK("#Acts!A"&amp;INDEX('Compliance Database'!$P$2:$P$1960,MATCH(584,'Transfer Engine'!$C$2:$C$1960,0)),"Go to Act"))</f>
        <v/>
      </c>
    </row>
    <row r="594" ht="158" customHeight="1">
      <c r="A594" s="8">
        <f>IF(ISNA(MATCH(585,'Transfer Engine'!$C$2:$C$1960,0)),"",INDEX('Compliance Database'!$A$2:$A$1960,MATCH(585,'Transfer Engine'!$C$2:$C$1960,0)))</f>
        <v/>
      </c>
      <c r="B594" s="8">
        <f>IF(ISNA(MATCH(585,'Transfer Engine'!$C$2:$C$1960,0)),"",INDEX('Compliance Database'!$B$2:$B$1960,MATCH(585,'Transfer Engine'!$C$2:$C$1960,0)))</f>
        <v/>
      </c>
      <c r="C594" s="8">
        <f>IF(ISNA(MATCH(585,'Transfer Engine'!$C$2:$C$1960,0)),"",INDEX('Compliance Database'!$C$2:$C$1960,MATCH(585,'Transfer Engine'!$C$2:$C$1960,0)))</f>
        <v/>
      </c>
      <c r="D594" s="9">
        <f>IF(ISNA(MATCH(585,'Transfer Engine'!$C$2:$C$1960,0)),"",INDEX('Compliance Database'!$D$2:$D$1960,MATCH(585,'Transfer Engine'!$C$2:$C$1960,0)))</f>
        <v/>
      </c>
      <c r="E594" s="8">
        <f>IF(ISNA(MATCH(585,'Transfer Engine'!$C$2:$C$1960,0)),"",INDEX('Compliance Database'!$E$2:$E$1960,MATCH(585,'Transfer Engine'!$C$2:$C$1960,0)))</f>
        <v/>
      </c>
      <c r="F594" s="8">
        <f>IF(ISNA(MATCH(585,'Transfer Engine'!$C$2:$C$1960,0)),"",INDEX('Compliance Database'!$F$2:$F$1960,MATCH(585,'Transfer Engine'!$C$2:$C$1960,0)))</f>
        <v/>
      </c>
      <c r="G594" s="8">
        <f>IF(ISNA(MATCH(585,'Transfer Engine'!$C$2:$C$1960,0)),"",INDEX('Compliance Database'!$G$2:$G$1960,MATCH(585,'Transfer Engine'!$C$2:$C$1960,0)))</f>
        <v/>
      </c>
      <c r="H594" s="9">
        <f>IF(ISNA(MATCH(585,'Transfer Engine'!$C$2:$C$1960,0)),"",INDEX('Compliance Database'!$H$2:$H$1960,MATCH(585,'Transfer Engine'!$C$2:$C$1960,0)))</f>
        <v/>
      </c>
      <c r="I594" s="9">
        <f>IF(ISNA(MATCH(585,'Transfer Engine'!$C$2:$C$1960,0)),"",INDEX('Compliance Database'!$I$2:$I$1960,MATCH(585,'Transfer Engine'!$C$2:$C$1960,0)))</f>
        <v/>
      </c>
      <c r="J594" s="8">
        <f>IF(ISNA(MATCH(585,'Transfer Engine'!$C$2:$C$1960,0)),"",INDEX('Compliance Database'!$J$2:$J$1960,MATCH(585,'Transfer Engine'!$C$2:$C$1960,0)))</f>
        <v/>
      </c>
      <c r="K594" s="9">
        <f>IF(ISNA(MATCH(585,'Transfer Engine'!$C$2:$C$1960,0)),"",INDEX('Compliance Database'!$K$2:$K$1960,MATCH(585,'Transfer Engine'!$C$2:$C$1960,0)))</f>
        <v/>
      </c>
      <c r="L594" s="9">
        <f>IF(ISNA(MATCH(585,'Transfer Engine'!$C$2:$C$1960,0)),"",INDEX('Compliance Database'!$L$2:$L$1960,MATCH(585,'Transfer Engine'!$C$2:$C$1960,0)))</f>
        <v/>
      </c>
      <c r="M594" s="9">
        <f>IF(ISNA(MATCH(585,'Transfer Engine'!$C$2:$C$1960,0)),"",INDEX('Compliance Database'!$M$2:$M$1960,MATCH(585,'Transfer Engine'!$C$2:$C$1960,0)))</f>
        <v/>
      </c>
      <c r="N594" s="9">
        <f>IF(ISNA(MATCH(585,'Transfer Engine'!$C$2:$C$1960,0)),"",INDEX('Compliance Database'!$N$2:$N$1960,MATCH(585,'Transfer Engine'!$C$2:$C$1960,0)))</f>
        <v/>
      </c>
      <c r="O594" s="9">
        <f>IF(ISNA(MATCH(585,'Transfer Engine'!$C$2:$C$1960,0)),"",INDEX('Compliance Database'!$O$2:$O$1960,MATCH(585,'Transfer Engine'!$C$2:$C$1960,0)))</f>
        <v/>
      </c>
      <c r="P594" s="8">
        <f>IF(ISNA(MATCH(585,'Transfer Engine'!$C$2:$C$1960,0)),"",HYPERLINK("#Acts!A"&amp;INDEX('Compliance Database'!$P$2:$P$1960,MATCH(585,'Transfer Engine'!$C$2:$C$1960,0)),"Go to Act"))</f>
        <v/>
      </c>
    </row>
    <row r="595" ht="158" customHeight="1">
      <c r="A595" s="8">
        <f>IF(ISNA(MATCH(586,'Transfer Engine'!$C$2:$C$1960,0)),"",INDEX('Compliance Database'!$A$2:$A$1960,MATCH(586,'Transfer Engine'!$C$2:$C$1960,0)))</f>
        <v/>
      </c>
      <c r="B595" s="8">
        <f>IF(ISNA(MATCH(586,'Transfer Engine'!$C$2:$C$1960,0)),"",INDEX('Compliance Database'!$B$2:$B$1960,MATCH(586,'Transfer Engine'!$C$2:$C$1960,0)))</f>
        <v/>
      </c>
      <c r="C595" s="8">
        <f>IF(ISNA(MATCH(586,'Transfer Engine'!$C$2:$C$1960,0)),"",INDEX('Compliance Database'!$C$2:$C$1960,MATCH(586,'Transfer Engine'!$C$2:$C$1960,0)))</f>
        <v/>
      </c>
      <c r="D595" s="9">
        <f>IF(ISNA(MATCH(586,'Transfer Engine'!$C$2:$C$1960,0)),"",INDEX('Compliance Database'!$D$2:$D$1960,MATCH(586,'Transfer Engine'!$C$2:$C$1960,0)))</f>
        <v/>
      </c>
      <c r="E595" s="8">
        <f>IF(ISNA(MATCH(586,'Transfer Engine'!$C$2:$C$1960,0)),"",INDEX('Compliance Database'!$E$2:$E$1960,MATCH(586,'Transfer Engine'!$C$2:$C$1960,0)))</f>
        <v/>
      </c>
      <c r="F595" s="8">
        <f>IF(ISNA(MATCH(586,'Transfer Engine'!$C$2:$C$1960,0)),"",INDEX('Compliance Database'!$F$2:$F$1960,MATCH(586,'Transfer Engine'!$C$2:$C$1960,0)))</f>
        <v/>
      </c>
      <c r="G595" s="8">
        <f>IF(ISNA(MATCH(586,'Transfer Engine'!$C$2:$C$1960,0)),"",INDEX('Compliance Database'!$G$2:$G$1960,MATCH(586,'Transfer Engine'!$C$2:$C$1960,0)))</f>
        <v/>
      </c>
      <c r="H595" s="9">
        <f>IF(ISNA(MATCH(586,'Transfer Engine'!$C$2:$C$1960,0)),"",INDEX('Compliance Database'!$H$2:$H$1960,MATCH(586,'Transfer Engine'!$C$2:$C$1960,0)))</f>
        <v/>
      </c>
      <c r="I595" s="9">
        <f>IF(ISNA(MATCH(586,'Transfer Engine'!$C$2:$C$1960,0)),"",INDEX('Compliance Database'!$I$2:$I$1960,MATCH(586,'Transfer Engine'!$C$2:$C$1960,0)))</f>
        <v/>
      </c>
      <c r="J595" s="8">
        <f>IF(ISNA(MATCH(586,'Transfer Engine'!$C$2:$C$1960,0)),"",INDEX('Compliance Database'!$J$2:$J$1960,MATCH(586,'Transfer Engine'!$C$2:$C$1960,0)))</f>
        <v/>
      </c>
      <c r="K595" s="9">
        <f>IF(ISNA(MATCH(586,'Transfer Engine'!$C$2:$C$1960,0)),"",INDEX('Compliance Database'!$K$2:$K$1960,MATCH(586,'Transfer Engine'!$C$2:$C$1960,0)))</f>
        <v/>
      </c>
      <c r="L595" s="9">
        <f>IF(ISNA(MATCH(586,'Transfer Engine'!$C$2:$C$1960,0)),"",INDEX('Compliance Database'!$L$2:$L$1960,MATCH(586,'Transfer Engine'!$C$2:$C$1960,0)))</f>
        <v/>
      </c>
      <c r="M595" s="9">
        <f>IF(ISNA(MATCH(586,'Transfer Engine'!$C$2:$C$1960,0)),"",INDEX('Compliance Database'!$M$2:$M$1960,MATCH(586,'Transfer Engine'!$C$2:$C$1960,0)))</f>
        <v/>
      </c>
      <c r="N595" s="9">
        <f>IF(ISNA(MATCH(586,'Transfer Engine'!$C$2:$C$1960,0)),"",INDEX('Compliance Database'!$N$2:$N$1960,MATCH(586,'Transfer Engine'!$C$2:$C$1960,0)))</f>
        <v/>
      </c>
      <c r="O595" s="9">
        <f>IF(ISNA(MATCH(586,'Transfer Engine'!$C$2:$C$1960,0)),"",INDEX('Compliance Database'!$O$2:$O$1960,MATCH(586,'Transfer Engine'!$C$2:$C$1960,0)))</f>
        <v/>
      </c>
      <c r="P595" s="8">
        <f>IF(ISNA(MATCH(586,'Transfer Engine'!$C$2:$C$1960,0)),"",HYPERLINK("#Acts!A"&amp;INDEX('Compliance Database'!$P$2:$P$1960,MATCH(586,'Transfer Engine'!$C$2:$C$1960,0)),"Go to Act"))</f>
        <v/>
      </c>
    </row>
    <row r="596" ht="158" customHeight="1">
      <c r="A596" s="8">
        <f>IF(ISNA(MATCH(587,'Transfer Engine'!$C$2:$C$1960,0)),"",INDEX('Compliance Database'!$A$2:$A$1960,MATCH(587,'Transfer Engine'!$C$2:$C$1960,0)))</f>
        <v/>
      </c>
      <c r="B596" s="8">
        <f>IF(ISNA(MATCH(587,'Transfer Engine'!$C$2:$C$1960,0)),"",INDEX('Compliance Database'!$B$2:$B$1960,MATCH(587,'Transfer Engine'!$C$2:$C$1960,0)))</f>
        <v/>
      </c>
      <c r="C596" s="8">
        <f>IF(ISNA(MATCH(587,'Transfer Engine'!$C$2:$C$1960,0)),"",INDEX('Compliance Database'!$C$2:$C$1960,MATCH(587,'Transfer Engine'!$C$2:$C$1960,0)))</f>
        <v/>
      </c>
      <c r="D596" s="9">
        <f>IF(ISNA(MATCH(587,'Transfer Engine'!$C$2:$C$1960,0)),"",INDEX('Compliance Database'!$D$2:$D$1960,MATCH(587,'Transfer Engine'!$C$2:$C$1960,0)))</f>
        <v/>
      </c>
      <c r="E596" s="8">
        <f>IF(ISNA(MATCH(587,'Transfer Engine'!$C$2:$C$1960,0)),"",INDEX('Compliance Database'!$E$2:$E$1960,MATCH(587,'Transfer Engine'!$C$2:$C$1960,0)))</f>
        <v/>
      </c>
      <c r="F596" s="8">
        <f>IF(ISNA(MATCH(587,'Transfer Engine'!$C$2:$C$1960,0)),"",INDEX('Compliance Database'!$F$2:$F$1960,MATCH(587,'Transfer Engine'!$C$2:$C$1960,0)))</f>
        <v/>
      </c>
      <c r="G596" s="8">
        <f>IF(ISNA(MATCH(587,'Transfer Engine'!$C$2:$C$1960,0)),"",INDEX('Compliance Database'!$G$2:$G$1960,MATCH(587,'Transfer Engine'!$C$2:$C$1960,0)))</f>
        <v/>
      </c>
      <c r="H596" s="9">
        <f>IF(ISNA(MATCH(587,'Transfer Engine'!$C$2:$C$1960,0)),"",INDEX('Compliance Database'!$H$2:$H$1960,MATCH(587,'Transfer Engine'!$C$2:$C$1960,0)))</f>
        <v/>
      </c>
      <c r="I596" s="9">
        <f>IF(ISNA(MATCH(587,'Transfer Engine'!$C$2:$C$1960,0)),"",INDEX('Compliance Database'!$I$2:$I$1960,MATCH(587,'Transfer Engine'!$C$2:$C$1960,0)))</f>
        <v/>
      </c>
      <c r="J596" s="8">
        <f>IF(ISNA(MATCH(587,'Transfer Engine'!$C$2:$C$1960,0)),"",INDEX('Compliance Database'!$J$2:$J$1960,MATCH(587,'Transfer Engine'!$C$2:$C$1960,0)))</f>
        <v/>
      </c>
      <c r="K596" s="9">
        <f>IF(ISNA(MATCH(587,'Transfer Engine'!$C$2:$C$1960,0)),"",INDEX('Compliance Database'!$K$2:$K$1960,MATCH(587,'Transfer Engine'!$C$2:$C$1960,0)))</f>
        <v/>
      </c>
      <c r="L596" s="9">
        <f>IF(ISNA(MATCH(587,'Transfer Engine'!$C$2:$C$1960,0)),"",INDEX('Compliance Database'!$L$2:$L$1960,MATCH(587,'Transfer Engine'!$C$2:$C$1960,0)))</f>
        <v/>
      </c>
      <c r="M596" s="9">
        <f>IF(ISNA(MATCH(587,'Transfer Engine'!$C$2:$C$1960,0)),"",INDEX('Compliance Database'!$M$2:$M$1960,MATCH(587,'Transfer Engine'!$C$2:$C$1960,0)))</f>
        <v/>
      </c>
      <c r="N596" s="9">
        <f>IF(ISNA(MATCH(587,'Transfer Engine'!$C$2:$C$1960,0)),"",INDEX('Compliance Database'!$N$2:$N$1960,MATCH(587,'Transfer Engine'!$C$2:$C$1960,0)))</f>
        <v/>
      </c>
      <c r="O596" s="9">
        <f>IF(ISNA(MATCH(587,'Transfer Engine'!$C$2:$C$1960,0)),"",INDEX('Compliance Database'!$O$2:$O$1960,MATCH(587,'Transfer Engine'!$C$2:$C$1960,0)))</f>
        <v/>
      </c>
      <c r="P596" s="8">
        <f>IF(ISNA(MATCH(587,'Transfer Engine'!$C$2:$C$1960,0)),"",HYPERLINK("#Acts!A"&amp;INDEX('Compliance Database'!$P$2:$P$1960,MATCH(587,'Transfer Engine'!$C$2:$C$1960,0)),"Go to Act"))</f>
        <v/>
      </c>
    </row>
    <row r="597" ht="158" customHeight="1">
      <c r="A597" s="8">
        <f>IF(ISNA(MATCH(588,'Transfer Engine'!$C$2:$C$1960,0)),"",INDEX('Compliance Database'!$A$2:$A$1960,MATCH(588,'Transfer Engine'!$C$2:$C$1960,0)))</f>
        <v/>
      </c>
      <c r="B597" s="8">
        <f>IF(ISNA(MATCH(588,'Transfer Engine'!$C$2:$C$1960,0)),"",INDEX('Compliance Database'!$B$2:$B$1960,MATCH(588,'Transfer Engine'!$C$2:$C$1960,0)))</f>
        <v/>
      </c>
      <c r="C597" s="8">
        <f>IF(ISNA(MATCH(588,'Transfer Engine'!$C$2:$C$1960,0)),"",INDEX('Compliance Database'!$C$2:$C$1960,MATCH(588,'Transfer Engine'!$C$2:$C$1960,0)))</f>
        <v/>
      </c>
      <c r="D597" s="9">
        <f>IF(ISNA(MATCH(588,'Transfer Engine'!$C$2:$C$1960,0)),"",INDEX('Compliance Database'!$D$2:$D$1960,MATCH(588,'Transfer Engine'!$C$2:$C$1960,0)))</f>
        <v/>
      </c>
      <c r="E597" s="8">
        <f>IF(ISNA(MATCH(588,'Transfer Engine'!$C$2:$C$1960,0)),"",INDEX('Compliance Database'!$E$2:$E$1960,MATCH(588,'Transfer Engine'!$C$2:$C$1960,0)))</f>
        <v/>
      </c>
      <c r="F597" s="8">
        <f>IF(ISNA(MATCH(588,'Transfer Engine'!$C$2:$C$1960,0)),"",INDEX('Compliance Database'!$F$2:$F$1960,MATCH(588,'Transfer Engine'!$C$2:$C$1960,0)))</f>
        <v/>
      </c>
      <c r="G597" s="8">
        <f>IF(ISNA(MATCH(588,'Transfer Engine'!$C$2:$C$1960,0)),"",INDEX('Compliance Database'!$G$2:$G$1960,MATCH(588,'Transfer Engine'!$C$2:$C$1960,0)))</f>
        <v/>
      </c>
      <c r="H597" s="9">
        <f>IF(ISNA(MATCH(588,'Transfer Engine'!$C$2:$C$1960,0)),"",INDEX('Compliance Database'!$H$2:$H$1960,MATCH(588,'Transfer Engine'!$C$2:$C$1960,0)))</f>
        <v/>
      </c>
      <c r="I597" s="9">
        <f>IF(ISNA(MATCH(588,'Transfer Engine'!$C$2:$C$1960,0)),"",INDEX('Compliance Database'!$I$2:$I$1960,MATCH(588,'Transfer Engine'!$C$2:$C$1960,0)))</f>
        <v/>
      </c>
      <c r="J597" s="8">
        <f>IF(ISNA(MATCH(588,'Transfer Engine'!$C$2:$C$1960,0)),"",INDEX('Compliance Database'!$J$2:$J$1960,MATCH(588,'Transfer Engine'!$C$2:$C$1960,0)))</f>
        <v/>
      </c>
      <c r="K597" s="9">
        <f>IF(ISNA(MATCH(588,'Transfer Engine'!$C$2:$C$1960,0)),"",INDEX('Compliance Database'!$K$2:$K$1960,MATCH(588,'Transfer Engine'!$C$2:$C$1960,0)))</f>
        <v/>
      </c>
      <c r="L597" s="9">
        <f>IF(ISNA(MATCH(588,'Transfer Engine'!$C$2:$C$1960,0)),"",INDEX('Compliance Database'!$L$2:$L$1960,MATCH(588,'Transfer Engine'!$C$2:$C$1960,0)))</f>
        <v/>
      </c>
      <c r="M597" s="9">
        <f>IF(ISNA(MATCH(588,'Transfer Engine'!$C$2:$C$1960,0)),"",INDEX('Compliance Database'!$M$2:$M$1960,MATCH(588,'Transfer Engine'!$C$2:$C$1960,0)))</f>
        <v/>
      </c>
      <c r="N597" s="9">
        <f>IF(ISNA(MATCH(588,'Transfer Engine'!$C$2:$C$1960,0)),"",INDEX('Compliance Database'!$N$2:$N$1960,MATCH(588,'Transfer Engine'!$C$2:$C$1960,0)))</f>
        <v/>
      </c>
      <c r="O597" s="9">
        <f>IF(ISNA(MATCH(588,'Transfer Engine'!$C$2:$C$1960,0)),"",INDEX('Compliance Database'!$O$2:$O$1960,MATCH(588,'Transfer Engine'!$C$2:$C$1960,0)))</f>
        <v/>
      </c>
      <c r="P597" s="8">
        <f>IF(ISNA(MATCH(588,'Transfer Engine'!$C$2:$C$1960,0)),"",HYPERLINK("#Acts!A"&amp;INDEX('Compliance Database'!$P$2:$P$1960,MATCH(588,'Transfer Engine'!$C$2:$C$1960,0)),"Go to Act"))</f>
        <v/>
      </c>
    </row>
    <row r="598" ht="158" customHeight="1">
      <c r="A598" s="8">
        <f>IF(ISNA(MATCH(589,'Transfer Engine'!$C$2:$C$1960,0)),"",INDEX('Compliance Database'!$A$2:$A$1960,MATCH(589,'Transfer Engine'!$C$2:$C$1960,0)))</f>
        <v/>
      </c>
      <c r="B598" s="8">
        <f>IF(ISNA(MATCH(589,'Transfer Engine'!$C$2:$C$1960,0)),"",INDEX('Compliance Database'!$B$2:$B$1960,MATCH(589,'Transfer Engine'!$C$2:$C$1960,0)))</f>
        <v/>
      </c>
      <c r="C598" s="8">
        <f>IF(ISNA(MATCH(589,'Transfer Engine'!$C$2:$C$1960,0)),"",INDEX('Compliance Database'!$C$2:$C$1960,MATCH(589,'Transfer Engine'!$C$2:$C$1960,0)))</f>
        <v/>
      </c>
      <c r="D598" s="9">
        <f>IF(ISNA(MATCH(589,'Transfer Engine'!$C$2:$C$1960,0)),"",INDEX('Compliance Database'!$D$2:$D$1960,MATCH(589,'Transfer Engine'!$C$2:$C$1960,0)))</f>
        <v/>
      </c>
      <c r="E598" s="8">
        <f>IF(ISNA(MATCH(589,'Transfer Engine'!$C$2:$C$1960,0)),"",INDEX('Compliance Database'!$E$2:$E$1960,MATCH(589,'Transfer Engine'!$C$2:$C$1960,0)))</f>
        <v/>
      </c>
      <c r="F598" s="8">
        <f>IF(ISNA(MATCH(589,'Transfer Engine'!$C$2:$C$1960,0)),"",INDEX('Compliance Database'!$F$2:$F$1960,MATCH(589,'Transfer Engine'!$C$2:$C$1960,0)))</f>
        <v/>
      </c>
      <c r="G598" s="8">
        <f>IF(ISNA(MATCH(589,'Transfer Engine'!$C$2:$C$1960,0)),"",INDEX('Compliance Database'!$G$2:$G$1960,MATCH(589,'Transfer Engine'!$C$2:$C$1960,0)))</f>
        <v/>
      </c>
      <c r="H598" s="9">
        <f>IF(ISNA(MATCH(589,'Transfer Engine'!$C$2:$C$1960,0)),"",INDEX('Compliance Database'!$H$2:$H$1960,MATCH(589,'Transfer Engine'!$C$2:$C$1960,0)))</f>
        <v/>
      </c>
      <c r="I598" s="9">
        <f>IF(ISNA(MATCH(589,'Transfer Engine'!$C$2:$C$1960,0)),"",INDEX('Compliance Database'!$I$2:$I$1960,MATCH(589,'Transfer Engine'!$C$2:$C$1960,0)))</f>
        <v/>
      </c>
      <c r="J598" s="8">
        <f>IF(ISNA(MATCH(589,'Transfer Engine'!$C$2:$C$1960,0)),"",INDEX('Compliance Database'!$J$2:$J$1960,MATCH(589,'Transfer Engine'!$C$2:$C$1960,0)))</f>
        <v/>
      </c>
      <c r="K598" s="9">
        <f>IF(ISNA(MATCH(589,'Transfer Engine'!$C$2:$C$1960,0)),"",INDEX('Compliance Database'!$K$2:$K$1960,MATCH(589,'Transfer Engine'!$C$2:$C$1960,0)))</f>
        <v/>
      </c>
      <c r="L598" s="9">
        <f>IF(ISNA(MATCH(589,'Transfer Engine'!$C$2:$C$1960,0)),"",INDEX('Compliance Database'!$L$2:$L$1960,MATCH(589,'Transfer Engine'!$C$2:$C$1960,0)))</f>
        <v/>
      </c>
      <c r="M598" s="9">
        <f>IF(ISNA(MATCH(589,'Transfer Engine'!$C$2:$C$1960,0)),"",INDEX('Compliance Database'!$M$2:$M$1960,MATCH(589,'Transfer Engine'!$C$2:$C$1960,0)))</f>
        <v/>
      </c>
      <c r="N598" s="9">
        <f>IF(ISNA(MATCH(589,'Transfer Engine'!$C$2:$C$1960,0)),"",INDEX('Compliance Database'!$N$2:$N$1960,MATCH(589,'Transfer Engine'!$C$2:$C$1960,0)))</f>
        <v/>
      </c>
      <c r="O598" s="9">
        <f>IF(ISNA(MATCH(589,'Transfer Engine'!$C$2:$C$1960,0)),"",INDEX('Compliance Database'!$O$2:$O$1960,MATCH(589,'Transfer Engine'!$C$2:$C$1960,0)))</f>
        <v/>
      </c>
      <c r="P598" s="8">
        <f>IF(ISNA(MATCH(589,'Transfer Engine'!$C$2:$C$1960,0)),"",HYPERLINK("#Acts!A"&amp;INDEX('Compliance Database'!$P$2:$P$1960,MATCH(589,'Transfer Engine'!$C$2:$C$1960,0)),"Go to Act"))</f>
        <v/>
      </c>
    </row>
    <row r="599" ht="158" customHeight="1">
      <c r="A599" s="8">
        <f>IF(ISNA(MATCH(590,'Transfer Engine'!$C$2:$C$1960,0)),"",INDEX('Compliance Database'!$A$2:$A$1960,MATCH(590,'Transfer Engine'!$C$2:$C$1960,0)))</f>
        <v/>
      </c>
      <c r="B599" s="8">
        <f>IF(ISNA(MATCH(590,'Transfer Engine'!$C$2:$C$1960,0)),"",INDEX('Compliance Database'!$B$2:$B$1960,MATCH(590,'Transfer Engine'!$C$2:$C$1960,0)))</f>
        <v/>
      </c>
      <c r="C599" s="8">
        <f>IF(ISNA(MATCH(590,'Transfer Engine'!$C$2:$C$1960,0)),"",INDEX('Compliance Database'!$C$2:$C$1960,MATCH(590,'Transfer Engine'!$C$2:$C$1960,0)))</f>
        <v/>
      </c>
      <c r="D599" s="9">
        <f>IF(ISNA(MATCH(590,'Transfer Engine'!$C$2:$C$1960,0)),"",INDEX('Compliance Database'!$D$2:$D$1960,MATCH(590,'Transfer Engine'!$C$2:$C$1960,0)))</f>
        <v/>
      </c>
      <c r="E599" s="8">
        <f>IF(ISNA(MATCH(590,'Transfer Engine'!$C$2:$C$1960,0)),"",INDEX('Compliance Database'!$E$2:$E$1960,MATCH(590,'Transfer Engine'!$C$2:$C$1960,0)))</f>
        <v/>
      </c>
      <c r="F599" s="8">
        <f>IF(ISNA(MATCH(590,'Transfer Engine'!$C$2:$C$1960,0)),"",INDEX('Compliance Database'!$F$2:$F$1960,MATCH(590,'Transfer Engine'!$C$2:$C$1960,0)))</f>
        <v/>
      </c>
      <c r="G599" s="8">
        <f>IF(ISNA(MATCH(590,'Transfer Engine'!$C$2:$C$1960,0)),"",INDEX('Compliance Database'!$G$2:$G$1960,MATCH(590,'Transfer Engine'!$C$2:$C$1960,0)))</f>
        <v/>
      </c>
      <c r="H599" s="9">
        <f>IF(ISNA(MATCH(590,'Transfer Engine'!$C$2:$C$1960,0)),"",INDEX('Compliance Database'!$H$2:$H$1960,MATCH(590,'Transfer Engine'!$C$2:$C$1960,0)))</f>
        <v/>
      </c>
      <c r="I599" s="9">
        <f>IF(ISNA(MATCH(590,'Transfer Engine'!$C$2:$C$1960,0)),"",INDEX('Compliance Database'!$I$2:$I$1960,MATCH(590,'Transfer Engine'!$C$2:$C$1960,0)))</f>
        <v/>
      </c>
      <c r="J599" s="8">
        <f>IF(ISNA(MATCH(590,'Transfer Engine'!$C$2:$C$1960,0)),"",INDEX('Compliance Database'!$J$2:$J$1960,MATCH(590,'Transfer Engine'!$C$2:$C$1960,0)))</f>
        <v/>
      </c>
      <c r="K599" s="9">
        <f>IF(ISNA(MATCH(590,'Transfer Engine'!$C$2:$C$1960,0)),"",INDEX('Compliance Database'!$K$2:$K$1960,MATCH(590,'Transfer Engine'!$C$2:$C$1960,0)))</f>
        <v/>
      </c>
      <c r="L599" s="9">
        <f>IF(ISNA(MATCH(590,'Transfer Engine'!$C$2:$C$1960,0)),"",INDEX('Compliance Database'!$L$2:$L$1960,MATCH(590,'Transfer Engine'!$C$2:$C$1960,0)))</f>
        <v/>
      </c>
      <c r="M599" s="9">
        <f>IF(ISNA(MATCH(590,'Transfer Engine'!$C$2:$C$1960,0)),"",INDEX('Compliance Database'!$M$2:$M$1960,MATCH(590,'Transfer Engine'!$C$2:$C$1960,0)))</f>
        <v/>
      </c>
      <c r="N599" s="9">
        <f>IF(ISNA(MATCH(590,'Transfer Engine'!$C$2:$C$1960,0)),"",INDEX('Compliance Database'!$N$2:$N$1960,MATCH(590,'Transfer Engine'!$C$2:$C$1960,0)))</f>
        <v/>
      </c>
      <c r="O599" s="9">
        <f>IF(ISNA(MATCH(590,'Transfer Engine'!$C$2:$C$1960,0)),"",INDEX('Compliance Database'!$O$2:$O$1960,MATCH(590,'Transfer Engine'!$C$2:$C$1960,0)))</f>
        <v/>
      </c>
      <c r="P599" s="8">
        <f>IF(ISNA(MATCH(590,'Transfer Engine'!$C$2:$C$1960,0)),"",HYPERLINK("#Acts!A"&amp;INDEX('Compliance Database'!$P$2:$P$1960,MATCH(590,'Transfer Engine'!$C$2:$C$1960,0)),"Go to Act"))</f>
        <v/>
      </c>
    </row>
    <row r="600" ht="158" customHeight="1">
      <c r="A600" s="8">
        <f>IF(ISNA(MATCH(591,'Transfer Engine'!$C$2:$C$1960,0)),"",INDEX('Compliance Database'!$A$2:$A$1960,MATCH(591,'Transfer Engine'!$C$2:$C$1960,0)))</f>
        <v/>
      </c>
      <c r="B600" s="8">
        <f>IF(ISNA(MATCH(591,'Transfer Engine'!$C$2:$C$1960,0)),"",INDEX('Compliance Database'!$B$2:$B$1960,MATCH(591,'Transfer Engine'!$C$2:$C$1960,0)))</f>
        <v/>
      </c>
      <c r="C600" s="8">
        <f>IF(ISNA(MATCH(591,'Transfer Engine'!$C$2:$C$1960,0)),"",INDEX('Compliance Database'!$C$2:$C$1960,MATCH(591,'Transfer Engine'!$C$2:$C$1960,0)))</f>
        <v/>
      </c>
      <c r="D600" s="9">
        <f>IF(ISNA(MATCH(591,'Transfer Engine'!$C$2:$C$1960,0)),"",INDEX('Compliance Database'!$D$2:$D$1960,MATCH(591,'Transfer Engine'!$C$2:$C$1960,0)))</f>
        <v/>
      </c>
      <c r="E600" s="8">
        <f>IF(ISNA(MATCH(591,'Transfer Engine'!$C$2:$C$1960,0)),"",INDEX('Compliance Database'!$E$2:$E$1960,MATCH(591,'Transfer Engine'!$C$2:$C$1960,0)))</f>
        <v/>
      </c>
      <c r="F600" s="8">
        <f>IF(ISNA(MATCH(591,'Transfer Engine'!$C$2:$C$1960,0)),"",INDEX('Compliance Database'!$F$2:$F$1960,MATCH(591,'Transfer Engine'!$C$2:$C$1960,0)))</f>
        <v/>
      </c>
      <c r="G600" s="8">
        <f>IF(ISNA(MATCH(591,'Transfer Engine'!$C$2:$C$1960,0)),"",INDEX('Compliance Database'!$G$2:$G$1960,MATCH(591,'Transfer Engine'!$C$2:$C$1960,0)))</f>
        <v/>
      </c>
      <c r="H600" s="9">
        <f>IF(ISNA(MATCH(591,'Transfer Engine'!$C$2:$C$1960,0)),"",INDEX('Compliance Database'!$H$2:$H$1960,MATCH(591,'Transfer Engine'!$C$2:$C$1960,0)))</f>
        <v/>
      </c>
      <c r="I600" s="9">
        <f>IF(ISNA(MATCH(591,'Transfer Engine'!$C$2:$C$1960,0)),"",INDEX('Compliance Database'!$I$2:$I$1960,MATCH(591,'Transfer Engine'!$C$2:$C$1960,0)))</f>
        <v/>
      </c>
      <c r="J600" s="8">
        <f>IF(ISNA(MATCH(591,'Transfer Engine'!$C$2:$C$1960,0)),"",INDEX('Compliance Database'!$J$2:$J$1960,MATCH(591,'Transfer Engine'!$C$2:$C$1960,0)))</f>
        <v/>
      </c>
      <c r="K600" s="9">
        <f>IF(ISNA(MATCH(591,'Transfer Engine'!$C$2:$C$1960,0)),"",INDEX('Compliance Database'!$K$2:$K$1960,MATCH(591,'Transfer Engine'!$C$2:$C$1960,0)))</f>
        <v/>
      </c>
      <c r="L600" s="9">
        <f>IF(ISNA(MATCH(591,'Transfer Engine'!$C$2:$C$1960,0)),"",INDEX('Compliance Database'!$L$2:$L$1960,MATCH(591,'Transfer Engine'!$C$2:$C$1960,0)))</f>
        <v/>
      </c>
      <c r="M600" s="9">
        <f>IF(ISNA(MATCH(591,'Transfer Engine'!$C$2:$C$1960,0)),"",INDEX('Compliance Database'!$M$2:$M$1960,MATCH(591,'Transfer Engine'!$C$2:$C$1960,0)))</f>
        <v/>
      </c>
      <c r="N600" s="9">
        <f>IF(ISNA(MATCH(591,'Transfer Engine'!$C$2:$C$1960,0)),"",INDEX('Compliance Database'!$N$2:$N$1960,MATCH(591,'Transfer Engine'!$C$2:$C$1960,0)))</f>
        <v/>
      </c>
      <c r="O600" s="9">
        <f>IF(ISNA(MATCH(591,'Transfer Engine'!$C$2:$C$1960,0)),"",INDEX('Compliance Database'!$O$2:$O$1960,MATCH(591,'Transfer Engine'!$C$2:$C$1960,0)))</f>
        <v/>
      </c>
      <c r="P600" s="8">
        <f>IF(ISNA(MATCH(591,'Transfer Engine'!$C$2:$C$1960,0)),"",HYPERLINK("#Acts!A"&amp;INDEX('Compliance Database'!$P$2:$P$1960,MATCH(591,'Transfer Engine'!$C$2:$C$1960,0)),"Go to Act"))</f>
        <v/>
      </c>
    </row>
    <row r="601" ht="158" customHeight="1">
      <c r="A601" s="8">
        <f>IF(ISNA(MATCH(592,'Transfer Engine'!$C$2:$C$1960,0)),"",INDEX('Compliance Database'!$A$2:$A$1960,MATCH(592,'Transfer Engine'!$C$2:$C$1960,0)))</f>
        <v/>
      </c>
      <c r="B601" s="8">
        <f>IF(ISNA(MATCH(592,'Transfer Engine'!$C$2:$C$1960,0)),"",INDEX('Compliance Database'!$B$2:$B$1960,MATCH(592,'Transfer Engine'!$C$2:$C$1960,0)))</f>
        <v/>
      </c>
      <c r="C601" s="8">
        <f>IF(ISNA(MATCH(592,'Transfer Engine'!$C$2:$C$1960,0)),"",INDEX('Compliance Database'!$C$2:$C$1960,MATCH(592,'Transfer Engine'!$C$2:$C$1960,0)))</f>
        <v/>
      </c>
      <c r="D601" s="9">
        <f>IF(ISNA(MATCH(592,'Transfer Engine'!$C$2:$C$1960,0)),"",INDEX('Compliance Database'!$D$2:$D$1960,MATCH(592,'Transfer Engine'!$C$2:$C$1960,0)))</f>
        <v/>
      </c>
      <c r="E601" s="8">
        <f>IF(ISNA(MATCH(592,'Transfer Engine'!$C$2:$C$1960,0)),"",INDEX('Compliance Database'!$E$2:$E$1960,MATCH(592,'Transfer Engine'!$C$2:$C$1960,0)))</f>
        <v/>
      </c>
      <c r="F601" s="8">
        <f>IF(ISNA(MATCH(592,'Transfer Engine'!$C$2:$C$1960,0)),"",INDEX('Compliance Database'!$F$2:$F$1960,MATCH(592,'Transfer Engine'!$C$2:$C$1960,0)))</f>
        <v/>
      </c>
      <c r="G601" s="8">
        <f>IF(ISNA(MATCH(592,'Transfer Engine'!$C$2:$C$1960,0)),"",INDEX('Compliance Database'!$G$2:$G$1960,MATCH(592,'Transfer Engine'!$C$2:$C$1960,0)))</f>
        <v/>
      </c>
      <c r="H601" s="9">
        <f>IF(ISNA(MATCH(592,'Transfer Engine'!$C$2:$C$1960,0)),"",INDEX('Compliance Database'!$H$2:$H$1960,MATCH(592,'Transfer Engine'!$C$2:$C$1960,0)))</f>
        <v/>
      </c>
      <c r="I601" s="9">
        <f>IF(ISNA(MATCH(592,'Transfer Engine'!$C$2:$C$1960,0)),"",INDEX('Compliance Database'!$I$2:$I$1960,MATCH(592,'Transfer Engine'!$C$2:$C$1960,0)))</f>
        <v/>
      </c>
      <c r="J601" s="8">
        <f>IF(ISNA(MATCH(592,'Transfer Engine'!$C$2:$C$1960,0)),"",INDEX('Compliance Database'!$J$2:$J$1960,MATCH(592,'Transfer Engine'!$C$2:$C$1960,0)))</f>
        <v/>
      </c>
      <c r="K601" s="9">
        <f>IF(ISNA(MATCH(592,'Transfer Engine'!$C$2:$C$1960,0)),"",INDEX('Compliance Database'!$K$2:$K$1960,MATCH(592,'Transfer Engine'!$C$2:$C$1960,0)))</f>
        <v/>
      </c>
      <c r="L601" s="9">
        <f>IF(ISNA(MATCH(592,'Transfer Engine'!$C$2:$C$1960,0)),"",INDEX('Compliance Database'!$L$2:$L$1960,MATCH(592,'Transfer Engine'!$C$2:$C$1960,0)))</f>
        <v/>
      </c>
      <c r="M601" s="9">
        <f>IF(ISNA(MATCH(592,'Transfer Engine'!$C$2:$C$1960,0)),"",INDEX('Compliance Database'!$M$2:$M$1960,MATCH(592,'Transfer Engine'!$C$2:$C$1960,0)))</f>
        <v/>
      </c>
      <c r="N601" s="9">
        <f>IF(ISNA(MATCH(592,'Transfer Engine'!$C$2:$C$1960,0)),"",INDEX('Compliance Database'!$N$2:$N$1960,MATCH(592,'Transfer Engine'!$C$2:$C$1960,0)))</f>
        <v/>
      </c>
      <c r="O601" s="9">
        <f>IF(ISNA(MATCH(592,'Transfer Engine'!$C$2:$C$1960,0)),"",INDEX('Compliance Database'!$O$2:$O$1960,MATCH(592,'Transfer Engine'!$C$2:$C$1960,0)))</f>
        <v/>
      </c>
      <c r="P601" s="8">
        <f>IF(ISNA(MATCH(592,'Transfer Engine'!$C$2:$C$1960,0)),"",HYPERLINK("#Acts!A"&amp;INDEX('Compliance Database'!$P$2:$P$1960,MATCH(592,'Transfer Engine'!$C$2:$C$1960,0)),"Go to Act"))</f>
        <v/>
      </c>
    </row>
    <row r="602" ht="158" customHeight="1">
      <c r="A602" s="8">
        <f>IF(ISNA(MATCH(593,'Transfer Engine'!$C$2:$C$1960,0)),"",INDEX('Compliance Database'!$A$2:$A$1960,MATCH(593,'Transfer Engine'!$C$2:$C$1960,0)))</f>
        <v/>
      </c>
      <c r="B602" s="8">
        <f>IF(ISNA(MATCH(593,'Transfer Engine'!$C$2:$C$1960,0)),"",INDEX('Compliance Database'!$B$2:$B$1960,MATCH(593,'Transfer Engine'!$C$2:$C$1960,0)))</f>
        <v/>
      </c>
      <c r="C602" s="8">
        <f>IF(ISNA(MATCH(593,'Transfer Engine'!$C$2:$C$1960,0)),"",INDEX('Compliance Database'!$C$2:$C$1960,MATCH(593,'Transfer Engine'!$C$2:$C$1960,0)))</f>
        <v/>
      </c>
      <c r="D602" s="9">
        <f>IF(ISNA(MATCH(593,'Transfer Engine'!$C$2:$C$1960,0)),"",INDEX('Compliance Database'!$D$2:$D$1960,MATCH(593,'Transfer Engine'!$C$2:$C$1960,0)))</f>
        <v/>
      </c>
      <c r="E602" s="8">
        <f>IF(ISNA(MATCH(593,'Transfer Engine'!$C$2:$C$1960,0)),"",INDEX('Compliance Database'!$E$2:$E$1960,MATCH(593,'Transfer Engine'!$C$2:$C$1960,0)))</f>
        <v/>
      </c>
      <c r="F602" s="8">
        <f>IF(ISNA(MATCH(593,'Transfer Engine'!$C$2:$C$1960,0)),"",INDEX('Compliance Database'!$F$2:$F$1960,MATCH(593,'Transfer Engine'!$C$2:$C$1960,0)))</f>
        <v/>
      </c>
      <c r="G602" s="8">
        <f>IF(ISNA(MATCH(593,'Transfer Engine'!$C$2:$C$1960,0)),"",INDEX('Compliance Database'!$G$2:$G$1960,MATCH(593,'Transfer Engine'!$C$2:$C$1960,0)))</f>
        <v/>
      </c>
      <c r="H602" s="9">
        <f>IF(ISNA(MATCH(593,'Transfer Engine'!$C$2:$C$1960,0)),"",INDEX('Compliance Database'!$H$2:$H$1960,MATCH(593,'Transfer Engine'!$C$2:$C$1960,0)))</f>
        <v/>
      </c>
      <c r="I602" s="9">
        <f>IF(ISNA(MATCH(593,'Transfer Engine'!$C$2:$C$1960,0)),"",INDEX('Compliance Database'!$I$2:$I$1960,MATCH(593,'Transfer Engine'!$C$2:$C$1960,0)))</f>
        <v/>
      </c>
      <c r="J602" s="8">
        <f>IF(ISNA(MATCH(593,'Transfer Engine'!$C$2:$C$1960,0)),"",INDEX('Compliance Database'!$J$2:$J$1960,MATCH(593,'Transfer Engine'!$C$2:$C$1960,0)))</f>
        <v/>
      </c>
      <c r="K602" s="9">
        <f>IF(ISNA(MATCH(593,'Transfer Engine'!$C$2:$C$1960,0)),"",INDEX('Compliance Database'!$K$2:$K$1960,MATCH(593,'Transfer Engine'!$C$2:$C$1960,0)))</f>
        <v/>
      </c>
      <c r="L602" s="9">
        <f>IF(ISNA(MATCH(593,'Transfer Engine'!$C$2:$C$1960,0)),"",INDEX('Compliance Database'!$L$2:$L$1960,MATCH(593,'Transfer Engine'!$C$2:$C$1960,0)))</f>
        <v/>
      </c>
      <c r="M602" s="9">
        <f>IF(ISNA(MATCH(593,'Transfer Engine'!$C$2:$C$1960,0)),"",INDEX('Compliance Database'!$M$2:$M$1960,MATCH(593,'Transfer Engine'!$C$2:$C$1960,0)))</f>
        <v/>
      </c>
      <c r="N602" s="9">
        <f>IF(ISNA(MATCH(593,'Transfer Engine'!$C$2:$C$1960,0)),"",INDEX('Compliance Database'!$N$2:$N$1960,MATCH(593,'Transfer Engine'!$C$2:$C$1960,0)))</f>
        <v/>
      </c>
      <c r="O602" s="9">
        <f>IF(ISNA(MATCH(593,'Transfer Engine'!$C$2:$C$1960,0)),"",INDEX('Compliance Database'!$O$2:$O$1960,MATCH(593,'Transfer Engine'!$C$2:$C$1960,0)))</f>
        <v/>
      </c>
      <c r="P602" s="8">
        <f>IF(ISNA(MATCH(593,'Transfer Engine'!$C$2:$C$1960,0)),"",HYPERLINK("#Acts!A"&amp;INDEX('Compliance Database'!$P$2:$P$1960,MATCH(593,'Transfer Engine'!$C$2:$C$1960,0)),"Go to Act"))</f>
        <v/>
      </c>
    </row>
    <row r="603" ht="158" customHeight="1">
      <c r="A603" s="8">
        <f>IF(ISNA(MATCH(594,'Transfer Engine'!$C$2:$C$1960,0)),"",INDEX('Compliance Database'!$A$2:$A$1960,MATCH(594,'Transfer Engine'!$C$2:$C$1960,0)))</f>
        <v/>
      </c>
      <c r="B603" s="8">
        <f>IF(ISNA(MATCH(594,'Transfer Engine'!$C$2:$C$1960,0)),"",INDEX('Compliance Database'!$B$2:$B$1960,MATCH(594,'Transfer Engine'!$C$2:$C$1960,0)))</f>
        <v/>
      </c>
      <c r="C603" s="8">
        <f>IF(ISNA(MATCH(594,'Transfer Engine'!$C$2:$C$1960,0)),"",INDEX('Compliance Database'!$C$2:$C$1960,MATCH(594,'Transfer Engine'!$C$2:$C$1960,0)))</f>
        <v/>
      </c>
      <c r="D603" s="9">
        <f>IF(ISNA(MATCH(594,'Transfer Engine'!$C$2:$C$1960,0)),"",INDEX('Compliance Database'!$D$2:$D$1960,MATCH(594,'Transfer Engine'!$C$2:$C$1960,0)))</f>
        <v/>
      </c>
      <c r="E603" s="8">
        <f>IF(ISNA(MATCH(594,'Transfer Engine'!$C$2:$C$1960,0)),"",INDEX('Compliance Database'!$E$2:$E$1960,MATCH(594,'Transfer Engine'!$C$2:$C$1960,0)))</f>
        <v/>
      </c>
      <c r="F603" s="8">
        <f>IF(ISNA(MATCH(594,'Transfer Engine'!$C$2:$C$1960,0)),"",INDEX('Compliance Database'!$F$2:$F$1960,MATCH(594,'Transfer Engine'!$C$2:$C$1960,0)))</f>
        <v/>
      </c>
      <c r="G603" s="8">
        <f>IF(ISNA(MATCH(594,'Transfer Engine'!$C$2:$C$1960,0)),"",INDEX('Compliance Database'!$G$2:$G$1960,MATCH(594,'Transfer Engine'!$C$2:$C$1960,0)))</f>
        <v/>
      </c>
      <c r="H603" s="9">
        <f>IF(ISNA(MATCH(594,'Transfer Engine'!$C$2:$C$1960,0)),"",INDEX('Compliance Database'!$H$2:$H$1960,MATCH(594,'Transfer Engine'!$C$2:$C$1960,0)))</f>
        <v/>
      </c>
      <c r="I603" s="9">
        <f>IF(ISNA(MATCH(594,'Transfer Engine'!$C$2:$C$1960,0)),"",INDEX('Compliance Database'!$I$2:$I$1960,MATCH(594,'Transfer Engine'!$C$2:$C$1960,0)))</f>
        <v/>
      </c>
      <c r="J603" s="8">
        <f>IF(ISNA(MATCH(594,'Transfer Engine'!$C$2:$C$1960,0)),"",INDEX('Compliance Database'!$J$2:$J$1960,MATCH(594,'Transfer Engine'!$C$2:$C$1960,0)))</f>
        <v/>
      </c>
      <c r="K603" s="9">
        <f>IF(ISNA(MATCH(594,'Transfer Engine'!$C$2:$C$1960,0)),"",INDEX('Compliance Database'!$K$2:$K$1960,MATCH(594,'Transfer Engine'!$C$2:$C$1960,0)))</f>
        <v/>
      </c>
      <c r="L603" s="9">
        <f>IF(ISNA(MATCH(594,'Transfer Engine'!$C$2:$C$1960,0)),"",INDEX('Compliance Database'!$L$2:$L$1960,MATCH(594,'Transfer Engine'!$C$2:$C$1960,0)))</f>
        <v/>
      </c>
      <c r="M603" s="9">
        <f>IF(ISNA(MATCH(594,'Transfer Engine'!$C$2:$C$1960,0)),"",INDEX('Compliance Database'!$M$2:$M$1960,MATCH(594,'Transfer Engine'!$C$2:$C$1960,0)))</f>
        <v/>
      </c>
      <c r="N603" s="9">
        <f>IF(ISNA(MATCH(594,'Transfer Engine'!$C$2:$C$1960,0)),"",INDEX('Compliance Database'!$N$2:$N$1960,MATCH(594,'Transfer Engine'!$C$2:$C$1960,0)))</f>
        <v/>
      </c>
      <c r="O603" s="9">
        <f>IF(ISNA(MATCH(594,'Transfer Engine'!$C$2:$C$1960,0)),"",INDEX('Compliance Database'!$O$2:$O$1960,MATCH(594,'Transfer Engine'!$C$2:$C$1960,0)))</f>
        <v/>
      </c>
      <c r="P603" s="8">
        <f>IF(ISNA(MATCH(594,'Transfer Engine'!$C$2:$C$1960,0)),"",HYPERLINK("#Acts!A"&amp;INDEX('Compliance Database'!$P$2:$P$1960,MATCH(594,'Transfer Engine'!$C$2:$C$1960,0)),"Go to Act"))</f>
        <v/>
      </c>
    </row>
    <row r="604" ht="158" customHeight="1">
      <c r="A604" s="8">
        <f>IF(ISNA(MATCH(595,'Transfer Engine'!$C$2:$C$1960,0)),"",INDEX('Compliance Database'!$A$2:$A$1960,MATCH(595,'Transfer Engine'!$C$2:$C$1960,0)))</f>
        <v/>
      </c>
      <c r="B604" s="8">
        <f>IF(ISNA(MATCH(595,'Transfer Engine'!$C$2:$C$1960,0)),"",INDEX('Compliance Database'!$B$2:$B$1960,MATCH(595,'Transfer Engine'!$C$2:$C$1960,0)))</f>
        <v/>
      </c>
      <c r="C604" s="8">
        <f>IF(ISNA(MATCH(595,'Transfer Engine'!$C$2:$C$1960,0)),"",INDEX('Compliance Database'!$C$2:$C$1960,MATCH(595,'Transfer Engine'!$C$2:$C$1960,0)))</f>
        <v/>
      </c>
      <c r="D604" s="9">
        <f>IF(ISNA(MATCH(595,'Transfer Engine'!$C$2:$C$1960,0)),"",INDEX('Compliance Database'!$D$2:$D$1960,MATCH(595,'Transfer Engine'!$C$2:$C$1960,0)))</f>
        <v/>
      </c>
      <c r="E604" s="8">
        <f>IF(ISNA(MATCH(595,'Transfer Engine'!$C$2:$C$1960,0)),"",INDEX('Compliance Database'!$E$2:$E$1960,MATCH(595,'Transfer Engine'!$C$2:$C$1960,0)))</f>
        <v/>
      </c>
      <c r="F604" s="8">
        <f>IF(ISNA(MATCH(595,'Transfer Engine'!$C$2:$C$1960,0)),"",INDEX('Compliance Database'!$F$2:$F$1960,MATCH(595,'Transfer Engine'!$C$2:$C$1960,0)))</f>
        <v/>
      </c>
      <c r="G604" s="8">
        <f>IF(ISNA(MATCH(595,'Transfer Engine'!$C$2:$C$1960,0)),"",INDEX('Compliance Database'!$G$2:$G$1960,MATCH(595,'Transfer Engine'!$C$2:$C$1960,0)))</f>
        <v/>
      </c>
      <c r="H604" s="9">
        <f>IF(ISNA(MATCH(595,'Transfer Engine'!$C$2:$C$1960,0)),"",INDEX('Compliance Database'!$H$2:$H$1960,MATCH(595,'Transfer Engine'!$C$2:$C$1960,0)))</f>
        <v/>
      </c>
      <c r="I604" s="9">
        <f>IF(ISNA(MATCH(595,'Transfer Engine'!$C$2:$C$1960,0)),"",INDEX('Compliance Database'!$I$2:$I$1960,MATCH(595,'Transfer Engine'!$C$2:$C$1960,0)))</f>
        <v/>
      </c>
      <c r="J604" s="8">
        <f>IF(ISNA(MATCH(595,'Transfer Engine'!$C$2:$C$1960,0)),"",INDEX('Compliance Database'!$J$2:$J$1960,MATCH(595,'Transfer Engine'!$C$2:$C$1960,0)))</f>
        <v/>
      </c>
      <c r="K604" s="9">
        <f>IF(ISNA(MATCH(595,'Transfer Engine'!$C$2:$C$1960,0)),"",INDEX('Compliance Database'!$K$2:$K$1960,MATCH(595,'Transfer Engine'!$C$2:$C$1960,0)))</f>
        <v/>
      </c>
      <c r="L604" s="9">
        <f>IF(ISNA(MATCH(595,'Transfer Engine'!$C$2:$C$1960,0)),"",INDEX('Compliance Database'!$L$2:$L$1960,MATCH(595,'Transfer Engine'!$C$2:$C$1960,0)))</f>
        <v/>
      </c>
      <c r="M604" s="9">
        <f>IF(ISNA(MATCH(595,'Transfer Engine'!$C$2:$C$1960,0)),"",INDEX('Compliance Database'!$M$2:$M$1960,MATCH(595,'Transfer Engine'!$C$2:$C$1960,0)))</f>
        <v/>
      </c>
      <c r="N604" s="9">
        <f>IF(ISNA(MATCH(595,'Transfer Engine'!$C$2:$C$1960,0)),"",INDEX('Compliance Database'!$N$2:$N$1960,MATCH(595,'Transfer Engine'!$C$2:$C$1960,0)))</f>
        <v/>
      </c>
      <c r="O604" s="9">
        <f>IF(ISNA(MATCH(595,'Transfer Engine'!$C$2:$C$1960,0)),"",INDEX('Compliance Database'!$O$2:$O$1960,MATCH(595,'Transfer Engine'!$C$2:$C$1960,0)))</f>
        <v/>
      </c>
      <c r="P604" s="8">
        <f>IF(ISNA(MATCH(595,'Transfer Engine'!$C$2:$C$1960,0)),"",HYPERLINK("#Acts!A"&amp;INDEX('Compliance Database'!$P$2:$P$1960,MATCH(595,'Transfer Engine'!$C$2:$C$1960,0)),"Go to Act"))</f>
        <v/>
      </c>
    </row>
    <row r="605" ht="158" customHeight="1">
      <c r="A605" s="8">
        <f>IF(ISNA(MATCH(596,'Transfer Engine'!$C$2:$C$1960,0)),"",INDEX('Compliance Database'!$A$2:$A$1960,MATCH(596,'Transfer Engine'!$C$2:$C$1960,0)))</f>
        <v/>
      </c>
      <c r="B605" s="8">
        <f>IF(ISNA(MATCH(596,'Transfer Engine'!$C$2:$C$1960,0)),"",INDEX('Compliance Database'!$B$2:$B$1960,MATCH(596,'Transfer Engine'!$C$2:$C$1960,0)))</f>
        <v/>
      </c>
      <c r="C605" s="8">
        <f>IF(ISNA(MATCH(596,'Transfer Engine'!$C$2:$C$1960,0)),"",INDEX('Compliance Database'!$C$2:$C$1960,MATCH(596,'Transfer Engine'!$C$2:$C$1960,0)))</f>
        <v/>
      </c>
      <c r="D605" s="9">
        <f>IF(ISNA(MATCH(596,'Transfer Engine'!$C$2:$C$1960,0)),"",INDEX('Compliance Database'!$D$2:$D$1960,MATCH(596,'Transfer Engine'!$C$2:$C$1960,0)))</f>
        <v/>
      </c>
      <c r="E605" s="8">
        <f>IF(ISNA(MATCH(596,'Transfer Engine'!$C$2:$C$1960,0)),"",INDEX('Compliance Database'!$E$2:$E$1960,MATCH(596,'Transfer Engine'!$C$2:$C$1960,0)))</f>
        <v/>
      </c>
      <c r="F605" s="8">
        <f>IF(ISNA(MATCH(596,'Transfer Engine'!$C$2:$C$1960,0)),"",INDEX('Compliance Database'!$F$2:$F$1960,MATCH(596,'Transfer Engine'!$C$2:$C$1960,0)))</f>
        <v/>
      </c>
      <c r="G605" s="8">
        <f>IF(ISNA(MATCH(596,'Transfer Engine'!$C$2:$C$1960,0)),"",INDEX('Compliance Database'!$G$2:$G$1960,MATCH(596,'Transfer Engine'!$C$2:$C$1960,0)))</f>
        <v/>
      </c>
      <c r="H605" s="9">
        <f>IF(ISNA(MATCH(596,'Transfer Engine'!$C$2:$C$1960,0)),"",INDEX('Compliance Database'!$H$2:$H$1960,MATCH(596,'Transfer Engine'!$C$2:$C$1960,0)))</f>
        <v/>
      </c>
      <c r="I605" s="9">
        <f>IF(ISNA(MATCH(596,'Transfer Engine'!$C$2:$C$1960,0)),"",INDEX('Compliance Database'!$I$2:$I$1960,MATCH(596,'Transfer Engine'!$C$2:$C$1960,0)))</f>
        <v/>
      </c>
      <c r="J605" s="8">
        <f>IF(ISNA(MATCH(596,'Transfer Engine'!$C$2:$C$1960,0)),"",INDEX('Compliance Database'!$J$2:$J$1960,MATCH(596,'Transfer Engine'!$C$2:$C$1960,0)))</f>
        <v/>
      </c>
      <c r="K605" s="9">
        <f>IF(ISNA(MATCH(596,'Transfer Engine'!$C$2:$C$1960,0)),"",INDEX('Compliance Database'!$K$2:$K$1960,MATCH(596,'Transfer Engine'!$C$2:$C$1960,0)))</f>
        <v/>
      </c>
      <c r="L605" s="9">
        <f>IF(ISNA(MATCH(596,'Transfer Engine'!$C$2:$C$1960,0)),"",INDEX('Compliance Database'!$L$2:$L$1960,MATCH(596,'Transfer Engine'!$C$2:$C$1960,0)))</f>
        <v/>
      </c>
      <c r="M605" s="9">
        <f>IF(ISNA(MATCH(596,'Transfer Engine'!$C$2:$C$1960,0)),"",INDEX('Compliance Database'!$M$2:$M$1960,MATCH(596,'Transfer Engine'!$C$2:$C$1960,0)))</f>
        <v/>
      </c>
      <c r="N605" s="9">
        <f>IF(ISNA(MATCH(596,'Transfer Engine'!$C$2:$C$1960,0)),"",INDEX('Compliance Database'!$N$2:$N$1960,MATCH(596,'Transfer Engine'!$C$2:$C$1960,0)))</f>
        <v/>
      </c>
      <c r="O605" s="9">
        <f>IF(ISNA(MATCH(596,'Transfer Engine'!$C$2:$C$1960,0)),"",INDEX('Compliance Database'!$O$2:$O$1960,MATCH(596,'Transfer Engine'!$C$2:$C$1960,0)))</f>
        <v/>
      </c>
      <c r="P605" s="8">
        <f>IF(ISNA(MATCH(596,'Transfer Engine'!$C$2:$C$1960,0)),"",HYPERLINK("#Acts!A"&amp;INDEX('Compliance Database'!$P$2:$P$1960,MATCH(596,'Transfer Engine'!$C$2:$C$1960,0)),"Go to Act"))</f>
        <v/>
      </c>
    </row>
    <row r="606" ht="158" customHeight="1">
      <c r="A606" s="8">
        <f>IF(ISNA(MATCH(597,'Transfer Engine'!$C$2:$C$1960,0)),"",INDEX('Compliance Database'!$A$2:$A$1960,MATCH(597,'Transfer Engine'!$C$2:$C$1960,0)))</f>
        <v/>
      </c>
      <c r="B606" s="8">
        <f>IF(ISNA(MATCH(597,'Transfer Engine'!$C$2:$C$1960,0)),"",INDEX('Compliance Database'!$B$2:$B$1960,MATCH(597,'Transfer Engine'!$C$2:$C$1960,0)))</f>
        <v/>
      </c>
      <c r="C606" s="8">
        <f>IF(ISNA(MATCH(597,'Transfer Engine'!$C$2:$C$1960,0)),"",INDEX('Compliance Database'!$C$2:$C$1960,MATCH(597,'Transfer Engine'!$C$2:$C$1960,0)))</f>
        <v/>
      </c>
      <c r="D606" s="9">
        <f>IF(ISNA(MATCH(597,'Transfer Engine'!$C$2:$C$1960,0)),"",INDEX('Compliance Database'!$D$2:$D$1960,MATCH(597,'Transfer Engine'!$C$2:$C$1960,0)))</f>
        <v/>
      </c>
      <c r="E606" s="8">
        <f>IF(ISNA(MATCH(597,'Transfer Engine'!$C$2:$C$1960,0)),"",INDEX('Compliance Database'!$E$2:$E$1960,MATCH(597,'Transfer Engine'!$C$2:$C$1960,0)))</f>
        <v/>
      </c>
      <c r="F606" s="8">
        <f>IF(ISNA(MATCH(597,'Transfer Engine'!$C$2:$C$1960,0)),"",INDEX('Compliance Database'!$F$2:$F$1960,MATCH(597,'Transfer Engine'!$C$2:$C$1960,0)))</f>
        <v/>
      </c>
      <c r="G606" s="8">
        <f>IF(ISNA(MATCH(597,'Transfer Engine'!$C$2:$C$1960,0)),"",INDEX('Compliance Database'!$G$2:$G$1960,MATCH(597,'Transfer Engine'!$C$2:$C$1960,0)))</f>
        <v/>
      </c>
      <c r="H606" s="9">
        <f>IF(ISNA(MATCH(597,'Transfer Engine'!$C$2:$C$1960,0)),"",INDEX('Compliance Database'!$H$2:$H$1960,MATCH(597,'Transfer Engine'!$C$2:$C$1960,0)))</f>
        <v/>
      </c>
      <c r="I606" s="9">
        <f>IF(ISNA(MATCH(597,'Transfer Engine'!$C$2:$C$1960,0)),"",INDEX('Compliance Database'!$I$2:$I$1960,MATCH(597,'Transfer Engine'!$C$2:$C$1960,0)))</f>
        <v/>
      </c>
      <c r="J606" s="8">
        <f>IF(ISNA(MATCH(597,'Transfer Engine'!$C$2:$C$1960,0)),"",INDEX('Compliance Database'!$J$2:$J$1960,MATCH(597,'Transfer Engine'!$C$2:$C$1960,0)))</f>
        <v/>
      </c>
      <c r="K606" s="9">
        <f>IF(ISNA(MATCH(597,'Transfer Engine'!$C$2:$C$1960,0)),"",INDEX('Compliance Database'!$K$2:$K$1960,MATCH(597,'Transfer Engine'!$C$2:$C$1960,0)))</f>
        <v/>
      </c>
      <c r="L606" s="9">
        <f>IF(ISNA(MATCH(597,'Transfer Engine'!$C$2:$C$1960,0)),"",INDEX('Compliance Database'!$L$2:$L$1960,MATCH(597,'Transfer Engine'!$C$2:$C$1960,0)))</f>
        <v/>
      </c>
      <c r="M606" s="9">
        <f>IF(ISNA(MATCH(597,'Transfer Engine'!$C$2:$C$1960,0)),"",INDEX('Compliance Database'!$M$2:$M$1960,MATCH(597,'Transfer Engine'!$C$2:$C$1960,0)))</f>
        <v/>
      </c>
      <c r="N606" s="9">
        <f>IF(ISNA(MATCH(597,'Transfer Engine'!$C$2:$C$1960,0)),"",INDEX('Compliance Database'!$N$2:$N$1960,MATCH(597,'Transfer Engine'!$C$2:$C$1960,0)))</f>
        <v/>
      </c>
      <c r="O606" s="9">
        <f>IF(ISNA(MATCH(597,'Transfer Engine'!$C$2:$C$1960,0)),"",INDEX('Compliance Database'!$O$2:$O$1960,MATCH(597,'Transfer Engine'!$C$2:$C$1960,0)))</f>
        <v/>
      </c>
      <c r="P606" s="8">
        <f>IF(ISNA(MATCH(597,'Transfer Engine'!$C$2:$C$1960,0)),"",HYPERLINK("#Acts!A"&amp;INDEX('Compliance Database'!$P$2:$P$1960,MATCH(597,'Transfer Engine'!$C$2:$C$1960,0)),"Go to Act"))</f>
        <v/>
      </c>
    </row>
    <row r="607" ht="158" customHeight="1">
      <c r="A607" s="8">
        <f>IF(ISNA(MATCH(598,'Transfer Engine'!$C$2:$C$1960,0)),"",INDEX('Compliance Database'!$A$2:$A$1960,MATCH(598,'Transfer Engine'!$C$2:$C$1960,0)))</f>
        <v/>
      </c>
      <c r="B607" s="8">
        <f>IF(ISNA(MATCH(598,'Transfer Engine'!$C$2:$C$1960,0)),"",INDEX('Compliance Database'!$B$2:$B$1960,MATCH(598,'Transfer Engine'!$C$2:$C$1960,0)))</f>
        <v/>
      </c>
      <c r="C607" s="8">
        <f>IF(ISNA(MATCH(598,'Transfer Engine'!$C$2:$C$1960,0)),"",INDEX('Compliance Database'!$C$2:$C$1960,MATCH(598,'Transfer Engine'!$C$2:$C$1960,0)))</f>
        <v/>
      </c>
      <c r="D607" s="9">
        <f>IF(ISNA(MATCH(598,'Transfer Engine'!$C$2:$C$1960,0)),"",INDEX('Compliance Database'!$D$2:$D$1960,MATCH(598,'Transfer Engine'!$C$2:$C$1960,0)))</f>
        <v/>
      </c>
      <c r="E607" s="8">
        <f>IF(ISNA(MATCH(598,'Transfer Engine'!$C$2:$C$1960,0)),"",INDEX('Compliance Database'!$E$2:$E$1960,MATCH(598,'Transfer Engine'!$C$2:$C$1960,0)))</f>
        <v/>
      </c>
      <c r="F607" s="8">
        <f>IF(ISNA(MATCH(598,'Transfer Engine'!$C$2:$C$1960,0)),"",INDEX('Compliance Database'!$F$2:$F$1960,MATCH(598,'Transfer Engine'!$C$2:$C$1960,0)))</f>
        <v/>
      </c>
      <c r="G607" s="8">
        <f>IF(ISNA(MATCH(598,'Transfer Engine'!$C$2:$C$1960,0)),"",INDEX('Compliance Database'!$G$2:$G$1960,MATCH(598,'Transfer Engine'!$C$2:$C$1960,0)))</f>
        <v/>
      </c>
      <c r="H607" s="9">
        <f>IF(ISNA(MATCH(598,'Transfer Engine'!$C$2:$C$1960,0)),"",INDEX('Compliance Database'!$H$2:$H$1960,MATCH(598,'Transfer Engine'!$C$2:$C$1960,0)))</f>
        <v/>
      </c>
      <c r="I607" s="9">
        <f>IF(ISNA(MATCH(598,'Transfer Engine'!$C$2:$C$1960,0)),"",INDEX('Compliance Database'!$I$2:$I$1960,MATCH(598,'Transfer Engine'!$C$2:$C$1960,0)))</f>
        <v/>
      </c>
      <c r="J607" s="8">
        <f>IF(ISNA(MATCH(598,'Transfer Engine'!$C$2:$C$1960,0)),"",INDEX('Compliance Database'!$J$2:$J$1960,MATCH(598,'Transfer Engine'!$C$2:$C$1960,0)))</f>
        <v/>
      </c>
      <c r="K607" s="9">
        <f>IF(ISNA(MATCH(598,'Transfer Engine'!$C$2:$C$1960,0)),"",INDEX('Compliance Database'!$K$2:$K$1960,MATCH(598,'Transfer Engine'!$C$2:$C$1960,0)))</f>
        <v/>
      </c>
      <c r="L607" s="9">
        <f>IF(ISNA(MATCH(598,'Transfer Engine'!$C$2:$C$1960,0)),"",INDEX('Compliance Database'!$L$2:$L$1960,MATCH(598,'Transfer Engine'!$C$2:$C$1960,0)))</f>
        <v/>
      </c>
      <c r="M607" s="9">
        <f>IF(ISNA(MATCH(598,'Transfer Engine'!$C$2:$C$1960,0)),"",INDEX('Compliance Database'!$M$2:$M$1960,MATCH(598,'Transfer Engine'!$C$2:$C$1960,0)))</f>
        <v/>
      </c>
      <c r="N607" s="9">
        <f>IF(ISNA(MATCH(598,'Transfer Engine'!$C$2:$C$1960,0)),"",INDEX('Compliance Database'!$N$2:$N$1960,MATCH(598,'Transfer Engine'!$C$2:$C$1960,0)))</f>
        <v/>
      </c>
      <c r="O607" s="9">
        <f>IF(ISNA(MATCH(598,'Transfer Engine'!$C$2:$C$1960,0)),"",INDEX('Compliance Database'!$O$2:$O$1960,MATCH(598,'Transfer Engine'!$C$2:$C$1960,0)))</f>
        <v/>
      </c>
      <c r="P607" s="8">
        <f>IF(ISNA(MATCH(598,'Transfer Engine'!$C$2:$C$1960,0)),"",HYPERLINK("#Acts!A"&amp;INDEX('Compliance Database'!$P$2:$P$1960,MATCH(598,'Transfer Engine'!$C$2:$C$1960,0)),"Go to Act"))</f>
        <v/>
      </c>
    </row>
    <row r="608" ht="158" customHeight="1">
      <c r="A608" s="8">
        <f>IF(ISNA(MATCH(599,'Transfer Engine'!$C$2:$C$1960,0)),"",INDEX('Compliance Database'!$A$2:$A$1960,MATCH(599,'Transfer Engine'!$C$2:$C$1960,0)))</f>
        <v/>
      </c>
      <c r="B608" s="8">
        <f>IF(ISNA(MATCH(599,'Transfer Engine'!$C$2:$C$1960,0)),"",INDEX('Compliance Database'!$B$2:$B$1960,MATCH(599,'Transfer Engine'!$C$2:$C$1960,0)))</f>
        <v/>
      </c>
      <c r="C608" s="8">
        <f>IF(ISNA(MATCH(599,'Transfer Engine'!$C$2:$C$1960,0)),"",INDEX('Compliance Database'!$C$2:$C$1960,MATCH(599,'Transfer Engine'!$C$2:$C$1960,0)))</f>
        <v/>
      </c>
      <c r="D608" s="9">
        <f>IF(ISNA(MATCH(599,'Transfer Engine'!$C$2:$C$1960,0)),"",INDEX('Compliance Database'!$D$2:$D$1960,MATCH(599,'Transfer Engine'!$C$2:$C$1960,0)))</f>
        <v/>
      </c>
      <c r="E608" s="8">
        <f>IF(ISNA(MATCH(599,'Transfer Engine'!$C$2:$C$1960,0)),"",INDEX('Compliance Database'!$E$2:$E$1960,MATCH(599,'Transfer Engine'!$C$2:$C$1960,0)))</f>
        <v/>
      </c>
      <c r="F608" s="8">
        <f>IF(ISNA(MATCH(599,'Transfer Engine'!$C$2:$C$1960,0)),"",INDEX('Compliance Database'!$F$2:$F$1960,MATCH(599,'Transfer Engine'!$C$2:$C$1960,0)))</f>
        <v/>
      </c>
      <c r="G608" s="8">
        <f>IF(ISNA(MATCH(599,'Transfer Engine'!$C$2:$C$1960,0)),"",INDEX('Compliance Database'!$G$2:$G$1960,MATCH(599,'Transfer Engine'!$C$2:$C$1960,0)))</f>
        <v/>
      </c>
      <c r="H608" s="9">
        <f>IF(ISNA(MATCH(599,'Transfer Engine'!$C$2:$C$1960,0)),"",INDEX('Compliance Database'!$H$2:$H$1960,MATCH(599,'Transfer Engine'!$C$2:$C$1960,0)))</f>
        <v/>
      </c>
      <c r="I608" s="9">
        <f>IF(ISNA(MATCH(599,'Transfer Engine'!$C$2:$C$1960,0)),"",INDEX('Compliance Database'!$I$2:$I$1960,MATCH(599,'Transfer Engine'!$C$2:$C$1960,0)))</f>
        <v/>
      </c>
      <c r="J608" s="8">
        <f>IF(ISNA(MATCH(599,'Transfer Engine'!$C$2:$C$1960,0)),"",INDEX('Compliance Database'!$J$2:$J$1960,MATCH(599,'Transfer Engine'!$C$2:$C$1960,0)))</f>
        <v/>
      </c>
      <c r="K608" s="9">
        <f>IF(ISNA(MATCH(599,'Transfer Engine'!$C$2:$C$1960,0)),"",INDEX('Compliance Database'!$K$2:$K$1960,MATCH(599,'Transfer Engine'!$C$2:$C$1960,0)))</f>
        <v/>
      </c>
      <c r="L608" s="9">
        <f>IF(ISNA(MATCH(599,'Transfer Engine'!$C$2:$C$1960,0)),"",INDEX('Compliance Database'!$L$2:$L$1960,MATCH(599,'Transfer Engine'!$C$2:$C$1960,0)))</f>
        <v/>
      </c>
      <c r="M608" s="9">
        <f>IF(ISNA(MATCH(599,'Transfer Engine'!$C$2:$C$1960,0)),"",INDEX('Compliance Database'!$M$2:$M$1960,MATCH(599,'Transfer Engine'!$C$2:$C$1960,0)))</f>
        <v/>
      </c>
      <c r="N608" s="9">
        <f>IF(ISNA(MATCH(599,'Transfer Engine'!$C$2:$C$1960,0)),"",INDEX('Compliance Database'!$N$2:$N$1960,MATCH(599,'Transfer Engine'!$C$2:$C$1960,0)))</f>
        <v/>
      </c>
      <c r="O608" s="9">
        <f>IF(ISNA(MATCH(599,'Transfer Engine'!$C$2:$C$1960,0)),"",INDEX('Compliance Database'!$O$2:$O$1960,MATCH(599,'Transfer Engine'!$C$2:$C$1960,0)))</f>
        <v/>
      </c>
      <c r="P608" s="8">
        <f>IF(ISNA(MATCH(599,'Transfer Engine'!$C$2:$C$1960,0)),"",HYPERLINK("#Acts!A"&amp;INDEX('Compliance Database'!$P$2:$P$1960,MATCH(599,'Transfer Engine'!$C$2:$C$1960,0)),"Go to Act"))</f>
        <v/>
      </c>
    </row>
    <row r="609" ht="158" customHeight="1">
      <c r="A609" s="8">
        <f>IF(ISNA(MATCH(600,'Transfer Engine'!$C$2:$C$1960,0)),"",INDEX('Compliance Database'!$A$2:$A$1960,MATCH(600,'Transfer Engine'!$C$2:$C$1960,0)))</f>
        <v/>
      </c>
      <c r="B609" s="8">
        <f>IF(ISNA(MATCH(600,'Transfer Engine'!$C$2:$C$1960,0)),"",INDEX('Compliance Database'!$B$2:$B$1960,MATCH(600,'Transfer Engine'!$C$2:$C$1960,0)))</f>
        <v/>
      </c>
      <c r="C609" s="8">
        <f>IF(ISNA(MATCH(600,'Transfer Engine'!$C$2:$C$1960,0)),"",INDEX('Compliance Database'!$C$2:$C$1960,MATCH(600,'Transfer Engine'!$C$2:$C$1960,0)))</f>
        <v/>
      </c>
      <c r="D609" s="9">
        <f>IF(ISNA(MATCH(600,'Transfer Engine'!$C$2:$C$1960,0)),"",INDEX('Compliance Database'!$D$2:$D$1960,MATCH(600,'Transfer Engine'!$C$2:$C$1960,0)))</f>
        <v/>
      </c>
      <c r="E609" s="8">
        <f>IF(ISNA(MATCH(600,'Transfer Engine'!$C$2:$C$1960,0)),"",INDEX('Compliance Database'!$E$2:$E$1960,MATCH(600,'Transfer Engine'!$C$2:$C$1960,0)))</f>
        <v/>
      </c>
      <c r="F609" s="8">
        <f>IF(ISNA(MATCH(600,'Transfer Engine'!$C$2:$C$1960,0)),"",INDEX('Compliance Database'!$F$2:$F$1960,MATCH(600,'Transfer Engine'!$C$2:$C$1960,0)))</f>
        <v/>
      </c>
      <c r="G609" s="8">
        <f>IF(ISNA(MATCH(600,'Transfer Engine'!$C$2:$C$1960,0)),"",INDEX('Compliance Database'!$G$2:$G$1960,MATCH(600,'Transfer Engine'!$C$2:$C$1960,0)))</f>
        <v/>
      </c>
      <c r="H609" s="9">
        <f>IF(ISNA(MATCH(600,'Transfer Engine'!$C$2:$C$1960,0)),"",INDEX('Compliance Database'!$H$2:$H$1960,MATCH(600,'Transfer Engine'!$C$2:$C$1960,0)))</f>
        <v/>
      </c>
      <c r="I609" s="9">
        <f>IF(ISNA(MATCH(600,'Transfer Engine'!$C$2:$C$1960,0)),"",INDEX('Compliance Database'!$I$2:$I$1960,MATCH(600,'Transfer Engine'!$C$2:$C$1960,0)))</f>
        <v/>
      </c>
      <c r="J609" s="8">
        <f>IF(ISNA(MATCH(600,'Transfer Engine'!$C$2:$C$1960,0)),"",INDEX('Compliance Database'!$J$2:$J$1960,MATCH(600,'Transfer Engine'!$C$2:$C$1960,0)))</f>
        <v/>
      </c>
      <c r="K609" s="9">
        <f>IF(ISNA(MATCH(600,'Transfer Engine'!$C$2:$C$1960,0)),"",INDEX('Compliance Database'!$K$2:$K$1960,MATCH(600,'Transfer Engine'!$C$2:$C$1960,0)))</f>
        <v/>
      </c>
      <c r="L609" s="9">
        <f>IF(ISNA(MATCH(600,'Transfer Engine'!$C$2:$C$1960,0)),"",INDEX('Compliance Database'!$L$2:$L$1960,MATCH(600,'Transfer Engine'!$C$2:$C$1960,0)))</f>
        <v/>
      </c>
      <c r="M609" s="9">
        <f>IF(ISNA(MATCH(600,'Transfer Engine'!$C$2:$C$1960,0)),"",INDEX('Compliance Database'!$M$2:$M$1960,MATCH(600,'Transfer Engine'!$C$2:$C$1960,0)))</f>
        <v/>
      </c>
      <c r="N609" s="9">
        <f>IF(ISNA(MATCH(600,'Transfer Engine'!$C$2:$C$1960,0)),"",INDEX('Compliance Database'!$N$2:$N$1960,MATCH(600,'Transfer Engine'!$C$2:$C$1960,0)))</f>
        <v/>
      </c>
      <c r="O609" s="9">
        <f>IF(ISNA(MATCH(600,'Transfer Engine'!$C$2:$C$1960,0)),"",INDEX('Compliance Database'!$O$2:$O$1960,MATCH(600,'Transfer Engine'!$C$2:$C$1960,0)))</f>
        <v/>
      </c>
      <c r="P609" s="8">
        <f>IF(ISNA(MATCH(600,'Transfer Engine'!$C$2:$C$1960,0)),"",HYPERLINK("#Acts!A"&amp;INDEX('Compliance Database'!$P$2:$P$1960,MATCH(600,'Transfer Engine'!$C$2:$C$1960,0)),"Go to Act"))</f>
        <v/>
      </c>
    </row>
    <row r="610" ht="158" customHeight="1">
      <c r="A610" s="8">
        <f>IF(ISNA(MATCH(601,'Transfer Engine'!$C$2:$C$1960,0)),"",INDEX('Compliance Database'!$A$2:$A$1960,MATCH(601,'Transfer Engine'!$C$2:$C$1960,0)))</f>
        <v/>
      </c>
      <c r="B610" s="8">
        <f>IF(ISNA(MATCH(601,'Transfer Engine'!$C$2:$C$1960,0)),"",INDEX('Compliance Database'!$B$2:$B$1960,MATCH(601,'Transfer Engine'!$C$2:$C$1960,0)))</f>
        <v/>
      </c>
      <c r="C610" s="8">
        <f>IF(ISNA(MATCH(601,'Transfer Engine'!$C$2:$C$1960,0)),"",INDEX('Compliance Database'!$C$2:$C$1960,MATCH(601,'Transfer Engine'!$C$2:$C$1960,0)))</f>
        <v/>
      </c>
      <c r="D610" s="9">
        <f>IF(ISNA(MATCH(601,'Transfer Engine'!$C$2:$C$1960,0)),"",INDEX('Compliance Database'!$D$2:$D$1960,MATCH(601,'Transfer Engine'!$C$2:$C$1960,0)))</f>
        <v/>
      </c>
      <c r="E610" s="8">
        <f>IF(ISNA(MATCH(601,'Transfer Engine'!$C$2:$C$1960,0)),"",INDEX('Compliance Database'!$E$2:$E$1960,MATCH(601,'Transfer Engine'!$C$2:$C$1960,0)))</f>
        <v/>
      </c>
      <c r="F610" s="8">
        <f>IF(ISNA(MATCH(601,'Transfer Engine'!$C$2:$C$1960,0)),"",INDEX('Compliance Database'!$F$2:$F$1960,MATCH(601,'Transfer Engine'!$C$2:$C$1960,0)))</f>
        <v/>
      </c>
      <c r="G610" s="8">
        <f>IF(ISNA(MATCH(601,'Transfer Engine'!$C$2:$C$1960,0)),"",INDEX('Compliance Database'!$G$2:$G$1960,MATCH(601,'Transfer Engine'!$C$2:$C$1960,0)))</f>
        <v/>
      </c>
      <c r="H610" s="9">
        <f>IF(ISNA(MATCH(601,'Transfer Engine'!$C$2:$C$1960,0)),"",INDEX('Compliance Database'!$H$2:$H$1960,MATCH(601,'Transfer Engine'!$C$2:$C$1960,0)))</f>
        <v/>
      </c>
      <c r="I610" s="9">
        <f>IF(ISNA(MATCH(601,'Transfer Engine'!$C$2:$C$1960,0)),"",INDEX('Compliance Database'!$I$2:$I$1960,MATCH(601,'Transfer Engine'!$C$2:$C$1960,0)))</f>
        <v/>
      </c>
      <c r="J610" s="8">
        <f>IF(ISNA(MATCH(601,'Transfer Engine'!$C$2:$C$1960,0)),"",INDEX('Compliance Database'!$J$2:$J$1960,MATCH(601,'Transfer Engine'!$C$2:$C$1960,0)))</f>
        <v/>
      </c>
      <c r="K610" s="9">
        <f>IF(ISNA(MATCH(601,'Transfer Engine'!$C$2:$C$1960,0)),"",INDEX('Compliance Database'!$K$2:$K$1960,MATCH(601,'Transfer Engine'!$C$2:$C$1960,0)))</f>
        <v/>
      </c>
      <c r="L610" s="9">
        <f>IF(ISNA(MATCH(601,'Transfer Engine'!$C$2:$C$1960,0)),"",INDEX('Compliance Database'!$L$2:$L$1960,MATCH(601,'Transfer Engine'!$C$2:$C$1960,0)))</f>
        <v/>
      </c>
      <c r="M610" s="9">
        <f>IF(ISNA(MATCH(601,'Transfer Engine'!$C$2:$C$1960,0)),"",INDEX('Compliance Database'!$M$2:$M$1960,MATCH(601,'Transfer Engine'!$C$2:$C$1960,0)))</f>
        <v/>
      </c>
      <c r="N610" s="9">
        <f>IF(ISNA(MATCH(601,'Transfer Engine'!$C$2:$C$1960,0)),"",INDEX('Compliance Database'!$N$2:$N$1960,MATCH(601,'Transfer Engine'!$C$2:$C$1960,0)))</f>
        <v/>
      </c>
      <c r="O610" s="9">
        <f>IF(ISNA(MATCH(601,'Transfer Engine'!$C$2:$C$1960,0)),"",INDEX('Compliance Database'!$O$2:$O$1960,MATCH(601,'Transfer Engine'!$C$2:$C$1960,0)))</f>
        <v/>
      </c>
      <c r="P610" s="8">
        <f>IF(ISNA(MATCH(601,'Transfer Engine'!$C$2:$C$1960,0)),"",HYPERLINK("#Acts!A"&amp;INDEX('Compliance Database'!$P$2:$P$1960,MATCH(601,'Transfer Engine'!$C$2:$C$1960,0)),"Go to Act"))</f>
        <v/>
      </c>
    </row>
    <row r="611" ht="158" customHeight="1">
      <c r="A611" s="8">
        <f>IF(ISNA(MATCH(602,'Transfer Engine'!$C$2:$C$1960,0)),"",INDEX('Compliance Database'!$A$2:$A$1960,MATCH(602,'Transfer Engine'!$C$2:$C$1960,0)))</f>
        <v/>
      </c>
      <c r="B611" s="8">
        <f>IF(ISNA(MATCH(602,'Transfer Engine'!$C$2:$C$1960,0)),"",INDEX('Compliance Database'!$B$2:$B$1960,MATCH(602,'Transfer Engine'!$C$2:$C$1960,0)))</f>
        <v/>
      </c>
      <c r="C611" s="8">
        <f>IF(ISNA(MATCH(602,'Transfer Engine'!$C$2:$C$1960,0)),"",INDEX('Compliance Database'!$C$2:$C$1960,MATCH(602,'Transfer Engine'!$C$2:$C$1960,0)))</f>
        <v/>
      </c>
      <c r="D611" s="9">
        <f>IF(ISNA(MATCH(602,'Transfer Engine'!$C$2:$C$1960,0)),"",INDEX('Compliance Database'!$D$2:$D$1960,MATCH(602,'Transfer Engine'!$C$2:$C$1960,0)))</f>
        <v/>
      </c>
      <c r="E611" s="8">
        <f>IF(ISNA(MATCH(602,'Transfer Engine'!$C$2:$C$1960,0)),"",INDEX('Compliance Database'!$E$2:$E$1960,MATCH(602,'Transfer Engine'!$C$2:$C$1960,0)))</f>
        <v/>
      </c>
      <c r="F611" s="8">
        <f>IF(ISNA(MATCH(602,'Transfer Engine'!$C$2:$C$1960,0)),"",INDEX('Compliance Database'!$F$2:$F$1960,MATCH(602,'Transfer Engine'!$C$2:$C$1960,0)))</f>
        <v/>
      </c>
      <c r="G611" s="8">
        <f>IF(ISNA(MATCH(602,'Transfer Engine'!$C$2:$C$1960,0)),"",INDEX('Compliance Database'!$G$2:$G$1960,MATCH(602,'Transfer Engine'!$C$2:$C$1960,0)))</f>
        <v/>
      </c>
      <c r="H611" s="9">
        <f>IF(ISNA(MATCH(602,'Transfer Engine'!$C$2:$C$1960,0)),"",INDEX('Compliance Database'!$H$2:$H$1960,MATCH(602,'Transfer Engine'!$C$2:$C$1960,0)))</f>
        <v/>
      </c>
      <c r="I611" s="9">
        <f>IF(ISNA(MATCH(602,'Transfer Engine'!$C$2:$C$1960,0)),"",INDEX('Compliance Database'!$I$2:$I$1960,MATCH(602,'Transfer Engine'!$C$2:$C$1960,0)))</f>
        <v/>
      </c>
      <c r="J611" s="8">
        <f>IF(ISNA(MATCH(602,'Transfer Engine'!$C$2:$C$1960,0)),"",INDEX('Compliance Database'!$J$2:$J$1960,MATCH(602,'Transfer Engine'!$C$2:$C$1960,0)))</f>
        <v/>
      </c>
      <c r="K611" s="9">
        <f>IF(ISNA(MATCH(602,'Transfer Engine'!$C$2:$C$1960,0)),"",INDEX('Compliance Database'!$K$2:$K$1960,MATCH(602,'Transfer Engine'!$C$2:$C$1960,0)))</f>
        <v/>
      </c>
      <c r="L611" s="9">
        <f>IF(ISNA(MATCH(602,'Transfer Engine'!$C$2:$C$1960,0)),"",INDEX('Compliance Database'!$L$2:$L$1960,MATCH(602,'Transfer Engine'!$C$2:$C$1960,0)))</f>
        <v/>
      </c>
      <c r="M611" s="9">
        <f>IF(ISNA(MATCH(602,'Transfer Engine'!$C$2:$C$1960,0)),"",INDEX('Compliance Database'!$M$2:$M$1960,MATCH(602,'Transfer Engine'!$C$2:$C$1960,0)))</f>
        <v/>
      </c>
      <c r="N611" s="9">
        <f>IF(ISNA(MATCH(602,'Transfer Engine'!$C$2:$C$1960,0)),"",INDEX('Compliance Database'!$N$2:$N$1960,MATCH(602,'Transfer Engine'!$C$2:$C$1960,0)))</f>
        <v/>
      </c>
      <c r="O611" s="9">
        <f>IF(ISNA(MATCH(602,'Transfer Engine'!$C$2:$C$1960,0)),"",INDEX('Compliance Database'!$O$2:$O$1960,MATCH(602,'Transfer Engine'!$C$2:$C$1960,0)))</f>
        <v/>
      </c>
      <c r="P611" s="8">
        <f>IF(ISNA(MATCH(602,'Transfer Engine'!$C$2:$C$1960,0)),"",HYPERLINK("#Acts!A"&amp;INDEX('Compliance Database'!$P$2:$P$1960,MATCH(602,'Transfer Engine'!$C$2:$C$1960,0)),"Go to Act"))</f>
        <v/>
      </c>
    </row>
    <row r="612" ht="158" customHeight="1">
      <c r="A612" s="8">
        <f>IF(ISNA(MATCH(603,'Transfer Engine'!$C$2:$C$1960,0)),"",INDEX('Compliance Database'!$A$2:$A$1960,MATCH(603,'Transfer Engine'!$C$2:$C$1960,0)))</f>
        <v/>
      </c>
      <c r="B612" s="8">
        <f>IF(ISNA(MATCH(603,'Transfer Engine'!$C$2:$C$1960,0)),"",INDEX('Compliance Database'!$B$2:$B$1960,MATCH(603,'Transfer Engine'!$C$2:$C$1960,0)))</f>
        <v/>
      </c>
      <c r="C612" s="8">
        <f>IF(ISNA(MATCH(603,'Transfer Engine'!$C$2:$C$1960,0)),"",INDEX('Compliance Database'!$C$2:$C$1960,MATCH(603,'Transfer Engine'!$C$2:$C$1960,0)))</f>
        <v/>
      </c>
      <c r="D612" s="9">
        <f>IF(ISNA(MATCH(603,'Transfer Engine'!$C$2:$C$1960,0)),"",INDEX('Compliance Database'!$D$2:$D$1960,MATCH(603,'Transfer Engine'!$C$2:$C$1960,0)))</f>
        <v/>
      </c>
      <c r="E612" s="8">
        <f>IF(ISNA(MATCH(603,'Transfer Engine'!$C$2:$C$1960,0)),"",INDEX('Compliance Database'!$E$2:$E$1960,MATCH(603,'Transfer Engine'!$C$2:$C$1960,0)))</f>
        <v/>
      </c>
      <c r="F612" s="8">
        <f>IF(ISNA(MATCH(603,'Transfer Engine'!$C$2:$C$1960,0)),"",INDEX('Compliance Database'!$F$2:$F$1960,MATCH(603,'Transfer Engine'!$C$2:$C$1960,0)))</f>
        <v/>
      </c>
      <c r="G612" s="8">
        <f>IF(ISNA(MATCH(603,'Transfer Engine'!$C$2:$C$1960,0)),"",INDEX('Compliance Database'!$G$2:$G$1960,MATCH(603,'Transfer Engine'!$C$2:$C$1960,0)))</f>
        <v/>
      </c>
      <c r="H612" s="9">
        <f>IF(ISNA(MATCH(603,'Transfer Engine'!$C$2:$C$1960,0)),"",INDEX('Compliance Database'!$H$2:$H$1960,MATCH(603,'Transfer Engine'!$C$2:$C$1960,0)))</f>
        <v/>
      </c>
      <c r="I612" s="9">
        <f>IF(ISNA(MATCH(603,'Transfer Engine'!$C$2:$C$1960,0)),"",INDEX('Compliance Database'!$I$2:$I$1960,MATCH(603,'Transfer Engine'!$C$2:$C$1960,0)))</f>
        <v/>
      </c>
      <c r="J612" s="8">
        <f>IF(ISNA(MATCH(603,'Transfer Engine'!$C$2:$C$1960,0)),"",INDEX('Compliance Database'!$J$2:$J$1960,MATCH(603,'Transfer Engine'!$C$2:$C$1960,0)))</f>
        <v/>
      </c>
      <c r="K612" s="9">
        <f>IF(ISNA(MATCH(603,'Transfer Engine'!$C$2:$C$1960,0)),"",INDEX('Compliance Database'!$K$2:$K$1960,MATCH(603,'Transfer Engine'!$C$2:$C$1960,0)))</f>
        <v/>
      </c>
      <c r="L612" s="9">
        <f>IF(ISNA(MATCH(603,'Transfer Engine'!$C$2:$C$1960,0)),"",INDEX('Compliance Database'!$L$2:$L$1960,MATCH(603,'Transfer Engine'!$C$2:$C$1960,0)))</f>
        <v/>
      </c>
      <c r="M612" s="9">
        <f>IF(ISNA(MATCH(603,'Transfer Engine'!$C$2:$C$1960,0)),"",INDEX('Compliance Database'!$M$2:$M$1960,MATCH(603,'Transfer Engine'!$C$2:$C$1960,0)))</f>
        <v/>
      </c>
      <c r="N612" s="9">
        <f>IF(ISNA(MATCH(603,'Transfer Engine'!$C$2:$C$1960,0)),"",INDEX('Compliance Database'!$N$2:$N$1960,MATCH(603,'Transfer Engine'!$C$2:$C$1960,0)))</f>
        <v/>
      </c>
      <c r="O612" s="9">
        <f>IF(ISNA(MATCH(603,'Transfer Engine'!$C$2:$C$1960,0)),"",INDEX('Compliance Database'!$O$2:$O$1960,MATCH(603,'Transfer Engine'!$C$2:$C$1960,0)))</f>
        <v/>
      </c>
      <c r="P612" s="8">
        <f>IF(ISNA(MATCH(603,'Transfer Engine'!$C$2:$C$1960,0)),"",HYPERLINK("#Acts!A"&amp;INDEX('Compliance Database'!$P$2:$P$1960,MATCH(603,'Transfer Engine'!$C$2:$C$1960,0)),"Go to Act"))</f>
        <v/>
      </c>
    </row>
    <row r="613" ht="158" customHeight="1">
      <c r="A613" s="8">
        <f>IF(ISNA(MATCH(604,'Transfer Engine'!$C$2:$C$1960,0)),"",INDEX('Compliance Database'!$A$2:$A$1960,MATCH(604,'Transfer Engine'!$C$2:$C$1960,0)))</f>
        <v/>
      </c>
      <c r="B613" s="8">
        <f>IF(ISNA(MATCH(604,'Transfer Engine'!$C$2:$C$1960,0)),"",INDEX('Compliance Database'!$B$2:$B$1960,MATCH(604,'Transfer Engine'!$C$2:$C$1960,0)))</f>
        <v/>
      </c>
      <c r="C613" s="8">
        <f>IF(ISNA(MATCH(604,'Transfer Engine'!$C$2:$C$1960,0)),"",INDEX('Compliance Database'!$C$2:$C$1960,MATCH(604,'Transfer Engine'!$C$2:$C$1960,0)))</f>
        <v/>
      </c>
      <c r="D613" s="9">
        <f>IF(ISNA(MATCH(604,'Transfer Engine'!$C$2:$C$1960,0)),"",INDEX('Compliance Database'!$D$2:$D$1960,MATCH(604,'Transfer Engine'!$C$2:$C$1960,0)))</f>
        <v/>
      </c>
      <c r="E613" s="8">
        <f>IF(ISNA(MATCH(604,'Transfer Engine'!$C$2:$C$1960,0)),"",INDEX('Compliance Database'!$E$2:$E$1960,MATCH(604,'Transfer Engine'!$C$2:$C$1960,0)))</f>
        <v/>
      </c>
      <c r="F613" s="8">
        <f>IF(ISNA(MATCH(604,'Transfer Engine'!$C$2:$C$1960,0)),"",INDEX('Compliance Database'!$F$2:$F$1960,MATCH(604,'Transfer Engine'!$C$2:$C$1960,0)))</f>
        <v/>
      </c>
      <c r="G613" s="8">
        <f>IF(ISNA(MATCH(604,'Transfer Engine'!$C$2:$C$1960,0)),"",INDEX('Compliance Database'!$G$2:$G$1960,MATCH(604,'Transfer Engine'!$C$2:$C$1960,0)))</f>
        <v/>
      </c>
      <c r="H613" s="9">
        <f>IF(ISNA(MATCH(604,'Transfer Engine'!$C$2:$C$1960,0)),"",INDEX('Compliance Database'!$H$2:$H$1960,MATCH(604,'Transfer Engine'!$C$2:$C$1960,0)))</f>
        <v/>
      </c>
      <c r="I613" s="9">
        <f>IF(ISNA(MATCH(604,'Transfer Engine'!$C$2:$C$1960,0)),"",INDEX('Compliance Database'!$I$2:$I$1960,MATCH(604,'Transfer Engine'!$C$2:$C$1960,0)))</f>
        <v/>
      </c>
      <c r="J613" s="8">
        <f>IF(ISNA(MATCH(604,'Transfer Engine'!$C$2:$C$1960,0)),"",INDEX('Compliance Database'!$J$2:$J$1960,MATCH(604,'Transfer Engine'!$C$2:$C$1960,0)))</f>
        <v/>
      </c>
      <c r="K613" s="9">
        <f>IF(ISNA(MATCH(604,'Transfer Engine'!$C$2:$C$1960,0)),"",INDEX('Compliance Database'!$K$2:$K$1960,MATCH(604,'Transfer Engine'!$C$2:$C$1960,0)))</f>
        <v/>
      </c>
      <c r="L613" s="9">
        <f>IF(ISNA(MATCH(604,'Transfer Engine'!$C$2:$C$1960,0)),"",INDEX('Compliance Database'!$L$2:$L$1960,MATCH(604,'Transfer Engine'!$C$2:$C$1960,0)))</f>
        <v/>
      </c>
      <c r="M613" s="9">
        <f>IF(ISNA(MATCH(604,'Transfer Engine'!$C$2:$C$1960,0)),"",INDEX('Compliance Database'!$M$2:$M$1960,MATCH(604,'Transfer Engine'!$C$2:$C$1960,0)))</f>
        <v/>
      </c>
      <c r="N613" s="9">
        <f>IF(ISNA(MATCH(604,'Transfer Engine'!$C$2:$C$1960,0)),"",INDEX('Compliance Database'!$N$2:$N$1960,MATCH(604,'Transfer Engine'!$C$2:$C$1960,0)))</f>
        <v/>
      </c>
      <c r="O613" s="9">
        <f>IF(ISNA(MATCH(604,'Transfer Engine'!$C$2:$C$1960,0)),"",INDEX('Compliance Database'!$O$2:$O$1960,MATCH(604,'Transfer Engine'!$C$2:$C$1960,0)))</f>
        <v/>
      </c>
      <c r="P613" s="8">
        <f>IF(ISNA(MATCH(604,'Transfer Engine'!$C$2:$C$1960,0)),"",HYPERLINK("#Acts!A"&amp;INDEX('Compliance Database'!$P$2:$P$1960,MATCH(604,'Transfer Engine'!$C$2:$C$1960,0)),"Go to Act"))</f>
        <v/>
      </c>
    </row>
    <row r="614" ht="158" customHeight="1">
      <c r="A614" s="8">
        <f>IF(ISNA(MATCH(605,'Transfer Engine'!$C$2:$C$1960,0)),"",INDEX('Compliance Database'!$A$2:$A$1960,MATCH(605,'Transfer Engine'!$C$2:$C$1960,0)))</f>
        <v/>
      </c>
      <c r="B614" s="8">
        <f>IF(ISNA(MATCH(605,'Transfer Engine'!$C$2:$C$1960,0)),"",INDEX('Compliance Database'!$B$2:$B$1960,MATCH(605,'Transfer Engine'!$C$2:$C$1960,0)))</f>
        <v/>
      </c>
      <c r="C614" s="8">
        <f>IF(ISNA(MATCH(605,'Transfer Engine'!$C$2:$C$1960,0)),"",INDEX('Compliance Database'!$C$2:$C$1960,MATCH(605,'Transfer Engine'!$C$2:$C$1960,0)))</f>
        <v/>
      </c>
      <c r="D614" s="9">
        <f>IF(ISNA(MATCH(605,'Transfer Engine'!$C$2:$C$1960,0)),"",INDEX('Compliance Database'!$D$2:$D$1960,MATCH(605,'Transfer Engine'!$C$2:$C$1960,0)))</f>
        <v/>
      </c>
      <c r="E614" s="8">
        <f>IF(ISNA(MATCH(605,'Transfer Engine'!$C$2:$C$1960,0)),"",INDEX('Compliance Database'!$E$2:$E$1960,MATCH(605,'Transfer Engine'!$C$2:$C$1960,0)))</f>
        <v/>
      </c>
      <c r="F614" s="8">
        <f>IF(ISNA(MATCH(605,'Transfer Engine'!$C$2:$C$1960,0)),"",INDEX('Compliance Database'!$F$2:$F$1960,MATCH(605,'Transfer Engine'!$C$2:$C$1960,0)))</f>
        <v/>
      </c>
      <c r="G614" s="8">
        <f>IF(ISNA(MATCH(605,'Transfer Engine'!$C$2:$C$1960,0)),"",INDEX('Compliance Database'!$G$2:$G$1960,MATCH(605,'Transfer Engine'!$C$2:$C$1960,0)))</f>
        <v/>
      </c>
      <c r="H614" s="9">
        <f>IF(ISNA(MATCH(605,'Transfer Engine'!$C$2:$C$1960,0)),"",INDEX('Compliance Database'!$H$2:$H$1960,MATCH(605,'Transfer Engine'!$C$2:$C$1960,0)))</f>
        <v/>
      </c>
      <c r="I614" s="9">
        <f>IF(ISNA(MATCH(605,'Transfer Engine'!$C$2:$C$1960,0)),"",INDEX('Compliance Database'!$I$2:$I$1960,MATCH(605,'Transfer Engine'!$C$2:$C$1960,0)))</f>
        <v/>
      </c>
      <c r="J614" s="8">
        <f>IF(ISNA(MATCH(605,'Transfer Engine'!$C$2:$C$1960,0)),"",INDEX('Compliance Database'!$J$2:$J$1960,MATCH(605,'Transfer Engine'!$C$2:$C$1960,0)))</f>
        <v/>
      </c>
      <c r="K614" s="9">
        <f>IF(ISNA(MATCH(605,'Transfer Engine'!$C$2:$C$1960,0)),"",INDEX('Compliance Database'!$K$2:$K$1960,MATCH(605,'Transfer Engine'!$C$2:$C$1960,0)))</f>
        <v/>
      </c>
      <c r="L614" s="9">
        <f>IF(ISNA(MATCH(605,'Transfer Engine'!$C$2:$C$1960,0)),"",INDEX('Compliance Database'!$L$2:$L$1960,MATCH(605,'Transfer Engine'!$C$2:$C$1960,0)))</f>
        <v/>
      </c>
      <c r="M614" s="9">
        <f>IF(ISNA(MATCH(605,'Transfer Engine'!$C$2:$C$1960,0)),"",INDEX('Compliance Database'!$M$2:$M$1960,MATCH(605,'Transfer Engine'!$C$2:$C$1960,0)))</f>
        <v/>
      </c>
      <c r="N614" s="9">
        <f>IF(ISNA(MATCH(605,'Transfer Engine'!$C$2:$C$1960,0)),"",INDEX('Compliance Database'!$N$2:$N$1960,MATCH(605,'Transfer Engine'!$C$2:$C$1960,0)))</f>
        <v/>
      </c>
      <c r="O614" s="9">
        <f>IF(ISNA(MATCH(605,'Transfer Engine'!$C$2:$C$1960,0)),"",INDEX('Compliance Database'!$O$2:$O$1960,MATCH(605,'Transfer Engine'!$C$2:$C$1960,0)))</f>
        <v/>
      </c>
      <c r="P614" s="8">
        <f>IF(ISNA(MATCH(605,'Transfer Engine'!$C$2:$C$1960,0)),"",HYPERLINK("#Acts!A"&amp;INDEX('Compliance Database'!$P$2:$P$1960,MATCH(605,'Transfer Engine'!$C$2:$C$1960,0)),"Go to Act"))</f>
        <v/>
      </c>
    </row>
    <row r="615" ht="158" customHeight="1">
      <c r="A615" s="8">
        <f>IF(ISNA(MATCH(606,'Transfer Engine'!$C$2:$C$1960,0)),"",INDEX('Compliance Database'!$A$2:$A$1960,MATCH(606,'Transfer Engine'!$C$2:$C$1960,0)))</f>
        <v/>
      </c>
      <c r="B615" s="8">
        <f>IF(ISNA(MATCH(606,'Transfer Engine'!$C$2:$C$1960,0)),"",INDEX('Compliance Database'!$B$2:$B$1960,MATCH(606,'Transfer Engine'!$C$2:$C$1960,0)))</f>
        <v/>
      </c>
      <c r="C615" s="8">
        <f>IF(ISNA(MATCH(606,'Transfer Engine'!$C$2:$C$1960,0)),"",INDEX('Compliance Database'!$C$2:$C$1960,MATCH(606,'Transfer Engine'!$C$2:$C$1960,0)))</f>
        <v/>
      </c>
      <c r="D615" s="9">
        <f>IF(ISNA(MATCH(606,'Transfer Engine'!$C$2:$C$1960,0)),"",INDEX('Compliance Database'!$D$2:$D$1960,MATCH(606,'Transfer Engine'!$C$2:$C$1960,0)))</f>
        <v/>
      </c>
      <c r="E615" s="8">
        <f>IF(ISNA(MATCH(606,'Transfer Engine'!$C$2:$C$1960,0)),"",INDEX('Compliance Database'!$E$2:$E$1960,MATCH(606,'Transfer Engine'!$C$2:$C$1960,0)))</f>
        <v/>
      </c>
      <c r="F615" s="8">
        <f>IF(ISNA(MATCH(606,'Transfer Engine'!$C$2:$C$1960,0)),"",INDEX('Compliance Database'!$F$2:$F$1960,MATCH(606,'Transfer Engine'!$C$2:$C$1960,0)))</f>
        <v/>
      </c>
      <c r="G615" s="8">
        <f>IF(ISNA(MATCH(606,'Transfer Engine'!$C$2:$C$1960,0)),"",INDEX('Compliance Database'!$G$2:$G$1960,MATCH(606,'Transfer Engine'!$C$2:$C$1960,0)))</f>
        <v/>
      </c>
      <c r="H615" s="9">
        <f>IF(ISNA(MATCH(606,'Transfer Engine'!$C$2:$C$1960,0)),"",INDEX('Compliance Database'!$H$2:$H$1960,MATCH(606,'Transfer Engine'!$C$2:$C$1960,0)))</f>
        <v/>
      </c>
      <c r="I615" s="9">
        <f>IF(ISNA(MATCH(606,'Transfer Engine'!$C$2:$C$1960,0)),"",INDEX('Compliance Database'!$I$2:$I$1960,MATCH(606,'Transfer Engine'!$C$2:$C$1960,0)))</f>
        <v/>
      </c>
      <c r="J615" s="8">
        <f>IF(ISNA(MATCH(606,'Transfer Engine'!$C$2:$C$1960,0)),"",INDEX('Compliance Database'!$J$2:$J$1960,MATCH(606,'Transfer Engine'!$C$2:$C$1960,0)))</f>
        <v/>
      </c>
      <c r="K615" s="9">
        <f>IF(ISNA(MATCH(606,'Transfer Engine'!$C$2:$C$1960,0)),"",INDEX('Compliance Database'!$K$2:$K$1960,MATCH(606,'Transfer Engine'!$C$2:$C$1960,0)))</f>
        <v/>
      </c>
      <c r="L615" s="9">
        <f>IF(ISNA(MATCH(606,'Transfer Engine'!$C$2:$C$1960,0)),"",INDEX('Compliance Database'!$L$2:$L$1960,MATCH(606,'Transfer Engine'!$C$2:$C$1960,0)))</f>
        <v/>
      </c>
      <c r="M615" s="9">
        <f>IF(ISNA(MATCH(606,'Transfer Engine'!$C$2:$C$1960,0)),"",INDEX('Compliance Database'!$M$2:$M$1960,MATCH(606,'Transfer Engine'!$C$2:$C$1960,0)))</f>
        <v/>
      </c>
      <c r="N615" s="9">
        <f>IF(ISNA(MATCH(606,'Transfer Engine'!$C$2:$C$1960,0)),"",INDEX('Compliance Database'!$N$2:$N$1960,MATCH(606,'Transfer Engine'!$C$2:$C$1960,0)))</f>
        <v/>
      </c>
      <c r="O615" s="9">
        <f>IF(ISNA(MATCH(606,'Transfer Engine'!$C$2:$C$1960,0)),"",INDEX('Compliance Database'!$O$2:$O$1960,MATCH(606,'Transfer Engine'!$C$2:$C$1960,0)))</f>
        <v/>
      </c>
      <c r="P615" s="8">
        <f>IF(ISNA(MATCH(606,'Transfer Engine'!$C$2:$C$1960,0)),"",HYPERLINK("#Acts!A"&amp;INDEX('Compliance Database'!$P$2:$P$1960,MATCH(606,'Transfer Engine'!$C$2:$C$1960,0)),"Go to Act"))</f>
        <v/>
      </c>
    </row>
    <row r="616" ht="158" customHeight="1">
      <c r="A616" s="8">
        <f>IF(ISNA(MATCH(607,'Transfer Engine'!$C$2:$C$1960,0)),"",INDEX('Compliance Database'!$A$2:$A$1960,MATCH(607,'Transfer Engine'!$C$2:$C$1960,0)))</f>
        <v/>
      </c>
      <c r="B616" s="8">
        <f>IF(ISNA(MATCH(607,'Transfer Engine'!$C$2:$C$1960,0)),"",INDEX('Compliance Database'!$B$2:$B$1960,MATCH(607,'Transfer Engine'!$C$2:$C$1960,0)))</f>
        <v/>
      </c>
      <c r="C616" s="8">
        <f>IF(ISNA(MATCH(607,'Transfer Engine'!$C$2:$C$1960,0)),"",INDEX('Compliance Database'!$C$2:$C$1960,MATCH(607,'Transfer Engine'!$C$2:$C$1960,0)))</f>
        <v/>
      </c>
      <c r="D616" s="9">
        <f>IF(ISNA(MATCH(607,'Transfer Engine'!$C$2:$C$1960,0)),"",INDEX('Compliance Database'!$D$2:$D$1960,MATCH(607,'Transfer Engine'!$C$2:$C$1960,0)))</f>
        <v/>
      </c>
      <c r="E616" s="8">
        <f>IF(ISNA(MATCH(607,'Transfer Engine'!$C$2:$C$1960,0)),"",INDEX('Compliance Database'!$E$2:$E$1960,MATCH(607,'Transfer Engine'!$C$2:$C$1960,0)))</f>
        <v/>
      </c>
      <c r="F616" s="8">
        <f>IF(ISNA(MATCH(607,'Transfer Engine'!$C$2:$C$1960,0)),"",INDEX('Compliance Database'!$F$2:$F$1960,MATCH(607,'Transfer Engine'!$C$2:$C$1960,0)))</f>
        <v/>
      </c>
      <c r="G616" s="8">
        <f>IF(ISNA(MATCH(607,'Transfer Engine'!$C$2:$C$1960,0)),"",INDEX('Compliance Database'!$G$2:$G$1960,MATCH(607,'Transfer Engine'!$C$2:$C$1960,0)))</f>
        <v/>
      </c>
      <c r="H616" s="9">
        <f>IF(ISNA(MATCH(607,'Transfer Engine'!$C$2:$C$1960,0)),"",INDEX('Compliance Database'!$H$2:$H$1960,MATCH(607,'Transfer Engine'!$C$2:$C$1960,0)))</f>
        <v/>
      </c>
      <c r="I616" s="9">
        <f>IF(ISNA(MATCH(607,'Transfer Engine'!$C$2:$C$1960,0)),"",INDEX('Compliance Database'!$I$2:$I$1960,MATCH(607,'Transfer Engine'!$C$2:$C$1960,0)))</f>
        <v/>
      </c>
      <c r="J616" s="8">
        <f>IF(ISNA(MATCH(607,'Transfer Engine'!$C$2:$C$1960,0)),"",INDEX('Compliance Database'!$J$2:$J$1960,MATCH(607,'Transfer Engine'!$C$2:$C$1960,0)))</f>
        <v/>
      </c>
      <c r="K616" s="9">
        <f>IF(ISNA(MATCH(607,'Transfer Engine'!$C$2:$C$1960,0)),"",INDEX('Compliance Database'!$K$2:$K$1960,MATCH(607,'Transfer Engine'!$C$2:$C$1960,0)))</f>
        <v/>
      </c>
      <c r="L616" s="9">
        <f>IF(ISNA(MATCH(607,'Transfer Engine'!$C$2:$C$1960,0)),"",INDEX('Compliance Database'!$L$2:$L$1960,MATCH(607,'Transfer Engine'!$C$2:$C$1960,0)))</f>
        <v/>
      </c>
      <c r="M616" s="9">
        <f>IF(ISNA(MATCH(607,'Transfer Engine'!$C$2:$C$1960,0)),"",INDEX('Compliance Database'!$M$2:$M$1960,MATCH(607,'Transfer Engine'!$C$2:$C$1960,0)))</f>
        <v/>
      </c>
      <c r="N616" s="9">
        <f>IF(ISNA(MATCH(607,'Transfer Engine'!$C$2:$C$1960,0)),"",INDEX('Compliance Database'!$N$2:$N$1960,MATCH(607,'Transfer Engine'!$C$2:$C$1960,0)))</f>
        <v/>
      </c>
      <c r="O616" s="9">
        <f>IF(ISNA(MATCH(607,'Transfer Engine'!$C$2:$C$1960,0)),"",INDEX('Compliance Database'!$O$2:$O$1960,MATCH(607,'Transfer Engine'!$C$2:$C$1960,0)))</f>
        <v/>
      </c>
      <c r="P616" s="8">
        <f>IF(ISNA(MATCH(607,'Transfer Engine'!$C$2:$C$1960,0)),"",HYPERLINK("#Acts!A"&amp;INDEX('Compliance Database'!$P$2:$P$1960,MATCH(607,'Transfer Engine'!$C$2:$C$1960,0)),"Go to Act"))</f>
        <v/>
      </c>
    </row>
    <row r="617" ht="158" customHeight="1">
      <c r="A617" s="8">
        <f>IF(ISNA(MATCH(608,'Transfer Engine'!$C$2:$C$1960,0)),"",INDEX('Compliance Database'!$A$2:$A$1960,MATCH(608,'Transfer Engine'!$C$2:$C$1960,0)))</f>
        <v/>
      </c>
      <c r="B617" s="8">
        <f>IF(ISNA(MATCH(608,'Transfer Engine'!$C$2:$C$1960,0)),"",INDEX('Compliance Database'!$B$2:$B$1960,MATCH(608,'Transfer Engine'!$C$2:$C$1960,0)))</f>
        <v/>
      </c>
      <c r="C617" s="8">
        <f>IF(ISNA(MATCH(608,'Transfer Engine'!$C$2:$C$1960,0)),"",INDEX('Compliance Database'!$C$2:$C$1960,MATCH(608,'Transfer Engine'!$C$2:$C$1960,0)))</f>
        <v/>
      </c>
      <c r="D617" s="9">
        <f>IF(ISNA(MATCH(608,'Transfer Engine'!$C$2:$C$1960,0)),"",INDEX('Compliance Database'!$D$2:$D$1960,MATCH(608,'Transfer Engine'!$C$2:$C$1960,0)))</f>
        <v/>
      </c>
      <c r="E617" s="8">
        <f>IF(ISNA(MATCH(608,'Transfer Engine'!$C$2:$C$1960,0)),"",INDEX('Compliance Database'!$E$2:$E$1960,MATCH(608,'Transfer Engine'!$C$2:$C$1960,0)))</f>
        <v/>
      </c>
      <c r="F617" s="8">
        <f>IF(ISNA(MATCH(608,'Transfer Engine'!$C$2:$C$1960,0)),"",INDEX('Compliance Database'!$F$2:$F$1960,MATCH(608,'Transfer Engine'!$C$2:$C$1960,0)))</f>
        <v/>
      </c>
      <c r="G617" s="8">
        <f>IF(ISNA(MATCH(608,'Transfer Engine'!$C$2:$C$1960,0)),"",INDEX('Compliance Database'!$G$2:$G$1960,MATCH(608,'Transfer Engine'!$C$2:$C$1960,0)))</f>
        <v/>
      </c>
      <c r="H617" s="9">
        <f>IF(ISNA(MATCH(608,'Transfer Engine'!$C$2:$C$1960,0)),"",INDEX('Compliance Database'!$H$2:$H$1960,MATCH(608,'Transfer Engine'!$C$2:$C$1960,0)))</f>
        <v/>
      </c>
      <c r="I617" s="9">
        <f>IF(ISNA(MATCH(608,'Transfer Engine'!$C$2:$C$1960,0)),"",INDEX('Compliance Database'!$I$2:$I$1960,MATCH(608,'Transfer Engine'!$C$2:$C$1960,0)))</f>
        <v/>
      </c>
      <c r="J617" s="8">
        <f>IF(ISNA(MATCH(608,'Transfer Engine'!$C$2:$C$1960,0)),"",INDEX('Compliance Database'!$J$2:$J$1960,MATCH(608,'Transfer Engine'!$C$2:$C$1960,0)))</f>
        <v/>
      </c>
      <c r="K617" s="9">
        <f>IF(ISNA(MATCH(608,'Transfer Engine'!$C$2:$C$1960,0)),"",INDEX('Compliance Database'!$K$2:$K$1960,MATCH(608,'Transfer Engine'!$C$2:$C$1960,0)))</f>
        <v/>
      </c>
      <c r="L617" s="9">
        <f>IF(ISNA(MATCH(608,'Transfer Engine'!$C$2:$C$1960,0)),"",INDEX('Compliance Database'!$L$2:$L$1960,MATCH(608,'Transfer Engine'!$C$2:$C$1960,0)))</f>
        <v/>
      </c>
      <c r="M617" s="9">
        <f>IF(ISNA(MATCH(608,'Transfer Engine'!$C$2:$C$1960,0)),"",INDEX('Compliance Database'!$M$2:$M$1960,MATCH(608,'Transfer Engine'!$C$2:$C$1960,0)))</f>
        <v/>
      </c>
      <c r="N617" s="9">
        <f>IF(ISNA(MATCH(608,'Transfer Engine'!$C$2:$C$1960,0)),"",INDEX('Compliance Database'!$N$2:$N$1960,MATCH(608,'Transfer Engine'!$C$2:$C$1960,0)))</f>
        <v/>
      </c>
      <c r="O617" s="9">
        <f>IF(ISNA(MATCH(608,'Transfer Engine'!$C$2:$C$1960,0)),"",INDEX('Compliance Database'!$O$2:$O$1960,MATCH(608,'Transfer Engine'!$C$2:$C$1960,0)))</f>
        <v/>
      </c>
      <c r="P617" s="8">
        <f>IF(ISNA(MATCH(608,'Transfer Engine'!$C$2:$C$1960,0)),"",HYPERLINK("#Acts!A"&amp;INDEX('Compliance Database'!$P$2:$P$1960,MATCH(608,'Transfer Engine'!$C$2:$C$1960,0)),"Go to Act"))</f>
        <v/>
      </c>
    </row>
    <row r="618" ht="158" customHeight="1">
      <c r="A618" s="8">
        <f>IF(ISNA(MATCH(609,'Transfer Engine'!$C$2:$C$1960,0)),"",INDEX('Compliance Database'!$A$2:$A$1960,MATCH(609,'Transfer Engine'!$C$2:$C$1960,0)))</f>
        <v/>
      </c>
      <c r="B618" s="8">
        <f>IF(ISNA(MATCH(609,'Transfer Engine'!$C$2:$C$1960,0)),"",INDEX('Compliance Database'!$B$2:$B$1960,MATCH(609,'Transfer Engine'!$C$2:$C$1960,0)))</f>
        <v/>
      </c>
      <c r="C618" s="8">
        <f>IF(ISNA(MATCH(609,'Transfer Engine'!$C$2:$C$1960,0)),"",INDEX('Compliance Database'!$C$2:$C$1960,MATCH(609,'Transfer Engine'!$C$2:$C$1960,0)))</f>
        <v/>
      </c>
      <c r="D618" s="9">
        <f>IF(ISNA(MATCH(609,'Transfer Engine'!$C$2:$C$1960,0)),"",INDEX('Compliance Database'!$D$2:$D$1960,MATCH(609,'Transfer Engine'!$C$2:$C$1960,0)))</f>
        <v/>
      </c>
      <c r="E618" s="8">
        <f>IF(ISNA(MATCH(609,'Transfer Engine'!$C$2:$C$1960,0)),"",INDEX('Compliance Database'!$E$2:$E$1960,MATCH(609,'Transfer Engine'!$C$2:$C$1960,0)))</f>
        <v/>
      </c>
      <c r="F618" s="8">
        <f>IF(ISNA(MATCH(609,'Transfer Engine'!$C$2:$C$1960,0)),"",INDEX('Compliance Database'!$F$2:$F$1960,MATCH(609,'Transfer Engine'!$C$2:$C$1960,0)))</f>
        <v/>
      </c>
      <c r="G618" s="8">
        <f>IF(ISNA(MATCH(609,'Transfer Engine'!$C$2:$C$1960,0)),"",INDEX('Compliance Database'!$G$2:$G$1960,MATCH(609,'Transfer Engine'!$C$2:$C$1960,0)))</f>
        <v/>
      </c>
      <c r="H618" s="9">
        <f>IF(ISNA(MATCH(609,'Transfer Engine'!$C$2:$C$1960,0)),"",INDEX('Compliance Database'!$H$2:$H$1960,MATCH(609,'Transfer Engine'!$C$2:$C$1960,0)))</f>
        <v/>
      </c>
      <c r="I618" s="9">
        <f>IF(ISNA(MATCH(609,'Transfer Engine'!$C$2:$C$1960,0)),"",INDEX('Compliance Database'!$I$2:$I$1960,MATCH(609,'Transfer Engine'!$C$2:$C$1960,0)))</f>
        <v/>
      </c>
      <c r="J618" s="8">
        <f>IF(ISNA(MATCH(609,'Transfer Engine'!$C$2:$C$1960,0)),"",INDEX('Compliance Database'!$J$2:$J$1960,MATCH(609,'Transfer Engine'!$C$2:$C$1960,0)))</f>
        <v/>
      </c>
      <c r="K618" s="9">
        <f>IF(ISNA(MATCH(609,'Transfer Engine'!$C$2:$C$1960,0)),"",INDEX('Compliance Database'!$K$2:$K$1960,MATCH(609,'Transfer Engine'!$C$2:$C$1960,0)))</f>
        <v/>
      </c>
      <c r="L618" s="9">
        <f>IF(ISNA(MATCH(609,'Transfer Engine'!$C$2:$C$1960,0)),"",INDEX('Compliance Database'!$L$2:$L$1960,MATCH(609,'Transfer Engine'!$C$2:$C$1960,0)))</f>
        <v/>
      </c>
      <c r="M618" s="9">
        <f>IF(ISNA(MATCH(609,'Transfer Engine'!$C$2:$C$1960,0)),"",INDEX('Compliance Database'!$M$2:$M$1960,MATCH(609,'Transfer Engine'!$C$2:$C$1960,0)))</f>
        <v/>
      </c>
      <c r="N618" s="9">
        <f>IF(ISNA(MATCH(609,'Transfer Engine'!$C$2:$C$1960,0)),"",INDEX('Compliance Database'!$N$2:$N$1960,MATCH(609,'Transfer Engine'!$C$2:$C$1960,0)))</f>
        <v/>
      </c>
      <c r="O618" s="9">
        <f>IF(ISNA(MATCH(609,'Transfer Engine'!$C$2:$C$1960,0)),"",INDEX('Compliance Database'!$O$2:$O$1960,MATCH(609,'Transfer Engine'!$C$2:$C$1960,0)))</f>
        <v/>
      </c>
      <c r="P618" s="8">
        <f>IF(ISNA(MATCH(609,'Transfer Engine'!$C$2:$C$1960,0)),"",HYPERLINK("#Acts!A"&amp;INDEX('Compliance Database'!$P$2:$P$1960,MATCH(609,'Transfer Engine'!$C$2:$C$1960,0)),"Go to Act"))</f>
        <v/>
      </c>
    </row>
    <row r="619" ht="158" customHeight="1">
      <c r="A619" s="8">
        <f>IF(ISNA(MATCH(610,'Transfer Engine'!$C$2:$C$1960,0)),"",INDEX('Compliance Database'!$A$2:$A$1960,MATCH(610,'Transfer Engine'!$C$2:$C$1960,0)))</f>
        <v/>
      </c>
      <c r="B619" s="8">
        <f>IF(ISNA(MATCH(610,'Transfer Engine'!$C$2:$C$1960,0)),"",INDEX('Compliance Database'!$B$2:$B$1960,MATCH(610,'Transfer Engine'!$C$2:$C$1960,0)))</f>
        <v/>
      </c>
      <c r="C619" s="8">
        <f>IF(ISNA(MATCH(610,'Transfer Engine'!$C$2:$C$1960,0)),"",INDEX('Compliance Database'!$C$2:$C$1960,MATCH(610,'Transfer Engine'!$C$2:$C$1960,0)))</f>
        <v/>
      </c>
      <c r="D619" s="9">
        <f>IF(ISNA(MATCH(610,'Transfer Engine'!$C$2:$C$1960,0)),"",INDEX('Compliance Database'!$D$2:$D$1960,MATCH(610,'Transfer Engine'!$C$2:$C$1960,0)))</f>
        <v/>
      </c>
      <c r="E619" s="8">
        <f>IF(ISNA(MATCH(610,'Transfer Engine'!$C$2:$C$1960,0)),"",INDEX('Compliance Database'!$E$2:$E$1960,MATCH(610,'Transfer Engine'!$C$2:$C$1960,0)))</f>
        <v/>
      </c>
      <c r="F619" s="8">
        <f>IF(ISNA(MATCH(610,'Transfer Engine'!$C$2:$C$1960,0)),"",INDEX('Compliance Database'!$F$2:$F$1960,MATCH(610,'Transfer Engine'!$C$2:$C$1960,0)))</f>
        <v/>
      </c>
      <c r="G619" s="8">
        <f>IF(ISNA(MATCH(610,'Transfer Engine'!$C$2:$C$1960,0)),"",INDEX('Compliance Database'!$G$2:$G$1960,MATCH(610,'Transfer Engine'!$C$2:$C$1960,0)))</f>
        <v/>
      </c>
      <c r="H619" s="9">
        <f>IF(ISNA(MATCH(610,'Transfer Engine'!$C$2:$C$1960,0)),"",INDEX('Compliance Database'!$H$2:$H$1960,MATCH(610,'Transfer Engine'!$C$2:$C$1960,0)))</f>
        <v/>
      </c>
      <c r="I619" s="9">
        <f>IF(ISNA(MATCH(610,'Transfer Engine'!$C$2:$C$1960,0)),"",INDEX('Compliance Database'!$I$2:$I$1960,MATCH(610,'Transfer Engine'!$C$2:$C$1960,0)))</f>
        <v/>
      </c>
      <c r="J619" s="8">
        <f>IF(ISNA(MATCH(610,'Transfer Engine'!$C$2:$C$1960,0)),"",INDEX('Compliance Database'!$J$2:$J$1960,MATCH(610,'Transfer Engine'!$C$2:$C$1960,0)))</f>
        <v/>
      </c>
      <c r="K619" s="9">
        <f>IF(ISNA(MATCH(610,'Transfer Engine'!$C$2:$C$1960,0)),"",INDEX('Compliance Database'!$K$2:$K$1960,MATCH(610,'Transfer Engine'!$C$2:$C$1960,0)))</f>
        <v/>
      </c>
      <c r="L619" s="9">
        <f>IF(ISNA(MATCH(610,'Transfer Engine'!$C$2:$C$1960,0)),"",INDEX('Compliance Database'!$L$2:$L$1960,MATCH(610,'Transfer Engine'!$C$2:$C$1960,0)))</f>
        <v/>
      </c>
      <c r="M619" s="9">
        <f>IF(ISNA(MATCH(610,'Transfer Engine'!$C$2:$C$1960,0)),"",INDEX('Compliance Database'!$M$2:$M$1960,MATCH(610,'Transfer Engine'!$C$2:$C$1960,0)))</f>
        <v/>
      </c>
      <c r="N619" s="9">
        <f>IF(ISNA(MATCH(610,'Transfer Engine'!$C$2:$C$1960,0)),"",INDEX('Compliance Database'!$N$2:$N$1960,MATCH(610,'Transfer Engine'!$C$2:$C$1960,0)))</f>
        <v/>
      </c>
      <c r="O619" s="9">
        <f>IF(ISNA(MATCH(610,'Transfer Engine'!$C$2:$C$1960,0)),"",INDEX('Compliance Database'!$O$2:$O$1960,MATCH(610,'Transfer Engine'!$C$2:$C$1960,0)))</f>
        <v/>
      </c>
      <c r="P619" s="8">
        <f>IF(ISNA(MATCH(610,'Transfer Engine'!$C$2:$C$1960,0)),"",HYPERLINK("#Acts!A"&amp;INDEX('Compliance Database'!$P$2:$P$1960,MATCH(610,'Transfer Engine'!$C$2:$C$1960,0)),"Go to Act"))</f>
        <v/>
      </c>
    </row>
    <row r="620" ht="158" customHeight="1">
      <c r="A620" s="8">
        <f>IF(ISNA(MATCH(611,'Transfer Engine'!$C$2:$C$1960,0)),"",INDEX('Compliance Database'!$A$2:$A$1960,MATCH(611,'Transfer Engine'!$C$2:$C$1960,0)))</f>
        <v/>
      </c>
      <c r="B620" s="8">
        <f>IF(ISNA(MATCH(611,'Transfer Engine'!$C$2:$C$1960,0)),"",INDEX('Compliance Database'!$B$2:$B$1960,MATCH(611,'Transfer Engine'!$C$2:$C$1960,0)))</f>
        <v/>
      </c>
      <c r="C620" s="8">
        <f>IF(ISNA(MATCH(611,'Transfer Engine'!$C$2:$C$1960,0)),"",INDEX('Compliance Database'!$C$2:$C$1960,MATCH(611,'Transfer Engine'!$C$2:$C$1960,0)))</f>
        <v/>
      </c>
      <c r="D620" s="9">
        <f>IF(ISNA(MATCH(611,'Transfer Engine'!$C$2:$C$1960,0)),"",INDEX('Compliance Database'!$D$2:$D$1960,MATCH(611,'Transfer Engine'!$C$2:$C$1960,0)))</f>
        <v/>
      </c>
      <c r="E620" s="8">
        <f>IF(ISNA(MATCH(611,'Transfer Engine'!$C$2:$C$1960,0)),"",INDEX('Compliance Database'!$E$2:$E$1960,MATCH(611,'Transfer Engine'!$C$2:$C$1960,0)))</f>
        <v/>
      </c>
      <c r="F620" s="8">
        <f>IF(ISNA(MATCH(611,'Transfer Engine'!$C$2:$C$1960,0)),"",INDEX('Compliance Database'!$F$2:$F$1960,MATCH(611,'Transfer Engine'!$C$2:$C$1960,0)))</f>
        <v/>
      </c>
      <c r="G620" s="8">
        <f>IF(ISNA(MATCH(611,'Transfer Engine'!$C$2:$C$1960,0)),"",INDEX('Compliance Database'!$G$2:$G$1960,MATCH(611,'Transfer Engine'!$C$2:$C$1960,0)))</f>
        <v/>
      </c>
      <c r="H620" s="9">
        <f>IF(ISNA(MATCH(611,'Transfer Engine'!$C$2:$C$1960,0)),"",INDEX('Compliance Database'!$H$2:$H$1960,MATCH(611,'Transfer Engine'!$C$2:$C$1960,0)))</f>
        <v/>
      </c>
      <c r="I620" s="9">
        <f>IF(ISNA(MATCH(611,'Transfer Engine'!$C$2:$C$1960,0)),"",INDEX('Compliance Database'!$I$2:$I$1960,MATCH(611,'Transfer Engine'!$C$2:$C$1960,0)))</f>
        <v/>
      </c>
      <c r="J620" s="8">
        <f>IF(ISNA(MATCH(611,'Transfer Engine'!$C$2:$C$1960,0)),"",INDEX('Compliance Database'!$J$2:$J$1960,MATCH(611,'Transfer Engine'!$C$2:$C$1960,0)))</f>
        <v/>
      </c>
      <c r="K620" s="9">
        <f>IF(ISNA(MATCH(611,'Transfer Engine'!$C$2:$C$1960,0)),"",INDEX('Compliance Database'!$K$2:$K$1960,MATCH(611,'Transfer Engine'!$C$2:$C$1960,0)))</f>
        <v/>
      </c>
      <c r="L620" s="9">
        <f>IF(ISNA(MATCH(611,'Transfer Engine'!$C$2:$C$1960,0)),"",INDEX('Compliance Database'!$L$2:$L$1960,MATCH(611,'Transfer Engine'!$C$2:$C$1960,0)))</f>
        <v/>
      </c>
      <c r="M620" s="9">
        <f>IF(ISNA(MATCH(611,'Transfer Engine'!$C$2:$C$1960,0)),"",INDEX('Compliance Database'!$M$2:$M$1960,MATCH(611,'Transfer Engine'!$C$2:$C$1960,0)))</f>
        <v/>
      </c>
      <c r="N620" s="9">
        <f>IF(ISNA(MATCH(611,'Transfer Engine'!$C$2:$C$1960,0)),"",INDEX('Compliance Database'!$N$2:$N$1960,MATCH(611,'Transfer Engine'!$C$2:$C$1960,0)))</f>
        <v/>
      </c>
      <c r="O620" s="9">
        <f>IF(ISNA(MATCH(611,'Transfer Engine'!$C$2:$C$1960,0)),"",INDEX('Compliance Database'!$O$2:$O$1960,MATCH(611,'Transfer Engine'!$C$2:$C$1960,0)))</f>
        <v/>
      </c>
      <c r="P620" s="8">
        <f>IF(ISNA(MATCH(611,'Transfer Engine'!$C$2:$C$1960,0)),"",HYPERLINK("#Acts!A"&amp;INDEX('Compliance Database'!$P$2:$P$1960,MATCH(611,'Transfer Engine'!$C$2:$C$1960,0)),"Go to Act"))</f>
        <v/>
      </c>
    </row>
    <row r="621" ht="158" customHeight="1">
      <c r="A621" s="8">
        <f>IF(ISNA(MATCH(612,'Transfer Engine'!$C$2:$C$1960,0)),"",INDEX('Compliance Database'!$A$2:$A$1960,MATCH(612,'Transfer Engine'!$C$2:$C$1960,0)))</f>
        <v/>
      </c>
      <c r="B621" s="8">
        <f>IF(ISNA(MATCH(612,'Transfer Engine'!$C$2:$C$1960,0)),"",INDEX('Compliance Database'!$B$2:$B$1960,MATCH(612,'Transfer Engine'!$C$2:$C$1960,0)))</f>
        <v/>
      </c>
      <c r="C621" s="8">
        <f>IF(ISNA(MATCH(612,'Transfer Engine'!$C$2:$C$1960,0)),"",INDEX('Compliance Database'!$C$2:$C$1960,MATCH(612,'Transfer Engine'!$C$2:$C$1960,0)))</f>
        <v/>
      </c>
      <c r="D621" s="9">
        <f>IF(ISNA(MATCH(612,'Transfer Engine'!$C$2:$C$1960,0)),"",INDEX('Compliance Database'!$D$2:$D$1960,MATCH(612,'Transfer Engine'!$C$2:$C$1960,0)))</f>
        <v/>
      </c>
      <c r="E621" s="8">
        <f>IF(ISNA(MATCH(612,'Transfer Engine'!$C$2:$C$1960,0)),"",INDEX('Compliance Database'!$E$2:$E$1960,MATCH(612,'Transfer Engine'!$C$2:$C$1960,0)))</f>
        <v/>
      </c>
      <c r="F621" s="8">
        <f>IF(ISNA(MATCH(612,'Transfer Engine'!$C$2:$C$1960,0)),"",INDEX('Compliance Database'!$F$2:$F$1960,MATCH(612,'Transfer Engine'!$C$2:$C$1960,0)))</f>
        <v/>
      </c>
      <c r="G621" s="8">
        <f>IF(ISNA(MATCH(612,'Transfer Engine'!$C$2:$C$1960,0)),"",INDEX('Compliance Database'!$G$2:$G$1960,MATCH(612,'Transfer Engine'!$C$2:$C$1960,0)))</f>
        <v/>
      </c>
      <c r="H621" s="9">
        <f>IF(ISNA(MATCH(612,'Transfer Engine'!$C$2:$C$1960,0)),"",INDEX('Compliance Database'!$H$2:$H$1960,MATCH(612,'Transfer Engine'!$C$2:$C$1960,0)))</f>
        <v/>
      </c>
      <c r="I621" s="9">
        <f>IF(ISNA(MATCH(612,'Transfer Engine'!$C$2:$C$1960,0)),"",INDEX('Compliance Database'!$I$2:$I$1960,MATCH(612,'Transfer Engine'!$C$2:$C$1960,0)))</f>
        <v/>
      </c>
      <c r="J621" s="8">
        <f>IF(ISNA(MATCH(612,'Transfer Engine'!$C$2:$C$1960,0)),"",INDEX('Compliance Database'!$J$2:$J$1960,MATCH(612,'Transfer Engine'!$C$2:$C$1960,0)))</f>
        <v/>
      </c>
      <c r="K621" s="9">
        <f>IF(ISNA(MATCH(612,'Transfer Engine'!$C$2:$C$1960,0)),"",INDEX('Compliance Database'!$K$2:$K$1960,MATCH(612,'Transfer Engine'!$C$2:$C$1960,0)))</f>
        <v/>
      </c>
      <c r="L621" s="9">
        <f>IF(ISNA(MATCH(612,'Transfer Engine'!$C$2:$C$1960,0)),"",INDEX('Compliance Database'!$L$2:$L$1960,MATCH(612,'Transfer Engine'!$C$2:$C$1960,0)))</f>
        <v/>
      </c>
      <c r="M621" s="9">
        <f>IF(ISNA(MATCH(612,'Transfer Engine'!$C$2:$C$1960,0)),"",INDEX('Compliance Database'!$M$2:$M$1960,MATCH(612,'Transfer Engine'!$C$2:$C$1960,0)))</f>
        <v/>
      </c>
      <c r="N621" s="9">
        <f>IF(ISNA(MATCH(612,'Transfer Engine'!$C$2:$C$1960,0)),"",INDEX('Compliance Database'!$N$2:$N$1960,MATCH(612,'Transfer Engine'!$C$2:$C$1960,0)))</f>
        <v/>
      </c>
      <c r="O621" s="9">
        <f>IF(ISNA(MATCH(612,'Transfer Engine'!$C$2:$C$1960,0)),"",INDEX('Compliance Database'!$O$2:$O$1960,MATCH(612,'Transfer Engine'!$C$2:$C$1960,0)))</f>
        <v/>
      </c>
      <c r="P621" s="8">
        <f>IF(ISNA(MATCH(612,'Transfer Engine'!$C$2:$C$1960,0)),"",HYPERLINK("#Acts!A"&amp;INDEX('Compliance Database'!$P$2:$P$1960,MATCH(612,'Transfer Engine'!$C$2:$C$1960,0)),"Go to Act"))</f>
        <v/>
      </c>
    </row>
    <row r="622" ht="158" customHeight="1">
      <c r="A622" s="8">
        <f>IF(ISNA(MATCH(613,'Transfer Engine'!$C$2:$C$1960,0)),"",INDEX('Compliance Database'!$A$2:$A$1960,MATCH(613,'Transfer Engine'!$C$2:$C$1960,0)))</f>
        <v/>
      </c>
      <c r="B622" s="8">
        <f>IF(ISNA(MATCH(613,'Transfer Engine'!$C$2:$C$1960,0)),"",INDEX('Compliance Database'!$B$2:$B$1960,MATCH(613,'Transfer Engine'!$C$2:$C$1960,0)))</f>
        <v/>
      </c>
      <c r="C622" s="8">
        <f>IF(ISNA(MATCH(613,'Transfer Engine'!$C$2:$C$1960,0)),"",INDEX('Compliance Database'!$C$2:$C$1960,MATCH(613,'Transfer Engine'!$C$2:$C$1960,0)))</f>
        <v/>
      </c>
      <c r="D622" s="9">
        <f>IF(ISNA(MATCH(613,'Transfer Engine'!$C$2:$C$1960,0)),"",INDEX('Compliance Database'!$D$2:$D$1960,MATCH(613,'Transfer Engine'!$C$2:$C$1960,0)))</f>
        <v/>
      </c>
      <c r="E622" s="8">
        <f>IF(ISNA(MATCH(613,'Transfer Engine'!$C$2:$C$1960,0)),"",INDEX('Compliance Database'!$E$2:$E$1960,MATCH(613,'Transfer Engine'!$C$2:$C$1960,0)))</f>
        <v/>
      </c>
      <c r="F622" s="8">
        <f>IF(ISNA(MATCH(613,'Transfer Engine'!$C$2:$C$1960,0)),"",INDEX('Compliance Database'!$F$2:$F$1960,MATCH(613,'Transfer Engine'!$C$2:$C$1960,0)))</f>
        <v/>
      </c>
      <c r="G622" s="8">
        <f>IF(ISNA(MATCH(613,'Transfer Engine'!$C$2:$C$1960,0)),"",INDEX('Compliance Database'!$G$2:$G$1960,MATCH(613,'Transfer Engine'!$C$2:$C$1960,0)))</f>
        <v/>
      </c>
      <c r="H622" s="9">
        <f>IF(ISNA(MATCH(613,'Transfer Engine'!$C$2:$C$1960,0)),"",INDEX('Compliance Database'!$H$2:$H$1960,MATCH(613,'Transfer Engine'!$C$2:$C$1960,0)))</f>
        <v/>
      </c>
      <c r="I622" s="9">
        <f>IF(ISNA(MATCH(613,'Transfer Engine'!$C$2:$C$1960,0)),"",INDEX('Compliance Database'!$I$2:$I$1960,MATCH(613,'Transfer Engine'!$C$2:$C$1960,0)))</f>
        <v/>
      </c>
      <c r="J622" s="8">
        <f>IF(ISNA(MATCH(613,'Transfer Engine'!$C$2:$C$1960,0)),"",INDEX('Compliance Database'!$J$2:$J$1960,MATCH(613,'Transfer Engine'!$C$2:$C$1960,0)))</f>
        <v/>
      </c>
      <c r="K622" s="9">
        <f>IF(ISNA(MATCH(613,'Transfer Engine'!$C$2:$C$1960,0)),"",INDEX('Compliance Database'!$K$2:$K$1960,MATCH(613,'Transfer Engine'!$C$2:$C$1960,0)))</f>
        <v/>
      </c>
      <c r="L622" s="9">
        <f>IF(ISNA(MATCH(613,'Transfer Engine'!$C$2:$C$1960,0)),"",INDEX('Compliance Database'!$L$2:$L$1960,MATCH(613,'Transfer Engine'!$C$2:$C$1960,0)))</f>
        <v/>
      </c>
      <c r="M622" s="9">
        <f>IF(ISNA(MATCH(613,'Transfer Engine'!$C$2:$C$1960,0)),"",INDEX('Compliance Database'!$M$2:$M$1960,MATCH(613,'Transfer Engine'!$C$2:$C$1960,0)))</f>
        <v/>
      </c>
      <c r="N622" s="9">
        <f>IF(ISNA(MATCH(613,'Transfer Engine'!$C$2:$C$1960,0)),"",INDEX('Compliance Database'!$N$2:$N$1960,MATCH(613,'Transfer Engine'!$C$2:$C$1960,0)))</f>
        <v/>
      </c>
      <c r="O622" s="9">
        <f>IF(ISNA(MATCH(613,'Transfer Engine'!$C$2:$C$1960,0)),"",INDEX('Compliance Database'!$O$2:$O$1960,MATCH(613,'Transfer Engine'!$C$2:$C$1960,0)))</f>
        <v/>
      </c>
      <c r="P622" s="8">
        <f>IF(ISNA(MATCH(613,'Transfer Engine'!$C$2:$C$1960,0)),"",HYPERLINK("#Acts!A"&amp;INDEX('Compliance Database'!$P$2:$P$1960,MATCH(613,'Transfer Engine'!$C$2:$C$1960,0)),"Go to Act"))</f>
        <v/>
      </c>
    </row>
    <row r="623" ht="158" customHeight="1">
      <c r="A623" s="8">
        <f>IF(ISNA(MATCH(614,'Transfer Engine'!$C$2:$C$1960,0)),"",INDEX('Compliance Database'!$A$2:$A$1960,MATCH(614,'Transfer Engine'!$C$2:$C$1960,0)))</f>
        <v/>
      </c>
      <c r="B623" s="8">
        <f>IF(ISNA(MATCH(614,'Transfer Engine'!$C$2:$C$1960,0)),"",INDEX('Compliance Database'!$B$2:$B$1960,MATCH(614,'Transfer Engine'!$C$2:$C$1960,0)))</f>
        <v/>
      </c>
      <c r="C623" s="8">
        <f>IF(ISNA(MATCH(614,'Transfer Engine'!$C$2:$C$1960,0)),"",INDEX('Compliance Database'!$C$2:$C$1960,MATCH(614,'Transfer Engine'!$C$2:$C$1960,0)))</f>
        <v/>
      </c>
      <c r="D623" s="9">
        <f>IF(ISNA(MATCH(614,'Transfer Engine'!$C$2:$C$1960,0)),"",INDEX('Compliance Database'!$D$2:$D$1960,MATCH(614,'Transfer Engine'!$C$2:$C$1960,0)))</f>
        <v/>
      </c>
      <c r="E623" s="8">
        <f>IF(ISNA(MATCH(614,'Transfer Engine'!$C$2:$C$1960,0)),"",INDEX('Compliance Database'!$E$2:$E$1960,MATCH(614,'Transfer Engine'!$C$2:$C$1960,0)))</f>
        <v/>
      </c>
      <c r="F623" s="8">
        <f>IF(ISNA(MATCH(614,'Transfer Engine'!$C$2:$C$1960,0)),"",INDEX('Compliance Database'!$F$2:$F$1960,MATCH(614,'Transfer Engine'!$C$2:$C$1960,0)))</f>
        <v/>
      </c>
      <c r="G623" s="8">
        <f>IF(ISNA(MATCH(614,'Transfer Engine'!$C$2:$C$1960,0)),"",INDEX('Compliance Database'!$G$2:$G$1960,MATCH(614,'Transfer Engine'!$C$2:$C$1960,0)))</f>
        <v/>
      </c>
      <c r="H623" s="9">
        <f>IF(ISNA(MATCH(614,'Transfer Engine'!$C$2:$C$1960,0)),"",INDEX('Compliance Database'!$H$2:$H$1960,MATCH(614,'Transfer Engine'!$C$2:$C$1960,0)))</f>
        <v/>
      </c>
      <c r="I623" s="9">
        <f>IF(ISNA(MATCH(614,'Transfer Engine'!$C$2:$C$1960,0)),"",INDEX('Compliance Database'!$I$2:$I$1960,MATCH(614,'Transfer Engine'!$C$2:$C$1960,0)))</f>
        <v/>
      </c>
      <c r="J623" s="8">
        <f>IF(ISNA(MATCH(614,'Transfer Engine'!$C$2:$C$1960,0)),"",INDEX('Compliance Database'!$J$2:$J$1960,MATCH(614,'Transfer Engine'!$C$2:$C$1960,0)))</f>
        <v/>
      </c>
      <c r="K623" s="9">
        <f>IF(ISNA(MATCH(614,'Transfer Engine'!$C$2:$C$1960,0)),"",INDEX('Compliance Database'!$K$2:$K$1960,MATCH(614,'Transfer Engine'!$C$2:$C$1960,0)))</f>
        <v/>
      </c>
      <c r="L623" s="9">
        <f>IF(ISNA(MATCH(614,'Transfer Engine'!$C$2:$C$1960,0)),"",INDEX('Compliance Database'!$L$2:$L$1960,MATCH(614,'Transfer Engine'!$C$2:$C$1960,0)))</f>
        <v/>
      </c>
      <c r="M623" s="9">
        <f>IF(ISNA(MATCH(614,'Transfer Engine'!$C$2:$C$1960,0)),"",INDEX('Compliance Database'!$M$2:$M$1960,MATCH(614,'Transfer Engine'!$C$2:$C$1960,0)))</f>
        <v/>
      </c>
      <c r="N623" s="9">
        <f>IF(ISNA(MATCH(614,'Transfer Engine'!$C$2:$C$1960,0)),"",INDEX('Compliance Database'!$N$2:$N$1960,MATCH(614,'Transfer Engine'!$C$2:$C$1960,0)))</f>
        <v/>
      </c>
      <c r="O623" s="9">
        <f>IF(ISNA(MATCH(614,'Transfer Engine'!$C$2:$C$1960,0)),"",INDEX('Compliance Database'!$O$2:$O$1960,MATCH(614,'Transfer Engine'!$C$2:$C$1960,0)))</f>
        <v/>
      </c>
      <c r="P623" s="8">
        <f>IF(ISNA(MATCH(614,'Transfer Engine'!$C$2:$C$1960,0)),"",HYPERLINK("#Acts!A"&amp;INDEX('Compliance Database'!$P$2:$P$1960,MATCH(614,'Transfer Engine'!$C$2:$C$1960,0)),"Go to Act"))</f>
        <v/>
      </c>
    </row>
    <row r="624" ht="158" customHeight="1">
      <c r="A624" s="8">
        <f>IF(ISNA(MATCH(615,'Transfer Engine'!$C$2:$C$1960,0)),"",INDEX('Compliance Database'!$A$2:$A$1960,MATCH(615,'Transfer Engine'!$C$2:$C$1960,0)))</f>
        <v/>
      </c>
      <c r="B624" s="8">
        <f>IF(ISNA(MATCH(615,'Transfer Engine'!$C$2:$C$1960,0)),"",INDEX('Compliance Database'!$B$2:$B$1960,MATCH(615,'Transfer Engine'!$C$2:$C$1960,0)))</f>
        <v/>
      </c>
      <c r="C624" s="8">
        <f>IF(ISNA(MATCH(615,'Transfer Engine'!$C$2:$C$1960,0)),"",INDEX('Compliance Database'!$C$2:$C$1960,MATCH(615,'Transfer Engine'!$C$2:$C$1960,0)))</f>
        <v/>
      </c>
      <c r="D624" s="9">
        <f>IF(ISNA(MATCH(615,'Transfer Engine'!$C$2:$C$1960,0)),"",INDEX('Compliance Database'!$D$2:$D$1960,MATCH(615,'Transfer Engine'!$C$2:$C$1960,0)))</f>
        <v/>
      </c>
      <c r="E624" s="8">
        <f>IF(ISNA(MATCH(615,'Transfer Engine'!$C$2:$C$1960,0)),"",INDEX('Compliance Database'!$E$2:$E$1960,MATCH(615,'Transfer Engine'!$C$2:$C$1960,0)))</f>
        <v/>
      </c>
      <c r="F624" s="8">
        <f>IF(ISNA(MATCH(615,'Transfer Engine'!$C$2:$C$1960,0)),"",INDEX('Compliance Database'!$F$2:$F$1960,MATCH(615,'Transfer Engine'!$C$2:$C$1960,0)))</f>
        <v/>
      </c>
      <c r="G624" s="8">
        <f>IF(ISNA(MATCH(615,'Transfer Engine'!$C$2:$C$1960,0)),"",INDEX('Compliance Database'!$G$2:$G$1960,MATCH(615,'Transfer Engine'!$C$2:$C$1960,0)))</f>
        <v/>
      </c>
      <c r="H624" s="9">
        <f>IF(ISNA(MATCH(615,'Transfer Engine'!$C$2:$C$1960,0)),"",INDEX('Compliance Database'!$H$2:$H$1960,MATCH(615,'Transfer Engine'!$C$2:$C$1960,0)))</f>
        <v/>
      </c>
      <c r="I624" s="9">
        <f>IF(ISNA(MATCH(615,'Transfer Engine'!$C$2:$C$1960,0)),"",INDEX('Compliance Database'!$I$2:$I$1960,MATCH(615,'Transfer Engine'!$C$2:$C$1960,0)))</f>
        <v/>
      </c>
      <c r="J624" s="8">
        <f>IF(ISNA(MATCH(615,'Transfer Engine'!$C$2:$C$1960,0)),"",INDEX('Compliance Database'!$J$2:$J$1960,MATCH(615,'Transfer Engine'!$C$2:$C$1960,0)))</f>
        <v/>
      </c>
      <c r="K624" s="9">
        <f>IF(ISNA(MATCH(615,'Transfer Engine'!$C$2:$C$1960,0)),"",INDEX('Compliance Database'!$K$2:$K$1960,MATCH(615,'Transfer Engine'!$C$2:$C$1960,0)))</f>
        <v/>
      </c>
      <c r="L624" s="9">
        <f>IF(ISNA(MATCH(615,'Transfer Engine'!$C$2:$C$1960,0)),"",INDEX('Compliance Database'!$L$2:$L$1960,MATCH(615,'Transfer Engine'!$C$2:$C$1960,0)))</f>
        <v/>
      </c>
      <c r="M624" s="9">
        <f>IF(ISNA(MATCH(615,'Transfer Engine'!$C$2:$C$1960,0)),"",INDEX('Compliance Database'!$M$2:$M$1960,MATCH(615,'Transfer Engine'!$C$2:$C$1960,0)))</f>
        <v/>
      </c>
      <c r="N624" s="9">
        <f>IF(ISNA(MATCH(615,'Transfer Engine'!$C$2:$C$1960,0)),"",INDEX('Compliance Database'!$N$2:$N$1960,MATCH(615,'Transfer Engine'!$C$2:$C$1960,0)))</f>
        <v/>
      </c>
      <c r="O624" s="9">
        <f>IF(ISNA(MATCH(615,'Transfer Engine'!$C$2:$C$1960,0)),"",INDEX('Compliance Database'!$O$2:$O$1960,MATCH(615,'Transfer Engine'!$C$2:$C$1960,0)))</f>
        <v/>
      </c>
      <c r="P624" s="8">
        <f>IF(ISNA(MATCH(615,'Transfer Engine'!$C$2:$C$1960,0)),"",HYPERLINK("#Acts!A"&amp;INDEX('Compliance Database'!$P$2:$P$1960,MATCH(615,'Transfer Engine'!$C$2:$C$1960,0)),"Go to Act"))</f>
        <v/>
      </c>
    </row>
    <row r="625" ht="158" customHeight="1">
      <c r="A625" s="8">
        <f>IF(ISNA(MATCH(616,'Transfer Engine'!$C$2:$C$1960,0)),"",INDEX('Compliance Database'!$A$2:$A$1960,MATCH(616,'Transfer Engine'!$C$2:$C$1960,0)))</f>
        <v/>
      </c>
      <c r="B625" s="8">
        <f>IF(ISNA(MATCH(616,'Transfer Engine'!$C$2:$C$1960,0)),"",INDEX('Compliance Database'!$B$2:$B$1960,MATCH(616,'Transfer Engine'!$C$2:$C$1960,0)))</f>
        <v/>
      </c>
      <c r="C625" s="8">
        <f>IF(ISNA(MATCH(616,'Transfer Engine'!$C$2:$C$1960,0)),"",INDEX('Compliance Database'!$C$2:$C$1960,MATCH(616,'Transfer Engine'!$C$2:$C$1960,0)))</f>
        <v/>
      </c>
      <c r="D625" s="9">
        <f>IF(ISNA(MATCH(616,'Transfer Engine'!$C$2:$C$1960,0)),"",INDEX('Compliance Database'!$D$2:$D$1960,MATCH(616,'Transfer Engine'!$C$2:$C$1960,0)))</f>
        <v/>
      </c>
      <c r="E625" s="8">
        <f>IF(ISNA(MATCH(616,'Transfer Engine'!$C$2:$C$1960,0)),"",INDEX('Compliance Database'!$E$2:$E$1960,MATCH(616,'Transfer Engine'!$C$2:$C$1960,0)))</f>
        <v/>
      </c>
      <c r="F625" s="8">
        <f>IF(ISNA(MATCH(616,'Transfer Engine'!$C$2:$C$1960,0)),"",INDEX('Compliance Database'!$F$2:$F$1960,MATCH(616,'Transfer Engine'!$C$2:$C$1960,0)))</f>
        <v/>
      </c>
      <c r="G625" s="8">
        <f>IF(ISNA(MATCH(616,'Transfer Engine'!$C$2:$C$1960,0)),"",INDEX('Compliance Database'!$G$2:$G$1960,MATCH(616,'Transfer Engine'!$C$2:$C$1960,0)))</f>
        <v/>
      </c>
      <c r="H625" s="9">
        <f>IF(ISNA(MATCH(616,'Transfer Engine'!$C$2:$C$1960,0)),"",INDEX('Compliance Database'!$H$2:$H$1960,MATCH(616,'Transfer Engine'!$C$2:$C$1960,0)))</f>
        <v/>
      </c>
      <c r="I625" s="9">
        <f>IF(ISNA(MATCH(616,'Transfer Engine'!$C$2:$C$1960,0)),"",INDEX('Compliance Database'!$I$2:$I$1960,MATCH(616,'Transfer Engine'!$C$2:$C$1960,0)))</f>
        <v/>
      </c>
      <c r="J625" s="8">
        <f>IF(ISNA(MATCH(616,'Transfer Engine'!$C$2:$C$1960,0)),"",INDEX('Compliance Database'!$J$2:$J$1960,MATCH(616,'Transfer Engine'!$C$2:$C$1960,0)))</f>
        <v/>
      </c>
      <c r="K625" s="9">
        <f>IF(ISNA(MATCH(616,'Transfer Engine'!$C$2:$C$1960,0)),"",INDEX('Compliance Database'!$K$2:$K$1960,MATCH(616,'Transfer Engine'!$C$2:$C$1960,0)))</f>
        <v/>
      </c>
      <c r="L625" s="9">
        <f>IF(ISNA(MATCH(616,'Transfer Engine'!$C$2:$C$1960,0)),"",INDEX('Compliance Database'!$L$2:$L$1960,MATCH(616,'Transfer Engine'!$C$2:$C$1960,0)))</f>
        <v/>
      </c>
      <c r="M625" s="9">
        <f>IF(ISNA(MATCH(616,'Transfer Engine'!$C$2:$C$1960,0)),"",INDEX('Compliance Database'!$M$2:$M$1960,MATCH(616,'Transfer Engine'!$C$2:$C$1960,0)))</f>
        <v/>
      </c>
      <c r="N625" s="9">
        <f>IF(ISNA(MATCH(616,'Transfer Engine'!$C$2:$C$1960,0)),"",INDEX('Compliance Database'!$N$2:$N$1960,MATCH(616,'Transfer Engine'!$C$2:$C$1960,0)))</f>
        <v/>
      </c>
      <c r="O625" s="9">
        <f>IF(ISNA(MATCH(616,'Transfer Engine'!$C$2:$C$1960,0)),"",INDEX('Compliance Database'!$O$2:$O$1960,MATCH(616,'Transfer Engine'!$C$2:$C$1960,0)))</f>
        <v/>
      </c>
      <c r="P625" s="8">
        <f>IF(ISNA(MATCH(616,'Transfer Engine'!$C$2:$C$1960,0)),"",HYPERLINK("#Acts!A"&amp;INDEX('Compliance Database'!$P$2:$P$1960,MATCH(616,'Transfer Engine'!$C$2:$C$1960,0)),"Go to Act"))</f>
        <v/>
      </c>
    </row>
    <row r="626" ht="158" customHeight="1">
      <c r="A626" s="8">
        <f>IF(ISNA(MATCH(617,'Transfer Engine'!$C$2:$C$1960,0)),"",INDEX('Compliance Database'!$A$2:$A$1960,MATCH(617,'Transfer Engine'!$C$2:$C$1960,0)))</f>
        <v/>
      </c>
      <c r="B626" s="8">
        <f>IF(ISNA(MATCH(617,'Transfer Engine'!$C$2:$C$1960,0)),"",INDEX('Compliance Database'!$B$2:$B$1960,MATCH(617,'Transfer Engine'!$C$2:$C$1960,0)))</f>
        <v/>
      </c>
      <c r="C626" s="8">
        <f>IF(ISNA(MATCH(617,'Transfer Engine'!$C$2:$C$1960,0)),"",INDEX('Compliance Database'!$C$2:$C$1960,MATCH(617,'Transfer Engine'!$C$2:$C$1960,0)))</f>
        <v/>
      </c>
      <c r="D626" s="9">
        <f>IF(ISNA(MATCH(617,'Transfer Engine'!$C$2:$C$1960,0)),"",INDEX('Compliance Database'!$D$2:$D$1960,MATCH(617,'Transfer Engine'!$C$2:$C$1960,0)))</f>
        <v/>
      </c>
      <c r="E626" s="8">
        <f>IF(ISNA(MATCH(617,'Transfer Engine'!$C$2:$C$1960,0)),"",INDEX('Compliance Database'!$E$2:$E$1960,MATCH(617,'Transfer Engine'!$C$2:$C$1960,0)))</f>
        <v/>
      </c>
      <c r="F626" s="8">
        <f>IF(ISNA(MATCH(617,'Transfer Engine'!$C$2:$C$1960,0)),"",INDEX('Compliance Database'!$F$2:$F$1960,MATCH(617,'Transfer Engine'!$C$2:$C$1960,0)))</f>
        <v/>
      </c>
      <c r="G626" s="8">
        <f>IF(ISNA(MATCH(617,'Transfer Engine'!$C$2:$C$1960,0)),"",INDEX('Compliance Database'!$G$2:$G$1960,MATCH(617,'Transfer Engine'!$C$2:$C$1960,0)))</f>
        <v/>
      </c>
      <c r="H626" s="9">
        <f>IF(ISNA(MATCH(617,'Transfer Engine'!$C$2:$C$1960,0)),"",INDEX('Compliance Database'!$H$2:$H$1960,MATCH(617,'Transfer Engine'!$C$2:$C$1960,0)))</f>
        <v/>
      </c>
      <c r="I626" s="9">
        <f>IF(ISNA(MATCH(617,'Transfer Engine'!$C$2:$C$1960,0)),"",INDEX('Compliance Database'!$I$2:$I$1960,MATCH(617,'Transfer Engine'!$C$2:$C$1960,0)))</f>
        <v/>
      </c>
      <c r="J626" s="8">
        <f>IF(ISNA(MATCH(617,'Transfer Engine'!$C$2:$C$1960,0)),"",INDEX('Compliance Database'!$J$2:$J$1960,MATCH(617,'Transfer Engine'!$C$2:$C$1960,0)))</f>
        <v/>
      </c>
      <c r="K626" s="9">
        <f>IF(ISNA(MATCH(617,'Transfer Engine'!$C$2:$C$1960,0)),"",INDEX('Compliance Database'!$K$2:$K$1960,MATCH(617,'Transfer Engine'!$C$2:$C$1960,0)))</f>
        <v/>
      </c>
      <c r="L626" s="9">
        <f>IF(ISNA(MATCH(617,'Transfer Engine'!$C$2:$C$1960,0)),"",INDEX('Compliance Database'!$L$2:$L$1960,MATCH(617,'Transfer Engine'!$C$2:$C$1960,0)))</f>
        <v/>
      </c>
      <c r="M626" s="9">
        <f>IF(ISNA(MATCH(617,'Transfer Engine'!$C$2:$C$1960,0)),"",INDEX('Compliance Database'!$M$2:$M$1960,MATCH(617,'Transfer Engine'!$C$2:$C$1960,0)))</f>
        <v/>
      </c>
      <c r="N626" s="9">
        <f>IF(ISNA(MATCH(617,'Transfer Engine'!$C$2:$C$1960,0)),"",INDEX('Compliance Database'!$N$2:$N$1960,MATCH(617,'Transfer Engine'!$C$2:$C$1960,0)))</f>
        <v/>
      </c>
      <c r="O626" s="9">
        <f>IF(ISNA(MATCH(617,'Transfer Engine'!$C$2:$C$1960,0)),"",INDEX('Compliance Database'!$O$2:$O$1960,MATCH(617,'Transfer Engine'!$C$2:$C$1960,0)))</f>
        <v/>
      </c>
      <c r="P626" s="8">
        <f>IF(ISNA(MATCH(617,'Transfer Engine'!$C$2:$C$1960,0)),"",HYPERLINK("#Acts!A"&amp;INDEX('Compliance Database'!$P$2:$P$1960,MATCH(617,'Transfer Engine'!$C$2:$C$1960,0)),"Go to Act"))</f>
        <v/>
      </c>
    </row>
    <row r="627" ht="158" customHeight="1">
      <c r="A627" s="8">
        <f>IF(ISNA(MATCH(618,'Transfer Engine'!$C$2:$C$1960,0)),"",INDEX('Compliance Database'!$A$2:$A$1960,MATCH(618,'Transfer Engine'!$C$2:$C$1960,0)))</f>
        <v/>
      </c>
      <c r="B627" s="8">
        <f>IF(ISNA(MATCH(618,'Transfer Engine'!$C$2:$C$1960,0)),"",INDEX('Compliance Database'!$B$2:$B$1960,MATCH(618,'Transfer Engine'!$C$2:$C$1960,0)))</f>
        <v/>
      </c>
      <c r="C627" s="8">
        <f>IF(ISNA(MATCH(618,'Transfer Engine'!$C$2:$C$1960,0)),"",INDEX('Compliance Database'!$C$2:$C$1960,MATCH(618,'Transfer Engine'!$C$2:$C$1960,0)))</f>
        <v/>
      </c>
      <c r="D627" s="9">
        <f>IF(ISNA(MATCH(618,'Transfer Engine'!$C$2:$C$1960,0)),"",INDEX('Compliance Database'!$D$2:$D$1960,MATCH(618,'Transfer Engine'!$C$2:$C$1960,0)))</f>
        <v/>
      </c>
      <c r="E627" s="8">
        <f>IF(ISNA(MATCH(618,'Transfer Engine'!$C$2:$C$1960,0)),"",INDEX('Compliance Database'!$E$2:$E$1960,MATCH(618,'Transfer Engine'!$C$2:$C$1960,0)))</f>
        <v/>
      </c>
      <c r="F627" s="8">
        <f>IF(ISNA(MATCH(618,'Transfer Engine'!$C$2:$C$1960,0)),"",INDEX('Compliance Database'!$F$2:$F$1960,MATCH(618,'Transfer Engine'!$C$2:$C$1960,0)))</f>
        <v/>
      </c>
      <c r="G627" s="8">
        <f>IF(ISNA(MATCH(618,'Transfer Engine'!$C$2:$C$1960,0)),"",INDEX('Compliance Database'!$G$2:$G$1960,MATCH(618,'Transfer Engine'!$C$2:$C$1960,0)))</f>
        <v/>
      </c>
      <c r="H627" s="9">
        <f>IF(ISNA(MATCH(618,'Transfer Engine'!$C$2:$C$1960,0)),"",INDEX('Compliance Database'!$H$2:$H$1960,MATCH(618,'Transfer Engine'!$C$2:$C$1960,0)))</f>
        <v/>
      </c>
      <c r="I627" s="9">
        <f>IF(ISNA(MATCH(618,'Transfer Engine'!$C$2:$C$1960,0)),"",INDEX('Compliance Database'!$I$2:$I$1960,MATCH(618,'Transfer Engine'!$C$2:$C$1960,0)))</f>
        <v/>
      </c>
      <c r="J627" s="8">
        <f>IF(ISNA(MATCH(618,'Transfer Engine'!$C$2:$C$1960,0)),"",INDEX('Compliance Database'!$J$2:$J$1960,MATCH(618,'Transfer Engine'!$C$2:$C$1960,0)))</f>
        <v/>
      </c>
      <c r="K627" s="9">
        <f>IF(ISNA(MATCH(618,'Transfer Engine'!$C$2:$C$1960,0)),"",INDEX('Compliance Database'!$K$2:$K$1960,MATCH(618,'Transfer Engine'!$C$2:$C$1960,0)))</f>
        <v/>
      </c>
      <c r="L627" s="9">
        <f>IF(ISNA(MATCH(618,'Transfer Engine'!$C$2:$C$1960,0)),"",INDEX('Compliance Database'!$L$2:$L$1960,MATCH(618,'Transfer Engine'!$C$2:$C$1960,0)))</f>
        <v/>
      </c>
      <c r="M627" s="9">
        <f>IF(ISNA(MATCH(618,'Transfer Engine'!$C$2:$C$1960,0)),"",INDEX('Compliance Database'!$M$2:$M$1960,MATCH(618,'Transfer Engine'!$C$2:$C$1960,0)))</f>
        <v/>
      </c>
      <c r="N627" s="9">
        <f>IF(ISNA(MATCH(618,'Transfer Engine'!$C$2:$C$1960,0)),"",INDEX('Compliance Database'!$N$2:$N$1960,MATCH(618,'Transfer Engine'!$C$2:$C$1960,0)))</f>
        <v/>
      </c>
      <c r="O627" s="9">
        <f>IF(ISNA(MATCH(618,'Transfer Engine'!$C$2:$C$1960,0)),"",INDEX('Compliance Database'!$O$2:$O$1960,MATCH(618,'Transfer Engine'!$C$2:$C$1960,0)))</f>
        <v/>
      </c>
      <c r="P627" s="8">
        <f>IF(ISNA(MATCH(618,'Transfer Engine'!$C$2:$C$1960,0)),"",HYPERLINK("#Acts!A"&amp;INDEX('Compliance Database'!$P$2:$P$1960,MATCH(618,'Transfer Engine'!$C$2:$C$1960,0)),"Go to Act"))</f>
        <v/>
      </c>
    </row>
    <row r="628" ht="158" customHeight="1">
      <c r="A628" s="8">
        <f>IF(ISNA(MATCH(619,'Transfer Engine'!$C$2:$C$1960,0)),"",INDEX('Compliance Database'!$A$2:$A$1960,MATCH(619,'Transfer Engine'!$C$2:$C$1960,0)))</f>
        <v/>
      </c>
      <c r="B628" s="8">
        <f>IF(ISNA(MATCH(619,'Transfer Engine'!$C$2:$C$1960,0)),"",INDEX('Compliance Database'!$B$2:$B$1960,MATCH(619,'Transfer Engine'!$C$2:$C$1960,0)))</f>
        <v/>
      </c>
      <c r="C628" s="8">
        <f>IF(ISNA(MATCH(619,'Transfer Engine'!$C$2:$C$1960,0)),"",INDEX('Compliance Database'!$C$2:$C$1960,MATCH(619,'Transfer Engine'!$C$2:$C$1960,0)))</f>
        <v/>
      </c>
      <c r="D628" s="9">
        <f>IF(ISNA(MATCH(619,'Transfer Engine'!$C$2:$C$1960,0)),"",INDEX('Compliance Database'!$D$2:$D$1960,MATCH(619,'Transfer Engine'!$C$2:$C$1960,0)))</f>
        <v/>
      </c>
      <c r="E628" s="8">
        <f>IF(ISNA(MATCH(619,'Transfer Engine'!$C$2:$C$1960,0)),"",INDEX('Compliance Database'!$E$2:$E$1960,MATCH(619,'Transfer Engine'!$C$2:$C$1960,0)))</f>
        <v/>
      </c>
      <c r="F628" s="8">
        <f>IF(ISNA(MATCH(619,'Transfer Engine'!$C$2:$C$1960,0)),"",INDEX('Compliance Database'!$F$2:$F$1960,MATCH(619,'Transfer Engine'!$C$2:$C$1960,0)))</f>
        <v/>
      </c>
      <c r="G628" s="8">
        <f>IF(ISNA(MATCH(619,'Transfer Engine'!$C$2:$C$1960,0)),"",INDEX('Compliance Database'!$G$2:$G$1960,MATCH(619,'Transfer Engine'!$C$2:$C$1960,0)))</f>
        <v/>
      </c>
      <c r="H628" s="9">
        <f>IF(ISNA(MATCH(619,'Transfer Engine'!$C$2:$C$1960,0)),"",INDEX('Compliance Database'!$H$2:$H$1960,MATCH(619,'Transfer Engine'!$C$2:$C$1960,0)))</f>
        <v/>
      </c>
      <c r="I628" s="9">
        <f>IF(ISNA(MATCH(619,'Transfer Engine'!$C$2:$C$1960,0)),"",INDEX('Compliance Database'!$I$2:$I$1960,MATCH(619,'Transfer Engine'!$C$2:$C$1960,0)))</f>
        <v/>
      </c>
      <c r="J628" s="8">
        <f>IF(ISNA(MATCH(619,'Transfer Engine'!$C$2:$C$1960,0)),"",INDEX('Compliance Database'!$J$2:$J$1960,MATCH(619,'Transfer Engine'!$C$2:$C$1960,0)))</f>
        <v/>
      </c>
      <c r="K628" s="9">
        <f>IF(ISNA(MATCH(619,'Transfer Engine'!$C$2:$C$1960,0)),"",INDEX('Compliance Database'!$K$2:$K$1960,MATCH(619,'Transfer Engine'!$C$2:$C$1960,0)))</f>
        <v/>
      </c>
      <c r="L628" s="9">
        <f>IF(ISNA(MATCH(619,'Transfer Engine'!$C$2:$C$1960,0)),"",INDEX('Compliance Database'!$L$2:$L$1960,MATCH(619,'Transfer Engine'!$C$2:$C$1960,0)))</f>
        <v/>
      </c>
      <c r="M628" s="9">
        <f>IF(ISNA(MATCH(619,'Transfer Engine'!$C$2:$C$1960,0)),"",INDEX('Compliance Database'!$M$2:$M$1960,MATCH(619,'Transfer Engine'!$C$2:$C$1960,0)))</f>
        <v/>
      </c>
      <c r="N628" s="9">
        <f>IF(ISNA(MATCH(619,'Transfer Engine'!$C$2:$C$1960,0)),"",INDEX('Compliance Database'!$N$2:$N$1960,MATCH(619,'Transfer Engine'!$C$2:$C$1960,0)))</f>
        <v/>
      </c>
      <c r="O628" s="9">
        <f>IF(ISNA(MATCH(619,'Transfer Engine'!$C$2:$C$1960,0)),"",INDEX('Compliance Database'!$O$2:$O$1960,MATCH(619,'Transfer Engine'!$C$2:$C$1960,0)))</f>
        <v/>
      </c>
      <c r="P628" s="8">
        <f>IF(ISNA(MATCH(619,'Transfer Engine'!$C$2:$C$1960,0)),"",HYPERLINK("#Acts!A"&amp;INDEX('Compliance Database'!$P$2:$P$1960,MATCH(619,'Transfer Engine'!$C$2:$C$1960,0)),"Go to Act"))</f>
        <v/>
      </c>
    </row>
    <row r="629" ht="158" customHeight="1">
      <c r="A629" s="8">
        <f>IF(ISNA(MATCH(620,'Transfer Engine'!$C$2:$C$1960,0)),"",INDEX('Compliance Database'!$A$2:$A$1960,MATCH(620,'Transfer Engine'!$C$2:$C$1960,0)))</f>
        <v/>
      </c>
      <c r="B629" s="8">
        <f>IF(ISNA(MATCH(620,'Transfer Engine'!$C$2:$C$1960,0)),"",INDEX('Compliance Database'!$B$2:$B$1960,MATCH(620,'Transfer Engine'!$C$2:$C$1960,0)))</f>
        <v/>
      </c>
      <c r="C629" s="8">
        <f>IF(ISNA(MATCH(620,'Transfer Engine'!$C$2:$C$1960,0)),"",INDEX('Compliance Database'!$C$2:$C$1960,MATCH(620,'Transfer Engine'!$C$2:$C$1960,0)))</f>
        <v/>
      </c>
      <c r="D629" s="9">
        <f>IF(ISNA(MATCH(620,'Transfer Engine'!$C$2:$C$1960,0)),"",INDEX('Compliance Database'!$D$2:$D$1960,MATCH(620,'Transfer Engine'!$C$2:$C$1960,0)))</f>
        <v/>
      </c>
      <c r="E629" s="8">
        <f>IF(ISNA(MATCH(620,'Transfer Engine'!$C$2:$C$1960,0)),"",INDEX('Compliance Database'!$E$2:$E$1960,MATCH(620,'Transfer Engine'!$C$2:$C$1960,0)))</f>
        <v/>
      </c>
      <c r="F629" s="8">
        <f>IF(ISNA(MATCH(620,'Transfer Engine'!$C$2:$C$1960,0)),"",INDEX('Compliance Database'!$F$2:$F$1960,MATCH(620,'Transfer Engine'!$C$2:$C$1960,0)))</f>
        <v/>
      </c>
      <c r="G629" s="8">
        <f>IF(ISNA(MATCH(620,'Transfer Engine'!$C$2:$C$1960,0)),"",INDEX('Compliance Database'!$G$2:$G$1960,MATCH(620,'Transfer Engine'!$C$2:$C$1960,0)))</f>
        <v/>
      </c>
      <c r="H629" s="9">
        <f>IF(ISNA(MATCH(620,'Transfer Engine'!$C$2:$C$1960,0)),"",INDEX('Compliance Database'!$H$2:$H$1960,MATCH(620,'Transfer Engine'!$C$2:$C$1960,0)))</f>
        <v/>
      </c>
      <c r="I629" s="9">
        <f>IF(ISNA(MATCH(620,'Transfer Engine'!$C$2:$C$1960,0)),"",INDEX('Compliance Database'!$I$2:$I$1960,MATCH(620,'Transfer Engine'!$C$2:$C$1960,0)))</f>
        <v/>
      </c>
      <c r="J629" s="8">
        <f>IF(ISNA(MATCH(620,'Transfer Engine'!$C$2:$C$1960,0)),"",INDEX('Compliance Database'!$J$2:$J$1960,MATCH(620,'Transfer Engine'!$C$2:$C$1960,0)))</f>
        <v/>
      </c>
      <c r="K629" s="9">
        <f>IF(ISNA(MATCH(620,'Transfer Engine'!$C$2:$C$1960,0)),"",INDEX('Compliance Database'!$K$2:$K$1960,MATCH(620,'Transfer Engine'!$C$2:$C$1960,0)))</f>
        <v/>
      </c>
      <c r="L629" s="9">
        <f>IF(ISNA(MATCH(620,'Transfer Engine'!$C$2:$C$1960,0)),"",INDEX('Compliance Database'!$L$2:$L$1960,MATCH(620,'Transfer Engine'!$C$2:$C$1960,0)))</f>
        <v/>
      </c>
      <c r="M629" s="9">
        <f>IF(ISNA(MATCH(620,'Transfer Engine'!$C$2:$C$1960,0)),"",INDEX('Compliance Database'!$M$2:$M$1960,MATCH(620,'Transfer Engine'!$C$2:$C$1960,0)))</f>
        <v/>
      </c>
      <c r="N629" s="9">
        <f>IF(ISNA(MATCH(620,'Transfer Engine'!$C$2:$C$1960,0)),"",INDEX('Compliance Database'!$N$2:$N$1960,MATCH(620,'Transfer Engine'!$C$2:$C$1960,0)))</f>
        <v/>
      </c>
      <c r="O629" s="9">
        <f>IF(ISNA(MATCH(620,'Transfer Engine'!$C$2:$C$1960,0)),"",INDEX('Compliance Database'!$O$2:$O$1960,MATCH(620,'Transfer Engine'!$C$2:$C$1960,0)))</f>
        <v/>
      </c>
      <c r="P629" s="8">
        <f>IF(ISNA(MATCH(620,'Transfer Engine'!$C$2:$C$1960,0)),"",HYPERLINK("#Acts!A"&amp;INDEX('Compliance Database'!$P$2:$P$1960,MATCH(620,'Transfer Engine'!$C$2:$C$1960,0)),"Go to Act"))</f>
        <v/>
      </c>
    </row>
    <row r="630" ht="158" customHeight="1">
      <c r="A630" s="8">
        <f>IF(ISNA(MATCH(621,'Transfer Engine'!$C$2:$C$1960,0)),"",INDEX('Compliance Database'!$A$2:$A$1960,MATCH(621,'Transfer Engine'!$C$2:$C$1960,0)))</f>
        <v/>
      </c>
      <c r="B630" s="8">
        <f>IF(ISNA(MATCH(621,'Transfer Engine'!$C$2:$C$1960,0)),"",INDEX('Compliance Database'!$B$2:$B$1960,MATCH(621,'Transfer Engine'!$C$2:$C$1960,0)))</f>
        <v/>
      </c>
      <c r="C630" s="8">
        <f>IF(ISNA(MATCH(621,'Transfer Engine'!$C$2:$C$1960,0)),"",INDEX('Compliance Database'!$C$2:$C$1960,MATCH(621,'Transfer Engine'!$C$2:$C$1960,0)))</f>
        <v/>
      </c>
      <c r="D630" s="9">
        <f>IF(ISNA(MATCH(621,'Transfer Engine'!$C$2:$C$1960,0)),"",INDEX('Compliance Database'!$D$2:$D$1960,MATCH(621,'Transfer Engine'!$C$2:$C$1960,0)))</f>
        <v/>
      </c>
      <c r="E630" s="8">
        <f>IF(ISNA(MATCH(621,'Transfer Engine'!$C$2:$C$1960,0)),"",INDEX('Compliance Database'!$E$2:$E$1960,MATCH(621,'Transfer Engine'!$C$2:$C$1960,0)))</f>
        <v/>
      </c>
      <c r="F630" s="8">
        <f>IF(ISNA(MATCH(621,'Transfer Engine'!$C$2:$C$1960,0)),"",INDEX('Compliance Database'!$F$2:$F$1960,MATCH(621,'Transfer Engine'!$C$2:$C$1960,0)))</f>
        <v/>
      </c>
      <c r="G630" s="8">
        <f>IF(ISNA(MATCH(621,'Transfer Engine'!$C$2:$C$1960,0)),"",INDEX('Compliance Database'!$G$2:$G$1960,MATCH(621,'Transfer Engine'!$C$2:$C$1960,0)))</f>
        <v/>
      </c>
      <c r="H630" s="9">
        <f>IF(ISNA(MATCH(621,'Transfer Engine'!$C$2:$C$1960,0)),"",INDEX('Compliance Database'!$H$2:$H$1960,MATCH(621,'Transfer Engine'!$C$2:$C$1960,0)))</f>
        <v/>
      </c>
      <c r="I630" s="9">
        <f>IF(ISNA(MATCH(621,'Transfer Engine'!$C$2:$C$1960,0)),"",INDEX('Compliance Database'!$I$2:$I$1960,MATCH(621,'Transfer Engine'!$C$2:$C$1960,0)))</f>
        <v/>
      </c>
      <c r="J630" s="8">
        <f>IF(ISNA(MATCH(621,'Transfer Engine'!$C$2:$C$1960,0)),"",INDEX('Compliance Database'!$J$2:$J$1960,MATCH(621,'Transfer Engine'!$C$2:$C$1960,0)))</f>
        <v/>
      </c>
      <c r="K630" s="9">
        <f>IF(ISNA(MATCH(621,'Transfer Engine'!$C$2:$C$1960,0)),"",INDEX('Compliance Database'!$K$2:$K$1960,MATCH(621,'Transfer Engine'!$C$2:$C$1960,0)))</f>
        <v/>
      </c>
      <c r="L630" s="9">
        <f>IF(ISNA(MATCH(621,'Transfer Engine'!$C$2:$C$1960,0)),"",INDEX('Compliance Database'!$L$2:$L$1960,MATCH(621,'Transfer Engine'!$C$2:$C$1960,0)))</f>
        <v/>
      </c>
      <c r="M630" s="9">
        <f>IF(ISNA(MATCH(621,'Transfer Engine'!$C$2:$C$1960,0)),"",INDEX('Compliance Database'!$M$2:$M$1960,MATCH(621,'Transfer Engine'!$C$2:$C$1960,0)))</f>
        <v/>
      </c>
      <c r="N630" s="9">
        <f>IF(ISNA(MATCH(621,'Transfer Engine'!$C$2:$C$1960,0)),"",INDEX('Compliance Database'!$N$2:$N$1960,MATCH(621,'Transfer Engine'!$C$2:$C$1960,0)))</f>
        <v/>
      </c>
      <c r="O630" s="9">
        <f>IF(ISNA(MATCH(621,'Transfer Engine'!$C$2:$C$1960,0)),"",INDEX('Compliance Database'!$O$2:$O$1960,MATCH(621,'Transfer Engine'!$C$2:$C$1960,0)))</f>
        <v/>
      </c>
      <c r="P630" s="8">
        <f>IF(ISNA(MATCH(621,'Transfer Engine'!$C$2:$C$1960,0)),"",HYPERLINK("#Acts!A"&amp;INDEX('Compliance Database'!$P$2:$P$1960,MATCH(621,'Transfer Engine'!$C$2:$C$1960,0)),"Go to Act"))</f>
        <v/>
      </c>
    </row>
    <row r="631" ht="158" customHeight="1">
      <c r="A631" s="8">
        <f>IF(ISNA(MATCH(622,'Transfer Engine'!$C$2:$C$1960,0)),"",INDEX('Compliance Database'!$A$2:$A$1960,MATCH(622,'Transfer Engine'!$C$2:$C$1960,0)))</f>
        <v/>
      </c>
      <c r="B631" s="8">
        <f>IF(ISNA(MATCH(622,'Transfer Engine'!$C$2:$C$1960,0)),"",INDEX('Compliance Database'!$B$2:$B$1960,MATCH(622,'Transfer Engine'!$C$2:$C$1960,0)))</f>
        <v/>
      </c>
      <c r="C631" s="8">
        <f>IF(ISNA(MATCH(622,'Transfer Engine'!$C$2:$C$1960,0)),"",INDEX('Compliance Database'!$C$2:$C$1960,MATCH(622,'Transfer Engine'!$C$2:$C$1960,0)))</f>
        <v/>
      </c>
      <c r="D631" s="9">
        <f>IF(ISNA(MATCH(622,'Transfer Engine'!$C$2:$C$1960,0)),"",INDEX('Compliance Database'!$D$2:$D$1960,MATCH(622,'Transfer Engine'!$C$2:$C$1960,0)))</f>
        <v/>
      </c>
      <c r="E631" s="8">
        <f>IF(ISNA(MATCH(622,'Transfer Engine'!$C$2:$C$1960,0)),"",INDEX('Compliance Database'!$E$2:$E$1960,MATCH(622,'Transfer Engine'!$C$2:$C$1960,0)))</f>
        <v/>
      </c>
      <c r="F631" s="8">
        <f>IF(ISNA(MATCH(622,'Transfer Engine'!$C$2:$C$1960,0)),"",INDEX('Compliance Database'!$F$2:$F$1960,MATCH(622,'Transfer Engine'!$C$2:$C$1960,0)))</f>
        <v/>
      </c>
      <c r="G631" s="8">
        <f>IF(ISNA(MATCH(622,'Transfer Engine'!$C$2:$C$1960,0)),"",INDEX('Compliance Database'!$G$2:$G$1960,MATCH(622,'Transfer Engine'!$C$2:$C$1960,0)))</f>
        <v/>
      </c>
      <c r="H631" s="9">
        <f>IF(ISNA(MATCH(622,'Transfer Engine'!$C$2:$C$1960,0)),"",INDEX('Compliance Database'!$H$2:$H$1960,MATCH(622,'Transfer Engine'!$C$2:$C$1960,0)))</f>
        <v/>
      </c>
      <c r="I631" s="9">
        <f>IF(ISNA(MATCH(622,'Transfer Engine'!$C$2:$C$1960,0)),"",INDEX('Compliance Database'!$I$2:$I$1960,MATCH(622,'Transfer Engine'!$C$2:$C$1960,0)))</f>
        <v/>
      </c>
      <c r="J631" s="8">
        <f>IF(ISNA(MATCH(622,'Transfer Engine'!$C$2:$C$1960,0)),"",INDEX('Compliance Database'!$J$2:$J$1960,MATCH(622,'Transfer Engine'!$C$2:$C$1960,0)))</f>
        <v/>
      </c>
      <c r="K631" s="9">
        <f>IF(ISNA(MATCH(622,'Transfer Engine'!$C$2:$C$1960,0)),"",INDEX('Compliance Database'!$K$2:$K$1960,MATCH(622,'Transfer Engine'!$C$2:$C$1960,0)))</f>
        <v/>
      </c>
      <c r="L631" s="9">
        <f>IF(ISNA(MATCH(622,'Transfer Engine'!$C$2:$C$1960,0)),"",INDEX('Compliance Database'!$L$2:$L$1960,MATCH(622,'Transfer Engine'!$C$2:$C$1960,0)))</f>
        <v/>
      </c>
      <c r="M631" s="9">
        <f>IF(ISNA(MATCH(622,'Transfer Engine'!$C$2:$C$1960,0)),"",INDEX('Compliance Database'!$M$2:$M$1960,MATCH(622,'Transfer Engine'!$C$2:$C$1960,0)))</f>
        <v/>
      </c>
      <c r="N631" s="9">
        <f>IF(ISNA(MATCH(622,'Transfer Engine'!$C$2:$C$1960,0)),"",INDEX('Compliance Database'!$N$2:$N$1960,MATCH(622,'Transfer Engine'!$C$2:$C$1960,0)))</f>
        <v/>
      </c>
      <c r="O631" s="9">
        <f>IF(ISNA(MATCH(622,'Transfer Engine'!$C$2:$C$1960,0)),"",INDEX('Compliance Database'!$O$2:$O$1960,MATCH(622,'Transfer Engine'!$C$2:$C$1960,0)))</f>
        <v/>
      </c>
      <c r="P631" s="8">
        <f>IF(ISNA(MATCH(622,'Transfer Engine'!$C$2:$C$1960,0)),"",HYPERLINK("#Acts!A"&amp;INDEX('Compliance Database'!$P$2:$P$1960,MATCH(622,'Transfer Engine'!$C$2:$C$1960,0)),"Go to Act"))</f>
        <v/>
      </c>
    </row>
    <row r="632" ht="158" customHeight="1">
      <c r="A632" s="8">
        <f>IF(ISNA(MATCH(623,'Transfer Engine'!$C$2:$C$1960,0)),"",INDEX('Compliance Database'!$A$2:$A$1960,MATCH(623,'Transfer Engine'!$C$2:$C$1960,0)))</f>
        <v/>
      </c>
      <c r="B632" s="8">
        <f>IF(ISNA(MATCH(623,'Transfer Engine'!$C$2:$C$1960,0)),"",INDEX('Compliance Database'!$B$2:$B$1960,MATCH(623,'Transfer Engine'!$C$2:$C$1960,0)))</f>
        <v/>
      </c>
      <c r="C632" s="8">
        <f>IF(ISNA(MATCH(623,'Transfer Engine'!$C$2:$C$1960,0)),"",INDEX('Compliance Database'!$C$2:$C$1960,MATCH(623,'Transfer Engine'!$C$2:$C$1960,0)))</f>
        <v/>
      </c>
      <c r="D632" s="9">
        <f>IF(ISNA(MATCH(623,'Transfer Engine'!$C$2:$C$1960,0)),"",INDEX('Compliance Database'!$D$2:$D$1960,MATCH(623,'Transfer Engine'!$C$2:$C$1960,0)))</f>
        <v/>
      </c>
      <c r="E632" s="8">
        <f>IF(ISNA(MATCH(623,'Transfer Engine'!$C$2:$C$1960,0)),"",INDEX('Compliance Database'!$E$2:$E$1960,MATCH(623,'Transfer Engine'!$C$2:$C$1960,0)))</f>
        <v/>
      </c>
      <c r="F632" s="8">
        <f>IF(ISNA(MATCH(623,'Transfer Engine'!$C$2:$C$1960,0)),"",INDEX('Compliance Database'!$F$2:$F$1960,MATCH(623,'Transfer Engine'!$C$2:$C$1960,0)))</f>
        <v/>
      </c>
      <c r="G632" s="8">
        <f>IF(ISNA(MATCH(623,'Transfer Engine'!$C$2:$C$1960,0)),"",INDEX('Compliance Database'!$G$2:$G$1960,MATCH(623,'Transfer Engine'!$C$2:$C$1960,0)))</f>
        <v/>
      </c>
      <c r="H632" s="9">
        <f>IF(ISNA(MATCH(623,'Transfer Engine'!$C$2:$C$1960,0)),"",INDEX('Compliance Database'!$H$2:$H$1960,MATCH(623,'Transfer Engine'!$C$2:$C$1960,0)))</f>
        <v/>
      </c>
      <c r="I632" s="9">
        <f>IF(ISNA(MATCH(623,'Transfer Engine'!$C$2:$C$1960,0)),"",INDEX('Compliance Database'!$I$2:$I$1960,MATCH(623,'Transfer Engine'!$C$2:$C$1960,0)))</f>
        <v/>
      </c>
      <c r="J632" s="8">
        <f>IF(ISNA(MATCH(623,'Transfer Engine'!$C$2:$C$1960,0)),"",INDEX('Compliance Database'!$J$2:$J$1960,MATCH(623,'Transfer Engine'!$C$2:$C$1960,0)))</f>
        <v/>
      </c>
      <c r="K632" s="9">
        <f>IF(ISNA(MATCH(623,'Transfer Engine'!$C$2:$C$1960,0)),"",INDEX('Compliance Database'!$K$2:$K$1960,MATCH(623,'Transfer Engine'!$C$2:$C$1960,0)))</f>
        <v/>
      </c>
      <c r="L632" s="9">
        <f>IF(ISNA(MATCH(623,'Transfer Engine'!$C$2:$C$1960,0)),"",INDEX('Compliance Database'!$L$2:$L$1960,MATCH(623,'Transfer Engine'!$C$2:$C$1960,0)))</f>
        <v/>
      </c>
      <c r="M632" s="9">
        <f>IF(ISNA(MATCH(623,'Transfer Engine'!$C$2:$C$1960,0)),"",INDEX('Compliance Database'!$M$2:$M$1960,MATCH(623,'Transfer Engine'!$C$2:$C$1960,0)))</f>
        <v/>
      </c>
      <c r="N632" s="9">
        <f>IF(ISNA(MATCH(623,'Transfer Engine'!$C$2:$C$1960,0)),"",INDEX('Compliance Database'!$N$2:$N$1960,MATCH(623,'Transfer Engine'!$C$2:$C$1960,0)))</f>
        <v/>
      </c>
      <c r="O632" s="9">
        <f>IF(ISNA(MATCH(623,'Transfer Engine'!$C$2:$C$1960,0)),"",INDEX('Compliance Database'!$O$2:$O$1960,MATCH(623,'Transfer Engine'!$C$2:$C$1960,0)))</f>
        <v/>
      </c>
      <c r="P632" s="8">
        <f>IF(ISNA(MATCH(623,'Transfer Engine'!$C$2:$C$1960,0)),"",HYPERLINK("#Acts!A"&amp;INDEX('Compliance Database'!$P$2:$P$1960,MATCH(623,'Transfer Engine'!$C$2:$C$1960,0)),"Go to Act"))</f>
        <v/>
      </c>
    </row>
    <row r="633" ht="158" customHeight="1">
      <c r="A633" s="8">
        <f>IF(ISNA(MATCH(624,'Transfer Engine'!$C$2:$C$1960,0)),"",INDEX('Compliance Database'!$A$2:$A$1960,MATCH(624,'Transfer Engine'!$C$2:$C$1960,0)))</f>
        <v/>
      </c>
      <c r="B633" s="8">
        <f>IF(ISNA(MATCH(624,'Transfer Engine'!$C$2:$C$1960,0)),"",INDEX('Compliance Database'!$B$2:$B$1960,MATCH(624,'Transfer Engine'!$C$2:$C$1960,0)))</f>
        <v/>
      </c>
      <c r="C633" s="8">
        <f>IF(ISNA(MATCH(624,'Transfer Engine'!$C$2:$C$1960,0)),"",INDEX('Compliance Database'!$C$2:$C$1960,MATCH(624,'Transfer Engine'!$C$2:$C$1960,0)))</f>
        <v/>
      </c>
      <c r="D633" s="9">
        <f>IF(ISNA(MATCH(624,'Transfer Engine'!$C$2:$C$1960,0)),"",INDEX('Compliance Database'!$D$2:$D$1960,MATCH(624,'Transfer Engine'!$C$2:$C$1960,0)))</f>
        <v/>
      </c>
      <c r="E633" s="8">
        <f>IF(ISNA(MATCH(624,'Transfer Engine'!$C$2:$C$1960,0)),"",INDEX('Compliance Database'!$E$2:$E$1960,MATCH(624,'Transfer Engine'!$C$2:$C$1960,0)))</f>
        <v/>
      </c>
      <c r="F633" s="8">
        <f>IF(ISNA(MATCH(624,'Transfer Engine'!$C$2:$C$1960,0)),"",INDEX('Compliance Database'!$F$2:$F$1960,MATCH(624,'Transfer Engine'!$C$2:$C$1960,0)))</f>
        <v/>
      </c>
      <c r="G633" s="8">
        <f>IF(ISNA(MATCH(624,'Transfer Engine'!$C$2:$C$1960,0)),"",INDEX('Compliance Database'!$G$2:$G$1960,MATCH(624,'Transfer Engine'!$C$2:$C$1960,0)))</f>
        <v/>
      </c>
      <c r="H633" s="9">
        <f>IF(ISNA(MATCH(624,'Transfer Engine'!$C$2:$C$1960,0)),"",INDEX('Compliance Database'!$H$2:$H$1960,MATCH(624,'Transfer Engine'!$C$2:$C$1960,0)))</f>
        <v/>
      </c>
      <c r="I633" s="9">
        <f>IF(ISNA(MATCH(624,'Transfer Engine'!$C$2:$C$1960,0)),"",INDEX('Compliance Database'!$I$2:$I$1960,MATCH(624,'Transfer Engine'!$C$2:$C$1960,0)))</f>
        <v/>
      </c>
      <c r="J633" s="8">
        <f>IF(ISNA(MATCH(624,'Transfer Engine'!$C$2:$C$1960,0)),"",INDEX('Compliance Database'!$J$2:$J$1960,MATCH(624,'Transfer Engine'!$C$2:$C$1960,0)))</f>
        <v/>
      </c>
      <c r="K633" s="9">
        <f>IF(ISNA(MATCH(624,'Transfer Engine'!$C$2:$C$1960,0)),"",INDEX('Compliance Database'!$K$2:$K$1960,MATCH(624,'Transfer Engine'!$C$2:$C$1960,0)))</f>
        <v/>
      </c>
      <c r="L633" s="9">
        <f>IF(ISNA(MATCH(624,'Transfer Engine'!$C$2:$C$1960,0)),"",INDEX('Compliance Database'!$L$2:$L$1960,MATCH(624,'Transfer Engine'!$C$2:$C$1960,0)))</f>
        <v/>
      </c>
      <c r="M633" s="9">
        <f>IF(ISNA(MATCH(624,'Transfer Engine'!$C$2:$C$1960,0)),"",INDEX('Compliance Database'!$M$2:$M$1960,MATCH(624,'Transfer Engine'!$C$2:$C$1960,0)))</f>
        <v/>
      </c>
      <c r="N633" s="9">
        <f>IF(ISNA(MATCH(624,'Transfer Engine'!$C$2:$C$1960,0)),"",INDEX('Compliance Database'!$N$2:$N$1960,MATCH(624,'Transfer Engine'!$C$2:$C$1960,0)))</f>
        <v/>
      </c>
      <c r="O633" s="9">
        <f>IF(ISNA(MATCH(624,'Transfer Engine'!$C$2:$C$1960,0)),"",INDEX('Compliance Database'!$O$2:$O$1960,MATCH(624,'Transfer Engine'!$C$2:$C$1960,0)))</f>
        <v/>
      </c>
      <c r="P633" s="8">
        <f>IF(ISNA(MATCH(624,'Transfer Engine'!$C$2:$C$1960,0)),"",HYPERLINK("#Acts!A"&amp;INDEX('Compliance Database'!$P$2:$P$1960,MATCH(624,'Transfer Engine'!$C$2:$C$1960,0)),"Go to Act"))</f>
        <v/>
      </c>
    </row>
    <row r="634" ht="158" customHeight="1">
      <c r="A634" s="8">
        <f>IF(ISNA(MATCH(625,'Transfer Engine'!$C$2:$C$1960,0)),"",INDEX('Compliance Database'!$A$2:$A$1960,MATCH(625,'Transfer Engine'!$C$2:$C$1960,0)))</f>
        <v/>
      </c>
      <c r="B634" s="8">
        <f>IF(ISNA(MATCH(625,'Transfer Engine'!$C$2:$C$1960,0)),"",INDEX('Compliance Database'!$B$2:$B$1960,MATCH(625,'Transfer Engine'!$C$2:$C$1960,0)))</f>
        <v/>
      </c>
      <c r="C634" s="8">
        <f>IF(ISNA(MATCH(625,'Transfer Engine'!$C$2:$C$1960,0)),"",INDEX('Compliance Database'!$C$2:$C$1960,MATCH(625,'Transfer Engine'!$C$2:$C$1960,0)))</f>
        <v/>
      </c>
      <c r="D634" s="9">
        <f>IF(ISNA(MATCH(625,'Transfer Engine'!$C$2:$C$1960,0)),"",INDEX('Compliance Database'!$D$2:$D$1960,MATCH(625,'Transfer Engine'!$C$2:$C$1960,0)))</f>
        <v/>
      </c>
      <c r="E634" s="8">
        <f>IF(ISNA(MATCH(625,'Transfer Engine'!$C$2:$C$1960,0)),"",INDEX('Compliance Database'!$E$2:$E$1960,MATCH(625,'Transfer Engine'!$C$2:$C$1960,0)))</f>
        <v/>
      </c>
      <c r="F634" s="8">
        <f>IF(ISNA(MATCH(625,'Transfer Engine'!$C$2:$C$1960,0)),"",INDEX('Compliance Database'!$F$2:$F$1960,MATCH(625,'Transfer Engine'!$C$2:$C$1960,0)))</f>
        <v/>
      </c>
      <c r="G634" s="8">
        <f>IF(ISNA(MATCH(625,'Transfer Engine'!$C$2:$C$1960,0)),"",INDEX('Compliance Database'!$G$2:$G$1960,MATCH(625,'Transfer Engine'!$C$2:$C$1960,0)))</f>
        <v/>
      </c>
      <c r="H634" s="9">
        <f>IF(ISNA(MATCH(625,'Transfer Engine'!$C$2:$C$1960,0)),"",INDEX('Compliance Database'!$H$2:$H$1960,MATCH(625,'Transfer Engine'!$C$2:$C$1960,0)))</f>
        <v/>
      </c>
      <c r="I634" s="9">
        <f>IF(ISNA(MATCH(625,'Transfer Engine'!$C$2:$C$1960,0)),"",INDEX('Compliance Database'!$I$2:$I$1960,MATCH(625,'Transfer Engine'!$C$2:$C$1960,0)))</f>
        <v/>
      </c>
      <c r="J634" s="8">
        <f>IF(ISNA(MATCH(625,'Transfer Engine'!$C$2:$C$1960,0)),"",INDEX('Compliance Database'!$J$2:$J$1960,MATCH(625,'Transfer Engine'!$C$2:$C$1960,0)))</f>
        <v/>
      </c>
      <c r="K634" s="9">
        <f>IF(ISNA(MATCH(625,'Transfer Engine'!$C$2:$C$1960,0)),"",INDEX('Compliance Database'!$K$2:$K$1960,MATCH(625,'Transfer Engine'!$C$2:$C$1960,0)))</f>
        <v/>
      </c>
      <c r="L634" s="9">
        <f>IF(ISNA(MATCH(625,'Transfer Engine'!$C$2:$C$1960,0)),"",INDEX('Compliance Database'!$L$2:$L$1960,MATCH(625,'Transfer Engine'!$C$2:$C$1960,0)))</f>
        <v/>
      </c>
      <c r="M634" s="9">
        <f>IF(ISNA(MATCH(625,'Transfer Engine'!$C$2:$C$1960,0)),"",INDEX('Compliance Database'!$M$2:$M$1960,MATCH(625,'Transfer Engine'!$C$2:$C$1960,0)))</f>
        <v/>
      </c>
      <c r="N634" s="9">
        <f>IF(ISNA(MATCH(625,'Transfer Engine'!$C$2:$C$1960,0)),"",INDEX('Compliance Database'!$N$2:$N$1960,MATCH(625,'Transfer Engine'!$C$2:$C$1960,0)))</f>
        <v/>
      </c>
      <c r="O634" s="9">
        <f>IF(ISNA(MATCH(625,'Transfer Engine'!$C$2:$C$1960,0)),"",INDEX('Compliance Database'!$O$2:$O$1960,MATCH(625,'Transfer Engine'!$C$2:$C$1960,0)))</f>
        <v/>
      </c>
      <c r="P634" s="8">
        <f>IF(ISNA(MATCH(625,'Transfer Engine'!$C$2:$C$1960,0)),"",HYPERLINK("#Acts!A"&amp;INDEX('Compliance Database'!$P$2:$P$1960,MATCH(625,'Transfer Engine'!$C$2:$C$1960,0)),"Go to Act"))</f>
        <v/>
      </c>
    </row>
    <row r="635" ht="158" customHeight="1">
      <c r="A635" s="8">
        <f>IF(ISNA(MATCH(626,'Transfer Engine'!$C$2:$C$1960,0)),"",INDEX('Compliance Database'!$A$2:$A$1960,MATCH(626,'Transfer Engine'!$C$2:$C$1960,0)))</f>
        <v/>
      </c>
      <c r="B635" s="8">
        <f>IF(ISNA(MATCH(626,'Transfer Engine'!$C$2:$C$1960,0)),"",INDEX('Compliance Database'!$B$2:$B$1960,MATCH(626,'Transfer Engine'!$C$2:$C$1960,0)))</f>
        <v/>
      </c>
      <c r="C635" s="8">
        <f>IF(ISNA(MATCH(626,'Transfer Engine'!$C$2:$C$1960,0)),"",INDEX('Compliance Database'!$C$2:$C$1960,MATCH(626,'Transfer Engine'!$C$2:$C$1960,0)))</f>
        <v/>
      </c>
      <c r="D635" s="9">
        <f>IF(ISNA(MATCH(626,'Transfer Engine'!$C$2:$C$1960,0)),"",INDEX('Compliance Database'!$D$2:$D$1960,MATCH(626,'Transfer Engine'!$C$2:$C$1960,0)))</f>
        <v/>
      </c>
      <c r="E635" s="8">
        <f>IF(ISNA(MATCH(626,'Transfer Engine'!$C$2:$C$1960,0)),"",INDEX('Compliance Database'!$E$2:$E$1960,MATCH(626,'Transfer Engine'!$C$2:$C$1960,0)))</f>
        <v/>
      </c>
      <c r="F635" s="8">
        <f>IF(ISNA(MATCH(626,'Transfer Engine'!$C$2:$C$1960,0)),"",INDEX('Compliance Database'!$F$2:$F$1960,MATCH(626,'Transfer Engine'!$C$2:$C$1960,0)))</f>
        <v/>
      </c>
      <c r="G635" s="8">
        <f>IF(ISNA(MATCH(626,'Transfer Engine'!$C$2:$C$1960,0)),"",INDEX('Compliance Database'!$G$2:$G$1960,MATCH(626,'Transfer Engine'!$C$2:$C$1960,0)))</f>
        <v/>
      </c>
      <c r="H635" s="9">
        <f>IF(ISNA(MATCH(626,'Transfer Engine'!$C$2:$C$1960,0)),"",INDEX('Compliance Database'!$H$2:$H$1960,MATCH(626,'Transfer Engine'!$C$2:$C$1960,0)))</f>
        <v/>
      </c>
      <c r="I635" s="9">
        <f>IF(ISNA(MATCH(626,'Transfer Engine'!$C$2:$C$1960,0)),"",INDEX('Compliance Database'!$I$2:$I$1960,MATCH(626,'Transfer Engine'!$C$2:$C$1960,0)))</f>
        <v/>
      </c>
      <c r="J635" s="8">
        <f>IF(ISNA(MATCH(626,'Transfer Engine'!$C$2:$C$1960,0)),"",INDEX('Compliance Database'!$J$2:$J$1960,MATCH(626,'Transfer Engine'!$C$2:$C$1960,0)))</f>
        <v/>
      </c>
      <c r="K635" s="9">
        <f>IF(ISNA(MATCH(626,'Transfer Engine'!$C$2:$C$1960,0)),"",INDEX('Compliance Database'!$K$2:$K$1960,MATCH(626,'Transfer Engine'!$C$2:$C$1960,0)))</f>
        <v/>
      </c>
      <c r="L635" s="9">
        <f>IF(ISNA(MATCH(626,'Transfer Engine'!$C$2:$C$1960,0)),"",INDEX('Compliance Database'!$L$2:$L$1960,MATCH(626,'Transfer Engine'!$C$2:$C$1960,0)))</f>
        <v/>
      </c>
      <c r="M635" s="9">
        <f>IF(ISNA(MATCH(626,'Transfer Engine'!$C$2:$C$1960,0)),"",INDEX('Compliance Database'!$M$2:$M$1960,MATCH(626,'Transfer Engine'!$C$2:$C$1960,0)))</f>
        <v/>
      </c>
      <c r="N635" s="9">
        <f>IF(ISNA(MATCH(626,'Transfer Engine'!$C$2:$C$1960,0)),"",INDEX('Compliance Database'!$N$2:$N$1960,MATCH(626,'Transfer Engine'!$C$2:$C$1960,0)))</f>
        <v/>
      </c>
      <c r="O635" s="9">
        <f>IF(ISNA(MATCH(626,'Transfer Engine'!$C$2:$C$1960,0)),"",INDEX('Compliance Database'!$O$2:$O$1960,MATCH(626,'Transfer Engine'!$C$2:$C$1960,0)))</f>
        <v/>
      </c>
      <c r="P635" s="8">
        <f>IF(ISNA(MATCH(626,'Transfer Engine'!$C$2:$C$1960,0)),"",HYPERLINK("#Acts!A"&amp;INDEX('Compliance Database'!$P$2:$P$1960,MATCH(626,'Transfer Engine'!$C$2:$C$1960,0)),"Go to Act"))</f>
        <v/>
      </c>
    </row>
    <row r="636" ht="158" customHeight="1">
      <c r="A636" s="8">
        <f>IF(ISNA(MATCH(627,'Transfer Engine'!$C$2:$C$1960,0)),"",INDEX('Compliance Database'!$A$2:$A$1960,MATCH(627,'Transfer Engine'!$C$2:$C$1960,0)))</f>
        <v/>
      </c>
      <c r="B636" s="8">
        <f>IF(ISNA(MATCH(627,'Transfer Engine'!$C$2:$C$1960,0)),"",INDEX('Compliance Database'!$B$2:$B$1960,MATCH(627,'Transfer Engine'!$C$2:$C$1960,0)))</f>
        <v/>
      </c>
      <c r="C636" s="8">
        <f>IF(ISNA(MATCH(627,'Transfer Engine'!$C$2:$C$1960,0)),"",INDEX('Compliance Database'!$C$2:$C$1960,MATCH(627,'Transfer Engine'!$C$2:$C$1960,0)))</f>
        <v/>
      </c>
      <c r="D636" s="9">
        <f>IF(ISNA(MATCH(627,'Transfer Engine'!$C$2:$C$1960,0)),"",INDEX('Compliance Database'!$D$2:$D$1960,MATCH(627,'Transfer Engine'!$C$2:$C$1960,0)))</f>
        <v/>
      </c>
      <c r="E636" s="8">
        <f>IF(ISNA(MATCH(627,'Transfer Engine'!$C$2:$C$1960,0)),"",INDEX('Compliance Database'!$E$2:$E$1960,MATCH(627,'Transfer Engine'!$C$2:$C$1960,0)))</f>
        <v/>
      </c>
      <c r="F636" s="8">
        <f>IF(ISNA(MATCH(627,'Transfer Engine'!$C$2:$C$1960,0)),"",INDEX('Compliance Database'!$F$2:$F$1960,MATCH(627,'Transfer Engine'!$C$2:$C$1960,0)))</f>
        <v/>
      </c>
      <c r="G636" s="8">
        <f>IF(ISNA(MATCH(627,'Transfer Engine'!$C$2:$C$1960,0)),"",INDEX('Compliance Database'!$G$2:$G$1960,MATCH(627,'Transfer Engine'!$C$2:$C$1960,0)))</f>
        <v/>
      </c>
      <c r="H636" s="9">
        <f>IF(ISNA(MATCH(627,'Transfer Engine'!$C$2:$C$1960,0)),"",INDEX('Compliance Database'!$H$2:$H$1960,MATCH(627,'Transfer Engine'!$C$2:$C$1960,0)))</f>
        <v/>
      </c>
      <c r="I636" s="9">
        <f>IF(ISNA(MATCH(627,'Transfer Engine'!$C$2:$C$1960,0)),"",INDEX('Compliance Database'!$I$2:$I$1960,MATCH(627,'Transfer Engine'!$C$2:$C$1960,0)))</f>
        <v/>
      </c>
      <c r="J636" s="8">
        <f>IF(ISNA(MATCH(627,'Transfer Engine'!$C$2:$C$1960,0)),"",INDEX('Compliance Database'!$J$2:$J$1960,MATCH(627,'Transfer Engine'!$C$2:$C$1960,0)))</f>
        <v/>
      </c>
      <c r="K636" s="9">
        <f>IF(ISNA(MATCH(627,'Transfer Engine'!$C$2:$C$1960,0)),"",INDEX('Compliance Database'!$K$2:$K$1960,MATCH(627,'Transfer Engine'!$C$2:$C$1960,0)))</f>
        <v/>
      </c>
      <c r="L636" s="9">
        <f>IF(ISNA(MATCH(627,'Transfer Engine'!$C$2:$C$1960,0)),"",INDEX('Compliance Database'!$L$2:$L$1960,MATCH(627,'Transfer Engine'!$C$2:$C$1960,0)))</f>
        <v/>
      </c>
      <c r="M636" s="9">
        <f>IF(ISNA(MATCH(627,'Transfer Engine'!$C$2:$C$1960,0)),"",INDEX('Compliance Database'!$M$2:$M$1960,MATCH(627,'Transfer Engine'!$C$2:$C$1960,0)))</f>
        <v/>
      </c>
      <c r="N636" s="9">
        <f>IF(ISNA(MATCH(627,'Transfer Engine'!$C$2:$C$1960,0)),"",INDEX('Compliance Database'!$N$2:$N$1960,MATCH(627,'Transfer Engine'!$C$2:$C$1960,0)))</f>
        <v/>
      </c>
      <c r="O636" s="9">
        <f>IF(ISNA(MATCH(627,'Transfer Engine'!$C$2:$C$1960,0)),"",INDEX('Compliance Database'!$O$2:$O$1960,MATCH(627,'Transfer Engine'!$C$2:$C$1960,0)))</f>
        <v/>
      </c>
      <c r="P636" s="8">
        <f>IF(ISNA(MATCH(627,'Transfer Engine'!$C$2:$C$1960,0)),"",HYPERLINK("#Acts!A"&amp;INDEX('Compliance Database'!$P$2:$P$1960,MATCH(627,'Transfer Engine'!$C$2:$C$1960,0)),"Go to Act"))</f>
        <v/>
      </c>
    </row>
    <row r="637" ht="158" customHeight="1">
      <c r="A637" s="8">
        <f>IF(ISNA(MATCH(628,'Transfer Engine'!$C$2:$C$1960,0)),"",INDEX('Compliance Database'!$A$2:$A$1960,MATCH(628,'Transfer Engine'!$C$2:$C$1960,0)))</f>
        <v/>
      </c>
      <c r="B637" s="8">
        <f>IF(ISNA(MATCH(628,'Transfer Engine'!$C$2:$C$1960,0)),"",INDEX('Compliance Database'!$B$2:$B$1960,MATCH(628,'Transfer Engine'!$C$2:$C$1960,0)))</f>
        <v/>
      </c>
      <c r="C637" s="8">
        <f>IF(ISNA(MATCH(628,'Transfer Engine'!$C$2:$C$1960,0)),"",INDEX('Compliance Database'!$C$2:$C$1960,MATCH(628,'Transfer Engine'!$C$2:$C$1960,0)))</f>
        <v/>
      </c>
      <c r="D637" s="9">
        <f>IF(ISNA(MATCH(628,'Transfer Engine'!$C$2:$C$1960,0)),"",INDEX('Compliance Database'!$D$2:$D$1960,MATCH(628,'Transfer Engine'!$C$2:$C$1960,0)))</f>
        <v/>
      </c>
      <c r="E637" s="8">
        <f>IF(ISNA(MATCH(628,'Transfer Engine'!$C$2:$C$1960,0)),"",INDEX('Compliance Database'!$E$2:$E$1960,MATCH(628,'Transfer Engine'!$C$2:$C$1960,0)))</f>
        <v/>
      </c>
      <c r="F637" s="8">
        <f>IF(ISNA(MATCH(628,'Transfer Engine'!$C$2:$C$1960,0)),"",INDEX('Compliance Database'!$F$2:$F$1960,MATCH(628,'Transfer Engine'!$C$2:$C$1960,0)))</f>
        <v/>
      </c>
      <c r="G637" s="8">
        <f>IF(ISNA(MATCH(628,'Transfer Engine'!$C$2:$C$1960,0)),"",INDEX('Compliance Database'!$G$2:$G$1960,MATCH(628,'Transfer Engine'!$C$2:$C$1960,0)))</f>
        <v/>
      </c>
      <c r="H637" s="9">
        <f>IF(ISNA(MATCH(628,'Transfer Engine'!$C$2:$C$1960,0)),"",INDEX('Compliance Database'!$H$2:$H$1960,MATCH(628,'Transfer Engine'!$C$2:$C$1960,0)))</f>
        <v/>
      </c>
      <c r="I637" s="9">
        <f>IF(ISNA(MATCH(628,'Transfer Engine'!$C$2:$C$1960,0)),"",INDEX('Compliance Database'!$I$2:$I$1960,MATCH(628,'Transfer Engine'!$C$2:$C$1960,0)))</f>
        <v/>
      </c>
      <c r="J637" s="8">
        <f>IF(ISNA(MATCH(628,'Transfer Engine'!$C$2:$C$1960,0)),"",INDEX('Compliance Database'!$J$2:$J$1960,MATCH(628,'Transfer Engine'!$C$2:$C$1960,0)))</f>
        <v/>
      </c>
      <c r="K637" s="9">
        <f>IF(ISNA(MATCH(628,'Transfer Engine'!$C$2:$C$1960,0)),"",INDEX('Compliance Database'!$K$2:$K$1960,MATCH(628,'Transfer Engine'!$C$2:$C$1960,0)))</f>
        <v/>
      </c>
      <c r="L637" s="9">
        <f>IF(ISNA(MATCH(628,'Transfer Engine'!$C$2:$C$1960,0)),"",INDEX('Compliance Database'!$L$2:$L$1960,MATCH(628,'Transfer Engine'!$C$2:$C$1960,0)))</f>
        <v/>
      </c>
      <c r="M637" s="9">
        <f>IF(ISNA(MATCH(628,'Transfer Engine'!$C$2:$C$1960,0)),"",INDEX('Compliance Database'!$M$2:$M$1960,MATCH(628,'Transfer Engine'!$C$2:$C$1960,0)))</f>
        <v/>
      </c>
      <c r="N637" s="9">
        <f>IF(ISNA(MATCH(628,'Transfer Engine'!$C$2:$C$1960,0)),"",INDEX('Compliance Database'!$N$2:$N$1960,MATCH(628,'Transfer Engine'!$C$2:$C$1960,0)))</f>
        <v/>
      </c>
      <c r="O637" s="9">
        <f>IF(ISNA(MATCH(628,'Transfer Engine'!$C$2:$C$1960,0)),"",INDEX('Compliance Database'!$O$2:$O$1960,MATCH(628,'Transfer Engine'!$C$2:$C$1960,0)))</f>
        <v/>
      </c>
      <c r="P637" s="8">
        <f>IF(ISNA(MATCH(628,'Transfer Engine'!$C$2:$C$1960,0)),"",HYPERLINK("#Acts!A"&amp;INDEX('Compliance Database'!$P$2:$P$1960,MATCH(628,'Transfer Engine'!$C$2:$C$1960,0)),"Go to Act"))</f>
        <v/>
      </c>
    </row>
    <row r="638" ht="158" customHeight="1">
      <c r="A638" s="8">
        <f>IF(ISNA(MATCH(629,'Transfer Engine'!$C$2:$C$1960,0)),"",INDEX('Compliance Database'!$A$2:$A$1960,MATCH(629,'Transfer Engine'!$C$2:$C$1960,0)))</f>
        <v/>
      </c>
      <c r="B638" s="8">
        <f>IF(ISNA(MATCH(629,'Transfer Engine'!$C$2:$C$1960,0)),"",INDEX('Compliance Database'!$B$2:$B$1960,MATCH(629,'Transfer Engine'!$C$2:$C$1960,0)))</f>
        <v/>
      </c>
      <c r="C638" s="8">
        <f>IF(ISNA(MATCH(629,'Transfer Engine'!$C$2:$C$1960,0)),"",INDEX('Compliance Database'!$C$2:$C$1960,MATCH(629,'Transfer Engine'!$C$2:$C$1960,0)))</f>
        <v/>
      </c>
      <c r="D638" s="9">
        <f>IF(ISNA(MATCH(629,'Transfer Engine'!$C$2:$C$1960,0)),"",INDEX('Compliance Database'!$D$2:$D$1960,MATCH(629,'Transfer Engine'!$C$2:$C$1960,0)))</f>
        <v/>
      </c>
      <c r="E638" s="8">
        <f>IF(ISNA(MATCH(629,'Transfer Engine'!$C$2:$C$1960,0)),"",INDEX('Compliance Database'!$E$2:$E$1960,MATCH(629,'Transfer Engine'!$C$2:$C$1960,0)))</f>
        <v/>
      </c>
      <c r="F638" s="8">
        <f>IF(ISNA(MATCH(629,'Transfer Engine'!$C$2:$C$1960,0)),"",INDEX('Compliance Database'!$F$2:$F$1960,MATCH(629,'Transfer Engine'!$C$2:$C$1960,0)))</f>
        <v/>
      </c>
      <c r="G638" s="8">
        <f>IF(ISNA(MATCH(629,'Transfer Engine'!$C$2:$C$1960,0)),"",INDEX('Compliance Database'!$G$2:$G$1960,MATCH(629,'Transfer Engine'!$C$2:$C$1960,0)))</f>
        <v/>
      </c>
      <c r="H638" s="9">
        <f>IF(ISNA(MATCH(629,'Transfer Engine'!$C$2:$C$1960,0)),"",INDEX('Compliance Database'!$H$2:$H$1960,MATCH(629,'Transfer Engine'!$C$2:$C$1960,0)))</f>
        <v/>
      </c>
      <c r="I638" s="9">
        <f>IF(ISNA(MATCH(629,'Transfer Engine'!$C$2:$C$1960,0)),"",INDEX('Compliance Database'!$I$2:$I$1960,MATCH(629,'Transfer Engine'!$C$2:$C$1960,0)))</f>
        <v/>
      </c>
      <c r="J638" s="8">
        <f>IF(ISNA(MATCH(629,'Transfer Engine'!$C$2:$C$1960,0)),"",INDEX('Compliance Database'!$J$2:$J$1960,MATCH(629,'Transfer Engine'!$C$2:$C$1960,0)))</f>
        <v/>
      </c>
      <c r="K638" s="9">
        <f>IF(ISNA(MATCH(629,'Transfer Engine'!$C$2:$C$1960,0)),"",INDEX('Compliance Database'!$K$2:$K$1960,MATCH(629,'Transfer Engine'!$C$2:$C$1960,0)))</f>
        <v/>
      </c>
      <c r="L638" s="9">
        <f>IF(ISNA(MATCH(629,'Transfer Engine'!$C$2:$C$1960,0)),"",INDEX('Compliance Database'!$L$2:$L$1960,MATCH(629,'Transfer Engine'!$C$2:$C$1960,0)))</f>
        <v/>
      </c>
      <c r="M638" s="9">
        <f>IF(ISNA(MATCH(629,'Transfer Engine'!$C$2:$C$1960,0)),"",INDEX('Compliance Database'!$M$2:$M$1960,MATCH(629,'Transfer Engine'!$C$2:$C$1960,0)))</f>
        <v/>
      </c>
      <c r="N638" s="9">
        <f>IF(ISNA(MATCH(629,'Transfer Engine'!$C$2:$C$1960,0)),"",INDEX('Compliance Database'!$N$2:$N$1960,MATCH(629,'Transfer Engine'!$C$2:$C$1960,0)))</f>
        <v/>
      </c>
      <c r="O638" s="9">
        <f>IF(ISNA(MATCH(629,'Transfer Engine'!$C$2:$C$1960,0)),"",INDEX('Compliance Database'!$O$2:$O$1960,MATCH(629,'Transfer Engine'!$C$2:$C$1960,0)))</f>
        <v/>
      </c>
      <c r="P638" s="8">
        <f>IF(ISNA(MATCH(629,'Transfer Engine'!$C$2:$C$1960,0)),"",HYPERLINK("#Acts!A"&amp;INDEX('Compliance Database'!$P$2:$P$1960,MATCH(629,'Transfer Engine'!$C$2:$C$1960,0)),"Go to Act"))</f>
        <v/>
      </c>
    </row>
    <row r="639" ht="158" customHeight="1">
      <c r="A639" s="8">
        <f>IF(ISNA(MATCH(630,'Transfer Engine'!$C$2:$C$1960,0)),"",INDEX('Compliance Database'!$A$2:$A$1960,MATCH(630,'Transfer Engine'!$C$2:$C$1960,0)))</f>
        <v/>
      </c>
      <c r="B639" s="8">
        <f>IF(ISNA(MATCH(630,'Transfer Engine'!$C$2:$C$1960,0)),"",INDEX('Compliance Database'!$B$2:$B$1960,MATCH(630,'Transfer Engine'!$C$2:$C$1960,0)))</f>
        <v/>
      </c>
      <c r="C639" s="8">
        <f>IF(ISNA(MATCH(630,'Transfer Engine'!$C$2:$C$1960,0)),"",INDEX('Compliance Database'!$C$2:$C$1960,MATCH(630,'Transfer Engine'!$C$2:$C$1960,0)))</f>
        <v/>
      </c>
      <c r="D639" s="9">
        <f>IF(ISNA(MATCH(630,'Transfer Engine'!$C$2:$C$1960,0)),"",INDEX('Compliance Database'!$D$2:$D$1960,MATCH(630,'Transfer Engine'!$C$2:$C$1960,0)))</f>
        <v/>
      </c>
      <c r="E639" s="8">
        <f>IF(ISNA(MATCH(630,'Transfer Engine'!$C$2:$C$1960,0)),"",INDEX('Compliance Database'!$E$2:$E$1960,MATCH(630,'Transfer Engine'!$C$2:$C$1960,0)))</f>
        <v/>
      </c>
      <c r="F639" s="8">
        <f>IF(ISNA(MATCH(630,'Transfer Engine'!$C$2:$C$1960,0)),"",INDEX('Compliance Database'!$F$2:$F$1960,MATCH(630,'Transfer Engine'!$C$2:$C$1960,0)))</f>
        <v/>
      </c>
      <c r="G639" s="8">
        <f>IF(ISNA(MATCH(630,'Transfer Engine'!$C$2:$C$1960,0)),"",INDEX('Compliance Database'!$G$2:$G$1960,MATCH(630,'Transfer Engine'!$C$2:$C$1960,0)))</f>
        <v/>
      </c>
      <c r="H639" s="9">
        <f>IF(ISNA(MATCH(630,'Transfer Engine'!$C$2:$C$1960,0)),"",INDEX('Compliance Database'!$H$2:$H$1960,MATCH(630,'Transfer Engine'!$C$2:$C$1960,0)))</f>
        <v/>
      </c>
      <c r="I639" s="9">
        <f>IF(ISNA(MATCH(630,'Transfer Engine'!$C$2:$C$1960,0)),"",INDEX('Compliance Database'!$I$2:$I$1960,MATCH(630,'Transfer Engine'!$C$2:$C$1960,0)))</f>
        <v/>
      </c>
      <c r="J639" s="8">
        <f>IF(ISNA(MATCH(630,'Transfer Engine'!$C$2:$C$1960,0)),"",INDEX('Compliance Database'!$J$2:$J$1960,MATCH(630,'Transfer Engine'!$C$2:$C$1960,0)))</f>
        <v/>
      </c>
      <c r="K639" s="9">
        <f>IF(ISNA(MATCH(630,'Transfer Engine'!$C$2:$C$1960,0)),"",INDEX('Compliance Database'!$K$2:$K$1960,MATCH(630,'Transfer Engine'!$C$2:$C$1960,0)))</f>
        <v/>
      </c>
      <c r="L639" s="9">
        <f>IF(ISNA(MATCH(630,'Transfer Engine'!$C$2:$C$1960,0)),"",INDEX('Compliance Database'!$L$2:$L$1960,MATCH(630,'Transfer Engine'!$C$2:$C$1960,0)))</f>
        <v/>
      </c>
      <c r="M639" s="9">
        <f>IF(ISNA(MATCH(630,'Transfer Engine'!$C$2:$C$1960,0)),"",INDEX('Compliance Database'!$M$2:$M$1960,MATCH(630,'Transfer Engine'!$C$2:$C$1960,0)))</f>
        <v/>
      </c>
      <c r="N639" s="9">
        <f>IF(ISNA(MATCH(630,'Transfer Engine'!$C$2:$C$1960,0)),"",INDEX('Compliance Database'!$N$2:$N$1960,MATCH(630,'Transfer Engine'!$C$2:$C$1960,0)))</f>
        <v/>
      </c>
      <c r="O639" s="9">
        <f>IF(ISNA(MATCH(630,'Transfer Engine'!$C$2:$C$1960,0)),"",INDEX('Compliance Database'!$O$2:$O$1960,MATCH(630,'Transfer Engine'!$C$2:$C$1960,0)))</f>
        <v/>
      </c>
      <c r="P639" s="8">
        <f>IF(ISNA(MATCH(630,'Transfer Engine'!$C$2:$C$1960,0)),"",HYPERLINK("#Acts!A"&amp;INDEX('Compliance Database'!$P$2:$P$1960,MATCH(630,'Transfer Engine'!$C$2:$C$1960,0)),"Go to Act"))</f>
        <v/>
      </c>
    </row>
    <row r="640" ht="158" customHeight="1">
      <c r="A640" s="8">
        <f>IF(ISNA(MATCH(631,'Transfer Engine'!$C$2:$C$1960,0)),"",INDEX('Compliance Database'!$A$2:$A$1960,MATCH(631,'Transfer Engine'!$C$2:$C$1960,0)))</f>
        <v/>
      </c>
      <c r="B640" s="8">
        <f>IF(ISNA(MATCH(631,'Transfer Engine'!$C$2:$C$1960,0)),"",INDEX('Compliance Database'!$B$2:$B$1960,MATCH(631,'Transfer Engine'!$C$2:$C$1960,0)))</f>
        <v/>
      </c>
      <c r="C640" s="8">
        <f>IF(ISNA(MATCH(631,'Transfer Engine'!$C$2:$C$1960,0)),"",INDEX('Compliance Database'!$C$2:$C$1960,MATCH(631,'Transfer Engine'!$C$2:$C$1960,0)))</f>
        <v/>
      </c>
      <c r="D640" s="9">
        <f>IF(ISNA(MATCH(631,'Transfer Engine'!$C$2:$C$1960,0)),"",INDEX('Compliance Database'!$D$2:$D$1960,MATCH(631,'Transfer Engine'!$C$2:$C$1960,0)))</f>
        <v/>
      </c>
      <c r="E640" s="8">
        <f>IF(ISNA(MATCH(631,'Transfer Engine'!$C$2:$C$1960,0)),"",INDEX('Compliance Database'!$E$2:$E$1960,MATCH(631,'Transfer Engine'!$C$2:$C$1960,0)))</f>
        <v/>
      </c>
      <c r="F640" s="8">
        <f>IF(ISNA(MATCH(631,'Transfer Engine'!$C$2:$C$1960,0)),"",INDEX('Compliance Database'!$F$2:$F$1960,MATCH(631,'Transfer Engine'!$C$2:$C$1960,0)))</f>
        <v/>
      </c>
      <c r="G640" s="8">
        <f>IF(ISNA(MATCH(631,'Transfer Engine'!$C$2:$C$1960,0)),"",INDEX('Compliance Database'!$G$2:$G$1960,MATCH(631,'Transfer Engine'!$C$2:$C$1960,0)))</f>
        <v/>
      </c>
      <c r="H640" s="9">
        <f>IF(ISNA(MATCH(631,'Transfer Engine'!$C$2:$C$1960,0)),"",INDEX('Compliance Database'!$H$2:$H$1960,MATCH(631,'Transfer Engine'!$C$2:$C$1960,0)))</f>
        <v/>
      </c>
      <c r="I640" s="9">
        <f>IF(ISNA(MATCH(631,'Transfer Engine'!$C$2:$C$1960,0)),"",INDEX('Compliance Database'!$I$2:$I$1960,MATCH(631,'Transfer Engine'!$C$2:$C$1960,0)))</f>
        <v/>
      </c>
      <c r="J640" s="8">
        <f>IF(ISNA(MATCH(631,'Transfer Engine'!$C$2:$C$1960,0)),"",INDEX('Compliance Database'!$J$2:$J$1960,MATCH(631,'Transfer Engine'!$C$2:$C$1960,0)))</f>
        <v/>
      </c>
      <c r="K640" s="9">
        <f>IF(ISNA(MATCH(631,'Transfer Engine'!$C$2:$C$1960,0)),"",INDEX('Compliance Database'!$K$2:$K$1960,MATCH(631,'Transfer Engine'!$C$2:$C$1960,0)))</f>
        <v/>
      </c>
      <c r="L640" s="9">
        <f>IF(ISNA(MATCH(631,'Transfer Engine'!$C$2:$C$1960,0)),"",INDEX('Compliance Database'!$L$2:$L$1960,MATCH(631,'Transfer Engine'!$C$2:$C$1960,0)))</f>
        <v/>
      </c>
      <c r="M640" s="9">
        <f>IF(ISNA(MATCH(631,'Transfer Engine'!$C$2:$C$1960,0)),"",INDEX('Compliance Database'!$M$2:$M$1960,MATCH(631,'Transfer Engine'!$C$2:$C$1960,0)))</f>
        <v/>
      </c>
      <c r="N640" s="9">
        <f>IF(ISNA(MATCH(631,'Transfer Engine'!$C$2:$C$1960,0)),"",INDEX('Compliance Database'!$N$2:$N$1960,MATCH(631,'Transfer Engine'!$C$2:$C$1960,0)))</f>
        <v/>
      </c>
      <c r="O640" s="9">
        <f>IF(ISNA(MATCH(631,'Transfer Engine'!$C$2:$C$1960,0)),"",INDEX('Compliance Database'!$O$2:$O$1960,MATCH(631,'Transfer Engine'!$C$2:$C$1960,0)))</f>
        <v/>
      </c>
      <c r="P640" s="8">
        <f>IF(ISNA(MATCH(631,'Transfer Engine'!$C$2:$C$1960,0)),"",HYPERLINK("#Acts!A"&amp;INDEX('Compliance Database'!$P$2:$P$1960,MATCH(631,'Transfer Engine'!$C$2:$C$1960,0)),"Go to Act"))</f>
        <v/>
      </c>
    </row>
    <row r="641" ht="158" customHeight="1">
      <c r="A641" s="8">
        <f>IF(ISNA(MATCH(632,'Transfer Engine'!$C$2:$C$1960,0)),"",INDEX('Compliance Database'!$A$2:$A$1960,MATCH(632,'Transfer Engine'!$C$2:$C$1960,0)))</f>
        <v/>
      </c>
      <c r="B641" s="8">
        <f>IF(ISNA(MATCH(632,'Transfer Engine'!$C$2:$C$1960,0)),"",INDEX('Compliance Database'!$B$2:$B$1960,MATCH(632,'Transfer Engine'!$C$2:$C$1960,0)))</f>
        <v/>
      </c>
      <c r="C641" s="8">
        <f>IF(ISNA(MATCH(632,'Transfer Engine'!$C$2:$C$1960,0)),"",INDEX('Compliance Database'!$C$2:$C$1960,MATCH(632,'Transfer Engine'!$C$2:$C$1960,0)))</f>
        <v/>
      </c>
      <c r="D641" s="9">
        <f>IF(ISNA(MATCH(632,'Transfer Engine'!$C$2:$C$1960,0)),"",INDEX('Compliance Database'!$D$2:$D$1960,MATCH(632,'Transfer Engine'!$C$2:$C$1960,0)))</f>
        <v/>
      </c>
      <c r="E641" s="8">
        <f>IF(ISNA(MATCH(632,'Transfer Engine'!$C$2:$C$1960,0)),"",INDEX('Compliance Database'!$E$2:$E$1960,MATCH(632,'Transfer Engine'!$C$2:$C$1960,0)))</f>
        <v/>
      </c>
      <c r="F641" s="8">
        <f>IF(ISNA(MATCH(632,'Transfer Engine'!$C$2:$C$1960,0)),"",INDEX('Compliance Database'!$F$2:$F$1960,MATCH(632,'Transfer Engine'!$C$2:$C$1960,0)))</f>
        <v/>
      </c>
      <c r="G641" s="8">
        <f>IF(ISNA(MATCH(632,'Transfer Engine'!$C$2:$C$1960,0)),"",INDEX('Compliance Database'!$G$2:$G$1960,MATCH(632,'Transfer Engine'!$C$2:$C$1960,0)))</f>
        <v/>
      </c>
      <c r="H641" s="9">
        <f>IF(ISNA(MATCH(632,'Transfer Engine'!$C$2:$C$1960,0)),"",INDEX('Compliance Database'!$H$2:$H$1960,MATCH(632,'Transfer Engine'!$C$2:$C$1960,0)))</f>
        <v/>
      </c>
      <c r="I641" s="9">
        <f>IF(ISNA(MATCH(632,'Transfer Engine'!$C$2:$C$1960,0)),"",INDEX('Compliance Database'!$I$2:$I$1960,MATCH(632,'Transfer Engine'!$C$2:$C$1960,0)))</f>
        <v/>
      </c>
      <c r="J641" s="8">
        <f>IF(ISNA(MATCH(632,'Transfer Engine'!$C$2:$C$1960,0)),"",INDEX('Compliance Database'!$J$2:$J$1960,MATCH(632,'Transfer Engine'!$C$2:$C$1960,0)))</f>
        <v/>
      </c>
      <c r="K641" s="9">
        <f>IF(ISNA(MATCH(632,'Transfer Engine'!$C$2:$C$1960,0)),"",INDEX('Compliance Database'!$K$2:$K$1960,MATCH(632,'Transfer Engine'!$C$2:$C$1960,0)))</f>
        <v/>
      </c>
      <c r="L641" s="9">
        <f>IF(ISNA(MATCH(632,'Transfer Engine'!$C$2:$C$1960,0)),"",INDEX('Compliance Database'!$L$2:$L$1960,MATCH(632,'Transfer Engine'!$C$2:$C$1960,0)))</f>
        <v/>
      </c>
      <c r="M641" s="9">
        <f>IF(ISNA(MATCH(632,'Transfer Engine'!$C$2:$C$1960,0)),"",INDEX('Compliance Database'!$M$2:$M$1960,MATCH(632,'Transfer Engine'!$C$2:$C$1960,0)))</f>
        <v/>
      </c>
      <c r="N641" s="9">
        <f>IF(ISNA(MATCH(632,'Transfer Engine'!$C$2:$C$1960,0)),"",INDEX('Compliance Database'!$N$2:$N$1960,MATCH(632,'Transfer Engine'!$C$2:$C$1960,0)))</f>
        <v/>
      </c>
      <c r="O641" s="9">
        <f>IF(ISNA(MATCH(632,'Transfer Engine'!$C$2:$C$1960,0)),"",INDEX('Compliance Database'!$O$2:$O$1960,MATCH(632,'Transfer Engine'!$C$2:$C$1960,0)))</f>
        <v/>
      </c>
      <c r="P641" s="8">
        <f>IF(ISNA(MATCH(632,'Transfer Engine'!$C$2:$C$1960,0)),"",HYPERLINK("#Acts!A"&amp;INDEX('Compliance Database'!$P$2:$P$1960,MATCH(632,'Transfer Engine'!$C$2:$C$1960,0)),"Go to Act"))</f>
        <v/>
      </c>
    </row>
    <row r="642" ht="158" customHeight="1">
      <c r="A642" s="8">
        <f>IF(ISNA(MATCH(633,'Transfer Engine'!$C$2:$C$1960,0)),"",INDEX('Compliance Database'!$A$2:$A$1960,MATCH(633,'Transfer Engine'!$C$2:$C$1960,0)))</f>
        <v/>
      </c>
      <c r="B642" s="8">
        <f>IF(ISNA(MATCH(633,'Transfer Engine'!$C$2:$C$1960,0)),"",INDEX('Compliance Database'!$B$2:$B$1960,MATCH(633,'Transfer Engine'!$C$2:$C$1960,0)))</f>
        <v/>
      </c>
      <c r="C642" s="8">
        <f>IF(ISNA(MATCH(633,'Transfer Engine'!$C$2:$C$1960,0)),"",INDEX('Compliance Database'!$C$2:$C$1960,MATCH(633,'Transfer Engine'!$C$2:$C$1960,0)))</f>
        <v/>
      </c>
      <c r="D642" s="9">
        <f>IF(ISNA(MATCH(633,'Transfer Engine'!$C$2:$C$1960,0)),"",INDEX('Compliance Database'!$D$2:$D$1960,MATCH(633,'Transfer Engine'!$C$2:$C$1960,0)))</f>
        <v/>
      </c>
      <c r="E642" s="8">
        <f>IF(ISNA(MATCH(633,'Transfer Engine'!$C$2:$C$1960,0)),"",INDEX('Compliance Database'!$E$2:$E$1960,MATCH(633,'Transfer Engine'!$C$2:$C$1960,0)))</f>
        <v/>
      </c>
      <c r="F642" s="8">
        <f>IF(ISNA(MATCH(633,'Transfer Engine'!$C$2:$C$1960,0)),"",INDEX('Compliance Database'!$F$2:$F$1960,MATCH(633,'Transfer Engine'!$C$2:$C$1960,0)))</f>
        <v/>
      </c>
      <c r="G642" s="8">
        <f>IF(ISNA(MATCH(633,'Transfer Engine'!$C$2:$C$1960,0)),"",INDEX('Compliance Database'!$G$2:$G$1960,MATCH(633,'Transfer Engine'!$C$2:$C$1960,0)))</f>
        <v/>
      </c>
      <c r="H642" s="9">
        <f>IF(ISNA(MATCH(633,'Transfer Engine'!$C$2:$C$1960,0)),"",INDEX('Compliance Database'!$H$2:$H$1960,MATCH(633,'Transfer Engine'!$C$2:$C$1960,0)))</f>
        <v/>
      </c>
      <c r="I642" s="9">
        <f>IF(ISNA(MATCH(633,'Transfer Engine'!$C$2:$C$1960,0)),"",INDEX('Compliance Database'!$I$2:$I$1960,MATCH(633,'Transfer Engine'!$C$2:$C$1960,0)))</f>
        <v/>
      </c>
      <c r="J642" s="8">
        <f>IF(ISNA(MATCH(633,'Transfer Engine'!$C$2:$C$1960,0)),"",INDEX('Compliance Database'!$J$2:$J$1960,MATCH(633,'Transfer Engine'!$C$2:$C$1960,0)))</f>
        <v/>
      </c>
      <c r="K642" s="9">
        <f>IF(ISNA(MATCH(633,'Transfer Engine'!$C$2:$C$1960,0)),"",INDEX('Compliance Database'!$K$2:$K$1960,MATCH(633,'Transfer Engine'!$C$2:$C$1960,0)))</f>
        <v/>
      </c>
      <c r="L642" s="9">
        <f>IF(ISNA(MATCH(633,'Transfer Engine'!$C$2:$C$1960,0)),"",INDEX('Compliance Database'!$L$2:$L$1960,MATCH(633,'Transfer Engine'!$C$2:$C$1960,0)))</f>
        <v/>
      </c>
      <c r="M642" s="9">
        <f>IF(ISNA(MATCH(633,'Transfer Engine'!$C$2:$C$1960,0)),"",INDEX('Compliance Database'!$M$2:$M$1960,MATCH(633,'Transfer Engine'!$C$2:$C$1960,0)))</f>
        <v/>
      </c>
      <c r="N642" s="9">
        <f>IF(ISNA(MATCH(633,'Transfer Engine'!$C$2:$C$1960,0)),"",INDEX('Compliance Database'!$N$2:$N$1960,MATCH(633,'Transfer Engine'!$C$2:$C$1960,0)))</f>
        <v/>
      </c>
      <c r="O642" s="9">
        <f>IF(ISNA(MATCH(633,'Transfer Engine'!$C$2:$C$1960,0)),"",INDEX('Compliance Database'!$O$2:$O$1960,MATCH(633,'Transfer Engine'!$C$2:$C$1960,0)))</f>
        <v/>
      </c>
      <c r="P642" s="8">
        <f>IF(ISNA(MATCH(633,'Transfer Engine'!$C$2:$C$1960,0)),"",HYPERLINK("#Acts!A"&amp;INDEX('Compliance Database'!$P$2:$P$1960,MATCH(633,'Transfer Engine'!$C$2:$C$1960,0)),"Go to Act"))</f>
        <v/>
      </c>
    </row>
    <row r="643" ht="158" customHeight="1">
      <c r="A643" s="8">
        <f>IF(ISNA(MATCH(634,'Transfer Engine'!$C$2:$C$1960,0)),"",INDEX('Compliance Database'!$A$2:$A$1960,MATCH(634,'Transfer Engine'!$C$2:$C$1960,0)))</f>
        <v/>
      </c>
      <c r="B643" s="8">
        <f>IF(ISNA(MATCH(634,'Transfer Engine'!$C$2:$C$1960,0)),"",INDEX('Compliance Database'!$B$2:$B$1960,MATCH(634,'Transfer Engine'!$C$2:$C$1960,0)))</f>
        <v/>
      </c>
      <c r="C643" s="8">
        <f>IF(ISNA(MATCH(634,'Transfer Engine'!$C$2:$C$1960,0)),"",INDEX('Compliance Database'!$C$2:$C$1960,MATCH(634,'Transfer Engine'!$C$2:$C$1960,0)))</f>
        <v/>
      </c>
      <c r="D643" s="9">
        <f>IF(ISNA(MATCH(634,'Transfer Engine'!$C$2:$C$1960,0)),"",INDEX('Compliance Database'!$D$2:$D$1960,MATCH(634,'Transfer Engine'!$C$2:$C$1960,0)))</f>
        <v/>
      </c>
      <c r="E643" s="8">
        <f>IF(ISNA(MATCH(634,'Transfer Engine'!$C$2:$C$1960,0)),"",INDEX('Compliance Database'!$E$2:$E$1960,MATCH(634,'Transfer Engine'!$C$2:$C$1960,0)))</f>
        <v/>
      </c>
      <c r="F643" s="8">
        <f>IF(ISNA(MATCH(634,'Transfer Engine'!$C$2:$C$1960,0)),"",INDEX('Compliance Database'!$F$2:$F$1960,MATCH(634,'Transfer Engine'!$C$2:$C$1960,0)))</f>
        <v/>
      </c>
      <c r="G643" s="8">
        <f>IF(ISNA(MATCH(634,'Transfer Engine'!$C$2:$C$1960,0)),"",INDEX('Compliance Database'!$G$2:$G$1960,MATCH(634,'Transfer Engine'!$C$2:$C$1960,0)))</f>
        <v/>
      </c>
      <c r="H643" s="9">
        <f>IF(ISNA(MATCH(634,'Transfer Engine'!$C$2:$C$1960,0)),"",INDEX('Compliance Database'!$H$2:$H$1960,MATCH(634,'Transfer Engine'!$C$2:$C$1960,0)))</f>
        <v/>
      </c>
      <c r="I643" s="9">
        <f>IF(ISNA(MATCH(634,'Transfer Engine'!$C$2:$C$1960,0)),"",INDEX('Compliance Database'!$I$2:$I$1960,MATCH(634,'Transfer Engine'!$C$2:$C$1960,0)))</f>
        <v/>
      </c>
      <c r="J643" s="8">
        <f>IF(ISNA(MATCH(634,'Transfer Engine'!$C$2:$C$1960,0)),"",INDEX('Compliance Database'!$J$2:$J$1960,MATCH(634,'Transfer Engine'!$C$2:$C$1960,0)))</f>
        <v/>
      </c>
      <c r="K643" s="9">
        <f>IF(ISNA(MATCH(634,'Transfer Engine'!$C$2:$C$1960,0)),"",INDEX('Compliance Database'!$K$2:$K$1960,MATCH(634,'Transfer Engine'!$C$2:$C$1960,0)))</f>
        <v/>
      </c>
      <c r="L643" s="9">
        <f>IF(ISNA(MATCH(634,'Transfer Engine'!$C$2:$C$1960,0)),"",INDEX('Compliance Database'!$L$2:$L$1960,MATCH(634,'Transfer Engine'!$C$2:$C$1960,0)))</f>
        <v/>
      </c>
      <c r="M643" s="9">
        <f>IF(ISNA(MATCH(634,'Transfer Engine'!$C$2:$C$1960,0)),"",INDEX('Compliance Database'!$M$2:$M$1960,MATCH(634,'Transfer Engine'!$C$2:$C$1960,0)))</f>
        <v/>
      </c>
      <c r="N643" s="9">
        <f>IF(ISNA(MATCH(634,'Transfer Engine'!$C$2:$C$1960,0)),"",INDEX('Compliance Database'!$N$2:$N$1960,MATCH(634,'Transfer Engine'!$C$2:$C$1960,0)))</f>
        <v/>
      </c>
      <c r="O643" s="9">
        <f>IF(ISNA(MATCH(634,'Transfer Engine'!$C$2:$C$1960,0)),"",INDEX('Compliance Database'!$O$2:$O$1960,MATCH(634,'Transfer Engine'!$C$2:$C$1960,0)))</f>
        <v/>
      </c>
      <c r="P643" s="8">
        <f>IF(ISNA(MATCH(634,'Transfer Engine'!$C$2:$C$1960,0)),"",HYPERLINK("#Acts!A"&amp;INDEX('Compliance Database'!$P$2:$P$1960,MATCH(634,'Transfer Engine'!$C$2:$C$1960,0)),"Go to Act"))</f>
        <v/>
      </c>
    </row>
    <row r="644" ht="158" customHeight="1">
      <c r="A644" s="8">
        <f>IF(ISNA(MATCH(635,'Transfer Engine'!$C$2:$C$1960,0)),"",INDEX('Compliance Database'!$A$2:$A$1960,MATCH(635,'Transfer Engine'!$C$2:$C$1960,0)))</f>
        <v/>
      </c>
      <c r="B644" s="8">
        <f>IF(ISNA(MATCH(635,'Transfer Engine'!$C$2:$C$1960,0)),"",INDEX('Compliance Database'!$B$2:$B$1960,MATCH(635,'Transfer Engine'!$C$2:$C$1960,0)))</f>
        <v/>
      </c>
      <c r="C644" s="8">
        <f>IF(ISNA(MATCH(635,'Transfer Engine'!$C$2:$C$1960,0)),"",INDEX('Compliance Database'!$C$2:$C$1960,MATCH(635,'Transfer Engine'!$C$2:$C$1960,0)))</f>
        <v/>
      </c>
      <c r="D644" s="9">
        <f>IF(ISNA(MATCH(635,'Transfer Engine'!$C$2:$C$1960,0)),"",INDEX('Compliance Database'!$D$2:$D$1960,MATCH(635,'Transfer Engine'!$C$2:$C$1960,0)))</f>
        <v/>
      </c>
      <c r="E644" s="8">
        <f>IF(ISNA(MATCH(635,'Transfer Engine'!$C$2:$C$1960,0)),"",INDEX('Compliance Database'!$E$2:$E$1960,MATCH(635,'Transfer Engine'!$C$2:$C$1960,0)))</f>
        <v/>
      </c>
      <c r="F644" s="8">
        <f>IF(ISNA(MATCH(635,'Transfer Engine'!$C$2:$C$1960,0)),"",INDEX('Compliance Database'!$F$2:$F$1960,MATCH(635,'Transfer Engine'!$C$2:$C$1960,0)))</f>
        <v/>
      </c>
      <c r="G644" s="8">
        <f>IF(ISNA(MATCH(635,'Transfer Engine'!$C$2:$C$1960,0)),"",INDEX('Compliance Database'!$G$2:$G$1960,MATCH(635,'Transfer Engine'!$C$2:$C$1960,0)))</f>
        <v/>
      </c>
      <c r="H644" s="9">
        <f>IF(ISNA(MATCH(635,'Transfer Engine'!$C$2:$C$1960,0)),"",INDEX('Compliance Database'!$H$2:$H$1960,MATCH(635,'Transfer Engine'!$C$2:$C$1960,0)))</f>
        <v/>
      </c>
      <c r="I644" s="9">
        <f>IF(ISNA(MATCH(635,'Transfer Engine'!$C$2:$C$1960,0)),"",INDEX('Compliance Database'!$I$2:$I$1960,MATCH(635,'Transfer Engine'!$C$2:$C$1960,0)))</f>
        <v/>
      </c>
      <c r="J644" s="8">
        <f>IF(ISNA(MATCH(635,'Transfer Engine'!$C$2:$C$1960,0)),"",INDEX('Compliance Database'!$J$2:$J$1960,MATCH(635,'Transfer Engine'!$C$2:$C$1960,0)))</f>
        <v/>
      </c>
      <c r="K644" s="9">
        <f>IF(ISNA(MATCH(635,'Transfer Engine'!$C$2:$C$1960,0)),"",INDEX('Compliance Database'!$K$2:$K$1960,MATCH(635,'Transfer Engine'!$C$2:$C$1960,0)))</f>
        <v/>
      </c>
      <c r="L644" s="9">
        <f>IF(ISNA(MATCH(635,'Transfer Engine'!$C$2:$C$1960,0)),"",INDEX('Compliance Database'!$L$2:$L$1960,MATCH(635,'Transfer Engine'!$C$2:$C$1960,0)))</f>
        <v/>
      </c>
      <c r="M644" s="9">
        <f>IF(ISNA(MATCH(635,'Transfer Engine'!$C$2:$C$1960,0)),"",INDEX('Compliance Database'!$M$2:$M$1960,MATCH(635,'Transfer Engine'!$C$2:$C$1960,0)))</f>
        <v/>
      </c>
      <c r="N644" s="9">
        <f>IF(ISNA(MATCH(635,'Transfer Engine'!$C$2:$C$1960,0)),"",INDEX('Compliance Database'!$N$2:$N$1960,MATCH(635,'Transfer Engine'!$C$2:$C$1960,0)))</f>
        <v/>
      </c>
      <c r="O644" s="9">
        <f>IF(ISNA(MATCH(635,'Transfer Engine'!$C$2:$C$1960,0)),"",INDEX('Compliance Database'!$O$2:$O$1960,MATCH(635,'Transfer Engine'!$C$2:$C$1960,0)))</f>
        <v/>
      </c>
      <c r="P644" s="8">
        <f>IF(ISNA(MATCH(635,'Transfer Engine'!$C$2:$C$1960,0)),"",HYPERLINK("#Acts!A"&amp;INDEX('Compliance Database'!$P$2:$P$1960,MATCH(635,'Transfer Engine'!$C$2:$C$1960,0)),"Go to Act"))</f>
        <v/>
      </c>
    </row>
    <row r="645" ht="158" customHeight="1">
      <c r="A645" s="8">
        <f>IF(ISNA(MATCH(636,'Transfer Engine'!$C$2:$C$1960,0)),"",INDEX('Compliance Database'!$A$2:$A$1960,MATCH(636,'Transfer Engine'!$C$2:$C$1960,0)))</f>
        <v/>
      </c>
      <c r="B645" s="8">
        <f>IF(ISNA(MATCH(636,'Transfer Engine'!$C$2:$C$1960,0)),"",INDEX('Compliance Database'!$B$2:$B$1960,MATCH(636,'Transfer Engine'!$C$2:$C$1960,0)))</f>
        <v/>
      </c>
      <c r="C645" s="8">
        <f>IF(ISNA(MATCH(636,'Transfer Engine'!$C$2:$C$1960,0)),"",INDEX('Compliance Database'!$C$2:$C$1960,MATCH(636,'Transfer Engine'!$C$2:$C$1960,0)))</f>
        <v/>
      </c>
      <c r="D645" s="9">
        <f>IF(ISNA(MATCH(636,'Transfer Engine'!$C$2:$C$1960,0)),"",INDEX('Compliance Database'!$D$2:$D$1960,MATCH(636,'Transfer Engine'!$C$2:$C$1960,0)))</f>
        <v/>
      </c>
      <c r="E645" s="8">
        <f>IF(ISNA(MATCH(636,'Transfer Engine'!$C$2:$C$1960,0)),"",INDEX('Compliance Database'!$E$2:$E$1960,MATCH(636,'Transfer Engine'!$C$2:$C$1960,0)))</f>
        <v/>
      </c>
      <c r="F645" s="8">
        <f>IF(ISNA(MATCH(636,'Transfer Engine'!$C$2:$C$1960,0)),"",INDEX('Compliance Database'!$F$2:$F$1960,MATCH(636,'Transfer Engine'!$C$2:$C$1960,0)))</f>
        <v/>
      </c>
      <c r="G645" s="8">
        <f>IF(ISNA(MATCH(636,'Transfer Engine'!$C$2:$C$1960,0)),"",INDEX('Compliance Database'!$G$2:$G$1960,MATCH(636,'Transfer Engine'!$C$2:$C$1960,0)))</f>
        <v/>
      </c>
      <c r="H645" s="9">
        <f>IF(ISNA(MATCH(636,'Transfer Engine'!$C$2:$C$1960,0)),"",INDEX('Compliance Database'!$H$2:$H$1960,MATCH(636,'Transfer Engine'!$C$2:$C$1960,0)))</f>
        <v/>
      </c>
      <c r="I645" s="9">
        <f>IF(ISNA(MATCH(636,'Transfer Engine'!$C$2:$C$1960,0)),"",INDEX('Compliance Database'!$I$2:$I$1960,MATCH(636,'Transfer Engine'!$C$2:$C$1960,0)))</f>
        <v/>
      </c>
      <c r="J645" s="8">
        <f>IF(ISNA(MATCH(636,'Transfer Engine'!$C$2:$C$1960,0)),"",INDEX('Compliance Database'!$J$2:$J$1960,MATCH(636,'Transfer Engine'!$C$2:$C$1960,0)))</f>
        <v/>
      </c>
      <c r="K645" s="9">
        <f>IF(ISNA(MATCH(636,'Transfer Engine'!$C$2:$C$1960,0)),"",INDEX('Compliance Database'!$K$2:$K$1960,MATCH(636,'Transfer Engine'!$C$2:$C$1960,0)))</f>
        <v/>
      </c>
      <c r="L645" s="9">
        <f>IF(ISNA(MATCH(636,'Transfer Engine'!$C$2:$C$1960,0)),"",INDEX('Compliance Database'!$L$2:$L$1960,MATCH(636,'Transfer Engine'!$C$2:$C$1960,0)))</f>
        <v/>
      </c>
      <c r="M645" s="9">
        <f>IF(ISNA(MATCH(636,'Transfer Engine'!$C$2:$C$1960,0)),"",INDEX('Compliance Database'!$M$2:$M$1960,MATCH(636,'Transfer Engine'!$C$2:$C$1960,0)))</f>
        <v/>
      </c>
      <c r="N645" s="9">
        <f>IF(ISNA(MATCH(636,'Transfer Engine'!$C$2:$C$1960,0)),"",INDEX('Compliance Database'!$N$2:$N$1960,MATCH(636,'Transfer Engine'!$C$2:$C$1960,0)))</f>
        <v/>
      </c>
      <c r="O645" s="9">
        <f>IF(ISNA(MATCH(636,'Transfer Engine'!$C$2:$C$1960,0)),"",INDEX('Compliance Database'!$O$2:$O$1960,MATCH(636,'Transfer Engine'!$C$2:$C$1960,0)))</f>
        <v/>
      </c>
      <c r="P645" s="8">
        <f>IF(ISNA(MATCH(636,'Transfer Engine'!$C$2:$C$1960,0)),"",HYPERLINK("#Acts!A"&amp;INDEX('Compliance Database'!$P$2:$P$1960,MATCH(636,'Transfer Engine'!$C$2:$C$1960,0)),"Go to Act"))</f>
        <v/>
      </c>
    </row>
    <row r="646" ht="158" customHeight="1">
      <c r="A646" s="8">
        <f>IF(ISNA(MATCH(637,'Transfer Engine'!$C$2:$C$1960,0)),"",INDEX('Compliance Database'!$A$2:$A$1960,MATCH(637,'Transfer Engine'!$C$2:$C$1960,0)))</f>
        <v/>
      </c>
      <c r="B646" s="8">
        <f>IF(ISNA(MATCH(637,'Transfer Engine'!$C$2:$C$1960,0)),"",INDEX('Compliance Database'!$B$2:$B$1960,MATCH(637,'Transfer Engine'!$C$2:$C$1960,0)))</f>
        <v/>
      </c>
      <c r="C646" s="8">
        <f>IF(ISNA(MATCH(637,'Transfer Engine'!$C$2:$C$1960,0)),"",INDEX('Compliance Database'!$C$2:$C$1960,MATCH(637,'Transfer Engine'!$C$2:$C$1960,0)))</f>
        <v/>
      </c>
      <c r="D646" s="9">
        <f>IF(ISNA(MATCH(637,'Transfer Engine'!$C$2:$C$1960,0)),"",INDEX('Compliance Database'!$D$2:$D$1960,MATCH(637,'Transfer Engine'!$C$2:$C$1960,0)))</f>
        <v/>
      </c>
      <c r="E646" s="8">
        <f>IF(ISNA(MATCH(637,'Transfer Engine'!$C$2:$C$1960,0)),"",INDEX('Compliance Database'!$E$2:$E$1960,MATCH(637,'Transfer Engine'!$C$2:$C$1960,0)))</f>
        <v/>
      </c>
      <c r="F646" s="8">
        <f>IF(ISNA(MATCH(637,'Transfer Engine'!$C$2:$C$1960,0)),"",INDEX('Compliance Database'!$F$2:$F$1960,MATCH(637,'Transfer Engine'!$C$2:$C$1960,0)))</f>
        <v/>
      </c>
      <c r="G646" s="8">
        <f>IF(ISNA(MATCH(637,'Transfer Engine'!$C$2:$C$1960,0)),"",INDEX('Compliance Database'!$G$2:$G$1960,MATCH(637,'Transfer Engine'!$C$2:$C$1960,0)))</f>
        <v/>
      </c>
      <c r="H646" s="9">
        <f>IF(ISNA(MATCH(637,'Transfer Engine'!$C$2:$C$1960,0)),"",INDEX('Compliance Database'!$H$2:$H$1960,MATCH(637,'Transfer Engine'!$C$2:$C$1960,0)))</f>
        <v/>
      </c>
      <c r="I646" s="9">
        <f>IF(ISNA(MATCH(637,'Transfer Engine'!$C$2:$C$1960,0)),"",INDEX('Compliance Database'!$I$2:$I$1960,MATCH(637,'Transfer Engine'!$C$2:$C$1960,0)))</f>
        <v/>
      </c>
      <c r="J646" s="8">
        <f>IF(ISNA(MATCH(637,'Transfer Engine'!$C$2:$C$1960,0)),"",INDEX('Compliance Database'!$J$2:$J$1960,MATCH(637,'Transfer Engine'!$C$2:$C$1960,0)))</f>
        <v/>
      </c>
      <c r="K646" s="9">
        <f>IF(ISNA(MATCH(637,'Transfer Engine'!$C$2:$C$1960,0)),"",INDEX('Compliance Database'!$K$2:$K$1960,MATCH(637,'Transfer Engine'!$C$2:$C$1960,0)))</f>
        <v/>
      </c>
      <c r="L646" s="9">
        <f>IF(ISNA(MATCH(637,'Transfer Engine'!$C$2:$C$1960,0)),"",INDEX('Compliance Database'!$L$2:$L$1960,MATCH(637,'Transfer Engine'!$C$2:$C$1960,0)))</f>
        <v/>
      </c>
      <c r="M646" s="9">
        <f>IF(ISNA(MATCH(637,'Transfer Engine'!$C$2:$C$1960,0)),"",INDEX('Compliance Database'!$M$2:$M$1960,MATCH(637,'Transfer Engine'!$C$2:$C$1960,0)))</f>
        <v/>
      </c>
      <c r="N646" s="9">
        <f>IF(ISNA(MATCH(637,'Transfer Engine'!$C$2:$C$1960,0)),"",INDEX('Compliance Database'!$N$2:$N$1960,MATCH(637,'Transfer Engine'!$C$2:$C$1960,0)))</f>
        <v/>
      </c>
      <c r="O646" s="9">
        <f>IF(ISNA(MATCH(637,'Transfer Engine'!$C$2:$C$1960,0)),"",INDEX('Compliance Database'!$O$2:$O$1960,MATCH(637,'Transfer Engine'!$C$2:$C$1960,0)))</f>
        <v/>
      </c>
      <c r="P646" s="8">
        <f>IF(ISNA(MATCH(637,'Transfer Engine'!$C$2:$C$1960,0)),"",HYPERLINK("#Acts!A"&amp;INDEX('Compliance Database'!$P$2:$P$1960,MATCH(637,'Transfer Engine'!$C$2:$C$1960,0)),"Go to Act"))</f>
        <v/>
      </c>
    </row>
    <row r="647" ht="158" customHeight="1">
      <c r="A647" s="8">
        <f>IF(ISNA(MATCH(638,'Transfer Engine'!$C$2:$C$1960,0)),"",INDEX('Compliance Database'!$A$2:$A$1960,MATCH(638,'Transfer Engine'!$C$2:$C$1960,0)))</f>
        <v/>
      </c>
      <c r="B647" s="8">
        <f>IF(ISNA(MATCH(638,'Transfer Engine'!$C$2:$C$1960,0)),"",INDEX('Compliance Database'!$B$2:$B$1960,MATCH(638,'Transfer Engine'!$C$2:$C$1960,0)))</f>
        <v/>
      </c>
      <c r="C647" s="8">
        <f>IF(ISNA(MATCH(638,'Transfer Engine'!$C$2:$C$1960,0)),"",INDEX('Compliance Database'!$C$2:$C$1960,MATCH(638,'Transfer Engine'!$C$2:$C$1960,0)))</f>
        <v/>
      </c>
      <c r="D647" s="9">
        <f>IF(ISNA(MATCH(638,'Transfer Engine'!$C$2:$C$1960,0)),"",INDEX('Compliance Database'!$D$2:$D$1960,MATCH(638,'Transfer Engine'!$C$2:$C$1960,0)))</f>
        <v/>
      </c>
      <c r="E647" s="8">
        <f>IF(ISNA(MATCH(638,'Transfer Engine'!$C$2:$C$1960,0)),"",INDEX('Compliance Database'!$E$2:$E$1960,MATCH(638,'Transfer Engine'!$C$2:$C$1960,0)))</f>
        <v/>
      </c>
      <c r="F647" s="8">
        <f>IF(ISNA(MATCH(638,'Transfer Engine'!$C$2:$C$1960,0)),"",INDEX('Compliance Database'!$F$2:$F$1960,MATCH(638,'Transfer Engine'!$C$2:$C$1960,0)))</f>
        <v/>
      </c>
      <c r="G647" s="8">
        <f>IF(ISNA(MATCH(638,'Transfer Engine'!$C$2:$C$1960,0)),"",INDEX('Compliance Database'!$G$2:$G$1960,MATCH(638,'Transfer Engine'!$C$2:$C$1960,0)))</f>
        <v/>
      </c>
      <c r="H647" s="9">
        <f>IF(ISNA(MATCH(638,'Transfer Engine'!$C$2:$C$1960,0)),"",INDEX('Compliance Database'!$H$2:$H$1960,MATCH(638,'Transfer Engine'!$C$2:$C$1960,0)))</f>
        <v/>
      </c>
      <c r="I647" s="9">
        <f>IF(ISNA(MATCH(638,'Transfer Engine'!$C$2:$C$1960,0)),"",INDEX('Compliance Database'!$I$2:$I$1960,MATCH(638,'Transfer Engine'!$C$2:$C$1960,0)))</f>
        <v/>
      </c>
      <c r="J647" s="8">
        <f>IF(ISNA(MATCH(638,'Transfer Engine'!$C$2:$C$1960,0)),"",INDEX('Compliance Database'!$J$2:$J$1960,MATCH(638,'Transfer Engine'!$C$2:$C$1960,0)))</f>
        <v/>
      </c>
      <c r="K647" s="9">
        <f>IF(ISNA(MATCH(638,'Transfer Engine'!$C$2:$C$1960,0)),"",INDEX('Compliance Database'!$K$2:$K$1960,MATCH(638,'Transfer Engine'!$C$2:$C$1960,0)))</f>
        <v/>
      </c>
      <c r="L647" s="9">
        <f>IF(ISNA(MATCH(638,'Transfer Engine'!$C$2:$C$1960,0)),"",INDEX('Compliance Database'!$L$2:$L$1960,MATCH(638,'Transfer Engine'!$C$2:$C$1960,0)))</f>
        <v/>
      </c>
      <c r="M647" s="9">
        <f>IF(ISNA(MATCH(638,'Transfer Engine'!$C$2:$C$1960,0)),"",INDEX('Compliance Database'!$M$2:$M$1960,MATCH(638,'Transfer Engine'!$C$2:$C$1960,0)))</f>
        <v/>
      </c>
      <c r="N647" s="9">
        <f>IF(ISNA(MATCH(638,'Transfer Engine'!$C$2:$C$1960,0)),"",INDEX('Compliance Database'!$N$2:$N$1960,MATCH(638,'Transfer Engine'!$C$2:$C$1960,0)))</f>
        <v/>
      </c>
      <c r="O647" s="9">
        <f>IF(ISNA(MATCH(638,'Transfer Engine'!$C$2:$C$1960,0)),"",INDEX('Compliance Database'!$O$2:$O$1960,MATCH(638,'Transfer Engine'!$C$2:$C$1960,0)))</f>
        <v/>
      </c>
      <c r="P647" s="8">
        <f>IF(ISNA(MATCH(638,'Transfer Engine'!$C$2:$C$1960,0)),"",HYPERLINK("#Acts!A"&amp;INDEX('Compliance Database'!$P$2:$P$1960,MATCH(638,'Transfer Engine'!$C$2:$C$1960,0)),"Go to Act"))</f>
        <v/>
      </c>
    </row>
    <row r="648" ht="158" customHeight="1">
      <c r="A648" s="8">
        <f>IF(ISNA(MATCH(639,'Transfer Engine'!$C$2:$C$1960,0)),"",INDEX('Compliance Database'!$A$2:$A$1960,MATCH(639,'Transfer Engine'!$C$2:$C$1960,0)))</f>
        <v/>
      </c>
      <c r="B648" s="8">
        <f>IF(ISNA(MATCH(639,'Transfer Engine'!$C$2:$C$1960,0)),"",INDEX('Compliance Database'!$B$2:$B$1960,MATCH(639,'Transfer Engine'!$C$2:$C$1960,0)))</f>
        <v/>
      </c>
      <c r="C648" s="8">
        <f>IF(ISNA(MATCH(639,'Transfer Engine'!$C$2:$C$1960,0)),"",INDEX('Compliance Database'!$C$2:$C$1960,MATCH(639,'Transfer Engine'!$C$2:$C$1960,0)))</f>
        <v/>
      </c>
      <c r="D648" s="9">
        <f>IF(ISNA(MATCH(639,'Transfer Engine'!$C$2:$C$1960,0)),"",INDEX('Compliance Database'!$D$2:$D$1960,MATCH(639,'Transfer Engine'!$C$2:$C$1960,0)))</f>
        <v/>
      </c>
      <c r="E648" s="8">
        <f>IF(ISNA(MATCH(639,'Transfer Engine'!$C$2:$C$1960,0)),"",INDEX('Compliance Database'!$E$2:$E$1960,MATCH(639,'Transfer Engine'!$C$2:$C$1960,0)))</f>
        <v/>
      </c>
      <c r="F648" s="8">
        <f>IF(ISNA(MATCH(639,'Transfer Engine'!$C$2:$C$1960,0)),"",INDEX('Compliance Database'!$F$2:$F$1960,MATCH(639,'Transfer Engine'!$C$2:$C$1960,0)))</f>
        <v/>
      </c>
      <c r="G648" s="8">
        <f>IF(ISNA(MATCH(639,'Transfer Engine'!$C$2:$C$1960,0)),"",INDEX('Compliance Database'!$G$2:$G$1960,MATCH(639,'Transfer Engine'!$C$2:$C$1960,0)))</f>
        <v/>
      </c>
      <c r="H648" s="9">
        <f>IF(ISNA(MATCH(639,'Transfer Engine'!$C$2:$C$1960,0)),"",INDEX('Compliance Database'!$H$2:$H$1960,MATCH(639,'Transfer Engine'!$C$2:$C$1960,0)))</f>
        <v/>
      </c>
      <c r="I648" s="9">
        <f>IF(ISNA(MATCH(639,'Transfer Engine'!$C$2:$C$1960,0)),"",INDEX('Compliance Database'!$I$2:$I$1960,MATCH(639,'Transfer Engine'!$C$2:$C$1960,0)))</f>
        <v/>
      </c>
      <c r="J648" s="8">
        <f>IF(ISNA(MATCH(639,'Transfer Engine'!$C$2:$C$1960,0)),"",INDEX('Compliance Database'!$J$2:$J$1960,MATCH(639,'Transfer Engine'!$C$2:$C$1960,0)))</f>
        <v/>
      </c>
      <c r="K648" s="9">
        <f>IF(ISNA(MATCH(639,'Transfer Engine'!$C$2:$C$1960,0)),"",INDEX('Compliance Database'!$K$2:$K$1960,MATCH(639,'Transfer Engine'!$C$2:$C$1960,0)))</f>
        <v/>
      </c>
      <c r="L648" s="9">
        <f>IF(ISNA(MATCH(639,'Transfer Engine'!$C$2:$C$1960,0)),"",INDEX('Compliance Database'!$L$2:$L$1960,MATCH(639,'Transfer Engine'!$C$2:$C$1960,0)))</f>
        <v/>
      </c>
      <c r="M648" s="9">
        <f>IF(ISNA(MATCH(639,'Transfer Engine'!$C$2:$C$1960,0)),"",INDEX('Compliance Database'!$M$2:$M$1960,MATCH(639,'Transfer Engine'!$C$2:$C$1960,0)))</f>
        <v/>
      </c>
      <c r="N648" s="9">
        <f>IF(ISNA(MATCH(639,'Transfer Engine'!$C$2:$C$1960,0)),"",INDEX('Compliance Database'!$N$2:$N$1960,MATCH(639,'Transfer Engine'!$C$2:$C$1960,0)))</f>
        <v/>
      </c>
      <c r="O648" s="9">
        <f>IF(ISNA(MATCH(639,'Transfer Engine'!$C$2:$C$1960,0)),"",INDEX('Compliance Database'!$O$2:$O$1960,MATCH(639,'Transfer Engine'!$C$2:$C$1960,0)))</f>
        <v/>
      </c>
      <c r="P648" s="8">
        <f>IF(ISNA(MATCH(639,'Transfer Engine'!$C$2:$C$1960,0)),"",HYPERLINK("#Acts!A"&amp;INDEX('Compliance Database'!$P$2:$P$1960,MATCH(639,'Transfer Engine'!$C$2:$C$1960,0)),"Go to Act"))</f>
        <v/>
      </c>
    </row>
    <row r="649" ht="158" customHeight="1">
      <c r="A649" s="8">
        <f>IF(ISNA(MATCH(640,'Transfer Engine'!$C$2:$C$1960,0)),"",INDEX('Compliance Database'!$A$2:$A$1960,MATCH(640,'Transfer Engine'!$C$2:$C$1960,0)))</f>
        <v/>
      </c>
      <c r="B649" s="8">
        <f>IF(ISNA(MATCH(640,'Transfer Engine'!$C$2:$C$1960,0)),"",INDEX('Compliance Database'!$B$2:$B$1960,MATCH(640,'Transfer Engine'!$C$2:$C$1960,0)))</f>
        <v/>
      </c>
      <c r="C649" s="8">
        <f>IF(ISNA(MATCH(640,'Transfer Engine'!$C$2:$C$1960,0)),"",INDEX('Compliance Database'!$C$2:$C$1960,MATCH(640,'Transfer Engine'!$C$2:$C$1960,0)))</f>
        <v/>
      </c>
      <c r="D649" s="9">
        <f>IF(ISNA(MATCH(640,'Transfer Engine'!$C$2:$C$1960,0)),"",INDEX('Compliance Database'!$D$2:$D$1960,MATCH(640,'Transfer Engine'!$C$2:$C$1960,0)))</f>
        <v/>
      </c>
      <c r="E649" s="8">
        <f>IF(ISNA(MATCH(640,'Transfer Engine'!$C$2:$C$1960,0)),"",INDEX('Compliance Database'!$E$2:$E$1960,MATCH(640,'Transfer Engine'!$C$2:$C$1960,0)))</f>
        <v/>
      </c>
      <c r="F649" s="8">
        <f>IF(ISNA(MATCH(640,'Transfer Engine'!$C$2:$C$1960,0)),"",INDEX('Compliance Database'!$F$2:$F$1960,MATCH(640,'Transfer Engine'!$C$2:$C$1960,0)))</f>
        <v/>
      </c>
      <c r="G649" s="8">
        <f>IF(ISNA(MATCH(640,'Transfer Engine'!$C$2:$C$1960,0)),"",INDEX('Compliance Database'!$G$2:$G$1960,MATCH(640,'Transfer Engine'!$C$2:$C$1960,0)))</f>
        <v/>
      </c>
      <c r="H649" s="9">
        <f>IF(ISNA(MATCH(640,'Transfer Engine'!$C$2:$C$1960,0)),"",INDEX('Compliance Database'!$H$2:$H$1960,MATCH(640,'Transfer Engine'!$C$2:$C$1960,0)))</f>
        <v/>
      </c>
      <c r="I649" s="9">
        <f>IF(ISNA(MATCH(640,'Transfer Engine'!$C$2:$C$1960,0)),"",INDEX('Compliance Database'!$I$2:$I$1960,MATCH(640,'Transfer Engine'!$C$2:$C$1960,0)))</f>
        <v/>
      </c>
      <c r="J649" s="8">
        <f>IF(ISNA(MATCH(640,'Transfer Engine'!$C$2:$C$1960,0)),"",INDEX('Compliance Database'!$J$2:$J$1960,MATCH(640,'Transfer Engine'!$C$2:$C$1960,0)))</f>
        <v/>
      </c>
      <c r="K649" s="9">
        <f>IF(ISNA(MATCH(640,'Transfer Engine'!$C$2:$C$1960,0)),"",INDEX('Compliance Database'!$K$2:$K$1960,MATCH(640,'Transfer Engine'!$C$2:$C$1960,0)))</f>
        <v/>
      </c>
      <c r="L649" s="9">
        <f>IF(ISNA(MATCH(640,'Transfer Engine'!$C$2:$C$1960,0)),"",INDEX('Compliance Database'!$L$2:$L$1960,MATCH(640,'Transfer Engine'!$C$2:$C$1960,0)))</f>
        <v/>
      </c>
      <c r="M649" s="9">
        <f>IF(ISNA(MATCH(640,'Transfer Engine'!$C$2:$C$1960,0)),"",INDEX('Compliance Database'!$M$2:$M$1960,MATCH(640,'Transfer Engine'!$C$2:$C$1960,0)))</f>
        <v/>
      </c>
      <c r="N649" s="9">
        <f>IF(ISNA(MATCH(640,'Transfer Engine'!$C$2:$C$1960,0)),"",INDEX('Compliance Database'!$N$2:$N$1960,MATCH(640,'Transfer Engine'!$C$2:$C$1960,0)))</f>
        <v/>
      </c>
      <c r="O649" s="9">
        <f>IF(ISNA(MATCH(640,'Transfer Engine'!$C$2:$C$1960,0)),"",INDEX('Compliance Database'!$O$2:$O$1960,MATCH(640,'Transfer Engine'!$C$2:$C$1960,0)))</f>
        <v/>
      </c>
      <c r="P649" s="8">
        <f>IF(ISNA(MATCH(640,'Transfer Engine'!$C$2:$C$1960,0)),"",HYPERLINK("#Acts!A"&amp;INDEX('Compliance Database'!$P$2:$P$1960,MATCH(640,'Transfer Engine'!$C$2:$C$1960,0)),"Go to Act"))</f>
        <v/>
      </c>
    </row>
    <row r="650" ht="158" customHeight="1">
      <c r="A650" s="8">
        <f>IF(ISNA(MATCH(641,'Transfer Engine'!$C$2:$C$1960,0)),"",INDEX('Compliance Database'!$A$2:$A$1960,MATCH(641,'Transfer Engine'!$C$2:$C$1960,0)))</f>
        <v/>
      </c>
      <c r="B650" s="8">
        <f>IF(ISNA(MATCH(641,'Transfer Engine'!$C$2:$C$1960,0)),"",INDEX('Compliance Database'!$B$2:$B$1960,MATCH(641,'Transfer Engine'!$C$2:$C$1960,0)))</f>
        <v/>
      </c>
      <c r="C650" s="8">
        <f>IF(ISNA(MATCH(641,'Transfer Engine'!$C$2:$C$1960,0)),"",INDEX('Compliance Database'!$C$2:$C$1960,MATCH(641,'Transfer Engine'!$C$2:$C$1960,0)))</f>
        <v/>
      </c>
      <c r="D650" s="9">
        <f>IF(ISNA(MATCH(641,'Transfer Engine'!$C$2:$C$1960,0)),"",INDEX('Compliance Database'!$D$2:$D$1960,MATCH(641,'Transfer Engine'!$C$2:$C$1960,0)))</f>
        <v/>
      </c>
      <c r="E650" s="8">
        <f>IF(ISNA(MATCH(641,'Transfer Engine'!$C$2:$C$1960,0)),"",INDEX('Compliance Database'!$E$2:$E$1960,MATCH(641,'Transfer Engine'!$C$2:$C$1960,0)))</f>
        <v/>
      </c>
      <c r="F650" s="8">
        <f>IF(ISNA(MATCH(641,'Transfer Engine'!$C$2:$C$1960,0)),"",INDEX('Compliance Database'!$F$2:$F$1960,MATCH(641,'Transfer Engine'!$C$2:$C$1960,0)))</f>
        <v/>
      </c>
      <c r="G650" s="8">
        <f>IF(ISNA(MATCH(641,'Transfer Engine'!$C$2:$C$1960,0)),"",INDEX('Compliance Database'!$G$2:$G$1960,MATCH(641,'Transfer Engine'!$C$2:$C$1960,0)))</f>
        <v/>
      </c>
      <c r="H650" s="9">
        <f>IF(ISNA(MATCH(641,'Transfer Engine'!$C$2:$C$1960,0)),"",INDEX('Compliance Database'!$H$2:$H$1960,MATCH(641,'Transfer Engine'!$C$2:$C$1960,0)))</f>
        <v/>
      </c>
      <c r="I650" s="9">
        <f>IF(ISNA(MATCH(641,'Transfer Engine'!$C$2:$C$1960,0)),"",INDEX('Compliance Database'!$I$2:$I$1960,MATCH(641,'Transfer Engine'!$C$2:$C$1960,0)))</f>
        <v/>
      </c>
      <c r="J650" s="8">
        <f>IF(ISNA(MATCH(641,'Transfer Engine'!$C$2:$C$1960,0)),"",INDEX('Compliance Database'!$J$2:$J$1960,MATCH(641,'Transfer Engine'!$C$2:$C$1960,0)))</f>
        <v/>
      </c>
      <c r="K650" s="9">
        <f>IF(ISNA(MATCH(641,'Transfer Engine'!$C$2:$C$1960,0)),"",INDEX('Compliance Database'!$K$2:$K$1960,MATCH(641,'Transfer Engine'!$C$2:$C$1960,0)))</f>
        <v/>
      </c>
      <c r="L650" s="9">
        <f>IF(ISNA(MATCH(641,'Transfer Engine'!$C$2:$C$1960,0)),"",INDEX('Compliance Database'!$L$2:$L$1960,MATCH(641,'Transfer Engine'!$C$2:$C$1960,0)))</f>
        <v/>
      </c>
      <c r="M650" s="9">
        <f>IF(ISNA(MATCH(641,'Transfer Engine'!$C$2:$C$1960,0)),"",INDEX('Compliance Database'!$M$2:$M$1960,MATCH(641,'Transfer Engine'!$C$2:$C$1960,0)))</f>
        <v/>
      </c>
      <c r="N650" s="9">
        <f>IF(ISNA(MATCH(641,'Transfer Engine'!$C$2:$C$1960,0)),"",INDEX('Compliance Database'!$N$2:$N$1960,MATCH(641,'Transfer Engine'!$C$2:$C$1960,0)))</f>
        <v/>
      </c>
      <c r="O650" s="9">
        <f>IF(ISNA(MATCH(641,'Transfer Engine'!$C$2:$C$1960,0)),"",INDEX('Compliance Database'!$O$2:$O$1960,MATCH(641,'Transfer Engine'!$C$2:$C$1960,0)))</f>
        <v/>
      </c>
      <c r="P650" s="8">
        <f>IF(ISNA(MATCH(641,'Transfer Engine'!$C$2:$C$1960,0)),"",HYPERLINK("#Acts!A"&amp;INDEX('Compliance Database'!$P$2:$P$1960,MATCH(641,'Transfer Engine'!$C$2:$C$1960,0)),"Go to Act"))</f>
        <v/>
      </c>
    </row>
    <row r="651" ht="158" customHeight="1">
      <c r="A651" s="8">
        <f>IF(ISNA(MATCH(642,'Transfer Engine'!$C$2:$C$1960,0)),"",INDEX('Compliance Database'!$A$2:$A$1960,MATCH(642,'Transfer Engine'!$C$2:$C$1960,0)))</f>
        <v/>
      </c>
      <c r="B651" s="8">
        <f>IF(ISNA(MATCH(642,'Transfer Engine'!$C$2:$C$1960,0)),"",INDEX('Compliance Database'!$B$2:$B$1960,MATCH(642,'Transfer Engine'!$C$2:$C$1960,0)))</f>
        <v/>
      </c>
      <c r="C651" s="8">
        <f>IF(ISNA(MATCH(642,'Transfer Engine'!$C$2:$C$1960,0)),"",INDEX('Compliance Database'!$C$2:$C$1960,MATCH(642,'Transfer Engine'!$C$2:$C$1960,0)))</f>
        <v/>
      </c>
      <c r="D651" s="9">
        <f>IF(ISNA(MATCH(642,'Transfer Engine'!$C$2:$C$1960,0)),"",INDEX('Compliance Database'!$D$2:$D$1960,MATCH(642,'Transfer Engine'!$C$2:$C$1960,0)))</f>
        <v/>
      </c>
      <c r="E651" s="8">
        <f>IF(ISNA(MATCH(642,'Transfer Engine'!$C$2:$C$1960,0)),"",INDEX('Compliance Database'!$E$2:$E$1960,MATCH(642,'Transfer Engine'!$C$2:$C$1960,0)))</f>
        <v/>
      </c>
      <c r="F651" s="8">
        <f>IF(ISNA(MATCH(642,'Transfer Engine'!$C$2:$C$1960,0)),"",INDEX('Compliance Database'!$F$2:$F$1960,MATCH(642,'Transfer Engine'!$C$2:$C$1960,0)))</f>
        <v/>
      </c>
      <c r="G651" s="8">
        <f>IF(ISNA(MATCH(642,'Transfer Engine'!$C$2:$C$1960,0)),"",INDEX('Compliance Database'!$G$2:$G$1960,MATCH(642,'Transfer Engine'!$C$2:$C$1960,0)))</f>
        <v/>
      </c>
      <c r="H651" s="9">
        <f>IF(ISNA(MATCH(642,'Transfer Engine'!$C$2:$C$1960,0)),"",INDEX('Compliance Database'!$H$2:$H$1960,MATCH(642,'Transfer Engine'!$C$2:$C$1960,0)))</f>
        <v/>
      </c>
      <c r="I651" s="9">
        <f>IF(ISNA(MATCH(642,'Transfer Engine'!$C$2:$C$1960,0)),"",INDEX('Compliance Database'!$I$2:$I$1960,MATCH(642,'Transfer Engine'!$C$2:$C$1960,0)))</f>
        <v/>
      </c>
      <c r="J651" s="8">
        <f>IF(ISNA(MATCH(642,'Transfer Engine'!$C$2:$C$1960,0)),"",INDEX('Compliance Database'!$J$2:$J$1960,MATCH(642,'Transfer Engine'!$C$2:$C$1960,0)))</f>
        <v/>
      </c>
      <c r="K651" s="9">
        <f>IF(ISNA(MATCH(642,'Transfer Engine'!$C$2:$C$1960,0)),"",INDEX('Compliance Database'!$K$2:$K$1960,MATCH(642,'Transfer Engine'!$C$2:$C$1960,0)))</f>
        <v/>
      </c>
      <c r="L651" s="9">
        <f>IF(ISNA(MATCH(642,'Transfer Engine'!$C$2:$C$1960,0)),"",INDEX('Compliance Database'!$L$2:$L$1960,MATCH(642,'Transfer Engine'!$C$2:$C$1960,0)))</f>
        <v/>
      </c>
      <c r="M651" s="9">
        <f>IF(ISNA(MATCH(642,'Transfer Engine'!$C$2:$C$1960,0)),"",INDEX('Compliance Database'!$M$2:$M$1960,MATCH(642,'Transfer Engine'!$C$2:$C$1960,0)))</f>
        <v/>
      </c>
      <c r="N651" s="9">
        <f>IF(ISNA(MATCH(642,'Transfer Engine'!$C$2:$C$1960,0)),"",INDEX('Compliance Database'!$N$2:$N$1960,MATCH(642,'Transfer Engine'!$C$2:$C$1960,0)))</f>
        <v/>
      </c>
      <c r="O651" s="9">
        <f>IF(ISNA(MATCH(642,'Transfer Engine'!$C$2:$C$1960,0)),"",INDEX('Compliance Database'!$O$2:$O$1960,MATCH(642,'Transfer Engine'!$C$2:$C$1960,0)))</f>
        <v/>
      </c>
      <c r="P651" s="8">
        <f>IF(ISNA(MATCH(642,'Transfer Engine'!$C$2:$C$1960,0)),"",HYPERLINK("#Acts!A"&amp;INDEX('Compliance Database'!$P$2:$P$1960,MATCH(642,'Transfer Engine'!$C$2:$C$1960,0)),"Go to Act"))</f>
        <v/>
      </c>
    </row>
    <row r="652" ht="158" customHeight="1">
      <c r="A652" s="8">
        <f>IF(ISNA(MATCH(643,'Transfer Engine'!$C$2:$C$1960,0)),"",INDEX('Compliance Database'!$A$2:$A$1960,MATCH(643,'Transfer Engine'!$C$2:$C$1960,0)))</f>
        <v/>
      </c>
      <c r="B652" s="8">
        <f>IF(ISNA(MATCH(643,'Transfer Engine'!$C$2:$C$1960,0)),"",INDEX('Compliance Database'!$B$2:$B$1960,MATCH(643,'Transfer Engine'!$C$2:$C$1960,0)))</f>
        <v/>
      </c>
      <c r="C652" s="8">
        <f>IF(ISNA(MATCH(643,'Transfer Engine'!$C$2:$C$1960,0)),"",INDEX('Compliance Database'!$C$2:$C$1960,MATCH(643,'Transfer Engine'!$C$2:$C$1960,0)))</f>
        <v/>
      </c>
      <c r="D652" s="9">
        <f>IF(ISNA(MATCH(643,'Transfer Engine'!$C$2:$C$1960,0)),"",INDEX('Compliance Database'!$D$2:$D$1960,MATCH(643,'Transfer Engine'!$C$2:$C$1960,0)))</f>
        <v/>
      </c>
      <c r="E652" s="8">
        <f>IF(ISNA(MATCH(643,'Transfer Engine'!$C$2:$C$1960,0)),"",INDEX('Compliance Database'!$E$2:$E$1960,MATCH(643,'Transfer Engine'!$C$2:$C$1960,0)))</f>
        <v/>
      </c>
      <c r="F652" s="8">
        <f>IF(ISNA(MATCH(643,'Transfer Engine'!$C$2:$C$1960,0)),"",INDEX('Compliance Database'!$F$2:$F$1960,MATCH(643,'Transfer Engine'!$C$2:$C$1960,0)))</f>
        <v/>
      </c>
      <c r="G652" s="8">
        <f>IF(ISNA(MATCH(643,'Transfer Engine'!$C$2:$C$1960,0)),"",INDEX('Compliance Database'!$G$2:$G$1960,MATCH(643,'Transfer Engine'!$C$2:$C$1960,0)))</f>
        <v/>
      </c>
      <c r="H652" s="9">
        <f>IF(ISNA(MATCH(643,'Transfer Engine'!$C$2:$C$1960,0)),"",INDEX('Compliance Database'!$H$2:$H$1960,MATCH(643,'Transfer Engine'!$C$2:$C$1960,0)))</f>
        <v/>
      </c>
      <c r="I652" s="9">
        <f>IF(ISNA(MATCH(643,'Transfer Engine'!$C$2:$C$1960,0)),"",INDEX('Compliance Database'!$I$2:$I$1960,MATCH(643,'Transfer Engine'!$C$2:$C$1960,0)))</f>
        <v/>
      </c>
      <c r="J652" s="8">
        <f>IF(ISNA(MATCH(643,'Transfer Engine'!$C$2:$C$1960,0)),"",INDEX('Compliance Database'!$J$2:$J$1960,MATCH(643,'Transfer Engine'!$C$2:$C$1960,0)))</f>
        <v/>
      </c>
      <c r="K652" s="9">
        <f>IF(ISNA(MATCH(643,'Transfer Engine'!$C$2:$C$1960,0)),"",INDEX('Compliance Database'!$K$2:$K$1960,MATCH(643,'Transfer Engine'!$C$2:$C$1960,0)))</f>
        <v/>
      </c>
      <c r="L652" s="9">
        <f>IF(ISNA(MATCH(643,'Transfer Engine'!$C$2:$C$1960,0)),"",INDEX('Compliance Database'!$L$2:$L$1960,MATCH(643,'Transfer Engine'!$C$2:$C$1960,0)))</f>
        <v/>
      </c>
      <c r="M652" s="9">
        <f>IF(ISNA(MATCH(643,'Transfer Engine'!$C$2:$C$1960,0)),"",INDEX('Compliance Database'!$M$2:$M$1960,MATCH(643,'Transfer Engine'!$C$2:$C$1960,0)))</f>
        <v/>
      </c>
      <c r="N652" s="9">
        <f>IF(ISNA(MATCH(643,'Transfer Engine'!$C$2:$C$1960,0)),"",INDEX('Compliance Database'!$N$2:$N$1960,MATCH(643,'Transfer Engine'!$C$2:$C$1960,0)))</f>
        <v/>
      </c>
      <c r="O652" s="9">
        <f>IF(ISNA(MATCH(643,'Transfer Engine'!$C$2:$C$1960,0)),"",INDEX('Compliance Database'!$O$2:$O$1960,MATCH(643,'Transfer Engine'!$C$2:$C$1960,0)))</f>
        <v/>
      </c>
      <c r="P652" s="8">
        <f>IF(ISNA(MATCH(643,'Transfer Engine'!$C$2:$C$1960,0)),"",HYPERLINK("#Acts!A"&amp;INDEX('Compliance Database'!$P$2:$P$1960,MATCH(643,'Transfer Engine'!$C$2:$C$1960,0)),"Go to Act"))</f>
        <v/>
      </c>
    </row>
    <row r="653" ht="158" customHeight="1">
      <c r="A653" s="8">
        <f>IF(ISNA(MATCH(644,'Transfer Engine'!$C$2:$C$1960,0)),"",INDEX('Compliance Database'!$A$2:$A$1960,MATCH(644,'Transfer Engine'!$C$2:$C$1960,0)))</f>
        <v/>
      </c>
      <c r="B653" s="8">
        <f>IF(ISNA(MATCH(644,'Transfer Engine'!$C$2:$C$1960,0)),"",INDEX('Compliance Database'!$B$2:$B$1960,MATCH(644,'Transfer Engine'!$C$2:$C$1960,0)))</f>
        <v/>
      </c>
      <c r="C653" s="8">
        <f>IF(ISNA(MATCH(644,'Transfer Engine'!$C$2:$C$1960,0)),"",INDEX('Compliance Database'!$C$2:$C$1960,MATCH(644,'Transfer Engine'!$C$2:$C$1960,0)))</f>
        <v/>
      </c>
      <c r="D653" s="9">
        <f>IF(ISNA(MATCH(644,'Transfer Engine'!$C$2:$C$1960,0)),"",INDEX('Compliance Database'!$D$2:$D$1960,MATCH(644,'Transfer Engine'!$C$2:$C$1960,0)))</f>
        <v/>
      </c>
      <c r="E653" s="8">
        <f>IF(ISNA(MATCH(644,'Transfer Engine'!$C$2:$C$1960,0)),"",INDEX('Compliance Database'!$E$2:$E$1960,MATCH(644,'Transfer Engine'!$C$2:$C$1960,0)))</f>
        <v/>
      </c>
      <c r="F653" s="8">
        <f>IF(ISNA(MATCH(644,'Transfer Engine'!$C$2:$C$1960,0)),"",INDEX('Compliance Database'!$F$2:$F$1960,MATCH(644,'Transfer Engine'!$C$2:$C$1960,0)))</f>
        <v/>
      </c>
      <c r="G653" s="8">
        <f>IF(ISNA(MATCH(644,'Transfer Engine'!$C$2:$C$1960,0)),"",INDEX('Compliance Database'!$G$2:$G$1960,MATCH(644,'Transfer Engine'!$C$2:$C$1960,0)))</f>
        <v/>
      </c>
      <c r="H653" s="9">
        <f>IF(ISNA(MATCH(644,'Transfer Engine'!$C$2:$C$1960,0)),"",INDEX('Compliance Database'!$H$2:$H$1960,MATCH(644,'Transfer Engine'!$C$2:$C$1960,0)))</f>
        <v/>
      </c>
      <c r="I653" s="9">
        <f>IF(ISNA(MATCH(644,'Transfer Engine'!$C$2:$C$1960,0)),"",INDEX('Compliance Database'!$I$2:$I$1960,MATCH(644,'Transfer Engine'!$C$2:$C$1960,0)))</f>
        <v/>
      </c>
      <c r="J653" s="8">
        <f>IF(ISNA(MATCH(644,'Transfer Engine'!$C$2:$C$1960,0)),"",INDEX('Compliance Database'!$J$2:$J$1960,MATCH(644,'Transfer Engine'!$C$2:$C$1960,0)))</f>
        <v/>
      </c>
      <c r="K653" s="9">
        <f>IF(ISNA(MATCH(644,'Transfer Engine'!$C$2:$C$1960,0)),"",INDEX('Compliance Database'!$K$2:$K$1960,MATCH(644,'Transfer Engine'!$C$2:$C$1960,0)))</f>
        <v/>
      </c>
      <c r="L653" s="9">
        <f>IF(ISNA(MATCH(644,'Transfer Engine'!$C$2:$C$1960,0)),"",INDEX('Compliance Database'!$L$2:$L$1960,MATCH(644,'Transfer Engine'!$C$2:$C$1960,0)))</f>
        <v/>
      </c>
      <c r="M653" s="9">
        <f>IF(ISNA(MATCH(644,'Transfer Engine'!$C$2:$C$1960,0)),"",INDEX('Compliance Database'!$M$2:$M$1960,MATCH(644,'Transfer Engine'!$C$2:$C$1960,0)))</f>
        <v/>
      </c>
      <c r="N653" s="9">
        <f>IF(ISNA(MATCH(644,'Transfer Engine'!$C$2:$C$1960,0)),"",INDEX('Compliance Database'!$N$2:$N$1960,MATCH(644,'Transfer Engine'!$C$2:$C$1960,0)))</f>
        <v/>
      </c>
      <c r="O653" s="9">
        <f>IF(ISNA(MATCH(644,'Transfer Engine'!$C$2:$C$1960,0)),"",INDEX('Compliance Database'!$O$2:$O$1960,MATCH(644,'Transfer Engine'!$C$2:$C$1960,0)))</f>
        <v/>
      </c>
      <c r="P653" s="8">
        <f>IF(ISNA(MATCH(644,'Transfer Engine'!$C$2:$C$1960,0)),"",HYPERLINK("#Acts!A"&amp;INDEX('Compliance Database'!$P$2:$P$1960,MATCH(644,'Transfer Engine'!$C$2:$C$1960,0)),"Go to Act"))</f>
        <v/>
      </c>
    </row>
    <row r="654" ht="158" customHeight="1">
      <c r="A654" s="8">
        <f>IF(ISNA(MATCH(645,'Transfer Engine'!$C$2:$C$1960,0)),"",INDEX('Compliance Database'!$A$2:$A$1960,MATCH(645,'Transfer Engine'!$C$2:$C$1960,0)))</f>
        <v/>
      </c>
      <c r="B654" s="8">
        <f>IF(ISNA(MATCH(645,'Transfer Engine'!$C$2:$C$1960,0)),"",INDEX('Compliance Database'!$B$2:$B$1960,MATCH(645,'Transfer Engine'!$C$2:$C$1960,0)))</f>
        <v/>
      </c>
      <c r="C654" s="8">
        <f>IF(ISNA(MATCH(645,'Transfer Engine'!$C$2:$C$1960,0)),"",INDEX('Compliance Database'!$C$2:$C$1960,MATCH(645,'Transfer Engine'!$C$2:$C$1960,0)))</f>
        <v/>
      </c>
      <c r="D654" s="9">
        <f>IF(ISNA(MATCH(645,'Transfer Engine'!$C$2:$C$1960,0)),"",INDEX('Compliance Database'!$D$2:$D$1960,MATCH(645,'Transfer Engine'!$C$2:$C$1960,0)))</f>
        <v/>
      </c>
      <c r="E654" s="8">
        <f>IF(ISNA(MATCH(645,'Transfer Engine'!$C$2:$C$1960,0)),"",INDEX('Compliance Database'!$E$2:$E$1960,MATCH(645,'Transfer Engine'!$C$2:$C$1960,0)))</f>
        <v/>
      </c>
      <c r="F654" s="8">
        <f>IF(ISNA(MATCH(645,'Transfer Engine'!$C$2:$C$1960,0)),"",INDEX('Compliance Database'!$F$2:$F$1960,MATCH(645,'Transfer Engine'!$C$2:$C$1960,0)))</f>
        <v/>
      </c>
      <c r="G654" s="8">
        <f>IF(ISNA(MATCH(645,'Transfer Engine'!$C$2:$C$1960,0)),"",INDEX('Compliance Database'!$G$2:$G$1960,MATCH(645,'Transfer Engine'!$C$2:$C$1960,0)))</f>
        <v/>
      </c>
      <c r="H654" s="9">
        <f>IF(ISNA(MATCH(645,'Transfer Engine'!$C$2:$C$1960,0)),"",INDEX('Compliance Database'!$H$2:$H$1960,MATCH(645,'Transfer Engine'!$C$2:$C$1960,0)))</f>
        <v/>
      </c>
      <c r="I654" s="9">
        <f>IF(ISNA(MATCH(645,'Transfer Engine'!$C$2:$C$1960,0)),"",INDEX('Compliance Database'!$I$2:$I$1960,MATCH(645,'Transfer Engine'!$C$2:$C$1960,0)))</f>
        <v/>
      </c>
      <c r="J654" s="8">
        <f>IF(ISNA(MATCH(645,'Transfer Engine'!$C$2:$C$1960,0)),"",INDEX('Compliance Database'!$J$2:$J$1960,MATCH(645,'Transfer Engine'!$C$2:$C$1960,0)))</f>
        <v/>
      </c>
      <c r="K654" s="9">
        <f>IF(ISNA(MATCH(645,'Transfer Engine'!$C$2:$C$1960,0)),"",INDEX('Compliance Database'!$K$2:$K$1960,MATCH(645,'Transfer Engine'!$C$2:$C$1960,0)))</f>
        <v/>
      </c>
      <c r="L654" s="9">
        <f>IF(ISNA(MATCH(645,'Transfer Engine'!$C$2:$C$1960,0)),"",INDEX('Compliance Database'!$L$2:$L$1960,MATCH(645,'Transfer Engine'!$C$2:$C$1960,0)))</f>
        <v/>
      </c>
      <c r="M654" s="9">
        <f>IF(ISNA(MATCH(645,'Transfer Engine'!$C$2:$C$1960,0)),"",INDEX('Compliance Database'!$M$2:$M$1960,MATCH(645,'Transfer Engine'!$C$2:$C$1960,0)))</f>
        <v/>
      </c>
      <c r="N654" s="9">
        <f>IF(ISNA(MATCH(645,'Transfer Engine'!$C$2:$C$1960,0)),"",INDEX('Compliance Database'!$N$2:$N$1960,MATCH(645,'Transfer Engine'!$C$2:$C$1960,0)))</f>
        <v/>
      </c>
      <c r="O654" s="9">
        <f>IF(ISNA(MATCH(645,'Transfer Engine'!$C$2:$C$1960,0)),"",INDEX('Compliance Database'!$O$2:$O$1960,MATCH(645,'Transfer Engine'!$C$2:$C$1960,0)))</f>
        <v/>
      </c>
      <c r="P654" s="8">
        <f>IF(ISNA(MATCH(645,'Transfer Engine'!$C$2:$C$1960,0)),"",HYPERLINK("#Acts!A"&amp;INDEX('Compliance Database'!$P$2:$P$1960,MATCH(645,'Transfer Engine'!$C$2:$C$1960,0)),"Go to Act"))</f>
        <v/>
      </c>
    </row>
    <row r="655" ht="158" customHeight="1">
      <c r="A655" s="8">
        <f>IF(ISNA(MATCH(646,'Transfer Engine'!$C$2:$C$1960,0)),"",INDEX('Compliance Database'!$A$2:$A$1960,MATCH(646,'Transfer Engine'!$C$2:$C$1960,0)))</f>
        <v/>
      </c>
      <c r="B655" s="8">
        <f>IF(ISNA(MATCH(646,'Transfer Engine'!$C$2:$C$1960,0)),"",INDEX('Compliance Database'!$B$2:$B$1960,MATCH(646,'Transfer Engine'!$C$2:$C$1960,0)))</f>
        <v/>
      </c>
      <c r="C655" s="8">
        <f>IF(ISNA(MATCH(646,'Transfer Engine'!$C$2:$C$1960,0)),"",INDEX('Compliance Database'!$C$2:$C$1960,MATCH(646,'Transfer Engine'!$C$2:$C$1960,0)))</f>
        <v/>
      </c>
      <c r="D655" s="9">
        <f>IF(ISNA(MATCH(646,'Transfer Engine'!$C$2:$C$1960,0)),"",INDEX('Compliance Database'!$D$2:$D$1960,MATCH(646,'Transfer Engine'!$C$2:$C$1960,0)))</f>
        <v/>
      </c>
      <c r="E655" s="8">
        <f>IF(ISNA(MATCH(646,'Transfer Engine'!$C$2:$C$1960,0)),"",INDEX('Compliance Database'!$E$2:$E$1960,MATCH(646,'Transfer Engine'!$C$2:$C$1960,0)))</f>
        <v/>
      </c>
      <c r="F655" s="8">
        <f>IF(ISNA(MATCH(646,'Transfer Engine'!$C$2:$C$1960,0)),"",INDEX('Compliance Database'!$F$2:$F$1960,MATCH(646,'Transfer Engine'!$C$2:$C$1960,0)))</f>
        <v/>
      </c>
      <c r="G655" s="8">
        <f>IF(ISNA(MATCH(646,'Transfer Engine'!$C$2:$C$1960,0)),"",INDEX('Compliance Database'!$G$2:$G$1960,MATCH(646,'Transfer Engine'!$C$2:$C$1960,0)))</f>
        <v/>
      </c>
      <c r="H655" s="9">
        <f>IF(ISNA(MATCH(646,'Transfer Engine'!$C$2:$C$1960,0)),"",INDEX('Compliance Database'!$H$2:$H$1960,MATCH(646,'Transfer Engine'!$C$2:$C$1960,0)))</f>
        <v/>
      </c>
      <c r="I655" s="9">
        <f>IF(ISNA(MATCH(646,'Transfer Engine'!$C$2:$C$1960,0)),"",INDEX('Compliance Database'!$I$2:$I$1960,MATCH(646,'Transfer Engine'!$C$2:$C$1960,0)))</f>
        <v/>
      </c>
      <c r="J655" s="8">
        <f>IF(ISNA(MATCH(646,'Transfer Engine'!$C$2:$C$1960,0)),"",INDEX('Compliance Database'!$J$2:$J$1960,MATCH(646,'Transfer Engine'!$C$2:$C$1960,0)))</f>
        <v/>
      </c>
      <c r="K655" s="9">
        <f>IF(ISNA(MATCH(646,'Transfer Engine'!$C$2:$C$1960,0)),"",INDEX('Compliance Database'!$K$2:$K$1960,MATCH(646,'Transfer Engine'!$C$2:$C$1960,0)))</f>
        <v/>
      </c>
      <c r="L655" s="9">
        <f>IF(ISNA(MATCH(646,'Transfer Engine'!$C$2:$C$1960,0)),"",INDEX('Compliance Database'!$L$2:$L$1960,MATCH(646,'Transfer Engine'!$C$2:$C$1960,0)))</f>
        <v/>
      </c>
      <c r="M655" s="9">
        <f>IF(ISNA(MATCH(646,'Transfer Engine'!$C$2:$C$1960,0)),"",INDEX('Compliance Database'!$M$2:$M$1960,MATCH(646,'Transfer Engine'!$C$2:$C$1960,0)))</f>
        <v/>
      </c>
      <c r="N655" s="9">
        <f>IF(ISNA(MATCH(646,'Transfer Engine'!$C$2:$C$1960,0)),"",INDEX('Compliance Database'!$N$2:$N$1960,MATCH(646,'Transfer Engine'!$C$2:$C$1960,0)))</f>
        <v/>
      </c>
      <c r="O655" s="9">
        <f>IF(ISNA(MATCH(646,'Transfer Engine'!$C$2:$C$1960,0)),"",INDEX('Compliance Database'!$O$2:$O$1960,MATCH(646,'Transfer Engine'!$C$2:$C$1960,0)))</f>
        <v/>
      </c>
      <c r="P655" s="8">
        <f>IF(ISNA(MATCH(646,'Transfer Engine'!$C$2:$C$1960,0)),"",HYPERLINK("#Acts!A"&amp;INDEX('Compliance Database'!$P$2:$P$1960,MATCH(646,'Transfer Engine'!$C$2:$C$1960,0)),"Go to Act"))</f>
        <v/>
      </c>
    </row>
    <row r="656" ht="158" customHeight="1">
      <c r="A656" s="8">
        <f>IF(ISNA(MATCH(647,'Transfer Engine'!$C$2:$C$1960,0)),"",INDEX('Compliance Database'!$A$2:$A$1960,MATCH(647,'Transfer Engine'!$C$2:$C$1960,0)))</f>
        <v/>
      </c>
      <c r="B656" s="8">
        <f>IF(ISNA(MATCH(647,'Transfer Engine'!$C$2:$C$1960,0)),"",INDEX('Compliance Database'!$B$2:$B$1960,MATCH(647,'Transfer Engine'!$C$2:$C$1960,0)))</f>
        <v/>
      </c>
      <c r="C656" s="8">
        <f>IF(ISNA(MATCH(647,'Transfer Engine'!$C$2:$C$1960,0)),"",INDEX('Compliance Database'!$C$2:$C$1960,MATCH(647,'Transfer Engine'!$C$2:$C$1960,0)))</f>
        <v/>
      </c>
      <c r="D656" s="9">
        <f>IF(ISNA(MATCH(647,'Transfer Engine'!$C$2:$C$1960,0)),"",INDEX('Compliance Database'!$D$2:$D$1960,MATCH(647,'Transfer Engine'!$C$2:$C$1960,0)))</f>
        <v/>
      </c>
      <c r="E656" s="8">
        <f>IF(ISNA(MATCH(647,'Transfer Engine'!$C$2:$C$1960,0)),"",INDEX('Compliance Database'!$E$2:$E$1960,MATCH(647,'Transfer Engine'!$C$2:$C$1960,0)))</f>
        <v/>
      </c>
      <c r="F656" s="8">
        <f>IF(ISNA(MATCH(647,'Transfer Engine'!$C$2:$C$1960,0)),"",INDEX('Compliance Database'!$F$2:$F$1960,MATCH(647,'Transfer Engine'!$C$2:$C$1960,0)))</f>
        <v/>
      </c>
      <c r="G656" s="8">
        <f>IF(ISNA(MATCH(647,'Transfer Engine'!$C$2:$C$1960,0)),"",INDEX('Compliance Database'!$G$2:$G$1960,MATCH(647,'Transfer Engine'!$C$2:$C$1960,0)))</f>
        <v/>
      </c>
      <c r="H656" s="9">
        <f>IF(ISNA(MATCH(647,'Transfer Engine'!$C$2:$C$1960,0)),"",INDEX('Compliance Database'!$H$2:$H$1960,MATCH(647,'Transfer Engine'!$C$2:$C$1960,0)))</f>
        <v/>
      </c>
      <c r="I656" s="9">
        <f>IF(ISNA(MATCH(647,'Transfer Engine'!$C$2:$C$1960,0)),"",INDEX('Compliance Database'!$I$2:$I$1960,MATCH(647,'Transfer Engine'!$C$2:$C$1960,0)))</f>
        <v/>
      </c>
      <c r="J656" s="8">
        <f>IF(ISNA(MATCH(647,'Transfer Engine'!$C$2:$C$1960,0)),"",INDEX('Compliance Database'!$J$2:$J$1960,MATCH(647,'Transfer Engine'!$C$2:$C$1960,0)))</f>
        <v/>
      </c>
      <c r="K656" s="9">
        <f>IF(ISNA(MATCH(647,'Transfer Engine'!$C$2:$C$1960,0)),"",INDEX('Compliance Database'!$K$2:$K$1960,MATCH(647,'Transfer Engine'!$C$2:$C$1960,0)))</f>
        <v/>
      </c>
      <c r="L656" s="9">
        <f>IF(ISNA(MATCH(647,'Transfer Engine'!$C$2:$C$1960,0)),"",INDEX('Compliance Database'!$L$2:$L$1960,MATCH(647,'Transfer Engine'!$C$2:$C$1960,0)))</f>
        <v/>
      </c>
      <c r="M656" s="9">
        <f>IF(ISNA(MATCH(647,'Transfer Engine'!$C$2:$C$1960,0)),"",INDEX('Compliance Database'!$M$2:$M$1960,MATCH(647,'Transfer Engine'!$C$2:$C$1960,0)))</f>
        <v/>
      </c>
      <c r="N656" s="9">
        <f>IF(ISNA(MATCH(647,'Transfer Engine'!$C$2:$C$1960,0)),"",INDEX('Compliance Database'!$N$2:$N$1960,MATCH(647,'Transfer Engine'!$C$2:$C$1960,0)))</f>
        <v/>
      </c>
      <c r="O656" s="9">
        <f>IF(ISNA(MATCH(647,'Transfer Engine'!$C$2:$C$1960,0)),"",INDEX('Compliance Database'!$O$2:$O$1960,MATCH(647,'Transfer Engine'!$C$2:$C$1960,0)))</f>
        <v/>
      </c>
      <c r="P656" s="8">
        <f>IF(ISNA(MATCH(647,'Transfer Engine'!$C$2:$C$1960,0)),"",HYPERLINK("#Acts!A"&amp;INDEX('Compliance Database'!$P$2:$P$1960,MATCH(647,'Transfer Engine'!$C$2:$C$1960,0)),"Go to Act"))</f>
        <v/>
      </c>
    </row>
    <row r="657" ht="158" customHeight="1">
      <c r="A657" s="8">
        <f>IF(ISNA(MATCH(648,'Transfer Engine'!$C$2:$C$1960,0)),"",INDEX('Compliance Database'!$A$2:$A$1960,MATCH(648,'Transfer Engine'!$C$2:$C$1960,0)))</f>
        <v/>
      </c>
      <c r="B657" s="8">
        <f>IF(ISNA(MATCH(648,'Transfer Engine'!$C$2:$C$1960,0)),"",INDEX('Compliance Database'!$B$2:$B$1960,MATCH(648,'Transfer Engine'!$C$2:$C$1960,0)))</f>
        <v/>
      </c>
      <c r="C657" s="8">
        <f>IF(ISNA(MATCH(648,'Transfer Engine'!$C$2:$C$1960,0)),"",INDEX('Compliance Database'!$C$2:$C$1960,MATCH(648,'Transfer Engine'!$C$2:$C$1960,0)))</f>
        <v/>
      </c>
      <c r="D657" s="9">
        <f>IF(ISNA(MATCH(648,'Transfer Engine'!$C$2:$C$1960,0)),"",INDEX('Compliance Database'!$D$2:$D$1960,MATCH(648,'Transfer Engine'!$C$2:$C$1960,0)))</f>
        <v/>
      </c>
      <c r="E657" s="8">
        <f>IF(ISNA(MATCH(648,'Transfer Engine'!$C$2:$C$1960,0)),"",INDEX('Compliance Database'!$E$2:$E$1960,MATCH(648,'Transfer Engine'!$C$2:$C$1960,0)))</f>
        <v/>
      </c>
      <c r="F657" s="8">
        <f>IF(ISNA(MATCH(648,'Transfer Engine'!$C$2:$C$1960,0)),"",INDEX('Compliance Database'!$F$2:$F$1960,MATCH(648,'Transfer Engine'!$C$2:$C$1960,0)))</f>
        <v/>
      </c>
      <c r="G657" s="8">
        <f>IF(ISNA(MATCH(648,'Transfer Engine'!$C$2:$C$1960,0)),"",INDEX('Compliance Database'!$G$2:$G$1960,MATCH(648,'Transfer Engine'!$C$2:$C$1960,0)))</f>
        <v/>
      </c>
      <c r="H657" s="9">
        <f>IF(ISNA(MATCH(648,'Transfer Engine'!$C$2:$C$1960,0)),"",INDEX('Compliance Database'!$H$2:$H$1960,MATCH(648,'Transfer Engine'!$C$2:$C$1960,0)))</f>
        <v/>
      </c>
      <c r="I657" s="9">
        <f>IF(ISNA(MATCH(648,'Transfer Engine'!$C$2:$C$1960,0)),"",INDEX('Compliance Database'!$I$2:$I$1960,MATCH(648,'Transfer Engine'!$C$2:$C$1960,0)))</f>
        <v/>
      </c>
      <c r="J657" s="8">
        <f>IF(ISNA(MATCH(648,'Transfer Engine'!$C$2:$C$1960,0)),"",INDEX('Compliance Database'!$J$2:$J$1960,MATCH(648,'Transfer Engine'!$C$2:$C$1960,0)))</f>
        <v/>
      </c>
      <c r="K657" s="9">
        <f>IF(ISNA(MATCH(648,'Transfer Engine'!$C$2:$C$1960,0)),"",INDEX('Compliance Database'!$K$2:$K$1960,MATCH(648,'Transfer Engine'!$C$2:$C$1960,0)))</f>
        <v/>
      </c>
      <c r="L657" s="9">
        <f>IF(ISNA(MATCH(648,'Transfer Engine'!$C$2:$C$1960,0)),"",INDEX('Compliance Database'!$L$2:$L$1960,MATCH(648,'Transfer Engine'!$C$2:$C$1960,0)))</f>
        <v/>
      </c>
      <c r="M657" s="9">
        <f>IF(ISNA(MATCH(648,'Transfer Engine'!$C$2:$C$1960,0)),"",INDEX('Compliance Database'!$M$2:$M$1960,MATCH(648,'Transfer Engine'!$C$2:$C$1960,0)))</f>
        <v/>
      </c>
      <c r="N657" s="9">
        <f>IF(ISNA(MATCH(648,'Transfer Engine'!$C$2:$C$1960,0)),"",INDEX('Compliance Database'!$N$2:$N$1960,MATCH(648,'Transfer Engine'!$C$2:$C$1960,0)))</f>
        <v/>
      </c>
      <c r="O657" s="9">
        <f>IF(ISNA(MATCH(648,'Transfer Engine'!$C$2:$C$1960,0)),"",INDEX('Compliance Database'!$O$2:$O$1960,MATCH(648,'Transfer Engine'!$C$2:$C$1960,0)))</f>
        <v/>
      </c>
      <c r="P657" s="8">
        <f>IF(ISNA(MATCH(648,'Transfer Engine'!$C$2:$C$1960,0)),"",HYPERLINK("#Acts!A"&amp;INDEX('Compliance Database'!$P$2:$P$1960,MATCH(648,'Transfer Engine'!$C$2:$C$1960,0)),"Go to Act"))</f>
        <v/>
      </c>
    </row>
    <row r="658" ht="158" customHeight="1">
      <c r="A658" s="8">
        <f>IF(ISNA(MATCH(649,'Transfer Engine'!$C$2:$C$1960,0)),"",INDEX('Compliance Database'!$A$2:$A$1960,MATCH(649,'Transfer Engine'!$C$2:$C$1960,0)))</f>
        <v/>
      </c>
      <c r="B658" s="8">
        <f>IF(ISNA(MATCH(649,'Transfer Engine'!$C$2:$C$1960,0)),"",INDEX('Compliance Database'!$B$2:$B$1960,MATCH(649,'Transfer Engine'!$C$2:$C$1960,0)))</f>
        <v/>
      </c>
      <c r="C658" s="8">
        <f>IF(ISNA(MATCH(649,'Transfer Engine'!$C$2:$C$1960,0)),"",INDEX('Compliance Database'!$C$2:$C$1960,MATCH(649,'Transfer Engine'!$C$2:$C$1960,0)))</f>
        <v/>
      </c>
      <c r="D658" s="9">
        <f>IF(ISNA(MATCH(649,'Transfer Engine'!$C$2:$C$1960,0)),"",INDEX('Compliance Database'!$D$2:$D$1960,MATCH(649,'Transfer Engine'!$C$2:$C$1960,0)))</f>
        <v/>
      </c>
      <c r="E658" s="8">
        <f>IF(ISNA(MATCH(649,'Transfer Engine'!$C$2:$C$1960,0)),"",INDEX('Compliance Database'!$E$2:$E$1960,MATCH(649,'Transfer Engine'!$C$2:$C$1960,0)))</f>
        <v/>
      </c>
      <c r="F658" s="8">
        <f>IF(ISNA(MATCH(649,'Transfer Engine'!$C$2:$C$1960,0)),"",INDEX('Compliance Database'!$F$2:$F$1960,MATCH(649,'Transfer Engine'!$C$2:$C$1960,0)))</f>
        <v/>
      </c>
      <c r="G658" s="8">
        <f>IF(ISNA(MATCH(649,'Transfer Engine'!$C$2:$C$1960,0)),"",INDEX('Compliance Database'!$G$2:$G$1960,MATCH(649,'Transfer Engine'!$C$2:$C$1960,0)))</f>
        <v/>
      </c>
      <c r="H658" s="9">
        <f>IF(ISNA(MATCH(649,'Transfer Engine'!$C$2:$C$1960,0)),"",INDEX('Compliance Database'!$H$2:$H$1960,MATCH(649,'Transfer Engine'!$C$2:$C$1960,0)))</f>
        <v/>
      </c>
      <c r="I658" s="9">
        <f>IF(ISNA(MATCH(649,'Transfer Engine'!$C$2:$C$1960,0)),"",INDEX('Compliance Database'!$I$2:$I$1960,MATCH(649,'Transfer Engine'!$C$2:$C$1960,0)))</f>
        <v/>
      </c>
      <c r="J658" s="8">
        <f>IF(ISNA(MATCH(649,'Transfer Engine'!$C$2:$C$1960,0)),"",INDEX('Compliance Database'!$J$2:$J$1960,MATCH(649,'Transfer Engine'!$C$2:$C$1960,0)))</f>
        <v/>
      </c>
      <c r="K658" s="9">
        <f>IF(ISNA(MATCH(649,'Transfer Engine'!$C$2:$C$1960,0)),"",INDEX('Compliance Database'!$K$2:$K$1960,MATCH(649,'Transfer Engine'!$C$2:$C$1960,0)))</f>
        <v/>
      </c>
      <c r="L658" s="9">
        <f>IF(ISNA(MATCH(649,'Transfer Engine'!$C$2:$C$1960,0)),"",INDEX('Compliance Database'!$L$2:$L$1960,MATCH(649,'Transfer Engine'!$C$2:$C$1960,0)))</f>
        <v/>
      </c>
      <c r="M658" s="9">
        <f>IF(ISNA(MATCH(649,'Transfer Engine'!$C$2:$C$1960,0)),"",INDEX('Compliance Database'!$M$2:$M$1960,MATCH(649,'Transfer Engine'!$C$2:$C$1960,0)))</f>
        <v/>
      </c>
      <c r="N658" s="9">
        <f>IF(ISNA(MATCH(649,'Transfer Engine'!$C$2:$C$1960,0)),"",INDEX('Compliance Database'!$N$2:$N$1960,MATCH(649,'Transfer Engine'!$C$2:$C$1960,0)))</f>
        <v/>
      </c>
      <c r="O658" s="9">
        <f>IF(ISNA(MATCH(649,'Transfer Engine'!$C$2:$C$1960,0)),"",INDEX('Compliance Database'!$O$2:$O$1960,MATCH(649,'Transfer Engine'!$C$2:$C$1960,0)))</f>
        <v/>
      </c>
      <c r="P658" s="8">
        <f>IF(ISNA(MATCH(649,'Transfer Engine'!$C$2:$C$1960,0)),"",HYPERLINK("#Acts!A"&amp;INDEX('Compliance Database'!$P$2:$P$1960,MATCH(649,'Transfer Engine'!$C$2:$C$1960,0)),"Go to Act"))</f>
        <v/>
      </c>
    </row>
    <row r="659" ht="158" customHeight="1">
      <c r="A659" s="8">
        <f>IF(ISNA(MATCH(650,'Transfer Engine'!$C$2:$C$1960,0)),"",INDEX('Compliance Database'!$A$2:$A$1960,MATCH(650,'Transfer Engine'!$C$2:$C$1960,0)))</f>
        <v/>
      </c>
      <c r="B659" s="8">
        <f>IF(ISNA(MATCH(650,'Transfer Engine'!$C$2:$C$1960,0)),"",INDEX('Compliance Database'!$B$2:$B$1960,MATCH(650,'Transfer Engine'!$C$2:$C$1960,0)))</f>
        <v/>
      </c>
      <c r="C659" s="8">
        <f>IF(ISNA(MATCH(650,'Transfer Engine'!$C$2:$C$1960,0)),"",INDEX('Compliance Database'!$C$2:$C$1960,MATCH(650,'Transfer Engine'!$C$2:$C$1960,0)))</f>
        <v/>
      </c>
      <c r="D659" s="9">
        <f>IF(ISNA(MATCH(650,'Transfer Engine'!$C$2:$C$1960,0)),"",INDEX('Compliance Database'!$D$2:$D$1960,MATCH(650,'Transfer Engine'!$C$2:$C$1960,0)))</f>
        <v/>
      </c>
      <c r="E659" s="8">
        <f>IF(ISNA(MATCH(650,'Transfer Engine'!$C$2:$C$1960,0)),"",INDEX('Compliance Database'!$E$2:$E$1960,MATCH(650,'Transfer Engine'!$C$2:$C$1960,0)))</f>
        <v/>
      </c>
      <c r="F659" s="8">
        <f>IF(ISNA(MATCH(650,'Transfer Engine'!$C$2:$C$1960,0)),"",INDEX('Compliance Database'!$F$2:$F$1960,MATCH(650,'Transfer Engine'!$C$2:$C$1960,0)))</f>
        <v/>
      </c>
      <c r="G659" s="8">
        <f>IF(ISNA(MATCH(650,'Transfer Engine'!$C$2:$C$1960,0)),"",INDEX('Compliance Database'!$G$2:$G$1960,MATCH(650,'Transfer Engine'!$C$2:$C$1960,0)))</f>
        <v/>
      </c>
      <c r="H659" s="9">
        <f>IF(ISNA(MATCH(650,'Transfer Engine'!$C$2:$C$1960,0)),"",INDEX('Compliance Database'!$H$2:$H$1960,MATCH(650,'Transfer Engine'!$C$2:$C$1960,0)))</f>
        <v/>
      </c>
      <c r="I659" s="9">
        <f>IF(ISNA(MATCH(650,'Transfer Engine'!$C$2:$C$1960,0)),"",INDEX('Compliance Database'!$I$2:$I$1960,MATCH(650,'Transfer Engine'!$C$2:$C$1960,0)))</f>
        <v/>
      </c>
      <c r="J659" s="8">
        <f>IF(ISNA(MATCH(650,'Transfer Engine'!$C$2:$C$1960,0)),"",INDEX('Compliance Database'!$J$2:$J$1960,MATCH(650,'Transfer Engine'!$C$2:$C$1960,0)))</f>
        <v/>
      </c>
      <c r="K659" s="9">
        <f>IF(ISNA(MATCH(650,'Transfer Engine'!$C$2:$C$1960,0)),"",INDEX('Compliance Database'!$K$2:$K$1960,MATCH(650,'Transfer Engine'!$C$2:$C$1960,0)))</f>
        <v/>
      </c>
      <c r="L659" s="9">
        <f>IF(ISNA(MATCH(650,'Transfer Engine'!$C$2:$C$1960,0)),"",INDEX('Compliance Database'!$L$2:$L$1960,MATCH(650,'Transfer Engine'!$C$2:$C$1960,0)))</f>
        <v/>
      </c>
      <c r="M659" s="9">
        <f>IF(ISNA(MATCH(650,'Transfer Engine'!$C$2:$C$1960,0)),"",INDEX('Compliance Database'!$M$2:$M$1960,MATCH(650,'Transfer Engine'!$C$2:$C$1960,0)))</f>
        <v/>
      </c>
      <c r="N659" s="9">
        <f>IF(ISNA(MATCH(650,'Transfer Engine'!$C$2:$C$1960,0)),"",INDEX('Compliance Database'!$N$2:$N$1960,MATCH(650,'Transfer Engine'!$C$2:$C$1960,0)))</f>
        <v/>
      </c>
      <c r="O659" s="9">
        <f>IF(ISNA(MATCH(650,'Transfer Engine'!$C$2:$C$1960,0)),"",INDEX('Compliance Database'!$O$2:$O$1960,MATCH(650,'Transfer Engine'!$C$2:$C$1960,0)))</f>
        <v/>
      </c>
      <c r="P659" s="8">
        <f>IF(ISNA(MATCH(650,'Transfer Engine'!$C$2:$C$1960,0)),"",HYPERLINK("#Acts!A"&amp;INDEX('Compliance Database'!$P$2:$P$1960,MATCH(650,'Transfer Engine'!$C$2:$C$1960,0)),"Go to Act"))</f>
        <v/>
      </c>
    </row>
    <row r="660" ht="158" customHeight="1">
      <c r="A660" s="8">
        <f>IF(ISNA(MATCH(651,'Transfer Engine'!$C$2:$C$1960,0)),"",INDEX('Compliance Database'!$A$2:$A$1960,MATCH(651,'Transfer Engine'!$C$2:$C$1960,0)))</f>
        <v/>
      </c>
      <c r="B660" s="8">
        <f>IF(ISNA(MATCH(651,'Transfer Engine'!$C$2:$C$1960,0)),"",INDEX('Compliance Database'!$B$2:$B$1960,MATCH(651,'Transfer Engine'!$C$2:$C$1960,0)))</f>
        <v/>
      </c>
      <c r="C660" s="8">
        <f>IF(ISNA(MATCH(651,'Transfer Engine'!$C$2:$C$1960,0)),"",INDEX('Compliance Database'!$C$2:$C$1960,MATCH(651,'Transfer Engine'!$C$2:$C$1960,0)))</f>
        <v/>
      </c>
      <c r="D660" s="9">
        <f>IF(ISNA(MATCH(651,'Transfer Engine'!$C$2:$C$1960,0)),"",INDEX('Compliance Database'!$D$2:$D$1960,MATCH(651,'Transfer Engine'!$C$2:$C$1960,0)))</f>
        <v/>
      </c>
      <c r="E660" s="8">
        <f>IF(ISNA(MATCH(651,'Transfer Engine'!$C$2:$C$1960,0)),"",INDEX('Compliance Database'!$E$2:$E$1960,MATCH(651,'Transfer Engine'!$C$2:$C$1960,0)))</f>
        <v/>
      </c>
      <c r="F660" s="8">
        <f>IF(ISNA(MATCH(651,'Transfer Engine'!$C$2:$C$1960,0)),"",INDEX('Compliance Database'!$F$2:$F$1960,MATCH(651,'Transfer Engine'!$C$2:$C$1960,0)))</f>
        <v/>
      </c>
      <c r="G660" s="8">
        <f>IF(ISNA(MATCH(651,'Transfer Engine'!$C$2:$C$1960,0)),"",INDEX('Compliance Database'!$G$2:$G$1960,MATCH(651,'Transfer Engine'!$C$2:$C$1960,0)))</f>
        <v/>
      </c>
      <c r="H660" s="9">
        <f>IF(ISNA(MATCH(651,'Transfer Engine'!$C$2:$C$1960,0)),"",INDEX('Compliance Database'!$H$2:$H$1960,MATCH(651,'Transfer Engine'!$C$2:$C$1960,0)))</f>
        <v/>
      </c>
      <c r="I660" s="9">
        <f>IF(ISNA(MATCH(651,'Transfer Engine'!$C$2:$C$1960,0)),"",INDEX('Compliance Database'!$I$2:$I$1960,MATCH(651,'Transfer Engine'!$C$2:$C$1960,0)))</f>
        <v/>
      </c>
      <c r="J660" s="8">
        <f>IF(ISNA(MATCH(651,'Transfer Engine'!$C$2:$C$1960,0)),"",INDEX('Compliance Database'!$J$2:$J$1960,MATCH(651,'Transfer Engine'!$C$2:$C$1960,0)))</f>
        <v/>
      </c>
      <c r="K660" s="9">
        <f>IF(ISNA(MATCH(651,'Transfer Engine'!$C$2:$C$1960,0)),"",INDEX('Compliance Database'!$K$2:$K$1960,MATCH(651,'Transfer Engine'!$C$2:$C$1960,0)))</f>
        <v/>
      </c>
      <c r="L660" s="9">
        <f>IF(ISNA(MATCH(651,'Transfer Engine'!$C$2:$C$1960,0)),"",INDEX('Compliance Database'!$L$2:$L$1960,MATCH(651,'Transfer Engine'!$C$2:$C$1960,0)))</f>
        <v/>
      </c>
      <c r="M660" s="9">
        <f>IF(ISNA(MATCH(651,'Transfer Engine'!$C$2:$C$1960,0)),"",INDEX('Compliance Database'!$M$2:$M$1960,MATCH(651,'Transfer Engine'!$C$2:$C$1960,0)))</f>
        <v/>
      </c>
      <c r="N660" s="9">
        <f>IF(ISNA(MATCH(651,'Transfer Engine'!$C$2:$C$1960,0)),"",INDEX('Compliance Database'!$N$2:$N$1960,MATCH(651,'Transfer Engine'!$C$2:$C$1960,0)))</f>
        <v/>
      </c>
      <c r="O660" s="9">
        <f>IF(ISNA(MATCH(651,'Transfer Engine'!$C$2:$C$1960,0)),"",INDEX('Compliance Database'!$O$2:$O$1960,MATCH(651,'Transfer Engine'!$C$2:$C$1960,0)))</f>
        <v/>
      </c>
      <c r="P660" s="8">
        <f>IF(ISNA(MATCH(651,'Transfer Engine'!$C$2:$C$1960,0)),"",HYPERLINK("#Acts!A"&amp;INDEX('Compliance Database'!$P$2:$P$1960,MATCH(651,'Transfer Engine'!$C$2:$C$1960,0)),"Go to Act"))</f>
        <v/>
      </c>
    </row>
    <row r="661" ht="158" customHeight="1">
      <c r="A661" s="8">
        <f>IF(ISNA(MATCH(652,'Transfer Engine'!$C$2:$C$1960,0)),"",INDEX('Compliance Database'!$A$2:$A$1960,MATCH(652,'Transfer Engine'!$C$2:$C$1960,0)))</f>
        <v/>
      </c>
      <c r="B661" s="8">
        <f>IF(ISNA(MATCH(652,'Transfer Engine'!$C$2:$C$1960,0)),"",INDEX('Compliance Database'!$B$2:$B$1960,MATCH(652,'Transfer Engine'!$C$2:$C$1960,0)))</f>
        <v/>
      </c>
      <c r="C661" s="8">
        <f>IF(ISNA(MATCH(652,'Transfer Engine'!$C$2:$C$1960,0)),"",INDEX('Compliance Database'!$C$2:$C$1960,MATCH(652,'Transfer Engine'!$C$2:$C$1960,0)))</f>
        <v/>
      </c>
      <c r="D661" s="9">
        <f>IF(ISNA(MATCH(652,'Transfer Engine'!$C$2:$C$1960,0)),"",INDEX('Compliance Database'!$D$2:$D$1960,MATCH(652,'Transfer Engine'!$C$2:$C$1960,0)))</f>
        <v/>
      </c>
      <c r="E661" s="8">
        <f>IF(ISNA(MATCH(652,'Transfer Engine'!$C$2:$C$1960,0)),"",INDEX('Compliance Database'!$E$2:$E$1960,MATCH(652,'Transfer Engine'!$C$2:$C$1960,0)))</f>
        <v/>
      </c>
      <c r="F661" s="8">
        <f>IF(ISNA(MATCH(652,'Transfer Engine'!$C$2:$C$1960,0)),"",INDEX('Compliance Database'!$F$2:$F$1960,MATCH(652,'Transfer Engine'!$C$2:$C$1960,0)))</f>
        <v/>
      </c>
      <c r="G661" s="8">
        <f>IF(ISNA(MATCH(652,'Transfer Engine'!$C$2:$C$1960,0)),"",INDEX('Compliance Database'!$G$2:$G$1960,MATCH(652,'Transfer Engine'!$C$2:$C$1960,0)))</f>
        <v/>
      </c>
      <c r="H661" s="9">
        <f>IF(ISNA(MATCH(652,'Transfer Engine'!$C$2:$C$1960,0)),"",INDEX('Compliance Database'!$H$2:$H$1960,MATCH(652,'Transfer Engine'!$C$2:$C$1960,0)))</f>
        <v/>
      </c>
      <c r="I661" s="9">
        <f>IF(ISNA(MATCH(652,'Transfer Engine'!$C$2:$C$1960,0)),"",INDEX('Compliance Database'!$I$2:$I$1960,MATCH(652,'Transfer Engine'!$C$2:$C$1960,0)))</f>
        <v/>
      </c>
      <c r="J661" s="8">
        <f>IF(ISNA(MATCH(652,'Transfer Engine'!$C$2:$C$1960,0)),"",INDEX('Compliance Database'!$J$2:$J$1960,MATCH(652,'Transfer Engine'!$C$2:$C$1960,0)))</f>
        <v/>
      </c>
      <c r="K661" s="9">
        <f>IF(ISNA(MATCH(652,'Transfer Engine'!$C$2:$C$1960,0)),"",INDEX('Compliance Database'!$K$2:$K$1960,MATCH(652,'Transfer Engine'!$C$2:$C$1960,0)))</f>
        <v/>
      </c>
      <c r="L661" s="9">
        <f>IF(ISNA(MATCH(652,'Transfer Engine'!$C$2:$C$1960,0)),"",INDEX('Compliance Database'!$L$2:$L$1960,MATCH(652,'Transfer Engine'!$C$2:$C$1960,0)))</f>
        <v/>
      </c>
      <c r="M661" s="9">
        <f>IF(ISNA(MATCH(652,'Transfer Engine'!$C$2:$C$1960,0)),"",INDEX('Compliance Database'!$M$2:$M$1960,MATCH(652,'Transfer Engine'!$C$2:$C$1960,0)))</f>
        <v/>
      </c>
      <c r="N661" s="9">
        <f>IF(ISNA(MATCH(652,'Transfer Engine'!$C$2:$C$1960,0)),"",INDEX('Compliance Database'!$N$2:$N$1960,MATCH(652,'Transfer Engine'!$C$2:$C$1960,0)))</f>
        <v/>
      </c>
      <c r="O661" s="9">
        <f>IF(ISNA(MATCH(652,'Transfer Engine'!$C$2:$C$1960,0)),"",INDEX('Compliance Database'!$O$2:$O$1960,MATCH(652,'Transfer Engine'!$C$2:$C$1960,0)))</f>
        <v/>
      </c>
      <c r="P661" s="8">
        <f>IF(ISNA(MATCH(652,'Transfer Engine'!$C$2:$C$1960,0)),"",HYPERLINK("#Acts!A"&amp;INDEX('Compliance Database'!$P$2:$P$1960,MATCH(652,'Transfer Engine'!$C$2:$C$1960,0)),"Go to Act"))</f>
        <v/>
      </c>
    </row>
    <row r="662" ht="158" customHeight="1">
      <c r="A662" s="8">
        <f>IF(ISNA(MATCH(653,'Transfer Engine'!$C$2:$C$1960,0)),"",INDEX('Compliance Database'!$A$2:$A$1960,MATCH(653,'Transfer Engine'!$C$2:$C$1960,0)))</f>
        <v/>
      </c>
      <c r="B662" s="8">
        <f>IF(ISNA(MATCH(653,'Transfer Engine'!$C$2:$C$1960,0)),"",INDEX('Compliance Database'!$B$2:$B$1960,MATCH(653,'Transfer Engine'!$C$2:$C$1960,0)))</f>
        <v/>
      </c>
      <c r="C662" s="8">
        <f>IF(ISNA(MATCH(653,'Transfer Engine'!$C$2:$C$1960,0)),"",INDEX('Compliance Database'!$C$2:$C$1960,MATCH(653,'Transfer Engine'!$C$2:$C$1960,0)))</f>
        <v/>
      </c>
      <c r="D662" s="9">
        <f>IF(ISNA(MATCH(653,'Transfer Engine'!$C$2:$C$1960,0)),"",INDEX('Compliance Database'!$D$2:$D$1960,MATCH(653,'Transfer Engine'!$C$2:$C$1960,0)))</f>
        <v/>
      </c>
      <c r="E662" s="8">
        <f>IF(ISNA(MATCH(653,'Transfer Engine'!$C$2:$C$1960,0)),"",INDEX('Compliance Database'!$E$2:$E$1960,MATCH(653,'Transfer Engine'!$C$2:$C$1960,0)))</f>
        <v/>
      </c>
      <c r="F662" s="8">
        <f>IF(ISNA(MATCH(653,'Transfer Engine'!$C$2:$C$1960,0)),"",INDEX('Compliance Database'!$F$2:$F$1960,MATCH(653,'Transfer Engine'!$C$2:$C$1960,0)))</f>
        <v/>
      </c>
      <c r="G662" s="8">
        <f>IF(ISNA(MATCH(653,'Transfer Engine'!$C$2:$C$1960,0)),"",INDEX('Compliance Database'!$G$2:$G$1960,MATCH(653,'Transfer Engine'!$C$2:$C$1960,0)))</f>
        <v/>
      </c>
      <c r="H662" s="9">
        <f>IF(ISNA(MATCH(653,'Transfer Engine'!$C$2:$C$1960,0)),"",INDEX('Compliance Database'!$H$2:$H$1960,MATCH(653,'Transfer Engine'!$C$2:$C$1960,0)))</f>
        <v/>
      </c>
      <c r="I662" s="9">
        <f>IF(ISNA(MATCH(653,'Transfer Engine'!$C$2:$C$1960,0)),"",INDEX('Compliance Database'!$I$2:$I$1960,MATCH(653,'Transfer Engine'!$C$2:$C$1960,0)))</f>
        <v/>
      </c>
      <c r="J662" s="8">
        <f>IF(ISNA(MATCH(653,'Transfer Engine'!$C$2:$C$1960,0)),"",INDEX('Compliance Database'!$J$2:$J$1960,MATCH(653,'Transfer Engine'!$C$2:$C$1960,0)))</f>
        <v/>
      </c>
      <c r="K662" s="9">
        <f>IF(ISNA(MATCH(653,'Transfer Engine'!$C$2:$C$1960,0)),"",INDEX('Compliance Database'!$K$2:$K$1960,MATCH(653,'Transfer Engine'!$C$2:$C$1960,0)))</f>
        <v/>
      </c>
      <c r="L662" s="9">
        <f>IF(ISNA(MATCH(653,'Transfer Engine'!$C$2:$C$1960,0)),"",INDEX('Compliance Database'!$L$2:$L$1960,MATCH(653,'Transfer Engine'!$C$2:$C$1960,0)))</f>
        <v/>
      </c>
      <c r="M662" s="9">
        <f>IF(ISNA(MATCH(653,'Transfer Engine'!$C$2:$C$1960,0)),"",INDEX('Compliance Database'!$M$2:$M$1960,MATCH(653,'Transfer Engine'!$C$2:$C$1960,0)))</f>
        <v/>
      </c>
      <c r="N662" s="9">
        <f>IF(ISNA(MATCH(653,'Transfer Engine'!$C$2:$C$1960,0)),"",INDEX('Compliance Database'!$N$2:$N$1960,MATCH(653,'Transfer Engine'!$C$2:$C$1960,0)))</f>
        <v/>
      </c>
      <c r="O662" s="9">
        <f>IF(ISNA(MATCH(653,'Transfer Engine'!$C$2:$C$1960,0)),"",INDEX('Compliance Database'!$O$2:$O$1960,MATCH(653,'Transfer Engine'!$C$2:$C$1960,0)))</f>
        <v/>
      </c>
      <c r="P662" s="8">
        <f>IF(ISNA(MATCH(653,'Transfer Engine'!$C$2:$C$1960,0)),"",HYPERLINK("#Acts!A"&amp;INDEX('Compliance Database'!$P$2:$P$1960,MATCH(653,'Transfer Engine'!$C$2:$C$1960,0)),"Go to Act"))</f>
        <v/>
      </c>
    </row>
    <row r="663" ht="158" customHeight="1">
      <c r="A663" s="8">
        <f>IF(ISNA(MATCH(654,'Transfer Engine'!$C$2:$C$1960,0)),"",INDEX('Compliance Database'!$A$2:$A$1960,MATCH(654,'Transfer Engine'!$C$2:$C$1960,0)))</f>
        <v/>
      </c>
      <c r="B663" s="8">
        <f>IF(ISNA(MATCH(654,'Transfer Engine'!$C$2:$C$1960,0)),"",INDEX('Compliance Database'!$B$2:$B$1960,MATCH(654,'Transfer Engine'!$C$2:$C$1960,0)))</f>
        <v/>
      </c>
      <c r="C663" s="8">
        <f>IF(ISNA(MATCH(654,'Transfer Engine'!$C$2:$C$1960,0)),"",INDEX('Compliance Database'!$C$2:$C$1960,MATCH(654,'Transfer Engine'!$C$2:$C$1960,0)))</f>
        <v/>
      </c>
      <c r="D663" s="9">
        <f>IF(ISNA(MATCH(654,'Transfer Engine'!$C$2:$C$1960,0)),"",INDEX('Compliance Database'!$D$2:$D$1960,MATCH(654,'Transfer Engine'!$C$2:$C$1960,0)))</f>
        <v/>
      </c>
      <c r="E663" s="8">
        <f>IF(ISNA(MATCH(654,'Transfer Engine'!$C$2:$C$1960,0)),"",INDEX('Compliance Database'!$E$2:$E$1960,MATCH(654,'Transfer Engine'!$C$2:$C$1960,0)))</f>
        <v/>
      </c>
      <c r="F663" s="8">
        <f>IF(ISNA(MATCH(654,'Transfer Engine'!$C$2:$C$1960,0)),"",INDEX('Compliance Database'!$F$2:$F$1960,MATCH(654,'Transfer Engine'!$C$2:$C$1960,0)))</f>
        <v/>
      </c>
      <c r="G663" s="8">
        <f>IF(ISNA(MATCH(654,'Transfer Engine'!$C$2:$C$1960,0)),"",INDEX('Compliance Database'!$G$2:$G$1960,MATCH(654,'Transfer Engine'!$C$2:$C$1960,0)))</f>
        <v/>
      </c>
      <c r="H663" s="9">
        <f>IF(ISNA(MATCH(654,'Transfer Engine'!$C$2:$C$1960,0)),"",INDEX('Compliance Database'!$H$2:$H$1960,MATCH(654,'Transfer Engine'!$C$2:$C$1960,0)))</f>
        <v/>
      </c>
      <c r="I663" s="9">
        <f>IF(ISNA(MATCH(654,'Transfer Engine'!$C$2:$C$1960,0)),"",INDEX('Compliance Database'!$I$2:$I$1960,MATCH(654,'Transfer Engine'!$C$2:$C$1960,0)))</f>
        <v/>
      </c>
      <c r="J663" s="8">
        <f>IF(ISNA(MATCH(654,'Transfer Engine'!$C$2:$C$1960,0)),"",INDEX('Compliance Database'!$J$2:$J$1960,MATCH(654,'Transfer Engine'!$C$2:$C$1960,0)))</f>
        <v/>
      </c>
      <c r="K663" s="9">
        <f>IF(ISNA(MATCH(654,'Transfer Engine'!$C$2:$C$1960,0)),"",INDEX('Compliance Database'!$K$2:$K$1960,MATCH(654,'Transfer Engine'!$C$2:$C$1960,0)))</f>
        <v/>
      </c>
      <c r="L663" s="9">
        <f>IF(ISNA(MATCH(654,'Transfer Engine'!$C$2:$C$1960,0)),"",INDEX('Compliance Database'!$L$2:$L$1960,MATCH(654,'Transfer Engine'!$C$2:$C$1960,0)))</f>
        <v/>
      </c>
      <c r="M663" s="9">
        <f>IF(ISNA(MATCH(654,'Transfer Engine'!$C$2:$C$1960,0)),"",INDEX('Compliance Database'!$M$2:$M$1960,MATCH(654,'Transfer Engine'!$C$2:$C$1960,0)))</f>
        <v/>
      </c>
      <c r="N663" s="9">
        <f>IF(ISNA(MATCH(654,'Transfer Engine'!$C$2:$C$1960,0)),"",INDEX('Compliance Database'!$N$2:$N$1960,MATCH(654,'Transfer Engine'!$C$2:$C$1960,0)))</f>
        <v/>
      </c>
      <c r="O663" s="9">
        <f>IF(ISNA(MATCH(654,'Transfer Engine'!$C$2:$C$1960,0)),"",INDEX('Compliance Database'!$O$2:$O$1960,MATCH(654,'Transfer Engine'!$C$2:$C$1960,0)))</f>
        <v/>
      </c>
      <c r="P663" s="8">
        <f>IF(ISNA(MATCH(654,'Transfer Engine'!$C$2:$C$1960,0)),"",HYPERLINK("#Acts!A"&amp;INDEX('Compliance Database'!$P$2:$P$1960,MATCH(654,'Transfer Engine'!$C$2:$C$1960,0)),"Go to Act"))</f>
        <v/>
      </c>
    </row>
    <row r="664" ht="158" customHeight="1">
      <c r="A664" s="8">
        <f>IF(ISNA(MATCH(655,'Transfer Engine'!$C$2:$C$1960,0)),"",INDEX('Compliance Database'!$A$2:$A$1960,MATCH(655,'Transfer Engine'!$C$2:$C$1960,0)))</f>
        <v/>
      </c>
      <c r="B664" s="8">
        <f>IF(ISNA(MATCH(655,'Transfer Engine'!$C$2:$C$1960,0)),"",INDEX('Compliance Database'!$B$2:$B$1960,MATCH(655,'Transfer Engine'!$C$2:$C$1960,0)))</f>
        <v/>
      </c>
      <c r="C664" s="8">
        <f>IF(ISNA(MATCH(655,'Transfer Engine'!$C$2:$C$1960,0)),"",INDEX('Compliance Database'!$C$2:$C$1960,MATCH(655,'Transfer Engine'!$C$2:$C$1960,0)))</f>
        <v/>
      </c>
      <c r="D664" s="9">
        <f>IF(ISNA(MATCH(655,'Transfer Engine'!$C$2:$C$1960,0)),"",INDEX('Compliance Database'!$D$2:$D$1960,MATCH(655,'Transfer Engine'!$C$2:$C$1960,0)))</f>
        <v/>
      </c>
      <c r="E664" s="8">
        <f>IF(ISNA(MATCH(655,'Transfer Engine'!$C$2:$C$1960,0)),"",INDEX('Compliance Database'!$E$2:$E$1960,MATCH(655,'Transfer Engine'!$C$2:$C$1960,0)))</f>
        <v/>
      </c>
      <c r="F664" s="8">
        <f>IF(ISNA(MATCH(655,'Transfer Engine'!$C$2:$C$1960,0)),"",INDEX('Compliance Database'!$F$2:$F$1960,MATCH(655,'Transfer Engine'!$C$2:$C$1960,0)))</f>
        <v/>
      </c>
      <c r="G664" s="8">
        <f>IF(ISNA(MATCH(655,'Transfer Engine'!$C$2:$C$1960,0)),"",INDEX('Compliance Database'!$G$2:$G$1960,MATCH(655,'Transfer Engine'!$C$2:$C$1960,0)))</f>
        <v/>
      </c>
      <c r="H664" s="9">
        <f>IF(ISNA(MATCH(655,'Transfer Engine'!$C$2:$C$1960,0)),"",INDEX('Compliance Database'!$H$2:$H$1960,MATCH(655,'Transfer Engine'!$C$2:$C$1960,0)))</f>
        <v/>
      </c>
      <c r="I664" s="9">
        <f>IF(ISNA(MATCH(655,'Transfer Engine'!$C$2:$C$1960,0)),"",INDEX('Compliance Database'!$I$2:$I$1960,MATCH(655,'Transfer Engine'!$C$2:$C$1960,0)))</f>
        <v/>
      </c>
      <c r="J664" s="8">
        <f>IF(ISNA(MATCH(655,'Transfer Engine'!$C$2:$C$1960,0)),"",INDEX('Compliance Database'!$J$2:$J$1960,MATCH(655,'Transfer Engine'!$C$2:$C$1960,0)))</f>
        <v/>
      </c>
      <c r="K664" s="9">
        <f>IF(ISNA(MATCH(655,'Transfer Engine'!$C$2:$C$1960,0)),"",INDEX('Compliance Database'!$K$2:$K$1960,MATCH(655,'Transfer Engine'!$C$2:$C$1960,0)))</f>
        <v/>
      </c>
      <c r="L664" s="9">
        <f>IF(ISNA(MATCH(655,'Transfer Engine'!$C$2:$C$1960,0)),"",INDEX('Compliance Database'!$L$2:$L$1960,MATCH(655,'Transfer Engine'!$C$2:$C$1960,0)))</f>
        <v/>
      </c>
      <c r="M664" s="9">
        <f>IF(ISNA(MATCH(655,'Transfer Engine'!$C$2:$C$1960,0)),"",INDEX('Compliance Database'!$M$2:$M$1960,MATCH(655,'Transfer Engine'!$C$2:$C$1960,0)))</f>
        <v/>
      </c>
      <c r="N664" s="9">
        <f>IF(ISNA(MATCH(655,'Transfer Engine'!$C$2:$C$1960,0)),"",INDEX('Compliance Database'!$N$2:$N$1960,MATCH(655,'Transfer Engine'!$C$2:$C$1960,0)))</f>
        <v/>
      </c>
      <c r="O664" s="9">
        <f>IF(ISNA(MATCH(655,'Transfer Engine'!$C$2:$C$1960,0)),"",INDEX('Compliance Database'!$O$2:$O$1960,MATCH(655,'Transfer Engine'!$C$2:$C$1960,0)))</f>
        <v/>
      </c>
      <c r="P664" s="8">
        <f>IF(ISNA(MATCH(655,'Transfer Engine'!$C$2:$C$1960,0)),"",HYPERLINK("#Acts!A"&amp;INDEX('Compliance Database'!$P$2:$P$1960,MATCH(655,'Transfer Engine'!$C$2:$C$1960,0)),"Go to Act"))</f>
        <v/>
      </c>
    </row>
    <row r="665" ht="158" customHeight="1">
      <c r="A665" s="8">
        <f>IF(ISNA(MATCH(656,'Transfer Engine'!$C$2:$C$1960,0)),"",INDEX('Compliance Database'!$A$2:$A$1960,MATCH(656,'Transfer Engine'!$C$2:$C$1960,0)))</f>
        <v/>
      </c>
      <c r="B665" s="8">
        <f>IF(ISNA(MATCH(656,'Transfer Engine'!$C$2:$C$1960,0)),"",INDEX('Compliance Database'!$B$2:$B$1960,MATCH(656,'Transfer Engine'!$C$2:$C$1960,0)))</f>
        <v/>
      </c>
      <c r="C665" s="8">
        <f>IF(ISNA(MATCH(656,'Transfer Engine'!$C$2:$C$1960,0)),"",INDEX('Compliance Database'!$C$2:$C$1960,MATCH(656,'Transfer Engine'!$C$2:$C$1960,0)))</f>
        <v/>
      </c>
      <c r="D665" s="9">
        <f>IF(ISNA(MATCH(656,'Transfer Engine'!$C$2:$C$1960,0)),"",INDEX('Compliance Database'!$D$2:$D$1960,MATCH(656,'Transfer Engine'!$C$2:$C$1960,0)))</f>
        <v/>
      </c>
      <c r="E665" s="8">
        <f>IF(ISNA(MATCH(656,'Transfer Engine'!$C$2:$C$1960,0)),"",INDEX('Compliance Database'!$E$2:$E$1960,MATCH(656,'Transfer Engine'!$C$2:$C$1960,0)))</f>
        <v/>
      </c>
      <c r="F665" s="8">
        <f>IF(ISNA(MATCH(656,'Transfer Engine'!$C$2:$C$1960,0)),"",INDEX('Compliance Database'!$F$2:$F$1960,MATCH(656,'Transfer Engine'!$C$2:$C$1960,0)))</f>
        <v/>
      </c>
      <c r="G665" s="8">
        <f>IF(ISNA(MATCH(656,'Transfer Engine'!$C$2:$C$1960,0)),"",INDEX('Compliance Database'!$G$2:$G$1960,MATCH(656,'Transfer Engine'!$C$2:$C$1960,0)))</f>
        <v/>
      </c>
      <c r="H665" s="9">
        <f>IF(ISNA(MATCH(656,'Transfer Engine'!$C$2:$C$1960,0)),"",INDEX('Compliance Database'!$H$2:$H$1960,MATCH(656,'Transfer Engine'!$C$2:$C$1960,0)))</f>
        <v/>
      </c>
      <c r="I665" s="9">
        <f>IF(ISNA(MATCH(656,'Transfer Engine'!$C$2:$C$1960,0)),"",INDEX('Compliance Database'!$I$2:$I$1960,MATCH(656,'Transfer Engine'!$C$2:$C$1960,0)))</f>
        <v/>
      </c>
      <c r="J665" s="8">
        <f>IF(ISNA(MATCH(656,'Transfer Engine'!$C$2:$C$1960,0)),"",INDEX('Compliance Database'!$J$2:$J$1960,MATCH(656,'Transfer Engine'!$C$2:$C$1960,0)))</f>
        <v/>
      </c>
      <c r="K665" s="9">
        <f>IF(ISNA(MATCH(656,'Transfer Engine'!$C$2:$C$1960,0)),"",INDEX('Compliance Database'!$K$2:$K$1960,MATCH(656,'Transfer Engine'!$C$2:$C$1960,0)))</f>
        <v/>
      </c>
      <c r="L665" s="9">
        <f>IF(ISNA(MATCH(656,'Transfer Engine'!$C$2:$C$1960,0)),"",INDEX('Compliance Database'!$L$2:$L$1960,MATCH(656,'Transfer Engine'!$C$2:$C$1960,0)))</f>
        <v/>
      </c>
      <c r="M665" s="9">
        <f>IF(ISNA(MATCH(656,'Transfer Engine'!$C$2:$C$1960,0)),"",INDEX('Compliance Database'!$M$2:$M$1960,MATCH(656,'Transfer Engine'!$C$2:$C$1960,0)))</f>
        <v/>
      </c>
      <c r="N665" s="9">
        <f>IF(ISNA(MATCH(656,'Transfer Engine'!$C$2:$C$1960,0)),"",INDEX('Compliance Database'!$N$2:$N$1960,MATCH(656,'Transfer Engine'!$C$2:$C$1960,0)))</f>
        <v/>
      </c>
      <c r="O665" s="9">
        <f>IF(ISNA(MATCH(656,'Transfer Engine'!$C$2:$C$1960,0)),"",INDEX('Compliance Database'!$O$2:$O$1960,MATCH(656,'Transfer Engine'!$C$2:$C$1960,0)))</f>
        <v/>
      </c>
      <c r="P665" s="8">
        <f>IF(ISNA(MATCH(656,'Transfer Engine'!$C$2:$C$1960,0)),"",HYPERLINK("#Acts!A"&amp;INDEX('Compliance Database'!$P$2:$P$1960,MATCH(656,'Transfer Engine'!$C$2:$C$1960,0)),"Go to Act"))</f>
        <v/>
      </c>
    </row>
    <row r="666" ht="158" customHeight="1">
      <c r="A666" s="8">
        <f>IF(ISNA(MATCH(657,'Transfer Engine'!$C$2:$C$1960,0)),"",INDEX('Compliance Database'!$A$2:$A$1960,MATCH(657,'Transfer Engine'!$C$2:$C$1960,0)))</f>
        <v/>
      </c>
      <c r="B666" s="8">
        <f>IF(ISNA(MATCH(657,'Transfer Engine'!$C$2:$C$1960,0)),"",INDEX('Compliance Database'!$B$2:$B$1960,MATCH(657,'Transfer Engine'!$C$2:$C$1960,0)))</f>
        <v/>
      </c>
      <c r="C666" s="8">
        <f>IF(ISNA(MATCH(657,'Transfer Engine'!$C$2:$C$1960,0)),"",INDEX('Compliance Database'!$C$2:$C$1960,MATCH(657,'Transfer Engine'!$C$2:$C$1960,0)))</f>
        <v/>
      </c>
      <c r="D666" s="9">
        <f>IF(ISNA(MATCH(657,'Transfer Engine'!$C$2:$C$1960,0)),"",INDEX('Compliance Database'!$D$2:$D$1960,MATCH(657,'Transfer Engine'!$C$2:$C$1960,0)))</f>
        <v/>
      </c>
      <c r="E666" s="8">
        <f>IF(ISNA(MATCH(657,'Transfer Engine'!$C$2:$C$1960,0)),"",INDEX('Compliance Database'!$E$2:$E$1960,MATCH(657,'Transfer Engine'!$C$2:$C$1960,0)))</f>
        <v/>
      </c>
      <c r="F666" s="8">
        <f>IF(ISNA(MATCH(657,'Transfer Engine'!$C$2:$C$1960,0)),"",INDEX('Compliance Database'!$F$2:$F$1960,MATCH(657,'Transfer Engine'!$C$2:$C$1960,0)))</f>
        <v/>
      </c>
      <c r="G666" s="8">
        <f>IF(ISNA(MATCH(657,'Transfer Engine'!$C$2:$C$1960,0)),"",INDEX('Compliance Database'!$G$2:$G$1960,MATCH(657,'Transfer Engine'!$C$2:$C$1960,0)))</f>
        <v/>
      </c>
      <c r="H666" s="9">
        <f>IF(ISNA(MATCH(657,'Transfer Engine'!$C$2:$C$1960,0)),"",INDEX('Compliance Database'!$H$2:$H$1960,MATCH(657,'Transfer Engine'!$C$2:$C$1960,0)))</f>
        <v/>
      </c>
      <c r="I666" s="9">
        <f>IF(ISNA(MATCH(657,'Transfer Engine'!$C$2:$C$1960,0)),"",INDEX('Compliance Database'!$I$2:$I$1960,MATCH(657,'Transfer Engine'!$C$2:$C$1960,0)))</f>
        <v/>
      </c>
      <c r="J666" s="8">
        <f>IF(ISNA(MATCH(657,'Transfer Engine'!$C$2:$C$1960,0)),"",INDEX('Compliance Database'!$J$2:$J$1960,MATCH(657,'Transfer Engine'!$C$2:$C$1960,0)))</f>
        <v/>
      </c>
      <c r="K666" s="9">
        <f>IF(ISNA(MATCH(657,'Transfer Engine'!$C$2:$C$1960,0)),"",INDEX('Compliance Database'!$K$2:$K$1960,MATCH(657,'Transfer Engine'!$C$2:$C$1960,0)))</f>
        <v/>
      </c>
      <c r="L666" s="9">
        <f>IF(ISNA(MATCH(657,'Transfer Engine'!$C$2:$C$1960,0)),"",INDEX('Compliance Database'!$L$2:$L$1960,MATCH(657,'Transfer Engine'!$C$2:$C$1960,0)))</f>
        <v/>
      </c>
      <c r="M666" s="9">
        <f>IF(ISNA(MATCH(657,'Transfer Engine'!$C$2:$C$1960,0)),"",INDEX('Compliance Database'!$M$2:$M$1960,MATCH(657,'Transfer Engine'!$C$2:$C$1960,0)))</f>
        <v/>
      </c>
      <c r="N666" s="9">
        <f>IF(ISNA(MATCH(657,'Transfer Engine'!$C$2:$C$1960,0)),"",INDEX('Compliance Database'!$N$2:$N$1960,MATCH(657,'Transfer Engine'!$C$2:$C$1960,0)))</f>
        <v/>
      </c>
      <c r="O666" s="9">
        <f>IF(ISNA(MATCH(657,'Transfer Engine'!$C$2:$C$1960,0)),"",INDEX('Compliance Database'!$O$2:$O$1960,MATCH(657,'Transfer Engine'!$C$2:$C$1960,0)))</f>
        <v/>
      </c>
      <c r="P666" s="8">
        <f>IF(ISNA(MATCH(657,'Transfer Engine'!$C$2:$C$1960,0)),"",HYPERLINK("#Acts!A"&amp;INDEX('Compliance Database'!$P$2:$P$1960,MATCH(657,'Transfer Engine'!$C$2:$C$1960,0)),"Go to Act"))</f>
        <v/>
      </c>
    </row>
    <row r="667" ht="158" customHeight="1">
      <c r="A667" s="8">
        <f>IF(ISNA(MATCH(658,'Transfer Engine'!$C$2:$C$1960,0)),"",INDEX('Compliance Database'!$A$2:$A$1960,MATCH(658,'Transfer Engine'!$C$2:$C$1960,0)))</f>
        <v/>
      </c>
      <c r="B667" s="8">
        <f>IF(ISNA(MATCH(658,'Transfer Engine'!$C$2:$C$1960,0)),"",INDEX('Compliance Database'!$B$2:$B$1960,MATCH(658,'Transfer Engine'!$C$2:$C$1960,0)))</f>
        <v/>
      </c>
      <c r="C667" s="8">
        <f>IF(ISNA(MATCH(658,'Transfer Engine'!$C$2:$C$1960,0)),"",INDEX('Compliance Database'!$C$2:$C$1960,MATCH(658,'Transfer Engine'!$C$2:$C$1960,0)))</f>
        <v/>
      </c>
      <c r="D667" s="9">
        <f>IF(ISNA(MATCH(658,'Transfer Engine'!$C$2:$C$1960,0)),"",INDEX('Compliance Database'!$D$2:$D$1960,MATCH(658,'Transfer Engine'!$C$2:$C$1960,0)))</f>
        <v/>
      </c>
      <c r="E667" s="8">
        <f>IF(ISNA(MATCH(658,'Transfer Engine'!$C$2:$C$1960,0)),"",INDEX('Compliance Database'!$E$2:$E$1960,MATCH(658,'Transfer Engine'!$C$2:$C$1960,0)))</f>
        <v/>
      </c>
      <c r="F667" s="8">
        <f>IF(ISNA(MATCH(658,'Transfer Engine'!$C$2:$C$1960,0)),"",INDEX('Compliance Database'!$F$2:$F$1960,MATCH(658,'Transfer Engine'!$C$2:$C$1960,0)))</f>
        <v/>
      </c>
      <c r="G667" s="8">
        <f>IF(ISNA(MATCH(658,'Transfer Engine'!$C$2:$C$1960,0)),"",INDEX('Compliance Database'!$G$2:$G$1960,MATCH(658,'Transfer Engine'!$C$2:$C$1960,0)))</f>
        <v/>
      </c>
      <c r="H667" s="9">
        <f>IF(ISNA(MATCH(658,'Transfer Engine'!$C$2:$C$1960,0)),"",INDEX('Compliance Database'!$H$2:$H$1960,MATCH(658,'Transfer Engine'!$C$2:$C$1960,0)))</f>
        <v/>
      </c>
      <c r="I667" s="9">
        <f>IF(ISNA(MATCH(658,'Transfer Engine'!$C$2:$C$1960,0)),"",INDEX('Compliance Database'!$I$2:$I$1960,MATCH(658,'Transfer Engine'!$C$2:$C$1960,0)))</f>
        <v/>
      </c>
      <c r="J667" s="8">
        <f>IF(ISNA(MATCH(658,'Transfer Engine'!$C$2:$C$1960,0)),"",INDEX('Compliance Database'!$J$2:$J$1960,MATCH(658,'Transfer Engine'!$C$2:$C$1960,0)))</f>
        <v/>
      </c>
      <c r="K667" s="9">
        <f>IF(ISNA(MATCH(658,'Transfer Engine'!$C$2:$C$1960,0)),"",INDEX('Compliance Database'!$K$2:$K$1960,MATCH(658,'Transfer Engine'!$C$2:$C$1960,0)))</f>
        <v/>
      </c>
      <c r="L667" s="9">
        <f>IF(ISNA(MATCH(658,'Transfer Engine'!$C$2:$C$1960,0)),"",INDEX('Compliance Database'!$L$2:$L$1960,MATCH(658,'Transfer Engine'!$C$2:$C$1960,0)))</f>
        <v/>
      </c>
      <c r="M667" s="9">
        <f>IF(ISNA(MATCH(658,'Transfer Engine'!$C$2:$C$1960,0)),"",INDEX('Compliance Database'!$M$2:$M$1960,MATCH(658,'Transfer Engine'!$C$2:$C$1960,0)))</f>
        <v/>
      </c>
      <c r="N667" s="9">
        <f>IF(ISNA(MATCH(658,'Transfer Engine'!$C$2:$C$1960,0)),"",INDEX('Compliance Database'!$N$2:$N$1960,MATCH(658,'Transfer Engine'!$C$2:$C$1960,0)))</f>
        <v/>
      </c>
      <c r="O667" s="9">
        <f>IF(ISNA(MATCH(658,'Transfer Engine'!$C$2:$C$1960,0)),"",INDEX('Compliance Database'!$O$2:$O$1960,MATCH(658,'Transfer Engine'!$C$2:$C$1960,0)))</f>
        <v/>
      </c>
      <c r="P667" s="8">
        <f>IF(ISNA(MATCH(658,'Transfer Engine'!$C$2:$C$1960,0)),"",HYPERLINK("#Acts!A"&amp;INDEX('Compliance Database'!$P$2:$P$1960,MATCH(658,'Transfer Engine'!$C$2:$C$1960,0)),"Go to Act"))</f>
        <v/>
      </c>
    </row>
    <row r="668" ht="158" customHeight="1">
      <c r="A668" s="8">
        <f>IF(ISNA(MATCH(659,'Transfer Engine'!$C$2:$C$1960,0)),"",INDEX('Compliance Database'!$A$2:$A$1960,MATCH(659,'Transfer Engine'!$C$2:$C$1960,0)))</f>
        <v/>
      </c>
      <c r="B668" s="8">
        <f>IF(ISNA(MATCH(659,'Transfer Engine'!$C$2:$C$1960,0)),"",INDEX('Compliance Database'!$B$2:$B$1960,MATCH(659,'Transfer Engine'!$C$2:$C$1960,0)))</f>
        <v/>
      </c>
      <c r="C668" s="8">
        <f>IF(ISNA(MATCH(659,'Transfer Engine'!$C$2:$C$1960,0)),"",INDEX('Compliance Database'!$C$2:$C$1960,MATCH(659,'Transfer Engine'!$C$2:$C$1960,0)))</f>
        <v/>
      </c>
      <c r="D668" s="9">
        <f>IF(ISNA(MATCH(659,'Transfer Engine'!$C$2:$C$1960,0)),"",INDEX('Compliance Database'!$D$2:$D$1960,MATCH(659,'Transfer Engine'!$C$2:$C$1960,0)))</f>
        <v/>
      </c>
      <c r="E668" s="8">
        <f>IF(ISNA(MATCH(659,'Transfer Engine'!$C$2:$C$1960,0)),"",INDEX('Compliance Database'!$E$2:$E$1960,MATCH(659,'Transfer Engine'!$C$2:$C$1960,0)))</f>
        <v/>
      </c>
      <c r="F668" s="8">
        <f>IF(ISNA(MATCH(659,'Transfer Engine'!$C$2:$C$1960,0)),"",INDEX('Compliance Database'!$F$2:$F$1960,MATCH(659,'Transfer Engine'!$C$2:$C$1960,0)))</f>
        <v/>
      </c>
      <c r="G668" s="8">
        <f>IF(ISNA(MATCH(659,'Transfer Engine'!$C$2:$C$1960,0)),"",INDEX('Compliance Database'!$G$2:$G$1960,MATCH(659,'Transfer Engine'!$C$2:$C$1960,0)))</f>
        <v/>
      </c>
      <c r="H668" s="9">
        <f>IF(ISNA(MATCH(659,'Transfer Engine'!$C$2:$C$1960,0)),"",INDEX('Compliance Database'!$H$2:$H$1960,MATCH(659,'Transfer Engine'!$C$2:$C$1960,0)))</f>
        <v/>
      </c>
      <c r="I668" s="9">
        <f>IF(ISNA(MATCH(659,'Transfer Engine'!$C$2:$C$1960,0)),"",INDEX('Compliance Database'!$I$2:$I$1960,MATCH(659,'Transfer Engine'!$C$2:$C$1960,0)))</f>
        <v/>
      </c>
      <c r="J668" s="8">
        <f>IF(ISNA(MATCH(659,'Transfer Engine'!$C$2:$C$1960,0)),"",INDEX('Compliance Database'!$J$2:$J$1960,MATCH(659,'Transfer Engine'!$C$2:$C$1960,0)))</f>
        <v/>
      </c>
      <c r="K668" s="9">
        <f>IF(ISNA(MATCH(659,'Transfer Engine'!$C$2:$C$1960,0)),"",INDEX('Compliance Database'!$K$2:$K$1960,MATCH(659,'Transfer Engine'!$C$2:$C$1960,0)))</f>
        <v/>
      </c>
      <c r="L668" s="9">
        <f>IF(ISNA(MATCH(659,'Transfer Engine'!$C$2:$C$1960,0)),"",INDEX('Compliance Database'!$L$2:$L$1960,MATCH(659,'Transfer Engine'!$C$2:$C$1960,0)))</f>
        <v/>
      </c>
      <c r="M668" s="9">
        <f>IF(ISNA(MATCH(659,'Transfer Engine'!$C$2:$C$1960,0)),"",INDEX('Compliance Database'!$M$2:$M$1960,MATCH(659,'Transfer Engine'!$C$2:$C$1960,0)))</f>
        <v/>
      </c>
      <c r="N668" s="9">
        <f>IF(ISNA(MATCH(659,'Transfer Engine'!$C$2:$C$1960,0)),"",INDEX('Compliance Database'!$N$2:$N$1960,MATCH(659,'Transfer Engine'!$C$2:$C$1960,0)))</f>
        <v/>
      </c>
      <c r="O668" s="9">
        <f>IF(ISNA(MATCH(659,'Transfer Engine'!$C$2:$C$1960,0)),"",INDEX('Compliance Database'!$O$2:$O$1960,MATCH(659,'Transfer Engine'!$C$2:$C$1960,0)))</f>
        <v/>
      </c>
      <c r="P668" s="8">
        <f>IF(ISNA(MATCH(659,'Transfer Engine'!$C$2:$C$1960,0)),"",HYPERLINK("#Acts!A"&amp;INDEX('Compliance Database'!$P$2:$P$1960,MATCH(659,'Transfer Engine'!$C$2:$C$1960,0)),"Go to Act"))</f>
        <v/>
      </c>
    </row>
    <row r="669" ht="158" customHeight="1">
      <c r="A669" s="8">
        <f>IF(ISNA(MATCH(660,'Transfer Engine'!$C$2:$C$1960,0)),"",INDEX('Compliance Database'!$A$2:$A$1960,MATCH(660,'Transfer Engine'!$C$2:$C$1960,0)))</f>
        <v/>
      </c>
      <c r="B669" s="8">
        <f>IF(ISNA(MATCH(660,'Transfer Engine'!$C$2:$C$1960,0)),"",INDEX('Compliance Database'!$B$2:$B$1960,MATCH(660,'Transfer Engine'!$C$2:$C$1960,0)))</f>
        <v/>
      </c>
      <c r="C669" s="8">
        <f>IF(ISNA(MATCH(660,'Transfer Engine'!$C$2:$C$1960,0)),"",INDEX('Compliance Database'!$C$2:$C$1960,MATCH(660,'Transfer Engine'!$C$2:$C$1960,0)))</f>
        <v/>
      </c>
      <c r="D669" s="9">
        <f>IF(ISNA(MATCH(660,'Transfer Engine'!$C$2:$C$1960,0)),"",INDEX('Compliance Database'!$D$2:$D$1960,MATCH(660,'Transfer Engine'!$C$2:$C$1960,0)))</f>
        <v/>
      </c>
      <c r="E669" s="8">
        <f>IF(ISNA(MATCH(660,'Transfer Engine'!$C$2:$C$1960,0)),"",INDEX('Compliance Database'!$E$2:$E$1960,MATCH(660,'Transfer Engine'!$C$2:$C$1960,0)))</f>
        <v/>
      </c>
      <c r="F669" s="8">
        <f>IF(ISNA(MATCH(660,'Transfer Engine'!$C$2:$C$1960,0)),"",INDEX('Compliance Database'!$F$2:$F$1960,MATCH(660,'Transfer Engine'!$C$2:$C$1960,0)))</f>
        <v/>
      </c>
      <c r="G669" s="8">
        <f>IF(ISNA(MATCH(660,'Transfer Engine'!$C$2:$C$1960,0)),"",INDEX('Compliance Database'!$G$2:$G$1960,MATCH(660,'Transfer Engine'!$C$2:$C$1960,0)))</f>
        <v/>
      </c>
      <c r="H669" s="9">
        <f>IF(ISNA(MATCH(660,'Transfer Engine'!$C$2:$C$1960,0)),"",INDEX('Compliance Database'!$H$2:$H$1960,MATCH(660,'Transfer Engine'!$C$2:$C$1960,0)))</f>
        <v/>
      </c>
      <c r="I669" s="9">
        <f>IF(ISNA(MATCH(660,'Transfer Engine'!$C$2:$C$1960,0)),"",INDEX('Compliance Database'!$I$2:$I$1960,MATCH(660,'Transfer Engine'!$C$2:$C$1960,0)))</f>
        <v/>
      </c>
      <c r="J669" s="8">
        <f>IF(ISNA(MATCH(660,'Transfer Engine'!$C$2:$C$1960,0)),"",INDEX('Compliance Database'!$J$2:$J$1960,MATCH(660,'Transfer Engine'!$C$2:$C$1960,0)))</f>
        <v/>
      </c>
      <c r="K669" s="9">
        <f>IF(ISNA(MATCH(660,'Transfer Engine'!$C$2:$C$1960,0)),"",INDEX('Compliance Database'!$K$2:$K$1960,MATCH(660,'Transfer Engine'!$C$2:$C$1960,0)))</f>
        <v/>
      </c>
      <c r="L669" s="9">
        <f>IF(ISNA(MATCH(660,'Transfer Engine'!$C$2:$C$1960,0)),"",INDEX('Compliance Database'!$L$2:$L$1960,MATCH(660,'Transfer Engine'!$C$2:$C$1960,0)))</f>
        <v/>
      </c>
      <c r="M669" s="9">
        <f>IF(ISNA(MATCH(660,'Transfer Engine'!$C$2:$C$1960,0)),"",INDEX('Compliance Database'!$M$2:$M$1960,MATCH(660,'Transfer Engine'!$C$2:$C$1960,0)))</f>
        <v/>
      </c>
      <c r="N669" s="9">
        <f>IF(ISNA(MATCH(660,'Transfer Engine'!$C$2:$C$1960,0)),"",INDEX('Compliance Database'!$N$2:$N$1960,MATCH(660,'Transfer Engine'!$C$2:$C$1960,0)))</f>
        <v/>
      </c>
      <c r="O669" s="9">
        <f>IF(ISNA(MATCH(660,'Transfer Engine'!$C$2:$C$1960,0)),"",INDEX('Compliance Database'!$O$2:$O$1960,MATCH(660,'Transfer Engine'!$C$2:$C$1960,0)))</f>
        <v/>
      </c>
      <c r="P669" s="8">
        <f>IF(ISNA(MATCH(660,'Transfer Engine'!$C$2:$C$1960,0)),"",HYPERLINK("#Acts!A"&amp;INDEX('Compliance Database'!$P$2:$P$1960,MATCH(660,'Transfer Engine'!$C$2:$C$1960,0)),"Go to Act"))</f>
        <v/>
      </c>
    </row>
    <row r="670" ht="158" customHeight="1">
      <c r="A670" s="8">
        <f>IF(ISNA(MATCH(661,'Transfer Engine'!$C$2:$C$1960,0)),"",INDEX('Compliance Database'!$A$2:$A$1960,MATCH(661,'Transfer Engine'!$C$2:$C$1960,0)))</f>
        <v/>
      </c>
      <c r="B670" s="8">
        <f>IF(ISNA(MATCH(661,'Transfer Engine'!$C$2:$C$1960,0)),"",INDEX('Compliance Database'!$B$2:$B$1960,MATCH(661,'Transfer Engine'!$C$2:$C$1960,0)))</f>
        <v/>
      </c>
      <c r="C670" s="8">
        <f>IF(ISNA(MATCH(661,'Transfer Engine'!$C$2:$C$1960,0)),"",INDEX('Compliance Database'!$C$2:$C$1960,MATCH(661,'Transfer Engine'!$C$2:$C$1960,0)))</f>
        <v/>
      </c>
      <c r="D670" s="9">
        <f>IF(ISNA(MATCH(661,'Transfer Engine'!$C$2:$C$1960,0)),"",INDEX('Compliance Database'!$D$2:$D$1960,MATCH(661,'Transfer Engine'!$C$2:$C$1960,0)))</f>
        <v/>
      </c>
      <c r="E670" s="8">
        <f>IF(ISNA(MATCH(661,'Transfer Engine'!$C$2:$C$1960,0)),"",INDEX('Compliance Database'!$E$2:$E$1960,MATCH(661,'Transfer Engine'!$C$2:$C$1960,0)))</f>
        <v/>
      </c>
      <c r="F670" s="8">
        <f>IF(ISNA(MATCH(661,'Transfer Engine'!$C$2:$C$1960,0)),"",INDEX('Compliance Database'!$F$2:$F$1960,MATCH(661,'Transfer Engine'!$C$2:$C$1960,0)))</f>
        <v/>
      </c>
      <c r="G670" s="8">
        <f>IF(ISNA(MATCH(661,'Transfer Engine'!$C$2:$C$1960,0)),"",INDEX('Compliance Database'!$G$2:$G$1960,MATCH(661,'Transfer Engine'!$C$2:$C$1960,0)))</f>
        <v/>
      </c>
      <c r="H670" s="9">
        <f>IF(ISNA(MATCH(661,'Transfer Engine'!$C$2:$C$1960,0)),"",INDEX('Compliance Database'!$H$2:$H$1960,MATCH(661,'Transfer Engine'!$C$2:$C$1960,0)))</f>
        <v/>
      </c>
      <c r="I670" s="9">
        <f>IF(ISNA(MATCH(661,'Transfer Engine'!$C$2:$C$1960,0)),"",INDEX('Compliance Database'!$I$2:$I$1960,MATCH(661,'Transfer Engine'!$C$2:$C$1960,0)))</f>
        <v/>
      </c>
      <c r="J670" s="8">
        <f>IF(ISNA(MATCH(661,'Transfer Engine'!$C$2:$C$1960,0)),"",INDEX('Compliance Database'!$J$2:$J$1960,MATCH(661,'Transfer Engine'!$C$2:$C$1960,0)))</f>
        <v/>
      </c>
      <c r="K670" s="9">
        <f>IF(ISNA(MATCH(661,'Transfer Engine'!$C$2:$C$1960,0)),"",INDEX('Compliance Database'!$K$2:$K$1960,MATCH(661,'Transfer Engine'!$C$2:$C$1960,0)))</f>
        <v/>
      </c>
      <c r="L670" s="9">
        <f>IF(ISNA(MATCH(661,'Transfer Engine'!$C$2:$C$1960,0)),"",INDEX('Compliance Database'!$L$2:$L$1960,MATCH(661,'Transfer Engine'!$C$2:$C$1960,0)))</f>
        <v/>
      </c>
      <c r="M670" s="9">
        <f>IF(ISNA(MATCH(661,'Transfer Engine'!$C$2:$C$1960,0)),"",INDEX('Compliance Database'!$M$2:$M$1960,MATCH(661,'Transfer Engine'!$C$2:$C$1960,0)))</f>
        <v/>
      </c>
      <c r="N670" s="9">
        <f>IF(ISNA(MATCH(661,'Transfer Engine'!$C$2:$C$1960,0)),"",INDEX('Compliance Database'!$N$2:$N$1960,MATCH(661,'Transfer Engine'!$C$2:$C$1960,0)))</f>
        <v/>
      </c>
      <c r="O670" s="9">
        <f>IF(ISNA(MATCH(661,'Transfer Engine'!$C$2:$C$1960,0)),"",INDEX('Compliance Database'!$O$2:$O$1960,MATCH(661,'Transfer Engine'!$C$2:$C$1960,0)))</f>
        <v/>
      </c>
      <c r="P670" s="8">
        <f>IF(ISNA(MATCH(661,'Transfer Engine'!$C$2:$C$1960,0)),"",HYPERLINK("#Acts!A"&amp;INDEX('Compliance Database'!$P$2:$P$1960,MATCH(661,'Transfer Engine'!$C$2:$C$1960,0)),"Go to Act"))</f>
        <v/>
      </c>
    </row>
    <row r="671" ht="158" customHeight="1">
      <c r="A671" s="8">
        <f>IF(ISNA(MATCH(662,'Transfer Engine'!$C$2:$C$1960,0)),"",INDEX('Compliance Database'!$A$2:$A$1960,MATCH(662,'Transfer Engine'!$C$2:$C$1960,0)))</f>
        <v/>
      </c>
      <c r="B671" s="8">
        <f>IF(ISNA(MATCH(662,'Transfer Engine'!$C$2:$C$1960,0)),"",INDEX('Compliance Database'!$B$2:$B$1960,MATCH(662,'Transfer Engine'!$C$2:$C$1960,0)))</f>
        <v/>
      </c>
      <c r="C671" s="8">
        <f>IF(ISNA(MATCH(662,'Transfer Engine'!$C$2:$C$1960,0)),"",INDEX('Compliance Database'!$C$2:$C$1960,MATCH(662,'Transfer Engine'!$C$2:$C$1960,0)))</f>
        <v/>
      </c>
      <c r="D671" s="9">
        <f>IF(ISNA(MATCH(662,'Transfer Engine'!$C$2:$C$1960,0)),"",INDEX('Compliance Database'!$D$2:$D$1960,MATCH(662,'Transfer Engine'!$C$2:$C$1960,0)))</f>
        <v/>
      </c>
      <c r="E671" s="8">
        <f>IF(ISNA(MATCH(662,'Transfer Engine'!$C$2:$C$1960,0)),"",INDEX('Compliance Database'!$E$2:$E$1960,MATCH(662,'Transfer Engine'!$C$2:$C$1960,0)))</f>
        <v/>
      </c>
      <c r="F671" s="8">
        <f>IF(ISNA(MATCH(662,'Transfer Engine'!$C$2:$C$1960,0)),"",INDEX('Compliance Database'!$F$2:$F$1960,MATCH(662,'Transfer Engine'!$C$2:$C$1960,0)))</f>
        <v/>
      </c>
      <c r="G671" s="8">
        <f>IF(ISNA(MATCH(662,'Transfer Engine'!$C$2:$C$1960,0)),"",INDEX('Compliance Database'!$G$2:$G$1960,MATCH(662,'Transfer Engine'!$C$2:$C$1960,0)))</f>
        <v/>
      </c>
      <c r="H671" s="9">
        <f>IF(ISNA(MATCH(662,'Transfer Engine'!$C$2:$C$1960,0)),"",INDEX('Compliance Database'!$H$2:$H$1960,MATCH(662,'Transfer Engine'!$C$2:$C$1960,0)))</f>
        <v/>
      </c>
      <c r="I671" s="9">
        <f>IF(ISNA(MATCH(662,'Transfer Engine'!$C$2:$C$1960,0)),"",INDEX('Compliance Database'!$I$2:$I$1960,MATCH(662,'Transfer Engine'!$C$2:$C$1960,0)))</f>
        <v/>
      </c>
      <c r="J671" s="8">
        <f>IF(ISNA(MATCH(662,'Transfer Engine'!$C$2:$C$1960,0)),"",INDEX('Compliance Database'!$J$2:$J$1960,MATCH(662,'Transfer Engine'!$C$2:$C$1960,0)))</f>
        <v/>
      </c>
      <c r="K671" s="9">
        <f>IF(ISNA(MATCH(662,'Transfer Engine'!$C$2:$C$1960,0)),"",INDEX('Compliance Database'!$K$2:$K$1960,MATCH(662,'Transfer Engine'!$C$2:$C$1960,0)))</f>
        <v/>
      </c>
      <c r="L671" s="9">
        <f>IF(ISNA(MATCH(662,'Transfer Engine'!$C$2:$C$1960,0)),"",INDEX('Compliance Database'!$L$2:$L$1960,MATCH(662,'Transfer Engine'!$C$2:$C$1960,0)))</f>
        <v/>
      </c>
      <c r="M671" s="9">
        <f>IF(ISNA(MATCH(662,'Transfer Engine'!$C$2:$C$1960,0)),"",INDEX('Compliance Database'!$M$2:$M$1960,MATCH(662,'Transfer Engine'!$C$2:$C$1960,0)))</f>
        <v/>
      </c>
      <c r="N671" s="9">
        <f>IF(ISNA(MATCH(662,'Transfer Engine'!$C$2:$C$1960,0)),"",INDEX('Compliance Database'!$N$2:$N$1960,MATCH(662,'Transfer Engine'!$C$2:$C$1960,0)))</f>
        <v/>
      </c>
      <c r="O671" s="9">
        <f>IF(ISNA(MATCH(662,'Transfer Engine'!$C$2:$C$1960,0)),"",INDEX('Compliance Database'!$O$2:$O$1960,MATCH(662,'Transfer Engine'!$C$2:$C$1960,0)))</f>
        <v/>
      </c>
      <c r="P671" s="8">
        <f>IF(ISNA(MATCH(662,'Transfer Engine'!$C$2:$C$1960,0)),"",HYPERLINK("#Acts!A"&amp;INDEX('Compliance Database'!$P$2:$P$1960,MATCH(662,'Transfer Engine'!$C$2:$C$1960,0)),"Go to Act"))</f>
        <v/>
      </c>
    </row>
    <row r="672" ht="158" customHeight="1">
      <c r="A672" s="8">
        <f>IF(ISNA(MATCH(663,'Transfer Engine'!$C$2:$C$1960,0)),"",INDEX('Compliance Database'!$A$2:$A$1960,MATCH(663,'Transfer Engine'!$C$2:$C$1960,0)))</f>
        <v/>
      </c>
      <c r="B672" s="8">
        <f>IF(ISNA(MATCH(663,'Transfer Engine'!$C$2:$C$1960,0)),"",INDEX('Compliance Database'!$B$2:$B$1960,MATCH(663,'Transfer Engine'!$C$2:$C$1960,0)))</f>
        <v/>
      </c>
      <c r="C672" s="8">
        <f>IF(ISNA(MATCH(663,'Transfer Engine'!$C$2:$C$1960,0)),"",INDEX('Compliance Database'!$C$2:$C$1960,MATCH(663,'Transfer Engine'!$C$2:$C$1960,0)))</f>
        <v/>
      </c>
      <c r="D672" s="9">
        <f>IF(ISNA(MATCH(663,'Transfer Engine'!$C$2:$C$1960,0)),"",INDEX('Compliance Database'!$D$2:$D$1960,MATCH(663,'Transfer Engine'!$C$2:$C$1960,0)))</f>
        <v/>
      </c>
      <c r="E672" s="8">
        <f>IF(ISNA(MATCH(663,'Transfer Engine'!$C$2:$C$1960,0)),"",INDEX('Compliance Database'!$E$2:$E$1960,MATCH(663,'Transfer Engine'!$C$2:$C$1960,0)))</f>
        <v/>
      </c>
      <c r="F672" s="8">
        <f>IF(ISNA(MATCH(663,'Transfer Engine'!$C$2:$C$1960,0)),"",INDEX('Compliance Database'!$F$2:$F$1960,MATCH(663,'Transfer Engine'!$C$2:$C$1960,0)))</f>
        <v/>
      </c>
      <c r="G672" s="8">
        <f>IF(ISNA(MATCH(663,'Transfer Engine'!$C$2:$C$1960,0)),"",INDEX('Compliance Database'!$G$2:$G$1960,MATCH(663,'Transfer Engine'!$C$2:$C$1960,0)))</f>
        <v/>
      </c>
      <c r="H672" s="9">
        <f>IF(ISNA(MATCH(663,'Transfer Engine'!$C$2:$C$1960,0)),"",INDEX('Compliance Database'!$H$2:$H$1960,MATCH(663,'Transfer Engine'!$C$2:$C$1960,0)))</f>
        <v/>
      </c>
      <c r="I672" s="9">
        <f>IF(ISNA(MATCH(663,'Transfer Engine'!$C$2:$C$1960,0)),"",INDEX('Compliance Database'!$I$2:$I$1960,MATCH(663,'Transfer Engine'!$C$2:$C$1960,0)))</f>
        <v/>
      </c>
      <c r="J672" s="8">
        <f>IF(ISNA(MATCH(663,'Transfer Engine'!$C$2:$C$1960,0)),"",INDEX('Compliance Database'!$J$2:$J$1960,MATCH(663,'Transfer Engine'!$C$2:$C$1960,0)))</f>
        <v/>
      </c>
      <c r="K672" s="9">
        <f>IF(ISNA(MATCH(663,'Transfer Engine'!$C$2:$C$1960,0)),"",INDEX('Compliance Database'!$K$2:$K$1960,MATCH(663,'Transfer Engine'!$C$2:$C$1960,0)))</f>
        <v/>
      </c>
      <c r="L672" s="9">
        <f>IF(ISNA(MATCH(663,'Transfer Engine'!$C$2:$C$1960,0)),"",INDEX('Compliance Database'!$L$2:$L$1960,MATCH(663,'Transfer Engine'!$C$2:$C$1960,0)))</f>
        <v/>
      </c>
      <c r="M672" s="9">
        <f>IF(ISNA(MATCH(663,'Transfer Engine'!$C$2:$C$1960,0)),"",INDEX('Compliance Database'!$M$2:$M$1960,MATCH(663,'Transfer Engine'!$C$2:$C$1960,0)))</f>
        <v/>
      </c>
      <c r="N672" s="9">
        <f>IF(ISNA(MATCH(663,'Transfer Engine'!$C$2:$C$1960,0)),"",INDEX('Compliance Database'!$N$2:$N$1960,MATCH(663,'Transfer Engine'!$C$2:$C$1960,0)))</f>
        <v/>
      </c>
      <c r="O672" s="9">
        <f>IF(ISNA(MATCH(663,'Transfer Engine'!$C$2:$C$1960,0)),"",INDEX('Compliance Database'!$O$2:$O$1960,MATCH(663,'Transfer Engine'!$C$2:$C$1960,0)))</f>
        <v/>
      </c>
      <c r="P672" s="8">
        <f>IF(ISNA(MATCH(663,'Transfer Engine'!$C$2:$C$1960,0)),"",HYPERLINK("#Acts!A"&amp;INDEX('Compliance Database'!$P$2:$P$1960,MATCH(663,'Transfer Engine'!$C$2:$C$1960,0)),"Go to Act"))</f>
        <v/>
      </c>
    </row>
    <row r="673" ht="158" customHeight="1">
      <c r="A673" s="8">
        <f>IF(ISNA(MATCH(664,'Transfer Engine'!$C$2:$C$1960,0)),"",INDEX('Compliance Database'!$A$2:$A$1960,MATCH(664,'Transfer Engine'!$C$2:$C$1960,0)))</f>
        <v/>
      </c>
      <c r="B673" s="8">
        <f>IF(ISNA(MATCH(664,'Transfer Engine'!$C$2:$C$1960,0)),"",INDEX('Compliance Database'!$B$2:$B$1960,MATCH(664,'Transfer Engine'!$C$2:$C$1960,0)))</f>
        <v/>
      </c>
      <c r="C673" s="8">
        <f>IF(ISNA(MATCH(664,'Transfer Engine'!$C$2:$C$1960,0)),"",INDEX('Compliance Database'!$C$2:$C$1960,MATCH(664,'Transfer Engine'!$C$2:$C$1960,0)))</f>
        <v/>
      </c>
      <c r="D673" s="9">
        <f>IF(ISNA(MATCH(664,'Transfer Engine'!$C$2:$C$1960,0)),"",INDEX('Compliance Database'!$D$2:$D$1960,MATCH(664,'Transfer Engine'!$C$2:$C$1960,0)))</f>
        <v/>
      </c>
      <c r="E673" s="8">
        <f>IF(ISNA(MATCH(664,'Transfer Engine'!$C$2:$C$1960,0)),"",INDEX('Compliance Database'!$E$2:$E$1960,MATCH(664,'Transfer Engine'!$C$2:$C$1960,0)))</f>
        <v/>
      </c>
      <c r="F673" s="8">
        <f>IF(ISNA(MATCH(664,'Transfer Engine'!$C$2:$C$1960,0)),"",INDEX('Compliance Database'!$F$2:$F$1960,MATCH(664,'Transfer Engine'!$C$2:$C$1960,0)))</f>
        <v/>
      </c>
      <c r="G673" s="8">
        <f>IF(ISNA(MATCH(664,'Transfer Engine'!$C$2:$C$1960,0)),"",INDEX('Compliance Database'!$G$2:$G$1960,MATCH(664,'Transfer Engine'!$C$2:$C$1960,0)))</f>
        <v/>
      </c>
      <c r="H673" s="9">
        <f>IF(ISNA(MATCH(664,'Transfer Engine'!$C$2:$C$1960,0)),"",INDEX('Compliance Database'!$H$2:$H$1960,MATCH(664,'Transfer Engine'!$C$2:$C$1960,0)))</f>
        <v/>
      </c>
      <c r="I673" s="9">
        <f>IF(ISNA(MATCH(664,'Transfer Engine'!$C$2:$C$1960,0)),"",INDEX('Compliance Database'!$I$2:$I$1960,MATCH(664,'Transfer Engine'!$C$2:$C$1960,0)))</f>
        <v/>
      </c>
      <c r="J673" s="8">
        <f>IF(ISNA(MATCH(664,'Transfer Engine'!$C$2:$C$1960,0)),"",INDEX('Compliance Database'!$J$2:$J$1960,MATCH(664,'Transfer Engine'!$C$2:$C$1960,0)))</f>
        <v/>
      </c>
      <c r="K673" s="9">
        <f>IF(ISNA(MATCH(664,'Transfer Engine'!$C$2:$C$1960,0)),"",INDEX('Compliance Database'!$K$2:$K$1960,MATCH(664,'Transfer Engine'!$C$2:$C$1960,0)))</f>
        <v/>
      </c>
      <c r="L673" s="9">
        <f>IF(ISNA(MATCH(664,'Transfer Engine'!$C$2:$C$1960,0)),"",INDEX('Compliance Database'!$L$2:$L$1960,MATCH(664,'Transfer Engine'!$C$2:$C$1960,0)))</f>
        <v/>
      </c>
      <c r="M673" s="9">
        <f>IF(ISNA(MATCH(664,'Transfer Engine'!$C$2:$C$1960,0)),"",INDEX('Compliance Database'!$M$2:$M$1960,MATCH(664,'Transfer Engine'!$C$2:$C$1960,0)))</f>
        <v/>
      </c>
      <c r="N673" s="9">
        <f>IF(ISNA(MATCH(664,'Transfer Engine'!$C$2:$C$1960,0)),"",INDEX('Compliance Database'!$N$2:$N$1960,MATCH(664,'Transfer Engine'!$C$2:$C$1960,0)))</f>
        <v/>
      </c>
      <c r="O673" s="9">
        <f>IF(ISNA(MATCH(664,'Transfer Engine'!$C$2:$C$1960,0)),"",INDEX('Compliance Database'!$O$2:$O$1960,MATCH(664,'Transfer Engine'!$C$2:$C$1960,0)))</f>
        <v/>
      </c>
      <c r="P673" s="8">
        <f>IF(ISNA(MATCH(664,'Transfer Engine'!$C$2:$C$1960,0)),"",HYPERLINK("#Acts!A"&amp;INDEX('Compliance Database'!$P$2:$P$1960,MATCH(664,'Transfer Engine'!$C$2:$C$1960,0)),"Go to Act"))</f>
        <v/>
      </c>
    </row>
    <row r="674" ht="158" customHeight="1">
      <c r="A674" s="8">
        <f>IF(ISNA(MATCH(665,'Transfer Engine'!$C$2:$C$1960,0)),"",INDEX('Compliance Database'!$A$2:$A$1960,MATCH(665,'Transfer Engine'!$C$2:$C$1960,0)))</f>
        <v/>
      </c>
      <c r="B674" s="8">
        <f>IF(ISNA(MATCH(665,'Transfer Engine'!$C$2:$C$1960,0)),"",INDEX('Compliance Database'!$B$2:$B$1960,MATCH(665,'Transfer Engine'!$C$2:$C$1960,0)))</f>
        <v/>
      </c>
      <c r="C674" s="8">
        <f>IF(ISNA(MATCH(665,'Transfer Engine'!$C$2:$C$1960,0)),"",INDEX('Compliance Database'!$C$2:$C$1960,MATCH(665,'Transfer Engine'!$C$2:$C$1960,0)))</f>
        <v/>
      </c>
      <c r="D674" s="9">
        <f>IF(ISNA(MATCH(665,'Transfer Engine'!$C$2:$C$1960,0)),"",INDEX('Compliance Database'!$D$2:$D$1960,MATCH(665,'Transfer Engine'!$C$2:$C$1960,0)))</f>
        <v/>
      </c>
      <c r="E674" s="8">
        <f>IF(ISNA(MATCH(665,'Transfer Engine'!$C$2:$C$1960,0)),"",INDEX('Compliance Database'!$E$2:$E$1960,MATCH(665,'Transfer Engine'!$C$2:$C$1960,0)))</f>
        <v/>
      </c>
      <c r="F674" s="8">
        <f>IF(ISNA(MATCH(665,'Transfer Engine'!$C$2:$C$1960,0)),"",INDEX('Compliance Database'!$F$2:$F$1960,MATCH(665,'Transfer Engine'!$C$2:$C$1960,0)))</f>
        <v/>
      </c>
      <c r="G674" s="8">
        <f>IF(ISNA(MATCH(665,'Transfer Engine'!$C$2:$C$1960,0)),"",INDEX('Compliance Database'!$G$2:$G$1960,MATCH(665,'Transfer Engine'!$C$2:$C$1960,0)))</f>
        <v/>
      </c>
      <c r="H674" s="9">
        <f>IF(ISNA(MATCH(665,'Transfer Engine'!$C$2:$C$1960,0)),"",INDEX('Compliance Database'!$H$2:$H$1960,MATCH(665,'Transfer Engine'!$C$2:$C$1960,0)))</f>
        <v/>
      </c>
      <c r="I674" s="9">
        <f>IF(ISNA(MATCH(665,'Transfer Engine'!$C$2:$C$1960,0)),"",INDEX('Compliance Database'!$I$2:$I$1960,MATCH(665,'Transfer Engine'!$C$2:$C$1960,0)))</f>
        <v/>
      </c>
      <c r="J674" s="8">
        <f>IF(ISNA(MATCH(665,'Transfer Engine'!$C$2:$C$1960,0)),"",INDEX('Compliance Database'!$J$2:$J$1960,MATCH(665,'Transfer Engine'!$C$2:$C$1960,0)))</f>
        <v/>
      </c>
      <c r="K674" s="9">
        <f>IF(ISNA(MATCH(665,'Transfer Engine'!$C$2:$C$1960,0)),"",INDEX('Compliance Database'!$K$2:$K$1960,MATCH(665,'Transfer Engine'!$C$2:$C$1960,0)))</f>
        <v/>
      </c>
      <c r="L674" s="9">
        <f>IF(ISNA(MATCH(665,'Transfer Engine'!$C$2:$C$1960,0)),"",INDEX('Compliance Database'!$L$2:$L$1960,MATCH(665,'Transfer Engine'!$C$2:$C$1960,0)))</f>
        <v/>
      </c>
      <c r="M674" s="9">
        <f>IF(ISNA(MATCH(665,'Transfer Engine'!$C$2:$C$1960,0)),"",INDEX('Compliance Database'!$M$2:$M$1960,MATCH(665,'Transfer Engine'!$C$2:$C$1960,0)))</f>
        <v/>
      </c>
      <c r="N674" s="9">
        <f>IF(ISNA(MATCH(665,'Transfer Engine'!$C$2:$C$1960,0)),"",INDEX('Compliance Database'!$N$2:$N$1960,MATCH(665,'Transfer Engine'!$C$2:$C$1960,0)))</f>
        <v/>
      </c>
      <c r="O674" s="9">
        <f>IF(ISNA(MATCH(665,'Transfer Engine'!$C$2:$C$1960,0)),"",INDEX('Compliance Database'!$O$2:$O$1960,MATCH(665,'Transfer Engine'!$C$2:$C$1960,0)))</f>
        <v/>
      </c>
      <c r="P674" s="8">
        <f>IF(ISNA(MATCH(665,'Transfer Engine'!$C$2:$C$1960,0)),"",HYPERLINK("#Acts!A"&amp;INDEX('Compliance Database'!$P$2:$P$1960,MATCH(665,'Transfer Engine'!$C$2:$C$1960,0)),"Go to Act"))</f>
        <v/>
      </c>
    </row>
    <row r="675" ht="158" customHeight="1">
      <c r="A675" s="8">
        <f>IF(ISNA(MATCH(666,'Transfer Engine'!$C$2:$C$1960,0)),"",INDEX('Compliance Database'!$A$2:$A$1960,MATCH(666,'Transfer Engine'!$C$2:$C$1960,0)))</f>
        <v/>
      </c>
      <c r="B675" s="8">
        <f>IF(ISNA(MATCH(666,'Transfer Engine'!$C$2:$C$1960,0)),"",INDEX('Compliance Database'!$B$2:$B$1960,MATCH(666,'Transfer Engine'!$C$2:$C$1960,0)))</f>
        <v/>
      </c>
      <c r="C675" s="8">
        <f>IF(ISNA(MATCH(666,'Transfer Engine'!$C$2:$C$1960,0)),"",INDEX('Compliance Database'!$C$2:$C$1960,MATCH(666,'Transfer Engine'!$C$2:$C$1960,0)))</f>
        <v/>
      </c>
      <c r="D675" s="9">
        <f>IF(ISNA(MATCH(666,'Transfer Engine'!$C$2:$C$1960,0)),"",INDEX('Compliance Database'!$D$2:$D$1960,MATCH(666,'Transfer Engine'!$C$2:$C$1960,0)))</f>
        <v/>
      </c>
      <c r="E675" s="8">
        <f>IF(ISNA(MATCH(666,'Transfer Engine'!$C$2:$C$1960,0)),"",INDEX('Compliance Database'!$E$2:$E$1960,MATCH(666,'Transfer Engine'!$C$2:$C$1960,0)))</f>
        <v/>
      </c>
      <c r="F675" s="8">
        <f>IF(ISNA(MATCH(666,'Transfer Engine'!$C$2:$C$1960,0)),"",INDEX('Compliance Database'!$F$2:$F$1960,MATCH(666,'Transfer Engine'!$C$2:$C$1960,0)))</f>
        <v/>
      </c>
      <c r="G675" s="8">
        <f>IF(ISNA(MATCH(666,'Transfer Engine'!$C$2:$C$1960,0)),"",INDEX('Compliance Database'!$G$2:$G$1960,MATCH(666,'Transfer Engine'!$C$2:$C$1960,0)))</f>
        <v/>
      </c>
      <c r="H675" s="9">
        <f>IF(ISNA(MATCH(666,'Transfer Engine'!$C$2:$C$1960,0)),"",INDEX('Compliance Database'!$H$2:$H$1960,MATCH(666,'Transfer Engine'!$C$2:$C$1960,0)))</f>
        <v/>
      </c>
      <c r="I675" s="9">
        <f>IF(ISNA(MATCH(666,'Transfer Engine'!$C$2:$C$1960,0)),"",INDEX('Compliance Database'!$I$2:$I$1960,MATCH(666,'Transfer Engine'!$C$2:$C$1960,0)))</f>
        <v/>
      </c>
      <c r="J675" s="8">
        <f>IF(ISNA(MATCH(666,'Transfer Engine'!$C$2:$C$1960,0)),"",INDEX('Compliance Database'!$J$2:$J$1960,MATCH(666,'Transfer Engine'!$C$2:$C$1960,0)))</f>
        <v/>
      </c>
      <c r="K675" s="9">
        <f>IF(ISNA(MATCH(666,'Transfer Engine'!$C$2:$C$1960,0)),"",INDEX('Compliance Database'!$K$2:$K$1960,MATCH(666,'Transfer Engine'!$C$2:$C$1960,0)))</f>
        <v/>
      </c>
      <c r="L675" s="9">
        <f>IF(ISNA(MATCH(666,'Transfer Engine'!$C$2:$C$1960,0)),"",INDEX('Compliance Database'!$L$2:$L$1960,MATCH(666,'Transfer Engine'!$C$2:$C$1960,0)))</f>
        <v/>
      </c>
      <c r="M675" s="9">
        <f>IF(ISNA(MATCH(666,'Transfer Engine'!$C$2:$C$1960,0)),"",INDEX('Compliance Database'!$M$2:$M$1960,MATCH(666,'Transfer Engine'!$C$2:$C$1960,0)))</f>
        <v/>
      </c>
      <c r="N675" s="9">
        <f>IF(ISNA(MATCH(666,'Transfer Engine'!$C$2:$C$1960,0)),"",INDEX('Compliance Database'!$N$2:$N$1960,MATCH(666,'Transfer Engine'!$C$2:$C$1960,0)))</f>
        <v/>
      </c>
      <c r="O675" s="9">
        <f>IF(ISNA(MATCH(666,'Transfer Engine'!$C$2:$C$1960,0)),"",INDEX('Compliance Database'!$O$2:$O$1960,MATCH(666,'Transfer Engine'!$C$2:$C$1960,0)))</f>
        <v/>
      </c>
      <c r="P675" s="8">
        <f>IF(ISNA(MATCH(666,'Transfer Engine'!$C$2:$C$1960,0)),"",HYPERLINK("#Acts!A"&amp;INDEX('Compliance Database'!$P$2:$P$1960,MATCH(666,'Transfer Engine'!$C$2:$C$1960,0)),"Go to Act"))</f>
        <v/>
      </c>
    </row>
    <row r="676" ht="158" customHeight="1">
      <c r="A676" s="8">
        <f>IF(ISNA(MATCH(667,'Transfer Engine'!$C$2:$C$1960,0)),"",INDEX('Compliance Database'!$A$2:$A$1960,MATCH(667,'Transfer Engine'!$C$2:$C$1960,0)))</f>
        <v/>
      </c>
      <c r="B676" s="8">
        <f>IF(ISNA(MATCH(667,'Transfer Engine'!$C$2:$C$1960,0)),"",INDEX('Compliance Database'!$B$2:$B$1960,MATCH(667,'Transfer Engine'!$C$2:$C$1960,0)))</f>
        <v/>
      </c>
      <c r="C676" s="8">
        <f>IF(ISNA(MATCH(667,'Transfer Engine'!$C$2:$C$1960,0)),"",INDEX('Compliance Database'!$C$2:$C$1960,MATCH(667,'Transfer Engine'!$C$2:$C$1960,0)))</f>
        <v/>
      </c>
      <c r="D676" s="9">
        <f>IF(ISNA(MATCH(667,'Transfer Engine'!$C$2:$C$1960,0)),"",INDEX('Compliance Database'!$D$2:$D$1960,MATCH(667,'Transfer Engine'!$C$2:$C$1960,0)))</f>
        <v/>
      </c>
      <c r="E676" s="8">
        <f>IF(ISNA(MATCH(667,'Transfer Engine'!$C$2:$C$1960,0)),"",INDEX('Compliance Database'!$E$2:$E$1960,MATCH(667,'Transfer Engine'!$C$2:$C$1960,0)))</f>
        <v/>
      </c>
      <c r="F676" s="8">
        <f>IF(ISNA(MATCH(667,'Transfer Engine'!$C$2:$C$1960,0)),"",INDEX('Compliance Database'!$F$2:$F$1960,MATCH(667,'Transfer Engine'!$C$2:$C$1960,0)))</f>
        <v/>
      </c>
      <c r="G676" s="8">
        <f>IF(ISNA(MATCH(667,'Transfer Engine'!$C$2:$C$1960,0)),"",INDEX('Compliance Database'!$G$2:$G$1960,MATCH(667,'Transfer Engine'!$C$2:$C$1960,0)))</f>
        <v/>
      </c>
      <c r="H676" s="9">
        <f>IF(ISNA(MATCH(667,'Transfer Engine'!$C$2:$C$1960,0)),"",INDEX('Compliance Database'!$H$2:$H$1960,MATCH(667,'Transfer Engine'!$C$2:$C$1960,0)))</f>
        <v/>
      </c>
      <c r="I676" s="9">
        <f>IF(ISNA(MATCH(667,'Transfer Engine'!$C$2:$C$1960,0)),"",INDEX('Compliance Database'!$I$2:$I$1960,MATCH(667,'Transfer Engine'!$C$2:$C$1960,0)))</f>
        <v/>
      </c>
      <c r="J676" s="8">
        <f>IF(ISNA(MATCH(667,'Transfer Engine'!$C$2:$C$1960,0)),"",INDEX('Compliance Database'!$J$2:$J$1960,MATCH(667,'Transfer Engine'!$C$2:$C$1960,0)))</f>
        <v/>
      </c>
      <c r="K676" s="9">
        <f>IF(ISNA(MATCH(667,'Transfer Engine'!$C$2:$C$1960,0)),"",INDEX('Compliance Database'!$K$2:$K$1960,MATCH(667,'Transfer Engine'!$C$2:$C$1960,0)))</f>
        <v/>
      </c>
      <c r="L676" s="9">
        <f>IF(ISNA(MATCH(667,'Transfer Engine'!$C$2:$C$1960,0)),"",INDEX('Compliance Database'!$L$2:$L$1960,MATCH(667,'Transfer Engine'!$C$2:$C$1960,0)))</f>
        <v/>
      </c>
      <c r="M676" s="9">
        <f>IF(ISNA(MATCH(667,'Transfer Engine'!$C$2:$C$1960,0)),"",INDEX('Compliance Database'!$M$2:$M$1960,MATCH(667,'Transfer Engine'!$C$2:$C$1960,0)))</f>
        <v/>
      </c>
      <c r="N676" s="9">
        <f>IF(ISNA(MATCH(667,'Transfer Engine'!$C$2:$C$1960,0)),"",INDEX('Compliance Database'!$N$2:$N$1960,MATCH(667,'Transfer Engine'!$C$2:$C$1960,0)))</f>
        <v/>
      </c>
      <c r="O676" s="9">
        <f>IF(ISNA(MATCH(667,'Transfer Engine'!$C$2:$C$1960,0)),"",INDEX('Compliance Database'!$O$2:$O$1960,MATCH(667,'Transfer Engine'!$C$2:$C$1960,0)))</f>
        <v/>
      </c>
      <c r="P676" s="8">
        <f>IF(ISNA(MATCH(667,'Transfer Engine'!$C$2:$C$1960,0)),"",HYPERLINK("#Acts!A"&amp;INDEX('Compliance Database'!$P$2:$P$1960,MATCH(667,'Transfer Engine'!$C$2:$C$1960,0)),"Go to Act"))</f>
        <v/>
      </c>
    </row>
    <row r="677" ht="158" customHeight="1">
      <c r="A677" s="8">
        <f>IF(ISNA(MATCH(668,'Transfer Engine'!$C$2:$C$1960,0)),"",INDEX('Compliance Database'!$A$2:$A$1960,MATCH(668,'Transfer Engine'!$C$2:$C$1960,0)))</f>
        <v/>
      </c>
      <c r="B677" s="8">
        <f>IF(ISNA(MATCH(668,'Transfer Engine'!$C$2:$C$1960,0)),"",INDEX('Compliance Database'!$B$2:$B$1960,MATCH(668,'Transfer Engine'!$C$2:$C$1960,0)))</f>
        <v/>
      </c>
      <c r="C677" s="8">
        <f>IF(ISNA(MATCH(668,'Transfer Engine'!$C$2:$C$1960,0)),"",INDEX('Compliance Database'!$C$2:$C$1960,MATCH(668,'Transfer Engine'!$C$2:$C$1960,0)))</f>
        <v/>
      </c>
      <c r="D677" s="9">
        <f>IF(ISNA(MATCH(668,'Transfer Engine'!$C$2:$C$1960,0)),"",INDEX('Compliance Database'!$D$2:$D$1960,MATCH(668,'Transfer Engine'!$C$2:$C$1960,0)))</f>
        <v/>
      </c>
      <c r="E677" s="8">
        <f>IF(ISNA(MATCH(668,'Transfer Engine'!$C$2:$C$1960,0)),"",INDEX('Compliance Database'!$E$2:$E$1960,MATCH(668,'Transfer Engine'!$C$2:$C$1960,0)))</f>
        <v/>
      </c>
      <c r="F677" s="8">
        <f>IF(ISNA(MATCH(668,'Transfer Engine'!$C$2:$C$1960,0)),"",INDEX('Compliance Database'!$F$2:$F$1960,MATCH(668,'Transfer Engine'!$C$2:$C$1960,0)))</f>
        <v/>
      </c>
      <c r="G677" s="8">
        <f>IF(ISNA(MATCH(668,'Transfer Engine'!$C$2:$C$1960,0)),"",INDEX('Compliance Database'!$G$2:$G$1960,MATCH(668,'Transfer Engine'!$C$2:$C$1960,0)))</f>
        <v/>
      </c>
      <c r="H677" s="9">
        <f>IF(ISNA(MATCH(668,'Transfer Engine'!$C$2:$C$1960,0)),"",INDEX('Compliance Database'!$H$2:$H$1960,MATCH(668,'Transfer Engine'!$C$2:$C$1960,0)))</f>
        <v/>
      </c>
      <c r="I677" s="9">
        <f>IF(ISNA(MATCH(668,'Transfer Engine'!$C$2:$C$1960,0)),"",INDEX('Compliance Database'!$I$2:$I$1960,MATCH(668,'Transfer Engine'!$C$2:$C$1960,0)))</f>
        <v/>
      </c>
      <c r="J677" s="8">
        <f>IF(ISNA(MATCH(668,'Transfer Engine'!$C$2:$C$1960,0)),"",INDEX('Compliance Database'!$J$2:$J$1960,MATCH(668,'Transfer Engine'!$C$2:$C$1960,0)))</f>
        <v/>
      </c>
      <c r="K677" s="9">
        <f>IF(ISNA(MATCH(668,'Transfer Engine'!$C$2:$C$1960,0)),"",INDEX('Compliance Database'!$K$2:$K$1960,MATCH(668,'Transfer Engine'!$C$2:$C$1960,0)))</f>
        <v/>
      </c>
      <c r="L677" s="9">
        <f>IF(ISNA(MATCH(668,'Transfer Engine'!$C$2:$C$1960,0)),"",INDEX('Compliance Database'!$L$2:$L$1960,MATCH(668,'Transfer Engine'!$C$2:$C$1960,0)))</f>
        <v/>
      </c>
      <c r="M677" s="9">
        <f>IF(ISNA(MATCH(668,'Transfer Engine'!$C$2:$C$1960,0)),"",INDEX('Compliance Database'!$M$2:$M$1960,MATCH(668,'Transfer Engine'!$C$2:$C$1960,0)))</f>
        <v/>
      </c>
      <c r="N677" s="9">
        <f>IF(ISNA(MATCH(668,'Transfer Engine'!$C$2:$C$1960,0)),"",INDEX('Compliance Database'!$N$2:$N$1960,MATCH(668,'Transfer Engine'!$C$2:$C$1960,0)))</f>
        <v/>
      </c>
      <c r="O677" s="9">
        <f>IF(ISNA(MATCH(668,'Transfer Engine'!$C$2:$C$1960,0)),"",INDEX('Compliance Database'!$O$2:$O$1960,MATCH(668,'Transfer Engine'!$C$2:$C$1960,0)))</f>
        <v/>
      </c>
      <c r="P677" s="8">
        <f>IF(ISNA(MATCH(668,'Transfer Engine'!$C$2:$C$1960,0)),"",HYPERLINK("#Acts!A"&amp;INDEX('Compliance Database'!$P$2:$P$1960,MATCH(668,'Transfer Engine'!$C$2:$C$1960,0)),"Go to Act"))</f>
        <v/>
      </c>
    </row>
    <row r="678" ht="158" customHeight="1">
      <c r="A678" s="8">
        <f>IF(ISNA(MATCH(669,'Transfer Engine'!$C$2:$C$1960,0)),"",INDEX('Compliance Database'!$A$2:$A$1960,MATCH(669,'Transfer Engine'!$C$2:$C$1960,0)))</f>
        <v/>
      </c>
      <c r="B678" s="8">
        <f>IF(ISNA(MATCH(669,'Transfer Engine'!$C$2:$C$1960,0)),"",INDEX('Compliance Database'!$B$2:$B$1960,MATCH(669,'Transfer Engine'!$C$2:$C$1960,0)))</f>
        <v/>
      </c>
      <c r="C678" s="8">
        <f>IF(ISNA(MATCH(669,'Transfer Engine'!$C$2:$C$1960,0)),"",INDEX('Compliance Database'!$C$2:$C$1960,MATCH(669,'Transfer Engine'!$C$2:$C$1960,0)))</f>
        <v/>
      </c>
      <c r="D678" s="9">
        <f>IF(ISNA(MATCH(669,'Transfer Engine'!$C$2:$C$1960,0)),"",INDEX('Compliance Database'!$D$2:$D$1960,MATCH(669,'Transfer Engine'!$C$2:$C$1960,0)))</f>
        <v/>
      </c>
      <c r="E678" s="8">
        <f>IF(ISNA(MATCH(669,'Transfer Engine'!$C$2:$C$1960,0)),"",INDEX('Compliance Database'!$E$2:$E$1960,MATCH(669,'Transfer Engine'!$C$2:$C$1960,0)))</f>
        <v/>
      </c>
      <c r="F678" s="8">
        <f>IF(ISNA(MATCH(669,'Transfer Engine'!$C$2:$C$1960,0)),"",INDEX('Compliance Database'!$F$2:$F$1960,MATCH(669,'Transfer Engine'!$C$2:$C$1960,0)))</f>
        <v/>
      </c>
      <c r="G678" s="8">
        <f>IF(ISNA(MATCH(669,'Transfer Engine'!$C$2:$C$1960,0)),"",INDEX('Compliance Database'!$G$2:$G$1960,MATCH(669,'Transfer Engine'!$C$2:$C$1960,0)))</f>
        <v/>
      </c>
      <c r="H678" s="9">
        <f>IF(ISNA(MATCH(669,'Transfer Engine'!$C$2:$C$1960,0)),"",INDEX('Compliance Database'!$H$2:$H$1960,MATCH(669,'Transfer Engine'!$C$2:$C$1960,0)))</f>
        <v/>
      </c>
      <c r="I678" s="9">
        <f>IF(ISNA(MATCH(669,'Transfer Engine'!$C$2:$C$1960,0)),"",INDEX('Compliance Database'!$I$2:$I$1960,MATCH(669,'Transfer Engine'!$C$2:$C$1960,0)))</f>
        <v/>
      </c>
      <c r="J678" s="8">
        <f>IF(ISNA(MATCH(669,'Transfer Engine'!$C$2:$C$1960,0)),"",INDEX('Compliance Database'!$J$2:$J$1960,MATCH(669,'Transfer Engine'!$C$2:$C$1960,0)))</f>
        <v/>
      </c>
      <c r="K678" s="9">
        <f>IF(ISNA(MATCH(669,'Transfer Engine'!$C$2:$C$1960,0)),"",INDEX('Compliance Database'!$K$2:$K$1960,MATCH(669,'Transfer Engine'!$C$2:$C$1960,0)))</f>
        <v/>
      </c>
      <c r="L678" s="9">
        <f>IF(ISNA(MATCH(669,'Transfer Engine'!$C$2:$C$1960,0)),"",INDEX('Compliance Database'!$L$2:$L$1960,MATCH(669,'Transfer Engine'!$C$2:$C$1960,0)))</f>
        <v/>
      </c>
      <c r="M678" s="9">
        <f>IF(ISNA(MATCH(669,'Transfer Engine'!$C$2:$C$1960,0)),"",INDEX('Compliance Database'!$M$2:$M$1960,MATCH(669,'Transfer Engine'!$C$2:$C$1960,0)))</f>
        <v/>
      </c>
      <c r="N678" s="9">
        <f>IF(ISNA(MATCH(669,'Transfer Engine'!$C$2:$C$1960,0)),"",INDEX('Compliance Database'!$N$2:$N$1960,MATCH(669,'Transfer Engine'!$C$2:$C$1960,0)))</f>
        <v/>
      </c>
      <c r="O678" s="9">
        <f>IF(ISNA(MATCH(669,'Transfer Engine'!$C$2:$C$1960,0)),"",INDEX('Compliance Database'!$O$2:$O$1960,MATCH(669,'Transfer Engine'!$C$2:$C$1960,0)))</f>
        <v/>
      </c>
      <c r="P678" s="8">
        <f>IF(ISNA(MATCH(669,'Transfer Engine'!$C$2:$C$1960,0)),"",HYPERLINK("#Acts!A"&amp;INDEX('Compliance Database'!$P$2:$P$1960,MATCH(669,'Transfer Engine'!$C$2:$C$1960,0)),"Go to Act"))</f>
        <v/>
      </c>
    </row>
    <row r="679" ht="158" customHeight="1">
      <c r="A679" s="8">
        <f>IF(ISNA(MATCH(670,'Transfer Engine'!$C$2:$C$1960,0)),"",INDEX('Compliance Database'!$A$2:$A$1960,MATCH(670,'Transfer Engine'!$C$2:$C$1960,0)))</f>
        <v/>
      </c>
      <c r="B679" s="8">
        <f>IF(ISNA(MATCH(670,'Transfer Engine'!$C$2:$C$1960,0)),"",INDEX('Compliance Database'!$B$2:$B$1960,MATCH(670,'Transfer Engine'!$C$2:$C$1960,0)))</f>
        <v/>
      </c>
      <c r="C679" s="8">
        <f>IF(ISNA(MATCH(670,'Transfer Engine'!$C$2:$C$1960,0)),"",INDEX('Compliance Database'!$C$2:$C$1960,MATCH(670,'Transfer Engine'!$C$2:$C$1960,0)))</f>
        <v/>
      </c>
      <c r="D679" s="9">
        <f>IF(ISNA(MATCH(670,'Transfer Engine'!$C$2:$C$1960,0)),"",INDEX('Compliance Database'!$D$2:$D$1960,MATCH(670,'Transfer Engine'!$C$2:$C$1960,0)))</f>
        <v/>
      </c>
      <c r="E679" s="8">
        <f>IF(ISNA(MATCH(670,'Transfer Engine'!$C$2:$C$1960,0)),"",INDEX('Compliance Database'!$E$2:$E$1960,MATCH(670,'Transfer Engine'!$C$2:$C$1960,0)))</f>
        <v/>
      </c>
      <c r="F679" s="8">
        <f>IF(ISNA(MATCH(670,'Transfer Engine'!$C$2:$C$1960,0)),"",INDEX('Compliance Database'!$F$2:$F$1960,MATCH(670,'Transfer Engine'!$C$2:$C$1960,0)))</f>
        <v/>
      </c>
      <c r="G679" s="8">
        <f>IF(ISNA(MATCH(670,'Transfer Engine'!$C$2:$C$1960,0)),"",INDEX('Compliance Database'!$G$2:$G$1960,MATCH(670,'Transfer Engine'!$C$2:$C$1960,0)))</f>
        <v/>
      </c>
      <c r="H679" s="9">
        <f>IF(ISNA(MATCH(670,'Transfer Engine'!$C$2:$C$1960,0)),"",INDEX('Compliance Database'!$H$2:$H$1960,MATCH(670,'Transfer Engine'!$C$2:$C$1960,0)))</f>
        <v/>
      </c>
      <c r="I679" s="9">
        <f>IF(ISNA(MATCH(670,'Transfer Engine'!$C$2:$C$1960,0)),"",INDEX('Compliance Database'!$I$2:$I$1960,MATCH(670,'Transfer Engine'!$C$2:$C$1960,0)))</f>
        <v/>
      </c>
      <c r="J679" s="8">
        <f>IF(ISNA(MATCH(670,'Transfer Engine'!$C$2:$C$1960,0)),"",INDEX('Compliance Database'!$J$2:$J$1960,MATCH(670,'Transfer Engine'!$C$2:$C$1960,0)))</f>
        <v/>
      </c>
      <c r="K679" s="9">
        <f>IF(ISNA(MATCH(670,'Transfer Engine'!$C$2:$C$1960,0)),"",INDEX('Compliance Database'!$K$2:$K$1960,MATCH(670,'Transfer Engine'!$C$2:$C$1960,0)))</f>
        <v/>
      </c>
      <c r="L679" s="9">
        <f>IF(ISNA(MATCH(670,'Transfer Engine'!$C$2:$C$1960,0)),"",INDEX('Compliance Database'!$L$2:$L$1960,MATCH(670,'Transfer Engine'!$C$2:$C$1960,0)))</f>
        <v/>
      </c>
      <c r="M679" s="9">
        <f>IF(ISNA(MATCH(670,'Transfer Engine'!$C$2:$C$1960,0)),"",INDEX('Compliance Database'!$M$2:$M$1960,MATCH(670,'Transfer Engine'!$C$2:$C$1960,0)))</f>
        <v/>
      </c>
      <c r="N679" s="9">
        <f>IF(ISNA(MATCH(670,'Transfer Engine'!$C$2:$C$1960,0)),"",INDEX('Compliance Database'!$N$2:$N$1960,MATCH(670,'Transfer Engine'!$C$2:$C$1960,0)))</f>
        <v/>
      </c>
      <c r="O679" s="9">
        <f>IF(ISNA(MATCH(670,'Transfer Engine'!$C$2:$C$1960,0)),"",INDEX('Compliance Database'!$O$2:$O$1960,MATCH(670,'Transfer Engine'!$C$2:$C$1960,0)))</f>
        <v/>
      </c>
      <c r="P679" s="8">
        <f>IF(ISNA(MATCH(670,'Transfer Engine'!$C$2:$C$1960,0)),"",HYPERLINK("#Acts!A"&amp;INDEX('Compliance Database'!$P$2:$P$1960,MATCH(670,'Transfer Engine'!$C$2:$C$1960,0)),"Go to Act"))</f>
        <v/>
      </c>
    </row>
    <row r="680" ht="158" customHeight="1">
      <c r="A680" s="8">
        <f>IF(ISNA(MATCH(671,'Transfer Engine'!$C$2:$C$1960,0)),"",INDEX('Compliance Database'!$A$2:$A$1960,MATCH(671,'Transfer Engine'!$C$2:$C$1960,0)))</f>
        <v/>
      </c>
      <c r="B680" s="8">
        <f>IF(ISNA(MATCH(671,'Transfer Engine'!$C$2:$C$1960,0)),"",INDEX('Compliance Database'!$B$2:$B$1960,MATCH(671,'Transfer Engine'!$C$2:$C$1960,0)))</f>
        <v/>
      </c>
      <c r="C680" s="8">
        <f>IF(ISNA(MATCH(671,'Transfer Engine'!$C$2:$C$1960,0)),"",INDEX('Compliance Database'!$C$2:$C$1960,MATCH(671,'Transfer Engine'!$C$2:$C$1960,0)))</f>
        <v/>
      </c>
      <c r="D680" s="9">
        <f>IF(ISNA(MATCH(671,'Transfer Engine'!$C$2:$C$1960,0)),"",INDEX('Compliance Database'!$D$2:$D$1960,MATCH(671,'Transfer Engine'!$C$2:$C$1960,0)))</f>
        <v/>
      </c>
      <c r="E680" s="8">
        <f>IF(ISNA(MATCH(671,'Transfer Engine'!$C$2:$C$1960,0)),"",INDEX('Compliance Database'!$E$2:$E$1960,MATCH(671,'Transfer Engine'!$C$2:$C$1960,0)))</f>
        <v/>
      </c>
      <c r="F680" s="8">
        <f>IF(ISNA(MATCH(671,'Transfer Engine'!$C$2:$C$1960,0)),"",INDEX('Compliance Database'!$F$2:$F$1960,MATCH(671,'Transfer Engine'!$C$2:$C$1960,0)))</f>
        <v/>
      </c>
      <c r="G680" s="8">
        <f>IF(ISNA(MATCH(671,'Transfer Engine'!$C$2:$C$1960,0)),"",INDEX('Compliance Database'!$G$2:$G$1960,MATCH(671,'Transfer Engine'!$C$2:$C$1960,0)))</f>
        <v/>
      </c>
      <c r="H680" s="9">
        <f>IF(ISNA(MATCH(671,'Transfer Engine'!$C$2:$C$1960,0)),"",INDEX('Compliance Database'!$H$2:$H$1960,MATCH(671,'Transfer Engine'!$C$2:$C$1960,0)))</f>
        <v/>
      </c>
      <c r="I680" s="9">
        <f>IF(ISNA(MATCH(671,'Transfer Engine'!$C$2:$C$1960,0)),"",INDEX('Compliance Database'!$I$2:$I$1960,MATCH(671,'Transfer Engine'!$C$2:$C$1960,0)))</f>
        <v/>
      </c>
      <c r="J680" s="8">
        <f>IF(ISNA(MATCH(671,'Transfer Engine'!$C$2:$C$1960,0)),"",INDEX('Compliance Database'!$J$2:$J$1960,MATCH(671,'Transfer Engine'!$C$2:$C$1960,0)))</f>
        <v/>
      </c>
      <c r="K680" s="9">
        <f>IF(ISNA(MATCH(671,'Transfer Engine'!$C$2:$C$1960,0)),"",INDEX('Compliance Database'!$K$2:$K$1960,MATCH(671,'Transfer Engine'!$C$2:$C$1960,0)))</f>
        <v/>
      </c>
      <c r="L680" s="9">
        <f>IF(ISNA(MATCH(671,'Transfer Engine'!$C$2:$C$1960,0)),"",INDEX('Compliance Database'!$L$2:$L$1960,MATCH(671,'Transfer Engine'!$C$2:$C$1960,0)))</f>
        <v/>
      </c>
      <c r="M680" s="9">
        <f>IF(ISNA(MATCH(671,'Transfer Engine'!$C$2:$C$1960,0)),"",INDEX('Compliance Database'!$M$2:$M$1960,MATCH(671,'Transfer Engine'!$C$2:$C$1960,0)))</f>
        <v/>
      </c>
      <c r="N680" s="9">
        <f>IF(ISNA(MATCH(671,'Transfer Engine'!$C$2:$C$1960,0)),"",INDEX('Compliance Database'!$N$2:$N$1960,MATCH(671,'Transfer Engine'!$C$2:$C$1960,0)))</f>
        <v/>
      </c>
      <c r="O680" s="9">
        <f>IF(ISNA(MATCH(671,'Transfer Engine'!$C$2:$C$1960,0)),"",INDEX('Compliance Database'!$O$2:$O$1960,MATCH(671,'Transfer Engine'!$C$2:$C$1960,0)))</f>
        <v/>
      </c>
      <c r="P680" s="8">
        <f>IF(ISNA(MATCH(671,'Transfer Engine'!$C$2:$C$1960,0)),"",HYPERLINK("#Acts!A"&amp;INDEX('Compliance Database'!$P$2:$P$1960,MATCH(671,'Transfer Engine'!$C$2:$C$1960,0)),"Go to Act"))</f>
        <v/>
      </c>
    </row>
    <row r="681" ht="158" customHeight="1">
      <c r="A681" s="8">
        <f>IF(ISNA(MATCH(672,'Transfer Engine'!$C$2:$C$1960,0)),"",INDEX('Compliance Database'!$A$2:$A$1960,MATCH(672,'Transfer Engine'!$C$2:$C$1960,0)))</f>
        <v/>
      </c>
      <c r="B681" s="8">
        <f>IF(ISNA(MATCH(672,'Transfer Engine'!$C$2:$C$1960,0)),"",INDEX('Compliance Database'!$B$2:$B$1960,MATCH(672,'Transfer Engine'!$C$2:$C$1960,0)))</f>
        <v/>
      </c>
      <c r="C681" s="8">
        <f>IF(ISNA(MATCH(672,'Transfer Engine'!$C$2:$C$1960,0)),"",INDEX('Compliance Database'!$C$2:$C$1960,MATCH(672,'Transfer Engine'!$C$2:$C$1960,0)))</f>
        <v/>
      </c>
      <c r="D681" s="9">
        <f>IF(ISNA(MATCH(672,'Transfer Engine'!$C$2:$C$1960,0)),"",INDEX('Compliance Database'!$D$2:$D$1960,MATCH(672,'Transfer Engine'!$C$2:$C$1960,0)))</f>
        <v/>
      </c>
      <c r="E681" s="8">
        <f>IF(ISNA(MATCH(672,'Transfer Engine'!$C$2:$C$1960,0)),"",INDEX('Compliance Database'!$E$2:$E$1960,MATCH(672,'Transfer Engine'!$C$2:$C$1960,0)))</f>
        <v/>
      </c>
      <c r="F681" s="8">
        <f>IF(ISNA(MATCH(672,'Transfer Engine'!$C$2:$C$1960,0)),"",INDEX('Compliance Database'!$F$2:$F$1960,MATCH(672,'Transfer Engine'!$C$2:$C$1960,0)))</f>
        <v/>
      </c>
      <c r="G681" s="8">
        <f>IF(ISNA(MATCH(672,'Transfer Engine'!$C$2:$C$1960,0)),"",INDEX('Compliance Database'!$G$2:$G$1960,MATCH(672,'Transfer Engine'!$C$2:$C$1960,0)))</f>
        <v/>
      </c>
      <c r="H681" s="9">
        <f>IF(ISNA(MATCH(672,'Transfer Engine'!$C$2:$C$1960,0)),"",INDEX('Compliance Database'!$H$2:$H$1960,MATCH(672,'Transfer Engine'!$C$2:$C$1960,0)))</f>
        <v/>
      </c>
      <c r="I681" s="9">
        <f>IF(ISNA(MATCH(672,'Transfer Engine'!$C$2:$C$1960,0)),"",INDEX('Compliance Database'!$I$2:$I$1960,MATCH(672,'Transfer Engine'!$C$2:$C$1960,0)))</f>
        <v/>
      </c>
      <c r="J681" s="8">
        <f>IF(ISNA(MATCH(672,'Transfer Engine'!$C$2:$C$1960,0)),"",INDEX('Compliance Database'!$J$2:$J$1960,MATCH(672,'Transfer Engine'!$C$2:$C$1960,0)))</f>
        <v/>
      </c>
      <c r="K681" s="9">
        <f>IF(ISNA(MATCH(672,'Transfer Engine'!$C$2:$C$1960,0)),"",INDEX('Compliance Database'!$K$2:$K$1960,MATCH(672,'Transfer Engine'!$C$2:$C$1960,0)))</f>
        <v/>
      </c>
      <c r="L681" s="9">
        <f>IF(ISNA(MATCH(672,'Transfer Engine'!$C$2:$C$1960,0)),"",INDEX('Compliance Database'!$L$2:$L$1960,MATCH(672,'Transfer Engine'!$C$2:$C$1960,0)))</f>
        <v/>
      </c>
      <c r="M681" s="9">
        <f>IF(ISNA(MATCH(672,'Transfer Engine'!$C$2:$C$1960,0)),"",INDEX('Compliance Database'!$M$2:$M$1960,MATCH(672,'Transfer Engine'!$C$2:$C$1960,0)))</f>
        <v/>
      </c>
      <c r="N681" s="9">
        <f>IF(ISNA(MATCH(672,'Transfer Engine'!$C$2:$C$1960,0)),"",INDEX('Compliance Database'!$N$2:$N$1960,MATCH(672,'Transfer Engine'!$C$2:$C$1960,0)))</f>
        <v/>
      </c>
      <c r="O681" s="9">
        <f>IF(ISNA(MATCH(672,'Transfer Engine'!$C$2:$C$1960,0)),"",INDEX('Compliance Database'!$O$2:$O$1960,MATCH(672,'Transfer Engine'!$C$2:$C$1960,0)))</f>
        <v/>
      </c>
      <c r="P681" s="8">
        <f>IF(ISNA(MATCH(672,'Transfer Engine'!$C$2:$C$1960,0)),"",HYPERLINK("#Acts!A"&amp;INDEX('Compliance Database'!$P$2:$P$1960,MATCH(672,'Transfer Engine'!$C$2:$C$1960,0)),"Go to Act"))</f>
        <v/>
      </c>
    </row>
    <row r="682" ht="158" customHeight="1">
      <c r="A682" s="8">
        <f>IF(ISNA(MATCH(673,'Transfer Engine'!$C$2:$C$1960,0)),"",INDEX('Compliance Database'!$A$2:$A$1960,MATCH(673,'Transfer Engine'!$C$2:$C$1960,0)))</f>
        <v/>
      </c>
      <c r="B682" s="8">
        <f>IF(ISNA(MATCH(673,'Transfer Engine'!$C$2:$C$1960,0)),"",INDEX('Compliance Database'!$B$2:$B$1960,MATCH(673,'Transfer Engine'!$C$2:$C$1960,0)))</f>
        <v/>
      </c>
      <c r="C682" s="8">
        <f>IF(ISNA(MATCH(673,'Transfer Engine'!$C$2:$C$1960,0)),"",INDEX('Compliance Database'!$C$2:$C$1960,MATCH(673,'Transfer Engine'!$C$2:$C$1960,0)))</f>
        <v/>
      </c>
      <c r="D682" s="9">
        <f>IF(ISNA(MATCH(673,'Transfer Engine'!$C$2:$C$1960,0)),"",INDEX('Compliance Database'!$D$2:$D$1960,MATCH(673,'Transfer Engine'!$C$2:$C$1960,0)))</f>
        <v/>
      </c>
      <c r="E682" s="8">
        <f>IF(ISNA(MATCH(673,'Transfer Engine'!$C$2:$C$1960,0)),"",INDEX('Compliance Database'!$E$2:$E$1960,MATCH(673,'Transfer Engine'!$C$2:$C$1960,0)))</f>
        <v/>
      </c>
      <c r="F682" s="8">
        <f>IF(ISNA(MATCH(673,'Transfer Engine'!$C$2:$C$1960,0)),"",INDEX('Compliance Database'!$F$2:$F$1960,MATCH(673,'Transfer Engine'!$C$2:$C$1960,0)))</f>
        <v/>
      </c>
      <c r="G682" s="8">
        <f>IF(ISNA(MATCH(673,'Transfer Engine'!$C$2:$C$1960,0)),"",INDEX('Compliance Database'!$G$2:$G$1960,MATCH(673,'Transfer Engine'!$C$2:$C$1960,0)))</f>
        <v/>
      </c>
      <c r="H682" s="9">
        <f>IF(ISNA(MATCH(673,'Transfer Engine'!$C$2:$C$1960,0)),"",INDEX('Compliance Database'!$H$2:$H$1960,MATCH(673,'Transfer Engine'!$C$2:$C$1960,0)))</f>
        <v/>
      </c>
      <c r="I682" s="9">
        <f>IF(ISNA(MATCH(673,'Transfer Engine'!$C$2:$C$1960,0)),"",INDEX('Compliance Database'!$I$2:$I$1960,MATCH(673,'Transfer Engine'!$C$2:$C$1960,0)))</f>
        <v/>
      </c>
      <c r="J682" s="8">
        <f>IF(ISNA(MATCH(673,'Transfer Engine'!$C$2:$C$1960,0)),"",INDEX('Compliance Database'!$J$2:$J$1960,MATCH(673,'Transfer Engine'!$C$2:$C$1960,0)))</f>
        <v/>
      </c>
      <c r="K682" s="9">
        <f>IF(ISNA(MATCH(673,'Transfer Engine'!$C$2:$C$1960,0)),"",INDEX('Compliance Database'!$K$2:$K$1960,MATCH(673,'Transfer Engine'!$C$2:$C$1960,0)))</f>
        <v/>
      </c>
      <c r="L682" s="9">
        <f>IF(ISNA(MATCH(673,'Transfer Engine'!$C$2:$C$1960,0)),"",INDEX('Compliance Database'!$L$2:$L$1960,MATCH(673,'Transfer Engine'!$C$2:$C$1960,0)))</f>
        <v/>
      </c>
      <c r="M682" s="9">
        <f>IF(ISNA(MATCH(673,'Transfer Engine'!$C$2:$C$1960,0)),"",INDEX('Compliance Database'!$M$2:$M$1960,MATCH(673,'Transfer Engine'!$C$2:$C$1960,0)))</f>
        <v/>
      </c>
      <c r="N682" s="9">
        <f>IF(ISNA(MATCH(673,'Transfer Engine'!$C$2:$C$1960,0)),"",INDEX('Compliance Database'!$N$2:$N$1960,MATCH(673,'Transfer Engine'!$C$2:$C$1960,0)))</f>
        <v/>
      </c>
      <c r="O682" s="9">
        <f>IF(ISNA(MATCH(673,'Transfer Engine'!$C$2:$C$1960,0)),"",INDEX('Compliance Database'!$O$2:$O$1960,MATCH(673,'Transfer Engine'!$C$2:$C$1960,0)))</f>
        <v/>
      </c>
      <c r="P682" s="8">
        <f>IF(ISNA(MATCH(673,'Transfer Engine'!$C$2:$C$1960,0)),"",HYPERLINK("#Acts!A"&amp;INDEX('Compliance Database'!$P$2:$P$1960,MATCH(673,'Transfer Engine'!$C$2:$C$1960,0)),"Go to Act"))</f>
        <v/>
      </c>
    </row>
    <row r="683" ht="158" customHeight="1">
      <c r="A683" s="8">
        <f>IF(ISNA(MATCH(674,'Transfer Engine'!$C$2:$C$1960,0)),"",INDEX('Compliance Database'!$A$2:$A$1960,MATCH(674,'Transfer Engine'!$C$2:$C$1960,0)))</f>
        <v/>
      </c>
      <c r="B683" s="8">
        <f>IF(ISNA(MATCH(674,'Transfer Engine'!$C$2:$C$1960,0)),"",INDEX('Compliance Database'!$B$2:$B$1960,MATCH(674,'Transfer Engine'!$C$2:$C$1960,0)))</f>
        <v/>
      </c>
      <c r="C683" s="8">
        <f>IF(ISNA(MATCH(674,'Transfer Engine'!$C$2:$C$1960,0)),"",INDEX('Compliance Database'!$C$2:$C$1960,MATCH(674,'Transfer Engine'!$C$2:$C$1960,0)))</f>
        <v/>
      </c>
      <c r="D683" s="9">
        <f>IF(ISNA(MATCH(674,'Transfer Engine'!$C$2:$C$1960,0)),"",INDEX('Compliance Database'!$D$2:$D$1960,MATCH(674,'Transfer Engine'!$C$2:$C$1960,0)))</f>
        <v/>
      </c>
      <c r="E683" s="8">
        <f>IF(ISNA(MATCH(674,'Transfer Engine'!$C$2:$C$1960,0)),"",INDEX('Compliance Database'!$E$2:$E$1960,MATCH(674,'Transfer Engine'!$C$2:$C$1960,0)))</f>
        <v/>
      </c>
      <c r="F683" s="8">
        <f>IF(ISNA(MATCH(674,'Transfer Engine'!$C$2:$C$1960,0)),"",INDEX('Compliance Database'!$F$2:$F$1960,MATCH(674,'Transfer Engine'!$C$2:$C$1960,0)))</f>
        <v/>
      </c>
      <c r="G683" s="8">
        <f>IF(ISNA(MATCH(674,'Transfer Engine'!$C$2:$C$1960,0)),"",INDEX('Compliance Database'!$G$2:$G$1960,MATCH(674,'Transfer Engine'!$C$2:$C$1960,0)))</f>
        <v/>
      </c>
      <c r="H683" s="9">
        <f>IF(ISNA(MATCH(674,'Transfer Engine'!$C$2:$C$1960,0)),"",INDEX('Compliance Database'!$H$2:$H$1960,MATCH(674,'Transfer Engine'!$C$2:$C$1960,0)))</f>
        <v/>
      </c>
      <c r="I683" s="9">
        <f>IF(ISNA(MATCH(674,'Transfer Engine'!$C$2:$C$1960,0)),"",INDEX('Compliance Database'!$I$2:$I$1960,MATCH(674,'Transfer Engine'!$C$2:$C$1960,0)))</f>
        <v/>
      </c>
      <c r="J683" s="8">
        <f>IF(ISNA(MATCH(674,'Transfer Engine'!$C$2:$C$1960,0)),"",INDEX('Compliance Database'!$J$2:$J$1960,MATCH(674,'Transfer Engine'!$C$2:$C$1960,0)))</f>
        <v/>
      </c>
      <c r="K683" s="9">
        <f>IF(ISNA(MATCH(674,'Transfer Engine'!$C$2:$C$1960,0)),"",INDEX('Compliance Database'!$K$2:$K$1960,MATCH(674,'Transfer Engine'!$C$2:$C$1960,0)))</f>
        <v/>
      </c>
      <c r="L683" s="9">
        <f>IF(ISNA(MATCH(674,'Transfer Engine'!$C$2:$C$1960,0)),"",INDEX('Compliance Database'!$L$2:$L$1960,MATCH(674,'Transfer Engine'!$C$2:$C$1960,0)))</f>
        <v/>
      </c>
      <c r="M683" s="9">
        <f>IF(ISNA(MATCH(674,'Transfer Engine'!$C$2:$C$1960,0)),"",INDEX('Compliance Database'!$M$2:$M$1960,MATCH(674,'Transfer Engine'!$C$2:$C$1960,0)))</f>
        <v/>
      </c>
      <c r="N683" s="9">
        <f>IF(ISNA(MATCH(674,'Transfer Engine'!$C$2:$C$1960,0)),"",INDEX('Compliance Database'!$N$2:$N$1960,MATCH(674,'Transfer Engine'!$C$2:$C$1960,0)))</f>
        <v/>
      </c>
      <c r="O683" s="9">
        <f>IF(ISNA(MATCH(674,'Transfer Engine'!$C$2:$C$1960,0)),"",INDEX('Compliance Database'!$O$2:$O$1960,MATCH(674,'Transfer Engine'!$C$2:$C$1960,0)))</f>
        <v/>
      </c>
      <c r="P683" s="8">
        <f>IF(ISNA(MATCH(674,'Transfer Engine'!$C$2:$C$1960,0)),"",HYPERLINK("#Acts!A"&amp;INDEX('Compliance Database'!$P$2:$P$1960,MATCH(674,'Transfer Engine'!$C$2:$C$1960,0)),"Go to Act"))</f>
        <v/>
      </c>
    </row>
    <row r="684" ht="158" customHeight="1">
      <c r="A684" s="8">
        <f>IF(ISNA(MATCH(675,'Transfer Engine'!$C$2:$C$1960,0)),"",INDEX('Compliance Database'!$A$2:$A$1960,MATCH(675,'Transfer Engine'!$C$2:$C$1960,0)))</f>
        <v/>
      </c>
      <c r="B684" s="8">
        <f>IF(ISNA(MATCH(675,'Transfer Engine'!$C$2:$C$1960,0)),"",INDEX('Compliance Database'!$B$2:$B$1960,MATCH(675,'Transfer Engine'!$C$2:$C$1960,0)))</f>
        <v/>
      </c>
      <c r="C684" s="8">
        <f>IF(ISNA(MATCH(675,'Transfer Engine'!$C$2:$C$1960,0)),"",INDEX('Compliance Database'!$C$2:$C$1960,MATCH(675,'Transfer Engine'!$C$2:$C$1960,0)))</f>
        <v/>
      </c>
      <c r="D684" s="9">
        <f>IF(ISNA(MATCH(675,'Transfer Engine'!$C$2:$C$1960,0)),"",INDEX('Compliance Database'!$D$2:$D$1960,MATCH(675,'Transfer Engine'!$C$2:$C$1960,0)))</f>
        <v/>
      </c>
      <c r="E684" s="8">
        <f>IF(ISNA(MATCH(675,'Transfer Engine'!$C$2:$C$1960,0)),"",INDEX('Compliance Database'!$E$2:$E$1960,MATCH(675,'Transfer Engine'!$C$2:$C$1960,0)))</f>
        <v/>
      </c>
      <c r="F684" s="8">
        <f>IF(ISNA(MATCH(675,'Transfer Engine'!$C$2:$C$1960,0)),"",INDEX('Compliance Database'!$F$2:$F$1960,MATCH(675,'Transfer Engine'!$C$2:$C$1960,0)))</f>
        <v/>
      </c>
      <c r="G684" s="8">
        <f>IF(ISNA(MATCH(675,'Transfer Engine'!$C$2:$C$1960,0)),"",INDEX('Compliance Database'!$G$2:$G$1960,MATCH(675,'Transfer Engine'!$C$2:$C$1960,0)))</f>
        <v/>
      </c>
      <c r="H684" s="9">
        <f>IF(ISNA(MATCH(675,'Transfer Engine'!$C$2:$C$1960,0)),"",INDEX('Compliance Database'!$H$2:$H$1960,MATCH(675,'Transfer Engine'!$C$2:$C$1960,0)))</f>
        <v/>
      </c>
      <c r="I684" s="9">
        <f>IF(ISNA(MATCH(675,'Transfer Engine'!$C$2:$C$1960,0)),"",INDEX('Compliance Database'!$I$2:$I$1960,MATCH(675,'Transfer Engine'!$C$2:$C$1960,0)))</f>
        <v/>
      </c>
      <c r="J684" s="8">
        <f>IF(ISNA(MATCH(675,'Transfer Engine'!$C$2:$C$1960,0)),"",INDEX('Compliance Database'!$J$2:$J$1960,MATCH(675,'Transfer Engine'!$C$2:$C$1960,0)))</f>
        <v/>
      </c>
      <c r="K684" s="9">
        <f>IF(ISNA(MATCH(675,'Transfer Engine'!$C$2:$C$1960,0)),"",INDEX('Compliance Database'!$K$2:$K$1960,MATCH(675,'Transfer Engine'!$C$2:$C$1960,0)))</f>
        <v/>
      </c>
      <c r="L684" s="9">
        <f>IF(ISNA(MATCH(675,'Transfer Engine'!$C$2:$C$1960,0)),"",INDEX('Compliance Database'!$L$2:$L$1960,MATCH(675,'Transfer Engine'!$C$2:$C$1960,0)))</f>
        <v/>
      </c>
      <c r="M684" s="9">
        <f>IF(ISNA(MATCH(675,'Transfer Engine'!$C$2:$C$1960,0)),"",INDEX('Compliance Database'!$M$2:$M$1960,MATCH(675,'Transfer Engine'!$C$2:$C$1960,0)))</f>
        <v/>
      </c>
      <c r="N684" s="9">
        <f>IF(ISNA(MATCH(675,'Transfer Engine'!$C$2:$C$1960,0)),"",INDEX('Compliance Database'!$N$2:$N$1960,MATCH(675,'Transfer Engine'!$C$2:$C$1960,0)))</f>
        <v/>
      </c>
      <c r="O684" s="9">
        <f>IF(ISNA(MATCH(675,'Transfer Engine'!$C$2:$C$1960,0)),"",INDEX('Compliance Database'!$O$2:$O$1960,MATCH(675,'Transfer Engine'!$C$2:$C$1960,0)))</f>
        <v/>
      </c>
      <c r="P684" s="8">
        <f>IF(ISNA(MATCH(675,'Transfer Engine'!$C$2:$C$1960,0)),"",HYPERLINK("#Acts!A"&amp;INDEX('Compliance Database'!$P$2:$P$1960,MATCH(675,'Transfer Engine'!$C$2:$C$1960,0)),"Go to Act"))</f>
        <v/>
      </c>
    </row>
    <row r="685" ht="158" customHeight="1">
      <c r="A685" s="8">
        <f>IF(ISNA(MATCH(676,'Transfer Engine'!$C$2:$C$1960,0)),"",INDEX('Compliance Database'!$A$2:$A$1960,MATCH(676,'Transfer Engine'!$C$2:$C$1960,0)))</f>
        <v/>
      </c>
      <c r="B685" s="8">
        <f>IF(ISNA(MATCH(676,'Transfer Engine'!$C$2:$C$1960,0)),"",INDEX('Compliance Database'!$B$2:$B$1960,MATCH(676,'Transfer Engine'!$C$2:$C$1960,0)))</f>
        <v/>
      </c>
      <c r="C685" s="8">
        <f>IF(ISNA(MATCH(676,'Transfer Engine'!$C$2:$C$1960,0)),"",INDEX('Compliance Database'!$C$2:$C$1960,MATCH(676,'Transfer Engine'!$C$2:$C$1960,0)))</f>
        <v/>
      </c>
      <c r="D685" s="9">
        <f>IF(ISNA(MATCH(676,'Transfer Engine'!$C$2:$C$1960,0)),"",INDEX('Compliance Database'!$D$2:$D$1960,MATCH(676,'Transfer Engine'!$C$2:$C$1960,0)))</f>
        <v/>
      </c>
      <c r="E685" s="8">
        <f>IF(ISNA(MATCH(676,'Transfer Engine'!$C$2:$C$1960,0)),"",INDEX('Compliance Database'!$E$2:$E$1960,MATCH(676,'Transfer Engine'!$C$2:$C$1960,0)))</f>
        <v/>
      </c>
      <c r="F685" s="8">
        <f>IF(ISNA(MATCH(676,'Transfer Engine'!$C$2:$C$1960,0)),"",INDEX('Compliance Database'!$F$2:$F$1960,MATCH(676,'Transfer Engine'!$C$2:$C$1960,0)))</f>
        <v/>
      </c>
      <c r="G685" s="8">
        <f>IF(ISNA(MATCH(676,'Transfer Engine'!$C$2:$C$1960,0)),"",INDEX('Compliance Database'!$G$2:$G$1960,MATCH(676,'Transfer Engine'!$C$2:$C$1960,0)))</f>
        <v/>
      </c>
      <c r="H685" s="9">
        <f>IF(ISNA(MATCH(676,'Transfer Engine'!$C$2:$C$1960,0)),"",INDEX('Compliance Database'!$H$2:$H$1960,MATCH(676,'Transfer Engine'!$C$2:$C$1960,0)))</f>
        <v/>
      </c>
      <c r="I685" s="9">
        <f>IF(ISNA(MATCH(676,'Transfer Engine'!$C$2:$C$1960,0)),"",INDEX('Compliance Database'!$I$2:$I$1960,MATCH(676,'Transfer Engine'!$C$2:$C$1960,0)))</f>
        <v/>
      </c>
      <c r="J685" s="8">
        <f>IF(ISNA(MATCH(676,'Transfer Engine'!$C$2:$C$1960,0)),"",INDEX('Compliance Database'!$J$2:$J$1960,MATCH(676,'Transfer Engine'!$C$2:$C$1960,0)))</f>
        <v/>
      </c>
      <c r="K685" s="9">
        <f>IF(ISNA(MATCH(676,'Transfer Engine'!$C$2:$C$1960,0)),"",INDEX('Compliance Database'!$K$2:$K$1960,MATCH(676,'Transfer Engine'!$C$2:$C$1960,0)))</f>
        <v/>
      </c>
      <c r="L685" s="9">
        <f>IF(ISNA(MATCH(676,'Transfer Engine'!$C$2:$C$1960,0)),"",INDEX('Compliance Database'!$L$2:$L$1960,MATCH(676,'Transfer Engine'!$C$2:$C$1960,0)))</f>
        <v/>
      </c>
      <c r="M685" s="9">
        <f>IF(ISNA(MATCH(676,'Transfer Engine'!$C$2:$C$1960,0)),"",INDEX('Compliance Database'!$M$2:$M$1960,MATCH(676,'Transfer Engine'!$C$2:$C$1960,0)))</f>
        <v/>
      </c>
      <c r="N685" s="9">
        <f>IF(ISNA(MATCH(676,'Transfer Engine'!$C$2:$C$1960,0)),"",INDEX('Compliance Database'!$N$2:$N$1960,MATCH(676,'Transfer Engine'!$C$2:$C$1960,0)))</f>
        <v/>
      </c>
      <c r="O685" s="9">
        <f>IF(ISNA(MATCH(676,'Transfer Engine'!$C$2:$C$1960,0)),"",INDEX('Compliance Database'!$O$2:$O$1960,MATCH(676,'Transfer Engine'!$C$2:$C$1960,0)))</f>
        <v/>
      </c>
      <c r="P685" s="8">
        <f>IF(ISNA(MATCH(676,'Transfer Engine'!$C$2:$C$1960,0)),"",HYPERLINK("#Acts!A"&amp;INDEX('Compliance Database'!$P$2:$P$1960,MATCH(676,'Transfer Engine'!$C$2:$C$1960,0)),"Go to Act"))</f>
        <v/>
      </c>
    </row>
    <row r="686" ht="158" customHeight="1">
      <c r="A686" s="8">
        <f>IF(ISNA(MATCH(677,'Transfer Engine'!$C$2:$C$1960,0)),"",INDEX('Compliance Database'!$A$2:$A$1960,MATCH(677,'Transfer Engine'!$C$2:$C$1960,0)))</f>
        <v/>
      </c>
      <c r="B686" s="8">
        <f>IF(ISNA(MATCH(677,'Transfer Engine'!$C$2:$C$1960,0)),"",INDEX('Compliance Database'!$B$2:$B$1960,MATCH(677,'Transfer Engine'!$C$2:$C$1960,0)))</f>
        <v/>
      </c>
      <c r="C686" s="8">
        <f>IF(ISNA(MATCH(677,'Transfer Engine'!$C$2:$C$1960,0)),"",INDEX('Compliance Database'!$C$2:$C$1960,MATCH(677,'Transfer Engine'!$C$2:$C$1960,0)))</f>
        <v/>
      </c>
      <c r="D686" s="9">
        <f>IF(ISNA(MATCH(677,'Transfer Engine'!$C$2:$C$1960,0)),"",INDEX('Compliance Database'!$D$2:$D$1960,MATCH(677,'Transfer Engine'!$C$2:$C$1960,0)))</f>
        <v/>
      </c>
      <c r="E686" s="8">
        <f>IF(ISNA(MATCH(677,'Transfer Engine'!$C$2:$C$1960,0)),"",INDEX('Compliance Database'!$E$2:$E$1960,MATCH(677,'Transfer Engine'!$C$2:$C$1960,0)))</f>
        <v/>
      </c>
      <c r="F686" s="8">
        <f>IF(ISNA(MATCH(677,'Transfer Engine'!$C$2:$C$1960,0)),"",INDEX('Compliance Database'!$F$2:$F$1960,MATCH(677,'Transfer Engine'!$C$2:$C$1960,0)))</f>
        <v/>
      </c>
      <c r="G686" s="8">
        <f>IF(ISNA(MATCH(677,'Transfer Engine'!$C$2:$C$1960,0)),"",INDEX('Compliance Database'!$G$2:$G$1960,MATCH(677,'Transfer Engine'!$C$2:$C$1960,0)))</f>
        <v/>
      </c>
      <c r="H686" s="9">
        <f>IF(ISNA(MATCH(677,'Transfer Engine'!$C$2:$C$1960,0)),"",INDEX('Compliance Database'!$H$2:$H$1960,MATCH(677,'Transfer Engine'!$C$2:$C$1960,0)))</f>
        <v/>
      </c>
      <c r="I686" s="9">
        <f>IF(ISNA(MATCH(677,'Transfer Engine'!$C$2:$C$1960,0)),"",INDEX('Compliance Database'!$I$2:$I$1960,MATCH(677,'Transfer Engine'!$C$2:$C$1960,0)))</f>
        <v/>
      </c>
      <c r="J686" s="8">
        <f>IF(ISNA(MATCH(677,'Transfer Engine'!$C$2:$C$1960,0)),"",INDEX('Compliance Database'!$J$2:$J$1960,MATCH(677,'Transfer Engine'!$C$2:$C$1960,0)))</f>
        <v/>
      </c>
      <c r="K686" s="9">
        <f>IF(ISNA(MATCH(677,'Transfer Engine'!$C$2:$C$1960,0)),"",INDEX('Compliance Database'!$K$2:$K$1960,MATCH(677,'Transfer Engine'!$C$2:$C$1960,0)))</f>
        <v/>
      </c>
      <c r="L686" s="9">
        <f>IF(ISNA(MATCH(677,'Transfer Engine'!$C$2:$C$1960,0)),"",INDEX('Compliance Database'!$L$2:$L$1960,MATCH(677,'Transfer Engine'!$C$2:$C$1960,0)))</f>
        <v/>
      </c>
      <c r="M686" s="9">
        <f>IF(ISNA(MATCH(677,'Transfer Engine'!$C$2:$C$1960,0)),"",INDEX('Compliance Database'!$M$2:$M$1960,MATCH(677,'Transfer Engine'!$C$2:$C$1960,0)))</f>
        <v/>
      </c>
      <c r="N686" s="9">
        <f>IF(ISNA(MATCH(677,'Transfer Engine'!$C$2:$C$1960,0)),"",INDEX('Compliance Database'!$N$2:$N$1960,MATCH(677,'Transfer Engine'!$C$2:$C$1960,0)))</f>
        <v/>
      </c>
      <c r="O686" s="9">
        <f>IF(ISNA(MATCH(677,'Transfer Engine'!$C$2:$C$1960,0)),"",INDEX('Compliance Database'!$O$2:$O$1960,MATCH(677,'Transfer Engine'!$C$2:$C$1960,0)))</f>
        <v/>
      </c>
      <c r="P686" s="8">
        <f>IF(ISNA(MATCH(677,'Transfer Engine'!$C$2:$C$1960,0)),"",HYPERLINK("#Acts!A"&amp;INDEX('Compliance Database'!$P$2:$P$1960,MATCH(677,'Transfer Engine'!$C$2:$C$1960,0)),"Go to Act"))</f>
        <v/>
      </c>
    </row>
    <row r="687" ht="158" customHeight="1">
      <c r="A687" s="8">
        <f>IF(ISNA(MATCH(678,'Transfer Engine'!$C$2:$C$1960,0)),"",INDEX('Compliance Database'!$A$2:$A$1960,MATCH(678,'Transfer Engine'!$C$2:$C$1960,0)))</f>
        <v/>
      </c>
      <c r="B687" s="8">
        <f>IF(ISNA(MATCH(678,'Transfer Engine'!$C$2:$C$1960,0)),"",INDEX('Compliance Database'!$B$2:$B$1960,MATCH(678,'Transfer Engine'!$C$2:$C$1960,0)))</f>
        <v/>
      </c>
      <c r="C687" s="8">
        <f>IF(ISNA(MATCH(678,'Transfer Engine'!$C$2:$C$1960,0)),"",INDEX('Compliance Database'!$C$2:$C$1960,MATCH(678,'Transfer Engine'!$C$2:$C$1960,0)))</f>
        <v/>
      </c>
      <c r="D687" s="9">
        <f>IF(ISNA(MATCH(678,'Transfer Engine'!$C$2:$C$1960,0)),"",INDEX('Compliance Database'!$D$2:$D$1960,MATCH(678,'Transfer Engine'!$C$2:$C$1960,0)))</f>
        <v/>
      </c>
      <c r="E687" s="8">
        <f>IF(ISNA(MATCH(678,'Transfer Engine'!$C$2:$C$1960,0)),"",INDEX('Compliance Database'!$E$2:$E$1960,MATCH(678,'Transfer Engine'!$C$2:$C$1960,0)))</f>
        <v/>
      </c>
      <c r="F687" s="8">
        <f>IF(ISNA(MATCH(678,'Transfer Engine'!$C$2:$C$1960,0)),"",INDEX('Compliance Database'!$F$2:$F$1960,MATCH(678,'Transfer Engine'!$C$2:$C$1960,0)))</f>
        <v/>
      </c>
      <c r="G687" s="8">
        <f>IF(ISNA(MATCH(678,'Transfer Engine'!$C$2:$C$1960,0)),"",INDEX('Compliance Database'!$G$2:$G$1960,MATCH(678,'Transfer Engine'!$C$2:$C$1960,0)))</f>
        <v/>
      </c>
      <c r="H687" s="9">
        <f>IF(ISNA(MATCH(678,'Transfer Engine'!$C$2:$C$1960,0)),"",INDEX('Compliance Database'!$H$2:$H$1960,MATCH(678,'Transfer Engine'!$C$2:$C$1960,0)))</f>
        <v/>
      </c>
      <c r="I687" s="9">
        <f>IF(ISNA(MATCH(678,'Transfer Engine'!$C$2:$C$1960,0)),"",INDEX('Compliance Database'!$I$2:$I$1960,MATCH(678,'Transfer Engine'!$C$2:$C$1960,0)))</f>
        <v/>
      </c>
      <c r="J687" s="8">
        <f>IF(ISNA(MATCH(678,'Transfer Engine'!$C$2:$C$1960,0)),"",INDEX('Compliance Database'!$J$2:$J$1960,MATCH(678,'Transfer Engine'!$C$2:$C$1960,0)))</f>
        <v/>
      </c>
      <c r="K687" s="9">
        <f>IF(ISNA(MATCH(678,'Transfer Engine'!$C$2:$C$1960,0)),"",INDEX('Compliance Database'!$K$2:$K$1960,MATCH(678,'Transfer Engine'!$C$2:$C$1960,0)))</f>
        <v/>
      </c>
      <c r="L687" s="9">
        <f>IF(ISNA(MATCH(678,'Transfer Engine'!$C$2:$C$1960,0)),"",INDEX('Compliance Database'!$L$2:$L$1960,MATCH(678,'Transfer Engine'!$C$2:$C$1960,0)))</f>
        <v/>
      </c>
      <c r="M687" s="9">
        <f>IF(ISNA(MATCH(678,'Transfer Engine'!$C$2:$C$1960,0)),"",INDEX('Compliance Database'!$M$2:$M$1960,MATCH(678,'Transfer Engine'!$C$2:$C$1960,0)))</f>
        <v/>
      </c>
      <c r="N687" s="9">
        <f>IF(ISNA(MATCH(678,'Transfer Engine'!$C$2:$C$1960,0)),"",INDEX('Compliance Database'!$N$2:$N$1960,MATCH(678,'Transfer Engine'!$C$2:$C$1960,0)))</f>
        <v/>
      </c>
      <c r="O687" s="9">
        <f>IF(ISNA(MATCH(678,'Transfer Engine'!$C$2:$C$1960,0)),"",INDEX('Compliance Database'!$O$2:$O$1960,MATCH(678,'Transfer Engine'!$C$2:$C$1960,0)))</f>
        <v/>
      </c>
      <c r="P687" s="8">
        <f>IF(ISNA(MATCH(678,'Transfer Engine'!$C$2:$C$1960,0)),"",HYPERLINK("#Acts!A"&amp;INDEX('Compliance Database'!$P$2:$P$1960,MATCH(678,'Transfer Engine'!$C$2:$C$1960,0)),"Go to Act"))</f>
        <v/>
      </c>
    </row>
    <row r="688" ht="158" customHeight="1">
      <c r="A688" s="8">
        <f>IF(ISNA(MATCH(679,'Transfer Engine'!$C$2:$C$1960,0)),"",INDEX('Compliance Database'!$A$2:$A$1960,MATCH(679,'Transfer Engine'!$C$2:$C$1960,0)))</f>
        <v/>
      </c>
      <c r="B688" s="8">
        <f>IF(ISNA(MATCH(679,'Transfer Engine'!$C$2:$C$1960,0)),"",INDEX('Compliance Database'!$B$2:$B$1960,MATCH(679,'Transfer Engine'!$C$2:$C$1960,0)))</f>
        <v/>
      </c>
      <c r="C688" s="8">
        <f>IF(ISNA(MATCH(679,'Transfer Engine'!$C$2:$C$1960,0)),"",INDEX('Compliance Database'!$C$2:$C$1960,MATCH(679,'Transfer Engine'!$C$2:$C$1960,0)))</f>
        <v/>
      </c>
      <c r="D688" s="9">
        <f>IF(ISNA(MATCH(679,'Transfer Engine'!$C$2:$C$1960,0)),"",INDEX('Compliance Database'!$D$2:$D$1960,MATCH(679,'Transfer Engine'!$C$2:$C$1960,0)))</f>
        <v/>
      </c>
      <c r="E688" s="8">
        <f>IF(ISNA(MATCH(679,'Transfer Engine'!$C$2:$C$1960,0)),"",INDEX('Compliance Database'!$E$2:$E$1960,MATCH(679,'Transfer Engine'!$C$2:$C$1960,0)))</f>
        <v/>
      </c>
      <c r="F688" s="8">
        <f>IF(ISNA(MATCH(679,'Transfer Engine'!$C$2:$C$1960,0)),"",INDEX('Compliance Database'!$F$2:$F$1960,MATCH(679,'Transfer Engine'!$C$2:$C$1960,0)))</f>
        <v/>
      </c>
      <c r="G688" s="8">
        <f>IF(ISNA(MATCH(679,'Transfer Engine'!$C$2:$C$1960,0)),"",INDEX('Compliance Database'!$G$2:$G$1960,MATCH(679,'Transfer Engine'!$C$2:$C$1960,0)))</f>
        <v/>
      </c>
      <c r="H688" s="9">
        <f>IF(ISNA(MATCH(679,'Transfer Engine'!$C$2:$C$1960,0)),"",INDEX('Compliance Database'!$H$2:$H$1960,MATCH(679,'Transfer Engine'!$C$2:$C$1960,0)))</f>
        <v/>
      </c>
      <c r="I688" s="9">
        <f>IF(ISNA(MATCH(679,'Transfer Engine'!$C$2:$C$1960,0)),"",INDEX('Compliance Database'!$I$2:$I$1960,MATCH(679,'Transfer Engine'!$C$2:$C$1960,0)))</f>
        <v/>
      </c>
      <c r="J688" s="8">
        <f>IF(ISNA(MATCH(679,'Transfer Engine'!$C$2:$C$1960,0)),"",INDEX('Compliance Database'!$J$2:$J$1960,MATCH(679,'Transfer Engine'!$C$2:$C$1960,0)))</f>
        <v/>
      </c>
      <c r="K688" s="9">
        <f>IF(ISNA(MATCH(679,'Transfer Engine'!$C$2:$C$1960,0)),"",INDEX('Compliance Database'!$K$2:$K$1960,MATCH(679,'Transfer Engine'!$C$2:$C$1960,0)))</f>
        <v/>
      </c>
      <c r="L688" s="9">
        <f>IF(ISNA(MATCH(679,'Transfer Engine'!$C$2:$C$1960,0)),"",INDEX('Compliance Database'!$L$2:$L$1960,MATCH(679,'Transfer Engine'!$C$2:$C$1960,0)))</f>
        <v/>
      </c>
      <c r="M688" s="9">
        <f>IF(ISNA(MATCH(679,'Transfer Engine'!$C$2:$C$1960,0)),"",INDEX('Compliance Database'!$M$2:$M$1960,MATCH(679,'Transfer Engine'!$C$2:$C$1960,0)))</f>
        <v/>
      </c>
      <c r="N688" s="9">
        <f>IF(ISNA(MATCH(679,'Transfer Engine'!$C$2:$C$1960,0)),"",INDEX('Compliance Database'!$N$2:$N$1960,MATCH(679,'Transfer Engine'!$C$2:$C$1960,0)))</f>
        <v/>
      </c>
      <c r="O688" s="9">
        <f>IF(ISNA(MATCH(679,'Transfer Engine'!$C$2:$C$1960,0)),"",INDEX('Compliance Database'!$O$2:$O$1960,MATCH(679,'Transfer Engine'!$C$2:$C$1960,0)))</f>
        <v/>
      </c>
      <c r="P688" s="8">
        <f>IF(ISNA(MATCH(679,'Transfer Engine'!$C$2:$C$1960,0)),"",HYPERLINK("#Acts!A"&amp;INDEX('Compliance Database'!$P$2:$P$1960,MATCH(679,'Transfer Engine'!$C$2:$C$1960,0)),"Go to Act"))</f>
        <v/>
      </c>
    </row>
    <row r="689" ht="158" customHeight="1">
      <c r="A689" s="8">
        <f>IF(ISNA(MATCH(680,'Transfer Engine'!$C$2:$C$1960,0)),"",INDEX('Compliance Database'!$A$2:$A$1960,MATCH(680,'Transfer Engine'!$C$2:$C$1960,0)))</f>
        <v/>
      </c>
      <c r="B689" s="8">
        <f>IF(ISNA(MATCH(680,'Transfer Engine'!$C$2:$C$1960,0)),"",INDEX('Compliance Database'!$B$2:$B$1960,MATCH(680,'Transfer Engine'!$C$2:$C$1960,0)))</f>
        <v/>
      </c>
      <c r="C689" s="8">
        <f>IF(ISNA(MATCH(680,'Transfer Engine'!$C$2:$C$1960,0)),"",INDEX('Compliance Database'!$C$2:$C$1960,MATCH(680,'Transfer Engine'!$C$2:$C$1960,0)))</f>
        <v/>
      </c>
      <c r="D689" s="9">
        <f>IF(ISNA(MATCH(680,'Transfer Engine'!$C$2:$C$1960,0)),"",INDEX('Compliance Database'!$D$2:$D$1960,MATCH(680,'Transfer Engine'!$C$2:$C$1960,0)))</f>
        <v/>
      </c>
      <c r="E689" s="8">
        <f>IF(ISNA(MATCH(680,'Transfer Engine'!$C$2:$C$1960,0)),"",INDEX('Compliance Database'!$E$2:$E$1960,MATCH(680,'Transfer Engine'!$C$2:$C$1960,0)))</f>
        <v/>
      </c>
      <c r="F689" s="8">
        <f>IF(ISNA(MATCH(680,'Transfer Engine'!$C$2:$C$1960,0)),"",INDEX('Compliance Database'!$F$2:$F$1960,MATCH(680,'Transfer Engine'!$C$2:$C$1960,0)))</f>
        <v/>
      </c>
      <c r="G689" s="8">
        <f>IF(ISNA(MATCH(680,'Transfer Engine'!$C$2:$C$1960,0)),"",INDEX('Compliance Database'!$G$2:$G$1960,MATCH(680,'Transfer Engine'!$C$2:$C$1960,0)))</f>
        <v/>
      </c>
      <c r="H689" s="9">
        <f>IF(ISNA(MATCH(680,'Transfer Engine'!$C$2:$C$1960,0)),"",INDEX('Compliance Database'!$H$2:$H$1960,MATCH(680,'Transfer Engine'!$C$2:$C$1960,0)))</f>
        <v/>
      </c>
      <c r="I689" s="9">
        <f>IF(ISNA(MATCH(680,'Transfer Engine'!$C$2:$C$1960,0)),"",INDEX('Compliance Database'!$I$2:$I$1960,MATCH(680,'Transfer Engine'!$C$2:$C$1960,0)))</f>
        <v/>
      </c>
      <c r="J689" s="8">
        <f>IF(ISNA(MATCH(680,'Transfer Engine'!$C$2:$C$1960,0)),"",INDEX('Compliance Database'!$J$2:$J$1960,MATCH(680,'Transfer Engine'!$C$2:$C$1960,0)))</f>
        <v/>
      </c>
      <c r="K689" s="9">
        <f>IF(ISNA(MATCH(680,'Transfer Engine'!$C$2:$C$1960,0)),"",INDEX('Compliance Database'!$K$2:$K$1960,MATCH(680,'Transfer Engine'!$C$2:$C$1960,0)))</f>
        <v/>
      </c>
      <c r="L689" s="9">
        <f>IF(ISNA(MATCH(680,'Transfer Engine'!$C$2:$C$1960,0)),"",INDEX('Compliance Database'!$L$2:$L$1960,MATCH(680,'Transfer Engine'!$C$2:$C$1960,0)))</f>
        <v/>
      </c>
      <c r="M689" s="9">
        <f>IF(ISNA(MATCH(680,'Transfer Engine'!$C$2:$C$1960,0)),"",INDEX('Compliance Database'!$M$2:$M$1960,MATCH(680,'Transfer Engine'!$C$2:$C$1960,0)))</f>
        <v/>
      </c>
      <c r="N689" s="9">
        <f>IF(ISNA(MATCH(680,'Transfer Engine'!$C$2:$C$1960,0)),"",INDEX('Compliance Database'!$N$2:$N$1960,MATCH(680,'Transfer Engine'!$C$2:$C$1960,0)))</f>
        <v/>
      </c>
      <c r="O689" s="9">
        <f>IF(ISNA(MATCH(680,'Transfer Engine'!$C$2:$C$1960,0)),"",INDEX('Compliance Database'!$O$2:$O$1960,MATCH(680,'Transfer Engine'!$C$2:$C$1960,0)))</f>
        <v/>
      </c>
      <c r="P689" s="8">
        <f>IF(ISNA(MATCH(680,'Transfer Engine'!$C$2:$C$1960,0)),"",HYPERLINK("#Acts!A"&amp;INDEX('Compliance Database'!$P$2:$P$1960,MATCH(680,'Transfer Engine'!$C$2:$C$1960,0)),"Go to Act"))</f>
        <v/>
      </c>
    </row>
    <row r="690" ht="158" customHeight="1">
      <c r="A690" s="8">
        <f>IF(ISNA(MATCH(681,'Transfer Engine'!$C$2:$C$1960,0)),"",INDEX('Compliance Database'!$A$2:$A$1960,MATCH(681,'Transfer Engine'!$C$2:$C$1960,0)))</f>
        <v/>
      </c>
      <c r="B690" s="8">
        <f>IF(ISNA(MATCH(681,'Transfer Engine'!$C$2:$C$1960,0)),"",INDEX('Compliance Database'!$B$2:$B$1960,MATCH(681,'Transfer Engine'!$C$2:$C$1960,0)))</f>
        <v/>
      </c>
      <c r="C690" s="8">
        <f>IF(ISNA(MATCH(681,'Transfer Engine'!$C$2:$C$1960,0)),"",INDEX('Compliance Database'!$C$2:$C$1960,MATCH(681,'Transfer Engine'!$C$2:$C$1960,0)))</f>
        <v/>
      </c>
      <c r="D690" s="9">
        <f>IF(ISNA(MATCH(681,'Transfer Engine'!$C$2:$C$1960,0)),"",INDEX('Compliance Database'!$D$2:$D$1960,MATCH(681,'Transfer Engine'!$C$2:$C$1960,0)))</f>
        <v/>
      </c>
      <c r="E690" s="8">
        <f>IF(ISNA(MATCH(681,'Transfer Engine'!$C$2:$C$1960,0)),"",INDEX('Compliance Database'!$E$2:$E$1960,MATCH(681,'Transfer Engine'!$C$2:$C$1960,0)))</f>
        <v/>
      </c>
      <c r="F690" s="8">
        <f>IF(ISNA(MATCH(681,'Transfer Engine'!$C$2:$C$1960,0)),"",INDEX('Compliance Database'!$F$2:$F$1960,MATCH(681,'Transfer Engine'!$C$2:$C$1960,0)))</f>
        <v/>
      </c>
      <c r="G690" s="8">
        <f>IF(ISNA(MATCH(681,'Transfer Engine'!$C$2:$C$1960,0)),"",INDEX('Compliance Database'!$G$2:$G$1960,MATCH(681,'Transfer Engine'!$C$2:$C$1960,0)))</f>
        <v/>
      </c>
      <c r="H690" s="9">
        <f>IF(ISNA(MATCH(681,'Transfer Engine'!$C$2:$C$1960,0)),"",INDEX('Compliance Database'!$H$2:$H$1960,MATCH(681,'Transfer Engine'!$C$2:$C$1960,0)))</f>
        <v/>
      </c>
      <c r="I690" s="9">
        <f>IF(ISNA(MATCH(681,'Transfer Engine'!$C$2:$C$1960,0)),"",INDEX('Compliance Database'!$I$2:$I$1960,MATCH(681,'Transfer Engine'!$C$2:$C$1960,0)))</f>
        <v/>
      </c>
      <c r="J690" s="8">
        <f>IF(ISNA(MATCH(681,'Transfer Engine'!$C$2:$C$1960,0)),"",INDEX('Compliance Database'!$J$2:$J$1960,MATCH(681,'Transfer Engine'!$C$2:$C$1960,0)))</f>
        <v/>
      </c>
      <c r="K690" s="9">
        <f>IF(ISNA(MATCH(681,'Transfer Engine'!$C$2:$C$1960,0)),"",INDEX('Compliance Database'!$K$2:$K$1960,MATCH(681,'Transfer Engine'!$C$2:$C$1960,0)))</f>
        <v/>
      </c>
      <c r="L690" s="9">
        <f>IF(ISNA(MATCH(681,'Transfer Engine'!$C$2:$C$1960,0)),"",INDEX('Compliance Database'!$L$2:$L$1960,MATCH(681,'Transfer Engine'!$C$2:$C$1960,0)))</f>
        <v/>
      </c>
      <c r="M690" s="9">
        <f>IF(ISNA(MATCH(681,'Transfer Engine'!$C$2:$C$1960,0)),"",INDEX('Compliance Database'!$M$2:$M$1960,MATCH(681,'Transfer Engine'!$C$2:$C$1960,0)))</f>
        <v/>
      </c>
      <c r="N690" s="9">
        <f>IF(ISNA(MATCH(681,'Transfer Engine'!$C$2:$C$1960,0)),"",INDEX('Compliance Database'!$N$2:$N$1960,MATCH(681,'Transfer Engine'!$C$2:$C$1960,0)))</f>
        <v/>
      </c>
      <c r="O690" s="9">
        <f>IF(ISNA(MATCH(681,'Transfer Engine'!$C$2:$C$1960,0)),"",INDEX('Compliance Database'!$O$2:$O$1960,MATCH(681,'Transfer Engine'!$C$2:$C$1960,0)))</f>
        <v/>
      </c>
      <c r="P690" s="8">
        <f>IF(ISNA(MATCH(681,'Transfer Engine'!$C$2:$C$1960,0)),"",HYPERLINK("#Acts!A"&amp;INDEX('Compliance Database'!$P$2:$P$1960,MATCH(681,'Transfer Engine'!$C$2:$C$1960,0)),"Go to Act"))</f>
        <v/>
      </c>
    </row>
    <row r="691" ht="158" customHeight="1">
      <c r="A691" s="8">
        <f>IF(ISNA(MATCH(682,'Transfer Engine'!$C$2:$C$1960,0)),"",INDEX('Compliance Database'!$A$2:$A$1960,MATCH(682,'Transfer Engine'!$C$2:$C$1960,0)))</f>
        <v/>
      </c>
      <c r="B691" s="8">
        <f>IF(ISNA(MATCH(682,'Transfer Engine'!$C$2:$C$1960,0)),"",INDEX('Compliance Database'!$B$2:$B$1960,MATCH(682,'Transfer Engine'!$C$2:$C$1960,0)))</f>
        <v/>
      </c>
      <c r="C691" s="8">
        <f>IF(ISNA(MATCH(682,'Transfer Engine'!$C$2:$C$1960,0)),"",INDEX('Compliance Database'!$C$2:$C$1960,MATCH(682,'Transfer Engine'!$C$2:$C$1960,0)))</f>
        <v/>
      </c>
      <c r="D691" s="9">
        <f>IF(ISNA(MATCH(682,'Transfer Engine'!$C$2:$C$1960,0)),"",INDEX('Compliance Database'!$D$2:$D$1960,MATCH(682,'Transfer Engine'!$C$2:$C$1960,0)))</f>
        <v/>
      </c>
      <c r="E691" s="8">
        <f>IF(ISNA(MATCH(682,'Transfer Engine'!$C$2:$C$1960,0)),"",INDEX('Compliance Database'!$E$2:$E$1960,MATCH(682,'Transfer Engine'!$C$2:$C$1960,0)))</f>
        <v/>
      </c>
      <c r="F691" s="8">
        <f>IF(ISNA(MATCH(682,'Transfer Engine'!$C$2:$C$1960,0)),"",INDEX('Compliance Database'!$F$2:$F$1960,MATCH(682,'Transfer Engine'!$C$2:$C$1960,0)))</f>
        <v/>
      </c>
      <c r="G691" s="8">
        <f>IF(ISNA(MATCH(682,'Transfer Engine'!$C$2:$C$1960,0)),"",INDEX('Compliance Database'!$G$2:$G$1960,MATCH(682,'Transfer Engine'!$C$2:$C$1960,0)))</f>
        <v/>
      </c>
      <c r="H691" s="9">
        <f>IF(ISNA(MATCH(682,'Transfer Engine'!$C$2:$C$1960,0)),"",INDEX('Compliance Database'!$H$2:$H$1960,MATCH(682,'Transfer Engine'!$C$2:$C$1960,0)))</f>
        <v/>
      </c>
      <c r="I691" s="9">
        <f>IF(ISNA(MATCH(682,'Transfer Engine'!$C$2:$C$1960,0)),"",INDEX('Compliance Database'!$I$2:$I$1960,MATCH(682,'Transfer Engine'!$C$2:$C$1960,0)))</f>
        <v/>
      </c>
      <c r="J691" s="8">
        <f>IF(ISNA(MATCH(682,'Transfer Engine'!$C$2:$C$1960,0)),"",INDEX('Compliance Database'!$J$2:$J$1960,MATCH(682,'Transfer Engine'!$C$2:$C$1960,0)))</f>
        <v/>
      </c>
      <c r="K691" s="9">
        <f>IF(ISNA(MATCH(682,'Transfer Engine'!$C$2:$C$1960,0)),"",INDEX('Compliance Database'!$K$2:$K$1960,MATCH(682,'Transfer Engine'!$C$2:$C$1960,0)))</f>
        <v/>
      </c>
      <c r="L691" s="9">
        <f>IF(ISNA(MATCH(682,'Transfer Engine'!$C$2:$C$1960,0)),"",INDEX('Compliance Database'!$L$2:$L$1960,MATCH(682,'Transfer Engine'!$C$2:$C$1960,0)))</f>
        <v/>
      </c>
      <c r="M691" s="9">
        <f>IF(ISNA(MATCH(682,'Transfer Engine'!$C$2:$C$1960,0)),"",INDEX('Compliance Database'!$M$2:$M$1960,MATCH(682,'Transfer Engine'!$C$2:$C$1960,0)))</f>
        <v/>
      </c>
      <c r="N691" s="9">
        <f>IF(ISNA(MATCH(682,'Transfer Engine'!$C$2:$C$1960,0)),"",INDEX('Compliance Database'!$N$2:$N$1960,MATCH(682,'Transfer Engine'!$C$2:$C$1960,0)))</f>
        <v/>
      </c>
      <c r="O691" s="9">
        <f>IF(ISNA(MATCH(682,'Transfer Engine'!$C$2:$C$1960,0)),"",INDEX('Compliance Database'!$O$2:$O$1960,MATCH(682,'Transfer Engine'!$C$2:$C$1960,0)))</f>
        <v/>
      </c>
      <c r="P691" s="8">
        <f>IF(ISNA(MATCH(682,'Transfer Engine'!$C$2:$C$1960,0)),"",HYPERLINK("#Acts!A"&amp;INDEX('Compliance Database'!$P$2:$P$1960,MATCH(682,'Transfer Engine'!$C$2:$C$1960,0)),"Go to Act"))</f>
        <v/>
      </c>
    </row>
    <row r="692" ht="158" customHeight="1">
      <c r="A692" s="8">
        <f>IF(ISNA(MATCH(683,'Transfer Engine'!$C$2:$C$1960,0)),"",INDEX('Compliance Database'!$A$2:$A$1960,MATCH(683,'Transfer Engine'!$C$2:$C$1960,0)))</f>
        <v/>
      </c>
      <c r="B692" s="8">
        <f>IF(ISNA(MATCH(683,'Transfer Engine'!$C$2:$C$1960,0)),"",INDEX('Compliance Database'!$B$2:$B$1960,MATCH(683,'Transfer Engine'!$C$2:$C$1960,0)))</f>
        <v/>
      </c>
      <c r="C692" s="8">
        <f>IF(ISNA(MATCH(683,'Transfer Engine'!$C$2:$C$1960,0)),"",INDEX('Compliance Database'!$C$2:$C$1960,MATCH(683,'Transfer Engine'!$C$2:$C$1960,0)))</f>
        <v/>
      </c>
      <c r="D692" s="9">
        <f>IF(ISNA(MATCH(683,'Transfer Engine'!$C$2:$C$1960,0)),"",INDEX('Compliance Database'!$D$2:$D$1960,MATCH(683,'Transfer Engine'!$C$2:$C$1960,0)))</f>
        <v/>
      </c>
      <c r="E692" s="8">
        <f>IF(ISNA(MATCH(683,'Transfer Engine'!$C$2:$C$1960,0)),"",INDEX('Compliance Database'!$E$2:$E$1960,MATCH(683,'Transfer Engine'!$C$2:$C$1960,0)))</f>
        <v/>
      </c>
      <c r="F692" s="8">
        <f>IF(ISNA(MATCH(683,'Transfer Engine'!$C$2:$C$1960,0)),"",INDEX('Compliance Database'!$F$2:$F$1960,MATCH(683,'Transfer Engine'!$C$2:$C$1960,0)))</f>
        <v/>
      </c>
      <c r="G692" s="8">
        <f>IF(ISNA(MATCH(683,'Transfer Engine'!$C$2:$C$1960,0)),"",INDEX('Compliance Database'!$G$2:$G$1960,MATCH(683,'Transfer Engine'!$C$2:$C$1960,0)))</f>
        <v/>
      </c>
      <c r="H692" s="9">
        <f>IF(ISNA(MATCH(683,'Transfer Engine'!$C$2:$C$1960,0)),"",INDEX('Compliance Database'!$H$2:$H$1960,MATCH(683,'Transfer Engine'!$C$2:$C$1960,0)))</f>
        <v/>
      </c>
      <c r="I692" s="9">
        <f>IF(ISNA(MATCH(683,'Transfer Engine'!$C$2:$C$1960,0)),"",INDEX('Compliance Database'!$I$2:$I$1960,MATCH(683,'Transfer Engine'!$C$2:$C$1960,0)))</f>
        <v/>
      </c>
      <c r="J692" s="8">
        <f>IF(ISNA(MATCH(683,'Transfer Engine'!$C$2:$C$1960,0)),"",INDEX('Compliance Database'!$J$2:$J$1960,MATCH(683,'Transfer Engine'!$C$2:$C$1960,0)))</f>
        <v/>
      </c>
      <c r="K692" s="9">
        <f>IF(ISNA(MATCH(683,'Transfer Engine'!$C$2:$C$1960,0)),"",INDEX('Compliance Database'!$K$2:$K$1960,MATCH(683,'Transfer Engine'!$C$2:$C$1960,0)))</f>
        <v/>
      </c>
      <c r="L692" s="9">
        <f>IF(ISNA(MATCH(683,'Transfer Engine'!$C$2:$C$1960,0)),"",INDEX('Compliance Database'!$L$2:$L$1960,MATCH(683,'Transfer Engine'!$C$2:$C$1960,0)))</f>
        <v/>
      </c>
      <c r="M692" s="9">
        <f>IF(ISNA(MATCH(683,'Transfer Engine'!$C$2:$C$1960,0)),"",INDEX('Compliance Database'!$M$2:$M$1960,MATCH(683,'Transfer Engine'!$C$2:$C$1960,0)))</f>
        <v/>
      </c>
      <c r="N692" s="9">
        <f>IF(ISNA(MATCH(683,'Transfer Engine'!$C$2:$C$1960,0)),"",INDEX('Compliance Database'!$N$2:$N$1960,MATCH(683,'Transfer Engine'!$C$2:$C$1960,0)))</f>
        <v/>
      </c>
      <c r="O692" s="9">
        <f>IF(ISNA(MATCH(683,'Transfer Engine'!$C$2:$C$1960,0)),"",INDEX('Compliance Database'!$O$2:$O$1960,MATCH(683,'Transfer Engine'!$C$2:$C$1960,0)))</f>
        <v/>
      </c>
      <c r="P692" s="8">
        <f>IF(ISNA(MATCH(683,'Transfer Engine'!$C$2:$C$1960,0)),"",HYPERLINK("#Acts!A"&amp;INDEX('Compliance Database'!$P$2:$P$1960,MATCH(683,'Transfer Engine'!$C$2:$C$1960,0)),"Go to Act"))</f>
        <v/>
      </c>
    </row>
    <row r="693" ht="158" customHeight="1">
      <c r="A693" s="8">
        <f>IF(ISNA(MATCH(684,'Transfer Engine'!$C$2:$C$1960,0)),"",INDEX('Compliance Database'!$A$2:$A$1960,MATCH(684,'Transfer Engine'!$C$2:$C$1960,0)))</f>
        <v/>
      </c>
      <c r="B693" s="8">
        <f>IF(ISNA(MATCH(684,'Transfer Engine'!$C$2:$C$1960,0)),"",INDEX('Compliance Database'!$B$2:$B$1960,MATCH(684,'Transfer Engine'!$C$2:$C$1960,0)))</f>
        <v/>
      </c>
      <c r="C693" s="8">
        <f>IF(ISNA(MATCH(684,'Transfer Engine'!$C$2:$C$1960,0)),"",INDEX('Compliance Database'!$C$2:$C$1960,MATCH(684,'Transfer Engine'!$C$2:$C$1960,0)))</f>
        <v/>
      </c>
      <c r="D693" s="9">
        <f>IF(ISNA(MATCH(684,'Transfer Engine'!$C$2:$C$1960,0)),"",INDEX('Compliance Database'!$D$2:$D$1960,MATCH(684,'Transfer Engine'!$C$2:$C$1960,0)))</f>
        <v/>
      </c>
      <c r="E693" s="8">
        <f>IF(ISNA(MATCH(684,'Transfer Engine'!$C$2:$C$1960,0)),"",INDEX('Compliance Database'!$E$2:$E$1960,MATCH(684,'Transfer Engine'!$C$2:$C$1960,0)))</f>
        <v/>
      </c>
      <c r="F693" s="8">
        <f>IF(ISNA(MATCH(684,'Transfer Engine'!$C$2:$C$1960,0)),"",INDEX('Compliance Database'!$F$2:$F$1960,MATCH(684,'Transfer Engine'!$C$2:$C$1960,0)))</f>
        <v/>
      </c>
      <c r="G693" s="8">
        <f>IF(ISNA(MATCH(684,'Transfer Engine'!$C$2:$C$1960,0)),"",INDEX('Compliance Database'!$G$2:$G$1960,MATCH(684,'Transfer Engine'!$C$2:$C$1960,0)))</f>
        <v/>
      </c>
      <c r="H693" s="9">
        <f>IF(ISNA(MATCH(684,'Transfer Engine'!$C$2:$C$1960,0)),"",INDEX('Compliance Database'!$H$2:$H$1960,MATCH(684,'Transfer Engine'!$C$2:$C$1960,0)))</f>
        <v/>
      </c>
      <c r="I693" s="9">
        <f>IF(ISNA(MATCH(684,'Transfer Engine'!$C$2:$C$1960,0)),"",INDEX('Compliance Database'!$I$2:$I$1960,MATCH(684,'Transfer Engine'!$C$2:$C$1960,0)))</f>
        <v/>
      </c>
      <c r="J693" s="8">
        <f>IF(ISNA(MATCH(684,'Transfer Engine'!$C$2:$C$1960,0)),"",INDEX('Compliance Database'!$J$2:$J$1960,MATCH(684,'Transfer Engine'!$C$2:$C$1960,0)))</f>
        <v/>
      </c>
      <c r="K693" s="9">
        <f>IF(ISNA(MATCH(684,'Transfer Engine'!$C$2:$C$1960,0)),"",INDEX('Compliance Database'!$K$2:$K$1960,MATCH(684,'Transfer Engine'!$C$2:$C$1960,0)))</f>
        <v/>
      </c>
      <c r="L693" s="9">
        <f>IF(ISNA(MATCH(684,'Transfer Engine'!$C$2:$C$1960,0)),"",INDEX('Compliance Database'!$L$2:$L$1960,MATCH(684,'Transfer Engine'!$C$2:$C$1960,0)))</f>
        <v/>
      </c>
      <c r="M693" s="9">
        <f>IF(ISNA(MATCH(684,'Transfer Engine'!$C$2:$C$1960,0)),"",INDEX('Compliance Database'!$M$2:$M$1960,MATCH(684,'Transfer Engine'!$C$2:$C$1960,0)))</f>
        <v/>
      </c>
      <c r="N693" s="9">
        <f>IF(ISNA(MATCH(684,'Transfer Engine'!$C$2:$C$1960,0)),"",INDEX('Compliance Database'!$N$2:$N$1960,MATCH(684,'Transfer Engine'!$C$2:$C$1960,0)))</f>
        <v/>
      </c>
      <c r="O693" s="9">
        <f>IF(ISNA(MATCH(684,'Transfer Engine'!$C$2:$C$1960,0)),"",INDEX('Compliance Database'!$O$2:$O$1960,MATCH(684,'Transfer Engine'!$C$2:$C$1960,0)))</f>
        <v/>
      </c>
      <c r="P693" s="8">
        <f>IF(ISNA(MATCH(684,'Transfer Engine'!$C$2:$C$1960,0)),"",HYPERLINK("#Acts!A"&amp;INDEX('Compliance Database'!$P$2:$P$1960,MATCH(684,'Transfer Engine'!$C$2:$C$1960,0)),"Go to Act"))</f>
        <v/>
      </c>
    </row>
    <row r="694" ht="158" customHeight="1">
      <c r="A694" s="8">
        <f>IF(ISNA(MATCH(685,'Transfer Engine'!$C$2:$C$1960,0)),"",INDEX('Compliance Database'!$A$2:$A$1960,MATCH(685,'Transfer Engine'!$C$2:$C$1960,0)))</f>
        <v/>
      </c>
      <c r="B694" s="8">
        <f>IF(ISNA(MATCH(685,'Transfer Engine'!$C$2:$C$1960,0)),"",INDEX('Compliance Database'!$B$2:$B$1960,MATCH(685,'Transfer Engine'!$C$2:$C$1960,0)))</f>
        <v/>
      </c>
      <c r="C694" s="8">
        <f>IF(ISNA(MATCH(685,'Transfer Engine'!$C$2:$C$1960,0)),"",INDEX('Compliance Database'!$C$2:$C$1960,MATCH(685,'Transfer Engine'!$C$2:$C$1960,0)))</f>
        <v/>
      </c>
      <c r="D694" s="9">
        <f>IF(ISNA(MATCH(685,'Transfer Engine'!$C$2:$C$1960,0)),"",INDEX('Compliance Database'!$D$2:$D$1960,MATCH(685,'Transfer Engine'!$C$2:$C$1960,0)))</f>
        <v/>
      </c>
      <c r="E694" s="8">
        <f>IF(ISNA(MATCH(685,'Transfer Engine'!$C$2:$C$1960,0)),"",INDEX('Compliance Database'!$E$2:$E$1960,MATCH(685,'Transfer Engine'!$C$2:$C$1960,0)))</f>
        <v/>
      </c>
      <c r="F694" s="8">
        <f>IF(ISNA(MATCH(685,'Transfer Engine'!$C$2:$C$1960,0)),"",INDEX('Compliance Database'!$F$2:$F$1960,MATCH(685,'Transfer Engine'!$C$2:$C$1960,0)))</f>
        <v/>
      </c>
      <c r="G694" s="8">
        <f>IF(ISNA(MATCH(685,'Transfer Engine'!$C$2:$C$1960,0)),"",INDEX('Compliance Database'!$G$2:$G$1960,MATCH(685,'Transfer Engine'!$C$2:$C$1960,0)))</f>
        <v/>
      </c>
      <c r="H694" s="9">
        <f>IF(ISNA(MATCH(685,'Transfer Engine'!$C$2:$C$1960,0)),"",INDEX('Compliance Database'!$H$2:$H$1960,MATCH(685,'Transfer Engine'!$C$2:$C$1960,0)))</f>
        <v/>
      </c>
      <c r="I694" s="9">
        <f>IF(ISNA(MATCH(685,'Transfer Engine'!$C$2:$C$1960,0)),"",INDEX('Compliance Database'!$I$2:$I$1960,MATCH(685,'Transfer Engine'!$C$2:$C$1960,0)))</f>
        <v/>
      </c>
      <c r="J694" s="8">
        <f>IF(ISNA(MATCH(685,'Transfer Engine'!$C$2:$C$1960,0)),"",INDEX('Compliance Database'!$J$2:$J$1960,MATCH(685,'Transfer Engine'!$C$2:$C$1960,0)))</f>
        <v/>
      </c>
      <c r="K694" s="9">
        <f>IF(ISNA(MATCH(685,'Transfer Engine'!$C$2:$C$1960,0)),"",INDEX('Compliance Database'!$K$2:$K$1960,MATCH(685,'Transfer Engine'!$C$2:$C$1960,0)))</f>
        <v/>
      </c>
      <c r="L694" s="9">
        <f>IF(ISNA(MATCH(685,'Transfer Engine'!$C$2:$C$1960,0)),"",INDEX('Compliance Database'!$L$2:$L$1960,MATCH(685,'Transfer Engine'!$C$2:$C$1960,0)))</f>
        <v/>
      </c>
      <c r="M694" s="9">
        <f>IF(ISNA(MATCH(685,'Transfer Engine'!$C$2:$C$1960,0)),"",INDEX('Compliance Database'!$M$2:$M$1960,MATCH(685,'Transfer Engine'!$C$2:$C$1960,0)))</f>
        <v/>
      </c>
      <c r="N694" s="9">
        <f>IF(ISNA(MATCH(685,'Transfer Engine'!$C$2:$C$1960,0)),"",INDEX('Compliance Database'!$N$2:$N$1960,MATCH(685,'Transfer Engine'!$C$2:$C$1960,0)))</f>
        <v/>
      </c>
      <c r="O694" s="9">
        <f>IF(ISNA(MATCH(685,'Transfer Engine'!$C$2:$C$1960,0)),"",INDEX('Compliance Database'!$O$2:$O$1960,MATCH(685,'Transfer Engine'!$C$2:$C$1960,0)))</f>
        <v/>
      </c>
      <c r="P694" s="8">
        <f>IF(ISNA(MATCH(685,'Transfer Engine'!$C$2:$C$1960,0)),"",HYPERLINK("#Acts!A"&amp;INDEX('Compliance Database'!$P$2:$P$1960,MATCH(685,'Transfer Engine'!$C$2:$C$1960,0)),"Go to Act"))</f>
        <v/>
      </c>
    </row>
    <row r="695" ht="158" customHeight="1">
      <c r="A695" s="8">
        <f>IF(ISNA(MATCH(686,'Transfer Engine'!$C$2:$C$1960,0)),"",INDEX('Compliance Database'!$A$2:$A$1960,MATCH(686,'Transfer Engine'!$C$2:$C$1960,0)))</f>
        <v/>
      </c>
      <c r="B695" s="8">
        <f>IF(ISNA(MATCH(686,'Transfer Engine'!$C$2:$C$1960,0)),"",INDEX('Compliance Database'!$B$2:$B$1960,MATCH(686,'Transfer Engine'!$C$2:$C$1960,0)))</f>
        <v/>
      </c>
      <c r="C695" s="8">
        <f>IF(ISNA(MATCH(686,'Transfer Engine'!$C$2:$C$1960,0)),"",INDEX('Compliance Database'!$C$2:$C$1960,MATCH(686,'Transfer Engine'!$C$2:$C$1960,0)))</f>
        <v/>
      </c>
      <c r="D695" s="9">
        <f>IF(ISNA(MATCH(686,'Transfer Engine'!$C$2:$C$1960,0)),"",INDEX('Compliance Database'!$D$2:$D$1960,MATCH(686,'Transfer Engine'!$C$2:$C$1960,0)))</f>
        <v/>
      </c>
      <c r="E695" s="8">
        <f>IF(ISNA(MATCH(686,'Transfer Engine'!$C$2:$C$1960,0)),"",INDEX('Compliance Database'!$E$2:$E$1960,MATCH(686,'Transfer Engine'!$C$2:$C$1960,0)))</f>
        <v/>
      </c>
      <c r="F695" s="8">
        <f>IF(ISNA(MATCH(686,'Transfer Engine'!$C$2:$C$1960,0)),"",INDEX('Compliance Database'!$F$2:$F$1960,MATCH(686,'Transfer Engine'!$C$2:$C$1960,0)))</f>
        <v/>
      </c>
      <c r="G695" s="8">
        <f>IF(ISNA(MATCH(686,'Transfer Engine'!$C$2:$C$1960,0)),"",INDEX('Compliance Database'!$G$2:$G$1960,MATCH(686,'Transfer Engine'!$C$2:$C$1960,0)))</f>
        <v/>
      </c>
      <c r="H695" s="9">
        <f>IF(ISNA(MATCH(686,'Transfer Engine'!$C$2:$C$1960,0)),"",INDEX('Compliance Database'!$H$2:$H$1960,MATCH(686,'Transfer Engine'!$C$2:$C$1960,0)))</f>
        <v/>
      </c>
      <c r="I695" s="9">
        <f>IF(ISNA(MATCH(686,'Transfer Engine'!$C$2:$C$1960,0)),"",INDEX('Compliance Database'!$I$2:$I$1960,MATCH(686,'Transfer Engine'!$C$2:$C$1960,0)))</f>
        <v/>
      </c>
      <c r="J695" s="8">
        <f>IF(ISNA(MATCH(686,'Transfer Engine'!$C$2:$C$1960,0)),"",INDEX('Compliance Database'!$J$2:$J$1960,MATCH(686,'Transfer Engine'!$C$2:$C$1960,0)))</f>
        <v/>
      </c>
      <c r="K695" s="9">
        <f>IF(ISNA(MATCH(686,'Transfer Engine'!$C$2:$C$1960,0)),"",INDEX('Compliance Database'!$K$2:$K$1960,MATCH(686,'Transfer Engine'!$C$2:$C$1960,0)))</f>
        <v/>
      </c>
      <c r="L695" s="9">
        <f>IF(ISNA(MATCH(686,'Transfer Engine'!$C$2:$C$1960,0)),"",INDEX('Compliance Database'!$L$2:$L$1960,MATCH(686,'Transfer Engine'!$C$2:$C$1960,0)))</f>
        <v/>
      </c>
      <c r="M695" s="9">
        <f>IF(ISNA(MATCH(686,'Transfer Engine'!$C$2:$C$1960,0)),"",INDEX('Compliance Database'!$M$2:$M$1960,MATCH(686,'Transfer Engine'!$C$2:$C$1960,0)))</f>
        <v/>
      </c>
      <c r="N695" s="9">
        <f>IF(ISNA(MATCH(686,'Transfer Engine'!$C$2:$C$1960,0)),"",INDEX('Compliance Database'!$N$2:$N$1960,MATCH(686,'Transfer Engine'!$C$2:$C$1960,0)))</f>
        <v/>
      </c>
      <c r="O695" s="9">
        <f>IF(ISNA(MATCH(686,'Transfer Engine'!$C$2:$C$1960,0)),"",INDEX('Compliance Database'!$O$2:$O$1960,MATCH(686,'Transfer Engine'!$C$2:$C$1960,0)))</f>
        <v/>
      </c>
      <c r="P695" s="8">
        <f>IF(ISNA(MATCH(686,'Transfer Engine'!$C$2:$C$1960,0)),"",HYPERLINK("#Acts!A"&amp;INDEX('Compliance Database'!$P$2:$P$1960,MATCH(686,'Transfer Engine'!$C$2:$C$1960,0)),"Go to Act"))</f>
        <v/>
      </c>
    </row>
    <row r="696" ht="158" customHeight="1">
      <c r="A696" s="8">
        <f>IF(ISNA(MATCH(687,'Transfer Engine'!$C$2:$C$1960,0)),"",INDEX('Compliance Database'!$A$2:$A$1960,MATCH(687,'Transfer Engine'!$C$2:$C$1960,0)))</f>
        <v/>
      </c>
      <c r="B696" s="8">
        <f>IF(ISNA(MATCH(687,'Transfer Engine'!$C$2:$C$1960,0)),"",INDEX('Compliance Database'!$B$2:$B$1960,MATCH(687,'Transfer Engine'!$C$2:$C$1960,0)))</f>
        <v/>
      </c>
      <c r="C696" s="8">
        <f>IF(ISNA(MATCH(687,'Transfer Engine'!$C$2:$C$1960,0)),"",INDEX('Compliance Database'!$C$2:$C$1960,MATCH(687,'Transfer Engine'!$C$2:$C$1960,0)))</f>
        <v/>
      </c>
      <c r="D696" s="9">
        <f>IF(ISNA(MATCH(687,'Transfer Engine'!$C$2:$C$1960,0)),"",INDEX('Compliance Database'!$D$2:$D$1960,MATCH(687,'Transfer Engine'!$C$2:$C$1960,0)))</f>
        <v/>
      </c>
      <c r="E696" s="8">
        <f>IF(ISNA(MATCH(687,'Transfer Engine'!$C$2:$C$1960,0)),"",INDEX('Compliance Database'!$E$2:$E$1960,MATCH(687,'Transfer Engine'!$C$2:$C$1960,0)))</f>
        <v/>
      </c>
      <c r="F696" s="8">
        <f>IF(ISNA(MATCH(687,'Transfer Engine'!$C$2:$C$1960,0)),"",INDEX('Compliance Database'!$F$2:$F$1960,MATCH(687,'Transfer Engine'!$C$2:$C$1960,0)))</f>
        <v/>
      </c>
      <c r="G696" s="8">
        <f>IF(ISNA(MATCH(687,'Transfer Engine'!$C$2:$C$1960,0)),"",INDEX('Compliance Database'!$G$2:$G$1960,MATCH(687,'Transfer Engine'!$C$2:$C$1960,0)))</f>
        <v/>
      </c>
      <c r="H696" s="9">
        <f>IF(ISNA(MATCH(687,'Transfer Engine'!$C$2:$C$1960,0)),"",INDEX('Compliance Database'!$H$2:$H$1960,MATCH(687,'Transfer Engine'!$C$2:$C$1960,0)))</f>
        <v/>
      </c>
      <c r="I696" s="9">
        <f>IF(ISNA(MATCH(687,'Transfer Engine'!$C$2:$C$1960,0)),"",INDEX('Compliance Database'!$I$2:$I$1960,MATCH(687,'Transfer Engine'!$C$2:$C$1960,0)))</f>
        <v/>
      </c>
      <c r="J696" s="8">
        <f>IF(ISNA(MATCH(687,'Transfer Engine'!$C$2:$C$1960,0)),"",INDEX('Compliance Database'!$J$2:$J$1960,MATCH(687,'Transfer Engine'!$C$2:$C$1960,0)))</f>
        <v/>
      </c>
      <c r="K696" s="9">
        <f>IF(ISNA(MATCH(687,'Transfer Engine'!$C$2:$C$1960,0)),"",INDEX('Compliance Database'!$K$2:$K$1960,MATCH(687,'Transfer Engine'!$C$2:$C$1960,0)))</f>
        <v/>
      </c>
      <c r="L696" s="9">
        <f>IF(ISNA(MATCH(687,'Transfer Engine'!$C$2:$C$1960,0)),"",INDEX('Compliance Database'!$L$2:$L$1960,MATCH(687,'Transfer Engine'!$C$2:$C$1960,0)))</f>
        <v/>
      </c>
      <c r="M696" s="9">
        <f>IF(ISNA(MATCH(687,'Transfer Engine'!$C$2:$C$1960,0)),"",INDEX('Compliance Database'!$M$2:$M$1960,MATCH(687,'Transfer Engine'!$C$2:$C$1960,0)))</f>
        <v/>
      </c>
      <c r="N696" s="9">
        <f>IF(ISNA(MATCH(687,'Transfer Engine'!$C$2:$C$1960,0)),"",INDEX('Compliance Database'!$N$2:$N$1960,MATCH(687,'Transfer Engine'!$C$2:$C$1960,0)))</f>
        <v/>
      </c>
      <c r="O696" s="9">
        <f>IF(ISNA(MATCH(687,'Transfer Engine'!$C$2:$C$1960,0)),"",INDEX('Compliance Database'!$O$2:$O$1960,MATCH(687,'Transfer Engine'!$C$2:$C$1960,0)))</f>
        <v/>
      </c>
      <c r="P696" s="8">
        <f>IF(ISNA(MATCH(687,'Transfer Engine'!$C$2:$C$1960,0)),"",HYPERLINK("#Acts!A"&amp;INDEX('Compliance Database'!$P$2:$P$1960,MATCH(687,'Transfer Engine'!$C$2:$C$1960,0)),"Go to Act"))</f>
        <v/>
      </c>
    </row>
    <row r="697" ht="158" customHeight="1">
      <c r="A697" s="8">
        <f>IF(ISNA(MATCH(688,'Transfer Engine'!$C$2:$C$1960,0)),"",INDEX('Compliance Database'!$A$2:$A$1960,MATCH(688,'Transfer Engine'!$C$2:$C$1960,0)))</f>
        <v/>
      </c>
      <c r="B697" s="8">
        <f>IF(ISNA(MATCH(688,'Transfer Engine'!$C$2:$C$1960,0)),"",INDEX('Compliance Database'!$B$2:$B$1960,MATCH(688,'Transfer Engine'!$C$2:$C$1960,0)))</f>
        <v/>
      </c>
      <c r="C697" s="8">
        <f>IF(ISNA(MATCH(688,'Transfer Engine'!$C$2:$C$1960,0)),"",INDEX('Compliance Database'!$C$2:$C$1960,MATCH(688,'Transfer Engine'!$C$2:$C$1960,0)))</f>
        <v/>
      </c>
      <c r="D697" s="9">
        <f>IF(ISNA(MATCH(688,'Transfer Engine'!$C$2:$C$1960,0)),"",INDEX('Compliance Database'!$D$2:$D$1960,MATCH(688,'Transfer Engine'!$C$2:$C$1960,0)))</f>
        <v/>
      </c>
      <c r="E697" s="8">
        <f>IF(ISNA(MATCH(688,'Transfer Engine'!$C$2:$C$1960,0)),"",INDEX('Compliance Database'!$E$2:$E$1960,MATCH(688,'Transfer Engine'!$C$2:$C$1960,0)))</f>
        <v/>
      </c>
      <c r="F697" s="8">
        <f>IF(ISNA(MATCH(688,'Transfer Engine'!$C$2:$C$1960,0)),"",INDEX('Compliance Database'!$F$2:$F$1960,MATCH(688,'Transfer Engine'!$C$2:$C$1960,0)))</f>
        <v/>
      </c>
      <c r="G697" s="8">
        <f>IF(ISNA(MATCH(688,'Transfer Engine'!$C$2:$C$1960,0)),"",INDEX('Compliance Database'!$G$2:$G$1960,MATCH(688,'Transfer Engine'!$C$2:$C$1960,0)))</f>
        <v/>
      </c>
      <c r="H697" s="9">
        <f>IF(ISNA(MATCH(688,'Transfer Engine'!$C$2:$C$1960,0)),"",INDEX('Compliance Database'!$H$2:$H$1960,MATCH(688,'Transfer Engine'!$C$2:$C$1960,0)))</f>
        <v/>
      </c>
      <c r="I697" s="9">
        <f>IF(ISNA(MATCH(688,'Transfer Engine'!$C$2:$C$1960,0)),"",INDEX('Compliance Database'!$I$2:$I$1960,MATCH(688,'Transfer Engine'!$C$2:$C$1960,0)))</f>
        <v/>
      </c>
      <c r="J697" s="8">
        <f>IF(ISNA(MATCH(688,'Transfer Engine'!$C$2:$C$1960,0)),"",INDEX('Compliance Database'!$J$2:$J$1960,MATCH(688,'Transfer Engine'!$C$2:$C$1960,0)))</f>
        <v/>
      </c>
      <c r="K697" s="9">
        <f>IF(ISNA(MATCH(688,'Transfer Engine'!$C$2:$C$1960,0)),"",INDEX('Compliance Database'!$K$2:$K$1960,MATCH(688,'Transfer Engine'!$C$2:$C$1960,0)))</f>
        <v/>
      </c>
      <c r="L697" s="9">
        <f>IF(ISNA(MATCH(688,'Transfer Engine'!$C$2:$C$1960,0)),"",INDEX('Compliance Database'!$L$2:$L$1960,MATCH(688,'Transfer Engine'!$C$2:$C$1960,0)))</f>
        <v/>
      </c>
      <c r="M697" s="9">
        <f>IF(ISNA(MATCH(688,'Transfer Engine'!$C$2:$C$1960,0)),"",INDEX('Compliance Database'!$M$2:$M$1960,MATCH(688,'Transfer Engine'!$C$2:$C$1960,0)))</f>
        <v/>
      </c>
      <c r="N697" s="9">
        <f>IF(ISNA(MATCH(688,'Transfer Engine'!$C$2:$C$1960,0)),"",INDEX('Compliance Database'!$N$2:$N$1960,MATCH(688,'Transfer Engine'!$C$2:$C$1960,0)))</f>
        <v/>
      </c>
      <c r="O697" s="9">
        <f>IF(ISNA(MATCH(688,'Transfer Engine'!$C$2:$C$1960,0)),"",INDEX('Compliance Database'!$O$2:$O$1960,MATCH(688,'Transfer Engine'!$C$2:$C$1960,0)))</f>
        <v/>
      </c>
      <c r="P697" s="8">
        <f>IF(ISNA(MATCH(688,'Transfer Engine'!$C$2:$C$1960,0)),"",HYPERLINK("#Acts!A"&amp;INDEX('Compliance Database'!$P$2:$P$1960,MATCH(688,'Transfer Engine'!$C$2:$C$1960,0)),"Go to Act"))</f>
        <v/>
      </c>
    </row>
    <row r="698" ht="158" customHeight="1">
      <c r="A698" s="8">
        <f>IF(ISNA(MATCH(689,'Transfer Engine'!$C$2:$C$1960,0)),"",INDEX('Compliance Database'!$A$2:$A$1960,MATCH(689,'Transfer Engine'!$C$2:$C$1960,0)))</f>
        <v/>
      </c>
      <c r="B698" s="8">
        <f>IF(ISNA(MATCH(689,'Transfer Engine'!$C$2:$C$1960,0)),"",INDEX('Compliance Database'!$B$2:$B$1960,MATCH(689,'Transfer Engine'!$C$2:$C$1960,0)))</f>
        <v/>
      </c>
      <c r="C698" s="8">
        <f>IF(ISNA(MATCH(689,'Transfer Engine'!$C$2:$C$1960,0)),"",INDEX('Compliance Database'!$C$2:$C$1960,MATCH(689,'Transfer Engine'!$C$2:$C$1960,0)))</f>
        <v/>
      </c>
      <c r="D698" s="9">
        <f>IF(ISNA(MATCH(689,'Transfer Engine'!$C$2:$C$1960,0)),"",INDEX('Compliance Database'!$D$2:$D$1960,MATCH(689,'Transfer Engine'!$C$2:$C$1960,0)))</f>
        <v/>
      </c>
      <c r="E698" s="8">
        <f>IF(ISNA(MATCH(689,'Transfer Engine'!$C$2:$C$1960,0)),"",INDEX('Compliance Database'!$E$2:$E$1960,MATCH(689,'Transfer Engine'!$C$2:$C$1960,0)))</f>
        <v/>
      </c>
      <c r="F698" s="8">
        <f>IF(ISNA(MATCH(689,'Transfer Engine'!$C$2:$C$1960,0)),"",INDEX('Compliance Database'!$F$2:$F$1960,MATCH(689,'Transfer Engine'!$C$2:$C$1960,0)))</f>
        <v/>
      </c>
      <c r="G698" s="8">
        <f>IF(ISNA(MATCH(689,'Transfer Engine'!$C$2:$C$1960,0)),"",INDEX('Compliance Database'!$G$2:$G$1960,MATCH(689,'Transfer Engine'!$C$2:$C$1960,0)))</f>
        <v/>
      </c>
      <c r="H698" s="9">
        <f>IF(ISNA(MATCH(689,'Transfer Engine'!$C$2:$C$1960,0)),"",INDEX('Compliance Database'!$H$2:$H$1960,MATCH(689,'Transfer Engine'!$C$2:$C$1960,0)))</f>
        <v/>
      </c>
      <c r="I698" s="9">
        <f>IF(ISNA(MATCH(689,'Transfer Engine'!$C$2:$C$1960,0)),"",INDEX('Compliance Database'!$I$2:$I$1960,MATCH(689,'Transfer Engine'!$C$2:$C$1960,0)))</f>
        <v/>
      </c>
      <c r="J698" s="8">
        <f>IF(ISNA(MATCH(689,'Transfer Engine'!$C$2:$C$1960,0)),"",INDEX('Compliance Database'!$J$2:$J$1960,MATCH(689,'Transfer Engine'!$C$2:$C$1960,0)))</f>
        <v/>
      </c>
      <c r="K698" s="9">
        <f>IF(ISNA(MATCH(689,'Transfer Engine'!$C$2:$C$1960,0)),"",INDEX('Compliance Database'!$K$2:$K$1960,MATCH(689,'Transfer Engine'!$C$2:$C$1960,0)))</f>
        <v/>
      </c>
      <c r="L698" s="9">
        <f>IF(ISNA(MATCH(689,'Transfer Engine'!$C$2:$C$1960,0)),"",INDEX('Compliance Database'!$L$2:$L$1960,MATCH(689,'Transfer Engine'!$C$2:$C$1960,0)))</f>
        <v/>
      </c>
      <c r="M698" s="9">
        <f>IF(ISNA(MATCH(689,'Transfer Engine'!$C$2:$C$1960,0)),"",INDEX('Compliance Database'!$M$2:$M$1960,MATCH(689,'Transfer Engine'!$C$2:$C$1960,0)))</f>
        <v/>
      </c>
      <c r="N698" s="9">
        <f>IF(ISNA(MATCH(689,'Transfer Engine'!$C$2:$C$1960,0)),"",INDEX('Compliance Database'!$N$2:$N$1960,MATCH(689,'Transfer Engine'!$C$2:$C$1960,0)))</f>
        <v/>
      </c>
      <c r="O698" s="9">
        <f>IF(ISNA(MATCH(689,'Transfer Engine'!$C$2:$C$1960,0)),"",INDEX('Compliance Database'!$O$2:$O$1960,MATCH(689,'Transfer Engine'!$C$2:$C$1960,0)))</f>
        <v/>
      </c>
      <c r="P698" s="8">
        <f>IF(ISNA(MATCH(689,'Transfer Engine'!$C$2:$C$1960,0)),"",HYPERLINK("#Acts!A"&amp;INDEX('Compliance Database'!$P$2:$P$1960,MATCH(689,'Transfer Engine'!$C$2:$C$1960,0)),"Go to Act"))</f>
        <v/>
      </c>
    </row>
    <row r="699" ht="158" customHeight="1">
      <c r="A699" s="8">
        <f>IF(ISNA(MATCH(690,'Transfer Engine'!$C$2:$C$1960,0)),"",INDEX('Compliance Database'!$A$2:$A$1960,MATCH(690,'Transfer Engine'!$C$2:$C$1960,0)))</f>
        <v/>
      </c>
      <c r="B699" s="8">
        <f>IF(ISNA(MATCH(690,'Transfer Engine'!$C$2:$C$1960,0)),"",INDEX('Compliance Database'!$B$2:$B$1960,MATCH(690,'Transfer Engine'!$C$2:$C$1960,0)))</f>
        <v/>
      </c>
      <c r="C699" s="8">
        <f>IF(ISNA(MATCH(690,'Transfer Engine'!$C$2:$C$1960,0)),"",INDEX('Compliance Database'!$C$2:$C$1960,MATCH(690,'Transfer Engine'!$C$2:$C$1960,0)))</f>
        <v/>
      </c>
      <c r="D699" s="9">
        <f>IF(ISNA(MATCH(690,'Transfer Engine'!$C$2:$C$1960,0)),"",INDEX('Compliance Database'!$D$2:$D$1960,MATCH(690,'Transfer Engine'!$C$2:$C$1960,0)))</f>
        <v/>
      </c>
      <c r="E699" s="8">
        <f>IF(ISNA(MATCH(690,'Transfer Engine'!$C$2:$C$1960,0)),"",INDEX('Compliance Database'!$E$2:$E$1960,MATCH(690,'Transfer Engine'!$C$2:$C$1960,0)))</f>
        <v/>
      </c>
      <c r="F699" s="8">
        <f>IF(ISNA(MATCH(690,'Transfer Engine'!$C$2:$C$1960,0)),"",INDEX('Compliance Database'!$F$2:$F$1960,MATCH(690,'Transfer Engine'!$C$2:$C$1960,0)))</f>
        <v/>
      </c>
      <c r="G699" s="8">
        <f>IF(ISNA(MATCH(690,'Transfer Engine'!$C$2:$C$1960,0)),"",INDEX('Compliance Database'!$G$2:$G$1960,MATCH(690,'Transfer Engine'!$C$2:$C$1960,0)))</f>
        <v/>
      </c>
      <c r="H699" s="9">
        <f>IF(ISNA(MATCH(690,'Transfer Engine'!$C$2:$C$1960,0)),"",INDEX('Compliance Database'!$H$2:$H$1960,MATCH(690,'Transfer Engine'!$C$2:$C$1960,0)))</f>
        <v/>
      </c>
      <c r="I699" s="9">
        <f>IF(ISNA(MATCH(690,'Transfer Engine'!$C$2:$C$1960,0)),"",INDEX('Compliance Database'!$I$2:$I$1960,MATCH(690,'Transfer Engine'!$C$2:$C$1960,0)))</f>
        <v/>
      </c>
      <c r="J699" s="8">
        <f>IF(ISNA(MATCH(690,'Transfer Engine'!$C$2:$C$1960,0)),"",INDEX('Compliance Database'!$J$2:$J$1960,MATCH(690,'Transfer Engine'!$C$2:$C$1960,0)))</f>
        <v/>
      </c>
      <c r="K699" s="9">
        <f>IF(ISNA(MATCH(690,'Transfer Engine'!$C$2:$C$1960,0)),"",INDEX('Compliance Database'!$K$2:$K$1960,MATCH(690,'Transfer Engine'!$C$2:$C$1960,0)))</f>
        <v/>
      </c>
      <c r="L699" s="9">
        <f>IF(ISNA(MATCH(690,'Transfer Engine'!$C$2:$C$1960,0)),"",INDEX('Compliance Database'!$L$2:$L$1960,MATCH(690,'Transfer Engine'!$C$2:$C$1960,0)))</f>
        <v/>
      </c>
      <c r="M699" s="9">
        <f>IF(ISNA(MATCH(690,'Transfer Engine'!$C$2:$C$1960,0)),"",INDEX('Compliance Database'!$M$2:$M$1960,MATCH(690,'Transfer Engine'!$C$2:$C$1960,0)))</f>
        <v/>
      </c>
      <c r="N699" s="9">
        <f>IF(ISNA(MATCH(690,'Transfer Engine'!$C$2:$C$1960,0)),"",INDEX('Compliance Database'!$N$2:$N$1960,MATCH(690,'Transfer Engine'!$C$2:$C$1960,0)))</f>
        <v/>
      </c>
      <c r="O699" s="9">
        <f>IF(ISNA(MATCH(690,'Transfer Engine'!$C$2:$C$1960,0)),"",INDEX('Compliance Database'!$O$2:$O$1960,MATCH(690,'Transfer Engine'!$C$2:$C$1960,0)))</f>
        <v/>
      </c>
      <c r="P699" s="8">
        <f>IF(ISNA(MATCH(690,'Transfer Engine'!$C$2:$C$1960,0)),"",HYPERLINK("#Acts!A"&amp;INDEX('Compliance Database'!$P$2:$P$1960,MATCH(690,'Transfer Engine'!$C$2:$C$1960,0)),"Go to Act"))</f>
        <v/>
      </c>
    </row>
    <row r="700" ht="158" customHeight="1">
      <c r="A700" s="8">
        <f>IF(ISNA(MATCH(691,'Transfer Engine'!$C$2:$C$1960,0)),"",INDEX('Compliance Database'!$A$2:$A$1960,MATCH(691,'Transfer Engine'!$C$2:$C$1960,0)))</f>
        <v/>
      </c>
      <c r="B700" s="8">
        <f>IF(ISNA(MATCH(691,'Transfer Engine'!$C$2:$C$1960,0)),"",INDEX('Compliance Database'!$B$2:$B$1960,MATCH(691,'Transfer Engine'!$C$2:$C$1960,0)))</f>
        <v/>
      </c>
      <c r="C700" s="8">
        <f>IF(ISNA(MATCH(691,'Transfer Engine'!$C$2:$C$1960,0)),"",INDEX('Compliance Database'!$C$2:$C$1960,MATCH(691,'Transfer Engine'!$C$2:$C$1960,0)))</f>
        <v/>
      </c>
      <c r="D700" s="9">
        <f>IF(ISNA(MATCH(691,'Transfer Engine'!$C$2:$C$1960,0)),"",INDEX('Compliance Database'!$D$2:$D$1960,MATCH(691,'Transfer Engine'!$C$2:$C$1960,0)))</f>
        <v/>
      </c>
      <c r="E700" s="8">
        <f>IF(ISNA(MATCH(691,'Transfer Engine'!$C$2:$C$1960,0)),"",INDEX('Compliance Database'!$E$2:$E$1960,MATCH(691,'Transfer Engine'!$C$2:$C$1960,0)))</f>
        <v/>
      </c>
      <c r="F700" s="8">
        <f>IF(ISNA(MATCH(691,'Transfer Engine'!$C$2:$C$1960,0)),"",INDEX('Compliance Database'!$F$2:$F$1960,MATCH(691,'Transfer Engine'!$C$2:$C$1960,0)))</f>
        <v/>
      </c>
      <c r="G700" s="8">
        <f>IF(ISNA(MATCH(691,'Transfer Engine'!$C$2:$C$1960,0)),"",INDEX('Compliance Database'!$G$2:$G$1960,MATCH(691,'Transfer Engine'!$C$2:$C$1960,0)))</f>
        <v/>
      </c>
      <c r="H700" s="9">
        <f>IF(ISNA(MATCH(691,'Transfer Engine'!$C$2:$C$1960,0)),"",INDEX('Compliance Database'!$H$2:$H$1960,MATCH(691,'Transfer Engine'!$C$2:$C$1960,0)))</f>
        <v/>
      </c>
      <c r="I700" s="9">
        <f>IF(ISNA(MATCH(691,'Transfer Engine'!$C$2:$C$1960,0)),"",INDEX('Compliance Database'!$I$2:$I$1960,MATCH(691,'Transfer Engine'!$C$2:$C$1960,0)))</f>
        <v/>
      </c>
      <c r="J700" s="8">
        <f>IF(ISNA(MATCH(691,'Transfer Engine'!$C$2:$C$1960,0)),"",INDEX('Compliance Database'!$J$2:$J$1960,MATCH(691,'Transfer Engine'!$C$2:$C$1960,0)))</f>
        <v/>
      </c>
      <c r="K700" s="9">
        <f>IF(ISNA(MATCH(691,'Transfer Engine'!$C$2:$C$1960,0)),"",INDEX('Compliance Database'!$K$2:$K$1960,MATCH(691,'Transfer Engine'!$C$2:$C$1960,0)))</f>
        <v/>
      </c>
      <c r="L700" s="9">
        <f>IF(ISNA(MATCH(691,'Transfer Engine'!$C$2:$C$1960,0)),"",INDEX('Compliance Database'!$L$2:$L$1960,MATCH(691,'Transfer Engine'!$C$2:$C$1960,0)))</f>
        <v/>
      </c>
      <c r="M700" s="9">
        <f>IF(ISNA(MATCH(691,'Transfer Engine'!$C$2:$C$1960,0)),"",INDEX('Compliance Database'!$M$2:$M$1960,MATCH(691,'Transfer Engine'!$C$2:$C$1960,0)))</f>
        <v/>
      </c>
      <c r="N700" s="9">
        <f>IF(ISNA(MATCH(691,'Transfer Engine'!$C$2:$C$1960,0)),"",INDEX('Compliance Database'!$N$2:$N$1960,MATCH(691,'Transfer Engine'!$C$2:$C$1960,0)))</f>
        <v/>
      </c>
      <c r="O700" s="9">
        <f>IF(ISNA(MATCH(691,'Transfer Engine'!$C$2:$C$1960,0)),"",INDEX('Compliance Database'!$O$2:$O$1960,MATCH(691,'Transfer Engine'!$C$2:$C$1960,0)))</f>
        <v/>
      </c>
      <c r="P700" s="8">
        <f>IF(ISNA(MATCH(691,'Transfer Engine'!$C$2:$C$1960,0)),"",HYPERLINK("#Acts!A"&amp;INDEX('Compliance Database'!$P$2:$P$1960,MATCH(691,'Transfer Engine'!$C$2:$C$1960,0)),"Go to Act"))</f>
        <v/>
      </c>
    </row>
    <row r="701" ht="158" customHeight="1">
      <c r="A701" s="8">
        <f>IF(ISNA(MATCH(692,'Transfer Engine'!$C$2:$C$1960,0)),"",INDEX('Compliance Database'!$A$2:$A$1960,MATCH(692,'Transfer Engine'!$C$2:$C$1960,0)))</f>
        <v/>
      </c>
      <c r="B701" s="8">
        <f>IF(ISNA(MATCH(692,'Transfer Engine'!$C$2:$C$1960,0)),"",INDEX('Compliance Database'!$B$2:$B$1960,MATCH(692,'Transfer Engine'!$C$2:$C$1960,0)))</f>
        <v/>
      </c>
      <c r="C701" s="8">
        <f>IF(ISNA(MATCH(692,'Transfer Engine'!$C$2:$C$1960,0)),"",INDEX('Compliance Database'!$C$2:$C$1960,MATCH(692,'Transfer Engine'!$C$2:$C$1960,0)))</f>
        <v/>
      </c>
      <c r="D701" s="9">
        <f>IF(ISNA(MATCH(692,'Transfer Engine'!$C$2:$C$1960,0)),"",INDEX('Compliance Database'!$D$2:$D$1960,MATCH(692,'Transfer Engine'!$C$2:$C$1960,0)))</f>
        <v/>
      </c>
      <c r="E701" s="8">
        <f>IF(ISNA(MATCH(692,'Transfer Engine'!$C$2:$C$1960,0)),"",INDEX('Compliance Database'!$E$2:$E$1960,MATCH(692,'Transfer Engine'!$C$2:$C$1960,0)))</f>
        <v/>
      </c>
      <c r="F701" s="8">
        <f>IF(ISNA(MATCH(692,'Transfer Engine'!$C$2:$C$1960,0)),"",INDEX('Compliance Database'!$F$2:$F$1960,MATCH(692,'Transfer Engine'!$C$2:$C$1960,0)))</f>
        <v/>
      </c>
      <c r="G701" s="8">
        <f>IF(ISNA(MATCH(692,'Transfer Engine'!$C$2:$C$1960,0)),"",INDEX('Compliance Database'!$G$2:$G$1960,MATCH(692,'Transfer Engine'!$C$2:$C$1960,0)))</f>
        <v/>
      </c>
      <c r="H701" s="9">
        <f>IF(ISNA(MATCH(692,'Transfer Engine'!$C$2:$C$1960,0)),"",INDEX('Compliance Database'!$H$2:$H$1960,MATCH(692,'Transfer Engine'!$C$2:$C$1960,0)))</f>
        <v/>
      </c>
      <c r="I701" s="9">
        <f>IF(ISNA(MATCH(692,'Transfer Engine'!$C$2:$C$1960,0)),"",INDEX('Compliance Database'!$I$2:$I$1960,MATCH(692,'Transfer Engine'!$C$2:$C$1960,0)))</f>
        <v/>
      </c>
      <c r="J701" s="8">
        <f>IF(ISNA(MATCH(692,'Transfer Engine'!$C$2:$C$1960,0)),"",INDEX('Compliance Database'!$J$2:$J$1960,MATCH(692,'Transfer Engine'!$C$2:$C$1960,0)))</f>
        <v/>
      </c>
      <c r="K701" s="9">
        <f>IF(ISNA(MATCH(692,'Transfer Engine'!$C$2:$C$1960,0)),"",INDEX('Compliance Database'!$K$2:$K$1960,MATCH(692,'Transfer Engine'!$C$2:$C$1960,0)))</f>
        <v/>
      </c>
      <c r="L701" s="9">
        <f>IF(ISNA(MATCH(692,'Transfer Engine'!$C$2:$C$1960,0)),"",INDEX('Compliance Database'!$L$2:$L$1960,MATCH(692,'Transfer Engine'!$C$2:$C$1960,0)))</f>
        <v/>
      </c>
      <c r="M701" s="9">
        <f>IF(ISNA(MATCH(692,'Transfer Engine'!$C$2:$C$1960,0)),"",INDEX('Compliance Database'!$M$2:$M$1960,MATCH(692,'Transfer Engine'!$C$2:$C$1960,0)))</f>
        <v/>
      </c>
      <c r="N701" s="9">
        <f>IF(ISNA(MATCH(692,'Transfer Engine'!$C$2:$C$1960,0)),"",INDEX('Compliance Database'!$N$2:$N$1960,MATCH(692,'Transfer Engine'!$C$2:$C$1960,0)))</f>
        <v/>
      </c>
      <c r="O701" s="9">
        <f>IF(ISNA(MATCH(692,'Transfer Engine'!$C$2:$C$1960,0)),"",INDEX('Compliance Database'!$O$2:$O$1960,MATCH(692,'Transfer Engine'!$C$2:$C$1960,0)))</f>
        <v/>
      </c>
      <c r="P701" s="8">
        <f>IF(ISNA(MATCH(692,'Transfer Engine'!$C$2:$C$1960,0)),"",HYPERLINK("#Acts!A"&amp;INDEX('Compliance Database'!$P$2:$P$1960,MATCH(692,'Transfer Engine'!$C$2:$C$1960,0)),"Go to Act"))</f>
        <v/>
      </c>
    </row>
    <row r="702" ht="158" customHeight="1">
      <c r="A702" s="8">
        <f>IF(ISNA(MATCH(693,'Transfer Engine'!$C$2:$C$1960,0)),"",INDEX('Compliance Database'!$A$2:$A$1960,MATCH(693,'Transfer Engine'!$C$2:$C$1960,0)))</f>
        <v/>
      </c>
      <c r="B702" s="8">
        <f>IF(ISNA(MATCH(693,'Transfer Engine'!$C$2:$C$1960,0)),"",INDEX('Compliance Database'!$B$2:$B$1960,MATCH(693,'Transfer Engine'!$C$2:$C$1960,0)))</f>
        <v/>
      </c>
      <c r="C702" s="8">
        <f>IF(ISNA(MATCH(693,'Transfer Engine'!$C$2:$C$1960,0)),"",INDEX('Compliance Database'!$C$2:$C$1960,MATCH(693,'Transfer Engine'!$C$2:$C$1960,0)))</f>
        <v/>
      </c>
      <c r="D702" s="9">
        <f>IF(ISNA(MATCH(693,'Transfer Engine'!$C$2:$C$1960,0)),"",INDEX('Compliance Database'!$D$2:$D$1960,MATCH(693,'Transfer Engine'!$C$2:$C$1960,0)))</f>
        <v/>
      </c>
      <c r="E702" s="8">
        <f>IF(ISNA(MATCH(693,'Transfer Engine'!$C$2:$C$1960,0)),"",INDEX('Compliance Database'!$E$2:$E$1960,MATCH(693,'Transfer Engine'!$C$2:$C$1960,0)))</f>
        <v/>
      </c>
      <c r="F702" s="8">
        <f>IF(ISNA(MATCH(693,'Transfer Engine'!$C$2:$C$1960,0)),"",INDEX('Compliance Database'!$F$2:$F$1960,MATCH(693,'Transfer Engine'!$C$2:$C$1960,0)))</f>
        <v/>
      </c>
      <c r="G702" s="8">
        <f>IF(ISNA(MATCH(693,'Transfer Engine'!$C$2:$C$1960,0)),"",INDEX('Compliance Database'!$G$2:$G$1960,MATCH(693,'Transfer Engine'!$C$2:$C$1960,0)))</f>
        <v/>
      </c>
      <c r="H702" s="9">
        <f>IF(ISNA(MATCH(693,'Transfer Engine'!$C$2:$C$1960,0)),"",INDEX('Compliance Database'!$H$2:$H$1960,MATCH(693,'Transfer Engine'!$C$2:$C$1960,0)))</f>
        <v/>
      </c>
      <c r="I702" s="9">
        <f>IF(ISNA(MATCH(693,'Transfer Engine'!$C$2:$C$1960,0)),"",INDEX('Compliance Database'!$I$2:$I$1960,MATCH(693,'Transfer Engine'!$C$2:$C$1960,0)))</f>
        <v/>
      </c>
      <c r="J702" s="8">
        <f>IF(ISNA(MATCH(693,'Transfer Engine'!$C$2:$C$1960,0)),"",INDEX('Compliance Database'!$J$2:$J$1960,MATCH(693,'Transfer Engine'!$C$2:$C$1960,0)))</f>
        <v/>
      </c>
      <c r="K702" s="9">
        <f>IF(ISNA(MATCH(693,'Transfer Engine'!$C$2:$C$1960,0)),"",INDEX('Compliance Database'!$K$2:$K$1960,MATCH(693,'Transfer Engine'!$C$2:$C$1960,0)))</f>
        <v/>
      </c>
      <c r="L702" s="9">
        <f>IF(ISNA(MATCH(693,'Transfer Engine'!$C$2:$C$1960,0)),"",INDEX('Compliance Database'!$L$2:$L$1960,MATCH(693,'Transfer Engine'!$C$2:$C$1960,0)))</f>
        <v/>
      </c>
      <c r="M702" s="9">
        <f>IF(ISNA(MATCH(693,'Transfer Engine'!$C$2:$C$1960,0)),"",INDEX('Compliance Database'!$M$2:$M$1960,MATCH(693,'Transfer Engine'!$C$2:$C$1960,0)))</f>
        <v/>
      </c>
      <c r="N702" s="9">
        <f>IF(ISNA(MATCH(693,'Transfer Engine'!$C$2:$C$1960,0)),"",INDEX('Compliance Database'!$N$2:$N$1960,MATCH(693,'Transfer Engine'!$C$2:$C$1960,0)))</f>
        <v/>
      </c>
      <c r="O702" s="9">
        <f>IF(ISNA(MATCH(693,'Transfer Engine'!$C$2:$C$1960,0)),"",INDEX('Compliance Database'!$O$2:$O$1960,MATCH(693,'Transfer Engine'!$C$2:$C$1960,0)))</f>
        <v/>
      </c>
      <c r="P702" s="8">
        <f>IF(ISNA(MATCH(693,'Transfer Engine'!$C$2:$C$1960,0)),"",HYPERLINK("#Acts!A"&amp;INDEX('Compliance Database'!$P$2:$P$1960,MATCH(693,'Transfer Engine'!$C$2:$C$1960,0)),"Go to Act"))</f>
        <v/>
      </c>
    </row>
    <row r="703" ht="158" customHeight="1">
      <c r="A703" s="8">
        <f>IF(ISNA(MATCH(694,'Transfer Engine'!$C$2:$C$1960,0)),"",INDEX('Compliance Database'!$A$2:$A$1960,MATCH(694,'Transfer Engine'!$C$2:$C$1960,0)))</f>
        <v/>
      </c>
      <c r="B703" s="8">
        <f>IF(ISNA(MATCH(694,'Transfer Engine'!$C$2:$C$1960,0)),"",INDEX('Compliance Database'!$B$2:$B$1960,MATCH(694,'Transfer Engine'!$C$2:$C$1960,0)))</f>
        <v/>
      </c>
      <c r="C703" s="8">
        <f>IF(ISNA(MATCH(694,'Transfer Engine'!$C$2:$C$1960,0)),"",INDEX('Compliance Database'!$C$2:$C$1960,MATCH(694,'Transfer Engine'!$C$2:$C$1960,0)))</f>
        <v/>
      </c>
      <c r="D703" s="9">
        <f>IF(ISNA(MATCH(694,'Transfer Engine'!$C$2:$C$1960,0)),"",INDEX('Compliance Database'!$D$2:$D$1960,MATCH(694,'Transfer Engine'!$C$2:$C$1960,0)))</f>
        <v/>
      </c>
      <c r="E703" s="8">
        <f>IF(ISNA(MATCH(694,'Transfer Engine'!$C$2:$C$1960,0)),"",INDEX('Compliance Database'!$E$2:$E$1960,MATCH(694,'Transfer Engine'!$C$2:$C$1960,0)))</f>
        <v/>
      </c>
      <c r="F703" s="8">
        <f>IF(ISNA(MATCH(694,'Transfer Engine'!$C$2:$C$1960,0)),"",INDEX('Compliance Database'!$F$2:$F$1960,MATCH(694,'Transfer Engine'!$C$2:$C$1960,0)))</f>
        <v/>
      </c>
      <c r="G703" s="8">
        <f>IF(ISNA(MATCH(694,'Transfer Engine'!$C$2:$C$1960,0)),"",INDEX('Compliance Database'!$G$2:$G$1960,MATCH(694,'Transfer Engine'!$C$2:$C$1960,0)))</f>
        <v/>
      </c>
      <c r="H703" s="9">
        <f>IF(ISNA(MATCH(694,'Transfer Engine'!$C$2:$C$1960,0)),"",INDEX('Compliance Database'!$H$2:$H$1960,MATCH(694,'Transfer Engine'!$C$2:$C$1960,0)))</f>
        <v/>
      </c>
      <c r="I703" s="9">
        <f>IF(ISNA(MATCH(694,'Transfer Engine'!$C$2:$C$1960,0)),"",INDEX('Compliance Database'!$I$2:$I$1960,MATCH(694,'Transfer Engine'!$C$2:$C$1960,0)))</f>
        <v/>
      </c>
      <c r="J703" s="8">
        <f>IF(ISNA(MATCH(694,'Transfer Engine'!$C$2:$C$1960,0)),"",INDEX('Compliance Database'!$J$2:$J$1960,MATCH(694,'Transfer Engine'!$C$2:$C$1960,0)))</f>
        <v/>
      </c>
      <c r="K703" s="9">
        <f>IF(ISNA(MATCH(694,'Transfer Engine'!$C$2:$C$1960,0)),"",INDEX('Compliance Database'!$K$2:$K$1960,MATCH(694,'Transfer Engine'!$C$2:$C$1960,0)))</f>
        <v/>
      </c>
      <c r="L703" s="9">
        <f>IF(ISNA(MATCH(694,'Transfer Engine'!$C$2:$C$1960,0)),"",INDEX('Compliance Database'!$L$2:$L$1960,MATCH(694,'Transfer Engine'!$C$2:$C$1960,0)))</f>
        <v/>
      </c>
      <c r="M703" s="9">
        <f>IF(ISNA(MATCH(694,'Transfer Engine'!$C$2:$C$1960,0)),"",INDEX('Compliance Database'!$M$2:$M$1960,MATCH(694,'Transfer Engine'!$C$2:$C$1960,0)))</f>
        <v/>
      </c>
      <c r="N703" s="9">
        <f>IF(ISNA(MATCH(694,'Transfer Engine'!$C$2:$C$1960,0)),"",INDEX('Compliance Database'!$N$2:$N$1960,MATCH(694,'Transfer Engine'!$C$2:$C$1960,0)))</f>
        <v/>
      </c>
      <c r="O703" s="9">
        <f>IF(ISNA(MATCH(694,'Transfer Engine'!$C$2:$C$1960,0)),"",INDEX('Compliance Database'!$O$2:$O$1960,MATCH(694,'Transfer Engine'!$C$2:$C$1960,0)))</f>
        <v/>
      </c>
      <c r="P703" s="8">
        <f>IF(ISNA(MATCH(694,'Transfer Engine'!$C$2:$C$1960,0)),"",HYPERLINK("#Acts!A"&amp;INDEX('Compliance Database'!$P$2:$P$1960,MATCH(694,'Transfer Engine'!$C$2:$C$1960,0)),"Go to Act"))</f>
        <v/>
      </c>
    </row>
    <row r="704" ht="158" customHeight="1">
      <c r="A704" s="8">
        <f>IF(ISNA(MATCH(695,'Transfer Engine'!$C$2:$C$1960,0)),"",INDEX('Compliance Database'!$A$2:$A$1960,MATCH(695,'Transfer Engine'!$C$2:$C$1960,0)))</f>
        <v/>
      </c>
      <c r="B704" s="8">
        <f>IF(ISNA(MATCH(695,'Transfer Engine'!$C$2:$C$1960,0)),"",INDEX('Compliance Database'!$B$2:$B$1960,MATCH(695,'Transfer Engine'!$C$2:$C$1960,0)))</f>
        <v/>
      </c>
      <c r="C704" s="8">
        <f>IF(ISNA(MATCH(695,'Transfer Engine'!$C$2:$C$1960,0)),"",INDEX('Compliance Database'!$C$2:$C$1960,MATCH(695,'Transfer Engine'!$C$2:$C$1960,0)))</f>
        <v/>
      </c>
      <c r="D704" s="9">
        <f>IF(ISNA(MATCH(695,'Transfer Engine'!$C$2:$C$1960,0)),"",INDEX('Compliance Database'!$D$2:$D$1960,MATCH(695,'Transfer Engine'!$C$2:$C$1960,0)))</f>
        <v/>
      </c>
      <c r="E704" s="8">
        <f>IF(ISNA(MATCH(695,'Transfer Engine'!$C$2:$C$1960,0)),"",INDEX('Compliance Database'!$E$2:$E$1960,MATCH(695,'Transfer Engine'!$C$2:$C$1960,0)))</f>
        <v/>
      </c>
      <c r="F704" s="8">
        <f>IF(ISNA(MATCH(695,'Transfer Engine'!$C$2:$C$1960,0)),"",INDEX('Compliance Database'!$F$2:$F$1960,MATCH(695,'Transfer Engine'!$C$2:$C$1960,0)))</f>
        <v/>
      </c>
      <c r="G704" s="8">
        <f>IF(ISNA(MATCH(695,'Transfer Engine'!$C$2:$C$1960,0)),"",INDEX('Compliance Database'!$G$2:$G$1960,MATCH(695,'Transfer Engine'!$C$2:$C$1960,0)))</f>
        <v/>
      </c>
      <c r="H704" s="9">
        <f>IF(ISNA(MATCH(695,'Transfer Engine'!$C$2:$C$1960,0)),"",INDEX('Compliance Database'!$H$2:$H$1960,MATCH(695,'Transfer Engine'!$C$2:$C$1960,0)))</f>
        <v/>
      </c>
      <c r="I704" s="9">
        <f>IF(ISNA(MATCH(695,'Transfer Engine'!$C$2:$C$1960,0)),"",INDEX('Compliance Database'!$I$2:$I$1960,MATCH(695,'Transfer Engine'!$C$2:$C$1960,0)))</f>
        <v/>
      </c>
      <c r="J704" s="8">
        <f>IF(ISNA(MATCH(695,'Transfer Engine'!$C$2:$C$1960,0)),"",INDEX('Compliance Database'!$J$2:$J$1960,MATCH(695,'Transfer Engine'!$C$2:$C$1960,0)))</f>
        <v/>
      </c>
      <c r="K704" s="9">
        <f>IF(ISNA(MATCH(695,'Transfer Engine'!$C$2:$C$1960,0)),"",INDEX('Compliance Database'!$K$2:$K$1960,MATCH(695,'Transfer Engine'!$C$2:$C$1960,0)))</f>
        <v/>
      </c>
      <c r="L704" s="9">
        <f>IF(ISNA(MATCH(695,'Transfer Engine'!$C$2:$C$1960,0)),"",INDEX('Compliance Database'!$L$2:$L$1960,MATCH(695,'Transfer Engine'!$C$2:$C$1960,0)))</f>
        <v/>
      </c>
      <c r="M704" s="9">
        <f>IF(ISNA(MATCH(695,'Transfer Engine'!$C$2:$C$1960,0)),"",INDEX('Compliance Database'!$M$2:$M$1960,MATCH(695,'Transfer Engine'!$C$2:$C$1960,0)))</f>
        <v/>
      </c>
      <c r="N704" s="9">
        <f>IF(ISNA(MATCH(695,'Transfer Engine'!$C$2:$C$1960,0)),"",INDEX('Compliance Database'!$N$2:$N$1960,MATCH(695,'Transfer Engine'!$C$2:$C$1960,0)))</f>
        <v/>
      </c>
      <c r="O704" s="9">
        <f>IF(ISNA(MATCH(695,'Transfer Engine'!$C$2:$C$1960,0)),"",INDEX('Compliance Database'!$O$2:$O$1960,MATCH(695,'Transfer Engine'!$C$2:$C$1960,0)))</f>
        <v/>
      </c>
      <c r="P704" s="8">
        <f>IF(ISNA(MATCH(695,'Transfer Engine'!$C$2:$C$1960,0)),"",HYPERLINK("#Acts!A"&amp;INDEX('Compliance Database'!$P$2:$P$1960,MATCH(695,'Transfer Engine'!$C$2:$C$1960,0)),"Go to Act"))</f>
        <v/>
      </c>
    </row>
    <row r="705" ht="158" customHeight="1">
      <c r="A705" s="8">
        <f>IF(ISNA(MATCH(696,'Transfer Engine'!$C$2:$C$1960,0)),"",INDEX('Compliance Database'!$A$2:$A$1960,MATCH(696,'Transfer Engine'!$C$2:$C$1960,0)))</f>
        <v/>
      </c>
      <c r="B705" s="8">
        <f>IF(ISNA(MATCH(696,'Transfer Engine'!$C$2:$C$1960,0)),"",INDEX('Compliance Database'!$B$2:$B$1960,MATCH(696,'Transfer Engine'!$C$2:$C$1960,0)))</f>
        <v/>
      </c>
      <c r="C705" s="8">
        <f>IF(ISNA(MATCH(696,'Transfer Engine'!$C$2:$C$1960,0)),"",INDEX('Compliance Database'!$C$2:$C$1960,MATCH(696,'Transfer Engine'!$C$2:$C$1960,0)))</f>
        <v/>
      </c>
      <c r="D705" s="9">
        <f>IF(ISNA(MATCH(696,'Transfer Engine'!$C$2:$C$1960,0)),"",INDEX('Compliance Database'!$D$2:$D$1960,MATCH(696,'Transfer Engine'!$C$2:$C$1960,0)))</f>
        <v/>
      </c>
      <c r="E705" s="8">
        <f>IF(ISNA(MATCH(696,'Transfer Engine'!$C$2:$C$1960,0)),"",INDEX('Compliance Database'!$E$2:$E$1960,MATCH(696,'Transfer Engine'!$C$2:$C$1960,0)))</f>
        <v/>
      </c>
      <c r="F705" s="8">
        <f>IF(ISNA(MATCH(696,'Transfer Engine'!$C$2:$C$1960,0)),"",INDEX('Compliance Database'!$F$2:$F$1960,MATCH(696,'Transfer Engine'!$C$2:$C$1960,0)))</f>
        <v/>
      </c>
      <c r="G705" s="8">
        <f>IF(ISNA(MATCH(696,'Transfer Engine'!$C$2:$C$1960,0)),"",INDEX('Compliance Database'!$G$2:$G$1960,MATCH(696,'Transfer Engine'!$C$2:$C$1960,0)))</f>
        <v/>
      </c>
      <c r="H705" s="9">
        <f>IF(ISNA(MATCH(696,'Transfer Engine'!$C$2:$C$1960,0)),"",INDEX('Compliance Database'!$H$2:$H$1960,MATCH(696,'Transfer Engine'!$C$2:$C$1960,0)))</f>
        <v/>
      </c>
      <c r="I705" s="9">
        <f>IF(ISNA(MATCH(696,'Transfer Engine'!$C$2:$C$1960,0)),"",INDEX('Compliance Database'!$I$2:$I$1960,MATCH(696,'Transfer Engine'!$C$2:$C$1960,0)))</f>
        <v/>
      </c>
      <c r="J705" s="8">
        <f>IF(ISNA(MATCH(696,'Transfer Engine'!$C$2:$C$1960,0)),"",INDEX('Compliance Database'!$J$2:$J$1960,MATCH(696,'Transfer Engine'!$C$2:$C$1960,0)))</f>
        <v/>
      </c>
      <c r="K705" s="9">
        <f>IF(ISNA(MATCH(696,'Transfer Engine'!$C$2:$C$1960,0)),"",INDEX('Compliance Database'!$K$2:$K$1960,MATCH(696,'Transfer Engine'!$C$2:$C$1960,0)))</f>
        <v/>
      </c>
      <c r="L705" s="9">
        <f>IF(ISNA(MATCH(696,'Transfer Engine'!$C$2:$C$1960,0)),"",INDEX('Compliance Database'!$L$2:$L$1960,MATCH(696,'Transfer Engine'!$C$2:$C$1960,0)))</f>
        <v/>
      </c>
      <c r="M705" s="9">
        <f>IF(ISNA(MATCH(696,'Transfer Engine'!$C$2:$C$1960,0)),"",INDEX('Compliance Database'!$M$2:$M$1960,MATCH(696,'Transfer Engine'!$C$2:$C$1960,0)))</f>
        <v/>
      </c>
      <c r="N705" s="9">
        <f>IF(ISNA(MATCH(696,'Transfer Engine'!$C$2:$C$1960,0)),"",INDEX('Compliance Database'!$N$2:$N$1960,MATCH(696,'Transfer Engine'!$C$2:$C$1960,0)))</f>
        <v/>
      </c>
      <c r="O705" s="9">
        <f>IF(ISNA(MATCH(696,'Transfer Engine'!$C$2:$C$1960,0)),"",INDEX('Compliance Database'!$O$2:$O$1960,MATCH(696,'Transfer Engine'!$C$2:$C$1960,0)))</f>
        <v/>
      </c>
      <c r="P705" s="8">
        <f>IF(ISNA(MATCH(696,'Transfer Engine'!$C$2:$C$1960,0)),"",HYPERLINK("#Acts!A"&amp;INDEX('Compliance Database'!$P$2:$P$1960,MATCH(696,'Transfer Engine'!$C$2:$C$1960,0)),"Go to Act"))</f>
        <v/>
      </c>
    </row>
    <row r="706" ht="158" customHeight="1">
      <c r="A706" s="8">
        <f>IF(ISNA(MATCH(697,'Transfer Engine'!$C$2:$C$1960,0)),"",INDEX('Compliance Database'!$A$2:$A$1960,MATCH(697,'Transfer Engine'!$C$2:$C$1960,0)))</f>
        <v/>
      </c>
      <c r="B706" s="8">
        <f>IF(ISNA(MATCH(697,'Transfer Engine'!$C$2:$C$1960,0)),"",INDEX('Compliance Database'!$B$2:$B$1960,MATCH(697,'Transfer Engine'!$C$2:$C$1960,0)))</f>
        <v/>
      </c>
      <c r="C706" s="8">
        <f>IF(ISNA(MATCH(697,'Transfer Engine'!$C$2:$C$1960,0)),"",INDEX('Compliance Database'!$C$2:$C$1960,MATCH(697,'Transfer Engine'!$C$2:$C$1960,0)))</f>
        <v/>
      </c>
      <c r="D706" s="9">
        <f>IF(ISNA(MATCH(697,'Transfer Engine'!$C$2:$C$1960,0)),"",INDEX('Compliance Database'!$D$2:$D$1960,MATCH(697,'Transfer Engine'!$C$2:$C$1960,0)))</f>
        <v/>
      </c>
      <c r="E706" s="8">
        <f>IF(ISNA(MATCH(697,'Transfer Engine'!$C$2:$C$1960,0)),"",INDEX('Compliance Database'!$E$2:$E$1960,MATCH(697,'Transfer Engine'!$C$2:$C$1960,0)))</f>
        <v/>
      </c>
      <c r="F706" s="8">
        <f>IF(ISNA(MATCH(697,'Transfer Engine'!$C$2:$C$1960,0)),"",INDEX('Compliance Database'!$F$2:$F$1960,MATCH(697,'Transfer Engine'!$C$2:$C$1960,0)))</f>
        <v/>
      </c>
      <c r="G706" s="8">
        <f>IF(ISNA(MATCH(697,'Transfer Engine'!$C$2:$C$1960,0)),"",INDEX('Compliance Database'!$G$2:$G$1960,MATCH(697,'Transfer Engine'!$C$2:$C$1960,0)))</f>
        <v/>
      </c>
      <c r="H706" s="9">
        <f>IF(ISNA(MATCH(697,'Transfer Engine'!$C$2:$C$1960,0)),"",INDEX('Compliance Database'!$H$2:$H$1960,MATCH(697,'Transfer Engine'!$C$2:$C$1960,0)))</f>
        <v/>
      </c>
      <c r="I706" s="9">
        <f>IF(ISNA(MATCH(697,'Transfer Engine'!$C$2:$C$1960,0)),"",INDEX('Compliance Database'!$I$2:$I$1960,MATCH(697,'Transfer Engine'!$C$2:$C$1960,0)))</f>
        <v/>
      </c>
      <c r="J706" s="8">
        <f>IF(ISNA(MATCH(697,'Transfer Engine'!$C$2:$C$1960,0)),"",INDEX('Compliance Database'!$J$2:$J$1960,MATCH(697,'Transfer Engine'!$C$2:$C$1960,0)))</f>
        <v/>
      </c>
      <c r="K706" s="9">
        <f>IF(ISNA(MATCH(697,'Transfer Engine'!$C$2:$C$1960,0)),"",INDEX('Compliance Database'!$K$2:$K$1960,MATCH(697,'Transfer Engine'!$C$2:$C$1960,0)))</f>
        <v/>
      </c>
      <c r="L706" s="9">
        <f>IF(ISNA(MATCH(697,'Transfer Engine'!$C$2:$C$1960,0)),"",INDEX('Compliance Database'!$L$2:$L$1960,MATCH(697,'Transfer Engine'!$C$2:$C$1960,0)))</f>
        <v/>
      </c>
      <c r="M706" s="9">
        <f>IF(ISNA(MATCH(697,'Transfer Engine'!$C$2:$C$1960,0)),"",INDEX('Compliance Database'!$M$2:$M$1960,MATCH(697,'Transfer Engine'!$C$2:$C$1960,0)))</f>
        <v/>
      </c>
      <c r="N706" s="9">
        <f>IF(ISNA(MATCH(697,'Transfer Engine'!$C$2:$C$1960,0)),"",INDEX('Compliance Database'!$N$2:$N$1960,MATCH(697,'Transfer Engine'!$C$2:$C$1960,0)))</f>
        <v/>
      </c>
      <c r="O706" s="9">
        <f>IF(ISNA(MATCH(697,'Transfer Engine'!$C$2:$C$1960,0)),"",INDEX('Compliance Database'!$O$2:$O$1960,MATCH(697,'Transfer Engine'!$C$2:$C$1960,0)))</f>
        <v/>
      </c>
      <c r="P706" s="8">
        <f>IF(ISNA(MATCH(697,'Transfer Engine'!$C$2:$C$1960,0)),"",HYPERLINK("#Acts!A"&amp;INDEX('Compliance Database'!$P$2:$P$1960,MATCH(697,'Transfer Engine'!$C$2:$C$1960,0)),"Go to Act"))</f>
        <v/>
      </c>
    </row>
    <row r="707" ht="158" customHeight="1">
      <c r="A707" s="8">
        <f>IF(ISNA(MATCH(698,'Transfer Engine'!$C$2:$C$1960,0)),"",INDEX('Compliance Database'!$A$2:$A$1960,MATCH(698,'Transfer Engine'!$C$2:$C$1960,0)))</f>
        <v/>
      </c>
      <c r="B707" s="8">
        <f>IF(ISNA(MATCH(698,'Transfer Engine'!$C$2:$C$1960,0)),"",INDEX('Compliance Database'!$B$2:$B$1960,MATCH(698,'Transfer Engine'!$C$2:$C$1960,0)))</f>
        <v/>
      </c>
      <c r="C707" s="8">
        <f>IF(ISNA(MATCH(698,'Transfer Engine'!$C$2:$C$1960,0)),"",INDEX('Compliance Database'!$C$2:$C$1960,MATCH(698,'Transfer Engine'!$C$2:$C$1960,0)))</f>
        <v/>
      </c>
      <c r="D707" s="9">
        <f>IF(ISNA(MATCH(698,'Transfer Engine'!$C$2:$C$1960,0)),"",INDEX('Compliance Database'!$D$2:$D$1960,MATCH(698,'Transfer Engine'!$C$2:$C$1960,0)))</f>
        <v/>
      </c>
      <c r="E707" s="8">
        <f>IF(ISNA(MATCH(698,'Transfer Engine'!$C$2:$C$1960,0)),"",INDEX('Compliance Database'!$E$2:$E$1960,MATCH(698,'Transfer Engine'!$C$2:$C$1960,0)))</f>
        <v/>
      </c>
      <c r="F707" s="8">
        <f>IF(ISNA(MATCH(698,'Transfer Engine'!$C$2:$C$1960,0)),"",INDEX('Compliance Database'!$F$2:$F$1960,MATCH(698,'Transfer Engine'!$C$2:$C$1960,0)))</f>
        <v/>
      </c>
      <c r="G707" s="8">
        <f>IF(ISNA(MATCH(698,'Transfer Engine'!$C$2:$C$1960,0)),"",INDEX('Compliance Database'!$G$2:$G$1960,MATCH(698,'Transfer Engine'!$C$2:$C$1960,0)))</f>
        <v/>
      </c>
      <c r="H707" s="9">
        <f>IF(ISNA(MATCH(698,'Transfer Engine'!$C$2:$C$1960,0)),"",INDEX('Compliance Database'!$H$2:$H$1960,MATCH(698,'Transfer Engine'!$C$2:$C$1960,0)))</f>
        <v/>
      </c>
      <c r="I707" s="9">
        <f>IF(ISNA(MATCH(698,'Transfer Engine'!$C$2:$C$1960,0)),"",INDEX('Compliance Database'!$I$2:$I$1960,MATCH(698,'Transfer Engine'!$C$2:$C$1960,0)))</f>
        <v/>
      </c>
      <c r="J707" s="8">
        <f>IF(ISNA(MATCH(698,'Transfer Engine'!$C$2:$C$1960,0)),"",INDEX('Compliance Database'!$J$2:$J$1960,MATCH(698,'Transfer Engine'!$C$2:$C$1960,0)))</f>
        <v/>
      </c>
      <c r="K707" s="9">
        <f>IF(ISNA(MATCH(698,'Transfer Engine'!$C$2:$C$1960,0)),"",INDEX('Compliance Database'!$K$2:$K$1960,MATCH(698,'Transfer Engine'!$C$2:$C$1960,0)))</f>
        <v/>
      </c>
      <c r="L707" s="9">
        <f>IF(ISNA(MATCH(698,'Transfer Engine'!$C$2:$C$1960,0)),"",INDEX('Compliance Database'!$L$2:$L$1960,MATCH(698,'Transfer Engine'!$C$2:$C$1960,0)))</f>
        <v/>
      </c>
      <c r="M707" s="9">
        <f>IF(ISNA(MATCH(698,'Transfer Engine'!$C$2:$C$1960,0)),"",INDEX('Compliance Database'!$M$2:$M$1960,MATCH(698,'Transfer Engine'!$C$2:$C$1960,0)))</f>
        <v/>
      </c>
      <c r="N707" s="9">
        <f>IF(ISNA(MATCH(698,'Transfer Engine'!$C$2:$C$1960,0)),"",INDEX('Compliance Database'!$N$2:$N$1960,MATCH(698,'Transfer Engine'!$C$2:$C$1960,0)))</f>
        <v/>
      </c>
      <c r="O707" s="9">
        <f>IF(ISNA(MATCH(698,'Transfer Engine'!$C$2:$C$1960,0)),"",INDEX('Compliance Database'!$O$2:$O$1960,MATCH(698,'Transfer Engine'!$C$2:$C$1960,0)))</f>
        <v/>
      </c>
      <c r="P707" s="8">
        <f>IF(ISNA(MATCH(698,'Transfer Engine'!$C$2:$C$1960,0)),"",HYPERLINK("#Acts!A"&amp;INDEX('Compliance Database'!$P$2:$P$1960,MATCH(698,'Transfer Engine'!$C$2:$C$1960,0)),"Go to Act"))</f>
        <v/>
      </c>
    </row>
    <row r="708" ht="158" customHeight="1">
      <c r="A708" s="8">
        <f>IF(ISNA(MATCH(699,'Transfer Engine'!$C$2:$C$1960,0)),"",INDEX('Compliance Database'!$A$2:$A$1960,MATCH(699,'Transfer Engine'!$C$2:$C$1960,0)))</f>
        <v/>
      </c>
      <c r="B708" s="8">
        <f>IF(ISNA(MATCH(699,'Transfer Engine'!$C$2:$C$1960,0)),"",INDEX('Compliance Database'!$B$2:$B$1960,MATCH(699,'Transfer Engine'!$C$2:$C$1960,0)))</f>
        <v/>
      </c>
      <c r="C708" s="8">
        <f>IF(ISNA(MATCH(699,'Transfer Engine'!$C$2:$C$1960,0)),"",INDEX('Compliance Database'!$C$2:$C$1960,MATCH(699,'Transfer Engine'!$C$2:$C$1960,0)))</f>
        <v/>
      </c>
      <c r="D708" s="9">
        <f>IF(ISNA(MATCH(699,'Transfer Engine'!$C$2:$C$1960,0)),"",INDEX('Compliance Database'!$D$2:$D$1960,MATCH(699,'Transfer Engine'!$C$2:$C$1960,0)))</f>
        <v/>
      </c>
      <c r="E708" s="8">
        <f>IF(ISNA(MATCH(699,'Transfer Engine'!$C$2:$C$1960,0)),"",INDEX('Compliance Database'!$E$2:$E$1960,MATCH(699,'Transfer Engine'!$C$2:$C$1960,0)))</f>
        <v/>
      </c>
      <c r="F708" s="8">
        <f>IF(ISNA(MATCH(699,'Transfer Engine'!$C$2:$C$1960,0)),"",INDEX('Compliance Database'!$F$2:$F$1960,MATCH(699,'Transfer Engine'!$C$2:$C$1960,0)))</f>
        <v/>
      </c>
      <c r="G708" s="8">
        <f>IF(ISNA(MATCH(699,'Transfer Engine'!$C$2:$C$1960,0)),"",INDEX('Compliance Database'!$G$2:$G$1960,MATCH(699,'Transfer Engine'!$C$2:$C$1960,0)))</f>
        <v/>
      </c>
      <c r="H708" s="9">
        <f>IF(ISNA(MATCH(699,'Transfer Engine'!$C$2:$C$1960,0)),"",INDEX('Compliance Database'!$H$2:$H$1960,MATCH(699,'Transfer Engine'!$C$2:$C$1960,0)))</f>
        <v/>
      </c>
      <c r="I708" s="9">
        <f>IF(ISNA(MATCH(699,'Transfer Engine'!$C$2:$C$1960,0)),"",INDEX('Compliance Database'!$I$2:$I$1960,MATCH(699,'Transfer Engine'!$C$2:$C$1960,0)))</f>
        <v/>
      </c>
      <c r="J708" s="8">
        <f>IF(ISNA(MATCH(699,'Transfer Engine'!$C$2:$C$1960,0)),"",INDEX('Compliance Database'!$J$2:$J$1960,MATCH(699,'Transfer Engine'!$C$2:$C$1960,0)))</f>
        <v/>
      </c>
      <c r="K708" s="9">
        <f>IF(ISNA(MATCH(699,'Transfer Engine'!$C$2:$C$1960,0)),"",INDEX('Compliance Database'!$K$2:$K$1960,MATCH(699,'Transfer Engine'!$C$2:$C$1960,0)))</f>
        <v/>
      </c>
      <c r="L708" s="9">
        <f>IF(ISNA(MATCH(699,'Transfer Engine'!$C$2:$C$1960,0)),"",INDEX('Compliance Database'!$L$2:$L$1960,MATCH(699,'Transfer Engine'!$C$2:$C$1960,0)))</f>
        <v/>
      </c>
      <c r="M708" s="9">
        <f>IF(ISNA(MATCH(699,'Transfer Engine'!$C$2:$C$1960,0)),"",INDEX('Compliance Database'!$M$2:$M$1960,MATCH(699,'Transfer Engine'!$C$2:$C$1960,0)))</f>
        <v/>
      </c>
      <c r="N708" s="9">
        <f>IF(ISNA(MATCH(699,'Transfer Engine'!$C$2:$C$1960,0)),"",INDEX('Compliance Database'!$N$2:$N$1960,MATCH(699,'Transfer Engine'!$C$2:$C$1960,0)))</f>
        <v/>
      </c>
      <c r="O708" s="9">
        <f>IF(ISNA(MATCH(699,'Transfer Engine'!$C$2:$C$1960,0)),"",INDEX('Compliance Database'!$O$2:$O$1960,MATCH(699,'Transfer Engine'!$C$2:$C$1960,0)))</f>
        <v/>
      </c>
      <c r="P708" s="8">
        <f>IF(ISNA(MATCH(699,'Transfer Engine'!$C$2:$C$1960,0)),"",HYPERLINK("#Acts!A"&amp;INDEX('Compliance Database'!$P$2:$P$1960,MATCH(699,'Transfer Engine'!$C$2:$C$1960,0)),"Go to Act"))</f>
        <v/>
      </c>
    </row>
    <row r="709" ht="158" customHeight="1">
      <c r="A709" s="8">
        <f>IF(ISNA(MATCH(700,'Transfer Engine'!$C$2:$C$1960,0)),"",INDEX('Compliance Database'!$A$2:$A$1960,MATCH(700,'Transfer Engine'!$C$2:$C$1960,0)))</f>
        <v/>
      </c>
      <c r="B709" s="8">
        <f>IF(ISNA(MATCH(700,'Transfer Engine'!$C$2:$C$1960,0)),"",INDEX('Compliance Database'!$B$2:$B$1960,MATCH(700,'Transfer Engine'!$C$2:$C$1960,0)))</f>
        <v/>
      </c>
      <c r="C709" s="8">
        <f>IF(ISNA(MATCH(700,'Transfer Engine'!$C$2:$C$1960,0)),"",INDEX('Compliance Database'!$C$2:$C$1960,MATCH(700,'Transfer Engine'!$C$2:$C$1960,0)))</f>
        <v/>
      </c>
      <c r="D709" s="9">
        <f>IF(ISNA(MATCH(700,'Transfer Engine'!$C$2:$C$1960,0)),"",INDEX('Compliance Database'!$D$2:$D$1960,MATCH(700,'Transfer Engine'!$C$2:$C$1960,0)))</f>
        <v/>
      </c>
      <c r="E709" s="8">
        <f>IF(ISNA(MATCH(700,'Transfer Engine'!$C$2:$C$1960,0)),"",INDEX('Compliance Database'!$E$2:$E$1960,MATCH(700,'Transfer Engine'!$C$2:$C$1960,0)))</f>
        <v/>
      </c>
      <c r="F709" s="8">
        <f>IF(ISNA(MATCH(700,'Transfer Engine'!$C$2:$C$1960,0)),"",INDEX('Compliance Database'!$F$2:$F$1960,MATCH(700,'Transfer Engine'!$C$2:$C$1960,0)))</f>
        <v/>
      </c>
      <c r="G709" s="8">
        <f>IF(ISNA(MATCH(700,'Transfer Engine'!$C$2:$C$1960,0)),"",INDEX('Compliance Database'!$G$2:$G$1960,MATCH(700,'Transfer Engine'!$C$2:$C$1960,0)))</f>
        <v/>
      </c>
      <c r="H709" s="9">
        <f>IF(ISNA(MATCH(700,'Transfer Engine'!$C$2:$C$1960,0)),"",INDEX('Compliance Database'!$H$2:$H$1960,MATCH(700,'Transfer Engine'!$C$2:$C$1960,0)))</f>
        <v/>
      </c>
      <c r="I709" s="9">
        <f>IF(ISNA(MATCH(700,'Transfer Engine'!$C$2:$C$1960,0)),"",INDEX('Compliance Database'!$I$2:$I$1960,MATCH(700,'Transfer Engine'!$C$2:$C$1960,0)))</f>
        <v/>
      </c>
      <c r="J709" s="8">
        <f>IF(ISNA(MATCH(700,'Transfer Engine'!$C$2:$C$1960,0)),"",INDEX('Compliance Database'!$J$2:$J$1960,MATCH(700,'Transfer Engine'!$C$2:$C$1960,0)))</f>
        <v/>
      </c>
      <c r="K709" s="9">
        <f>IF(ISNA(MATCH(700,'Transfer Engine'!$C$2:$C$1960,0)),"",INDEX('Compliance Database'!$K$2:$K$1960,MATCH(700,'Transfer Engine'!$C$2:$C$1960,0)))</f>
        <v/>
      </c>
      <c r="L709" s="9">
        <f>IF(ISNA(MATCH(700,'Transfer Engine'!$C$2:$C$1960,0)),"",INDEX('Compliance Database'!$L$2:$L$1960,MATCH(700,'Transfer Engine'!$C$2:$C$1960,0)))</f>
        <v/>
      </c>
      <c r="M709" s="9">
        <f>IF(ISNA(MATCH(700,'Transfer Engine'!$C$2:$C$1960,0)),"",INDEX('Compliance Database'!$M$2:$M$1960,MATCH(700,'Transfer Engine'!$C$2:$C$1960,0)))</f>
        <v/>
      </c>
      <c r="N709" s="9">
        <f>IF(ISNA(MATCH(700,'Transfer Engine'!$C$2:$C$1960,0)),"",INDEX('Compliance Database'!$N$2:$N$1960,MATCH(700,'Transfer Engine'!$C$2:$C$1960,0)))</f>
        <v/>
      </c>
      <c r="O709" s="9">
        <f>IF(ISNA(MATCH(700,'Transfer Engine'!$C$2:$C$1960,0)),"",INDEX('Compliance Database'!$O$2:$O$1960,MATCH(700,'Transfer Engine'!$C$2:$C$1960,0)))</f>
        <v/>
      </c>
      <c r="P709" s="8">
        <f>IF(ISNA(MATCH(700,'Transfer Engine'!$C$2:$C$1960,0)),"",HYPERLINK("#Acts!A"&amp;INDEX('Compliance Database'!$P$2:$P$1960,MATCH(700,'Transfer Engine'!$C$2:$C$1960,0)),"Go to Act"))</f>
        <v/>
      </c>
    </row>
    <row r="710" ht="158" customHeight="1">
      <c r="A710" s="8">
        <f>IF(ISNA(MATCH(701,'Transfer Engine'!$C$2:$C$1960,0)),"",INDEX('Compliance Database'!$A$2:$A$1960,MATCH(701,'Transfer Engine'!$C$2:$C$1960,0)))</f>
        <v/>
      </c>
      <c r="B710" s="8">
        <f>IF(ISNA(MATCH(701,'Transfer Engine'!$C$2:$C$1960,0)),"",INDEX('Compliance Database'!$B$2:$B$1960,MATCH(701,'Transfer Engine'!$C$2:$C$1960,0)))</f>
        <v/>
      </c>
      <c r="C710" s="8">
        <f>IF(ISNA(MATCH(701,'Transfer Engine'!$C$2:$C$1960,0)),"",INDEX('Compliance Database'!$C$2:$C$1960,MATCH(701,'Transfer Engine'!$C$2:$C$1960,0)))</f>
        <v/>
      </c>
      <c r="D710" s="9">
        <f>IF(ISNA(MATCH(701,'Transfer Engine'!$C$2:$C$1960,0)),"",INDEX('Compliance Database'!$D$2:$D$1960,MATCH(701,'Transfer Engine'!$C$2:$C$1960,0)))</f>
        <v/>
      </c>
      <c r="E710" s="8">
        <f>IF(ISNA(MATCH(701,'Transfer Engine'!$C$2:$C$1960,0)),"",INDEX('Compliance Database'!$E$2:$E$1960,MATCH(701,'Transfer Engine'!$C$2:$C$1960,0)))</f>
        <v/>
      </c>
      <c r="F710" s="8">
        <f>IF(ISNA(MATCH(701,'Transfer Engine'!$C$2:$C$1960,0)),"",INDEX('Compliance Database'!$F$2:$F$1960,MATCH(701,'Transfer Engine'!$C$2:$C$1960,0)))</f>
        <v/>
      </c>
      <c r="G710" s="8">
        <f>IF(ISNA(MATCH(701,'Transfer Engine'!$C$2:$C$1960,0)),"",INDEX('Compliance Database'!$G$2:$G$1960,MATCH(701,'Transfer Engine'!$C$2:$C$1960,0)))</f>
        <v/>
      </c>
      <c r="H710" s="9">
        <f>IF(ISNA(MATCH(701,'Transfer Engine'!$C$2:$C$1960,0)),"",INDEX('Compliance Database'!$H$2:$H$1960,MATCH(701,'Transfer Engine'!$C$2:$C$1960,0)))</f>
        <v/>
      </c>
      <c r="I710" s="9">
        <f>IF(ISNA(MATCH(701,'Transfer Engine'!$C$2:$C$1960,0)),"",INDEX('Compliance Database'!$I$2:$I$1960,MATCH(701,'Transfer Engine'!$C$2:$C$1960,0)))</f>
        <v/>
      </c>
      <c r="J710" s="8">
        <f>IF(ISNA(MATCH(701,'Transfer Engine'!$C$2:$C$1960,0)),"",INDEX('Compliance Database'!$J$2:$J$1960,MATCH(701,'Transfer Engine'!$C$2:$C$1960,0)))</f>
        <v/>
      </c>
      <c r="K710" s="9">
        <f>IF(ISNA(MATCH(701,'Transfer Engine'!$C$2:$C$1960,0)),"",INDEX('Compliance Database'!$K$2:$K$1960,MATCH(701,'Transfer Engine'!$C$2:$C$1960,0)))</f>
        <v/>
      </c>
      <c r="L710" s="9">
        <f>IF(ISNA(MATCH(701,'Transfer Engine'!$C$2:$C$1960,0)),"",INDEX('Compliance Database'!$L$2:$L$1960,MATCH(701,'Transfer Engine'!$C$2:$C$1960,0)))</f>
        <v/>
      </c>
      <c r="M710" s="9">
        <f>IF(ISNA(MATCH(701,'Transfer Engine'!$C$2:$C$1960,0)),"",INDEX('Compliance Database'!$M$2:$M$1960,MATCH(701,'Transfer Engine'!$C$2:$C$1960,0)))</f>
        <v/>
      </c>
      <c r="N710" s="9">
        <f>IF(ISNA(MATCH(701,'Transfer Engine'!$C$2:$C$1960,0)),"",INDEX('Compliance Database'!$N$2:$N$1960,MATCH(701,'Transfer Engine'!$C$2:$C$1960,0)))</f>
        <v/>
      </c>
      <c r="O710" s="9">
        <f>IF(ISNA(MATCH(701,'Transfer Engine'!$C$2:$C$1960,0)),"",INDEX('Compliance Database'!$O$2:$O$1960,MATCH(701,'Transfer Engine'!$C$2:$C$1960,0)))</f>
        <v/>
      </c>
      <c r="P710" s="8">
        <f>IF(ISNA(MATCH(701,'Transfer Engine'!$C$2:$C$1960,0)),"",HYPERLINK("#Acts!A"&amp;INDEX('Compliance Database'!$P$2:$P$1960,MATCH(701,'Transfer Engine'!$C$2:$C$1960,0)),"Go to Act"))</f>
        <v/>
      </c>
    </row>
    <row r="711" ht="158" customHeight="1">
      <c r="A711" s="8">
        <f>IF(ISNA(MATCH(702,'Transfer Engine'!$C$2:$C$1960,0)),"",INDEX('Compliance Database'!$A$2:$A$1960,MATCH(702,'Transfer Engine'!$C$2:$C$1960,0)))</f>
        <v/>
      </c>
      <c r="B711" s="8">
        <f>IF(ISNA(MATCH(702,'Transfer Engine'!$C$2:$C$1960,0)),"",INDEX('Compliance Database'!$B$2:$B$1960,MATCH(702,'Transfer Engine'!$C$2:$C$1960,0)))</f>
        <v/>
      </c>
      <c r="C711" s="8">
        <f>IF(ISNA(MATCH(702,'Transfer Engine'!$C$2:$C$1960,0)),"",INDEX('Compliance Database'!$C$2:$C$1960,MATCH(702,'Transfer Engine'!$C$2:$C$1960,0)))</f>
        <v/>
      </c>
      <c r="D711" s="9">
        <f>IF(ISNA(MATCH(702,'Transfer Engine'!$C$2:$C$1960,0)),"",INDEX('Compliance Database'!$D$2:$D$1960,MATCH(702,'Transfer Engine'!$C$2:$C$1960,0)))</f>
        <v/>
      </c>
      <c r="E711" s="8">
        <f>IF(ISNA(MATCH(702,'Transfer Engine'!$C$2:$C$1960,0)),"",INDEX('Compliance Database'!$E$2:$E$1960,MATCH(702,'Transfer Engine'!$C$2:$C$1960,0)))</f>
        <v/>
      </c>
      <c r="F711" s="8">
        <f>IF(ISNA(MATCH(702,'Transfer Engine'!$C$2:$C$1960,0)),"",INDEX('Compliance Database'!$F$2:$F$1960,MATCH(702,'Transfer Engine'!$C$2:$C$1960,0)))</f>
        <v/>
      </c>
      <c r="G711" s="8">
        <f>IF(ISNA(MATCH(702,'Transfer Engine'!$C$2:$C$1960,0)),"",INDEX('Compliance Database'!$G$2:$G$1960,MATCH(702,'Transfer Engine'!$C$2:$C$1960,0)))</f>
        <v/>
      </c>
      <c r="H711" s="9">
        <f>IF(ISNA(MATCH(702,'Transfer Engine'!$C$2:$C$1960,0)),"",INDEX('Compliance Database'!$H$2:$H$1960,MATCH(702,'Transfer Engine'!$C$2:$C$1960,0)))</f>
        <v/>
      </c>
      <c r="I711" s="9">
        <f>IF(ISNA(MATCH(702,'Transfer Engine'!$C$2:$C$1960,0)),"",INDEX('Compliance Database'!$I$2:$I$1960,MATCH(702,'Transfer Engine'!$C$2:$C$1960,0)))</f>
        <v/>
      </c>
      <c r="J711" s="8">
        <f>IF(ISNA(MATCH(702,'Transfer Engine'!$C$2:$C$1960,0)),"",INDEX('Compliance Database'!$J$2:$J$1960,MATCH(702,'Transfer Engine'!$C$2:$C$1960,0)))</f>
        <v/>
      </c>
      <c r="K711" s="9">
        <f>IF(ISNA(MATCH(702,'Transfer Engine'!$C$2:$C$1960,0)),"",INDEX('Compliance Database'!$K$2:$K$1960,MATCH(702,'Transfer Engine'!$C$2:$C$1960,0)))</f>
        <v/>
      </c>
      <c r="L711" s="9">
        <f>IF(ISNA(MATCH(702,'Transfer Engine'!$C$2:$C$1960,0)),"",INDEX('Compliance Database'!$L$2:$L$1960,MATCH(702,'Transfer Engine'!$C$2:$C$1960,0)))</f>
        <v/>
      </c>
      <c r="M711" s="9">
        <f>IF(ISNA(MATCH(702,'Transfer Engine'!$C$2:$C$1960,0)),"",INDEX('Compliance Database'!$M$2:$M$1960,MATCH(702,'Transfer Engine'!$C$2:$C$1960,0)))</f>
        <v/>
      </c>
      <c r="N711" s="9">
        <f>IF(ISNA(MATCH(702,'Transfer Engine'!$C$2:$C$1960,0)),"",INDEX('Compliance Database'!$N$2:$N$1960,MATCH(702,'Transfer Engine'!$C$2:$C$1960,0)))</f>
        <v/>
      </c>
      <c r="O711" s="9">
        <f>IF(ISNA(MATCH(702,'Transfer Engine'!$C$2:$C$1960,0)),"",INDEX('Compliance Database'!$O$2:$O$1960,MATCH(702,'Transfer Engine'!$C$2:$C$1960,0)))</f>
        <v/>
      </c>
      <c r="P711" s="8">
        <f>IF(ISNA(MATCH(702,'Transfer Engine'!$C$2:$C$1960,0)),"",HYPERLINK("#Acts!A"&amp;INDEX('Compliance Database'!$P$2:$P$1960,MATCH(702,'Transfer Engine'!$C$2:$C$1960,0)),"Go to Act"))</f>
        <v/>
      </c>
    </row>
    <row r="712" ht="158" customHeight="1">
      <c r="A712" s="8">
        <f>IF(ISNA(MATCH(703,'Transfer Engine'!$C$2:$C$1960,0)),"",INDEX('Compliance Database'!$A$2:$A$1960,MATCH(703,'Transfer Engine'!$C$2:$C$1960,0)))</f>
        <v/>
      </c>
      <c r="B712" s="8">
        <f>IF(ISNA(MATCH(703,'Transfer Engine'!$C$2:$C$1960,0)),"",INDEX('Compliance Database'!$B$2:$B$1960,MATCH(703,'Transfer Engine'!$C$2:$C$1960,0)))</f>
        <v/>
      </c>
      <c r="C712" s="8">
        <f>IF(ISNA(MATCH(703,'Transfer Engine'!$C$2:$C$1960,0)),"",INDEX('Compliance Database'!$C$2:$C$1960,MATCH(703,'Transfer Engine'!$C$2:$C$1960,0)))</f>
        <v/>
      </c>
      <c r="D712" s="9">
        <f>IF(ISNA(MATCH(703,'Transfer Engine'!$C$2:$C$1960,0)),"",INDEX('Compliance Database'!$D$2:$D$1960,MATCH(703,'Transfer Engine'!$C$2:$C$1960,0)))</f>
        <v/>
      </c>
      <c r="E712" s="8">
        <f>IF(ISNA(MATCH(703,'Transfer Engine'!$C$2:$C$1960,0)),"",INDEX('Compliance Database'!$E$2:$E$1960,MATCH(703,'Transfer Engine'!$C$2:$C$1960,0)))</f>
        <v/>
      </c>
      <c r="F712" s="8">
        <f>IF(ISNA(MATCH(703,'Transfer Engine'!$C$2:$C$1960,0)),"",INDEX('Compliance Database'!$F$2:$F$1960,MATCH(703,'Transfer Engine'!$C$2:$C$1960,0)))</f>
        <v/>
      </c>
      <c r="G712" s="8">
        <f>IF(ISNA(MATCH(703,'Transfer Engine'!$C$2:$C$1960,0)),"",INDEX('Compliance Database'!$G$2:$G$1960,MATCH(703,'Transfer Engine'!$C$2:$C$1960,0)))</f>
        <v/>
      </c>
      <c r="H712" s="9">
        <f>IF(ISNA(MATCH(703,'Transfer Engine'!$C$2:$C$1960,0)),"",INDEX('Compliance Database'!$H$2:$H$1960,MATCH(703,'Transfer Engine'!$C$2:$C$1960,0)))</f>
        <v/>
      </c>
      <c r="I712" s="9">
        <f>IF(ISNA(MATCH(703,'Transfer Engine'!$C$2:$C$1960,0)),"",INDEX('Compliance Database'!$I$2:$I$1960,MATCH(703,'Transfer Engine'!$C$2:$C$1960,0)))</f>
        <v/>
      </c>
      <c r="J712" s="8">
        <f>IF(ISNA(MATCH(703,'Transfer Engine'!$C$2:$C$1960,0)),"",INDEX('Compliance Database'!$J$2:$J$1960,MATCH(703,'Transfer Engine'!$C$2:$C$1960,0)))</f>
        <v/>
      </c>
      <c r="K712" s="9">
        <f>IF(ISNA(MATCH(703,'Transfer Engine'!$C$2:$C$1960,0)),"",INDEX('Compliance Database'!$K$2:$K$1960,MATCH(703,'Transfer Engine'!$C$2:$C$1960,0)))</f>
        <v/>
      </c>
      <c r="L712" s="9">
        <f>IF(ISNA(MATCH(703,'Transfer Engine'!$C$2:$C$1960,0)),"",INDEX('Compliance Database'!$L$2:$L$1960,MATCH(703,'Transfer Engine'!$C$2:$C$1960,0)))</f>
        <v/>
      </c>
      <c r="M712" s="9">
        <f>IF(ISNA(MATCH(703,'Transfer Engine'!$C$2:$C$1960,0)),"",INDEX('Compliance Database'!$M$2:$M$1960,MATCH(703,'Transfer Engine'!$C$2:$C$1960,0)))</f>
        <v/>
      </c>
      <c r="N712" s="9">
        <f>IF(ISNA(MATCH(703,'Transfer Engine'!$C$2:$C$1960,0)),"",INDEX('Compliance Database'!$N$2:$N$1960,MATCH(703,'Transfer Engine'!$C$2:$C$1960,0)))</f>
        <v/>
      </c>
      <c r="O712" s="9">
        <f>IF(ISNA(MATCH(703,'Transfer Engine'!$C$2:$C$1960,0)),"",INDEX('Compliance Database'!$O$2:$O$1960,MATCH(703,'Transfer Engine'!$C$2:$C$1960,0)))</f>
        <v/>
      </c>
      <c r="P712" s="8">
        <f>IF(ISNA(MATCH(703,'Transfer Engine'!$C$2:$C$1960,0)),"",HYPERLINK("#Acts!A"&amp;INDEX('Compliance Database'!$P$2:$P$1960,MATCH(703,'Transfer Engine'!$C$2:$C$1960,0)),"Go to Act"))</f>
        <v/>
      </c>
    </row>
    <row r="713" ht="158" customHeight="1">
      <c r="A713" s="8">
        <f>IF(ISNA(MATCH(704,'Transfer Engine'!$C$2:$C$1960,0)),"",INDEX('Compliance Database'!$A$2:$A$1960,MATCH(704,'Transfer Engine'!$C$2:$C$1960,0)))</f>
        <v/>
      </c>
      <c r="B713" s="8">
        <f>IF(ISNA(MATCH(704,'Transfer Engine'!$C$2:$C$1960,0)),"",INDEX('Compliance Database'!$B$2:$B$1960,MATCH(704,'Transfer Engine'!$C$2:$C$1960,0)))</f>
        <v/>
      </c>
      <c r="C713" s="8">
        <f>IF(ISNA(MATCH(704,'Transfer Engine'!$C$2:$C$1960,0)),"",INDEX('Compliance Database'!$C$2:$C$1960,MATCH(704,'Transfer Engine'!$C$2:$C$1960,0)))</f>
        <v/>
      </c>
      <c r="D713" s="9">
        <f>IF(ISNA(MATCH(704,'Transfer Engine'!$C$2:$C$1960,0)),"",INDEX('Compliance Database'!$D$2:$D$1960,MATCH(704,'Transfer Engine'!$C$2:$C$1960,0)))</f>
        <v/>
      </c>
      <c r="E713" s="8">
        <f>IF(ISNA(MATCH(704,'Transfer Engine'!$C$2:$C$1960,0)),"",INDEX('Compliance Database'!$E$2:$E$1960,MATCH(704,'Transfer Engine'!$C$2:$C$1960,0)))</f>
        <v/>
      </c>
      <c r="F713" s="8">
        <f>IF(ISNA(MATCH(704,'Transfer Engine'!$C$2:$C$1960,0)),"",INDEX('Compliance Database'!$F$2:$F$1960,MATCH(704,'Transfer Engine'!$C$2:$C$1960,0)))</f>
        <v/>
      </c>
      <c r="G713" s="8">
        <f>IF(ISNA(MATCH(704,'Transfer Engine'!$C$2:$C$1960,0)),"",INDEX('Compliance Database'!$G$2:$G$1960,MATCH(704,'Transfer Engine'!$C$2:$C$1960,0)))</f>
        <v/>
      </c>
      <c r="H713" s="9">
        <f>IF(ISNA(MATCH(704,'Transfer Engine'!$C$2:$C$1960,0)),"",INDEX('Compliance Database'!$H$2:$H$1960,MATCH(704,'Transfer Engine'!$C$2:$C$1960,0)))</f>
        <v/>
      </c>
      <c r="I713" s="9">
        <f>IF(ISNA(MATCH(704,'Transfer Engine'!$C$2:$C$1960,0)),"",INDEX('Compliance Database'!$I$2:$I$1960,MATCH(704,'Transfer Engine'!$C$2:$C$1960,0)))</f>
        <v/>
      </c>
      <c r="J713" s="8">
        <f>IF(ISNA(MATCH(704,'Transfer Engine'!$C$2:$C$1960,0)),"",INDEX('Compliance Database'!$J$2:$J$1960,MATCH(704,'Transfer Engine'!$C$2:$C$1960,0)))</f>
        <v/>
      </c>
      <c r="K713" s="9">
        <f>IF(ISNA(MATCH(704,'Transfer Engine'!$C$2:$C$1960,0)),"",INDEX('Compliance Database'!$K$2:$K$1960,MATCH(704,'Transfer Engine'!$C$2:$C$1960,0)))</f>
        <v/>
      </c>
      <c r="L713" s="9">
        <f>IF(ISNA(MATCH(704,'Transfer Engine'!$C$2:$C$1960,0)),"",INDEX('Compliance Database'!$L$2:$L$1960,MATCH(704,'Transfer Engine'!$C$2:$C$1960,0)))</f>
        <v/>
      </c>
      <c r="M713" s="9">
        <f>IF(ISNA(MATCH(704,'Transfer Engine'!$C$2:$C$1960,0)),"",INDEX('Compliance Database'!$M$2:$M$1960,MATCH(704,'Transfer Engine'!$C$2:$C$1960,0)))</f>
        <v/>
      </c>
      <c r="N713" s="9">
        <f>IF(ISNA(MATCH(704,'Transfer Engine'!$C$2:$C$1960,0)),"",INDEX('Compliance Database'!$N$2:$N$1960,MATCH(704,'Transfer Engine'!$C$2:$C$1960,0)))</f>
        <v/>
      </c>
      <c r="O713" s="9">
        <f>IF(ISNA(MATCH(704,'Transfer Engine'!$C$2:$C$1960,0)),"",INDEX('Compliance Database'!$O$2:$O$1960,MATCH(704,'Transfer Engine'!$C$2:$C$1960,0)))</f>
        <v/>
      </c>
      <c r="P713" s="8">
        <f>IF(ISNA(MATCH(704,'Transfer Engine'!$C$2:$C$1960,0)),"",HYPERLINK("#Acts!A"&amp;INDEX('Compliance Database'!$P$2:$P$1960,MATCH(704,'Transfer Engine'!$C$2:$C$1960,0)),"Go to Act"))</f>
        <v/>
      </c>
    </row>
    <row r="714" ht="158" customHeight="1">
      <c r="A714" s="8">
        <f>IF(ISNA(MATCH(705,'Transfer Engine'!$C$2:$C$1960,0)),"",INDEX('Compliance Database'!$A$2:$A$1960,MATCH(705,'Transfer Engine'!$C$2:$C$1960,0)))</f>
        <v/>
      </c>
      <c r="B714" s="8">
        <f>IF(ISNA(MATCH(705,'Transfer Engine'!$C$2:$C$1960,0)),"",INDEX('Compliance Database'!$B$2:$B$1960,MATCH(705,'Transfer Engine'!$C$2:$C$1960,0)))</f>
        <v/>
      </c>
      <c r="C714" s="8">
        <f>IF(ISNA(MATCH(705,'Transfer Engine'!$C$2:$C$1960,0)),"",INDEX('Compliance Database'!$C$2:$C$1960,MATCH(705,'Transfer Engine'!$C$2:$C$1960,0)))</f>
        <v/>
      </c>
      <c r="D714" s="9">
        <f>IF(ISNA(MATCH(705,'Transfer Engine'!$C$2:$C$1960,0)),"",INDEX('Compliance Database'!$D$2:$D$1960,MATCH(705,'Transfer Engine'!$C$2:$C$1960,0)))</f>
        <v/>
      </c>
      <c r="E714" s="8">
        <f>IF(ISNA(MATCH(705,'Transfer Engine'!$C$2:$C$1960,0)),"",INDEX('Compliance Database'!$E$2:$E$1960,MATCH(705,'Transfer Engine'!$C$2:$C$1960,0)))</f>
        <v/>
      </c>
      <c r="F714" s="8">
        <f>IF(ISNA(MATCH(705,'Transfer Engine'!$C$2:$C$1960,0)),"",INDEX('Compliance Database'!$F$2:$F$1960,MATCH(705,'Transfer Engine'!$C$2:$C$1960,0)))</f>
        <v/>
      </c>
      <c r="G714" s="8">
        <f>IF(ISNA(MATCH(705,'Transfer Engine'!$C$2:$C$1960,0)),"",INDEX('Compliance Database'!$G$2:$G$1960,MATCH(705,'Transfer Engine'!$C$2:$C$1960,0)))</f>
        <v/>
      </c>
      <c r="H714" s="9">
        <f>IF(ISNA(MATCH(705,'Transfer Engine'!$C$2:$C$1960,0)),"",INDEX('Compliance Database'!$H$2:$H$1960,MATCH(705,'Transfer Engine'!$C$2:$C$1960,0)))</f>
        <v/>
      </c>
      <c r="I714" s="9">
        <f>IF(ISNA(MATCH(705,'Transfer Engine'!$C$2:$C$1960,0)),"",INDEX('Compliance Database'!$I$2:$I$1960,MATCH(705,'Transfer Engine'!$C$2:$C$1960,0)))</f>
        <v/>
      </c>
      <c r="J714" s="8">
        <f>IF(ISNA(MATCH(705,'Transfer Engine'!$C$2:$C$1960,0)),"",INDEX('Compliance Database'!$J$2:$J$1960,MATCH(705,'Transfer Engine'!$C$2:$C$1960,0)))</f>
        <v/>
      </c>
      <c r="K714" s="9">
        <f>IF(ISNA(MATCH(705,'Transfer Engine'!$C$2:$C$1960,0)),"",INDEX('Compliance Database'!$K$2:$K$1960,MATCH(705,'Transfer Engine'!$C$2:$C$1960,0)))</f>
        <v/>
      </c>
      <c r="L714" s="9">
        <f>IF(ISNA(MATCH(705,'Transfer Engine'!$C$2:$C$1960,0)),"",INDEX('Compliance Database'!$L$2:$L$1960,MATCH(705,'Transfer Engine'!$C$2:$C$1960,0)))</f>
        <v/>
      </c>
      <c r="M714" s="9">
        <f>IF(ISNA(MATCH(705,'Transfer Engine'!$C$2:$C$1960,0)),"",INDEX('Compliance Database'!$M$2:$M$1960,MATCH(705,'Transfer Engine'!$C$2:$C$1960,0)))</f>
        <v/>
      </c>
      <c r="N714" s="9">
        <f>IF(ISNA(MATCH(705,'Transfer Engine'!$C$2:$C$1960,0)),"",INDEX('Compliance Database'!$N$2:$N$1960,MATCH(705,'Transfer Engine'!$C$2:$C$1960,0)))</f>
        <v/>
      </c>
      <c r="O714" s="9">
        <f>IF(ISNA(MATCH(705,'Transfer Engine'!$C$2:$C$1960,0)),"",INDEX('Compliance Database'!$O$2:$O$1960,MATCH(705,'Transfer Engine'!$C$2:$C$1960,0)))</f>
        <v/>
      </c>
      <c r="P714" s="8">
        <f>IF(ISNA(MATCH(705,'Transfer Engine'!$C$2:$C$1960,0)),"",HYPERLINK("#Acts!A"&amp;INDEX('Compliance Database'!$P$2:$P$1960,MATCH(705,'Transfer Engine'!$C$2:$C$1960,0)),"Go to Act"))</f>
        <v/>
      </c>
    </row>
    <row r="715" ht="158" customHeight="1">
      <c r="A715" s="8">
        <f>IF(ISNA(MATCH(706,'Transfer Engine'!$C$2:$C$1960,0)),"",INDEX('Compliance Database'!$A$2:$A$1960,MATCH(706,'Transfer Engine'!$C$2:$C$1960,0)))</f>
        <v/>
      </c>
      <c r="B715" s="8">
        <f>IF(ISNA(MATCH(706,'Transfer Engine'!$C$2:$C$1960,0)),"",INDEX('Compliance Database'!$B$2:$B$1960,MATCH(706,'Transfer Engine'!$C$2:$C$1960,0)))</f>
        <v/>
      </c>
      <c r="C715" s="8">
        <f>IF(ISNA(MATCH(706,'Transfer Engine'!$C$2:$C$1960,0)),"",INDEX('Compliance Database'!$C$2:$C$1960,MATCH(706,'Transfer Engine'!$C$2:$C$1960,0)))</f>
        <v/>
      </c>
      <c r="D715" s="9">
        <f>IF(ISNA(MATCH(706,'Transfer Engine'!$C$2:$C$1960,0)),"",INDEX('Compliance Database'!$D$2:$D$1960,MATCH(706,'Transfer Engine'!$C$2:$C$1960,0)))</f>
        <v/>
      </c>
      <c r="E715" s="8">
        <f>IF(ISNA(MATCH(706,'Transfer Engine'!$C$2:$C$1960,0)),"",INDEX('Compliance Database'!$E$2:$E$1960,MATCH(706,'Transfer Engine'!$C$2:$C$1960,0)))</f>
        <v/>
      </c>
      <c r="F715" s="8">
        <f>IF(ISNA(MATCH(706,'Transfer Engine'!$C$2:$C$1960,0)),"",INDEX('Compliance Database'!$F$2:$F$1960,MATCH(706,'Transfer Engine'!$C$2:$C$1960,0)))</f>
        <v/>
      </c>
      <c r="G715" s="8">
        <f>IF(ISNA(MATCH(706,'Transfer Engine'!$C$2:$C$1960,0)),"",INDEX('Compliance Database'!$G$2:$G$1960,MATCH(706,'Transfer Engine'!$C$2:$C$1960,0)))</f>
        <v/>
      </c>
      <c r="H715" s="9">
        <f>IF(ISNA(MATCH(706,'Transfer Engine'!$C$2:$C$1960,0)),"",INDEX('Compliance Database'!$H$2:$H$1960,MATCH(706,'Transfer Engine'!$C$2:$C$1960,0)))</f>
        <v/>
      </c>
      <c r="I715" s="9">
        <f>IF(ISNA(MATCH(706,'Transfer Engine'!$C$2:$C$1960,0)),"",INDEX('Compliance Database'!$I$2:$I$1960,MATCH(706,'Transfer Engine'!$C$2:$C$1960,0)))</f>
        <v/>
      </c>
      <c r="J715" s="8">
        <f>IF(ISNA(MATCH(706,'Transfer Engine'!$C$2:$C$1960,0)),"",INDEX('Compliance Database'!$J$2:$J$1960,MATCH(706,'Transfer Engine'!$C$2:$C$1960,0)))</f>
        <v/>
      </c>
      <c r="K715" s="9">
        <f>IF(ISNA(MATCH(706,'Transfer Engine'!$C$2:$C$1960,0)),"",INDEX('Compliance Database'!$K$2:$K$1960,MATCH(706,'Transfer Engine'!$C$2:$C$1960,0)))</f>
        <v/>
      </c>
      <c r="L715" s="9">
        <f>IF(ISNA(MATCH(706,'Transfer Engine'!$C$2:$C$1960,0)),"",INDEX('Compliance Database'!$L$2:$L$1960,MATCH(706,'Transfer Engine'!$C$2:$C$1960,0)))</f>
        <v/>
      </c>
      <c r="M715" s="9">
        <f>IF(ISNA(MATCH(706,'Transfer Engine'!$C$2:$C$1960,0)),"",INDEX('Compliance Database'!$M$2:$M$1960,MATCH(706,'Transfer Engine'!$C$2:$C$1960,0)))</f>
        <v/>
      </c>
      <c r="N715" s="9">
        <f>IF(ISNA(MATCH(706,'Transfer Engine'!$C$2:$C$1960,0)),"",INDEX('Compliance Database'!$N$2:$N$1960,MATCH(706,'Transfer Engine'!$C$2:$C$1960,0)))</f>
        <v/>
      </c>
      <c r="O715" s="9">
        <f>IF(ISNA(MATCH(706,'Transfer Engine'!$C$2:$C$1960,0)),"",INDEX('Compliance Database'!$O$2:$O$1960,MATCH(706,'Transfer Engine'!$C$2:$C$1960,0)))</f>
        <v/>
      </c>
      <c r="P715" s="8">
        <f>IF(ISNA(MATCH(706,'Transfer Engine'!$C$2:$C$1960,0)),"",HYPERLINK("#Acts!A"&amp;INDEX('Compliance Database'!$P$2:$P$1960,MATCH(706,'Transfer Engine'!$C$2:$C$1960,0)),"Go to Act"))</f>
        <v/>
      </c>
    </row>
    <row r="716" ht="158" customHeight="1">
      <c r="A716" s="8">
        <f>IF(ISNA(MATCH(707,'Transfer Engine'!$C$2:$C$1960,0)),"",INDEX('Compliance Database'!$A$2:$A$1960,MATCH(707,'Transfer Engine'!$C$2:$C$1960,0)))</f>
        <v/>
      </c>
      <c r="B716" s="8">
        <f>IF(ISNA(MATCH(707,'Transfer Engine'!$C$2:$C$1960,0)),"",INDEX('Compliance Database'!$B$2:$B$1960,MATCH(707,'Transfer Engine'!$C$2:$C$1960,0)))</f>
        <v/>
      </c>
      <c r="C716" s="8">
        <f>IF(ISNA(MATCH(707,'Transfer Engine'!$C$2:$C$1960,0)),"",INDEX('Compliance Database'!$C$2:$C$1960,MATCH(707,'Transfer Engine'!$C$2:$C$1960,0)))</f>
        <v/>
      </c>
      <c r="D716" s="9">
        <f>IF(ISNA(MATCH(707,'Transfer Engine'!$C$2:$C$1960,0)),"",INDEX('Compliance Database'!$D$2:$D$1960,MATCH(707,'Transfer Engine'!$C$2:$C$1960,0)))</f>
        <v/>
      </c>
      <c r="E716" s="8">
        <f>IF(ISNA(MATCH(707,'Transfer Engine'!$C$2:$C$1960,0)),"",INDEX('Compliance Database'!$E$2:$E$1960,MATCH(707,'Transfer Engine'!$C$2:$C$1960,0)))</f>
        <v/>
      </c>
      <c r="F716" s="8">
        <f>IF(ISNA(MATCH(707,'Transfer Engine'!$C$2:$C$1960,0)),"",INDEX('Compliance Database'!$F$2:$F$1960,MATCH(707,'Transfer Engine'!$C$2:$C$1960,0)))</f>
        <v/>
      </c>
      <c r="G716" s="8">
        <f>IF(ISNA(MATCH(707,'Transfer Engine'!$C$2:$C$1960,0)),"",INDEX('Compliance Database'!$G$2:$G$1960,MATCH(707,'Transfer Engine'!$C$2:$C$1960,0)))</f>
        <v/>
      </c>
      <c r="H716" s="9">
        <f>IF(ISNA(MATCH(707,'Transfer Engine'!$C$2:$C$1960,0)),"",INDEX('Compliance Database'!$H$2:$H$1960,MATCH(707,'Transfer Engine'!$C$2:$C$1960,0)))</f>
        <v/>
      </c>
      <c r="I716" s="9">
        <f>IF(ISNA(MATCH(707,'Transfer Engine'!$C$2:$C$1960,0)),"",INDEX('Compliance Database'!$I$2:$I$1960,MATCH(707,'Transfer Engine'!$C$2:$C$1960,0)))</f>
        <v/>
      </c>
      <c r="J716" s="8">
        <f>IF(ISNA(MATCH(707,'Transfer Engine'!$C$2:$C$1960,0)),"",INDEX('Compliance Database'!$J$2:$J$1960,MATCH(707,'Transfer Engine'!$C$2:$C$1960,0)))</f>
        <v/>
      </c>
      <c r="K716" s="9">
        <f>IF(ISNA(MATCH(707,'Transfer Engine'!$C$2:$C$1960,0)),"",INDEX('Compliance Database'!$K$2:$K$1960,MATCH(707,'Transfer Engine'!$C$2:$C$1960,0)))</f>
        <v/>
      </c>
      <c r="L716" s="9">
        <f>IF(ISNA(MATCH(707,'Transfer Engine'!$C$2:$C$1960,0)),"",INDEX('Compliance Database'!$L$2:$L$1960,MATCH(707,'Transfer Engine'!$C$2:$C$1960,0)))</f>
        <v/>
      </c>
      <c r="M716" s="9">
        <f>IF(ISNA(MATCH(707,'Transfer Engine'!$C$2:$C$1960,0)),"",INDEX('Compliance Database'!$M$2:$M$1960,MATCH(707,'Transfer Engine'!$C$2:$C$1960,0)))</f>
        <v/>
      </c>
      <c r="N716" s="9">
        <f>IF(ISNA(MATCH(707,'Transfer Engine'!$C$2:$C$1960,0)),"",INDEX('Compliance Database'!$N$2:$N$1960,MATCH(707,'Transfer Engine'!$C$2:$C$1960,0)))</f>
        <v/>
      </c>
      <c r="O716" s="9">
        <f>IF(ISNA(MATCH(707,'Transfer Engine'!$C$2:$C$1960,0)),"",INDEX('Compliance Database'!$O$2:$O$1960,MATCH(707,'Transfer Engine'!$C$2:$C$1960,0)))</f>
        <v/>
      </c>
      <c r="P716" s="8">
        <f>IF(ISNA(MATCH(707,'Transfer Engine'!$C$2:$C$1960,0)),"",HYPERLINK("#Acts!A"&amp;INDEX('Compliance Database'!$P$2:$P$1960,MATCH(707,'Transfer Engine'!$C$2:$C$1960,0)),"Go to Act"))</f>
        <v/>
      </c>
    </row>
    <row r="717" ht="158" customHeight="1">
      <c r="A717" s="8">
        <f>IF(ISNA(MATCH(708,'Transfer Engine'!$C$2:$C$1960,0)),"",INDEX('Compliance Database'!$A$2:$A$1960,MATCH(708,'Transfer Engine'!$C$2:$C$1960,0)))</f>
        <v/>
      </c>
      <c r="B717" s="8">
        <f>IF(ISNA(MATCH(708,'Transfer Engine'!$C$2:$C$1960,0)),"",INDEX('Compliance Database'!$B$2:$B$1960,MATCH(708,'Transfer Engine'!$C$2:$C$1960,0)))</f>
        <v/>
      </c>
      <c r="C717" s="8">
        <f>IF(ISNA(MATCH(708,'Transfer Engine'!$C$2:$C$1960,0)),"",INDEX('Compliance Database'!$C$2:$C$1960,MATCH(708,'Transfer Engine'!$C$2:$C$1960,0)))</f>
        <v/>
      </c>
      <c r="D717" s="9">
        <f>IF(ISNA(MATCH(708,'Transfer Engine'!$C$2:$C$1960,0)),"",INDEX('Compliance Database'!$D$2:$D$1960,MATCH(708,'Transfer Engine'!$C$2:$C$1960,0)))</f>
        <v/>
      </c>
      <c r="E717" s="8">
        <f>IF(ISNA(MATCH(708,'Transfer Engine'!$C$2:$C$1960,0)),"",INDEX('Compliance Database'!$E$2:$E$1960,MATCH(708,'Transfer Engine'!$C$2:$C$1960,0)))</f>
        <v/>
      </c>
      <c r="F717" s="8">
        <f>IF(ISNA(MATCH(708,'Transfer Engine'!$C$2:$C$1960,0)),"",INDEX('Compliance Database'!$F$2:$F$1960,MATCH(708,'Transfer Engine'!$C$2:$C$1960,0)))</f>
        <v/>
      </c>
      <c r="G717" s="8">
        <f>IF(ISNA(MATCH(708,'Transfer Engine'!$C$2:$C$1960,0)),"",INDEX('Compliance Database'!$G$2:$G$1960,MATCH(708,'Transfer Engine'!$C$2:$C$1960,0)))</f>
        <v/>
      </c>
      <c r="H717" s="9">
        <f>IF(ISNA(MATCH(708,'Transfer Engine'!$C$2:$C$1960,0)),"",INDEX('Compliance Database'!$H$2:$H$1960,MATCH(708,'Transfer Engine'!$C$2:$C$1960,0)))</f>
        <v/>
      </c>
      <c r="I717" s="9">
        <f>IF(ISNA(MATCH(708,'Transfer Engine'!$C$2:$C$1960,0)),"",INDEX('Compliance Database'!$I$2:$I$1960,MATCH(708,'Transfer Engine'!$C$2:$C$1960,0)))</f>
        <v/>
      </c>
      <c r="J717" s="8">
        <f>IF(ISNA(MATCH(708,'Transfer Engine'!$C$2:$C$1960,0)),"",INDEX('Compliance Database'!$J$2:$J$1960,MATCH(708,'Transfer Engine'!$C$2:$C$1960,0)))</f>
        <v/>
      </c>
      <c r="K717" s="9">
        <f>IF(ISNA(MATCH(708,'Transfer Engine'!$C$2:$C$1960,0)),"",INDEX('Compliance Database'!$K$2:$K$1960,MATCH(708,'Transfer Engine'!$C$2:$C$1960,0)))</f>
        <v/>
      </c>
      <c r="L717" s="9">
        <f>IF(ISNA(MATCH(708,'Transfer Engine'!$C$2:$C$1960,0)),"",INDEX('Compliance Database'!$L$2:$L$1960,MATCH(708,'Transfer Engine'!$C$2:$C$1960,0)))</f>
        <v/>
      </c>
      <c r="M717" s="9">
        <f>IF(ISNA(MATCH(708,'Transfer Engine'!$C$2:$C$1960,0)),"",INDEX('Compliance Database'!$M$2:$M$1960,MATCH(708,'Transfer Engine'!$C$2:$C$1960,0)))</f>
        <v/>
      </c>
      <c r="N717" s="9">
        <f>IF(ISNA(MATCH(708,'Transfer Engine'!$C$2:$C$1960,0)),"",INDEX('Compliance Database'!$N$2:$N$1960,MATCH(708,'Transfer Engine'!$C$2:$C$1960,0)))</f>
        <v/>
      </c>
      <c r="O717" s="9">
        <f>IF(ISNA(MATCH(708,'Transfer Engine'!$C$2:$C$1960,0)),"",INDEX('Compliance Database'!$O$2:$O$1960,MATCH(708,'Transfer Engine'!$C$2:$C$1960,0)))</f>
        <v/>
      </c>
      <c r="P717" s="8">
        <f>IF(ISNA(MATCH(708,'Transfer Engine'!$C$2:$C$1960,0)),"",HYPERLINK("#Acts!A"&amp;INDEX('Compliance Database'!$P$2:$P$1960,MATCH(708,'Transfer Engine'!$C$2:$C$1960,0)),"Go to Act"))</f>
        <v/>
      </c>
    </row>
    <row r="718" ht="158" customHeight="1">
      <c r="A718" s="8">
        <f>IF(ISNA(MATCH(709,'Transfer Engine'!$C$2:$C$1960,0)),"",INDEX('Compliance Database'!$A$2:$A$1960,MATCH(709,'Transfer Engine'!$C$2:$C$1960,0)))</f>
        <v/>
      </c>
      <c r="B718" s="8">
        <f>IF(ISNA(MATCH(709,'Transfer Engine'!$C$2:$C$1960,0)),"",INDEX('Compliance Database'!$B$2:$B$1960,MATCH(709,'Transfer Engine'!$C$2:$C$1960,0)))</f>
        <v/>
      </c>
      <c r="C718" s="8">
        <f>IF(ISNA(MATCH(709,'Transfer Engine'!$C$2:$C$1960,0)),"",INDEX('Compliance Database'!$C$2:$C$1960,MATCH(709,'Transfer Engine'!$C$2:$C$1960,0)))</f>
        <v/>
      </c>
      <c r="D718" s="9">
        <f>IF(ISNA(MATCH(709,'Transfer Engine'!$C$2:$C$1960,0)),"",INDEX('Compliance Database'!$D$2:$D$1960,MATCH(709,'Transfer Engine'!$C$2:$C$1960,0)))</f>
        <v/>
      </c>
      <c r="E718" s="8">
        <f>IF(ISNA(MATCH(709,'Transfer Engine'!$C$2:$C$1960,0)),"",INDEX('Compliance Database'!$E$2:$E$1960,MATCH(709,'Transfer Engine'!$C$2:$C$1960,0)))</f>
        <v/>
      </c>
      <c r="F718" s="8">
        <f>IF(ISNA(MATCH(709,'Transfer Engine'!$C$2:$C$1960,0)),"",INDEX('Compliance Database'!$F$2:$F$1960,MATCH(709,'Transfer Engine'!$C$2:$C$1960,0)))</f>
        <v/>
      </c>
      <c r="G718" s="8">
        <f>IF(ISNA(MATCH(709,'Transfer Engine'!$C$2:$C$1960,0)),"",INDEX('Compliance Database'!$G$2:$G$1960,MATCH(709,'Transfer Engine'!$C$2:$C$1960,0)))</f>
        <v/>
      </c>
      <c r="H718" s="9">
        <f>IF(ISNA(MATCH(709,'Transfer Engine'!$C$2:$C$1960,0)),"",INDEX('Compliance Database'!$H$2:$H$1960,MATCH(709,'Transfer Engine'!$C$2:$C$1960,0)))</f>
        <v/>
      </c>
      <c r="I718" s="9">
        <f>IF(ISNA(MATCH(709,'Transfer Engine'!$C$2:$C$1960,0)),"",INDEX('Compliance Database'!$I$2:$I$1960,MATCH(709,'Transfer Engine'!$C$2:$C$1960,0)))</f>
        <v/>
      </c>
      <c r="J718" s="8">
        <f>IF(ISNA(MATCH(709,'Transfer Engine'!$C$2:$C$1960,0)),"",INDEX('Compliance Database'!$J$2:$J$1960,MATCH(709,'Transfer Engine'!$C$2:$C$1960,0)))</f>
        <v/>
      </c>
      <c r="K718" s="9">
        <f>IF(ISNA(MATCH(709,'Transfer Engine'!$C$2:$C$1960,0)),"",INDEX('Compliance Database'!$K$2:$K$1960,MATCH(709,'Transfer Engine'!$C$2:$C$1960,0)))</f>
        <v/>
      </c>
      <c r="L718" s="9">
        <f>IF(ISNA(MATCH(709,'Transfer Engine'!$C$2:$C$1960,0)),"",INDEX('Compliance Database'!$L$2:$L$1960,MATCH(709,'Transfer Engine'!$C$2:$C$1960,0)))</f>
        <v/>
      </c>
      <c r="M718" s="9">
        <f>IF(ISNA(MATCH(709,'Transfer Engine'!$C$2:$C$1960,0)),"",INDEX('Compliance Database'!$M$2:$M$1960,MATCH(709,'Transfer Engine'!$C$2:$C$1960,0)))</f>
        <v/>
      </c>
      <c r="N718" s="9">
        <f>IF(ISNA(MATCH(709,'Transfer Engine'!$C$2:$C$1960,0)),"",INDEX('Compliance Database'!$N$2:$N$1960,MATCH(709,'Transfer Engine'!$C$2:$C$1960,0)))</f>
        <v/>
      </c>
      <c r="O718" s="9">
        <f>IF(ISNA(MATCH(709,'Transfer Engine'!$C$2:$C$1960,0)),"",INDEX('Compliance Database'!$O$2:$O$1960,MATCH(709,'Transfer Engine'!$C$2:$C$1960,0)))</f>
        <v/>
      </c>
      <c r="P718" s="8">
        <f>IF(ISNA(MATCH(709,'Transfer Engine'!$C$2:$C$1960,0)),"",HYPERLINK("#Acts!A"&amp;INDEX('Compliance Database'!$P$2:$P$1960,MATCH(709,'Transfer Engine'!$C$2:$C$1960,0)),"Go to Act"))</f>
        <v/>
      </c>
    </row>
    <row r="719" ht="158" customHeight="1">
      <c r="A719" s="8">
        <f>IF(ISNA(MATCH(710,'Transfer Engine'!$C$2:$C$1960,0)),"",INDEX('Compliance Database'!$A$2:$A$1960,MATCH(710,'Transfer Engine'!$C$2:$C$1960,0)))</f>
        <v/>
      </c>
      <c r="B719" s="8">
        <f>IF(ISNA(MATCH(710,'Transfer Engine'!$C$2:$C$1960,0)),"",INDEX('Compliance Database'!$B$2:$B$1960,MATCH(710,'Transfer Engine'!$C$2:$C$1960,0)))</f>
        <v/>
      </c>
      <c r="C719" s="8">
        <f>IF(ISNA(MATCH(710,'Transfer Engine'!$C$2:$C$1960,0)),"",INDEX('Compliance Database'!$C$2:$C$1960,MATCH(710,'Transfer Engine'!$C$2:$C$1960,0)))</f>
        <v/>
      </c>
      <c r="D719" s="9">
        <f>IF(ISNA(MATCH(710,'Transfer Engine'!$C$2:$C$1960,0)),"",INDEX('Compliance Database'!$D$2:$D$1960,MATCH(710,'Transfer Engine'!$C$2:$C$1960,0)))</f>
        <v/>
      </c>
      <c r="E719" s="8">
        <f>IF(ISNA(MATCH(710,'Transfer Engine'!$C$2:$C$1960,0)),"",INDEX('Compliance Database'!$E$2:$E$1960,MATCH(710,'Transfer Engine'!$C$2:$C$1960,0)))</f>
        <v/>
      </c>
      <c r="F719" s="8">
        <f>IF(ISNA(MATCH(710,'Transfer Engine'!$C$2:$C$1960,0)),"",INDEX('Compliance Database'!$F$2:$F$1960,MATCH(710,'Transfer Engine'!$C$2:$C$1960,0)))</f>
        <v/>
      </c>
      <c r="G719" s="8">
        <f>IF(ISNA(MATCH(710,'Transfer Engine'!$C$2:$C$1960,0)),"",INDEX('Compliance Database'!$G$2:$G$1960,MATCH(710,'Transfer Engine'!$C$2:$C$1960,0)))</f>
        <v/>
      </c>
      <c r="H719" s="9">
        <f>IF(ISNA(MATCH(710,'Transfer Engine'!$C$2:$C$1960,0)),"",INDEX('Compliance Database'!$H$2:$H$1960,MATCH(710,'Transfer Engine'!$C$2:$C$1960,0)))</f>
        <v/>
      </c>
      <c r="I719" s="9">
        <f>IF(ISNA(MATCH(710,'Transfer Engine'!$C$2:$C$1960,0)),"",INDEX('Compliance Database'!$I$2:$I$1960,MATCH(710,'Transfer Engine'!$C$2:$C$1960,0)))</f>
        <v/>
      </c>
      <c r="J719" s="8">
        <f>IF(ISNA(MATCH(710,'Transfer Engine'!$C$2:$C$1960,0)),"",INDEX('Compliance Database'!$J$2:$J$1960,MATCH(710,'Transfer Engine'!$C$2:$C$1960,0)))</f>
        <v/>
      </c>
      <c r="K719" s="9">
        <f>IF(ISNA(MATCH(710,'Transfer Engine'!$C$2:$C$1960,0)),"",INDEX('Compliance Database'!$K$2:$K$1960,MATCH(710,'Transfer Engine'!$C$2:$C$1960,0)))</f>
        <v/>
      </c>
      <c r="L719" s="9">
        <f>IF(ISNA(MATCH(710,'Transfer Engine'!$C$2:$C$1960,0)),"",INDEX('Compliance Database'!$L$2:$L$1960,MATCH(710,'Transfer Engine'!$C$2:$C$1960,0)))</f>
        <v/>
      </c>
      <c r="M719" s="9">
        <f>IF(ISNA(MATCH(710,'Transfer Engine'!$C$2:$C$1960,0)),"",INDEX('Compliance Database'!$M$2:$M$1960,MATCH(710,'Transfer Engine'!$C$2:$C$1960,0)))</f>
        <v/>
      </c>
      <c r="N719" s="9">
        <f>IF(ISNA(MATCH(710,'Transfer Engine'!$C$2:$C$1960,0)),"",INDEX('Compliance Database'!$N$2:$N$1960,MATCH(710,'Transfer Engine'!$C$2:$C$1960,0)))</f>
        <v/>
      </c>
      <c r="O719" s="9">
        <f>IF(ISNA(MATCH(710,'Transfer Engine'!$C$2:$C$1960,0)),"",INDEX('Compliance Database'!$O$2:$O$1960,MATCH(710,'Transfer Engine'!$C$2:$C$1960,0)))</f>
        <v/>
      </c>
      <c r="P719" s="8">
        <f>IF(ISNA(MATCH(710,'Transfer Engine'!$C$2:$C$1960,0)),"",HYPERLINK("#Acts!A"&amp;INDEX('Compliance Database'!$P$2:$P$1960,MATCH(710,'Transfer Engine'!$C$2:$C$1960,0)),"Go to Act"))</f>
        <v/>
      </c>
    </row>
    <row r="720" ht="158" customHeight="1">
      <c r="A720" s="8">
        <f>IF(ISNA(MATCH(711,'Transfer Engine'!$C$2:$C$1960,0)),"",INDEX('Compliance Database'!$A$2:$A$1960,MATCH(711,'Transfer Engine'!$C$2:$C$1960,0)))</f>
        <v/>
      </c>
      <c r="B720" s="8">
        <f>IF(ISNA(MATCH(711,'Transfer Engine'!$C$2:$C$1960,0)),"",INDEX('Compliance Database'!$B$2:$B$1960,MATCH(711,'Transfer Engine'!$C$2:$C$1960,0)))</f>
        <v/>
      </c>
      <c r="C720" s="8">
        <f>IF(ISNA(MATCH(711,'Transfer Engine'!$C$2:$C$1960,0)),"",INDEX('Compliance Database'!$C$2:$C$1960,MATCH(711,'Transfer Engine'!$C$2:$C$1960,0)))</f>
        <v/>
      </c>
      <c r="D720" s="9">
        <f>IF(ISNA(MATCH(711,'Transfer Engine'!$C$2:$C$1960,0)),"",INDEX('Compliance Database'!$D$2:$D$1960,MATCH(711,'Transfer Engine'!$C$2:$C$1960,0)))</f>
        <v/>
      </c>
      <c r="E720" s="8">
        <f>IF(ISNA(MATCH(711,'Transfer Engine'!$C$2:$C$1960,0)),"",INDEX('Compliance Database'!$E$2:$E$1960,MATCH(711,'Transfer Engine'!$C$2:$C$1960,0)))</f>
        <v/>
      </c>
      <c r="F720" s="8">
        <f>IF(ISNA(MATCH(711,'Transfer Engine'!$C$2:$C$1960,0)),"",INDEX('Compliance Database'!$F$2:$F$1960,MATCH(711,'Transfer Engine'!$C$2:$C$1960,0)))</f>
        <v/>
      </c>
      <c r="G720" s="8">
        <f>IF(ISNA(MATCH(711,'Transfer Engine'!$C$2:$C$1960,0)),"",INDEX('Compliance Database'!$G$2:$G$1960,MATCH(711,'Transfer Engine'!$C$2:$C$1960,0)))</f>
        <v/>
      </c>
      <c r="H720" s="9">
        <f>IF(ISNA(MATCH(711,'Transfer Engine'!$C$2:$C$1960,0)),"",INDEX('Compliance Database'!$H$2:$H$1960,MATCH(711,'Transfer Engine'!$C$2:$C$1960,0)))</f>
        <v/>
      </c>
      <c r="I720" s="9">
        <f>IF(ISNA(MATCH(711,'Transfer Engine'!$C$2:$C$1960,0)),"",INDEX('Compliance Database'!$I$2:$I$1960,MATCH(711,'Transfer Engine'!$C$2:$C$1960,0)))</f>
        <v/>
      </c>
      <c r="J720" s="8">
        <f>IF(ISNA(MATCH(711,'Transfer Engine'!$C$2:$C$1960,0)),"",INDEX('Compliance Database'!$J$2:$J$1960,MATCH(711,'Transfer Engine'!$C$2:$C$1960,0)))</f>
        <v/>
      </c>
      <c r="K720" s="9">
        <f>IF(ISNA(MATCH(711,'Transfer Engine'!$C$2:$C$1960,0)),"",INDEX('Compliance Database'!$K$2:$K$1960,MATCH(711,'Transfer Engine'!$C$2:$C$1960,0)))</f>
        <v/>
      </c>
      <c r="L720" s="9">
        <f>IF(ISNA(MATCH(711,'Transfer Engine'!$C$2:$C$1960,0)),"",INDEX('Compliance Database'!$L$2:$L$1960,MATCH(711,'Transfer Engine'!$C$2:$C$1960,0)))</f>
        <v/>
      </c>
      <c r="M720" s="9">
        <f>IF(ISNA(MATCH(711,'Transfer Engine'!$C$2:$C$1960,0)),"",INDEX('Compliance Database'!$M$2:$M$1960,MATCH(711,'Transfer Engine'!$C$2:$C$1960,0)))</f>
        <v/>
      </c>
      <c r="N720" s="9">
        <f>IF(ISNA(MATCH(711,'Transfer Engine'!$C$2:$C$1960,0)),"",INDEX('Compliance Database'!$N$2:$N$1960,MATCH(711,'Transfer Engine'!$C$2:$C$1960,0)))</f>
        <v/>
      </c>
      <c r="O720" s="9">
        <f>IF(ISNA(MATCH(711,'Transfer Engine'!$C$2:$C$1960,0)),"",INDEX('Compliance Database'!$O$2:$O$1960,MATCH(711,'Transfer Engine'!$C$2:$C$1960,0)))</f>
        <v/>
      </c>
      <c r="P720" s="8">
        <f>IF(ISNA(MATCH(711,'Transfer Engine'!$C$2:$C$1960,0)),"",HYPERLINK("#Acts!A"&amp;INDEX('Compliance Database'!$P$2:$P$1960,MATCH(711,'Transfer Engine'!$C$2:$C$1960,0)),"Go to Act"))</f>
        <v/>
      </c>
    </row>
    <row r="721" ht="158" customHeight="1">
      <c r="A721" s="8">
        <f>IF(ISNA(MATCH(712,'Transfer Engine'!$C$2:$C$1960,0)),"",INDEX('Compliance Database'!$A$2:$A$1960,MATCH(712,'Transfer Engine'!$C$2:$C$1960,0)))</f>
        <v/>
      </c>
      <c r="B721" s="8">
        <f>IF(ISNA(MATCH(712,'Transfer Engine'!$C$2:$C$1960,0)),"",INDEX('Compliance Database'!$B$2:$B$1960,MATCH(712,'Transfer Engine'!$C$2:$C$1960,0)))</f>
        <v/>
      </c>
      <c r="C721" s="8">
        <f>IF(ISNA(MATCH(712,'Transfer Engine'!$C$2:$C$1960,0)),"",INDEX('Compliance Database'!$C$2:$C$1960,MATCH(712,'Transfer Engine'!$C$2:$C$1960,0)))</f>
        <v/>
      </c>
      <c r="D721" s="9">
        <f>IF(ISNA(MATCH(712,'Transfer Engine'!$C$2:$C$1960,0)),"",INDEX('Compliance Database'!$D$2:$D$1960,MATCH(712,'Transfer Engine'!$C$2:$C$1960,0)))</f>
        <v/>
      </c>
      <c r="E721" s="8">
        <f>IF(ISNA(MATCH(712,'Transfer Engine'!$C$2:$C$1960,0)),"",INDEX('Compliance Database'!$E$2:$E$1960,MATCH(712,'Transfer Engine'!$C$2:$C$1960,0)))</f>
        <v/>
      </c>
      <c r="F721" s="8">
        <f>IF(ISNA(MATCH(712,'Transfer Engine'!$C$2:$C$1960,0)),"",INDEX('Compliance Database'!$F$2:$F$1960,MATCH(712,'Transfer Engine'!$C$2:$C$1960,0)))</f>
        <v/>
      </c>
      <c r="G721" s="8">
        <f>IF(ISNA(MATCH(712,'Transfer Engine'!$C$2:$C$1960,0)),"",INDEX('Compliance Database'!$G$2:$G$1960,MATCH(712,'Transfer Engine'!$C$2:$C$1960,0)))</f>
        <v/>
      </c>
      <c r="H721" s="9">
        <f>IF(ISNA(MATCH(712,'Transfer Engine'!$C$2:$C$1960,0)),"",INDEX('Compliance Database'!$H$2:$H$1960,MATCH(712,'Transfer Engine'!$C$2:$C$1960,0)))</f>
        <v/>
      </c>
      <c r="I721" s="9">
        <f>IF(ISNA(MATCH(712,'Transfer Engine'!$C$2:$C$1960,0)),"",INDEX('Compliance Database'!$I$2:$I$1960,MATCH(712,'Transfer Engine'!$C$2:$C$1960,0)))</f>
        <v/>
      </c>
      <c r="J721" s="8">
        <f>IF(ISNA(MATCH(712,'Transfer Engine'!$C$2:$C$1960,0)),"",INDEX('Compliance Database'!$J$2:$J$1960,MATCH(712,'Transfer Engine'!$C$2:$C$1960,0)))</f>
        <v/>
      </c>
      <c r="K721" s="9">
        <f>IF(ISNA(MATCH(712,'Transfer Engine'!$C$2:$C$1960,0)),"",INDEX('Compliance Database'!$K$2:$K$1960,MATCH(712,'Transfer Engine'!$C$2:$C$1960,0)))</f>
        <v/>
      </c>
      <c r="L721" s="9">
        <f>IF(ISNA(MATCH(712,'Transfer Engine'!$C$2:$C$1960,0)),"",INDEX('Compliance Database'!$L$2:$L$1960,MATCH(712,'Transfer Engine'!$C$2:$C$1960,0)))</f>
        <v/>
      </c>
      <c r="M721" s="9">
        <f>IF(ISNA(MATCH(712,'Transfer Engine'!$C$2:$C$1960,0)),"",INDEX('Compliance Database'!$M$2:$M$1960,MATCH(712,'Transfer Engine'!$C$2:$C$1960,0)))</f>
        <v/>
      </c>
      <c r="N721" s="9">
        <f>IF(ISNA(MATCH(712,'Transfer Engine'!$C$2:$C$1960,0)),"",INDEX('Compliance Database'!$N$2:$N$1960,MATCH(712,'Transfer Engine'!$C$2:$C$1960,0)))</f>
        <v/>
      </c>
      <c r="O721" s="9">
        <f>IF(ISNA(MATCH(712,'Transfer Engine'!$C$2:$C$1960,0)),"",INDEX('Compliance Database'!$O$2:$O$1960,MATCH(712,'Transfer Engine'!$C$2:$C$1960,0)))</f>
        <v/>
      </c>
      <c r="P721" s="8">
        <f>IF(ISNA(MATCH(712,'Transfer Engine'!$C$2:$C$1960,0)),"",HYPERLINK("#Acts!A"&amp;INDEX('Compliance Database'!$P$2:$P$1960,MATCH(712,'Transfer Engine'!$C$2:$C$1960,0)),"Go to Act"))</f>
        <v/>
      </c>
    </row>
    <row r="722" ht="158" customHeight="1">
      <c r="A722" s="8">
        <f>IF(ISNA(MATCH(713,'Transfer Engine'!$C$2:$C$1960,0)),"",INDEX('Compliance Database'!$A$2:$A$1960,MATCH(713,'Transfer Engine'!$C$2:$C$1960,0)))</f>
        <v/>
      </c>
      <c r="B722" s="8">
        <f>IF(ISNA(MATCH(713,'Transfer Engine'!$C$2:$C$1960,0)),"",INDEX('Compliance Database'!$B$2:$B$1960,MATCH(713,'Transfer Engine'!$C$2:$C$1960,0)))</f>
        <v/>
      </c>
      <c r="C722" s="8">
        <f>IF(ISNA(MATCH(713,'Transfer Engine'!$C$2:$C$1960,0)),"",INDEX('Compliance Database'!$C$2:$C$1960,MATCH(713,'Transfer Engine'!$C$2:$C$1960,0)))</f>
        <v/>
      </c>
      <c r="D722" s="9">
        <f>IF(ISNA(MATCH(713,'Transfer Engine'!$C$2:$C$1960,0)),"",INDEX('Compliance Database'!$D$2:$D$1960,MATCH(713,'Transfer Engine'!$C$2:$C$1960,0)))</f>
        <v/>
      </c>
      <c r="E722" s="8">
        <f>IF(ISNA(MATCH(713,'Transfer Engine'!$C$2:$C$1960,0)),"",INDEX('Compliance Database'!$E$2:$E$1960,MATCH(713,'Transfer Engine'!$C$2:$C$1960,0)))</f>
        <v/>
      </c>
      <c r="F722" s="8">
        <f>IF(ISNA(MATCH(713,'Transfer Engine'!$C$2:$C$1960,0)),"",INDEX('Compliance Database'!$F$2:$F$1960,MATCH(713,'Transfer Engine'!$C$2:$C$1960,0)))</f>
        <v/>
      </c>
      <c r="G722" s="8">
        <f>IF(ISNA(MATCH(713,'Transfer Engine'!$C$2:$C$1960,0)),"",INDEX('Compliance Database'!$G$2:$G$1960,MATCH(713,'Transfer Engine'!$C$2:$C$1960,0)))</f>
        <v/>
      </c>
      <c r="H722" s="9">
        <f>IF(ISNA(MATCH(713,'Transfer Engine'!$C$2:$C$1960,0)),"",INDEX('Compliance Database'!$H$2:$H$1960,MATCH(713,'Transfer Engine'!$C$2:$C$1960,0)))</f>
        <v/>
      </c>
      <c r="I722" s="9">
        <f>IF(ISNA(MATCH(713,'Transfer Engine'!$C$2:$C$1960,0)),"",INDEX('Compliance Database'!$I$2:$I$1960,MATCH(713,'Transfer Engine'!$C$2:$C$1960,0)))</f>
        <v/>
      </c>
      <c r="J722" s="8">
        <f>IF(ISNA(MATCH(713,'Transfer Engine'!$C$2:$C$1960,0)),"",INDEX('Compliance Database'!$J$2:$J$1960,MATCH(713,'Transfer Engine'!$C$2:$C$1960,0)))</f>
        <v/>
      </c>
      <c r="K722" s="9">
        <f>IF(ISNA(MATCH(713,'Transfer Engine'!$C$2:$C$1960,0)),"",INDEX('Compliance Database'!$K$2:$K$1960,MATCH(713,'Transfer Engine'!$C$2:$C$1960,0)))</f>
        <v/>
      </c>
      <c r="L722" s="9">
        <f>IF(ISNA(MATCH(713,'Transfer Engine'!$C$2:$C$1960,0)),"",INDEX('Compliance Database'!$L$2:$L$1960,MATCH(713,'Transfer Engine'!$C$2:$C$1960,0)))</f>
        <v/>
      </c>
      <c r="M722" s="9">
        <f>IF(ISNA(MATCH(713,'Transfer Engine'!$C$2:$C$1960,0)),"",INDEX('Compliance Database'!$M$2:$M$1960,MATCH(713,'Transfer Engine'!$C$2:$C$1960,0)))</f>
        <v/>
      </c>
      <c r="N722" s="9">
        <f>IF(ISNA(MATCH(713,'Transfer Engine'!$C$2:$C$1960,0)),"",INDEX('Compliance Database'!$N$2:$N$1960,MATCH(713,'Transfer Engine'!$C$2:$C$1960,0)))</f>
        <v/>
      </c>
      <c r="O722" s="9">
        <f>IF(ISNA(MATCH(713,'Transfer Engine'!$C$2:$C$1960,0)),"",INDEX('Compliance Database'!$O$2:$O$1960,MATCH(713,'Transfer Engine'!$C$2:$C$1960,0)))</f>
        <v/>
      </c>
      <c r="P722" s="8">
        <f>IF(ISNA(MATCH(713,'Transfer Engine'!$C$2:$C$1960,0)),"",HYPERLINK("#Acts!A"&amp;INDEX('Compliance Database'!$P$2:$P$1960,MATCH(713,'Transfer Engine'!$C$2:$C$1960,0)),"Go to Act"))</f>
        <v/>
      </c>
    </row>
    <row r="723" ht="158" customHeight="1">
      <c r="A723" s="8">
        <f>IF(ISNA(MATCH(714,'Transfer Engine'!$C$2:$C$1960,0)),"",INDEX('Compliance Database'!$A$2:$A$1960,MATCH(714,'Transfer Engine'!$C$2:$C$1960,0)))</f>
        <v/>
      </c>
      <c r="B723" s="8">
        <f>IF(ISNA(MATCH(714,'Transfer Engine'!$C$2:$C$1960,0)),"",INDEX('Compliance Database'!$B$2:$B$1960,MATCH(714,'Transfer Engine'!$C$2:$C$1960,0)))</f>
        <v/>
      </c>
      <c r="C723" s="8">
        <f>IF(ISNA(MATCH(714,'Transfer Engine'!$C$2:$C$1960,0)),"",INDEX('Compliance Database'!$C$2:$C$1960,MATCH(714,'Transfer Engine'!$C$2:$C$1960,0)))</f>
        <v/>
      </c>
      <c r="D723" s="9">
        <f>IF(ISNA(MATCH(714,'Transfer Engine'!$C$2:$C$1960,0)),"",INDEX('Compliance Database'!$D$2:$D$1960,MATCH(714,'Transfer Engine'!$C$2:$C$1960,0)))</f>
        <v/>
      </c>
      <c r="E723" s="8">
        <f>IF(ISNA(MATCH(714,'Transfer Engine'!$C$2:$C$1960,0)),"",INDEX('Compliance Database'!$E$2:$E$1960,MATCH(714,'Transfer Engine'!$C$2:$C$1960,0)))</f>
        <v/>
      </c>
      <c r="F723" s="8">
        <f>IF(ISNA(MATCH(714,'Transfer Engine'!$C$2:$C$1960,0)),"",INDEX('Compliance Database'!$F$2:$F$1960,MATCH(714,'Transfer Engine'!$C$2:$C$1960,0)))</f>
        <v/>
      </c>
      <c r="G723" s="8">
        <f>IF(ISNA(MATCH(714,'Transfer Engine'!$C$2:$C$1960,0)),"",INDEX('Compliance Database'!$G$2:$G$1960,MATCH(714,'Transfer Engine'!$C$2:$C$1960,0)))</f>
        <v/>
      </c>
      <c r="H723" s="9">
        <f>IF(ISNA(MATCH(714,'Transfer Engine'!$C$2:$C$1960,0)),"",INDEX('Compliance Database'!$H$2:$H$1960,MATCH(714,'Transfer Engine'!$C$2:$C$1960,0)))</f>
        <v/>
      </c>
      <c r="I723" s="9">
        <f>IF(ISNA(MATCH(714,'Transfer Engine'!$C$2:$C$1960,0)),"",INDEX('Compliance Database'!$I$2:$I$1960,MATCH(714,'Transfer Engine'!$C$2:$C$1960,0)))</f>
        <v/>
      </c>
      <c r="J723" s="8">
        <f>IF(ISNA(MATCH(714,'Transfer Engine'!$C$2:$C$1960,0)),"",INDEX('Compliance Database'!$J$2:$J$1960,MATCH(714,'Transfer Engine'!$C$2:$C$1960,0)))</f>
        <v/>
      </c>
      <c r="K723" s="9">
        <f>IF(ISNA(MATCH(714,'Transfer Engine'!$C$2:$C$1960,0)),"",INDEX('Compliance Database'!$K$2:$K$1960,MATCH(714,'Transfer Engine'!$C$2:$C$1960,0)))</f>
        <v/>
      </c>
      <c r="L723" s="9">
        <f>IF(ISNA(MATCH(714,'Transfer Engine'!$C$2:$C$1960,0)),"",INDEX('Compliance Database'!$L$2:$L$1960,MATCH(714,'Transfer Engine'!$C$2:$C$1960,0)))</f>
        <v/>
      </c>
      <c r="M723" s="9">
        <f>IF(ISNA(MATCH(714,'Transfer Engine'!$C$2:$C$1960,0)),"",INDEX('Compliance Database'!$M$2:$M$1960,MATCH(714,'Transfer Engine'!$C$2:$C$1960,0)))</f>
        <v/>
      </c>
      <c r="N723" s="9">
        <f>IF(ISNA(MATCH(714,'Transfer Engine'!$C$2:$C$1960,0)),"",INDEX('Compliance Database'!$N$2:$N$1960,MATCH(714,'Transfer Engine'!$C$2:$C$1960,0)))</f>
        <v/>
      </c>
      <c r="O723" s="9">
        <f>IF(ISNA(MATCH(714,'Transfer Engine'!$C$2:$C$1960,0)),"",INDEX('Compliance Database'!$O$2:$O$1960,MATCH(714,'Transfer Engine'!$C$2:$C$1960,0)))</f>
        <v/>
      </c>
      <c r="P723" s="8">
        <f>IF(ISNA(MATCH(714,'Transfer Engine'!$C$2:$C$1960,0)),"",HYPERLINK("#Acts!A"&amp;INDEX('Compliance Database'!$P$2:$P$1960,MATCH(714,'Transfer Engine'!$C$2:$C$1960,0)),"Go to Act"))</f>
        <v/>
      </c>
    </row>
    <row r="724" ht="158" customHeight="1">
      <c r="A724" s="8">
        <f>IF(ISNA(MATCH(715,'Transfer Engine'!$C$2:$C$1960,0)),"",INDEX('Compliance Database'!$A$2:$A$1960,MATCH(715,'Transfer Engine'!$C$2:$C$1960,0)))</f>
        <v/>
      </c>
      <c r="B724" s="8">
        <f>IF(ISNA(MATCH(715,'Transfer Engine'!$C$2:$C$1960,0)),"",INDEX('Compliance Database'!$B$2:$B$1960,MATCH(715,'Transfer Engine'!$C$2:$C$1960,0)))</f>
        <v/>
      </c>
      <c r="C724" s="8">
        <f>IF(ISNA(MATCH(715,'Transfer Engine'!$C$2:$C$1960,0)),"",INDEX('Compliance Database'!$C$2:$C$1960,MATCH(715,'Transfer Engine'!$C$2:$C$1960,0)))</f>
        <v/>
      </c>
      <c r="D724" s="9">
        <f>IF(ISNA(MATCH(715,'Transfer Engine'!$C$2:$C$1960,0)),"",INDEX('Compliance Database'!$D$2:$D$1960,MATCH(715,'Transfer Engine'!$C$2:$C$1960,0)))</f>
        <v/>
      </c>
      <c r="E724" s="8">
        <f>IF(ISNA(MATCH(715,'Transfer Engine'!$C$2:$C$1960,0)),"",INDEX('Compliance Database'!$E$2:$E$1960,MATCH(715,'Transfer Engine'!$C$2:$C$1960,0)))</f>
        <v/>
      </c>
      <c r="F724" s="8">
        <f>IF(ISNA(MATCH(715,'Transfer Engine'!$C$2:$C$1960,0)),"",INDEX('Compliance Database'!$F$2:$F$1960,MATCH(715,'Transfer Engine'!$C$2:$C$1960,0)))</f>
        <v/>
      </c>
      <c r="G724" s="8">
        <f>IF(ISNA(MATCH(715,'Transfer Engine'!$C$2:$C$1960,0)),"",INDEX('Compliance Database'!$G$2:$G$1960,MATCH(715,'Transfer Engine'!$C$2:$C$1960,0)))</f>
        <v/>
      </c>
      <c r="H724" s="9">
        <f>IF(ISNA(MATCH(715,'Transfer Engine'!$C$2:$C$1960,0)),"",INDEX('Compliance Database'!$H$2:$H$1960,MATCH(715,'Transfer Engine'!$C$2:$C$1960,0)))</f>
        <v/>
      </c>
      <c r="I724" s="9">
        <f>IF(ISNA(MATCH(715,'Transfer Engine'!$C$2:$C$1960,0)),"",INDEX('Compliance Database'!$I$2:$I$1960,MATCH(715,'Transfer Engine'!$C$2:$C$1960,0)))</f>
        <v/>
      </c>
      <c r="J724" s="8">
        <f>IF(ISNA(MATCH(715,'Transfer Engine'!$C$2:$C$1960,0)),"",INDEX('Compliance Database'!$J$2:$J$1960,MATCH(715,'Transfer Engine'!$C$2:$C$1960,0)))</f>
        <v/>
      </c>
      <c r="K724" s="9">
        <f>IF(ISNA(MATCH(715,'Transfer Engine'!$C$2:$C$1960,0)),"",INDEX('Compliance Database'!$K$2:$K$1960,MATCH(715,'Transfer Engine'!$C$2:$C$1960,0)))</f>
        <v/>
      </c>
      <c r="L724" s="9">
        <f>IF(ISNA(MATCH(715,'Transfer Engine'!$C$2:$C$1960,0)),"",INDEX('Compliance Database'!$L$2:$L$1960,MATCH(715,'Transfer Engine'!$C$2:$C$1960,0)))</f>
        <v/>
      </c>
      <c r="M724" s="9">
        <f>IF(ISNA(MATCH(715,'Transfer Engine'!$C$2:$C$1960,0)),"",INDEX('Compliance Database'!$M$2:$M$1960,MATCH(715,'Transfer Engine'!$C$2:$C$1960,0)))</f>
        <v/>
      </c>
      <c r="N724" s="9">
        <f>IF(ISNA(MATCH(715,'Transfer Engine'!$C$2:$C$1960,0)),"",INDEX('Compliance Database'!$N$2:$N$1960,MATCH(715,'Transfer Engine'!$C$2:$C$1960,0)))</f>
        <v/>
      </c>
      <c r="O724" s="9">
        <f>IF(ISNA(MATCH(715,'Transfer Engine'!$C$2:$C$1960,0)),"",INDEX('Compliance Database'!$O$2:$O$1960,MATCH(715,'Transfer Engine'!$C$2:$C$1960,0)))</f>
        <v/>
      </c>
      <c r="P724" s="8">
        <f>IF(ISNA(MATCH(715,'Transfer Engine'!$C$2:$C$1960,0)),"",HYPERLINK("#Acts!A"&amp;INDEX('Compliance Database'!$P$2:$P$1960,MATCH(715,'Transfer Engine'!$C$2:$C$1960,0)),"Go to Act"))</f>
        <v/>
      </c>
    </row>
    <row r="725" ht="158" customHeight="1">
      <c r="A725" s="8">
        <f>IF(ISNA(MATCH(716,'Transfer Engine'!$C$2:$C$1960,0)),"",INDEX('Compliance Database'!$A$2:$A$1960,MATCH(716,'Transfer Engine'!$C$2:$C$1960,0)))</f>
        <v/>
      </c>
      <c r="B725" s="8">
        <f>IF(ISNA(MATCH(716,'Transfer Engine'!$C$2:$C$1960,0)),"",INDEX('Compliance Database'!$B$2:$B$1960,MATCH(716,'Transfer Engine'!$C$2:$C$1960,0)))</f>
        <v/>
      </c>
      <c r="C725" s="8">
        <f>IF(ISNA(MATCH(716,'Transfer Engine'!$C$2:$C$1960,0)),"",INDEX('Compliance Database'!$C$2:$C$1960,MATCH(716,'Transfer Engine'!$C$2:$C$1960,0)))</f>
        <v/>
      </c>
      <c r="D725" s="9">
        <f>IF(ISNA(MATCH(716,'Transfer Engine'!$C$2:$C$1960,0)),"",INDEX('Compliance Database'!$D$2:$D$1960,MATCH(716,'Transfer Engine'!$C$2:$C$1960,0)))</f>
        <v/>
      </c>
      <c r="E725" s="8">
        <f>IF(ISNA(MATCH(716,'Transfer Engine'!$C$2:$C$1960,0)),"",INDEX('Compliance Database'!$E$2:$E$1960,MATCH(716,'Transfer Engine'!$C$2:$C$1960,0)))</f>
        <v/>
      </c>
      <c r="F725" s="8">
        <f>IF(ISNA(MATCH(716,'Transfer Engine'!$C$2:$C$1960,0)),"",INDEX('Compliance Database'!$F$2:$F$1960,MATCH(716,'Transfer Engine'!$C$2:$C$1960,0)))</f>
        <v/>
      </c>
      <c r="G725" s="8">
        <f>IF(ISNA(MATCH(716,'Transfer Engine'!$C$2:$C$1960,0)),"",INDEX('Compliance Database'!$G$2:$G$1960,MATCH(716,'Transfer Engine'!$C$2:$C$1960,0)))</f>
        <v/>
      </c>
      <c r="H725" s="9">
        <f>IF(ISNA(MATCH(716,'Transfer Engine'!$C$2:$C$1960,0)),"",INDEX('Compliance Database'!$H$2:$H$1960,MATCH(716,'Transfer Engine'!$C$2:$C$1960,0)))</f>
        <v/>
      </c>
      <c r="I725" s="9">
        <f>IF(ISNA(MATCH(716,'Transfer Engine'!$C$2:$C$1960,0)),"",INDEX('Compliance Database'!$I$2:$I$1960,MATCH(716,'Transfer Engine'!$C$2:$C$1960,0)))</f>
        <v/>
      </c>
      <c r="J725" s="8">
        <f>IF(ISNA(MATCH(716,'Transfer Engine'!$C$2:$C$1960,0)),"",INDEX('Compliance Database'!$J$2:$J$1960,MATCH(716,'Transfer Engine'!$C$2:$C$1960,0)))</f>
        <v/>
      </c>
      <c r="K725" s="9">
        <f>IF(ISNA(MATCH(716,'Transfer Engine'!$C$2:$C$1960,0)),"",INDEX('Compliance Database'!$K$2:$K$1960,MATCH(716,'Transfer Engine'!$C$2:$C$1960,0)))</f>
        <v/>
      </c>
      <c r="L725" s="9">
        <f>IF(ISNA(MATCH(716,'Transfer Engine'!$C$2:$C$1960,0)),"",INDEX('Compliance Database'!$L$2:$L$1960,MATCH(716,'Transfer Engine'!$C$2:$C$1960,0)))</f>
        <v/>
      </c>
      <c r="M725" s="9">
        <f>IF(ISNA(MATCH(716,'Transfer Engine'!$C$2:$C$1960,0)),"",INDEX('Compliance Database'!$M$2:$M$1960,MATCH(716,'Transfer Engine'!$C$2:$C$1960,0)))</f>
        <v/>
      </c>
      <c r="N725" s="9">
        <f>IF(ISNA(MATCH(716,'Transfer Engine'!$C$2:$C$1960,0)),"",INDEX('Compliance Database'!$N$2:$N$1960,MATCH(716,'Transfer Engine'!$C$2:$C$1960,0)))</f>
        <v/>
      </c>
      <c r="O725" s="9">
        <f>IF(ISNA(MATCH(716,'Transfer Engine'!$C$2:$C$1960,0)),"",INDEX('Compliance Database'!$O$2:$O$1960,MATCH(716,'Transfer Engine'!$C$2:$C$1960,0)))</f>
        <v/>
      </c>
      <c r="P725" s="8">
        <f>IF(ISNA(MATCH(716,'Transfer Engine'!$C$2:$C$1960,0)),"",HYPERLINK("#Acts!A"&amp;INDEX('Compliance Database'!$P$2:$P$1960,MATCH(716,'Transfer Engine'!$C$2:$C$1960,0)),"Go to Act"))</f>
        <v/>
      </c>
    </row>
    <row r="726" ht="158" customHeight="1">
      <c r="A726" s="8">
        <f>IF(ISNA(MATCH(717,'Transfer Engine'!$C$2:$C$1960,0)),"",INDEX('Compliance Database'!$A$2:$A$1960,MATCH(717,'Transfer Engine'!$C$2:$C$1960,0)))</f>
        <v/>
      </c>
      <c r="B726" s="8">
        <f>IF(ISNA(MATCH(717,'Transfer Engine'!$C$2:$C$1960,0)),"",INDEX('Compliance Database'!$B$2:$B$1960,MATCH(717,'Transfer Engine'!$C$2:$C$1960,0)))</f>
        <v/>
      </c>
      <c r="C726" s="8">
        <f>IF(ISNA(MATCH(717,'Transfer Engine'!$C$2:$C$1960,0)),"",INDEX('Compliance Database'!$C$2:$C$1960,MATCH(717,'Transfer Engine'!$C$2:$C$1960,0)))</f>
        <v/>
      </c>
      <c r="D726" s="9">
        <f>IF(ISNA(MATCH(717,'Transfer Engine'!$C$2:$C$1960,0)),"",INDEX('Compliance Database'!$D$2:$D$1960,MATCH(717,'Transfer Engine'!$C$2:$C$1960,0)))</f>
        <v/>
      </c>
      <c r="E726" s="8">
        <f>IF(ISNA(MATCH(717,'Transfer Engine'!$C$2:$C$1960,0)),"",INDEX('Compliance Database'!$E$2:$E$1960,MATCH(717,'Transfer Engine'!$C$2:$C$1960,0)))</f>
        <v/>
      </c>
      <c r="F726" s="8">
        <f>IF(ISNA(MATCH(717,'Transfer Engine'!$C$2:$C$1960,0)),"",INDEX('Compliance Database'!$F$2:$F$1960,MATCH(717,'Transfer Engine'!$C$2:$C$1960,0)))</f>
        <v/>
      </c>
      <c r="G726" s="8">
        <f>IF(ISNA(MATCH(717,'Transfer Engine'!$C$2:$C$1960,0)),"",INDEX('Compliance Database'!$G$2:$G$1960,MATCH(717,'Transfer Engine'!$C$2:$C$1960,0)))</f>
        <v/>
      </c>
      <c r="H726" s="9">
        <f>IF(ISNA(MATCH(717,'Transfer Engine'!$C$2:$C$1960,0)),"",INDEX('Compliance Database'!$H$2:$H$1960,MATCH(717,'Transfer Engine'!$C$2:$C$1960,0)))</f>
        <v/>
      </c>
      <c r="I726" s="9">
        <f>IF(ISNA(MATCH(717,'Transfer Engine'!$C$2:$C$1960,0)),"",INDEX('Compliance Database'!$I$2:$I$1960,MATCH(717,'Transfer Engine'!$C$2:$C$1960,0)))</f>
        <v/>
      </c>
      <c r="J726" s="8">
        <f>IF(ISNA(MATCH(717,'Transfer Engine'!$C$2:$C$1960,0)),"",INDEX('Compliance Database'!$J$2:$J$1960,MATCH(717,'Transfer Engine'!$C$2:$C$1960,0)))</f>
        <v/>
      </c>
      <c r="K726" s="9">
        <f>IF(ISNA(MATCH(717,'Transfer Engine'!$C$2:$C$1960,0)),"",INDEX('Compliance Database'!$K$2:$K$1960,MATCH(717,'Transfer Engine'!$C$2:$C$1960,0)))</f>
        <v/>
      </c>
      <c r="L726" s="9">
        <f>IF(ISNA(MATCH(717,'Transfer Engine'!$C$2:$C$1960,0)),"",INDEX('Compliance Database'!$L$2:$L$1960,MATCH(717,'Transfer Engine'!$C$2:$C$1960,0)))</f>
        <v/>
      </c>
      <c r="M726" s="9">
        <f>IF(ISNA(MATCH(717,'Transfer Engine'!$C$2:$C$1960,0)),"",INDEX('Compliance Database'!$M$2:$M$1960,MATCH(717,'Transfer Engine'!$C$2:$C$1960,0)))</f>
        <v/>
      </c>
      <c r="N726" s="9">
        <f>IF(ISNA(MATCH(717,'Transfer Engine'!$C$2:$C$1960,0)),"",INDEX('Compliance Database'!$N$2:$N$1960,MATCH(717,'Transfer Engine'!$C$2:$C$1960,0)))</f>
        <v/>
      </c>
      <c r="O726" s="9">
        <f>IF(ISNA(MATCH(717,'Transfer Engine'!$C$2:$C$1960,0)),"",INDEX('Compliance Database'!$O$2:$O$1960,MATCH(717,'Transfer Engine'!$C$2:$C$1960,0)))</f>
        <v/>
      </c>
      <c r="P726" s="8">
        <f>IF(ISNA(MATCH(717,'Transfer Engine'!$C$2:$C$1960,0)),"",HYPERLINK("#Acts!A"&amp;INDEX('Compliance Database'!$P$2:$P$1960,MATCH(717,'Transfer Engine'!$C$2:$C$1960,0)),"Go to Act"))</f>
        <v/>
      </c>
    </row>
    <row r="727" ht="158" customHeight="1">
      <c r="A727" s="8">
        <f>IF(ISNA(MATCH(718,'Transfer Engine'!$C$2:$C$1960,0)),"",INDEX('Compliance Database'!$A$2:$A$1960,MATCH(718,'Transfer Engine'!$C$2:$C$1960,0)))</f>
        <v/>
      </c>
      <c r="B727" s="8">
        <f>IF(ISNA(MATCH(718,'Transfer Engine'!$C$2:$C$1960,0)),"",INDEX('Compliance Database'!$B$2:$B$1960,MATCH(718,'Transfer Engine'!$C$2:$C$1960,0)))</f>
        <v/>
      </c>
      <c r="C727" s="8">
        <f>IF(ISNA(MATCH(718,'Transfer Engine'!$C$2:$C$1960,0)),"",INDEX('Compliance Database'!$C$2:$C$1960,MATCH(718,'Transfer Engine'!$C$2:$C$1960,0)))</f>
        <v/>
      </c>
      <c r="D727" s="9">
        <f>IF(ISNA(MATCH(718,'Transfer Engine'!$C$2:$C$1960,0)),"",INDEX('Compliance Database'!$D$2:$D$1960,MATCH(718,'Transfer Engine'!$C$2:$C$1960,0)))</f>
        <v/>
      </c>
      <c r="E727" s="8">
        <f>IF(ISNA(MATCH(718,'Transfer Engine'!$C$2:$C$1960,0)),"",INDEX('Compliance Database'!$E$2:$E$1960,MATCH(718,'Transfer Engine'!$C$2:$C$1960,0)))</f>
        <v/>
      </c>
      <c r="F727" s="8">
        <f>IF(ISNA(MATCH(718,'Transfer Engine'!$C$2:$C$1960,0)),"",INDEX('Compliance Database'!$F$2:$F$1960,MATCH(718,'Transfer Engine'!$C$2:$C$1960,0)))</f>
        <v/>
      </c>
      <c r="G727" s="8">
        <f>IF(ISNA(MATCH(718,'Transfer Engine'!$C$2:$C$1960,0)),"",INDEX('Compliance Database'!$G$2:$G$1960,MATCH(718,'Transfer Engine'!$C$2:$C$1960,0)))</f>
        <v/>
      </c>
      <c r="H727" s="9">
        <f>IF(ISNA(MATCH(718,'Transfer Engine'!$C$2:$C$1960,0)),"",INDEX('Compliance Database'!$H$2:$H$1960,MATCH(718,'Transfer Engine'!$C$2:$C$1960,0)))</f>
        <v/>
      </c>
      <c r="I727" s="9">
        <f>IF(ISNA(MATCH(718,'Transfer Engine'!$C$2:$C$1960,0)),"",INDEX('Compliance Database'!$I$2:$I$1960,MATCH(718,'Transfer Engine'!$C$2:$C$1960,0)))</f>
        <v/>
      </c>
      <c r="J727" s="8">
        <f>IF(ISNA(MATCH(718,'Transfer Engine'!$C$2:$C$1960,0)),"",INDEX('Compliance Database'!$J$2:$J$1960,MATCH(718,'Transfer Engine'!$C$2:$C$1960,0)))</f>
        <v/>
      </c>
      <c r="K727" s="9">
        <f>IF(ISNA(MATCH(718,'Transfer Engine'!$C$2:$C$1960,0)),"",INDEX('Compliance Database'!$K$2:$K$1960,MATCH(718,'Transfer Engine'!$C$2:$C$1960,0)))</f>
        <v/>
      </c>
      <c r="L727" s="9">
        <f>IF(ISNA(MATCH(718,'Transfer Engine'!$C$2:$C$1960,0)),"",INDEX('Compliance Database'!$L$2:$L$1960,MATCH(718,'Transfer Engine'!$C$2:$C$1960,0)))</f>
        <v/>
      </c>
      <c r="M727" s="9">
        <f>IF(ISNA(MATCH(718,'Transfer Engine'!$C$2:$C$1960,0)),"",INDEX('Compliance Database'!$M$2:$M$1960,MATCH(718,'Transfer Engine'!$C$2:$C$1960,0)))</f>
        <v/>
      </c>
      <c r="N727" s="9">
        <f>IF(ISNA(MATCH(718,'Transfer Engine'!$C$2:$C$1960,0)),"",INDEX('Compliance Database'!$N$2:$N$1960,MATCH(718,'Transfer Engine'!$C$2:$C$1960,0)))</f>
        <v/>
      </c>
      <c r="O727" s="9">
        <f>IF(ISNA(MATCH(718,'Transfer Engine'!$C$2:$C$1960,0)),"",INDEX('Compliance Database'!$O$2:$O$1960,MATCH(718,'Transfer Engine'!$C$2:$C$1960,0)))</f>
        <v/>
      </c>
      <c r="P727" s="8">
        <f>IF(ISNA(MATCH(718,'Transfer Engine'!$C$2:$C$1960,0)),"",HYPERLINK("#Acts!A"&amp;INDEX('Compliance Database'!$P$2:$P$1960,MATCH(718,'Transfer Engine'!$C$2:$C$1960,0)),"Go to Act"))</f>
        <v/>
      </c>
    </row>
    <row r="728" ht="158" customHeight="1">
      <c r="A728" s="8">
        <f>IF(ISNA(MATCH(719,'Transfer Engine'!$C$2:$C$1960,0)),"",INDEX('Compliance Database'!$A$2:$A$1960,MATCH(719,'Transfer Engine'!$C$2:$C$1960,0)))</f>
        <v/>
      </c>
      <c r="B728" s="8">
        <f>IF(ISNA(MATCH(719,'Transfer Engine'!$C$2:$C$1960,0)),"",INDEX('Compliance Database'!$B$2:$B$1960,MATCH(719,'Transfer Engine'!$C$2:$C$1960,0)))</f>
        <v/>
      </c>
      <c r="C728" s="8">
        <f>IF(ISNA(MATCH(719,'Transfer Engine'!$C$2:$C$1960,0)),"",INDEX('Compliance Database'!$C$2:$C$1960,MATCH(719,'Transfer Engine'!$C$2:$C$1960,0)))</f>
        <v/>
      </c>
      <c r="D728" s="9">
        <f>IF(ISNA(MATCH(719,'Transfer Engine'!$C$2:$C$1960,0)),"",INDEX('Compliance Database'!$D$2:$D$1960,MATCH(719,'Transfer Engine'!$C$2:$C$1960,0)))</f>
        <v/>
      </c>
      <c r="E728" s="8">
        <f>IF(ISNA(MATCH(719,'Transfer Engine'!$C$2:$C$1960,0)),"",INDEX('Compliance Database'!$E$2:$E$1960,MATCH(719,'Transfer Engine'!$C$2:$C$1960,0)))</f>
        <v/>
      </c>
      <c r="F728" s="8">
        <f>IF(ISNA(MATCH(719,'Transfer Engine'!$C$2:$C$1960,0)),"",INDEX('Compliance Database'!$F$2:$F$1960,MATCH(719,'Transfer Engine'!$C$2:$C$1960,0)))</f>
        <v/>
      </c>
      <c r="G728" s="8">
        <f>IF(ISNA(MATCH(719,'Transfer Engine'!$C$2:$C$1960,0)),"",INDEX('Compliance Database'!$G$2:$G$1960,MATCH(719,'Transfer Engine'!$C$2:$C$1960,0)))</f>
        <v/>
      </c>
      <c r="H728" s="9">
        <f>IF(ISNA(MATCH(719,'Transfer Engine'!$C$2:$C$1960,0)),"",INDEX('Compliance Database'!$H$2:$H$1960,MATCH(719,'Transfer Engine'!$C$2:$C$1960,0)))</f>
        <v/>
      </c>
      <c r="I728" s="9">
        <f>IF(ISNA(MATCH(719,'Transfer Engine'!$C$2:$C$1960,0)),"",INDEX('Compliance Database'!$I$2:$I$1960,MATCH(719,'Transfer Engine'!$C$2:$C$1960,0)))</f>
        <v/>
      </c>
      <c r="J728" s="8">
        <f>IF(ISNA(MATCH(719,'Transfer Engine'!$C$2:$C$1960,0)),"",INDEX('Compliance Database'!$J$2:$J$1960,MATCH(719,'Transfer Engine'!$C$2:$C$1960,0)))</f>
        <v/>
      </c>
      <c r="K728" s="9">
        <f>IF(ISNA(MATCH(719,'Transfer Engine'!$C$2:$C$1960,0)),"",INDEX('Compliance Database'!$K$2:$K$1960,MATCH(719,'Transfer Engine'!$C$2:$C$1960,0)))</f>
        <v/>
      </c>
      <c r="L728" s="9">
        <f>IF(ISNA(MATCH(719,'Transfer Engine'!$C$2:$C$1960,0)),"",INDEX('Compliance Database'!$L$2:$L$1960,MATCH(719,'Transfer Engine'!$C$2:$C$1960,0)))</f>
        <v/>
      </c>
      <c r="M728" s="9">
        <f>IF(ISNA(MATCH(719,'Transfer Engine'!$C$2:$C$1960,0)),"",INDEX('Compliance Database'!$M$2:$M$1960,MATCH(719,'Transfer Engine'!$C$2:$C$1960,0)))</f>
        <v/>
      </c>
      <c r="N728" s="9">
        <f>IF(ISNA(MATCH(719,'Transfer Engine'!$C$2:$C$1960,0)),"",INDEX('Compliance Database'!$N$2:$N$1960,MATCH(719,'Transfer Engine'!$C$2:$C$1960,0)))</f>
        <v/>
      </c>
      <c r="O728" s="9">
        <f>IF(ISNA(MATCH(719,'Transfer Engine'!$C$2:$C$1960,0)),"",INDEX('Compliance Database'!$O$2:$O$1960,MATCH(719,'Transfer Engine'!$C$2:$C$1960,0)))</f>
        <v/>
      </c>
      <c r="P728" s="8">
        <f>IF(ISNA(MATCH(719,'Transfer Engine'!$C$2:$C$1960,0)),"",HYPERLINK("#Acts!A"&amp;INDEX('Compliance Database'!$P$2:$P$1960,MATCH(719,'Transfer Engine'!$C$2:$C$1960,0)),"Go to Act"))</f>
        <v/>
      </c>
    </row>
    <row r="729" ht="158" customHeight="1">
      <c r="A729" s="8">
        <f>IF(ISNA(MATCH(720,'Transfer Engine'!$C$2:$C$1960,0)),"",INDEX('Compliance Database'!$A$2:$A$1960,MATCH(720,'Transfer Engine'!$C$2:$C$1960,0)))</f>
        <v/>
      </c>
      <c r="B729" s="8">
        <f>IF(ISNA(MATCH(720,'Transfer Engine'!$C$2:$C$1960,0)),"",INDEX('Compliance Database'!$B$2:$B$1960,MATCH(720,'Transfer Engine'!$C$2:$C$1960,0)))</f>
        <v/>
      </c>
      <c r="C729" s="8">
        <f>IF(ISNA(MATCH(720,'Transfer Engine'!$C$2:$C$1960,0)),"",INDEX('Compliance Database'!$C$2:$C$1960,MATCH(720,'Transfer Engine'!$C$2:$C$1960,0)))</f>
        <v/>
      </c>
      <c r="D729" s="9">
        <f>IF(ISNA(MATCH(720,'Transfer Engine'!$C$2:$C$1960,0)),"",INDEX('Compliance Database'!$D$2:$D$1960,MATCH(720,'Transfer Engine'!$C$2:$C$1960,0)))</f>
        <v/>
      </c>
      <c r="E729" s="8">
        <f>IF(ISNA(MATCH(720,'Transfer Engine'!$C$2:$C$1960,0)),"",INDEX('Compliance Database'!$E$2:$E$1960,MATCH(720,'Transfer Engine'!$C$2:$C$1960,0)))</f>
        <v/>
      </c>
      <c r="F729" s="8">
        <f>IF(ISNA(MATCH(720,'Transfer Engine'!$C$2:$C$1960,0)),"",INDEX('Compliance Database'!$F$2:$F$1960,MATCH(720,'Transfer Engine'!$C$2:$C$1960,0)))</f>
        <v/>
      </c>
      <c r="G729" s="8">
        <f>IF(ISNA(MATCH(720,'Transfer Engine'!$C$2:$C$1960,0)),"",INDEX('Compliance Database'!$G$2:$G$1960,MATCH(720,'Transfer Engine'!$C$2:$C$1960,0)))</f>
        <v/>
      </c>
      <c r="H729" s="9">
        <f>IF(ISNA(MATCH(720,'Transfer Engine'!$C$2:$C$1960,0)),"",INDEX('Compliance Database'!$H$2:$H$1960,MATCH(720,'Transfer Engine'!$C$2:$C$1960,0)))</f>
        <v/>
      </c>
      <c r="I729" s="9">
        <f>IF(ISNA(MATCH(720,'Transfer Engine'!$C$2:$C$1960,0)),"",INDEX('Compliance Database'!$I$2:$I$1960,MATCH(720,'Transfer Engine'!$C$2:$C$1960,0)))</f>
        <v/>
      </c>
      <c r="J729" s="8">
        <f>IF(ISNA(MATCH(720,'Transfer Engine'!$C$2:$C$1960,0)),"",INDEX('Compliance Database'!$J$2:$J$1960,MATCH(720,'Transfer Engine'!$C$2:$C$1960,0)))</f>
        <v/>
      </c>
      <c r="K729" s="9">
        <f>IF(ISNA(MATCH(720,'Transfer Engine'!$C$2:$C$1960,0)),"",INDEX('Compliance Database'!$K$2:$K$1960,MATCH(720,'Transfer Engine'!$C$2:$C$1960,0)))</f>
        <v/>
      </c>
      <c r="L729" s="9">
        <f>IF(ISNA(MATCH(720,'Transfer Engine'!$C$2:$C$1960,0)),"",INDEX('Compliance Database'!$L$2:$L$1960,MATCH(720,'Transfer Engine'!$C$2:$C$1960,0)))</f>
        <v/>
      </c>
      <c r="M729" s="9">
        <f>IF(ISNA(MATCH(720,'Transfer Engine'!$C$2:$C$1960,0)),"",INDEX('Compliance Database'!$M$2:$M$1960,MATCH(720,'Transfer Engine'!$C$2:$C$1960,0)))</f>
        <v/>
      </c>
      <c r="N729" s="9">
        <f>IF(ISNA(MATCH(720,'Transfer Engine'!$C$2:$C$1960,0)),"",INDEX('Compliance Database'!$N$2:$N$1960,MATCH(720,'Transfer Engine'!$C$2:$C$1960,0)))</f>
        <v/>
      </c>
      <c r="O729" s="9">
        <f>IF(ISNA(MATCH(720,'Transfer Engine'!$C$2:$C$1960,0)),"",INDEX('Compliance Database'!$O$2:$O$1960,MATCH(720,'Transfer Engine'!$C$2:$C$1960,0)))</f>
        <v/>
      </c>
      <c r="P729" s="8">
        <f>IF(ISNA(MATCH(720,'Transfer Engine'!$C$2:$C$1960,0)),"",HYPERLINK("#Acts!A"&amp;INDEX('Compliance Database'!$P$2:$P$1960,MATCH(720,'Transfer Engine'!$C$2:$C$1960,0)),"Go to Act"))</f>
        <v/>
      </c>
    </row>
    <row r="730" ht="158" customHeight="1">
      <c r="A730" s="8">
        <f>IF(ISNA(MATCH(721,'Transfer Engine'!$C$2:$C$1960,0)),"",INDEX('Compliance Database'!$A$2:$A$1960,MATCH(721,'Transfer Engine'!$C$2:$C$1960,0)))</f>
        <v/>
      </c>
      <c r="B730" s="8">
        <f>IF(ISNA(MATCH(721,'Transfer Engine'!$C$2:$C$1960,0)),"",INDEX('Compliance Database'!$B$2:$B$1960,MATCH(721,'Transfer Engine'!$C$2:$C$1960,0)))</f>
        <v/>
      </c>
      <c r="C730" s="8">
        <f>IF(ISNA(MATCH(721,'Transfer Engine'!$C$2:$C$1960,0)),"",INDEX('Compliance Database'!$C$2:$C$1960,MATCH(721,'Transfer Engine'!$C$2:$C$1960,0)))</f>
        <v/>
      </c>
      <c r="D730" s="9">
        <f>IF(ISNA(MATCH(721,'Transfer Engine'!$C$2:$C$1960,0)),"",INDEX('Compliance Database'!$D$2:$D$1960,MATCH(721,'Transfer Engine'!$C$2:$C$1960,0)))</f>
        <v/>
      </c>
      <c r="E730" s="8">
        <f>IF(ISNA(MATCH(721,'Transfer Engine'!$C$2:$C$1960,0)),"",INDEX('Compliance Database'!$E$2:$E$1960,MATCH(721,'Transfer Engine'!$C$2:$C$1960,0)))</f>
        <v/>
      </c>
      <c r="F730" s="8">
        <f>IF(ISNA(MATCH(721,'Transfer Engine'!$C$2:$C$1960,0)),"",INDEX('Compliance Database'!$F$2:$F$1960,MATCH(721,'Transfer Engine'!$C$2:$C$1960,0)))</f>
        <v/>
      </c>
      <c r="G730" s="8">
        <f>IF(ISNA(MATCH(721,'Transfer Engine'!$C$2:$C$1960,0)),"",INDEX('Compliance Database'!$G$2:$G$1960,MATCH(721,'Transfer Engine'!$C$2:$C$1960,0)))</f>
        <v/>
      </c>
      <c r="H730" s="9">
        <f>IF(ISNA(MATCH(721,'Transfer Engine'!$C$2:$C$1960,0)),"",INDEX('Compliance Database'!$H$2:$H$1960,MATCH(721,'Transfer Engine'!$C$2:$C$1960,0)))</f>
        <v/>
      </c>
      <c r="I730" s="9">
        <f>IF(ISNA(MATCH(721,'Transfer Engine'!$C$2:$C$1960,0)),"",INDEX('Compliance Database'!$I$2:$I$1960,MATCH(721,'Transfer Engine'!$C$2:$C$1960,0)))</f>
        <v/>
      </c>
      <c r="J730" s="8">
        <f>IF(ISNA(MATCH(721,'Transfer Engine'!$C$2:$C$1960,0)),"",INDEX('Compliance Database'!$J$2:$J$1960,MATCH(721,'Transfer Engine'!$C$2:$C$1960,0)))</f>
        <v/>
      </c>
      <c r="K730" s="9">
        <f>IF(ISNA(MATCH(721,'Transfer Engine'!$C$2:$C$1960,0)),"",INDEX('Compliance Database'!$K$2:$K$1960,MATCH(721,'Transfer Engine'!$C$2:$C$1960,0)))</f>
        <v/>
      </c>
      <c r="L730" s="9">
        <f>IF(ISNA(MATCH(721,'Transfer Engine'!$C$2:$C$1960,0)),"",INDEX('Compliance Database'!$L$2:$L$1960,MATCH(721,'Transfer Engine'!$C$2:$C$1960,0)))</f>
        <v/>
      </c>
      <c r="M730" s="9">
        <f>IF(ISNA(MATCH(721,'Transfer Engine'!$C$2:$C$1960,0)),"",INDEX('Compliance Database'!$M$2:$M$1960,MATCH(721,'Transfer Engine'!$C$2:$C$1960,0)))</f>
        <v/>
      </c>
      <c r="N730" s="9">
        <f>IF(ISNA(MATCH(721,'Transfer Engine'!$C$2:$C$1960,0)),"",INDEX('Compliance Database'!$N$2:$N$1960,MATCH(721,'Transfer Engine'!$C$2:$C$1960,0)))</f>
        <v/>
      </c>
      <c r="O730" s="9">
        <f>IF(ISNA(MATCH(721,'Transfer Engine'!$C$2:$C$1960,0)),"",INDEX('Compliance Database'!$O$2:$O$1960,MATCH(721,'Transfer Engine'!$C$2:$C$1960,0)))</f>
        <v/>
      </c>
      <c r="P730" s="8">
        <f>IF(ISNA(MATCH(721,'Transfer Engine'!$C$2:$C$1960,0)),"",HYPERLINK("#Acts!A"&amp;INDEX('Compliance Database'!$P$2:$P$1960,MATCH(721,'Transfer Engine'!$C$2:$C$1960,0)),"Go to Act"))</f>
        <v/>
      </c>
    </row>
    <row r="731" ht="158" customHeight="1">
      <c r="A731" s="8">
        <f>IF(ISNA(MATCH(722,'Transfer Engine'!$C$2:$C$1960,0)),"",INDEX('Compliance Database'!$A$2:$A$1960,MATCH(722,'Transfer Engine'!$C$2:$C$1960,0)))</f>
        <v/>
      </c>
      <c r="B731" s="8">
        <f>IF(ISNA(MATCH(722,'Transfer Engine'!$C$2:$C$1960,0)),"",INDEX('Compliance Database'!$B$2:$B$1960,MATCH(722,'Transfer Engine'!$C$2:$C$1960,0)))</f>
        <v/>
      </c>
      <c r="C731" s="8">
        <f>IF(ISNA(MATCH(722,'Transfer Engine'!$C$2:$C$1960,0)),"",INDEX('Compliance Database'!$C$2:$C$1960,MATCH(722,'Transfer Engine'!$C$2:$C$1960,0)))</f>
        <v/>
      </c>
      <c r="D731" s="9">
        <f>IF(ISNA(MATCH(722,'Transfer Engine'!$C$2:$C$1960,0)),"",INDEX('Compliance Database'!$D$2:$D$1960,MATCH(722,'Transfer Engine'!$C$2:$C$1960,0)))</f>
        <v/>
      </c>
      <c r="E731" s="8">
        <f>IF(ISNA(MATCH(722,'Transfer Engine'!$C$2:$C$1960,0)),"",INDEX('Compliance Database'!$E$2:$E$1960,MATCH(722,'Transfer Engine'!$C$2:$C$1960,0)))</f>
        <v/>
      </c>
      <c r="F731" s="8">
        <f>IF(ISNA(MATCH(722,'Transfer Engine'!$C$2:$C$1960,0)),"",INDEX('Compliance Database'!$F$2:$F$1960,MATCH(722,'Transfer Engine'!$C$2:$C$1960,0)))</f>
        <v/>
      </c>
      <c r="G731" s="8">
        <f>IF(ISNA(MATCH(722,'Transfer Engine'!$C$2:$C$1960,0)),"",INDEX('Compliance Database'!$G$2:$G$1960,MATCH(722,'Transfer Engine'!$C$2:$C$1960,0)))</f>
        <v/>
      </c>
      <c r="H731" s="9">
        <f>IF(ISNA(MATCH(722,'Transfer Engine'!$C$2:$C$1960,0)),"",INDEX('Compliance Database'!$H$2:$H$1960,MATCH(722,'Transfer Engine'!$C$2:$C$1960,0)))</f>
        <v/>
      </c>
      <c r="I731" s="9">
        <f>IF(ISNA(MATCH(722,'Transfer Engine'!$C$2:$C$1960,0)),"",INDEX('Compliance Database'!$I$2:$I$1960,MATCH(722,'Transfer Engine'!$C$2:$C$1960,0)))</f>
        <v/>
      </c>
      <c r="J731" s="8">
        <f>IF(ISNA(MATCH(722,'Transfer Engine'!$C$2:$C$1960,0)),"",INDEX('Compliance Database'!$J$2:$J$1960,MATCH(722,'Transfer Engine'!$C$2:$C$1960,0)))</f>
        <v/>
      </c>
      <c r="K731" s="9">
        <f>IF(ISNA(MATCH(722,'Transfer Engine'!$C$2:$C$1960,0)),"",INDEX('Compliance Database'!$K$2:$K$1960,MATCH(722,'Transfer Engine'!$C$2:$C$1960,0)))</f>
        <v/>
      </c>
      <c r="L731" s="9">
        <f>IF(ISNA(MATCH(722,'Transfer Engine'!$C$2:$C$1960,0)),"",INDEX('Compliance Database'!$L$2:$L$1960,MATCH(722,'Transfer Engine'!$C$2:$C$1960,0)))</f>
        <v/>
      </c>
      <c r="M731" s="9">
        <f>IF(ISNA(MATCH(722,'Transfer Engine'!$C$2:$C$1960,0)),"",INDEX('Compliance Database'!$M$2:$M$1960,MATCH(722,'Transfer Engine'!$C$2:$C$1960,0)))</f>
        <v/>
      </c>
      <c r="N731" s="9">
        <f>IF(ISNA(MATCH(722,'Transfer Engine'!$C$2:$C$1960,0)),"",INDEX('Compliance Database'!$N$2:$N$1960,MATCH(722,'Transfer Engine'!$C$2:$C$1960,0)))</f>
        <v/>
      </c>
      <c r="O731" s="9">
        <f>IF(ISNA(MATCH(722,'Transfer Engine'!$C$2:$C$1960,0)),"",INDEX('Compliance Database'!$O$2:$O$1960,MATCH(722,'Transfer Engine'!$C$2:$C$1960,0)))</f>
        <v/>
      </c>
      <c r="P731" s="8">
        <f>IF(ISNA(MATCH(722,'Transfer Engine'!$C$2:$C$1960,0)),"",HYPERLINK("#Acts!A"&amp;INDEX('Compliance Database'!$P$2:$P$1960,MATCH(722,'Transfer Engine'!$C$2:$C$1960,0)),"Go to Act"))</f>
        <v/>
      </c>
    </row>
    <row r="732" ht="158" customHeight="1">
      <c r="A732" s="8">
        <f>IF(ISNA(MATCH(723,'Transfer Engine'!$C$2:$C$1960,0)),"",INDEX('Compliance Database'!$A$2:$A$1960,MATCH(723,'Transfer Engine'!$C$2:$C$1960,0)))</f>
        <v/>
      </c>
      <c r="B732" s="8">
        <f>IF(ISNA(MATCH(723,'Transfer Engine'!$C$2:$C$1960,0)),"",INDEX('Compliance Database'!$B$2:$B$1960,MATCH(723,'Transfer Engine'!$C$2:$C$1960,0)))</f>
        <v/>
      </c>
      <c r="C732" s="8">
        <f>IF(ISNA(MATCH(723,'Transfer Engine'!$C$2:$C$1960,0)),"",INDEX('Compliance Database'!$C$2:$C$1960,MATCH(723,'Transfer Engine'!$C$2:$C$1960,0)))</f>
        <v/>
      </c>
      <c r="D732" s="9">
        <f>IF(ISNA(MATCH(723,'Transfer Engine'!$C$2:$C$1960,0)),"",INDEX('Compliance Database'!$D$2:$D$1960,MATCH(723,'Transfer Engine'!$C$2:$C$1960,0)))</f>
        <v/>
      </c>
      <c r="E732" s="8">
        <f>IF(ISNA(MATCH(723,'Transfer Engine'!$C$2:$C$1960,0)),"",INDEX('Compliance Database'!$E$2:$E$1960,MATCH(723,'Transfer Engine'!$C$2:$C$1960,0)))</f>
        <v/>
      </c>
      <c r="F732" s="8">
        <f>IF(ISNA(MATCH(723,'Transfer Engine'!$C$2:$C$1960,0)),"",INDEX('Compliance Database'!$F$2:$F$1960,MATCH(723,'Transfer Engine'!$C$2:$C$1960,0)))</f>
        <v/>
      </c>
      <c r="G732" s="8">
        <f>IF(ISNA(MATCH(723,'Transfer Engine'!$C$2:$C$1960,0)),"",INDEX('Compliance Database'!$G$2:$G$1960,MATCH(723,'Transfer Engine'!$C$2:$C$1960,0)))</f>
        <v/>
      </c>
      <c r="H732" s="9">
        <f>IF(ISNA(MATCH(723,'Transfer Engine'!$C$2:$C$1960,0)),"",INDEX('Compliance Database'!$H$2:$H$1960,MATCH(723,'Transfer Engine'!$C$2:$C$1960,0)))</f>
        <v/>
      </c>
      <c r="I732" s="9">
        <f>IF(ISNA(MATCH(723,'Transfer Engine'!$C$2:$C$1960,0)),"",INDEX('Compliance Database'!$I$2:$I$1960,MATCH(723,'Transfer Engine'!$C$2:$C$1960,0)))</f>
        <v/>
      </c>
      <c r="J732" s="8">
        <f>IF(ISNA(MATCH(723,'Transfer Engine'!$C$2:$C$1960,0)),"",INDEX('Compliance Database'!$J$2:$J$1960,MATCH(723,'Transfer Engine'!$C$2:$C$1960,0)))</f>
        <v/>
      </c>
      <c r="K732" s="9">
        <f>IF(ISNA(MATCH(723,'Transfer Engine'!$C$2:$C$1960,0)),"",INDEX('Compliance Database'!$K$2:$K$1960,MATCH(723,'Transfer Engine'!$C$2:$C$1960,0)))</f>
        <v/>
      </c>
      <c r="L732" s="9">
        <f>IF(ISNA(MATCH(723,'Transfer Engine'!$C$2:$C$1960,0)),"",INDEX('Compliance Database'!$L$2:$L$1960,MATCH(723,'Transfer Engine'!$C$2:$C$1960,0)))</f>
        <v/>
      </c>
      <c r="M732" s="9">
        <f>IF(ISNA(MATCH(723,'Transfer Engine'!$C$2:$C$1960,0)),"",INDEX('Compliance Database'!$M$2:$M$1960,MATCH(723,'Transfer Engine'!$C$2:$C$1960,0)))</f>
        <v/>
      </c>
      <c r="N732" s="9">
        <f>IF(ISNA(MATCH(723,'Transfer Engine'!$C$2:$C$1960,0)),"",INDEX('Compliance Database'!$N$2:$N$1960,MATCH(723,'Transfer Engine'!$C$2:$C$1960,0)))</f>
        <v/>
      </c>
      <c r="O732" s="9">
        <f>IF(ISNA(MATCH(723,'Transfer Engine'!$C$2:$C$1960,0)),"",INDEX('Compliance Database'!$O$2:$O$1960,MATCH(723,'Transfer Engine'!$C$2:$C$1960,0)))</f>
        <v/>
      </c>
      <c r="P732" s="8">
        <f>IF(ISNA(MATCH(723,'Transfer Engine'!$C$2:$C$1960,0)),"",HYPERLINK("#Acts!A"&amp;INDEX('Compliance Database'!$P$2:$P$1960,MATCH(723,'Transfer Engine'!$C$2:$C$1960,0)),"Go to Act"))</f>
        <v/>
      </c>
    </row>
    <row r="733" ht="158" customHeight="1">
      <c r="A733" s="8">
        <f>IF(ISNA(MATCH(724,'Transfer Engine'!$C$2:$C$1960,0)),"",INDEX('Compliance Database'!$A$2:$A$1960,MATCH(724,'Transfer Engine'!$C$2:$C$1960,0)))</f>
        <v/>
      </c>
      <c r="B733" s="8">
        <f>IF(ISNA(MATCH(724,'Transfer Engine'!$C$2:$C$1960,0)),"",INDEX('Compliance Database'!$B$2:$B$1960,MATCH(724,'Transfer Engine'!$C$2:$C$1960,0)))</f>
        <v/>
      </c>
      <c r="C733" s="8">
        <f>IF(ISNA(MATCH(724,'Transfer Engine'!$C$2:$C$1960,0)),"",INDEX('Compliance Database'!$C$2:$C$1960,MATCH(724,'Transfer Engine'!$C$2:$C$1960,0)))</f>
        <v/>
      </c>
      <c r="D733" s="9">
        <f>IF(ISNA(MATCH(724,'Transfer Engine'!$C$2:$C$1960,0)),"",INDEX('Compliance Database'!$D$2:$D$1960,MATCH(724,'Transfer Engine'!$C$2:$C$1960,0)))</f>
        <v/>
      </c>
      <c r="E733" s="8">
        <f>IF(ISNA(MATCH(724,'Transfer Engine'!$C$2:$C$1960,0)),"",INDEX('Compliance Database'!$E$2:$E$1960,MATCH(724,'Transfer Engine'!$C$2:$C$1960,0)))</f>
        <v/>
      </c>
      <c r="F733" s="8">
        <f>IF(ISNA(MATCH(724,'Transfer Engine'!$C$2:$C$1960,0)),"",INDEX('Compliance Database'!$F$2:$F$1960,MATCH(724,'Transfer Engine'!$C$2:$C$1960,0)))</f>
        <v/>
      </c>
      <c r="G733" s="8">
        <f>IF(ISNA(MATCH(724,'Transfer Engine'!$C$2:$C$1960,0)),"",INDEX('Compliance Database'!$G$2:$G$1960,MATCH(724,'Transfer Engine'!$C$2:$C$1960,0)))</f>
        <v/>
      </c>
      <c r="H733" s="9">
        <f>IF(ISNA(MATCH(724,'Transfer Engine'!$C$2:$C$1960,0)),"",INDEX('Compliance Database'!$H$2:$H$1960,MATCH(724,'Transfer Engine'!$C$2:$C$1960,0)))</f>
        <v/>
      </c>
      <c r="I733" s="9">
        <f>IF(ISNA(MATCH(724,'Transfer Engine'!$C$2:$C$1960,0)),"",INDEX('Compliance Database'!$I$2:$I$1960,MATCH(724,'Transfer Engine'!$C$2:$C$1960,0)))</f>
        <v/>
      </c>
      <c r="J733" s="8">
        <f>IF(ISNA(MATCH(724,'Transfer Engine'!$C$2:$C$1960,0)),"",INDEX('Compliance Database'!$J$2:$J$1960,MATCH(724,'Transfer Engine'!$C$2:$C$1960,0)))</f>
        <v/>
      </c>
      <c r="K733" s="9">
        <f>IF(ISNA(MATCH(724,'Transfer Engine'!$C$2:$C$1960,0)),"",INDEX('Compliance Database'!$K$2:$K$1960,MATCH(724,'Transfer Engine'!$C$2:$C$1960,0)))</f>
        <v/>
      </c>
      <c r="L733" s="9">
        <f>IF(ISNA(MATCH(724,'Transfer Engine'!$C$2:$C$1960,0)),"",INDEX('Compliance Database'!$L$2:$L$1960,MATCH(724,'Transfer Engine'!$C$2:$C$1960,0)))</f>
        <v/>
      </c>
      <c r="M733" s="9">
        <f>IF(ISNA(MATCH(724,'Transfer Engine'!$C$2:$C$1960,0)),"",INDEX('Compliance Database'!$M$2:$M$1960,MATCH(724,'Transfer Engine'!$C$2:$C$1960,0)))</f>
        <v/>
      </c>
      <c r="N733" s="9">
        <f>IF(ISNA(MATCH(724,'Transfer Engine'!$C$2:$C$1960,0)),"",INDEX('Compliance Database'!$N$2:$N$1960,MATCH(724,'Transfer Engine'!$C$2:$C$1960,0)))</f>
        <v/>
      </c>
      <c r="O733" s="9">
        <f>IF(ISNA(MATCH(724,'Transfer Engine'!$C$2:$C$1960,0)),"",INDEX('Compliance Database'!$O$2:$O$1960,MATCH(724,'Transfer Engine'!$C$2:$C$1960,0)))</f>
        <v/>
      </c>
      <c r="P733" s="8">
        <f>IF(ISNA(MATCH(724,'Transfer Engine'!$C$2:$C$1960,0)),"",HYPERLINK("#Acts!A"&amp;INDEX('Compliance Database'!$P$2:$P$1960,MATCH(724,'Transfer Engine'!$C$2:$C$1960,0)),"Go to Act"))</f>
        <v/>
      </c>
    </row>
    <row r="734" ht="158" customHeight="1">
      <c r="A734" s="8">
        <f>IF(ISNA(MATCH(725,'Transfer Engine'!$C$2:$C$1960,0)),"",INDEX('Compliance Database'!$A$2:$A$1960,MATCH(725,'Transfer Engine'!$C$2:$C$1960,0)))</f>
        <v/>
      </c>
      <c r="B734" s="8">
        <f>IF(ISNA(MATCH(725,'Transfer Engine'!$C$2:$C$1960,0)),"",INDEX('Compliance Database'!$B$2:$B$1960,MATCH(725,'Transfer Engine'!$C$2:$C$1960,0)))</f>
        <v/>
      </c>
      <c r="C734" s="8">
        <f>IF(ISNA(MATCH(725,'Transfer Engine'!$C$2:$C$1960,0)),"",INDEX('Compliance Database'!$C$2:$C$1960,MATCH(725,'Transfer Engine'!$C$2:$C$1960,0)))</f>
        <v/>
      </c>
      <c r="D734" s="9">
        <f>IF(ISNA(MATCH(725,'Transfer Engine'!$C$2:$C$1960,0)),"",INDEX('Compliance Database'!$D$2:$D$1960,MATCH(725,'Transfer Engine'!$C$2:$C$1960,0)))</f>
        <v/>
      </c>
      <c r="E734" s="8">
        <f>IF(ISNA(MATCH(725,'Transfer Engine'!$C$2:$C$1960,0)),"",INDEX('Compliance Database'!$E$2:$E$1960,MATCH(725,'Transfer Engine'!$C$2:$C$1960,0)))</f>
        <v/>
      </c>
      <c r="F734" s="8">
        <f>IF(ISNA(MATCH(725,'Transfer Engine'!$C$2:$C$1960,0)),"",INDEX('Compliance Database'!$F$2:$F$1960,MATCH(725,'Transfer Engine'!$C$2:$C$1960,0)))</f>
        <v/>
      </c>
      <c r="G734" s="8">
        <f>IF(ISNA(MATCH(725,'Transfer Engine'!$C$2:$C$1960,0)),"",INDEX('Compliance Database'!$G$2:$G$1960,MATCH(725,'Transfer Engine'!$C$2:$C$1960,0)))</f>
        <v/>
      </c>
      <c r="H734" s="9">
        <f>IF(ISNA(MATCH(725,'Transfer Engine'!$C$2:$C$1960,0)),"",INDEX('Compliance Database'!$H$2:$H$1960,MATCH(725,'Transfer Engine'!$C$2:$C$1960,0)))</f>
        <v/>
      </c>
      <c r="I734" s="9">
        <f>IF(ISNA(MATCH(725,'Transfer Engine'!$C$2:$C$1960,0)),"",INDEX('Compliance Database'!$I$2:$I$1960,MATCH(725,'Transfer Engine'!$C$2:$C$1960,0)))</f>
        <v/>
      </c>
      <c r="J734" s="8">
        <f>IF(ISNA(MATCH(725,'Transfer Engine'!$C$2:$C$1960,0)),"",INDEX('Compliance Database'!$J$2:$J$1960,MATCH(725,'Transfer Engine'!$C$2:$C$1960,0)))</f>
        <v/>
      </c>
      <c r="K734" s="9">
        <f>IF(ISNA(MATCH(725,'Transfer Engine'!$C$2:$C$1960,0)),"",INDEX('Compliance Database'!$K$2:$K$1960,MATCH(725,'Transfer Engine'!$C$2:$C$1960,0)))</f>
        <v/>
      </c>
      <c r="L734" s="9">
        <f>IF(ISNA(MATCH(725,'Transfer Engine'!$C$2:$C$1960,0)),"",INDEX('Compliance Database'!$L$2:$L$1960,MATCH(725,'Transfer Engine'!$C$2:$C$1960,0)))</f>
        <v/>
      </c>
      <c r="M734" s="9">
        <f>IF(ISNA(MATCH(725,'Transfer Engine'!$C$2:$C$1960,0)),"",INDEX('Compliance Database'!$M$2:$M$1960,MATCH(725,'Transfer Engine'!$C$2:$C$1960,0)))</f>
        <v/>
      </c>
      <c r="N734" s="9">
        <f>IF(ISNA(MATCH(725,'Transfer Engine'!$C$2:$C$1960,0)),"",INDEX('Compliance Database'!$N$2:$N$1960,MATCH(725,'Transfer Engine'!$C$2:$C$1960,0)))</f>
        <v/>
      </c>
      <c r="O734" s="9">
        <f>IF(ISNA(MATCH(725,'Transfer Engine'!$C$2:$C$1960,0)),"",INDEX('Compliance Database'!$O$2:$O$1960,MATCH(725,'Transfer Engine'!$C$2:$C$1960,0)))</f>
        <v/>
      </c>
      <c r="P734" s="8">
        <f>IF(ISNA(MATCH(725,'Transfer Engine'!$C$2:$C$1960,0)),"",HYPERLINK("#Acts!A"&amp;INDEX('Compliance Database'!$P$2:$P$1960,MATCH(725,'Transfer Engine'!$C$2:$C$1960,0)),"Go to Act"))</f>
        <v/>
      </c>
    </row>
    <row r="735" ht="158" customHeight="1">
      <c r="A735" s="8">
        <f>IF(ISNA(MATCH(726,'Transfer Engine'!$C$2:$C$1960,0)),"",INDEX('Compliance Database'!$A$2:$A$1960,MATCH(726,'Transfer Engine'!$C$2:$C$1960,0)))</f>
        <v/>
      </c>
      <c r="B735" s="8">
        <f>IF(ISNA(MATCH(726,'Transfer Engine'!$C$2:$C$1960,0)),"",INDEX('Compliance Database'!$B$2:$B$1960,MATCH(726,'Transfer Engine'!$C$2:$C$1960,0)))</f>
        <v/>
      </c>
      <c r="C735" s="8">
        <f>IF(ISNA(MATCH(726,'Transfer Engine'!$C$2:$C$1960,0)),"",INDEX('Compliance Database'!$C$2:$C$1960,MATCH(726,'Transfer Engine'!$C$2:$C$1960,0)))</f>
        <v/>
      </c>
      <c r="D735" s="9">
        <f>IF(ISNA(MATCH(726,'Transfer Engine'!$C$2:$C$1960,0)),"",INDEX('Compliance Database'!$D$2:$D$1960,MATCH(726,'Transfer Engine'!$C$2:$C$1960,0)))</f>
        <v/>
      </c>
      <c r="E735" s="8">
        <f>IF(ISNA(MATCH(726,'Transfer Engine'!$C$2:$C$1960,0)),"",INDEX('Compliance Database'!$E$2:$E$1960,MATCH(726,'Transfer Engine'!$C$2:$C$1960,0)))</f>
        <v/>
      </c>
      <c r="F735" s="8">
        <f>IF(ISNA(MATCH(726,'Transfer Engine'!$C$2:$C$1960,0)),"",INDEX('Compliance Database'!$F$2:$F$1960,MATCH(726,'Transfer Engine'!$C$2:$C$1960,0)))</f>
        <v/>
      </c>
      <c r="G735" s="8">
        <f>IF(ISNA(MATCH(726,'Transfer Engine'!$C$2:$C$1960,0)),"",INDEX('Compliance Database'!$G$2:$G$1960,MATCH(726,'Transfer Engine'!$C$2:$C$1960,0)))</f>
        <v/>
      </c>
      <c r="H735" s="9">
        <f>IF(ISNA(MATCH(726,'Transfer Engine'!$C$2:$C$1960,0)),"",INDEX('Compliance Database'!$H$2:$H$1960,MATCH(726,'Transfer Engine'!$C$2:$C$1960,0)))</f>
        <v/>
      </c>
      <c r="I735" s="9">
        <f>IF(ISNA(MATCH(726,'Transfer Engine'!$C$2:$C$1960,0)),"",INDEX('Compliance Database'!$I$2:$I$1960,MATCH(726,'Transfer Engine'!$C$2:$C$1960,0)))</f>
        <v/>
      </c>
      <c r="J735" s="8">
        <f>IF(ISNA(MATCH(726,'Transfer Engine'!$C$2:$C$1960,0)),"",INDEX('Compliance Database'!$J$2:$J$1960,MATCH(726,'Transfer Engine'!$C$2:$C$1960,0)))</f>
        <v/>
      </c>
      <c r="K735" s="9">
        <f>IF(ISNA(MATCH(726,'Transfer Engine'!$C$2:$C$1960,0)),"",INDEX('Compliance Database'!$K$2:$K$1960,MATCH(726,'Transfer Engine'!$C$2:$C$1960,0)))</f>
        <v/>
      </c>
      <c r="L735" s="9">
        <f>IF(ISNA(MATCH(726,'Transfer Engine'!$C$2:$C$1960,0)),"",INDEX('Compliance Database'!$L$2:$L$1960,MATCH(726,'Transfer Engine'!$C$2:$C$1960,0)))</f>
        <v/>
      </c>
      <c r="M735" s="9">
        <f>IF(ISNA(MATCH(726,'Transfer Engine'!$C$2:$C$1960,0)),"",INDEX('Compliance Database'!$M$2:$M$1960,MATCH(726,'Transfer Engine'!$C$2:$C$1960,0)))</f>
        <v/>
      </c>
      <c r="N735" s="9">
        <f>IF(ISNA(MATCH(726,'Transfer Engine'!$C$2:$C$1960,0)),"",INDEX('Compliance Database'!$N$2:$N$1960,MATCH(726,'Transfer Engine'!$C$2:$C$1960,0)))</f>
        <v/>
      </c>
      <c r="O735" s="9">
        <f>IF(ISNA(MATCH(726,'Transfer Engine'!$C$2:$C$1960,0)),"",INDEX('Compliance Database'!$O$2:$O$1960,MATCH(726,'Transfer Engine'!$C$2:$C$1960,0)))</f>
        <v/>
      </c>
      <c r="P735" s="8">
        <f>IF(ISNA(MATCH(726,'Transfer Engine'!$C$2:$C$1960,0)),"",HYPERLINK("#Acts!A"&amp;INDEX('Compliance Database'!$P$2:$P$1960,MATCH(726,'Transfer Engine'!$C$2:$C$1960,0)),"Go to Act"))</f>
        <v/>
      </c>
    </row>
    <row r="736" ht="158" customHeight="1">
      <c r="A736" s="8">
        <f>IF(ISNA(MATCH(727,'Transfer Engine'!$C$2:$C$1960,0)),"",INDEX('Compliance Database'!$A$2:$A$1960,MATCH(727,'Transfer Engine'!$C$2:$C$1960,0)))</f>
        <v/>
      </c>
      <c r="B736" s="8">
        <f>IF(ISNA(MATCH(727,'Transfer Engine'!$C$2:$C$1960,0)),"",INDEX('Compliance Database'!$B$2:$B$1960,MATCH(727,'Transfer Engine'!$C$2:$C$1960,0)))</f>
        <v/>
      </c>
      <c r="C736" s="8">
        <f>IF(ISNA(MATCH(727,'Transfer Engine'!$C$2:$C$1960,0)),"",INDEX('Compliance Database'!$C$2:$C$1960,MATCH(727,'Transfer Engine'!$C$2:$C$1960,0)))</f>
        <v/>
      </c>
      <c r="D736" s="9">
        <f>IF(ISNA(MATCH(727,'Transfer Engine'!$C$2:$C$1960,0)),"",INDEX('Compliance Database'!$D$2:$D$1960,MATCH(727,'Transfer Engine'!$C$2:$C$1960,0)))</f>
        <v/>
      </c>
      <c r="E736" s="8">
        <f>IF(ISNA(MATCH(727,'Transfer Engine'!$C$2:$C$1960,0)),"",INDEX('Compliance Database'!$E$2:$E$1960,MATCH(727,'Transfer Engine'!$C$2:$C$1960,0)))</f>
        <v/>
      </c>
      <c r="F736" s="8">
        <f>IF(ISNA(MATCH(727,'Transfer Engine'!$C$2:$C$1960,0)),"",INDEX('Compliance Database'!$F$2:$F$1960,MATCH(727,'Transfer Engine'!$C$2:$C$1960,0)))</f>
        <v/>
      </c>
      <c r="G736" s="8">
        <f>IF(ISNA(MATCH(727,'Transfer Engine'!$C$2:$C$1960,0)),"",INDEX('Compliance Database'!$G$2:$G$1960,MATCH(727,'Transfer Engine'!$C$2:$C$1960,0)))</f>
        <v/>
      </c>
      <c r="H736" s="9">
        <f>IF(ISNA(MATCH(727,'Transfer Engine'!$C$2:$C$1960,0)),"",INDEX('Compliance Database'!$H$2:$H$1960,MATCH(727,'Transfer Engine'!$C$2:$C$1960,0)))</f>
        <v/>
      </c>
      <c r="I736" s="9">
        <f>IF(ISNA(MATCH(727,'Transfer Engine'!$C$2:$C$1960,0)),"",INDEX('Compliance Database'!$I$2:$I$1960,MATCH(727,'Transfer Engine'!$C$2:$C$1960,0)))</f>
        <v/>
      </c>
      <c r="J736" s="8">
        <f>IF(ISNA(MATCH(727,'Transfer Engine'!$C$2:$C$1960,0)),"",INDEX('Compliance Database'!$J$2:$J$1960,MATCH(727,'Transfer Engine'!$C$2:$C$1960,0)))</f>
        <v/>
      </c>
      <c r="K736" s="9">
        <f>IF(ISNA(MATCH(727,'Transfer Engine'!$C$2:$C$1960,0)),"",INDEX('Compliance Database'!$K$2:$K$1960,MATCH(727,'Transfer Engine'!$C$2:$C$1960,0)))</f>
        <v/>
      </c>
      <c r="L736" s="9">
        <f>IF(ISNA(MATCH(727,'Transfer Engine'!$C$2:$C$1960,0)),"",INDEX('Compliance Database'!$L$2:$L$1960,MATCH(727,'Transfer Engine'!$C$2:$C$1960,0)))</f>
        <v/>
      </c>
      <c r="M736" s="9">
        <f>IF(ISNA(MATCH(727,'Transfer Engine'!$C$2:$C$1960,0)),"",INDEX('Compliance Database'!$M$2:$M$1960,MATCH(727,'Transfer Engine'!$C$2:$C$1960,0)))</f>
        <v/>
      </c>
      <c r="N736" s="9">
        <f>IF(ISNA(MATCH(727,'Transfer Engine'!$C$2:$C$1960,0)),"",INDEX('Compliance Database'!$N$2:$N$1960,MATCH(727,'Transfer Engine'!$C$2:$C$1960,0)))</f>
        <v/>
      </c>
      <c r="O736" s="9">
        <f>IF(ISNA(MATCH(727,'Transfer Engine'!$C$2:$C$1960,0)),"",INDEX('Compliance Database'!$O$2:$O$1960,MATCH(727,'Transfer Engine'!$C$2:$C$1960,0)))</f>
        <v/>
      </c>
      <c r="P736" s="8">
        <f>IF(ISNA(MATCH(727,'Transfer Engine'!$C$2:$C$1960,0)),"",HYPERLINK("#Acts!A"&amp;INDEX('Compliance Database'!$P$2:$P$1960,MATCH(727,'Transfer Engine'!$C$2:$C$1960,0)),"Go to Act"))</f>
        <v/>
      </c>
    </row>
    <row r="737" ht="158" customHeight="1">
      <c r="A737" s="8">
        <f>IF(ISNA(MATCH(728,'Transfer Engine'!$C$2:$C$1960,0)),"",INDEX('Compliance Database'!$A$2:$A$1960,MATCH(728,'Transfer Engine'!$C$2:$C$1960,0)))</f>
        <v/>
      </c>
      <c r="B737" s="8">
        <f>IF(ISNA(MATCH(728,'Transfer Engine'!$C$2:$C$1960,0)),"",INDEX('Compliance Database'!$B$2:$B$1960,MATCH(728,'Transfer Engine'!$C$2:$C$1960,0)))</f>
        <v/>
      </c>
      <c r="C737" s="8">
        <f>IF(ISNA(MATCH(728,'Transfer Engine'!$C$2:$C$1960,0)),"",INDEX('Compliance Database'!$C$2:$C$1960,MATCH(728,'Transfer Engine'!$C$2:$C$1960,0)))</f>
        <v/>
      </c>
      <c r="D737" s="9">
        <f>IF(ISNA(MATCH(728,'Transfer Engine'!$C$2:$C$1960,0)),"",INDEX('Compliance Database'!$D$2:$D$1960,MATCH(728,'Transfer Engine'!$C$2:$C$1960,0)))</f>
        <v/>
      </c>
      <c r="E737" s="8">
        <f>IF(ISNA(MATCH(728,'Transfer Engine'!$C$2:$C$1960,0)),"",INDEX('Compliance Database'!$E$2:$E$1960,MATCH(728,'Transfer Engine'!$C$2:$C$1960,0)))</f>
        <v/>
      </c>
      <c r="F737" s="8">
        <f>IF(ISNA(MATCH(728,'Transfer Engine'!$C$2:$C$1960,0)),"",INDEX('Compliance Database'!$F$2:$F$1960,MATCH(728,'Transfer Engine'!$C$2:$C$1960,0)))</f>
        <v/>
      </c>
      <c r="G737" s="8">
        <f>IF(ISNA(MATCH(728,'Transfer Engine'!$C$2:$C$1960,0)),"",INDEX('Compliance Database'!$G$2:$G$1960,MATCH(728,'Transfer Engine'!$C$2:$C$1960,0)))</f>
        <v/>
      </c>
      <c r="H737" s="9">
        <f>IF(ISNA(MATCH(728,'Transfer Engine'!$C$2:$C$1960,0)),"",INDEX('Compliance Database'!$H$2:$H$1960,MATCH(728,'Transfer Engine'!$C$2:$C$1960,0)))</f>
        <v/>
      </c>
      <c r="I737" s="9">
        <f>IF(ISNA(MATCH(728,'Transfer Engine'!$C$2:$C$1960,0)),"",INDEX('Compliance Database'!$I$2:$I$1960,MATCH(728,'Transfer Engine'!$C$2:$C$1960,0)))</f>
        <v/>
      </c>
      <c r="J737" s="8">
        <f>IF(ISNA(MATCH(728,'Transfer Engine'!$C$2:$C$1960,0)),"",INDEX('Compliance Database'!$J$2:$J$1960,MATCH(728,'Transfer Engine'!$C$2:$C$1960,0)))</f>
        <v/>
      </c>
      <c r="K737" s="9">
        <f>IF(ISNA(MATCH(728,'Transfer Engine'!$C$2:$C$1960,0)),"",INDEX('Compliance Database'!$K$2:$K$1960,MATCH(728,'Transfer Engine'!$C$2:$C$1960,0)))</f>
        <v/>
      </c>
      <c r="L737" s="9">
        <f>IF(ISNA(MATCH(728,'Transfer Engine'!$C$2:$C$1960,0)),"",INDEX('Compliance Database'!$L$2:$L$1960,MATCH(728,'Transfer Engine'!$C$2:$C$1960,0)))</f>
        <v/>
      </c>
      <c r="M737" s="9">
        <f>IF(ISNA(MATCH(728,'Transfer Engine'!$C$2:$C$1960,0)),"",INDEX('Compliance Database'!$M$2:$M$1960,MATCH(728,'Transfer Engine'!$C$2:$C$1960,0)))</f>
        <v/>
      </c>
      <c r="N737" s="9">
        <f>IF(ISNA(MATCH(728,'Transfer Engine'!$C$2:$C$1960,0)),"",INDEX('Compliance Database'!$N$2:$N$1960,MATCH(728,'Transfer Engine'!$C$2:$C$1960,0)))</f>
        <v/>
      </c>
      <c r="O737" s="9">
        <f>IF(ISNA(MATCH(728,'Transfer Engine'!$C$2:$C$1960,0)),"",INDEX('Compliance Database'!$O$2:$O$1960,MATCH(728,'Transfer Engine'!$C$2:$C$1960,0)))</f>
        <v/>
      </c>
      <c r="P737" s="8">
        <f>IF(ISNA(MATCH(728,'Transfer Engine'!$C$2:$C$1960,0)),"",HYPERLINK("#Acts!A"&amp;INDEX('Compliance Database'!$P$2:$P$1960,MATCH(728,'Transfer Engine'!$C$2:$C$1960,0)),"Go to Act"))</f>
        <v/>
      </c>
    </row>
    <row r="738" ht="158" customHeight="1">
      <c r="A738" s="8">
        <f>IF(ISNA(MATCH(729,'Transfer Engine'!$C$2:$C$1960,0)),"",INDEX('Compliance Database'!$A$2:$A$1960,MATCH(729,'Transfer Engine'!$C$2:$C$1960,0)))</f>
        <v/>
      </c>
      <c r="B738" s="8">
        <f>IF(ISNA(MATCH(729,'Transfer Engine'!$C$2:$C$1960,0)),"",INDEX('Compliance Database'!$B$2:$B$1960,MATCH(729,'Transfer Engine'!$C$2:$C$1960,0)))</f>
        <v/>
      </c>
      <c r="C738" s="8">
        <f>IF(ISNA(MATCH(729,'Transfer Engine'!$C$2:$C$1960,0)),"",INDEX('Compliance Database'!$C$2:$C$1960,MATCH(729,'Transfer Engine'!$C$2:$C$1960,0)))</f>
        <v/>
      </c>
      <c r="D738" s="9">
        <f>IF(ISNA(MATCH(729,'Transfer Engine'!$C$2:$C$1960,0)),"",INDEX('Compliance Database'!$D$2:$D$1960,MATCH(729,'Transfer Engine'!$C$2:$C$1960,0)))</f>
        <v/>
      </c>
      <c r="E738" s="8">
        <f>IF(ISNA(MATCH(729,'Transfer Engine'!$C$2:$C$1960,0)),"",INDEX('Compliance Database'!$E$2:$E$1960,MATCH(729,'Transfer Engine'!$C$2:$C$1960,0)))</f>
        <v/>
      </c>
      <c r="F738" s="8">
        <f>IF(ISNA(MATCH(729,'Transfer Engine'!$C$2:$C$1960,0)),"",INDEX('Compliance Database'!$F$2:$F$1960,MATCH(729,'Transfer Engine'!$C$2:$C$1960,0)))</f>
        <v/>
      </c>
      <c r="G738" s="8">
        <f>IF(ISNA(MATCH(729,'Transfer Engine'!$C$2:$C$1960,0)),"",INDEX('Compliance Database'!$G$2:$G$1960,MATCH(729,'Transfer Engine'!$C$2:$C$1960,0)))</f>
        <v/>
      </c>
      <c r="H738" s="9">
        <f>IF(ISNA(MATCH(729,'Transfer Engine'!$C$2:$C$1960,0)),"",INDEX('Compliance Database'!$H$2:$H$1960,MATCH(729,'Transfer Engine'!$C$2:$C$1960,0)))</f>
        <v/>
      </c>
      <c r="I738" s="9">
        <f>IF(ISNA(MATCH(729,'Transfer Engine'!$C$2:$C$1960,0)),"",INDEX('Compliance Database'!$I$2:$I$1960,MATCH(729,'Transfer Engine'!$C$2:$C$1960,0)))</f>
        <v/>
      </c>
      <c r="J738" s="8">
        <f>IF(ISNA(MATCH(729,'Transfer Engine'!$C$2:$C$1960,0)),"",INDEX('Compliance Database'!$J$2:$J$1960,MATCH(729,'Transfer Engine'!$C$2:$C$1960,0)))</f>
        <v/>
      </c>
      <c r="K738" s="9">
        <f>IF(ISNA(MATCH(729,'Transfer Engine'!$C$2:$C$1960,0)),"",INDEX('Compliance Database'!$K$2:$K$1960,MATCH(729,'Transfer Engine'!$C$2:$C$1960,0)))</f>
        <v/>
      </c>
      <c r="L738" s="9">
        <f>IF(ISNA(MATCH(729,'Transfer Engine'!$C$2:$C$1960,0)),"",INDEX('Compliance Database'!$L$2:$L$1960,MATCH(729,'Transfer Engine'!$C$2:$C$1960,0)))</f>
        <v/>
      </c>
      <c r="M738" s="9">
        <f>IF(ISNA(MATCH(729,'Transfer Engine'!$C$2:$C$1960,0)),"",INDEX('Compliance Database'!$M$2:$M$1960,MATCH(729,'Transfer Engine'!$C$2:$C$1960,0)))</f>
        <v/>
      </c>
      <c r="N738" s="9">
        <f>IF(ISNA(MATCH(729,'Transfer Engine'!$C$2:$C$1960,0)),"",INDEX('Compliance Database'!$N$2:$N$1960,MATCH(729,'Transfer Engine'!$C$2:$C$1960,0)))</f>
        <v/>
      </c>
      <c r="O738" s="9">
        <f>IF(ISNA(MATCH(729,'Transfer Engine'!$C$2:$C$1960,0)),"",INDEX('Compliance Database'!$O$2:$O$1960,MATCH(729,'Transfer Engine'!$C$2:$C$1960,0)))</f>
        <v/>
      </c>
      <c r="P738" s="8">
        <f>IF(ISNA(MATCH(729,'Transfer Engine'!$C$2:$C$1960,0)),"",HYPERLINK("#Acts!A"&amp;INDEX('Compliance Database'!$P$2:$P$1960,MATCH(729,'Transfer Engine'!$C$2:$C$1960,0)),"Go to Act"))</f>
        <v/>
      </c>
    </row>
    <row r="739" ht="158" customHeight="1">
      <c r="A739" s="8">
        <f>IF(ISNA(MATCH(730,'Transfer Engine'!$C$2:$C$1960,0)),"",INDEX('Compliance Database'!$A$2:$A$1960,MATCH(730,'Transfer Engine'!$C$2:$C$1960,0)))</f>
        <v/>
      </c>
      <c r="B739" s="8">
        <f>IF(ISNA(MATCH(730,'Transfer Engine'!$C$2:$C$1960,0)),"",INDEX('Compliance Database'!$B$2:$B$1960,MATCH(730,'Transfer Engine'!$C$2:$C$1960,0)))</f>
        <v/>
      </c>
      <c r="C739" s="8">
        <f>IF(ISNA(MATCH(730,'Transfer Engine'!$C$2:$C$1960,0)),"",INDEX('Compliance Database'!$C$2:$C$1960,MATCH(730,'Transfer Engine'!$C$2:$C$1960,0)))</f>
        <v/>
      </c>
      <c r="D739" s="9">
        <f>IF(ISNA(MATCH(730,'Transfer Engine'!$C$2:$C$1960,0)),"",INDEX('Compliance Database'!$D$2:$D$1960,MATCH(730,'Transfer Engine'!$C$2:$C$1960,0)))</f>
        <v/>
      </c>
      <c r="E739" s="8">
        <f>IF(ISNA(MATCH(730,'Transfer Engine'!$C$2:$C$1960,0)),"",INDEX('Compliance Database'!$E$2:$E$1960,MATCH(730,'Transfer Engine'!$C$2:$C$1960,0)))</f>
        <v/>
      </c>
      <c r="F739" s="8">
        <f>IF(ISNA(MATCH(730,'Transfer Engine'!$C$2:$C$1960,0)),"",INDEX('Compliance Database'!$F$2:$F$1960,MATCH(730,'Transfer Engine'!$C$2:$C$1960,0)))</f>
        <v/>
      </c>
      <c r="G739" s="8">
        <f>IF(ISNA(MATCH(730,'Transfer Engine'!$C$2:$C$1960,0)),"",INDEX('Compliance Database'!$G$2:$G$1960,MATCH(730,'Transfer Engine'!$C$2:$C$1960,0)))</f>
        <v/>
      </c>
      <c r="H739" s="9">
        <f>IF(ISNA(MATCH(730,'Transfer Engine'!$C$2:$C$1960,0)),"",INDEX('Compliance Database'!$H$2:$H$1960,MATCH(730,'Transfer Engine'!$C$2:$C$1960,0)))</f>
        <v/>
      </c>
      <c r="I739" s="9">
        <f>IF(ISNA(MATCH(730,'Transfer Engine'!$C$2:$C$1960,0)),"",INDEX('Compliance Database'!$I$2:$I$1960,MATCH(730,'Transfer Engine'!$C$2:$C$1960,0)))</f>
        <v/>
      </c>
      <c r="J739" s="8">
        <f>IF(ISNA(MATCH(730,'Transfer Engine'!$C$2:$C$1960,0)),"",INDEX('Compliance Database'!$J$2:$J$1960,MATCH(730,'Transfer Engine'!$C$2:$C$1960,0)))</f>
        <v/>
      </c>
      <c r="K739" s="9">
        <f>IF(ISNA(MATCH(730,'Transfer Engine'!$C$2:$C$1960,0)),"",INDEX('Compliance Database'!$K$2:$K$1960,MATCH(730,'Transfer Engine'!$C$2:$C$1960,0)))</f>
        <v/>
      </c>
      <c r="L739" s="9">
        <f>IF(ISNA(MATCH(730,'Transfer Engine'!$C$2:$C$1960,0)),"",INDEX('Compliance Database'!$L$2:$L$1960,MATCH(730,'Transfer Engine'!$C$2:$C$1960,0)))</f>
        <v/>
      </c>
      <c r="M739" s="9">
        <f>IF(ISNA(MATCH(730,'Transfer Engine'!$C$2:$C$1960,0)),"",INDEX('Compliance Database'!$M$2:$M$1960,MATCH(730,'Transfer Engine'!$C$2:$C$1960,0)))</f>
        <v/>
      </c>
      <c r="N739" s="9">
        <f>IF(ISNA(MATCH(730,'Transfer Engine'!$C$2:$C$1960,0)),"",INDEX('Compliance Database'!$N$2:$N$1960,MATCH(730,'Transfer Engine'!$C$2:$C$1960,0)))</f>
        <v/>
      </c>
      <c r="O739" s="9">
        <f>IF(ISNA(MATCH(730,'Transfer Engine'!$C$2:$C$1960,0)),"",INDEX('Compliance Database'!$O$2:$O$1960,MATCH(730,'Transfer Engine'!$C$2:$C$1960,0)))</f>
        <v/>
      </c>
      <c r="P739" s="8">
        <f>IF(ISNA(MATCH(730,'Transfer Engine'!$C$2:$C$1960,0)),"",HYPERLINK("#Acts!A"&amp;INDEX('Compliance Database'!$P$2:$P$1960,MATCH(730,'Transfer Engine'!$C$2:$C$1960,0)),"Go to Act"))</f>
        <v/>
      </c>
    </row>
    <row r="740" ht="158" customHeight="1">
      <c r="A740" s="8">
        <f>IF(ISNA(MATCH(731,'Transfer Engine'!$C$2:$C$1960,0)),"",INDEX('Compliance Database'!$A$2:$A$1960,MATCH(731,'Transfer Engine'!$C$2:$C$1960,0)))</f>
        <v/>
      </c>
      <c r="B740" s="8">
        <f>IF(ISNA(MATCH(731,'Transfer Engine'!$C$2:$C$1960,0)),"",INDEX('Compliance Database'!$B$2:$B$1960,MATCH(731,'Transfer Engine'!$C$2:$C$1960,0)))</f>
        <v/>
      </c>
      <c r="C740" s="8">
        <f>IF(ISNA(MATCH(731,'Transfer Engine'!$C$2:$C$1960,0)),"",INDEX('Compliance Database'!$C$2:$C$1960,MATCH(731,'Transfer Engine'!$C$2:$C$1960,0)))</f>
        <v/>
      </c>
      <c r="D740" s="9">
        <f>IF(ISNA(MATCH(731,'Transfer Engine'!$C$2:$C$1960,0)),"",INDEX('Compliance Database'!$D$2:$D$1960,MATCH(731,'Transfer Engine'!$C$2:$C$1960,0)))</f>
        <v/>
      </c>
      <c r="E740" s="8">
        <f>IF(ISNA(MATCH(731,'Transfer Engine'!$C$2:$C$1960,0)),"",INDEX('Compliance Database'!$E$2:$E$1960,MATCH(731,'Transfer Engine'!$C$2:$C$1960,0)))</f>
        <v/>
      </c>
      <c r="F740" s="8">
        <f>IF(ISNA(MATCH(731,'Transfer Engine'!$C$2:$C$1960,0)),"",INDEX('Compliance Database'!$F$2:$F$1960,MATCH(731,'Transfer Engine'!$C$2:$C$1960,0)))</f>
        <v/>
      </c>
      <c r="G740" s="8">
        <f>IF(ISNA(MATCH(731,'Transfer Engine'!$C$2:$C$1960,0)),"",INDEX('Compliance Database'!$G$2:$G$1960,MATCH(731,'Transfer Engine'!$C$2:$C$1960,0)))</f>
        <v/>
      </c>
      <c r="H740" s="9">
        <f>IF(ISNA(MATCH(731,'Transfer Engine'!$C$2:$C$1960,0)),"",INDEX('Compliance Database'!$H$2:$H$1960,MATCH(731,'Transfer Engine'!$C$2:$C$1960,0)))</f>
        <v/>
      </c>
      <c r="I740" s="9">
        <f>IF(ISNA(MATCH(731,'Transfer Engine'!$C$2:$C$1960,0)),"",INDEX('Compliance Database'!$I$2:$I$1960,MATCH(731,'Transfer Engine'!$C$2:$C$1960,0)))</f>
        <v/>
      </c>
      <c r="J740" s="8">
        <f>IF(ISNA(MATCH(731,'Transfer Engine'!$C$2:$C$1960,0)),"",INDEX('Compliance Database'!$J$2:$J$1960,MATCH(731,'Transfer Engine'!$C$2:$C$1960,0)))</f>
        <v/>
      </c>
      <c r="K740" s="9">
        <f>IF(ISNA(MATCH(731,'Transfer Engine'!$C$2:$C$1960,0)),"",INDEX('Compliance Database'!$K$2:$K$1960,MATCH(731,'Transfer Engine'!$C$2:$C$1960,0)))</f>
        <v/>
      </c>
      <c r="L740" s="9">
        <f>IF(ISNA(MATCH(731,'Transfer Engine'!$C$2:$C$1960,0)),"",INDEX('Compliance Database'!$L$2:$L$1960,MATCH(731,'Transfer Engine'!$C$2:$C$1960,0)))</f>
        <v/>
      </c>
      <c r="M740" s="9">
        <f>IF(ISNA(MATCH(731,'Transfer Engine'!$C$2:$C$1960,0)),"",INDEX('Compliance Database'!$M$2:$M$1960,MATCH(731,'Transfer Engine'!$C$2:$C$1960,0)))</f>
        <v/>
      </c>
      <c r="N740" s="9">
        <f>IF(ISNA(MATCH(731,'Transfer Engine'!$C$2:$C$1960,0)),"",INDEX('Compliance Database'!$N$2:$N$1960,MATCH(731,'Transfer Engine'!$C$2:$C$1960,0)))</f>
        <v/>
      </c>
      <c r="O740" s="9">
        <f>IF(ISNA(MATCH(731,'Transfer Engine'!$C$2:$C$1960,0)),"",INDEX('Compliance Database'!$O$2:$O$1960,MATCH(731,'Transfer Engine'!$C$2:$C$1960,0)))</f>
        <v/>
      </c>
      <c r="P740" s="8">
        <f>IF(ISNA(MATCH(731,'Transfer Engine'!$C$2:$C$1960,0)),"",HYPERLINK("#Acts!A"&amp;INDEX('Compliance Database'!$P$2:$P$1960,MATCH(731,'Transfer Engine'!$C$2:$C$1960,0)),"Go to Act"))</f>
        <v/>
      </c>
    </row>
    <row r="741" ht="158" customHeight="1">
      <c r="A741" s="8">
        <f>IF(ISNA(MATCH(732,'Transfer Engine'!$C$2:$C$1960,0)),"",INDEX('Compliance Database'!$A$2:$A$1960,MATCH(732,'Transfer Engine'!$C$2:$C$1960,0)))</f>
        <v/>
      </c>
      <c r="B741" s="8">
        <f>IF(ISNA(MATCH(732,'Transfer Engine'!$C$2:$C$1960,0)),"",INDEX('Compliance Database'!$B$2:$B$1960,MATCH(732,'Transfer Engine'!$C$2:$C$1960,0)))</f>
        <v/>
      </c>
      <c r="C741" s="8">
        <f>IF(ISNA(MATCH(732,'Transfer Engine'!$C$2:$C$1960,0)),"",INDEX('Compliance Database'!$C$2:$C$1960,MATCH(732,'Transfer Engine'!$C$2:$C$1960,0)))</f>
        <v/>
      </c>
      <c r="D741" s="9">
        <f>IF(ISNA(MATCH(732,'Transfer Engine'!$C$2:$C$1960,0)),"",INDEX('Compliance Database'!$D$2:$D$1960,MATCH(732,'Transfer Engine'!$C$2:$C$1960,0)))</f>
        <v/>
      </c>
      <c r="E741" s="8">
        <f>IF(ISNA(MATCH(732,'Transfer Engine'!$C$2:$C$1960,0)),"",INDEX('Compliance Database'!$E$2:$E$1960,MATCH(732,'Transfer Engine'!$C$2:$C$1960,0)))</f>
        <v/>
      </c>
      <c r="F741" s="8">
        <f>IF(ISNA(MATCH(732,'Transfer Engine'!$C$2:$C$1960,0)),"",INDEX('Compliance Database'!$F$2:$F$1960,MATCH(732,'Transfer Engine'!$C$2:$C$1960,0)))</f>
        <v/>
      </c>
      <c r="G741" s="8">
        <f>IF(ISNA(MATCH(732,'Transfer Engine'!$C$2:$C$1960,0)),"",INDEX('Compliance Database'!$G$2:$G$1960,MATCH(732,'Transfer Engine'!$C$2:$C$1960,0)))</f>
        <v/>
      </c>
      <c r="H741" s="9">
        <f>IF(ISNA(MATCH(732,'Transfer Engine'!$C$2:$C$1960,0)),"",INDEX('Compliance Database'!$H$2:$H$1960,MATCH(732,'Transfer Engine'!$C$2:$C$1960,0)))</f>
        <v/>
      </c>
      <c r="I741" s="9">
        <f>IF(ISNA(MATCH(732,'Transfer Engine'!$C$2:$C$1960,0)),"",INDEX('Compliance Database'!$I$2:$I$1960,MATCH(732,'Transfer Engine'!$C$2:$C$1960,0)))</f>
        <v/>
      </c>
      <c r="J741" s="8">
        <f>IF(ISNA(MATCH(732,'Transfer Engine'!$C$2:$C$1960,0)),"",INDEX('Compliance Database'!$J$2:$J$1960,MATCH(732,'Transfer Engine'!$C$2:$C$1960,0)))</f>
        <v/>
      </c>
      <c r="K741" s="9">
        <f>IF(ISNA(MATCH(732,'Transfer Engine'!$C$2:$C$1960,0)),"",INDEX('Compliance Database'!$K$2:$K$1960,MATCH(732,'Transfer Engine'!$C$2:$C$1960,0)))</f>
        <v/>
      </c>
      <c r="L741" s="9">
        <f>IF(ISNA(MATCH(732,'Transfer Engine'!$C$2:$C$1960,0)),"",INDEX('Compliance Database'!$L$2:$L$1960,MATCH(732,'Transfer Engine'!$C$2:$C$1960,0)))</f>
        <v/>
      </c>
      <c r="M741" s="9">
        <f>IF(ISNA(MATCH(732,'Transfer Engine'!$C$2:$C$1960,0)),"",INDEX('Compliance Database'!$M$2:$M$1960,MATCH(732,'Transfer Engine'!$C$2:$C$1960,0)))</f>
        <v/>
      </c>
      <c r="N741" s="9">
        <f>IF(ISNA(MATCH(732,'Transfer Engine'!$C$2:$C$1960,0)),"",INDEX('Compliance Database'!$N$2:$N$1960,MATCH(732,'Transfer Engine'!$C$2:$C$1960,0)))</f>
        <v/>
      </c>
      <c r="O741" s="9">
        <f>IF(ISNA(MATCH(732,'Transfer Engine'!$C$2:$C$1960,0)),"",INDEX('Compliance Database'!$O$2:$O$1960,MATCH(732,'Transfer Engine'!$C$2:$C$1960,0)))</f>
        <v/>
      </c>
      <c r="P741" s="8">
        <f>IF(ISNA(MATCH(732,'Transfer Engine'!$C$2:$C$1960,0)),"",HYPERLINK("#Acts!A"&amp;INDEX('Compliance Database'!$P$2:$P$1960,MATCH(732,'Transfer Engine'!$C$2:$C$1960,0)),"Go to Act"))</f>
        <v/>
      </c>
    </row>
    <row r="742" ht="158" customHeight="1">
      <c r="A742" s="8">
        <f>IF(ISNA(MATCH(733,'Transfer Engine'!$C$2:$C$1960,0)),"",INDEX('Compliance Database'!$A$2:$A$1960,MATCH(733,'Transfer Engine'!$C$2:$C$1960,0)))</f>
        <v/>
      </c>
      <c r="B742" s="8">
        <f>IF(ISNA(MATCH(733,'Transfer Engine'!$C$2:$C$1960,0)),"",INDEX('Compliance Database'!$B$2:$B$1960,MATCH(733,'Transfer Engine'!$C$2:$C$1960,0)))</f>
        <v/>
      </c>
      <c r="C742" s="8">
        <f>IF(ISNA(MATCH(733,'Transfer Engine'!$C$2:$C$1960,0)),"",INDEX('Compliance Database'!$C$2:$C$1960,MATCH(733,'Transfer Engine'!$C$2:$C$1960,0)))</f>
        <v/>
      </c>
      <c r="D742" s="9">
        <f>IF(ISNA(MATCH(733,'Transfer Engine'!$C$2:$C$1960,0)),"",INDEX('Compliance Database'!$D$2:$D$1960,MATCH(733,'Transfer Engine'!$C$2:$C$1960,0)))</f>
        <v/>
      </c>
      <c r="E742" s="8">
        <f>IF(ISNA(MATCH(733,'Transfer Engine'!$C$2:$C$1960,0)),"",INDEX('Compliance Database'!$E$2:$E$1960,MATCH(733,'Transfer Engine'!$C$2:$C$1960,0)))</f>
        <v/>
      </c>
      <c r="F742" s="8">
        <f>IF(ISNA(MATCH(733,'Transfer Engine'!$C$2:$C$1960,0)),"",INDEX('Compliance Database'!$F$2:$F$1960,MATCH(733,'Transfer Engine'!$C$2:$C$1960,0)))</f>
        <v/>
      </c>
      <c r="G742" s="8">
        <f>IF(ISNA(MATCH(733,'Transfer Engine'!$C$2:$C$1960,0)),"",INDEX('Compliance Database'!$G$2:$G$1960,MATCH(733,'Transfer Engine'!$C$2:$C$1960,0)))</f>
        <v/>
      </c>
      <c r="H742" s="9">
        <f>IF(ISNA(MATCH(733,'Transfer Engine'!$C$2:$C$1960,0)),"",INDEX('Compliance Database'!$H$2:$H$1960,MATCH(733,'Transfer Engine'!$C$2:$C$1960,0)))</f>
        <v/>
      </c>
      <c r="I742" s="9">
        <f>IF(ISNA(MATCH(733,'Transfer Engine'!$C$2:$C$1960,0)),"",INDEX('Compliance Database'!$I$2:$I$1960,MATCH(733,'Transfer Engine'!$C$2:$C$1960,0)))</f>
        <v/>
      </c>
      <c r="J742" s="8">
        <f>IF(ISNA(MATCH(733,'Transfer Engine'!$C$2:$C$1960,0)),"",INDEX('Compliance Database'!$J$2:$J$1960,MATCH(733,'Transfer Engine'!$C$2:$C$1960,0)))</f>
        <v/>
      </c>
      <c r="K742" s="9">
        <f>IF(ISNA(MATCH(733,'Transfer Engine'!$C$2:$C$1960,0)),"",INDEX('Compliance Database'!$K$2:$K$1960,MATCH(733,'Transfer Engine'!$C$2:$C$1960,0)))</f>
        <v/>
      </c>
      <c r="L742" s="9">
        <f>IF(ISNA(MATCH(733,'Transfer Engine'!$C$2:$C$1960,0)),"",INDEX('Compliance Database'!$L$2:$L$1960,MATCH(733,'Transfer Engine'!$C$2:$C$1960,0)))</f>
        <v/>
      </c>
      <c r="M742" s="9">
        <f>IF(ISNA(MATCH(733,'Transfer Engine'!$C$2:$C$1960,0)),"",INDEX('Compliance Database'!$M$2:$M$1960,MATCH(733,'Transfer Engine'!$C$2:$C$1960,0)))</f>
        <v/>
      </c>
      <c r="N742" s="9">
        <f>IF(ISNA(MATCH(733,'Transfer Engine'!$C$2:$C$1960,0)),"",INDEX('Compliance Database'!$N$2:$N$1960,MATCH(733,'Transfer Engine'!$C$2:$C$1960,0)))</f>
        <v/>
      </c>
      <c r="O742" s="9">
        <f>IF(ISNA(MATCH(733,'Transfer Engine'!$C$2:$C$1960,0)),"",INDEX('Compliance Database'!$O$2:$O$1960,MATCH(733,'Transfer Engine'!$C$2:$C$1960,0)))</f>
        <v/>
      </c>
      <c r="P742" s="8">
        <f>IF(ISNA(MATCH(733,'Transfer Engine'!$C$2:$C$1960,0)),"",HYPERLINK("#Acts!A"&amp;INDEX('Compliance Database'!$P$2:$P$1960,MATCH(733,'Transfer Engine'!$C$2:$C$1960,0)),"Go to Act"))</f>
        <v/>
      </c>
    </row>
    <row r="743" ht="158" customHeight="1">
      <c r="A743" s="8">
        <f>IF(ISNA(MATCH(734,'Transfer Engine'!$C$2:$C$1960,0)),"",INDEX('Compliance Database'!$A$2:$A$1960,MATCH(734,'Transfer Engine'!$C$2:$C$1960,0)))</f>
        <v/>
      </c>
      <c r="B743" s="8">
        <f>IF(ISNA(MATCH(734,'Transfer Engine'!$C$2:$C$1960,0)),"",INDEX('Compliance Database'!$B$2:$B$1960,MATCH(734,'Transfer Engine'!$C$2:$C$1960,0)))</f>
        <v/>
      </c>
      <c r="C743" s="8">
        <f>IF(ISNA(MATCH(734,'Transfer Engine'!$C$2:$C$1960,0)),"",INDEX('Compliance Database'!$C$2:$C$1960,MATCH(734,'Transfer Engine'!$C$2:$C$1960,0)))</f>
        <v/>
      </c>
      <c r="D743" s="9">
        <f>IF(ISNA(MATCH(734,'Transfer Engine'!$C$2:$C$1960,0)),"",INDEX('Compliance Database'!$D$2:$D$1960,MATCH(734,'Transfer Engine'!$C$2:$C$1960,0)))</f>
        <v/>
      </c>
      <c r="E743" s="8">
        <f>IF(ISNA(MATCH(734,'Transfer Engine'!$C$2:$C$1960,0)),"",INDEX('Compliance Database'!$E$2:$E$1960,MATCH(734,'Transfer Engine'!$C$2:$C$1960,0)))</f>
        <v/>
      </c>
      <c r="F743" s="8">
        <f>IF(ISNA(MATCH(734,'Transfer Engine'!$C$2:$C$1960,0)),"",INDEX('Compliance Database'!$F$2:$F$1960,MATCH(734,'Transfer Engine'!$C$2:$C$1960,0)))</f>
        <v/>
      </c>
      <c r="G743" s="8">
        <f>IF(ISNA(MATCH(734,'Transfer Engine'!$C$2:$C$1960,0)),"",INDEX('Compliance Database'!$G$2:$G$1960,MATCH(734,'Transfer Engine'!$C$2:$C$1960,0)))</f>
        <v/>
      </c>
      <c r="H743" s="9">
        <f>IF(ISNA(MATCH(734,'Transfer Engine'!$C$2:$C$1960,0)),"",INDEX('Compliance Database'!$H$2:$H$1960,MATCH(734,'Transfer Engine'!$C$2:$C$1960,0)))</f>
        <v/>
      </c>
      <c r="I743" s="9">
        <f>IF(ISNA(MATCH(734,'Transfer Engine'!$C$2:$C$1960,0)),"",INDEX('Compliance Database'!$I$2:$I$1960,MATCH(734,'Transfer Engine'!$C$2:$C$1960,0)))</f>
        <v/>
      </c>
      <c r="J743" s="8">
        <f>IF(ISNA(MATCH(734,'Transfer Engine'!$C$2:$C$1960,0)),"",INDEX('Compliance Database'!$J$2:$J$1960,MATCH(734,'Transfer Engine'!$C$2:$C$1960,0)))</f>
        <v/>
      </c>
      <c r="K743" s="9">
        <f>IF(ISNA(MATCH(734,'Transfer Engine'!$C$2:$C$1960,0)),"",INDEX('Compliance Database'!$K$2:$K$1960,MATCH(734,'Transfer Engine'!$C$2:$C$1960,0)))</f>
        <v/>
      </c>
      <c r="L743" s="9">
        <f>IF(ISNA(MATCH(734,'Transfer Engine'!$C$2:$C$1960,0)),"",INDEX('Compliance Database'!$L$2:$L$1960,MATCH(734,'Transfer Engine'!$C$2:$C$1960,0)))</f>
        <v/>
      </c>
      <c r="M743" s="9">
        <f>IF(ISNA(MATCH(734,'Transfer Engine'!$C$2:$C$1960,0)),"",INDEX('Compliance Database'!$M$2:$M$1960,MATCH(734,'Transfer Engine'!$C$2:$C$1960,0)))</f>
        <v/>
      </c>
      <c r="N743" s="9">
        <f>IF(ISNA(MATCH(734,'Transfer Engine'!$C$2:$C$1960,0)),"",INDEX('Compliance Database'!$N$2:$N$1960,MATCH(734,'Transfer Engine'!$C$2:$C$1960,0)))</f>
        <v/>
      </c>
      <c r="O743" s="9">
        <f>IF(ISNA(MATCH(734,'Transfer Engine'!$C$2:$C$1960,0)),"",INDEX('Compliance Database'!$O$2:$O$1960,MATCH(734,'Transfer Engine'!$C$2:$C$1960,0)))</f>
        <v/>
      </c>
      <c r="P743" s="8">
        <f>IF(ISNA(MATCH(734,'Transfer Engine'!$C$2:$C$1960,0)),"",HYPERLINK("#Acts!A"&amp;INDEX('Compliance Database'!$P$2:$P$1960,MATCH(734,'Transfer Engine'!$C$2:$C$1960,0)),"Go to Act"))</f>
        <v/>
      </c>
    </row>
    <row r="744" ht="158" customHeight="1">
      <c r="A744" s="8">
        <f>IF(ISNA(MATCH(735,'Transfer Engine'!$C$2:$C$1960,0)),"",INDEX('Compliance Database'!$A$2:$A$1960,MATCH(735,'Transfer Engine'!$C$2:$C$1960,0)))</f>
        <v/>
      </c>
      <c r="B744" s="8">
        <f>IF(ISNA(MATCH(735,'Transfer Engine'!$C$2:$C$1960,0)),"",INDEX('Compliance Database'!$B$2:$B$1960,MATCH(735,'Transfer Engine'!$C$2:$C$1960,0)))</f>
        <v/>
      </c>
      <c r="C744" s="8">
        <f>IF(ISNA(MATCH(735,'Transfer Engine'!$C$2:$C$1960,0)),"",INDEX('Compliance Database'!$C$2:$C$1960,MATCH(735,'Transfer Engine'!$C$2:$C$1960,0)))</f>
        <v/>
      </c>
      <c r="D744" s="9">
        <f>IF(ISNA(MATCH(735,'Transfer Engine'!$C$2:$C$1960,0)),"",INDEX('Compliance Database'!$D$2:$D$1960,MATCH(735,'Transfer Engine'!$C$2:$C$1960,0)))</f>
        <v/>
      </c>
      <c r="E744" s="8">
        <f>IF(ISNA(MATCH(735,'Transfer Engine'!$C$2:$C$1960,0)),"",INDEX('Compliance Database'!$E$2:$E$1960,MATCH(735,'Transfer Engine'!$C$2:$C$1960,0)))</f>
        <v/>
      </c>
      <c r="F744" s="8">
        <f>IF(ISNA(MATCH(735,'Transfer Engine'!$C$2:$C$1960,0)),"",INDEX('Compliance Database'!$F$2:$F$1960,MATCH(735,'Transfer Engine'!$C$2:$C$1960,0)))</f>
        <v/>
      </c>
      <c r="G744" s="8">
        <f>IF(ISNA(MATCH(735,'Transfer Engine'!$C$2:$C$1960,0)),"",INDEX('Compliance Database'!$G$2:$G$1960,MATCH(735,'Transfer Engine'!$C$2:$C$1960,0)))</f>
        <v/>
      </c>
      <c r="H744" s="9">
        <f>IF(ISNA(MATCH(735,'Transfer Engine'!$C$2:$C$1960,0)),"",INDEX('Compliance Database'!$H$2:$H$1960,MATCH(735,'Transfer Engine'!$C$2:$C$1960,0)))</f>
        <v/>
      </c>
      <c r="I744" s="9">
        <f>IF(ISNA(MATCH(735,'Transfer Engine'!$C$2:$C$1960,0)),"",INDEX('Compliance Database'!$I$2:$I$1960,MATCH(735,'Transfer Engine'!$C$2:$C$1960,0)))</f>
        <v/>
      </c>
      <c r="J744" s="8">
        <f>IF(ISNA(MATCH(735,'Transfer Engine'!$C$2:$C$1960,0)),"",INDEX('Compliance Database'!$J$2:$J$1960,MATCH(735,'Transfer Engine'!$C$2:$C$1960,0)))</f>
        <v/>
      </c>
      <c r="K744" s="9">
        <f>IF(ISNA(MATCH(735,'Transfer Engine'!$C$2:$C$1960,0)),"",INDEX('Compliance Database'!$K$2:$K$1960,MATCH(735,'Transfer Engine'!$C$2:$C$1960,0)))</f>
        <v/>
      </c>
      <c r="L744" s="9">
        <f>IF(ISNA(MATCH(735,'Transfer Engine'!$C$2:$C$1960,0)),"",INDEX('Compliance Database'!$L$2:$L$1960,MATCH(735,'Transfer Engine'!$C$2:$C$1960,0)))</f>
        <v/>
      </c>
      <c r="M744" s="9">
        <f>IF(ISNA(MATCH(735,'Transfer Engine'!$C$2:$C$1960,0)),"",INDEX('Compliance Database'!$M$2:$M$1960,MATCH(735,'Transfer Engine'!$C$2:$C$1960,0)))</f>
        <v/>
      </c>
      <c r="N744" s="9">
        <f>IF(ISNA(MATCH(735,'Transfer Engine'!$C$2:$C$1960,0)),"",INDEX('Compliance Database'!$N$2:$N$1960,MATCH(735,'Transfer Engine'!$C$2:$C$1960,0)))</f>
        <v/>
      </c>
      <c r="O744" s="9">
        <f>IF(ISNA(MATCH(735,'Transfer Engine'!$C$2:$C$1960,0)),"",INDEX('Compliance Database'!$O$2:$O$1960,MATCH(735,'Transfer Engine'!$C$2:$C$1960,0)))</f>
        <v/>
      </c>
      <c r="P744" s="8">
        <f>IF(ISNA(MATCH(735,'Transfer Engine'!$C$2:$C$1960,0)),"",HYPERLINK("#Acts!A"&amp;INDEX('Compliance Database'!$P$2:$P$1960,MATCH(735,'Transfer Engine'!$C$2:$C$1960,0)),"Go to Act"))</f>
        <v/>
      </c>
    </row>
    <row r="745" ht="158" customHeight="1">
      <c r="A745" s="8">
        <f>IF(ISNA(MATCH(736,'Transfer Engine'!$C$2:$C$1960,0)),"",INDEX('Compliance Database'!$A$2:$A$1960,MATCH(736,'Transfer Engine'!$C$2:$C$1960,0)))</f>
        <v/>
      </c>
      <c r="B745" s="8">
        <f>IF(ISNA(MATCH(736,'Transfer Engine'!$C$2:$C$1960,0)),"",INDEX('Compliance Database'!$B$2:$B$1960,MATCH(736,'Transfer Engine'!$C$2:$C$1960,0)))</f>
        <v/>
      </c>
      <c r="C745" s="8">
        <f>IF(ISNA(MATCH(736,'Transfer Engine'!$C$2:$C$1960,0)),"",INDEX('Compliance Database'!$C$2:$C$1960,MATCH(736,'Transfer Engine'!$C$2:$C$1960,0)))</f>
        <v/>
      </c>
      <c r="D745" s="9">
        <f>IF(ISNA(MATCH(736,'Transfer Engine'!$C$2:$C$1960,0)),"",INDEX('Compliance Database'!$D$2:$D$1960,MATCH(736,'Transfer Engine'!$C$2:$C$1960,0)))</f>
        <v/>
      </c>
      <c r="E745" s="8">
        <f>IF(ISNA(MATCH(736,'Transfer Engine'!$C$2:$C$1960,0)),"",INDEX('Compliance Database'!$E$2:$E$1960,MATCH(736,'Transfer Engine'!$C$2:$C$1960,0)))</f>
        <v/>
      </c>
      <c r="F745" s="8">
        <f>IF(ISNA(MATCH(736,'Transfer Engine'!$C$2:$C$1960,0)),"",INDEX('Compliance Database'!$F$2:$F$1960,MATCH(736,'Transfer Engine'!$C$2:$C$1960,0)))</f>
        <v/>
      </c>
      <c r="G745" s="8">
        <f>IF(ISNA(MATCH(736,'Transfer Engine'!$C$2:$C$1960,0)),"",INDEX('Compliance Database'!$G$2:$G$1960,MATCH(736,'Transfer Engine'!$C$2:$C$1960,0)))</f>
        <v/>
      </c>
      <c r="H745" s="9">
        <f>IF(ISNA(MATCH(736,'Transfer Engine'!$C$2:$C$1960,0)),"",INDEX('Compliance Database'!$H$2:$H$1960,MATCH(736,'Transfer Engine'!$C$2:$C$1960,0)))</f>
        <v/>
      </c>
      <c r="I745" s="9">
        <f>IF(ISNA(MATCH(736,'Transfer Engine'!$C$2:$C$1960,0)),"",INDEX('Compliance Database'!$I$2:$I$1960,MATCH(736,'Transfer Engine'!$C$2:$C$1960,0)))</f>
        <v/>
      </c>
      <c r="J745" s="8">
        <f>IF(ISNA(MATCH(736,'Transfer Engine'!$C$2:$C$1960,0)),"",INDEX('Compliance Database'!$J$2:$J$1960,MATCH(736,'Transfer Engine'!$C$2:$C$1960,0)))</f>
        <v/>
      </c>
      <c r="K745" s="9">
        <f>IF(ISNA(MATCH(736,'Transfer Engine'!$C$2:$C$1960,0)),"",INDEX('Compliance Database'!$K$2:$K$1960,MATCH(736,'Transfer Engine'!$C$2:$C$1960,0)))</f>
        <v/>
      </c>
      <c r="L745" s="9">
        <f>IF(ISNA(MATCH(736,'Transfer Engine'!$C$2:$C$1960,0)),"",INDEX('Compliance Database'!$L$2:$L$1960,MATCH(736,'Transfer Engine'!$C$2:$C$1960,0)))</f>
        <v/>
      </c>
      <c r="M745" s="9">
        <f>IF(ISNA(MATCH(736,'Transfer Engine'!$C$2:$C$1960,0)),"",INDEX('Compliance Database'!$M$2:$M$1960,MATCH(736,'Transfer Engine'!$C$2:$C$1960,0)))</f>
        <v/>
      </c>
      <c r="N745" s="9">
        <f>IF(ISNA(MATCH(736,'Transfer Engine'!$C$2:$C$1960,0)),"",INDEX('Compliance Database'!$N$2:$N$1960,MATCH(736,'Transfer Engine'!$C$2:$C$1960,0)))</f>
        <v/>
      </c>
      <c r="O745" s="9">
        <f>IF(ISNA(MATCH(736,'Transfer Engine'!$C$2:$C$1960,0)),"",INDEX('Compliance Database'!$O$2:$O$1960,MATCH(736,'Transfer Engine'!$C$2:$C$1960,0)))</f>
        <v/>
      </c>
      <c r="P745" s="8">
        <f>IF(ISNA(MATCH(736,'Transfer Engine'!$C$2:$C$1960,0)),"",HYPERLINK("#Acts!A"&amp;INDEX('Compliance Database'!$P$2:$P$1960,MATCH(736,'Transfer Engine'!$C$2:$C$1960,0)),"Go to Act"))</f>
        <v/>
      </c>
    </row>
    <row r="746" ht="158" customHeight="1">
      <c r="A746" s="8">
        <f>IF(ISNA(MATCH(737,'Transfer Engine'!$C$2:$C$1960,0)),"",INDEX('Compliance Database'!$A$2:$A$1960,MATCH(737,'Transfer Engine'!$C$2:$C$1960,0)))</f>
        <v/>
      </c>
      <c r="B746" s="8">
        <f>IF(ISNA(MATCH(737,'Transfer Engine'!$C$2:$C$1960,0)),"",INDEX('Compliance Database'!$B$2:$B$1960,MATCH(737,'Transfer Engine'!$C$2:$C$1960,0)))</f>
        <v/>
      </c>
      <c r="C746" s="8">
        <f>IF(ISNA(MATCH(737,'Transfer Engine'!$C$2:$C$1960,0)),"",INDEX('Compliance Database'!$C$2:$C$1960,MATCH(737,'Transfer Engine'!$C$2:$C$1960,0)))</f>
        <v/>
      </c>
      <c r="D746" s="9">
        <f>IF(ISNA(MATCH(737,'Transfer Engine'!$C$2:$C$1960,0)),"",INDEX('Compliance Database'!$D$2:$D$1960,MATCH(737,'Transfer Engine'!$C$2:$C$1960,0)))</f>
        <v/>
      </c>
      <c r="E746" s="8">
        <f>IF(ISNA(MATCH(737,'Transfer Engine'!$C$2:$C$1960,0)),"",INDEX('Compliance Database'!$E$2:$E$1960,MATCH(737,'Transfer Engine'!$C$2:$C$1960,0)))</f>
        <v/>
      </c>
      <c r="F746" s="8">
        <f>IF(ISNA(MATCH(737,'Transfer Engine'!$C$2:$C$1960,0)),"",INDEX('Compliance Database'!$F$2:$F$1960,MATCH(737,'Transfer Engine'!$C$2:$C$1960,0)))</f>
        <v/>
      </c>
      <c r="G746" s="8">
        <f>IF(ISNA(MATCH(737,'Transfer Engine'!$C$2:$C$1960,0)),"",INDEX('Compliance Database'!$G$2:$G$1960,MATCH(737,'Transfer Engine'!$C$2:$C$1960,0)))</f>
        <v/>
      </c>
      <c r="H746" s="9">
        <f>IF(ISNA(MATCH(737,'Transfer Engine'!$C$2:$C$1960,0)),"",INDEX('Compliance Database'!$H$2:$H$1960,MATCH(737,'Transfer Engine'!$C$2:$C$1960,0)))</f>
        <v/>
      </c>
      <c r="I746" s="9">
        <f>IF(ISNA(MATCH(737,'Transfer Engine'!$C$2:$C$1960,0)),"",INDEX('Compliance Database'!$I$2:$I$1960,MATCH(737,'Transfer Engine'!$C$2:$C$1960,0)))</f>
        <v/>
      </c>
      <c r="J746" s="8">
        <f>IF(ISNA(MATCH(737,'Transfer Engine'!$C$2:$C$1960,0)),"",INDEX('Compliance Database'!$J$2:$J$1960,MATCH(737,'Transfer Engine'!$C$2:$C$1960,0)))</f>
        <v/>
      </c>
      <c r="K746" s="9">
        <f>IF(ISNA(MATCH(737,'Transfer Engine'!$C$2:$C$1960,0)),"",INDEX('Compliance Database'!$K$2:$K$1960,MATCH(737,'Transfer Engine'!$C$2:$C$1960,0)))</f>
        <v/>
      </c>
      <c r="L746" s="9">
        <f>IF(ISNA(MATCH(737,'Transfer Engine'!$C$2:$C$1960,0)),"",INDEX('Compliance Database'!$L$2:$L$1960,MATCH(737,'Transfer Engine'!$C$2:$C$1960,0)))</f>
        <v/>
      </c>
      <c r="M746" s="9">
        <f>IF(ISNA(MATCH(737,'Transfer Engine'!$C$2:$C$1960,0)),"",INDEX('Compliance Database'!$M$2:$M$1960,MATCH(737,'Transfer Engine'!$C$2:$C$1960,0)))</f>
        <v/>
      </c>
      <c r="N746" s="9">
        <f>IF(ISNA(MATCH(737,'Transfer Engine'!$C$2:$C$1960,0)),"",INDEX('Compliance Database'!$N$2:$N$1960,MATCH(737,'Transfer Engine'!$C$2:$C$1960,0)))</f>
        <v/>
      </c>
      <c r="O746" s="9">
        <f>IF(ISNA(MATCH(737,'Transfer Engine'!$C$2:$C$1960,0)),"",INDEX('Compliance Database'!$O$2:$O$1960,MATCH(737,'Transfer Engine'!$C$2:$C$1960,0)))</f>
        <v/>
      </c>
      <c r="P746" s="8">
        <f>IF(ISNA(MATCH(737,'Transfer Engine'!$C$2:$C$1960,0)),"",HYPERLINK("#Acts!A"&amp;INDEX('Compliance Database'!$P$2:$P$1960,MATCH(737,'Transfer Engine'!$C$2:$C$1960,0)),"Go to Act"))</f>
        <v/>
      </c>
    </row>
    <row r="747" ht="158" customHeight="1">
      <c r="A747" s="8">
        <f>IF(ISNA(MATCH(738,'Transfer Engine'!$C$2:$C$1960,0)),"",INDEX('Compliance Database'!$A$2:$A$1960,MATCH(738,'Transfer Engine'!$C$2:$C$1960,0)))</f>
        <v/>
      </c>
      <c r="B747" s="8">
        <f>IF(ISNA(MATCH(738,'Transfer Engine'!$C$2:$C$1960,0)),"",INDEX('Compliance Database'!$B$2:$B$1960,MATCH(738,'Transfer Engine'!$C$2:$C$1960,0)))</f>
        <v/>
      </c>
      <c r="C747" s="8">
        <f>IF(ISNA(MATCH(738,'Transfer Engine'!$C$2:$C$1960,0)),"",INDEX('Compliance Database'!$C$2:$C$1960,MATCH(738,'Transfer Engine'!$C$2:$C$1960,0)))</f>
        <v/>
      </c>
      <c r="D747" s="9">
        <f>IF(ISNA(MATCH(738,'Transfer Engine'!$C$2:$C$1960,0)),"",INDEX('Compliance Database'!$D$2:$D$1960,MATCH(738,'Transfer Engine'!$C$2:$C$1960,0)))</f>
        <v/>
      </c>
      <c r="E747" s="8">
        <f>IF(ISNA(MATCH(738,'Transfer Engine'!$C$2:$C$1960,0)),"",INDEX('Compliance Database'!$E$2:$E$1960,MATCH(738,'Transfer Engine'!$C$2:$C$1960,0)))</f>
        <v/>
      </c>
      <c r="F747" s="8">
        <f>IF(ISNA(MATCH(738,'Transfer Engine'!$C$2:$C$1960,0)),"",INDEX('Compliance Database'!$F$2:$F$1960,MATCH(738,'Transfer Engine'!$C$2:$C$1960,0)))</f>
        <v/>
      </c>
      <c r="G747" s="8">
        <f>IF(ISNA(MATCH(738,'Transfer Engine'!$C$2:$C$1960,0)),"",INDEX('Compliance Database'!$G$2:$G$1960,MATCH(738,'Transfer Engine'!$C$2:$C$1960,0)))</f>
        <v/>
      </c>
      <c r="H747" s="9">
        <f>IF(ISNA(MATCH(738,'Transfer Engine'!$C$2:$C$1960,0)),"",INDEX('Compliance Database'!$H$2:$H$1960,MATCH(738,'Transfer Engine'!$C$2:$C$1960,0)))</f>
        <v/>
      </c>
      <c r="I747" s="9">
        <f>IF(ISNA(MATCH(738,'Transfer Engine'!$C$2:$C$1960,0)),"",INDEX('Compliance Database'!$I$2:$I$1960,MATCH(738,'Transfer Engine'!$C$2:$C$1960,0)))</f>
        <v/>
      </c>
      <c r="J747" s="8">
        <f>IF(ISNA(MATCH(738,'Transfer Engine'!$C$2:$C$1960,0)),"",INDEX('Compliance Database'!$J$2:$J$1960,MATCH(738,'Transfer Engine'!$C$2:$C$1960,0)))</f>
        <v/>
      </c>
      <c r="K747" s="9">
        <f>IF(ISNA(MATCH(738,'Transfer Engine'!$C$2:$C$1960,0)),"",INDEX('Compliance Database'!$K$2:$K$1960,MATCH(738,'Transfer Engine'!$C$2:$C$1960,0)))</f>
        <v/>
      </c>
      <c r="L747" s="9">
        <f>IF(ISNA(MATCH(738,'Transfer Engine'!$C$2:$C$1960,0)),"",INDEX('Compliance Database'!$L$2:$L$1960,MATCH(738,'Transfer Engine'!$C$2:$C$1960,0)))</f>
        <v/>
      </c>
      <c r="M747" s="9">
        <f>IF(ISNA(MATCH(738,'Transfer Engine'!$C$2:$C$1960,0)),"",INDEX('Compliance Database'!$M$2:$M$1960,MATCH(738,'Transfer Engine'!$C$2:$C$1960,0)))</f>
        <v/>
      </c>
      <c r="N747" s="9">
        <f>IF(ISNA(MATCH(738,'Transfer Engine'!$C$2:$C$1960,0)),"",INDEX('Compliance Database'!$N$2:$N$1960,MATCH(738,'Transfer Engine'!$C$2:$C$1960,0)))</f>
        <v/>
      </c>
      <c r="O747" s="9">
        <f>IF(ISNA(MATCH(738,'Transfer Engine'!$C$2:$C$1960,0)),"",INDEX('Compliance Database'!$O$2:$O$1960,MATCH(738,'Transfer Engine'!$C$2:$C$1960,0)))</f>
        <v/>
      </c>
      <c r="P747" s="8">
        <f>IF(ISNA(MATCH(738,'Transfer Engine'!$C$2:$C$1960,0)),"",HYPERLINK("#Acts!A"&amp;INDEX('Compliance Database'!$P$2:$P$1960,MATCH(738,'Transfer Engine'!$C$2:$C$1960,0)),"Go to Act"))</f>
        <v/>
      </c>
    </row>
    <row r="748" ht="158" customHeight="1">
      <c r="A748" s="8">
        <f>IF(ISNA(MATCH(739,'Transfer Engine'!$C$2:$C$1960,0)),"",INDEX('Compliance Database'!$A$2:$A$1960,MATCH(739,'Transfer Engine'!$C$2:$C$1960,0)))</f>
        <v/>
      </c>
      <c r="B748" s="8">
        <f>IF(ISNA(MATCH(739,'Transfer Engine'!$C$2:$C$1960,0)),"",INDEX('Compliance Database'!$B$2:$B$1960,MATCH(739,'Transfer Engine'!$C$2:$C$1960,0)))</f>
        <v/>
      </c>
      <c r="C748" s="8">
        <f>IF(ISNA(MATCH(739,'Transfer Engine'!$C$2:$C$1960,0)),"",INDEX('Compliance Database'!$C$2:$C$1960,MATCH(739,'Transfer Engine'!$C$2:$C$1960,0)))</f>
        <v/>
      </c>
      <c r="D748" s="9">
        <f>IF(ISNA(MATCH(739,'Transfer Engine'!$C$2:$C$1960,0)),"",INDEX('Compliance Database'!$D$2:$D$1960,MATCH(739,'Transfer Engine'!$C$2:$C$1960,0)))</f>
        <v/>
      </c>
      <c r="E748" s="8">
        <f>IF(ISNA(MATCH(739,'Transfer Engine'!$C$2:$C$1960,0)),"",INDEX('Compliance Database'!$E$2:$E$1960,MATCH(739,'Transfer Engine'!$C$2:$C$1960,0)))</f>
        <v/>
      </c>
      <c r="F748" s="8">
        <f>IF(ISNA(MATCH(739,'Transfer Engine'!$C$2:$C$1960,0)),"",INDEX('Compliance Database'!$F$2:$F$1960,MATCH(739,'Transfer Engine'!$C$2:$C$1960,0)))</f>
        <v/>
      </c>
      <c r="G748" s="8">
        <f>IF(ISNA(MATCH(739,'Transfer Engine'!$C$2:$C$1960,0)),"",INDEX('Compliance Database'!$G$2:$G$1960,MATCH(739,'Transfer Engine'!$C$2:$C$1960,0)))</f>
        <v/>
      </c>
      <c r="H748" s="9">
        <f>IF(ISNA(MATCH(739,'Transfer Engine'!$C$2:$C$1960,0)),"",INDEX('Compliance Database'!$H$2:$H$1960,MATCH(739,'Transfer Engine'!$C$2:$C$1960,0)))</f>
        <v/>
      </c>
      <c r="I748" s="9">
        <f>IF(ISNA(MATCH(739,'Transfer Engine'!$C$2:$C$1960,0)),"",INDEX('Compliance Database'!$I$2:$I$1960,MATCH(739,'Transfer Engine'!$C$2:$C$1960,0)))</f>
        <v/>
      </c>
      <c r="J748" s="8">
        <f>IF(ISNA(MATCH(739,'Transfer Engine'!$C$2:$C$1960,0)),"",INDEX('Compliance Database'!$J$2:$J$1960,MATCH(739,'Transfer Engine'!$C$2:$C$1960,0)))</f>
        <v/>
      </c>
      <c r="K748" s="9">
        <f>IF(ISNA(MATCH(739,'Transfer Engine'!$C$2:$C$1960,0)),"",INDEX('Compliance Database'!$K$2:$K$1960,MATCH(739,'Transfer Engine'!$C$2:$C$1960,0)))</f>
        <v/>
      </c>
      <c r="L748" s="9">
        <f>IF(ISNA(MATCH(739,'Transfer Engine'!$C$2:$C$1960,0)),"",INDEX('Compliance Database'!$L$2:$L$1960,MATCH(739,'Transfer Engine'!$C$2:$C$1960,0)))</f>
        <v/>
      </c>
      <c r="M748" s="9">
        <f>IF(ISNA(MATCH(739,'Transfer Engine'!$C$2:$C$1960,0)),"",INDEX('Compliance Database'!$M$2:$M$1960,MATCH(739,'Transfer Engine'!$C$2:$C$1960,0)))</f>
        <v/>
      </c>
      <c r="N748" s="9">
        <f>IF(ISNA(MATCH(739,'Transfer Engine'!$C$2:$C$1960,0)),"",INDEX('Compliance Database'!$N$2:$N$1960,MATCH(739,'Transfer Engine'!$C$2:$C$1960,0)))</f>
        <v/>
      </c>
      <c r="O748" s="9">
        <f>IF(ISNA(MATCH(739,'Transfer Engine'!$C$2:$C$1960,0)),"",INDEX('Compliance Database'!$O$2:$O$1960,MATCH(739,'Transfer Engine'!$C$2:$C$1960,0)))</f>
        <v/>
      </c>
      <c r="P748" s="8">
        <f>IF(ISNA(MATCH(739,'Transfer Engine'!$C$2:$C$1960,0)),"",HYPERLINK("#Acts!A"&amp;INDEX('Compliance Database'!$P$2:$P$1960,MATCH(739,'Transfer Engine'!$C$2:$C$1960,0)),"Go to Act"))</f>
        <v/>
      </c>
    </row>
    <row r="749" ht="158" customHeight="1">
      <c r="A749" s="8">
        <f>IF(ISNA(MATCH(740,'Transfer Engine'!$C$2:$C$1960,0)),"",INDEX('Compliance Database'!$A$2:$A$1960,MATCH(740,'Transfer Engine'!$C$2:$C$1960,0)))</f>
        <v/>
      </c>
      <c r="B749" s="8">
        <f>IF(ISNA(MATCH(740,'Transfer Engine'!$C$2:$C$1960,0)),"",INDEX('Compliance Database'!$B$2:$B$1960,MATCH(740,'Transfer Engine'!$C$2:$C$1960,0)))</f>
        <v/>
      </c>
      <c r="C749" s="8">
        <f>IF(ISNA(MATCH(740,'Transfer Engine'!$C$2:$C$1960,0)),"",INDEX('Compliance Database'!$C$2:$C$1960,MATCH(740,'Transfer Engine'!$C$2:$C$1960,0)))</f>
        <v/>
      </c>
      <c r="D749" s="9">
        <f>IF(ISNA(MATCH(740,'Transfer Engine'!$C$2:$C$1960,0)),"",INDEX('Compliance Database'!$D$2:$D$1960,MATCH(740,'Transfer Engine'!$C$2:$C$1960,0)))</f>
        <v/>
      </c>
      <c r="E749" s="8">
        <f>IF(ISNA(MATCH(740,'Transfer Engine'!$C$2:$C$1960,0)),"",INDEX('Compliance Database'!$E$2:$E$1960,MATCH(740,'Transfer Engine'!$C$2:$C$1960,0)))</f>
        <v/>
      </c>
      <c r="F749" s="8">
        <f>IF(ISNA(MATCH(740,'Transfer Engine'!$C$2:$C$1960,0)),"",INDEX('Compliance Database'!$F$2:$F$1960,MATCH(740,'Transfer Engine'!$C$2:$C$1960,0)))</f>
        <v/>
      </c>
      <c r="G749" s="8">
        <f>IF(ISNA(MATCH(740,'Transfer Engine'!$C$2:$C$1960,0)),"",INDEX('Compliance Database'!$G$2:$G$1960,MATCH(740,'Transfer Engine'!$C$2:$C$1960,0)))</f>
        <v/>
      </c>
      <c r="H749" s="9">
        <f>IF(ISNA(MATCH(740,'Transfer Engine'!$C$2:$C$1960,0)),"",INDEX('Compliance Database'!$H$2:$H$1960,MATCH(740,'Transfer Engine'!$C$2:$C$1960,0)))</f>
        <v/>
      </c>
      <c r="I749" s="9">
        <f>IF(ISNA(MATCH(740,'Transfer Engine'!$C$2:$C$1960,0)),"",INDEX('Compliance Database'!$I$2:$I$1960,MATCH(740,'Transfer Engine'!$C$2:$C$1960,0)))</f>
        <v/>
      </c>
      <c r="J749" s="8">
        <f>IF(ISNA(MATCH(740,'Transfer Engine'!$C$2:$C$1960,0)),"",INDEX('Compliance Database'!$J$2:$J$1960,MATCH(740,'Transfer Engine'!$C$2:$C$1960,0)))</f>
        <v/>
      </c>
      <c r="K749" s="9">
        <f>IF(ISNA(MATCH(740,'Transfer Engine'!$C$2:$C$1960,0)),"",INDEX('Compliance Database'!$K$2:$K$1960,MATCH(740,'Transfer Engine'!$C$2:$C$1960,0)))</f>
        <v/>
      </c>
      <c r="L749" s="9">
        <f>IF(ISNA(MATCH(740,'Transfer Engine'!$C$2:$C$1960,0)),"",INDEX('Compliance Database'!$L$2:$L$1960,MATCH(740,'Transfer Engine'!$C$2:$C$1960,0)))</f>
        <v/>
      </c>
      <c r="M749" s="9">
        <f>IF(ISNA(MATCH(740,'Transfer Engine'!$C$2:$C$1960,0)),"",INDEX('Compliance Database'!$M$2:$M$1960,MATCH(740,'Transfer Engine'!$C$2:$C$1960,0)))</f>
        <v/>
      </c>
      <c r="N749" s="9">
        <f>IF(ISNA(MATCH(740,'Transfer Engine'!$C$2:$C$1960,0)),"",INDEX('Compliance Database'!$N$2:$N$1960,MATCH(740,'Transfer Engine'!$C$2:$C$1960,0)))</f>
        <v/>
      </c>
      <c r="O749" s="9">
        <f>IF(ISNA(MATCH(740,'Transfer Engine'!$C$2:$C$1960,0)),"",INDEX('Compliance Database'!$O$2:$O$1960,MATCH(740,'Transfer Engine'!$C$2:$C$1960,0)))</f>
        <v/>
      </c>
      <c r="P749" s="8">
        <f>IF(ISNA(MATCH(740,'Transfer Engine'!$C$2:$C$1960,0)),"",HYPERLINK("#Acts!A"&amp;INDEX('Compliance Database'!$P$2:$P$1960,MATCH(740,'Transfer Engine'!$C$2:$C$1960,0)),"Go to Act"))</f>
        <v/>
      </c>
    </row>
    <row r="750" ht="158" customHeight="1">
      <c r="A750" s="8">
        <f>IF(ISNA(MATCH(741,'Transfer Engine'!$C$2:$C$1960,0)),"",INDEX('Compliance Database'!$A$2:$A$1960,MATCH(741,'Transfer Engine'!$C$2:$C$1960,0)))</f>
        <v/>
      </c>
      <c r="B750" s="8">
        <f>IF(ISNA(MATCH(741,'Transfer Engine'!$C$2:$C$1960,0)),"",INDEX('Compliance Database'!$B$2:$B$1960,MATCH(741,'Transfer Engine'!$C$2:$C$1960,0)))</f>
        <v/>
      </c>
      <c r="C750" s="8">
        <f>IF(ISNA(MATCH(741,'Transfer Engine'!$C$2:$C$1960,0)),"",INDEX('Compliance Database'!$C$2:$C$1960,MATCH(741,'Transfer Engine'!$C$2:$C$1960,0)))</f>
        <v/>
      </c>
      <c r="D750" s="9">
        <f>IF(ISNA(MATCH(741,'Transfer Engine'!$C$2:$C$1960,0)),"",INDEX('Compliance Database'!$D$2:$D$1960,MATCH(741,'Transfer Engine'!$C$2:$C$1960,0)))</f>
        <v/>
      </c>
      <c r="E750" s="8">
        <f>IF(ISNA(MATCH(741,'Transfer Engine'!$C$2:$C$1960,0)),"",INDEX('Compliance Database'!$E$2:$E$1960,MATCH(741,'Transfer Engine'!$C$2:$C$1960,0)))</f>
        <v/>
      </c>
      <c r="F750" s="8">
        <f>IF(ISNA(MATCH(741,'Transfer Engine'!$C$2:$C$1960,0)),"",INDEX('Compliance Database'!$F$2:$F$1960,MATCH(741,'Transfer Engine'!$C$2:$C$1960,0)))</f>
        <v/>
      </c>
      <c r="G750" s="8">
        <f>IF(ISNA(MATCH(741,'Transfer Engine'!$C$2:$C$1960,0)),"",INDEX('Compliance Database'!$G$2:$G$1960,MATCH(741,'Transfer Engine'!$C$2:$C$1960,0)))</f>
        <v/>
      </c>
      <c r="H750" s="9">
        <f>IF(ISNA(MATCH(741,'Transfer Engine'!$C$2:$C$1960,0)),"",INDEX('Compliance Database'!$H$2:$H$1960,MATCH(741,'Transfer Engine'!$C$2:$C$1960,0)))</f>
        <v/>
      </c>
      <c r="I750" s="9">
        <f>IF(ISNA(MATCH(741,'Transfer Engine'!$C$2:$C$1960,0)),"",INDEX('Compliance Database'!$I$2:$I$1960,MATCH(741,'Transfer Engine'!$C$2:$C$1960,0)))</f>
        <v/>
      </c>
      <c r="J750" s="8">
        <f>IF(ISNA(MATCH(741,'Transfer Engine'!$C$2:$C$1960,0)),"",INDEX('Compliance Database'!$J$2:$J$1960,MATCH(741,'Transfer Engine'!$C$2:$C$1960,0)))</f>
        <v/>
      </c>
      <c r="K750" s="9">
        <f>IF(ISNA(MATCH(741,'Transfer Engine'!$C$2:$C$1960,0)),"",INDEX('Compliance Database'!$K$2:$K$1960,MATCH(741,'Transfer Engine'!$C$2:$C$1960,0)))</f>
        <v/>
      </c>
      <c r="L750" s="9">
        <f>IF(ISNA(MATCH(741,'Transfer Engine'!$C$2:$C$1960,0)),"",INDEX('Compliance Database'!$L$2:$L$1960,MATCH(741,'Transfer Engine'!$C$2:$C$1960,0)))</f>
        <v/>
      </c>
      <c r="M750" s="9">
        <f>IF(ISNA(MATCH(741,'Transfer Engine'!$C$2:$C$1960,0)),"",INDEX('Compliance Database'!$M$2:$M$1960,MATCH(741,'Transfer Engine'!$C$2:$C$1960,0)))</f>
        <v/>
      </c>
      <c r="N750" s="9">
        <f>IF(ISNA(MATCH(741,'Transfer Engine'!$C$2:$C$1960,0)),"",INDEX('Compliance Database'!$N$2:$N$1960,MATCH(741,'Transfer Engine'!$C$2:$C$1960,0)))</f>
        <v/>
      </c>
      <c r="O750" s="9">
        <f>IF(ISNA(MATCH(741,'Transfer Engine'!$C$2:$C$1960,0)),"",INDEX('Compliance Database'!$O$2:$O$1960,MATCH(741,'Transfer Engine'!$C$2:$C$1960,0)))</f>
        <v/>
      </c>
      <c r="P750" s="8">
        <f>IF(ISNA(MATCH(741,'Transfer Engine'!$C$2:$C$1960,0)),"",HYPERLINK("#Acts!A"&amp;INDEX('Compliance Database'!$P$2:$P$1960,MATCH(741,'Transfer Engine'!$C$2:$C$1960,0)),"Go to Act"))</f>
        <v/>
      </c>
    </row>
    <row r="751" ht="158" customHeight="1">
      <c r="A751" s="8">
        <f>IF(ISNA(MATCH(742,'Transfer Engine'!$C$2:$C$1960,0)),"",INDEX('Compliance Database'!$A$2:$A$1960,MATCH(742,'Transfer Engine'!$C$2:$C$1960,0)))</f>
        <v/>
      </c>
      <c r="B751" s="8">
        <f>IF(ISNA(MATCH(742,'Transfer Engine'!$C$2:$C$1960,0)),"",INDEX('Compliance Database'!$B$2:$B$1960,MATCH(742,'Transfer Engine'!$C$2:$C$1960,0)))</f>
        <v/>
      </c>
      <c r="C751" s="8">
        <f>IF(ISNA(MATCH(742,'Transfer Engine'!$C$2:$C$1960,0)),"",INDEX('Compliance Database'!$C$2:$C$1960,MATCH(742,'Transfer Engine'!$C$2:$C$1960,0)))</f>
        <v/>
      </c>
      <c r="D751" s="9">
        <f>IF(ISNA(MATCH(742,'Transfer Engine'!$C$2:$C$1960,0)),"",INDEX('Compliance Database'!$D$2:$D$1960,MATCH(742,'Transfer Engine'!$C$2:$C$1960,0)))</f>
        <v/>
      </c>
      <c r="E751" s="8">
        <f>IF(ISNA(MATCH(742,'Transfer Engine'!$C$2:$C$1960,0)),"",INDEX('Compliance Database'!$E$2:$E$1960,MATCH(742,'Transfer Engine'!$C$2:$C$1960,0)))</f>
        <v/>
      </c>
      <c r="F751" s="8">
        <f>IF(ISNA(MATCH(742,'Transfer Engine'!$C$2:$C$1960,0)),"",INDEX('Compliance Database'!$F$2:$F$1960,MATCH(742,'Transfer Engine'!$C$2:$C$1960,0)))</f>
        <v/>
      </c>
      <c r="G751" s="8">
        <f>IF(ISNA(MATCH(742,'Transfer Engine'!$C$2:$C$1960,0)),"",INDEX('Compliance Database'!$G$2:$G$1960,MATCH(742,'Transfer Engine'!$C$2:$C$1960,0)))</f>
        <v/>
      </c>
      <c r="H751" s="9">
        <f>IF(ISNA(MATCH(742,'Transfer Engine'!$C$2:$C$1960,0)),"",INDEX('Compliance Database'!$H$2:$H$1960,MATCH(742,'Transfer Engine'!$C$2:$C$1960,0)))</f>
        <v/>
      </c>
      <c r="I751" s="9">
        <f>IF(ISNA(MATCH(742,'Transfer Engine'!$C$2:$C$1960,0)),"",INDEX('Compliance Database'!$I$2:$I$1960,MATCH(742,'Transfer Engine'!$C$2:$C$1960,0)))</f>
        <v/>
      </c>
      <c r="J751" s="8">
        <f>IF(ISNA(MATCH(742,'Transfer Engine'!$C$2:$C$1960,0)),"",INDEX('Compliance Database'!$J$2:$J$1960,MATCH(742,'Transfer Engine'!$C$2:$C$1960,0)))</f>
        <v/>
      </c>
      <c r="K751" s="9">
        <f>IF(ISNA(MATCH(742,'Transfer Engine'!$C$2:$C$1960,0)),"",INDEX('Compliance Database'!$K$2:$K$1960,MATCH(742,'Transfer Engine'!$C$2:$C$1960,0)))</f>
        <v/>
      </c>
      <c r="L751" s="9">
        <f>IF(ISNA(MATCH(742,'Transfer Engine'!$C$2:$C$1960,0)),"",INDEX('Compliance Database'!$L$2:$L$1960,MATCH(742,'Transfer Engine'!$C$2:$C$1960,0)))</f>
        <v/>
      </c>
      <c r="M751" s="9">
        <f>IF(ISNA(MATCH(742,'Transfer Engine'!$C$2:$C$1960,0)),"",INDEX('Compliance Database'!$M$2:$M$1960,MATCH(742,'Transfer Engine'!$C$2:$C$1960,0)))</f>
        <v/>
      </c>
      <c r="N751" s="9">
        <f>IF(ISNA(MATCH(742,'Transfer Engine'!$C$2:$C$1960,0)),"",INDEX('Compliance Database'!$N$2:$N$1960,MATCH(742,'Transfer Engine'!$C$2:$C$1960,0)))</f>
        <v/>
      </c>
      <c r="O751" s="9">
        <f>IF(ISNA(MATCH(742,'Transfer Engine'!$C$2:$C$1960,0)),"",INDEX('Compliance Database'!$O$2:$O$1960,MATCH(742,'Transfer Engine'!$C$2:$C$1960,0)))</f>
        <v/>
      </c>
      <c r="P751" s="8">
        <f>IF(ISNA(MATCH(742,'Transfer Engine'!$C$2:$C$1960,0)),"",HYPERLINK("#Acts!A"&amp;INDEX('Compliance Database'!$P$2:$P$1960,MATCH(742,'Transfer Engine'!$C$2:$C$1960,0)),"Go to Act"))</f>
        <v/>
      </c>
    </row>
    <row r="752" ht="158" customHeight="1">
      <c r="A752" s="8">
        <f>IF(ISNA(MATCH(743,'Transfer Engine'!$C$2:$C$1960,0)),"",INDEX('Compliance Database'!$A$2:$A$1960,MATCH(743,'Transfer Engine'!$C$2:$C$1960,0)))</f>
        <v/>
      </c>
      <c r="B752" s="8">
        <f>IF(ISNA(MATCH(743,'Transfer Engine'!$C$2:$C$1960,0)),"",INDEX('Compliance Database'!$B$2:$B$1960,MATCH(743,'Transfer Engine'!$C$2:$C$1960,0)))</f>
        <v/>
      </c>
      <c r="C752" s="8">
        <f>IF(ISNA(MATCH(743,'Transfer Engine'!$C$2:$C$1960,0)),"",INDEX('Compliance Database'!$C$2:$C$1960,MATCH(743,'Transfer Engine'!$C$2:$C$1960,0)))</f>
        <v/>
      </c>
      <c r="D752" s="9">
        <f>IF(ISNA(MATCH(743,'Transfer Engine'!$C$2:$C$1960,0)),"",INDEX('Compliance Database'!$D$2:$D$1960,MATCH(743,'Transfer Engine'!$C$2:$C$1960,0)))</f>
        <v/>
      </c>
      <c r="E752" s="8">
        <f>IF(ISNA(MATCH(743,'Transfer Engine'!$C$2:$C$1960,0)),"",INDEX('Compliance Database'!$E$2:$E$1960,MATCH(743,'Transfer Engine'!$C$2:$C$1960,0)))</f>
        <v/>
      </c>
      <c r="F752" s="8">
        <f>IF(ISNA(MATCH(743,'Transfer Engine'!$C$2:$C$1960,0)),"",INDEX('Compliance Database'!$F$2:$F$1960,MATCH(743,'Transfer Engine'!$C$2:$C$1960,0)))</f>
        <v/>
      </c>
      <c r="G752" s="8">
        <f>IF(ISNA(MATCH(743,'Transfer Engine'!$C$2:$C$1960,0)),"",INDEX('Compliance Database'!$G$2:$G$1960,MATCH(743,'Transfer Engine'!$C$2:$C$1960,0)))</f>
        <v/>
      </c>
      <c r="H752" s="9">
        <f>IF(ISNA(MATCH(743,'Transfer Engine'!$C$2:$C$1960,0)),"",INDEX('Compliance Database'!$H$2:$H$1960,MATCH(743,'Transfer Engine'!$C$2:$C$1960,0)))</f>
        <v/>
      </c>
      <c r="I752" s="9">
        <f>IF(ISNA(MATCH(743,'Transfer Engine'!$C$2:$C$1960,0)),"",INDEX('Compliance Database'!$I$2:$I$1960,MATCH(743,'Transfer Engine'!$C$2:$C$1960,0)))</f>
        <v/>
      </c>
      <c r="J752" s="8">
        <f>IF(ISNA(MATCH(743,'Transfer Engine'!$C$2:$C$1960,0)),"",INDEX('Compliance Database'!$J$2:$J$1960,MATCH(743,'Transfer Engine'!$C$2:$C$1960,0)))</f>
        <v/>
      </c>
      <c r="K752" s="9">
        <f>IF(ISNA(MATCH(743,'Transfer Engine'!$C$2:$C$1960,0)),"",INDEX('Compliance Database'!$K$2:$K$1960,MATCH(743,'Transfer Engine'!$C$2:$C$1960,0)))</f>
        <v/>
      </c>
      <c r="L752" s="9">
        <f>IF(ISNA(MATCH(743,'Transfer Engine'!$C$2:$C$1960,0)),"",INDEX('Compliance Database'!$L$2:$L$1960,MATCH(743,'Transfer Engine'!$C$2:$C$1960,0)))</f>
        <v/>
      </c>
      <c r="M752" s="9">
        <f>IF(ISNA(MATCH(743,'Transfer Engine'!$C$2:$C$1960,0)),"",INDEX('Compliance Database'!$M$2:$M$1960,MATCH(743,'Transfer Engine'!$C$2:$C$1960,0)))</f>
        <v/>
      </c>
      <c r="N752" s="9">
        <f>IF(ISNA(MATCH(743,'Transfer Engine'!$C$2:$C$1960,0)),"",INDEX('Compliance Database'!$N$2:$N$1960,MATCH(743,'Transfer Engine'!$C$2:$C$1960,0)))</f>
        <v/>
      </c>
      <c r="O752" s="9">
        <f>IF(ISNA(MATCH(743,'Transfer Engine'!$C$2:$C$1960,0)),"",INDEX('Compliance Database'!$O$2:$O$1960,MATCH(743,'Transfer Engine'!$C$2:$C$1960,0)))</f>
        <v/>
      </c>
      <c r="P752" s="8">
        <f>IF(ISNA(MATCH(743,'Transfer Engine'!$C$2:$C$1960,0)),"",HYPERLINK("#Acts!A"&amp;INDEX('Compliance Database'!$P$2:$P$1960,MATCH(743,'Transfer Engine'!$C$2:$C$1960,0)),"Go to Act"))</f>
        <v/>
      </c>
    </row>
    <row r="753" ht="158" customHeight="1">
      <c r="A753" s="8">
        <f>IF(ISNA(MATCH(744,'Transfer Engine'!$C$2:$C$1960,0)),"",INDEX('Compliance Database'!$A$2:$A$1960,MATCH(744,'Transfer Engine'!$C$2:$C$1960,0)))</f>
        <v/>
      </c>
      <c r="B753" s="8">
        <f>IF(ISNA(MATCH(744,'Transfer Engine'!$C$2:$C$1960,0)),"",INDEX('Compliance Database'!$B$2:$B$1960,MATCH(744,'Transfer Engine'!$C$2:$C$1960,0)))</f>
        <v/>
      </c>
      <c r="C753" s="8">
        <f>IF(ISNA(MATCH(744,'Transfer Engine'!$C$2:$C$1960,0)),"",INDEX('Compliance Database'!$C$2:$C$1960,MATCH(744,'Transfer Engine'!$C$2:$C$1960,0)))</f>
        <v/>
      </c>
      <c r="D753" s="9">
        <f>IF(ISNA(MATCH(744,'Transfer Engine'!$C$2:$C$1960,0)),"",INDEX('Compliance Database'!$D$2:$D$1960,MATCH(744,'Transfer Engine'!$C$2:$C$1960,0)))</f>
        <v/>
      </c>
      <c r="E753" s="8">
        <f>IF(ISNA(MATCH(744,'Transfer Engine'!$C$2:$C$1960,0)),"",INDEX('Compliance Database'!$E$2:$E$1960,MATCH(744,'Transfer Engine'!$C$2:$C$1960,0)))</f>
        <v/>
      </c>
      <c r="F753" s="8">
        <f>IF(ISNA(MATCH(744,'Transfer Engine'!$C$2:$C$1960,0)),"",INDEX('Compliance Database'!$F$2:$F$1960,MATCH(744,'Transfer Engine'!$C$2:$C$1960,0)))</f>
        <v/>
      </c>
      <c r="G753" s="8">
        <f>IF(ISNA(MATCH(744,'Transfer Engine'!$C$2:$C$1960,0)),"",INDEX('Compliance Database'!$G$2:$G$1960,MATCH(744,'Transfer Engine'!$C$2:$C$1960,0)))</f>
        <v/>
      </c>
      <c r="H753" s="9">
        <f>IF(ISNA(MATCH(744,'Transfer Engine'!$C$2:$C$1960,0)),"",INDEX('Compliance Database'!$H$2:$H$1960,MATCH(744,'Transfer Engine'!$C$2:$C$1960,0)))</f>
        <v/>
      </c>
      <c r="I753" s="9">
        <f>IF(ISNA(MATCH(744,'Transfer Engine'!$C$2:$C$1960,0)),"",INDEX('Compliance Database'!$I$2:$I$1960,MATCH(744,'Transfer Engine'!$C$2:$C$1960,0)))</f>
        <v/>
      </c>
      <c r="J753" s="8">
        <f>IF(ISNA(MATCH(744,'Transfer Engine'!$C$2:$C$1960,0)),"",INDEX('Compliance Database'!$J$2:$J$1960,MATCH(744,'Transfer Engine'!$C$2:$C$1960,0)))</f>
        <v/>
      </c>
      <c r="K753" s="9">
        <f>IF(ISNA(MATCH(744,'Transfer Engine'!$C$2:$C$1960,0)),"",INDEX('Compliance Database'!$K$2:$K$1960,MATCH(744,'Transfer Engine'!$C$2:$C$1960,0)))</f>
        <v/>
      </c>
      <c r="L753" s="9">
        <f>IF(ISNA(MATCH(744,'Transfer Engine'!$C$2:$C$1960,0)),"",INDEX('Compliance Database'!$L$2:$L$1960,MATCH(744,'Transfer Engine'!$C$2:$C$1960,0)))</f>
        <v/>
      </c>
      <c r="M753" s="9">
        <f>IF(ISNA(MATCH(744,'Transfer Engine'!$C$2:$C$1960,0)),"",INDEX('Compliance Database'!$M$2:$M$1960,MATCH(744,'Transfer Engine'!$C$2:$C$1960,0)))</f>
        <v/>
      </c>
      <c r="N753" s="9">
        <f>IF(ISNA(MATCH(744,'Transfer Engine'!$C$2:$C$1960,0)),"",INDEX('Compliance Database'!$N$2:$N$1960,MATCH(744,'Transfer Engine'!$C$2:$C$1960,0)))</f>
        <v/>
      </c>
      <c r="O753" s="9">
        <f>IF(ISNA(MATCH(744,'Transfer Engine'!$C$2:$C$1960,0)),"",INDEX('Compliance Database'!$O$2:$O$1960,MATCH(744,'Transfer Engine'!$C$2:$C$1960,0)))</f>
        <v/>
      </c>
      <c r="P753" s="8">
        <f>IF(ISNA(MATCH(744,'Transfer Engine'!$C$2:$C$1960,0)),"",HYPERLINK("#Acts!A"&amp;INDEX('Compliance Database'!$P$2:$P$1960,MATCH(744,'Transfer Engine'!$C$2:$C$1960,0)),"Go to Act"))</f>
        <v/>
      </c>
    </row>
    <row r="754" ht="158" customHeight="1">
      <c r="A754" s="8">
        <f>IF(ISNA(MATCH(745,'Transfer Engine'!$C$2:$C$1960,0)),"",INDEX('Compliance Database'!$A$2:$A$1960,MATCH(745,'Transfer Engine'!$C$2:$C$1960,0)))</f>
        <v/>
      </c>
      <c r="B754" s="8">
        <f>IF(ISNA(MATCH(745,'Transfer Engine'!$C$2:$C$1960,0)),"",INDEX('Compliance Database'!$B$2:$B$1960,MATCH(745,'Transfer Engine'!$C$2:$C$1960,0)))</f>
        <v/>
      </c>
      <c r="C754" s="8">
        <f>IF(ISNA(MATCH(745,'Transfer Engine'!$C$2:$C$1960,0)),"",INDEX('Compliance Database'!$C$2:$C$1960,MATCH(745,'Transfer Engine'!$C$2:$C$1960,0)))</f>
        <v/>
      </c>
      <c r="D754" s="9">
        <f>IF(ISNA(MATCH(745,'Transfer Engine'!$C$2:$C$1960,0)),"",INDEX('Compliance Database'!$D$2:$D$1960,MATCH(745,'Transfer Engine'!$C$2:$C$1960,0)))</f>
        <v/>
      </c>
      <c r="E754" s="8">
        <f>IF(ISNA(MATCH(745,'Transfer Engine'!$C$2:$C$1960,0)),"",INDEX('Compliance Database'!$E$2:$E$1960,MATCH(745,'Transfer Engine'!$C$2:$C$1960,0)))</f>
        <v/>
      </c>
      <c r="F754" s="8">
        <f>IF(ISNA(MATCH(745,'Transfer Engine'!$C$2:$C$1960,0)),"",INDEX('Compliance Database'!$F$2:$F$1960,MATCH(745,'Transfer Engine'!$C$2:$C$1960,0)))</f>
        <v/>
      </c>
      <c r="G754" s="8">
        <f>IF(ISNA(MATCH(745,'Transfer Engine'!$C$2:$C$1960,0)),"",INDEX('Compliance Database'!$G$2:$G$1960,MATCH(745,'Transfer Engine'!$C$2:$C$1960,0)))</f>
        <v/>
      </c>
      <c r="H754" s="9">
        <f>IF(ISNA(MATCH(745,'Transfer Engine'!$C$2:$C$1960,0)),"",INDEX('Compliance Database'!$H$2:$H$1960,MATCH(745,'Transfer Engine'!$C$2:$C$1960,0)))</f>
        <v/>
      </c>
      <c r="I754" s="9">
        <f>IF(ISNA(MATCH(745,'Transfer Engine'!$C$2:$C$1960,0)),"",INDEX('Compliance Database'!$I$2:$I$1960,MATCH(745,'Transfer Engine'!$C$2:$C$1960,0)))</f>
        <v/>
      </c>
      <c r="J754" s="8">
        <f>IF(ISNA(MATCH(745,'Transfer Engine'!$C$2:$C$1960,0)),"",INDEX('Compliance Database'!$J$2:$J$1960,MATCH(745,'Transfer Engine'!$C$2:$C$1960,0)))</f>
        <v/>
      </c>
      <c r="K754" s="9">
        <f>IF(ISNA(MATCH(745,'Transfer Engine'!$C$2:$C$1960,0)),"",INDEX('Compliance Database'!$K$2:$K$1960,MATCH(745,'Transfer Engine'!$C$2:$C$1960,0)))</f>
        <v/>
      </c>
      <c r="L754" s="9">
        <f>IF(ISNA(MATCH(745,'Transfer Engine'!$C$2:$C$1960,0)),"",INDEX('Compliance Database'!$L$2:$L$1960,MATCH(745,'Transfer Engine'!$C$2:$C$1960,0)))</f>
        <v/>
      </c>
      <c r="M754" s="9">
        <f>IF(ISNA(MATCH(745,'Transfer Engine'!$C$2:$C$1960,0)),"",INDEX('Compliance Database'!$M$2:$M$1960,MATCH(745,'Transfer Engine'!$C$2:$C$1960,0)))</f>
        <v/>
      </c>
      <c r="N754" s="9">
        <f>IF(ISNA(MATCH(745,'Transfer Engine'!$C$2:$C$1960,0)),"",INDEX('Compliance Database'!$N$2:$N$1960,MATCH(745,'Transfer Engine'!$C$2:$C$1960,0)))</f>
        <v/>
      </c>
      <c r="O754" s="9">
        <f>IF(ISNA(MATCH(745,'Transfer Engine'!$C$2:$C$1960,0)),"",INDEX('Compliance Database'!$O$2:$O$1960,MATCH(745,'Transfer Engine'!$C$2:$C$1960,0)))</f>
        <v/>
      </c>
      <c r="P754" s="8">
        <f>IF(ISNA(MATCH(745,'Transfer Engine'!$C$2:$C$1960,0)),"",HYPERLINK("#Acts!A"&amp;INDEX('Compliance Database'!$P$2:$P$1960,MATCH(745,'Transfer Engine'!$C$2:$C$1960,0)),"Go to Act"))</f>
        <v/>
      </c>
    </row>
    <row r="755" ht="158" customHeight="1">
      <c r="A755" s="8">
        <f>IF(ISNA(MATCH(746,'Transfer Engine'!$C$2:$C$1960,0)),"",INDEX('Compliance Database'!$A$2:$A$1960,MATCH(746,'Transfer Engine'!$C$2:$C$1960,0)))</f>
        <v/>
      </c>
      <c r="B755" s="8">
        <f>IF(ISNA(MATCH(746,'Transfer Engine'!$C$2:$C$1960,0)),"",INDEX('Compliance Database'!$B$2:$B$1960,MATCH(746,'Transfer Engine'!$C$2:$C$1960,0)))</f>
        <v/>
      </c>
      <c r="C755" s="8">
        <f>IF(ISNA(MATCH(746,'Transfer Engine'!$C$2:$C$1960,0)),"",INDEX('Compliance Database'!$C$2:$C$1960,MATCH(746,'Transfer Engine'!$C$2:$C$1960,0)))</f>
        <v/>
      </c>
      <c r="D755" s="9">
        <f>IF(ISNA(MATCH(746,'Transfer Engine'!$C$2:$C$1960,0)),"",INDEX('Compliance Database'!$D$2:$D$1960,MATCH(746,'Transfer Engine'!$C$2:$C$1960,0)))</f>
        <v/>
      </c>
      <c r="E755" s="8">
        <f>IF(ISNA(MATCH(746,'Transfer Engine'!$C$2:$C$1960,0)),"",INDEX('Compliance Database'!$E$2:$E$1960,MATCH(746,'Transfer Engine'!$C$2:$C$1960,0)))</f>
        <v/>
      </c>
      <c r="F755" s="8">
        <f>IF(ISNA(MATCH(746,'Transfer Engine'!$C$2:$C$1960,0)),"",INDEX('Compliance Database'!$F$2:$F$1960,MATCH(746,'Transfer Engine'!$C$2:$C$1960,0)))</f>
        <v/>
      </c>
      <c r="G755" s="8">
        <f>IF(ISNA(MATCH(746,'Transfer Engine'!$C$2:$C$1960,0)),"",INDEX('Compliance Database'!$G$2:$G$1960,MATCH(746,'Transfer Engine'!$C$2:$C$1960,0)))</f>
        <v/>
      </c>
      <c r="H755" s="9">
        <f>IF(ISNA(MATCH(746,'Transfer Engine'!$C$2:$C$1960,0)),"",INDEX('Compliance Database'!$H$2:$H$1960,MATCH(746,'Transfer Engine'!$C$2:$C$1960,0)))</f>
        <v/>
      </c>
      <c r="I755" s="9">
        <f>IF(ISNA(MATCH(746,'Transfer Engine'!$C$2:$C$1960,0)),"",INDEX('Compliance Database'!$I$2:$I$1960,MATCH(746,'Transfer Engine'!$C$2:$C$1960,0)))</f>
        <v/>
      </c>
      <c r="J755" s="8">
        <f>IF(ISNA(MATCH(746,'Transfer Engine'!$C$2:$C$1960,0)),"",INDEX('Compliance Database'!$J$2:$J$1960,MATCH(746,'Transfer Engine'!$C$2:$C$1960,0)))</f>
        <v/>
      </c>
      <c r="K755" s="9">
        <f>IF(ISNA(MATCH(746,'Transfer Engine'!$C$2:$C$1960,0)),"",INDEX('Compliance Database'!$K$2:$K$1960,MATCH(746,'Transfer Engine'!$C$2:$C$1960,0)))</f>
        <v/>
      </c>
      <c r="L755" s="9">
        <f>IF(ISNA(MATCH(746,'Transfer Engine'!$C$2:$C$1960,0)),"",INDEX('Compliance Database'!$L$2:$L$1960,MATCH(746,'Transfer Engine'!$C$2:$C$1960,0)))</f>
        <v/>
      </c>
      <c r="M755" s="9">
        <f>IF(ISNA(MATCH(746,'Transfer Engine'!$C$2:$C$1960,0)),"",INDEX('Compliance Database'!$M$2:$M$1960,MATCH(746,'Transfer Engine'!$C$2:$C$1960,0)))</f>
        <v/>
      </c>
      <c r="N755" s="9">
        <f>IF(ISNA(MATCH(746,'Transfer Engine'!$C$2:$C$1960,0)),"",INDEX('Compliance Database'!$N$2:$N$1960,MATCH(746,'Transfer Engine'!$C$2:$C$1960,0)))</f>
        <v/>
      </c>
      <c r="O755" s="9">
        <f>IF(ISNA(MATCH(746,'Transfer Engine'!$C$2:$C$1960,0)),"",INDEX('Compliance Database'!$O$2:$O$1960,MATCH(746,'Transfer Engine'!$C$2:$C$1960,0)))</f>
        <v/>
      </c>
      <c r="P755" s="8">
        <f>IF(ISNA(MATCH(746,'Transfer Engine'!$C$2:$C$1960,0)),"",HYPERLINK("#Acts!A"&amp;INDEX('Compliance Database'!$P$2:$P$1960,MATCH(746,'Transfer Engine'!$C$2:$C$1960,0)),"Go to Act"))</f>
        <v/>
      </c>
    </row>
    <row r="756" ht="158" customHeight="1">
      <c r="A756" s="8">
        <f>IF(ISNA(MATCH(747,'Transfer Engine'!$C$2:$C$1960,0)),"",INDEX('Compliance Database'!$A$2:$A$1960,MATCH(747,'Transfer Engine'!$C$2:$C$1960,0)))</f>
        <v/>
      </c>
      <c r="B756" s="8">
        <f>IF(ISNA(MATCH(747,'Transfer Engine'!$C$2:$C$1960,0)),"",INDEX('Compliance Database'!$B$2:$B$1960,MATCH(747,'Transfer Engine'!$C$2:$C$1960,0)))</f>
        <v/>
      </c>
      <c r="C756" s="8">
        <f>IF(ISNA(MATCH(747,'Transfer Engine'!$C$2:$C$1960,0)),"",INDEX('Compliance Database'!$C$2:$C$1960,MATCH(747,'Transfer Engine'!$C$2:$C$1960,0)))</f>
        <v/>
      </c>
      <c r="D756" s="9">
        <f>IF(ISNA(MATCH(747,'Transfer Engine'!$C$2:$C$1960,0)),"",INDEX('Compliance Database'!$D$2:$D$1960,MATCH(747,'Transfer Engine'!$C$2:$C$1960,0)))</f>
        <v/>
      </c>
      <c r="E756" s="8">
        <f>IF(ISNA(MATCH(747,'Transfer Engine'!$C$2:$C$1960,0)),"",INDEX('Compliance Database'!$E$2:$E$1960,MATCH(747,'Transfer Engine'!$C$2:$C$1960,0)))</f>
        <v/>
      </c>
      <c r="F756" s="8">
        <f>IF(ISNA(MATCH(747,'Transfer Engine'!$C$2:$C$1960,0)),"",INDEX('Compliance Database'!$F$2:$F$1960,MATCH(747,'Transfer Engine'!$C$2:$C$1960,0)))</f>
        <v/>
      </c>
      <c r="G756" s="8">
        <f>IF(ISNA(MATCH(747,'Transfer Engine'!$C$2:$C$1960,0)),"",INDEX('Compliance Database'!$G$2:$G$1960,MATCH(747,'Transfer Engine'!$C$2:$C$1960,0)))</f>
        <v/>
      </c>
      <c r="H756" s="9">
        <f>IF(ISNA(MATCH(747,'Transfer Engine'!$C$2:$C$1960,0)),"",INDEX('Compliance Database'!$H$2:$H$1960,MATCH(747,'Transfer Engine'!$C$2:$C$1960,0)))</f>
        <v/>
      </c>
      <c r="I756" s="9">
        <f>IF(ISNA(MATCH(747,'Transfer Engine'!$C$2:$C$1960,0)),"",INDEX('Compliance Database'!$I$2:$I$1960,MATCH(747,'Transfer Engine'!$C$2:$C$1960,0)))</f>
        <v/>
      </c>
      <c r="J756" s="8">
        <f>IF(ISNA(MATCH(747,'Transfer Engine'!$C$2:$C$1960,0)),"",INDEX('Compliance Database'!$J$2:$J$1960,MATCH(747,'Transfer Engine'!$C$2:$C$1960,0)))</f>
        <v/>
      </c>
      <c r="K756" s="9">
        <f>IF(ISNA(MATCH(747,'Transfer Engine'!$C$2:$C$1960,0)),"",INDEX('Compliance Database'!$K$2:$K$1960,MATCH(747,'Transfer Engine'!$C$2:$C$1960,0)))</f>
        <v/>
      </c>
      <c r="L756" s="9">
        <f>IF(ISNA(MATCH(747,'Transfer Engine'!$C$2:$C$1960,0)),"",INDEX('Compliance Database'!$L$2:$L$1960,MATCH(747,'Transfer Engine'!$C$2:$C$1960,0)))</f>
        <v/>
      </c>
      <c r="M756" s="9">
        <f>IF(ISNA(MATCH(747,'Transfer Engine'!$C$2:$C$1960,0)),"",INDEX('Compliance Database'!$M$2:$M$1960,MATCH(747,'Transfer Engine'!$C$2:$C$1960,0)))</f>
        <v/>
      </c>
      <c r="N756" s="9">
        <f>IF(ISNA(MATCH(747,'Transfer Engine'!$C$2:$C$1960,0)),"",INDEX('Compliance Database'!$N$2:$N$1960,MATCH(747,'Transfer Engine'!$C$2:$C$1960,0)))</f>
        <v/>
      </c>
      <c r="O756" s="9">
        <f>IF(ISNA(MATCH(747,'Transfer Engine'!$C$2:$C$1960,0)),"",INDEX('Compliance Database'!$O$2:$O$1960,MATCH(747,'Transfer Engine'!$C$2:$C$1960,0)))</f>
        <v/>
      </c>
      <c r="P756" s="8">
        <f>IF(ISNA(MATCH(747,'Transfer Engine'!$C$2:$C$1960,0)),"",HYPERLINK("#Acts!A"&amp;INDEX('Compliance Database'!$P$2:$P$1960,MATCH(747,'Transfer Engine'!$C$2:$C$1960,0)),"Go to Act"))</f>
        <v/>
      </c>
    </row>
    <row r="757" ht="158" customHeight="1">
      <c r="A757" s="8">
        <f>IF(ISNA(MATCH(748,'Transfer Engine'!$C$2:$C$1960,0)),"",INDEX('Compliance Database'!$A$2:$A$1960,MATCH(748,'Transfer Engine'!$C$2:$C$1960,0)))</f>
        <v/>
      </c>
      <c r="B757" s="8">
        <f>IF(ISNA(MATCH(748,'Transfer Engine'!$C$2:$C$1960,0)),"",INDEX('Compliance Database'!$B$2:$B$1960,MATCH(748,'Transfer Engine'!$C$2:$C$1960,0)))</f>
        <v/>
      </c>
      <c r="C757" s="8">
        <f>IF(ISNA(MATCH(748,'Transfer Engine'!$C$2:$C$1960,0)),"",INDEX('Compliance Database'!$C$2:$C$1960,MATCH(748,'Transfer Engine'!$C$2:$C$1960,0)))</f>
        <v/>
      </c>
      <c r="D757" s="9">
        <f>IF(ISNA(MATCH(748,'Transfer Engine'!$C$2:$C$1960,0)),"",INDEX('Compliance Database'!$D$2:$D$1960,MATCH(748,'Transfer Engine'!$C$2:$C$1960,0)))</f>
        <v/>
      </c>
      <c r="E757" s="8">
        <f>IF(ISNA(MATCH(748,'Transfer Engine'!$C$2:$C$1960,0)),"",INDEX('Compliance Database'!$E$2:$E$1960,MATCH(748,'Transfer Engine'!$C$2:$C$1960,0)))</f>
        <v/>
      </c>
      <c r="F757" s="8">
        <f>IF(ISNA(MATCH(748,'Transfer Engine'!$C$2:$C$1960,0)),"",INDEX('Compliance Database'!$F$2:$F$1960,MATCH(748,'Transfer Engine'!$C$2:$C$1960,0)))</f>
        <v/>
      </c>
      <c r="G757" s="8">
        <f>IF(ISNA(MATCH(748,'Transfer Engine'!$C$2:$C$1960,0)),"",INDEX('Compliance Database'!$G$2:$G$1960,MATCH(748,'Transfer Engine'!$C$2:$C$1960,0)))</f>
        <v/>
      </c>
      <c r="H757" s="9">
        <f>IF(ISNA(MATCH(748,'Transfer Engine'!$C$2:$C$1960,0)),"",INDEX('Compliance Database'!$H$2:$H$1960,MATCH(748,'Transfer Engine'!$C$2:$C$1960,0)))</f>
        <v/>
      </c>
      <c r="I757" s="9">
        <f>IF(ISNA(MATCH(748,'Transfer Engine'!$C$2:$C$1960,0)),"",INDEX('Compliance Database'!$I$2:$I$1960,MATCH(748,'Transfer Engine'!$C$2:$C$1960,0)))</f>
        <v/>
      </c>
      <c r="J757" s="8">
        <f>IF(ISNA(MATCH(748,'Transfer Engine'!$C$2:$C$1960,0)),"",INDEX('Compliance Database'!$J$2:$J$1960,MATCH(748,'Transfer Engine'!$C$2:$C$1960,0)))</f>
        <v/>
      </c>
      <c r="K757" s="9">
        <f>IF(ISNA(MATCH(748,'Transfer Engine'!$C$2:$C$1960,0)),"",INDEX('Compliance Database'!$K$2:$K$1960,MATCH(748,'Transfer Engine'!$C$2:$C$1960,0)))</f>
        <v/>
      </c>
      <c r="L757" s="9">
        <f>IF(ISNA(MATCH(748,'Transfer Engine'!$C$2:$C$1960,0)),"",INDEX('Compliance Database'!$L$2:$L$1960,MATCH(748,'Transfer Engine'!$C$2:$C$1960,0)))</f>
        <v/>
      </c>
      <c r="M757" s="9">
        <f>IF(ISNA(MATCH(748,'Transfer Engine'!$C$2:$C$1960,0)),"",INDEX('Compliance Database'!$M$2:$M$1960,MATCH(748,'Transfer Engine'!$C$2:$C$1960,0)))</f>
        <v/>
      </c>
      <c r="N757" s="9">
        <f>IF(ISNA(MATCH(748,'Transfer Engine'!$C$2:$C$1960,0)),"",INDEX('Compliance Database'!$N$2:$N$1960,MATCH(748,'Transfer Engine'!$C$2:$C$1960,0)))</f>
        <v/>
      </c>
      <c r="O757" s="9">
        <f>IF(ISNA(MATCH(748,'Transfer Engine'!$C$2:$C$1960,0)),"",INDEX('Compliance Database'!$O$2:$O$1960,MATCH(748,'Transfer Engine'!$C$2:$C$1960,0)))</f>
        <v/>
      </c>
      <c r="P757" s="8">
        <f>IF(ISNA(MATCH(748,'Transfer Engine'!$C$2:$C$1960,0)),"",HYPERLINK("#Acts!A"&amp;INDEX('Compliance Database'!$P$2:$P$1960,MATCH(748,'Transfer Engine'!$C$2:$C$1960,0)),"Go to Act"))</f>
        <v/>
      </c>
    </row>
    <row r="758" ht="158" customHeight="1">
      <c r="A758" s="8">
        <f>IF(ISNA(MATCH(749,'Transfer Engine'!$C$2:$C$1960,0)),"",INDEX('Compliance Database'!$A$2:$A$1960,MATCH(749,'Transfer Engine'!$C$2:$C$1960,0)))</f>
        <v/>
      </c>
      <c r="B758" s="8">
        <f>IF(ISNA(MATCH(749,'Transfer Engine'!$C$2:$C$1960,0)),"",INDEX('Compliance Database'!$B$2:$B$1960,MATCH(749,'Transfer Engine'!$C$2:$C$1960,0)))</f>
        <v/>
      </c>
      <c r="C758" s="8">
        <f>IF(ISNA(MATCH(749,'Transfer Engine'!$C$2:$C$1960,0)),"",INDEX('Compliance Database'!$C$2:$C$1960,MATCH(749,'Transfer Engine'!$C$2:$C$1960,0)))</f>
        <v/>
      </c>
      <c r="D758" s="9">
        <f>IF(ISNA(MATCH(749,'Transfer Engine'!$C$2:$C$1960,0)),"",INDEX('Compliance Database'!$D$2:$D$1960,MATCH(749,'Transfer Engine'!$C$2:$C$1960,0)))</f>
        <v/>
      </c>
      <c r="E758" s="8">
        <f>IF(ISNA(MATCH(749,'Transfer Engine'!$C$2:$C$1960,0)),"",INDEX('Compliance Database'!$E$2:$E$1960,MATCH(749,'Transfer Engine'!$C$2:$C$1960,0)))</f>
        <v/>
      </c>
      <c r="F758" s="8">
        <f>IF(ISNA(MATCH(749,'Transfer Engine'!$C$2:$C$1960,0)),"",INDEX('Compliance Database'!$F$2:$F$1960,MATCH(749,'Transfer Engine'!$C$2:$C$1960,0)))</f>
        <v/>
      </c>
      <c r="G758" s="8">
        <f>IF(ISNA(MATCH(749,'Transfer Engine'!$C$2:$C$1960,0)),"",INDEX('Compliance Database'!$G$2:$G$1960,MATCH(749,'Transfer Engine'!$C$2:$C$1960,0)))</f>
        <v/>
      </c>
      <c r="H758" s="9">
        <f>IF(ISNA(MATCH(749,'Transfer Engine'!$C$2:$C$1960,0)),"",INDEX('Compliance Database'!$H$2:$H$1960,MATCH(749,'Transfer Engine'!$C$2:$C$1960,0)))</f>
        <v/>
      </c>
      <c r="I758" s="9">
        <f>IF(ISNA(MATCH(749,'Transfer Engine'!$C$2:$C$1960,0)),"",INDEX('Compliance Database'!$I$2:$I$1960,MATCH(749,'Transfer Engine'!$C$2:$C$1960,0)))</f>
        <v/>
      </c>
      <c r="J758" s="8">
        <f>IF(ISNA(MATCH(749,'Transfer Engine'!$C$2:$C$1960,0)),"",INDEX('Compliance Database'!$J$2:$J$1960,MATCH(749,'Transfer Engine'!$C$2:$C$1960,0)))</f>
        <v/>
      </c>
      <c r="K758" s="9">
        <f>IF(ISNA(MATCH(749,'Transfer Engine'!$C$2:$C$1960,0)),"",INDEX('Compliance Database'!$K$2:$K$1960,MATCH(749,'Transfer Engine'!$C$2:$C$1960,0)))</f>
        <v/>
      </c>
      <c r="L758" s="9">
        <f>IF(ISNA(MATCH(749,'Transfer Engine'!$C$2:$C$1960,0)),"",INDEX('Compliance Database'!$L$2:$L$1960,MATCH(749,'Transfer Engine'!$C$2:$C$1960,0)))</f>
        <v/>
      </c>
      <c r="M758" s="9">
        <f>IF(ISNA(MATCH(749,'Transfer Engine'!$C$2:$C$1960,0)),"",INDEX('Compliance Database'!$M$2:$M$1960,MATCH(749,'Transfer Engine'!$C$2:$C$1960,0)))</f>
        <v/>
      </c>
      <c r="N758" s="9">
        <f>IF(ISNA(MATCH(749,'Transfer Engine'!$C$2:$C$1960,0)),"",INDEX('Compliance Database'!$N$2:$N$1960,MATCH(749,'Transfer Engine'!$C$2:$C$1960,0)))</f>
        <v/>
      </c>
      <c r="O758" s="9">
        <f>IF(ISNA(MATCH(749,'Transfer Engine'!$C$2:$C$1960,0)),"",INDEX('Compliance Database'!$O$2:$O$1960,MATCH(749,'Transfer Engine'!$C$2:$C$1960,0)))</f>
        <v/>
      </c>
      <c r="P758" s="8">
        <f>IF(ISNA(MATCH(749,'Transfer Engine'!$C$2:$C$1960,0)),"",HYPERLINK("#Acts!A"&amp;INDEX('Compliance Database'!$P$2:$P$1960,MATCH(749,'Transfer Engine'!$C$2:$C$1960,0)),"Go to Act"))</f>
        <v/>
      </c>
    </row>
    <row r="759" ht="158" customHeight="1">
      <c r="A759" s="8">
        <f>IF(ISNA(MATCH(750,'Transfer Engine'!$C$2:$C$1960,0)),"",INDEX('Compliance Database'!$A$2:$A$1960,MATCH(750,'Transfer Engine'!$C$2:$C$1960,0)))</f>
        <v/>
      </c>
      <c r="B759" s="8">
        <f>IF(ISNA(MATCH(750,'Transfer Engine'!$C$2:$C$1960,0)),"",INDEX('Compliance Database'!$B$2:$B$1960,MATCH(750,'Transfer Engine'!$C$2:$C$1960,0)))</f>
        <v/>
      </c>
      <c r="C759" s="8">
        <f>IF(ISNA(MATCH(750,'Transfer Engine'!$C$2:$C$1960,0)),"",INDEX('Compliance Database'!$C$2:$C$1960,MATCH(750,'Transfer Engine'!$C$2:$C$1960,0)))</f>
        <v/>
      </c>
      <c r="D759" s="9">
        <f>IF(ISNA(MATCH(750,'Transfer Engine'!$C$2:$C$1960,0)),"",INDEX('Compliance Database'!$D$2:$D$1960,MATCH(750,'Transfer Engine'!$C$2:$C$1960,0)))</f>
        <v/>
      </c>
      <c r="E759" s="8">
        <f>IF(ISNA(MATCH(750,'Transfer Engine'!$C$2:$C$1960,0)),"",INDEX('Compliance Database'!$E$2:$E$1960,MATCH(750,'Transfer Engine'!$C$2:$C$1960,0)))</f>
        <v/>
      </c>
      <c r="F759" s="8">
        <f>IF(ISNA(MATCH(750,'Transfer Engine'!$C$2:$C$1960,0)),"",INDEX('Compliance Database'!$F$2:$F$1960,MATCH(750,'Transfer Engine'!$C$2:$C$1960,0)))</f>
        <v/>
      </c>
      <c r="G759" s="8">
        <f>IF(ISNA(MATCH(750,'Transfer Engine'!$C$2:$C$1960,0)),"",INDEX('Compliance Database'!$G$2:$G$1960,MATCH(750,'Transfer Engine'!$C$2:$C$1960,0)))</f>
        <v/>
      </c>
      <c r="H759" s="9">
        <f>IF(ISNA(MATCH(750,'Transfer Engine'!$C$2:$C$1960,0)),"",INDEX('Compliance Database'!$H$2:$H$1960,MATCH(750,'Transfer Engine'!$C$2:$C$1960,0)))</f>
        <v/>
      </c>
      <c r="I759" s="9">
        <f>IF(ISNA(MATCH(750,'Transfer Engine'!$C$2:$C$1960,0)),"",INDEX('Compliance Database'!$I$2:$I$1960,MATCH(750,'Transfer Engine'!$C$2:$C$1960,0)))</f>
        <v/>
      </c>
      <c r="J759" s="8">
        <f>IF(ISNA(MATCH(750,'Transfer Engine'!$C$2:$C$1960,0)),"",INDEX('Compliance Database'!$J$2:$J$1960,MATCH(750,'Transfer Engine'!$C$2:$C$1960,0)))</f>
        <v/>
      </c>
      <c r="K759" s="9">
        <f>IF(ISNA(MATCH(750,'Transfer Engine'!$C$2:$C$1960,0)),"",INDEX('Compliance Database'!$K$2:$K$1960,MATCH(750,'Transfer Engine'!$C$2:$C$1960,0)))</f>
        <v/>
      </c>
      <c r="L759" s="9">
        <f>IF(ISNA(MATCH(750,'Transfer Engine'!$C$2:$C$1960,0)),"",INDEX('Compliance Database'!$L$2:$L$1960,MATCH(750,'Transfer Engine'!$C$2:$C$1960,0)))</f>
        <v/>
      </c>
      <c r="M759" s="9">
        <f>IF(ISNA(MATCH(750,'Transfer Engine'!$C$2:$C$1960,0)),"",INDEX('Compliance Database'!$M$2:$M$1960,MATCH(750,'Transfer Engine'!$C$2:$C$1960,0)))</f>
        <v/>
      </c>
      <c r="N759" s="9">
        <f>IF(ISNA(MATCH(750,'Transfer Engine'!$C$2:$C$1960,0)),"",INDEX('Compliance Database'!$N$2:$N$1960,MATCH(750,'Transfer Engine'!$C$2:$C$1960,0)))</f>
        <v/>
      </c>
      <c r="O759" s="9">
        <f>IF(ISNA(MATCH(750,'Transfer Engine'!$C$2:$C$1960,0)),"",INDEX('Compliance Database'!$O$2:$O$1960,MATCH(750,'Transfer Engine'!$C$2:$C$1960,0)))</f>
        <v/>
      </c>
      <c r="P759" s="8">
        <f>IF(ISNA(MATCH(750,'Transfer Engine'!$C$2:$C$1960,0)),"",HYPERLINK("#Acts!A"&amp;INDEX('Compliance Database'!$P$2:$P$1960,MATCH(750,'Transfer Engine'!$C$2:$C$1960,0)),"Go to Act"))</f>
        <v/>
      </c>
    </row>
    <row r="760" ht="158" customHeight="1">
      <c r="A760" s="8">
        <f>IF(ISNA(MATCH(751,'Transfer Engine'!$C$2:$C$1960,0)),"",INDEX('Compliance Database'!$A$2:$A$1960,MATCH(751,'Transfer Engine'!$C$2:$C$1960,0)))</f>
        <v/>
      </c>
      <c r="B760" s="8">
        <f>IF(ISNA(MATCH(751,'Transfer Engine'!$C$2:$C$1960,0)),"",INDEX('Compliance Database'!$B$2:$B$1960,MATCH(751,'Transfer Engine'!$C$2:$C$1960,0)))</f>
        <v/>
      </c>
      <c r="C760" s="8">
        <f>IF(ISNA(MATCH(751,'Transfer Engine'!$C$2:$C$1960,0)),"",INDEX('Compliance Database'!$C$2:$C$1960,MATCH(751,'Transfer Engine'!$C$2:$C$1960,0)))</f>
        <v/>
      </c>
      <c r="D760" s="9">
        <f>IF(ISNA(MATCH(751,'Transfer Engine'!$C$2:$C$1960,0)),"",INDEX('Compliance Database'!$D$2:$D$1960,MATCH(751,'Transfer Engine'!$C$2:$C$1960,0)))</f>
        <v/>
      </c>
      <c r="E760" s="8">
        <f>IF(ISNA(MATCH(751,'Transfer Engine'!$C$2:$C$1960,0)),"",INDEX('Compliance Database'!$E$2:$E$1960,MATCH(751,'Transfer Engine'!$C$2:$C$1960,0)))</f>
        <v/>
      </c>
      <c r="F760" s="8">
        <f>IF(ISNA(MATCH(751,'Transfer Engine'!$C$2:$C$1960,0)),"",INDEX('Compliance Database'!$F$2:$F$1960,MATCH(751,'Transfer Engine'!$C$2:$C$1960,0)))</f>
        <v/>
      </c>
      <c r="G760" s="8">
        <f>IF(ISNA(MATCH(751,'Transfer Engine'!$C$2:$C$1960,0)),"",INDEX('Compliance Database'!$G$2:$G$1960,MATCH(751,'Transfer Engine'!$C$2:$C$1960,0)))</f>
        <v/>
      </c>
      <c r="H760" s="9">
        <f>IF(ISNA(MATCH(751,'Transfer Engine'!$C$2:$C$1960,0)),"",INDEX('Compliance Database'!$H$2:$H$1960,MATCH(751,'Transfer Engine'!$C$2:$C$1960,0)))</f>
        <v/>
      </c>
      <c r="I760" s="9">
        <f>IF(ISNA(MATCH(751,'Transfer Engine'!$C$2:$C$1960,0)),"",INDEX('Compliance Database'!$I$2:$I$1960,MATCH(751,'Transfer Engine'!$C$2:$C$1960,0)))</f>
        <v/>
      </c>
      <c r="J760" s="8">
        <f>IF(ISNA(MATCH(751,'Transfer Engine'!$C$2:$C$1960,0)),"",INDEX('Compliance Database'!$J$2:$J$1960,MATCH(751,'Transfer Engine'!$C$2:$C$1960,0)))</f>
        <v/>
      </c>
      <c r="K760" s="9">
        <f>IF(ISNA(MATCH(751,'Transfer Engine'!$C$2:$C$1960,0)),"",INDEX('Compliance Database'!$K$2:$K$1960,MATCH(751,'Transfer Engine'!$C$2:$C$1960,0)))</f>
        <v/>
      </c>
      <c r="L760" s="9">
        <f>IF(ISNA(MATCH(751,'Transfer Engine'!$C$2:$C$1960,0)),"",INDEX('Compliance Database'!$L$2:$L$1960,MATCH(751,'Transfer Engine'!$C$2:$C$1960,0)))</f>
        <v/>
      </c>
      <c r="M760" s="9">
        <f>IF(ISNA(MATCH(751,'Transfer Engine'!$C$2:$C$1960,0)),"",INDEX('Compliance Database'!$M$2:$M$1960,MATCH(751,'Transfer Engine'!$C$2:$C$1960,0)))</f>
        <v/>
      </c>
      <c r="N760" s="9">
        <f>IF(ISNA(MATCH(751,'Transfer Engine'!$C$2:$C$1960,0)),"",INDEX('Compliance Database'!$N$2:$N$1960,MATCH(751,'Transfer Engine'!$C$2:$C$1960,0)))</f>
        <v/>
      </c>
      <c r="O760" s="9">
        <f>IF(ISNA(MATCH(751,'Transfer Engine'!$C$2:$C$1960,0)),"",INDEX('Compliance Database'!$O$2:$O$1960,MATCH(751,'Transfer Engine'!$C$2:$C$1960,0)))</f>
        <v/>
      </c>
      <c r="P760" s="8">
        <f>IF(ISNA(MATCH(751,'Transfer Engine'!$C$2:$C$1960,0)),"",HYPERLINK("#Acts!A"&amp;INDEX('Compliance Database'!$P$2:$P$1960,MATCH(751,'Transfer Engine'!$C$2:$C$1960,0)),"Go to Act"))</f>
        <v/>
      </c>
    </row>
    <row r="761" ht="158" customHeight="1">
      <c r="A761" s="8">
        <f>IF(ISNA(MATCH(752,'Transfer Engine'!$C$2:$C$1960,0)),"",INDEX('Compliance Database'!$A$2:$A$1960,MATCH(752,'Transfer Engine'!$C$2:$C$1960,0)))</f>
        <v/>
      </c>
      <c r="B761" s="8">
        <f>IF(ISNA(MATCH(752,'Transfer Engine'!$C$2:$C$1960,0)),"",INDEX('Compliance Database'!$B$2:$B$1960,MATCH(752,'Transfer Engine'!$C$2:$C$1960,0)))</f>
        <v/>
      </c>
      <c r="C761" s="8">
        <f>IF(ISNA(MATCH(752,'Transfer Engine'!$C$2:$C$1960,0)),"",INDEX('Compliance Database'!$C$2:$C$1960,MATCH(752,'Transfer Engine'!$C$2:$C$1960,0)))</f>
        <v/>
      </c>
      <c r="D761" s="9">
        <f>IF(ISNA(MATCH(752,'Transfer Engine'!$C$2:$C$1960,0)),"",INDEX('Compliance Database'!$D$2:$D$1960,MATCH(752,'Transfer Engine'!$C$2:$C$1960,0)))</f>
        <v/>
      </c>
      <c r="E761" s="8">
        <f>IF(ISNA(MATCH(752,'Transfer Engine'!$C$2:$C$1960,0)),"",INDEX('Compliance Database'!$E$2:$E$1960,MATCH(752,'Transfer Engine'!$C$2:$C$1960,0)))</f>
        <v/>
      </c>
      <c r="F761" s="8">
        <f>IF(ISNA(MATCH(752,'Transfer Engine'!$C$2:$C$1960,0)),"",INDEX('Compliance Database'!$F$2:$F$1960,MATCH(752,'Transfer Engine'!$C$2:$C$1960,0)))</f>
        <v/>
      </c>
      <c r="G761" s="8">
        <f>IF(ISNA(MATCH(752,'Transfer Engine'!$C$2:$C$1960,0)),"",INDEX('Compliance Database'!$G$2:$G$1960,MATCH(752,'Transfer Engine'!$C$2:$C$1960,0)))</f>
        <v/>
      </c>
      <c r="H761" s="9">
        <f>IF(ISNA(MATCH(752,'Transfer Engine'!$C$2:$C$1960,0)),"",INDEX('Compliance Database'!$H$2:$H$1960,MATCH(752,'Transfer Engine'!$C$2:$C$1960,0)))</f>
        <v/>
      </c>
      <c r="I761" s="9">
        <f>IF(ISNA(MATCH(752,'Transfer Engine'!$C$2:$C$1960,0)),"",INDEX('Compliance Database'!$I$2:$I$1960,MATCH(752,'Transfer Engine'!$C$2:$C$1960,0)))</f>
        <v/>
      </c>
      <c r="J761" s="8">
        <f>IF(ISNA(MATCH(752,'Transfer Engine'!$C$2:$C$1960,0)),"",INDEX('Compliance Database'!$J$2:$J$1960,MATCH(752,'Transfer Engine'!$C$2:$C$1960,0)))</f>
        <v/>
      </c>
      <c r="K761" s="9">
        <f>IF(ISNA(MATCH(752,'Transfer Engine'!$C$2:$C$1960,0)),"",INDEX('Compliance Database'!$K$2:$K$1960,MATCH(752,'Transfer Engine'!$C$2:$C$1960,0)))</f>
        <v/>
      </c>
      <c r="L761" s="9">
        <f>IF(ISNA(MATCH(752,'Transfer Engine'!$C$2:$C$1960,0)),"",INDEX('Compliance Database'!$L$2:$L$1960,MATCH(752,'Transfer Engine'!$C$2:$C$1960,0)))</f>
        <v/>
      </c>
      <c r="M761" s="9">
        <f>IF(ISNA(MATCH(752,'Transfer Engine'!$C$2:$C$1960,0)),"",INDEX('Compliance Database'!$M$2:$M$1960,MATCH(752,'Transfer Engine'!$C$2:$C$1960,0)))</f>
        <v/>
      </c>
      <c r="N761" s="9">
        <f>IF(ISNA(MATCH(752,'Transfer Engine'!$C$2:$C$1960,0)),"",INDEX('Compliance Database'!$N$2:$N$1960,MATCH(752,'Transfer Engine'!$C$2:$C$1960,0)))</f>
        <v/>
      </c>
      <c r="O761" s="9">
        <f>IF(ISNA(MATCH(752,'Transfer Engine'!$C$2:$C$1960,0)),"",INDEX('Compliance Database'!$O$2:$O$1960,MATCH(752,'Transfer Engine'!$C$2:$C$1960,0)))</f>
        <v/>
      </c>
      <c r="P761" s="8">
        <f>IF(ISNA(MATCH(752,'Transfer Engine'!$C$2:$C$1960,0)),"",HYPERLINK("#Acts!A"&amp;INDEX('Compliance Database'!$P$2:$P$1960,MATCH(752,'Transfer Engine'!$C$2:$C$1960,0)),"Go to Act"))</f>
        <v/>
      </c>
    </row>
    <row r="762" ht="158" customHeight="1">
      <c r="A762" s="8">
        <f>IF(ISNA(MATCH(753,'Transfer Engine'!$C$2:$C$1960,0)),"",INDEX('Compliance Database'!$A$2:$A$1960,MATCH(753,'Transfer Engine'!$C$2:$C$1960,0)))</f>
        <v/>
      </c>
      <c r="B762" s="8">
        <f>IF(ISNA(MATCH(753,'Transfer Engine'!$C$2:$C$1960,0)),"",INDEX('Compliance Database'!$B$2:$B$1960,MATCH(753,'Transfer Engine'!$C$2:$C$1960,0)))</f>
        <v/>
      </c>
      <c r="C762" s="8">
        <f>IF(ISNA(MATCH(753,'Transfer Engine'!$C$2:$C$1960,0)),"",INDEX('Compliance Database'!$C$2:$C$1960,MATCH(753,'Transfer Engine'!$C$2:$C$1960,0)))</f>
        <v/>
      </c>
      <c r="D762" s="9">
        <f>IF(ISNA(MATCH(753,'Transfer Engine'!$C$2:$C$1960,0)),"",INDEX('Compliance Database'!$D$2:$D$1960,MATCH(753,'Transfer Engine'!$C$2:$C$1960,0)))</f>
        <v/>
      </c>
      <c r="E762" s="8">
        <f>IF(ISNA(MATCH(753,'Transfer Engine'!$C$2:$C$1960,0)),"",INDEX('Compliance Database'!$E$2:$E$1960,MATCH(753,'Transfer Engine'!$C$2:$C$1960,0)))</f>
        <v/>
      </c>
      <c r="F762" s="8">
        <f>IF(ISNA(MATCH(753,'Transfer Engine'!$C$2:$C$1960,0)),"",INDEX('Compliance Database'!$F$2:$F$1960,MATCH(753,'Transfer Engine'!$C$2:$C$1960,0)))</f>
        <v/>
      </c>
      <c r="G762" s="8">
        <f>IF(ISNA(MATCH(753,'Transfer Engine'!$C$2:$C$1960,0)),"",INDEX('Compliance Database'!$G$2:$G$1960,MATCH(753,'Transfer Engine'!$C$2:$C$1960,0)))</f>
        <v/>
      </c>
      <c r="H762" s="9">
        <f>IF(ISNA(MATCH(753,'Transfer Engine'!$C$2:$C$1960,0)),"",INDEX('Compliance Database'!$H$2:$H$1960,MATCH(753,'Transfer Engine'!$C$2:$C$1960,0)))</f>
        <v/>
      </c>
      <c r="I762" s="9">
        <f>IF(ISNA(MATCH(753,'Transfer Engine'!$C$2:$C$1960,0)),"",INDEX('Compliance Database'!$I$2:$I$1960,MATCH(753,'Transfer Engine'!$C$2:$C$1960,0)))</f>
        <v/>
      </c>
      <c r="J762" s="8">
        <f>IF(ISNA(MATCH(753,'Transfer Engine'!$C$2:$C$1960,0)),"",INDEX('Compliance Database'!$J$2:$J$1960,MATCH(753,'Transfer Engine'!$C$2:$C$1960,0)))</f>
        <v/>
      </c>
      <c r="K762" s="9">
        <f>IF(ISNA(MATCH(753,'Transfer Engine'!$C$2:$C$1960,0)),"",INDEX('Compliance Database'!$K$2:$K$1960,MATCH(753,'Transfer Engine'!$C$2:$C$1960,0)))</f>
        <v/>
      </c>
      <c r="L762" s="9">
        <f>IF(ISNA(MATCH(753,'Transfer Engine'!$C$2:$C$1960,0)),"",INDEX('Compliance Database'!$L$2:$L$1960,MATCH(753,'Transfer Engine'!$C$2:$C$1960,0)))</f>
        <v/>
      </c>
      <c r="M762" s="9">
        <f>IF(ISNA(MATCH(753,'Transfer Engine'!$C$2:$C$1960,0)),"",INDEX('Compliance Database'!$M$2:$M$1960,MATCH(753,'Transfer Engine'!$C$2:$C$1960,0)))</f>
        <v/>
      </c>
      <c r="N762" s="9">
        <f>IF(ISNA(MATCH(753,'Transfer Engine'!$C$2:$C$1960,0)),"",INDEX('Compliance Database'!$N$2:$N$1960,MATCH(753,'Transfer Engine'!$C$2:$C$1960,0)))</f>
        <v/>
      </c>
      <c r="O762" s="9">
        <f>IF(ISNA(MATCH(753,'Transfer Engine'!$C$2:$C$1960,0)),"",INDEX('Compliance Database'!$O$2:$O$1960,MATCH(753,'Transfer Engine'!$C$2:$C$1960,0)))</f>
        <v/>
      </c>
      <c r="P762" s="8">
        <f>IF(ISNA(MATCH(753,'Transfer Engine'!$C$2:$C$1960,0)),"",HYPERLINK("#Acts!A"&amp;INDEX('Compliance Database'!$P$2:$P$1960,MATCH(753,'Transfer Engine'!$C$2:$C$1960,0)),"Go to Act"))</f>
        <v/>
      </c>
    </row>
    <row r="763" ht="158" customHeight="1">
      <c r="A763" s="8">
        <f>IF(ISNA(MATCH(754,'Transfer Engine'!$C$2:$C$1960,0)),"",INDEX('Compliance Database'!$A$2:$A$1960,MATCH(754,'Transfer Engine'!$C$2:$C$1960,0)))</f>
        <v/>
      </c>
      <c r="B763" s="8">
        <f>IF(ISNA(MATCH(754,'Transfer Engine'!$C$2:$C$1960,0)),"",INDEX('Compliance Database'!$B$2:$B$1960,MATCH(754,'Transfer Engine'!$C$2:$C$1960,0)))</f>
        <v/>
      </c>
      <c r="C763" s="8">
        <f>IF(ISNA(MATCH(754,'Transfer Engine'!$C$2:$C$1960,0)),"",INDEX('Compliance Database'!$C$2:$C$1960,MATCH(754,'Transfer Engine'!$C$2:$C$1960,0)))</f>
        <v/>
      </c>
      <c r="D763" s="9">
        <f>IF(ISNA(MATCH(754,'Transfer Engine'!$C$2:$C$1960,0)),"",INDEX('Compliance Database'!$D$2:$D$1960,MATCH(754,'Transfer Engine'!$C$2:$C$1960,0)))</f>
        <v/>
      </c>
      <c r="E763" s="8">
        <f>IF(ISNA(MATCH(754,'Transfer Engine'!$C$2:$C$1960,0)),"",INDEX('Compliance Database'!$E$2:$E$1960,MATCH(754,'Transfer Engine'!$C$2:$C$1960,0)))</f>
        <v/>
      </c>
      <c r="F763" s="8">
        <f>IF(ISNA(MATCH(754,'Transfer Engine'!$C$2:$C$1960,0)),"",INDEX('Compliance Database'!$F$2:$F$1960,MATCH(754,'Transfer Engine'!$C$2:$C$1960,0)))</f>
        <v/>
      </c>
      <c r="G763" s="8">
        <f>IF(ISNA(MATCH(754,'Transfer Engine'!$C$2:$C$1960,0)),"",INDEX('Compliance Database'!$G$2:$G$1960,MATCH(754,'Transfer Engine'!$C$2:$C$1960,0)))</f>
        <v/>
      </c>
      <c r="H763" s="9">
        <f>IF(ISNA(MATCH(754,'Transfer Engine'!$C$2:$C$1960,0)),"",INDEX('Compliance Database'!$H$2:$H$1960,MATCH(754,'Transfer Engine'!$C$2:$C$1960,0)))</f>
        <v/>
      </c>
      <c r="I763" s="9">
        <f>IF(ISNA(MATCH(754,'Transfer Engine'!$C$2:$C$1960,0)),"",INDEX('Compliance Database'!$I$2:$I$1960,MATCH(754,'Transfer Engine'!$C$2:$C$1960,0)))</f>
        <v/>
      </c>
      <c r="J763" s="8">
        <f>IF(ISNA(MATCH(754,'Transfer Engine'!$C$2:$C$1960,0)),"",INDEX('Compliance Database'!$J$2:$J$1960,MATCH(754,'Transfer Engine'!$C$2:$C$1960,0)))</f>
        <v/>
      </c>
      <c r="K763" s="9">
        <f>IF(ISNA(MATCH(754,'Transfer Engine'!$C$2:$C$1960,0)),"",INDEX('Compliance Database'!$K$2:$K$1960,MATCH(754,'Transfer Engine'!$C$2:$C$1960,0)))</f>
        <v/>
      </c>
      <c r="L763" s="9">
        <f>IF(ISNA(MATCH(754,'Transfer Engine'!$C$2:$C$1960,0)),"",INDEX('Compliance Database'!$L$2:$L$1960,MATCH(754,'Transfer Engine'!$C$2:$C$1960,0)))</f>
        <v/>
      </c>
      <c r="M763" s="9">
        <f>IF(ISNA(MATCH(754,'Transfer Engine'!$C$2:$C$1960,0)),"",INDEX('Compliance Database'!$M$2:$M$1960,MATCH(754,'Transfer Engine'!$C$2:$C$1960,0)))</f>
        <v/>
      </c>
      <c r="N763" s="9">
        <f>IF(ISNA(MATCH(754,'Transfer Engine'!$C$2:$C$1960,0)),"",INDEX('Compliance Database'!$N$2:$N$1960,MATCH(754,'Transfer Engine'!$C$2:$C$1960,0)))</f>
        <v/>
      </c>
      <c r="O763" s="9">
        <f>IF(ISNA(MATCH(754,'Transfer Engine'!$C$2:$C$1960,0)),"",INDEX('Compliance Database'!$O$2:$O$1960,MATCH(754,'Transfer Engine'!$C$2:$C$1960,0)))</f>
        <v/>
      </c>
      <c r="P763" s="8">
        <f>IF(ISNA(MATCH(754,'Transfer Engine'!$C$2:$C$1960,0)),"",HYPERLINK("#Acts!A"&amp;INDEX('Compliance Database'!$P$2:$P$1960,MATCH(754,'Transfer Engine'!$C$2:$C$1960,0)),"Go to Act"))</f>
        <v/>
      </c>
    </row>
    <row r="764" ht="158" customHeight="1">
      <c r="A764" s="8">
        <f>IF(ISNA(MATCH(755,'Transfer Engine'!$C$2:$C$1960,0)),"",INDEX('Compliance Database'!$A$2:$A$1960,MATCH(755,'Transfer Engine'!$C$2:$C$1960,0)))</f>
        <v/>
      </c>
      <c r="B764" s="8">
        <f>IF(ISNA(MATCH(755,'Transfer Engine'!$C$2:$C$1960,0)),"",INDEX('Compliance Database'!$B$2:$B$1960,MATCH(755,'Transfer Engine'!$C$2:$C$1960,0)))</f>
        <v/>
      </c>
      <c r="C764" s="8">
        <f>IF(ISNA(MATCH(755,'Transfer Engine'!$C$2:$C$1960,0)),"",INDEX('Compliance Database'!$C$2:$C$1960,MATCH(755,'Transfer Engine'!$C$2:$C$1960,0)))</f>
        <v/>
      </c>
      <c r="D764" s="9">
        <f>IF(ISNA(MATCH(755,'Transfer Engine'!$C$2:$C$1960,0)),"",INDEX('Compliance Database'!$D$2:$D$1960,MATCH(755,'Transfer Engine'!$C$2:$C$1960,0)))</f>
        <v/>
      </c>
      <c r="E764" s="8">
        <f>IF(ISNA(MATCH(755,'Transfer Engine'!$C$2:$C$1960,0)),"",INDEX('Compliance Database'!$E$2:$E$1960,MATCH(755,'Transfer Engine'!$C$2:$C$1960,0)))</f>
        <v/>
      </c>
      <c r="F764" s="8">
        <f>IF(ISNA(MATCH(755,'Transfer Engine'!$C$2:$C$1960,0)),"",INDEX('Compliance Database'!$F$2:$F$1960,MATCH(755,'Transfer Engine'!$C$2:$C$1960,0)))</f>
        <v/>
      </c>
      <c r="G764" s="8">
        <f>IF(ISNA(MATCH(755,'Transfer Engine'!$C$2:$C$1960,0)),"",INDEX('Compliance Database'!$G$2:$G$1960,MATCH(755,'Transfer Engine'!$C$2:$C$1960,0)))</f>
        <v/>
      </c>
      <c r="H764" s="9">
        <f>IF(ISNA(MATCH(755,'Transfer Engine'!$C$2:$C$1960,0)),"",INDEX('Compliance Database'!$H$2:$H$1960,MATCH(755,'Transfer Engine'!$C$2:$C$1960,0)))</f>
        <v/>
      </c>
      <c r="I764" s="9">
        <f>IF(ISNA(MATCH(755,'Transfer Engine'!$C$2:$C$1960,0)),"",INDEX('Compliance Database'!$I$2:$I$1960,MATCH(755,'Transfer Engine'!$C$2:$C$1960,0)))</f>
        <v/>
      </c>
      <c r="J764" s="8">
        <f>IF(ISNA(MATCH(755,'Transfer Engine'!$C$2:$C$1960,0)),"",INDEX('Compliance Database'!$J$2:$J$1960,MATCH(755,'Transfer Engine'!$C$2:$C$1960,0)))</f>
        <v/>
      </c>
      <c r="K764" s="9">
        <f>IF(ISNA(MATCH(755,'Transfer Engine'!$C$2:$C$1960,0)),"",INDEX('Compliance Database'!$K$2:$K$1960,MATCH(755,'Transfer Engine'!$C$2:$C$1960,0)))</f>
        <v/>
      </c>
      <c r="L764" s="9">
        <f>IF(ISNA(MATCH(755,'Transfer Engine'!$C$2:$C$1960,0)),"",INDEX('Compliance Database'!$L$2:$L$1960,MATCH(755,'Transfer Engine'!$C$2:$C$1960,0)))</f>
        <v/>
      </c>
      <c r="M764" s="9">
        <f>IF(ISNA(MATCH(755,'Transfer Engine'!$C$2:$C$1960,0)),"",INDEX('Compliance Database'!$M$2:$M$1960,MATCH(755,'Transfer Engine'!$C$2:$C$1960,0)))</f>
        <v/>
      </c>
      <c r="N764" s="9">
        <f>IF(ISNA(MATCH(755,'Transfer Engine'!$C$2:$C$1960,0)),"",INDEX('Compliance Database'!$N$2:$N$1960,MATCH(755,'Transfer Engine'!$C$2:$C$1960,0)))</f>
        <v/>
      </c>
      <c r="O764" s="9">
        <f>IF(ISNA(MATCH(755,'Transfer Engine'!$C$2:$C$1960,0)),"",INDEX('Compliance Database'!$O$2:$O$1960,MATCH(755,'Transfer Engine'!$C$2:$C$1960,0)))</f>
        <v/>
      </c>
      <c r="P764" s="8">
        <f>IF(ISNA(MATCH(755,'Transfer Engine'!$C$2:$C$1960,0)),"",HYPERLINK("#Acts!A"&amp;INDEX('Compliance Database'!$P$2:$P$1960,MATCH(755,'Transfer Engine'!$C$2:$C$1960,0)),"Go to Act"))</f>
        <v/>
      </c>
    </row>
    <row r="765" ht="158" customHeight="1">
      <c r="A765" s="8">
        <f>IF(ISNA(MATCH(756,'Transfer Engine'!$C$2:$C$1960,0)),"",INDEX('Compliance Database'!$A$2:$A$1960,MATCH(756,'Transfer Engine'!$C$2:$C$1960,0)))</f>
        <v/>
      </c>
      <c r="B765" s="8">
        <f>IF(ISNA(MATCH(756,'Transfer Engine'!$C$2:$C$1960,0)),"",INDEX('Compliance Database'!$B$2:$B$1960,MATCH(756,'Transfer Engine'!$C$2:$C$1960,0)))</f>
        <v/>
      </c>
      <c r="C765" s="8">
        <f>IF(ISNA(MATCH(756,'Transfer Engine'!$C$2:$C$1960,0)),"",INDEX('Compliance Database'!$C$2:$C$1960,MATCH(756,'Transfer Engine'!$C$2:$C$1960,0)))</f>
        <v/>
      </c>
      <c r="D765" s="9">
        <f>IF(ISNA(MATCH(756,'Transfer Engine'!$C$2:$C$1960,0)),"",INDEX('Compliance Database'!$D$2:$D$1960,MATCH(756,'Transfer Engine'!$C$2:$C$1960,0)))</f>
        <v/>
      </c>
      <c r="E765" s="8">
        <f>IF(ISNA(MATCH(756,'Transfer Engine'!$C$2:$C$1960,0)),"",INDEX('Compliance Database'!$E$2:$E$1960,MATCH(756,'Transfer Engine'!$C$2:$C$1960,0)))</f>
        <v/>
      </c>
      <c r="F765" s="8">
        <f>IF(ISNA(MATCH(756,'Transfer Engine'!$C$2:$C$1960,0)),"",INDEX('Compliance Database'!$F$2:$F$1960,MATCH(756,'Transfer Engine'!$C$2:$C$1960,0)))</f>
        <v/>
      </c>
      <c r="G765" s="8">
        <f>IF(ISNA(MATCH(756,'Transfer Engine'!$C$2:$C$1960,0)),"",INDEX('Compliance Database'!$G$2:$G$1960,MATCH(756,'Transfer Engine'!$C$2:$C$1960,0)))</f>
        <v/>
      </c>
      <c r="H765" s="9">
        <f>IF(ISNA(MATCH(756,'Transfer Engine'!$C$2:$C$1960,0)),"",INDEX('Compliance Database'!$H$2:$H$1960,MATCH(756,'Transfer Engine'!$C$2:$C$1960,0)))</f>
        <v/>
      </c>
      <c r="I765" s="9">
        <f>IF(ISNA(MATCH(756,'Transfer Engine'!$C$2:$C$1960,0)),"",INDEX('Compliance Database'!$I$2:$I$1960,MATCH(756,'Transfer Engine'!$C$2:$C$1960,0)))</f>
        <v/>
      </c>
      <c r="J765" s="8">
        <f>IF(ISNA(MATCH(756,'Transfer Engine'!$C$2:$C$1960,0)),"",INDEX('Compliance Database'!$J$2:$J$1960,MATCH(756,'Transfer Engine'!$C$2:$C$1960,0)))</f>
        <v/>
      </c>
      <c r="K765" s="9">
        <f>IF(ISNA(MATCH(756,'Transfer Engine'!$C$2:$C$1960,0)),"",INDEX('Compliance Database'!$K$2:$K$1960,MATCH(756,'Transfer Engine'!$C$2:$C$1960,0)))</f>
        <v/>
      </c>
      <c r="L765" s="9">
        <f>IF(ISNA(MATCH(756,'Transfer Engine'!$C$2:$C$1960,0)),"",INDEX('Compliance Database'!$L$2:$L$1960,MATCH(756,'Transfer Engine'!$C$2:$C$1960,0)))</f>
        <v/>
      </c>
      <c r="M765" s="9">
        <f>IF(ISNA(MATCH(756,'Transfer Engine'!$C$2:$C$1960,0)),"",INDEX('Compliance Database'!$M$2:$M$1960,MATCH(756,'Transfer Engine'!$C$2:$C$1960,0)))</f>
        <v/>
      </c>
      <c r="N765" s="9">
        <f>IF(ISNA(MATCH(756,'Transfer Engine'!$C$2:$C$1960,0)),"",INDEX('Compliance Database'!$N$2:$N$1960,MATCH(756,'Transfer Engine'!$C$2:$C$1960,0)))</f>
        <v/>
      </c>
      <c r="O765" s="9">
        <f>IF(ISNA(MATCH(756,'Transfer Engine'!$C$2:$C$1960,0)),"",INDEX('Compliance Database'!$O$2:$O$1960,MATCH(756,'Transfer Engine'!$C$2:$C$1960,0)))</f>
        <v/>
      </c>
      <c r="P765" s="8">
        <f>IF(ISNA(MATCH(756,'Transfer Engine'!$C$2:$C$1960,0)),"",HYPERLINK("#Acts!A"&amp;INDEX('Compliance Database'!$P$2:$P$1960,MATCH(756,'Transfer Engine'!$C$2:$C$1960,0)),"Go to Act"))</f>
        <v/>
      </c>
    </row>
    <row r="766" ht="158" customHeight="1">
      <c r="A766" s="8">
        <f>IF(ISNA(MATCH(757,'Transfer Engine'!$C$2:$C$1960,0)),"",INDEX('Compliance Database'!$A$2:$A$1960,MATCH(757,'Transfer Engine'!$C$2:$C$1960,0)))</f>
        <v/>
      </c>
      <c r="B766" s="8">
        <f>IF(ISNA(MATCH(757,'Transfer Engine'!$C$2:$C$1960,0)),"",INDEX('Compliance Database'!$B$2:$B$1960,MATCH(757,'Transfer Engine'!$C$2:$C$1960,0)))</f>
        <v/>
      </c>
      <c r="C766" s="8">
        <f>IF(ISNA(MATCH(757,'Transfer Engine'!$C$2:$C$1960,0)),"",INDEX('Compliance Database'!$C$2:$C$1960,MATCH(757,'Transfer Engine'!$C$2:$C$1960,0)))</f>
        <v/>
      </c>
      <c r="D766" s="9">
        <f>IF(ISNA(MATCH(757,'Transfer Engine'!$C$2:$C$1960,0)),"",INDEX('Compliance Database'!$D$2:$D$1960,MATCH(757,'Transfer Engine'!$C$2:$C$1960,0)))</f>
        <v/>
      </c>
      <c r="E766" s="8">
        <f>IF(ISNA(MATCH(757,'Transfer Engine'!$C$2:$C$1960,0)),"",INDEX('Compliance Database'!$E$2:$E$1960,MATCH(757,'Transfer Engine'!$C$2:$C$1960,0)))</f>
        <v/>
      </c>
      <c r="F766" s="8">
        <f>IF(ISNA(MATCH(757,'Transfer Engine'!$C$2:$C$1960,0)),"",INDEX('Compliance Database'!$F$2:$F$1960,MATCH(757,'Transfer Engine'!$C$2:$C$1960,0)))</f>
        <v/>
      </c>
      <c r="G766" s="8">
        <f>IF(ISNA(MATCH(757,'Transfer Engine'!$C$2:$C$1960,0)),"",INDEX('Compliance Database'!$G$2:$G$1960,MATCH(757,'Transfer Engine'!$C$2:$C$1960,0)))</f>
        <v/>
      </c>
      <c r="H766" s="9">
        <f>IF(ISNA(MATCH(757,'Transfer Engine'!$C$2:$C$1960,0)),"",INDEX('Compliance Database'!$H$2:$H$1960,MATCH(757,'Transfer Engine'!$C$2:$C$1960,0)))</f>
        <v/>
      </c>
      <c r="I766" s="9">
        <f>IF(ISNA(MATCH(757,'Transfer Engine'!$C$2:$C$1960,0)),"",INDEX('Compliance Database'!$I$2:$I$1960,MATCH(757,'Transfer Engine'!$C$2:$C$1960,0)))</f>
        <v/>
      </c>
      <c r="J766" s="8">
        <f>IF(ISNA(MATCH(757,'Transfer Engine'!$C$2:$C$1960,0)),"",INDEX('Compliance Database'!$J$2:$J$1960,MATCH(757,'Transfer Engine'!$C$2:$C$1960,0)))</f>
        <v/>
      </c>
      <c r="K766" s="9">
        <f>IF(ISNA(MATCH(757,'Transfer Engine'!$C$2:$C$1960,0)),"",INDEX('Compliance Database'!$K$2:$K$1960,MATCH(757,'Transfer Engine'!$C$2:$C$1960,0)))</f>
        <v/>
      </c>
      <c r="L766" s="9">
        <f>IF(ISNA(MATCH(757,'Transfer Engine'!$C$2:$C$1960,0)),"",INDEX('Compliance Database'!$L$2:$L$1960,MATCH(757,'Transfer Engine'!$C$2:$C$1960,0)))</f>
        <v/>
      </c>
      <c r="M766" s="9">
        <f>IF(ISNA(MATCH(757,'Transfer Engine'!$C$2:$C$1960,0)),"",INDEX('Compliance Database'!$M$2:$M$1960,MATCH(757,'Transfer Engine'!$C$2:$C$1960,0)))</f>
        <v/>
      </c>
      <c r="N766" s="9">
        <f>IF(ISNA(MATCH(757,'Transfer Engine'!$C$2:$C$1960,0)),"",INDEX('Compliance Database'!$N$2:$N$1960,MATCH(757,'Transfer Engine'!$C$2:$C$1960,0)))</f>
        <v/>
      </c>
      <c r="O766" s="9">
        <f>IF(ISNA(MATCH(757,'Transfer Engine'!$C$2:$C$1960,0)),"",INDEX('Compliance Database'!$O$2:$O$1960,MATCH(757,'Transfer Engine'!$C$2:$C$1960,0)))</f>
        <v/>
      </c>
      <c r="P766" s="8">
        <f>IF(ISNA(MATCH(757,'Transfer Engine'!$C$2:$C$1960,0)),"",HYPERLINK("#Acts!A"&amp;INDEX('Compliance Database'!$P$2:$P$1960,MATCH(757,'Transfer Engine'!$C$2:$C$1960,0)),"Go to Act"))</f>
        <v/>
      </c>
    </row>
    <row r="767" ht="158" customHeight="1">
      <c r="A767" s="8">
        <f>IF(ISNA(MATCH(758,'Transfer Engine'!$C$2:$C$1960,0)),"",INDEX('Compliance Database'!$A$2:$A$1960,MATCH(758,'Transfer Engine'!$C$2:$C$1960,0)))</f>
        <v/>
      </c>
      <c r="B767" s="8">
        <f>IF(ISNA(MATCH(758,'Transfer Engine'!$C$2:$C$1960,0)),"",INDEX('Compliance Database'!$B$2:$B$1960,MATCH(758,'Transfer Engine'!$C$2:$C$1960,0)))</f>
        <v/>
      </c>
      <c r="C767" s="8">
        <f>IF(ISNA(MATCH(758,'Transfer Engine'!$C$2:$C$1960,0)),"",INDEX('Compliance Database'!$C$2:$C$1960,MATCH(758,'Transfer Engine'!$C$2:$C$1960,0)))</f>
        <v/>
      </c>
      <c r="D767" s="9">
        <f>IF(ISNA(MATCH(758,'Transfer Engine'!$C$2:$C$1960,0)),"",INDEX('Compliance Database'!$D$2:$D$1960,MATCH(758,'Transfer Engine'!$C$2:$C$1960,0)))</f>
        <v/>
      </c>
      <c r="E767" s="8">
        <f>IF(ISNA(MATCH(758,'Transfer Engine'!$C$2:$C$1960,0)),"",INDEX('Compliance Database'!$E$2:$E$1960,MATCH(758,'Transfer Engine'!$C$2:$C$1960,0)))</f>
        <v/>
      </c>
      <c r="F767" s="8">
        <f>IF(ISNA(MATCH(758,'Transfer Engine'!$C$2:$C$1960,0)),"",INDEX('Compliance Database'!$F$2:$F$1960,MATCH(758,'Transfer Engine'!$C$2:$C$1960,0)))</f>
        <v/>
      </c>
      <c r="G767" s="8">
        <f>IF(ISNA(MATCH(758,'Transfer Engine'!$C$2:$C$1960,0)),"",INDEX('Compliance Database'!$G$2:$G$1960,MATCH(758,'Transfer Engine'!$C$2:$C$1960,0)))</f>
        <v/>
      </c>
      <c r="H767" s="9">
        <f>IF(ISNA(MATCH(758,'Transfer Engine'!$C$2:$C$1960,0)),"",INDEX('Compliance Database'!$H$2:$H$1960,MATCH(758,'Transfer Engine'!$C$2:$C$1960,0)))</f>
        <v/>
      </c>
      <c r="I767" s="9">
        <f>IF(ISNA(MATCH(758,'Transfer Engine'!$C$2:$C$1960,0)),"",INDEX('Compliance Database'!$I$2:$I$1960,MATCH(758,'Transfer Engine'!$C$2:$C$1960,0)))</f>
        <v/>
      </c>
      <c r="J767" s="8">
        <f>IF(ISNA(MATCH(758,'Transfer Engine'!$C$2:$C$1960,0)),"",INDEX('Compliance Database'!$J$2:$J$1960,MATCH(758,'Transfer Engine'!$C$2:$C$1960,0)))</f>
        <v/>
      </c>
      <c r="K767" s="9">
        <f>IF(ISNA(MATCH(758,'Transfer Engine'!$C$2:$C$1960,0)),"",INDEX('Compliance Database'!$K$2:$K$1960,MATCH(758,'Transfer Engine'!$C$2:$C$1960,0)))</f>
        <v/>
      </c>
      <c r="L767" s="9">
        <f>IF(ISNA(MATCH(758,'Transfer Engine'!$C$2:$C$1960,0)),"",INDEX('Compliance Database'!$L$2:$L$1960,MATCH(758,'Transfer Engine'!$C$2:$C$1960,0)))</f>
        <v/>
      </c>
      <c r="M767" s="9">
        <f>IF(ISNA(MATCH(758,'Transfer Engine'!$C$2:$C$1960,0)),"",INDEX('Compliance Database'!$M$2:$M$1960,MATCH(758,'Transfer Engine'!$C$2:$C$1960,0)))</f>
        <v/>
      </c>
      <c r="N767" s="9">
        <f>IF(ISNA(MATCH(758,'Transfer Engine'!$C$2:$C$1960,0)),"",INDEX('Compliance Database'!$N$2:$N$1960,MATCH(758,'Transfer Engine'!$C$2:$C$1960,0)))</f>
        <v/>
      </c>
      <c r="O767" s="9">
        <f>IF(ISNA(MATCH(758,'Transfer Engine'!$C$2:$C$1960,0)),"",INDEX('Compliance Database'!$O$2:$O$1960,MATCH(758,'Transfer Engine'!$C$2:$C$1960,0)))</f>
        <v/>
      </c>
      <c r="P767" s="8">
        <f>IF(ISNA(MATCH(758,'Transfer Engine'!$C$2:$C$1960,0)),"",HYPERLINK("#Acts!A"&amp;INDEX('Compliance Database'!$P$2:$P$1960,MATCH(758,'Transfer Engine'!$C$2:$C$1960,0)),"Go to Act"))</f>
        <v/>
      </c>
    </row>
    <row r="768" ht="158" customHeight="1">
      <c r="A768" s="8">
        <f>IF(ISNA(MATCH(759,'Transfer Engine'!$C$2:$C$1960,0)),"",INDEX('Compliance Database'!$A$2:$A$1960,MATCH(759,'Transfer Engine'!$C$2:$C$1960,0)))</f>
        <v/>
      </c>
      <c r="B768" s="8">
        <f>IF(ISNA(MATCH(759,'Transfer Engine'!$C$2:$C$1960,0)),"",INDEX('Compliance Database'!$B$2:$B$1960,MATCH(759,'Transfer Engine'!$C$2:$C$1960,0)))</f>
        <v/>
      </c>
      <c r="C768" s="8">
        <f>IF(ISNA(MATCH(759,'Transfer Engine'!$C$2:$C$1960,0)),"",INDEX('Compliance Database'!$C$2:$C$1960,MATCH(759,'Transfer Engine'!$C$2:$C$1960,0)))</f>
        <v/>
      </c>
      <c r="D768" s="9">
        <f>IF(ISNA(MATCH(759,'Transfer Engine'!$C$2:$C$1960,0)),"",INDEX('Compliance Database'!$D$2:$D$1960,MATCH(759,'Transfer Engine'!$C$2:$C$1960,0)))</f>
        <v/>
      </c>
      <c r="E768" s="8">
        <f>IF(ISNA(MATCH(759,'Transfer Engine'!$C$2:$C$1960,0)),"",INDEX('Compliance Database'!$E$2:$E$1960,MATCH(759,'Transfer Engine'!$C$2:$C$1960,0)))</f>
        <v/>
      </c>
      <c r="F768" s="8">
        <f>IF(ISNA(MATCH(759,'Transfer Engine'!$C$2:$C$1960,0)),"",INDEX('Compliance Database'!$F$2:$F$1960,MATCH(759,'Transfer Engine'!$C$2:$C$1960,0)))</f>
        <v/>
      </c>
      <c r="G768" s="8">
        <f>IF(ISNA(MATCH(759,'Transfer Engine'!$C$2:$C$1960,0)),"",INDEX('Compliance Database'!$G$2:$G$1960,MATCH(759,'Transfer Engine'!$C$2:$C$1960,0)))</f>
        <v/>
      </c>
      <c r="H768" s="9">
        <f>IF(ISNA(MATCH(759,'Transfer Engine'!$C$2:$C$1960,0)),"",INDEX('Compliance Database'!$H$2:$H$1960,MATCH(759,'Transfer Engine'!$C$2:$C$1960,0)))</f>
        <v/>
      </c>
      <c r="I768" s="9">
        <f>IF(ISNA(MATCH(759,'Transfer Engine'!$C$2:$C$1960,0)),"",INDEX('Compliance Database'!$I$2:$I$1960,MATCH(759,'Transfer Engine'!$C$2:$C$1960,0)))</f>
        <v/>
      </c>
      <c r="J768" s="8">
        <f>IF(ISNA(MATCH(759,'Transfer Engine'!$C$2:$C$1960,0)),"",INDEX('Compliance Database'!$J$2:$J$1960,MATCH(759,'Transfer Engine'!$C$2:$C$1960,0)))</f>
        <v/>
      </c>
      <c r="K768" s="9">
        <f>IF(ISNA(MATCH(759,'Transfer Engine'!$C$2:$C$1960,0)),"",INDEX('Compliance Database'!$K$2:$K$1960,MATCH(759,'Transfer Engine'!$C$2:$C$1960,0)))</f>
        <v/>
      </c>
      <c r="L768" s="9">
        <f>IF(ISNA(MATCH(759,'Transfer Engine'!$C$2:$C$1960,0)),"",INDEX('Compliance Database'!$L$2:$L$1960,MATCH(759,'Transfer Engine'!$C$2:$C$1960,0)))</f>
        <v/>
      </c>
      <c r="M768" s="9">
        <f>IF(ISNA(MATCH(759,'Transfer Engine'!$C$2:$C$1960,0)),"",INDEX('Compliance Database'!$M$2:$M$1960,MATCH(759,'Transfer Engine'!$C$2:$C$1960,0)))</f>
        <v/>
      </c>
      <c r="N768" s="9">
        <f>IF(ISNA(MATCH(759,'Transfer Engine'!$C$2:$C$1960,0)),"",INDEX('Compliance Database'!$N$2:$N$1960,MATCH(759,'Transfer Engine'!$C$2:$C$1960,0)))</f>
        <v/>
      </c>
      <c r="O768" s="9">
        <f>IF(ISNA(MATCH(759,'Transfer Engine'!$C$2:$C$1960,0)),"",INDEX('Compliance Database'!$O$2:$O$1960,MATCH(759,'Transfer Engine'!$C$2:$C$1960,0)))</f>
        <v/>
      </c>
      <c r="P768" s="8">
        <f>IF(ISNA(MATCH(759,'Transfer Engine'!$C$2:$C$1960,0)),"",HYPERLINK("#Acts!A"&amp;INDEX('Compliance Database'!$P$2:$P$1960,MATCH(759,'Transfer Engine'!$C$2:$C$1960,0)),"Go to Act"))</f>
        <v/>
      </c>
    </row>
    <row r="769" ht="158" customHeight="1">
      <c r="A769" s="8">
        <f>IF(ISNA(MATCH(760,'Transfer Engine'!$C$2:$C$1960,0)),"",INDEX('Compliance Database'!$A$2:$A$1960,MATCH(760,'Transfer Engine'!$C$2:$C$1960,0)))</f>
        <v/>
      </c>
      <c r="B769" s="8">
        <f>IF(ISNA(MATCH(760,'Transfer Engine'!$C$2:$C$1960,0)),"",INDEX('Compliance Database'!$B$2:$B$1960,MATCH(760,'Transfer Engine'!$C$2:$C$1960,0)))</f>
        <v/>
      </c>
      <c r="C769" s="8">
        <f>IF(ISNA(MATCH(760,'Transfer Engine'!$C$2:$C$1960,0)),"",INDEX('Compliance Database'!$C$2:$C$1960,MATCH(760,'Transfer Engine'!$C$2:$C$1960,0)))</f>
        <v/>
      </c>
      <c r="D769" s="9">
        <f>IF(ISNA(MATCH(760,'Transfer Engine'!$C$2:$C$1960,0)),"",INDEX('Compliance Database'!$D$2:$D$1960,MATCH(760,'Transfer Engine'!$C$2:$C$1960,0)))</f>
        <v/>
      </c>
      <c r="E769" s="8">
        <f>IF(ISNA(MATCH(760,'Transfer Engine'!$C$2:$C$1960,0)),"",INDEX('Compliance Database'!$E$2:$E$1960,MATCH(760,'Transfer Engine'!$C$2:$C$1960,0)))</f>
        <v/>
      </c>
      <c r="F769" s="8">
        <f>IF(ISNA(MATCH(760,'Transfer Engine'!$C$2:$C$1960,0)),"",INDEX('Compliance Database'!$F$2:$F$1960,MATCH(760,'Transfer Engine'!$C$2:$C$1960,0)))</f>
        <v/>
      </c>
      <c r="G769" s="8">
        <f>IF(ISNA(MATCH(760,'Transfer Engine'!$C$2:$C$1960,0)),"",INDEX('Compliance Database'!$G$2:$G$1960,MATCH(760,'Transfer Engine'!$C$2:$C$1960,0)))</f>
        <v/>
      </c>
      <c r="H769" s="9">
        <f>IF(ISNA(MATCH(760,'Transfer Engine'!$C$2:$C$1960,0)),"",INDEX('Compliance Database'!$H$2:$H$1960,MATCH(760,'Transfer Engine'!$C$2:$C$1960,0)))</f>
        <v/>
      </c>
      <c r="I769" s="9">
        <f>IF(ISNA(MATCH(760,'Transfer Engine'!$C$2:$C$1960,0)),"",INDEX('Compliance Database'!$I$2:$I$1960,MATCH(760,'Transfer Engine'!$C$2:$C$1960,0)))</f>
        <v/>
      </c>
      <c r="J769" s="8">
        <f>IF(ISNA(MATCH(760,'Transfer Engine'!$C$2:$C$1960,0)),"",INDEX('Compliance Database'!$J$2:$J$1960,MATCH(760,'Transfer Engine'!$C$2:$C$1960,0)))</f>
        <v/>
      </c>
      <c r="K769" s="9">
        <f>IF(ISNA(MATCH(760,'Transfer Engine'!$C$2:$C$1960,0)),"",INDEX('Compliance Database'!$K$2:$K$1960,MATCH(760,'Transfer Engine'!$C$2:$C$1960,0)))</f>
        <v/>
      </c>
      <c r="L769" s="9">
        <f>IF(ISNA(MATCH(760,'Transfer Engine'!$C$2:$C$1960,0)),"",INDEX('Compliance Database'!$L$2:$L$1960,MATCH(760,'Transfer Engine'!$C$2:$C$1960,0)))</f>
        <v/>
      </c>
      <c r="M769" s="9">
        <f>IF(ISNA(MATCH(760,'Transfer Engine'!$C$2:$C$1960,0)),"",INDEX('Compliance Database'!$M$2:$M$1960,MATCH(760,'Transfer Engine'!$C$2:$C$1960,0)))</f>
        <v/>
      </c>
      <c r="N769" s="9">
        <f>IF(ISNA(MATCH(760,'Transfer Engine'!$C$2:$C$1960,0)),"",INDEX('Compliance Database'!$N$2:$N$1960,MATCH(760,'Transfer Engine'!$C$2:$C$1960,0)))</f>
        <v/>
      </c>
      <c r="O769" s="9">
        <f>IF(ISNA(MATCH(760,'Transfer Engine'!$C$2:$C$1960,0)),"",INDEX('Compliance Database'!$O$2:$O$1960,MATCH(760,'Transfer Engine'!$C$2:$C$1960,0)))</f>
        <v/>
      </c>
      <c r="P769" s="8">
        <f>IF(ISNA(MATCH(760,'Transfer Engine'!$C$2:$C$1960,0)),"",HYPERLINK("#Acts!A"&amp;INDEX('Compliance Database'!$P$2:$P$1960,MATCH(760,'Transfer Engine'!$C$2:$C$1960,0)),"Go to Act"))</f>
        <v/>
      </c>
    </row>
    <row r="770" ht="158" customHeight="1">
      <c r="A770" s="8">
        <f>IF(ISNA(MATCH(761,'Transfer Engine'!$C$2:$C$1960,0)),"",INDEX('Compliance Database'!$A$2:$A$1960,MATCH(761,'Transfer Engine'!$C$2:$C$1960,0)))</f>
        <v/>
      </c>
      <c r="B770" s="8">
        <f>IF(ISNA(MATCH(761,'Transfer Engine'!$C$2:$C$1960,0)),"",INDEX('Compliance Database'!$B$2:$B$1960,MATCH(761,'Transfer Engine'!$C$2:$C$1960,0)))</f>
        <v/>
      </c>
      <c r="C770" s="8">
        <f>IF(ISNA(MATCH(761,'Transfer Engine'!$C$2:$C$1960,0)),"",INDEX('Compliance Database'!$C$2:$C$1960,MATCH(761,'Transfer Engine'!$C$2:$C$1960,0)))</f>
        <v/>
      </c>
      <c r="D770" s="9">
        <f>IF(ISNA(MATCH(761,'Transfer Engine'!$C$2:$C$1960,0)),"",INDEX('Compliance Database'!$D$2:$D$1960,MATCH(761,'Transfer Engine'!$C$2:$C$1960,0)))</f>
        <v/>
      </c>
      <c r="E770" s="8">
        <f>IF(ISNA(MATCH(761,'Transfer Engine'!$C$2:$C$1960,0)),"",INDEX('Compliance Database'!$E$2:$E$1960,MATCH(761,'Transfer Engine'!$C$2:$C$1960,0)))</f>
        <v/>
      </c>
      <c r="F770" s="8">
        <f>IF(ISNA(MATCH(761,'Transfer Engine'!$C$2:$C$1960,0)),"",INDEX('Compliance Database'!$F$2:$F$1960,MATCH(761,'Transfer Engine'!$C$2:$C$1960,0)))</f>
        <v/>
      </c>
      <c r="G770" s="8">
        <f>IF(ISNA(MATCH(761,'Transfer Engine'!$C$2:$C$1960,0)),"",INDEX('Compliance Database'!$G$2:$G$1960,MATCH(761,'Transfer Engine'!$C$2:$C$1960,0)))</f>
        <v/>
      </c>
      <c r="H770" s="9">
        <f>IF(ISNA(MATCH(761,'Transfer Engine'!$C$2:$C$1960,0)),"",INDEX('Compliance Database'!$H$2:$H$1960,MATCH(761,'Transfer Engine'!$C$2:$C$1960,0)))</f>
        <v/>
      </c>
      <c r="I770" s="9">
        <f>IF(ISNA(MATCH(761,'Transfer Engine'!$C$2:$C$1960,0)),"",INDEX('Compliance Database'!$I$2:$I$1960,MATCH(761,'Transfer Engine'!$C$2:$C$1960,0)))</f>
        <v/>
      </c>
      <c r="J770" s="8">
        <f>IF(ISNA(MATCH(761,'Transfer Engine'!$C$2:$C$1960,0)),"",INDEX('Compliance Database'!$J$2:$J$1960,MATCH(761,'Transfer Engine'!$C$2:$C$1960,0)))</f>
        <v/>
      </c>
      <c r="K770" s="9">
        <f>IF(ISNA(MATCH(761,'Transfer Engine'!$C$2:$C$1960,0)),"",INDEX('Compliance Database'!$K$2:$K$1960,MATCH(761,'Transfer Engine'!$C$2:$C$1960,0)))</f>
        <v/>
      </c>
      <c r="L770" s="9">
        <f>IF(ISNA(MATCH(761,'Transfer Engine'!$C$2:$C$1960,0)),"",INDEX('Compliance Database'!$L$2:$L$1960,MATCH(761,'Transfer Engine'!$C$2:$C$1960,0)))</f>
        <v/>
      </c>
      <c r="M770" s="9">
        <f>IF(ISNA(MATCH(761,'Transfer Engine'!$C$2:$C$1960,0)),"",INDEX('Compliance Database'!$M$2:$M$1960,MATCH(761,'Transfer Engine'!$C$2:$C$1960,0)))</f>
        <v/>
      </c>
      <c r="N770" s="9">
        <f>IF(ISNA(MATCH(761,'Transfer Engine'!$C$2:$C$1960,0)),"",INDEX('Compliance Database'!$N$2:$N$1960,MATCH(761,'Transfer Engine'!$C$2:$C$1960,0)))</f>
        <v/>
      </c>
      <c r="O770" s="9">
        <f>IF(ISNA(MATCH(761,'Transfer Engine'!$C$2:$C$1960,0)),"",INDEX('Compliance Database'!$O$2:$O$1960,MATCH(761,'Transfer Engine'!$C$2:$C$1960,0)))</f>
        <v/>
      </c>
      <c r="P770" s="8">
        <f>IF(ISNA(MATCH(761,'Transfer Engine'!$C$2:$C$1960,0)),"",HYPERLINK("#Acts!A"&amp;INDEX('Compliance Database'!$P$2:$P$1960,MATCH(761,'Transfer Engine'!$C$2:$C$1960,0)),"Go to Act"))</f>
        <v/>
      </c>
    </row>
    <row r="771" ht="158" customHeight="1">
      <c r="A771" s="8">
        <f>IF(ISNA(MATCH(762,'Transfer Engine'!$C$2:$C$1960,0)),"",INDEX('Compliance Database'!$A$2:$A$1960,MATCH(762,'Transfer Engine'!$C$2:$C$1960,0)))</f>
        <v/>
      </c>
      <c r="B771" s="8">
        <f>IF(ISNA(MATCH(762,'Transfer Engine'!$C$2:$C$1960,0)),"",INDEX('Compliance Database'!$B$2:$B$1960,MATCH(762,'Transfer Engine'!$C$2:$C$1960,0)))</f>
        <v/>
      </c>
      <c r="C771" s="8">
        <f>IF(ISNA(MATCH(762,'Transfer Engine'!$C$2:$C$1960,0)),"",INDEX('Compliance Database'!$C$2:$C$1960,MATCH(762,'Transfer Engine'!$C$2:$C$1960,0)))</f>
        <v/>
      </c>
      <c r="D771" s="9">
        <f>IF(ISNA(MATCH(762,'Transfer Engine'!$C$2:$C$1960,0)),"",INDEX('Compliance Database'!$D$2:$D$1960,MATCH(762,'Transfer Engine'!$C$2:$C$1960,0)))</f>
        <v/>
      </c>
      <c r="E771" s="8">
        <f>IF(ISNA(MATCH(762,'Transfer Engine'!$C$2:$C$1960,0)),"",INDEX('Compliance Database'!$E$2:$E$1960,MATCH(762,'Transfer Engine'!$C$2:$C$1960,0)))</f>
        <v/>
      </c>
      <c r="F771" s="8">
        <f>IF(ISNA(MATCH(762,'Transfer Engine'!$C$2:$C$1960,0)),"",INDEX('Compliance Database'!$F$2:$F$1960,MATCH(762,'Transfer Engine'!$C$2:$C$1960,0)))</f>
        <v/>
      </c>
      <c r="G771" s="8">
        <f>IF(ISNA(MATCH(762,'Transfer Engine'!$C$2:$C$1960,0)),"",INDEX('Compliance Database'!$G$2:$G$1960,MATCH(762,'Transfer Engine'!$C$2:$C$1960,0)))</f>
        <v/>
      </c>
      <c r="H771" s="9">
        <f>IF(ISNA(MATCH(762,'Transfer Engine'!$C$2:$C$1960,0)),"",INDEX('Compliance Database'!$H$2:$H$1960,MATCH(762,'Transfer Engine'!$C$2:$C$1960,0)))</f>
        <v/>
      </c>
      <c r="I771" s="9">
        <f>IF(ISNA(MATCH(762,'Transfer Engine'!$C$2:$C$1960,0)),"",INDEX('Compliance Database'!$I$2:$I$1960,MATCH(762,'Transfer Engine'!$C$2:$C$1960,0)))</f>
        <v/>
      </c>
      <c r="J771" s="8">
        <f>IF(ISNA(MATCH(762,'Transfer Engine'!$C$2:$C$1960,0)),"",INDEX('Compliance Database'!$J$2:$J$1960,MATCH(762,'Transfer Engine'!$C$2:$C$1960,0)))</f>
        <v/>
      </c>
      <c r="K771" s="9">
        <f>IF(ISNA(MATCH(762,'Transfer Engine'!$C$2:$C$1960,0)),"",INDEX('Compliance Database'!$K$2:$K$1960,MATCH(762,'Transfer Engine'!$C$2:$C$1960,0)))</f>
        <v/>
      </c>
      <c r="L771" s="9">
        <f>IF(ISNA(MATCH(762,'Transfer Engine'!$C$2:$C$1960,0)),"",INDEX('Compliance Database'!$L$2:$L$1960,MATCH(762,'Transfer Engine'!$C$2:$C$1960,0)))</f>
        <v/>
      </c>
      <c r="M771" s="9">
        <f>IF(ISNA(MATCH(762,'Transfer Engine'!$C$2:$C$1960,0)),"",INDEX('Compliance Database'!$M$2:$M$1960,MATCH(762,'Transfer Engine'!$C$2:$C$1960,0)))</f>
        <v/>
      </c>
      <c r="N771" s="9">
        <f>IF(ISNA(MATCH(762,'Transfer Engine'!$C$2:$C$1960,0)),"",INDEX('Compliance Database'!$N$2:$N$1960,MATCH(762,'Transfer Engine'!$C$2:$C$1960,0)))</f>
        <v/>
      </c>
      <c r="O771" s="9">
        <f>IF(ISNA(MATCH(762,'Transfer Engine'!$C$2:$C$1960,0)),"",INDEX('Compliance Database'!$O$2:$O$1960,MATCH(762,'Transfer Engine'!$C$2:$C$1960,0)))</f>
        <v/>
      </c>
      <c r="P771" s="8">
        <f>IF(ISNA(MATCH(762,'Transfer Engine'!$C$2:$C$1960,0)),"",HYPERLINK("#Acts!A"&amp;INDEX('Compliance Database'!$P$2:$P$1960,MATCH(762,'Transfer Engine'!$C$2:$C$1960,0)),"Go to Act"))</f>
        <v/>
      </c>
    </row>
    <row r="772" ht="158" customHeight="1">
      <c r="A772" s="8">
        <f>IF(ISNA(MATCH(763,'Transfer Engine'!$C$2:$C$1960,0)),"",INDEX('Compliance Database'!$A$2:$A$1960,MATCH(763,'Transfer Engine'!$C$2:$C$1960,0)))</f>
        <v/>
      </c>
      <c r="B772" s="8">
        <f>IF(ISNA(MATCH(763,'Transfer Engine'!$C$2:$C$1960,0)),"",INDEX('Compliance Database'!$B$2:$B$1960,MATCH(763,'Transfer Engine'!$C$2:$C$1960,0)))</f>
        <v/>
      </c>
      <c r="C772" s="8">
        <f>IF(ISNA(MATCH(763,'Transfer Engine'!$C$2:$C$1960,0)),"",INDEX('Compliance Database'!$C$2:$C$1960,MATCH(763,'Transfer Engine'!$C$2:$C$1960,0)))</f>
        <v/>
      </c>
      <c r="D772" s="9">
        <f>IF(ISNA(MATCH(763,'Transfer Engine'!$C$2:$C$1960,0)),"",INDEX('Compliance Database'!$D$2:$D$1960,MATCH(763,'Transfer Engine'!$C$2:$C$1960,0)))</f>
        <v/>
      </c>
      <c r="E772" s="8">
        <f>IF(ISNA(MATCH(763,'Transfer Engine'!$C$2:$C$1960,0)),"",INDEX('Compliance Database'!$E$2:$E$1960,MATCH(763,'Transfer Engine'!$C$2:$C$1960,0)))</f>
        <v/>
      </c>
      <c r="F772" s="8">
        <f>IF(ISNA(MATCH(763,'Transfer Engine'!$C$2:$C$1960,0)),"",INDEX('Compliance Database'!$F$2:$F$1960,MATCH(763,'Transfer Engine'!$C$2:$C$1960,0)))</f>
        <v/>
      </c>
      <c r="G772" s="8">
        <f>IF(ISNA(MATCH(763,'Transfer Engine'!$C$2:$C$1960,0)),"",INDEX('Compliance Database'!$G$2:$G$1960,MATCH(763,'Transfer Engine'!$C$2:$C$1960,0)))</f>
        <v/>
      </c>
      <c r="H772" s="9">
        <f>IF(ISNA(MATCH(763,'Transfer Engine'!$C$2:$C$1960,0)),"",INDEX('Compliance Database'!$H$2:$H$1960,MATCH(763,'Transfer Engine'!$C$2:$C$1960,0)))</f>
        <v/>
      </c>
      <c r="I772" s="9">
        <f>IF(ISNA(MATCH(763,'Transfer Engine'!$C$2:$C$1960,0)),"",INDEX('Compliance Database'!$I$2:$I$1960,MATCH(763,'Transfer Engine'!$C$2:$C$1960,0)))</f>
        <v/>
      </c>
      <c r="J772" s="8">
        <f>IF(ISNA(MATCH(763,'Transfer Engine'!$C$2:$C$1960,0)),"",INDEX('Compliance Database'!$J$2:$J$1960,MATCH(763,'Transfer Engine'!$C$2:$C$1960,0)))</f>
        <v/>
      </c>
      <c r="K772" s="9">
        <f>IF(ISNA(MATCH(763,'Transfer Engine'!$C$2:$C$1960,0)),"",INDEX('Compliance Database'!$K$2:$K$1960,MATCH(763,'Transfer Engine'!$C$2:$C$1960,0)))</f>
        <v/>
      </c>
      <c r="L772" s="9">
        <f>IF(ISNA(MATCH(763,'Transfer Engine'!$C$2:$C$1960,0)),"",INDEX('Compliance Database'!$L$2:$L$1960,MATCH(763,'Transfer Engine'!$C$2:$C$1960,0)))</f>
        <v/>
      </c>
      <c r="M772" s="9">
        <f>IF(ISNA(MATCH(763,'Transfer Engine'!$C$2:$C$1960,0)),"",INDEX('Compliance Database'!$M$2:$M$1960,MATCH(763,'Transfer Engine'!$C$2:$C$1960,0)))</f>
        <v/>
      </c>
      <c r="N772" s="9">
        <f>IF(ISNA(MATCH(763,'Transfer Engine'!$C$2:$C$1960,0)),"",INDEX('Compliance Database'!$N$2:$N$1960,MATCH(763,'Transfer Engine'!$C$2:$C$1960,0)))</f>
        <v/>
      </c>
      <c r="O772" s="9">
        <f>IF(ISNA(MATCH(763,'Transfer Engine'!$C$2:$C$1960,0)),"",INDEX('Compliance Database'!$O$2:$O$1960,MATCH(763,'Transfer Engine'!$C$2:$C$1960,0)))</f>
        <v/>
      </c>
      <c r="P772" s="8">
        <f>IF(ISNA(MATCH(763,'Transfer Engine'!$C$2:$C$1960,0)),"",HYPERLINK("#Acts!A"&amp;INDEX('Compliance Database'!$P$2:$P$1960,MATCH(763,'Transfer Engine'!$C$2:$C$1960,0)),"Go to Act"))</f>
        <v/>
      </c>
    </row>
    <row r="773" ht="158" customHeight="1">
      <c r="A773" s="8">
        <f>IF(ISNA(MATCH(764,'Transfer Engine'!$C$2:$C$1960,0)),"",INDEX('Compliance Database'!$A$2:$A$1960,MATCH(764,'Transfer Engine'!$C$2:$C$1960,0)))</f>
        <v/>
      </c>
      <c r="B773" s="8">
        <f>IF(ISNA(MATCH(764,'Transfer Engine'!$C$2:$C$1960,0)),"",INDEX('Compliance Database'!$B$2:$B$1960,MATCH(764,'Transfer Engine'!$C$2:$C$1960,0)))</f>
        <v/>
      </c>
      <c r="C773" s="8">
        <f>IF(ISNA(MATCH(764,'Transfer Engine'!$C$2:$C$1960,0)),"",INDEX('Compliance Database'!$C$2:$C$1960,MATCH(764,'Transfer Engine'!$C$2:$C$1960,0)))</f>
        <v/>
      </c>
      <c r="D773" s="9">
        <f>IF(ISNA(MATCH(764,'Transfer Engine'!$C$2:$C$1960,0)),"",INDEX('Compliance Database'!$D$2:$D$1960,MATCH(764,'Transfer Engine'!$C$2:$C$1960,0)))</f>
        <v/>
      </c>
      <c r="E773" s="8">
        <f>IF(ISNA(MATCH(764,'Transfer Engine'!$C$2:$C$1960,0)),"",INDEX('Compliance Database'!$E$2:$E$1960,MATCH(764,'Transfer Engine'!$C$2:$C$1960,0)))</f>
        <v/>
      </c>
      <c r="F773" s="8">
        <f>IF(ISNA(MATCH(764,'Transfer Engine'!$C$2:$C$1960,0)),"",INDEX('Compliance Database'!$F$2:$F$1960,MATCH(764,'Transfer Engine'!$C$2:$C$1960,0)))</f>
        <v/>
      </c>
      <c r="G773" s="8">
        <f>IF(ISNA(MATCH(764,'Transfer Engine'!$C$2:$C$1960,0)),"",INDEX('Compliance Database'!$G$2:$G$1960,MATCH(764,'Transfer Engine'!$C$2:$C$1960,0)))</f>
        <v/>
      </c>
      <c r="H773" s="9">
        <f>IF(ISNA(MATCH(764,'Transfer Engine'!$C$2:$C$1960,0)),"",INDEX('Compliance Database'!$H$2:$H$1960,MATCH(764,'Transfer Engine'!$C$2:$C$1960,0)))</f>
        <v/>
      </c>
      <c r="I773" s="9">
        <f>IF(ISNA(MATCH(764,'Transfer Engine'!$C$2:$C$1960,0)),"",INDEX('Compliance Database'!$I$2:$I$1960,MATCH(764,'Transfer Engine'!$C$2:$C$1960,0)))</f>
        <v/>
      </c>
      <c r="J773" s="8">
        <f>IF(ISNA(MATCH(764,'Transfer Engine'!$C$2:$C$1960,0)),"",INDEX('Compliance Database'!$J$2:$J$1960,MATCH(764,'Transfer Engine'!$C$2:$C$1960,0)))</f>
        <v/>
      </c>
      <c r="K773" s="9">
        <f>IF(ISNA(MATCH(764,'Transfer Engine'!$C$2:$C$1960,0)),"",INDEX('Compliance Database'!$K$2:$K$1960,MATCH(764,'Transfer Engine'!$C$2:$C$1960,0)))</f>
        <v/>
      </c>
      <c r="L773" s="9">
        <f>IF(ISNA(MATCH(764,'Transfer Engine'!$C$2:$C$1960,0)),"",INDEX('Compliance Database'!$L$2:$L$1960,MATCH(764,'Transfer Engine'!$C$2:$C$1960,0)))</f>
        <v/>
      </c>
      <c r="M773" s="9">
        <f>IF(ISNA(MATCH(764,'Transfer Engine'!$C$2:$C$1960,0)),"",INDEX('Compliance Database'!$M$2:$M$1960,MATCH(764,'Transfer Engine'!$C$2:$C$1960,0)))</f>
        <v/>
      </c>
      <c r="N773" s="9">
        <f>IF(ISNA(MATCH(764,'Transfer Engine'!$C$2:$C$1960,0)),"",INDEX('Compliance Database'!$N$2:$N$1960,MATCH(764,'Transfer Engine'!$C$2:$C$1960,0)))</f>
        <v/>
      </c>
      <c r="O773" s="9">
        <f>IF(ISNA(MATCH(764,'Transfer Engine'!$C$2:$C$1960,0)),"",INDEX('Compliance Database'!$O$2:$O$1960,MATCH(764,'Transfer Engine'!$C$2:$C$1960,0)))</f>
        <v/>
      </c>
      <c r="P773" s="8">
        <f>IF(ISNA(MATCH(764,'Transfer Engine'!$C$2:$C$1960,0)),"",HYPERLINK("#Acts!A"&amp;INDEX('Compliance Database'!$P$2:$P$1960,MATCH(764,'Transfer Engine'!$C$2:$C$1960,0)),"Go to Act"))</f>
        <v/>
      </c>
    </row>
    <row r="774" ht="158" customHeight="1">
      <c r="A774" s="8">
        <f>IF(ISNA(MATCH(765,'Transfer Engine'!$C$2:$C$1960,0)),"",INDEX('Compliance Database'!$A$2:$A$1960,MATCH(765,'Transfer Engine'!$C$2:$C$1960,0)))</f>
        <v/>
      </c>
      <c r="B774" s="8">
        <f>IF(ISNA(MATCH(765,'Transfer Engine'!$C$2:$C$1960,0)),"",INDEX('Compliance Database'!$B$2:$B$1960,MATCH(765,'Transfer Engine'!$C$2:$C$1960,0)))</f>
        <v/>
      </c>
      <c r="C774" s="8">
        <f>IF(ISNA(MATCH(765,'Transfer Engine'!$C$2:$C$1960,0)),"",INDEX('Compliance Database'!$C$2:$C$1960,MATCH(765,'Transfer Engine'!$C$2:$C$1960,0)))</f>
        <v/>
      </c>
      <c r="D774" s="9">
        <f>IF(ISNA(MATCH(765,'Transfer Engine'!$C$2:$C$1960,0)),"",INDEX('Compliance Database'!$D$2:$D$1960,MATCH(765,'Transfer Engine'!$C$2:$C$1960,0)))</f>
        <v/>
      </c>
      <c r="E774" s="8">
        <f>IF(ISNA(MATCH(765,'Transfer Engine'!$C$2:$C$1960,0)),"",INDEX('Compliance Database'!$E$2:$E$1960,MATCH(765,'Transfer Engine'!$C$2:$C$1960,0)))</f>
        <v/>
      </c>
      <c r="F774" s="8">
        <f>IF(ISNA(MATCH(765,'Transfer Engine'!$C$2:$C$1960,0)),"",INDEX('Compliance Database'!$F$2:$F$1960,MATCH(765,'Transfer Engine'!$C$2:$C$1960,0)))</f>
        <v/>
      </c>
      <c r="G774" s="8">
        <f>IF(ISNA(MATCH(765,'Transfer Engine'!$C$2:$C$1960,0)),"",INDEX('Compliance Database'!$G$2:$G$1960,MATCH(765,'Transfer Engine'!$C$2:$C$1960,0)))</f>
        <v/>
      </c>
      <c r="H774" s="9">
        <f>IF(ISNA(MATCH(765,'Transfer Engine'!$C$2:$C$1960,0)),"",INDEX('Compliance Database'!$H$2:$H$1960,MATCH(765,'Transfer Engine'!$C$2:$C$1960,0)))</f>
        <v/>
      </c>
      <c r="I774" s="9">
        <f>IF(ISNA(MATCH(765,'Transfer Engine'!$C$2:$C$1960,0)),"",INDEX('Compliance Database'!$I$2:$I$1960,MATCH(765,'Transfer Engine'!$C$2:$C$1960,0)))</f>
        <v/>
      </c>
      <c r="J774" s="8">
        <f>IF(ISNA(MATCH(765,'Transfer Engine'!$C$2:$C$1960,0)),"",INDEX('Compliance Database'!$J$2:$J$1960,MATCH(765,'Transfer Engine'!$C$2:$C$1960,0)))</f>
        <v/>
      </c>
      <c r="K774" s="9">
        <f>IF(ISNA(MATCH(765,'Transfer Engine'!$C$2:$C$1960,0)),"",INDEX('Compliance Database'!$K$2:$K$1960,MATCH(765,'Transfer Engine'!$C$2:$C$1960,0)))</f>
        <v/>
      </c>
      <c r="L774" s="9">
        <f>IF(ISNA(MATCH(765,'Transfer Engine'!$C$2:$C$1960,0)),"",INDEX('Compliance Database'!$L$2:$L$1960,MATCH(765,'Transfer Engine'!$C$2:$C$1960,0)))</f>
        <v/>
      </c>
      <c r="M774" s="9">
        <f>IF(ISNA(MATCH(765,'Transfer Engine'!$C$2:$C$1960,0)),"",INDEX('Compliance Database'!$M$2:$M$1960,MATCH(765,'Transfer Engine'!$C$2:$C$1960,0)))</f>
        <v/>
      </c>
      <c r="N774" s="9">
        <f>IF(ISNA(MATCH(765,'Transfer Engine'!$C$2:$C$1960,0)),"",INDEX('Compliance Database'!$N$2:$N$1960,MATCH(765,'Transfer Engine'!$C$2:$C$1960,0)))</f>
        <v/>
      </c>
      <c r="O774" s="9">
        <f>IF(ISNA(MATCH(765,'Transfer Engine'!$C$2:$C$1960,0)),"",INDEX('Compliance Database'!$O$2:$O$1960,MATCH(765,'Transfer Engine'!$C$2:$C$1960,0)))</f>
        <v/>
      </c>
      <c r="P774" s="8">
        <f>IF(ISNA(MATCH(765,'Transfer Engine'!$C$2:$C$1960,0)),"",HYPERLINK("#Acts!A"&amp;INDEX('Compliance Database'!$P$2:$P$1960,MATCH(765,'Transfer Engine'!$C$2:$C$1960,0)),"Go to Act"))</f>
        <v/>
      </c>
    </row>
    <row r="775" ht="158" customHeight="1">
      <c r="A775" s="8">
        <f>IF(ISNA(MATCH(766,'Transfer Engine'!$C$2:$C$1960,0)),"",INDEX('Compliance Database'!$A$2:$A$1960,MATCH(766,'Transfer Engine'!$C$2:$C$1960,0)))</f>
        <v/>
      </c>
      <c r="B775" s="8">
        <f>IF(ISNA(MATCH(766,'Transfer Engine'!$C$2:$C$1960,0)),"",INDEX('Compliance Database'!$B$2:$B$1960,MATCH(766,'Transfer Engine'!$C$2:$C$1960,0)))</f>
        <v/>
      </c>
      <c r="C775" s="8">
        <f>IF(ISNA(MATCH(766,'Transfer Engine'!$C$2:$C$1960,0)),"",INDEX('Compliance Database'!$C$2:$C$1960,MATCH(766,'Transfer Engine'!$C$2:$C$1960,0)))</f>
        <v/>
      </c>
      <c r="D775" s="9">
        <f>IF(ISNA(MATCH(766,'Transfer Engine'!$C$2:$C$1960,0)),"",INDEX('Compliance Database'!$D$2:$D$1960,MATCH(766,'Transfer Engine'!$C$2:$C$1960,0)))</f>
        <v/>
      </c>
      <c r="E775" s="8">
        <f>IF(ISNA(MATCH(766,'Transfer Engine'!$C$2:$C$1960,0)),"",INDEX('Compliance Database'!$E$2:$E$1960,MATCH(766,'Transfer Engine'!$C$2:$C$1960,0)))</f>
        <v/>
      </c>
      <c r="F775" s="8">
        <f>IF(ISNA(MATCH(766,'Transfer Engine'!$C$2:$C$1960,0)),"",INDEX('Compliance Database'!$F$2:$F$1960,MATCH(766,'Transfer Engine'!$C$2:$C$1960,0)))</f>
        <v/>
      </c>
      <c r="G775" s="8">
        <f>IF(ISNA(MATCH(766,'Transfer Engine'!$C$2:$C$1960,0)),"",INDEX('Compliance Database'!$G$2:$G$1960,MATCH(766,'Transfer Engine'!$C$2:$C$1960,0)))</f>
        <v/>
      </c>
      <c r="H775" s="9">
        <f>IF(ISNA(MATCH(766,'Transfer Engine'!$C$2:$C$1960,0)),"",INDEX('Compliance Database'!$H$2:$H$1960,MATCH(766,'Transfer Engine'!$C$2:$C$1960,0)))</f>
        <v/>
      </c>
      <c r="I775" s="9">
        <f>IF(ISNA(MATCH(766,'Transfer Engine'!$C$2:$C$1960,0)),"",INDEX('Compliance Database'!$I$2:$I$1960,MATCH(766,'Transfer Engine'!$C$2:$C$1960,0)))</f>
        <v/>
      </c>
      <c r="J775" s="8">
        <f>IF(ISNA(MATCH(766,'Transfer Engine'!$C$2:$C$1960,0)),"",INDEX('Compliance Database'!$J$2:$J$1960,MATCH(766,'Transfer Engine'!$C$2:$C$1960,0)))</f>
        <v/>
      </c>
      <c r="K775" s="9">
        <f>IF(ISNA(MATCH(766,'Transfer Engine'!$C$2:$C$1960,0)),"",INDEX('Compliance Database'!$K$2:$K$1960,MATCH(766,'Transfer Engine'!$C$2:$C$1960,0)))</f>
        <v/>
      </c>
      <c r="L775" s="9">
        <f>IF(ISNA(MATCH(766,'Transfer Engine'!$C$2:$C$1960,0)),"",INDEX('Compliance Database'!$L$2:$L$1960,MATCH(766,'Transfer Engine'!$C$2:$C$1960,0)))</f>
        <v/>
      </c>
      <c r="M775" s="9">
        <f>IF(ISNA(MATCH(766,'Transfer Engine'!$C$2:$C$1960,0)),"",INDEX('Compliance Database'!$M$2:$M$1960,MATCH(766,'Transfer Engine'!$C$2:$C$1960,0)))</f>
        <v/>
      </c>
      <c r="N775" s="9">
        <f>IF(ISNA(MATCH(766,'Transfer Engine'!$C$2:$C$1960,0)),"",INDEX('Compliance Database'!$N$2:$N$1960,MATCH(766,'Transfer Engine'!$C$2:$C$1960,0)))</f>
        <v/>
      </c>
      <c r="O775" s="9">
        <f>IF(ISNA(MATCH(766,'Transfer Engine'!$C$2:$C$1960,0)),"",INDEX('Compliance Database'!$O$2:$O$1960,MATCH(766,'Transfer Engine'!$C$2:$C$1960,0)))</f>
        <v/>
      </c>
      <c r="P775" s="8">
        <f>IF(ISNA(MATCH(766,'Transfer Engine'!$C$2:$C$1960,0)),"",HYPERLINK("#Acts!A"&amp;INDEX('Compliance Database'!$P$2:$P$1960,MATCH(766,'Transfer Engine'!$C$2:$C$1960,0)),"Go to Act"))</f>
        <v/>
      </c>
    </row>
    <row r="776" ht="158" customHeight="1">
      <c r="A776" s="8">
        <f>IF(ISNA(MATCH(767,'Transfer Engine'!$C$2:$C$1960,0)),"",INDEX('Compliance Database'!$A$2:$A$1960,MATCH(767,'Transfer Engine'!$C$2:$C$1960,0)))</f>
        <v/>
      </c>
      <c r="B776" s="8">
        <f>IF(ISNA(MATCH(767,'Transfer Engine'!$C$2:$C$1960,0)),"",INDEX('Compliance Database'!$B$2:$B$1960,MATCH(767,'Transfer Engine'!$C$2:$C$1960,0)))</f>
        <v/>
      </c>
      <c r="C776" s="8">
        <f>IF(ISNA(MATCH(767,'Transfer Engine'!$C$2:$C$1960,0)),"",INDEX('Compliance Database'!$C$2:$C$1960,MATCH(767,'Transfer Engine'!$C$2:$C$1960,0)))</f>
        <v/>
      </c>
      <c r="D776" s="9">
        <f>IF(ISNA(MATCH(767,'Transfer Engine'!$C$2:$C$1960,0)),"",INDEX('Compliance Database'!$D$2:$D$1960,MATCH(767,'Transfer Engine'!$C$2:$C$1960,0)))</f>
        <v/>
      </c>
      <c r="E776" s="8">
        <f>IF(ISNA(MATCH(767,'Transfer Engine'!$C$2:$C$1960,0)),"",INDEX('Compliance Database'!$E$2:$E$1960,MATCH(767,'Transfer Engine'!$C$2:$C$1960,0)))</f>
        <v/>
      </c>
      <c r="F776" s="8">
        <f>IF(ISNA(MATCH(767,'Transfer Engine'!$C$2:$C$1960,0)),"",INDEX('Compliance Database'!$F$2:$F$1960,MATCH(767,'Transfer Engine'!$C$2:$C$1960,0)))</f>
        <v/>
      </c>
      <c r="G776" s="8">
        <f>IF(ISNA(MATCH(767,'Transfer Engine'!$C$2:$C$1960,0)),"",INDEX('Compliance Database'!$G$2:$G$1960,MATCH(767,'Transfer Engine'!$C$2:$C$1960,0)))</f>
        <v/>
      </c>
      <c r="H776" s="9">
        <f>IF(ISNA(MATCH(767,'Transfer Engine'!$C$2:$C$1960,0)),"",INDEX('Compliance Database'!$H$2:$H$1960,MATCH(767,'Transfer Engine'!$C$2:$C$1960,0)))</f>
        <v/>
      </c>
      <c r="I776" s="9">
        <f>IF(ISNA(MATCH(767,'Transfer Engine'!$C$2:$C$1960,0)),"",INDEX('Compliance Database'!$I$2:$I$1960,MATCH(767,'Transfer Engine'!$C$2:$C$1960,0)))</f>
        <v/>
      </c>
      <c r="J776" s="8">
        <f>IF(ISNA(MATCH(767,'Transfer Engine'!$C$2:$C$1960,0)),"",INDEX('Compliance Database'!$J$2:$J$1960,MATCH(767,'Transfer Engine'!$C$2:$C$1960,0)))</f>
        <v/>
      </c>
      <c r="K776" s="9">
        <f>IF(ISNA(MATCH(767,'Transfer Engine'!$C$2:$C$1960,0)),"",INDEX('Compliance Database'!$K$2:$K$1960,MATCH(767,'Transfer Engine'!$C$2:$C$1960,0)))</f>
        <v/>
      </c>
      <c r="L776" s="9">
        <f>IF(ISNA(MATCH(767,'Transfer Engine'!$C$2:$C$1960,0)),"",INDEX('Compliance Database'!$L$2:$L$1960,MATCH(767,'Transfer Engine'!$C$2:$C$1960,0)))</f>
        <v/>
      </c>
      <c r="M776" s="9">
        <f>IF(ISNA(MATCH(767,'Transfer Engine'!$C$2:$C$1960,0)),"",INDEX('Compliance Database'!$M$2:$M$1960,MATCH(767,'Transfer Engine'!$C$2:$C$1960,0)))</f>
        <v/>
      </c>
      <c r="N776" s="9">
        <f>IF(ISNA(MATCH(767,'Transfer Engine'!$C$2:$C$1960,0)),"",INDEX('Compliance Database'!$N$2:$N$1960,MATCH(767,'Transfer Engine'!$C$2:$C$1960,0)))</f>
        <v/>
      </c>
      <c r="O776" s="9">
        <f>IF(ISNA(MATCH(767,'Transfer Engine'!$C$2:$C$1960,0)),"",INDEX('Compliance Database'!$O$2:$O$1960,MATCH(767,'Transfer Engine'!$C$2:$C$1960,0)))</f>
        <v/>
      </c>
      <c r="P776" s="8">
        <f>IF(ISNA(MATCH(767,'Transfer Engine'!$C$2:$C$1960,0)),"",HYPERLINK("#Acts!A"&amp;INDEX('Compliance Database'!$P$2:$P$1960,MATCH(767,'Transfer Engine'!$C$2:$C$1960,0)),"Go to Act"))</f>
        <v/>
      </c>
    </row>
    <row r="777" ht="158" customHeight="1">
      <c r="A777" s="8">
        <f>IF(ISNA(MATCH(768,'Transfer Engine'!$C$2:$C$1960,0)),"",INDEX('Compliance Database'!$A$2:$A$1960,MATCH(768,'Transfer Engine'!$C$2:$C$1960,0)))</f>
        <v/>
      </c>
      <c r="B777" s="8">
        <f>IF(ISNA(MATCH(768,'Transfer Engine'!$C$2:$C$1960,0)),"",INDEX('Compliance Database'!$B$2:$B$1960,MATCH(768,'Transfer Engine'!$C$2:$C$1960,0)))</f>
        <v/>
      </c>
      <c r="C777" s="8">
        <f>IF(ISNA(MATCH(768,'Transfer Engine'!$C$2:$C$1960,0)),"",INDEX('Compliance Database'!$C$2:$C$1960,MATCH(768,'Transfer Engine'!$C$2:$C$1960,0)))</f>
        <v/>
      </c>
      <c r="D777" s="9">
        <f>IF(ISNA(MATCH(768,'Transfer Engine'!$C$2:$C$1960,0)),"",INDEX('Compliance Database'!$D$2:$D$1960,MATCH(768,'Transfer Engine'!$C$2:$C$1960,0)))</f>
        <v/>
      </c>
      <c r="E777" s="8">
        <f>IF(ISNA(MATCH(768,'Transfer Engine'!$C$2:$C$1960,0)),"",INDEX('Compliance Database'!$E$2:$E$1960,MATCH(768,'Transfer Engine'!$C$2:$C$1960,0)))</f>
        <v/>
      </c>
      <c r="F777" s="8">
        <f>IF(ISNA(MATCH(768,'Transfer Engine'!$C$2:$C$1960,0)),"",INDEX('Compliance Database'!$F$2:$F$1960,MATCH(768,'Transfer Engine'!$C$2:$C$1960,0)))</f>
        <v/>
      </c>
      <c r="G777" s="8">
        <f>IF(ISNA(MATCH(768,'Transfer Engine'!$C$2:$C$1960,0)),"",INDEX('Compliance Database'!$G$2:$G$1960,MATCH(768,'Transfer Engine'!$C$2:$C$1960,0)))</f>
        <v/>
      </c>
      <c r="H777" s="9">
        <f>IF(ISNA(MATCH(768,'Transfer Engine'!$C$2:$C$1960,0)),"",INDEX('Compliance Database'!$H$2:$H$1960,MATCH(768,'Transfer Engine'!$C$2:$C$1960,0)))</f>
        <v/>
      </c>
      <c r="I777" s="9">
        <f>IF(ISNA(MATCH(768,'Transfer Engine'!$C$2:$C$1960,0)),"",INDEX('Compliance Database'!$I$2:$I$1960,MATCH(768,'Transfer Engine'!$C$2:$C$1960,0)))</f>
        <v/>
      </c>
      <c r="J777" s="8">
        <f>IF(ISNA(MATCH(768,'Transfer Engine'!$C$2:$C$1960,0)),"",INDEX('Compliance Database'!$J$2:$J$1960,MATCH(768,'Transfer Engine'!$C$2:$C$1960,0)))</f>
        <v/>
      </c>
      <c r="K777" s="9">
        <f>IF(ISNA(MATCH(768,'Transfer Engine'!$C$2:$C$1960,0)),"",INDEX('Compliance Database'!$K$2:$K$1960,MATCH(768,'Transfer Engine'!$C$2:$C$1960,0)))</f>
        <v/>
      </c>
      <c r="L777" s="9">
        <f>IF(ISNA(MATCH(768,'Transfer Engine'!$C$2:$C$1960,0)),"",INDEX('Compliance Database'!$L$2:$L$1960,MATCH(768,'Transfer Engine'!$C$2:$C$1960,0)))</f>
        <v/>
      </c>
      <c r="M777" s="9">
        <f>IF(ISNA(MATCH(768,'Transfer Engine'!$C$2:$C$1960,0)),"",INDEX('Compliance Database'!$M$2:$M$1960,MATCH(768,'Transfer Engine'!$C$2:$C$1960,0)))</f>
        <v/>
      </c>
      <c r="N777" s="9">
        <f>IF(ISNA(MATCH(768,'Transfer Engine'!$C$2:$C$1960,0)),"",INDEX('Compliance Database'!$N$2:$N$1960,MATCH(768,'Transfer Engine'!$C$2:$C$1960,0)))</f>
        <v/>
      </c>
      <c r="O777" s="9">
        <f>IF(ISNA(MATCH(768,'Transfer Engine'!$C$2:$C$1960,0)),"",INDEX('Compliance Database'!$O$2:$O$1960,MATCH(768,'Transfer Engine'!$C$2:$C$1960,0)))</f>
        <v/>
      </c>
      <c r="P777" s="8">
        <f>IF(ISNA(MATCH(768,'Transfer Engine'!$C$2:$C$1960,0)),"",HYPERLINK("#Acts!A"&amp;INDEX('Compliance Database'!$P$2:$P$1960,MATCH(768,'Transfer Engine'!$C$2:$C$1960,0)),"Go to Act"))</f>
        <v/>
      </c>
    </row>
    <row r="778" ht="158" customHeight="1">
      <c r="A778" s="8">
        <f>IF(ISNA(MATCH(769,'Transfer Engine'!$C$2:$C$1960,0)),"",INDEX('Compliance Database'!$A$2:$A$1960,MATCH(769,'Transfer Engine'!$C$2:$C$1960,0)))</f>
        <v/>
      </c>
      <c r="B778" s="8">
        <f>IF(ISNA(MATCH(769,'Transfer Engine'!$C$2:$C$1960,0)),"",INDEX('Compliance Database'!$B$2:$B$1960,MATCH(769,'Transfer Engine'!$C$2:$C$1960,0)))</f>
        <v/>
      </c>
      <c r="C778" s="8">
        <f>IF(ISNA(MATCH(769,'Transfer Engine'!$C$2:$C$1960,0)),"",INDEX('Compliance Database'!$C$2:$C$1960,MATCH(769,'Transfer Engine'!$C$2:$C$1960,0)))</f>
        <v/>
      </c>
      <c r="D778" s="9">
        <f>IF(ISNA(MATCH(769,'Transfer Engine'!$C$2:$C$1960,0)),"",INDEX('Compliance Database'!$D$2:$D$1960,MATCH(769,'Transfer Engine'!$C$2:$C$1960,0)))</f>
        <v/>
      </c>
      <c r="E778" s="8">
        <f>IF(ISNA(MATCH(769,'Transfer Engine'!$C$2:$C$1960,0)),"",INDEX('Compliance Database'!$E$2:$E$1960,MATCH(769,'Transfer Engine'!$C$2:$C$1960,0)))</f>
        <v/>
      </c>
      <c r="F778" s="8">
        <f>IF(ISNA(MATCH(769,'Transfer Engine'!$C$2:$C$1960,0)),"",INDEX('Compliance Database'!$F$2:$F$1960,MATCH(769,'Transfer Engine'!$C$2:$C$1960,0)))</f>
        <v/>
      </c>
      <c r="G778" s="8">
        <f>IF(ISNA(MATCH(769,'Transfer Engine'!$C$2:$C$1960,0)),"",INDEX('Compliance Database'!$G$2:$G$1960,MATCH(769,'Transfer Engine'!$C$2:$C$1960,0)))</f>
        <v/>
      </c>
      <c r="H778" s="9">
        <f>IF(ISNA(MATCH(769,'Transfer Engine'!$C$2:$C$1960,0)),"",INDEX('Compliance Database'!$H$2:$H$1960,MATCH(769,'Transfer Engine'!$C$2:$C$1960,0)))</f>
        <v/>
      </c>
      <c r="I778" s="9">
        <f>IF(ISNA(MATCH(769,'Transfer Engine'!$C$2:$C$1960,0)),"",INDEX('Compliance Database'!$I$2:$I$1960,MATCH(769,'Transfer Engine'!$C$2:$C$1960,0)))</f>
        <v/>
      </c>
      <c r="J778" s="8">
        <f>IF(ISNA(MATCH(769,'Transfer Engine'!$C$2:$C$1960,0)),"",INDEX('Compliance Database'!$J$2:$J$1960,MATCH(769,'Transfer Engine'!$C$2:$C$1960,0)))</f>
        <v/>
      </c>
      <c r="K778" s="9">
        <f>IF(ISNA(MATCH(769,'Transfer Engine'!$C$2:$C$1960,0)),"",INDEX('Compliance Database'!$K$2:$K$1960,MATCH(769,'Transfer Engine'!$C$2:$C$1960,0)))</f>
        <v/>
      </c>
      <c r="L778" s="9">
        <f>IF(ISNA(MATCH(769,'Transfer Engine'!$C$2:$C$1960,0)),"",INDEX('Compliance Database'!$L$2:$L$1960,MATCH(769,'Transfer Engine'!$C$2:$C$1960,0)))</f>
        <v/>
      </c>
      <c r="M778" s="9">
        <f>IF(ISNA(MATCH(769,'Transfer Engine'!$C$2:$C$1960,0)),"",INDEX('Compliance Database'!$M$2:$M$1960,MATCH(769,'Transfer Engine'!$C$2:$C$1960,0)))</f>
        <v/>
      </c>
      <c r="N778" s="9">
        <f>IF(ISNA(MATCH(769,'Transfer Engine'!$C$2:$C$1960,0)),"",INDEX('Compliance Database'!$N$2:$N$1960,MATCH(769,'Transfer Engine'!$C$2:$C$1960,0)))</f>
        <v/>
      </c>
      <c r="O778" s="9">
        <f>IF(ISNA(MATCH(769,'Transfer Engine'!$C$2:$C$1960,0)),"",INDEX('Compliance Database'!$O$2:$O$1960,MATCH(769,'Transfer Engine'!$C$2:$C$1960,0)))</f>
        <v/>
      </c>
      <c r="P778" s="8">
        <f>IF(ISNA(MATCH(769,'Transfer Engine'!$C$2:$C$1960,0)),"",HYPERLINK("#Acts!A"&amp;INDEX('Compliance Database'!$P$2:$P$1960,MATCH(769,'Transfer Engine'!$C$2:$C$1960,0)),"Go to Act"))</f>
        <v/>
      </c>
    </row>
    <row r="779" ht="158" customHeight="1">
      <c r="A779" s="8">
        <f>IF(ISNA(MATCH(770,'Transfer Engine'!$C$2:$C$1960,0)),"",INDEX('Compliance Database'!$A$2:$A$1960,MATCH(770,'Transfer Engine'!$C$2:$C$1960,0)))</f>
        <v/>
      </c>
      <c r="B779" s="8">
        <f>IF(ISNA(MATCH(770,'Transfer Engine'!$C$2:$C$1960,0)),"",INDEX('Compliance Database'!$B$2:$B$1960,MATCH(770,'Transfer Engine'!$C$2:$C$1960,0)))</f>
        <v/>
      </c>
      <c r="C779" s="8">
        <f>IF(ISNA(MATCH(770,'Transfer Engine'!$C$2:$C$1960,0)),"",INDEX('Compliance Database'!$C$2:$C$1960,MATCH(770,'Transfer Engine'!$C$2:$C$1960,0)))</f>
        <v/>
      </c>
      <c r="D779" s="9">
        <f>IF(ISNA(MATCH(770,'Transfer Engine'!$C$2:$C$1960,0)),"",INDEX('Compliance Database'!$D$2:$D$1960,MATCH(770,'Transfer Engine'!$C$2:$C$1960,0)))</f>
        <v/>
      </c>
      <c r="E779" s="8">
        <f>IF(ISNA(MATCH(770,'Transfer Engine'!$C$2:$C$1960,0)),"",INDEX('Compliance Database'!$E$2:$E$1960,MATCH(770,'Transfer Engine'!$C$2:$C$1960,0)))</f>
        <v/>
      </c>
      <c r="F779" s="8">
        <f>IF(ISNA(MATCH(770,'Transfer Engine'!$C$2:$C$1960,0)),"",INDEX('Compliance Database'!$F$2:$F$1960,MATCH(770,'Transfer Engine'!$C$2:$C$1960,0)))</f>
        <v/>
      </c>
      <c r="G779" s="8">
        <f>IF(ISNA(MATCH(770,'Transfer Engine'!$C$2:$C$1960,0)),"",INDEX('Compliance Database'!$G$2:$G$1960,MATCH(770,'Transfer Engine'!$C$2:$C$1960,0)))</f>
        <v/>
      </c>
      <c r="H779" s="9">
        <f>IF(ISNA(MATCH(770,'Transfer Engine'!$C$2:$C$1960,0)),"",INDEX('Compliance Database'!$H$2:$H$1960,MATCH(770,'Transfer Engine'!$C$2:$C$1960,0)))</f>
        <v/>
      </c>
      <c r="I779" s="9">
        <f>IF(ISNA(MATCH(770,'Transfer Engine'!$C$2:$C$1960,0)),"",INDEX('Compliance Database'!$I$2:$I$1960,MATCH(770,'Transfer Engine'!$C$2:$C$1960,0)))</f>
        <v/>
      </c>
      <c r="J779" s="8">
        <f>IF(ISNA(MATCH(770,'Transfer Engine'!$C$2:$C$1960,0)),"",INDEX('Compliance Database'!$J$2:$J$1960,MATCH(770,'Transfer Engine'!$C$2:$C$1960,0)))</f>
        <v/>
      </c>
      <c r="K779" s="9">
        <f>IF(ISNA(MATCH(770,'Transfer Engine'!$C$2:$C$1960,0)),"",INDEX('Compliance Database'!$K$2:$K$1960,MATCH(770,'Transfer Engine'!$C$2:$C$1960,0)))</f>
        <v/>
      </c>
      <c r="L779" s="9">
        <f>IF(ISNA(MATCH(770,'Transfer Engine'!$C$2:$C$1960,0)),"",INDEX('Compliance Database'!$L$2:$L$1960,MATCH(770,'Transfer Engine'!$C$2:$C$1960,0)))</f>
        <v/>
      </c>
      <c r="M779" s="9">
        <f>IF(ISNA(MATCH(770,'Transfer Engine'!$C$2:$C$1960,0)),"",INDEX('Compliance Database'!$M$2:$M$1960,MATCH(770,'Transfer Engine'!$C$2:$C$1960,0)))</f>
        <v/>
      </c>
      <c r="N779" s="9">
        <f>IF(ISNA(MATCH(770,'Transfer Engine'!$C$2:$C$1960,0)),"",INDEX('Compliance Database'!$N$2:$N$1960,MATCH(770,'Transfer Engine'!$C$2:$C$1960,0)))</f>
        <v/>
      </c>
      <c r="O779" s="9">
        <f>IF(ISNA(MATCH(770,'Transfer Engine'!$C$2:$C$1960,0)),"",INDEX('Compliance Database'!$O$2:$O$1960,MATCH(770,'Transfer Engine'!$C$2:$C$1960,0)))</f>
        <v/>
      </c>
      <c r="P779" s="8">
        <f>IF(ISNA(MATCH(770,'Transfer Engine'!$C$2:$C$1960,0)),"",HYPERLINK("#Acts!A"&amp;INDEX('Compliance Database'!$P$2:$P$1960,MATCH(770,'Transfer Engine'!$C$2:$C$1960,0)),"Go to Act"))</f>
        <v/>
      </c>
    </row>
    <row r="780" ht="158" customHeight="1">
      <c r="A780" s="8">
        <f>IF(ISNA(MATCH(771,'Transfer Engine'!$C$2:$C$1960,0)),"",INDEX('Compliance Database'!$A$2:$A$1960,MATCH(771,'Transfer Engine'!$C$2:$C$1960,0)))</f>
        <v/>
      </c>
      <c r="B780" s="8">
        <f>IF(ISNA(MATCH(771,'Transfer Engine'!$C$2:$C$1960,0)),"",INDEX('Compliance Database'!$B$2:$B$1960,MATCH(771,'Transfer Engine'!$C$2:$C$1960,0)))</f>
        <v/>
      </c>
      <c r="C780" s="8">
        <f>IF(ISNA(MATCH(771,'Transfer Engine'!$C$2:$C$1960,0)),"",INDEX('Compliance Database'!$C$2:$C$1960,MATCH(771,'Transfer Engine'!$C$2:$C$1960,0)))</f>
        <v/>
      </c>
      <c r="D780" s="9">
        <f>IF(ISNA(MATCH(771,'Transfer Engine'!$C$2:$C$1960,0)),"",INDEX('Compliance Database'!$D$2:$D$1960,MATCH(771,'Transfer Engine'!$C$2:$C$1960,0)))</f>
        <v/>
      </c>
      <c r="E780" s="8">
        <f>IF(ISNA(MATCH(771,'Transfer Engine'!$C$2:$C$1960,0)),"",INDEX('Compliance Database'!$E$2:$E$1960,MATCH(771,'Transfer Engine'!$C$2:$C$1960,0)))</f>
        <v/>
      </c>
      <c r="F780" s="8">
        <f>IF(ISNA(MATCH(771,'Transfer Engine'!$C$2:$C$1960,0)),"",INDEX('Compliance Database'!$F$2:$F$1960,MATCH(771,'Transfer Engine'!$C$2:$C$1960,0)))</f>
        <v/>
      </c>
      <c r="G780" s="8">
        <f>IF(ISNA(MATCH(771,'Transfer Engine'!$C$2:$C$1960,0)),"",INDEX('Compliance Database'!$G$2:$G$1960,MATCH(771,'Transfer Engine'!$C$2:$C$1960,0)))</f>
        <v/>
      </c>
      <c r="H780" s="9">
        <f>IF(ISNA(MATCH(771,'Transfer Engine'!$C$2:$C$1960,0)),"",INDEX('Compliance Database'!$H$2:$H$1960,MATCH(771,'Transfer Engine'!$C$2:$C$1960,0)))</f>
        <v/>
      </c>
      <c r="I780" s="9">
        <f>IF(ISNA(MATCH(771,'Transfer Engine'!$C$2:$C$1960,0)),"",INDEX('Compliance Database'!$I$2:$I$1960,MATCH(771,'Transfer Engine'!$C$2:$C$1960,0)))</f>
        <v/>
      </c>
      <c r="J780" s="8">
        <f>IF(ISNA(MATCH(771,'Transfer Engine'!$C$2:$C$1960,0)),"",INDEX('Compliance Database'!$J$2:$J$1960,MATCH(771,'Transfer Engine'!$C$2:$C$1960,0)))</f>
        <v/>
      </c>
      <c r="K780" s="9">
        <f>IF(ISNA(MATCH(771,'Transfer Engine'!$C$2:$C$1960,0)),"",INDEX('Compliance Database'!$K$2:$K$1960,MATCH(771,'Transfer Engine'!$C$2:$C$1960,0)))</f>
        <v/>
      </c>
      <c r="L780" s="9">
        <f>IF(ISNA(MATCH(771,'Transfer Engine'!$C$2:$C$1960,0)),"",INDEX('Compliance Database'!$L$2:$L$1960,MATCH(771,'Transfer Engine'!$C$2:$C$1960,0)))</f>
        <v/>
      </c>
      <c r="M780" s="9">
        <f>IF(ISNA(MATCH(771,'Transfer Engine'!$C$2:$C$1960,0)),"",INDEX('Compliance Database'!$M$2:$M$1960,MATCH(771,'Transfer Engine'!$C$2:$C$1960,0)))</f>
        <v/>
      </c>
      <c r="N780" s="9">
        <f>IF(ISNA(MATCH(771,'Transfer Engine'!$C$2:$C$1960,0)),"",INDEX('Compliance Database'!$N$2:$N$1960,MATCH(771,'Transfer Engine'!$C$2:$C$1960,0)))</f>
        <v/>
      </c>
      <c r="O780" s="9">
        <f>IF(ISNA(MATCH(771,'Transfer Engine'!$C$2:$C$1960,0)),"",INDEX('Compliance Database'!$O$2:$O$1960,MATCH(771,'Transfer Engine'!$C$2:$C$1960,0)))</f>
        <v/>
      </c>
      <c r="P780" s="8">
        <f>IF(ISNA(MATCH(771,'Transfer Engine'!$C$2:$C$1960,0)),"",HYPERLINK("#Acts!A"&amp;INDEX('Compliance Database'!$P$2:$P$1960,MATCH(771,'Transfer Engine'!$C$2:$C$1960,0)),"Go to Act"))</f>
        <v/>
      </c>
    </row>
    <row r="781" ht="158" customHeight="1">
      <c r="A781" s="8">
        <f>IF(ISNA(MATCH(772,'Transfer Engine'!$C$2:$C$1960,0)),"",INDEX('Compliance Database'!$A$2:$A$1960,MATCH(772,'Transfer Engine'!$C$2:$C$1960,0)))</f>
        <v/>
      </c>
      <c r="B781" s="8">
        <f>IF(ISNA(MATCH(772,'Transfer Engine'!$C$2:$C$1960,0)),"",INDEX('Compliance Database'!$B$2:$B$1960,MATCH(772,'Transfer Engine'!$C$2:$C$1960,0)))</f>
        <v/>
      </c>
      <c r="C781" s="8">
        <f>IF(ISNA(MATCH(772,'Transfer Engine'!$C$2:$C$1960,0)),"",INDEX('Compliance Database'!$C$2:$C$1960,MATCH(772,'Transfer Engine'!$C$2:$C$1960,0)))</f>
        <v/>
      </c>
      <c r="D781" s="9">
        <f>IF(ISNA(MATCH(772,'Transfer Engine'!$C$2:$C$1960,0)),"",INDEX('Compliance Database'!$D$2:$D$1960,MATCH(772,'Transfer Engine'!$C$2:$C$1960,0)))</f>
        <v/>
      </c>
      <c r="E781" s="8">
        <f>IF(ISNA(MATCH(772,'Transfer Engine'!$C$2:$C$1960,0)),"",INDEX('Compliance Database'!$E$2:$E$1960,MATCH(772,'Transfer Engine'!$C$2:$C$1960,0)))</f>
        <v/>
      </c>
      <c r="F781" s="8">
        <f>IF(ISNA(MATCH(772,'Transfer Engine'!$C$2:$C$1960,0)),"",INDEX('Compliance Database'!$F$2:$F$1960,MATCH(772,'Transfer Engine'!$C$2:$C$1960,0)))</f>
        <v/>
      </c>
      <c r="G781" s="8">
        <f>IF(ISNA(MATCH(772,'Transfer Engine'!$C$2:$C$1960,0)),"",INDEX('Compliance Database'!$G$2:$G$1960,MATCH(772,'Transfer Engine'!$C$2:$C$1960,0)))</f>
        <v/>
      </c>
      <c r="H781" s="9">
        <f>IF(ISNA(MATCH(772,'Transfer Engine'!$C$2:$C$1960,0)),"",INDEX('Compliance Database'!$H$2:$H$1960,MATCH(772,'Transfer Engine'!$C$2:$C$1960,0)))</f>
        <v/>
      </c>
      <c r="I781" s="9">
        <f>IF(ISNA(MATCH(772,'Transfer Engine'!$C$2:$C$1960,0)),"",INDEX('Compliance Database'!$I$2:$I$1960,MATCH(772,'Transfer Engine'!$C$2:$C$1960,0)))</f>
        <v/>
      </c>
      <c r="J781" s="8">
        <f>IF(ISNA(MATCH(772,'Transfer Engine'!$C$2:$C$1960,0)),"",INDEX('Compliance Database'!$J$2:$J$1960,MATCH(772,'Transfer Engine'!$C$2:$C$1960,0)))</f>
        <v/>
      </c>
      <c r="K781" s="9">
        <f>IF(ISNA(MATCH(772,'Transfer Engine'!$C$2:$C$1960,0)),"",INDEX('Compliance Database'!$K$2:$K$1960,MATCH(772,'Transfer Engine'!$C$2:$C$1960,0)))</f>
        <v/>
      </c>
      <c r="L781" s="9">
        <f>IF(ISNA(MATCH(772,'Transfer Engine'!$C$2:$C$1960,0)),"",INDEX('Compliance Database'!$L$2:$L$1960,MATCH(772,'Transfer Engine'!$C$2:$C$1960,0)))</f>
        <v/>
      </c>
      <c r="M781" s="9">
        <f>IF(ISNA(MATCH(772,'Transfer Engine'!$C$2:$C$1960,0)),"",INDEX('Compliance Database'!$M$2:$M$1960,MATCH(772,'Transfer Engine'!$C$2:$C$1960,0)))</f>
        <v/>
      </c>
      <c r="N781" s="9">
        <f>IF(ISNA(MATCH(772,'Transfer Engine'!$C$2:$C$1960,0)),"",INDEX('Compliance Database'!$N$2:$N$1960,MATCH(772,'Transfer Engine'!$C$2:$C$1960,0)))</f>
        <v/>
      </c>
      <c r="O781" s="9">
        <f>IF(ISNA(MATCH(772,'Transfer Engine'!$C$2:$C$1960,0)),"",INDEX('Compliance Database'!$O$2:$O$1960,MATCH(772,'Transfer Engine'!$C$2:$C$1960,0)))</f>
        <v/>
      </c>
      <c r="P781" s="8">
        <f>IF(ISNA(MATCH(772,'Transfer Engine'!$C$2:$C$1960,0)),"",HYPERLINK("#Acts!A"&amp;INDEX('Compliance Database'!$P$2:$P$1960,MATCH(772,'Transfer Engine'!$C$2:$C$1960,0)),"Go to Act"))</f>
        <v/>
      </c>
    </row>
    <row r="782" ht="158" customHeight="1">
      <c r="A782" s="8">
        <f>IF(ISNA(MATCH(773,'Transfer Engine'!$C$2:$C$1960,0)),"",INDEX('Compliance Database'!$A$2:$A$1960,MATCH(773,'Transfer Engine'!$C$2:$C$1960,0)))</f>
        <v/>
      </c>
      <c r="B782" s="8">
        <f>IF(ISNA(MATCH(773,'Transfer Engine'!$C$2:$C$1960,0)),"",INDEX('Compliance Database'!$B$2:$B$1960,MATCH(773,'Transfer Engine'!$C$2:$C$1960,0)))</f>
        <v/>
      </c>
      <c r="C782" s="8">
        <f>IF(ISNA(MATCH(773,'Transfer Engine'!$C$2:$C$1960,0)),"",INDEX('Compliance Database'!$C$2:$C$1960,MATCH(773,'Transfer Engine'!$C$2:$C$1960,0)))</f>
        <v/>
      </c>
      <c r="D782" s="9">
        <f>IF(ISNA(MATCH(773,'Transfer Engine'!$C$2:$C$1960,0)),"",INDEX('Compliance Database'!$D$2:$D$1960,MATCH(773,'Transfer Engine'!$C$2:$C$1960,0)))</f>
        <v/>
      </c>
      <c r="E782" s="8">
        <f>IF(ISNA(MATCH(773,'Transfer Engine'!$C$2:$C$1960,0)),"",INDEX('Compliance Database'!$E$2:$E$1960,MATCH(773,'Transfer Engine'!$C$2:$C$1960,0)))</f>
        <v/>
      </c>
      <c r="F782" s="8">
        <f>IF(ISNA(MATCH(773,'Transfer Engine'!$C$2:$C$1960,0)),"",INDEX('Compliance Database'!$F$2:$F$1960,MATCH(773,'Transfer Engine'!$C$2:$C$1960,0)))</f>
        <v/>
      </c>
      <c r="G782" s="8">
        <f>IF(ISNA(MATCH(773,'Transfer Engine'!$C$2:$C$1960,0)),"",INDEX('Compliance Database'!$G$2:$G$1960,MATCH(773,'Transfer Engine'!$C$2:$C$1960,0)))</f>
        <v/>
      </c>
      <c r="H782" s="9">
        <f>IF(ISNA(MATCH(773,'Transfer Engine'!$C$2:$C$1960,0)),"",INDEX('Compliance Database'!$H$2:$H$1960,MATCH(773,'Transfer Engine'!$C$2:$C$1960,0)))</f>
        <v/>
      </c>
      <c r="I782" s="9">
        <f>IF(ISNA(MATCH(773,'Transfer Engine'!$C$2:$C$1960,0)),"",INDEX('Compliance Database'!$I$2:$I$1960,MATCH(773,'Transfer Engine'!$C$2:$C$1960,0)))</f>
        <v/>
      </c>
      <c r="J782" s="8">
        <f>IF(ISNA(MATCH(773,'Transfer Engine'!$C$2:$C$1960,0)),"",INDEX('Compliance Database'!$J$2:$J$1960,MATCH(773,'Transfer Engine'!$C$2:$C$1960,0)))</f>
        <v/>
      </c>
      <c r="K782" s="9">
        <f>IF(ISNA(MATCH(773,'Transfer Engine'!$C$2:$C$1960,0)),"",INDEX('Compliance Database'!$K$2:$K$1960,MATCH(773,'Transfer Engine'!$C$2:$C$1960,0)))</f>
        <v/>
      </c>
      <c r="L782" s="9">
        <f>IF(ISNA(MATCH(773,'Transfer Engine'!$C$2:$C$1960,0)),"",INDEX('Compliance Database'!$L$2:$L$1960,MATCH(773,'Transfer Engine'!$C$2:$C$1960,0)))</f>
        <v/>
      </c>
      <c r="M782" s="9">
        <f>IF(ISNA(MATCH(773,'Transfer Engine'!$C$2:$C$1960,0)),"",INDEX('Compliance Database'!$M$2:$M$1960,MATCH(773,'Transfer Engine'!$C$2:$C$1960,0)))</f>
        <v/>
      </c>
      <c r="N782" s="9">
        <f>IF(ISNA(MATCH(773,'Transfer Engine'!$C$2:$C$1960,0)),"",INDEX('Compliance Database'!$N$2:$N$1960,MATCH(773,'Transfer Engine'!$C$2:$C$1960,0)))</f>
        <v/>
      </c>
      <c r="O782" s="9">
        <f>IF(ISNA(MATCH(773,'Transfer Engine'!$C$2:$C$1960,0)),"",INDEX('Compliance Database'!$O$2:$O$1960,MATCH(773,'Transfer Engine'!$C$2:$C$1960,0)))</f>
        <v/>
      </c>
      <c r="P782" s="8">
        <f>IF(ISNA(MATCH(773,'Transfer Engine'!$C$2:$C$1960,0)),"",HYPERLINK("#Acts!A"&amp;INDEX('Compliance Database'!$P$2:$P$1960,MATCH(773,'Transfer Engine'!$C$2:$C$1960,0)),"Go to Act"))</f>
        <v/>
      </c>
    </row>
    <row r="783" ht="158" customHeight="1">
      <c r="A783" s="8">
        <f>IF(ISNA(MATCH(774,'Transfer Engine'!$C$2:$C$1960,0)),"",INDEX('Compliance Database'!$A$2:$A$1960,MATCH(774,'Transfer Engine'!$C$2:$C$1960,0)))</f>
        <v/>
      </c>
      <c r="B783" s="8">
        <f>IF(ISNA(MATCH(774,'Transfer Engine'!$C$2:$C$1960,0)),"",INDEX('Compliance Database'!$B$2:$B$1960,MATCH(774,'Transfer Engine'!$C$2:$C$1960,0)))</f>
        <v/>
      </c>
      <c r="C783" s="8">
        <f>IF(ISNA(MATCH(774,'Transfer Engine'!$C$2:$C$1960,0)),"",INDEX('Compliance Database'!$C$2:$C$1960,MATCH(774,'Transfer Engine'!$C$2:$C$1960,0)))</f>
        <v/>
      </c>
      <c r="D783" s="9">
        <f>IF(ISNA(MATCH(774,'Transfer Engine'!$C$2:$C$1960,0)),"",INDEX('Compliance Database'!$D$2:$D$1960,MATCH(774,'Transfer Engine'!$C$2:$C$1960,0)))</f>
        <v/>
      </c>
      <c r="E783" s="8">
        <f>IF(ISNA(MATCH(774,'Transfer Engine'!$C$2:$C$1960,0)),"",INDEX('Compliance Database'!$E$2:$E$1960,MATCH(774,'Transfer Engine'!$C$2:$C$1960,0)))</f>
        <v/>
      </c>
      <c r="F783" s="8">
        <f>IF(ISNA(MATCH(774,'Transfer Engine'!$C$2:$C$1960,0)),"",INDEX('Compliance Database'!$F$2:$F$1960,MATCH(774,'Transfer Engine'!$C$2:$C$1960,0)))</f>
        <v/>
      </c>
      <c r="G783" s="8">
        <f>IF(ISNA(MATCH(774,'Transfer Engine'!$C$2:$C$1960,0)),"",INDEX('Compliance Database'!$G$2:$G$1960,MATCH(774,'Transfer Engine'!$C$2:$C$1960,0)))</f>
        <v/>
      </c>
      <c r="H783" s="9">
        <f>IF(ISNA(MATCH(774,'Transfer Engine'!$C$2:$C$1960,0)),"",INDEX('Compliance Database'!$H$2:$H$1960,MATCH(774,'Transfer Engine'!$C$2:$C$1960,0)))</f>
        <v/>
      </c>
      <c r="I783" s="9">
        <f>IF(ISNA(MATCH(774,'Transfer Engine'!$C$2:$C$1960,0)),"",INDEX('Compliance Database'!$I$2:$I$1960,MATCH(774,'Transfer Engine'!$C$2:$C$1960,0)))</f>
        <v/>
      </c>
      <c r="J783" s="8">
        <f>IF(ISNA(MATCH(774,'Transfer Engine'!$C$2:$C$1960,0)),"",INDEX('Compliance Database'!$J$2:$J$1960,MATCH(774,'Transfer Engine'!$C$2:$C$1960,0)))</f>
        <v/>
      </c>
      <c r="K783" s="9">
        <f>IF(ISNA(MATCH(774,'Transfer Engine'!$C$2:$C$1960,0)),"",INDEX('Compliance Database'!$K$2:$K$1960,MATCH(774,'Transfer Engine'!$C$2:$C$1960,0)))</f>
        <v/>
      </c>
      <c r="L783" s="9">
        <f>IF(ISNA(MATCH(774,'Transfer Engine'!$C$2:$C$1960,0)),"",INDEX('Compliance Database'!$L$2:$L$1960,MATCH(774,'Transfer Engine'!$C$2:$C$1960,0)))</f>
        <v/>
      </c>
      <c r="M783" s="9">
        <f>IF(ISNA(MATCH(774,'Transfer Engine'!$C$2:$C$1960,0)),"",INDEX('Compliance Database'!$M$2:$M$1960,MATCH(774,'Transfer Engine'!$C$2:$C$1960,0)))</f>
        <v/>
      </c>
      <c r="N783" s="9">
        <f>IF(ISNA(MATCH(774,'Transfer Engine'!$C$2:$C$1960,0)),"",INDEX('Compliance Database'!$N$2:$N$1960,MATCH(774,'Transfer Engine'!$C$2:$C$1960,0)))</f>
        <v/>
      </c>
      <c r="O783" s="9">
        <f>IF(ISNA(MATCH(774,'Transfer Engine'!$C$2:$C$1960,0)),"",INDEX('Compliance Database'!$O$2:$O$1960,MATCH(774,'Transfer Engine'!$C$2:$C$1960,0)))</f>
        <v/>
      </c>
      <c r="P783" s="8">
        <f>IF(ISNA(MATCH(774,'Transfer Engine'!$C$2:$C$1960,0)),"",HYPERLINK("#Acts!A"&amp;INDEX('Compliance Database'!$P$2:$P$1960,MATCH(774,'Transfer Engine'!$C$2:$C$1960,0)),"Go to Act"))</f>
        <v/>
      </c>
    </row>
    <row r="784" ht="158" customHeight="1">
      <c r="A784" s="8">
        <f>IF(ISNA(MATCH(775,'Transfer Engine'!$C$2:$C$1960,0)),"",INDEX('Compliance Database'!$A$2:$A$1960,MATCH(775,'Transfer Engine'!$C$2:$C$1960,0)))</f>
        <v/>
      </c>
      <c r="B784" s="8">
        <f>IF(ISNA(MATCH(775,'Transfer Engine'!$C$2:$C$1960,0)),"",INDEX('Compliance Database'!$B$2:$B$1960,MATCH(775,'Transfer Engine'!$C$2:$C$1960,0)))</f>
        <v/>
      </c>
      <c r="C784" s="8">
        <f>IF(ISNA(MATCH(775,'Transfer Engine'!$C$2:$C$1960,0)),"",INDEX('Compliance Database'!$C$2:$C$1960,MATCH(775,'Transfer Engine'!$C$2:$C$1960,0)))</f>
        <v/>
      </c>
      <c r="D784" s="9">
        <f>IF(ISNA(MATCH(775,'Transfer Engine'!$C$2:$C$1960,0)),"",INDEX('Compliance Database'!$D$2:$D$1960,MATCH(775,'Transfer Engine'!$C$2:$C$1960,0)))</f>
        <v/>
      </c>
      <c r="E784" s="8">
        <f>IF(ISNA(MATCH(775,'Transfer Engine'!$C$2:$C$1960,0)),"",INDEX('Compliance Database'!$E$2:$E$1960,MATCH(775,'Transfer Engine'!$C$2:$C$1960,0)))</f>
        <v/>
      </c>
      <c r="F784" s="8">
        <f>IF(ISNA(MATCH(775,'Transfer Engine'!$C$2:$C$1960,0)),"",INDEX('Compliance Database'!$F$2:$F$1960,MATCH(775,'Transfer Engine'!$C$2:$C$1960,0)))</f>
        <v/>
      </c>
      <c r="G784" s="8">
        <f>IF(ISNA(MATCH(775,'Transfer Engine'!$C$2:$C$1960,0)),"",INDEX('Compliance Database'!$G$2:$G$1960,MATCH(775,'Transfer Engine'!$C$2:$C$1960,0)))</f>
        <v/>
      </c>
      <c r="H784" s="9">
        <f>IF(ISNA(MATCH(775,'Transfer Engine'!$C$2:$C$1960,0)),"",INDEX('Compliance Database'!$H$2:$H$1960,MATCH(775,'Transfer Engine'!$C$2:$C$1960,0)))</f>
        <v/>
      </c>
      <c r="I784" s="9">
        <f>IF(ISNA(MATCH(775,'Transfer Engine'!$C$2:$C$1960,0)),"",INDEX('Compliance Database'!$I$2:$I$1960,MATCH(775,'Transfer Engine'!$C$2:$C$1960,0)))</f>
        <v/>
      </c>
      <c r="J784" s="8">
        <f>IF(ISNA(MATCH(775,'Transfer Engine'!$C$2:$C$1960,0)),"",INDEX('Compliance Database'!$J$2:$J$1960,MATCH(775,'Transfer Engine'!$C$2:$C$1960,0)))</f>
        <v/>
      </c>
      <c r="K784" s="9">
        <f>IF(ISNA(MATCH(775,'Transfer Engine'!$C$2:$C$1960,0)),"",INDEX('Compliance Database'!$K$2:$K$1960,MATCH(775,'Transfer Engine'!$C$2:$C$1960,0)))</f>
        <v/>
      </c>
      <c r="L784" s="9">
        <f>IF(ISNA(MATCH(775,'Transfer Engine'!$C$2:$C$1960,0)),"",INDEX('Compliance Database'!$L$2:$L$1960,MATCH(775,'Transfer Engine'!$C$2:$C$1960,0)))</f>
        <v/>
      </c>
      <c r="M784" s="9">
        <f>IF(ISNA(MATCH(775,'Transfer Engine'!$C$2:$C$1960,0)),"",INDEX('Compliance Database'!$M$2:$M$1960,MATCH(775,'Transfer Engine'!$C$2:$C$1960,0)))</f>
        <v/>
      </c>
      <c r="N784" s="9">
        <f>IF(ISNA(MATCH(775,'Transfer Engine'!$C$2:$C$1960,0)),"",INDEX('Compliance Database'!$N$2:$N$1960,MATCH(775,'Transfer Engine'!$C$2:$C$1960,0)))</f>
        <v/>
      </c>
      <c r="O784" s="9">
        <f>IF(ISNA(MATCH(775,'Transfer Engine'!$C$2:$C$1960,0)),"",INDEX('Compliance Database'!$O$2:$O$1960,MATCH(775,'Transfer Engine'!$C$2:$C$1960,0)))</f>
        <v/>
      </c>
      <c r="P784" s="8">
        <f>IF(ISNA(MATCH(775,'Transfer Engine'!$C$2:$C$1960,0)),"",HYPERLINK("#Acts!A"&amp;INDEX('Compliance Database'!$P$2:$P$1960,MATCH(775,'Transfer Engine'!$C$2:$C$1960,0)),"Go to Act"))</f>
        <v/>
      </c>
    </row>
    <row r="785" ht="158" customHeight="1">
      <c r="A785" s="8">
        <f>IF(ISNA(MATCH(776,'Transfer Engine'!$C$2:$C$1960,0)),"",INDEX('Compliance Database'!$A$2:$A$1960,MATCH(776,'Transfer Engine'!$C$2:$C$1960,0)))</f>
        <v/>
      </c>
      <c r="B785" s="8">
        <f>IF(ISNA(MATCH(776,'Transfer Engine'!$C$2:$C$1960,0)),"",INDEX('Compliance Database'!$B$2:$B$1960,MATCH(776,'Transfer Engine'!$C$2:$C$1960,0)))</f>
        <v/>
      </c>
      <c r="C785" s="8">
        <f>IF(ISNA(MATCH(776,'Transfer Engine'!$C$2:$C$1960,0)),"",INDEX('Compliance Database'!$C$2:$C$1960,MATCH(776,'Transfer Engine'!$C$2:$C$1960,0)))</f>
        <v/>
      </c>
      <c r="D785" s="9">
        <f>IF(ISNA(MATCH(776,'Transfer Engine'!$C$2:$C$1960,0)),"",INDEX('Compliance Database'!$D$2:$D$1960,MATCH(776,'Transfer Engine'!$C$2:$C$1960,0)))</f>
        <v/>
      </c>
      <c r="E785" s="8">
        <f>IF(ISNA(MATCH(776,'Transfer Engine'!$C$2:$C$1960,0)),"",INDEX('Compliance Database'!$E$2:$E$1960,MATCH(776,'Transfer Engine'!$C$2:$C$1960,0)))</f>
        <v/>
      </c>
      <c r="F785" s="8">
        <f>IF(ISNA(MATCH(776,'Transfer Engine'!$C$2:$C$1960,0)),"",INDEX('Compliance Database'!$F$2:$F$1960,MATCH(776,'Transfer Engine'!$C$2:$C$1960,0)))</f>
        <v/>
      </c>
      <c r="G785" s="8">
        <f>IF(ISNA(MATCH(776,'Transfer Engine'!$C$2:$C$1960,0)),"",INDEX('Compliance Database'!$G$2:$G$1960,MATCH(776,'Transfer Engine'!$C$2:$C$1960,0)))</f>
        <v/>
      </c>
      <c r="H785" s="9">
        <f>IF(ISNA(MATCH(776,'Transfer Engine'!$C$2:$C$1960,0)),"",INDEX('Compliance Database'!$H$2:$H$1960,MATCH(776,'Transfer Engine'!$C$2:$C$1960,0)))</f>
        <v/>
      </c>
      <c r="I785" s="9">
        <f>IF(ISNA(MATCH(776,'Transfer Engine'!$C$2:$C$1960,0)),"",INDEX('Compliance Database'!$I$2:$I$1960,MATCH(776,'Transfer Engine'!$C$2:$C$1960,0)))</f>
        <v/>
      </c>
      <c r="J785" s="8">
        <f>IF(ISNA(MATCH(776,'Transfer Engine'!$C$2:$C$1960,0)),"",INDEX('Compliance Database'!$J$2:$J$1960,MATCH(776,'Transfer Engine'!$C$2:$C$1960,0)))</f>
        <v/>
      </c>
      <c r="K785" s="9">
        <f>IF(ISNA(MATCH(776,'Transfer Engine'!$C$2:$C$1960,0)),"",INDEX('Compliance Database'!$K$2:$K$1960,MATCH(776,'Transfer Engine'!$C$2:$C$1960,0)))</f>
        <v/>
      </c>
      <c r="L785" s="9">
        <f>IF(ISNA(MATCH(776,'Transfer Engine'!$C$2:$C$1960,0)),"",INDEX('Compliance Database'!$L$2:$L$1960,MATCH(776,'Transfer Engine'!$C$2:$C$1960,0)))</f>
        <v/>
      </c>
      <c r="M785" s="9">
        <f>IF(ISNA(MATCH(776,'Transfer Engine'!$C$2:$C$1960,0)),"",INDEX('Compliance Database'!$M$2:$M$1960,MATCH(776,'Transfer Engine'!$C$2:$C$1960,0)))</f>
        <v/>
      </c>
      <c r="N785" s="9">
        <f>IF(ISNA(MATCH(776,'Transfer Engine'!$C$2:$C$1960,0)),"",INDEX('Compliance Database'!$N$2:$N$1960,MATCH(776,'Transfer Engine'!$C$2:$C$1960,0)))</f>
        <v/>
      </c>
      <c r="O785" s="9">
        <f>IF(ISNA(MATCH(776,'Transfer Engine'!$C$2:$C$1960,0)),"",INDEX('Compliance Database'!$O$2:$O$1960,MATCH(776,'Transfer Engine'!$C$2:$C$1960,0)))</f>
        <v/>
      </c>
      <c r="P785" s="8">
        <f>IF(ISNA(MATCH(776,'Transfer Engine'!$C$2:$C$1960,0)),"",HYPERLINK("#Acts!A"&amp;INDEX('Compliance Database'!$P$2:$P$1960,MATCH(776,'Transfer Engine'!$C$2:$C$1960,0)),"Go to Act"))</f>
        <v/>
      </c>
    </row>
    <row r="786" ht="158" customHeight="1">
      <c r="A786" s="8">
        <f>IF(ISNA(MATCH(777,'Transfer Engine'!$C$2:$C$1960,0)),"",INDEX('Compliance Database'!$A$2:$A$1960,MATCH(777,'Transfer Engine'!$C$2:$C$1960,0)))</f>
        <v/>
      </c>
      <c r="B786" s="8">
        <f>IF(ISNA(MATCH(777,'Transfer Engine'!$C$2:$C$1960,0)),"",INDEX('Compliance Database'!$B$2:$B$1960,MATCH(777,'Transfer Engine'!$C$2:$C$1960,0)))</f>
        <v/>
      </c>
      <c r="C786" s="8">
        <f>IF(ISNA(MATCH(777,'Transfer Engine'!$C$2:$C$1960,0)),"",INDEX('Compliance Database'!$C$2:$C$1960,MATCH(777,'Transfer Engine'!$C$2:$C$1960,0)))</f>
        <v/>
      </c>
      <c r="D786" s="9">
        <f>IF(ISNA(MATCH(777,'Transfer Engine'!$C$2:$C$1960,0)),"",INDEX('Compliance Database'!$D$2:$D$1960,MATCH(777,'Transfer Engine'!$C$2:$C$1960,0)))</f>
        <v/>
      </c>
      <c r="E786" s="8">
        <f>IF(ISNA(MATCH(777,'Transfer Engine'!$C$2:$C$1960,0)),"",INDEX('Compliance Database'!$E$2:$E$1960,MATCH(777,'Transfer Engine'!$C$2:$C$1960,0)))</f>
        <v/>
      </c>
      <c r="F786" s="8">
        <f>IF(ISNA(MATCH(777,'Transfer Engine'!$C$2:$C$1960,0)),"",INDEX('Compliance Database'!$F$2:$F$1960,MATCH(777,'Transfer Engine'!$C$2:$C$1960,0)))</f>
        <v/>
      </c>
      <c r="G786" s="8">
        <f>IF(ISNA(MATCH(777,'Transfer Engine'!$C$2:$C$1960,0)),"",INDEX('Compliance Database'!$G$2:$G$1960,MATCH(777,'Transfer Engine'!$C$2:$C$1960,0)))</f>
        <v/>
      </c>
      <c r="H786" s="9">
        <f>IF(ISNA(MATCH(777,'Transfer Engine'!$C$2:$C$1960,0)),"",INDEX('Compliance Database'!$H$2:$H$1960,MATCH(777,'Transfer Engine'!$C$2:$C$1960,0)))</f>
        <v/>
      </c>
      <c r="I786" s="9">
        <f>IF(ISNA(MATCH(777,'Transfer Engine'!$C$2:$C$1960,0)),"",INDEX('Compliance Database'!$I$2:$I$1960,MATCH(777,'Transfer Engine'!$C$2:$C$1960,0)))</f>
        <v/>
      </c>
      <c r="J786" s="8">
        <f>IF(ISNA(MATCH(777,'Transfer Engine'!$C$2:$C$1960,0)),"",INDEX('Compliance Database'!$J$2:$J$1960,MATCH(777,'Transfer Engine'!$C$2:$C$1960,0)))</f>
        <v/>
      </c>
      <c r="K786" s="9">
        <f>IF(ISNA(MATCH(777,'Transfer Engine'!$C$2:$C$1960,0)),"",INDEX('Compliance Database'!$K$2:$K$1960,MATCH(777,'Transfer Engine'!$C$2:$C$1960,0)))</f>
        <v/>
      </c>
      <c r="L786" s="9">
        <f>IF(ISNA(MATCH(777,'Transfer Engine'!$C$2:$C$1960,0)),"",INDEX('Compliance Database'!$L$2:$L$1960,MATCH(777,'Transfer Engine'!$C$2:$C$1960,0)))</f>
        <v/>
      </c>
      <c r="M786" s="9">
        <f>IF(ISNA(MATCH(777,'Transfer Engine'!$C$2:$C$1960,0)),"",INDEX('Compliance Database'!$M$2:$M$1960,MATCH(777,'Transfer Engine'!$C$2:$C$1960,0)))</f>
        <v/>
      </c>
      <c r="N786" s="9">
        <f>IF(ISNA(MATCH(777,'Transfer Engine'!$C$2:$C$1960,0)),"",INDEX('Compliance Database'!$N$2:$N$1960,MATCH(777,'Transfer Engine'!$C$2:$C$1960,0)))</f>
        <v/>
      </c>
      <c r="O786" s="9">
        <f>IF(ISNA(MATCH(777,'Transfer Engine'!$C$2:$C$1960,0)),"",INDEX('Compliance Database'!$O$2:$O$1960,MATCH(777,'Transfer Engine'!$C$2:$C$1960,0)))</f>
        <v/>
      </c>
      <c r="P786" s="8">
        <f>IF(ISNA(MATCH(777,'Transfer Engine'!$C$2:$C$1960,0)),"",HYPERLINK("#Acts!A"&amp;INDEX('Compliance Database'!$P$2:$P$1960,MATCH(777,'Transfer Engine'!$C$2:$C$1960,0)),"Go to Act"))</f>
        <v/>
      </c>
    </row>
    <row r="787" ht="158" customHeight="1">
      <c r="A787" s="8">
        <f>IF(ISNA(MATCH(778,'Transfer Engine'!$C$2:$C$1960,0)),"",INDEX('Compliance Database'!$A$2:$A$1960,MATCH(778,'Transfer Engine'!$C$2:$C$1960,0)))</f>
        <v/>
      </c>
      <c r="B787" s="8">
        <f>IF(ISNA(MATCH(778,'Transfer Engine'!$C$2:$C$1960,0)),"",INDEX('Compliance Database'!$B$2:$B$1960,MATCH(778,'Transfer Engine'!$C$2:$C$1960,0)))</f>
        <v/>
      </c>
      <c r="C787" s="8">
        <f>IF(ISNA(MATCH(778,'Transfer Engine'!$C$2:$C$1960,0)),"",INDEX('Compliance Database'!$C$2:$C$1960,MATCH(778,'Transfer Engine'!$C$2:$C$1960,0)))</f>
        <v/>
      </c>
      <c r="D787" s="9">
        <f>IF(ISNA(MATCH(778,'Transfer Engine'!$C$2:$C$1960,0)),"",INDEX('Compliance Database'!$D$2:$D$1960,MATCH(778,'Transfer Engine'!$C$2:$C$1960,0)))</f>
        <v/>
      </c>
      <c r="E787" s="8">
        <f>IF(ISNA(MATCH(778,'Transfer Engine'!$C$2:$C$1960,0)),"",INDEX('Compliance Database'!$E$2:$E$1960,MATCH(778,'Transfer Engine'!$C$2:$C$1960,0)))</f>
        <v/>
      </c>
      <c r="F787" s="8">
        <f>IF(ISNA(MATCH(778,'Transfer Engine'!$C$2:$C$1960,0)),"",INDEX('Compliance Database'!$F$2:$F$1960,MATCH(778,'Transfer Engine'!$C$2:$C$1960,0)))</f>
        <v/>
      </c>
      <c r="G787" s="8">
        <f>IF(ISNA(MATCH(778,'Transfer Engine'!$C$2:$C$1960,0)),"",INDEX('Compliance Database'!$G$2:$G$1960,MATCH(778,'Transfer Engine'!$C$2:$C$1960,0)))</f>
        <v/>
      </c>
      <c r="H787" s="9">
        <f>IF(ISNA(MATCH(778,'Transfer Engine'!$C$2:$C$1960,0)),"",INDEX('Compliance Database'!$H$2:$H$1960,MATCH(778,'Transfer Engine'!$C$2:$C$1960,0)))</f>
        <v/>
      </c>
      <c r="I787" s="9">
        <f>IF(ISNA(MATCH(778,'Transfer Engine'!$C$2:$C$1960,0)),"",INDEX('Compliance Database'!$I$2:$I$1960,MATCH(778,'Transfer Engine'!$C$2:$C$1960,0)))</f>
        <v/>
      </c>
      <c r="J787" s="8">
        <f>IF(ISNA(MATCH(778,'Transfer Engine'!$C$2:$C$1960,0)),"",INDEX('Compliance Database'!$J$2:$J$1960,MATCH(778,'Transfer Engine'!$C$2:$C$1960,0)))</f>
        <v/>
      </c>
      <c r="K787" s="9">
        <f>IF(ISNA(MATCH(778,'Transfer Engine'!$C$2:$C$1960,0)),"",INDEX('Compliance Database'!$K$2:$K$1960,MATCH(778,'Transfer Engine'!$C$2:$C$1960,0)))</f>
        <v/>
      </c>
      <c r="L787" s="9">
        <f>IF(ISNA(MATCH(778,'Transfer Engine'!$C$2:$C$1960,0)),"",INDEX('Compliance Database'!$L$2:$L$1960,MATCH(778,'Transfer Engine'!$C$2:$C$1960,0)))</f>
        <v/>
      </c>
      <c r="M787" s="9">
        <f>IF(ISNA(MATCH(778,'Transfer Engine'!$C$2:$C$1960,0)),"",INDEX('Compliance Database'!$M$2:$M$1960,MATCH(778,'Transfer Engine'!$C$2:$C$1960,0)))</f>
        <v/>
      </c>
      <c r="N787" s="9">
        <f>IF(ISNA(MATCH(778,'Transfer Engine'!$C$2:$C$1960,0)),"",INDEX('Compliance Database'!$N$2:$N$1960,MATCH(778,'Transfer Engine'!$C$2:$C$1960,0)))</f>
        <v/>
      </c>
      <c r="O787" s="9">
        <f>IF(ISNA(MATCH(778,'Transfer Engine'!$C$2:$C$1960,0)),"",INDEX('Compliance Database'!$O$2:$O$1960,MATCH(778,'Transfer Engine'!$C$2:$C$1960,0)))</f>
        <v/>
      </c>
      <c r="P787" s="8">
        <f>IF(ISNA(MATCH(778,'Transfer Engine'!$C$2:$C$1960,0)),"",HYPERLINK("#Acts!A"&amp;INDEX('Compliance Database'!$P$2:$P$1960,MATCH(778,'Transfer Engine'!$C$2:$C$1960,0)),"Go to Act"))</f>
        <v/>
      </c>
    </row>
    <row r="788" ht="158" customHeight="1">
      <c r="A788" s="8">
        <f>IF(ISNA(MATCH(779,'Transfer Engine'!$C$2:$C$1960,0)),"",INDEX('Compliance Database'!$A$2:$A$1960,MATCH(779,'Transfer Engine'!$C$2:$C$1960,0)))</f>
        <v/>
      </c>
      <c r="B788" s="8">
        <f>IF(ISNA(MATCH(779,'Transfer Engine'!$C$2:$C$1960,0)),"",INDEX('Compliance Database'!$B$2:$B$1960,MATCH(779,'Transfer Engine'!$C$2:$C$1960,0)))</f>
        <v/>
      </c>
      <c r="C788" s="8">
        <f>IF(ISNA(MATCH(779,'Transfer Engine'!$C$2:$C$1960,0)),"",INDEX('Compliance Database'!$C$2:$C$1960,MATCH(779,'Transfer Engine'!$C$2:$C$1960,0)))</f>
        <v/>
      </c>
      <c r="D788" s="9">
        <f>IF(ISNA(MATCH(779,'Transfer Engine'!$C$2:$C$1960,0)),"",INDEX('Compliance Database'!$D$2:$D$1960,MATCH(779,'Transfer Engine'!$C$2:$C$1960,0)))</f>
        <v/>
      </c>
      <c r="E788" s="8">
        <f>IF(ISNA(MATCH(779,'Transfer Engine'!$C$2:$C$1960,0)),"",INDEX('Compliance Database'!$E$2:$E$1960,MATCH(779,'Transfer Engine'!$C$2:$C$1960,0)))</f>
        <v/>
      </c>
      <c r="F788" s="8">
        <f>IF(ISNA(MATCH(779,'Transfer Engine'!$C$2:$C$1960,0)),"",INDEX('Compliance Database'!$F$2:$F$1960,MATCH(779,'Transfer Engine'!$C$2:$C$1960,0)))</f>
        <v/>
      </c>
      <c r="G788" s="8">
        <f>IF(ISNA(MATCH(779,'Transfer Engine'!$C$2:$C$1960,0)),"",INDEX('Compliance Database'!$G$2:$G$1960,MATCH(779,'Transfer Engine'!$C$2:$C$1960,0)))</f>
        <v/>
      </c>
      <c r="H788" s="9">
        <f>IF(ISNA(MATCH(779,'Transfer Engine'!$C$2:$C$1960,0)),"",INDEX('Compliance Database'!$H$2:$H$1960,MATCH(779,'Transfer Engine'!$C$2:$C$1960,0)))</f>
        <v/>
      </c>
      <c r="I788" s="9">
        <f>IF(ISNA(MATCH(779,'Transfer Engine'!$C$2:$C$1960,0)),"",INDEX('Compliance Database'!$I$2:$I$1960,MATCH(779,'Transfer Engine'!$C$2:$C$1960,0)))</f>
        <v/>
      </c>
      <c r="J788" s="8">
        <f>IF(ISNA(MATCH(779,'Transfer Engine'!$C$2:$C$1960,0)),"",INDEX('Compliance Database'!$J$2:$J$1960,MATCH(779,'Transfer Engine'!$C$2:$C$1960,0)))</f>
        <v/>
      </c>
      <c r="K788" s="9">
        <f>IF(ISNA(MATCH(779,'Transfer Engine'!$C$2:$C$1960,0)),"",INDEX('Compliance Database'!$K$2:$K$1960,MATCH(779,'Transfer Engine'!$C$2:$C$1960,0)))</f>
        <v/>
      </c>
      <c r="L788" s="9">
        <f>IF(ISNA(MATCH(779,'Transfer Engine'!$C$2:$C$1960,0)),"",INDEX('Compliance Database'!$L$2:$L$1960,MATCH(779,'Transfer Engine'!$C$2:$C$1960,0)))</f>
        <v/>
      </c>
      <c r="M788" s="9">
        <f>IF(ISNA(MATCH(779,'Transfer Engine'!$C$2:$C$1960,0)),"",INDEX('Compliance Database'!$M$2:$M$1960,MATCH(779,'Transfer Engine'!$C$2:$C$1960,0)))</f>
        <v/>
      </c>
      <c r="N788" s="9">
        <f>IF(ISNA(MATCH(779,'Transfer Engine'!$C$2:$C$1960,0)),"",INDEX('Compliance Database'!$N$2:$N$1960,MATCH(779,'Transfer Engine'!$C$2:$C$1960,0)))</f>
        <v/>
      </c>
      <c r="O788" s="9">
        <f>IF(ISNA(MATCH(779,'Transfer Engine'!$C$2:$C$1960,0)),"",INDEX('Compliance Database'!$O$2:$O$1960,MATCH(779,'Transfer Engine'!$C$2:$C$1960,0)))</f>
        <v/>
      </c>
      <c r="P788" s="8">
        <f>IF(ISNA(MATCH(779,'Transfer Engine'!$C$2:$C$1960,0)),"",HYPERLINK("#Acts!A"&amp;INDEX('Compliance Database'!$P$2:$P$1960,MATCH(779,'Transfer Engine'!$C$2:$C$1960,0)),"Go to Act"))</f>
        <v/>
      </c>
    </row>
    <row r="789" ht="158" customHeight="1">
      <c r="A789" s="8">
        <f>IF(ISNA(MATCH(780,'Transfer Engine'!$C$2:$C$1960,0)),"",INDEX('Compliance Database'!$A$2:$A$1960,MATCH(780,'Transfer Engine'!$C$2:$C$1960,0)))</f>
        <v/>
      </c>
      <c r="B789" s="8">
        <f>IF(ISNA(MATCH(780,'Transfer Engine'!$C$2:$C$1960,0)),"",INDEX('Compliance Database'!$B$2:$B$1960,MATCH(780,'Transfer Engine'!$C$2:$C$1960,0)))</f>
        <v/>
      </c>
      <c r="C789" s="8">
        <f>IF(ISNA(MATCH(780,'Transfer Engine'!$C$2:$C$1960,0)),"",INDEX('Compliance Database'!$C$2:$C$1960,MATCH(780,'Transfer Engine'!$C$2:$C$1960,0)))</f>
        <v/>
      </c>
      <c r="D789" s="9">
        <f>IF(ISNA(MATCH(780,'Transfer Engine'!$C$2:$C$1960,0)),"",INDEX('Compliance Database'!$D$2:$D$1960,MATCH(780,'Transfer Engine'!$C$2:$C$1960,0)))</f>
        <v/>
      </c>
      <c r="E789" s="8">
        <f>IF(ISNA(MATCH(780,'Transfer Engine'!$C$2:$C$1960,0)),"",INDEX('Compliance Database'!$E$2:$E$1960,MATCH(780,'Transfer Engine'!$C$2:$C$1960,0)))</f>
        <v/>
      </c>
      <c r="F789" s="8">
        <f>IF(ISNA(MATCH(780,'Transfer Engine'!$C$2:$C$1960,0)),"",INDEX('Compliance Database'!$F$2:$F$1960,MATCH(780,'Transfer Engine'!$C$2:$C$1960,0)))</f>
        <v/>
      </c>
      <c r="G789" s="8">
        <f>IF(ISNA(MATCH(780,'Transfer Engine'!$C$2:$C$1960,0)),"",INDEX('Compliance Database'!$G$2:$G$1960,MATCH(780,'Transfer Engine'!$C$2:$C$1960,0)))</f>
        <v/>
      </c>
      <c r="H789" s="9">
        <f>IF(ISNA(MATCH(780,'Transfer Engine'!$C$2:$C$1960,0)),"",INDEX('Compliance Database'!$H$2:$H$1960,MATCH(780,'Transfer Engine'!$C$2:$C$1960,0)))</f>
        <v/>
      </c>
      <c r="I789" s="9">
        <f>IF(ISNA(MATCH(780,'Transfer Engine'!$C$2:$C$1960,0)),"",INDEX('Compliance Database'!$I$2:$I$1960,MATCH(780,'Transfer Engine'!$C$2:$C$1960,0)))</f>
        <v/>
      </c>
      <c r="J789" s="8">
        <f>IF(ISNA(MATCH(780,'Transfer Engine'!$C$2:$C$1960,0)),"",INDEX('Compliance Database'!$J$2:$J$1960,MATCH(780,'Transfer Engine'!$C$2:$C$1960,0)))</f>
        <v/>
      </c>
      <c r="K789" s="9">
        <f>IF(ISNA(MATCH(780,'Transfer Engine'!$C$2:$C$1960,0)),"",INDEX('Compliance Database'!$K$2:$K$1960,MATCH(780,'Transfer Engine'!$C$2:$C$1960,0)))</f>
        <v/>
      </c>
      <c r="L789" s="9">
        <f>IF(ISNA(MATCH(780,'Transfer Engine'!$C$2:$C$1960,0)),"",INDEX('Compliance Database'!$L$2:$L$1960,MATCH(780,'Transfer Engine'!$C$2:$C$1960,0)))</f>
        <v/>
      </c>
      <c r="M789" s="9">
        <f>IF(ISNA(MATCH(780,'Transfer Engine'!$C$2:$C$1960,0)),"",INDEX('Compliance Database'!$M$2:$M$1960,MATCH(780,'Transfer Engine'!$C$2:$C$1960,0)))</f>
        <v/>
      </c>
      <c r="N789" s="9">
        <f>IF(ISNA(MATCH(780,'Transfer Engine'!$C$2:$C$1960,0)),"",INDEX('Compliance Database'!$N$2:$N$1960,MATCH(780,'Transfer Engine'!$C$2:$C$1960,0)))</f>
        <v/>
      </c>
      <c r="O789" s="9">
        <f>IF(ISNA(MATCH(780,'Transfer Engine'!$C$2:$C$1960,0)),"",INDEX('Compliance Database'!$O$2:$O$1960,MATCH(780,'Transfer Engine'!$C$2:$C$1960,0)))</f>
        <v/>
      </c>
      <c r="P789" s="8">
        <f>IF(ISNA(MATCH(780,'Transfer Engine'!$C$2:$C$1960,0)),"",HYPERLINK("#Acts!A"&amp;INDEX('Compliance Database'!$P$2:$P$1960,MATCH(780,'Transfer Engine'!$C$2:$C$1960,0)),"Go to Act"))</f>
        <v/>
      </c>
    </row>
    <row r="790" ht="158" customHeight="1">
      <c r="A790" s="8">
        <f>IF(ISNA(MATCH(781,'Transfer Engine'!$C$2:$C$1960,0)),"",INDEX('Compliance Database'!$A$2:$A$1960,MATCH(781,'Transfer Engine'!$C$2:$C$1960,0)))</f>
        <v/>
      </c>
      <c r="B790" s="8">
        <f>IF(ISNA(MATCH(781,'Transfer Engine'!$C$2:$C$1960,0)),"",INDEX('Compliance Database'!$B$2:$B$1960,MATCH(781,'Transfer Engine'!$C$2:$C$1960,0)))</f>
        <v/>
      </c>
      <c r="C790" s="8">
        <f>IF(ISNA(MATCH(781,'Transfer Engine'!$C$2:$C$1960,0)),"",INDEX('Compliance Database'!$C$2:$C$1960,MATCH(781,'Transfer Engine'!$C$2:$C$1960,0)))</f>
        <v/>
      </c>
      <c r="D790" s="9">
        <f>IF(ISNA(MATCH(781,'Transfer Engine'!$C$2:$C$1960,0)),"",INDEX('Compliance Database'!$D$2:$D$1960,MATCH(781,'Transfer Engine'!$C$2:$C$1960,0)))</f>
        <v/>
      </c>
      <c r="E790" s="8">
        <f>IF(ISNA(MATCH(781,'Transfer Engine'!$C$2:$C$1960,0)),"",INDEX('Compliance Database'!$E$2:$E$1960,MATCH(781,'Transfer Engine'!$C$2:$C$1960,0)))</f>
        <v/>
      </c>
      <c r="F790" s="8">
        <f>IF(ISNA(MATCH(781,'Transfer Engine'!$C$2:$C$1960,0)),"",INDEX('Compliance Database'!$F$2:$F$1960,MATCH(781,'Transfer Engine'!$C$2:$C$1960,0)))</f>
        <v/>
      </c>
      <c r="G790" s="8">
        <f>IF(ISNA(MATCH(781,'Transfer Engine'!$C$2:$C$1960,0)),"",INDEX('Compliance Database'!$G$2:$G$1960,MATCH(781,'Transfer Engine'!$C$2:$C$1960,0)))</f>
        <v/>
      </c>
      <c r="H790" s="9">
        <f>IF(ISNA(MATCH(781,'Transfer Engine'!$C$2:$C$1960,0)),"",INDEX('Compliance Database'!$H$2:$H$1960,MATCH(781,'Transfer Engine'!$C$2:$C$1960,0)))</f>
        <v/>
      </c>
      <c r="I790" s="9">
        <f>IF(ISNA(MATCH(781,'Transfer Engine'!$C$2:$C$1960,0)),"",INDEX('Compliance Database'!$I$2:$I$1960,MATCH(781,'Transfer Engine'!$C$2:$C$1960,0)))</f>
        <v/>
      </c>
      <c r="J790" s="8">
        <f>IF(ISNA(MATCH(781,'Transfer Engine'!$C$2:$C$1960,0)),"",INDEX('Compliance Database'!$J$2:$J$1960,MATCH(781,'Transfer Engine'!$C$2:$C$1960,0)))</f>
        <v/>
      </c>
      <c r="K790" s="9">
        <f>IF(ISNA(MATCH(781,'Transfer Engine'!$C$2:$C$1960,0)),"",INDEX('Compliance Database'!$K$2:$K$1960,MATCH(781,'Transfer Engine'!$C$2:$C$1960,0)))</f>
        <v/>
      </c>
      <c r="L790" s="9">
        <f>IF(ISNA(MATCH(781,'Transfer Engine'!$C$2:$C$1960,0)),"",INDEX('Compliance Database'!$L$2:$L$1960,MATCH(781,'Transfer Engine'!$C$2:$C$1960,0)))</f>
        <v/>
      </c>
      <c r="M790" s="9">
        <f>IF(ISNA(MATCH(781,'Transfer Engine'!$C$2:$C$1960,0)),"",INDEX('Compliance Database'!$M$2:$M$1960,MATCH(781,'Transfer Engine'!$C$2:$C$1960,0)))</f>
        <v/>
      </c>
      <c r="N790" s="9">
        <f>IF(ISNA(MATCH(781,'Transfer Engine'!$C$2:$C$1960,0)),"",INDEX('Compliance Database'!$N$2:$N$1960,MATCH(781,'Transfer Engine'!$C$2:$C$1960,0)))</f>
        <v/>
      </c>
      <c r="O790" s="9">
        <f>IF(ISNA(MATCH(781,'Transfer Engine'!$C$2:$C$1960,0)),"",INDEX('Compliance Database'!$O$2:$O$1960,MATCH(781,'Transfer Engine'!$C$2:$C$1960,0)))</f>
        <v/>
      </c>
      <c r="P790" s="8">
        <f>IF(ISNA(MATCH(781,'Transfer Engine'!$C$2:$C$1960,0)),"",HYPERLINK("#Acts!A"&amp;INDEX('Compliance Database'!$P$2:$P$1960,MATCH(781,'Transfer Engine'!$C$2:$C$1960,0)),"Go to Act"))</f>
        <v/>
      </c>
    </row>
    <row r="791" ht="158" customHeight="1">
      <c r="A791" s="8">
        <f>IF(ISNA(MATCH(782,'Transfer Engine'!$C$2:$C$1960,0)),"",INDEX('Compliance Database'!$A$2:$A$1960,MATCH(782,'Transfer Engine'!$C$2:$C$1960,0)))</f>
        <v/>
      </c>
      <c r="B791" s="8">
        <f>IF(ISNA(MATCH(782,'Transfer Engine'!$C$2:$C$1960,0)),"",INDEX('Compliance Database'!$B$2:$B$1960,MATCH(782,'Transfer Engine'!$C$2:$C$1960,0)))</f>
        <v/>
      </c>
      <c r="C791" s="8">
        <f>IF(ISNA(MATCH(782,'Transfer Engine'!$C$2:$C$1960,0)),"",INDEX('Compliance Database'!$C$2:$C$1960,MATCH(782,'Transfer Engine'!$C$2:$C$1960,0)))</f>
        <v/>
      </c>
      <c r="D791" s="9">
        <f>IF(ISNA(MATCH(782,'Transfer Engine'!$C$2:$C$1960,0)),"",INDEX('Compliance Database'!$D$2:$D$1960,MATCH(782,'Transfer Engine'!$C$2:$C$1960,0)))</f>
        <v/>
      </c>
      <c r="E791" s="8">
        <f>IF(ISNA(MATCH(782,'Transfer Engine'!$C$2:$C$1960,0)),"",INDEX('Compliance Database'!$E$2:$E$1960,MATCH(782,'Transfer Engine'!$C$2:$C$1960,0)))</f>
        <v/>
      </c>
      <c r="F791" s="8">
        <f>IF(ISNA(MATCH(782,'Transfer Engine'!$C$2:$C$1960,0)),"",INDEX('Compliance Database'!$F$2:$F$1960,MATCH(782,'Transfer Engine'!$C$2:$C$1960,0)))</f>
        <v/>
      </c>
      <c r="G791" s="8">
        <f>IF(ISNA(MATCH(782,'Transfer Engine'!$C$2:$C$1960,0)),"",INDEX('Compliance Database'!$G$2:$G$1960,MATCH(782,'Transfer Engine'!$C$2:$C$1960,0)))</f>
        <v/>
      </c>
      <c r="H791" s="9">
        <f>IF(ISNA(MATCH(782,'Transfer Engine'!$C$2:$C$1960,0)),"",INDEX('Compliance Database'!$H$2:$H$1960,MATCH(782,'Transfer Engine'!$C$2:$C$1960,0)))</f>
        <v/>
      </c>
      <c r="I791" s="9">
        <f>IF(ISNA(MATCH(782,'Transfer Engine'!$C$2:$C$1960,0)),"",INDEX('Compliance Database'!$I$2:$I$1960,MATCH(782,'Transfer Engine'!$C$2:$C$1960,0)))</f>
        <v/>
      </c>
      <c r="J791" s="8">
        <f>IF(ISNA(MATCH(782,'Transfer Engine'!$C$2:$C$1960,0)),"",INDEX('Compliance Database'!$J$2:$J$1960,MATCH(782,'Transfer Engine'!$C$2:$C$1960,0)))</f>
        <v/>
      </c>
      <c r="K791" s="9">
        <f>IF(ISNA(MATCH(782,'Transfer Engine'!$C$2:$C$1960,0)),"",INDEX('Compliance Database'!$K$2:$K$1960,MATCH(782,'Transfer Engine'!$C$2:$C$1960,0)))</f>
        <v/>
      </c>
      <c r="L791" s="9">
        <f>IF(ISNA(MATCH(782,'Transfer Engine'!$C$2:$C$1960,0)),"",INDEX('Compliance Database'!$L$2:$L$1960,MATCH(782,'Transfer Engine'!$C$2:$C$1960,0)))</f>
        <v/>
      </c>
      <c r="M791" s="9">
        <f>IF(ISNA(MATCH(782,'Transfer Engine'!$C$2:$C$1960,0)),"",INDEX('Compliance Database'!$M$2:$M$1960,MATCH(782,'Transfer Engine'!$C$2:$C$1960,0)))</f>
        <v/>
      </c>
      <c r="N791" s="9">
        <f>IF(ISNA(MATCH(782,'Transfer Engine'!$C$2:$C$1960,0)),"",INDEX('Compliance Database'!$N$2:$N$1960,MATCH(782,'Transfer Engine'!$C$2:$C$1960,0)))</f>
        <v/>
      </c>
      <c r="O791" s="9">
        <f>IF(ISNA(MATCH(782,'Transfer Engine'!$C$2:$C$1960,0)),"",INDEX('Compliance Database'!$O$2:$O$1960,MATCH(782,'Transfer Engine'!$C$2:$C$1960,0)))</f>
        <v/>
      </c>
      <c r="P791" s="8">
        <f>IF(ISNA(MATCH(782,'Transfer Engine'!$C$2:$C$1960,0)),"",HYPERLINK("#Acts!A"&amp;INDEX('Compliance Database'!$P$2:$P$1960,MATCH(782,'Transfer Engine'!$C$2:$C$1960,0)),"Go to Act"))</f>
        <v/>
      </c>
    </row>
    <row r="792" ht="158" customHeight="1">
      <c r="A792" s="8">
        <f>IF(ISNA(MATCH(783,'Transfer Engine'!$C$2:$C$1960,0)),"",INDEX('Compliance Database'!$A$2:$A$1960,MATCH(783,'Transfer Engine'!$C$2:$C$1960,0)))</f>
        <v/>
      </c>
      <c r="B792" s="8">
        <f>IF(ISNA(MATCH(783,'Transfer Engine'!$C$2:$C$1960,0)),"",INDEX('Compliance Database'!$B$2:$B$1960,MATCH(783,'Transfer Engine'!$C$2:$C$1960,0)))</f>
        <v/>
      </c>
      <c r="C792" s="8">
        <f>IF(ISNA(MATCH(783,'Transfer Engine'!$C$2:$C$1960,0)),"",INDEX('Compliance Database'!$C$2:$C$1960,MATCH(783,'Transfer Engine'!$C$2:$C$1960,0)))</f>
        <v/>
      </c>
      <c r="D792" s="9">
        <f>IF(ISNA(MATCH(783,'Transfer Engine'!$C$2:$C$1960,0)),"",INDEX('Compliance Database'!$D$2:$D$1960,MATCH(783,'Transfer Engine'!$C$2:$C$1960,0)))</f>
        <v/>
      </c>
      <c r="E792" s="8">
        <f>IF(ISNA(MATCH(783,'Transfer Engine'!$C$2:$C$1960,0)),"",INDEX('Compliance Database'!$E$2:$E$1960,MATCH(783,'Transfer Engine'!$C$2:$C$1960,0)))</f>
        <v/>
      </c>
      <c r="F792" s="8">
        <f>IF(ISNA(MATCH(783,'Transfer Engine'!$C$2:$C$1960,0)),"",INDEX('Compliance Database'!$F$2:$F$1960,MATCH(783,'Transfer Engine'!$C$2:$C$1960,0)))</f>
        <v/>
      </c>
      <c r="G792" s="8">
        <f>IF(ISNA(MATCH(783,'Transfer Engine'!$C$2:$C$1960,0)),"",INDEX('Compliance Database'!$G$2:$G$1960,MATCH(783,'Transfer Engine'!$C$2:$C$1960,0)))</f>
        <v/>
      </c>
      <c r="H792" s="9">
        <f>IF(ISNA(MATCH(783,'Transfer Engine'!$C$2:$C$1960,0)),"",INDEX('Compliance Database'!$H$2:$H$1960,MATCH(783,'Transfer Engine'!$C$2:$C$1960,0)))</f>
        <v/>
      </c>
      <c r="I792" s="9">
        <f>IF(ISNA(MATCH(783,'Transfer Engine'!$C$2:$C$1960,0)),"",INDEX('Compliance Database'!$I$2:$I$1960,MATCH(783,'Transfer Engine'!$C$2:$C$1960,0)))</f>
        <v/>
      </c>
      <c r="J792" s="8">
        <f>IF(ISNA(MATCH(783,'Transfer Engine'!$C$2:$C$1960,0)),"",INDEX('Compliance Database'!$J$2:$J$1960,MATCH(783,'Transfer Engine'!$C$2:$C$1960,0)))</f>
        <v/>
      </c>
      <c r="K792" s="9">
        <f>IF(ISNA(MATCH(783,'Transfer Engine'!$C$2:$C$1960,0)),"",INDEX('Compliance Database'!$K$2:$K$1960,MATCH(783,'Transfer Engine'!$C$2:$C$1960,0)))</f>
        <v/>
      </c>
      <c r="L792" s="9">
        <f>IF(ISNA(MATCH(783,'Transfer Engine'!$C$2:$C$1960,0)),"",INDEX('Compliance Database'!$L$2:$L$1960,MATCH(783,'Transfer Engine'!$C$2:$C$1960,0)))</f>
        <v/>
      </c>
      <c r="M792" s="9">
        <f>IF(ISNA(MATCH(783,'Transfer Engine'!$C$2:$C$1960,0)),"",INDEX('Compliance Database'!$M$2:$M$1960,MATCH(783,'Transfer Engine'!$C$2:$C$1960,0)))</f>
        <v/>
      </c>
      <c r="N792" s="9">
        <f>IF(ISNA(MATCH(783,'Transfer Engine'!$C$2:$C$1960,0)),"",INDEX('Compliance Database'!$N$2:$N$1960,MATCH(783,'Transfer Engine'!$C$2:$C$1960,0)))</f>
        <v/>
      </c>
      <c r="O792" s="9">
        <f>IF(ISNA(MATCH(783,'Transfer Engine'!$C$2:$C$1960,0)),"",INDEX('Compliance Database'!$O$2:$O$1960,MATCH(783,'Transfer Engine'!$C$2:$C$1960,0)))</f>
        <v/>
      </c>
      <c r="P792" s="8">
        <f>IF(ISNA(MATCH(783,'Transfer Engine'!$C$2:$C$1960,0)),"",HYPERLINK("#Acts!A"&amp;INDEX('Compliance Database'!$P$2:$P$1960,MATCH(783,'Transfer Engine'!$C$2:$C$1960,0)),"Go to Act"))</f>
        <v/>
      </c>
    </row>
    <row r="793" ht="158" customHeight="1">
      <c r="A793" s="8">
        <f>IF(ISNA(MATCH(784,'Transfer Engine'!$C$2:$C$1960,0)),"",INDEX('Compliance Database'!$A$2:$A$1960,MATCH(784,'Transfer Engine'!$C$2:$C$1960,0)))</f>
        <v/>
      </c>
      <c r="B793" s="8">
        <f>IF(ISNA(MATCH(784,'Transfer Engine'!$C$2:$C$1960,0)),"",INDEX('Compliance Database'!$B$2:$B$1960,MATCH(784,'Transfer Engine'!$C$2:$C$1960,0)))</f>
        <v/>
      </c>
      <c r="C793" s="8">
        <f>IF(ISNA(MATCH(784,'Transfer Engine'!$C$2:$C$1960,0)),"",INDEX('Compliance Database'!$C$2:$C$1960,MATCH(784,'Transfer Engine'!$C$2:$C$1960,0)))</f>
        <v/>
      </c>
      <c r="D793" s="9">
        <f>IF(ISNA(MATCH(784,'Transfer Engine'!$C$2:$C$1960,0)),"",INDEX('Compliance Database'!$D$2:$D$1960,MATCH(784,'Transfer Engine'!$C$2:$C$1960,0)))</f>
        <v/>
      </c>
      <c r="E793" s="8">
        <f>IF(ISNA(MATCH(784,'Transfer Engine'!$C$2:$C$1960,0)),"",INDEX('Compliance Database'!$E$2:$E$1960,MATCH(784,'Transfer Engine'!$C$2:$C$1960,0)))</f>
        <v/>
      </c>
      <c r="F793" s="8">
        <f>IF(ISNA(MATCH(784,'Transfer Engine'!$C$2:$C$1960,0)),"",INDEX('Compliance Database'!$F$2:$F$1960,MATCH(784,'Transfer Engine'!$C$2:$C$1960,0)))</f>
        <v/>
      </c>
      <c r="G793" s="8">
        <f>IF(ISNA(MATCH(784,'Transfer Engine'!$C$2:$C$1960,0)),"",INDEX('Compliance Database'!$G$2:$G$1960,MATCH(784,'Transfer Engine'!$C$2:$C$1960,0)))</f>
        <v/>
      </c>
      <c r="H793" s="9">
        <f>IF(ISNA(MATCH(784,'Transfer Engine'!$C$2:$C$1960,0)),"",INDEX('Compliance Database'!$H$2:$H$1960,MATCH(784,'Transfer Engine'!$C$2:$C$1960,0)))</f>
        <v/>
      </c>
      <c r="I793" s="9">
        <f>IF(ISNA(MATCH(784,'Transfer Engine'!$C$2:$C$1960,0)),"",INDEX('Compliance Database'!$I$2:$I$1960,MATCH(784,'Transfer Engine'!$C$2:$C$1960,0)))</f>
        <v/>
      </c>
      <c r="J793" s="8">
        <f>IF(ISNA(MATCH(784,'Transfer Engine'!$C$2:$C$1960,0)),"",INDEX('Compliance Database'!$J$2:$J$1960,MATCH(784,'Transfer Engine'!$C$2:$C$1960,0)))</f>
        <v/>
      </c>
      <c r="K793" s="9">
        <f>IF(ISNA(MATCH(784,'Transfer Engine'!$C$2:$C$1960,0)),"",INDEX('Compliance Database'!$K$2:$K$1960,MATCH(784,'Transfer Engine'!$C$2:$C$1960,0)))</f>
        <v/>
      </c>
      <c r="L793" s="9">
        <f>IF(ISNA(MATCH(784,'Transfer Engine'!$C$2:$C$1960,0)),"",INDEX('Compliance Database'!$L$2:$L$1960,MATCH(784,'Transfer Engine'!$C$2:$C$1960,0)))</f>
        <v/>
      </c>
      <c r="M793" s="9">
        <f>IF(ISNA(MATCH(784,'Transfer Engine'!$C$2:$C$1960,0)),"",INDEX('Compliance Database'!$M$2:$M$1960,MATCH(784,'Transfer Engine'!$C$2:$C$1960,0)))</f>
        <v/>
      </c>
      <c r="N793" s="9">
        <f>IF(ISNA(MATCH(784,'Transfer Engine'!$C$2:$C$1960,0)),"",INDEX('Compliance Database'!$N$2:$N$1960,MATCH(784,'Transfer Engine'!$C$2:$C$1960,0)))</f>
        <v/>
      </c>
      <c r="O793" s="9">
        <f>IF(ISNA(MATCH(784,'Transfer Engine'!$C$2:$C$1960,0)),"",INDEX('Compliance Database'!$O$2:$O$1960,MATCH(784,'Transfer Engine'!$C$2:$C$1960,0)))</f>
        <v/>
      </c>
      <c r="P793" s="8">
        <f>IF(ISNA(MATCH(784,'Transfer Engine'!$C$2:$C$1960,0)),"",HYPERLINK("#Acts!A"&amp;INDEX('Compliance Database'!$P$2:$P$1960,MATCH(784,'Transfer Engine'!$C$2:$C$1960,0)),"Go to Act"))</f>
        <v/>
      </c>
    </row>
    <row r="794" ht="158" customHeight="1">
      <c r="A794" s="8">
        <f>IF(ISNA(MATCH(785,'Transfer Engine'!$C$2:$C$1960,0)),"",INDEX('Compliance Database'!$A$2:$A$1960,MATCH(785,'Transfer Engine'!$C$2:$C$1960,0)))</f>
        <v/>
      </c>
      <c r="B794" s="8">
        <f>IF(ISNA(MATCH(785,'Transfer Engine'!$C$2:$C$1960,0)),"",INDEX('Compliance Database'!$B$2:$B$1960,MATCH(785,'Transfer Engine'!$C$2:$C$1960,0)))</f>
        <v/>
      </c>
      <c r="C794" s="8">
        <f>IF(ISNA(MATCH(785,'Transfer Engine'!$C$2:$C$1960,0)),"",INDEX('Compliance Database'!$C$2:$C$1960,MATCH(785,'Transfer Engine'!$C$2:$C$1960,0)))</f>
        <v/>
      </c>
      <c r="D794" s="9">
        <f>IF(ISNA(MATCH(785,'Transfer Engine'!$C$2:$C$1960,0)),"",INDEX('Compliance Database'!$D$2:$D$1960,MATCH(785,'Transfer Engine'!$C$2:$C$1960,0)))</f>
        <v/>
      </c>
      <c r="E794" s="8">
        <f>IF(ISNA(MATCH(785,'Transfer Engine'!$C$2:$C$1960,0)),"",INDEX('Compliance Database'!$E$2:$E$1960,MATCH(785,'Transfer Engine'!$C$2:$C$1960,0)))</f>
        <v/>
      </c>
      <c r="F794" s="8">
        <f>IF(ISNA(MATCH(785,'Transfer Engine'!$C$2:$C$1960,0)),"",INDEX('Compliance Database'!$F$2:$F$1960,MATCH(785,'Transfer Engine'!$C$2:$C$1960,0)))</f>
        <v/>
      </c>
      <c r="G794" s="8">
        <f>IF(ISNA(MATCH(785,'Transfer Engine'!$C$2:$C$1960,0)),"",INDEX('Compliance Database'!$G$2:$G$1960,MATCH(785,'Transfer Engine'!$C$2:$C$1960,0)))</f>
        <v/>
      </c>
      <c r="H794" s="9">
        <f>IF(ISNA(MATCH(785,'Transfer Engine'!$C$2:$C$1960,0)),"",INDEX('Compliance Database'!$H$2:$H$1960,MATCH(785,'Transfer Engine'!$C$2:$C$1960,0)))</f>
        <v/>
      </c>
      <c r="I794" s="9">
        <f>IF(ISNA(MATCH(785,'Transfer Engine'!$C$2:$C$1960,0)),"",INDEX('Compliance Database'!$I$2:$I$1960,MATCH(785,'Transfer Engine'!$C$2:$C$1960,0)))</f>
        <v/>
      </c>
      <c r="J794" s="8">
        <f>IF(ISNA(MATCH(785,'Transfer Engine'!$C$2:$C$1960,0)),"",INDEX('Compliance Database'!$J$2:$J$1960,MATCH(785,'Transfer Engine'!$C$2:$C$1960,0)))</f>
        <v/>
      </c>
      <c r="K794" s="9">
        <f>IF(ISNA(MATCH(785,'Transfer Engine'!$C$2:$C$1960,0)),"",INDEX('Compliance Database'!$K$2:$K$1960,MATCH(785,'Transfer Engine'!$C$2:$C$1960,0)))</f>
        <v/>
      </c>
      <c r="L794" s="9">
        <f>IF(ISNA(MATCH(785,'Transfer Engine'!$C$2:$C$1960,0)),"",INDEX('Compliance Database'!$L$2:$L$1960,MATCH(785,'Transfer Engine'!$C$2:$C$1960,0)))</f>
        <v/>
      </c>
      <c r="M794" s="9">
        <f>IF(ISNA(MATCH(785,'Transfer Engine'!$C$2:$C$1960,0)),"",INDEX('Compliance Database'!$M$2:$M$1960,MATCH(785,'Transfer Engine'!$C$2:$C$1960,0)))</f>
        <v/>
      </c>
      <c r="N794" s="9">
        <f>IF(ISNA(MATCH(785,'Transfer Engine'!$C$2:$C$1960,0)),"",INDEX('Compliance Database'!$N$2:$N$1960,MATCH(785,'Transfer Engine'!$C$2:$C$1960,0)))</f>
        <v/>
      </c>
      <c r="O794" s="9">
        <f>IF(ISNA(MATCH(785,'Transfer Engine'!$C$2:$C$1960,0)),"",INDEX('Compliance Database'!$O$2:$O$1960,MATCH(785,'Transfer Engine'!$C$2:$C$1960,0)))</f>
        <v/>
      </c>
      <c r="P794" s="8">
        <f>IF(ISNA(MATCH(785,'Transfer Engine'!$C$2:$C$1960,0)),"",HYPERLINK("#Acts!A"&amp;INDEX('Compliance Database'!$P$2:$P$1960,MATCH(785,'Transfer Engine'!$C$2:$C$1960,0)),"Go to Act"))</f>
        <v/>
      </c>
    </row>
    <row r="795" ht="158" customHeight="1">
      <c r="A795" s="8">
        <f>IF(ISNA(MATCH(786,'Transfer Engine'!$C$2:$C$1960,0)),"",INDEX('Compliance Database'!$A$2:$A$1960,MATCH(786,'Transfer Engine'!$C$2:$C$1960,0)))</f>
        <v/>
      </c>
      <c r="B795" s="8">
        <f>IF(ISNA(MATCH(786,'Transfer Engine'!$C$2:$C$1960,0)),"",INDEX('Compliance Database'!$B$2:$B$1960,MATCH(786,'Transfer Engine'!$C$2:$C$1960,0)))</f>
        <v/>
      </c>
      <c r="C795" s="8">
        <f>IF(ISNA(MATCH(786,'Transfer Engine'!$C$2:$C$1960,0)),"",INDEX('Compliance Database'!$C$2:$C$1960,MATCH(786,'Transfer Engine'!$C$2:$C$1960,0)))</f>
        <v/>
      </c>
      <c r="D795" s="9">
        <f>IF(ISNA(MATCH(786,'Transfer Engine'!$C$2:$C$1960,0)),"",INDEX('Compliance Database'!$D$2:$D$1960,MATCH(786,'Transfer Engine'!$C$2:$C$1960,0)))</f>
        <v/>
      </c>
      <c r="E795" s="8">
        <f>IF(ISNA(MATCH(786,'Transfer Engine'!$C$2:$C$1960,0)),"",INDEX('Compliance Database'!$E$2:$E$1960,MATCH(786,'Transfer Engine'!$C$2:$C$1960,0)))</f>
        <v/>
      </c>
      <c r="F795" s="8">
        <f>IF(ISNA(MATCH(786,'Transfer Engine'!$C$2:$C$1960,0)),"",INDEX('Compliance Database'!$F$2:$F$1960,MATCH(786,'Transfer Engine'!$C$2:$C$1960,0)))</f>
        <v/>
      </c>
      <c r="G795" s="8">
        <f>IF(ISNA(MATCH(786,'Transfer Engine'!$C$2:$C$1960,0)),"",INDEX('Compliance Database'!$G$2:$G$1960,MATCH(786,'Transfer Engine'!$C$2:$C$1960,0)))</f>
        <v/>
      </c>
      <c r="H795" s="9">
        <f>IF(ISNA(MATCH(786,'Transfer Engine'!$C$2:$C$1960,0)),"",INDEX('Compliance Database'!$H$2:$H$1960,MATCH(786,'Transfer Engine'!$C$2:$C$1960,0)))</f>
        <v/>
      </c>
      <c r="I795" s="9">
        <f>IF(ISNA(MATCH(786,'Transfer Engine'!$C$2:$C$1960,0)),"",INDEX('Compliance Database'!$I$2:$I$1960,MATCH(786,'Transfer Engine'!$C$2:$C$1960,0)))</f>
        <v/>
      </c>
      <c r="J795" s="8">
        <f>IF(ISNA(MATCH(786,'Transfer Engine'!$C$2:$C$1960,0)),"",INDEX('Compliance Database'!$J$2:$J$1960,MATCH(786,'Transfer Engine'!$C$2:$C$1960,0)))</f>
        <v/>
      </c>
      <c r="K795" s="9">
        <f>IF(ISNA(MATCH(786,'Transfer Engine'!$C$2:$C$1960,0)),"",INDEX('Compliance Database'!$K$2:$K$1960,MATCH(786,'Transfer Engine'!$C$2:$C$1960,0)))</f>
        <v/>
      </c>
      <c r="L795" s="9">
        <f>IF(ISNA(MATCH(786,'Transfer Engine'!$C$2:$C$1960,0)),"",INDEX('Compliance Database'!$L$2:$L$1960,MATCH(786,'Transfer Engine'!$C$2:$C$1960,0)))</f>
        <v/>
      </c>
      <c r="M795" s="9">
        <f>IF(ISNA(MATCH(786,'Transfer Engine'!$C$2:$C$1960,0)),"",INDEX('Compliance Database'!$M$2:$M$1960,MATCH(786,'Transfer Engine'!$C$2:$C$1960,0)))</f>
        <v/>
      </c>
      <c r="N795" s="9">
        <f>IF(ISNA(MATCH(786,'Transfer Engine'!$C$2:$C$1960,0)),"",INDEX('Compliance Database'!$N$2:$N$1960,MATCH(786,'Transfer Engine'!$C$2:$C$1960,0)))</f>
        <v/>
      </c>
      <c r="O795" s="9">
        <f>IF(ISNA(MATCH(786,'Transfer Engine'!$C$2:$C$1960,0)),"",INDEX('Compliance Database'!$O$2:$O$1960,MATCH(786,'Transfer Engine'!$C$2:$C$1960,0)))</f>
        <v/>
      </c>
      <c r="P795" s="8">
        <f>IF(ISNA(MATCH(786,'Transfer Engine'!$C$2:$C$1960,0)),"",HYPERLINK("#Acts!A"&amp;INDEX('Compliance Database'!$P$2:$P$1960,MATCH(786,'Transfer Engine'!$C$2:$C$1960,0)),"Go to Act"))</f>
        <v/>
      </c>
    </row>
    <row r="796" ht="158" customHeight="1">
      <c r="A796" s="8">
        <f>IF(ISNA(MATCH(787,'Transfer Engine'!$C$2:$C$1960,0)),"",INDEX('Compliance Database'!$A$2:$A$1960,MATCH(787,'Transfer Engine'!$C$2:$C$1960,0)))</f>
        <v/>
      </c>
      <c r="B796" s="8">
        <f>IF(ISNA(MATCH(787,'Transfer Engine'!$C$2:$C$1960,0)),"",INDEX('Compliance Database'!$B$2:$B$1960,MATCH(787,'Transfer Engine'!$C$2:$C$1960,0)))</f>
        <v/>
      </c>
      <c r="C796" s="8">
        <f>IF(ISNA(MATCH(787,'Transfer Engine'!$C$2:$C$1960,0)),"",INDEX('Compliance Database'!$C$2:$C$1960,MATCH(787,'Transfer Engine'!$C$2:$C$1960,0)))</f>
        <v/>
      </c>
      <c r="D796" s="9">
        <f>IF(ISNA(MATCH(787,'Transfer Engine'!$C$2:$C$1960,0)),"",INDEX('Compliance Database'!$D$2:$D$1960,MATCH(787,'Transfer Engine'!$C$2:$C$1960,0)))</f>
        <v/>
      </c>
      <c r="E796" s="8">
        <f>IF(ISNA(MATCH(787,'Transfer Engine'!$C$2:$C$1960,0)),"",INDEX('Compliance Database'!$E$2:$E$1960,MATCH(787,'Transfer Engine'!$C$2:$C$1960,0)))</f>
        <v/>
      </c>
      <c r="F796" s="8">
        <f>IF(ISNA(MATCH(787,'Transfer Engine'!$C$2:$C$1960,0)),"",INDEX('Compliance Database'!$F$2:$F$1960,MATCH(787,'Transfer Engine'!$C$2:$C$1960,0)))</f>
        <v/>
      </c>
      <c r="G796" s="8">
        <f>IF(ISNA(MATCH(787,'Transfer Engine'!$C$2:$C$1960,0)),"",INDEX('Compliance Database'!$G$2:$G$1960,MATCH(787,'Transfer Engine'!$C$2:$C$1960,0)))</f>
        <v/>
      </c>
      <c r="H796" s="9">
        <f>IF(ISNA(MATCH(787,'Transfer Engine'!$C$2:$C$1960,0)),"",INDEX('Compliance Database'!$H$2:$H$1960,MATCH(787,'Transfer Engine'!$C$2:$C$1960,0)))</f>
        <v/>
      </c>
      <c r="I796" s="9">
        <f>IF(ISNA(MATCH(787,'Transfer Engine'!$C$2:$C$1960,0)),"",INDEX('Compliance Database'!$I$2:$I$1960,MATCH(787,'Transfer Engine'!$C$2:$C$1960,0)))</f>
        <v/>
      </c>
      <c r="J796" s="8">
        <f>IF(ISNA(MATCH(787,'Transfer Engine'!$C$2:$C$1960,0)),"",INDEX('Compliance Database'!$J$2:$J$1960,MATCH(787,'Transfer Engine'!$C$2:$C$1960,0)))</f>
        <v/>
      </c>
      <c r="K796" s="9">
        <f>IF(ISNA(MATCH(787,'Transfer Engine'!$C$2:$C$1960,0)),"",INDEX('Compliance Database'!$K$2:$K$1960,MATCH(787,'Transfer Engine'!$C$2:$C$1960,0)))</f>
        <v/>
      </c>
      <c r="L796" s="9">
        <f>IF(ISNA(MATCH(787,'Transfer Engine'!$C$2:$C$1960,0)),"",INDEX('Compliance Database'!$L$2:$L$1960,MATCH(787,'Transfer Engine'!$C$2:$C$1960,0)))</f>
        <v/>
      </c>
      <c r="M796" s="9">
        <f>IF(ISNA(MATCH(787,'Transfer Engine'!$C$2:$C$1960,0)),"",INDEX('Compliance Database'!$M$2:$M$1960,MATCH(787,'Transfer Engine'!$C$2:$C$1960,0)))</f>
        <v/>
      </c>
      <c r="N796" s="9">
        <f>IF(ISNA(MATCH(787,'Transfer Engine'!$C$2:$C$1960,0)),"",INDEX('Compliance Database'!$N$2:$N$1960,MATCH(787,'Transfer Engine'!$C$2:$C$1960,0)))</f>
        <v/>
      </c>
      <c r="O796" s="9">
        <f>IF(ISNA(MATCH(787,'Transfer Engine'!$C$2:$C$1960,0)),"",INDEX('Compliance Database'!$O$2:$O$1960,MATCH(787,'Transfer Engine'!$C$2:$C$1960,0)))</f>
        <v/>
      </c>
      <c r="P796" s="8">
        <f>IF(ISNA(MATCH(787,'Transfer Engine'!$C$2:$C$1960,0)),"",HYPERLINK("#Acts!A"&amp;INDEX('Compliance Database'!$P$2:$P$1960,MATCH(787,'Transfer Engine'!$C$2:$C$1960,0)),"Go to Act"))</f>
        <v/>
      </c>
    </row>
    <row r="797" ht="158" customHeight="1">
      <c r="A797" s="8">
        <f>IF(ISNA(MATCH(788,'Transfer Engine'!$C$2:$C$1960,0)),"",INDEX('Compliance Database'!$A$2:$A$1960,MATCH(788,'Transfer Engine'!$C$2:$C$1960,0)))</f>
        <v/>
      </c>
      <c r="B797" s="8">
        <f>IF(ISNA(MATCH(788,'Transfer Engine'!$C$2:$C$1960,0)),"",INDEX('Compliance Database'!$B$2:$B$1960,MATCH(788,'Transfer Engine'!$C$2:$C$1960,0)))</f>
        <v/>
      </c>
      <c r="C797" s="8">
        <f>IF(ISNA(MATCH(788,'Transfer Engine'!$C$2:$C$1960,0)),"",INDEX('Compliance Database'!$C$2:$C$1960,MATCH(788,'Transfer Engine'!$C$2:$C$1960,0)))</f>
        <v/>
      </c>
      <c r="D797" s="9">
        <f>IF(ISNA(MATCH(788,'Transfer Engine'!$C$2:$C$1960,0)),"",INDEX('Compliance Database'!$D$2:$D$1960,MATCH(788,'Transfer Engine'!$C$2:$C$1960,0)))</f>
        <v/>
      </c>
      <c r="E797" s="8">
        <f>IF(ISNA(MATCH(788,'Transfer Engine'!$C$2:$C$1960,0)),"",INDEX('Compliance Database'!$E$2:$E$1960,MATCH(788,'Transfer Engine'!$C$2:$C$1960,0)))</f>
        <v/>
      </c>
      <c r="F797" s="8">
        <f>IF(ISNA(MATCH(788,'Transfer Engine'!$C$2:$C$1960,0)),"",INDEX('Compliance Database'!$F$2:$F$1960,MATCH(788,'Transfer Engine'!$C$2:$C$1960,0)))</f>
        <v/>
      </c>
      <c r="G797" s="8">
        <f>IF(ISNA(MATCH(788,'Transfer Engine'!$C$2:$C$1960,0)),"",INDEX('Compliance Database'!$G$2:$G$1960,MATCH(788,'Transfer Engine'!$C$2:$C$1960,0)))</f>
        <v/>
      </c>
      <c r="H797" s="9">
        <f>IF(ISNA(MATCH(788,'Transfer Engine'!$C$2:$C$1960,0)),"",INDEX('Compliance Database'!$H$2:$H$1960,MATCH(788,'Transfer Engine'!$C$2:$C$1960,0)))</f>
        <v/>
      </c>
      <c r="I797" s="9">
        <f>IF(ISNA(MATCH(788,'Transfer Engine'!$C$2:$C$1960,0)),"",INDEX('Compliance Database'!$I$2:$I$1960,MATCH(788,'Transfer Engine'!$C$2:$C$1960,0)))</f>
        <v/>
      </c>
      <c r="J797" s="8">
        <f>IF(ISNA(MATCH(788,'Transfer Engine'!$C$2:$C$1960,0)),"",INDEX('Compliance Database'!$J$2:$J$1960,MATCH(788,'Transfer Engine'!$C$2:$C$1960,0)))</f>
        <v/>
      </c>
      <c r="K797" s="9">
        <f>IF(ISNA(MATCH(788,'Transfer Engine'!$C$2:$C$1960,0)),"",INDEX('Compliance Database'!$K$2:$K$1960,MATCH(788,'Transfer Engine'!$C$2:$C$1960,0)))</f>
        <v/>
      </c>
      <c r="L797" s="9">
        <f>IF(ISNA(MATCH(788,'Transfer Engine'!$C$2:$C$1960,0)),"",INDEX('Compliance Database'!$L$2:$L$1960,MATCH(788,'Transfer Engine'!$C$2:$C$1960,0)))</f>
        <v/>
      </c>
      <c r="M797" s="9">
        <f>IF(ISNA(MATCH(788,'Transfer Engine'!$C$2:$C$1960,0)),"",INDEX('Compliance Database'!$M$2:$M$1960,MATCH(788,'Transfer Engine'!$C$2:$C$1960,0)))</f>
        <v/>
      </c>
      <c r="N797" s="9">
        <f>IF(ISNA(MATCH(788,'Transfer Engine'!$C$2:$C$1960,0)),"",INDEX('Compliance Database'!$N$2:$N$1960,MATCH(788,'Transfer Engine'!$C$2:$C$1960,0)))</f>
        <v/>
      </c>
      <c r="O797" s="9">
        <f>IF(ISNA(MATCH(788,'Transfer Engine'!$C$2:$C$1960,0)),"",INDEX('Compliance Database'!$O$2:$O$1960,MATCH(788,'Transfer Engine'!$C$2:$C$1960,0)))</f>
        <v/>
      </c>
      <c r="P797" s="8">
        <f>IF(ISNA(MATCH(788,'Transfer Engine'!$C$2:$C$1960,0)),"",HYPERLINK("#Acts!A"&amp;INDEX('Compliance Database'!$P$2:$P$1960,MATCH(788,'Transfer Engine'!$C$2:$C$1960,0)),"Go to Act"))</f>
        <v/>
      </c>
    </row>
    <row r="798" ht="158" customHeight="1">
      <c r="A798" s="8">
        <f>IF(ISNA(MATCH(789,'Transfer Engine'!$C$2:$C$1960,0)),"",INDEX('Compliance Database'!$A$2:$A$1960,MATCH(789,'Transfer Engine'!$C$2:$C$1960,0)))</f>
        <v/>
      </c>
      <c r="B798" s="8">
        <f>IF(ISNA(MATCH(789,'Transfer Engine'!$C$2:$C$1960,0)),"",INDEX('Compliance Database'!$B$2:$B$1960,MATCH(789,'Transfer Engine'!$C$2:$C$1960,0)))</f>
        <v/>
      </c>
      <c r="C798" s="8">
        <f>IF(ISNA(MATCH(789,'Transfer Engine'!$C$2:$C$1960,0)),"",INDEX('Compliance Database'!$C$2:$C$1960,MATCH(789,'Transfer Engine'!$C$2:$C$1960,0)))</f>
        <v/>
      </c>
      <c r="D798" s="9">
        <f>IF(ISNA(MATCH(789,'Transfer Engine'!$C$2:$C$1960,0)),"",INDEX('Compliance Database'!$D$2:$D$1960,MATCH(789,'Transfer Engine'!$C$2:$C$1960,0)))</f>
        <v/>
      </c>
      <c r="E798" s="8">
        <f>IF(ISNA(MATCH(789,'Transfer Engine'!$C$2:$C$1960,0)),"",INDEX('Compliance Database'!$E$2:$E$1960,MATCH(789,'Transfer Engine'!$C$2:$C$1960,0)))</f>
        <v/>
      </c>
      <c r="F798" s="8">
        <f>IF(ISNA(MATCH(789,'Transfer Engine'!$C$2:$C$1960,0)),"",INDEX('Compliance Database'!$F$2:$F$1960,MATCH(789,'Transfer Engine'!$C$2:$C$1960,0)))</f>
        <v/>
      </c>
      <c r="G798" s="8">
        <f>IF(ISNA(MATCH(789,'Transfer Engine'!$C$2:$C$1960,0)),"",INDEX('Compliance Database'!$G$2:$G$1960,MATCH(789,'Transfer Engine'!$C$2:$C$1960,0)))</f>
        <v/>
      </c>
      <c r="H798" s="9">
        <f>IF(ISNA(MATCH(789,'Transfer Engine'!$C$2:$C$1960,0)),"",INDEX('Compliance Database'!$H$2:$H$1960,MATCH(789,'Transfer Engine'!$C$2:$C$1960,0)))</f>
        <v/>
      </c>
      <c r="I798" s="9">
        <f>IF(ISNA(MATCH(789,'Transfer Engine'!$C$2:$C$1960,0)),"",INDEX('Compliance Database'!$I$2:$I$1960,MATCH(789,'Transfer Engine'!$C$2:$C$1960,0)))</f>
        <v/>
      </c>
      <c r="J798" s="8">
        <f>IF(ISNA(MATCH(789,'Transfer Engine'!$C$2:$C$1960,0)),"",INDEX('Compliance Database'!$J$2:$J$1960,MATCH(789,'Transfer Engine'!$C$2:$C$1960,0)))</f>
        <v/>
      </c>
      <c r="K798" s="9">
        <f>IF(ISNA(MATCH(789,'Transfer Engine'!$C$2:$C$1960,0)),"",INDEX('Compliance Database'!$K$2:$K$1960,MATCH(789,'Transfer Engine'!$C$2:$C$1960,0)))</f>
        <v/>
      </c>
      <c r="L798" s="9">
        <f>IF(ISNA(MATCH(789,'Transfer Engine'!$C$2:$C$1960,0)),"",INDEX('Compliance Database'!$L$2:$L$1960,MATCH(789,'Transfer Engine'!$C$2:$C$1960,0)))</f>
        <v/>
      </c>
      <c r="M798" s="9">
        <f>IF(ISNA(MATCH(789,'Transfer Engine'!$C$2:$C$1960,0)),"",INDEX('Compliance Database'!$M$2:$M$1960,MATCH(789,'Transfer Engine'!$C$2:$C$1960,0)))</f>
        <v/>
      </c>
      <c r="N798" s="9">
        <f>IF(ISNA(MATCH(789,'Transfer Engine'!$C$2:$C$1960,0)),"",INDEX('Compliance Database'!$N$2:$N$1960,MATCH(789,'Transfer Engine'!$C$2:$C$1960,0)))</f>
        <v/>
      </c>
      <c r="O798" s="9">
        <f>IF(ISNA(MATCH(789,'Transfer Engine'!$C$2:$C$1960,0)),"",INDEX('Compliance Database'!$O$2:$O$1960,MATCH(789,'Transfer Engine'!$C$2:$C$1960,0)))</f>
        <v/>
      </c>
      <c r="P798" s="8">
        <f>IF(ISNA(MATCH(789,'Transfer Engine'!$C$2:$C$1960,0)),"",HYPERLINK("#Acts!A"&amp;INDEX('Compliance Database'!$P$2:$P$1960,MATCH(789,'Transfer Engine'!$C$2:$C$1960,0)),"Go to Act"))</f>
        <v/>
      </c>
    </row>
    <row r="799" ht="158" customHeight="1">
      <c r="A799" s="8">
        <f>IF(ISNA(MATCH(790,'Transfer Engine'!$C$2:$C$1960,0)),"",INDEX('Compliance Database'!$A$2:$A$1960,MATCH(790,'Transfer Engine'!$C$2:$C$1960,0)))</f>
        <v/>
      </c>
      <c r="B799" s="8">
        <f>IF(ISNA(MATCH(790,'Transfer Engine'!$C$2:$C$1960,0)),"",INDEX('Compliance Database'!$B$2:$B$1960,MATCH(790,'Transfer Engine'!$C$2:$C$1960,0)))</f>
        <v/>
      </c>
      <c r="C799" s="8">
        <f>IF(ISNA(MATCH(790,'Transfer Engine'!$C$2:$C$1960,0)),"",INDEX('Compliance Database'!$C$2:$C$1960,MATCH(790,'Transfer Engine'!$C$2:$C$1960,0)))</f>
        <v/>
      </c>
      <c r="D799" s="9">
        <f>IF(ISNA(MATCH(790,'Transfer Engine'!$C$2:$C$1960,0)),"",INDEX('Compliance Database'!$D$2:$D$1960,MATCH(790,'Transfer Engine'!$C$2:$C$1960,0)))</f>
        <v/>
      </c>
      <c r="E799" s="8">
        <f>IF(ISNA(MATCH(790,'Transfer Engine'!$C$2:$C$1960,0)),"",INDEX('Compliance Database'!$E$2:$E$1960,MATCH(790,'Transfer Engine'!$C$2:$C$1960,0)))</f>
        <v/>
      </c>
      <c r="F799" s="8">
        <f>IF(ISNA(MATCH(790,'Transfer Engine'!$C$2:$C$1960,0)),"",INDEX('Compliance Database'!$F$2:$F$1960,MATCH(790,'Transfer Engine'!$C$2:$C$1960,0)))</f>
        <v/>
      </c>
      <c r="G799" s="8">
        <f>IF(ISNA(MATCH(790,'Transfer Engine'!$C$2:$C$1960,0)),"",INDEX('Compliance Database'!$G$2:$G$1960,MATCH(790,'Transfer Engine'!$C$2:$C$1960,0)))</f>
        <v/>
      </c>
      <c r="H799" s="9">
        <f>IF(ISNA(MATCH(790,'Transfer Engine'!$C$2:$C$1960,0)),"",INDEX('Compliance Database'!$H$2:$H$1960,MATCH(790,'Transfer Engine'!$C$2:$C$1960,0)))</f>
        <v/>
      </c>
      <c r="I799" s="9">
        <f>IF(ISNA(MATCH(790,'Transfer Engine'!$C$2:$C$1960,0)),"",INDEX('Compliance Database'!$I$2:$I$1960,MATCH(790,'Transfer Engine'!$C$2:$C$1960,0)))</f>
        <v/>
      </c>
      <c r="J799" s="8">
        <f>IF(ISNA(MATCH(790,'Transfer Engine'!$C$2:$C$1960,0)),"",INDEX('Compliance Database'!$J$2:$J$1960,MATCH(790,'Transfer Engine'!$C$2:$C$1960,0)))</f>
        <v/>
      </c>
      <c r="K799" s="9">
        <f>IF(ISNA(MATCH(790,'Transfer Engine'!$C$2:$C$1960,0)),"",INDEX('Compliance Database'!$K$2:$K$1960,MATCH(790,'Transfer Engine'!$C$2:$C$1960,0)))</f>
        <v/>
      </c>
      <c r="L799" s="9">
        <f>IF(ISNA(MATCH(790,'Transfer Engine'!$C$2:$C$1960,0)),"",INDEX('Compliance Database'!$L$2:$L$1960,MATCH(790,'Transfer Engine'!$C$2:$C$1960,0)))</f>
        <v/>
      </c>
      <c r="M799" s="9">
        <f>IF(ISNA(MATCH(790,'Transfer Engine'!$C$2:$C$1960,0)),"",INDEX('Compliance Database'!$M$2:$M$1960,MATCH(790,'Transfer Engine'!$C$2:$C$1960,0)))</f>
        <v/>
      </c>
      <c r="N799" s="9">
        <f>IF(ISNA(MATCH(790,'Transfer Engine'!$C$2:$C$1960,0)),"",INDEX('Compliance Database'!$N$2:$N$1960,MATCH(790,'Transfer Engine'!$C$2:$C$1960,0)))</f>
        <v/>
      </c>
      <c r="O799" s="9">
        <f>IF(ISNA(MATCH(790,'Transfer Engine'!$C$2:$C$1960,0)),"",INDEX('Compliance Database'!$O$2:$O$1960,MATCH(790,'Transfer Engine'!$C$2:$C$1960,0)))</f>
        <v/>
      </c>
      <c r="P799" s="8">
        <f>IF(ISNA(MATCH(790,'Transfer Engine'!$C$2:$C$1960,0)),"",HYPERLINK("#Acts!A"&amp;INDEX('Compliance Database'!$P$2:$P$1960,MATCH(790,'Transfer Engine'!$C$2:$C$1960,0)),"Go to Act"))</f>
        <v/>
      </c>
    </row>
    <row r="800" ht="158" customHeight="1">
      <c r="A800" s="8">
        <f>IF(ISNA(MATCH(791,'Transfer Engine'!$C$2:$C$1960,0)),"",INDEX('Compliance Database'!$A$2:$A$1960,MATCH(791,'Transfer Engine'!$C$2:$C$1960,0)))</f>
        <v/>
      </c>
      <c r="B800" s="8">
        <f>IF(ISNA(MATCH(791,'Transfer Engine'!$C$2:$C$1960,0)),"",INDEX('Compliance Database'!$B$2:$B$1960,MATCH(791,'Transfer Engine'!$C$2:$C$1960,0)))</f>
        <v/>
      </c>
      <c r="C800" s="8">
        <f>IF(ISNA(MATCH(791,'Transfer Engine'!$C$2:$C$1960,0)),"",INDEX('Compliance Database'!$C$2:$C$1960,MATCH(791,'Transfer Engine'!$C$2:$C$1960,0)))</f>
        <v/>
      </c>
      <c r="D800" s="9">
        <f>IF(ISNA(MATCH(791,'Transfer Engine'!$C$2:$C$1960,0)),"",INDEX('Compliance Database'!$D$2:$D$1960,MATCH(791,'Transfer Engine'!$C$2:$C$1960,0)))</f>
        <v/>
      </c>
      <c r="E800" s="8">
        <f>IF(ISNA(MATCH(791,'Transfer Engine'!$C$2:$C$1960,0)),"",INDEX('Compliance Database'!$E$2:$E$1960,MATCH(791,'Transfer Engine'!$C$2:$C$1960,0)))</f>
        <v/>
      </c>
      <c r="F800" s="8">
        <f>IF(ISNA(MATCH(791,'Transfer Engine'!$C$2:$C$1960,0)),"",INDEX('Compliance Database'!$F$2:$F$1960,MATCH(791,'Transfer Engine'!$C$2:$C$1960,0)))</f>
        <v/>
      </c>
      <c r="G800" s="8">
        <f>IF(ISNA(MATCH(791,'Transfer Engine'!$C$2:$C$1960,0)),"",INDEX('Compliance Database'!$G$2:$G$1960,MATCH(791,'Transfer Engine'!$C$2:$C$1960,0)))</f>
        <v/>
      </c>
      <c r="H800" s="9">
        <f>IF(ISNA(MATCH(791,'Transfer Engine'!$C$2:$C$1960,0)),"",INDEX('Compliance Database'!$H$2:$H$1960,MATCH(791,'Transfer Engine'!$C$2:$C$1960,0)))</f>
        <v/>
      </c>
      <c r="I800" s="9">
        <f>IF(ISNA(MATCH(791,'Transfer Engine'!$C$2:$C$1960,0)),"",INDEX('Compliance Database'!$I$2:$I$1960,MATCH(791,'Transfer Engine'!$C$2:$C$1960,0)))</f>
        <v/>
      </c>
      <c r="J800" s="8">
        <f>IF(ISNA(MATCH(791,'Transfer Engine'!$C$2:$C$1960,0)),"",INDEX('Compliance Database'!$J$2:$J$1960,MATCH(791,'Transfer Engine'!$C$2:$C$1960,0)))</f>
        <v/>
      </c>
      <c r="K800" s="9">
        <f>IF(ISNA(MATCH(791,'Transfer Engine'!$C$2:$C$1960,0)),"",INDEX('Compliance Database'!$K$2:$K$1960,MATCH(791,'Transfer Engine'!$C$2:$C$1960,0)))</f>
        <v/>
      </c>
      <c r="L800" s="9">
        <f>IF(ISNA(MATCH(791,'Transfer Engine'!$C$2:$C$1960,0)),"",INDEX('Compliance Database'!$L$2:$L$1960,MATCH(791,'Transfer Engine'!$C$2:$C$1960,0)))</f>
        <v/>
      </c>
      <c r="M800" s="9">
        <f>IF(ISNA(MATCH(791,'Transfer Engine'!$C$2:$C$1960,0)),"",INDEX('Compliance Database'!$M$2:$M$1960,MATCH(791,'Transfer Engine'!$C$2:$C$1960,0)))</f>
        <v/>
      </c>
      <c r="N800" s="9">
        <f>IF(ISNA(MATCH(791,'Transfer Engine'!$C$2:$C$1960,0)),"",INDEX('Compliance Database'!$N$2:$N$1960,MATCH(791,'Transfer Engine'!$C$2:$C$1960,0)))</f>
        <v/>
      </c>
      <c r="O800" s="9">
        <f>IF(ISNA(MATCH(791,'Transfer Engine'!$C$2:$C$1960,0)),"",INDEX('Compliance Database'!$O$2:$O$1960,MATCH(791,'Transfer Engine'!$C$2:$C$1960,0)))</f>
        <v/>
      </c>
      <c r="P800" s="8">
        <f>IF(ISNA(MATCH(791,'Transfer Engine'!$C$2:$C$1960,0)),"",HYPERLINK("#Acts!A"&amp;INDEX('Compliance Database'!$P$2:$P$1960,MATCH(791,'Transfer Engine'!$C$2:$C$1960,0)),"Go to Act"))</f>
        <v/>
      </c>
    </row>
    <row r="801" ht="158" customHeight="1">
      <c r="A801" s="8">
        <f>IF(ISNA(MATCH(792,'Transfer Engine'!$C$2:$C$1960,0)),"",INDEX('Compliance Database'!$A$2:$A$1960,MATCH(792,'Transfer Engine'!$C$2:$C$1960,0)))</f>
        <v/>
      </c>
      <c r="B801" s="8">
        <f>IF(ISNA(MATCH(792,'Transfer Engine'!$C$2:$C$1960,0)),"",INDEX('Compliance Database'!$B$2:$B$1960,MATCH(792,'Transfer Engine'!$C$2:$C$1960,0)))</f>
        <v/>
      </c>
      <c r="C801" s="8">
        <f>IF(ISNA(MATCH(792,'Transfer Engine'!$C$2:$C$1960,0)),"",INDEX('Compliance Database'!$C$2:$C$1960,MATCH(792,'Transfer Engine'!$C$2:$C$1960,0)))</f>
        <v/>
      </c>
      <c r="D801" s="9">
        <f>IF(ISNA(MATCH(792,'Transfer Engine'!$C$2:$C$1960,0)),"",INDEX('Compliance Database'!$D$2:$D$1960,MATCH(792,'Transfer Engine'!$C$2:$C$1960,0)))</f>
        <v/>
      </c>
      <c r="E801" s="8">
        <f>IF(ISNA(MATCH(792,'Transfer Engine'!$C$2:$C$1960,0)),"",INDEX('Compliance Database'!$E$2:$E$1960,MATCH(792,'Transfer Engine'!$C$2:$C$1960,0)))</f>
        <v/>
      </c>
      <c r="F801" s="8">
        <f>IF(ISNA(MATCH(792,'Transfer Engine'!$C$2:$C$1960,0)),"",INDEX('Compliance Database'!$F$2:$F$1960,MATCH(792,'Transfer Engine'!$C$2:$C$1960,0)))</f>
        <v/>
      </c>
      <c r="G801" s="8">
        <f>IF(ISNA(MATCH(792,'Transfer Engine'!$C$2:$C$1960,0)),"",INDEX('Compliance Database'!$G$2:$G$1960,MATCH(792,'Transfer Engine'!$C$2:$C$1960,0)))</f>
        <v/>
      </c>
      <c r="H801" s="9">
        <f>IF(ISNA(MATCH(792,'Transfer Engine'!$C$2:$C$1960,0)),"",INDEX('Compliance Database'!$H$2:$H$1960,MATCH(792,'Transfer Engine'!$C$2:$C$1960,0)))</f>
        <v/>
      </c>
      <c r="I801" s="9">
        <f>IF(ISNA(MATCH(792,'Transfer Engine'!$C$2:$C$1960,0)),"",INDEX('Compliance Database'!$I$2:$I$1960,MATCH(792,'Transfer Engine'!$C$2:$C$1960,0)))</f>
        <v/>
      </c>
      <c r="J801" s="8">
        <f>IF(ISNA(MATCH(792,'Transfer Engine'!$C$2:$C$1960,0)),"",INDEX('Compliance Database'!$J$2:$J$1960,MATCH(792,'Transfer Engine'!$C$2:$C$1960,0)))</f>
        <v/>
      </c>
      <c r="K801" s="9">
        <f>IF(ISNA(MATCH(792,'Transfer Engine'!$C$2:$C$1960,0)),"",INDEX('Compliance Database'!$K$2:$K$1960,MATCH(792,'Transfer Engine'!$C$2:$C$1960,0)))</f>
        <v/>
      </c>
      <c r="L801" s="9">
        <f>IF(ISNA(MATCH(792,'Transfer Engine'!$C$2:$C$1960,0)),"",INDEX('Compliance Database'!$L$2:$L$1960,MATCH(792,'Transfer Engine'!$C$2:$C$1960,0)))</f>
        <v/>
      </c>
      <c r="M801" s="9">
        <f>IF(ISNA(MATCH(792,'Transfer Engine'!$C$2:$C$1960,0)),"",INDEX('Compliance Database'!$M$2:$M$1960,MATCH(792,'Transfer Engine'!$C$2:$C$1960,0)))</f>
        <v/>
      </c>
      <c r="N801" s="9">
        <f>IF(ISNA(MATCH(792,'Transfer Engine'!$C$2:$C$1960,0)),"",INDEX('Compliance Database'!$N$2:$N$1960,MATCH(792,'Transfer Engine'!$C$2:$C$1960,0)))</f>
        <v/>
      </c>
      <c r="O801" s="9">
        <f>IF(ISNA(MATCH(792,'Transfer Engine'!$C$2:$C$1960,0)),"",INDEX('Compliance Database'!$O$2:$O$1960,MATCH(792,'Transfer Engine'!$C$2:$C$1960,0)))</f>
        <v/>
      </c>
      <c r="P801" s="8">
        <f>IF(ISNA(MATCH(792,'Transfer Engine'!$C$2:$C$1960,0)),"",HYPERLINK("#Acts!A"&amp;INDEX('Compliance Database'!$P$2:$P$1960,MATCH(792,'Transfer Engine'!$C$2:$C$1960,0)),"Go to Act"))</f>
        <v/>
      </c>
    </row>
    <row r="802" ht="158" customHeight="1">
      <c r="A802" s="8">
        <f>IF(ISNA(MATCH(793,'Transfer Engine'!$C$2:$C$1960,0)),"",INDEX('Compliance Database'!$A$2:$A$1960,MATCH(793,'Transfer Engine'!$C$2:$C$1960,0)))</f>
        <v/>
      </c>
      <c r="B802" s="8">
        <f>IF(ISNA(MATCH(793,'Transfer Engine'!$C$2:$C$1960,0)),"",INDEX('Compliance Database'!$B$2:$B$1960,MATCH(793,'Transfer Engine'!$C$2:$C$1960,0)))</f>
        <v/>
      </c>
      <c r="C802" s="8">
        <f>IF(ISNA(MATCH(793,'Transfer Engine'!$C$2:$C$1960,0)),"",INDEX('Compliance Database'!$C$2:$C$1960,MATCH(793,'Transfer Engine'!$C$2:$C$1960,0)))</f>
        <v/>
      </c>
      <c r="D802" s="9">
        <f>IF(ISNA(MATCH(793,'Transfer Engine'!$C$2:$C$1960,0)),"",INDEX('Compliance Database'!$D$2:$D$1960,MATCH(793,'Transfer Engine'!$C$2:$C$1960,0)))</f>
        <v/>
      </c>
      <c r="E802" s="8">
        <f>IF(ISNA(MATCH(793,'Transfer Engine'!$C$2:$C$1960,0)),"",INDEX('Compliance Database'!$E$2:$E$1960,MATCH(793,'Transfer Engine'!$C$2:$C$1960,0)))</f>
        <v/>
      </c>
      <c r="F802" s="8">
        <f>IF(ISNA(MATCH(793,'Transfer Engine'!$C$2:$C$1960,0)),"",INDEX('Compliance Database'!$F$2:$F$1960,MATCH(793,'Transfer Engine'!$C$2:$C$1960,0)))</f>
        <v/>
      </c>
      <c r="G802" s="8">
        <f>IF(ISNA(MATCH(793,'Transfer Engine'!$C$2:$C$1960,0)),"",INDEX('Compliance Database'!$G$2:$G$1960,MATCH(793,'Transfer Engine'!$C$2:$C$1960,0)))</f>
        <v/>
      </c>
      <c r="H802" s="9">
        <f>IF(ISNA(MATCH(793,'Transfer Engine'!$C$2:$C$1960,0)),"",INDEX('Compliance Database'!$H$2:$H$1960,MATCH(793,'Transfer Engine'!$C$2:$C$1960,0)))</f>
        <v/>
      </c>
      <c r="I802" s="9">
        <f>IF(ISNA(MATCH(793,'Transfer Engine'!$C$2:$C$1960,0)),"",INDEX('Compliance Database'!$I$2:$I$1960,MATCH(793,'Transfer Engine'!$C$2:$C$1960,0)))</f>
        <v/>
      </c>
      <c r="J802" s="8">
        <f>IF(ISNA(MATCH(793,'Transfer Engine'!$C$2:$C$1960,0)),"",INDEX('Compliance Database'!$J$2:$J$1960,MATCH(793,'Transfer Engine'!$C$2:$C$1960,0)))</f>
        <v/>
      </c>
      <c r="K802" s="9">
        <f>IF(ISNA(MATCH(793,'Transfer Engine'!$C$2:$C$1960,0)),"",INDEX('Compliance Database'!$K$2:$K$1960,MATCH(793,'Transfer Engine'!$C$2:$C$1960,0)))</f>
        <v/>
      </c>
      <c r="L802" s="9">
        <f>IF(ISNA(MATCH(793,'Transfer Engine'!$C$2:$C$1960,0)),"",INDEX('Compliance Database'!$L$2:$L$1960,MATCH(793,'Transfer Engine'!$C$2:$C$1960,0)))</f>
        <v/>
      </c>
      <c r="M802" s="9">
        <f>IF(ISNA(MATCH(793,'Transfer Engine'!$C$2:$C$1960,0)),"",INDEX('Compliance Database'!$M$2:$M$1960,MATCH(793,'Transfer Engine'!$C$2:$C$1960,0)))</f>
        <v/>
      </c>
      <c r="N802" s="9">
        <f>IF(ISNA(MATCH(793,'Transfer Engine'!$C$2:$C$1960,0)),"",INDEX('Compliance Database'!$N$2:$N$1960,MATCH(793,'Transfer Engine'!$C$2:$C$1960,0)))</f>
        <v/>
      </c>
      <c r="O802" s="9">
        <f>IF(ISNA(MATCH(793,'Transfer Engine'!$C$2:$C$1960,0)),"",INDEX('Compliance Database'!$O$2:$O$1960,MATCH(793,'Transfer Engine'!$C$2:$C$1960,0)))</f>
        <v/>
      </c>
      <c r="P802" s="8">
        <f>IF(ISNA(MATCH(793,'Transfer Engine'!$C$2:$C$1960,0)),"",HYPERLINK("#Acts!A"&amp;INDEX('Compliance Database'!$P$2:$P$1960,MATCH(793,'Transfer Engine'!$C$2:$C$1960,0)),"Go to Act"))</f>
        <v/>
      </c>
    </row>
    <row r="803" ht="158" customHeight="1">
      <c r="A803" s="8">
        <f>IF(ISNA(MATCH(794,'Transfer Engine'!$C$2:$C$1960,0)),"",INDEX('Compliance Database'!$A$2:$A$1960,MATCH(794,'Transfer Engine'!$C$2:$C$1960,0)))</f>
        <v/>
      </c>
      <c r="B803" s="8">
        <f>IF(ISNA(MATCH(794,'Transfer Engine'!$C$2:$C$1960,0)),"",INDEX('Compliance Database'!$B$2:$B$1960,MATCH(794,'Transfer Engine'!$C$2:$C$1960,0)))</f>
        <v/>
      </c>
      <c r="C803" s="8">
        <f>IF(ISNA(MATCH(794,'Transfer Engine'!$C$2:$C$1960,0)),"",INDEX('Compliance Database'!$C$2:$C$1960,MATCH(794,'Transfer Engine'!$C$2:$C$1960,0)))</f>
        <v/>
      </c>
      <c r="D803" s="9">
        <f>IF(ISNA(MATCH(794,'Transfer Engine'!$C$2:$C$1960,0)),"",INDEX('Compliance Database'!$D$2:$D$1960,MATCH(794,'Transfer Engine'!$C$2:$C$1960,0)))</f>
        <v/>
      </c>
      <c r="E803" s="8">
        <f>IF(ISNA(MATCH(794,'Transfer Engine'!$C$2:$C$1960,0)),"",INDEX('Compliance Database'!$E$2:$E$1960,MATCH(794,'Transfer Engine'!$C$2:$C$1960,0)))</f>
        <v/>
      </c>
      <c r="F803" s="8">
        <f>IF(ISNA(MATCH(794,'Transfer Engine'!$C$2:$C$1960,0)),"",INDEX('Compliance Database'!$F$2:$F$1960,MATCH(794,'Transfer Engine'!$C$2:$C$1960,0)))</f>
        <v/>
      </c>
      <c r="G803" s="8">
        <f>IF(ISNA(MATCH(794,'Transfer Engine'!$C$2:$C$1960,0)),"",INDEX('Compliance Database'!$G$2:$G$1960,MATCH(794,'Transfer Engine'!$C$2:$C$1960,0)))</f>
        <v/>
      </c>
      <c r="H803" s="9">
        <f>IF(ISNA(MATCH(794,'Transfer Engine'!$C$2:$C$1960,0)),"",INDEX('Compliance Database'!$H$2:$H$1960,MATCH(794,'Transfer Engine'!$C$2:$C$1960,0)))</f>
        <v/>
      </c>
      <c r="I803" s="9">
        <f>IF(ISNA(MATCH(794,'Transfer Engine'!$C$2:$C$1960,0)),"",INDEX('Compliance Database'!$I$2:$I$1960,MATCH(794,'Transfer Engine'!$C$2:$C$1960,0)))</f>
        <v/>
      </c>
      <c r="J803" s="8">
        <f>IF(ISNA(MATCH(794,'Transfer Engine'!$C$2:$C$1960,0)),"",INDEX('Compliance Database'!$J$2:$J$1960,MATCH(794,'Transfer Engine'!$C$2:$C$1960,0)))</f>
        <v/>
      </c>
      <c r="K803" s="9">
        <f>IF(ISNA(MATCH(794,'Transfer Engine'!$C$2:$C$1960,0)),"",INDEX('Compliance Database'!$K$2:$K$1960,MATCH(794,'Transfer Engine'!$C$2:$C$1960,0)))</f>
        <v/>
      </c>
      <c r="L803" s="9">
        <f>IF(ISNA(MATCH(794,'Transfer Engine'!$C$2:$C$1960,0)),"",INDEX('Compliance Database'!$L$2:$L$1960,MATCH(794,'Transfer Engine'!$C$2:$C$1960,0)))</f>
        <v/>
      </c>
      <c r="M803" s="9">
        <f>IF(ISNA(MATCH(794,'Transfer Engine'!$C$2:$C$1960,0)),"",INDEX('Compliance Database'!$M$2:$M$1960,MATCH(794,'Transfer Engine'!$C$2:$C$1960,0)))</f>
        <v/>
      </c>
      <c r="N803" s="9">
        <f>IF(ISNA(MATCH(794,'Transfer Engine'!$C$2:$C$1960,0)),"",INDEX('Compliance Database'!$N$2:$N$1960,MATCH(794,'Transfer Engine'!$C$2:$C$1960,0)))</f>
        <v/>
      </c>
      <c r="O803" s="9">
        <f>IF(ISNA(MATCH(794,'Transfer Engine'!$C$2:$C$1960,0)),"",INDEX('Compliance Database'!$O$2:$O$1960,MATCH(794,'Transfer Engine'!$C$2:$C$1960,0)))</f>
        <v/>
      </c>
      <c r="P803" s="8">
        <f>IF(ISNA(MATCH(794,'Transfer Engine'!$C$2:$C$1960,0)),"",HYPERLINK("#Acts!A"&amp;INDEX('Compliance Database'!$P$2:$P$1960,MATCH(794,'Transfer Engine'!$C$2:$C$1960,0)),"Go to Act"))</f>
        <v/>
      </c>
    </row>
    <row r="804" ht="158" customHeight="1">
      <c r="A804" s="8">
        <f>IF(ISNA(MATCH(795,'Transfer Engine'!$C$2:$C$1960,0)),"",INDEX('Compliance Database'!$A$2:$A$1960,MATCH(795,'Transfer Engine'!$C$2:$C$1960,0)))</f>
        <v/>
      </c>
      <c r="B804" s="8">
        <f>IF(ISNA(MATCH(795,'Transfer Engine'!$C$2:$C$1960,0)),"",INDEX('Compliance Database'!$B$2:$B$1960,MATCH(795,'Transfer Engine'!$C$2:$C$1960,0)))</f>
        <v/>
      </c>
      <c r="C804" s="8">
        <f>IF(ISNA(MATCH(795,'Transfer Engine'!$C$2:$C$1960,0)),"",INDEX('Compliance Database'!$C$2:$C$1960,MATCH(795,'Transfer Engine'!$C$2:$C$1960,0)))</f>
        <v/>
      </c>
      <c r="D804" s="9">
        <f>IF(ISNA(MATCH(795,'Transfer Engine'!$C$2:$C$1960,0)),"",INDEX('Compliance Database'!$D$2:$D$1960,MATCH(795,'Transfer Engine'!$C$2:$C$1960,0)))</f>
        <v/>
      </c>
      <c r="E804" s="8">
        <f>IF(ISNA(MATCH(795,'Transfer Engine'!$C$2:$C$1960,0)),"",INDEX('Compliance Database'!$E$2:$E$1960,MATCH(795,'Transfer Engine'!$C$2:$C$1960,0)))</f>
        <v/>
      </c>
      <c r="F804" s="8">
        <f>IF(ISNA(MATCH(795,'Transfer Engine'!$C$2:$C$1960,0)),"",INDEX('Compliance Database'!$F$2:$F$1960,MATCH(795,'Transfer Engine'!$C$2:$C$1960,0)))</f>
        <v/>
      </c>
      <c r="G804" s="8">
        <f>IF(ISNA(MATCH(795,'Transfer Engine'!$C$2:$C$1960,0)),"",INDEX('Compliance Database'!$G$2:$G$1960,MATCH(795,'Transfer Engine'!$C$2:$C$1960,0)))</f>
        <v/>
      </c>
      <c r="H804" s="9">
        <f>IF(ISNA(MATCH(795,'Transfer Engine'!$C$2:$C$1960,0)),"",INDEX('Compliance Database'!$H$2:$H$1960,MATCH(795,'Transfer Engine'!$C$2:$C$1960,0)))</f>
        <v/>
      </c>
      <c r="I804" s="9">
        <f>IF(ISNA(MATCH(795,'Transfer Engine'!$C$2:$C$1960,0)),"",INDEX('Compliance Database'!$I$2:$I$1960,MATCH(795,'Transfer Engine'!$C$2:$C$1960,0)))</f>
        <v/>
      </c>
      <c r="J804" s="8">
        <f>IF(ISNA(MATCH(795,'Transfer Engine'!$C$2:$C$1960,0)),"",INDEX('Compliance Database'!$J$2:$J$1960,MATCH(795,'Transfer Engine'!$C$2:$C$1960,0)))</f>
        <v/>
      </c>
      <c r="K804" s="9">
        <f>IF(ISNA(MATCH(795,'Transfer Engine'!$C$2:$C$1960,0)),"",INDEX('Compliance Database'!$K$2:$K$1960,MATCH(795,'Transfer Engine'!$C$2:$C$1960,0)))</f>
        <v/>
      </c>
      <c r="L804" s="9">
        <f>IF(ISNA(MATCH(795,'Transfer Engine'!$C$2:$C$1960,0)),"",INDEX('Compliance Database'!$L$2:$L$1960,MATCH(795,'Transfer Engine'!$C$2:$C$1960,0)))</f>
        <v/>
      </c>
      <c r="M804" s="9">
        <f>IF(ISNA(MATCH(795,'Transfer Engine'!$C$2:$C$1960,0)),"",INDEX('Compliance Database'!$M$2:$M$1960,MATCH(795,'Transfer Engine'!$C$2:$C$1960,0)))</f>
        <v/>
      </c>
      <c r="N804" s="9">
        <f>IF(ISNA(MATCH(795,'Transfer Engine'!$C$2:$C$1960,0)),"",INDEX('Compliance Database'!$N$2:$N$1960,MATCH(795,'Transfer Engine'!$C$2:$C$1960,0)))</f>
        <v/>
      </c>
      <c r="O804" s="9">
        <f>IF(ISNA(MATCH(795,'Transfer Engine'!$C$2:$C$1960,0)),"",INDEX('Compliance Database'!$O$2:$O$1960,MATCH(795,'Transfer Engine'!$C$2:$C$1960,0)))</f>
        <v/>
      </c>
      <c r="P804" s="8">
        <f>IF(ISNA(MATCH(795,'Transfer Engine'!$C$2:$C$1960,0)),"",HYPERLINK("#Acts!A"&amp;INDEX('Compliance Database'!$P$2:$P$1960,MATCH(795,'Transfer Engine'!$C$2:$C$1960,0)),"Go to Act"))</f>
        <v/>
      </c>
    </row>
    <row r="805" ht="158" customHeight="1">
      <c r="A805" s="8">
        <f>IF(ISNA(MATCH(796,'Transfer Engine'!$C$2:$C$1960,0)),"",INDEX('Compliance Database'!$A$2:$A$1960,MATCH(796,'Transfer Engine'!$C$2:$C$1960,0)))</f>
        <v/>
      </c>
      <c r="B805" s="8">
        <f>IF(ISNA(MATCH(796,'Transfer Engine'!$C$2:$C$1960,0)),"",INDEX('Compliance Database'!$B$2:$B$1960,MATCH(796,'Transfer Engine'!$C$2:$C$1960,0)))</f>
        <v/>
      </c>
      <c r="C805" s="8">
        <f>IF(ISNA(MATCH(796,'Transfer Engine'!$C$2:$C$1960,0)),"",INDEX('Compliance Database'!$C$2:$C$1960,MATCH(796,'Transfer Engine'!$C$2:$C$1960,0)))</f>
        <v/>
      </c>
      <c r="D805" s="9">
        <f>IF(ISNA(MATCH(796,'Transfer Engine'!$C$2:$C$1960,0)),"",INDEX('Compliance Database'!$D$2:$D$1960,MATCH(796,'Transfer Engine'!$C$2:$C$1960,0)))</f>
        <v/>
      </c>
      <c r="E805" s="8">
        <f>IF(ISNA(MATCH(796,'Transfer Engine'!$C$2:$C$1960,0)),"",INDEX('Compliance Database'!$E$2:$E$1960,MATCH(796,'Transfer Engine'!$C$2:$C$1960,0)))</f>
        <v/>
      </c>
      <c r="F805" s="8">
        <f>IF(ISNA(MATCH(796,'Transfer Engine'!$C$2:$C$1960,0)),"",INDEX('Compliance Database'!$F$2:$F$1960,MATCH(796,'Transfer Engine'!$C$2:$C$1960,0)))</f>
        <v/>
      </c>
      <c r="G805" s="8">
        <f>IF(ISNA(MATCH(796,'Transfer Engine'!$C$2:$C$1960,0)),"",INDEX('Compliance Database'!$G$2:$G$1960,MATCH(796,'Transfer Engine'!$C$2:$C$1960,0)))</f>
        <v/>
      </c>
      <c r="H805" s="9">
        <f>IF(ISNA(MATCH(796,'Transfer Engine'!$C$2:$C$1960,0)),"",INDEX('Compliance Database'!$H$2:$H$1960,MATCH(796,'Transfer Engine'!$C$2:$C$1960,0)))</f>
        <v/>
      </c>
      <c r="I805" s="9">
        <f>IF(ISNA(MATCH(796,'Transfer Engine'!$C$2:$C$1960,0)),"",INDEX('Compliance Database'!$I$2:$I$1960,MATCH(796,'Transfer Engine'!$C$2:$C$1960,0)))</f>
        <v/>
      </c>
      <c r="J805" s="8">
        <f>IF(ISNA(MATCH(796,'Transfer Engine'!$C$2:$C$1960,0)),"",INDEX('Compliance Database'!$J$2:$J$1960,MATCH(796,'Transfer Engine'!$C$2:$C$1960,0)))</f>
        <v/>
      </c>
      <c r="K805" s="9">
        <f>IF(ISNA(MATCH(796,'Transfer Engine'!$C$2:$C$1960,0)),"",INDEX('Compliance Database'!$K$2:$K$1960,MATCH(796,'Transfer Engine'!$C$2:$C$1960,0)))</f>
        <v/>
      </c>
      <c r="L805" s="9">
        <f>IF(ISNA(MATCH(796,'Transfer Engine'!$C$2:$C$1960,0)),"",INDEX('Compliance Database'!$L$2:$L$1960,MATCH(796,'Transfer Engine'!$C$2:$C$1960,0)))</f>
        <v/>
      </c>
      <c r="M805" s="9">
        <f>IF(ISNA(MATCH(796,'Transfer Engine'!$C$2:$C$1960,0)),"",INDEX('Compliance Database'!$M$2:$M$1960,MATCH(796,'Transfer Engine'!$C$2:$C$1960,0)))</f>
        <v/>
      </c>
      <c r="N805" s="9">
        <f>IF(ISNA(MATCH(796,'Transfer Engine'!$C$2:$C$1960,0)),"",INDEX('Compliance Database'!$N$2:$N$1960,MATCH(796,'Transfer Engine'!$C$2:$C$1960,0)))</f>
        <v/>
      </c>
      <c r="O805" s="9">
        <f>IF(ISNA(MATCH(796,'Transfer Engine'!$C$2:$C$1960,0)),"",INDEX('Compliance Database'!$O$2:$O$1960,MATCH(796,'Transfer Engine'!$C$2:$C$1960,0)))</f>
        <v/>
      </c>
      <c r="P805" s="8">
        <f>IF(ISNA(MATCH(796,'Transfer Engine'!$C$2:$C$1960,0)),"",HYPERLINK("#Acts!A"&amp;INDEX('Compliance Database'!$P$2:$P$1960,MATCH(796,'Transfer Engine'!$C$2:$C$1960,0)),"Go to Act"))</f>
        <v/>
      </c>
    </row>
    <row r="806" ht="158" customHeight="1">
      <c r="A806" s="8">
        <f>IF(ISNA(MATCH(797,'Transfer Engine'!$C$2:$C$1960,0)),"",INDEX('Compliance Database'!$A$2:$A$1960,MATCH(797,'Transfer Engine'!$C$2:$C$1960,0)))</f>
        <v/>
      </c>
      <c r="B806" s="8">
        <f>IF(ISNA(MATCH(797,'Transfer Engine'!$C$2:$C$1960,0)),"",INDEX('Compliance Database'!$B$2:$B$1960,MATCH(797,'Transfer Engine'!$C$2:$C$1960,0)))</f>
        <v/>
      </c>
      <c r="C806" s="8">
        <f>IF(ISNA(MATCH(797,'Transfer Engine'!$C$2:$C$1960,0)),"",INDEX('Compliance Database'!$C$2:$C$1960,MATCH(797,'Transfer Engine'!$C$2:$C$1960,0)))</f>
        <v/>
      </c>
      <c r="D806" s="9">
        <f>IF(ISNA(MATCH(797,'Transfer Engine'!$C$2:$C$1960,0)),"",INDEX('Compliance Database'!$D$2:$D$1960,MATCH(797,'Transfer Engine'!$C$2:$C$1960,0)))</f>
        <v/>
      </c>
      <c r="E806" s="8">
        <f>IF(ISNA(MATCH(797,'Transfer Engine'!$C$2:$C$1960,0)),"",INDEX('Compliance Database'!$E$2:$E$1960,MATCH(797,'Transfer Engine'!$C$2:$C$1960,0)))</f>
        <v/>
      </c>
      <c r="F806" s="8">
        <f>IF(ISNA(MATCH(797,'Transfer Engine'!$C$2:$C$1960,0)),"",INDEX('Compliance Database'!$F$2:$F$1960,MATCH(797,'Transfer Engine'!$C$2:$C$1960,0)))</f>
        <v/>
      </c>
      <c r="G806" s="8">
        <f>IF(ISNA(MATCH(797,'Transfer Engine'!$C$2:$C$1960,0)),"",INDEX('Compliance Database'!$G$2:$G$1960,MATCH(797,'Transfer Engine'!$C$2:$C$1960,0)))</f>
        <v/>
      </c>
      <c r="H806" s="9">
        <f>IF(ISNA(MATCH(797,'Transfer Engine'!$C$2:$C$1960,0)),"",INDEX('Compliance Database'!$H$2:$H$1960,MATCH(797,'Transfer Engine'!$C$2:$C$1960,0)))</f>
        <v/>
      </c>
      <c r="I806" s="9">
        <f>IF(ISNA(MATCH(797,'Transfer Engine'!$C$2:$C$1960,0)),"",INDEX('Compliance Database'!$I$2:$I$1960,MATCH(797,'Transfer Engine'!$C$2:$C$1960,0)))</f>
        <v/>
      </c>
      <c r="J806" s="8">
        <f>IF(ISNA(MATCH(797,'Transfer Engine'!$C$2:$C$1960,0)),"",INDEX('Compliance Database'!$J$2:$J$1960,MATCH(797,'Transfer Engine'!$C$2:$C$1960,0)))</f>
        <v/>
      </c>
      <c r="K806" s="9">
        <f>IF(ISNA(MATCH(797,'Transfer Engine'!$C$2:$C$1960,0)),"",INDEX('Compliance Database'!$K$2:$K$1960,MATCH(797,'Transfer Engine'!$C$2:$C$1960,0)))</f>
        <v/>
      </c>
      <c r="L806" s="9">
        <f>IF(ISNA(MATCH(797,'Transfer Engine'!$C$2:$C$1960,0)),"",INDEX('Compliance Database'!$L$2:$L$1960,MATCH(797,'Transfer Engine'!$C$2:$C$1960,0)))</f>
        <v/>
      </c>
      <c r="M806" s="9">
        <f>IF(ISNA(MATCH(797,'Transfer Engine'!$C$2:$C$1960,0)),"",INDEX('Compliance Database'!$M$2:$M$1960,MATCH(797,'Transfer Engine'!$C$2:$C$1960,0)))</f>
        <v/>
      </c>
      <c r="N806" s="9">
        <f>IF(ISNA(MATCH(797,'Transfer Engine'!$C$2:$C$1960,0)),"",INDEX('Compliance Database'!$N$2:$N$1960,MATCH(797,'Transfer Engine'!$C$2:$C$1960,0)))</f>
        <v/>
      </c>
      <c r="O806" s="9">
        <f>IF(ISNA(MATCH(797,'Transfer Engine'!$C$2:$C$1960,0)),"",INDEX('Compliance Database'!$O$2:$O$1960,MATCH(797,'Transfer Engine'!$C$2:$C$1960,0)))</f>
        <v/>
      </c>
      <c r="P806" s="8">
        <f>IF(ISNA(MATCH(797,'Transfer Engine'!$C$2:$C$1960,0)),"",HYPERLINK("#Acts!A"&amp;INDEX('Compliance Database'!$P$2:$P$1960,MATCH(797,'Transfer Engine'!$C$2:$C$1960,0)),"Go to Act"))</f>
        <v/>
      </c>
    </row>
    <row r="807" ht="158" customHeight="1">
      <c r="A807" s="8">
        <f>IF(ISNA(MATCH(798,'Transfer Engine'!$C$2:$C$1960,0)),"",INDEX('Compliance Database'!$A$2:$A$1960,MATCH(798,'Transfer Engine'!$C$2:$C$1960,0)))</f>
        <v/>
      </c>
      <c r="B807" s="8">
        <f>IF(ISNA(MATCH(798,'Transfer Engine'!$C$2:$C$1960,0)),"",INDEX('Compliance Database'!$B$2:$B$1960,MATCH(798,'Transfer Engine'!$C$2:$C$1960,0)))</f>
        <v/>
      </c>
      <c r="C807" s="8">
        <f>IF(ISNA(MATCH(798,'Transfer Engine'!$C$2:$C$1960,0)),"",INDEX('Compliance Database'!$C$2:$C$1960,MATCH(798,'Transfer Engine'!$C$2:$C$1960,0)))</f>
        <v/>
      </c>
      <c r="D807" s="9">
        <f>IF(ISNA(MATCH(798,'Transfer Engine'!$C$2:$C$1960,0)),"",INDEX('Compliance Database'!$D$2:$D$1960,MATCH(798,'Transfer Engine'!$C$2:$C$1960,0)))</f>
        <v/>
      </c>
      <c r="E807" s="8">
        <f>IF(ISNA(MATCH(798,'Transfer Engine'!$C$2:$C$1960,0)),"",INDEX('Compliance Database'!$E$2:$E$1960,MATCH(798,'Transfer Engine'!$C$2:$C$1960,0)))</f>
        <v/>
      </c>
      <c r="F807" s="8">
        <f>IF(ISNA(MATCH(798,'Transfer Engine'!$C$2:$C$1960,0)),"",INDEX('Compliance Database'!$F$2:$F$1960,MATCH(798,'Transfer Engine'!$C$2:$C$1960,0)))</f>
        <v/>
      </c>
      <c r="G807" s="8">
        <f>IF(ISNA(MATCH(798,'Transfer Engine'!$C$2:$C$1960,0)),"",INDEX('Compliance Database'!$G$2:$G$1960,MATCH(798,'Transfer Engine'!$C$2:$C$1960,0)))</f>
        <v/>
      </c>
      <c r="H807" s="9">
        <f>IF(ISNA(MATCH(798,'Transfer Engine'!$C$2:$C$1960,0)),"",INDEX('Compliance Database'!$H$2:$H$1960,MATCH(798,'Transfer Engine'!$C$2:$C$1960,0)))</f>
        <v/>
      </c>
      <c r="I807" s="9">
        <f>IF(ISNA(MATCH(798,'Transfer Engine'!$C$2:$C$1960,0)),"",INDEX('Compliance Database'!$I$2:$I$1960,MATCH(798,'Transfer Engine'!$C$2:$C$1960,0)))</f>
        <v/>
      </c>
      <c r="J807" s="8">
        <f>IF(ISNA(MATCH(798,'Transfer Engine'!$C$2:$C$1960,0)),"",INDEX('Compliance Database'!$J$2:$J$1960,MATCH(798,'Transfer Engine'!$C$2:$C$1960,0)))</f>
        <v/>
      </c>
      <c r="K807" s="9">
        <f>IF(ISNA(MATCH(798,'Transfer Engine'!$C$2:$C$1960,0)),"",INDEX('Compliance Database'!$K$2:$K$1960,MATCH(798,'Transfer Engine'!$C$2:$C$1960,0)))</f>
        <v/>
      </c>
      <c r="L807" s="9">
        <f>IF(ISNA(MATCH(798,'Transfer Engine'!$C$2:$C$1960,0)),"",INDEX('Compliance Database'!$L$2:$L$1960,MATCH(798,'Transfer Engine'!$C$2:$C$1960,0)))</f>
        <v/>
      </c>
      <c r="M807" s="9">
        <f>IF(ISNA(MATCH(798,'Transfer Engine'!$C$2:$C$1960,0)),"",INDEX('Compliance Database'!$M$2:$M$1960,MATCH(798,'Transfer Engine'!$C$2:$C$1960,0)))</f>
        <v/>
      </c>
      <c r="N807" s="9">
        <f>IF(ISNA(MATCH(798,'Transfer Engine'!$C$2:$C$1960,0)),"",INDEX('Compliance Database'!$N$2:$N$1960,MATCH(798,'Transfer Engine'!$C$2:$C$1960,0)))</f>
        <v/>
      </c>
      <c r="O807" s="9">
        <f>IF(ISNA(MATCH(798,'Transfer Engine'!$C$2:$C$1960,0)),"",INDEX('Compliance Database'!$O$2:$O$1960,MATCH(798,'Transfer Engine'!$C$2:$C$1960,0)))</f>
        <v/>
      </c>
      <c r="P807" s="8">
        <f>IF(ISNA(MATCH(798,'Transfer Engine'!$C$2:$C$1960,0)),"",HYPERLINK("#Acts!A"&amp;INDEX('Compliance Database'!$P$2:$P$1960,MATCH(798,'Transfer Engine'!$C$2:$C$1960,0)),"Go to Act"))</f>
        <v/>
      </c>
    </row>
    <row r="808" ht="158" customHeight="1">
      <c r="A808" s="8">
        <f>IF(ISNA(MATCH(799,'Transfer Engine'!$C$2:$C$1960,0)),"",INDEX('Compliance Database'!$A$2:$A$1960,MATCH(799,'Transfer Engine'!$C$2:$C$1960,0)))</f>
        <v/>
      </c>
      <c r="B808" s="8">
        <f>IF(ISNA(MATCH(799,'Transfer Engine'!$C$2:$C$1960,0)),"",INDEX('Compliance Database'!$B$2:$B$1960,MATCH(799,'Transfer Engine'!$C$2:$C$1960,0)))</f>
        <v/>
      </c>
      <c r="C808" s="8">
        <f>IF(ISNA(MATCH(799,'Transfer Engine'!$C$2:$C$1960,0)),"",INDEX('Compliance Database'!$C$2:$C$1960,MATCH(799,'Transfer Engine'!$C$2:$C$1960,0)))</f>
        <v/>
      </c>
      <c r="D808" s="9">
        <f>IF(ISNA(MATCH(799,'Transfer Engine'!$C$2:$C$1960,0)),"",INDEX('Compliance Database'!$D$2:$D$1960,MATCH(799,'Transfer Engine'!$C$2:$C$1960,0)))</f>
        <v/>
      </c>
      <c r="E808" s="8">
        <f>IF(ISNA(MATCH(799,'Transfer Engine'!$C$2:$C$1960,0)),"",INDEX('Compliance Database'!$E$2:$E$1960,MATCH(799,'Transfer Engine'!$C$2:$C$1960,0)))</f>
        <v/>
      </c>
      <c r="F808" s="8">
        <f>IF(ISNA(MATCH(799,'Transfer Engine'!$C$2:$C$1960,0)),"",INDEX('Compliance Database'!$F$2:$F$1960,MATCH(799,'Transfer Engine'!$C$2:$C$1960,0)))</f>
        <v/>
      </c>
      <c r="G808" s="8">
        <f>IF(ISNA(MATCH(799,'Transfer Engine'!$C$2:$C$1960,0)),"",INDEX('Compliance Database'!$G$2:$G$1960,MATCH(799,'Transfer Engine'!$C$2:$C$1960,0)))</f>
        <v/>
      </c>
      <c r="H808" s="9">
        <f>IF(ISNA(MATCH(799,'Transfer Engine'!$C$2:$C$1960,0)),"",INDEX('Compliance Database'!$H$2:$H$1960,MATCH(799,'Transfer Engine'!$C$2:$C$1960,0)))</f>
        <v/>
      </c>
      <c r="I808" s="9">
        <f>IF(ISNA(MATCH(799,'Transfer Engine'!$C$2:$C$1960,0)),"",INDEX('Compliance Database'!$I$2:$I$1960,MATCH(799,'Transfer Engine'!$C$2:$C$1960,0)))</f>
        <v/>
      </c>
      <c r="J808" s="8">
        <f>IF(ISNA(MATCH(799,'Transfer Engine'!$C$2:$C$1960,0)),"",INDEX('Compliance Database'!$J$2:$J$1960,MATCH(799,'Transfer Engine'!$C$2:$C$1960,0)))</f>
        <v/>
      </c>
      <c r="K808" s="9">
        <f>IF(ISNA(MATCH(799,'Transfer Engine'!$C$2:$C$1960,0)),"",INDEX('Compliance Database'!$K$2:$K$1960,MATCH(799,'Transfer Engine'!$C$2:$C$1960,0)))</f>
        <v/>
      </c>
      <c r="L808" s="9">
        <f>IF(ISNA(MATCH(799,'Transfer Engine'!$C$2:$C$1960,0)),"",INDEX('Compliance Database'!$L$2:$L$1960,MATCH(799,'Transfer Engine'!$C$2:$C$1960,0)))</f>
        <v/>
      </c>
      <c r="M808" s="9">
        <f>IF(ISNA(MATCH(799,'Transfer Engine'!$C$2:$C$1960,0)),"",INDEX('Compliance Database'!$M$2:$M$1960,MATCH(799,'Transfer Engine'!$C$2:$C$1960,0)))</f>
        <v/>
      </c>
      <c r="N808" s="9">
        <f>IF(ISNA(MATCH(799,'Transfer Engine'!$C$2:$C$1960,0)),"",INDEX('Compliance Database'!$N$2:$N$1960,MATCH(799,'Transfer Engine'!$C$2:$C$1960,0)))</f>
        <v/>
      </c>
      <c r="O808" s="9">
        <f>IF(ISNA(MATCH(799,'Transfer Engine'!$C$2:$C$1960,0)),"",INDEX('Compliance Database'!$O$2:$O$1960,MATCH(799,'Transfer Engine'!$C$2:$C$1960,0)))</f>
        <v/>
      </c>
      <c r="P808" s="8">
        <f>IF(ISNA(MATCH(799,'Transfer Engine'!$C$2:$C$1960,0)),"",HYPERLINK("#Acts!A"&amp;INDEX('Compliance Database'!$P$2:$P$1960,MATCH(799,'Transfer Engine'!$C$2:$C$1960,0)),"Go to Act"))</f>
        <v/>
      </c>
    </row>
    <row r="809" ht="158" customHeight="1">
      <c r="A809" s="8">
        <f>IF(ISNA(MATCH(800,'Transfer Engine'!$C$2:$C$1960,0)),"",INDEX('Compliance Database'!$A$2:$A$1960,MATCH(800,'Transfer Engine'!$C$2:$C$1960,0)))</f>
        <v/>
      </c>
      <c r="B809" s="8">
        <f>IF(ISNA(MATCH(800,'Transfer Engine'!$C$2:$C$1960,0)),"",INDEX('Compliance Database'!$B$2:$B$1960,MATCH(800,'Transfer Engine'!$C$2:$C$1960,0)))</f>
        <v/>
      </c>
      <c r="C809" s="8">
        <f>IF(ISNA(MATCH(800,'Transfer Engine'!$C$2:$C$1960,0)),"",INDEX('Compliance Database'!$C$2:$C$1960,MATCH(800,'Transfer Engine'!$C$2:$C$1960,0)))</f>
        <v/>
      </c>
      <c r="D809" s="9">
        <f>IF(ISNA(MATCH(800,'Transfer Engine'!$C$2:$C$1960,0)),"",INDEX('Compliance Database'!$D$2:$D$1960,MATCH(800,'Transfer Engine'!$C$2:$C$1960,0)))</f>
        <v/>
      </c>
      <c r="E809" s="8">
        <f>IF(ISNA(MATCH(800,'Transfer Engine'!$C$2:$C$1960,0)),"",INDEX('Compliance Database'!$E$2:$E$1960,MATCH(800,'Transfer Engine'!$C$2:$C$1960,0)))</f>
        <v/>
      </c>
      <c r="F809" s="8">
        <f>IF(ISNA(MATCH(800,'Transfer Engine'!$C$2:$C$1960,0)),"",INDEX('Compliance Database'!$F$2:$F$1960,MATCH(800,'Transfer Engine'!$C$2:$C$1960,0)))</f>
        <v/>
      </c>
      <c r="G809" s="8">
        <f>IF(ISNA(MATCH(800,'Transfer Engine'!$C$2:$C$1960,0)),"",INDEX('Compliance Database'!$G$2:$G$1960,MATCH(800,'Transfer Engine'!$C$2:$C$1960,0)))</f>
        <v/>
      </c>
      <c r="H809" s="9">
        <f>IF(ISNA(MATCH(800,'Transfer Engine'!$C$2:$C$1960,0)),"",INDEX('Compliance Database'!$H$2:$H$1960,MATCH(800,'Transfer Engine'!$C$2:$C$1960,0)))</f>
        <v/>
      </c>
      <c r="I809" s="9">
        <f>IF(ISNA(MATCH(800,'Transfer Engine'!$C$2:$C$1960,0)),"",INDEX('Compliance Database'!$I$2:$I$1960,MATCH(800,'Transfer Engine'!$C$2:$C$1960,0)))</f>
        <v/>
      </c>
      <c r="J809" s="8">
        <f>IF(ISNA(MATCH(800,'Transfer Engine'!$C$2:$C$1960,0)),"",INDEX('Compliance Database'!$J$2:$J$1960,MATCH(800,'Transfer Engine'!$C$2:$C$1960,0)))</f>
        <v/>
      </c>
      <c r="K809" s="9">
        <f>IF(ISNA(MATCH(800,'Transfer Engine'!$C$2:$C$1960,0)),"",INDEX('Compliance Database'!$K$2:$K$1960,MATCH(800,'Transfer Engine'!$C$2:$C$1960,0)))</f>
        <v/>
      </c>
      <c r="L809" s="9">
        <f>IF(ISNA(MATCH(800,'Transfer Engine'!$C$2:$C$1960,0)),"",INDEX('Compliance Database'!$L$2:$L$1960,MATCH(800,'Transfer Engine'!$C$2:$C$1960,0)))</f>
        <v/>
      </c>
      <c r="M809" s="9">
        <f>IF(ISNA(MATCH(800,'Transfer Engine'!$C$2:$C$1960,0)),"",INDEX('Compliance Database'!$M$2:$M$1960,MATCH(800,'Transfer Engine'!$C$2:$C$1960,0)))</f>
        <v/>
      </c>
      <c r="N809" s="9">
        <f>IF(ISNA(MATCH(800,'Transfer Engine'!$C$2:$C$1960,0)),"",INDEX('Compliance Database'!$N$2:$N$1960,MATCH(800,'Transfer Engine'!$C$2:$C$1960,0)))</f>
        <v/>
      </c>
      <c r="O809" s="9">
        <f>IF(ISNA(MATCH(800,'Transfer Engine'!$C$2:$C$1960,0)),"",INDEX('Compliance Database'!$O$2:$O$1960,MATCH(800,'Transfer Engine'!$C$2:$C$1960,0)))</f>
        <v/>
      </c>
      <c r="P809" s="8">
        <f>IF(ISNA(MATCH(800,'Transfer Engine'!$C$2:$C$1960,0)),"",HYPERLINK("#Acts!A"&amp;INDEX('Compliance Database'!$P$2:$P$1960,MATCH(800,'Transfer Engine'!$C$2:$C$1960,0)),"Go to Act"))</f>
        <v/>
      </c>
    </row>
    <row r="810" ht="158" customHeight="1">
      <c r="A810" s="8">
        <f>IF(ISNA(MATCH(801,'Transfer Engine'!$C$2:$C$1960,0)),"",INDEX('Compliance Database'!$A$2:$A$1960,MATCH(801,'Transfer Engine'!$C$2:$C$1960,0)))</f>
        <v/>
      </c>
      <c r="B810" s="8">
        <f>IF(ISNA(MATCH(801,'Transfer Engine'!$C$2:$C$1960,0)),"",INDEX('Compliance Database'!$B$2:$B$1960,MATCH(801,'Transfer Engine'!$C$2:$C$1960,0)))</f>
        <v/>
      </c>
      <c r="C810" s="8">
        <f>IF(ISNA(MATCH(801,'Transfer Engine'!$C$2:$C$1960,0)),"",INDEX('Compliance Database'!$C$2:$C$1960,MATCH(801,'Transfer Engine'!$C$2:$C$1960,0)))</f>
        <v/>
      </c>
      <c r="D810" s="9">
        <f>IF(ISNA(MATCH(801,'Transfer Engine'!$C$2:$C$1960,0)),"",INDEX('Compliance Database'!$D$2:$D$1960,MATCH(801,'Transfer Engine'!$C$2:$C$1960,0)))</f>
        <v/>
      </c>
      <c r="E810" s="8">
        <f>IF(ISNA(MATCH(801,'Transfer Engine'!$C$2:$C$1960,0)),"",INDEX('Compliance Database'!$E$2:$E$1960,MATCH(801,'Transfer Engine'!$C$2:$C$1960,0)))</f>
        <v/>
      </c>
      <c r="F810" s="8">
        <f>IF(ISNA(MATCH(801,'Transfer Engine'!$C$2:$C$1960,0)),"",INDEX('Compliance Database'!$F$2:$F$1960,MATCH(801,'Transfer Engine'!$C$2:$C$1960,0)))</f>
        <v/>
      </c>
      <c r="G810" s="8">
        <f>IF(ISNA(MATCH(801,'Transfer Engine'!$C$2:$C$1960,0)),"",INDEX('Compliance Database'!$G$2:$G$1960,MATCH(801,'Transfer Engine'!$C$2:$C$1960,0)))</f>
        <v/>
      </c>
      <c r="H810" s="9">
        <f>IF(ISNA(MATCH(801,'Transfer Engine'!$C$2:$C$1960,0)),"",INDEX('Compliance Database'!$H$2:$H$1960,MATCH(801,'Transfer Engine'!$C$2:$C$1960,0)))</f>
        <v/>
      </c>
      <c r="I810" s="9">
        <f>IF(ISNA(MATCH(801,'Transfer Engine'!$C$2:$C$1960,0)),"",INDEX('Compliance Database'!$I$2:$I$1960,MATCH(801,'Transfer Engine'!$C$2:$C$1960,0)))</f>
        <v/>
      </c>
      <c r="J810" s="8">
        <f>IF(ISNA(MATCH(801,'Transfer Engine'!$C$2:$C$1960,0)),"",INDEX('Compliance Database'!$J$2:$J$1960,MATCH(801,'Transfer Engine'!$C$2:$C$1960,0)))</f>
        <v/>
      </c>
      <c r="K810" s="9">
        <f>IF(ISNA(MATCH(801,'Transfer Engine'!$C$2:$C$1960,0)),"",INDEX('Compliance Database'!$K$2:$K$1960,MATCH(801,'Transfer Engine'!$C$2:$C$1960,0)))</f>
        <v/>
      </c>
      <c r="L810" s="9">
        <f>IF(ISNA(MATCH(801,'Transfer Engine'!$C$2:$C$1960,0)),"",INDEX('Compliance Database'!$L$2:$L$1960,MATCH(801,'Transfer Engine'!$C$2:$C$1960,0)))</f>
        <v/>
      </c>
      <c r="M810" s="9">
        <f>IF(ISNA(MATCH(801,'Transfer Engine'!$C$2:$C$1960,0)),"",INDEX('Compliance Database'!$M$2:$M$1960,MATCH(801,'Transfer Engine'!$C$2:$C$1960,0)))</f>
        <v/>
      </c>
      <c r="N810" s="9">
        <f>IF(ISNA(MATCH(801,'Transfer Engine'!$C$2:$C$1960,0)),"",INDEX('Compliance Database'!$N$2:$N$1960,MATCH(801,'Transfer Engine'!$C$2:$C$1960,0)))</f>
        <v/>
      </c>
      <c r="O810" s="9">
        <f>IF(ISNA(MATCH(801,'Transfer Engine'!$C$2:$C$1960,0)),"",INDEX('Compliance Database'!$O$2:$O$1960,MATCH(801,'Transfer Engine'!$C$2:$C$1960,0)))</f>
        <v/>
      </c>
      <c r="P810" s="8">
        <f>IF(ISNA(MATCH(801,'Transfer Engine'!$C$2:$C$1960,0)),"",HYPERLINK("#Acts!A"&amp;INDEX('Compliance Database'!$P$2:$P$1960,MATCH(801,'Transfer Engine'!$C$2:$C$1960,0)),"Go to Act"))</f>
        <v/>
      </c>
    </row>
    <row r="811" ht="158" customHeight="1">
      <c r="A811" s="8">
        <f>IF(ISNA(MATCH(802,'Transfer Engine'!$C$2:$C$1960,0)),"",INDEX('Compliance Database'!$A$2:$A$1960,MATCH(802,'Transfer Engine'!$C$2:$C$1960,0)))</f>
        <v/>
      </c>
      <c r="B811" s="8">
        <f>IF(ISNA(MATCH(802,'Transfer Engine'!$C$2:$C$1960,0)),"",INDEX('Compliance Database'!$B$2:$B$1960,MATCH(802,'Transfer Engine'!$C$2:$C$1960,0)))</f>
        <v/>
      </c>
      <c r="C811" s="8">
        <f>IF(ISNA(MATCH(802,'Transfer Engine'!$C$2:$C$1960,0)),"",INDEX('Compliance Database'!$C$2:$C$1960,MATCH(802,'Transfer Engine'!$C$2:$C$1960,0)))</f>
        <v/>
      </c>
      <c r="D811" s="9">
        <f>IF(ISNA(MATCH(802,'Transfer Engine'!$C$2:$C$1960,0)),"",INDEX('Compliance Database'!$D$2:$D$1960,MATCH(802,'Transfer Engine'!$C$2:$C$1960,0)))</f>
        <v/>
      </c>
      <c r="E811" s="8">
        <f>IF(ISNA(MATCH(802,'Transfer Engine'!$C$2:$C$1960,0)),"",INDEX('Compliance Database'!$E$2:$E$1960,MATCH(802,'Transfer Engine'!$C$2:$C$1960,0)))</f>
        <v/>
      </c>
      <c r="F811" s="8">
        <f>IF(ISNA(MATCH(802,'Transfer Engine'!$C$2:$C$1960,0)),"",INDEX('Compliance Database'!$F$2:$F$1960,MATCH(802,'Transfer Engine'!$C$2:$C$1960,0)))</f>
        <v/>
      </c>
      <c r="G811" s="8">
        <f>IF(ISNA(MATCH(802,'Transfer Engine'!$C$2:$C$1960,0)),"",INDEX('Compliance Database'!$G$2:$G$1960,MATCH(802,'Transfer Engine'!$C$2:$C$1960,0)))</f>
        <v/>
      </c>
      <c r="H811" s="9">
        <f>IF(ISNA(MATCH(802,'Transfer Engine'!$C$2:$C$1960,0)),"",INDEX('Compliance Database'!$H$2:$H$1960,MATCH(802,'Transfer Engine'!$C$2:$C$1960,0)))</f>
        <v/>
      </c>
      <c r="I811" s="9">
        <f>IF(ISNA(MATCH(802,'Transfer Engine'!$C$2:$C$1960,0)),"",INDEX('Compliance Database'!$I$2:$I$1960,MATCH(802,'Transfer Engine'!$C$2:$C$1960,0)))</f>
        <v/>
      </c>
      <c r="J811" s="8">
        <f>IF(ISNA(MATCH(802,'Transfer Engine'!$C$2:$C$1960,0)),"",INDEX('Compliance Database'!$J$2:$J$1960,MATCH(802,'Transfer Engine'!$C$2:$C$1960,0)))</f>
        <v/>
      </c>
      <c r="K811" s="9">
        <f>IF(ISNA(MATCH(802,'Transfer Engine'!$C$2:$C$1960,0)),"",INDEX('Compliance Database'!$K$2:$K$1960,MATCH(802,'Transfer Engine'!$C$2:$C$1960,0)))</f>
        <v/>
      </c>
      <c r="L811" s="9">
        <f>IF(ISNA(MATCH(802,'Transfer Engine'!$C$2:$C$1960,0)),"",INDEX('Compliance Database'!$L$2:$L$1960,MATCH(802,'Transfer Engine'!$C$2:$C$1960,0)))</f>
        <v/>
      </c>
      <c r="M811" s="9">
        <f>IF(ISNA(MATCH(802,'Transfer Engine'!$C$2:$C$1960,0)),"",INDEX('Compliance Database'!$M$2:$M$1960,MATCH(802,'Transfer Engine'!$C$2:$C$1960,0)))</f>
        <v/>
      </c>
      <c r="N811" s="9">
        <f>IF(ISNA(MATCH(802,'Transfer Engine'!$C$2:$C$1960,0)),"",INDEX('Compliance Database'!$N$2:$N$1960,MATCH(802,'Transfer Engine'!$C$2:$C$1960,0)))</f>
        <v/>
      </c>
      <c r="O811" s="9">
        <f>IF(ISNA(MATCH(802,'Transfer Engine'!$C$2:$C$1960,0)),"",INDEX('Compliance Database'!$O$2:$O$1960,MATCH(802,'Transfer Engine'!$C$2:$C$1960,0)))</f>
        <v/>
      </c>
      <c r="P811" s="8">
        <f>IF(ISNA(MATCH(802,'Transfer Engine'!$C$2:$C$1960,0)),"",HYPERLINK("#Acts!A"&amp;INDEX('Compliance Database'!$P$2:$P$1960,MATCH(802,'Transfer Engine'!$C$2:$C$1960,0)),"Go to Act"))</f>
        <v/>
      </c>
    </row>
    <row r="812" ht="158" customHeight="1">
      <c r="A812" s="8">
        <f>IF(ISNA(MATCH(803,'Transfer Engine'!$C$2:$C$1960,0)),"",INDEX('Compliance Database'!$A$2:$A$1960,MATCH(803,'Transfer Engine'!$C$2:$C$1960,0)))</f>
        <v/>
      </c>
      <c r="B812" s="8">
        <f>IF(ISNA(MATCH(803,'Transfer Engine'!$C$2:$C$1960,0)),"",INDEX('Compliance Database'!$B$2:$B$1960,MATCH(803,'Transfer Engine'!$C$2:$C$1960,0)))</f>
        <v/>
      </c>
      <c r="C812" s="8">
        <f>IF(ISNA(MATCH(803,'Transfer Engine'!$C$2:$C$1960,0)),"",INDEX('Compliance Database'!$C$2:$C$1960,MATCH(803,'Transfer Engine'!$C$2:$C$1960,0)))</f>
        <v/>
      </c>
      <c r="D812" s="9">
        <f>IF(ISNA(MATCH(803,'Transfer Engine'!$C$2:$C$1960,0)),"",INDEX('Compliance Database'!$D$2:$D$1960,MATCH(803,'Transfer Engine'!$C$2:$C$1960,0)))</f>
        <v/>
      </c>
      <c r="E812" s="8">
        <f>IF(ISNA(MATCH(803,'Transfer Engine'!$C$2:$C$1960,0)),"",INDEX('Compliance Database'!$E$2:$E$1960,MATCH(803,'Transfer Engine'!$C$2:$C$1960,0)))</f>
        <v/>
      </c>
      <c r="F812" s="8">
        <f>IF(ISNA(MATCH(803,'Transfer Engine'!$C$2:$C$1960,0)),"",INDEX('Compliance Database'!$F$2:$F$1960,MATCH(803,'Transfer Engine'!$C$2:$C$1960,0)))</f>
        <v/>
      </c>
      <c r="G812" s="8">
        <f>IF(ISNA(MATCH(803,'Transfer Engine'!$C$2:$C$1960,0)),"",INDEX('Compliance Database'!$G$2:$G$1960,MATCH(803,'Transfer Engine'!$C$2:$C$1960,0)))</f>
        <v/>
      </c>
      <c r="H812" s="9">
        <f>IF(ISNA(MATCH(803,'Transfer Engine'!$C$2:$C$1960,0)),"",INDEX('Compliance Database'!$H$2:$H$1960,MATCH(803,'Transfer Engine'!$C$2:$C$1960,0)))</f>
        <v/>
      </c>
      <c r="I812" s="9">
        <f>IF(ISNA(MATCH(803,'Transfer Engine'!$C$2:$C$1960,0)),"",INDEX('Compliance Database'!$I$2:$I$1960,MATCH(803,'Transfer Engine'!$C$2:$C$1960,0)))</f>
        <v/>
      </c>
      <c r="J812" s="8">
        <f>IF(ISNA(MATCH(803,'Transfer Engine'!$C$2:$C$1960,0)),"",INDEX('Compliance Database'!$J$2:$J$1960,MATCH(803,'Transfer Engine'!$C$2:$C$1960,0)))</f>
        <v/>
      </c>
      <c r="K812" s="9">
        <f>IF(ISNA(MATCH(803,'Transfer Engine'!$C$2:$C$1960,0)),"",INDEX('Compliance Database'!$K$2:$K$1960,MATCH(803,'Transfer Engine'!$C$2:$C$1960,0)))</f>
        <v/>
      </c>
      <c r="L812" s="9">
        <f>IF(ISNA(MATCH(803,'Transfer Engine'!$C$2:$C$1960,0)),"",INDEX('Compliance Database'!$L$2:$L$1960,MATCH(803,'Transfer Engine'!$C$2:$C$1960,0)))</f>
        <v/>
      </c>
      <c r="M812" s="9">
        <f>IF(ISNA(MATCH(803,'Transfer Engine'!$C$2:$C$1960,0)),"",INDEX('Compliance Database'!$M$2:$M$1960,MATCH(803,'Transfer Engine'!$C$2:$C$1960,0)))</f>
        <v/>
      </c>
      <c r="N812" s="9">
        <f>IF(ISNA(MATCH(803,'Transfer Engine'!$C$2:$C$1960,0)),"",INDEX('Compliance Database'!$N$2:$N$1960,MATCH(803,'Transfer Engine'!$C$2:$C$1960,0)))</f>
        <v/>
      </c>
      <c r="O812" s="9">
        <f>IF(ISNA(MATCH(803,'Transfer Engine'!$C$2:$C$1960,0)),"",INDEX('Compliance Database'!$O$2:$O$1960,MATCH(803,'Transfer Engine'!$C$2:$C$1960,0)))</f>
        <v/>
      </c>
      <c r="P812" s="8">
        <f>IF(ISNA(MATCH(803,'Transfer Engine'!$C$2:$C$1960,0)),"",HYPERLINK("#Acts!A"&amp;INDEX('Compliance Database'!$P$2:$P$1960,MATCH(803,'Transfer Engine'!$C$2:$C$1960,0)),"Go to Act"))</f>
        <v/>
      </c>
    </row>
    <row r="813" ht="158" customHeight="1">
      <c r="A813" s="8">
        <f>IF(ISNA(MATCH(804,'Transfer Engine'!$C$2:$C$1960,0)),"",INDEX('Compliance Database'!$A$2:$A$1960,MATCH(804,'Transfer Engine'!$C$2:$C$1960,0)))</f>
        <v/>
      </c>
      <c r="B813" s="8">
        <f>IF(ISNA(MATCH(804,'Transfer Engine'!$C$2:$C$1960,0)),"",INDEX('Compliance Database'!$B$2:$B$1960,MATCH(804,'Transfer Engine'!$C$2:$C$1960,0)))</f>
        <v/>
      </c>
      <c r="C813" s="8">
        <f>IF(ISNA(MATCH(804,'Transfer Engine'!$C$2:$C$1960,0)),"",INDEX('Compliance Database'!$C$2:$C$1960,MATCH(804,'Transfer Engine'!$C$2:$C$1960,0)))</f>
        <v/>
      </c>
      <c r="D813" s="9">
        <f>IF(ISNA(MATCH(804,'Transfer Engine'!$C$2:$C$1960,0)),"",INDEX('Compliance Database'!$D$2:$D$1960,MATCH(804,'Transfer Engine'!$C$2:$C$1960,0)))</f>
        <v/>
      </c>
      <c r="E813" s="8">
        <f>IF(ISNA(MATCH(804,'Transfer Engine'!$C$2:$C$1960,0)),"",INDEX('Compliance Database'!$E$2:$E$1960,MATCH(804,'Transfer Engine'!$C$2:$C$1960,0)))</f>
        <v/>
      </c>
      <c r="F813" s="8">
        <f>IF(ISNA(MATCH(804,'Transfer Engine'!$C$2:$C$1960,0)),"",INDEX('Compliance Database'!$F$2:$F$1960,MATCH(804,'Transfer Engine'!$C$2:$C$1960,0)))</f>
        <v/>
      </c>
      <c r="G813" s="8">
        <f>IF(ISNA(MATCH(804,'Transfer Engine'!$C$2:$C$1960,0)),"",INDEX('Compliance Database'!$G$2:$G$1960,MATCH(804,'Transfer Engine'!$C$2:$C$1960,0)))</f>
        <v/>
      </c>
      <c r="H813" s="9">
        <f>IF(ISNA(MATCH(804,'Transfer Engine'!$C$2:$C$1960,0)),"",INDEX('Compliance Database'!$H$2:$H$1960,MATCH(804,'Transfer Engine'!$C$2:$C$1960,0)))</f>
        <v/>
      </c>
      <c r="I813" s="9">
        <f>IF(ISNA(MATCH(804,'Transfer Engine'!$C$2:$C$1960,0)),"",INDEX('Compliance Database'!$I$2:$I$1960,MATCH(804,'Transfer Engine'!$C$2:$C$1960,0)))</f>
        <v/>
      </c>
      <c r="J813" s="8">
        <f>IF(ISNA(MATCH(804,'Transfer Engine'!$C$2:$C$1960,0)),"",INDEX('Compliance Database'!$J$2:$J$1960,MATCH(804,'Transfer Engine'!$C$2:$C$1960,0)))</f>
        <v/>
      </c>
      <c r="K813" s="9">
        <f>IF(ISNA(MATCH(804,'Transfer Engine'!$C$2:$C$1960,0)),"",INDEX('Compliance Database'!$K$2:$K$1960,MATCH(804,'Transfer Engine'!$C$2:$C$1960,0)))</f>
        <v/>
      </c>
      <c r="L813" s="9">
        <f>IF(ISNA(MATCH(804,'Transfer Engine'!$C$2:$C$1960,0)),"",INDEX('Compliance Database'!$L$2:$L$1960,MATCH(804,'Transfer Engine'!$C$2:$C$1960,0)))</f>
        <v/>
      </c>
      <c r="M813" s="9">
        <f>IF(ISNA(MATCH(804,'Transfer Engine'!$C$2:$C$1960,0)),"",INDEX('Compliance Database'!$M$2:$M$1960,MATCH(804,'Transfer Engine'!$C$2:$C$1960,0)))</f>
        <v/>
      </c>
      <c r="N813" s="9">
        <f>IF(ISNA(MATCH(804,'Transfer Engine'!$C$2:$C$1960,0)),"",INDEX('Compliance Database'!$N$2:$N$1960,MATCH(804,'Transfer Engine'!$C$2:$C$1960,0)))</f>
        <v/>
      </c>
      <c r="O813" s="9">
        <f>IF(ISNA(MATCH(804,'Transfer Engine'!$C$2:$C$1960,0)),"",INDEX('Compliance Database'!$O$2:$O$1960,MATCH(804,'Transfer Engine'!$C$2:$C$1960,0)))</f>
        <v/>
      </c>
      <c r="P813" s="8">
        <f>IF(ISNA(MATCH(804,'Transfer Engine'!$C$2:$C$1960,0)),"",HYPERLINK("#Acts!A"&amp;INDEX('Compliance Database'!$P$2:$P$1960,MATCH(804,'Transfer Engine'!$C$2:$C$1960,0)),"Go to Act"))</f>
        <v/>
      </c>
    </row>
    <row r="814" ht="158" customHeight="1">
      <c r="A814" s="8">
        <f>IF(ISNA(MATCH(805,'Transfer Engine'!$C$2:$C$1960,0)),"",INDEX('Compliance Database'!$A$2:$A$1960,MATCH(805,'Transfer Engine'!$C$2:$C$1960,0)))</f>
        <v/>
      </c>
      <c r="B814" s="8">
        <f>IF(ISNA(MATCH(805,'Transfer Engine'!$C$2:$C$1960,0)),"",INDEX('Compliance Database'!$B$2:$B$1960,MATCH(805,'Transfer Engine'!$C$2:$C$1960,0)))</f>
        <v/>
      </c>
      <c r="C814" s="8">
        <f>IF(ISNA(MATCH(805,'Transfer Engine'!$C$2:$C$1960,0)),"",INDEX('Compliance Database'!$C$2:$C$1960,MATCH(805,'Transfer Engine'!$C$2:$C$1960,0)))</f>
        <v/>
      </c>
      <c r="D814" s="9">
        <f>IF(ISNA(MATCH(805,'Transfer Engine'!$C$2:$C$1960,0)),"",INDEX('Compliance Database'!$D$2:$D$1960,MATCH(805,'Transfer Engine'!$C$2:$C$1960,0)))</f>
        <v/>
      </c>
      <c r="E814" s="8">
        <f>IF(ISNA(MATCH(805,'Transfer Engine'!$C$2:$C$1960,0)),"",INDEX('Compliance Database'!$E$2:$E$1960,MATCH(805,'Transfer Engine'!$C$2:$C$1960,0)))</f>
        <v/>
      </c>
      <c r="F814" s="8">
        <f>IF(ISNA(MATCH(805,'Transfer Engine'!$C$2:$C$1960,0)),"",INDEX('Compliance Database'!$F$2:$F$1960,MATCH(805,'Transfer Engine'!$C$2:$C$1960,0)))</f>
        <v/>
      </c>
      <c r="G814" s="8">
        <f>IF(ISNA(MATCH(805,'Transfer Engine'!$C$2:$C$1960,0)),"",INDEX('Compliance Database'!$G$2:$G$1960,MATCH(805,'Transfer Engine'!$C$2:$C$1960,0)))</f>
        <v/>
      </c>
      <c r="H814" s="9">
        <f>IF(ISNA(MATCH(805,'Transfer Engine'!$C$2:$C$1960,0)),"",INDEX('Compliance Database'!$H$2:$H$1960,MATCH(805,'Transfer Engine'!$C$2:$C$1960,0)))</f>
        <v/>
      </c>
      <c r="I814" s="9">
        <f>IF(ISNA(MATCH(805,'Transfer Engine'!$C$2:$C$1960,0)),"",INDEX('Compliance Database'!$I$2:$I$1960,MATCH(805,'Transfer Engine'!$C$2:$C$1960,0)))</f>
        <v/>
      </c>
      <c r="J814" s="8">
        <f>IF(ISNA(MATCH(805,'Transfer Engine'!$C$2:$C$1960,0)),"",INDEX('Compliance Database'!$J$2:$J$1960,MATCH(805,'Transfer Engine'!$C$2:$C$1960,0)))</f>
        <v/>
      </c>
      <c r="K814" s="9">
        <f>IF(ISNA(MATCH(805,'Transfer Engine'!$C$2:$C$1960,0)),"",INDEX('Compliance Database'!$K$2:$K$1960,MATCH(805,'Transfer Engine'!$C$2:$C$1960,0)))</f>
        <v/>
      </c>
      <c r="L814" s="9">
        <f>IF(ISNA(MATCH(805,'Transfer Engine'!$C$2:$C$1960,0)),"",INDEX('Compliance Database'!$L$2:$L$1960,MATCH(805,'Transfer Engine'!$C$2:$C$1960,0)))</f>
        <v/>
      </c>
      <c r="M814" s="9">
        <f>IF(ISNA(MATCH(805,'Transfer Engine'!$C$2:$C$1960,0)),"",INDEX('Compliance Database'!$M$2:$M$1960,MATCH(805,'Transfer Engine'!$C$2:$C$1960,0)))</f>
        <v/>
      </c>
      <c r="N814" s="9">
        <f>IF(ISNA(MATCH(805,'Transfer Engine'!$C$2:$C$1960,0)),"",INDEX('Compliance Database'!$N$2:$N$1960,MATCH(805,'Transfer Engine'!$C$2:$C$1960,0)))</f>
        <v/>
      </c>
      <c r="O814" s="9">
        <f>IF(ISNA(MATCH(805,'Transfer Engine'!$C$2:$C$1960,0)),"",INDEX('Compliance Database'!$O$2:$O$1960,MATCH(805,'Transfer Engine'!$C$2:$C$1960,0)))</f>
        <v/>
      </c>
      <c r="P814" s="8">
        <f>IF(ISNA(MATCH(805,'Transfer Engine'!$C$2:$C$1960,0)),"",HYPERLINK("#Acts!A"&amp;INDEX('Compliance Database'!$P$2:$P$1960,MATCH(805,'Transfer Engine'!$C$2:$C$1960,0)),"Go to Act"))</f>
        <v/>
      </c>
    </row>
    <row r="815" ht="158" customHeight="1">
      <c r="A815" s="8">
        <f>IF(ISNA(MATCH(806,'Transfer Engine'!$C$2:$C$1960,0)),"",INDEX('Compliance Database'!$A$2:$A$1960,MATCH(806,'Transfer Engine'!$C$2:$C$1960,0)))</f>
        <v/>
      </c>
      <c r="B815" s="8">
        <f>IF(ISNA(MATCH(806,'Transfer Engine'!$C$2:$C$1960,0)),"",INDEX('Compliance Database'!$B$2:$B$1960,MATCH(806,'Transfer Engine'!$C$2:$C$1960,0)))</f>
        <v/>
      </c>
      <c r="C815" s="8">
        <f>IF(ISNA(MATCH(806,'Transfer Engine'!$C$2:$C$1960,0)),"",INDEX('Compliance Database'!$C$2:$C$1960,MATCH(806,'Transfer Engine'!$C$2:$C$1960,0)))</f>
        <v/>
      </c>
      <c r="D815" s="9">
        <f>IF(ISNA(MATCH(806,'Transfer Engine'!$C$2:$C$1960,0)),"",INDEX('Compliance Database'!$D$2:$D$1960,MATCH(806,'Transfer Engine'!$C$2:$C$1960,0)))</f>
        <v/>
      </c>
      <c r="E815" s="8">
        <f>IF(ISNA(MATCH(806,'Transfer Engine'!$C$2:$C$1960,0)),"",INDEX('Compliance Database'!$E$2:$E$1960,MATCH(806,'Transfer Engine'!$C$2:$C$1960,0)))</f>
        <v/>
      </c>
      <c r="F815" s="8">
        <f>IF(ISNA(MATCH(806,'Transfer Engine'!$C$2:$C$1960,0)),"",INDEX('Compliance Database'!$F$2:$F$1960,MATCH(806,'Transfer Engine'!$C$2:$C$1960,0)))</f>
        <v/>
      </c>
      <c r="G815" s="8">
        <f>IF(ISNA(MATCH(806,'Transfer Engine'!$C$2:$C$1960,0)),"",INDEX('Compliance Database'!$G$2:$G$1960,MATCH(806,'Transfer Engine'!$C$2:$C$1960,0)))</f>
        <v/>
      </c>
      <c r="H815" s="9">
        <f>IF(ISNA(MATCH(806,'Transfer Engine'!$C$2:$C$1960,0)),"",INDEX('Compliance Database'!$H$2:$H$1960,MATCH(806,'Transfer Engine'!$C$2:$C$1960,0)))</f>
        <v/>
      </c>
      <c r="I815" s="9">
        <f>IF(ISNA(MATCH(806,'Transfer Engine'!$C$2:$C$1960,0)),"",INDEX('Compliance Database'!$I$2:$I$1960,MATCH(806,'Transfer Engine'!$C$2:$C$1960,0)))</f>
        <v/>
      </c>
      <c r="J815" s="8">
        <f>IF(ISNA(MATCH(806,'Transfer Engine'!$C$2:$C$1960,0)),"",INDEX('Compliance Database'!$J$2:$J$1960,MATCH(806,'Transfer Engine'!$C$2:$C$1960,0)))</f>
        <v/>
      </c>
      <c r="K815" s="9">
        <f>IF(ISNA(MATCH(806,'Transfer Engine'!$C$2:$C$1960,0)),"",INDEX('Compliance Database'!$K$2:$K$1960,MATCH(806,'Transfer Engine'!$C$2:$C$1960,0)))</f>
        <v/>
      </c>
      <c r="L815" s="9">
        <f>IF(ISNA(MATCH(806,'Transfer Engine'!$C$2:$C$1960,0)),"",INDEX('Compliance Database'!$L$2:$L$1960,MATCH(806,'Transfer Engine'!$C$2:$C$1960,0)))</f>
        <v/>
      </c>
      <c r="M815" s="9">
        <f>IF(ISNA(MATCH(806,'Transfer Engine'!$C$2:$C$1960,0)),"",INDEX('Compliance Database'!$M$2:$M$1960,MATCH(806,'Transfer Engine'!$C$2:$C$1960,0)))</f>
        <v/>
      </c>
      <c r="N815" s="9">
        <f>IF(ISNA(MATCH(806,'Transfer Engine'!$C$2:$C$1960,0)),"",INDEX('Compliance Database'!$N$2:$N$1960,MATCH(806,'Transfer Engine'!$C$2:$C$1960,0)))</f>
        <v/>
      </c>
      <c r="O815" s="9">
        <f>IF(ISNA(MATCH(806,'Transfer Engine'!$C$2:$C$1960,0)),"",INDEX('Compliance Database'!$O$2:$O$1960,MATCH(806,'Transfer Engine'!$C$2:$C$1960,0)))</f>
        <v/>
      </c>
      <c r="P815" s="8">
        <f>IF(ISNA(MATCH(806,'Transfer Engine'!$C$2:$C$1960,0)),"",HYPERLINK("#Acts!A"&amp;INDEX('Compliance Database'!$P$2:$P$1960,MATCH(806,'Transfer Engine'!$C$2:$C$1960,0)),"Go to Act"))</f>
        <v/>
      </c>
    </row>
    <row r="816" ht="158" customHeight="1">
      <c r="A816" s="8">
        <f>IF(ISNA(MATCH(807,'Transfer Engine'!$C$2:$C$1960,0)),"",INDEX('Compliance Database'!$A$2:$A$1960,MATCH(807,'Transfer Engine'!$C$2:$C$1960,0)))</f>
        <v/>
      </c>
      <c r="B816" s="8">
        <f>IF(ISNA(MATCH(807,'Transfer Engine'!$C$2:$C$1960,0)),"",INDEX('Compliance Database'!$B$2:$B$1960,MATCH(807,'Transfer Engine'!$C$2:$C$1960,0)))</f>
        <v/>
      </c>
      <c r="C816" s="8">
        <f>IF(ISNA(MATCH(807,'Transfer Engine'!$C$2:$C$1960,0)),"",INDEX('Compliance Database'!$C$2:$C$1960,MATCH(807,'Transfer Engine'!$C$2:$C$1960,0)))</f>
        <v/>
      </c>
      <c r="D816" s="9">
        <f>IF(ISNA(MATCH(807,'Transfer Engine'!$C$2:$C$1960,0)),"",INDEX('Compliance Database'!$D$2:$D$1960,MATCH(807,'Transfer Engine'!$C$2:$C$1960,0)))</f>
        <v/>
      </c>
      <c r="E816" s="8">
        <f>IF(ISNA(MATCH(807,'Transfer Engine'!$C$2:$C$1960,0)),"",INDEX('Compliance Database'!$E$2:$E$1960,MATCH(807,'Transfer Engine'!$C$2:$C$1960,0)))</f>
        <v/>
      </c>
      <c r="F816" s="8">
        <f>IF(ISNA(MATCH(807,'Transfer Engine'!$C$2:$C$1960,0)),"",INDEX('Compliance Database'!$F$2:$F$1960,MATCH(807,'Transfer Engine'!$C$2:$C$1960,0)))</f>
        <v/>
      </c>
      <c r="G816" s="8">
        <f>IF(ISNA(MATCH(807,'Transfer Engine'!$C$2:$C$1960,0)),"",INDEX('Compliance Database'!$G$2:$G$1960,MATCH(807,'Transfer Engine'!$C$2:$C$1960,0)))</f>
        <v/>
      </c>
      <c r="H816" s="9">
        <f>IF(ISNA(MATCH(807,'Transfer Engine'!$C$2:$C$1960,0)),"",INDEX('Compliance Database'!$H$2:$H$1960,MATCH(807,'Transfer Engine'!$C$2:$C$1960,0)))</f>
        <v/>
      </c>
      <c r="I816" s="9">
        <f>IF(ISNA(MATCH(807,'Transfer Engine'!$C$2:$C$1960,0)),"",INDEX('Compliance Database'!$I$2:$I$1960,MATCH(807,'Transfer Engine'!$C$2:$C$1960,0)))</f>
        <v/>
      </c>
      <c r="J816" s="8">
        <f>IF(ISNA(MATCH(807,'Transfer Engine'!$C$2:$C$1960,0)),"",INDEX('Compliance Database'!$J$2:$J$1960,MATCH(807,'Transfer Engine'!$C$2:$C$1960,0)))</f>
        <v/>
      </c>
      <c r="K816" s="9">
        <f>IF(ISNA(MATCH(807,'Transfer Engine'!$C$2:$C$1960,0)),"",INDEX('Compliance Database'!$K$2:$K$1960,MATCH(807,'Transfer Engine'!$C$2:$C$1960,0)))</f>
        <v/>
      </c>
      <c r="L816" s="9">
        <f>IF(ISNA(MATCH(807,'Transfer Engine'!$C$2:$C$1960,0)),"",INDEX('Compliance Database'!$L$2:$L$1960,MATCH(807,'Transfer Engine'!$C$2:$C$1960,0)))</f>
        <v/>
      </c>
      <c r="M816" s="9">
        <f>IF(ISNA(MATCH(807,'Transfer Engine'!$C$2:$C$1960,0)),"",INDEX('Compliance Database'!$M$2:$M$1960,MATCH(807,'Transfer Engine'!$C$2:$C$1960,0)))</f>
        <v/>
      </c>
      <c r="N816" s="9">
        <f>IF(ISNA(MATCH(807,'Transfer Engine'!$C$2:$C$1960,0)),"",INDEX('Compliance Database'!$N$2:$N$1960,MATCH(807,'Transfer Engine'!$C$2:$C$1960,0)))</f>
        <v/>
      </c>
      <c r="O816" s="9">
        <f>IF(ISNA(MATCH(807,'Transfer Engine'!$C$2:$C$1960,0)),"",INDEX('Compliance Database'!$O$2:$O$1960,MATCH(807,'Transfer Engine'!$C$2:$C$1960,0)))</f>
        <v/>
      </c>
      <c r="P816" s="8">
        <f>IF(ISNA(MATCH(807,'Transfer Engine'!$C$2:$C$1960,0)),"",HYPERLINK("#Acts!A"&amp;INDEX('Compliance Database'!$P$2:$P$1960,MATCH(807,'Transfer Engine'!$C$2:$C$1960,0)),"Go to Act"))</f>
        <v/>
      </c>
    </row>
    <row r="817" ht="158" customHeight="1">
      <c r="A817" s="8">
        <f>IF(ISNA(MATCH(808,'Transfer Engine'!$C$2:$C$1960,0)),"",INDEX('Compliance Database'!$A$2:$A$1960,MATCH(808,'Transfer Engine'!$C$2:$C$1960,0)))</f>
        <v/>
      </c>
      <c r="B817" s="8">
        <f>IF(ISNA(MATCH(808,'Transfer Engine'!$C$2:$C$1960,0)),"",INDEX('Compliance Database'!$B$2:$B$1960,MATCH(808,'Transfer Engine'!$C$2:$C$1960,0)))</f>
        <v/>
      </c>
      <c r="C817" s="8">
        <f>IF(ISNA(MATCH(808,'Transfer Engine'!$C$2:$C$1960,0)),"",INDEX('Compliance Database'!$C$2:$C$1960,MATCH(808,'Transfer Engine'!$C$2:$C$1960,0)))</f>
        <v/>
      </c>
      <c r="D817" s="9">
        <f>IF(ISNA(MATCH(808,'Transfer Engine'!$C$2:$C$1960,0)),"",INDEX('Compliance Database'!$D$2:$D$1960,MATCH(808,'Transfer Engine'!$C$2:$C$1960,0)))</f>
        <v/>
      </c>
      <c r="E817" s="8">
        <f>IF(ISNA(MATCH(808,'Transfer Engine'!$C$2:$C$1960,0)),"",INDEX('Compliance Database'!$E$2:$E$1960,MATCH(808,'Transfer Engine'!$C$2:$C$1960,0)))</f>
        <v/>
      </c>
      <c r="F817" s="8">
        <f>IF(ISNA(MATCH(808,'Transfer Engine'!$C$2:$C$1960,0)),"",INDEX('Compliance Database'!$F$2:$F$1960,MATCH(808,'Transfer Engine'!$C$2:$C$1960,0)))</f>
        <v/>
      </c>
      <c r="G817" s="8">
        <f>IF(ISNA(MATCH(808,'Transfer Engine'!$C$2:$C$1960,0)),"",INDEX('Compliance Database'!$G$2:$G$1960,MATCH(808,'Transfer Engine'!$C$2:$C$1960,0)))</f>
        <v/>
      </c>
      <c r="H817" s="9">
        <f>IF(ISNA(MATCH(808,'Transfer Engine'!$C$2:$C$1960,0)),"",INDEX('Compliance Database'!$H$2:$H$1960,MATCH(808,'Transfer Engine'!$C$2:$C$1960,0)))</f>
        <v/>
      </c>
      <c r="I817" s="9">
        <f>IF(ISNA(MATCH(808,'Transfer Engine'!$C$2:$C$1960,0)),"",INDEX('Compliance Database'!$I$2:$I$1960,MATCH(808,'Transfer Engine'!$C$2:$C$1960,0)))</f>
        <v/>
      </c>
      <c r="J817" s="8">
        <f>IF(ISNA(MATCH(808,'Transfer Engine'!$C$2:$C$1960,0)),"",INDEX('Compliance Database'!$J$2:$J$1960,MATCH(808,'Transfer Engine'!$C$2:$C$1960,0)))</f>
        <v/>
      </c>
      <c r="K817" s="9">
        <f>IF(ISNA(MATCH(808,'Transfer Engine'!$C$2:$C$1960,0)),"",INDEX('Compliance Database'!$K$2:$K$1960,MATCH(808,'Transfer Engine'!$C$2:$C$1960,0)))</f>
        <v/>
      </c>
      <c r="L817" s="9">
        <f>IF(ISNA(MATCH(808,'Transfer Engine'!$C$2:$C$1960,0)),"",INDEX('Compliance Database'!$L$2:$L$1960,MATCH(808,'Transfer Engine'!$C$2:$C$1960,0)))</f>
        <v/>
      </c>
      <c r="M817" s="9">
        <f>IF(ISNA(MATCH(808,'Transfer Engine'!$C$2:$C$1960,0)),"",INDEX('Compliance Database'!$M$2:$M$1960,MATCH(808,'Transfer Engine'!$C$2:$C$1960,0)))</f>
        <v/>
      </c>
      <c r="N817" s="9">
        <f>IF(ISNA(MATCH(808,'Transfer Engine'!$C$2:$C$1960,0)),"",INDEX('Compliance Database'!$N$2:$N$1960,MATCH(808,'Transfer Engine'!$C$2:$C$1960,0)))</f>
        <v/>
      </c>
      <c r="O817" s="9">
        <f>IF(ISNA(MATCH(808,'Transfer Engine'!$C$2:$C$1960,0)),"",INDEX('Compliance Database'!$O$2:$O$1960,MATCH(808,'Transfer Engine'!$C$2:$C$1960,0)))</f>
        <v/>
      </c>
      <c r="P817" s="8">
        <f>IF(ISNA(MATCH(808,'Transfer Engine'!$C$2:$C$1960,0)),"",HYPERLINK("#Acts!A"&amp;INDEX('Compliance Database'!$P$2:$P$1960,MATCH(808,'Transfer Engine'!$C$2:$C$1960,0)),"Go to Act"))</f>
        <v/>
      </c>
    </row>
    <row r="818" ht="158" customHeight="1">
      <c r="A818" s="8">
        <f>IF(ISNA(MATCH(809,'Transfer Engine'!$C$2:$C$1960,0)),"",INDEX('Compliance Database'!$A$2:$A$1960,MATCH(809,'Transfer Engine'!$C$2:$C$1960,0)))</f>
        <v/>
      </c>
      <c r="B818" s="8">
        <f>IF(ISNA(MATCH(809,'Transfer Engine'!$C$2:$C$1960,0)),"",INDEX('Compliance Database'!$B$2:$B$1960,MATCH(809,'Transfer Engine'!$C$2:$C$1960,0)))</f>
        <v/>
      </c>
      <c r="C818" s="8">
        <f>IF(ISNA(MATCH(809,'Transfer Engine'!$C$2:$C$1960,0)),"",INDEX('Compliance Database'!$C$2:$C$1960,MATCH(809,'Transfer Engine'!$C$2:$C$1960,0)))</f>
        <v/>
      </c>
      <c r="D818" s="9">
        <f>IF(ISNA(MATCH(809,'Transfer Engine'!$C$2:$C$1960,0)),"",INDEX('Compliance Database'!$D$2:$D$1960,MATCH(809,'Transfer Engine'!$C$2:$C$1960,0)))</f>
        <v/>
      </c>
      <c r="E818" s="8">
        <f>IF(ISNA(MATCH(809,'Transfer Engine'!$C$2:$C$1960,0)),"",INDEX('Compliance Database'!$E$2:$E$1960,MATCH(809,'Transfer Engine'!$C$2:$C$1960,0)))</f>
        <v/>
      </c>
      <c r="F818" s="8">
        <f>IF(ISNA(MATCH(809,'Transfer Engine'!$C$2:$C$1960,0)),"",INDEX('Compliance Database'!$F$2:$F$1960,MATCH(809,'Transfer Engine'!$C$2:$C$1960,0)))</f>
        <v/>
      </c>
      <c r="G818" s="8">
        <f>IF(ISNA(MATCH(809,'Transfer Engine'!$C$2:$C$1960,0)),"",INDEX('Compliance Database'!$G$2:$G$1960,MATCH(809,'Transfer Engine'!$C$2:$C$1960,0)))</f>
        <v/>
      </c>
      <c r="H818" s="9">
        <f>IF(ISNA(MATCH(809,'Transfer Engine'!$C$2:$C$1960,0)),"",INDEX('Compliance Database'!$H$2:$H$1960,MATCH(809,'Transfer Engine'!$C$2:$C$1960,0)))</f>
        <v/>
      </c>
      <c r="I818" s="9">
        <f>IF(ISNA(MATCH(809,'Transfer Engine'!$C$2:$C$1960,0)),"",INDEX('Compliance Database'!$I$2:$I$1960,MATCH(809,'Transfer Engine'!$C$2:$C$1960,0)))</f>
        <v/>
      </c>
      <c r="J818" s="8">
        <f>IF(ISNA(MATCH(809,'Transfer Engine'!$C$2:$C$1960,0)),"",INDEX('Compliance Database'!$J$2:$J$1960,MATCH(809,'Transfer Engine'!$C$2:$C$1960,0)))</f>
        <v/>
      </c>
      <c r="K818" s="9">
        <f>IF(ISNA(MATCH(809,'Transfer Engine'!$C$2:$C$1960,0)),"",INDEX('Compliance Database'!$K$2:$K$1960,MATCH(809,'Transfer Engine'!$C$2:$C$1960,0)))</f>
        <v/>
      </c>
      <c r="L818" s="9">
        <f>IF(ISNA(MATCH(809,'Transfer Engine'!$C$2:$C$1960,0)),"",INDEX('Compliance Database'!$L$2:$L$1960,MATCH(809,'Transfer Engine'!$C$2:$C$1960,0)))</f>
        <v/>
      </c>
      <c r="M818" s="9">
        <f>IF(ISNA(MATCH(809,'Transfer Engine'!$C$2:$C$1960,0)),"",INDEX('Compliance Database'!$M$2:$M$1960,MATCH(809,'Transfer Engine'!$C$2:$C$1960,0)))</f>
        <v/>
      </c>
      <c r="N818" s="9">
        <f>IF(ISNA(MATCH(809,'Transfer Engine'!$C$2:$C$1960,0)),"",INDEX('Compliance Database'!$N$2:$N$1960,MATCH(809,'Transfer Engine'!$C$2:$C$1960,0)))</f>
        <v/>
      </c>
      <c r="O818" s="9">
        <f>IF(ISNA(MATCH(809,'Transfer Engine'!$C$2:$C$1960,0)),"",INDEX('Compliance Database'!$O$2:$O$1960,MATCH(809,'Transfer Engine'!$C$2:$C$1960,0)))</f>
        <v/>
      </c>
      <c r="P818" s="8">
        <f>IF(ISNA(MATCH(809,'Transfer Engine'!$C$2:$C$1960,0)),"",HYPERLINK("#Acts!A"&amp;INDEX('Compliance Database'!$P$2:$P$1960,MATCH(809,'Transfer Engine'!$C$2:$C$1960,0)),"Go to Act"))</f>
        <v/>
      </c>
    </row>
    <row r="819" ht="158" customHeight="1">
      <c r="A819" s="8">
        <f>IF(ISNA(MATCH(810,'Transfer Engine'!$C$2:$C$1960,0)),"",INDEX('Compliance Database'!$A$2:$A$1960,MATCH(810,'Transfer Engine'!$C$2:$C$1960,0)))</f>
        <v/>
      </c>
      <c r="B819" s="8">
        <f>IF(ISNA(MATCH(810,'Transfer Engine'!$C$2:$C$1960,0)),"",INDEX('Compliance Database'!$B$2:$B$1960,MATCH(810,'Transfer Engine'!$C$2:$C$1960,0)))</f>
        <v/>
      </c>
      <c r="C819" s="8">
        <f>IF(ISNA(MATCH(810,'Transfer Engine'!$C$2:$C$1960,0)),"",INDEX('Compliance Database'!$C$2:$C$1960,MATCH(810,'Transfer Engine'!$C$2:$C$1960,0)))</f>
        <v/>
      </c>
      <c r="D819" s="9">
        <f>IF(ISNA(MATCH(810,'Transfer Engine'!$C$2:$C$1960,0)),"",INDEX('Compliance Database'!$D$2:$D$1960,MATCH(810,'Transfer Engine'!$C$2:$C$1960,0)))</f>
        <v/>
      </c>
      <c r="E819" s="8">
        <f>IF(ISNA(MATCH(810,'Transfer Engine'!$C$2:$C$1960,0)),"",INDEX('Compliance Database'!$E$2:$E$1960,MATCH(810,'Transfer Engine'!$C$2:$C$1960,0)))</f>
        <v/>
      </c>
      <c r="F819" s="8">
        <f>IF(ISNA(MATCH(810,'Transfer Engine'!$C$2:$C$1960,0)),"",INDEX('Compliance Database'!$F$2:$F$1960,MATCH(810,'Transfer Engine'!$C$2:$C$1960,0)))</f>
        <v/>
      </c>
      <c r="G819" s="8">
        <f>IF(ISNA(MATCH(810,'Transfer Engine'!$C$2:$C$1960,0)),"",INDEX('Compliance Database'!$G$2:$G$1960,MATCH(810,'Transfer Engine'!$C$2:$C$1960,0)))</f>
        <v/>
      </c>
      <c r="H819" s="9">
        <f>IF(ISNA(MATCH(810,'Transfer Engine'!$C$2:$C$1960,0)),"",INDEX('Compliance Database'!$H$2:$H$1960,MATCH(810,'Transfer Engine'!$C$2:$C$1960,0)))</f>
        <v/>
      </c>
      <c r="I819" s="9">
        <f>IF(ISNA(MATCH(810,'Transfer Engine'!$C$2:$C$1960,0)),"",INDEX('Compliance Database'!$I$2:$I$1960,MATCH(810,'Transfer Engine'!$C$2:$C$1960,0)))</f>
        <v/>
      </c>
      <c r="J819" s="8">
        <f>IF(ISNA(MATCH(810,'Transfer Engine'!$C$2:$C$1960,0)),"",INDEX('Compliance Database'!$J$2:$J$1960,MATCH(810,'Transfer Engine'!$C$2:$C$1960,0)))</f>
        <v/>
      </c>
      <c r="K819" s="9">
        <f>IF(ISNA(MATCH(810,'Transfer Engine'!$C$2:$C$1960,0)),"",INDEX('Compliance Database'!$K$2:$K$1960,MATCH(810,'Transfer Engine'!$C$2:$C$1960,0)))</f>
        <v/>
      </c>
      <c r="L819" s="9">
        <f>IF(ISNA(MATCH(810,'Transfer Engine'!$C$2:$C$1960,0)),"",INDEX('Compliance Database'!$L$2:$L$1960,MATCH(810,'Transfer Engine'!$C$2:$C$1960,0)))</f>
        <v/>
      </c>
      <c r="M819" s="9">
        <f>IF(ISNA(MATCH(810,'Transfer Engine'!$C$2:$C$1960,0)),"",INDEX('Compliance Database'!$M$2:$M$1960,MATCH(810,'Transfer Engine'!$C$2:$C$1960,0)))</f>
        <v/>
      </c>
      <c r="N819" s="9">
        <f>IF(ISNA(MATCH(810,'Transfer Engine'!$C$2:$C$1960,0)),"",INDEX('Compliance Database'!$N$2:$N$1960,MATCH(810,'Transfer Engine'!$C$2:$C$1960,0)))</f>
        <v/>
      </c>
      <c r="O819" s="9">
        <f>IF(ISNA(MATCH(810,'Transfer Engine'!$C$2:$C$1960,0)),"",INDEX('Compliance Database'!$O$2:$O$1960,MATCH(810,'Transfer Engine'!$C$2:$C$1960,0)))</f>
        <v/>
      </c>
      <c r="P819" s="8">
        <f>IF(ISNA(MATCH(810,'Transfer Engine'!$C$2:$C$1960,0)),"",HYPERLINK("#Acts!A"&amp;INDEX('Compliance Database'!$P$2:$P$1960,MATCH(810,'Transfer Engine'!$C$2:$C$1960,0)),"Go to Act"))</f>
        <v/>
      </c>
    </row>
    <row r="820" ht="158" customHeight="1">
      <c r="A820" s="8">
        <f>IF(ISNA(MATCH(811,'Transfer Engine'!$C$2:$C$1960,0)),"",INDEX('Compliance Database'!$A$2:$A$1960,MATCH(811,'Transfer Engine'!$C$2:$C$1960,0)))</f>
        <v/>
      </c>
      <c r="B820" s="8">
        <f>IF(ISNA(MATCH(811,'Transfer Engine'!$C$2:$C$1960,0)),"",INDEX('Compliance Database'!$B$2:$B$1960,MATCH(811,'Transfer Engine'!$C$2:$C$1960,0)))</f>
        <v/>
      </c>
      <c r="C820" s="8">
        <f>IF(ISNA(MATCH(811,'Transfer Engine'!$C$2:$C$1960,0)),"",INDEX('Compliance Database'!$C$2:$C$1960,MATCH(811,'Transfer Engine'!$C$2:$C$1960,0)))</f>
        <v/>
      </c>
      <c r="D820" s="9">
        <f>IF(ISNA(MATCH(811,'Transfer Engine'!$C$2:$C$1960,0)),"",INDEX('Compliance Database'!$D$2:$D$1960,MATCH(811,'Transfer Engine'!$C$2:$C$1960,0)))</f>
        <v/>
      </c>
      <c r="E820" s="8">
        <f>IF(ISNA(MATCH(811,'Transfer Engine'!$C$2:$C$1960,0)),"",INDEX('Compliance Database'!$E$2:$E$1960,MATCH(811,'Transfer Engine'!$C$2:$C$1960,0)))</f>
        <v/>
      </c>
      <c r="F820" s="8">
        <f>IF(ISNA(MATCH(811,'Transfer Engine'!$C$2:$C$1960,0)),"",INDEX('Compliance Database'!$F$2:$F$1960,MATCH(811,'Transfer Engine'!$C$2:$C$1960,0)))</f>
        <v/>
      </c>
      <c r="G820" s="8">
        <f>IF(ISNA(MATCH(811,'Transfer Engine'!$C$2:$C$1960,0)),"",INDEX('Compliance Database'!$G$2:$G$1960,MATCH(811,'Transfer Engine'!$C$2:$C$1960,0)))</f>
        <v/>
      </c>
      <c r="H820" s="9">
        <f>IF(ISNA(MATCH(811,'Transfer Engine'!$C$2:$C$1960,0)),"",INDEX('Compliance Database'!$H$2:$H$1960,MATCH(811,'Transfer Engine'!$C$2:$C$1960,0)))</f>
        <v/>
      </c>
      <c r="I820" s="9">
        <f>IF(ISNA(MATCH(811,'Transfer Engine'!$C$2:$C$1960,0)),"",INDEX('Compliance Database'!$I$2:$I$1960,MATCH(811,'Transfer Engine'!$C$2:$C$1960,0)))</f>
        <v/>
      </c>
      <c r="J820" s="8">
        <f>IF(ISNA(MATCH(811,'Transfer Engine'!$C$2:$C$1960,0)),"",INDEX('Compliance Database'!$J$2:$J$1960,MATCH(811,'Transfer Engine'!$C$2:$C$1960,0)))</f>
        <v/>
      </c>
      <c r="K820" s="9">
        <f>IF(ISNA(MATCH(811,'Transfer Engine'!$C$2:$C$1960,0)),"",INDEX('Compliance Database'!$K$2:$K$1960,MATCH(811,'Transfer Engine'!$C$2:$C$1960,0)))</f>
        <v/>
      </c>
      <c r="L820" s="9">
        <f>IF(ISNA(MATCH(811,'Transfer Engine'!$C$2:$C$1960,0)),"",INDEX('Compliance Database'!$L$2:$L$1960,MATCH(811,'Transfer Engine'!$C$2:$C$1960,0)))</f>
        <v/>
      </c>
      <c r="M820" s="9">
        <f>IF(ISNA(MATCH(811,'Transfer Engine'!$C$2:$C$1960,0)),"",INDEX('Compliance Database'!$M$2:$M$1960,MATCH(811,'Transfer Engine'!$C$2:$C$1960,0)))</f>
        <v/>
      </c>
      <c r="N820" s="9">
        <f>IF(ISNA(MATCH(811,'Transfer Engine'!$C$2:$C$1960,0)),"",INDEX('Compliance Database'!$N$2:$N$1960,MATCH(811,'Transfer Engine'!$C$2:$C$1960,0)))</f>
        <v/>
      </c>
      <c r="O820" s="9">
        <f>IF(ISNA(MATCH(811,'Transfer Engine'!$C$2:$C$1960,0)),"",INDEX('Compliance Database'!$O$2:$O$1960,MATCH(811,'Transfer Engine'!$C$2:$C$1960,0)))</f>
        <v/>
      </c>
      <c r="P820" s="8">
        <f>IF(ISNA(MATCH(811,'Transfer Engine'!$C$2:$C$1960,0)),"",HYPERLINK("#Acts!A"&amp;INDEX('Compliance Database'!$P$2:$P$1960,MATCH(811,'Transfer Engine'!$C$2:$C$1960,0)),"Go to Act"))</f>
        <v/>
      </c>
    </row>
    <row r="821" ht="158" customHeight="1">
      <c r="A821" s="8">
        <f>IF(ISNA(MATCH(812,'Transfer Engine'!$C$2:$C$1960,0)),"",INDEX('Compliance Database'!$A$2:$A$1960,MATCH(812,'Transfer Engine'!$C$2:$C$1960,0)))</f>
        <v/>
      </c>
      <c r="B821" s="8">
        <f>IF(ISNA(MATCH(812,'Transfer Engine'!$C$2:$C$1960,0)),"",INDEX('Compliance Database'!$B$2:$B$1960,MATCH(812,'Transfer Engine'!$C$2:$C$1960,0)))</f>
        <v/>
      </c>
      <c r="C821" s="8">
        <f>IF(ISNA(MATCH(812,'Transfer Engine'!$C$2:$C$1960,0)),"",INDEX('Compliance Database'!$C$2:$C$1960,MATCH(812,'Transfer Engine'!$C$2:$C$1960,0)))</f>
        <v/>
      </c>
      <c r="D821" s="9">
        <f>IF(ISNA(MATCH(812,'Transfer Engine'!$C$2:$C$1960,0)),"",INDEX('Compliance Database'!$D$2:$D$1960,MATCH(812,'Transfer Engine'!$C$2:$C$1960,0)))</f>
        <v/>
      </c>
      <c r="E821" s="8">
        <f>IF(ISNA(MATCH(812,'Transfer Engine'!$C$2:$C$1960,0)),"",INDEX('Compliance Database'!$E$2:$E$1960,MATCH(812,'Transfer Engine'!$C$2:$C$1960,0)))</f>
        <v/>
      </c>
      <c r="F821" s="8">
        <f>IF(ISNA(MATCH(812,'Transfer Engine'!$C$2:$C$1960,0)),"",INDEX('Compliance Database'!$F$2:$F$1960,MATCH(812,'Transfer Engine'!$C$2:$C$1960,0)))</f>
        <v/>
      </c>
      <c r="G821" s="8">
        <f>IF(ISNA(MATCH(812,'Transfer Engine'!$C$2:$C$1960,0)),"",INDEX('Compliance Database'!$G$2:$G$1960,MATCH(812,'Transfer Engine'!$C$2:$C$1960,0)))</f>
        <v/>
      </c>
      <c r="H821" s="9">
        <f>IF(ISNA(MATCH(812,'Transfer Engine'!$C$2:$C$1960,0)),"",INDEX('Compliance Database'!$H$2:$H$1960,MATCH(812,'Transfer Engine'!$C$2:$C$1960,0)))</f>
        <v/>
      </c>
      <c r="I821" s="9">
        <f>IF(ISNA(MATCH(812,'Transfer Engine'!$C$2:$C$1960,0)),"",INDEX('Compliance Database'!$I$2:$I$1960,MATCH(812,'Transfer Engine'!$C$2:$C$1960,0)))</f>
        <v/>
      </c>
      <c r="J821" s="8">
        <f>IF(ISNA(MATCH(812,'Transfer Engine'!$C$2:$C$1960,0)),"",INDEX('Compliance Database'!$J$2:$J$1960,MATCH(812,'Transfer Engine'!$C$2:$C$1960,0)))</f>
        <v/>
      </c>
      <c r="K821" s="9">
        <f>IF(ISNA(MATCH(812,'Transfer Engine'!$C$2:$C$1960,0)),"",INDEX('Compliance Database'!$K$2:$K$1960,MATCH(812,'Transfer Engine'!$C$2:$C$1960,0)))</f>
        <v/>
      </c>
      <c r="L821" s="9">
        <f>IF(ISNA(MATCH(812,'Transfer Engine'!$C$2:$C$1960,0)),"",INDEX('Compliance Database'!$L$2:$L$1960,MATCH(812,'Transfer Engine'!$C$2:$C$1960,0)))</f>
        <v/>
      </c>
      <c r="M821" s="9">
        <f>IF(ISNA(MATCH(812,'Transfer Engine'!$C$2:$C$1960,0)),"",INDEX('Compliance Database'!$M$2:$M$1960,MATCH(812,'Transfer Engine'!$C$2:$C$1960,0)))</f>
        <v/>
      </c>
      <c r="N821" s="9">
        <f>IF(ISNA(MATCH(812,'Transfer Engine'!$C$2:$C$1960,0)),"",INDEX('Compliance Database'!$N$2:$N$1960,MATCH(812,'Transfer Engine'!$C$2:$C$1960,0)))</f>
        <v/>
      </c>
      <c r="O821" s="9">
        <f>IF(ISNA(MATCH(812,'Transfer Engine'!$C$2:$C$1960,0)),"",INDEX('Compliance Database'!$O$2:$O$1960,MATCH(812,'Transfer Engine'!$C$2:$C$1960,0)))</f>
        <v/>
      </c>
      <c r="P821" s="8">
        <f>IF(ISNA(MATCH(812,'Transfer Engine'!$C$2:$C$1960,0)),"",HYPERLINK("#Acts!A"&amp;INDEX('Compliance Database'!$P$2:$P$1960,MATCH(812,'Transfer Engine'!$C$2:$C$1960,0)),"Go to Act"))</f>
        <v/>
      </c>
    </row>
    <row r="822" ht="158" customHeight="1">
      <c r="A822" s="8">
        <f>IF(ISNA(MATCH(813,'Transfer Engine'!$C$2:$C$1960,0)),"",INDEX('Compliance Database'!$A$2:$A$1960,MATCH(813,'Transfer Engine'!$C$2:$C$1960,0)))</f>
        <v/>
      </c>
      <c r="B822" s="8">
        <f>IF(ISNA(MATCH(813,'Transfer Engine'!$C$2:$C$1960,0)),"",INDEX('Compliance Database'!$B$2:$B$1960,MATCH(813,'Transfer Engine'!$C$2:$C$1960,0)))</f>
        <v/>
      </c>
      <c r="C822" s="8">
        <f>IF(ISNA(MATCH(813,'Transfer Engine'!$C$2:$C$1960,0)),"",INDEX('Compliance Database'!$C$2:$C$1960,MATCH(813,'Transfer Engine'!$C$2:$C$1960,0)))</f>
        <v/>
      </c>
      <c r="D822" s="9">
        <f>IF(ISNA(MATCH(813,'Transfer Engine'!$C$2:$C$1960,0)),"",INDEX('Compliance Database'!$D$2:$D$1960,MATCH(813,'Transfer Engine'!$C$2:$C$1960,0)))</f>
        <v/>
      </c>
      <c r="E822" s="8">
        <f>IF(ISNA(MATCH(813,'Transfer Engine'!$C$2:$C$1960,0)),"",INDEX('Compliance Database'!$E$2:$E$1960,MATCH(813,'Transfer Engine'!$C$2:$C$1960,0)))</f>
        <v/>
      </c>
      <c r="F822" s="8">
        <f>IF(ISNA(MATCH(813,'Transfer Engine'!$C$2:$C$1960,0)),"",INDEX('Compliance Database'!$F$2:$F$1960,MATCH(813,'Transfer Engine'!$C$2:$C$1960,0)))</f>
        <v/>
      </c>
      <c r="G822" s="8">
        <f>IF(ISNA(MATCH(813,'Transfer Engine'!$C$2:$C$1960,0)),"",INDEX('Compliance Database'!$G$2:$G$1960,MATCH(813,'Transfer Engine'!$C$2:$C$1960,0)))</f>
        <v/>
      </c>
      <c r="H822" s="9">
        <f>IF(ISNA(MATCH(813,'Transfer Engine'!$C$2:$C$1960,0)),"",INDEX('Compliance Database'!$H$2:$H$1960,MATCH(813,'Transfer Engine'!$C$2:$C$1960,0)))</f>
        <v/>
      </c>
      <c r="I822" s="9">
        <f>IF(ISNA(MATCH(813,'Transfer Engine'!$C$2:$C$1960,0)),"",INDEX('Compliance Database'!$I$2:$I$1960,MATCH(813,'Transfer Engine'!$C$2:$C$1960,0)))</f>
        <v/>
      </c>
      <c r="J822" s="8">
        <f>IF(ISNA(MATCH(813,'Transfer Engine'!$C$2:$C$1960,0)),"",INDEX('Compliance Database'!$J$2:$J$1960,MATCH(813,'Transfer Engine'!$C$2:$C$1960,0)))</f>
        <v/>
      </c>
      <c r="K822" s="9">
        <f>IF(ISNA(MATCH(813,'Transfer Engine'!$C$2:$C$1960,0)),"",INDEX('Compliance Database'!$K$2:$K$1960,MATCH(813,'Transfer Engine'!$C$2:$C$1960,0)))</f>
        <v/>
      </c>
      <c r="L822" s="9">
        <f>IF(ISNA(MATCH(813,'Transfer Engine'!$C$2:$C$1960,0)),"",INDEX('Compliance Database'!$L$2:$L$1960,MATCH(813,'Transfer Engine'!$C$2:$C$1960,0)))</f>
        <v/>
      </c>
      <c r="M822" s="9">
        <f>IF(ISNA(MATCH(813,'Transfer Engine'!$C$2:$C$1960,0)),"",INDEX('Compliance Database'!$M$2:$M$1960,MATCH(813,'Transfer Engine'!$C$2:$C$1960,0)))</f>
        <v/>
      </c>
      <c r="N822" s="9">
        <f>IF(ISNA(MATCH(813,'Transfer Engine'!$C$2:$C$1960,0)),"",INDEX('Compliance Database'!$N$2:$N$1960,MATCH(813,'Transfer Engine'!$C$2:$C$1960,0)))</f>
        <v/>
      </c>
      <c r="O822" s="9">
        <f>IF(ISNA(MATCH(813,'Transfer Engine'!$C$2:$C$1960,0)),"",INDEX('Compliance Database'!$O$2:$O$1960,MATCH(813,'Transfer Engine'!$C$2:$C$1960,0)))</f>
        <v/>
      </c>
      <c r="P822" s="8">
        <f>IF(ISNA(MATCH(813,'Transfer Engine'!$C$2:$C$1960,0)),"",HYPERLINK("#Acts!A"&amp;INDEX('Compliance Database'!$P$2:$P$1960,MATCH(813,'Transfer Engine'!$C$2:$C$1960,0)),"Go to Act"))</f>
        <v/>
      </c>
    </row>
    <row r="823" ht="158" customHeight="1">
      <c r="A823" s="8">
        <f>IF(ISNA(MATCH(814,'Transfer Engine'!$C$2:$C$1960,0)),"",INDEX('Compliance Database'!$A$2:$A$1960,MATCH(814,'Transfer Engine'!$C$2:$C$1960,0)))</f>
        <v/>
      </c>
      <c r="B823" s="8">
        <f>IF(ISNA(MATCH(814,'Transfer Engine'!$C$2:$C$1960,0)),"",INDEX('Compliance Database'!$B$2:$B$1960,MATCH(814,'Transfer Engine'!$C$2:$C$1960,0)))</f>
        <v/>
      </c>
      <c r="C823" s="8">
        <f>IF(ISNA(MATCH(814,'Transfer Engine'!$C$2:$C$1960,0)),"",INDEX('Compliance Database'!$C$2:$C$1960,MATCH(814,'Transfer Engine'!$C$2:$C$1960,0)))</f>
        <v/>
      </c>
      <c r="D823" s="9">
        <f>IF(ISNA(MATCH(814,'Transfer Engine'!$C$2:$C$1960,0)),"",INDEX('Compliance Database'!$D$2:$D$1960,MATCH(814,'Transfer Engine'!$C$2:$C$1960,0)))</f>
        <v/>
      </c>
      <c r="E823" s="8">
        <f>IF(ISNA(MATCH(814,'Transfer Engine'!$C$2:$C$1960,0)),"",INDEX('Compliance Database'!$E$2:$E$1960,MATCH(814,'Transfer Engine'!$C$2:$C$1960,0)))</f>
        <v/>
      </c>
      <c r="F823" s="8">
        <f>IF(ISNA(MATCH(814,'Transfer Engine'!$C$2:$C$1960,0)),"",INDEX('Compliance Database'!$F$2:$F$1960,MATCH(814,'Transfer Engine'!$C$2:$C$1960,0)))</f>
        <v/>
      </c>
      <c r="G823" s="8">
        <f>IF(ISNA(MATCH(814,'Transfer Engine'!$C$2:$C$1960,0)),"",INDEX('Compliance Database'!$G$2:$G$1960,MATCH(814,'Transfer Engine'!$C$2:$C$1960,0)))</f>
        <v/>
      </c>
      <c r="H823" s="9">
        <f>IF(ISNA(MATCH(814,'Transfer Engine'!$C$2:$C$1960,0)),"",INDEX('Compliance Database'!$H$2:$H$1960,MATCH(814,'Transfer Engine'!$C$2:$C$1960,0)))</f>
        <v/>
      </c>
      <c r="I823" s="9">
        <f>IF(ISNA(MATCH(814,'Transfer Engine'!$C$2:$C$1960,0)),"",INDEX('Compliance Database'!$I$2:$I$1960,MATCH(814,'Transfer Engine'!$C$2:$C$1960,0)))</f>
        <v/>
      </c>
      <c r="J823" s="8">
        <f>IF(ISNA(MATCH(814,'Transfer Engine'!$C$2:$C$1960,0)),"",INDEX('Compliance Database'!$J$2:$J$1960,MATCH(814,'Transfer Engine'!$C$2:$C$1960,0)))</f>
        <v/>
      </c>
      <c r="K823" s="9">
        <f>IF(ISNA(MATCH(814,'Transfer Engine'!$C$2:$C$1960,0)),"",INDEX('Compliance Database'!$K$2:$K$1960,MATCH(814,'Transfer Engine'!$C$2:$C$1960,0)))</f>
        <v/>
      </c>
      <c r="L823" s="9">
        <f>IF(ISNA(MATCH(814,'Transfer Engine'!$C$2:$C$1960,0)),"",INDEX('Compliance Database'!$L$2:$L$1960,MATCH(814,'Transfer Engine'!$C$2:$C$1960,0)))</f>
        <v/>
      </c>
      <c r="M823" s="9">
        <f>IF(ISNA(MATCH(814,'Transfer Engine'!$C$2:$C$1960,0)),"",INDEX('Compliance Database'!$M$2:$M$1960,MATCH(814,'Transfer Engine'!$C$2:$C$1960,0)))</f>
        <v/>
      </c>
      <c r="N823" s="9">
        <f>IF(ISNA(MATCH(814,'Transfer Engine'!$C$2:$C$1960,0)),"",INDEX('Compliance Database'!$N$2:$N$1960,MATCH(814,'Transfer Engine'!$C$2:$C$1960,0)))</f>
        <v/>
      </c>
      <c r="O823" s="9">
        <f>IF(ISNA(MATCH(814,'Transfer Engine'!$C$2:$C$1960,0)),"",INDEX('Compliance Database'!$O$2:$O$1960,MATCH(814,'Transfer Engine'!$C$2:$C$1960,0)))</f>
        <v/>
      </c>
      <c r="P823" s="8">
        <f>IF(ISNA(MATCH(814,'Transfer Engine'!$C$2:$C$1960,0)),"",HYPERLINK("#Acts!A"&amp;INDEX('Compliance Database'!$P$2:$P$1960,MATCH(814,'Transfer Engine'!$C$2:$C$1960,0)),"Go to Act"))</f>
        <v/>
      </c>
    </row>
    <row r="824" ht="158" customHeight="1">
      <c r="A824" s="8">
        <f>IF(ISNA(MATCH(815,'Transfer Engine'!$C$2:$C$1960,0)),"",INDEX('Compliance Database'!$A$2:$A$1960,MATCH(815,'Transfer Engine'!$C$2:$C$1960,0)))</f>
        <v/>
      </c>
      <c r="B824" s="8">
        <f>IF(ISNA(MATCH(815,'Transfer Engine'!$C$2:$C$1960,0)),"",INDEX('Compliance Database'!$B$2:$B$1960,MATCH(815,'Transfer Engine'!$C$2:$C$1960,0)))</f>
        <v/>
      </c>
      <c r="C824" s="8">
        <f>IF(ISNA(MATCH(815,'Transfer Engine'!$C$2:$C$1960,0)),"",INDEX('Compliance Database'!$C$2:$C$1960,MATCH(815,'Transfer Engine'!$C$2:$C$1960,0)))</f>
        <v/>
      </c>
      <c r="D824" s="9">
        <f>IF(ISNA(MATCH(815,'Transfer Engine'!$C$2:$C$1960,0)),"",INDEX('Compliance Database'!$D$2:$D$1960,MATCH(815,'Transfer Engine'!$C$2:$C$1960,0)))</f>
        <v/>
      </c>
      <c r="E824" s="8">
        <f>IF(ISNA(MATCH(815,'Transfer Engine'!$C$2:$C$1960,0)),"",INDEX('Compliance Database'!$E$2:$E$1960,MATCH(815,'Transfer Engine'!$C$2:$C$1960,0)))</f>
        <v/>
      </c>
      <c r="F824" s="8">
        <f>IF(ISNA(MATCH(815,'Transfer Engine'!$C$2:$C$1960,0)),"",INDEX('Compliance Database'!$F$2:$F$1960,MATCH(815,'Transfer Engine'!$C$2:$C$1960,0)))</f>
        <v/>
      </c>
      <c r="G824" s="8">
        <f>IF(ISNA(MATCH(815,'Transfer Engine'!$C$2:$C$1960,0)),"",INDEX('Compliance Database'!$G$2:$G$1960,MATCH(815,'Transfer Engine'!$C$2:$C$1960,0)))</f>
        <v/>
      </c>
      <c r="H824" s="9">
        <f>IF(ISNA(MATCH(815,'Transfer Engine'!$C$2:$C$1960,0)),"",INDEX('Compliance Database'!$H$2:$H$1960,MATCH(815,'Transfer Engine'!$C$2:$C$1960,0)))</f>
        <v/>
      </c>
      <c r="I824" s="9">
        <f>IF(ISNA(MATCH(815,'Transfer Engine'!$C$2:$C$1960,0)),"",INDEX('Compliance Database'!$I$2:$I$1960,MATCH(815,'Transfer Engine'!$C$2:$C$1960,0)))</f>
        <v/>
      </c>
      <c r="J824" s="8">
        <f>IF(ISNA(MATCH(815,'Transfer Engine'!$C$2:$C$1960,0)),"",INDEX('Compliance Database'!$J$2:$J$1960,MATCH(815,'Transfer Engine'!$C$2:$C$1960,0)))</f>
        <v/>
      </c>
      <c r="K824" s="9">
        <f>IF(ISNA(MATCH(815,'Transfer Engine'!$C$2:$C$1960,0)),"",INDEX('Compliance Database'!$K$2:$K$1960,MATCH(815,'Transfer Engine'!$C$2:$C$1960,0)))</f>
        <v/>
      </c>
      <c r="L824" s="9">
        <f>IF(ISNA(MATCH(815,'Transfer Engine'!$C$2:$C$1960,0)),"",INDEX('Compliance Database'!$L$2:$L$1960,MATCH(815,'Transfer Engine'!$C$2:$C$1960,0)))</f>
        <v/>
      </c>
      <c r="M824" s="9">
        <f>IF(ISNA(MATCH(815,'Transfer Engine'!$C$2:$C$1960,0)),"",INDEX('Compliance Database'!$M$2:$M$1960,MATCH(815,'Transfer Engine'!$C$2:$C$1960,0)))</f>
        <v/>
      </c>
      <c r="N824" s="9">
        <f>IF(ISNA(MATCH(815,'Transfer Engine'!$C$2:$C$1960,0)),"",INDEX('Compliance Database'!$N$2:$N$1960,MATCH(815,'Transfer Engine'!$C$2:$C$1960,0)))</f>
        <v/>
      </c>
      <c r="O824" s="9">
        <f>IF(ISNA(MATCH(815,'Transfer Engine'!$C$2:$C$1960,0)),"",INDEX('Compliance Database'!$O$2:$O$1960,MATCH(815,'Transfer Engine'!$C$2:$C$1960,0)))</f>
        <v/>
      </c>
      <c r="P824" s="8">
        <f>IF(ISNA(MATCH(815,'Transfer Engine'!$C$2:$C$1960,0)),"",HYPERLINK("#Acts!A"&amp;INDEX('Compliance Database'!$P$2:$P$1960,MATCH(815,'Transfer Engine'!$C$2:$C$1960,0)),"Go to Act"))</f>
        <v/>
      </c>
    </row>
    <row r="825" ht="158" customHeight="1">
      <c r="A825" s="8">
        <f>IF(ISNA(MATCH(816,'Transfer Engine'!$C$2:$C$1960,0)),"",INDEX('Compliance Database'!$A$2:$A$1960,MATCH(816,'Transfer Engine'!$C$2:$C$1960,0)))</f>
        <v/>
      </c>
      <c r="B825" s="8">
        <f>IF(ISNA(MATCH(816,'Transfer Engine'!$C$2:$C$1960,0)),"",INDEX('Compliance Database'!$B$2:$B$1960,MATCH(816,'Transfer Engine'!$C$2:$C$1960,0)))</f>
        <v/>
      </c>
      <c r="C825" s="8">
        <f>IF(ISNA(MATCH(816,'Transfer Engine'!$C$2:$C$1960,0)),"",INDEX('Compliance Database'!$C$2:$C$1960,MATCH(816,'Transfer Engine'!$C$2:$C$1960,0)))</f>
        <v/>
      </c>
      <c r="D825" s="9">
        <f>IF(ISNA(MATCH(816,'Transfer Engine'!$C$2:$C$1960,0)),"",INDEX('Compliance Database'!$D$2:$D$1960,MATCH(816,'Transfer Engine'!$C$2:$C$1960,0)))</f>
        <v/>
      </c>
      <c r="E825" s="8">
        <f>IF(ISNA(MATCH(816,'Transfer Engine'!$C$2:$C$1960,0)),"",INDEX('Compliance Database'!$E$2:$E$1960,MATCH(816,'Transfer Engine'!$C$2:$C$1960,0)))</f>
        <v/>
      </c>
      <c r="F825" s="8">
        <f>IF(ISNA(MATCH(816,'Transfer Engine'!$C$2:$C$1960,0)),"",INDEX('Compliance Database'!$F$2:$F$1960,MATCH(816,'Transfer Engine'!$C$2:$C$1960,0)))</f>
        <v/>
      </c>
      <c r="G825" s="8">
        <f>IF(ISNA(MATCH(816,'Transfer Engine'!$C$2:$C$1960,0)),"",INDEX('Compliance Database'!$G$2:$G$1960,MATCH(816,'Transfer Engine'!$C$2:$C$1960,0)))</f>
        <v/>
      </c>
      <c r="H825" s="9">
        <f>IF(ISNA(MATCH(816,'Transfer Engine'!$C$2:$C$1960,0)),"",INDEX('Compliance Database'!$H$2:$H$1960,MATCH(816,'Transfer Engine'!$C$2:$C$1960,0)))</f>
        <v/>
      </c>
      <c r="I825" s="9">
        <f>IF(ISNA(MATCH(816,'Transfer Engine'!$C$2:$C$1960,0)),"",INDEX('Compliance Database'!$I$2:$I$1960,MATCH(816,'Transfer Engine'!$C$2:$C$1960,0)))</f>
        <v/>
      </c>
      <c r="J825" s="8">
        <f>IF(ISNA(MATCH(816,'Transfer Engine'!$C$2:$C$1960,0)),"",INDEX('Compliance Database'!$J$2:$J$1960,MATCH(816,'Transfer Engine'!$C$2:$C$1960,0)))</f>
        <v/>
      </c>
      <c r="K825" s="9">
        <f>IF(ISNA(MATCH(816,'Transfer Engine'!$C$2:$C$1960,0)),"",INDEX('Compliance Database'!$K$2:$K$1960,MATCH(816,'Transfer Engine'!$C$2:$C$1960,0)))</f>
        <v/>
      </c>
      <c r="L825" s="9">
        <f>IF(ISNA(MATCH(816,'Transfer Engine'!$C$2:$C$1960,0)),"",INDEX('Compliance Database'!$L$2:$L$1960,MATCH(816,'Transfer Engine'!$C$2:$C$1960,0)))</f>
        <v/>
      </c>
      <c r="M825" s="9">
        <f>IF(ISNA(MATCH(816,'Transfer Engine'!$C$2:$C$1960,0)),"",INDEX('Compliance Database'!$M$2:$M$1960,MATCH(816,'Transfer Engine'!$C$2:$C$1960,0)))</f>
        <v/>
      </c>
      <c r="N825" s="9">
        <f>IF(ISNA(MATCH(816,'Transfer Engine'!$C$2:$C$1960,0)),"",INDEX('Compliance Database'!$N$2:$N$1960,MATCH(816,'Transfer Engine'!$C$2:$C$1960,0)))</f>
        <v/>
      </c>
      <c r="O825" s="9">
        <f>IF(ISNA(MATCH(816,'Transfer Engine'!$C$2:$C$1960,0)),"",INDEX('Compliance Database'!$O$2:$O$1960,MATCH(816,'Transfer Engine'!$C$2:$C$1960,0)))</f>
        <v/>
      </c>
      <c r="P825" s="8">
        <f>IF(ISNA(MATCH(816,'Transfer Engine'!$C$2:$C$1960,0)),"",HYPERLINK("#Acts!A"&amp;INDEX('Compliance Database'!$P$2:$P$1960,MATCH(816,'Transfer Engine'!$C$2:$C$1960,0)),"Go to Act"))</f>
        <v/>
      </c>
    </row>
    <row r="826" ht="158" customHeight="1">
      <c r="A826" s="8">
        <f>IF(ISNA(MATCH(817,'Transfer Engine'!$C$2:$C$1960,0)),"",INDEX('Compliance Database'!$A$2:$A$1960,MATCH(817,'Transfer Engine'!$C$2:$C$1960,0)))</f>
        <v/>
      </c>
      <c r="B826" s="8">
        <f>IF(ISNA(MATCH(817,'Transfer Engine'!$C$2:$C$1960,0)),"",INDEX('Compliance Database'!$B$2:$B$1960,MATCH(817,'Transfer Engine'!$C$2:$C$1960,0)))</f>
        <v/>
      </c>
      <c r="C826" s="8">
        <f>IF(ISNA(MATCH(817,'Transfer Engine'!$C$2:$C$1960,0)),"",INDEX('Compliance Database'!$C$2:$C$1960,MATCH(817,'Transfer Engine'!$C$2:$C$1960,0)))</f>
        <v/>
      </c>
      <c r="D826" s="9">
        <f>IF(ISNA(MATCH(817,'Transfer Engine'!$C$2:$C$1960,0)),"",INDEX('Compliance Database'!$D$2:$D$1960,MATCH(817,'Transfer Engine'!$C$2:$C$1960,0)))</f>
        <v/>
      </c>
      <c r="E826" s="8">
        <f>IF(ISNA(MATCH(817,'Transfer Engine'!$C$2:$C$1960,0)),"",INDEX('Compliance Database'!$E$2:$E$1960,MATCH(817,'Transfer Engine'!$C$2:$C$1960,0)))</f>
        <v/>
      </c>
      <c r="F826" s="8">
        <f>IF(ISNA(MATCH(817,'Transfer Engine'!$C$2:$C$1960,0)),"",INDEX('Compliance Database'!$F$2:$F$1960,MATCH(817,'Transfer Engine'!$C$2:$C$1960,0)))</f>
        <v/>
      </c>
      <c r="G826" s="8">
        <f>IF(ISNA(MATCH(817,'Transfer Engine'!$C$2:$C$1960,0)),"",INDEX('Compliance Database'!$G$2:$G$1960,MATCH(817,'Transfer Engine'!$C$2:$C$1960,0)))</f>
        <v/>
      </c>
      <c r="H826" s="9">
        <f>IF(ISNA(MATCH(817,'Transfer Engine'!$C$2:$C$1960,0)),"",INDEX('Compliance Database'!$H$2:$H$1960,MATCH(817,'Transfer Engine'!$C$2:$C$1960,0)))</f>
        <v/>
      </c>
      <c r="I826" s="9">
        <f>IF(ISNA(MATCH(817,'Transfer Engine'!$C$2:$C$1960,0)),"",INDEX('Compliance Database'!$I$2:$I$1960,MATCH(817,'Transfer Engine'!$C$2:$C$1960,0)))</f>
        <v/>
      </c>
      <c r="J826" s="8">
        <f>IF(ISNA(MATCH(817,'Transfer Engine'!$C$2:$C$1960,0)),"",INDEX('Compliance Database'!$J$2:$J$1960,MATCH(817,'Transfer Engine'!$C$2:$C$1960,0)))</f>
        <v/>
      </c>
      <c r="K826" s="9">
        <f>IF(ISNA(MATCH(817,'Transfer Engine'!$C$2:$C$1960,0)),"",INDEX('Compliance Database'!$K$2:$K$1960,MATCH(817,'Transfer Engine'!$C$2:$C$1960,0)))</f>
        <v/>
      </c>
      <c r="L826" s="9">
        <f>IF(ISNA(MATCH(817,'Transfer Engine'!$C$2:$C$1960,0)),"",INDEX('Compliance Database'!$L$2:$L$1960,MATCH(817,'Transfer Engine'!$C$2:$C$1960,0)))</f>
        <v/>
      </c>
      <c r="M826" s="9">
        <f>IF(ISNA(MATCH(817,'Transfer Engine'!$C$2:$C$1960,0)),"",INDEX('Compliance Database'!$M$2:$M$1960,MATCH(817,'Transfer Engine'!$C$2:$C$1960,0)))</f>
        <v/>
      </c>
      <c r="N826" s="9">
        <f>IF(ISNA(MATCH(817,'Transfer Engine'!$C$2:$C$1960,0)),"",INDEX('Compliance Database'!$N$2:$N$1960,MATCH(817,'Transfer Engine'!$C$2:$C$1960,0)))</f>
        <v/>
      </c>
      <c r="O826" s="9">
        <f>IF(ISNA(MATCH(817,'Transfer Engine'!$C$2:$C$1960,0)),"",INDEX('Compliance Database'!$O$2:$O$1960,MATCH(817,'Transfer Engine'!$C$2:$C$1960,0)))</f>
        <v/>
      </c>
      <c r="P826" s="8">
        <f>IF(ISNA(MATCH(817,'Transfer Engine'!$C$2:$C$1960,0)),"",HYPERLINK("#Acts!A"&amp;INDEX('Compliance Database'!$P$2:$P$1960,MATCH(817,'Transfer Engine'!$C$2:$C$1960,0)),"Go to Act"))</f>
        <v/>
      </c>
    </row>
    <row r="827" ht="158" customHeight="1">
      <c r="A827" s="8">
        <f>IF(ISNA(MATCH(818,'Transfer Engine'!$C$2:$C$1960,0)),"",INDEX('Compliance Database'!$A$2:$A$1960,MATCH(818,'Transfer Engine'!$C$2:$C$1960,0)))</f>
        <v/>
      </c>
      <c r="B827" s="8">
        <f>IF(ISNA(MATCH(818,'Transfer Engine'!$C$2:$C$1960,0)),"",INDEX('Compliance Database'!$B$2:$B$1960,MATCH(818,'Transfer Engine'!$C$2:$C$1960,0)))</f>
        <v/>
      </c>
      <c r="C827" s="8">
        <f>IF(ISNA(MATCH(818,'Transfer Engine'!$C$2:$C$1960,0)),"",INDEX('Compliance Database'!$C$2:$C$1960,MATCH(818,'Transfer Engine'!$C$2:$C$1960,0)))</f>
        <v/>
      </c>
      <c r="D827" s="9">
        <f>IF(ISNA(MATCH(818,'Transfer Engine'!$C$2:$C$1960,0)),"",INDEX('Compliance Database'!$D$2:$D$1960,MATCH(818,'Transfer Engine'!$C$2:$C$1960,0)))</f>
        <v/>
      </c>
      <c r="E827" s="8">
        <f>IF(ISNA(MATCH(818,'Transfer Engine'!$C$2:$C$1960,0)),"",INDEX('Compliance Database'!$E$2:$E$1960,MATCH(818,'Transfer Engine'!$C$2:$C$1960,0)))</f>
        <v/>
      </c>
      <c r="F827" s="8">
        <f>IF(ISNA(MATCH(818,'Transfer Engine'!$C$2:$C$1960,0)),"",INDEX('Compliance Database'!$F$2:$F$1960,MATCH(818,'Transfer Engine'!$C$2:$C$1960,0)))</f>
        <v/>
      </c>
      <c r="G827" s="8">
        <f>IF(ISNA(MATCH(818,'Transfer Engine'!$C$2:$C$1960,0)),"",INDEX('Compliance Database'!$G$2:$G$1960,MATCH(818,'Transfer Engine'!$C$2:$C$1960,0)))</f>
        <v/>
      </c>
      <c r="H827" s="9">
        <f>IF(ISNA(MATCH(818,'Transfer Engine'!$C$2:$C$1960,0)),"",INDEX('Compliance Database'!$H$2:$H$1960,MATCH(818,'Transfer Engine'!$C$2:$C$1960,0)))</f>
        <v/>
      </c>
      <c r="I827" s="9">
        <f>IF(ISNA(MATCH(818,'Transfer Engine'!$C$2:$C$1960,0)),"",INDEX('Compliance Database'!$I$2:$I$1960,MATCH(818,'Transfer Engine'!$C$2:$C$1960,0)))</f>
        <v/>
      </c>
      <c r="J827" s="8">
        <f>IF(ISNA(MATCH(818,'Transfer Engine'!$C$2:$C$1960,0)),"",INDEX('Compliance Database'!$J$2:$J$1960,MATCH(818,'Transfer Engine'!$C$2:$C$1960,0)))</f>
        <v/>
      </c>
      <c r="K827" s="9">
        <f>IF(ISNA(MATCH(818,'Transfer Engine'!$C$2:$C$1960,0)),"",INDEX('Compliance Database'!$K$2:$K$1960,MATCH(818,'Transfer Engine'!$C$2:$C$1960,0)))</f>
        <v/>
      </c>
      <c r="L827" s="9">
        <f>IF(ISNA(MATCH(818,'Transfer Engine'!$C$2:$C$1960,0)),"",INDEX('Compliance Database'!$L$2:$L$1960,MATCH(818,'Transfer Engine'!$C$2:$C$1960,0)))</f>
        <v/>
      </c>
      <c r="M827" s="9">
        <f>IF(ISNA(MATCH(818,'Transfer Engine'!$C$2:$C$1960,0)),"",INDEX('Compliance Database'!$M$2:$M$1960,MATCH(818,'Transfer Engine'!$C$2:$C$1960,0)))</f>
        <v/>
      </c>
      <c r="N827" s="9">
        <f>IF(ISNA(MATCH(818,'Transfer Engine'!$C$2:$C$1960,0)),"",INDEX('Compliance Database'!$N$2:$N$1960,MATCH(818,'Transfer Engine'!$C$2:$C$1960,0)))</f>
        <v/>
      </c>
      <c r="O827" s="9">
        <f>IF(ISNA(MATCH(818,'Transfer Engine'!$C$2:$C$1960,0)),"",INDEX('Compliance Database'!$O$2:$O$1960,MATCH(818,'Transfer Engine'!$C$2:$C$1960,0)))</f>
        <v/>
      </c>
      <c r="P827" s="8">
        <f>IF(ISNA(MATCH(818,'Transfer Engine'!$C$2:$C$1960,0)),"",HYPERLINK("#Acts!A"&amp;INDEX('Compliance Database'!$P$2:$P$1960,MATCH(818,'Transfer Engine'!$C$2:$C$1960,0)),"Go to Act"))</f>
        <v/>
      </c>
    </row>
    <row r="828" ht="158" customHeight="1">
      <c r="A828" s="8">
        <f>IF(ISNA(MATCH(819,'Transfer Engine'!$C$2:$C$1960,0)),"",INDEX('Compliance Database'!$A$2:$A$1960,MATCH(819,'Transfer Engine'!$C$2:$C$1960,0)))</f>
        <v/>
      </c>
      <c r="B828" s="8">
        <f>IF(ISNA(MATCH(819,'Transfer Engine'!$C$2:$C$1960,0)),"",INDEX('Compliance Database'!$B$2:$B$1960,MATCH(819,'Transfer Engine'!$C$2:$C$1960,0)))</f>
        <v/>
      </c>
      <c r="C828" s="8">
        <f>IF(ISNA(MATCH(819,'Transfer Engine'!$C$2:$C$1960,0)),"",INDEX('Compliance Database'!$C$2:$C$1960,MATCH(819,'Transfer Engine'!$C$2:$C$1960,0)))</f>
        <v/>
      </c>
      <c r="D828" s="9">
        <f>IF(ISNA(MATCH(819,'Transfer Engine'!$C$2:$C$1960,0)),"",INDEX('Compliance Database'!$D$2:$D$1960,MATCH(819,'Transfer Engine'!$C$2:$C$1960,0)))</f>
        <v/>
      </c>
      <c r="E828" s="8">
        <f>IF(ISNA(MATCH(819,'Transfer Engine'!$C$2:$C$1960,0)),"",INDEX('Compliance Database'!$E$2:$E$1960,MATCH(819,'Transfer Engine'!$C$2:$C$1960,0)))</f>
        <v/>
      </c>
      <c r="F828" s="8">
        <f>IF(ISNA(MATCH(819,'Transfer Engine'!$C$2:$C$1960,0)),"",INDEX('Compliance Database'!$F$2:$F$1960,MATCH(819,'Transfer Engine'!$C$2:$C$1960,0)))</f>
        <v/>
      </c>
      <c r="G828" s="8">
        <f>IF(ISNA(MATCH(819,'Transfer Engine'!$C$2:$C$1960,0)),"",INDEX('Compliance Database'!$G$2:$G$1960,MATCH(819,'Transfer Engine'!$C$2:$C$1960,0)))</f>
        <v/>
      </c>
      <c r="H828" s="9">
        <f>IF(ISNA(MATCH(819,'Transfer Engine'!$C$2:$C$1960,0)),"",INDEX('Compliance Database'!$H$2:$H$1960,MATCH(819,'Transfer Engine'!$C$2:$C$1960,0)))</f>
        <v/>
      </c>
      <c r="I828" s="9">
        <f>IF(ISNA(MATCH(819,'Transfer Engine'!$C$2:$C$1960,0)),"",INDEX('Compliance Database'!$I$2:$I$1960,MATCH(819,'Transfer Engine'!$C$2:$C$1960,0)))</f>
        <v/>
      </c>
      <c r="J828" s="8">
        <f>IF(ISNA(MATCH(819,'Transfer Engine'!$C$2:$C$1960,0)),"",INDEX('Compliance Database'!$J$2:$J$1960,MATCH(819,'Transfer Engine'!$C$2:$C$1960,0)))</f>
        <v/>
      </c>
      <c r="K828" s="9">
        <f>IF(ISNA(MATCH(819,'Transfer Engine'!$C$2:$C$1960,0)),"",INDEX('Compliance Database'!$K$2:$K$1960,MATCH(819,'Transfer Engine'!$C$2:$C$1960,0)))</f>
        <v/>
      </c>
      <c r="L828" s="9">
        <f>IF(ISNA(MATCH(819,'Transfer Engine'!$C$2:$C$1960,0)),"",INDEX('Compliance Database'!$L$2:$L$1960,MATCH(819,'Transfer Engine'!$C$2:$C$1960,0)))</f>
        <v/>
      </c>
      <c r="M828" s="9">
        <f>IF(ISNA(MATCH(819,'Transfer Engine'!$C$2:$C$1960,0)),"",INDEX('Compliance Database'!$M$2:$M$1960,MATCH(819,'Transfer Engine'!$C$2:$C$1960,0)))</f>
        <v/>
      </c>
      <c r="N828" s="9">
        <f>IF(ISNA(MATCH(819,'Transfer Engine'!$C$2:$C$1960,0)),"",INDEX('Compliance Database'!$N$2:$N$1960,MATCH(819,'Transfer Engine'!$C$2:$C$1960,0)))</f>
        <v/>
      </c>
      <c r="O828" s="9">
        <f>IF(ISNA(MATCH(819,'Transfer Engine'!$C$2:$C$1960,0)),"",INDEX('Compliance Database'!$O$2:$O$1960,MATCH(819,'Transfer Engine'!$C$2:$C$1960,0)))</f>
        <v/>
      </c>
      <c r="P828" s="8">
        <f>IF(ISNA(MATCH(819,'Transfer Engine'!$C$2:$C$1960,0)),"",HYPERLINK("#Acts!A"&amp;INDEX('Compliance Database'!$P$2:$P$1960,MATCH(819,'Transfer Engine'!$C$2:$C$1960,0)),"Go to Act"))</f>
        <v/>
      </c>
    </row>
    <row r="829" ht="158" customHeight="1">
      <c r="A829" s="8">
        <f>IF(ISNA(MATCH(820,'Transfer Engine'!$C$2:$C$1960,0)),"",INDEX('Compliance Database'!$A$2:$A$1960,MATCH(820,'Transfer Engine'!$C$2:$C$1960,0)))</f>
        <v/>
      </c>
      <c r="B829" s="8">
        <f>IF(ISNA(MATCH(820,'Transfer Engine'!$C$2:$C$1960,0)),"",INDEX('Compliance Database'!$B$2:$B$1960,MATCH(820,'Transfer Engine'!$C$2:$C$1960,0)))</f>
        <v/>
      </c>
      <c r="C829" s="8">
        <f>IF(ISNA(MATCH(820,'Transfer Engine'!$C$2:$C$1960,0)),"",INDEX('Compliance Database'!$C$2:$C$1960,MATCH(820,'Transfer Engine'!$C$2:$C$1960,0)))</f>
        <v/>
      </c>
      <c r="D829" s="9">
        <f>IF(ISNA(MATCH(820,'Transfer Engine'!$C$2:$C$1960,0)),"",INDEX('Compliance Database'!$D$2:$D$1960,MATCH(820,'Transfer Engine'!$C$2:$C$1960,0)))</f>
        <v/>
      </c>
      <c r="E829" s="8">
        <f>IF(ISNA(MATCH(820,'Transfer Engine'!$C$2:$C$1960,0)),"",INDEX('Compliance Database'!$E$2:$E$1960,MATCH(820,'Transfer Engine'!$C$2:$C$1960,0)))</f>
        <v/>
      </c>
      <c r="F829" s="8">
        <f>IF(ISNA(MATCH(820,'Transfer Engine'!$C$2:$C$1960,0)),"",INDEX('Compliance Database'!$F$2:$F$1960,MATCH(820,'Transfer Engine'!$C$2:$C$1960,0)))</f>
        <v/>
      </c>
      <c r="G829" s="8">
        <f>IF(ISNA(MATCH(820,'Transfer Engine'!$C$2:$C$1960,0)),"",INDEX('Compliance Database'!$G$2:$G$1960,MATCH(820,'Transfer Engine'!$C$2:$C$1960,0)))</f>
        <v/>
      </c>
      <c r="H829" s="9">
        <f>IF(ISNA(MATCH(820,'Transfer Engine'!$C$2:$C$1960,0)),"",INDEX('Compliance Database'!$H$2:$H$1960,MATCH(820,'Transfer Engine'!$C$2:$C$1960,0)))</f>
        <v/>
      </c>
      <c r="I829" s="9">
        <f>IF(ISNA(MATCH(820,'Transfer Engine'!$C$2:$C$1960,0)),"",INDEX('Compliance Database'!$I$2:$I$1960,MATCH(820,'Transfer Engine'!$C$2:$C$1960,0)))</f>
        <v/>
      </c>
      <c r="J829" s="8">
        <f>IF(ISNA(MATCH(820,'Transfer Engine'!$C$2:$C$1960,0)),"",INDEX('Compliance Database'!$J$2:$J$1960,MATCH(820,'Transfer Engine'!$C$2:$C$1960,0)))</f>
        <v/>
      </c>
      <c r="K829" s="9">
        <f>IF(ISNA(MATCH(820,'Transfer Engine'!$C$2:$C$1960,0)),"",INDEX('Compliance Database'!$K$2:$K$1960,MATCH(820,'Transfer Engine'!$C$2:$C$1960,0)))</f>
        <v/>
      </c>
      <c r="L829" s="9">
        <f>IF(ISNA(MATCH(820,'Transfer Engine'!$C$2:$C$1960,0)),"",INDEX('Compliance Database'!$L$2:$L$1960,MATCH(820,'Transfer Engine'!$C$2:$C$1960,0)))</f>
        <v/>
      </c>
      <c r="M829" s="9">
        <f>IF(ISNA(MATCH(820,'Transfer Engine'!$C$2:$C$1960,0)),"",INDEX('Compliance Database'!$M$2:$M$1960,MATCH(820,'Transfer Engine'!$C$2:$C$1960,0)))</f>
        <v/>
      </c>
      <c r="N829" s="9">
        <f>IF(ISNA(MATCH(820,'Transfer Engine'!$C$2:$C$1960,0)),"",INDEX('Compliance Database'!$N$2:$N$1960,MATCH(820,'Transfer Engine'!$C$2:$C$1960,0)))</f>
        <v/>
      </c>
      <c r="O829" s="9">
        <f>IF(ISNA(MATCH(820,'Transfer Engine'!$C$2:$C$1960,0)),"",INDEX('Compliance Database'!$O$2:$O$1960,MATCH(820,'Transfer Engine'!$C$2:$C$1960,0)))</f>
        <v/>
      </c>
      <c r="P829" s="8">
        <f>IF(ISNA(MATCH(820,'Transfer Engine'!$C$2:$C$1960,0)),"",HYPERLINK("#Acts!A"&amp;INDEX('Compliance Database'!$P$2:$P$1960,MATCH(820,'Transfer Engine'!$C$2:$C$1960,0)),"Go to Act"))</f>
        <v/>
      </c>
    </row>
    <row r="830" ht="158" customHeight="1">
      <c r="A830" s="8">
        <f>IF(ISNA(MATCH(821,'Transfer Engine'!$C$2:$C$1960,0)),"",INDEX('Compliance Database'!$A$2:$A$1960,MATCH(821,'Transfer Engine'!$C$2:$C$1960,0)))</f>
        <v/>
      </c>
      <c r="B830" s="8">
        <f>IF(ISNA(MATCH(821,'Transfer Engine'!$C$2:$C$1960,0)),"",INDEX('Compliance Database'!$B$2:$B$1960,MATCH(821,'Transfer Engine'!$C$2:$C$1960,0)))</f>
        <v/>
      </c>
      <c r="C830" s="8">
        <f>IF(ISNA(MATCH(821,'Transfer Engine'!$C$2:$C$1960,0)),"",INDEX('Compliance Database'!$C$2:$C$1960,MATCH(821,'Transfer Engine'!$C$2:$C$1960,0)))</f>
        <v/>
      </c>
      <c r="D830" s="9">
        <f>IF(ISNA(MATCH(821,'Transfer Engine'!$C$2:$C$1960,0)),"",INDEX('Compliance Database'!$D$2:$D$1960,MATCH(821,'Transfer Engine'!$C$2:$C$1960,0)))</f>
        <v/>
      </c>
      <c r="E830" s="8">
        <f>IF(ISNA(MATCH(821,'Transfer Engine'!$C$2:$C$1960,0)),"",INDEX('Compliance Database'!$E$2:$E$1960,MATCH(821,'Transfer Engine'!$C$2:$C$1960,0)))</f>
        <v/>
      </c>
      <c r="F830" s="8">
        <f>IF(ISNA(MATCH(821,'Transfer Engine'!$C$2:$C$1960,0)),"",INDEX('Compliance Database'!$F$2:$F$1960,MATCH(821,'Transfer Engine'!$C$2:$C$1960,0)))</f>
        <v/>
      </c>
      <c r="G830" s="8">
        <f>IF(ISNA(MATCH(821,'Transfer Engine'!$C$2:$C$1960,0)),"",INDEX('Compliance Database'!$G$2:$G$1960,MATCH(821,'Transfer Engine'!$C$2:$C$1960,0)))</f>
        <v/>
      </c>
      <c r="H830" s="9">
        <f>IF(ISNA(MATCH(821,'Transfer Engine'!$C$2:$C$1960,0)),"",INDEX('Compliance Database'!$H$2:$H$1960,MATCH(821,'Transfer Engine'!$C$2:$C$1960,0)))</f>
        <v/>
      </c>
      <c r="I830" s="9">
        <f>IF(ISNA(MATCH(821,'Transfer Engine'!$C$2:$C$1960,0)),"",INDEX('Compliance Database'!$I$2:$I$1960,MATCH(821,'Transfer Engine'!$C$2:$C$1960,0)))</f>
        <v/>
      </c>
      <c r="J830" s="8">
        <f>IF(ISNA(MATCH(821,'Transfer Engine'!$C$2:$C$1960,0)),"",INDEX('Compliance Database'!$J$2:$J$1960,MATCH(821,'Transfer Engine'!$C$2:$C$1960,0)))</f>
        <v/>
      </c>
      <c r="K830" s="9">
        <f>IF(ISNA(MATCH(821,'Transfer Engine'!$C$2:$C$1960,0)),"",INDEX('Compliance Database'!$K$2:$K$1960,MATCH(821,'Transfer Engine'!$C$2:$C$1960,0)))</f>
        <v/>
      </c>
      <c r="L830" s="9">
        <f>IF(ISNA(MATCH(821,'Transfer Engine'!$C$2:$C$1960,0)),"",INDEX('Compliance Database'!$L$2:$L$1960,MATCH(821,'Transfer Engine'!$C$2:$C$1960,0)))</f>
        <v/>
      </c>
      <c r="M830" s="9">
        <f>IF(ISNA(MATCH(821,'Transfer Engine'!$C$2:$C$1960,0)),"",INDEX('Compliance Database'!$M$2:$M$1960,MATCH(821,'Transfer Engine'!$C$2:$C$1960,0)))</f>
        <v/>
      </c>
      <c r="N830" s="9">
        <f>IF(ISNA(MATCH(821,'Transfer Engine'!$C$2:$C$1960,0)),"",INDEX('Compliance Database'!$N$2:$N$1960,MATCH(821,'Transfer Engine'!$C$2:$C$1960,0)))</f>
        <v/>
      </c>
      <c r="O830" s="9">
        <f>IF(ISNA(MATCH(821,'Transfer Engine'!$C$2:$C$1960,0)),"",INDEX('Compliance Database'!$O$2:$O$1960,MATCH(821,'Transfer Engine'!$C$2:$C$1960,0)))</f>
        <v/>
      </c>
      <c r="P830" s="8">
        <f>IF(ISNA(MATCH(821,'Transfer Engine'!$C$2:$C$1960,0)),"",HYPERLINK("#Acts!A"&amp;INDEX('Compliance Database'!$P$2:$P$1960,MATCH(821,'Transfer Engine'!$C$2:$C$1960,0)),"Go to Act"))</f>
        <v/>
      </c>
    </row>
    <row r="831" ht="158" customHeight="1">
      <c r="A831" s="8">
        <f>IF(ISNA(MATCH(822,'Transfer Engine'!$C$2:$C$1960,0)),"",INDEX('Compliance Database'!$A$2:$A$1960,MATCH(822,'Transfer Engine'!$C$2:$C$1960,0)))</f>
        <v/>
      </c>
      <c r="B831" s="8">
        <f>IF(ISNA(MATCH(822,'Transfer Engine'!$C$2:$C$1960,0)),"",INDEX('Compliance Database'!$B$2:$B$1960,MATCH(822,'Transfer Engine'!$C$2:$C$1960,0)))</f>
        <v/>
      </c>
      <c r="C831" s="8">
        <f>IF(ISNA(MATCH(822,'Transfer Engine'!$C$2:$C$1960,0)),"",INDEX('Compliance Database'!$C$2:$C$1960,MATCH(822,'Transfer Engine'!$C$2:$C$1960,0)))</f>
        <v/>
      </c>
      <c r="D831" s="9">
        <f>IF(ISNA(MATCH(822,'Transfer Engine'!$C$2:$C$1960,0)),"",INDEX('Compliance Database'!$D$2:$D$1960,MATCH(822,'Transfer Engine'!$C$2:$C$1960,0)))</f>
        <v/>
      </c>
      <c r="E831" s="8">
        <f>IF(ISNA(MATCH(822,'Transfer Engine'!$C$2:$C$1960,0)),"",INDEX('Compliance Database'!$E$2:$E$1960,MATCH(822,'Transfer Engine'!$C$2:$C$1960,0)))</f>
        <v/>
      </c>
      <c r="F831" s="8">
        <f>IF(ISNA(MATCH(822,'Transfer Engine'!$C$2:$C$1960,0)),"",INDEX('Compliance Database'!$F$2:$F$1960,MATCH(822,'Transfer Engine'!$C$2:$C$1960,0)))</f>
        <v/>
      </c>
      <c r="G831" s="8">
        <f>IF(ISNA(MATCH(822,'Transfer Engine'!$C$2:$C$1960,0)),"",INDEX('Compliance Database'!$G$2:$G$1960,MATCH(822,'Transfer Engine'!$C$2:$C$1960,0)))</f>
        <v/>
      </c>
      <c r="H831" s="9">
        <f>IF(ISNA(MATCH(822,'Transfer Engine'!$C$2:$C$1960,0)),"",INDEX('Compliance Database'!$H$2:$H$1960,MATCH(822,'Transfer Engine'!$C$2:$C$1960,0)))</f>
        <v/>
      </c>
      <c r="I831" s="9">
        <f>IF(ISNA(MATCH(822,'Transfer Engine'!$C$2:$C$1960,0)),"",INDEX('Compliance Database'!$I$2:$I$1960,MATCH(822,'Transfer Engine'!$C$2:$C$1960,0)))</f>
        <v/>
      </c>
      <c r="J831" s="8">
        <f>IF(ISNA(MATCH(822,'Transfer Engine'!$C$2:$C$1960,0)),"",INDEX('Compliance Database'!$J$2:$J$1960,MATCH(822,'Transfer Engine'!$C$2:$C$1960,0)))</f>
        <v/>
      </c>
      <c r="K831" s="9">
        <f>IF(ISNA(MATCH(822,'Transfer Engine'!$C$2:$C$1960,0)),"",INDEX('Compliance Database'!$K$2:$K$1960,MATCH(822,'Transfer Engine'!$C$2:$C$1960,0)))</f>
        <v/>
      </c>
      <c r="L831" s="9">
        <f>IF(ISNA(MATCH(822,'Transfer Engine'!$C$2:$C$1960,0)),"",INDEX('Compliance Database'!$L$2:$L$1960,MATCH(822,'Transfer Engine'!$C$2:$C$1960,0)))</f>
        <v/>
      </c>
      <c r="M831" s="9">
        <f>IF(ISNA(MATCH(822,'Transfer Engine'!$C$2:$C$1960,0)),"",INDEX('Compliance Database'!$M$2:$M$1960,MATCH(822,'Transfer Engine'!$C$2:$C$1960,0)))</f>
        <v/>
      </c>
      <c r="N831" s="9">
        <f>IF(ISNA(MATCH(822,'Transfer Engine'!$C$2:$C$1960,0)),"",INDEX('Compliance Database'!$N$2:$N$1960,MATCH(822,'Transfer Engine'!$C$2:$C$1960,0)))</f>
        <v/>
      </c>
      <c r="O831" s="9">
        <f>IF(ISNA(MATCH(822,'Transfer Engine'!$C$2:$C$1960,0)),"",INDEX('Compliance Database'!$O$2:$O$1960,MATCH(822,'Transfer Engine'!$C$2:$C$1960,0)))</f>
        <v/>
      </c>
      <c r="P831" s="8">
        <f>IF(ISNA(MATCH(822,'Transfer Engine'!$C$2:$C$1960,0)),"",HYPERLINK("#Acts!A"&amp;INDEX('Compliance Database'!$P$2:$P$1960,MATCH(822,'Transfer Engine'!$C$2:$C$1960,0)),"Go to Act"))</f>
        <v/>
      </c>
    </row>
    <row r="832" ht="158" customHeight="1">
      <c r="A832" s="8">
        <f>IF(ISNA(MATCH(823,'Transfer Engine'!$C$2:$C$1960,0)),"",INDEX('Compliance Database'!$A$2:$A$1960,MATCH(823,'Transfer Engine'!$C$2:$C$1960,0)))</f>
        <v/>
      </c>
      <c r="B832" s="8">
        <f>IF(ISNA(MATCH(823,'Transfer Engine'!$C$2:$C$1960,0)),"",INDEX('Compliance Database'!$B$2:$B$1960,MATCH(823,'Transfer Engine'!$C$2:$C$1960,0)))</f>
        <v/>
      </c>
      <c r="C832" s="8">
        <f>IF(ISNA(MATCH(823,'Transfer Engine'!$C$2:$C$1960,0)),"",INDEX('Compliance Database'!$C$2:$C$1960,MATCH(823,'Transfer Engine'!$C$2:$C$1960,0)))</f>
        <v/>
      </c>
      <c r="D832" s="9">
        <f>IF(ISNA(MATCH(823,'Transfer Engine'!$C$2:$C$1960,0)),"",INDEX('Compliance Database'!$D$2:$D$1960,MATCH(823,'Transfer Engine'!$C$2:$C$1960,0)))</f>
        <v/>
      </c>
      <c r="E832" s="8">
        <f>IF(ISNA(MATCH(823,'Transfer Engine'!$C$2:$C$1960,0)),"",INDEX('Compliance Database'!$E$2:$E$1960,MATCH(823,'Transfer Engine'!$C$2:$C$1960,0)))</f>
        <v/>
      </c>
      <c r="F832" s="8">
        <f>IF(ISNA(MATCH(823,'Transfer Engine'!$C$2:$C$1960,0)),"",INDEX('Compliance Database'!$F$2:$F$1960,MATCH(823,'Transfer Engine'!$C$2:$C$1960,0)))</f>
        <v/>
      </c>
      <c r="G832" s="8">
        <f>IF(ISNA(MATCH(823,'Transfer Engine'!$C$2:$C$1960,0)),"",INDEX('Compliance Database'!$G$2:$G$1960,MATCH(823,'Transfer Engine'!$C$2:$C$1960,0)))</f>
        <v/>
      </c>
      <c r="H832" s="9">
        <f>IF(ISNA(MATCH(823,'Transfer Engine'!$C$2:$C$1960,0)),"",INDEX('Compliance Database'!$H$2:$H$1960,MATCH(823,'Transfer Engine'!$C$2:$C$1960,0)))</f>
        <v/>
      </c>
      <c r="I832" s="9">
        <f>IF(ISNA(MATCH(823,'Transfer Engine'!$C$2:$C$1960,0)),"",INDEX('Compliance Database'!$I$2:$I$1960,MATCH(823,'Transfer Engine'!$C$2:$C$1960,0)))</f>
        <v/>
      </c>
      <c r="J832" s="8">
        <f>IF(ISNA(MATCH(823,'Transfer Engine'!$C$2:$C$1960,0)),"",INDEX('Compliance Database'!$J$2:$J$1960,MATCH(823,'Transfer Engine'!$C$2:$C$1960,0)))</f>
        <v/>
      </c>
      <c r="K832" s="9">
        <f>IF(ISNA(MATCH(823,'Transfer Engine'!$C$2:$C$1960,0)),"",INDEX('Compliance Database'!$K$2:$K$1960,MATCH(823,'Transfer Engine'!$C$2:$C$1960,0)))</f>
        <v/>
      </c>
      <c r="L832" s="9">
        <f>IF(ISNA(MATCH(823,'Transfer Engine'!$C$2:$C$1960,0)),"",INDEX('Compliance Database'!$L$2:$L$1960,MATCH(823,'Transfer Engine'!$C$2:$C$1960,0)))</f>
        <v/>
      </c>
      <c r="M832" s="9">
        <f>IF(ISNA(MATCH(823,'Transfer Engine'!$C$2:$C$1960,0)),"",INDEX('Compliance Database'!$M$2:$M$1960,MATCH(823,'Transfer Engine'!$C$2:$C$1960,0)))</f>
        <v/>
      </c>
      <c r="N832" s="9">
        <f>IF(ISNA(MATCH(823,'Transfer Engine'!$C$2:$C$1960,0)),"",INDEX('Compliance Database'!$N$2:$N$1960,MATCH(823,'Transfer Engine'!$C$2:$C$1960,0)))</f>
        <v/>
      </c>
      <c r="O832" s="9">
        <f>IF(ISNA(MATCH(823,'Transfer Engine'!$C$2:$C$1960,0)),"",INDEX('Compliance Database'!$O$2:$O$1960,MATCH(823,'Transfer Engine'!$C$2:$C$1960,0)))</f>
        <v/>
      </c>
      <c r="P832" s="8">
        <f>IF(ISNA(MATCH(823,'Transfer Engine'!$C$2:$C$1960,0)),"",HYPERLINK("#Acts!A"&amp;INDEX('Compliance Database'!$P$2:$P$1960,MATCH(823,'Transfer Engine'!$C$2:$C$1960,0)),"Go to Act"))</f>
        <v/>
      </c>
    </row>
    <row r="833" ht="158" customHeight="1">
      <c r="A833" s="8">
        <f>IF(ISNA(MATCH(824,'Transfer Engine'!$C$2:$C$1960,0)),"",INDEX('Compliance Database'!$A$2:$A$1960,MATCH(824,'Transfer Engine'!$C$2:$C$1960,0)))</f>
        <v/>
      </c>
      <c r="B833" s="8">
        <f>IF(ISNA(MATCH(824,'Transfer Engine'!$C$2:$C$1960,0)),"",INDEX('Compliance Database'!$B$2:$B$1960,MATCH(824,'Transfer Engine'!$C$2:$C$1960,0)))</f>
        <v/>
      </c>
      <c r="C833" s="8">
        <f>IF(ISNA(MATCH(824,'Transfer Engine'!$C$2:$C$1960,0)),"",INDEX('Compliance Database'!$C$2:$C$1960,MATCH(824,'Transfer Engine'!$C$2:$C$1960,0)))</f>
        <v/>
      </c>
      <c r="D833" s="9">
        <f>IF(ISNA(MATCH(824,'Transfer Engine'!$C$2:$C$1960,0)),"",INDEX('Compliance Database'!$D$2:$D$1960,MATCH(824,'Transfer Engine'!$C$2:$C$1960,0)))</f>
        <v/>
      </c>
      <c r="E833" s="8">
        <f>IF(ISNA(MATCH(824,'Transfer Engine'!$C$2:$C$1960,0)),"",INDEX('Compliance Database'!$E$2:$E$1960,MATCH(824,'Transfer Engine'!$C$2:$C$1960,0)))</f>
        <v/>
      </c>
      <c r="F833" s="8">
        <f>IF(ISNA(MATCH(824,'Transfer Engine'!$C$2:$C$1960,0)),"",INDEX('Compliance Database'!$F$2:$F$1960,MATCH(824,'Transfer Engine'!$C$2:$C$1960,0)))</f>
        <v/>
      </c>
      <c r="G833" s="8">
        <f>IF(ISNA(MATCH(824,'Transfer Engine'!$C$2:$C$1960,0)),"",INDEX('Compliance Database'!$G$2:$G$1960,MATCH(824,'Transfer Engine'!$C$2:$C$1960,0)))</f>
        <v/>
      </c>
      <c r="H833" s="9">
        <f>IF(ISNA(MATCH(824,'Transfer Engine'!$C$2:$C$1960,0)),"",INDEX('Compliance Database'!$H$2:$H$1960,MATCH(824,'Transfer Engine'!$C$2:$C$1960,0)))</f>
        <v/>
      </c>
      <c r="I833" s="9">
        <f>IF(ISNA(MATCH(824,'Transfer Engine'!$C$2:$C$1960,0)),"",INDEX('Compliance Database'!$I$2:$I$1960,MATCH(824,'Transfer Engine'!$C$2:$C$1960,0)))</f>
        <v/>
      </c>
      <c r="J833" s="8">
        <f>IF(ISNA(MATCH(824,'Transfer Engine'!$C$2:$C$1960,0)),"",INDEX('Compliance Database'!$J$2:$J$1960,MATCH(824,'Transfer Engine'!$C$2:$C$1960,0)))</f>
        <v/>
      </c>
      <c r="K833" s="9">
        <f>IF(ISNA(MATCH(824,'Transfer Engine'!$C$2:$C$1960,0)),"",INDEX('Compliance Database'!$K$2:$K$1960,MATCH(824,'Transfer Engine'!$C$2:$C$1960,0)))</f>
        <v/>
      </c>
      <c r="L833" s="9">
        <f>IF(ISNA(MATCH(824,'Transfer Engine'!$C$2:$C$1960,0)),"",INDEX('Compliance Database'!$L$2:$L$1960,MATCH(824,'Transfer Engine'!$C$2:$C$1960,0)))</f>
        <v/>
      </c>
      <c r="M833" s="9">
        <f>IF(ISNA(MATCH(824,'Transfer Engine'!$C$2:$C$1960,0)),"",INDEX('Compliance Database'!$M$2:$M$1960,MATCH(824,'Transfer Engine'!$C$2:$C$1960,0)))</f>
        <v/>
      </c>
      <c r="N833" s="9">
        <f>IF(ISNA(MATCH(824,'Transfer Engine'!$C$2:$C$1960,0)),"",INDEX('Compliance Database'!$N$2:$N$1960,MATCH(824,'Transfer Engine'!$C$2:$C$1960,0)))</f>
        <v/>
      </c>
      <c r="O833" s="9">
        <f>IF(ISNA(MATCH(824,'Transfer Engine'!$C$2:$C$1960,0)),"",INDEX('Compliance Database'!$O$2:$O$1960,MATCH(824,'Transfer Engine'!$C$2:$C$1960,0)))</f>
        <v/>
      </c>
      <c r="P833" s="8">
        <f>IF(ISNA(MATCH(824,'Transfer Engine'!$C$2:$C$1960,0)),"",HYPERLINK("#Acts!A"&amp;INDEX('Compliance Database'!$P$2:$P$1960,MATCH(824,'Transfer Engine'!$C$2:$C$1960,0)),"Go to Act"))</f>
        <v/>
      </c>
    </row>
    <row r="834" ht="158" customHeight="1">
      <c r="A834" s="8">
        <f>IF(ISNA(MATCH(825,'Transfer Engine'!$C$2:$C$1960,0)),"",INDEX('Compliance Database'!$A$2:$A$1960,MATCH(825,'Transfer Engine'!$C$2:$C$1960,0)))</f>
        <v/>
      </c>
      <c r="B834" s="8">
        <f>IF(ISNA(MATCH(825,'Transfer Engine'!$C$2:$C$1960,0)),"",INDEX('Compliance Database'!$B$2:$B$1960,MATCH(825,'Transfer Engine'!$C$2:$C$1960,0)))</f>
        <v/>
      </c>
      <c r="C834" s="8">
        <f>IF(ISNA(MATCH(825,'Transfer Engine'!$C$2:$C$1960,0)),"",INDEX('Compliance Database'!$C$2:$C$1960,MATCH(825,'Transfer Engine'!$C$2:$C$1960,0)))</f>
        <v/>
      </c>
      <c r="D834" s="9">
        <f>IF(ISNA(MATCH(825,'Transfer Engine'!$C$2:$C$1960,0)),"",INDEX('Compliance Database'!$D$2:$D$1960,MATCH(825,'Transfer Engine'!$C$2:$C$1960,0)))</f>
        <v/>
      </c>
      <c r="E834" s="8">
        <f>IF(ISNA(MATCH(825,'Transfer Engine'!$C$2:$C$1960,0)),"",INDEX('Compliance Database'!$E$2:$E$1960,MATCH(825,'Transfer Engine'!$C$2:$C$1960,0)))</f>
        <v/>
      </c>
      <c r="F834" s="8">
        <f>IF(ISNA(MATCH(825,'Transfer Engine'!$C$2:$C$1960,0)),"",INDEX('Compliance Database'!$F$2:$F$1960,MATCH(825,'Transfer Engine'!$C$2:$C$1960,0)))</f>
        <v/>
      </c>
      <c r="G834" s="8">
        <f>IF(ISNA(MATCH(825,'Transfer Engine'!$C$2:$C$1960,0)),"",INDEX('Compliance Database'!$G$2:$G$1960,MATCH(825,'Transfer Engine'!$C$2:$C$1960,0)))</f>
        <v/>
      </c>
      <c r="H834" s="9">
        <f>IF(ISNA(MATCH(825,'Transfer Engine'!$C$2:$C$1960,0)),"",INDEX('Compliance Database'!$H$2:$H$1960,MATCH(825,'Transfer Engine'!$C$2:$C$1960,0)))</f>
        <v/>
      </c>
      <c r="I834" s="9">
        <f>IF(ISNA(MATCH(825,'Transfer Engine'!$C$2:$C$1960,0)),"",INDEX('Compliance Database'!$I$2:$I$1960,MATCH(825,'Transfer Engine'!$C$2:$C$1960,0)))</f>
        <v/>
      </c>
      <c r="J834" s="8">
        <f>IF(ISNA(MATCH(825,'Transfer Engine'!$C$2:$C$1960,0)),"",INDEX('Compliance Database'!$J$2:$J$1960,MATCH(825,'Transfer Engine'!$C$2:$C$1960,0)))</f>
        <v/>
      </c>
      <c r="K834" s="9">
        <f>IF(ISNA(MATCH(825,'Transfer Engine'!$C$2:$C$1960,0)),"",INDEX('Compliance Database'!$K$2:$K$1960,MATCH(825,'Transfer Engine'!$C$2:$C$1960,0)))</f>
        <v/>
      </c>
      <c r="L834" s="9">
        <f>IF(ISNA(MATCH(825,'Transfer Engine'!$C$2:$C$1960,0)),"",INDEX('Compliance Database'!$L$2:$L$1960,MATCH(825,'Transfer Engine'!$C$2:$C$1960,0)))</f>
        <v/>
      </c>
      <c r="M834" s="9">
        <f>IF(ISNA(MATCH(825,'Transfer Engine'!$C$2:$C$1960,0)),"",INDEX('Compliance Database'!$M$2:$M$1960,MATCH(825,'Transfer Engine'!$C$2:$C$1960,0)))</f>
        <v/>
      </c>
      <c r="N834" s="9">
        <f>IF(ISNA(MATCH(825,'Transfer Engine'!$C$2:$C$1960,0)),"",INDEX('Compliance Database'!$N$2:$N$1960,MATCH(825,'Transfer Engine'!$C$2:$C$1960,0)))</f>
        <v/>
      </c>
      <c r="O834" s="9">
        <f>IF(ISNA(MATCH(825,'Transfer Engine'!$C$2:$C$1960,0)),"",INDEX('Compliance Database'!$O$2:$O$1960,MATCH(825,'Transfer Engine'!$C$2:$C$1960,0)))</f>
        <v/>
      </c>
      <c r="P834" s="8">
        <f>IF(ISNA(MATCH(825,'Transfer Engine'!$C$2:$C$1960,0)),"",HYPERLINK("#Acts!A"&amp;INDEX('Compliance Database'!$P$2:$P$1960,MATCH(825,'Transfer Engine'!$C$2:$C$1960,0)),"Go to Act"))</f>
        <v/>
      </c>
    </row>
    <row r="835" ht="158" customHeight="1">
      <c r="A835" s="8">
        <f>IF(ISNA(MATCH(826,'Transfer Engine'!$C$2:$C$1960,0)),"",INDEX('Compliance Database'!$A$2:$A$1960,MATCH(826,'Transfer Engine'!$C$2:$C$1960,0)))</f>
        <v/>
      </c>
      <c r="B835" s="8">
        <f>IF(ISNA(MATCH(826,'Transfer Engine'!$C$2:$C$1960,0)),"",INDEX('Compliance Database'!$B$2:$B$1960,MATCH(826,'Transfer Engine'!$C$2:$C$1960,0)))</f>
        <v/>
      </c>
      <c r="C835" s="8">
        <f>IF(ISNA(MATCH(826,'Transfer Engine'!$C$2:$C$1960,0)),"",INDEX('Compliance Database'!$C$2:$C$1960,MATCH(826,'Transfer Engine'!$C$2:$C$1960,0)))</f>
        <v/>
      </c>
      <c r="D835" s="9">
        <f>IF(ISNA(MATCH(826,'Transfer Engine'!$C$2:$C$1960,0)),"",INDEX('Compliance Database'!$D$2:$D$1960,MATCH(826,'Transfer Engine'!$C$2:$C$1960,0)))</f>
        <v/>
      </c>
      <c r="E835" s="8">
        <f>IF(ISNA(MATCH(826,'Transfer Engine'!$C$2:$C$1960,0)),"",INDEX('Compliance Database'!$E$2:$E$1960,MATCH(826,'Transfer Engine'!$C$2:$C$1960,0)))</f>
        <v/>
      </c>
      <c r="F835" s="8">
        <f>IF(ISNA(MATCH(826,'Transfer Engine'!$C$2:$C$1960,0)),"",INDEX('Compliance Database'!$F$2:$F$1960,MATCH(826,'Transfer Engine'!$C$2:$C$1960,0)))</f>
        <v/>
      </c>
      <c r="G835" s="8">
        <f>IF(ISNA(MATCH(826,'Transfer Engine'!$C$2:$C$1960,0)),"",INDEX('Compliance Database'!$G$2:$G$1960,MATCH(826,'Transfer Engine'!$C$2:$C$1960,0)))</f>
        <v/>
      </c>
      <c r="H835" s="9">
        <f>IF(ISNA(MATCH(826,'Transfer Engine'!$C$2:$C$1960,0)),"",INDEX('Compliance Database'!$H$2:$H$1960,MATCH(826,'Transfer Engine'!$C$2:$C$1960,0)))</f>
        <v/>
      </c>
      <c r="I835" s="9">
        <f>IF(ISNA(MATCH(826,'Transfer Engine'!$C$2:$C$1960,0)),"",INDEX('Compliance Database'!$I$2:$I$1960,MATCH(826,'Transfer Engine'!$C$2:$C$1960,0)))</f>
        <v/>
      </c>
      <c r="J835" s="8">
        <f>IF(ISNA(MATCH(826,'Transfer Engine'!$C$2:$C$1960,0)),"",INDEX('Compliance Database'!$J$2:$J$1960,MATCH(826,'Transfer Engine'!$C$2:$C$1960,0)))</f>
        <v/>
      </c>
      <c r="K835" s="9">
        <f>IF(ISNA(MATCH(826,'Transfer Engine'!$C$2:$C$1960,0)),"",INDEX('Compliance Database'!$K$2:$K$1960,MATCH(826,'Transfer Engine'!$C$2:$C$1960,0)))</f>
        <v/>
      </c>
      <c r="L835" s="9">
        <f>IF(ISNA(MATCH(826,'Transfer Engine'!$C$2:$C$1960,0)),"",INDEX('Compliance Database'!$L$2:$L$1960,MATCH(826,'Transfer Engine'!$C$2:$C$1960,0)))</f>
        <v/>
      </c>
      <c r="M835" s="9">
        <f>IF(ISNA(MATCH(826,'Transfer Engine'!$C$2:$C$1960,0)),"",INDEX('Compliance Database'!$M$2:$M$1960,MATCH(826,'Transfer Engine'!$C$2:$C$1960,0)))</f>
        <v/>
      </c>
      <c r="N835" s="9">
        <f>IF(ISNA(MATCH(826,'Transfer Engine'!$C$2:$C$1960,0)),"",INDEX('Compliance Database'!$N$2:$N$1960,MATCH(826,'Transfer Engine'!$C$2:$C$1960,0)))</f>
        <v/>
      </c>
      <c r="O835" s="9">
        <f>IF(ISNA(MATCH(826,'Transfer Engine'!$C$2:$C$1960,0)),"",INDEX('Compliance Database'!$O$2:$O$1960,MATCH(826,'Transfer Engine'!$C$2:$C$1960,0)))</f>
        <v/>
      </c>
      <c r="P835" s="8">
        <f>IF(ISNA(MATCH(826,'Transfer Engine'!$C$2:$C$1960,0)),"",HYPERLINK("#Acts!A"&amp;INDEX('Compliance Database'!$P$2:$P$1960,MATCH(826,'Transfer Engine'!$C$2:$C$1960,0)),"Go to Act"))</f>
        <v/>
      </c>
    </row>
    <row r="836" ht="158" customHeight="1">
      <c r="A836" s="8">
        <f>IF(ISNA(MATCH(827,'Transfer Engine'!$C$2:$C$1960,0)),"",INDEX('Compliance Database'!$A$2:$A$1960,MATCH(827,'Transfer Engine'!$C$2:$C$1960,0)))</f>
        <v/>
      </c>
      <c r="B836" s="8">
        <f>IF(ISNA(MATCH(827,'Transfer Engine'!$C$2:$C$1960,0)),"",INDEX('Compliance Database'!$B$2:$B$1960,MATCH(827,'Transfer Engine'!$C$2:$C$1960,0)))</f>
        <v/>
      </c>
      <c r="C836" s="8">
        <f>IF(ISNA(MATCH(827,'Transfer Engine'!$C$2:$C$1960,0)),"",INDEX('Compliance Database'!$C$2:$C$1960,MATCH(827,'Transfer Engine'!$C$2:$C$1960,0)))</f>
        <v/>
      </c>
      <c r="D836" s="9">
        <f>IF(ISNA(MATCH(827,'Transfer Engine'!$C$2:$C$1960,0)),"",INDEX('Compliance Database'!$D$2:$D$1960,MATCH(827,'Transfer Engine'!$C$2:$C$1960,0)))</f>
        <v/>
      </c>
      <c r="E836" s="8">
        <f>IF(ISNA(MATCH(827,'Transfer Engine'!$C$2:$C$1960,0)),"",INDEX('Compliance Database'!$E$2:$E$1960,MATCH(827,'Transfer Engine'!$C$2:$C$1960,0)))</f>
        <v/>
      </c>
      <c r="F836" s="8">
        <f>IF(ISNA(MATCH(827,'Transfer Engine'!$C$2:$C$1960,0)),"",INDEX('Compliance Database'!$F$2:$F$1960,MATCH(827,'Transfer Engine'!$C$2:$C$1960,0)))</f>
        <v/>
      </c>
      <c r="G836" s="8">
        <f>IF(ISNA(MATCH(827,'Transfer Engine'!$C$2:$C$1960,0)),"",INDEX('Compliance Database'!$G$2:$G$1960,MATCH(827,'Transfer Engine'!$C$2:$C$1960,0)))</f>
        <v/>
      </c>
      <c r="H836" s="9">
        <f>IF(ISNA(MATCH(827,'Transfer Engine'!$C$2:$C$1960,0)),"",INDEX('Compliance Database'!$H$2:$H$1960,MATCH(827,'Transfer Engine'!$C$2:$C$1960,0)))</f>
        <v/>
      </c>
      <c r="I836" s="9">
        <f>IF(ISNA(MATCH(827,'Transfer Engine'!$C$2:$C$1960,0)),"",INDEX('Compliance Database'!$I$2:$I$1960,MATCH(827,'Transfer Engine'!$C$2:$C$1960,0)))</f>
        <v/>
      </c>
      <c r="J836" s="8">
        <f>IF(ISNA(MATCH(827,'Transfer Engine'!$C$2:$C$1960,0)),"",INDEX('Compliance Database'!$J$2:$J$1960,MATCH(827,'Transfer Engine'!$C$2:$C$1960,0)))</f>
        <v/>
      </c>
      <c r="K836" s="9">
        <f>IF(ISNA(MATCH(827,'Transfer Engine'!$C$2:$C$1960,0)),"",INDEX('Compliance Database'!$K$2:$K$1960,MATCH(827,'Transfer Engine'!$C$2:$C$1960,0)))</f>
        <v/>
      </c>
      <c r="L836" s="9">
        <f>IF(ISNA(MATCH(827,'Transfer Engine'!$C$2:$C$1960,0)),"",INDEX('Compliance Database'!$L$2:$L$1960,MATCH(827,'Transfer Engine'!$C$2:$C$1960,0)))</f>
        <v/>
      </c>
      <c r="M836" s="9">
        <f>IF(ISNA(MATCH(827,'Transfer Engine'!$C$2:$C$1960,0)),"",INDEX('Compliance Database'!$M$2:$M$1960,MATCH(827,'Transfer Engine'!$C$2:$C$1960,0)))</f>
        <v/>
      </c>
      <c r="N836" s="9">
        <f>IF(ISNA(MATCH(827,'Transfer Engine'!$C$2:$C$1960,0)),"",INDEX('Compliance Database'!$N$2:$N$1960,MATCH(827,'Transfer Engine'!$C$2:$C$1960,0)))</f>
        <v/>
      </c>
      <c r="O836" s="9">
        <f>IF(ISNA(MATCH(827,'Transfer Engine'!$C$2:$C$1960,0)),"",INDEX('Compliance Database'!$O$2:$O$1960,MATCH(827,'Transfer Engine'!$C$2:$C$1960,0)))</f>
        <v/>
      </c>
      <c r="P836" s="8">
        <f>IF(ISNA(MATCH(827,'Transfer Engine'!$C$2:$C$1960,0)),"",HYPERLINK("#Acts!A"&amp;INDEX('Compliance Database'!$P$2:$P$1960,MATCH(827,'Transfer Engine'!$C$2:$C$1960,0)),"Go to Act"))</f>
        <v/>
      </c>
    </row>
    <row r="837" ht="158" customHeight="1">
      <c r="A837" s="8">
        <f>IF(ISNA(MATCH(828,'Transfer Engine'!$C$2:$C$1960,0)),"",INDEX('Compliance Database'!$A$2:$A$1960,MATCH(828,'Transfer Engine'!$C$2:$C$1960,0)))</f>
        <v/>
      </c>
      <c r="B837" s="8">
        <f>IF(ISNA(MATCH(828,'Transfer Engine'!$C$2:$C$1960,0)),"",INDEX('Compliance Database'!$B$2:$B$1960,MATCH(828,'Transfer Engine'!$C$2:$C$1960,0)))</f>
        <v/>
      </c>
      <c r="C837" s="8">
        <f>IF(ISNA(MATCH(828,'Transfer Engine'!$C$2:$C$1960,0)),"",INDEX('Compliance Database'!$C$2:$C$1960,MATCH(828,'Transfer Engine'!$C$2:$C$1960,0)))</f>
        <v/>
      </c>
      <c r="D837" s="9">
        <f>IF(ISNA(MATCH(828,'Transfer Engine'!$C$2:$C$1960,0)),"",INDEX('Compliance Database'!$D$2:$D$1960,MATCH(828,'Transfer Engine'!$C$2:$C$1960,0)))</f>
        <v/>
      </c>
      <c r="E837" s="8">
        <f>IF(ISNA(MATCH(828,'Transfer Engine'!$C$2:$C$1960,0)),"",INDEX('Compliance Database'!$E$2:$E$1960,MATCH(828,'Transfer Engine'!$C$2:$C$1960,0)))</f>
        <v/>
      </c>
      <c r="F837" s="8">
        <f>IF(ISNA(MATCH(828,'Transfer Engine'!$C$2:$C$1960,0)),"",INDEX('Compliance Database'!$F$2:$F$1960,MATCH(828,'Transfer Engine'!$C$2:$C$1960,0)))</f>
        <v/>
      </c>
      <c r="G837" s="8">
        <f>IF(ISNA(MATCH(828,'Transfer Engine'!$C$2:$C$1960,0)),"",INDEX('Compliance Database'!$G$2:$G$1960,MATCH(828,'Transfer Engine'!$C$2:$C$1960,0)))</f>
        <v/>
      </c>
      <c r="H837" s="9">
        <f>IF(ISNA(MATCH(828,'Transfer Engine'!$C$2:$C$1960,0)),"",INDEX('Compliance Database'!$H$2:$H$1960,MATCH(828,'Transfer Engine'!$C$2:$C$1960,0)))</f>
        <v/>
      </c>
      <c r="I837" s="9">
        <f>IF(ISNA(MATCH(828,'Transfer Engine'!$C$2:$C$1960,0)),"",INDEX('Compliance Database'!$I$2:$I$1960,MATCH(828,'Transfer Engine'!$C$2:$C$1960,0)))</f>
        <v/>
      </c>
      <c r="J837" s="8">
        <f>IF(ISNA(MATCH(828,'Transfer Engine'!$C$2:$C$1960,0)),"",INDEX('Compliance Database'!$J$2:$J$1960,MATCH(828,'Transfer Engine'!$C$2:$C$1960,0)))</f>
        <v/>
      </c>
      <c r="K837" s="9">
        <f>IF(ISNA(MATCH(828,'Transfer Engine'!$C$2:$C$1960,0)),"",INDEX('Compliance Database'!$K$2:$K$1960,MATCH(828,'Transfer Engine'!$C$2:$C$1960,0)))</f>
        <v/>
      </c>
      <c r="L837" s="9">
        <f>IF(ISNA(MATCH(828,'Transfer Engine'!$C$2:$C$1960,0)),"",INDEX('Compliance Database'!$L$2:$L$1960,MATCH(828,'Transfer Engine'!$C$2:$C$1960,0)))</f>
        <v/>
      </c>
      <c r="M837" s="9">
        <f>IF(ISNA(MATCH(828,'Transfer Engine'!$C$2:$C$1960,0)),"",INDEX('Compliance Database'!$M$2:$M$1960,MATCH(828,'Transfer Engine'!$C$2:$C$1960,0)))</f>
        <v/>
      </c>
      <c r="N837" s="9">
        <f>IF(ISNA(MATCH(828,'Transfer Engine'!$C$2:$C$1960,0)),"",INDEX('Compliance Database'!$N$2:$N$1960,MATCH(828,'Transfer Engine'!$C$2:$C$1960,0)))</f>
        <v/>
      </c>
      <c r="O837" s="9">
        <f>IF(ISNA(MATCH(828,'Transfer Engine'!$C$2:$C$1960,0)),"",INDEX('Compliance Database'!$O$2:$O$1960,MATCH(828,'Transfer Engine'!$C$2:$C$1960,0)))</f>
        <v/>
      </c>
      <c r="P837" s="8">
        <f>IF(ISNA(MATCH(828,'Transfer Engine'!$C$2:$C$1960,0)),"",HYPERLINK("#Acts!A"&amp;INDEX('Compliance Database'!$P$2:$P$1960,MATCH(828,'Transfer Engine'!$C$2:$C$1960,0)),"Go to Act"))</f>
        <v/>
      </c>
    </row>
    <row r="838" ht="158" customHeight="1">
      <c r="A838" s="8">
        <f>IF(ISNA(MATCH(829,'Transfer Engine'!$C$2:$C$1960,0)),"",INDEX('Compliance Database'!$A$2:$A$1960,MATCH(829,'Transfer Engine'!$C$2:$C$1960,0)))</f>
        <v/>
      </c>
      <c r="B838" s="8">
        <f>IF(ISNA(MATCH(829,'Transfer Engine'!$C$2:$C$1960,0)),"",INDEX('Compliance Database'!$B$2:$B$1960,MATCH(829,'Transfer Engine'!$C$2:$C$1960,0)))</f>
        <v/>
      </c>
      <c r="C838" s="8">
        <f>IF(ISNA(MATCH(829,'Transfer Engine'!$C$2:$C$1960,0)),"",INDEX('Compliance Database'!$C$2:$C$1960,MATCH(829,'Transfer Engine'!$C$2:$C$1960,0)))</f>
        <v/>
      </c>
      <c r="D838" s="9">
        <f>IF(ISNA(MATCH(829,'Transfer Engine'!$C$2:$C$1960,0)),"",INDEX('Compliance Database'!$D$2:$D$1960,MATCH(829,'Transfer Engine'!$C$2:$C$1960,0)))</f>
        <v/>
      </c>
      <c r="E838" s="8">
        <f>IF(ISNA(MATCH(829,'Transfer Engine'!$C$2:$C$1960,0)),"",INDEX('Compliance Database'!$E$2:$E$1960,MATCH(829,'Transfer Engine'!$C$2:$C$1960,0)))</f>
        <v/>
      </c>
      <c r="F838" s="8">
        <f>IF(ISNA(MATCH(829,'Transfer Engine'!$C$2:$C$1960,0)),"",INDEX('Compliance Database'!$F$2:$F$1960,MATCH(829,'Transfer Engine'!$C$2:$C$1960,0)))</f>
        <v/>
      </c>
      <c r="G838" s="8">
        <f>IF(ISNA(MATCH(829,'Transfer Engine'!$C$2:$C$1960,0)),"",INDEX('Compliance Database'!$G$2:$G$1960,MATCH(829,'Transfer Engine'!$C$2:$C$1960,0)))</f>
        <v/>
      </c>
      <c r="H838" s="9">
        <f>IF(ISNA(MATCH(829,'Transfer Engine'!$C$2:$C$1960,0)),"",INDEX('Compliance Database'!$H$2:$H$1960,MATCH(829,'Transfer Engine'!$C$2:$C$1960,0)))</f>
        <v/>
      </c>
      <c r="I838" s="9">
        <f>IF(ISNA(MATCH(829,'Transfer Engine'!$C$2:$C$1960,0)),"",INDEX('Compliance Database'!$I$2:$I$1960,MATCH(829,'Transfer Engine'!$C$2:$C$1960,0)))</f>
        <v/>
      </c>
      <c r="J838" s="8">
        <f>IF(ISNA(MATCH(829,'Transfer Engine'!$C$2:$C$1960,0)),"",INDEX('Compliance Database'!$J$2:$J$1960,MATCH(829,'Transfer Engine'!$C$2:$C$1960,0)))</f>
        <v/>
      </c>
      <c r="K838" s="9">
        <f>IF(ISNA(MATCH(829,'Transfer Engine'!$C$2:$C$1960,0)),"",INDEX('Compliance Database'!$K$2:$K$1960,MATCH(829,'Transfer Engine'!$C$2:$C$1960,0)))</f>
        <v/>
      </c>
      <c r="L838" s="9">
        <f>IF(ISNA(MATCH(829,'Transfer Engine'!$C$2:$C$1960,0)),"",INDEX('Compliance Database'!$L$2:$L$1960,MATCH(829,'Transfer Engine'!$C$2:$C$1960,0)))</f>
        <v/>
      </c>
      <c r="M838" s="9">
        <f>IF(ISNA(MATCH(829,'Transfer Engine'!$C$2:$C$1960,0)),"",INDEX('Compliance Database'!$M$2:$M$1960,MATCH(829,'Transfer Engine'!$C$2:$C$1960,0)))</f>
        <v/>
      </c>
      <c r="N838" s="9">
        <f>IF(ISNA(MATCH(829,'Transfer Engine'!$C$2:$C$1960,0)),"",INDEX('Compliance Database'!$N$2:$N$1960,MATCH(829,'Transfer Engine'!$C$2:$C$1960,0)))</f>
        <v/>
      </c>
      <c r="O838" s="9">
        <f>IF(ISNA(MATCH(829,'Transfer Engine'!$C$2:$C$1960,0)),"",INDEX('Compliance Database'!$O$2:$O$1960,MATCH(829,'Transfer Engine'!$C$2:$C$1960,0)))</f>
        <v/>
      </c>
      <c r="P838" s="8">
        <f>IF(ISNA(MATCH(829,'Transfer Engine'!$C$2:$C$1960,0)),"",HYPERLINK("#Acts!A"&amp;INDEX('Compliance Database'!$P$2:$P$1960,MATCH(829,'Transfer Engine'!$C$2:$C$1960,0)),"Go to Act"))</f>
        <v/>
      </c>
    </row>
    <row r="839" ht="158" customHeight="1">
      <c r="A839" s="8">
        <f>IF(ISNA(MATCH(830,'Transfer Engine'!$C$2:$C$1960,0)),"",INDEX('Compliance Database'!$A$2:$A$1960,MATCH(830,'Transfer Engine'!$C$2:$C$1960,0)))</f>
        <v/>
      </c>
      <c r="B839" s="8">
        <f>IF(ISNA(MATCH(830,'Transfer Engine'!$C$2:$C$1960,0)),"",INDEX('Compliance Database'!$B$2:$B$1960,MATCH(830,'Transfer Engine'!$C$2:$C$1960,0)))</f>
        <v/>
      </c>
      <c r="C839" s="8">
        <f>IF(ISNA(MATCH(830,'Transfer Engine'!$C$2:$C$1960,0)),"",INDEX('Compliance Database'!$C$2:$C$1960,MATCH(830,'Transfer Engine'!$C$2:$C$1960,0)))</f>
        <v/>
      </c>
      <c r="D839" s="9">
        <f>IF(ISNA(MATCH(830,'Transfer Engine'!$C$2:$C$1960,0)),"",INDEX('Compliance Database'!$D$2:$D$1960,MATCH(830,'Transfer Engine'!$C$2:$C$1960,0)))</f>
        <v/>
      </c>
      <c r="E839" s="8">
        <f>IF(ISNA(MATCH(830,'Transfer Engine'!$C$2:$C$1960,0)),"",INDEX('Compliance Database'!$E$2:$E$1960,MATCH(830,'Transfer Engine'!$C$2:$C$1960,0)))</f>
        <v/>
      </c>
      <c r="F839" s="8">
        <f>IF(ISNA(MATCH(830,'Transfer Engine'!$C$2:$C$1960,0)),"",INDEX('Compliance Database'!$F$2:$F$1960,MATCH(830,'Transfer Engine'!$C$2:$C$1960,0)))</f>
        <v/>
      </c>
      <c r="G839" s="8">
        <f>IF(ISNA(MATCH(830,'Transfer Engine'!$C$2:$C$1960,0)),"",INDEX('Compliance Database'!$G$2:$G$1960,MATCH(830,'Transfer Engine'!$C$2:$C$1960,0)))</f>
        <v/>
      </c>
      <c r="H839" s="9">
        <f>IF(ISNA(MATCH(830,'Transfer Engine'!$C$2:$C$1960,0)),"",INDEX('Compliance Database'!$H$2:$H$1960,MATCH(830,'Transfer Engine'!$C$2:$C$1960,0)))</f>
        <v/>
      </c>
      <c r="I839" s="9">
        <f>IF(ISNA(MATCH(830,'Transfer Engine'!$C$2:$C$1960,0)),"",INDEX('Compliance Database'!$I$2:$I$1960,MATCH(830,'Transfer Engine'!$C$2:$C$1960,0)))</f>
        <v/>
      </c>
      <c r="J839" s="8">
        <f>IF(ISNA(MATCH(830,'Transfer Engine'!$C$2:$C$1960,0)),"",INDEX('Compliance Database'!$J$2:$J$1960,MATCH(830,'Transfer Engine'!$C$2:$C$1960,0)))</f>
        <v/>
      </c>
      <c r="K839" s="9">
        <f>IF(ISNA(MATCH(830,'Transfer Engine'!$C$2:$C$1960,0)),"",INDEX('Compliance Database'!$K$2:$K$1960,MATCH(830,'Transfer Engine'!$C$2:$C$1960,0)))</f>
        <v/>
      </c>
      <c r="L839" s="9">
        <f>IF(ISNA(MATCH(830,'Transfer Engine'!$C$2:$C$1960,0)),"",INDEX('Compliance Database'!$L$2:$L$1960,MATCH(830,'Transfer Engine'!$C$2:$C$1960,0)))</f>
        <v/>
      </c>
      <c r="M839" s="9">
        <f>IF(ISNA(MATCH(830,'Transfer Engine'!$C$2:$C$1960,0)),"",INDEX('Compliance Database'!$M$2:$M$1960,MATCH(830,'Transfer Engine'!$C$2:$C$1960,0)))</f>
        <v/>
      </c>
      <c r="N839" s="9">
        <f>IF(ISNA(MATCH(830,'Transfer Engine'!$C$2:$C$1960,0)),"",INDEX('Compliance Database'!$N$2:$N$1960,MATCH(830,'Transfer Engine'!$C$2:$C$1960,0)))</f>
        <v/>
      </c>
      <c r="O839" s="9">
        <f>IF(ISNA(MATCH(830,'Transfer Engine'!$C$2:$C$1960,0)),"",INDEX('Compliance Database'!$O$2:$O$1960,MATCH(830,'Transfer Engine'!$C$2:$C$1960,0)))</f>
        <v/>
      </c>
      <c r="P839" s="8">
        <f>IF(ISNA(MATCH(830,'Transfer Engine'!$C$2:$C$1960,0)),"",HYPERLINK("#Acts!A"&amp;INDEX('Compliance Database'!$P$2:$P$1960,MATCH(830,'Transfer Engine'!$C$2:$C$1960,0)),"Go to Act"))</f>
        <v/>
      </c>
    </row>
    <row r="840" ht="158" customHeight="1">
      <c r="A840" s="8">
        <f>IF(ISNA(MATCH(831,'Transfer Engine'!$C$2:$C$1960,0)),"",INDEX('Compliance Database'!$A$2:$A$1960,MATCH(831,'Transfer Engine'!$C$2:$C$1960,0)))</f>
        <v/>
      </c>
      <c r="B840" s="8">
        <f>IF(ISNA(MATCH(831,'Transfer Engine'!$C$2:$C$1960,0)),"",INDEX('Compliance Database'!$B$2:$B$1960,MATCH(831,'Transfer Engine'!$C$2:$C$1960,0)))</f>
        <v/>
      </c>
      <c r="C840" s="8">
        <f>IF(ISNA(MATCH(831,'Transfer Engine'!$C$2:$C$1960,0)),"",INDEX('Compliance Database'!$C$2:$C$1960,MATCH(831,'Transfer Engine'!$C$2:$C$1960,0)))</f>
        <v/>
      </c>
      <c r="D840" s="9">
        <f>IF(ISNA(MATCH(831,'Transfer Engine'!$C$2:$C$1960,0)),"",INDEX('Compliance Database'!$D$2:$D$1960,MATCH(831,'Transfer Engine'!$C$2:$C$1960,0)))</f>
        <v/>
      </c>
      <c r="E840" s="8">
        <f>IF(ISNA(MATCH(831,'Transfer Engine'!$C$2:$C$1960,0)),"",INDEX('Compliance Database'!$E$2:$E$1960,MATCH(831,'Transfer Engine'!$C$2:$C$1960,0)))</f>
        <v/>
      </c>
      <c r="F840" s="8">
        <f>IF(ISNA(MATCH(831,'Transfer Engine'!$C$2:$C$1960,0)),"",INDEX('Compliance Database'!$F$2:$F$1960,MATCH(831,'Transfer Engine'!$C$2:$C$1960,0)))</f>
        <v/>
      </c>
      <c r="G840" s="8">
        <f>IF(ISNA(MATCH(831,'Transfer Engine'!$C$2:$C$1960,0)),"",INDEX('Compliance Database'!$G$2:$G$1960,MATCH(831,'Transfer Engine'!$C$2:$C$1960,0)))</f>
        <v/>
      </c>
      <c r="H840" s="9">
        <f>IF(ISNA(MATCH(831,'Transfer Engine'!$C$2:$C$1960,0)),"",INDEX('Compliance Database'!$H$2:$H$1960,MATCH(831,'Transfer Engine'!$C$2:$C$1960,0)))</f>
        <v/>
      </c>
      <c r="I840" s="9">
        <f>IF(ISNA(MATCH(831,'Transfer Engine'!$C$2:$C$1960,0)),"",INDEX('Compliance Database'!$I$2:$I$1960,MATCH(831,'Transfer Engine'!$C$2:$C$1960,0)))</f>
        <v/>
      </c>
      <c r="J840" s="8">
        <f>IF(ISNA(MATCH(831,'Transfer Engine'!$C$2:$C$1960,0)),"",INDEX('Compliance Database'!$J$2:$J$1960,MATCH(831,'Transfer Engine'!$C$2:$C$1960,0)))</f>
        <v/>
      </c>
      <c r="K840" s="9">
        <f>IF(ISNA(MATCH(831,'Transfer Engine'!$C$2:$C$1960,0)),"",INDEX('Compliance Database'!$K$2:$K$1960,MATCH(831,'Transfer Engine'!$C$2:$C$1960,0)))</f>
        <v/>
      </c>
      <c r="L840" s="9">
        <f>IF(ISNA(MATCH(831,'Transfer Engine'!$C$2:$C$1960,0)),"",INDEX('Compliance Database'!$L$2:$L$1960,MATCH(831,'Transfer Engine'!$C$2:$C$1960,0)))</f>
        <v/>
      </c>
      <c r="M840" s="9">
        <f>IF(ISNA(MATCH(831,'Transfer Engine'!$C$2:$C$1960,0)),"",INDEX('Compliance Database'!$M$2:$M$1960,MATCH(831,'Transfer Engine'!$C$2:$C$1960,0)))</f>
        <v/>
      </c>
      <c r="N840" s="9">
        <f>IF(ISNA(MATCH(831,'Transfer Engine'!$C$2:$C$1960,0)),"",INDEX('Compliance Database'!$N$2:$N$1960,MATCH(831,'Transfer Engine'!$C$2:$C$1960,0)))</f>
        <v/>
      </c>
      <c r="O840" s="9">
        <f>IF(ISNA(MATCH(831,'Transfer Engine'!$C$2:$C$1960,0)),"",INDEX('Compliance Database'!$O$2:$O$1960,MATCH(831,'Transfer Engine'!$C$2:$C$1960,0)))</f>
        <v/>
      </c>
      <c r="P840" s="8">
        <f>IF(ISNA(MATCH(831,'Transfer Engine'!$C$2:$C$1960,0)),"",HYPERLINK("#Acts!A"&amp;INDEX('Compliance Database'!$P$2:$P$1960,MATCH(831,'Transfer Engine'!$C$2:$C$1960,0)),"Go to Act"))</f>
        <v/>
      </c>
    </row>
    <row r="841" ht="158" customHeight="1">
      <c r="A841" s="8">
        <f>IF(ISNA(MATCH(832,'Transfer Engine'!$C$2:$C$1960,0)),"",INDEX('Compliance Database'!$A$2:$A$1960,MATCH(832,'Transfer Engine'!$C$2:$C$1960,0)))</f>
        <v/>
      </c>
      <c r="B841" s="8">
        <f>IF(ISNA(MATCH(832,'Transfer Engine'!$C$2:$C$1960,0)),"",INDEX('Compliance Database'!$B$2:$B$1960,MATCH(832,'Transfer Engine'!$C$2:$C$1960,0)))</f>
        <v/>
      </c>
      <c r="C841" s="8">
        <f>IF(ISNA(MATCH(832,'Transfer Engine'!$C$2:$C$1960,0)),"",INDEX('Compliance Database'!$C$2:$C$1960,MATCH(832,'Transfer Engine'!$C$2:$C$1960,0)))</f>
        <v/>
      </c>
      <c r="D841" s="9">
        <f>IF(ISNA(MATCH(832,'Transfer Engine'!$C$2:$C$1960,0)),"",INDEX('Compliance Database'!$D$2:$D$1960,MATCH(832,'Transfer Engine'!$C$2:$C$1960,0)))</f>
        <v/>
      </c>
      <c r="E841" s="8">
        <f>IF(ISNA(MATCH(832,'Transfer Engine'!$C$2:$C$1960,0)),"",INDEX('Compliance Database'!$E$2:$E$1960,MATCH(832,'Transfer Engine'!$C$2:$C$1960,0)))</f>
        <v/>
      </c>
      <c r="F841" s="8">
        <f>IF(ISNA(MATCH(832,'Transfer Engine'!$C$2:$C$1960,0)),"",INDEX('Compliance Database'!$F$2:$F$1960,MATCH(832,'Transfer Engine'!$C$2:$C$1960,0)))</f>
        <v/>
      </c>
      <c r="G841" s="8">
        <f>IF(ISNA(MATCH(832,'Transfer Engine'!$C$2:$C$1960,0)),"",INDEX('Compliance Database'!$G$2:$G$1960,MATCH(832,'Transfer Engine'!$C$2:$C$1960,0)))</f>
        <v/>
      </c>
      <c r="H841" s="9">
        <f>IF(ISNA(MATCH(832,'Transfer Engine'!$C$2:$C$1960,0)),"",INDEX('Compliance Database'!$H$2:$H$1960,MATCH(832,'Transfer Engine'!$C$2:$C$1960,0)))</f>
        <v/>
      </c>
      <c r="I841" s="9">
        <f>IF(ISNA(MATCH(832,'Transfer Engine'!$C$2:$C$1960,0)),"",INDEX('Compliance Database'!$I$2:$I$1960,MATCH(832,'Transfer Engine'!$C$2:$C$1960,0)))</f>
        <v/>
      </c>
      <c r="J841" s="8">
        <f>IF(ISNA(MATCH(832,'Transfer Engine'!$C$2:$C$1960,0)),"",INDEX('Compliance Database'!$J$2:$J$1960,MATCH(832,'Transfer Engine'!$C$2:$C$1960,0)))</f>
        <v/>
      </c>
      <c r="K841" s="9">
        <f>IF(ISNA(MATCH(832,'Transfer Engine'!$C$2:$C$1960,0)),"",INDEX('Compliance Database'!$K$2:$K$1960,MATCH(832,'Transfer Engine'!$C$2:$C$1960,0)))</f>
        <v/>
      </c>
      <c r="L841" s="9">
        <f>IF(ISNA(MATCH(832,'Transfer Engine'!$C$2:$C$1960,0)),"",INDEX('Compliance Database'!$L$2:$L$1960,MATCH(832,'Transfer Engine'!$C$2:$C$1960,0)))</f>
        <v/>
      </c>
      <c r="M841" s="9">
        <f>IF(ISNA(MATCH(832,'Transfer Engine'!$C$2:$C$1960,0)),"",INDEX('Compliance Database'!$M$2:$M$1960,MATCH(832,'Transfer Engine'!$C$2:$C$1960,0)))</f>
        <v/>
      </c>
      <c r="N841" s="9">
        <f>IF(ISNA(MATCH(832,'Transfer Engine'!$C$2:$C$1960,0)),"",INDEX('Compliance Database'!$N$2:$N$1960,MATCH(832,'Transfer Engine'!$C$2:$C$1960,0)))</f>
        <v/>
      </c>
      <c r="O841" s="9">
        <f>IF(ISNA(MATCH(832,'Transfer Engine'!$C$2:$C$1960,0)),"",INDEX('Compliance Database'!$O$2:$O$1960,MATCH(832,'Transfer Engine'!$C$2:$C$1960,0)))</f>
        <v/>
      </c>
      <c r="P841" s="8">
        <f>IF(ISNA(MATCH(832,'Transfer Engine'!$C$2:$C$1960,0)),"",HYPERLINK("#Acts!A"&amp;INDEX('Compliance Database'!$P$2:$P$1960,MATCH(832,'Transfer Engine'!$C$2:$C$1960,0)),"Go to Act"))</f>
        <v/>
      </c>
    </row>
    <row r="842" ht="158" customHeight="1">
      <c r="A842" s="8">
        <f>IF(ISNA(MATCH(833,'Transfer Engine'!$C$2:$C$1960,0)),"",INDEX('Compliance Database'!$A$2:$A$1960,MATCH(833,'Transfer Engine'!$C$2:$C$1960,0)))</f>
        <v/>
      </c>
      <c r="B842" s="8">
        <f>IF(ISNA(MATCH(833,'Transfer Engine'!$C$2:$C$1960,0)),"",INDEX('Compliance Database'!$B$2:$B$1960,MATCH(833,'Transfer Engine'!$C$2:$C$1960,0)))</f>
        <v/>
      </c>
      <c r="C842" s="8">
        <f>IF(ISNA(MATCH(833,'Transfer Engine'!$C$2:$C$1960,0)),"",INDEX('Compliance Database'!$C$2:$C$1960,MATCH(833,'Transfer Engine'!$C$2:$C$1960,0)))</f>
        <v/>
      </c>
      <c r="D842" s="9">
        <f>IF(ISNA(MATCH(833,'Transfer Engine'!$C$2:$C$1960,0)),"",INDEX('Compliance Database'!$D$2:$D$1960,MATCH(833,'Transfer Engine'!$C$2:$C$1960,0)))</f>
        <v/>
      </c>
      <c r="E842" s="8">
        <f>IF(ISNA(MATCH(833,'Transfer Engine'!$C$2:$C$1960,0)),"",INDEX('Compliance Database'!$E$2:$E$1960,MATCH(833,'Transfer Engine'!$C$2:$C$1960,0)))</f>
        <v/>
      </c>
      <c r="F842" s="8">
        <f>IF(ISNA(MATCH(833,'Transfer Engine'!$C$2:$C$1960,0)),"",INDEX('Compliance Database'!$F$2:$F$1960,MATCH(833,'Transfer Engine'!$C$2:$C$1960,0)))</f>
        <v/>
      </c>
      <c r="G842" s="8">
        <f>IF(ISNA(MATCH(833,'Transfer Engine'!$C$2:$C$1960,0)),"",INDEX('Compliance Database'!$G$2:$G$1960,MATCH(833,'Transfer Engine'!$C$2:$C$1960,0)))</f>
        <v/>
      </c>
      <c r="H842" s="9">
        <f>IF(ISNA(MATCH(833,'Transfer Engine'!$C$2:$C$1960,0)),"",INDEX('Compliance Database'!$H$2:$H$1960,MATCH(833,'Transfer Engine'!$C$2:$C$1960,0)))</f>
        <v/>
      </c>
      <c r="I842" s="9">
        <f>IF(ISNA(MATCH(833,'Transfer Engine'!$C$2:$C$1960,0)),"",INDEX('Compliance Database'!$I$2:$I$1960,MATCH(833,'Transfer Engine'!$C$2:$C$1960,0)))</f>
        <v/>
      </c>
      <c r="J842" s="8">
        <f>IF(ISNA(MATCH(833,'Transfer Engine'!$C$2:$C$1960,0)),"",INDEX('Compliance Database'!$J$2:$J$1960,MATCH(833,'Transfer Engine'!$C$2:$C$1960,0)))</f>
        <v/>
      </c>
      <c r="K842" s="9">
        <f>IF(ISNA(MATCH(833,'Transfer Engine'!$C$2:$C$1960,0)),"",INDEX('Compliance Database'!$K$2:$K$1960,MATCH(833,'Transfer Engine'!$C$2:$C$1960,0)))</f>
        <v/>
      </c>
      <c r="L842" s="9">
        <f>IF(ISNA(MATCH(833,'Transfer Engine'!$C$2:$C$1960,0)),"",INDEX('Compliance Database'!$L$2:$L$1960,MATCH(833,'Transfer Engine'!$C$2:$C$1960,0)))</f>
        <v/>
      </c>
      <c r="M842" s="9">
        <f>IF(ISNA(MATCH(833,'Transfer Engine'!$C$2:$C$1960,0)),"",INDEX('Compliance Database'!$M$2:$M$1960,MATCH(833,'Transfer Engine'!$C$2:$C$1960,0)))</f>
        <v/>
      </c>
      <c r="N842" s="9">
        <f>IF(ISNA(MATCH(833,'Transfer Engine'!$C$2:$C$1960,0)),"",INDEX('Compliance Database'!$N$2:$N$1960,MATCH(833,'Transfer Engine'!$C$2:$C$1960,0)))</f>
        <v/>
      </c>
      <c r="O842" s="9">
        <f>IF(ISNA(MATCH(833,'Transfer Engine'!$C$2:$C$1960,0)),"",INDEX('Compliance Database'!$O$2:$O$1960,MATCH(833,'Transfer Engine'!$C$2:$C$1960,0)))</f>
        <v/>
      </c>
      <c r="P842" s="8">
        <f>IF(ISNA(MATCH(833,'Transfer Engine'!$C$2:$C$1960,0)),"",HYPERLINK("#Acts!A"&amp;INDEX('Compliance Database'!$P$2:$P$1960,MATCH(833,'Transfer Engine'!$C$2:$C$1960,0)),"Go to Act"))</f>
        <v/>
      </c>
    </row>
    <row r="843" ht="158" customHeight="1">
      <c r="A843" s="8">
        <f>IF(ISNA(MATCH(834,'Transfer Engine'!$C$2:$C$1960,0)),"",INDEX('Compliance Database'!$A$2:$A$1960,MATCH(834,'Transfer Engine'!$C$2:$C$1960,0)))</f>
        <v/>
      </c>
      <c r="B843" s="8">
        <f>IF(ISNA(MATCH(834,'Transfer Engine'!$C$2:$C$1960,0)),"",INDEX('Compliance Database'!$B$2:$B$1960,MATCH(834,'Transfer Engine'!$C$2:$C$1960,0)))</f>
        <v/>
      </c>
      <c r="C843" s="8">
        <f>IF(ISNA(MATCH(834,'Transfer Engine'!$C$2:$C$1960,0)),"",INDEX('Compliance Database'!$C$2:$C$1960,MATCH(834,'Transfer Engine'!$C$2:$C$1960,0)))</f>
        <v/>
      </c>
      <c r="D843" s="9">
        <f>IF(ISNA(MATCH(834,'Transfer Engine'!$C$2:$C$1960,0)),"",INDEX('Compliance Database'!$D$2:$D$1960,MATCH(834,'Transfer Engine'!$C$2:$C$1960,0)))</f>
        <v/>
      </c>
      <c r="E843" s="8">
        <f>IF(ISNA(MATCH(834,'Transfer Engine'!$C$2:$C$1960,0)),"",INDEX('Compliance Database'!$E$2:$E$1960,MATCH(834,'Transfer Engine'!$C$2:$C$1960,0)))</f>
        <v/>
      </c>
      <c r="F843" s="8">
        <f>IF(ISNA(MATCH(834,'Transfer Engine'!$C$2:$C$1960,0)),"",INDEX('Compliance Database'!$F$2:$F$1960,MATCH(834,'Transfer Engine'!$C$2:$C$1960,0)))</f>
        <v/>
      </c>
      <c r="G843" s="8">
        <f>IF(ISNA(MATCH(834,'Transfer Engine'!$C$2:$C$1960,0)),"",INDEX('Compliance Database'!$G$2:$G$1960,MATCH(834,'Transfer Engine'!$C$2:$C$1960,0)))</f>
        <v/>
      </c>
      <c r="H843" s="9">
        <f>IF(ISNA(MATCH(834,'Transfer Engine'!$C$2:$C$1960,0)),"",INDEX('Compliance Database'!$H$2:$H$1960,MATCH(834,'Transfer Engine'!$C$2:$C$1960,0)))</f>
        <v/>
      </c>
      <c r="I843" s="9">
        <f>IF(ISNA(MATCH(834,'Transfer Engine'!$C$2:$C$1960,0)),"",INDEX('Compliance Database'!$I$2:$I$1960,MATCH(834,'Transfer Engine'!$C$2:$C$1960,0)))</f>
        <v/>
      </c>
      <c r="J843" s="8">
        <f>IF(ISNA(MATCH(834,'Transfer Engine'!$C$2:$C$1960,0)),"",INDEX('Compliance Database'!$J$2:$J$1960,MATCH(834,'Transfer Engine'!$C$2:$C$1960,0)))</f>
        <v/>
      </c>
      <c r="K843" s="9">
        <f>IF(ISNA(MATCH(834,'Transfer Engine'!$C$2:$C$1960,0)),"",INDEX('Compliance Database'!$K$2:$K$1960,MATCH(834,'Transfer Engine'!$C$2:$C$1960,0)))</f>
        <v/>
      </c>
      <c r="L843" s="9">
        <f>IF(ISNA(MATCH(834,'Transfer Engine'!$C$2:$C$1960,0)),"",INDEX('Compliance Database'!$L$2:$L$1960,MATCH(834,'Transfer Engine'!$C$2:$C$1960,0)))</f>
        <v/>
      </c>
      <c r="M843" s="9">
        <f>IF(ISNA(MATCH(834,'Transfer Engine'!$C$2:$C$1960,0)),"",INDEX('Compliance Database'!$M$2:$M$1960,MATCH(834,'Transfer Engine'!$C$2:$C$1960,0)))</f>
        <v/>
      </c>
      <c r="N843" s="9">
        <f>IF(ISNA(MATCH(834,'Transfer Engine'!$C$2:$C$1960,0)),"",INDEX('Compliance Database'!$N$2:$N$1960,MATCH(834,'Transfer Engine'!$C$2:$C$1960,0)))</f>
        <v/>
      </c>
      <c r="O843" s="9">
        <f>IF(ISNA(MATCH(834,'Transfer Engine'!$C$2:$C$1960,0)),"",INDEX('Compliance Database'!$O$2:$O$1960,MATCH(834,'Transfer Engine'!$C$2:$C$1960,0)))</f>
        <v/>
      </c>
      <c r="P843" s="8">
        <f>IF(ISNA(MATCH(834,'Transfer Engine'!$C$2:$C$1960,0)),"",HYPERLINK("#Acts!A"&amp;INDEX('Compliance Database'!$P$2:$P$1960,MATCH(834,'Transfer Engine'!$C$2:$C$1960,0)),"Go to Act"))</f>
        <v/>
      </c>
    </row>
    <row r="844" ht="158" customHeight="1">
      <c r="A844" s="8">
        <f>IF(ISNA(MATCH(835,'Transfer Engine'!$C$2:$C$1960,0)),"",INDEX('Compliance Database'!$A$2:$A$1960,MATCH(835,'Transfer Engine'!$C$2:$C$1960,0)))</f>
        <v/>
      </c>
      <c r="B844" s="8">
        <f>IF(ISNA(MATCH(835,'Transfer Engine'!$C$2:$C$1960,0)),"",INDEX('Compliance Database'!$B$2:$B$1960,MATCH(835,'Transfer Engine'!$C$2:$C$1960,0)))</f>
        <v/>
      </c>
      <c r="C844" s="8">
        <f>IF(ISNA(MATCH(835,'Transfer Engine'!$C$2:$C$1960,0)),"",INDEX('Compliance Database'!$C$2:$C$1960,MATCH(835,'Transfer Engine'!$C$2:$C$1960,0)))</f>
        <v/>
      </c>
      <c r="D844" s="9">
        <f>IF(ISNA(MATCH(835,'Transfer Engine'!$C$2:$C$1960,0)),"",INDEX('Compliance Database'!$D$2:$D$1960,MATCH(835,'Transfer Engine'!$C$2:$C$1960,0)))</f>
        <v/>
      </c>
      <c r="E844" s="8">
        <f>IF(ISNA(MATCH(835,'Transfer Engine'!$C$2:$C$1960,0)),"",INDEX('Compliance Database'!$E$2:$E$1960,MATCH(835,'Transfer Engine'!$C$2:$C$1960,0)))</f>
        <v/>
      </c>
      <c r="F844" s="8">
        <f>IF(ISNA(MATCH(835,'Transfer Engine'!$C$2:$C$1960,0)),"",INDEX('Compliance Database'!$F$2:$F$1960,MATCH(835,'Transfer Engine'!$C$2:$C$1960,0)))</f>
        <v/>
      </c>
      <c r="G844" s="8">
        <f>IF(ISNA(MATCH(835,'Transfer Engine'!$C$2:$C$1960,0)),"",INDEX('Compliance Database'!$G$2:$G$1960,MATCH(835,'Transfer Engine'!$C$2:$C$1960,0)))</f>
        <v/>
      </c>
      <c r="H844" s="9">
        <f>IF(ISNA(MATCH(835,'Transfer Engine'!$C$2:$C$1960,0)),"",INDEX('Compliance Database'!$H$2:$H$1960,MATCH(835,'Transfer Engine'!$C$2:$C$1960,0)))</f>
        <v/>
      </c>
      <c r="I844" s="9">
        <f>IF(ISNA(MATCH(835,'Transfer Engine'!$C$2:$C$1960,0)),"",INDEX('Compliance Database'!$I$2:$I$1960,MATCH(835,'Transfer Engine'!$C$2:$C$1960,0)))</f>
        <v/>
      </c>
      <c r="J844" s="8">
        <f>IF(ISNA(MATCH(835,'Transfer Engine'!$C$2:$C$1960,0)),"",INDEX('Compliance Database'!$J$2:$J$1960,MATCH(835,'Transfer Engine'!$C$2:$C$1960,0)))</f>
        <v/>
      </c>
      <c r="K844" s="9">
        <f>IF(ISNA(MATCH(835,'Transfer Engine'!$C$2:$C$1960,0)),"",INDEX('Compliance Database'!$K$2:$K$1960,MATCH(835,'Transfer Engine'!$C$2:$C$1960,0)))</f>
        <v/>
      </c>
      <c r="L844" s="9">
        <f>IF(ISNA(MATCH(835,'Transfer Engine'!$C$2:$C$1960,0)),"",INDEX('Compliance Database'!$L$2:$L$1960,MATCH(835,'Transfer Engine'!$C$2:$C$1960,0)))</f>
        <v/>
      </c>
      <c r="M844" s="9">
        <f>IF(ISNA(MATCH(835,'Transfer Engine'!$C$2:$C$1960,0)),"",INDEX('Compliance Database'!$M$2:$M$1960,MATCH(835,'Transfer Engine'!$C$2:$C$1960,0)))</f>
        <v/>
      </c>
      <c r="N844" s="9">
        <f>IF(ISNA(MATCH(835,'Transfer Engine'!$C$2:$C$1960,0)),"",INDEX('Compliance Database'!$N$2:$N$1960,MATCH(835,'Transfer Engine'!$C$2:$C$1960,0)))</f>
        <v/>
      </c>
      <c r="O844" s="9">
        <f>IF(ISNA(MATCH(835,'Transfer Engine'!$C$2:$C$1960,0)),"",INDEX('Compliance Database'!$O$2:$O$1960,MATCH(835,'Transfer Engine'!$C$2:$C$1960,0)))</f>
        <v/>
      </c>
      <c r="P844" s="8">
        <f>IF(ISNA(MATCH(835,'Transfer Engine'!$C$2:$C$1960,0)),"",HYPERLINK("#Acts!A"&amp;INDEX('Compliance Database'!$P$2:$P$1960,MATCH(835,'Transfer Engine'!$C$2:$C$1960,0)),"Go to Act"))</f>
        <v/>
      </c>
    </row>
    <row r="845" ht="158" customHeight="1">
      <c r="A845" s="8">
        <f>IF(ISNA(MATCH(836,'Transfer Engine'!$C$2:$C$1960,0)),"",INDEX('Compliance Database'!$A$2:$A$1960,MATCH(836,'Transfer Engine'!$C$2:$C$1960,0)))</f>
        <v/>
      </c>
      <c r="B845" s="8">
        <f>IF(ISNA(MATCH(836,'Transfer Engine'!$C$2:$C$1960,0)),"",INDEX('Compliance Database'!$B$2:$B$1960,MATCH(836,'Transfer Engine'!$C$2:$C$1960,0)))</f>
        <v/>
      </c>
      <c r="C845" s="8">
        <f>IF(ISNA(MATCH(836,'Transfer Engine'!$C$2:$C$1960,0)),"",INDEX('Compliance Database'!$C$2:$C$1960,MATCH(836,'Transfer Engine'!$C$2:$C$1960,0)))</f>
        <v/>
      </c>
      <c r="D845" s="9">
        <f>IF(ISNA(MATCH(836,'Transfer Engine'!$C$2:$C$1960,0)),"",INDEX('Compliance Database'!$D$2:$D$1960,MATCH(836,'Transfer Engine'!$C$2:$C$1960,0)))</f>
        <v/>
      </c>
      <c r="E845" s="8">
        <f>IF(ISNA(MATCH(836,'Transfer Engine'!$C$2:$C$1960,0)),"",INDEX('Compliance Database'!$E$2:$E$1960,MATCH(836,'Transfer Engine'!$C$2:$C$1960,0)))</f>
        <v/>
      </c>
      <c r="F845" s="8">
        <f>IF(ISNA(MATCH(836,'Transfer Engine'!$C$2:$C$1960,0)),"",INDEX('Compliance Database'!$F$2:$F$1960,MATCH(836,'Transfer Engine'!$C$2:$C$1960,0)))</f>
        <v/>
      </c>
      <c r="G845" s="8">
        <f>IF(ISNA(MATCH(836,'Transfer Engine'!$C$2:$C$1960,0)),"",INDEX('Compliance Database'!$G$2:$G$1960,MATCH(836,'Transfer Engine'!$C$2:$C$1960,0)))</f>
        <v/>
      </c>
      <c r="H845" s="9">
        <f>IF(ISNA(MATCH(836,'Transfer Engine'!$C$2:$C$1960,0)),"",INDEX('Compliance Database'!$H$2:$H$1960,MATCH(836,'Transfer Engine'!$C$2:$C$1960,0)))</f>
        <v/>
      </c>
      <c r="I845" s="9">
        <f>IF(ISNA(MATCH(836,'Transfer Engine'!$C$2:$C$1960,0)),"",INDEX('Compliance Database'!$I$2:$I$1960,MATCH(836,'Transfer Engine'!$C$2:$C$1960,0)))</f>
        <v/>
      </c>
      <c r="J845" s="8">
        <f>IF(ISNA(MATCH(836,'Transfer Engine'!$C$2:$C$1960,0)),"",INDEX('Compliance Database'!$J$2:$J$1960,MATCH(836,'Transfer Engine'!$C$2:$C$1960,0)))</f>
        <v/>
      </c>
      <c r="K845" s="9">
        <f>IF(ISNA(MATCH(836,'Transfer Engine'!$C$2:$C$1960,0)),"",INDEX('Compliance Database'!$K$2:$K$1960,MATCH(836,'Transfer Engine'!$C$2:$C$1960,0)))</f>
        <v/>
      </c>
      <c r="L845" s="9">
        <f>IF(ISNA(MATCH(836,'Transfer Engine'!$C$2:$C$1960,0)),"",INDEX('Compliance Database'!$L$2:$L$1960,MATCH(836,'Transfer Engine'!$C$2:$C$1960,0)))</f>
        <v/>
      </c>
      <c r="M845" s="9">
        <f>IF(ISNA(MATCH(836,'Transfer Engine'!$C$2:$C$1960,0)),"",INDEX('Compliance Database'!$M$2:$M$1960,MATCH(836,'Transfer Engine'!$C$2:$C$1960,0)))</f>
        <v/>
      </c>
      <c r="N845" s="9">
        <f>IF(ISNA(MATCH(836,'Transfer Engine'!$C$2:$C$1960,0)),"",INDEX('Compliance Database'!$N$2:$N$1960,MATCH(836,'Transfer Engine'!$C$2:$C$1960,0)))</f>
        <v/>
      </c>
      <c r="O845" s="9">
        <f>IF(ISNA(MATCH(836,'Transfer Engine'!$C$2:$C$1960,0)),"",INDEX('Compliance Database'!$O$2:$O$1960,MATCH(836,'Transfer Engine'!$C$2:$C$1960,0)))</f>
        <v/>
      </c>
      <c r="P845" s="8">
        <f>IF(ISNA(MATCH(836,'Transfer Engine'!$C$2:$C$1960,0)),"",HYPERLINK("#Acts!A"&amp;INDEX('Compliance Database'!$P$2:$P$1960,MATCH(836,'Transfer Engine'!$C$2:$C$1960,0)),"Go to Act"))</f>
        <v/>
      </c>
    </row>
    <row r="846" ht="158" customHeight="1">
      <c r="A846" s="8">
        <f>IF(ISNA(MATCH(837,'Transfer Engine'!$C$2:$C$1960,0)),"",INDEX('Compliance Database'!$A$2:$A$1960,MATCH(837,'Transfer Engine'!$C$2:$C$1960,0)))</f>
        <v/>
      </c>
      <c r="B846" s="8">
        <f>IF(ISNA(MATCH(837,'Transfer Engine'!$C$2:$C$1960,0)),"",INDEX('Compliance Database'!$B$2:$B$1960,MATCH(837,'Transfer Engine'!$C$2:$C$1960,0)))</f>
        <v/>
      </c>
      <c r="C846" s="8">
        <f>IF(ISNA(MATCH(837,'Transfer Engine'!$C$2:$C$1960,0)),"",INDEX('Compliance Database'!$C$2:$C$1960,MATCH(837,'Transfer Engine'!$C$2:$C$1960,0)))</f>
        <v/>
      </c>
      <c r="D846" s="9">
        <f>IF(ISNA(MATCH(837,'Transfer Engine'!$C$2:$C$1960,0)),"",INDEX('Compliance Database'!$D$2:$D$1960,MATCH(837,'Transfer Engine'!$C$2:$C$1960,0)))</f>
        <v/>
      </c>
      <c r="E846" s="8">
        <f>IF(ISNA(MATCH(837,'Transfer Engine'!$C$2:$C$1960,0)),"",INDEX('Compliance Database'!$E$2:$E$1960,MATCH(837,'Transfer Engine'!$C$2:$C$1960,0)))</f>
        <v/>
      </c>
      <c r="F846" s="8">
        <f>IF(ISNA(MATCH(837,'Transfer Engine'!$C$2:$C$1960,0)),"",INDEX('Compliance Database'!$F$2:$F$1960,MATCH(837,'Transfer Engine'!$C$2:$C$1960,0)))</f>
        <v/>
      </c>
      <c r="G846" s="8">
        <f>IF(ISNA(MATCH(837,'Transfer Engine'!$C$2:$C$1960,0)),"",INDEX('Compliance Database'!$G$2:$G$1960,MATCH(837,'Transfer Engine'!$C$2:$C$1960,0)))</f>
        <v/>
      </c>
      <c r="H846" s="9">
        <f>IF(ISNA(MATCH(837,'Transfer Engine'!$C$2:$C$1960,0)),"",INDEX('Compliance Database'!$H$2:$H$1960,MATCH(837,'Transfer Engine'!$C$2:$C$1960,0)))</f>
        <v/>
      </c>
      <c r="I846" s="9">
        <f>IF(ISNA(MATCH(837,'Transfer Engine'!$C$2:$C$1960,0)),"",INDEX('Compliance Database'!$I$2:$I$1960,MATCH(837,'Transfer Engine'!$C$2:$C$1960,0)))</f>
        <v/>
      </c>
      <c r="J846" s="8">
        <f>IF(ISNA(MATCH(837,'Transfer Engine'!$C$2:$C$1960,0)),"",INDEX('Compliance Database'!$J$2:$J$1960,MATCH(837,'Transfer Engine'!$C$2:$C$1960,0)))</f>
        <v/>
      </c>
      <c r="K846" s="9">
        <f>IF(ISNA(MATCH(837,'Transfer Engine'!$C$2:$C$1960,0)),"",INDEX('Compliance Database'!$K$2:$K$1960,MATCH(837,'Transfer Engine'!$C$2:$C$1960,0)))</f>
        <v/>
      </c>
      <c r="L846" s="9">
        <f>IF(ISNA(MATCH(837,'Transfer Engine'!$C$2:$C$1960,0)),"",INDEX('Compliance Database'!$L$2:$L$1960,MATCH(837,'Transfer Engine'!$C$2:$C$1960,0)))</f>
        <v/>
      </c>
      <c r="M846" s="9">
        <f>IF(ISNA(MATCH(837,'Transfer Engine'!$C$2:$C$1960,0)),"",INDEX('Compliance Database'!$M$2:$M$1960,MATCH(837,'Transfer Engine'!$C$2:$C$1960,0)))</f>
        <v/>
      </c>
      <c r="N846" s="9">
        <f>IF(ISNA(MATCH(837,'Transfer Engine'!$C$2:$C$1960,0)),"",INDEX('Compliance Database'!$N$2:$N$1960,MATCH(837,'Transfer Engine'!$C$2:$C$1960,0)))</f>
        <v/>
      </c>
      <c r="O846" s="9">
        <f>IF(ISNA(MATCH(837,'Transfer Engine'!$C$2:$C$1960,0)),"",INDEX('Compliance Database'!$O$2:$O$1960,MATCH(837,'Transfer Engine'!$C$2:$C$1960,0)))</f>
        <v/>
      </c>
      <c r="P846" s="8">
        <f>IF(ISNA(MATCH(837,'Transfer Engine'!$C$2:$C$1960,0)),"",HYPERLINK("#Acts!A"&amp;INDEX('Compliance Database'!$P$2:$P$1960,MATCH(837,'Transfer Engine'!$C$2:$C$1960,0)),"Go to Act"))</f>
        <v/>
      </c>
    </row>
    <row r="847" ht="158" customHeight="1">
      <c r="A847" s="8">
        <f>IF(ISNA(MATCH(838,'Transfer Engine'!$C$2:$C$1960,0)),"",INDEX('Compliance Database'!$A$2:$A$1960,MATCH(838,'Transfer Engine'!$C$2:$C$1960,0)))</f>
        <v/>
      </c>
      <c r="B847" s="8">
        <f>IF(ISNA(MATCH(838,'Transfer Engine'!$C$2:$C$1960,0)),"",INDEX('Compliance Database'!$B$2:$B$1960,MATCH(838,'Transfer Engine'!$C$2:$C$1960,0)))</f>
        <v/>
      </c>
      <c r="C847" s="8">
        <f>IF(ISNA(MATCH(838,'Transfer Engine'!$C$2:$C$1960,0)),"",INDEX('Compliance Database'!$C$2:$C$1960,MATCH(838,'Transfer Engine'!$C$2:$C$1960,0)))</f>
        <v/>
      </c>
      <c r="D847" s="9">
        <f>IF(ISNA(MATCH(838,'Transfer Engine'!$C$2:$C$1960,0)),"",INDEX('Compliance Database'!$D$2:$D$1960,MATCH(838,'Transfer Engine'!$C$2:$C$1960,0)))</f>
        <v/>
      </c>
      <c r="E847" s="8">
        <f>IF(ISNA(MATCH(838,'Transfer Engine'!$C$2:$C$1960,0)),"",INDEX('Compliance Database'!$E$2:$E$1960,MATCH(838,'Transfer Engine'!$C$2:$C$1960,0)))</f>
        <v/>
      </c>
      <c r="F847" s="8">
        <f>IF(ISNA(MATCH(838,'Transfer Engine'!$C$2:$C$1960,0)),"",INDEX('Compliance Database'!$F$2:$F$1960,MATCH(838,'Transfer Engine'!$C$2:$C$1960,0)))</f>
        <v/>
      </c>
      <c r="G847" s="8">
        <f>IF(ISNA(MATCH(838,'Transfer Engine'!$C$2:$C$1960,0)),"",INDEX('Compliance Database'!$G$2:$G$1960,MATCH(838,'Transfer Engine'!$C$2:$C$1960,0)))</f>
        <v/>
      </c>
      <c r="H847" s="9">
        <f>IF(ISNA(MATCH(838,'Transfer Engine'!$C$2:$C$1960,0)),"",INDEX('Compliance Database'!$H$2:$H$1960,MATCH(838,'Transfer Engine'!$C$2:$C$1960,0)))</f>
        <v/>
      </c>
      <c r="I847" s="9">
        <f>IF(ISNA(MATCH(838,'Transfer Engine'!$C$2:$C$1960,0)),"",INDEX('Compliance Database'!$I$2:$I$1960,MATCH(838,'Transfer Engine'!$C$2:$C$1960,0)))</f>
        <v/>
      </c>
      <c r="J847" s="8">
        <f>IF(ISNA(MATCH(838,'Transfer Engine'!$C$2:$C$1960,0)),"",INDEX('Compliance Database'!$J$2:$J$1960,MATCH(838,'Transfer Engine'!$C$2:$C$1960,0)))</f>
        <v/>
      </c>
      <c r="K847" s="9">
        <f>IF(ISNA(MATCH(838,'Transfer Engine'!$C$2:$C$1960,0)),"",INDEX('Compliance Database'!$K$2:$K$1960,MATCH(838,'Transfer Engine'!$C$2:$C$1960,0)))</f>
        <v/>
      </c>
      <c r="L847" s="9">
        <f>IF(ISNA(MATCH(838,'Transfer Engine'!$C$2:$C$1960,0)),"",INDEX('Compliance Database'!$L$2:$L$1960,MATCH(838,'Transfer Engine'!$C$2:$C$1960,0)))</f>
        <v/>
      </c>
      <c r="M847" s="9">
        <f>IF(ISNA(MATCH(838,'Transfer Engine'!$C$2:$C$1960,0)),"",INDEX('Compliance Database'!$M$2:$M$1960,MATCH(838,'Transfer Engine'!$C$2:$C$1960,0)))</f>
        <v/>
      </c>
      <c r="N847" s="9">
        <f>IF(ISNA(MATCH(838,'Transfer Engine'!$C$2:$C$1960,0)),"",INDEX('Compliance Database'!$N$2:$N$1960,MATCH(838,'Transfer Engine'!$C$2:$C$1960,0)))</f>
        <v/>
      </c>
      <c r="O847" s="9">
        <f>IF(ISNA(MATCH(838,'Transfer Engine'!$C$2:$C$1960,0)),"",INDEX('Compliance Database'!$O$2:$O$1960,MATCH(838,'Transfer Engine'!$C$2:$C$1960,0)))</f>
        <v/>
      </c>
      <c r="P847" s="8">
        <f>IF(ISNA(MATCH(838,'Transfer Engine'!$C$2:$C$1960,0)),"",HYPERLINK("#Acts!A"&amp;INDEX('Compliance Database'!$P$2:$P$1960,MATCH(838,'Transfer Engine'!$C$2:$C$1960,0)),"Go to Act"))</f>
        <v/>
      </c>
    </row>
    <row r="848" ht="158" customHeight="1">
      <c r="A848" s="8">
        <f>IF(ISNA(MATCH(839,'Transfer Engine'!$C$2:$C$1960,0)),"",INDEX('Compliance Database'!$A$2:$A$1960,MATCH(839,'Transfer Engine'!$C$2:$C$1960,0)))</f>
        <v/>
      </c>
      <c r="B848" s="8">
        <f>IF(ISNA(MATCH(839,'Transfer Engine'!$C$2:$C$1960,0)),"",INDEX('Compliance Database'!$B$2:$B$1960,MATCH(839,'Transfer Engine'!$C$2:$C$1960,0)))</f>
        <v/>
      </c>
      <c r="C848" s="8">
        <f>IF(ISNA(MATCH(839,'Transfer Engine'!$C$2:$C$1960,0)),"",INDEX('Compliance Database'!$C$2:$C$1960,MATCH(839,'Transfer Engine'!$C$2:$C$1960,0)))</f>
        <v/>
      </c>
      <c r="D848" s="9">
        <f>IF(ISNA(MATCH(839,'Transfer Engine'!$C$2:$C$1960,0)),"",INDEX('Compliance Database'!$D$2:$D$1960,MATCH(839,'Transfer Engine'!$C$2:$C$1960,0)))</f>
        <v/>
      </c>
      <c r="E848" s="8">
        <f>IF(ISNA(MATCH(839,'Transfer Engine'!$C$2:$C$1960,0)),"",INDEX('Compliance Database'!$E$2:$E$1960,MATCH(839,'Transfer Engine'!$C$2:$C$1960,0)))</f>
        <v/>
      </c>
      <c r="F848" s="8">
        <f>IF(ISNA(MATCH(839,'Transfer Engine'!$C$2:$C$1960,0)),"",INDEX('Compliance Database'!$F$2:$F$1960,MATCH(839,'Transfer Engine'!$C$2:$C$1960,0)))</f>
        <v/>
      </c>
      <c r="G848" s="8">
        <f>IF(ISNA(MATCH(839,'Transfer Engine'!$C$2:$C$1960,0)),"",INDEX('Compliance Database'!$G$2:$G$1960,MATCH(839,'Transfer Engine'!$C$2:$C$1960,0)))</f>
        <v/>
      </c>
      <c r="H848" s="9">
        <f>IF(ISNA(MATCH(839,'Transfer Engine'!$C$2:$C$1960,0)),"",INDEX('Compliance Database'!$H$2:$H$1960,MATCH(839,'Transfer Engine'!$C$2:$C$1960,0)))</f>
        <v/>
      </c>
      <c r="I848" s="9">
        <f>IF(ISNA(MATCH(839,'Transfer Engine'!$C$2:$C$1960,0)),"",INDEX('Compliance Database'!$I$2:$I$1960,MATCH(839,'Transfer Engine'!$C$2:$C$1960,0)))</f>
        <v/>
      </c>
      <c r="J848" s="8">
        <f>IF(ISNA(MATCH(839,'Transfer Engine'!$C$2:$C$1960,0)),"",INDEX('Compliance Database'!$J$2:$J$1960,MATCH(839,'Transfer Engine'!$C$2:$C$1960,0)))</f>
        <v/>
      </c>
      <c r="K848" s="9">
        <f>IF(ISNA(MATCH(839,'Transfer Engine'!$C$2:$C$1960,0)),"",INDEX('Compliance Database'!$K$2:$K$1960,MATCH(839,'Transfer Engine'!$C$2:$C$1960,0)))</f>
        <v/>
      </c>
      <c r="L848" s="9">
        <f>IF(ISNA(MATCH(839,'Transfer Engine'!$C$2:$C$1960,0)),"",INDEX('Compliance Database'!$L$2:$L$1960,MATCH(839,'Transfer Engine'!$C$2:$C$1960,0)))</f>
        <v/>
      </c>
      <c r="M848" s="9">
        <f>IF(ISNA(MATCH(839,'Transfer Engine'!$C$2:$C$1960,0)),"",INDEX('Compliance Database'!$M$2:$M$1960,MATCH(839,'Transfer Engine'!$C$2:$C$1960,0)))</f>
        <v/>
      </c>
      <c r="N848" s="9">
        <f>IF(ISNA(MATCH(839,'Transfer Engine'!$C$2:$C$1960,0)),"",INDEX('Compliance Database'!$N$2:$N$1960,MATCH(839,'Transfer Engine'!$C$2:$C$1960,0)))</f>
        <v/>
      </c>
      <c r="O848" s="9">
        <f>IF(ISNA(MATCH(839,'Transfer Engine'!$C$2:$C$1960,0)),"",INDEX('Compliance Database'!$O$2:$O$1960,MATCH(839,'Transfer Engine'!$C$2:$C$1960,0)))</f>
        <v/>
      </c>
      <c r="P848" s="8">
        <f>IF(ISNA(MATCH(839,'Transfer Engine'!$C$2:$C$1960,0)),"",HYPERLINK("#Acts!A"&amp;INDEX('Compliance Database'!$P$2:$P$1960,MATCH(839,'Transfer Engine'!$C$2:$C$1960,0)),"Go to Act"))</f>
        <v/>
      </c>
    </row>
    <row r="849" ht="158" customHeight="1">
      <c r="A849" s="8">
        <f>IF(ISNA(MATCH(840,'Transfer Engine'!$C$2:$C$1960,0)),"",INDEX('Compliance Database'!$A$2:$A$1960,MATCH(840,'Transfer Engine'!$C$2:$C$1960,0)))</f>
        <v/>
      </c>
      <c r="B849" s="8">
        <f>IF(ISNA(MATCH(840,'Transfer Engine'!$C$2:$C$1960,0)),"",INDEX('Compliance Database'!$B$2:$B$1960,MATCH(840,'Transfer Engine'!$C$2:$C$1960,0)))</f>
        <v/>
      </c>
      <c r="C849" s="8">
        <f>IF(ISNA(MATCH(840,'Transfer Engine'!$C$2:$C$1960,0)),"",INDEX('Compliance Database'!$C$2:$C$1960,MATCH(840,'Transfer Engine'!$C$2:$C$1960,0)))</f>
        <v/>
      </c>
      <c r="D849" s="9">
        <f>IF(ISNA(MATCH(840,'Transfer Engine'!$C$2:$C$1960,0)),"",INDEX('Compliance Database'!$D$2:$D$1960,MATCH(840,'Transfer Engine'!$C$2:$C$1960,0)))</f>
        <v/>
      </c>
      <c r="E849" s="8">
        <f>IF(ISNA(MATCH(840,'Transfer Engine'!$C$2:$C$1960,0)),"",INDEX('Compliance Database'!$E$2:$E$1960,MATCH(840,'Transfer Engine'!$C$2:$C$1960,0)))</f>
        <v/>
      </c>
      <c r="F849" s="8">
        <f>IF(ISNA(MATCH(840,'Transfer Engine'!$C$2:$C$1960,0)),"",INDEX('Compliance Database'!$F$2:$F$1960,MATCH(840,'Transfer Engine'!$C$2:$C$1960,0)))</f>
        <v/>
      </c>
      <c r="G849" s="8">
        <f>IF(ISNA(MATCH(840,'Transfer Engine'!$C$2:$C$1960,0)),"",INDEX('Compliance Database'!$G$2:$G$1960,MATCH(840,'Transfer Engine'!$C$2:$C$1960,0)))</f>
        <v/>
      </c>
      <c r="H849" s="9">
        <f>IF(ISNA(MATCH(840,'Transfer Engine'!$C$2:$C$1960,0)),"",INDEX('Compliance Database'!$H$2:$H$1960,MATCH(840,'Transfer Engine'!$C$2:$C$1960,0)))</f>
        <v/>
      </c>
      <c r="I849" s="9">
        <f>IF(ISNA(MATCH(840,'Transfer Engine'!$C$2:$C$1960,0)),"",INDEX('Compliance Database'!$I$2:$I$1960,MATCH(840,'Transfer Engine'!$C$2:$C$1960,0)))</f>
        <v/>
      </c>
      <c r="J849" s="8">
        <f>IF(ISNA(MATCH(840,'Transfer Engine'!$C$2:$C$1960,0)),"",INDEX('Compliance Database'!$J$2:$J$1960,MATCH(840,'Transfer Engine'!$C$2:$C$1960,0)))</f>
        <v/>
      </c>
      <c r="K849" s="9">
        <f>IF(ISNA(MATCH(840,'Transfer Engine'!$C$2:$C$1960,0)),"",INDEX('Compliance Database'!$K$2:$K$1960,MATCH(840,'Transfer Engine'!$C$2:$C$1960,0)))</f>
        <v/>
      </c>
      <c r="L849" s="9">
        <f>IF(ISNA(MATCH(840,'Transfer Engine'!$C$2:$C$1960,0)),"",INDEX('Compliance Database'!$L$2:$L$1960,MATCH(840,'Transfer Engine'!$C$2:$C$1960,0)))</f>
        <v/>
      </c>
      <c r="M849" s="9">
        <f>IF(ISNA(MATCH(840,'Transfer Engine'!$C$2:$C$1960,0)),"",INDEX('Compliance Database'!$M$2:$M$1960,MATCH(840,'Transfer Engine'!$C$2:$C$1960,0)))</f>
        <v/>
      </c>
      <c r="N849" s="9">
        <f>IF(ISNA(MATCH(840,'Transfer Engine'!$C$2:$C$1960,0)),"",INDEX('Compliance Database'!$N$2:$N$1960,MATCH(840,'Transfer Engine'!$C$2:$C$1960,0)))</f>
        <v/>
      </c>
      <c r="O849" s="9">
        <f>IF(ISNA(MATCH(840,'Transfer Engine'!$C$2:$C$1960,0)),"",INDEX('Compliance Database'!$O$2:$O$1960,MATCH(840,'Transfer Engine'!$C$2:$C$1960,0)))</f>
        <v/>
      </c>
      <c r="P849" s="8">
        <f>IF(ISNA(MATCH(840,'Transfer Engine'!$C$2:$C$1960,0)),"",HYPERLINK("#Acts!A"&amp;INDEX('Compliance Database'!$P$2:$P$1960,MATCH(840,'Transfer Engine'!$C$2:$C$1960,0)),"Go to Act"))</f>
        <v/>
      </c>
    </row>
    <row r="850" ht="158" customHeight="1">
      <c r="A850" s="8">
        <f>IF(ISNA(MATCH(841,'Transfer Engine'!$C$2:$C$1960,0)),"",INDEX('Compliance Database'!$A$2:$A$1960,MATCH(841,'Transfer Engine'!$C$2:$C$1960,0)))</f>
        <v/>
      </c>
      <c r="B850" s="8">
        <f>IF(ISNA(MATCH(841,'Transfer Engine'!$C$2:$C$1960,0)),"",INDEX('Compliance Database'!$B$2:$B$1960,MATCH(841,'Transfer Engine'!$C$2:$C$1960,0)))</f>
        <v/>
      </c>
      <c r="C850" s="8">
        <f>IF(ISNA(MATCH(841,'Transfer Engine'!$C$2:$C$1960,0)),"",INDEX('Compliance Database'!$C$2:$C$1960,MATCH(841,'Transfer Engine'!$C$2:$C$1960,0)))</f>
        <v/>
      </c>
      <c r="D850" s="9">
        <f>IF(ISNA(MATCH(841,'Transfer Engine'!$C$2:$C$1960,0)),"",INDEX('Compliance Database'!$D$2:$D$1960,MATCH(841,'Transfer Engine'!$C$2:$C$1960,0)))</f>
        <v/>
      </c>
      <c r="E850" s="8">
        <f>IF(ISNA(MATCH(841,'Transfer Engine'!$C$2:$C$1960,0)),"",INDEX('Compliance Database'!$E$2:$E$1960,MATCH(841,'Transfer Engine'!$C$2:$C$1960,0)))</f>
        <v/>
      </c>
      <c r="F850" s="8">
        <f>IF(ISNA(MATCH(841,'Transfer Engine'!$C$2:$C$1960,0)),"",INDEX('Compliance Database'!$F$2:$F$1960,MATCH(841,'Transfer Engine'!$C$2:$C$1960,0)))</f>
        <v/>
      </c>
      <c r="G850" s="8">
        <f>IF(ISNA(MATCH(841,'Transfer Engine'!$C$2:$C$1960,0)),"",INDEX('Compliance Database'!$G$2:$G$1960,MATCH(841,'Transfer Engine'!$C$2:$C$1960,0)))</f>
        <v/>
      </c>
      <c r="H850" s="9">
        <f>IF(ISNA(MATCH(841,'Transfer Engine'!$C$2:$C$1960,0)),"",INDEX('Compliance Database'!$H$2:$H$1960,MATCH(841,'Transfer Engine'!$C$2:$C$1960,0)))</f>
        <v/>
      </c>
      <c r="I850" s="9">
        <f>IF(ISNA(MATCH(841,'Transfer Engine'!$C$2:$C$1960,0)),"",INDEX('Compliance Database'!$I$2:$I$1960,MATCH(841,'Transfer Engine'!$C$2:$C$1960,0)))</f>
        <v/>
      </c>
      <c r="J850" s="8">
        <f>IF(ISNA(MATCH(841,'Transfer Engine'!$C$2:$C$1960,0)),"",INDEX('Compliance Database'!$J$2:$J$1960,MATCH(841,'Transfer Engine'!$C$2:$C$1960,0)))</f>
        <v/>
      </c>
      <c r="K850" s="9">
        <f>IF(ISNA(MATCH(841,'Transfer Engine'!$C$2:$C$1960,0)),"",INDEX('Compliance Database'!$K$2:$K$1960,MATCH(841,'Transfer Engine'!$C$2:$C$1960,0)))</f>
        <v/>
      </c>
      <c r="L850" s="9">
        <f>IF(ISNA(MATCH(841,'Transfer Engine'!$C$2:$C$1960,0)),"",INDEX('Compliance Database'!$L$2:$L$1960,MATCH(841,'Transfer Engine'!$C$2:$C$1960,0)))</f>
        <v/>
      </c>
      <c r="M850" s="9">
        <f>IF(ISNA(MATCH(841,'Transfer Engine'!$C$2:$C$1960,0)),"",INDEX('Compliance Database'!$M$2:$M$1960,MATCH(841,'Transfer Engine'!$C$2:$C$1960,0)))</f>
        <v/>
      </c>
      <c r="N850" s="9">
        <f>IF(ISNA(MATCH(841,'Transfer Engine'!$C$2:$C$1960,0)),"",INDEX('Compliance Database'!$N$2:$N$1960,MATCH(841,'Transfer Engine'!$C$2:$C$1960,0)))</f>
        <v/>
      </c>
      <c r="O850" s="9">
        <f>IF(ISNA(MATCH(841,'Transfer Engine'!$C$2:$C$1960,0)),"",INDEX('Compliance Database'!$O$2:$O$1960,MATCH(841,'Transfer Engine'!$C$2:$C$1960,0)))</f>
        <v/>
      </c>
      <c r="P850" s="8">
        <f>IF(ISNA(MATCH(841,'Transfer Engine'!$C$2:$C$1960,0)),"",HYPERLINK("#Acts!A"&amp;INDEX('Compliance Database'!$P$2:$P$1960,MATCH(841,'Transfer Engine'!$C$2:$C$1960,0)),"Go to Act"))</f>
        <v/>
      </c>
    </row>
    <row r="851" ht="158" customHeight="1">
      <c r="A851" s="8">
        <f>IF(ISNA(MATCH(842,'Transfer Engine'!$C$2:$C$1960,0)),"",INDEX('Compliance Database'!$A$2:$A$1960,MATCH(842,'Transfer Engine'!$C$2:$C$1960,0)))</f>
        <v/>
      </c>
      <c r="B851" s="8">
        <f>IF(ISNA(MATCH(842,'Transfer Engine'!$C$2:$C$1960,0)),"",INDEX('Compliance Database'!$B$2:$B$1960,MATCH(842,'Transfer Engine'!$C$2:$C$1960,0)))</f>
        <v/>
      </c>
      <c r="C851" s="8">
        <f>IF(ISNA(MATCH(842,'Transfer Engine'!$C$2:$C$1960,0)),"",INDEX('Compliance Database'!$C$2:$C$1960,MATCH(842,'Transfer Engine'!$C$2:$C$1960,0)))</f>
        <v/>
      </c>
      <c r="D851" s="9">
        <f>IF(ISNA(MATCH(842,'Transfer Engine'!$C$2:$C$1960,0)),"",INDEX('Compliance Database'!$D$2:$D$1960,MATCH(842,'Transfer Engine'!$C$2:$C$1960,0)))</f>
        <v/>
      </c>
      <c r="E851" s="8">
        <f>IF(ISNA(MATCH(842,'Transfer Engine'!$C$2:$C$1960,0)),"",INDEX('Compliance Database'!$E$2:$E$1960,MATCH(842,'Transfer Engine'!$C$2:$C$1960,0)))</f>
        <v/>
      </c>
      <c r="F851" s="8">
        <f>IF(ISNA(MATCH(842,'Transfer Engine'!$C$2:$C$1960,0)),"",INDEX('Compliance Database'!$F$2:$F$1960,MATCH(842,'Transfer Engine'!$C$2:$C$1960,0)))</f>
        <v/>
      </c>
      <c r="G851" s="8">
        <f>IF(ISNA(MATCH(842,'Transfer Engine'!$C$2:$C$1960,0)),"",INDEX('Compliance Database'!$G$2:$G$1960,MATCH(842,'Transfer Engine'!$C$2:$C$1960,0)))</f>
        <v/>
      </c>
      <c r="H851" s="9">
        <f>IF(ISNA(MATCH(842,'Transfer Engine'!$C$2:$C$1960,0)),"",INDEX('Compliance Database'!$H$2:$H$1960,MATCH(842,'Transfer Engine'!$C$2:$C$1960,0)))</f>
        <v/>
      </c>
      <c r="I851" s="9">
        <f>IF(ISNA(MATCH(842,'Transfer Engine'!$C$2:$C$1960,0)),"",INDEX('Compliance Database'!$I$2:$I$1960,MATCH(842,'Transfer Engine'!$C$2:$C$1960,0)))</f>
        <v/>
      </c>
      <c r="J851" s="8">
        <f>IF(ISNA(MATCH(842,'Transfer Engine'!$C$2:$C$1960,0)),"",INDEX('Compliance Database'!$J$2:$J$1960,MATCH(842,'Transfer Engine'!$C$2:$C$1960,0)))</f>
        <v/>
      </c>
      <c r="K851" s="9">
        <f>IF(ISNA(MATCH(842,'Transfer Engine'!$C$2:$C$1960,0)),"",INDEX('Compliance Database'!$K$2:$K$1960,MATCH(842,'Transfer Engine'!$C$2:$C$1960,0)))</f>
        <v/>
      </c>
      <c r="L851" s="9">
        <f>IF(ISNA(MATCH(842,'Transfer Engine'!$C$2:$C$1960,0)),"",INDEX('Compliance Database'!$L$2:$L$1960,MATCH(842,'Transfer Engine'!$C$2:$C$1960,0)))</f>
        <v/>
      </c>
      <c r="M851" s="9">
        <f>IF(ISNA(MATCH(842,'Transfer Engine'!$C$2:$C$1960,0)),"",INDEX('Compliance Database'!$M$2:$M$1960,MATCH(842,'Transfer Engine'!$C$2:$C$1960,0)))</f>
        <v/>
      </c>
      <c r="N851" s="9">
        <f>IF(ISNA(MATCH(842,'Transfer Engine'!$C$2:$C$1960,0)),"",INDEX('Compliance Database'!$N$2:$N$1960,MATCH(842,'Transfer Engine'!$C$2:$C$1960,0)))</f>
        <v/>
      </c>
      <c r="O851" s="9">
        <f>IF(ISNA(MATCH(842,'Transfer Engine'!$C$2:$C$1960,0)),"",INDEX('Compliance Database'!$O$2:$O$1960,MATCH(842,'Transfer Engine'!$C$2:$C$1960,0)))</f>
        <v/>
      </c>
      <c r="P851" s="8">
        <f>IF(ISNA(MATCH(842,'Transfer Engine'!$C$2:$C$1960,0)),"",HYPERLINK("#Acts!A"&amp;INDEX('Compliance Database'!$P$2:$P$1960,MATCH(842,'Transfer Engine'!$C$2:$C$1960,0)),"Go to Act"))</f>
        <v/>
      </c>
    </row>
    <row r="852" ht="158" customHeight="1">
      <c r="A852" s="8">
        <f>IF(ISNA(MATCH(843,'Transfer Engine'!$C$2:$C$1960,0)),"",INDEX('Compliance Database'!$A$2:$A$1960,MATCH(843,'Transfer Engine'!$C$2:$C$1960,0)))</f>
        <v/>
      </c>
      <c r="B852" s="8">
        <f>IF(ISNA(MATCH(843,'Transfer Engine'!$C$2:$C$1960,0)),"",INDEX('Compliance Database'!$B$2:$B$1960,MATCH(843,'Transfer Engine'!$C$2:$C$1960,0)))</f>
        <v/>
      </c>
      <c r="C852" s="8">
        <f>IF(ISNA(MATCH(843,'Transfer Engine'!$C$2:$C$1960,0)),"",INDEX('Compliance Database'!$C$2:$C$1960,MATCH(843,'Transfer Engine'!$C$2:$C$1960,0)))</f>
        <v/>
      </c>
      <c r="D852" s="9">
        <f>IF(ISNA(MATCH(843,'Transfer Engine'!$C$2:$C$1960,0)),"",INDEX('Compliance Database'!$D$2:$D$1960,MATCH(843,'Transfer Engine'!$C$2:$C$1960,0)))</f>
        <v/>
      </c>
      <c r="E852" s="8">
        <f>IF(ISNA(MATCH(843,'Transfer Engine'!$C$2:$C$1960,0)),"",INDEX('Compliance Database'!$E$2:$E$1960,MATCH(843,'Transfer Engine'!$C$2:$C$1960,0)))</f>
        <v/>
      </c>
      <c r="F852" s="8">
        <f>IF(ISNA(MATCH(843,'Transfer Engine'!$C$2:$C$1960,0)),"",INDEX('Compliance Database'!$F$2:$F$1960,MATCH(843,'Transfer Engine'!$C$2:$C$1960,0)))</f>
        <v/>
      </c>
      <c r="G852" s="8">
        <f>IF(ISNA(MATCH(843,'Transfer Engine'!$C$2:$C$1960,0)),"",INDEX('Compliance Database'!$G$2:$G$1960,MATCH(843,'Transfer Engine'!$C$2:$C$1960,0)))</f>
        <v/>
      </c>
      <c r="H852" s="9">
        <f>IF(ISNA(MATCH(843,'Transfer Engine'!$C$2:$C$1960,0)),"",INDEX('Compliance Database'!$H$2:$H$1960,MATCH(843,'Transfer Engine'!$C$2:$C$1960,0)))</f>
        <v/>
      </c>
      <c r="I852" s="9">
        <f>IF(ISNA(MATCH(843,'Transfer Engine'!$C$2:$C$1960,0)),"",INDEX('Compliance Database'!$I$2:$I$1960,MATCH(843,'Transfer Engine'!$C$2:$C$1960,0)))</f>
        <v/>
      </c>
      <c r="J852" s="8">
        <f>IF(ISNA(MATCH(843,'Transfer Engine'!$C$2:$C$1960,0)),"",INDEX('Compliance Database'!$J$2:$J$1960,MATCH(843,'Transfer Engine'!$C$2:$C$1960,0)))</f>
        <v/>
      </c>
      <c r="K852" s="9">
        <f>IF(ISNA(MATCH(843,'Transfer Engine'!$C$2:$C$1960,0)),"",INDEX('Compliance Database'!$K$2:$K$1960,MATCH(843,'Transfer Engine'!$C$2:$C$1960,0)))</f>
        <v/>
      </c>
      <c r="L852" s="9">
        <f>IF(ISNA(MATCH(843,'Transfer Engine'!$C$2:$C$1960,0)),"",INDEX('Compliance Database'!$L$2:$L$1960,MATCH(843,'Transfer Engine'!$C$2:$C$1960,0)))</f>
        <v/>
      </c>
      <c r="M852" s="9">
        <f>IF(ISNA(MATCH(843,'Transfer Engine'!$C$2:$C$1960,0)),"",INDEX('Compliance Database'!$M$2:$M$1960,MATCH(843,'Transfer Engine'!$C$2:$C$1960,0)))</f>
        <v/>
      </c>
      <c r="N852" s="9">
        <f>IF(ISNA(MATCH(843,'Transfer Engine'!$C$2:$C$1960,0)),"",INDEX('Compliance Database'!$N$2:$N$1960,MATCH(843,'Transfer Engine'!$C$2:$C$1960,0)))</f>
        <v/>
      </c>
      <c r="O852" s="9">
        <f>IF(ISNA(MATCH(843,'Transfer Engine'!$C$2:$C$1960,0)),"",INDEX('Compliance Database'!$O$2:$O$1960,MATCH(843,'Transfer Engine'!$C$2:$C$1960,0)))</f>
        <v/>
      </c>
      <c r="P852" s="8">
        <f>IF(ISNA(MATCH(843,'Transfer Engine'!$C$2:$C$1960,0)),"",HYPERLINK("#Acts!A"&amp;INDEX('Compliance Database'!$P$2:$P$1960,MATCH(843,'Transfer Engine'!$C$2:$C$1960,0)),"Go to Act"))</f>
        <v/>
      </c>
    </row>
    <row r="853" ht="158" customHeight="1">
      <c r="A853" s="8">
        <f>IF(ISNA(MATCH(844,'Transfer Engine'!$C$2:$C$1960,0)),"",INDEX('Compliance Database'!$A$2:$A$1960,MATCH(844,'Transfer Engine'!$C$2:$C$1960,0)))</f>
        <v/>
      </c>
      <c r="B853" s="8">
        <f>IF(ISNA(MATCH(844,'Transfer Engine'!$C$2:$C$1960,0)),"",INDEX('Compliance Database'!$B$2:$B$1960,MATCH(844,'Transfer Engine'!$C$2:$C$1960,0)))</f>
        <v/>
      </c>
      <c r="C853" s="8">
        <f>IF(ISNA(MATCH(844,'Transfer Engine'!$C$2:$C$1960,0)),"",INDEX('Compliance Database'!$C$2:$C$1960,MATCH(844,'Transfer Engine'!$C$2:$C$1960,0)))</f>
        <v/>
      </c>
      <c r="D853" s="9">
        <f>IF(ISNA(MATCH(844,'Transfer Engine'!$C$2:$C$1960,0)),"",INDEX('Compliance Database'!$D$2:$D$1960,MATCH(844,'Transfer Engine'!$C$2:$C$1960,0)))</f>
        <v/>
      </c>
      <c r="E853" s="8">
        <f>IF(ISNA(MATCH(844,'Transfer Engine'!$C$2:$C$1960,0)),"",INDEX('Compliance Database'!$E$2:$E$1960,MATCH(844,'Transfer Engine'!$C$2:$C$1960,0)))</f>
        <v/>
      </c>
      <c r="F853" s="8">
        <f>IF(ISNA(MATCH(844,'Transfer Engine'!$C$2:$C$1960,0)),"",INDEX('Compliance Database'!$F$2:$F$1960,MATCH(844,'Transfer Engine'!$C$2:$C$1960,0)))</f>
        <v/>
      </c>
      <c r="G853" s="8">
        <f>IF(ISNA(MATCH(844,'Transfer Engine'!$C$2:$C$1960,0)),"",INDEX('Compliance Database'!$G$2:$G$1960,MATCH(844,'Transfer Engine'!$C$2:$C$1960,0)))</f>
        <v/>
      </c>
      <c r="H853" s="9">
        <f>IF(ISNA(MATCH(844,'Transfer Engine'!$C$2:$C$1960,0)),"",INDEX('Compliance Database'!$H$2:$H$1960,MATCH(844,'Transfer Engine'!$C$2:$C$1960,0)))</f>
        <v/>
      </c>
      <c r="I853" s="9">
        <f>IF(ISNA(MATCH(844,'Transfer Engine'!$C$2:$C$1960,0)),"",INDEX('Compliance Database'!$I$2:$I$1960,MATCH(844,'Transfer Engine'!$C$2:$C$1960,0)))</f>
        <v/>
      </c>
      <c r="J853" s="8">
        <f>IF(ISNA(MATCH(844,'Transfer Engine'!$C$2:$C$1960,0)),"",INDEX('Compliance Database'!$J$2:$J$1960,MATCH(844,'Transfer Engine'!$C$2:$C$1960,0)))</f>
        <v/>
      </c>
      <c r="K853" s="9">
        <f>IF(ISNA(MATCH(844,'Transfer Engine'!$C$2:$C$1960,0)),"",INDEX('Compliance Database'!$K$2:$K$1960,MATCH(844,'Transfer Engine'!$C$2:$C$1960,0)))</f>
        <v/>
      </c>
      <c r="L853" s="9">
        <f>IF(ISNA(MATCH(844,'Transfer Engine'!$C$2:$C$1960,0)),"",INDEX('Compliance Database'!$L$2:$L$1960,MATCH(844,'Transfer Engine'!$C$2:$C$1960,0)))</f>
        <v/>
      </c>
      <c r="M853" s="9">
        <f>IF(ISNA(MATCH(844,'Transfer Engine'!$C$2:$C$1960,0)),"",INDEX('Compliance Database'!$M$2:$M$1960,MATCH(844,'Transfer Engine'!$C$2:$C$1960,0)))</f>
        <v/>
      </c>
      <c r="N853" s="9">
        <f>IF(ISNA(MATCH(844,'Transfer Engine'!$C$2:$C$1960,0)),"",INDEX('Compliance Database'!$N$2:$N$1960,MATCH(844,'Transfer Engine'!$C$2:$C$1960,0)))</f>
        <v/>
      </c>
      <c r="O853" s="9">
        <f>IF(ISNA(MATCH(844,'Transfer Engine'!$C$2:$C$1960,0)),"",INDEX('Compliance Database'!$O$2:$O$1960,MATCH(844,'Transfer Engine'!$C$2:$C$1960,0)))</f>
        <v/>
      </c>
      <c r="P853" s="8">
        <f>IF(ISNA(MATCH(844,'Transfer Engine'!$C$2:$C$1960,0)),"",HYPERLINK("#Acts!A"&amp;INDEX('Compliance Database'!$P$2:$P$1960,MATCH(844,'Transfer Engine'!$C$2:$C$1960,0)),"Go to Act"))</f>
        <v/>
      </c>
    </row>
    <row r="854" ht="158" customHeight="1">
      <c r="A854" s="8">
        <f>IF(ISNA(MATCH(845,'Transfer Engine'!$C$2:$C$1960,0)),"",INDEX('Compliance Database'!$A$2:$A$1960,MATCH(845,'Transfer Engine'!$C$2:$C$1960,0)))</f>
        <v/>
      </c>
      <c r="B854" s="8">
        <f>IF(ISNA(MATCH(845,'Transfer Engine'!$C$2:$C$1960,0)),"",INDEX('Compliance Database'!$B$2:$B$1960,MATCH(845,'Transfer Engine'!$C$2:$C$1960,0)))</f>
        <v/>
      </c>
      <c r="C854" s="8">
        <f>IF(ISNA(MATCH(845,'Transfer Engine'!$C$2:$C$1960,0)),"",INDEX('Compliance Database'!$C$2:$C$1960,MATCH(845,'Transfer Engine'!$C$2:$C$1960,0)))</f>
        <v/>
      </c>
      <c r="D854" s="9">
        <f>IF(ISNA(MATCH(845,'Transfer Engine'!$C$2:$C$1960,0)),"",INDEX('Compliance Database'!$D$2:$D$1960,MATCH(845,'Transfer Engine'!$C$2:$C$1960,0)))</f>
        <v/>
      </c>
      <c r="E854" s="8">
        <f>IF(ISNA(MATCH(845,'Transfer Engine'!$C$2:$C$1960,0)),"",INDEX('Compliance Database'!$E$2:$E$1960,MATCH(845,'Transfer Engine'!$C$2:$C$1960,0)))</f>
        <v/>
      </c>
      <c r="F854" s="8">
        <f>IF(ISNA(MATCH(845,'Transfer Engine'!$C$2:$C$1960,0)),"",INDEX('Compliance Database'!$F$2:$F$1960,MATCH(845,'Transfer Engine'!$C$2:$C$1960,0)))</f>
        <v/>
      </c>
      <c r="G854" s="8">
        <f>IF(ISNA(MATCH(845,'Transfer Engine'!$C$2:$C$1960,0)),"",INDEX('Compliance Database'!$G$2:$G$1960,MATCH(845,'Transfer Engine'!$C$2:$C$1960,0)))</f>
        <v/>
      </c>
      <c r="H854" s="9">
        <f>IF(ISNA(MATCH(845,'Transfer Engine'!$C$2:$C$1960,0)),"",INDEX('Compliance Database'!$H$2:$H$1960,MATCH(845,'Transfer Engine'!$C$2:$C$1960,0)))</f>
        <v/>
      </c>
      <c r="I854" s="9">
        <f>IF(ISNA(MATCH(845,'Transfer Engine'!$C$2:$C$1960,0)),"",INDEX('Compliance Database'!$I$2:$I$1960,MATCH(845,'Transfer Engine'!$C$2:$C$1960,0)))</f>
        <v/>
      </c>
      <c r="J854" s="8">
        <f>IF(ISNA(MATCH(845,'Transfer Engine'!$C$2:$C$1960,0)),"",INDEX('Compliance Database'!$J$2:$J$1960,MATCH(845,'Transfer Engine'!$C$2:$C$1960,0)))</f>
        <v/>
      </c>
      <c r="K854" s="9">
        <f>IF(ISNA(MATCH(845,'Transfer Engine'!$C$2:$C$1960,0)),"",INDEX('Compliance Database'!$K$2:$K$1960,MATCH(845,'Transfer Engine'!$C$2:$C$1960,0)))</f>
        <v/>
      </c>
      <c r="L854" s="9">
        <f>IF(ISNA(MATCH(845,'Transfer Engine'!$C$2:$C$1960,0)),"",INDEX('Compliance Database'!$L$2:$L$1960,MATCH(845,'Transfer Engine'!$C$2:$C$1960,0)))</f>
        <v/>
      </c>
      <c r="M854" s="9">
        <f>IF(ISNA(MATCH(845,'Transfer Engine'!$C$2:$C$1960,0)),"",INDEX('Compliance Database'!$M$2:$M$1960,MATCH(845,'Transfer Engine'!$C$2:$C$1960,0)))</f>
        <v/>
      </c>
      <c r="N854" s="9">
        <f>IF(ISNA(MATCH(845,'Transfer Engine'!$C$2:$C$1960,0)),"",INDEX('Compliance Database'!$N$2:$N$1960,MATCH(845,'Transfer Engine'!$C$2:$C$1960,0)))</f>
        <v/>
      </c>
      <c r="O854" s="9">
        <f>IF(ISNA(MATCH(845,'Transfer Engine'!$C$2:$C$1960,0)),"",INDEX('Compliance Database'!$O$2:$O$1960,MATCH(845,'Transfer Engine'!$C$2:$C$1960,0)))</f>
        <v/>
      </c>
      <c r="P854" s="8">
        <f>IF(ISNA(MATCH(845,'Transfer Engine'!$C$2:$C$1960,0)),"",HYPERLINK("#Acts!A"&amp;INDEX('Compliance Database'!$P$2:$P$1960,MATCH(845,'Transfer Engine'!$C$2:$C$1960,0)),"Go to Act"))</f>
        <v/>
      </c>
    </row>
    <row r="855" ht="158" customHeight="1">
      <c r="A855" s="8">
        <f>IF(ISNA(MATCH(846,'Transfer Engine'!$C$2:$C$1960,0)),"",INDEX('Compliance Database'!$A$2:$A$1960,MATCH(846,'Transfer Engine'!$C$2:$C$1960,0)))</f>
        <v/>
      </c>
      <c r="B855" s="8">
        <f>IF(ISNA(MATCH(846,'Transfer Engine'!$C$2:$C$1960,0)),"",INDEX('Compliance Database'!$B$2:$B$1960,MATCH(846,'Transfer Engine'!$C$2:$C$1960,0)))</f>
        <v/>
      </c>
      <c r="C855" s="8">
        <f>IF(ISNA(MATCH(846,'Transfer Engine'!$C$2:$C$1960,0)),"",INDEX('Compliance Database'!$C$2:$C$1960,MATCH(846,'Transfer Engine'!$C$2:$C$1960,0)))</f>
        <v/>
      </c>
      <c r="D855" s="9">
        <f>IF(ISNA(MATCH(846,'Transfer Engine'!$C$2:$C$1960,0)),"",INDEX('Compliance Database'!$D$2:$D$1960,MATCH(846,'Transfer Engine'!$C$2:$C$1960,0)))</f>
        <v/>
      </c>
      <c r="E855" s="8">
        <f>IF(ISNA(MATCH(846,'Transfer Engine'!$C$2:$C$1960,0)),"",INDEX('Compliance Database'!$E$2:$E$1960,MATCH(846,'Transfer Engine'!$C$2:$C$1960,0)))</f>
        <v/>
      </c>
      <c r="F855" s="8">
        <f>IF(ISNA(MATCH(846,'Transfer Engine'!$C$2:$C$1960,0)),"",INDEX('Compliance Database'!$F$2:$F$1960,MATCH(846,'Transfer Engine'!$C$2:$C$1960,0)))</f>
        <v/>
      </c>
      <c r="G855" s="8">
        <f>IF(ISNA(MATCH(846,'Transfer Engine'!$C$2:$C$1960,0)),"",INDEX('Compliance Database'!$G$2:$G$1960,MATCH(846,'Transfer Engine'!$C$2:$C$1960,0)))</f>
        <v/>
      </c>
      <c r="H855" s="9">
        <f>IF(ISNA(MATCH(846,'Transfer Engine'!$C$2:$C$1960,0)),"",INDEX('Compliance Database'!$H$2:$H$1960,MATCH(846,'Transfer Engine'!$C$2:$C$1960,0)))</f>
        <v/>
      </c>
      <c r="I855" s="9">
        <f>IF(ISNA(MATCH(846,'Transfer Engine'!$C$2:$C$1960,0)),"",INDEX('Compliance Database'!$I$2:$I$1960,MATCH(846,'Transfer Engine'!$C$2:$C$1960,0)))</f>
        <v/>
      </c>
      <c r="J855" s="8">
        <f>IF(ISNA(MATCH(846,'Transfer Engine'!$C$2:$C$1960,0)),"",INDEX('Compliance Database'!$J$2:$J$1960,MATCH(846,'Transfer Engine'!$C$2:$C$1960,0)))</f>
        <v/>
      </c>
      <c r="K855" s="9">
        <f>IF(ISNA(MATCH(846,'Transfer Engine'!$C$2:$C$1960,0)),"",INDEX('Compliance Database'!$K$2:$K$1960,MATCH(846,'Transfer Engine'!$C$2:$C$1960,0)))</f>
        <v/>
      </c>
      <c r="L855" s="9">
        <f>IF(ISNA(MATCH(846,'Transfer Engine'!$C$2:$C$1960,0)),"",INDEX('Compliance Database'!$L$2:$L$1960,MATCH(846,'Transfer Engine'!$C$2:$C$1960,0)))</f>
        <v/>
      </c>
      <c r="M855" s="9">
        <f>IF(ISNA(MATCH(846,'Transfer Engine'!$C$2:$C$1960,0)),"",INDEX('Compliance Database'!$M$2:$M$1960,MATCH(846,'Transfer Engine'!$C$2:$C$1960,0)))</f>
        <v/>
      </c>
      <c r="N855" s="9">
        <f>IF(ISNA(MATCH(846,'Transfer Engine'!$C$2:$C$1960,0)),"",INDEX('Compliance Database'!$N$2:$N$1960,MATCH(846,'Transfer Engine'!$C$2:$C$1960,0)))</f>
        <v/>
      </c>
      <c r="O855" s="9">
        <f>IF(ISNA(MATCH(846,'Transfer Engine'!$C$2:$C$1960,0)),"",INDEX('Compliance Database'!$O$2:$O$1960,MATCH(846,'Transfer Engine'!$C$2:$C$1960,0)))</f>
        <v/>
      </c>
      <c r="P855" s="8">
        <f>IF(ISNA(MATCH(846,'Transfer Engine'!$C$2:$C$1960,0)),"",HYPERLINK("#Acts!A"&amp;INDEX('Compliance Database'!$P$2:$P$1960,MATCH(846,'Transfer Engine'!$C$2:$C$1960,0)),"Go to Act"))</f>
        <v/>
      </c>
    </row>
    <row r="856" ht="158" customHeight="1">
      <c r="A856" s="8">
        <f>IF(ISNA(MATCH(847,'Transfer Engine'!$C$2:$C$1960,0)),"",INDEX('Compliance Database'!$A$2:$A$1960,MATCH(847,'Transfer Engine'!$C$2:$C$1960,0)))</f>
        <v/>
      </c>
      <c r="B856" s="8">
        <f>IF(ISNA(MATCH(847,'Transfer Engine'!$C$2:$C$1960,0)),"",INDEX('Compliance Database'!$B$2:$B$1960,MATCH(847,'Transfer Engine'!$C$2:$C$1960,0)))</f>
        <v/>
      </c>
      <c r="C856" s="8">
        <f>IF(ISNA(MATCH(847,'Transfer Engine'!$C$2:$C$1960,0)),"",INDEX('Compliance Database'!$C$2:$C$1960,MATCH(847,'Transfer Engine'!$C$2:$C$1960,0)))</f>
        <v/>
      </c>
      <c r="D856" s="9">
        <f>IF(ISNA(MATCH(847,'Transfer Engine'!$C$2:$C$1960,0)),"",INDEX('Compliance Database'!$D$2:$D$1960,MATCH(847,'Transfer Engine'!$C$2:$C$1960,0)))</f>
        <v/>
      </c>
      <c r="E856" s="8">
        <f>IF(ISNA(MATCH(847,'Transfer Engine'!$C$2:$C$1960,0)),"",INDEX('Compliance Database'!$E$2:$E$1960,MATCH(847,'Transfer Engine'!$C$2:$C$1960,0)))</f>
        <v/>
      </c>
      <c r="F856" s="8">
        <f>IF(ISNA(MATCH(847,'Transfer Engine'!$C$2:$C$1960,0)),"",INDEX('Compliance Database'!$F$2:$F$1960,MATCH(847,'Transfer Engine'!$C$2:$C$1960,0)))</f>
        <v/>
      </c>
      <c r="G856" s="8">
        <f>IF(ISNA(MATCH(847,'Transfer Engine'!$C$2:$C$1960,0)),"",INDEX('Compliance Database'!$G$2:$G$1960,MATCH(847,'Transfer Engine'!$C$2:$C$1960,0)))</f>
        <v/>
      </c>
      <c r="H856" s="9">
        <f>IF(ISNA(MATCH(847,'Transfer Engine'!$C$2:$C$1960,0)),"",INDEX('Compliance Database'!$H$2:$H$1960,MATCH(847,'Transfer Engine'!$C$2:$C$1960,0)))</f>
        <v/>
      </c>
      <c r="I856" s="9">
        <f>IF(ISNA(MATCH(847,'Transfer Engine'!$C$2:$C$1960,0)),"",INDEX('Compliance Database'!$I$2:$I$1960,MATCH(847,'Transfer Engine'!$C$2:$C$1960,0)))</f>
        <v/>
      </c>
      <c r="J856" s="8">
        <f>IF(ISNA(MATCH(847,'Transfer Engine'!$C$2:$C$1960,0)),"",INDEX('Compliance Database'!$J$2:$J$1960,MATCH(847,'Transfer Engine'!$C$2:$C$1960,0)))</f>
        <v/>
      </c>
      <c r="K856" s="9">
        <f>IF(ISNA(MATCH(847,'Transfer Engine'!$C$2:$C$1960,0)),"",INDEX('Compliance Database'!$K$2:$K$1960,MATCH(847,'Transfer Engine'!$C$2:$C$1960,0)))</f>
        <v/>
      </c>
      <c r="L856" s="9">
        <f>IF(ISNA(MATCH(847,'Transfer Engine'!$C$2:$C$1960,0)),"",INDEX('Compliance Database'!$L$2:$L$1960,MATCH(847,'Transfer Engine'!$C$2:$C$1960,0)))</f>
        <v/>
      </c>
      <c r="M856" s="9">
        <f>IF(ISNA(MATCH(847,'Transfer Engine'!$C$2:$C$1960,0)),"",INDEX('Compliance Database'!$M$2:$M$1960,MATCH(847,'Transfer Engine'!$C$2:$C$1960,0)))</f>
        <v/>
      </c>
      <c r="N856" s="9">
        <f>IF(ISNA(MATCH(847,'Transfer Engine'!$C$2:$C$1960,0)),"",INDEX('Compliance Database'!$N$2:$N$1960,MATCH(847,'Transfer Engine'!$C$2:$C$1960,0)))</f>
        <v/>
      </c>
      <c r="O856" s="9">
        <f>IF(ISNA(MATCH(847,'Transfer Engine'!$C$2:$C$1960,0)),"",INDEX('Compliance Database'!$O$2:$O$1960,MATCH(847,'Transfer Engine'!$C$2:$C$1960,0)))</f>
        <v/>
      </c>
      <c r="P856" s="8">
        <f>IF(ISNA(MATCH(847,'Transfer Engine'!$C$2:$C$1960,0)),"",HYPERLINK("#Acts!A"&amp;INDEX('Compliance Database'!$P$2:$P$1960,MATCH(847,'Transfer Engine'!$C$2:$C$1960,0)),"Go to Act"))</f>
        <v/>
      </c>
    </row>
    <row r="857" ht="158" customHeight="1">
      <c r="A857" s="8">
        <f>IF(ISNA(MATCH(848,'Transfer Engine'!$C$2:$C$1960,0)),"",INDEX('Compliance Database'!$A$2:$A$1960,MATCH(848,'Transfer Engine'!$C$2:$C$1960,0)))</f>
        <v/>
      </c>
      <c r="B857" s="8">
        <f>IF(ISNA(MATCH(848,'Transfer Engine'!$C$2:$C$1960,0)),"",INDEX('Compliance Database'!$B$2:$B$1960,MATCH(848,'Transfer Engine'!$C$2:$C$1960,0)))</f>
        <v/>
      </c>
      <c r="C857" s="8">
        <f>IF(ISNA(MATCH(848,'Transfer Engine'!$C$2:$C$1960,0)),"",INDEX('Compliance Database'!$C$2:$C$1960,MATCH(848,'Transfer Engine'!$C$2:$C$1960,0)))</f>
        <v/>
      </c>
      <c r="D857" s="9">
        <f>IF(ISNA(MATCH(848,'Transfer Engine'!$C$2:$C$1960,0)),"",INDEX('Compliance Database'!$D$2:$D$1960,MATCH(848,'Transfer Engine'!$C$2:$C$1960,0)))</f>
        <v/>
      </c>
      <c r="E857" s="8">
        <f>IF(ISNA(MATCH(848,'Transfer Engine'!$C$2:$C$1960,0)),"",INDEX('Compliance Database'!$E$2:$E$1960,MATCH(848,'Transfer Engine'!$C$2:$C$1960,0)))</f>
        <v/>
      </c>
      <c r="F857" s="8">
        <f>IF(ISNA(MATCH(848,'Transfer Engine'!$C$2:$C$1960,0)),"",INDEX('Compliance Database'!$F$2:$F$1960,MATCH(848,'Transfer Engine'!$C$2:$C$1960,0)))</f>
        <v/>
      </c>
      <c r="G857" s="8">
        <f>IF(ISNA(MATCH(848,'Transfer Engine'!$C$2:$C$1960,0)),"",INDEX('Compliance Database'!$G$2:$G$1960,MATCH(848,'Transfer Engine'!$C$2:$C$1960,0)))</f>
        <v/>
      </c>
      <c r="H857" s="9">
        <f>IF(ISNA(MATCH(848,'Transfer Engine'!$C$2:$C$1960,0)),"",INDEX('Compliance Database'!$H$2:$H$1960,MATCH(848,'Transfer Engine'!$C$2:$C$1960,0)))</f>
        <v/>
      </c>
      <c r="I857" s="9">
        <f>IF(ISNA(MATCH(848,'Transfer Engine'!$C$2:$C$1960,0)),"",INDEX('Compliance Database'!$I$2:$I$1960,MATCH(848,'Transfer Engine'!$C$2:$C$1960,0)))</f>
        <v/>
      </c>
      <c r="J857" s="8">
        <f>IF(ISNA(MATCH(848,'Transfer Engine'!$C$2:$C$1960,0)),"",INDEX('Compliance Database'!$J$2:$J$1960,MATCH(848,'Transfer Engine'!$C$2:$C$1960,0)))</f>
        <v/>
      </c>
      <c r="K857" s="9">
        <f>IF(ISNA(MATCH(848,'Transfer Engine'!$C$2:$C$1960,0)),"",INDEX('Compliance Database'!$K$2:$K$1960,MATCH(848,'Transfer Engine'!$C$2:$C$1960,0)))</f>
        <v/>
      </c>
      <c r="L857" s="9">
        <f>IF(ISNA(MATCH(848,'Transfer Engine'!$C$2:$C$1960,0)),"",INDEX('Compliance Database'!$L$2:$L$1960,MATCH(848,'Transfer Engine'!$C$2:$C$1960,0)))</f>
        <v/>
      </c>
      <c r="M857" s="9">
        <f>IF(ISNA(MATCH(848,'Transfer Engine'!$C$2:$C$1960,0)),"",INDEX('Compliance Database'!$M$2:$M$1960,MATCH(848,'Transfer Engine'!$C$2:$C$1960,0)))</f>
        <v/>
      </c>
      <c r="N857" s="9">
        <f>IF(ISNA(MATCH(848,'Transfer Engine'!$C$2:$C$1960,0)),"",INDEX('Compliance Database'!$N$2:$N$1960,MATCH(848,'Transfer Engine'!$C$2:$C$1960,0)))</f>
        <v/>
      </c>
      <c r="O857" s="9">
        <f>IF(ISNA(MATCH(848,'Transfer Engine'!$C$2:$C$1960,0)),"",INDEX('Compliance Database'!$O$2:$O$1960,MATCH(848,'Transfer Engine'!$C$2:$C$1960,0)))</f>
        <v/>
      </c>
      <c r="P857" s="8">
        <f>IF(ISNA(MATCH(848,'Transfer Engine'!$C$2:$C$1960,0)),"",HYPERLINK("#Acts!A"&amp;INDEX('Compliance Database'!$P$2:$P$1960,MATCH(848,'Transfer Engine'!$C$2:$C$1960,0)),"Go to Act"))</f>
        <v/>
      </c>
    </row>
    <row r="858" ht="158" customHeight="1">
      <c r="A858" s="8">
        <f>IF(ISNA(MATCH(849,'Transfer Engine'!$C$2:$C$1960,0)),"",INDEX('Compliance Database'!$A$2:$A$1960,MATCH(849,'Transfer Engine'!$C$2:$C$1960,0)))</f>
        <v/>
      </c>
      <c r="B858" s="8">
        <f>IF(ISNA(MATCH(849,'Transfer Engine'!$C$2:$C$1960,0)),"",INDEX('Compliance Database'!$B$2:$B$1960,MATCH(849,'Transfer Engine'!$C$2:$C$1960,0)))</f>
        <v/>
      </c>
      <c r="C858" s="8">
        <f>IF(ISNA(MATCH(849,'Transfer Engine'!$C$2:$C$1960,0)),"",INDEX('Compliance Database'!$C$2:$C$1960,MATCH(849,'Transfer Engine'!$C$2:$C$1960,0)))</f>
        <v/>
      </c>
      <c r="D858" s="9">
        <f>IF(ISNA(MATCH(849,'Transfer Engine'!$C$2:$C$1960,0)),"",INDEX('Compliance Database'!$D$2:$D$1960,MATCH(849,'Transfer Engine'!$C$2:$C$1960,0)))</f>
        <v/>
      </c>
      <c r="E858" s="8">
        <f>IF(ISNA(MATCH(849,'Transfer Engine'!$C$2:$C$1960,0)),"",INDEX('Compliance Database'!$E$2:$E$1960,MATCH(849,'Transfer Engine'!$C$2:$C$1960,0)))</f>
        <v/>
      </c>
      <c r="F858" s="8">
        <f>IF(ISNA(MATCH(849,'Transfer Engine'!$C$2:$C$1960,0)),"",INDEX('Compliance Database'!$F$2:$F$1960,MATCH(849,'Transfer Engine'!$C$2:$C$1960,0)))</f>
        <v/>
      </c>
      <c r="G858" s="8">
        <f>IF(ISNA(MATCH(849,'Transfer Engine'!$C$2:$C$1960,0)),"",INDEX('Compliance Database'!$G$2:$G$1960,MATCH(849,'Transfer Engine'!$C$2:$C$1960,0)))</f>
        <v/>
      </c>
      <c r="H858" s="9">
        <f>IF(ISNA(MATCH(849,'Transfer Engine'!$C$2:$C$1960,0)),"",INDEX('Compliance Database'!$H$2:$H$1960,MATCH(849,'Transfer Engine'!$C$2:$C$1960,0)))</f>
        <v/>
      </c>
      <c r="I858" s="9">
        <f>IF(ISNA(MATCH(849,'Transfer Engine'!$C$2:$C$1960,0)),"",INDEX('Compliance Database'!$I$2:$I$1960,MATCH(849,'Transfer Engine'!$C$2:$C$1960,0)))</f>
        <v/>
      </c>
      <c r="J858" s="8">
        <f>IF(ISNA(MATCH(849,'Transfer Engine'!$C$2:$C$1960,0)),"",INDEX('Compliance Database'!$J$2:$J$1960,MATCH(849,'Transfer Engine'!$C$2:$C$1960,0)))</f>
        <v/>
      </c>
      <c r="K858" s="9">
        <f>IF(ISNA(MATCH(849,'Transfer Engine'!$C$2:$C$1960,0)),"",INDEX('Compliance Database'!$K$2:$K$1960,MATCH(849,'Transfer Engine'!$C$2:$C$1960,0)))</f>
        <v/>
      </c>
      <c r="L858" s="9">
        <f>IF(ISNA(MATCH(849,'Transfer Engine'!$C$2:$C$1960,0)),"",INDEX('Compliance Database'!$L$2:$L$1960,MATCH(849,'Transfer Engine'!$C$2:$C$1960,0)))</f>
        <v/>
      </c>
      <c r="M858" s="9">
        <f>IF(ISNA(MATCH(849,'Transfer Engine'!$C$2:$C$1960,0)),"",INDEX('Compliance Database'!$M$2:$M$1960,MATCH(849,'Transfer Engine'!$C$2:$C$1960,0)))</f>
        <v/>
      </c>
      <c r="N858" s="9">
        <f>IF(ISNA(MATCH(849,'Transfer Engine'!$C$2:$C$1960,0)),"",INDEX('Compliance Database'!$N$2:$N$1960,MATCH(849,'Transfer Engine'!$C$2:$C$1960,0)))</f>
        <v/>
      </c>
      <c r="O858" s="9">
        <f>IF(ISNA(MATCH(849,'Transfer Engine'!$C$2:$C$1960,0)),"",INDEX('Compliance Database'!$O$2:$O$1960,MATCH(849,'Transfer Engine'!$C$2:$C$1960,0)))</f>
        <v/>
      </c>
      <c r="P858" s="8">
        <f>IF(ISNA(MATCH(849,'Transfer Engine'!$C$2:$C$1960,0)),"",HYPERLINK("#Acts!A"&amp;INDEX('Compliance Database'!$P$2:$P$1960,MATCH(849,'Transfer Engine'!$C$2:$C$1960,0)),"Go to Act"))</f>
        <v/>
      </c>
    </row>
    <row r="859" ht="158" customHeight="1">
      <c r="A859" s="8">
        <f>IF(ISNA(MATCH(850,'Transfer Engine'!$C$2:$C$1960,0)),"",INDEX('Compliance Database'!$A$2:$A$1960,MATCH(850,'Transfer Engine'!$C$2:$C$1960,0)))</f>
        <v/>
      </c>
      <c r="B859" s="8">
        <f>IF(ISNA(MATCH(850,'Transfer Engine'!$C$2:$C$1960,0)),"",INDEX('Compliance Database'!$B$2:$B$1960,MATCH(850,'Transfer Engine'!$C$2:$C$1960,0)))</f>
        <v/>
      </c>
      <c r="C859" s="8">
        <f>IF(ISNA(MATCH(850,'Transfer Engine'!$C$2:$C$1960,0)),"",INDEX('Compliance Database'!$C$2:$C$1960,MATCH(850,'Transfer Engine'!$C$2:$C$1960,0)))</f>
        <v/>
      </c>
      <c r="D859" s="9">
        <f>IF(ISNA(MATCH(850,'Transfer Engine'!$C$2:$C$1960,0)),"",INDEX('Compliance Database'!$D$2:$D$1960,MATCH(850,'Transfer Engine'!$C$2:$C$1960,0)))</f>
        <v/>
      </c>
      <c r="E859" s="8">
        <f>IF(ISNA(MATCH(850,'Transfer Engine'!$C$2:$C$1960,0)),"",INDEX('Compliance Database'!$E$2:$E$1960,MATCH(850,'Transfer Engine'!$C$2:$C$1960,0)))</f>
        <v/>
      </c>
      <c r="F859" s="8">
        <f>IF(ISNA(MATCH(850,'Transfer Engine'!$C$2:$C$1960,0)),"",INDEX('Compliance Database'!$F$2:$F$1960,MATCH(850,'Transfer Engine'!$C$2:$C$1960,0)))</f>
        <v/>
      </c>
      <c r="G859" s="8">
        <f>IF(ISNA(MATCH(850,'Transfer Engine'!$C$2:$C$1960,0)),"",INDEX('Compliance Database'!$G$2:$G$1960,MATCH(850,'Transfer Engine'!$C$2:$C$1960,0)))</f>
        <v/>
      </c>
      <c r="H859" s="9">
        <f>IF(ISNA(MATCH(850,'Transfer Engine'!$C$2:$C$1960,0)),"",INDEX('Compliance Database'!$H$2:$H$1960,MATCH(850,'Transfer Engine'!$C$2:$C$1960,0)))</f>
        <v/>
      </c>
      <c r="I859" s="9">
        <f>IF(ISNA(MATCH(850,'Transfer Engine'!$C$2:$C$1960,0)),"",INDEX('Compliance Database'!$I$2:$I$1960,MATCH(850,'Transfer Engine'!$C$2:$C$1960,0)))</f>
        <v/>
      </c>
      <c r="J859" s="8">
        <f>IF(ISNA(MATCH(850,'Transfer Engine'!$C$2:$C$1960,0)),"",INDEX('Compliance Database'!$J$2:$J$1960,MATCH(850,'Transfer Engine'!$C$2:$C$1960,0)))</f>
        <v/>
      </c>
      <c r="K859" s="9">
        <f>IF(ISNA(MATCH(850,'Transfer Engine'!$C$2:$C$1960,0)),"",INDEX('Compliance Database'!$K$2:$K$1960,MATCH(850,'Transfer Engine'!$C$2:$C$1960,0)))</f>
        <v/>
      </c>
      <c r="L859" s="9">
        <f>IF(ISNA(MATCH(850,'Transfer Engine'!$C$2:$C$1960,0)),"",INDEX('Compliance Database'!$L$2:$L$1960,MATCH(850,'Transfer Engine'!$C$2:$C$1960,0)))</f>
        <v/>
      </c>
      <c r="M859" s="9">
        <f>IF(ISNA(MATCH(850,'Transfer Engine'!$C$2:$C$1960,0)),"",INDEX('Compliance Database'!$M$2:$M$1960,MATCH(850,'Transfer Engine'!$C$2:$C$1960,0)))</f>
        <v/>
      </c>
      <c r="N859" s="9">
        <f>IF(ISNA(MATCH(850,'Transfer Engine'!$C$2:$C$1960,0)),"",INDEX('Compliance Database'!$N$2:$N$1960,MATCH(850,'Transfer Engine'!$C$2:$C$1960,0)))</f>
        <v/>
      </c>
      <c r="O859" s="9">
        <f>IF(ISNA(MATCH(850,'Transfer Engine'!$C$2:$C$1960,0)),"",INDEX('Compliance Database'!$O$2:$O$1960,MATCH(850,'Transfer Engine'!$C$2:$C$1960,0)))</f>
        <v/>
      </c>
      <c r="P859" s="8">
        <f>IF(ISNA(MATCH(850,'Transfer Engine'!$C$2:$C$1960,0)),"",HYPERLINK("#Acts!A"&amp;INDEX('Compliance Database'!$P$2:$P$1960,MATCH(850,'Transfer Engine'!$C$2:$C$1960,0)),"Go to Act"))</f>
        <v/>
      </c>
    </row>
    <row r="860" ht="158" customHeight="1">
      <c r="A860" s="8">
        <f>IF(ISNA(MATCH(851,'Transfer Engine'!$C$2:$C$1960,0)),"",INDEX('Compliance Database'!$A$2:$A$1960,MATCH(851,'Transfer Engine'!$C$2:$C$1960,0)))</f>
        <v/>
      </c>
      <c r="B860" s="8">
        <f>IF(ISNA(MATCH(851,'Transfer Engine'!$C$2:$C$1960,0)),"",INDEX('Compliance Database'!$B$2:$B$1960,MATCH(851,'Transfer Engine'!$C$2:$C$1960,0)))</f>
        <v/>
      </c>
      <c r="C860" s="8">
        <f>IF(ISNA(MATCH(851,'Transfer Engine'!$C$2:$C$1960,0)),"",INDEX('Compliance Database'!$C$2:$C$1960,MATCH(851,'Transfer Engine'!$C$2:$C$1960,0)))</f>
        <v/>
      </c>
      <c r="D860" s="9">
        <f>IF(ISNA(MATCH(851,'Transfer Engine'!$C$2:$C$1960,0)),"",INDEX('Compliance Database'!$D$2:$D$1960,MATCH(851,'Transfer Engine'!$C$2:$C$1960,0)))</f>
        <v/>
      </c>
      <c r="E860" s="8">
        <f>IF(ISNA(MATCH(851,'Transfer Engine'!$C$2:$C$1960,0)),"",INDEX('Compliance Database'!$E$2:$E$1960,MATCH(851,'Transfer Engine'!$C$2:$C$1960,0)))</f>
        <v/>
      </c>
      <c r="F860" s="8">
        <f>IF(ISNA(MATCH(851,'Transfer Engine'!$C$2:$C$1960,0)),"",INDEX('Compliance Database'!$F$2:$F$1960,MATCH(851,'Transfer Engine'!$C$2:$C$1960,0)))</f>
        <v/>
      </c>
      <c r="G860" s="8">
        <f>IF(ISNA(MATCH(851,'Transfer Engine'!$C$2:$C$1960,0)),"",INDEX('Compliance Database'!$G$2:$G$1960,MATCH(851,'Transfer Engine'!$C$2:$C$1960,0)))</f>
        <v/>
      </c>
      <c r="H860" s="9">
        <f>IF(ISNA(MATCH(851,'Transfer Engine'!$C$2:$C$1960,0)),"",INDEX('Compliance Database'!$H$2:$H$1960,MATCH(851,'Transfer Engine'!$C$2:$C$1960,0)))</f>
        <v/>
      </c>
      <c r="I860" s="9">
        <f>IF(ISNA(MATCH(851,'Transfer Engine'!$C$2:$C$1960,0)),"",INDEX('Compliance Database'!$I$2:$I$1960,MATCH(851,'Transfer Engine'!$C$2:$C$1960,0)))</f>
        <v/>
      </c>
      <c r="J860" s="8">
        <f>IF(ISNA(MATCH(851,'Transfer Engine'!$C$2:$C$1960,0)),"",INDEX('Compliance Database'!$J$2:$J$1960,MATCH(851,'Transfer Engine'!$C$2:$C$1960,0)))</f>
        <v/>
      </c>
      <c r="K860" s="9">
        <f>IF(ISNA(MATCH(851,'Transfer Engine'!$C$2:$C$1960,0)),"",INDEX('Compliance Database'!$K$2:$K$1960,MATCH(851,'Transfer Engine'!$C$2:$C$1960,0)))</f>
        <v/>
      </c>
      <c r="L860" s="9">
        <f>IF(ISNA(MATCH(851,'Transfer Engine'!$C$2:$C$1960,0)),"",INDEX('Compliance Database'!$L$2:$L$1960,MATCH(851,'Transfer Engine'!$C$2:$C$1960,0)))</f>
        <v/>
      </c>
      <c r="M860" s="9">
        <f>IF(ISNA(MATCH(851,'Transfer Engine'!$C$2:$C$1960,0)),"",INDEX('Compliance Database'!$M$2:$M$1960,MATCH(851,'Transfer Engine'!$C$2:$C$1960,0)))</f>
        <v/>
      </c>
      <c r="N860" s="9">
        <f>IF(ISNA(MATCH(851,'Transfer Engine'!$C$2:$C$1960,0)),"",INDEX('Compliance Database'!$N$2:$N$1960,MATCH(851,'Transfer Engine'!$C$2:$C$1960,0)))</f>
        <v/>
      </c>
      <c r="O860" s="9">
        <f>IF(ISNA(MATCH(851,'Transfer Engine'!$C$2:$C$1960,0)),"",INDEX('Compliance Database'!$O$2:$O$1960,MATCH(851,'Transfer Engine'!$C$2:$C$1960,0)))</f>
        <v/>
      </c>
      <c r="P860" s="8">
        <f>IF(ISNA(MATCH(851,'Transfer Engine'!$C$2:$C$1960,0)),"",HYPERLINK("#Acts!A"&amp;INDEX('Compliance Database'!$P$2:$P$1960,MATCH(851,'Transfer Engine'!$C$2:$C$1960,0)),"Go to Act"))</f>
        <v/>
      </c>
    </row>
    <row r="861" ht="158" customHeight="1">
      <c r="A861" s="8">
        <f>IF(ISNA(MATCH(852,'Transfer Engine'!$C$2:$C$1960,0)),"",INDEX('Compliance Database'!$A$2:$A$1960,MATCH(852,'Transfer Engine'!$C$2:$C$1960,0)))</f>
        <v/>
      </c>
      <c r="B861" s="8">
        <f>IF(ISNA(MATCH(852,'Transfer Engine'!$C$2:$C$1960,0)),"",INDEX('Compliance Database'!$B$2:$B$1960,MATCH(852,'Transfer Engine'!$C$2:$C$1960,0)))</f>
        <v/>
      </c>
      <c r="C861" s="8">
        <f>IF(ISNA(MATCH(852,'Transfer Engine'!$C$2:$C$1960,0)),"",INDEX('Compliance Database'!$C$2:$C$1960,MATCH(852,'Transfer Engine'!$C$2:$C$1960,0)))</f>
        <v/>
      </c>
      <c r="D861" s="9">
        <f>IF(ISNA(MATCH(852,'Transfer Engine'!$C$2:$C$1960,0)),"",INDEX('Compliance Database'!$D$2:$D$1960,MATCH(852,'Transfer Engine'!$C$2:$C$1960,0)))</f>
        <v/>
      </c>
      <c r="E861" s="8">
        <f>IF(ISNA(MATCH(852,'Transfer Engine'!$C$2:$C$1960,0)),"",INDEX('Compliance Database'!$E$2:$E$1960,MATCH(852,'Transfer Engine'!$C$2:$C$1960,0)))</f>
        <v/>
      </c>
      <c r="F861" s="8">
        <f>IF(ISNA(MATCH(852,'Transfer Engine'!$C$2:$C$1960,0)),"",INDEX('Compliance Database'!$F$2:$F$1960,MATCH(852,'Transfer Engine'!$C$2:$C$1960,0)))</f>
        <v/>
      </c>
      <c r="G861" s="8">
        <f>IF(ISNA(MATCH(852,'Transfer Engine'!$C$2:$C$1960,0)),"",INDEX('Compliance Database'!$G$2:$G$1960,MATCH(852,'Transfer Engine'!$C$2:$C$1960,0)))</f>
        <v/>
      </c>
      <c r="H861" s="9">
        <f>IF(ISNA(MATCH(852,'Transfer Engine'!$C$2:$C$1960,0)),"",INDEX('Compliance Database'!$H$2:$H$1960,MATCH(852,'Transfer Engine'!$C$2:$C$1960,0)))</f>
        <v/>
      </c>
      <c r="I861" s="9">
        <f>IF(ISNA(MATCH(852,'Transfer Engine'!$C$2:$C$1960,0)),"",INDEX('Compliance Database'!$I$2:$I$1960,MATCH(852,'Transfer Engine'!$C$2:$C$1960,0)))</f>
        <v/>
      </c>
      <c r="J861" s="8">
        <f>IF(ISNA(MATCH(852,'Transfer Engine'!$C$2:$C$1960,0)),"",INDEX('Compliance Database'!$J$2:$J$1960,MATCH(852,'Transfer Engine'!$C$2:$C$1960,0)))</f>
        <v/>
      </c>
      <c r="K861" s="9">
        <f>IF(ISNA(MATCH(852,'Transfer Engine'!$C$2:$C$1960,0)),"",INDEX('Compliance Database'!$K$2:$K$1960,MATCH(852,'Transfer Engine'!$C$2:$C$1960,0)))</f>
        <v/>
      </c>
      <c r="L861" s="9">
        <f>IF(ISNA(MATCH(852,'Transfer Engine'!$C$2:$C$1960,0)),"",INDEX('Compliance Database'!$L$2:$L$1960,MATCH(852,'Transfer Engine'!$C$2:$C$1960,0)))</f>
        <v/>
      </c>
      <c r="M861" s="9">
        <f>IF(ISNA(MATCH(852,'Transfer Engine'!$C$2:$C$1960,0)),"",INDEX('Compliance Database'!$M$2:$M$1960,MATCH(852,'Transfer Engine'!$C$2:$C$1960,0)))</f>
        <v/>
      </c>
      <c r="N861" s="9">
        <f>IF(ISNA(MATCH(852,'Transfer Engine'!$C$2:$C$1960,0)),"",INDEX('Compliance Database'!$N$2:$N$1960,MATCH(852,'Transfer Engine'!$C$2:$C$1960,0)))</f>
        <v/>
      </c>
      <c r="O861" s="9">
        <f>IF(ISNA(MATCH(852,'Transfer Engine'!$C$2:$C$1960,0)),"",INDEX('Compliance Database'!$O$2:$O$1960,MATCH(852,'Transfer Engine'!$C$2:$C$1960,0)))</f>
        <v/>
      </c>
      <c r="P861" s="8">
        <f>IF(ISNA(MATCH(852,'Transfer Engine'!$C$2:$C$1960,0)),"",HYPERLINK("#Acts!A"&amp;INDEX('Compliance Database'!$P$2:$P$1960,MATCH(852,'Transfer Engine'!$C$2:$C$1960,0)),"Go to Act"))</f>
        <v/>
      </c>
    </row>
    <row r="862" ht="158" customHeight="1">
      <c r="A862" s="8">
        <f>IF(ISNA(MATCH(853,'Transfer Engine'!$C$2:$C$1960,0)),"",INDEX('Compliance Database'!$A$2:$A$1960,MATCH(853,'Transfer Engine'!$C$2:$C$1960,0)))</f>
        <v/>
      </c>
      <c r="B862" s="8">
        <f>IF(ISNA(MATCH(853,'Transfer Engine'!$C$2:$C$1960,0)),"",INDEX('Compliance Database'!$B$2:$B$1960,MATCH(853,'Transfer Engine'!$C$2:$C$1960,0)))</f>
        <v/>
      </c>
      <c r="C862" s="8">
        <f>IF(ISNA(MATCH(853,'Transfer Engine'!$C$2:$C$1960,0)),"",INDEX('Compliance Database'!$C$2:$C$1960,MATCH(853,'Transfer Engine'!$C$2:$C$1960,0)))</f>
        <v/>
      </c>
      <c r="D862" s="9">
        <f>IF(ISNA(MATCH(853,'Transfer Engine'!$C$2:$C$1960,0)),"",INDEX('Compliance Database'!$D$2:$D$1960,MATCH(853,'Transfer Engine'!$C$2:$C$1960,0)))</f>
        <v/>
      </c>
      <c r="E862" s="8">
        <f>IF(ISNA(MATCH(853,'Transfer Engine'!$C$2:$C$1960,0)),"",INDEX('Compliance Database'!$E$2:$E$1960,MATCH(853,'Transfer Engine'!$C$2:$C$1960,0)))</f>
        <v/>
      </c>
      <c r="F862" s="8">
        <f>IF(ISNA(MATCH(853,'Transfer Engine'!$C$2:$C$1960,0)),"",INDEX('Compliance Database'!$F$2:$F$1960,MATCH(853,'Transfer Engine'!$C$2:$C$1960,0)))</f>
        <v/>
      </c>
      <c r="G862" s="8">
        <f>IF(ISNA(MATCH(853,'Transfer Engine'!$C$2:$C$1960,0)),"",INDEX('Compliance Database'!$G$2:$G$1960,MATCH(853,'Transfer Engine'!$C$2:$C$1960,0)))</f>
        <v/>
      </c>
      <c r="H862" s="9">
        <f>IF(ISNA(MATCH(853,'Transfer Engine'!$C$2:$C$1960,0)),"",INDEX('Compliance Database'!$H$2:$H$1960,MATCH(853,'Transfer Engine'!$C$2:$C$1960,0)))</f>
        <v/>
      </c>
      <c r="I862" s="9">
        <f>IF(ISNA(MATCH(853,'Transfer Engine'!$C$2:$C$1960,0)),"",INDEX('Compliance Database'!$I$2:$I$1960,MATCH(853,'Transfer Engine'!$C$2:$C$1960,0)))</f>
        <v/>
      </c>
      <c r="J862" s="8">
        <f>IF(ISNA(MATCH(853,'Transfer Engine'!$C$2:$C$1960,0)),"",INDEX('Compliance Database'!$J$2:$J$1960,MATCH(853,'Transfer Engine'!$C$2:$C$1960,0)))</f>
        <v/>
      </c>
      <c r="K862" s="9">
        <f>IF(ISNA(MATCH(853,'Transfer Engine'!$C$2:$C$1960,0)),"",INDEX('Compliance Database'!$K$2:$K$1960,MATCH(853,'Transfer Engine'!$C$2:$C$1960,0)))</f>
        <v/>
      </c>
      <c r="L862" s="9">
        <f>IF(ISNA(MATCH(853,'Transfer Engine'!$C$2:$C$1960,0)),"",INDEX('Compliance Database'!$L$2:$L$1960,MATCH(853,'Transfer Engine'!$C$2:$C$1960,0)))</f>
        <v/>
      </c>
      <c r="M862" s="9">
        <f>IF(ISNA(MATCH(853,'Transfer Engine'!$C$2:$C$1960,0)),"",INDEX('Compliance Database'!$M$2:$M$1960,MATCH(853,'Transfer Engine'!$C$2:$C$1960,0)))</f>
        <v/>
      </c>
      <c r="N862" s="9">
        <f>IF(ISNA(MATCH(853,'Transfer Engine'!$C$2:$C$1960,0)),"",INDEX('Compliance Database'!$N$2:$N$1960,MATCH(853,'Transfer Engine'!$C$2:$C$1960,0)))</f>
        <v/>
      </c>
      <c r="O862" s="9">
        <f>IF(ISNA(MATCH(853,'Transfer Engine'!$C$2:$C$1960,0)),"",INDEX('Compliance Database'!$O$2:$O$1960,MATCH(853,'Transfer Engine'!$C$2:$C$1960,0)))</f>
        <v/>
      </c>
      <c r="P862" s="8">
        <f>IF(ISNA(MATCH(853,'Transfer Engine'!$C$2:$C$1960,0)),"",HYPERLINK("#Acts!A"&amp;INDEX('Compliance Database'!$P$2:$P$1960,MATCH(853,'Transfer Engine'!$C$2:$C$1960,0)),"Go to Act"))</f>
        <v/>
      </c>
    </row>
    <row r="863" ht="158" customHeight="1">
      <c r="A863" s="8">
        <f>IF(ISNA(MATCH(854,'Transfer Engine'!$C$2:$C$1960,0)),"",INDEX('Compliance Database'!$A$2:$A$1960,MATCH(854,'Transfer Engine'!$C$2:$C$1960,0)))</f>
        <v/>
      </c>
      <c r="B863" s="8">
        <f>IF(ISNA(MATCH(854,'Transfer Engine'!$C$2:$C$1960,0)),"",INDEX('Compliance Database'!$B$2:$B$1960,MATCH(854,'Transfer Engine'!$C$2:$C$1960,0)))</f>
        <v/>
      </c>
      <c r="C863" s="8">
        <f>IF(ISNA(MATCH(854,'Transfer Engine'!$C$2:$C$1960,0)),"",INDEX('Compliance Database'!$C$2:$C$1960,MATCH(854,'Transfer Engine'!$C$2:$C$1960,0)))</f>
        <v/>
      </c>
      <c r="D863" s="9">
        <f>IF(ISNA(MATCH(854,'Transfer Engine'!$C$2:$C$1960,0)),"",INDEX('Compliance Database'!$D$2:$D$1960,MATCH(854,'Transfer Engine'!$C$2:$C$1960,0)))</f>
        <v/>
      </c>
      <c r="E863" s="8">
        <f>IF(ISNA(MATCH(854,'Transfer Engine'!$C$2:$C$1960,0)),"",INDEX('Compliance Database'!$E$2:$E$1960,MATCH(854,'Transfer Engine'!$C$2:$C$1960,0)))</f>
        <v/>
      </c>
      <c r="F863" s="8">
        <f>IF(ISNA(MATCH(854,'Transfer Engine'!$C$2:$C$1960,0)),"",INDEX('Compliance Database'!$F$2:$F$1960,MATCH(854,'Transfer Engine'!$C$2:$C$1960,0)))</f>
        <v/>
      </c>
      <c r="G863" s="8">
        <f>IF(ISNA(MATCH(854,'Transfer Engine'!$C$2:$C$1960,0)),"",INDEX('Compliance Database'!$G$2:$G$1960,MATCH(854,'Transfer Engine'!$C$2:$C$1960,0)))</f>
        <v/>
      </c>
      <c r="H863" s="9">
        <f>IF(ISNA(MATCH(854,'Transfer Engine'!$C$2:$C$1960,0)),"",INDEX('Compliance Database'!$H$2:$H$1960,MATCH(854,'Transfer Engine'!$C$2:$C$1960,0)))</f>
        <v/>
      </c>
      <c r="I863" s="9">
        <f>IF(ISNA(MATCH(854,'Transfer Engine'!$C$2:$C$1960,0)),"",INDEX('Compliance Database'!$I$2:$I$1960,MATCH(854,'Transfer Engine'!$C$2:$C$1960,0)))</f>
        <v/>
      </c>
      <c r="J863" s="8">
        <f>IF(ISNA(MATCH(854,'Transfer Engine'!$C$2:$C$1960,0)),"",INDEX('Compliance Database'!$J$2:$J$1960,MATCH(854,'Transfer Engine'!$C$2:$C$1960,0)))</f>
        <v/>
      </c>
      <c r="K863" s="9">
        <f>IF(ISNA(MATCH(854,'Transfer Engine'!$C$2:$C$1960,0)),"",INDEX('Compliance Database'!$K$2:$K$1960,MATCH(854,'Transfer Engine'!$C$2:$C$1960,0)))</f>
        <v/>
      </c>
      <c r="L863" s="9">
        <f>IF(ISNA(MATCH(854,'Transfer Engine'!$C$2:$C$1960,0)),"",INDEX('Compliance Database'!$L$2:$L$1960,MATCH(854,'Transfer Engine'!$C$2:$C$1960,0)))</f>
        <v/>
      </c>
      <c r="M863" s="9">
        <f>IF(ISNA(MATCH(854,'Transfer Engine'!$C$2:$C$1960,0)),"",INDEX('Compliance Database'!$M$2:$M$1960,MATCH(854,'Transfer Engine'!$C$2:$C$1960,0)))</f>
        <v/>
      </c>
      <c r="N863" s="9">
        <f>IF(ISNA(MATCH(854,'Transfer Engine'!$C$2:$C$1960,0)),"",INDEX('Compliance Database'!$N$2:$N$1960,MATCH(854,'Transfer Engine'!$C$2:$C$1960,0)))</f>
        <v/>
      </c>
      <c r="O863" s="9">
        <f>IF(ISNA(MATCH(854,'Transfer Engine'!$C$2:$C$1960,0)),"",INDEX('Compliance Database'!$O$2:$O$1960,MATCH(854,'Transfer Engine'!$C$2:$C$1960,0)))</f>
        <v/>
      </c>
      <c r="P863" s="8">
        <f>IF(ISNA(MATCH(854,'Transfer Engine'!$C$2:$C$1960,0)),"",HYPERLINK("#Acts!A"&amp;INDEX('Compliance Database'!$P$2:$P$1960,MATCH(854,'Transfer Engine'!$C$2:$C$1960,0)),"Go to Act"))</f>
        <v/>
      </c>
    </row>
    <row r="864" ht="158" customHeight="1">
      <c r="A864" s="8">
        <f>IF(ISNA(MATCH(855,'Transfer Engine'!$C$2:$C$1960,0)),"",INDEX('Compliance Database'!$A$2:$A$1960,MATCH(855,'Transfer Engine'!$C$2:$C$1960,0)))</f>
        <v/>
      </c>
      <c r="B864" s="8">
        <f>IF(ISNA(MATCH(855,'Transfer Engine'!$C$2:$C$1960,0)),"",INDEX('Compliance Database'!$B$2:$B$1960,MATCH(855,'Transfer Engine'!$C$2:$C$1960,0)))</f>
        <v/>
      </c>
      <c r="C864" s="8">
        <f>IF(ISNA(MATCH(855,'Transfer Engine'!$C$2:$C$1960,0)),"",INDEX('Compliance Database'!$C$2:$C$1960,MATCH(855,'Transfer Engine'!$C$2:$C$1960,0)))</f>
        <v/>
      </c>
      <c r="D864" s="9">
        <f>IF(ISNA(MATCH(855,'Transfer Engine'!$C$2:$C$1960,0)),"",INDEX('Compliance Database'!$D$2:$D$1960,MATCH(855,'Transfer Engine'!$C$2:$C$1960,0)))</f>
        <v/>
      </c>
      <c r="E864" s="8">
        <f>IF(ISNA(MATCH(855,'Transfer Engine'!$C$2:$C$1960,0)),"",INDEX('Compliance Database'!$E$2:$E$1960,MATCH(855,'Transfer Engine'!$C$2:$C$1960,0)))</f>
        <v/>
      </c>
      <c r="F864" s="8">
        <f>IF(ISNA(MATCH(855,'Transfer Engine'!$C$2:$C$1960,0)),"",INDEX('Compliance Database'!$F$2:$F$1960,MATCH(855,'Transfer Engine'!$C$2:$C$1960,0)))</f>
        <v/>
      </c>
      <c r="G864" s="8">
        <f>IF(ISNA(MATCH(855,'Transfer Engine'!$C$2:$C$1960,0)),"",INDEX('Compliance Database'!$G$2:$G$1960,MATCH(855,'Transfer Engine'!$C$2:$C$1960,0)))</f>
        <v/>
      </c>
      <c r="H864" s="9">
        <f>IF(ISNA(MATCH(855,'Transfer Engine'!$C$2:$C$1960,0)),"",INDEX('Compliance Database'!$H$2:$H$1960,MATCH(855,'Transfer Engine'!$C$2:$C$1960,0)))</f>
        <v/>
      </c>
      <c r="I864" s="9">
        <f>IF(ISNA(MATCH(855,'Transfer Engine'!$C$2:$C$1960,0)),"",INDEX('Compliance Database'!$I$2:$I$1960,MATCH(855,'Transfer Engine'!$C$2:$C$1960,0)))</f>
        <v/>
      </c>
      <c r="J864" s="8">
        <f>IF(ISNA(MATCH(855,'Transfer Engine'!$C$2:$C$1960,0)),"",INDEX('Compliance Database'!$J$2:$J$1960,MATCH(855,'Transfer Engine'!$C$2:$C$1960,0)))</f>
        <v/>
      </c>
      <c r="K864" s="9">
        <f>IF(ISNA(MATCH(855,'Transfer Engine'!$C$2:$C$1960,0)),"",INDEX('Compliance Database'!$K$2:$K$1960,MATCH(855,'Transfer Engine'!$C$2:$C$1960,0)))</f>
        <v/>
      </c>
      <c r="L864" s="9">
        <f>IF(ISNA(MATCH(855,'Transfer Engine'!$C$2:$C$1960,0)),"",INDEX('Compliance Database'!$L$2:$L$1960,MATCH(855,'Transfer Engine'!$C$2:$C$1960,0)))</f>
        <v/>
      </c>
      <c r="M864" s="9">
        <f>IF(ISNA(MATCH(855,'Transfer Engine'!$C$2:$C$1960,0)),"",INDEX('Compliance Database'!$M$2:$M$1960,MATCH(855,'Transfer Engine'!$C$2:$C$1960,0)))</f>
        <v/>
      </c>
      <c r="N864" s="9">
        <f>IF(ISNA(MATCH(855,'Transfer Engine'!$C$2:$C$1960,0)),"",INDEX('Compliance Database'!$N$2:$N$1960,MATCH(855,'Transfer Engine'!$C$2:$C$1960,0)))</f>
        <v/>
      </c>
      <c r="O864" s="9">
        <f>IF(ISNA(MATCH(855,'Transfer Engine'!$C$2:$C$1960,0)),"",INDEX('Compliance Database'!$O$2:$O$1960,MATCH(855,'Transfer Engine'!$C$2:$C$1960,0)))</f>
        <v/>
      </c>
      <c r="P864" s="8">
        <f>IF(ISNA(MATCH(855,'Transfer Engine'!$C$2:$C$1960,0)),"",HYPERLINK("#Acts!A"&amp;INDEX('Compliance Database'!$P$2:$P$1960,MATCH(855,'Transfer Engine'!$C$2:$C$1960,0)),"Go to Act"))</f>
        <v/>
      </c>
    </row>
    <row r="865" ht="158" customHeight="1">
      <c r="A865" s="8">
        <f>IF(ISNA(MATCH(856,'Transfer Engine'!$C$2:$C$1960,0)),"",INDEX('Compliance Database'!$A$2:$A$1960,MATCH(856,'Transfer Engine'!$C$2:$C$1960,0)))</f>
        <v/>
      </c>
      <c r="B865" s="8">
        <f>IF(ISNA(MATCH(856,'Transfer Engine'!$C$2:$C$1960,0)),"",INDEX('Compliance Database'!$B$2:$B$1960,MATCH(856,'Transfer Engine'!$C$2:$C$1960,0)))</f>
        <v/>
      </c>
      <c r="C865" s="8">
        <f>IF(ISNA(MATCH(856,'Transfer Engine'!$C$2:$C$1960,0)),"",INDEX('Compliance Database'!$C$2:$C$1960,MATCH(856,'Transfer Engine'!$C$2:$C$1960,0)))</f>
        <v/>
      </c>
      <c r="D865" s="9">
        <f>IF(ISNA(MATCH(856,'Transfer Engine'!$C$2:$C$1960,0)),"",INDEX('Compliance Database'!$D$2:$D$1960,MATCH(856,'Transfer Engine'!$C$2:$C$1960,0)))</f>
        <v/>
      </c>
      <c r="E865" s="8">
        <f>IF(ISNA(MATCH(856,'Transfer Engine'!$C$2:$C$1960,0)),"",INDEX('Compliance Database'!$E$2:$E$1960,MATCH(856,'Transfer Engine'!$C$2:$C$1960,0)))</f>
        <v/>
      </c>
      <c r="F865" s="8">
        <f>IF(ISNA(MATCH(856,'Transfer Engine'!$C$2:$C$1960,0)),"",INDEX('Compliance Database'!$F$2:$F$1960,MATCH(856,'Transfer Engine'!$C$2:$C$1960,0)))</f>
        <v/>
      </c>
      <c r="G865" s="8">
        <f>IF(ISNA(MATCH(856,'Transfer Engine'!$C$2:$C$1960,0)),"",INDEX('Compliance Database'!$G$2:$G$1960,MATCH(856,'Transfer Engine'!$C$2:$C$1960,0)))</f>
        <v/>
      </c>
      <c r="H865" s="9">
        <f>IF(ISNA(MATCH(856,'Transfer Engine'!$C$2:$C$1960,0)),"",INDEX('Compliance Database'!$H$2:$H$1960,MATCH(856,'Transfer Engine'!$C$2:$C$1960,0)))</f>
        <v/>
      </c>
      <c r="I865" s="9">
        <f>IF(ISNA(MATCH(856,'Transfer Engine'!$C$2:$C$1960,0)),"",INDEX('Compliance Database'!$I$2:$I$1960,MATCH(856,'Transfer Engine'!$C$2:$C$1960,0)))</f>
        <v/>
      </c>
      <c r="J865" s="8">
        <f>IF(ISNA(MATCH(856,'Transfer Engine'!$C$2:$C$1960,0)),"",INDEX('Compliance Database'!$J$2:$J$1960,MATCH(856,'Transfer Engine'!$C$2:$C$1960,0)))</f>
        <v/>
      </c>
      <c r="K865" s="9">
        <f>IF(ISNA(MATCH(856,'Transfer Engine'!$C$2:$C$1960,0)),"",INDEX('Compliance Database'!$K$2:$K$1960,MATCH(856,'Transfer Engine'!$C$2:$C$1960,0)))</f>
        <v/>
      </c>
      <c r="L865" s="9">
        <f>IF(ISNA(MATCH(856,'Transfer Engine'!$C$2:$C$1960,0)),"",INDEX('Compliance Database'!$L$2:$L$1960,MATCH(856,'Transfer Engine'!$C$2:$C$1960,0)))</f>
        <v/>
      </c>
      <c r="M865" s="9">
        <f>IF(ISNA(MATCH(856,'Transfer Engine'!$C$2:$C$1960,0)),"",INDEX('Compliance Database'!$M$2:$M$1960,MATCH(856,'Transfer Engine'!$C$2:$C$1960,0)))</f>
        <v/>
      </c>
      <c r="N865" s="9">
        <f>IF(ISNA(MATCH(856,'Transfer Engine'!$C$2:$C$1960,0)),"",INDEX('Compliance Database'!$N$2:$N$1960,MATCH(856,'Transfer Engine'!$C$2:$C$1960,0)))</f>
        <v/>
      </c>
      <c r="O865" s="9">
        <f>IF(ISNA(MATCH(856,'Transfer Engine'!$C$2:$C$1960,0)),"",INDEX('Compliance Database'!$O$2:$O$1960,MATCH(856,'Transfer Engine'!$C$2:$C$1960,0)))</f>
        <v/>
      </c>
      <c r="P865" s="8">
        <f>IF(ISNA(MATCH(856,'Transfer Engine'!$C$2:$C$1960,0)),"",HYPERLINK("#Acts!A"&amp;INDEX('Compliance Database'!$P$2:$P$1960,MATCH(856,'Transfer Engine'!$C$2:$C$1960,0)),"Go to Act"))</f>
        <v/>
      </c>
    </row>
    <row r="866" ht="158" customHeight="1">
      <c r="A866" s="8">
        <f>IF(ISNA(MATCH(857,'Transfer Engine'!$C$2:$C$1960,0)),"",INDEX('Compliance Database'!$A$2:$A$1960,MATCH(857,'Transfer Engine'!$C$2:$C$1960,0)))</f>
        <v/>
      </c>
      <c r="B866" s="8">
        <f>IF(ISNA(MATCH(857,'Transfer Engine'!$C$2:$C$1960,0)),"",INDEX('Compliance Database'!$B$2:$B$1960,MATCH(857,'Transfer Engine'!$C$2:$C$1960,0)))</f>
        <v/>
      </c>
      <c r="C866" s="8">
        <f>IF(ISNA(MATCH(857,'Transfer Engine'!$C$2:$C$1960,0)),"",INDEX('Compliance Database'!$C$2:$C$1960,MATCH(857,'Transfer Engine'!$C$2:$C$1960,0)))</f>
        <v/>
      </c>
      <c r="D866" s="9">
        <f>IF(ISNA(MATCH(857,'Transfer Engine'!$C$2:$C$1960,0)),"",INDEX('Compliance Database'!$D$2:$D$1960,MATCH(857,'Transfer Engine'!$C$2:$C$1960,0)))</f>
        <v/>
      </c>
      <c r="E866" s="8">
        <f>IF(ISNA(MATCH(857,'Transfer Engine'!$C$2:$C$1960,0)),"",INDEX('Compliance Database'!$E$2:$E$1960,MATCH(857,'Transfer Engine'!$C$2:$C$1960,0)))</f>
        <v/>
      </c>
      <c r="F866" s="8">
        <f>IF(ISNA(MATCH(857,'Transfer Engine'!$C$2:$C$1960,0)),"",INDEX('Compliance Database'!$F$2:$F$1960,MATCH(857,'Transfer Engine'!$C$2:$C$1960,0)))</f>
        <v/>
      </c>
      <c r="G866" s="8">
        <f>IF(ISNA(MATCH(857,'Transfer Engine'!$C$2:$C$1960,0)),"",INDEX('Compliance Database'!$G$2:$G$1960,MATCH(857,'Transfer Engine'!$C$2:$C$1960,0)))</f>
        <v/>
      </c>
      <c r="H866" s="9">
        <f>IF(ISNA(MATCH(857,'Transfer Engine'!$C$2:$C$1960,0)),"",INDEX('Compliance Database'!$H$2:$H$1960,MATCH(857,'Transfer Engine'!$C$2:$C$1960,0)))</f>
        <v/>
      </c>
      <c r="I866" s="9">
        <f>IF(ISNA(MATCH(857,'Transfer Engine'!$C$2:$C$1960,0)),"",INDEX('Compliance Database'!$I$2:$I$1960,MATCH(857,'Transfer Engine'!$C$2:$C$1960,0)))</f>
        <v/>
      </c>
      <c r="J866" s="8">
        <f>IF(ISNA(MATCH(857,'Transfer Engine'!$C$2:$C$1960,0)),"",INDEX('Compliance Database'!$J$2:$J$1960,MATCH(857,'Transfer Engine'!$C$2:$C$1960,0)))</f>
        <v/>
      </c>
      <c r="K866" s="9">
        <f>IF(ISNA(MATCH(857,'Transfer Engine'!$C$2:$C$1960,0)),"",INDEX('Compliance Database'!$K$2:$K$1960,MATCH(857,'Transfer Engine'!$C$2:$C$1960,0)))</f>
        <v/>
      </c>
      <c r="L866" s="9">
        <f>IF(ISNA(MATCH(857,'Transfer Engine'!$C$2:$C$1960,0)),"",INDEX('Compliance Database'!$L$2:$L$1960,MATCH(857,'Transfer Engine'!$C$2:$C$1960,0)))</f>
        <v/>
      </c>
      <c r="M866" s="9">
        <f>IF(ISNA(MATCH(857,'Transfer Engine'!$C$2:$C$1960,0)),"",INDEX('Compliance Database'!$M$2:$M$1960,MATCH(857,'Transfer Engine'!$C$2:$C$1960,0)))</f>
        <v/>
      </c>
      <c r="N866" s="9">
        <f>IF(ISNA(MATCH(857,'Transfer Engine'!$C$2:$C$1960,0)),"",INDEX('Compliance Database'!$N$2:$N$1960,MATCH(857,'Transfer Engine'!$C$2:$C$1960,0)))</f>
        <v/>
      </c>
      <c r="O866" s="9">
        <f>IF(ISNA(MATCH(857,'Transfer Engine'!$C$2:$C$1960,0)),"",INDEX('Compliance Database'!$O$2:$O$1960,MATCH(857,'Transfer Engine'!$C$2:$C$1960,0)))</f>
        <v/>
      </c>
      <c r="P866" s="8">
        <f>IF(ISNA(MATCH(857,'Transfer Engine'!$C$2:$C$1960,0)),"",HYPERLINK("#Acts!A"&amp;INDEX('Compliance Database'!$P$2:$P$1960,MATCH(857,'Transfer Engine'!$C$2:$C$1960,0)),"Go to Act"))</f>
        <v/>
      </c>
    </row>
    <row r="867" ht="158" customHeight="1">
      <c r="A867" s="8">
        <f>IF(ISNA(MATCH(858,'Transfer Engine'!$C$2:$C$1960,0)),"",INDEX('Compliance Database'!$A$2:$A$1960,MATCH(858,'Transfer Engine'!$C$2:$C$1960,0)))</f>
        <v/>
      </c>
      <c r="B867" s="8">
        <f>IF(ISNA(MATCH(858,'Transfer Engine'!$C$2:$C$1960,0)),"",INDEX('Compliance Database'!$B$2:$B$1960,MATCH(858,'Transfer Engine'!$C$2:$C$1960,0)))</f>
        <v/>
      </c>
      <c r="C867" s="8">
        <f>IF(ISNA(MATCH(858,'Transfer Engine'!$C$2:$C$1960,0)),"",INDEX('Compliance Database'!$C$2:$C$1960,MATCH(858,'Transfer Engine'!$C$2:$C$1960,0)))</f>
        <v/>
      </c>
      <c r="D867" s="9">
        <f>IF(ISNA(MATCH(858,'Transfer Engine'!$C$2:$C$1960,0)),"",INDEX('Compliance Database'!$D$2:$D$1960,MATCH(858,'Transfer Engine'!$C$2:$C$1960,0)))</f>
        <v/>
      </c>
      <c r="E867" s="8">
        <f>IF(ISNA(MATCH(858,'Transfer Engine'!$C$2:$C$1960,0)),"",INDEX('Compliance Database'!$E$2:$E$1960,MATCH(858,'Transfer Engine'!$C$2:$C$1960,0)))</f>
        <v/>
      </c>
      <c r="F867" s="8">
        <f>IF(ISNA(MATCH(858,'Transfer Engine'!$C$2:$C$1960,0)),"",INDEX('Compliance Database'!$F$2:$F$1960,MATCH(858,'Transfer Engine'!$C$2:$C$1960,0)))</f>
        <v/>
      </c>
      <c r="G867" s="8">
        <f>IF(ISNA(MATCH(858,'Transfer Engine'!$C$2:$C$1960,0)),"",INDEX('Compliance Database'!$G$2:$G$1960,MATCH(858,'Transfer Engine'!$C$2:$C$1960,0)))</f>
        <v/>
      </c>
      <c r="H867" s="9">
        <f>IF(ISNA(MATCH(858,'Transfer Engine'!$C$2:$C$1960,0)),"",INDEX('Compliance Database'!$H$2:$H$1960,MATCH(858,'Transfer Engine'!$C$2:$C$1960,0)))</f>
        <v/>
      </c>
      <c r="I867" s="9">
        <f>IF(ISNA(MATCH(858,'Transfer Engine'!$C$2:$C$1960,0)),"",INDEX('Compliance Database'!$I$2:$I$1960,MATCH(858,'Transfer Engine'!$C$2:$C$1960,0)))</f>
        <v/>
      </c>
      <c r="J867" s="8">
        <f>IF(ISNA(MATCH(858,'Transfer Engine'!$C$2:$C$1960,0)),"",INDEX('Compliance Database'!$J$2:$J$1960,MATCH(858,'Transfer Engine'!$C$2:$C$1960,0)))</f>
        <v/>
      </c>
      <c r="K867" s="9">
        <f>IF(ISNA(MATCH(858,'Transfer Engine'!$C$2:$C$1960,0)),"",INDEX('Compliance Database'!$K$2:$K$1960,MATCH(858,'Transfer Engine'!$C$2:$C$1960,0)))</f>
        <v/>
      </c>
      <c r="L867" s="9">
        <f>IF(ISNA(MATCH(858,'Transfer Engine'!$C$2:$C$1960,0)),"",INDEX('Compliance Database'!$L$2:$L$1960,MATCH(858,'Transfer Engine'!$C$2:$C$1960,0)))</f>
        <v/>
      </c>
      <c r="M867" s="9">
        <f>IF(ISNA(MATCH(858,'Transfer Engine'!$C$2:$C$1960,0)),"",INDEX('Compliance Database'!$M$2:$M$1960,MATCH(858,'Transfer Engine'!$C$2:$C$1960,0)))</f>
        <v/>
      </c>
      <c r="N867" s="9">
        <f>IF(ISNA(MATCH(858,'Transfer Engine'!$C$2:$C$1960,0)),"",INDEX('Compliance Database'!$N$2:$N$1960,MATCH(858,'Transfer Engine'!$C$2:$C$1960,0)))</f>
        <v/>
      </c>
      <c r="O867" s="9">
        <f>IF(ISNA(MATCH(858,'Transfer Engine'!$C$2:$C$1960,0)),"",INDEX('Compliance Database'!$O$2:$O$1960,MATCH(858,'Transfer Engine'!$C$2:$C$1960,0)))</f>
        <v/>
      </c>
      <c r="P867" s="8">
        <f>IF(ISNA(MATCH(858,'Transfer Engine'!$C$2:$C$1960,0)),"",HYPERLINK("#Acts!A"&amp;INDEX('Compliance Database'!$P$2:$P$1960,MATCH(858,'Transfer Engine'!$C$2:$C$1960,0)),"Go to Act"))</f>
        <v/>
      </c>
    </row>
    <row r="868" ht="158" customHeight="1">
      <c r="A868" s="8">
        <f>IF(ISNA(MATCH(859,'Transfer Engine'!$C$2:$C$1960,0)),"",INDEX('Compliance Database'!$A$2:$A$1960,MATCH(859,'Transfer Engine'!$C$2:$C$1960,0)))</f>
        <v/>
      </c>
      <c r="B868" s="8">
        <f>IF(ISNA(MATCH(859,'Transfer Engine'!$C$2:$C$1960,0)),"",INDEX('Compliance Database'!$B$2:$B$1960,MATCH(859,'Transfer Engine'!$C$2:$C$1960,0)))</f>
        <v/>
      </c>
      <c r="C868" s="8">
        <f>IF(ISNA(MATCH(859,'Transfer Engine'!$C$2:$C$1960,0)),"",INDEX('Compliance Database'!$C$2:$C$1960,MATCH(859,'Transfer Engine'!$C$2:$C$1960,0)))</f>
        <v/>
      </c>
      <c r="D868" s="9">
        <f>IF(ISNA(MATCH(859,'Transfer Engine'!$C$2:$C$1960,0)),"",INDEX('Compliance Database'!$D$2:$D$1960,MATCH(859,'Transfer Engine'!$C$2:$C$1960,0)))</f>
        <v/>
      </c>
      <c r="E868" s="8">
        <f>IF(ISNA(MATCH(859,'Transfer Engine'!$C$2:$C$1960,0)),"",INDEX('Compliance Database'!$E$2:$E$1960,MATCH(859,'Transfer Engine'!$C$2:$C$1960,0)))</f>
        <v/>
      </c>
      <c r="F868" s="8">
        <f>IF(ISNA(MATCH(859,'Transfer Engine'!$C$2:$C$1960,0)),"",INDEX('Compliance Database'!$F$2:$F$1960,MATCH(859,'Transfer Engine'!$C$2:$C$1960,0)))</f>
        <v/>
      </c>
      <c r="G868" s="8">
        <f>IF(ISNA(MATCH(859,'Transfer Engine'!$C$2:$C$1960,0)),"",INDEX('Compliance Database'!$G$2:$G$1960,MATCH(859,'Transfer Engine'!$C$2:$C$1960,0)))</f>
        <v/>
      </c>
      <c r="H868" s="9">
        <f>IF(ISNA(MATCH(859,'Transfer Engine'!$C$2:$C$1960,0)),"",INDEX('Compliance Database'!$H$2:$H$1960,MATCH(859,'Transfer Engine'!$C$2:$C$1960,0)))</f>
        <v/>
      </c>
      <c r="I868" s="9">
        <f>IF(ISNA(MATCH(859,'Transfer Engine'!$C$2:$C$1960,0)),"",INDEX('Compliance Database'!$I$2:$I$1960,MATCH(859,'Transfer Engine'!$C$2:$C$1960,0)))</f>
        <v/>
      </c>
      <c r="J868" s="8">
        <f>IF(ISNA(MATCH(859,'Transfer Engine'!$C$2:$C$1960,0)),"",INDEX('Compliance Database'!$J$2:$J$1960,MATCH(859,'Transfer Engine'!$C$2:$C$1960,0)))</f>
        <v/>
      </c>
      <c r="K868" s="9">
        <f>IF(ISNA(MATCH(859,'Transfer Engine'!$C$2:$C$1960,0)),"",INDEX('Compliance Database'!$K$2:$K$1960,MATCH(859,'Transfer Engine'!$C$2:$C$1960,0)))</f>
        <v/>
      </c>
      <c r="L868" s="9">
        <f>IF(ISNA(MATCH(859,'Transfer Engine'!$C$2:$C$1960,0)),"",INDEX('Compliance Database'!$L$2:$L$1960,MATCH(859,'Transfer Engine'!$C$2:$C$1960,0)))</f>
        <v/>
      </c>
      <c r="M868" s="9">
        <f>IF(ISNA(MATCH(859,'Transfer Engine'!$C$2:$C$1960,0)),"",INDEX('Compliance Database'!$M$2:$M$1960,MATCH(859,'Transfer Engine'!$C$2:$C$1960,0)))</f>
        <v/>
      </c>
      <c r="N868" s="9">
        <f>IF(ISNA(MATCH(859,'Transfer Engine'!$C$2:$C$1960,0)),"",INDEX('Compliance Database'!$N$2:$N$1960,MATCH(859,'Transfer Engine'!$C$2:$C$1960,0)))</f>
        <v/>
      </c>
      <c r="O868" s="9">
        <f>IF(ISNA(MATCH(859,'Transfer Engine'!$C$2:$C$1960,0)),"",INDEX('Compliance Database'!$O$2:$O$1960,MATCH(859,'Transfer Engine'!$C$2:$C$1960,0)))</f>
        <v/>
      </c>
      <c r="P868" s="8">
        <f>IF(ISNA(MATCH(859,'Transfer Engine'!$C$2:$C$1960,0)),"",HYPERLINK("#Acts!A"&amp;INDEX('Compliance Database'!$P$2:$P$1960,MATCH(859,'Transfer Engine'!$C$2:$C$1960,0)),"Go to Act"))</f>
        <v/>
      </c>
    </row>
    <row r="869" ht="158" customHeight="1">
      <c r="A869" s="8">
        <f>IF(ISNA(MATCH(860,'Transfer Engine'!$C$2:$C$1960,0)),"",INDEX('Compliance Database'!$A$2:$A$1960,MATCH(860,'Transfer Engine'!$C$2:$C$1960,0)))</f>
        <v/>
      </c>
      <c r="B869" s="8">
        <f>IF(ISNA(MATCH(860,'Transfer Engine'!$C$2:$C$1960,0)),"",INDEX('Compliance Database'!$B$2:$B$1960,MATCH(860,'Transfer Engine'!$C$2:$C$1960,0)))</f>
        <v/>
      </c>
      <c r="C869" s="8">
        <f>IF(ISNA(MATCH(860,'Transfer Engine'!$C$2:$C$1960,0)),"",INDEX('Compliance Database'!$C$2:$C$1960,MATCH(860,'Transfer Engine'!$C$2:$C$1960,0)))</f>
        <v/>
      </c>
      <c r="D869" s="9">
        <f>IF(ISNA(MATCH(860,'Transfer Engine'!$C$2:$C$1960,0)),"",INDEX('Compliance Database'!$D$2:$D$1960,MATCH(860,'Transfer Engine'!$C$2:$C$1960,0)))</f>
        <v/>
      </c>
      <c r="E869" s="8">
        <f>IF(ISNA(MATCH(860,'Transfer Engine'!$C$2:$C$1960,0)),"",INDEX('Compliance Database'!$E$2:$E$1960,MATCH(860,'Transfer Engine'!$C$2:$C$1960,0)))</f>
        <v/>
      </c>
      <c r="F869" s="8">
        <f>IF(ISNA(MATCH(860,'Transfer Engine'!$C$2:$C$1960,0)),"",INDEX('Compliance Database'!$F$2:$F$1960,MATCH(860,'Transfer Engine'!$C$2:$C$1960,0)))</f>
        <v/>
      </c>
      <c r="G869" s="8">
        <f>IF(ISNA(MATCH(860,'Transfer Engine'!$C$2:$C$1960,0)),"",INDEX('Compliance Database'!$G$2:$G$1960,MATCH(860,'Transfer Engine'!$C$2:$C$1960,0)))</f>
        <v/>
      </c>
      <c r="H869" s="9">
        <f>IF(ISNA(MATCH(860,'Transfer Engine'!$C$2:$C$1960,0)),"",INDEX('Compliance Database'!$H$2:$H$1960,MATCH(860,'Transfer Engine'!$C$2:$C$1960,0)))</f>
        <v/>
      </c>
      <c r="I869" s="9">
        <f>IF(ISNA(MATCH(860,'Transfer Engine'!$C$2:$C$1960,0)),"",INDEX('Compliance Database'!$I$2:$I$1960,MATCH(860,'Transfer Engine'!$C$2:$C$1960,0)))</f>
        <v/>
      </c>
      <c r="J869" s="8">
        <f>IF(ISNA(MATCH(860,'Transfer Engine'!$C$2:$C$1960,0)),"",INDEX('Compliance Database'!$J$2:$J$1960,MATCH(860,'Transfer Engine'!$C$2:$C$1960,0)))</f>
        <v/>
      </c>
      <c r="K869" s="9">
        <f>IF(ISNA(MATCH(860,'Transfer Engine'!$C$2:$C$1960,0)),"",INDEX('Compliance Database'!$K$2:$K$1960,MATCH(860,'Transfer Engine'!$C$2:$C$1960,0)))</f>
        <v/>
      </c>
      <c r="L869" s="9">
        <f>IF(ISNA(MATCH(860,'Transfer Engine'!$C$2:$C$1960,0)),"",INDEX('Compliance Database'!$L$2:$L$1960,MATCH(860,'Transfer Engine'!$C$2:$C$1960,0)))</f>
        <v/>
      </c>
      <c r="M869" s="9">
        <f>IF(ISNA(MATCH(860,'Transfer Engine'!$C$2:$C$1960,0)),"",INDEX('Compliance Database'!$M$2:$M$1960,MATCH(860,'Transfer Engine'!$C$2:$C$1960,0)))</f>
        <v/>
      </c>
      <c r="N869" s="9">
        <f>IF(ISNA(MATCH(860,'Transfer Engine'!$C$2:$C$1960,0)),"",INDEX('Compliance Database'!$N$2:$N$1960,MATCH(860,'Transfer Engine'!$C$2:$C$1960,0)))</f>
        <v/>
      </c>
      <c r="O869" s="9">
        <f>IF(ISNA(MATCH(860,'Transfer Engine'!$C$2:$C$1960,0)),"",INDEX('Compliance Database'!$O$2:$O$1960,MATCH(860,'Transfer Engine'!$C$2:$C$1960,0)))</f>
        <v/>
      </c>
      <c r="P869" s="8">
        <f>IF(ISNA(MATCH(860,'Transfer Engine'!$C$2:$C$1960,0)),"",HYPERLINK("#Acts!A"&amp;INDEX('Compliance Database'!$P$2:$P$1960,MATCH(860,'Transfer Engine'!$C$2:$C$1960,0)),"Go to Act"))</f>
        <v/>
      </c>
    </row>
    <row r="870" ht="158" customHeight="1">
      <c r="A870" s="8">
        <f>IF(ISNA(MATCH(861,'Transfer Engine'!$C$2:$C$1960,0)),"",INDEX('Compliance Database'!$A$2:$A$1960,MATCH(861,'Transfer Engine'!$C$2:$C$1960,0)))</f>
        <v/>
      </c>
      <c r="B870" s="8">
        <f>IF(ISNA(MATCH(861,'Transfer Engine'!$C$2:$C$1960,0)),"",INDEX('Compliance Database'!$B$2:$B$1960,MATCH(861,'Transfer Engine'!$C$2:$C$1960,0)))</f>
        <v/>
      </c>
      <c r="C870" s="8">
        <f>IF(ISNA(MATCH(861,'Transfer Engine'!$C$2:$C$1960,0)),"",INDEX('Compliance Database'!$C$2:$C$1960,MATCH(861,'Transfer Engine'!$C$2:$C$1960,0)))</f>
        <v/>
      </c>
      <c r="D870" s="9">
        <f>IF(ISNA(MATCH(861,'Transfer Engine'!$C$2:$C$1960,0)),"",INDEX('Compliance Database'!$D$2:$D$1960,MATCH(861,'Transfer Engine'!$C$2:$C$1960,0)))</f>
        <v/>
      </c>
      <c r="E870" s="8">
        <f>IF(ISNA(MATCH(861,'Transfer Engine'!$C$2:$C$1960,0)),"",INDEX('Compliance Database'!$E$2:$E$1960,MATCH(861,'Transfer Engine'!$C$2:$C$1960,0)))</f>
        <v/>
      </c>
      <c r="F870" s="8">
        <f>IF(ISNA(MATCH(861,'Transfer Engine'!$C$2:$C$1960,0)),"",INDEX('Compliance Database'!$F$2:$F$1960,MATCH(861,'Transfer Engine'!$C$2:$C$1960,0)))</f>
        <v/>
      </c>
      <c r="G870" s="8">
        <f>IF(ISNA(MATCH(861,'Transfer Engine'!$C$2:$C$1960,0)),"",INDEX('Compliance Database'!$G$2:$G$1960,MATCH(861,'Transfer Engine'!$C$2:$C$1960,0)))</f>
        <v/>
      </c>
      <c r="H870" s="9">
        <f>IF(ISNA(MATCH(861,'Transfer Engine'!$C$2:$C$1960,0)),"",INDEX('Compliance Database'!$H$2:$H$1960,MATCH(861,'Transfer Engine'!$C$2:$C$1960,0)))</f>
        <v/>
      </c>
      <c r="I870" s="9">
        <f>IF(ISNA(MATCH(861,'Transfer Engine'!$C$2:$C$1960,0)),"",INDEX('Compliance Database'!$I$2:$I$1960,MATCH(861,'Transfer Engine'!$C$2:$C$1960,0)))</f>
        <v/>
      </c>
      <c r="J870" s="8">
        <f>IF(ISNA(MATCH(861,'Transfer Engine'!$C$2:$C$1960,0)),"",INDEX('Compliance Database'!$J$2:$J$1960,MATCH(861,'Transfer Engine'!$C$2:$C$1960,0)))</f>
        <v/>
      </c>
      <c r="K870" s="9">
        <f>IF(ISNA(MATCH(861,'Transfer Engine'!$C$2:$C$1960,0)),"",INDEX('Compliance Database'!$K$2:$K$1960,MATCH(861,'Transfer Engine'!$C$2:$C$1960,0)))</f>
        <v/>
      </c>
      <c r="L870" s="9">
        <f>IF(ISNA(MATCH(861,'Transfer Engine'!$C$2:$C$1960,0)),"",INDEX('Compliance Database'!$L$2:$L$1960,MATCH(861,'Transfer Engine'!$C$2:$C$1960,0)))</f>
        <v/>
      </c>
      <c r="M870" s="9">
        <f>IF(ISNA(MATCH(861,'Transfer Engine'!$C$2:$C$1960,0)),"",INDEX('Compliance Database'!$M$2:$M$1960,MATCH(861,'Transfer Engine'!$C$2:$C$1960,0)))</f>
        <v/>
      </c>
      <c r="N870" s="9">
        <f>IF(ISNA(MATCH(861,'Transfer Engine'!$C$2:$C$1960,0)),"",INDEX('Compliance Database'!$N$2:$N$1960,MATCH(861,'Transfer Engine'!$C$2:$C$1960,0)))</f>
        <v/>
      </c>
      <c r="O870" s="9">
        <f>IF(ISNA(MATCH(861,'Transfer Engine'!$C$2:$C$1960,0)),"",INDEX('Compliance Database'!$O$2:$O$1960,MATCH(861,'Transfer Engine'!$C$2:$C$1960,0)))</f>
        <v/>
      </c>
      <c r="P870" s="8">
        <f>IF(ISNA(MATCH(861,'Transfer Engine'!$C$2:$C$1960,0)),"",HYPERLINK("#Acts!A"&amp;INDEX('Compliance Database'!$P$2:$P$1960,MATCH(861,'Transfer Engine'!$C$2:$C$1960,0)),"Go to Act"))</f>
        <v/>
      </c>
    </row>
    <row r="871" ht="158" customHeight="1">
      <c r="A871" s="8">
        <f>IF(ISNA(MATCH(862,'Transfer Engine'!$C$2:$C$1960,0)),"",INDEX('Compliance Database'!$A$2:$A$1960,MATCH(862,'Transfer Engine'!$C$2:$C$1960,0)))</f>
        <v/>
      </c>
      <c r="B871" s="8">
        <f>IF(ISNA(MATCH(862,'Transfer Engine'!$C$2:$C$1960,0)),"",INDEX('Compliance Database'!$B$2:$B$1960,MATCH(862,'Transfer Engine'!$C$2:$C$1960,0)))</f>
        <v/>
      </c>
      <c r="C871" s="8">
        <f>IF(ISNA(MATCH(862,'Transfer Engine'!$C$2:$C$1960,0)),"",INDEX('Compliance Database'!$C$2:$C$1960,MATCH(862,'Transfer Engine'!$C$2:$C$1960,0)))</f>
        <v/>
      </c>
      <c r="D871" s="9">
        <f>IF(ISNA(MATCH(862,'Transfer Engine'!$C$2:$C$1960,0)),"",INDEX('Compliance Database'!$D$2:$D$1960,MATCH(862,'Transfer Engine'!$C$2:$C$1960,0)))</f>
        <v/>
      </c>
      <c r="E871" s="8">
        <f>IF(ISNA(MATCH(862,'Transfer Engine'!$C$2:$C$1960,0)),"",INDEX('Compliance Database'!$E$2:$E$1960,MATCH(862,'Transfer Engine'!$C$2:$C$1960,0)))</f>
        <v/>
      </c>
      <c r="F871" s="8">
        <f>IF(ISNA(MATCH(862,'Transfer Engine'!$C$2:$C$1960,0)),"",INDEX('Compliance Database'!$F$2:$F$1960,MATCH(862,'Transfer Engine'!$C$2:$C$1960,0)))</f>
        <v/>
      </c>
      <c r="G871" s="8">
        <f>IF(ISNA(MATCH(862,'Transfer Engine'!$C$2:$C$1960,0)),"",INDEX('Compliance Database'!$G$2:$G$1960,MATCH(862,'Transfer Engine'!$C$2:$C$1960,0)))</f>
        <v/>
      </c>
      <c r="H871" s="9">
        <f>IF(ISNA(MATCH(862,'Transfer Engine'!$C$2:$C$1960,0)),"",INDEX('Compliance Database'!$H$2:$H$1960,MATCH(862,'Transfer Engine'!$C$2:$C$1960,0)))</f>
        <v/>
      </c>
      <c r="I871" s="9">
        <f>IF(ISNA(MATCH(862,'Transfer Engine'!$C$2:$C$1960,0)),"",INDEX('Compliance Database'!$I$2:$I$1960,MATCH(862,'Transfer Engine'!$C$2:$C$1960,0)))</f>
        <v/>
      </c>
      <c r="J871" s="8">
        <f>IF(ISNA(MATCH(862,'Transfer Engine'!$C$2:$C$1960,0)),"",INDEX('Compliance Database'!$J$2:$J$1960,MATCH(862,'Transfer Engine'!$C$2:$C$1960,0)))</f>
        <v/>
      </c>
      <c r="K871" s="9">
        <f>IF(ISNA(MATCH(862,'Transfer Engine'!$C$2:$C$1960,0)),"",INDEX('Compliance Database'!$K$2:$K$1960,MATCH(862,'Transfer Engine'!$C$2:$C$1960,0)))</f>
        <v/>
      </c>
      <c r="L871" s="9">
        <f>IF(ISNA(MATCH(862,'Transfer Engine'!$C$2:$C$1960,0)),"",INDEX('Compliance Database'!$L$2:$L$1960,MATCH(862,'Transfer Engine'!$C$2:$C$1960,0)))</f>
        <v/>
      </c>
      <c r="M871" s="9">
        <f>IF(ISNA(MATCH(862,'Transfer Engine'!$C$2:$C$1960,0)),"",INDEX('Compliance Database'!$M$2:$M$1960,MATCH(862,'Transfer Engine'!$C$2:$C$1960,0)))</f>
        <v/>
      </c>
      <c r="N871" s="9">
        <f>IF(ISNA(MATCH(862,'Transfer Engine'!$C$2:$C$1960,0)),"",INDEX('Compliance Database'!$N$2:$N$1960,MATCH(862,'Transfer Engine'!$C$2:$C$1960,0)))</f>
        <v/>
      </c>
      <c r="O871" s="9">
        <f>IF(ISNA(MATCH(862,'Transfer Engine'!$C$2:$C$1960,0)),"",INDEX('Compliance Database'!$O$2:$O$1960,MATCH(862,'Transfer Engine'!$C$2:$C$1960,0)))</f>
        <v/>
      </c>
      <c r="P871" s="8">
        <f>IF(ISNA(MATCH(862,'Transfer Engine'!$C$2:$C$1960,0)),"",HYPERLINK("#Acts!A"&amp;INDEX('Compliance Database'!$P$2:$P$1960,MATCH(862,'Transfer Engine'!$C$2:$C$1960,0)),"Go to Act"))</f>
        <v/>
      </c>
    </row>
    <row r="872" ht="158" customHeight="1">
      <c r="A872" s="8">
        <f>IF(ISNA(MATCH(863,'Transfer Engine'!$C$2:$C$1960,0)),"",INDEX('Compliance Database'!$A$2:$A$1960,MATCH(863,'Transfer Engine'!$C$2:$C$1960,0)))</f>
        <v/>
      </c>
      <c r="B872" s="8">
        <f>IF(ISNA(MATCH(863,'Transfer Engine'!$C$2:$C$1960,0)),"",INDEX('Compliance Database'!$B$2:$B$1960,MATCH(863,'Transfer Engine'!$C$2:$C$1960,0)))</f>
        <v/>
      </c>
      <c r="C872" s="8">
        <f>IF(ISNA(MATCH(863,'Transfer Engine'!$C$2:$C$1960,0)),"",INDEX('Compliance Database'!$C$2:$C$1960,MATCH(863,'Transfer Engine'!$C$2:$C$1960,0)))</f>
        <v/>
      </c>
      <c r="D872" s="9">
        <f>IF(ISNA(MATCH(863,'Transfer Engine'!$C$2:$C$1960,0)),"",INDEX('Compliance Database'!$D$2:$D$1960,MATCH(863,'Transfer Engine'!$C$2:$C$1960,0)))</f>
        <v/>
      </c>
      <c r="E872" s="8">
        <f>IF(ISNA(MATCH(863,'Transfer Engine'!$C$2:$C$1960,0)),"",INDEX('Compliance Database'!$E$2:$E$1960,MATCH(863,'Transfer Engine'!$C$2:$C$1960,0)))</f>
        <v/>
      </c>
      <c r="F872" s="8">
        <f>IF(ISNA(MATCH(863,'Transfer Engine'!$C$2:$C$1960,0)),"",INDEX('Compliance Database'!$F$2:$F$1960,MATCH(863,'Transfer Engine'!$C$2:$C$1960,0)))</f>
        <v/>
      </c>
      <c r="G872" s="8">
        <f>IF(ISNA(MATCH(863,'Transfer Engine'!$C$2:$C$1960,0)),"",INDEX('Compliance Database'!$G$2:$G$1960,MATCH(863,'Transfer Engine'!$C$2:$C$1960,0)))</f>
        <v/>
      </c>
      <c r="H872" s="9">
        <f>IF(ISNA(MATCH(863,'Transfer Engine'!$C$2:$C$1960,0)),"",INDEX('Compliance Database'!$H$2:$H$1960,MATCH(863,'Transfer Engine'!$C$2:$C$1960,0)))</f>
        <v/>
      </c>
      <c r="I872" s="9">
        <f>IF(ISNA(MATCH(863,'Transfer Engine'!$C$2:$C$1960,0)),"",INDEX('Compliance Database'!$I$2:$I$1960,MATCH(863,'Transfer Engine'!$C$2:$C$1960,0)))</f>
        <v/>
      </c>
      <c r="J872" s="8">
        <f>IF(ISNA(MATCH(863,'Transfer Engine'!$C$2:$C$1960,0)),"",INDEX('Compliance Database'!$J$2:$J$1960,MATCH(863,'Transfer Engine'!$C$2:$C$1960,0)))</f>
        <v/>
      </c>
      <c r="K872" s="9">
        <f>IF(ISNA(MATCH(863,'Transfer Engine'!$C$2:$C$1960,0)),"",INDEX('Compliance Database'!$K$2:$K$1960,MATCH(863,'Transfer Engine'!$C$2:$C$1960,0)))</f>
        <v/>
      </c>
      <c r="L872" s="9">
        <f>IF(ISNA(MATCH(863,'Transfer Engine'!$C$2:$C$1960,0)),"",INDEX('Compliance Database'!$L$2:$L$1960,MATCH(863,'Transfer Engine'!$C$2:$C$1960,0)))</f>
        <v/>
      </c>
      <c r="M872" s="9">
        <f>IF(ISNA(MATCH(863,'Transfer Engine'!$C$2:$C$1960,0)),"",INDEX('Compliance Database'!$M$2:$M$1960,MATCH(863,'Transfer Engine'!$C$2:$C$1960,0)))</f>
        <v/>
      </c>
      <c r="N872" s="9">
        <f>IF(ISNA(MATCH(863,'Transfer Engine'!$C$2:$C$1960,0)),"",INDEX('Compliance Database'!$N$2:$N$1960,MATCH(863,'Transfer Engine'!$C$2:$C$1960,0)))</f>
        <v/>
      </c>
      <c r="O872" s="9">
        <f>IF(ISNA(MATCH(863,'Transfer Engine'!$C$2:$C$1960,0)),"",INDEX('Compliance Database'!$O$2:$O$1960,MATCH(863,'Transfer Engine'!$C$2:$C$1960,0)))</f>
        <v/>
      </c>
      <c r="P872" s="8">
        <f>IF(ISNA(MATCH(863,'Transfer Engine'!$C$2:$C$1960,0)),"",HYPERLINK("#Acts!A"&amp;INDEX('Compliance Database'!$P$2:$P$1960,MATCH(863,'Transfer Engine'!$C$2:$C$1960,0)),"Go to Act"))</f>
        <v/>
      </c>
    </row>
    <row r="873" ht="158" customHeight="1">
      <c r="A873" s="8">
        <f>IF(ISNA(MATCH(864,'Transfer Engine'!$C$2:$C$1960,0)),"",INDEX('Compliance Database'!$A$2:$A$1960,MATCH(864,'Transfer Engine'!$C$2:$C$1960,0)))</f>
        <v/>
      </c>
      <c r="B873" s="8">
        <f>IF(ISNA(MATCH(864,'Transfer Engine'!$C$2:$C$1960,0)),"",INDEX('Compliance Database'!$B$2:$B$1960,MATCH(864,'Transfer Engine'!$C$2:$C$1960,0)))</f>
        <v/>
      </c>
      <c r="C873" s="8">
        <f>IF(ISNA(MATCH(864,'Transfer Engine'!$C$2:$C$1960,0)),"",INDEX('Compliance Database'!$C$2:$C$1960,MATCH(864,'Transfer Engine'!$C$2:$C$1960,0)))</f>
        <v/>
      </c>
      <c r="D873" s="9">
        <f>IF(ISNA(MATCH(864,'Transfer Engine'!$C$2:$C$1960,0)),"",INDEX('Compliance Database'!$D$2:$D$1960,MATCH(864,'Transfer Engine'!$C$2:$C$1960,0)))</f>
        <v/>
      </c>
      <c r="E873" s="8">
        <f>IF(ISNA(MATCH(864,'Transfer Engine'!$C$2:$C$1960,0)),"",INDEX('Compliance Database'!$E$2:$E$1960,MATCH(864,'Transfer Engine'!$C$2:$C$1960,0)))</f>
        <v/>
      </c>
      <c r="F873" s="8">
        <f>IF(ISNA(MATCH(864,'Transfer Engine'!$C$2:$C$1960,0)),"",INDEX('Compliance Database'!$F$2:$F$1960,MATCH(864,'Transfer Engine'!$C$2:$C$1960,0)))</f>
        <v/>
      </c>
      <c r="G873" s="8">
        <f>IF(ISNA(MATCH(864,'Transfer Engine'!$C$2:$C$1960,0)),"",INDEX('Compliance Database'!$G$2:$G$1960,MATCH(864,'Transfer Engine'!$C$2:$C$1960,0)))</f>
        <v/>
      </c>
      <c r="H873" s="9">
        <f>IF(ISNA(MATCH(864,'Transfer Engine'!$C$2:$C$1960,0)),"",INDEX('Compliance Database'!$H$2:$H$1960,MATCH(864,'Transfer Engine'!$C$2:$C$1960,0)))</f>
        <v/>
      </c>
      <c r="I873" s="9">
        <f>IF(ISNA(MATCH(864,'Transfer Engine'!$C$2:$C$1960,0)),"",INDEX('Compliance Database'!$I$2:$I$1960,MATCH(864,'Transfer Engine'!$C$2:$C$1960,0)))</f>
        <v/>
      </c>
      <c r="J873" s="8">
        <f>IF(ISNA(MATCH(864,'Transfer Engine'!$C$2:$C$1960,0)),"",INDEX('Compliance Database'!$J$2:$J$1960,MATCH(864,'Transfer Engine'!$C$2:$C$1960,0)))</f>
        <v/>
      </c>
      <c r="K873" s="9">
        <f>IF(ISNA(MATCH(864,'Transfer Engine'!$C$2:$C$1960,0)),"",INDEX('Compliance Database'!$K$2:$K$1960,MATCH(864,'Transfer Engine'!$C$2:$C$1960,0)))</f>
        <v/>
      </c>
      <c r="L873" s="9">
        <f>IF(ISNA(MATCH(864,'Transfer Engine'!$C$2:$C$1960,0)),"",INDEX('Compliance Database'!$L$2:$L$1960,MATCH(864,'Transfer Engine'!$C$2:$C$1960,0)))</f>
        <v/>
      </c>
      <c r="M873" s="9">
        <f>IF(ISNA(MATCH(864,'Transfer Engine'!$C$2:$C$1960,0)),"",INDEX('Compliance Database'!$M$2:$M$1960,MATCH(864,'Transfer Engine'!$C$2:$C$1960,0)))</f>
        <v/>
      </c>
      <c r="N873" s="9">
        <f>IF(ISNA(MATCH(864,'Transfer Engine'!$C$2:$C$1960,0)),"",INDEX('Compliance Database'!$N$2:$N$1960,MATCH(864,'Transfer Engine'!$C$2:$C$1960,0)))</f>
        <v/>
      </c>
      <c r="O873" s="9">
        <f>IF(ISNA(MATCH(864,'Transfer Engine'!$C$2:$C$1960,0)),"",INDEX('Compliance Database'!$O$2:$O$1960,MATCH(864,'Transfer Engine'!$C$2:$C$1960,0)))</f>
        <v/>
      </c>
      <c r="P873" s="8">
        <f>IF(ISNA(MATCH(864,'Transfer Engine'!$C$2:$C$1960,0)),"",HYPERLINK("#Acts!A"&amp;INDEX('Compliance Database'!$P$2:$P$1960,MATCH(864,'Transfer Engine'!$C$2:$C$1960,0)),"Go to Act"))</f>
        <v/>
      </c>
    </row>
    <row r="874" ht="158" customHeight="1">
      <c r="A874" s="8">
        <f>IF(ISNA(MATCH(865,'Transfer Engine'!$C$2:$C$1960,0)),"",INDEX('Compliance Database'!$A$2:$A$1960,MATCH(865,'Transfer Engine'!$C$2:$C$1960,0)))</f>
        <v/>
      </c>
      <c r="B874" s="8">
        <f>IF(ISNA(MATCH(865,'Transfer Engine'!$C$2:$C$1960,0)),"",INDEX('Compliance Database'!$B$2:$B$1960,MATCH(865,'Transfer Engine'!$C$2:$C$1960,0)))</f>
        <v/>
      </c>
      <c r="C874" s="8">
        <f>IF(ISNA(MATCH(865,'Transfer Engine'!$C$2:$C$1960,0)),"",INDEX('Compliance Database'!$C$2:$C$1960,MATCH(865,'Transfer Engine'!$C$2:$C$1960,0)))</f>
        <v/>
      </c>
      <c r="D874" s="9">
        <f>IF(ISNA(MATCH(865,'Transfer Engine'!$C$2:$C$1960,0)),"",INDEX('Compliance Database'!$D$2:$D$1960,MATCH(865,'Transfer Engine'!$C$2:$C$1960,0)))</f>
        <v/>
      </c>
      <c r="E874" s="8">
        <f>IF(ISNA(MATCH(865,'Transfer Engine'!$C$2:$C$1960,0)),"",INDEX('Compliance Database'!$E$2:$E$1960,MATCH(865,'Transfer Engine'!$C$2:$C$1960,0)))</f>
        <v/>
      </c>
      <c r="F874" s="8">
        <f>IF(ISNA(MATCH(865,'Transfer Engine'!$C$2:$C$1960,0)),"",INDEX('Compliance Database'!$F$2:$F$1960,MATCH(865,'Transfer Engine'!$C$2:$C$1960,0)))</f>
        <v/>
      </c>
      <c r="G874" s="8">
        <f>IF(ISNA(MATCH(865,'Transfer Engine'!$C$2:$C$1960,0)),"",INDEX('Compliance Database'!$G$2:$G$1960,MATCH(865,'Transfer Engine'!$C$2:$C$1960,0)))</f>
        <v/>
      </c>
      <c r="H874" s="9">
        <f>IF(ISNA(MATCH(865,'Transfer Engine'!$C$2:$C$1960,0)),"",INDEX('Compliance Database'!$H$2:$H$1960,MATCH(865,'Transfer Engine'!$C$2:$C$1960,0)))</f>
        <v/>
      </c>
      <c r="I874" s="9">
        <f>IF(ISNA(MATCH(865,'Transfer Engine'!$C$2:$C$1960,0)),"",INDEX('Compliance Database'!$I$2:$I$1960,MATCH(865,'Transfer Engine'!$C$2:$C$1960,0)))</f>
        <v/>
      </c>
      <c r="J874" s="8">
        <f>IF(ISNA(MATCH(865,'Transfer Engine'!$C$2:$C$1960,0)),"",INDEX('Compliance Database'!$J$2:$J$1960,MATCH(865,'Transfer Engine'!$C$2:$C$1960,0)))</f>
        <v/>
      </c>
      <c r="K874" s="9">
        <f>IF(ISNA(MATCH(865,'Transfer Engine'!$C$2:$C$1960,0)),"",INDEX('Compliance Database'!$K$2:$K$1960,MATCH(865,'Transfer Engine'!$C$2:$C$1960,0)))</f>
        <v/>
      </c>
      <c r="L874" s="9">
        <f>IF(ISNA(MATCH(865,'Transfer Engine'!$C$2:$C$1960,0)),"",INDEX('Compliance Database'!$L$2:$L$1960,MATCH(865,'Transfer Engine'!$C$2:$C$1960,0)))</f>
        <v/>
      </c>
      <c r="M874" s="9">
        <f>IF(ISNA(MATCH(865,'Transfer Engine'!$C$2:$C$1960,0)),"",INDEX('Compliance Database'!$M$2:$M$1960,MATCH(865,'Transfer Engine'!$C$2:$C$1960,0)))</f>
        <v/>
      </c>
      <c r="N874" s="9">
        <f>IF(ISNA(MATCH(865,'Transfer Engine'!$C$2:$C$1960,0)),"",INDEX('Compliance Database'!$N$2:$N$1960,MATCH(865,'Transfer Engine'!$C$2:$C$1960,0)))</f>
        <v/>
      </c>
      <c r="O874" s="9">
        <f>IF(ISNA(MATCH(865,'Transfer Engine'!$C$2:$C$1960,0)),"",INDEX('Compliance Database'!$O$2:$O$1960,MATCH(865,'Transfer Engine'!$C$2:$C$1960,0)))</f>
        <v/>
      </c>
      <c r="P874" s="8">
        <f>IF(ISNA(MATCH(865,'Transfer Engine'!$C$2:$C$1960,0)),"",HYPERLINK("#Acts!A"&amp;INDEX('Compliance Database'!$P$2:$P$1960,MATCH(865,'Transfer Engine'!$C$2:$C$1960,0)),"Go to Act"))</f>
        <v/>
      </c>
    </row>
    <row r="875" ht="158" customHeight="1">
      <c r="A875" s="8">
        <f>IF(ISNA(MATCH(866,'Transfer Engine'!$C$2:$C$1960,0)),"",INDEX('Compliance Database'!$A$2:$A$1960,MATCH(866,'Transfer Engine'!$C$2:$C$1960,0)))</f>
        <v/>
      </c>
      <c r="B875" s="8">
        <f>IF(ISNA(MATCH(866,'Transfer Engine'!$C$2:$C$1960,0)),"",INDEX('Compliance Database'!$B$2:$B$1960,MATCH(866,'Transfer Engine'!$C$2:$C$1960,0)))</f>
        <v/>
      </c>
      <c r="C875" s="8">
        <f>IF(ISNA(MATCH(866,'Transfer Engine'!$C$2:$C$1960,0)),"",INDEX('Compliance Database'!$C$2:$C$1960,MATCH(866,'Transfer Engine'!$C$2:$C$1960,0)))</f>
        <v/>
      </c>
      <c r="D875" s="9">
        <f>IF(ISNA(MATCH(866,'Transfer Engine'!$C$2:$C$1960,0)),"",INDEX('Compliance Database'!$D$2:$D$1960,MATCH(866,'Transfer Engine'!$C$2:$C$1960,0)))</f>
        <v/>
      </c>
      <c r="E875" s="8">
        <f>IF(ISNA(MATCH(866,'Transfer Engine'!$C$2:$C$1960,0)),"",INDEX('Compliance Database'!$E$2:$E$1960,MATCH(866,'Transfer Engine'!$C$2:$C$1960,0)))</f>
        <v/>
      </c>
      <c r="F875" s="8">
        <f>IF(ISNA(MATCH(866,'Transfer Engine'!$C$2:$C$1960,0)),"",INDEX('Compliance Database'!$F$2:$F$1960,MATCH(866,'Transfer Engine'!$C$2:$C$1960,0)))</f>
        <v/>
      </c>
      <c r="G875" s="8">
        <f>IF(ISNA(MATCH(866,'Transfer Engine'!$C$2:$C$1960,0)),"",INDEX('Compliance Database'!$G$2:$G$1960,MATCH(866,'Transfer Engine'!$C$2:$C$1960,0)))</f>
        <v/>
      </c>
      <c r="H875" s="9">
        <f>IF(ISNA(MATCH(866,'Transfer Engine'!$C$2:$C$1960,0)),"",INDEX('Compliance Database'!$H$2:$H$1960,MATCH(866,'Transfer Engine'!$C$2:$C$1960,0)))</f>
        <v/>
      </c>
      <c r="I875" s="9">
        <f>IF(ISNA(MATCH(866,'Transfer Engine'!$C$2:$C$1960,0)),"",INDEX('Compliance Database'!$I$2:$I$1960,MATCH(866,'Transfer Engine'!$C$2:$C$1960,0)))</f>
        <v/>
      </c>
      <c r="J875" s="8">
        <f>IF(ISNA(MATCH(866,'Transfer Engine'!$C$2:$C$1960,0)),"",INDEX('Compliance Database'!$J$2:$J$1960,MATCH(866,'Transfer Engine'!$C$2:$C$1960,0)))</f>
        <v/>
      </c>
      <c r="K875" s="9">
        <f>IF(ISNA(MATCH(866,'Transfer Engine'!$C$2:$C$1960,0)),"",INDEX('Compliance Database'!$K$2:$K$1960,MATCH(866,'Transfer Engine'!$C$2:$C$1960,0)))</f>
        <v/>
      </c>
      <c r="L875" s="9">
        <f>IF(ISNA(MATCH(866,'Transfer Engine'!$C$2:$C$1960,0)),"",INDEX('Compliance Database'!$L$2:$L$1960,MATCH(866,'Transfer Engine'!$C$2:$C$1960,0)))</f>
        <v/>
      </c>
      <c r="M875" s="9">
        <f>IF(ISNA(MATCH(866,'Transfer Engine'!$C$2:$C$1960,0)),"",INDEX('Compliance Database'!$M$2:$M$1960,MATCH(866,'Transfer Engine'!$C$2:$C$1960,0)))</f>
        <v/>
      </c>
      <c r="N875" s="9">
        <f>IF(ISNA(MATCH(866,'Transfer Engine'!$C$2:$C$1960,0)),"",INDEX('Compliance Database'!$N$2:$N$1960,MATCH(866,'Transfer Engine'!$C$2:$C$1960,0)))</f>
        <v/>
      </c>
      <c r="O875" s="9">
        <f>IF(ISNA(MATCH(866,'Transfer Engine'!$C$2:$C$1960,0)),"",INDEX('Compliance Database'!$O$2:$O$1960,MATCH(866,'Transfer Engine'!$C$2:$C$1960,0)))</f>
        <v/>
      </c>
      <c r="P875" s="8">
        <f>IF(ISNA(MATCH(866,'Transfer Engine'!$C$2:$C$1960,0)),"",HYPERLINK("#Acts!A"&amp;INDEX('Compliance Database'!$P$2:$P$1960,MATCH(866,'Transfer Engine'!$C$2:$C$1960,0)),"Go to Act"))</f>
        <v/>
      </c>
    </row>
    <row r="876" ht="158" customHeight="1">
      <c r="A876" s="8">
        <f>IF(ISNA(MATCH(867,'Transfer Engine'!$C$2:$C$1960,0)),"",INDEX('Compliance Database'!$A$2:$A$1960,MATCH(867,'Transfer Engine'!$C$2:$C$1960,0)))</f>
        <v/>
      </c>
      <c r="B876" s="8">
        <f>IF(ISNA(MATCH(867,'Transfer Engine'!$C$2:$C$1960,0)),"",INDEX('Compliance Database'!$B$2:$B$1960,MATCH(867,'Transfer Engine'!$C$2:$C$1960,0)))</f>
        <v/>
      </c>
      <c r="C876" s="8">
        <f>IF(ISNA(MATCH(867,'Transfer Engine'!$C$2:$C$1960,0)),"",INDEX('Compliance Database'!$C$2:$C$1960,MATCH(867,'Transfer Engine'!$C$2:$C$1960,0)))</f>
        <v/>
      </c>
      <c r="D876" s="9">
        <f>IF(ISNA(MATCH(867,'Transfer Engine'!$C$2:$C$1960,0)),"",INDEX('Compliance Database'!$D$2:$D$1960,MATCH(867,'Transfer Engine'!$C$2:$C$1960,0)))</f>
        <v/>
      </c>
      <c r="E876" s="8">
        <f>IF(ISNA(MATCH(867,'Transfer Engine'!$C$2:$C$1960,0)),"",INDEX('Compliance Database'!$E$2:$E$1960,MATCH(867,'Transfer Engine'!$C$2:$C$1960,0)))</f>
        <v/>
      </c>
      <c r="F876" s="8">
        <f>IF(ISNA(MATCH(867,'Transfer Engine'!$C$2:$C$1960,0)),"",INDEX('Compliance Database'!$F$2:$F$1960,MATCH(867,'Transfer Engine'!$C$2:$C$1960,0)))</f>
        <v/>
      </c>
      <c r="G876" s="8">
        <f>IF(ISNA(MATCH(867,'Transfer Engine'!$C$2:$C$1960,0)),"",INDEX('Compliance Database'!$G$2:$G$1960,MATCH(867,'Transfer Engine'!$C$2:$C$1960,0)))</f>
        <v/>
      </c>
      <c r="H876" s="9">
        <f>IF(ISNA(MATCH(867,'Transfer Engine'!$C$2:$C$1960,0)),"",INDEX('Compliance Database'!$H$2:$H$1960,MATCH(867,'Transfer Engine'!$C$2:$C$1960,0)))</f>
        <v/>
      </c>
      <c r="I876" s="9">
        <f>IF(ISNA(MATCH(867,'Transfer Engine'!$C$2:$C$1960,0)),"",INDEX('Compliance Database'!$I$2:$I$1960,MATCH(867,'Transfer Engine'!$C$2:$C$1960,0)))</f>
        <v/>
      </c>
      <c r="J876" s="8">
        <f>IF(ISNA(MATCH(867,'Transfer Engine'!$C$2:$C$1960,0)),"",INDEX('Compliance Database'!$J$2:$J$1960,MATCH(867,'Transfer Engine'!$C$2:$C$1960,0)))</f>
        <v/>
      </c>
      <c r="K876" s="9">
        <f>IF(ISNA(MATCH(867,'Transfer Engine'!$C$2:$C$1960,0)),"",INDEX('Compliance Database'!$K$2:$K$1960,MATCH(867,'Transfer Engine'!$C$2:$C$1960,0)))</f>
        <v/>
      </c>
      <c r="L876" s="9">
        <f>IF(ISNA(MATCH(867,'Transfer Engine'!$C$2:$C$1960,0)),"",INDEX('Compliance Database'!$L$2:$L$1960,MATCH(867,'Transfer Engine'!$C$2:$C$1960,0)))</f>
        <v/>
      </c>
      <c r="M876" s="9">
        <f>IF(ISNA(MATCH(867,'Transfer Engine'!$C$2:$C$1960,0)),"",INDEX('Compliance Database'!$M$2:$M$1960,MATCH(867,'Transfer Engine'!$C$2:$C$1960,0)))</f>
        <v/>
      </c>
      <c r="N876" s="9">
        <f>IF(ISNA(MATCH(867,'Transfer Engine'!$C$2:$C$1960,0)),"",INDEX('Compliance Database'!$N$2:$N$1960,MATCH(867,'Transfer Engine'!$C$2:$C$1960,0)))</f>
        <v/>
      </c>
      <c r="O876" s="9">
        <f>IF(ISNA(MATCH(867,'Transfer Engine'!$C$2:$C$1960,0)),"",INDEX('Compliance Database'!$O$2:$O$1960,MATCH(867,'Transfer Engine'!$C$2:$C$1960,0)))</f>
        <v/>
      </c>
      <c r="P876" s="8">
        <f>IF(ISNA(MATCH(867,'Transfer Engine'!$C$2:$C$1960,0)),"",HYPERLINK("#Acts!A"&amp;INDEX('Compliance Database'!$P$2:$P$1960,MATCH(867,'Transfer Engine'!$C$2:$C$1960,0)),"Go to Act"))</f>
        <v/>
      </c>
    </row>
    <row r="877" ht="158" customHeight="1">
      <c r="A877" s="8">
        <f>IF(ISNA(MATCH(868,'Transfer Engine'!$C$2:$C$1960,0)),"",INDEX('Compliance Database'!$A$2:$A$1960,MATCH(868,'Transfer Engine'!$C$2:$C$1960,0)))</f>
        <v/>
      </c>
      <c r="B877" s="8">
        <f>IF(ISNA(MATCH(868,'Transfer Engine'!$C$2:$C$1960,0)),"",INDEX('Compliance Database'!$B$2:$B$1960,MATCH(868,'Transfer Engine'!$C$2:$C$1960,0)))</f>
        <v/>
      </c>
      <c r="C877" s="8">
        <f>IF(ISNA(MATCH(868,'Transfer Engine'!$C$2:$C$1960,0)),"",INDEX('Compliance Database'!$C$2:$C$1960,MATCH(868,'Transfer Engine'!$C$2:$C$1960,0)))</f>
        <v/>
      </c>
      <c r="D877" s="9">
        <f>IF(ISNA(MATCH(868,'Transfer Engine'!$C$2:$C$1960,0)),"",INDEX('Compliance Database'!$D$2:$D$1960,MATCH(868,'Transfer Engine'!$C$2:$C$1960,0)))</f>
        <v/>
      </c>
      <c r="E877" s="8">
        <f>IF(ISNA(MATCH(868,'Transfer Engine'!$C$2:$C$1960,0)),"",INDEX('Compliance Database'!$E$2:$E$1960,MATCH(868,'Transfer Engine'!$C$2:$C$1960,0)))</f>
        <v/>
      </c>
      <c r="F877" s="8">
        <f>IF(ISNA(MATCH(868,'Transfer Engine'!$C$2:$C$1960,0)),"",INDEX('Compliance Database'!$F$2:$F$1960,MATCH(868,'Transfer Engine'!$C$2:$C$1960,0)))</f>
        <v/>
      </c>
      <c r="G877" s="8">
        <f>IF(ISNA(MATCH(868,'Transfer Engine'!$C$2:$C$1960,0)),"",INDEX('Compliance Database'!$G$2:$G$1960,MATCH(868,'Transfer Engine'!$C$2:$C$1960,0)))</f>
        <v/>
      </c>
      <c r="H877" s="9">
        <f>IF(ISNA(MATCH(868,'Transfer Engine'!$C$2:$C$1960,0)),"",INDEX('Compliance Database'!$H$2:$H$1960,MATCH(868,'Transfer Engine'!$C$2:$C$1960,0)))</f>
        <v/>
      </c>
      <c r="I877" s="9">
        <f>IF(ISNA(MATCH(868,'Transfer Engine'!$C$2:$C$1960,0)),"",INDEX('Compliance Database'!$I$2:$I$1960,MATCH(868,'Transfer Engine'!$C$2:$C$1960,0)))</f>
        <v/>
      </c>
      <c r="J877" s="8">
        <f>IF(ISNA(MATCH(868,'Transfer Engine'!$C$2:$C$1960,0)),"",INDEX('Compliance Database'!$J$2:$J$1960,MATCH(868,'Transfer Engine'!$C$2:$C$1960,0)))</f>
        <v/>
      </c>
      <c r="K877" s="9">
        <f>IF(ISNA(MATCH(868,'Transfer Engine'!$C$2:$C$1960,0)),"",INDEX('Compliance Database'!$K$2:$K$1960,MATCH(868,'Transfer Engine'!$C$2:$C$1960,0)))</f>
        <v/>
      </c>
      <c r="L877" s="9">
        <f>IF(ISNA(MATCH(868,'Transfer Engine'!$C$2:$C$1960,0)),"",INDEX('Compliance Database'!$L$2:$L$1960,MATCH(868,'Transfer Engine'!$C$2:$C$1960,0)))</f>
        <v/>
      </c>
      <c r="M877" s="9">
        <f>IF(ISNA(MATCH(868,'Transfer Engine'!$C$2:$C$1960,0)),"",INDEX('Compliance Database'!$M$2:$M$1960,MATCH(868,'Transfer Engine'!$C$2:$C$1960,0)))</f>
        <v/>
      </c>
      <c r="N877" s="9">
        <f>IF(ISNA(MATCH(868,'Transfer Engine'!$C$2:$C$1960,0)),"",INDEX('Compliance Database'!$N$2:$N$1960,MATCH(868,'Transfer Engine'!$C$2:$C$1960,0)))</f>
        <v/>
      </c>
      <c r="O877" s="9">
        <f>IF(ISNA(MATCH(868,'Transfer Engine'!$C$2:$C$1960,0)),"",INDEX('Compliance Database'!$O$2:$O$1960,MATCH(868,'Transfer Engine'!$C$2:$C$1960,0)))</f>
        <v/>
      </c>
      <c r="P877" s="8">
        <f>IF(ISNA(MATCH(868,'Transfer Engine'!$C$2:$C$1960,0)),"",HYPERLINK("#Acts!A"&amp;INDEX('Compliance Database'!$P$2:$P$1960,MATCH(868,'Transfer Engine'!$C$2:$C$1960,0)),"Go to Act"))</f>
        <v/>
      </c>
    </row>
    <row r="878" ht="158" customHeight="1">
      <c r="A878" s="8">
        <f>IF(ISNA(MATCH(869,'Transfer Engine'!$C$2:$C$1960,0)),"",INDEX('Compliance Database'!$A$2:$A$1960,MATCH(869,'Transfer Engine'!$C$2:$C$1960,0)))</f>
        <v/>
      </c>
      <c r="B878" s="8">
        <f>IF(ISNA(MATCH(869,'Transfer Engine'!$C$2:$C$1960,0)),"",INDEX('Compliance Database'!$B$2:$B$1960,MATCH(869,'Transfer Engine'!$C$2:$C$1960,0)))</f>
        <v/>
      </c>
      <c r="C878" s="8">
        <f>IF(ISNA(MATCH(869,'Transfer Engine'!$C$2:$C$1960,0)),"",INDEX('Compliance Database'!$C$2:$C$1960,MATCH(869,'Transfer Engine'!$C$2:$C$1960,0)))</f>
        <v/>
      </c>
      <c r="D878" s="9">
        <f>IF(ISNA(MATCH(869,'Transfer Engine'!$C$2:$C$1960,0)),"",INDEX('Compliance Database'!$D$2:$D$1960,MATCH(869,'Transfer Engine'!$C$2:$C$1960,0)))</f>
        <v/>
      </c>
      <c r="E878" s="8">
        <f>IF(ISNA(MATCH(869,'Transfer Engine'!$C$2:$C$1960,0)),"",INDEX('Compliance Database'!$E$2:$E$1960,MATCH(869,'Transfer Engine'!$C$2:$C$1960,0)))</f>
        <v/>
      </c>
      <c r="F878" s="8">
        <f>IF(ISNA(MATCH(869,'Transfer Engine'!$C$2:$C$1960,0)),"",INDEX('Compliance Database'!$F$2:$F$1960,MATCH(869,'Transfer Engine'!$C$2:$C$1960,0)))</f>
        <v/>
      </c>
      <c r="G878" s="8">
        <f>IF(ISNA(MATCH(869,'Transfer Engine'!$C$2:$C$1960,0)),"",INDEX('Compliance Database'!$G$2:$G$1960,MATCH(869,'Transfer Engine'!$C$2:$C$1960,0)))</f>
        <v/>
      </c>
      <c r="H878" s="9">
        <f>IF(ISNA(MATCH(869,'Transfer Engine'!$C$2:$C$1960,0)),"",INDEX('Compliance Database'!$H$2:$H$1960,MATCH(869,'Transfer Engine'!$C$2:$C$1960,0)))</f>
        <v/>
      </c>
      <c r="I878" s="9">
        <f>IF(ISNA(MATCH(869,'Transfer Engine'!$C$2:$C$1960,0)),"",INDEX('Compliance Database'!$I$2:$I$1960,MATCH(869,'Transfer Engine'!$C$2:$C$1960,0)))</f>
        <v/>
      </c>
      <c r="J878" s="8">
        <f>IF(ISNA(MATCH(869,'Transfer Engine'!$C$2:$C$1960,0)),"",INDEX('Compliance Database'!$J$2:$J$1960,MATCH(869,'Transfer Engine'!$C$2:$C$1960,0)))</f>
        <v/>
      </c>
      <c r="K878" s="9">
        <f>IF(ISNA(MATCH(869,'Transfer Engine'!$C$2:$C$1960,0)),"",INDEX('Compliance Database'!$K$2:$K$1960,MATCH(869,'Transfer Engine'!$C$2:$C$1960,0)))</f>
        <v/>
      </c>
      <c r="L878" s="9">
        <f>IF(ISNA(MATCH(869,'Transfer Engine'!$C$2:$C$1960,0)),"",INDEX('Compliance Database'!$L$2:$L$1960,MATCH(869,'Transfer Engine'!$C$2:$C$1960,0)))</f>
        <v/>
      </c>
      <c r="M878" s="9">
        <f>IF(ISNA(MATCH(869,'Transfer Engine'!$C$2:$C$1960,0)),"",INDEX('Compliance Database'!$M$2:$M$1960,MATCH(869,'Transfer Engine'!$C$2:$C$1960,0)))</f>
        <v/>
      </c>
      <c r="N878" s="9">
        <f>IF(ISNA(MATCH(869,'Transfer Engine'!$C$2:$C$1960,0)),"",INDEX('Compliance Database'!$N$2:$N$1960,MATCH(869,'Transfer Engine'!$C$2:$C$1960,0)))</f>
        <v/>
      </c>
      <c r="O878" s="9">
        <f>IF(ISNA(MATCH(869,'Transfer Engine'!$C$2:$C$1960,0)),"",INDEX('Compliance Database'!$O$2:$O$1960,MATCH(869,'Transfer Engine'!$C$2:$C$1960,0)))</f>
        <v/>
      </c>
      <c r="P878" s="8">
        <f>IF(ISNA(MATCH(869,'Transfer Engine'!$C$2:$C$1960,0)),"",HYPERLINK("#Acts!A"&amp;INDEX('Compliance Database'!$P$2:$P$1960,MATCH(869,'Transfer Engine'!$C$2:$C$1960,0)),"Go to Act"))</f>
        <v/>
      </c>
    </row>
    <row r="879" ht="158" customHeight="1">
      <c r="A879" s="8">
        <f>IF(ISNA(MATCH(870,'Transfer Engine'!$C$2:$C$1960,0)),"",INDEX('Compliance Database'!$A$2:$A$1960,MATCH(870,'Transfer Engine'!$C$2:$C$1960,0)))</f>
        <v/>
      </c>
      <c r="B879" s="8">
        <f>IF(ISNA(MATCH(870,'Transfer Engine'!$C$2:$C$1960,0)),"",INDEX('Compliance Database'!$B$2:$B$1960,MATCH(870,'Transfer Engine'!$C$2:$C$1960,0)))</f>
        <v/>
      </c>
      <c r="C879" s="8">
        <f>IF(ISNA(MATCH(870,'Transfer Engine'!$C$2:$C$1960,0)),"",INDEX('Compliance Database'!$C$2:$C$1960,MATCH(870,'Transfer Engine'!$C$2:$C$1960,0)))</f>
        <v/>
      </c>
      <c r="D879" s="9">
        <f>IF(ISNA(MATCH(870,'Transfer Engine'!$C$2:$C$1960,0)),"",INDEX('Compliance Database'!$D$2:$D$1960,MATCH(870,'Transfer Engine'!$C$2:$C$1960,0)))</f>
        <v/>
      </c>
      <c r="E879" s="8">
        <f>IF(ISNA(MATCH(870,'Transfer Engine'!$C$2:$C$1960,0)),"",INDEX('Compliance Database'!$E$2:$E$1960,MATCH(870,'Transfer Engine'!$C$2:$C$1960,0)))</f>
        <v/>
      </c>
      <c r="F879" s="8">
        <f>IF(ISNA(MATCH(870,'Transfer Engine'!$C$2:$C$1960,0)),"",INDEX('Compliance Database'!$F$2:$F$1960,MATCH(870,'Transfer Engine'!$C$2:$C$1960,0)))</f>
        <v/>
      </c>
      <c r="G879" s="8">
        <f>IF(ISNA(MATCH(870,'Transfer Engine'!$C$2:$C$1960,0)),"",INDEX('Compliance Database'!$G$2:$G$1960,MATCH(870,'Transfer Engine'!$C$2:$C$1960,0)))</f>
        <v/>
      </c>
      <c r="H879" s="9">
        <f>IF(ISNA(MATCH(870,'Transfer Engine'!$C$2:$C$1960,0)),"",INDEX('Compliance Database'!$H$2:$H$1960,MATCH(870,'Transfer Engine'!$C$2:$C$1960,0)))</f>
        <v/>
      </c>
      <c r="I879" s="9">
        <f>IF(ISNA(MATCH(870,'Transfer Engine'!$C$2:$C$1960,0)),"",INDEX('Compliance Database'!$I$2:$I$1960,MATCH(870,'Transfer Engine'!$C$2:$C$1960,0)))</f>
        <v/>
      </c>
      <c r="J879" s="8">
        <f>IF(ISNA(MATCH(870,'Transfer Engine'!$C$2:$C$1960,0)),"",INDEX('Compliance Database'!$J$2:$J$1960,MATCH(870,'Transfer Engine'!$C$2:$C$1960,0)))</f>
        <v/>
      </c>
      <c r="K879" s="9">
        <f>IF(ISNA(MATCH(870,'Transfer Engine'!$C$2:$C$1960,0)),"",INDEX('Compliance Database'!$K$2:$K$1960,MATCH(870,'Transfer Engine'!$C$2:$C$1960,0)))</f>
        <v/>
      </c>
      <c r="L879" s="9">
        <f>IF(ISNA(MATCH(870,'Transfer Engine'!$C$2:$C$1960,0)),"",INDEX('Compliance Database'!$L$2:$L$1960,MATCH(870,'Transfer Engine'!$C$2:$C$1960,0)))</f>
        <v/>
      </c>
      <c r="M879" s="9">
        <f>IF(ISNA(MATCH(870,'Transfer Engine'!$C$2:$C$1960,0)),"",INDEX('Compliance Database'!$M$2:$M$1960,MATCH(870,'Transfer Engine'!$C$2:$C$1960,0)))</f>
        <v/>
      </c>
      <c r="N879" s="9">
        <f>IF(ISNA(MATCH(870,'Transfer Engine'!$C$2:$C$1960,0)),"",INDEX('Compliance Database'!$N$2:$N$1960,MATCH(870,'Transfer Engine'!$C$2:$C$1960,0)))</f>
        <v/>
      </c>
      <c r="O879" s="9">
        <f>IF(ISNA(MATCH(870,'Transfer Engine'!$C$2:$C$1960,0)),"",INDEX('Compliance Database'!$O$2:$O$1960,MATCH(870,'Transfer Engine'!$C$2:$C$1960,0)))</f>
        <v/>
      </c>
      <c r="P879" s="8">
        <f>IF(ISNA(MATCH(870,'Transfer Engine'!$C$2:$C$1960,0)),"",HYPERLINK("#Acts!A"&amp;INDEX('Compliance Database'!$P$2:$P$1960,MATCH(870,'Transfer Engine'!$C$2:$C$1960,0)),"Go to Act"))</f>
        <v/>
      </c>
    </row>
    <row r="880" ht="158" customHeight="1">
      <c r="A880" s="8">
        <f>IF(ISNA(MATCH(871,'Transfer Engine'!$C$2:$C$1960,0)),"",INDEX('Compliance Database'!$A$2:$A$1960,MATCH(871,'Transfer Engine'!$C$2:$C$1960,0)))</f>
        <v/>
      </c>
      <c r="B880" s="8">
        <f>IF(ISNA(MATCH(871,'Transfer Engine'!$C$2:$C$1960,0)),"",INDEX('Compliance Database'!$B$2:$B$1960,MATCH(871,'Transfer Engine'!$C$2:$C$1960,0)))</f>
        <v/>
      </c>
      <c r="C880" s="8">
        <f>IF(ISNA(MATCH(871,'Transfer Engine'!$C$2:$C$1960,0)),"",INDEX('Compliance Database'!$C$2:$C$1960,MATCH(871,'Transfer Engine'!$C$2:$C$1960,0)))</f>
        <v/>
      </c>
      <c r="D880" s="9">
        <f>IF(ISNA(MATCH(871,'Transfer Engine'!$C$2:$C$1960,0)),"",INDEX('Compliance Database'!$D$2:$D$1960,MATCH(871,'Transfer Engine'!$C$2:$C$1960,0)))</f>
        <v/>
      </c>
      <c r="E880" s="8">
        <f>IF(ISNA(MATCH(871,'Transfer Engine'!$C$2:$C$1960,0)),"",INDEX('Compliance Database'!$E$2:$E$1960,MATCH(871,'Transfer Engine'!$C$2:$C$1960,0)))</f>
        <v/>
      </c>
      <c r="F880" s="8">
        <f>IF(ISNA(MATCH(871,'Transfer Engine'!$C$2:$C$1960,0)),"",INDEX('Compliance Database'!$F$2:$F$1960,MATCH(871,'Transfer Engine'!$C$2:$C$1960,0)))</f>
        <v/>
      </c>
      <c r="G880" s="8">
        <f>IF(ISNA(MATCH(871,'Transfer Engine'!$C$2:$C$1960,0)),"",INDEX('Compliance Database'!$G$2:$G$1960,MATCH(871,'Transfer Engine'!$C$2:$C$1960,0)))</f>
        <v/>
      </c>
      <c r="H880" s="9">
        <f>IF(ISNA(MATCH(871,'Transfer Engine'!$C$2:$C$1960,0)),"",INDEX('Compliance Database'!$H$2:$H$1960,MATCH(871,'Transfer Engine'!$C$2:$C$1960,0)))</f>
        <v/>
      </c>
      <c r="I880" s="9">
        <f>IF(ISNA(MATCH(871,'Transfer Engine'!$C$2:$C$1960,0)),"",INDEX('Compliance Database'!$I$2:$I$1960,MATCH(871,'Transfer Engine'!$C$2:$C$1960,0)))</f>
        <v/>
      </c>
      <c r="J880" s="8">
        <f>IF(ISNA(MATCH(871,'Transfer Engine'!$C$2:$C$1960,0)),"",INDEX('Compliance Database'!$J$2:$J$1960,MATCH(871,'Transfer Engine'!$C$2:$C$1960,0)))</f>
        <v/>
      </c>
      <c r="K880" s="9">
        <f>IF(ISNA(MATCH(871,'Transfer Engine'!$C$2:$C$1960,0)),"",INDEX('Compliance Database'!$K$2:$K$1960,MATCH(871,'Transfer Engine'!$C$2:$C$1960,0)))</f>
        <v/>
      </c>
      <c r="L880" s="9">
        <f>IF(ISNA(MATCH(871,'Transfer Engine'!$C$2:$C$1960,0)),"",INDEX('Compliance Database'!$L$2:$L$1960,MATCH(871,'Transfer Engine'!$C$2:$C$1960,0)))</f>
        <v/>
      </c>
      <c r="M880" s="9">
        <f>IF(ISNA(MATCH(871,'Transfer Engine'!$C$2:$C$1960,0)),"",INDEX('Compliance Database'!$M$2:$M$1960,MATCH(871,'Transfer Engine'!$C$2:$C$1960,0)))</f>
        <v/>
      </c>
      <c r="N880" s="9">
        <f>IF(ISNA(MATCH(871,'Transfer Engine'!$C$2:$C$1960,0)),"",INDEX('Compliance Database'!$N$2:$N$1960,MATCH(871,'Transfer Engine'!$C$2:$C$1960,0)))</f>
        <v/>
      </c>
      <c r="O880" s="9">
        <f>IF(ISNA(MATCH(871,'Transfer Engine'!$C$2:$C$1960,0)),"",INDEX('Compliance Database'!$O$2:$O$1960,MATCH(871,'Transfer Engine'!$C$2:$C$1960,0)))</f>
        <v/>
      </c>
      <c r="P880" s="8">
        <f>IF(ISNA(MATCH(871,'Transfer Engine'!$C$2:$C$1960,0)),"",HYPERLINK("#Acts!A"&amp;INDEX('Compliance Database'!$P$2:$P$1960,MATCH(871,'Transfer Engine'!$C$2:$C$1960,0)),"Go to Act"))</f>
        <v/>
      </c>
    </row>
    <row r="881" ht="158" customHeight="1">
      <c r="A881" s="8">
        <f>IF(ISNA(MATCH(872,'Transfer Engine'!$C$2:$C$1960,0)),"",INDEX('Compliance Database'!$A$2:$A$1960,MATCH(872,'Transfer Engine'!$C$2:$C$1960,0)))</f>
        <v/>
      </c>
      <c r="B881" s="8">
        <f>IF(ISNA(MATCH(872,'Transfer Engine'!$C$2:$C$1960,0)),"",INDEX('Compliance Database'!$B$2:$B$1960,MATCH(872,'Transfer Engine'!$C$2:$C$1960,0)))</f>
        <v/>
      </c>
      <c r="C881" s="8">
        <f>IF(ISNA(MATCH(872,'Transfer Engine'!$C$2:$C$1960,0)),"",INDEX('Compliance Database'!$C$2:$C$1960,MATCH(872,'Transfer Engine'!$C$2:$C$1960,0)))</f>
        <v/>
      </c>
      <c r="D881" s="9">
        <f>IF(ISNA(MATCH(872,'Transfer Engine'!$C$2:$C$1960,0)),"",INDEX('Compliance Database'!$D$2:$D$1960,MATCH(872,'Transfer Engine'!$C$2:$C$1960,0)))</f>
        <v/>
      </c>
      <c r="E881" s="8">
        <f>IF(ISNA(MATCH(872,'Transfer Engine'!$C$2:$C$1960,0)),"",INDEX('Compliance Database'!$E$2:$E$1960,MATCH(872,'Transfer Engine'!$C$2:$C$1960,0)))</f>
        <v/>
      </c>
      <c r="F881" s="8">
        <f>IF(ISNA(MATCH(872,'Transfer Engine'!$C$2:$C$1960,0)),"",INDEX('Compliance Database'!$F$2:$F$1960,MATCH(872,'Transfer Engine'!$C$2:$C$1960,0)))</f>
        <v/>
      </c>
      <c r="G881" s="8">
        <f>IF(ISNA(MATCH(872,'Transfer Engine'!$C$2:$C$1960,0)),"",INDEX('Compliance Database'!$G$2:$G$1960,MATCH(872,'Transfer Engine'!$C$2:$C$1960,0)))</f>
        <v/>
      </c>
      <c r="H881" s="9">
        <f>IF(ISNA(MATCH(872,'Transfer Engine'!$C$2:$C$1960,0)),"",INDEX('Compliance Database'!$H$2:$H$1960,MATCH(872,'Transfer Engine'!$C$2:$C$1960,0)))</f>
        <v/>
      </c>
      <c r="I881" s="9">
        <f>IF(ISNA(MATCH(872,'Transfer Engine'!$C$2:$C$1960,0)),"",INDEX('Compliance Database'!$I$2:$I$1960,MATCH(872,'Transfer Engine'!$C$2:$C$1960,0)))</f>
        <v/>
      </c>
      <c r="J881" s="8">
        <f>IF(ISNA(MATCH(872,'Transfer Engine'!$C$2:$C$1960,0)),"",INDEX('Compliance Database'!$J$2:$J$1960,MATCH(872,'Transfer Engine'!$C$2:$C$1960,0)))</f>
        <v/>
      </c>
      <c r="K881" s="9">
        <f>IF(ISNA(MATCH(872,'Transfer Engine'!$C$2:$C$1960,0)),"",INDEX('Compliance Database'!$K$2:$K$1960,MATCH(872,'Transfer Engine'!$C$2:$C$1960,0)))</f>
        <v/>
      </c>
      <c r="L881" s="9">
        <f>IF(ISNA(MATCH(872,'Transfer Engine'!$C$2:$C$1960,0)),"",INDEX('Compliance Database'!$L$2:$L$1960,MATCH(872,'Transfer Engine'!$C$2:$C$1960,0)))</f>
        <v/>
      </c>
      <c r="M881" s="9">
        <f>IF(ISNA(MATCH(872,'Transfer Engine'!$C$2:$C$1960,0)),"",INDEX('Compliance Database'!$M$2:$M$1960,MATCH(872,'Transfer Engine'!$C$2:$C$1960,0)))</f>
        <v/>
      </c>
      <c r="N881" s="9">
        <f>IF(ISNA(MATCH(872,'Transfer Engine'!$C$2:$C$1960,0)),"",INDEX('Compliance Database'!$N$2:$N$1960,MATCH(872,'Transfer Engine'!$C$2:$C$1960,0)))</f>
        <v/>
      </c>
      <c r="O881" s="9">
        <f>IF(ISNA(MATCH(872,'Transfer Engine'!$C$2:$C$1960,0)),"",INDEX('Compliance Database'!$O$2:$O$1960,MATCH(872,'Transfer Engine'!$C$2:$C$1960,0)))</f>
        <v/>
      </c>
      <c r="P881" s="8">
        <f>IF(ISNA(MATCH(872,'Transfer Engine'!$C$2:$C$1960,0)),"",HYPERLINK("#Acts!A"&amp;INDEX('Compliance Database'!$P$2:$P$1960,MATCH(872,'Transfer Engine'!$C$2:$C$1960,0)),"Go to Act"))</f>
        <v/>
      </c>
    </row>
    <row r="882" ht="158" customHeight="1">
      <c r="A882" s="8">
        <f>IF(ISNA(MATCH(873,'Transfer Engine'!$C$2:$C$1960,0)),"",INDEX('Compliance Database'!$A$2:$A$1960,MATCH(873,'Transfer Engine'!$C$2:$C$1960,0)))</f>
        <v/>
      </c>
      <c r="B882" s="8">
        <f>IF(ISNA(MATCH(873,'Transfer Engine'!$C$2:$C$1960,0)),"",INDEX('Compliance Database'!$B$2:$B$1960,MATCH(873,'Transfer Engine'!$C$2:$C$1960,0)))</f>
        <v/>
      </c>
      <c r="C882" s="8">
        <f>IF(ISNA(MATCH(873,'Transfer Engine'!$C$2:$C$1960,0)),"",INDEX('Compliance Database'!$C$2:$C$1960,MATCH(873,'Transfer Engine'!$C$2:$C$1960,0)))</f>
        <v/>
      </c>
      <c r="D882" s="9">
        <f>IF(ISNA(MATCH(873,'Transfer Engine'!$C$2:$C$1960,0)),"",INDEX('Compliance Database'!$D$2:$D$1960,MATCH(873,'Transfer Engine'!$C$2:$C$1960,0)))</f>
        <v/>
      </c>
      <c r="E882" s="8">
        <f>IF(ISNA(MATCH(873,'Transfer Engine'!$C$2:$C$1960,0)),"",INDEX('Compliance Database'!$E$2:$E$1960,MATCH(873,'Transfer Engine'!$C$2:$C$1960,0)))</f>
        <v/>
      </c>
      <c r="F882" s="8">
        <f>IF(ISNA(MATCH(873,'Transfer Engine'!$C$2:$C$1960,0)),"",INDEX('Compliance Database'!$F$2:$F$1960,MATCH(873,'Transfer Engine'!$C$2:$C$1960,0)))</f>
        <v/>
      </c>
      <c r="G882" s="8">
        <f>IF(ISNA(MATCH(873,'Transfer Engine'!$C$2:$C$1960,0)),"",INDEX('Compliance Database'!$G$2:$G$1960,MATCH(873,'Transfer Engine'!$C$2:$C$1960,0)))</f>
        <v/>
      </c>
      <c r="H882" s="9">
        <f>IF(ISNA(MATCH(873,'Transfer Engine'!$C$2:$C$1960,0)),"",INDEX('Compliance Database'!$H$2:$H$1960,MATCH(873,'Transfer Engine'!$C$2:$C$1960,0)))</f>
        <v/>
      </c>
      <c r="I882" s="9">
        <f>IF(ISNA(MATCH(873,'Transfer Engine'!$C$2:$C$1960,0)),"",INDEX('Compliance Database'!$I$2:$I$1960,MATCH(873,'Transfer Engine'!$C$2:$C$1960,0)))</f>
        <v/>
      </c>
      <c r="J882" s="8">
        <f>IF(ISNA(MATCH(873,'Transfer Engine'!$C$2:$C$1960,0)),"",INDEX('Compliance Database'!$J$2:$J$1960,MATCH(873,'Transfer Engine'!$C$2:$C$1960,0)))</f>
        <v/>
      </c>
      <c r="K882" s="9">
        <f>IF(ISNA(MATCH(873,'Transfer Engine'!$C$2:$C$1960,0)),"",INDEX('Compliance Database'!$K$2:$K$1960,MATCH(873,'Transfer Engine'!$C$2:$C$1960,0)))</f>
        <v/>
      </c>
      <c r="L882" s="9">
        <f>IF(ISNA(MATCH(873,'Transfer Engine'!$C$2:$C$1960,0)),"",INDEX('Compliance Database'!$L$2:$L$1960,MATCH(873,'Transfer Engine'!$C$2:$C$1960,0)))</f>
        <v/>
      </c>
      <c r="M882" s="9">
        <f>IF(ISNA(MATCH(873,'Transfer Engine'!$C$2:$C$1960,0)),"",INDEX('Compliance Database'!$M$2:$M$1960,MATCH(873,'Transfer Engine'!$C$2:$C$1960,0)))</f>
        <v/>
      </c>
      <c r="N882" s="9">
        <f>IF(ISNA(MATCH(873,'Transfer Engine'!$C$2:$C$1960,0)),"",INDEX('Compliance Database'!$N$2:$N$1960,MATCH(873,'Transfer Engine'!$C$2:$C$1960,0)))</f>
        <v/>
      </c>
      <c r="O882" s="9">
        <f>IF(ISNA(MATCH(873,'Transfer Engine'!$C$2:$C$1960,0)),"",INDEX('Compliance Database'!$O$2:$O$1960,MATCH(873,'Transfer Engine'!$C$2:$C$1960,0)))</f>
        <v/>
      </c>
      <c r="P882" s="8">
        <f>IF(ISNA(MATCH(873,'Transfer Engine'!$C$2:$C$1960,0)),"",HYPERLINK("#Acts!A"&amp;INDEX('Compliance Database'!$P$2:$P$1960,MATCH(873,'Transfer Engine'!$C$2:$C$1960,0)),"Go to Act"))</f>
        <v/>
      </c>
    </row>
    <row r="883" ht="158" customHeight="1">
      <c r="A883" s="8">
        <f>IF(ISNA(MATCH(874,'Transfer Engine'!$C$2:$C$1960,0)),"",INDEX('Compliance Database'!$A$2:$A$1960,MATCH(874,'Transfer Engine'!$C$2:$C$1960,0)))</f>
        <v/>
      </c>
      <c r="B883" s="8">
        <f>IF(ISNA(MATCH(874,'Transfer Engine'!$C$2:$C$1960,0)),"",INDEX('Compliance Database'!$B$2:$B$1960,MATCH(874,'Transfer Engine'!$C$2:$C$1960,0)))</f>
        <v/>
      </c>
      <c r="C883" s="8">
        <f>IF(ISNA(MATCH(874,'Transfer Engine'!$C$2:$C$1960,0)),"",INDEX('Compliance Database'!$C$2:$C$1960,MATCH(874,'Transfer Engine'!$C$2:$C$1960,0)))</f>
        <v/>
      </c>
      <c r="D883" s="9">
        <f>IF(ISNA(MATCH(874,'Transfer Engine'!$C$2:$C$1960,0)),"",INDEX('Compliance Database'!$D$2:$D$1960,MATCH(874,'Transfer Engine'!$C$2:$C$1960,0)))</f>
        <v/>
      </c>
      <c r="E883" s="8">
        <f>IF(ISNA(MATCH(874,'Transfer Engine'!$C$2:$C$1960,0)),"",INDEX('Compliance Database'!$E$2:$E$1960,MATCH(874,'Transfer Engine'!$C$2:$C$1960,0)))</f>
        <v/>
      </c>
      <c r="F883" s="8">
        <f>IF(ISNA(MATCH(874,'Transfer Engine'!$C$2:$C$1960,0)),"",INDEX('Compliance Database'!$F$2:$F$1960,MATCH(874,'Transfer Engine'!$C$2:$C$1960,0)))</f>
        <v/>
      </c>
      <c r="G883" s="8">
        <f>IF(ISNA(MATCH(874,'Transfer Engine'!$C$2:$C$1960,0)),"",INDEX('Compliance Database'!$G$2:$G$1960,MATCH(874,'Transfer Engine'!$C$2:$C$1960,0)))</f>
        <v/>
      </c>
      <c r="H883" s="9">
        <f>IF(ISNA(MATCH(874,'Transfer Engine'!$C$2:$C$1960,0)),"",INDEX('Compliance Database'!$H$2:$H$1960,MATCH(874,'Transfer Engine'!$C$2:$C$1960,0)))</f>
        <v/>
      </c>
      <c r="I883" s="9">
        <f>IF(ISNA(MATCH(874,'Transfer Engine'!$C$2:$C$1960,0)),"",INDEX('Compliance Database'!$I$2:$I$1960,MATCH(874,'Transfer Engine'!$C$2:$C$1960,0)))</f>
        <v/>
      </c>
      <c r="J883" s="8">
        <f>IF(ISNA(MATCH(874,'Transfer Engine'!$C$2:$C$1960,0)),"",INDEX('Compliance Database'!$J$2:$J$1960,MATCH(874,'Transfer Engine'!$C$2:$C$1960,0)))</f>
        <v/>
      </c>
      <c r="K883" s="9">
        <f>IF(ISNA(MATCH(874,'Transfer Engine'!$C$2:$C$1960,0)),"",INDEX('Compliance Database'!$K$2:$K$1960,MATCH(874,'Transfer Engine'!$C$2:$C$1960,0)))</f>
        <v/>
      </c>
      <c r="L883" s="9">
        <f>IF(ISNA(MATCH(874,'Transfer Engine'!$C$2:$C$1960,0)),"",INDEX('Compliance Database'!$L$2:$L$1960,MATCH(874,'Transfer Engine'!$C$2:$C$1960,0)))</f>
        <v/>
      </c>
      <c r="M883" s="9">
        <f>IF(ISNA(MATCH(874,'Transfer Engine'!$C$2:$C$1960,0)),"",INDEX('Compliance Database'!$M$2:$M$1960,MATCH(874,'Transfer Engine'!$C$2:$C$1960,0)))</f>
        <v/>
      </c>
      <c r="N883" s="9">
        <f>IF(ISNA(MATCH(874,'Transfer Engine'!$C$2:$C$1960,0)),"",INDEX('Compliance Database'!$N$2:$N$1960,MATCH(874,'Transfer Engine'!$C$2:$C$1960,0)))</f>
        <v/>
      </c>
      <c r="O883" s="9">
        <f>IF(ISNA(MATCH(874,'Transfer Engine'!$C$2:$C$1960,0)),"",INDEX('Compliance Database'!$O$2:$O$1960,MATCH(874,'Transfer Engine'!$C$2:$C$1960,0)))</f>
        <v/>
      </c>
      <c r="P883" s="8">
        <f>IF(ISNA(MATCH(874,'Transfer Engine'!$C$2:$C$1960,0)),"",HYPERLINK("#Acts!A"&amp;INDEX('Compliance Database'!$P$2:$P$1960,MATCH(874,'Transfer Engine'!$C$2:$C$1960,0)),"Go to Act"))</f>
        <v/>
      </c>
    </row>
    <row r="884" ht="158" customHeight="1">
      <c r="A884" s="8">
        <f>IF(ISNA(MATCH(875,'Transfer Engine'!$C$2:$C$1960,0)),"",INDEX('Compliance Database'!$A$2:$A$1960,MATCH(875,'Transfer Engine'!$C$2:$C$1960,0)))</f>
        <v/>
      </c>
      <c r="B884" s="8">
        <f>IF(ISNA(MATCH(875,'Transfer Engine'!$C$2:$C$1960,0)),"",INDEX('Compliance Database'!$B$2:$B$1960,MATCH(875,'Transfer Engine'!$C$2:$C$1960,0)))</f>
        <v/>
      </c>
      <c r="C884" s="8">
        <f>IF(ISNA(MATCH(875,'Transfer Engine'!$C$2:$C$1960,0)),"",INDEX('Compliance Database'!$C$2:$C$1960,MATCH(875,'Transfer Engine'!$C$2:$C$1960,0)))</f>
        <v/>
      </c>
      <c r="D884" s="9">
        <f>IF(ISNA(MATCH(875,'Transfer Engine'!$C$2:$C$1960,0)),"",INDEX('Compliance Database'!$D$2:$D$1960,MATCH(875,'Transfer Engine'!$C$2:$C$1960,0)))</f>
        <v/>
      </c>
      <c r="E884" s="8">
        <f>IF(ISNA(MATCH(875,'Transfer Engine'!$C$2:$C$1960,0)),"",INDEX('Compliance Database'!$E$2:$E$1960,MATCH(875,'Transfer Engine'!$C$2:$C$1960,0)))</f>
        <v/>
      </c>
      <c r="F884" s="8">
        <f>IF(ISNA(MATCH(875,'Transfer Engine'!$C$2:$C$1960,0)),"",INDEX('Compliance Database'!$F$2:$F$1960,MATCH(875,'Transfer Engine'!$C$2:$C$1960,0)))</f>
        <v/>
      </c>
      <c r="G884" s="8">
        <f>IF(ISNA(MATCH(875,'Transfer Engine'!$C$2:$C$1960,0)),"",INDEX('Compliance Database'!$G$2:$G$1960,MATCH(875,'Transfer Engine'!$C$2:$C$1960,0)))</f>
        <v/>
      </c>
      <c r="H884" s="9">
        <f>IF(ISNA(MATCH(875,'Transfer Engine'!$C$2:$C$1960,0)),"",INDEX('Compliance Database'!$H$2:$H$1960,MATCH(875,'Transfer Engine'!$C$2:$C$1960,0)))</f>
        <v/>
      </c>
      <c r="I884" s="9">
        <f>IF(ISNA(MATCH(875,'Transfer Engine'!$C$2:$C$1960,0)),"",INDEX('Compliance Database'!$I$2:$I$1960,MATCH(875,'Transfer Engine'!$C$2:$C$1960,0)))</f>
        <v/>
      </c>
      <c r="J884" s="8">
        <f>IF(ISNA(MATCH(875,'Transfer Engine'!$C$2:$C$1960,0)),"",INDEX('Compliance Database'!$J$2:$J$1960,MATCH(875,'Transfer Engine'!$C$2:$C$1960,0)))</f>
        <v/>
      </c>
      <c r="K884" s="9">
        <f>IF(ISNA(MATCH(875,'Transfer Engine'!$C$2:$C$1960,0)),"",INDEX('Compliance Database'!$K$2:$K$1960,MATCH(875,'Transfer Engine'!$C$2:$C$1960,0)))</f>
        <v/>
      </c>
      <c r="L884" s="9">
        <f>IF(ISNA(MATCH(875,'Transfer Engine'!$C$2:$C$1960,0)),"",INDEX('Compliance Database'!$L$2:$L$1960,MATCH(875,'Transfer Engine'!$C$2:$C$1960,0)))</f>
        <v/>
      </c>
      <c r="M884" s="9">
        <f>IF(ISNA(MATCH(875,'Transfer Engine'!$C$2:$C$1960,0)),"",INDEX('Compliance Database'!$M$2:$M$1960,MATCH(875,'Transfer Engine'!$C$2:$C$1960,0)))</f>
        <v/>
      </c>
      <c r="N884" s="9">
        <f>IF(ISNA(MATCH(875,'Transfer Engine'!$C$2:$C$1960,0)),"",INDEX('Compliance Database'!$N$2:$N$1960,MATCH(875,'Transfer Engine'!$C$2:$C$1960,0)))</f>
        <v/>
      </c>
      <c r="O884" s="9">
        <f>IF(ISNA(MATCH(875,'Transfer Engine'!$C$2:$C$1960,0)),"",INDEX('Compliance Database'!$O$2:$O$1960,MATCH(875,'Transfer Engine'!$C$2:$C$1960,0)))</f>
        <v/>
      </c>
      <c r="P884" s="8">
        <f>IF(ISNA(MATCH(875,'Transfer Engine'!$C$2:$C$1960,0)),"",HYPERLINK("#Acts!A"&amp;INDEX('Compliance Database'!$P$2:$P$1960,MATCH(875,'Transfer Engine'!$C$2:$C$1960,0)),"Go to Act"))</f>
        <v/>
      </c>
    </row>
    <row r="885" ht="158" customHeight="1">
      <c r="A885" s="8">
        <f>IF(ISNA(MATCH(876,'Transfer Engine'!$C$2:$C$1960,0)),"",INDEX('Compliance Database'!$A$2:$A$1960,MATCH(876,'Transfer Engine'!$C$2:$C$1960,0)))</f>
        <v/>
      </c>
      <c r="B885" s="8">
        <f>IF(ISNA(MATCH(876,'Transfer Engine'!$C$2:$C$1960,0)),"",INDEX('Compliance Database'!$B$2:$B$1960,MATCH(876,'Transfer Engine'!$C$2:$C$1960,0)))</f>
        <v/>
      </c>
      <c r="C885" s="8">
        <f>IF(ISNA(MATCH(876,'Transfer Engine'!$C$2:$C$1960,0)),"",INDEX('Compliance Database'!$C$2:$C$1960,MATCH(876,'Transfer Engine'!$C$2:$C$1960,0)))</f>
        <v/>
      </c>
      <c r="D885" s="9">
        <f>IF(ISNA(MATCH(876,'Transfer Engine'!$C$2:$C$1960,0)),"",INDEX('Compliance Database'!$D$2:$D$1960,MATCH(876,'Transfer Engine'!$C$2:$C$1960,0)))</f>
        <v/>
      </c>
      <c r="E885" s="8">
        <f>IF(ISNA(MATCH(876,'Transfer Engine'!$C$2:$C$1960,0)),"",INDEX('Compliance Database'!$E$2:$E$1960,MATCH(876,'Transfer Engine'!$C$2:$C$1960,0)))</f>
        <v/>
      </c>
      <c r="F885" s="8">
        <f>IF(ISNA(MATCH(876,'Transfer Engine'!$C$2:$C$1960,0)),"",INDEX('Compliance Database'!$F$2:$F$1960,MATCH(876,'Transfer Engine'!$C$2:$C$1960,0)))</f>
        <v/>
      </c>
      <c r="G885" s="8">
        <f>IF(ISNA(MATCH(876,'Transfer Engine'!$C$2:$C$1960,0)),"",INDEX('Compliance Database'!$G$2:$G$1960,MATCH(876,'Transfer Engine'!$C$2:$C$1960,0)))</f>
        <v/>
      </c>
      <c r="H885" s="9">
        <f>IF(ISNA(MATCH(876,'Transfer Engine'!$C$2:$C$1960,0)),"",INDEX('Compliance Database'!$H$2:$H$1960,MATCH(876,'Transfer Engine'!$C$2:$C$1960,0)))</f>
        <v/>
      </c>
      <c r="I885" s="9">
        <f>IF(ISNA(MATCH(876,'Transfer Engine'!$C$2:$C$1960,0)),"",INDEX('Compliance Database'!$I$2:$I$1960,MATCH(876,'Transfer Engine'!$C$2:$C$1960,0)))</f>
        <v/>
      </c>
      <c r="J885" s="8">
        <f>IF(ISNA(MATCH(876,'Transfer Engine'!$C$2:$C$1960,0)),"",INDEX('Compliance Database'!$J$2:$J$1960,MATCH(876,'Transfer Engine'!$C$2:$C$1960,0)))</f>
        <v/>
      </c>
      <c r="K885" s="9">
        <f>IF(ISNA(MATCH(876,'Transfer Engine'!$C$2:$C$1960,0)),"",INDEX('Compliance Database'!$K$2:$K$1960,MATCH(876,'Transfer Engine'!$C$2:$C$1960,0)))</f>
        <v/>
      </c>
      <c r="L885" s="9">
        <f>IF(ISNA(MATCH(876,'Transfer Engine'!$C$2:$C$1960,0)),"",INDEX('Compliance Database'!$L$2:$L$1960,MATCH(876,'Transfer Engine'!$C$2:$C$1960,0)))</f>
        <v/>
      </c>
      <c r="M885" s="9">
        <f>IF(ISNA(MATCH(876,'Transfer Engine'!$C$2:$C$1960,0)),"",INDEX('Compliance Database'!$M$2:$M$1960,MATCH(876,'Transfer Engine'!$C$2:$C$1960,0)))</f>
        <v/>
      </c>
      <c r="N885" s="9">
        <f>IF(ISNA(MATCH(876,'Transfer Engine'!$C$2:$C$1960,0)),"",INDEX('Compliance Database'!$N$2:$N$1960,MATCH(876,'Transfer Engine'!$C$2:$C$1960,0)))</f>
        <v/>
      </c>
      <c r="O885" s="9">
        <f>IF(ISNA(MATCH(876,'Transfer Engine'!$C$2:$C$1960,0)),"",INDEX('Compliance Database'!$O$2:$O$1960,MATCH(876,'Transfer Engine'!$C$2:$C$1960,0)))</f>
        <v/>
      </c>
      <c r="P885" s="8">
        <f>IF(ISNA(MATCH(876,'Transfer Engine'!$C$2:$C$1960,0)),"",HYPERLINK("#Acts!A"&amp;INDEX('Compliance Database'!$P$2:$P$1960,MATCH(876,'Transfer Engine'!$C$2:$C$1960,0)),"Go to Act"))</f>
        <v/>
      </c>
    </row>
    <row r="886" ht="158" customHeight="1">
      <c r="A886" s="8">
        <f>IF(ISNA(MATCH(877,'Transfer Engine'!$C$2:$C$1960,0)),"",INDEX('Compliance Database'!$A$2:$A$1960,MATCH(877,'Transfer Engine'!$C$2:$C$1960,0)))</f>
        <v/>
      </c>
      <c r="B886" s="8">
        <f>IF(ISNA(MATCH(877,'Transfer Engine'!$C$2:$C$1960,0)),"",INDEX('Compliance Database'!$B$2:$B$1960,MATCH(877,'Transfer Engine'!$C$2:$C$1960,0)))</f>
        <v/>
      </c>
      <c r="C886" s="8">
        <f>IF(ISNA(MATCH(877,'Transfer Engine'!$C$2:$C$1960,0)),"",INDEX('Compliance Database'!$C$2:$C$1960,MATCH(877,'Transfer Engine'!$C$2:$C$1960,0)))</f>
        <v/>
      </c>
      <c r="D886" s="9">
        <f>IF(ISNA(MATCH(877,'Transfer Engine'!$C$2:$C$1960,0)),"",INDEX('Compliance Database'!$D$2:$D$1960,MATCH(877,'Transfer Engine'!$C$2:$C$1960,0)))</f>
        <v/>
      </c>
      <c r="E886" s="8">
        <f>IF(ISNA(MATCH(877,'Transfer Engine'!$C$2:$C$1960,0)),"",INDEX('Compliance Database'!$E$2:$E$1960,MATCH(877,'Transfer Engine'!$C$2:$C$1960,0)))</f>
        <v/>
      </c>
      <c r="F886" s="8">
        <f>IF(ISNA(MATCH(877,'Transfer Engine'!$C$2:$C$1960,0)),"",INDEX('Compliance Database'!$F$2:$F$1960,MATCH(877,'Transfer Engine'!$C$2:$C$1960,0)))</f>
        <v/>
      </c>
      <c r="G886" s="8">
        <f>IF(ISNA(MATCH(877,'Transfer Engine'!$C$2:$C$1960,0)),"",INDEX('Compliance Database'!$G$2:$G$1960,MATCH(877,'Transfer Engine'!$C$2:$C$1960,0)))</f>
        <v/>
      </c>
      <c r="H886" s="9">
        <f>IF(ISNA(MATCH(877,'Transfer Engine'!$C$2:$C$1960,0)),"",INDEX('Compliance Database'!$H$2:$H$1960,MATCH(877,'Transfer Engine'!$C$2:$C$1960,0)))</f>
        <v/>
      </c>
      <c r="I886" s="9">
        <f>IF(ISNA(MATCH(877,'Transfer Engine'!$C$2:$C$1960,0)),"",INDEX('Compliance Database'!$I$2:$I$1960,MATCH(877,'Transfer Engine'!$C$2:$C$1960,0)))</f>
        <v/>
      </c>
      <c r="J886" s="8">
        <f>IF(ISNA(MATCH(877,'Transfer Engine'!$C$2:$C$1960,0)),"",INDEX('Compliance Database'!$J$2:$J$1960,MATCH(877,'Transfer Engine'!$C$2:$C$1960,0)))</f>
        <v/>
      </c>
      <c r="K886" s="9">
        <f>IF(ISNA(MATCH(877,'Transfer Engine'!$C$2:$C$1960,0)),"",INDEX('Compliance Database'!$K$2:$K$1960,MATCH(877,'Transfer Engine'!$C$2:$C$1960,0)))</f>
        <v/>
      </c>
      <c r="L886" s="9">
        <f>IF(ISNA(MATCH(877,'Transfer Engine'!$C$2:$C$1960,0)),"",INDEX('Compliance Database'!$L$2:$L$1960,MATCH(877,'Transfer Engine'!$C$2:$C$1960,0)))</f>
        <v/>
      </c>
      <c r="M886" s="9">
        <f>IF(ISNA(MATCH(877,'Transfer Engine'!$C$2:$C$1960,0)),"",INDEX('Compliance Database'!$M$2:$M$1960,MATCH(877,'Transfer Engine'!$C$2:$C$1960,0)))</f>
        <v/>
      </c>
      <c r="N886" s="9">
        <f>IF(ISNA(MATCH(877,'Transfer Engine'!$C$2:$C$1960,0)),"",INDEX('Compliance Database'!$N$2:$N$1960,MATCH(877,'Transfer Engine'!$C$2:$C$1960,0)))</f>
        <v/>
      </c>
      <c r="O886" s="9">
        <f>IF(ISNA(MATCH(877,'Transfer Engine'!$C$2:$C$1960,0)),"",INDEX('Compliance Database'!$O$2:$O$1960,MATCH(877,'Transfer Engine'!$C$2:$C$1960,0)))</f>
        <v/>
      </c>
      <c r="P886" s="8">
        <f>IF(ISNA(MATCH(877,'Transfer Engine'!$C$2:$C$1960,0)),"",HYPERLINK("#Acts!A"&amp;INDEX('Compliance Database'!$P$2:$P$1960,MATCH(877,'Transfer Engine'!$C$2:$C$1960,0)),"Go to Act"))</f>
        <v/>
      </c>
    </row>
    <row r="887" ht="158" customHeight="1">
      <c r="A887" s="8">
        <f>IF(ISNA(MATCH(878,'Transfer Engine'!$C$2:$C$1960,0)),"",INDEX('Compliance Database'!$A$2:$A$1960,MATCH(878,'Transfer Engine'!$C$2:$C$1960,0)))</f>
        <v/>
      </c>
      <c r="B887" s="8">
        <f>IF(ISNA(MATCH(878,'Transfer Engine'!$C$2:$C$1960,0)),"",INDEX('Compliance Database'!$B$2:$B$1960,MATCH(878,'Transfer Engine'!$C$2:$C$1960,0)))</f>
        <v/>
      </c>
      <c r="C887" s="8">
        <f>IF(ISNA(MATCH(878,'Transfer Engine'!$C$2:$C$1960,0)),"",INDEX('Compliance Database'!$C$2:$C$1960,MATCH(878,'Transfer Engine'!$C$2:$C$1960,0)))</f>
        <v/>
      </c>
      <c r="D887" s="9">
        <f>IF(ISNA(MATCH(878,'Transfer Engine'!$C$2:$C$1960,0)),"",INDEX('Compliance Database'!$D$2:$D$1960,MATCH(878,'Transfer Engine'!$C$2:$C$1960,0)))</f>
        <v/>
      </c>
      <c r="E887" s="8">
        <f>IF(ISNA(MATCH(878,'Transfer Engine'!$C$2:$C$1960,0)),"",INDEX('Compliance Database'!$E$2:$E$1960,MATCH(878,'Transfer Engine'!$C$2:$C$1960,0)))</f>
        <v/>
      </c>
      <c r="F887" s="8">
        <f>IF(ISNA(MATCH(878,'Transfer Engine'!$C$2:$C$1960,0)),"",INDEX('Compliance Database'!$F$2:$F$1960,MATCH(878,'Transfer Engine'!$C$2:$C$1960,0)))</f>
        <v/>
      </c>
      <c r="G887" s="8">
        <f>IF(ISNA(MATCH(878,'Transfer Engine'!$C$2:$C$1960,0)),"",INDEX('Compliance Database'!$G$2:$G$1960,MATCH(878,'Transfer Engine'!$C$2:$C$1960,0)))</f>
        <v/>
      </c>
      <c r="H887" s="9">
        <f>IF(ISNA(MATCH(878,'Transfer Engine'!$C$2:$C$1960,0)),"",INDEX('Compliance Database'!$H$2:$H$1960,MATCH(878,'Transfer Engine'!$C$2:$C$1960,0)))</f>
        <v/>
      </c>
      <c r="I887" s="9">
        <f>IF(ISNA(MATCH(878,'Transfer Engine'!$C$2:$C$1960,0)),"",INDEX('Compliance Database'!$I$2:$I$1960,MATCH(878,'Transfer Engine'!$C$2:$C$1960,0)))</f>
        <v/>
      </c>
      <c r="J887" s="8">
        <f>IF(ISNA(MATCH(878,'Transfer Engine'!$C$2:$C$1960,0)),"",INDEX('Compliance Database'!$J$2:$J$1960,MATCH(878,'Transfer Engine'!$C$2:$C$1960,0)))</f>
        <v/>
      </c>
      <c r="K887" s="9">
        <f>IF(ISNA(MATCH(878,'Transfer Engine'!$C$2:$C$1960,0)),"",INDEX('Compliance Database'!$K$2:$K$1960,MATCH(878,'Transfer Engine'!$C$2:$C$1960,0)))</f>
        <v/>
      </c>
      <c r="L887" s="9">
        <f>IF(ISNA(MATCH(878,'Transfer Engine'!$C$2:$C$1960,0)),"",INDEX('Compliance Database'!$L$2:$L$1960,MATCH(878,'Transfer Engine'!$C$2:$C$1960,0)))</f>
        <v/>
      </c>
      <c r="M887" s="9">
        <f>IF(ISNA(MATCH(878,'Transfer Engine'!$C$2:$C$1960,0)),"",INDEX('Compliance Database'!$M$2:$M$1960,MATCH(878,'Transfer Engine'!$C$2:$C$1960,0)))</f>
        <v/>
      </c>
      <c r="N887" s="9">
        <f>IF(ISNA(MATCH(878,'Transfer Engine'!$C$2:$C$1960,0)),"",INDEX('Compliance Database'!$N$2:$N$1960,MATCH(878,'Transfer Engine'!$C$2:$C$1960,0)))</f>
        <v/>
      </c>
      <c r="O887" s="9">
        <f>IF(ISNA(MATCH(878,'Transfer Engine'!$C$2:$C$1960,0)),"",INDEX('Compliance Database'!$O$2:$O$1960,MATCH(878,'Transfer Engine'!$C$2:$C$1960,0)))</f>
        <v/>
      </c>
      <c r="P887" s="8">
        <f>IF(ISNA(MATCH(878,'Transfer Engine'!$C$2:$C$1960,0)),"",HYPERLINK("#Acts!A"&amp;INDEX('Compliance Database'!$P$2:$P$1960,MATCH(878,'Transfer Engine'!$C$2:$C$1960,0)),"Go to Act"))</f>
        <v/>
      </c>
    </row>
    <row r="888" ht="158" customHeight="1">
      <c r="A888" s="8">
        <f>IF(ISNA(MATCH(879,'Transfer Engine'!$C$2:$C$1960,0)),"",INDEX('Compliance Database'!$A$2:$A$1960,MATCH(879,'Transfer Engine'!$C$2:$C$1960,0)))</f>
        <v/>
      </c>
      <c r="B888" s="8">
        <f>IF(ISNA(MATCH(879,'Transfer Engine'!$C$2:$C$1960,0)),"",INDEX('Compliance Database'!$B$2:$B$1960,MATCH(879,'Transfer Engine'!$C$2:$C$1960,0)))</f>
        <v/>
      </c>
      <c r="C888" s="8">
        <f>IF(ISNA(MATCH(879,'Transfer Engine'!$C$2:$C$1960,0)),"",INDEX('Compliance Database'!$C$2:$C$1960,MATCH(879,'Transfer Engine'!$C$2:$C$1960,0)))</f>
        <v/>
      </c>
      <c r="D888" s="9">
        <f>IF(ISNA(MATCH(879,'Transfer Engine'!$C$2:$C$1960,0)),"",INDEX('Compliance Database'!$D$2:$D$1960,MATCH(879,'Transfer Engine'!$C$2:$C$1960,0)))</f>
        <v/>
      </c>
      <c r="E888" s="8">
        <f>IF(ISNA(MATCH(879,'Transfer Engine'!$C$2:$C$1960,0)),"",INDEX('Compliance Database'!$E$2:$E$1960,MATCH(879,'Transfer Engine'!$C$2:$C$1960,0)))</f>
        <v/>
      </c>
      <c r="F888" s="8">
        <f>IF(ISNA(MATCH(879,'Transfer Engine'!$C$2:$C$1960,0)),"",INDEX('Compliance Database'!$F$2:$F$1960,MATCH(879,'Transfer Engine'!$C$2:$C$1960,0)))</f>
        <v/>
      </c>
      <c r="G888" s="8">
        <f>IF(ISNA(MATCH(879,'Transfer Engine'!$C$2:$C$1960,0)),"",INDEX('Compliance Database'!$G$2:$G$1960,MATCH(879,'Transfer Engine'!$C$2:$C$1960,0)))</f>
        <v/>
      </c>
      <c r="H888" s="9">
        <f>IF(ISNA(MATCH(879,'Transfer Engine'!$C$2:$C$1960,0)),"",INDEX('Compliance Database'!$H$2:$H$1960,MATCH(879,'Transfer Engine'!$C$2:$C$1960,0)))</f>
        <v/>
      </c>
      <c r="I888" s="9">
        <f>IF(ISNA(MATCH(879,'Transfer Engine'!$C$2:$C$1960,0)),"",INDEX('Compliance Database'!$I$2:$I$1960,MATCH(879,'Transfer Engine'!$C$2:$C$1960,0)))</f>
        <v/>
      </c>
      <c r="J888" s="8">
        <f>IF(ISNA(MATCH(879,'Transfer Engine'!$C$2:$C$1960,0)),"",INDEX('Compliance Database'!$J$2:$J$1960,MATCH(879,'Transfer Engine'!$C$2:$C$1960,0)))</f>
        <v/>
      </c>
      <c r="K888" s="9">
        <f>IF(ISNA(MATCH(879,'Transfer Engine'!$C$2:$C$1960,0)),"",INDEX('Compliance Database'!$K$2:$K$1960,MATCH(879,'Transfer Engine'!$C$2:$C$1960,0)))</f>
        <v/>
      </c>
      <c r="L888" s="9">
        <f>IF(ISNA(MATCH(879,'Transfer Engine'!$C$2:$C$1960,0)),"",INDEX('Compliance Database'!$L$2:$L$1960,MATCH(879,'Transfer Engine'!$C$2:$C$1960,0)))</f>
        <v/>
      </c>
      <c r="M888" s="9">
        <f>IF(ISNA(MATCH(879,'Transfer Engine'!$C$2:$C$1960,0)),"",INDEX('Compliance Database'!$M$2:$M$1960,MATCH(879,'Transfer Engine'!$C$2:$C$1960,0)))</f>
        <v/>
      </c>
      <c r="N888" s="9">
        <f>IF(ISNA(MATCH(879,'Transfer Engine'!$C$2:$C$1960,0)),"",INDEX('Compliance Database'!$N$2:$N$1960,MATCH(879,'Transfer Engine'!$C$2:$C$1960,0)))</f>
        <v/>
      </c>
      <c r="O888" s="9">
        <f>IF(ISNA(MATCH(879,'Transfer Engine'!$C$2:$C$1960,0)),"",INDEX('Compliance Database'!$O$2:$O$1960,MATCH(879,'Transfer Engine'!$C$2:$C$1960,0)))</f>
        <v/>
      </c>
      <c r="P888" s="8">
        <f>IF(ISNA(MATCH(879,'Transfer Engine'!$C$2:$C$1960,0)),"",HYPERLINK("#Acts!A"&amp;INDEX('Compliance Database'!$P$2:$P$1960,MATCH(879,'Transfer Engine'!$C$2:$C$1960,0)),"Go to Act"))</f>
        <v/>
      </c>
    </row>
    <row r="889" ht="158" customHeight="1">
      <c r="A889" s="8">
        <f>IF(ISNA(MATCH(880,'Transfer Engine'!$C$2:$C$1960,0)),"",INDEX('Compliance Database'!$A$2:$A$1960,MATCH(880,'Transfer Engine'!$C$2:$C$1960,0)))</f>
        <v/>
      </c>
      <c r="B889" s="8">
        <f>IF(ISNA(MATCH(880,'Transfer Engine'!$C$2:$C$1960,0)),"",INDEX('Compliance Database'!$B$2:$B$1960,MATCH(880,'Transfer Engine'!$C$2:$C$1960,0)))</f>
        <v/>
      </c>
      <c r="C889" s="8">
        <f>IF(ISNA(MATCH(880,'Transfer Engine'!$C$2:$C$1960,0)),"",INDEX('Compliance Database'!$C$2:$C$1960,MATCH(880,'Transfer Engine'!$C$2:$C$1960,0)))</f>
        <v/>
      </c>
      <c r="D889" s="9">
        <f>IF(ISNA(MATCH(880,'Transfer Engine'!$C$2:$C$1960,0)),"",INDEX('Compliance Database'!$D$2:$D$1960,MATCH(880,'Transfer Engine'!$C$2:$C$1960,0)))</f>
        <v/>
      </c>
      <c r="E889" s="8">
        <f>IF(ISNA(MATCH(880,'Transfer Engine'!$C$2:$C$1960,0)),"",INDEX('Compliance Database'!$E$2:$E$1960,MATCH(880,'Transfer Engine'!$C$2:$C$1960,0)))</f>
        <v/>
      </c>
      <c r="F889" s="8">
        <f>IF(ISNA(MATCH(880,'Transfer Engine'!$C$2:$C$1960,0)),"",INDEX('Compliance Database'!$F$2:$F$1960,MATCH(880,'Transfer Engine'!$C$2:$C$1960,0)))</f>
        <v/>
      </c>
      <c r="G889" s="8">
        <f>IF(ISNA(MATCH(880,'Transfer Engine'!$C$2:$C$1960,0)),"",INDEX('Compliance Database'!$G$2:$G$1960,MATCH(880,'Transfer Engine'!$C$2:$C$1960,0)))</f>
        <v/>
      </c>
      <c r="H889" s="9">
        <f>IF(ISNA(MATCH(880,'Transfer Engine'!$C$2:$C$1960,0)),"",INDEX('Compliance Database'!$H$2:$H$1960,MATCH(880,'Transfer Engine'!$C$2:$C$1960,0)))</f>
        <v/>
      </c>
      <c r="I889" s="9">
        <f>IF(ISNA(MATCH(880,'Transfer Engine'!$C$2:$C$1960,0)),"",INDEX('Compliance Database'!$I$2:$I$1960,MATCH(880,'Transfer Engine'!$C$2:$C$1960,0)))</f>
        <v/>
      </c>
      <c r="J889" s="8">
        <f>IF(ISNA(MATCH(880,'Transfer Engine'!$C$2:$C$1960,0)),"",INDEX('Compliance Database'!$J$2:$J$1960,MATCH(880,'Transfer Engine'!$C$2:$C$1960,0)))</f>
        <v/>
      </c>
      <c r="K889" s="9">
        <f>IF(ISNA(MATCH(880,'Transfer Engine'!$C$2:$C$1960,0)),"",INDEX('Compliance Database'!$K$2:$K$1960,MATCH(880,'Transfer Engine'!$C$2:$C$1960,0)))</f>
        <v/>
      </c>
      <c r="L889" s="9">
        <f>IF(ISNA(MATCH(880,'Transfer Engine'!$C$2:$C$1960,0)),"",INDEX('Compliance Database'!$L$2:$L$1960,MATCH(880,'Transfer Engine'!$C$2:$C$1960,0)))</f>
        <v/>
      </c>
      <c r="M889" s="9">
        <f>IF(ISNA(MATCH(880,'Transfer Engine'!$C$2:$C$1960,0)),"",INDEX('Compliance Database'!$M$2:$M$1960,MATCH(880,'Transfer Engine'!$C$2:$C$1960,0)))</f>
        <v/>
      </c>
      <c r="N889" s="9">
        <f>IF(ISNA(MATCH(880,'Transfer Engine'!$C$2:$C$1960,0)),"",INDEX('Compliance Database'!$N$2:$N$1960,MATCH(880,'Transfer Engine'!$C$2:$C$1960,0)))</f>
        <v/>
      </c>
      <c r="O889" s="9">
        <f>IF(ISNA(MATCH(880,'Transfer Engine'!$C$2:$C$1960,0)),"",INDEX('Compliance Database'!$O$2:$O$1960,MATCH(880,'Transfer Engine'!$C$2:$C$1960,0)))</f>
        <v/>
      </c>
      <c r="P889" s="8">
        <f>IF(ISNA(MATCH(880,'Transfer Engine'!$C$2:$C$1960,0)),"",HYPERLINK("#Acts!A"&amp;INDEX('Compliance Database'!$P$2:$P$1960,MATCH(880,'Transfer Engine'!$C$2:$C$1960,0)),"Go to Act"))</f>
        <v/>
      </c>
    </row>
    <row r="890" ht="158" customHeight="1">
      <c r="A890" s="8">
        <f>IF(ISNA(MATCH(881,'Transfer Engine'!$C$2:$C$1960,0)),"",INDEX('Compliance Database'!$A$2:$A$1960,MATCH(881,'Transfer Engine'!$C$2:$C$1960,0)))</f>
        <v/>
      </c>
      <c r="B890" s="8">
        <f>IF(ISNA(MATCH(881,'Transfer Engine'!$C$2:$C$1960,0)),"",INDEX('Compliance Database'!$B$2:$B$1960,MATCH(881,'Transfer Engine'!$C$2:$C$1960,0)))</f>
        <v/>
      </c>
      <c r="C890" s="8">
        <f>IF(ISNA(MATCH(881,'Transfer Engine'!$C$2:$C$1960,0)),"",INDEX('Compliance Database'!$C$2:$C$1960,MATCH(881,'Transfer Engine'!$C$2:$C$1960,0)))</f>
        <v/>
      </c>
      <c r="D890" s="9">
        <f>IF(ISNA(MATCH(881,'Transfer Engine'!$C$2:$C$1960,0)),"",INDEX('Compliance Database'!$D$2:$D$1960,MATCH(881,'Transfer Engine'!$C$2:$C$1960,0)))</f>
        <v/>
      </c>
      <c r="E890" s="8">
        <f>IF(ISNA(MATCH(881,'Transfer Engine'!$C$2:$C$1960,0)),"",INDEX('Compliance Database'!$E$2:$E$1960,MATCH(881,'Transfer Engine'!$C$2:$C$1960,0)))</f>
        <v/>
      </c>
      <c r="F890" s="8">
        <f>IF(ISNA(MATCH(881,'Transfer Engine'!$C$2:$C$1960,0)),"",INDEX('Compliance Database'!$F$2:$F$1960,MATCH(881,'Transfer Engine'!$C$2:$C$1960,0)))</f>
        <v/>
      </c>
      <c r="G890" s="8">
        <f>IF(ISNA(MATCH(881,'Transfer Engine'!$C$2:$C$1960,0)),"",INDEX('Compliance Database'!$G$2:$G$1960,MATCH(881,'Transfer Engine'!$C$2:$C$1960,0)))</f>
        <v/>
      </c>
      <c r="H890" s="9">
        <f>IF(ISNA(MATCH(881,'Transfer Engine'!$C$2:$C$1960,0)),"",INDEX('Compliance Database'!$H$2:$H$1960,MATCH(881,'Transfer Engine'!$C$2:$C$1960,0)))</f>
        <v/>
      </c>
      <c r="I890" s="9">
        <f>IF(ISNA(MATCH(881,'Transfer Engine'!$C$2:$C$1960,0)),"",INDEX('Compliance Database'!$I$2:$I$1960,MATCH(881,'Transfer Engine'!$C$2:$C$1960,0)))</f>
        <v/>
      </c>
      <c r="J890" s="8">
        <f>IF(ISNA(MATCH(881,'Transfer Engine'!$C$2:$C$1960,0)),"",INDEX('Compliance Database'!$J$2:$J$1960,MATCH(881,'Transfer Engine'!$C$2:$C$1960,0)))</f>
        <v/>
      </c>
      <c r="K890" s="9">
        <f>IF(ISNA(MATCH(881,'Transfer Engine'!$C$2:$C$1960,0)),"",INDEX('Compliance Database'!$K$2:$K$1960,MATCH(881,'Transfer Engine'!$C$2:$C$1960,0)))</f>
        <v/>
      </c>
      <c r="L890" s="9">
        <f>IF(ISNA(MATCH(881,'Transfer Engine'!$C$2:$C$1960,0)),"",INDEX('Compliance Database'!$L$2:$L$1960,MATCH(881,'Transfer Engine'!$C$2:$C$1960,0)))</f>
        <v/>
      </c>
      <c r="M890" s="9">
        <f>IF(ISNA(MATCH(881,'Transfer Engine'!$C$2:$C$1960,0)),"",INDEX('Compliance Database'!$M$2:$M$1960,MATCH(881,'Transfer Engine'!$C$2:$C$1960,0)))</f>
        <v/>
      </c>
      <c r="N890" s="9">
        <f>IF(ISNA(MATCH(881,'Transfer Engine'!$C$2:$C$1960,0)),"",INDEX('Compliance Database'!$N$2:$N$1960,MATCH(881,'Transfer Engine'!$C$2:$C$1960,0)))</f>
        <v/>
      </c>
      <c r="O890" s="9">
        <f>IF(ISNA(MATCH(881,'Transfer Engine'!$C$2:$C$1960,0)),"",INDEX('Compliance Database'!$O$2:$O$1960,MATCH(881,'Transfer Engine'!$C$2:$C$1960,0)))</f>
        <v/>
      </c>
      <c r="P890" s="8">
        <f>IF(ISNA(MATCH(881,'Transfer Engine'!$C$2:$C$1960,0)),"",HYPERLINK("#Acts!A"&amp;INDEX('Compliance Database'!$P$2:$P$1960,MATCH(881,'Transfer Engine'!$C$2:$C$1960,0)),"Go to Act"))</f>
        <v/>
      </c>
    </row>
    <row r="891" ht="158" customHeight="1">
      <c r="A891" s="8">
        <f>IF(ISNA(MATCH(882,'Transfer Engine'!$C$2:$C$1960,0)),"",INDEX('Compliance Database'!$A$2:$A$1960,MATCH(882,'Transfer Engine'!$C$2:$C$1960,0)))</f>
        <v/>
      </c>
      <c r="B891" s="8">
        <f>IF(ISNA(MATCH(882,'Transfer Engine'!$C$2:$C$1960,0)),"",INDEX('Compliance Database'!$B$2:$B$1960,MATCH(882,'Transfer Engine'!$C$2:$C$1960,0)))</f>
        <v/>
      </c>
      <c r="C891" s="8">
        <f>IF(ISNA(MATCH(882,'Transfer Engine'!$C$2:$C$1960,0)),"",INDEX('Compliance Database'!$C$2:$C$1960,MATCH(882,'Transfer Engine'!$C$2:$C$1960,0)))</f>
        <v/>
      </c>
      <c r="D891" s="9">
        <f>IF(ISNA(MATCH(882,'Transfer Engine'!$C$2:$C$1960,0)),"",INDEX('Compliance Database'!$D$2:$D$1960,MATCH(882,'Transfer Engine'!$C$2:$C$1960,0)))</f>
        <v/>
      </c>
      <c r="E891" s="8">
        <f>IF(ISNA(MATCH(882,'Transfer Engine'!$C$2:$C$1960,0)),"",INDEX('Compliance Database'!$E$2:$E$1960,MATCH(882,'Transfer Engine'!$C$2:$C$1960,0)))</f>
        <v/>
      </c>
      <c r="F891" s="8">
        <f>IF(ISNA(MATCH(882,'Transfer Engine'!$C$2:$C$1960,0)),"",INDEX('Compliance Database'!$F$2:$F$1960,MATCH(882,'Transfer Engine'!$C$2:$C$1960,0)))</f>
        <v/>
      </c>
      <c r="G891" s="8">
        <f>IF(ISNA(MATCH(882,'Transfer Engine'!$C$2:$C$1960,0)),"",INDEX('Compliance Database'!$G$2:$G$1960,MATCH(882,'Transfer Engine'!$C$2:$C$1960,0)))</f>
        <v/>
      </c>
      <c r="H891" s="9">
        <f>IF(ISNA(MATCH(882,'Transfer Engine'!$C$2:$C$1960,0)),"",INDEX('Compliance Database'!$H$2:$H$1960,MATCH(882,'Transfer Engine'!$C$2:$C$1960,0)))</f>
        <v/>
      </c>
      <c r="I891" s="9">
        <f>IF(ISNA(MATCH(882,'Transfer Engine'!$C$2:$C$1960,0)),"",INDEX('Compliance Database'!$I$2:$I$1960,MATCH(882,'Transfer Engine'!$C$2:$C$1960,0)))</f>
        <v/>
      </c>
      <c r="J891" s="8">
        <f>IF(ISNA(MATCH(882,'Transfer Engine'!$C$2:$C$1960,0)),"",INDEX('Compliance Database'!$J$2:$J$1960,MATCH(882,'Transfer Engine'!$C$2:$C$1960,0)))</f>
        <v/>
      </c>
      <c r="K891" s="9">
        <f>IF(ISNA(MATCH(882,'Transfer Engine'!$C$2:$C$1960,0)),"",INDEX('Compliance Database'!$K$2:$K$1960,MATCH(882,'Transfer Engine'!$C$2:$C$1960,0)))</f>
        <v/>
      </c>
      <c r="L891" s="9">
        <f>IF(ISNA(MATCH(882,'Transfer Engine'!$C$2:$C$1960,0)),"",INDEX('Compliance Database'!$L$2:$L$1960,MATCH(882,'Transfer Engine'!$C$2:$C$1960,0)))</f>
        <v/>
      </c>
      <c r="M891" s="9">
        <f>IF(ISNA(MATCH(882,'Transfer Engine'!$C$2:$C$1960,0)),"",INDEX('Compliance Database'!$M$2:$M$1960,MATCH(882,'Transfer Engine'!$C$2:$C$1960,0)))</f>
        <v/>
      </c>
      <c r="N891" s="9">
        <f>IF(ISNA(MATCH(882,'Transfer Engine'!$C$2:$C$1960,0)),"",INDEX('Compliance Database'!$N$2:$N$1960,MATCH(882,'Transfer Engine'!$C$2:$C$1960,0)))</f>
        <v/>
      </c>
      <c r="O891" s="9">
        <f>IF(ISNA(MATCH(882,'Transfer Engine'!$C$2:$C$1960,0)),"",INDEX('Compliance Database'!$O$2:$O$1960,MATCH(882,'Transfer Engine'!$C$2:$C$1960,0)))</f>
        <v/>
      </c>
      <c r="P891" s="8">
        <f>IF(ISNA(MATCH(882,'Transfer Engine'!$C$2:$C$1960,0)),"",HYPERLINK("#Acts!A"&amp;INDEX('Compliance Database'!$P$2:$P$1960,MATCH(882,'Transfer Engine'!$C$2:$C$1960,0)),"Go to Act"))</f>
        <v/>
      </c>
    </row>
    <row r="892" ht="158" customHeight="1">
      <c r="A892" s="8">
        <f>IF(ISNA(MATCH(883,'Transfer Engine'!$C$2:$C$1960,0)),"",INDEX('Compliance Database'!$A$2:$A$1960,MATCH(883,'Transfer Engine'!$C$2:$C$1960,0)))</f>
        <v/>
      </c>
      <c r="B892" s="8">
        <f>IF(ISNA(MATCH(883,'Transfer Engine'!$C$2:$C$1960,0)),"",INDEX('Compliance Database'!$B$2:$B$1960,MATCH(883,'Transfer Engine'!$C$2:$C$1960,0)))</f>
        <v/>
      </c>
      <c r="C892" s="8">
        <f>IF(ISNA(MATCH(883,'Transfer Engine'!$C$2:$C$1960,0)),"",INDEX('Compliance Database'!$C$2:$C$1960,MATCH(883,'Transfer Engine'!$C$2:$C$1960,0)))</f>
        <v/>
      </c>
      <c r="D892" s="9">
        <f>IF(ISNA(MATCH(883,'Transfer Engine'!$C$2:$C$1960,0)),"",INDEX('Compliance Database'!$D$2:$D$1960,MATCH(883,'Transfer Engine'!$C$2:$C$1960,0)))</f>
        <v/>
      </c>
      <c r="E892" s="8">
        <f>IF(ISNA(MATCH(883,'Transfer Engine'!$C$2:$C$1960,0)),"",INDEX('Compliance Database'!$E$2:$E$1960,MATCH(883,'Transfer Engine'!$C$2:$C$1960,0)))</f>
        <v/>
      </c>
      <c r="F892" s="8">
        <f>IF(ISNA(MATCH(883,'Transfer Engine'!$C$2:$C$1960,0)),"",INDEX('Compliance Database'!$F$2:$F$1960,MATCH(883,'Transfer Engine'!$C$2:$C$1960,0)))</f>
        <v/>
      </c>
      <c r="G892" s="8">
        <f>IF(ISNA(MATCH(883,'Transfer Engine'!$C$2:$C$1960,0)),"",INDEX('Compliance Database'!$G$2:$G$1960,MATCH(883,'Transfer Engine'!$C$2:$C$1960,0)))</f>
        <v/>
      </c>
      <c r="H892" s="9">
        <f>IF(ISNA(MATCH(883,'Transfer Engine'!$C$2:$C$1960,0)),"",INDEX('Compliance Database'!$H$2:$H$1960,MATCH(883,'Transfer Engine'!$C$2:$C$1960,0)))</f>
        <v/>
      </c>
      <c r="I892" s="9">
        <f>IF(ISNA(MATCH(883,'Transfer Engine'!$C$2:$C$1960,0)),"",INDEX('Compliance Database'!$I$2:$I$1960,MATCH(883,'Transfer Engine'!$C$2:$C$1960,0)))</f>
        <v/>
      </c>
      <c r="J892" s="8">
        <f>IF(ISNA(MATCH(883,'Transfer Engine'!$C$2:$C$1960,0)),"",INDEX('Compliance Database'!$J$2:$J$1960,MATCH(883,'Transfer Engine'!$C$2:$C$1960,0)))</f>
        <v/>
      </c>
      <c r="K892" s="9">
        <f>IF(ISNA(MATCH(883,'Transfer Engine'!$C$2:$C$1960,0)),"",INDEX('Compliance Database'!$K$2:$K$1960,MATCH(883,'Transfer Engine'!$C$2:$C$1960,0)))</f>
        <v/>
      </c>
      <c r="L892" s="9">
        <f>IF(ISNA(MATCH(883,'Transfer Engine'!$C$2:$C$1960,0)),"",INDEX('Compliance Database'!$L$2:$L$1960,MATCH(883,'Transfer Engine'!$C$2:$C$1960,0)))</f>
        <v/>
      </c>
      <c r="M892" s="9">
        <f>IF(ISNA(MATCH(883,'Transfer Engine'!$C$2:$C$1960,0)),"",INDEX('Compliance Database'!$M$2:$M$1960,MATCH(883,'Transfer Engine'!$C$2:$C$1960,0)))</f>
        <v/>
      </c>
      <c r="N892" s="9">
        <f>IF(ISNA(MATCH(883,'Transfer Engine'!$C$2:$C$1960,0)),"",INDEX('Compliance Database'!$N$2:$N$1960,MATCH(883,'Transfer Engine'!$C$2:$C$1960,0)))</f>
        <v/>
      </c>
      <c r="O892" s="9">
        <f>IF(ISNA(MATCH(883,'Transfer Engine'!$C$2:$C$1960,0)),"",INDEX('Compliance Database'!$O$2:$O$1960,MATCH(883,'Transfer Engine'!$C$2:$C$1960,0)))</f>
        <v/>
      </c>
      <c r="P892" s="8">
        <f>IF(ISNA(MATCH(883,'Transfer Engine'!$C$2:$C$1960,0)),"",HYPERLINK("#Acts!A"&amp;INDEX('Compliance Database'!$P$2:$P$1960,MATCH(883,'Transfer Engine'!$C$2:$C$1960,0)),"Go to Act"))</f>
        <v/>
      </c>
    </row>
    <row r="893" ht="158" customHeight="1">
      <c r="A893" s="8">
        <f>IF(ISNA(MATCH(884,'Transfer Engine'!$C$2:$C$1960,0)),"",INDEX('Compliance Database'!$A$2:$A$1960,MATCH(884,'Transfer Engine'!$C$2:$C$1960,0)))</f>
        <v/>
      </c>
      <c r="B893" s="8">
        <f>IF(ISNA(MATCH(884,'Transfer Engine'!$C$2:$C$1960,0)),"",INDEX('Compliance Database'!$B$2:$B$1960,MATCH(884,'Transfer Engine'!$C$2:$C$1960,0)))</f>
        <v/>
      </c>
      <c r="C893" s="8">
        <f>IF(ISNA(MATCH(884,'Transfer Engine'!$C$2:$C$1960,0)),"",INDEX('Compliance Database'!$C$2:$C$1960,MATCH(884,'Transfer Engine'!$C$2:$C$1960,0)))</f>
        <v/>
      </c>
      <c r="D893" s="9">
        <f>IF(ISNA(MATCH(884,'Transfer Engine'!$C$2:$C$1960,0)),"",INDEX('Compliance Database'!$D$2:$D$1960,MATCH(884,'Transfer Engine'!$C$2:$C$1960,0)))</f>
        <v/>
      </c>
      <c r="E893" s="8">
        <f>IF(ISNA(MATCH(884,'Transfer Engine'!$C$2:$C$1960,0)),"",INDEX('Compliance Database'!$E$2:$E$1960,MATCH(884,'Transfer Engine'!$C$2:$C$1960,0)))</f>
        <v/>
      </c>
      <c r="F893" s="8">
        <f>IF(ISNA(MATCH(884,'Transfer Engine'!$C$2:$C$1960,0)),"",INDEX('Compliance Database'!$F$2:$F$1960,MATCH(884,'Transfer Engine'!$C$2:$C$1960,0)))</f>
        <v/>
      </c>
      <c r="G893" s="8">
        <f>IF(ISNA(MATCH(884,'Transfer Engine'!$C$2:$C$1960,0)),"",INDEX('Compliance Database'!$G$2:$G$1960,MATCH(884,'Transfer Engine'!$C$2:$C$1960,0)))</f>
        <v/>
      </c>
      <c r="H893" s="9">
        <f>IF(ISNA(MATCH(884,'Transfer Engine'!$C$2:$C$1960,0)),"",INDEX('Compliance Database'!$H$2:$H$1960,MATCH(884,'Transfer Engine'!$C$2:$C$1960,0)))</f>
        <v/>
      </c>
      <c r="I893" s="9">
        <f>IF(ISNA(MATCH(884,'Transfer Engine'!$C$2:$C$1960,0)),"",INDEX('Compliance Database'!$I$2:$I$1960,MATCH(884,'Transfer Engine'!$C$2:$C$1960,0)))</f>
        <v/>
      </c>
      <c r="J893" s="8">
        <f>IF(ISNA(MATCH(884,'Transfer Engine'!$C$2:$C$1960,0)),"",INDEX('Compliance Database'!$J$2:$J$1960,MATCH(884,'Transfer Engine'!$C$2:$C$1960,0)))</f>
        <v/>
      </c>
      <c r="K893" s="9">
        <f>IF(ISNA(MATCH(884,'Transfer Engine'!$C$2:$C$1960,0)),"",INDEX('Compliance Database'!$K$2:$K$1960,MATCH(884,'Transfer Engine'!$C$2:$C$1960,0)))</f>
        <v/>
      </c>
      <c r="L893" s="9">
        <f>IF(ISNA(MATCH(884,'Transfer Engine'!$C$2:$C$1960,0)),"",INDEX('Compliance Database'!$L$2:$L$1960,MATCH(884,'Transfer Engine'!$C$2:$C$1960,0)))</f>
        <v/>
      </c>
      <c r="M893" s="9">
        <f>IF(ISNA(MATCH(884,'Transfer Engine'!$C$2:$C$1960,0)),"",INDEX('Compliance Database'!$M$2:$M$1960,MATCH(884,'Transfer Engine'!$C$2:$C$1960,0)))</f>
        <v/>
      </c>
      <c r="N893" s="9">
        <f>IF(ISNA(MATCH(884,'Transfer Engine'!$C$2:$C$1960,0)),"",INDEX('Compliance Database'!$N$2:$N$1960,MATCH(884,'Transfer Engine'!$C$2:$C$1960,0)))</f>
        <v/>
      </c>
      <c r="O893" s="9">
        <f>IF(ISNA(MATCH(884,'Transfer Engine'!$C$2:$C$1960,0)),"",INDEX('Compliance Database'!$O$2:$O$1960,MATCH(884,'Transfer Engine'!$C$2:$C$1960,0)))</f>
        <v/>
      </c>
      <c r="P893" s="8">
        <f>IF(ISNA(MATCH(884,'Transfer Engine'!$C$2:$C$1960,0)),"",HYPERLINK("#Acts!A"&amp;INDEX('Compliance Database'!$P$2:$P$1960,MATCH(884,'Transfer Engine'!$C$2:$C$1960,0)),"Go to Act"))</f>
        <v/>
      </c>
    </row>
    <row r="894" ht="158" customHeight="1">
      <c r="A894" s="8">
        <f>IF(ISNA(MATCH(885,'Transfer Engine'!$C$2:$C$1960,0)),"",INDEX('Compliance Database'!$A$2:$A$1960,MATCH(885,'Transfer Engine'!$C$2:$C$1960,0)))</f>
        <v/>
      </c>
      <c r="B894" s="8">
        <f>IF(ISNA(MATCH(885,'Transfer Engine'!$C$2:$C$1960,0)),"",INDEX('Compliance Database'!$B$2:$B$1960,MATCH(885,'Transfer Engine'!$C$2:$C$1960,0)))</f>
        <v/>
      </c>
      <c r="C894" s="8">
        <f>IF(ISNA(MATCH(885,'Transfer Engine'!$C$2:$C$1960,0)),"",INDEX('Compliance Database'!$C$2:$C$1960,MATCH(885,'Transfer Engine'!$C$2:$C$1960,0)))</f>
        <v/>
      </c>
      <c r="D894" s="9">
        <f>IF(ISNA(MATCH(885,'Transfer Engine'!$C$2:$C$1960,0)),"",INDEX('Compliance Database'!$D$2:$D$1960,MATCH(885,'Transfer Engine'!$C$2:$C$1960,0)))</f>
        <v/>
      </c>
      <c r="E894" s="8">
        <f>IF(ISNA(MATCH(885,'Transfer Engine'!$C$2:$C$1960,0)),"",INDEX('Compliance Database'!$E$2:$E$1960,MATCH(885,'Transfer Engine'!$C$2:$C$1960,0)))</f>
        <v/>
      </c>
      <c r="F894" s="8">
        <f>IF(ISNA(MATCH(885,'Transfer Engine'!$C$2:$C$1960,0)),"",INDEX('Compliance Database'!$F$2:$F$1960,MATCH(885,'Transfer Engine'!$C$2:$C$1960,0)))</f>
        <v/>
      </c>
      <c r="G894" s="8">
        <f>IF(ISNA(MATCH(885,'Transfer Engine'!$C$2:$C$1960,0)),"",INDEX('Compliance Database'!$G$2:$G$1960,MATCH(885,'Transfer Engine'!$C$2:$C$1960,0)))</f>
        <v/>
      </c>
      <c r="H894" s="9">
        <f>IF(ISNA(MATCH(885,'Transfer Engine'!$C$2:$C$1960,0)),"",INDEX('Compliance Database'!$H$2:$H$1960,MATCH(885,'Transfer Engine'!$C$2:$C$1960,0)))</f>
        <v/>
      </c>
      <c r="I894" s="9">
        <f>IF(ISNA(MATCH(885,'Transfer Engine'!$C$2:$C$1960,0)),"",INDEX('Compliance Database'!$I$2:$I$1960,MATCH(885,'Transfer Engine'!$C$2:$C$1960,0)))</f>
        <v/>
      </c>
      <c r="J894" s="8">
        <f>IF(ISNA(MATCH(885,'Transfer Engine'!$C$2:$C$1960,0)),"",INDEX('Compliance Database'!$J$2:$J$1960,MATCH(885,'Transfer Engine'!$C$2:$C$1960,0)))</f>
        <v/>
      </c>
      <c r="K894" s="9">
        <f>IF(ISNA(MATCH(885,'Transfer Engine'!$C$2:$C$1960,0)),"",INDEX('Compliance Database'!$K$2:$K$1960,MATCH(885,'Transfer Engine'!$C$2:$C$1960,0)))</f>
        <v/>
      </c>
      <c r="L894" s="9">
        <f>IF(ISNA(MATCH(885,'Transfer Engine'!$C$2:$C$1960,0)),"",INDEX('Compliance Database'!$L$2:$L$1960,MATCH(885,'Transfer Engine'!$C$2:$C$1960,0)))</f>
        <v/>
      </c>
      <c r="M894" s="9">
        <f>IF(ISNA(MATCH(885,'Transfer Engine'!$C$2:$C$1960,0)),"",INDEX('Compliance Database'!$M$2:$M$1960,MATCH(885,'Transfer Engine'!$C$2:$C$1960,0)))</f>
        <v/>
      </c>
      <c r="N894" s="9">
        <f>IF(ISNA(MATCH(885,'Transfer Engine'!$C$2:$C$1960,0)),"",INDEX('Compliance Database'!$N$2:$N$1960,MATCH(885,'Transfer Engine'!$C$2:$C$1960,0)))</f>
        <v/>
      </c>
      <c r="O894" s="9">
        <f>IF(ISNA(MATCH(885,'Transfer Engine'!$C$2:$C$1960,0)),"",INDEX('Compliance Database'!$O$2:$O$1960,MATCH(885,'Transfer Engine'!$C$2:$C$1960,0)))</f>
        <v/>
      </c>
      <c r="P894" s="8">
        <f>IF(ISNA(MATCH(885,'Transfer Engine'!$C$2:$C$1960,0)),"",HYPERLINK("#Acts!A"&amp;INDEX('Compliance Database'!$P$2:$P$1960,MATCH(885,'Transfer Engine'!$C$2:$C$1960,0)),"Go to Act"))</f>
        <v/>
      </c>
    </row>
    <row r="895" ht="158" customHeight="1">
      <c r="A895" s="8">
        <f>IF(ISNA(MATCH(886,'Transfer Engine'!$C$2:$C$1960,0)),"",INDEX('Compliance Database'!$A$2:$A$1960,MATCH(886,'Transfer Engine'!$C$2:$C$1960,0)))</f>
        <v/>
      </c>
      <c r="B895" s="8">
        <f>IF(ISNA(MATCH(886,'Transfer Engine'!$C$2:$C$1960,0)),"",INDEX('Compliance Database'!$B$2:$B$1960,MATCH(886,'Transfer Engine'!$C$2:$C$1960,0)))</f>
        <v/>
      </c>
      <c r="C895" s="8">
        <f>IF(ISNA(MATCH(886,'Transfer Engine'!$C$2:$C$1960,0)),"",INDEX('Compliance Database'!$C$2:$C$1960,MATCH(886,'Transfer Engine'!$C$2:$C$1960,0)))</f>
        <v/>
      </c>
      <c r="D895" s="9">
        <f>IF(ISNA(MATCH(886,'Transfer Engine'!$C$2:$C$1960,0)),"",INDEX('Compliance Database'!$D$2:$D$1960,MATCH(886,'Transfer Engine'!$C$2:$C$1960,0)))</f>
        <v/>
      </c>
      <c r="E895" s="8">
        <f>IF(ISNA(MATCH(886,'Transfer Engine'!$C$2:$C$1960,0)),"",INDEX('Compliance Database'!$E$2:$E$1960,MATCH(886,'Transfer Engine'!$C$2:$C$1960,0)))</f>
        <v/>
      </c>
      <c r="F895" s="8">
        <f>IF(ISNA(MATCH(886,'Transfer Engine'!$C$2:$C$1960,0)),"",INDEX('Compliance Database'!$F$2:$F$1960,MATCH(886,'Transfer Engine'!$C$2:$C$1960,0)))</f>
        <v/>
      </c>
      <c r="G895" s="8">
        <f>IF(ISNA(MATCH(886,'Transfer Engine'!$C$2:$C$1960,0)),"",INDEX('Compliance Database'!$G$2:$G$1960,MATCH(886,'Transfer Engine'!$C$2:$C$1960,0)))</f>
        <v/>
      </c>
      <c r="H895" s="9">
        <f>IF(ISNA(MATCH(886,'Transfer Engine'!$C$2:$C$1960,0)),"",INDEX('Compliance Database'!$H$2:$H$1960,MATCH(886,'Transfer Engine'!$C$2:$C$1960,0)))</f>
        <v/>
      </c>
      <c r="I895" s="9">
        <f>IF(ISNA(MATCH(886,'Transfer Engine'!$C$2:$C$1960,0)),"",INDEX('Compliance Database'!$I$2:$I$1960,MATCH(886,'Transfer Engine'!$C$2:$C$1960,0)))</f>
        <v/>
      </c>
      <c r="J895" s="8">
        <f>IF(ISNA(MATCH(886,'Transfer Engine'!$C$2:$C$1960,0)),"",INDEX('Compliance Database'!$J$2:$J$1960,MATCH(886,'Transfer Engine'!$C$2:$C$1960,0)))</f>
        <v/>
      </c>
      <c r="K895" s="9">
        <f>IF(ISNA(MATCH(886,'Transfer Engine'!$C$2:$C$1960,0)),"",INDEX('Compliance Database'!$K$2:$K$1960,MATCH(886,'Transfer Engine'!$C$2:$C$1960,0)))</f>
        <v/>
      </c>
      <c r="L895" s="9">
        <f>IF(ISNA(MATCH(886,'Transfer Engine'!$C$2:$C$1960,0)),"",INDEX('Compliance Database'!$L$2:$L$1960,MATCH(886,'Transfer Engine'!$C$2:$C$1960,0)))</f>
        <v/>
      </c>
      <c r="M895" s="9">
        <f>IF(ISNA(MATCH(886,'Transfer Engine'!$C$2:$C$1960,0)),"",INDEX('Compliance Database'!$M$2:$M$1960,MATCH(886,'Transfer Engine'!$C$2:$C$1960,0)))</f>
        <v/>
      </c>
      <c r="N895" s="9">
        <f>IF(ISNA(MATCH(886,'Transfer Engine'!$C$2:$C$1960,0)),"",INDEX('Compliance Database'!$N$2:$N$1960,MATCH(886,'Transfer Engine'!$C$2:$C$1960,0)))</f>
        <v/>
      </c>
      <c r="O895" s="9">
        <f>IF(ISNA(MATCH(886,'Transfer Engine'!$C$2:$C$1960,0)),"",INDEX('Compliance Database'!$O$2:$O$1960,MATCH(886,'Transfer Engine'!$C$2:$C$1960,0)))</f>
        <v/>
      </c>
      <c r="P895" s="8">
        <f>IF(ISNA(MATCH(886,'Transfer Engine'!$C$2:$C$1960,0)),"",HYPERLINK("#Acts!A"&amp;INDEX('Compliance Database'!$P$2:$P$1960,MATCH(886,'Transfer Engine'!$C$2:$C$1960,0)),"Go to Act"))</f>
        <v/>
      </c>
    </row>
    <row r="896" ht="158" customHeight="1">
      <c r="A896" s="8">
        <f>IF(ISNA(MATCH(887,'Transfer Engine'!$C$2:$C$1960,0)),"",INDEX('Compliance Database'!$A$2:$A$1960,MATCH(887,'Transfer Engine'!$C$2:$C$1960,0)))</f>
        <v/>
      </c>
      <c r="B896" s="8">
        <f>IF(ISNA(MATCH(887,'Transfer Engine'!$C$2:$C$1960,0)),"",INDEX('Compliance Database'!$B$2:$B$1960,MATCH(887,'Transfer Engine'!$C$2:$C$1960,0)))</f>
        <v/>
      </c>
      <c r="C896" s="8">
        <f>IF(ISNA(MATCH(887,'Transfer Engine'!$C$2:$C$1960,0)),"",INDEX('Compliance Database'!$C$2:$C$1960,MATCH(887,'Transfer Engine'!$C$2:$C$1960,0)))</f>
        <v/>
      </c>
      <c r="D896" s="9">
        <f>IF(ISNA(MATCH(887,'Transfer Engine'!$C$2:$C$1960,0)),"",INDEX('Compliance Database'!$D$2:$D$1960,MATCH(887,'Transfer Engine'!$C$2:$C$1960,0)))</f>
        <v/>
      </c>
      <c r="E896" s="8">
        <f>IF(ISNA(MATCH(887,'Transfer Engine'!$C$2:$C$1960,0)),"",INDEX('Compliance Database'!$E$2:$E$1960,MATCH(887,'Transfer Engine'!$C$2:$C$1960,0)))</f>
        <v/>
      </c>
      <c r="F896" s="8">
        <f>IF(ISNA(MATCH(887,'Transfer Engine'!$C$2:$C$1960,0)),"",INDEX('Compliance Database'!$F$2:$F$1960,MATCH(887,'Transfer Engine'!$C$2:$C$1960,0)))</f>
        <v/>
      </c>
      <c r="G896" s="8">
        <f>IF(ISNA(MATCH(887,'Transfer Engine'!$C$2:$C$1960,0)),"",INDEX('Compliance Database'!$G$2:$G$1960,MATCH(887,'Transfer Engine'!$C$2:$C$1960,0)))</f>
        <v/>
      </c>
      <c r="H896" s="9">
        <f>IF(ISNA(MATCH(887,'Transfer Engine'!$C$2:$C$1960,0)),"",INDEX('Compliance Database'!$H$2:$H$1960,MATCH(887,'Transfer Engine'!$C$2:$C$1960,0)))</f>
        <v/>
      </c>
      <c r="I896" s="9">
        <f>IF(ISNA(MATCH(887,'Transfer Engine'!$C$2:$C$1960,0)),"",INDEX('Compliance Database'!$I$2:$I$1960,MATCH(887,'Transfer Engine'!$C$2:$C$1960,0)))</f>
        <v/>
      </c>
      <c r="J896" s="8">
        <f>IF(ISNA(MATCH(887,'Transfer Engine'!$C$2:$C$1960,0)),"",INDEX('Compliance Database'!$J$2:$J$1960,MATCH(887,'Transfer Engine'!$C$2:$C$1960,0)))</f>
        <v/>
      </c>
      <c r="K896" s="9">
        <f>IF(ISNA(MATCH(887,'Transfer Engine'!$C$2:$C$1960,0)),"",INDEX('Compliance Database'!$K$2:$K$1960,MATCH(887,'Transfer Engine'!$C$2:$C$1960,0)))</f>
        <v/>
      </c>
      <c r="L896" s="9">
        <f>IF(ISNA(MATCH(887,'Transfer Engine'!$C$2:$C$1960,0)),"",INDEX('Compliance Database'!$L$2:$L$1960,MATCH(887,'Transfer Engine'!$C$2:$C$1960,0)))</f>
        <v/>
      </c>
      <c r="M896" s="9">
        <f>IF(ISNA(MATCH(887,'Transfer Engine'!$C$2:$C$1960,0)),"",INDEX('Compliance Database'!$M$2:$M$1960,MATCH(887,'Transfer Engine'!$C$2:$C$1960,0)))</f>
        <v/>
      </c>
      <c r="N896" s="9">
        <f>IF(ISNA(MATCH(887,'Transfer Engine'!$C$2:$C$1960,0)),"",INDEX('Compliance Database'!$N$2:$N$1960,MATCH(887,'Transfer Engine'!$C$2:$C$1960,0)))</f>
        <v/>
      </c>
      <c r="O896" s="9">
        <f>IF(ISNA(MATCH(887,'Transfer Engine'!$C$2:$C$1960,0)),"",INDEX('Compliance Database'!$O$2:$O$1960,MATCH(887,'Transfer Engine'!$C$2:$C$1960,0)))</f>
        <v/>
      </c>
      <c r="P896" s="8">
        <f>IF(ISNA(MATCH(887,'Transfer Engine'!$C$2:$C$1960,0)),"",HYPERLINK("#Acts!A"&amp;INDEX('Compliance Database'!$P$2:$P$1960,MATCH(887,'Transfer Engine'!$C$2:$C$1960,0)),"Go to Act"))</f>
        <v/>
      </c>
    </row>
    <row r="897" ht="158" customHeight="1">
      <c r="A897" s="8">
        <f>IF(ISNA(MATCH(888,'Transfer Engine'!$C$2:$C$1960,0)),"",INDEX('Compliance Database'!$A$2:$A$1960,MATCH(888,'Transfer Engine'!$C$2:$C$1960,0)))</f>
        <v/>
      </c>
      <c r="B897" s="8">
        <f>IF(ISNA(MATCH(888,'Transfer Engine'!$C$2:$C$1960,0)),"",INDEX('Compliance Database'!$B$2:$B$1960,MATCH(888,'Transfer Engine'!$C$2:$C$1960,0)))</f>
        <v/>
      </c>
      <c r="C897" s="8">
        <f>IF(ISNA(MATCH(888,'Transfer Engine'!$C$2:$C$1960,0)),"",INDEX('Compliance Database'!$C$2:$C$1960,MATCH(888,'Transfer Engine'!$C$2:$C$1960,0)))</f>
        <v/>
      </c>
      <c r="D897" s="9">
        <f>IF(ISNA(MATCH(888,'Transfer Engine'!$C$2:$C$1960,0)),"",INDEX('Compliance Database'!$D$2:$D$1960,MATCH(888,'Transfer Engine'!$C$2:$C$1960,0)))</f>
        <v/>
      </c>
      <c r="E897" s="8">
        <f>IF(ISNA(MATCH(888,'Transfer Engine'!$C$2:$C$1960,0)),"",INDEX('Compliance Database'!$E$2:$E$1960,MATCH(888,'Transfer Engine'!$C$2:$C$1960,0)))</f>
        <v/>
      </c>
      <c r="F897" s="8">
        <f>IF(ISNA(MATCH(888,'Transfer Engine'!$C$2:$C$1960,0)),"",INDEX('Compliance Database'!$F$2:$F$1960,MATCH(888,'Transfer Engine'!$C$2:$C$1960,0)))</f>
        <v/>
      </c>
      <c r="G897" s="8">
        <f>IF(ISNA(MATCH(888,'Transfer Engine'!$C$2:$C$1960,0)),"",INDEX('Compliance Database'!$G$2:$G$1960,MATCH(888,'Transfer Engine'!$C$2:$C$1960,0)))</f>
        <v/>
      </c>
      <c r="H897" s="9">
        <f>IF(ISNA(MATCH(888,'Transfer Engine'!$C$2:$C$1960,0)),"",INDEX('Compliance Database'!$H$2:$H$1960,MATCH(888,'Transfer Engine'!$C$2:$C$1960,0)))</f>
        <v/>
      </c>
      <c r="I897" s="9">
        <f>IF(ISNA(MATCH(888,'Transfer Engine'!$C$2:$C$1960,0)),"",INDEX('Compliance Database'!$I$2:$I$1960,MATCH(888,'Transfer Engine'!$C$2:$C$1960,0)))</f>
        <v/>
      </c>
      <c r="J897" s="8">
        <f>IF(ISNA(MATCH(888,'Transfer Engine'!$C$2:$C$1960,0)),"",INDEX('Compliance Database'!$J$2:$J$1960,MATCH(888,'Transfer Engine'!$C$2:$C$1960,0)))</f>
        <v/>
      </c>
      <c r="K897" s="9">
        <f>IF(ISNA(MATCH(888,'Transfer Engine'!$C$2:$C$1960,0)),"",INDEX('Compliance Database'!$K$2:$K$1960,MATCH(888,'Transfer Engine'!$C$2:$C$1960,0)))</f>
        <v/>
      </c>
      <c r="L897" s="9">
        <f>IF(ISNA(MATCH(888,'Transfer Engine'!$C$2:$C$1960,0)),"",INDEX('Compliance Database'!$L$2:$L$1960,MATCH(888,'Transfer Engine'!$C$2:$C$1960,0)))</f>
        <v/>
      </c>
      <c r="M897" s="9">
        <f>IF(ISNA(MATCH(888,'Transfer Engine'!$C$2:$C$1960,0)),"",INDEX('Compliance Database'!$M$2:$M$1960,MATCH(888,'Transfer Engine'!$C$2:$C$1960,0)))</f>
        <v/>
      </c>
      <c r="N897" s="9">
        <f>IF(ISNA(MATCH(888,'Transfer Engine'!$C$2:$C$1960,0)),"",INDEX('Compliance Database'!$N$2:$N$1960,MATCH(888,'Transfer Engine'!$C$2:$C$1960,0)))</f>
        <v/>
      </c>
      <c r="O897" s="9">
        <f>IF(ISNA(MATCH(888,'Transfer Engine'!$C$2:$C$1960,0)),"",INDEX('Compliance Database'!$O$2:$O$1960,MATCH(888,'Transfer Engine'!$C$2:$C$1960,0)))</f>
        <v/>
      </c>
      <c r="P897" s="8">
        <f>IF(ISNA(MATCH(888,'Transfer Engine'!$C$2:$C$1960,0)),"",HYPERLINK("#Acts!A"&amp;INDEX('Compliance Database'!$P$2:$P$1960,MATCH(888,'Transfer Engine'!$C$2:$C$1960,0)),"Go to Act"))</f>
        <v/>
      </c>
    </row>
    <row r="898" ht="158" customHeight="1">
      <c r="A898" s="8">
        <f>IF(ISNA(MATCH(889,'Transfer Engine'!$C$2:$C$1960,0)),"",INDEX('Compliance Database'!$A$2:$A$1960,MATCH(889,'Transfer Engine'!$C$2:$C$1960,0)))</f>
        <v/>
      </c>
      <c r="B898" s="8">
        <f>IF(ISNA(MATCH(889,'Transfer Engine'!$C$2:$C$1960,0)),"",INDEX('Compliance Database'!$B$2:$B$1960,MATCH(889,'Transfer Engine'!$C$2:$C$1960,0)))</f>
        <v/>
      </c>
      <c r="C898" s="8">
        <f>IF(ISNA(MATCH(889,'Transfer Engine'!$C$2:$C$1960,0)),"",INDEX('Compliance Database'!$C$2:$C$1960,MATCH(889,'Transfer Engine'!$C$2:$C$1960,0)))</f>
        <v/>
      </c>
      <c r="D898" s="9">
        <f>IF(ISNA(MATCH(889,'Transfer Engine'!$C$2:$C$1960,0)),"",INDEX('Compliance Database'!$D$2:$D$1960,MATCH(889,'Transfer Engine'!$C$2:$C$1960,0)))</f>
        <v/>
      </c>
      <c r="E898" s="8">
        <f>IF(ISNA(MATCH(889,'Transfer Engine'!$C$2:$C$1960,0)),"",INDEX('Compliance Database'!$E$2:$E$1960,MATCH(889,'Transfer Engine'!$C$2:$C$1960,0)))</f>
        <v/>
      </c>
      <c r="F898" s="8">
        <f>IF(ISNA(MATCH(889,'Transfer Engine'!$C$2:$C$1960,0)),"",INDEX('Compliance Database'!$F$2:$F$1960,MATCH(889,'Transfer Engine'!$C$2:$C$1960,0)))</f>
        <v/>
      </c>
      <c r="G898" s="8">
        <f>IF(ISNA(MATCH(889,'Transfer Engine'!$C$2:$C$1960,0)),"",INDEX('Compliance Database'!$G$2:$G$1960,MATCH(889,'Transfer Engine'!$C$2:$C$1960,0)))</f>
        <v/>
      </c>
      <c r="H898" s="9">
        <f>IF(ISNA(MATCH(889,'Transfer Engine'!$C$2:$C$1960,0)),"",INDEX('Compliance Database'!$H$2:$H$1960,MATCH(889,'Transfer Engine'!$C$2:$C$1960,0)))</f>
        <v/>
      </c>
      <c r="I898" s="9">
        <f>IF(ISNA(MATCH(889,'Transfer Engine'!$C$2:$C$1960,0)),"",INDEX('Compliance Database'!$I$2:$I$1960,MATCH(889,'Transfer Engine'!$C$2:$C$1960,0)))</f>
        <v/>
      </c>
      <c r="J898" s="8">
        <f>IF(ISNA(MATCH(889,'Transfer Engine'!$C$2:$C$1960,0)),"",INDEX('Compliance Database'!$J$2:$J$1960,MATCH(889,'Transfer Engine'!$C$2:$C$1960,0)))</f>
        <v/>
      </c>
      <c r="K898" s="9">
        <f>IF(ISNA(MATCH(889,'Transfer Engine'!$C$2:$C$1960,0)),"",INDEX('Compliance Database'!$K$2:$K$1960,MATCH(889,'Transfer Engine'!$C$2:$C$1960,0)))</f>
        <v/>
      </c>
      <c r="L898" s="9">
        <f>IF(ISNA(MATCH(889,'Transfer Engine'!$C$2:$C$1960,0)),"",INDEX('Compliance Database'!$L$2:$L$1960,MATCH(889,'Transfer Engine'!$C$2:$C$1960,0)))</f>
        <v/>
      </c>
      <c r="M898" s="9">
        <f>IF(ISNA(MATCH(889,'Transfer Engine'!$C$2:$C$1960,0)),"",INDEX('Compliance Database'!$M$2:$M$1960,MATCH(889,'Transfer Engine'!$C$2:$C$1960,0)))</f>
        <v/>
      </c>
      <c r="N898" s="9">
        <f>IF(ISNA(MATCH(889,'Transfer Engine'!$C$2:$C$1960,0)),"",INDEX('Compliance Database'!$N$2:$N$1960,MATCH(889,'Transfer Engine'!$C$2:$C$1960,0)))</f>
        <v/>
      </c>
      <c r="O898" s="9">
        <f>IF(ISNA(MATCH(889,'Transfer Engine'!$C$2:$C$1960,0)),"",INDEX('Compliance Database'!$O$2:$O$1960,MATCH(889,'Transfer Engine'!$C$2:$C$1960,0)))</f>
        <v/>
      </c>
      <c r="P898" s="8">
        <f>IF(ISNA(MATCH(889,'Transfer Engine'!$C$2:$C$1960,0)),"",HYPERLINK("#Acts!A"&amp;INDEX('Compliance Database'!$P$2:$P$1960,MATCH(889,'Transfer Engine'!$C$2:$C$1960,0)),"Go to Act"))</f>
        <v/>
      </c>
    </row>
    <row r="899" ht="158" customHeight="1">
      <c r="A899" s="8">
        <f>IF(ISNA(MATCH(890,'Transfer Engine'!$C$2:$C$1960,0)),"",INDEX('Compliance Database'!$A$2:$A$1960,MATCH(890,'Transfer Engine'!$C$2:$C$1960,0)))</f>
        <v/>
      </c>
      <c r="B899" s="8">
        <f>IF(ISNA(MATCH(890,'Transfer Engine'!$C$2:$C$1960,0)),"",INDEX('Compliance Database'!$B$2:$B$1960,MATCH(890,'Transfer Engine'!$C$2:$C$1960,0)))</f>
        <v/>
      </c>
      <c r="C899" s="8">
        <f>IF(ISNA(MATCH(890,'Transfer Engine'!$C$2:$C$1960,0)),"",INDEX('Compliance Database'!$C$2:$C$1960,MATCH(890,'Transfer Engine'!$C$2:$C$1960,0)))</f>
        <v/>
      </c>
      <c r="D899" s="9">
        <f>IF(ISNA(MATCH(890,'Transfer Engine'!$C$2:$C$1960,0)),"",INDEX('Compliance Database'!$D$2:$D$1960,MATCH(890,'Transfer Engine'!$C$2:$C$1960,0)))</f>
        <v/>
      </c>
      <c r="E899" s="8">
        <f>IF(ISNA(MATCH(890,'Transfer Engine'!$C$2:$C$1960,0)),"",INDEX('Compliance Database'!$E$2:$E$1960,MATCH(890,'Transfer Engine'!$C$2:$C$1960,0)))</f>
        <v/>
      </c>
      <c r="F899" s="8">
        <f>IF(ISNA(MATCH(890,'Transfer Engine'!$C$2:$C$1960,0)),"",INDEX('Compliance Database'!$F$2:$F$1960,MATCH(890,'Transfer Engine'!$C$2:$C$1960,0)))</f>
        <v/>
      </c>
      <c r="G899" s="8">
        <f>IF(ISNA(MATCH(890,'Transfer Engine'!$C$2:$C$1960,0)),"",INDEX('Compliance Database'!$G$2:$G$1960,MATCH(890,'Transfer Engine'!$C$2:$C$1960,0)))</f>
        <v/>
      </c>
      <c r="H899" s="9">
        <f>IF(ISNA(MATCH(890,'Transfer Engine'!$C$2:$C$1960,0)),"",INDEX('Compliance Database'!$H$2:$H$1960,MATCH(890,'Transfer Engine'!$C$2:$C$1960,0)))</f>
        <v/>
      </c>
      <c r="I899" s="9">
        <f>IF(ISNA(MATCH(890,'Transfer Engine'!$C$2:$C$1960,0)),"",INDEX('Compliance Database'!$I$2:$I$1960,MATCH(890,'Transfer Engine'!$C$2:$C$1960,0)))</f>
        <v/>
      </c>
      <c r="J899" s="8">
        <f>IF(ISNA(MATCH(890,'Transfer Engine'!$C$2:$C$1960,0)),"",INDEX('Compliance Database'!$J$2:$J$1960,MATCH(890,'Transfer Engine'!$C$2:$C$1960,0)))</f>
        <v/>
      </c>
      <c r="K899" s="9">
        <f>IF(ISNA(MATCH(890,'Transfer Engine'!$C$2:$C$1960,0)),"",INDEX('Compliance Database'!$K$2:$K$1960,MATCH(890,'Transfer Engine'!$C$2:$C$1960,0)))</f>
        <v/>
      </c>
      <c r="L899" s="9">
        <f>IF(ISNA(MATCH(890,'Transfer Engine'!$C$2:$C$1960,0)),"",INDEX('Compliance Database'!$L$2:$L$1960,MATCH(890,'Transfer Engine'!$C$2:$C$1960,0)))</f>
        <v/>
      </c>
      <c r="M899" s="9">
        <f>IF(ISNA(MATCH(890,'Transfer Engine'!$C$2:$C$1960,0)),"",INDEX('Compliance Database'!$M$2:$M$1960,MATCH(890,'Transfer Engine'!$C$2:$C$1960,0)))</f>
        <v/>
      </c>
      <c r="N899" s="9">
        <f>IF(ISNA(MATCH(890,'Transfer Engine'!$C$2:$C$1960,0)),"",INDEX('Compliance Database'!$N$2:$N$1960,MATCH(890,'Transfer Engine'!$C$2:$C$1960,0)))</f>
        <v/>
      </c>
      <c r="O899" s="9">
        <f>IF(ISNA(MATCH(890,'Transfer Engine'!$C$2:$C$1960,0)),"",INDEX('Compliance Database'!$O$2:$O$1960,MATCH(890,'Transfer Engine'!$C$2:$C$1960,0)))</f>
        <v/>
      </c>
      <c r="P899" s="8">
        <f>IF(ISNA(MATCH(890,'Transfer Engine'!$C$2:$C$1960,0)),"",HYPERLINK("#Acts!A"&amp;INDEX('Compliance Database'!$P$2:$P$1960,MATCH(890,'Transfer Engine'!$C$2:$C$1960,0)),"Go to Act"))</f>
        <v/>
      </c>
    </row>
    <row r="900" ht="158" customHeight="1">
      <c r="A900" s="8">
        <f>IF(ISNA(MATCH(891,'Transfer Engine'!$C$2:$C$1960,0)),"",INDEX('Compliance Database'!$A$2:$A$1960,MATCH(891,'Transfer Engine'!$C$2:$C$1960,0)))</f>
        <v/>
      </c>
      <c r="B900" s="8">
        <f>IF(ISNA(MATCH(891,'Transfer Engine'!$C$2:$C$1960,0)),"",INDEX('Compliance Database'!$B$2:$B$1960,MATCH(891,'Transfer Engine'!$C$2:$C$1960,0)))</f>
        <v/>
      </c>
      <c r="C900" s="8">
        <f>IF(ISNA(MATCH(891,'Transfer Engine'!$C$2:$C$1960,0)),"",INDEX('Compliance Database'!$C$2:$C$1960,MATCH(891,'Transfer Engine'!$C$2:$C$1960,0)))</f>
        <v/>
      </c>
      <c r="D900" s="9">
        <f>IF(ISNA(MATCH(891,'Transfer Engine'!$C$2:$C$1960,0)),"",INDEX('Compliance Database'!$D$2:$D$1960,MATCH(891,'Transfer Engine'!$C$2:$C$1960,0)))</f>
        <v/>
      </c>
      <c r="E900" s="8">
        <f>IF(ISNA(MATCH(891,'Transfer Engine'!$C$2:$C$1960,0)),"",INDEX('Compliance Database'!$E$2:$E$1960,MATCH(891,'Transfer Engine'!$C$2:$C$1960,0)))</f>
        <v/>
      </c>
      <c r="F900" s="8">
        <f>IF(ISNA(MATCH(891,'Transfer Engine'!$C$2:$C$1960,0)),"",INDEX('Compliance Database'!$F$2:$F$1960,MATCH(891,'Transfer Engine'!$C$2:$C$1960,0)))</f>
        <v/>
      </c>
      <c r="G900" s="8">
        <f>IF(ISNA(MATCH(891,'Transfer Engine'!$C$2:$C$1960,0)),"",INDEX('Compliance Database'!$G$2:$G$1960,MATCH(891,'Transfer Engine'!$C$2:$C$1960,0)))</f>
        <v/>
      </c>
      <c r="H900" s="9">
        <f>IF(ISNA(MATCH(891,'Transfer Engine'!$C$2:$C$1960,0)),"",INDEX('Compliance Database'!$H$2:$H$1960,MATCH(891,'Transfer Engine'!$C$2:$C$1960,0)))</f>
        <v/>
      </c>
      <c r="I900" s="9">
        <f>IF(ISNA(MATCH(891,'Transfer Engine'!$C$2:$C$1960,0)),"",INDEX('Compliance Database'!$I$2:$I$1960,MATCH(891,'Transfer Engine'!$C$2:$C$1960,0)))</f>
        <v/>
      </c>
      <c r="J900" s="8">
        <f>IF(ISNA(MATCH(891,'Transfer Engine'!$C$2:$C$1960,0)),"",INDEX('Compliance Database'!$J$2:$J$1960,MATCH(891,'Transfer Engine'!$C$2:$C$1960,0)))</f>
        <v/>
      </c>
      <c r="K900" s="9">
        <f>IF(ISNA(MATCH(891,'Transfer Engine'!$C$2:$C$1960,0)),"",INDEX('Compliance Database'!$K$2:$K$1960,MATCH(891,'Transfer Engine'!$C$2:$C$1960,0)))</f>
        <v/>
      </c>
      <c r="L900" s="9">
        <f>IF(ISNA(MATCH(891,'Transfer Engine'!$C$2:$C$1960,0)),"",INDEX('Compliance Database'!$L$2:$L$1960,MATCH(891,'Transfer Engine'!$C$2:$C$1960,0)))</f>
        <v/>
      </c>
      <c r="M900" s="9">
        <f>IF(ISNA(MATCH(891,'Transfer Engine'!$C$2:$C$1960,0)),"",INDEX('Compliance Database'!$M$2:$M$1960,MATCH(891,'Transfer Engine'!$C$2:$C$1960,0)))</f>
        <v/>
      </c>
      <c r="N900" s="9">
        <f>IF(ISNA(MATCH(891,'Transfer Engine'!$C$2:$C$1960,0)),"",INDEX('Compliance Database'!$N$2:$N$1960,MATCH(891,'Transfer Engine'!$C$2:$C$1960,0)))</f>
        <v/>
      </c>
      <c r="O900" s="9">
        <f>IF(ISNA(MATCH(891,'Transfer Engine'!$C$2:$C$1960,0)),"",INDEX('Compliance Database'!$O$2:$O$1960,MATCH(891,'Transfer Engine'!$C$2:$C$1960,0)))</f>
        <v/>
      </c>
      <c r="P900" s="8">
        <f>IF(ISNA(MATCH(891,'Transfer Engine'!$C$2:$C$1960,0)),"",HYPERLINK("#Acts!A"&amp;INDEX('Compliance Database'!$P$2:$P$1960,MATCH(891,'Transfer Engine'!$C$2:$C$1960,0)),"Go to Act"))</f>
        <v/>
      </c>
    </row>
    <row r="901" ht="158" customHeight="1">
      <c r="A901" s="8">
        <f>IF(ISNA(MATCH(892,'Transfer Engine'!$C$2:$C$1960,0)),"",INDEX('Compliance Database'!$A$2:$A$1960,MATCH(892,'Transfer Engine'!$C$2:$C$1960,0)))</f>
        <v/>
      </c>
      <c r="B901" s="8">
        <f>IF(ISNA(MATCH(892,'Transfer Engine'!$C$2:$C$1960,0)),"",INDEX('Compliance Database'!$B$2:$B$1960,MATCH(892,'Transfer Engine'!$C$2:$C$1960,0)))</f>
        <v/>
      </c>
      <c r="C901" s="8">
        <f>IF(ISNA(MATCH(892,'Transfer Engine'!$C$2:$C$1960,0)),"",INDEX('Compliance Database'!$C$2:$C$1960,MATCH(892,'Transfer Engine'!$C$2:$C$1960,0)))</f>
        <v/>
      </c>
      <c r="D901" s="9">
        <f>IF(ISNA(MATCH(892,'Transfer Engine'!$C$2:$C$1960,0)),"",INDEX('Compliance Database'!$D$2:$D$1960,MATCH(892,'Transfer Engine'!$C$2:$C$1960,0)))</f>
        <v/>
      </c>
      <c r="E901" s="8">
        <f>IF(ISNA(MATCH(892,'Transfer Engine'!$C$2:$C$1960,0)),"",INDEX('Compliance Database'!$E$2:$E$1960,MATCH(892,'Transfer Engine'!$C$2:$C$1960,0)))</f>
        <v/>
      </c>
      <c r="F901" s="8">
        <f>IF(ISNA(MATCH(892,'Transfer Engine'!$C$2:$C$1960,0)),"",INDEX('Compliance Database'!$F$2:$F$1960,MATCH(892,'Transfer Engine'!$C$2:$C$1960,0)))</f>
        <v/>
      </c>
      <c r="G901" s="8">
        <f>IF(ISNA(MATCH(892,'Transfer Engine'!$C$2:$C$1960,0)),"",INDEX('Compliance Database'!$G$2:$G$1960,MATCH(892,'Transfer Engine'!$C$2:$C$1960,0)))</f>
        <v/>
      </c>
      <c r="H901" s="9">
        <f>IF(ISNA(MATCH(892,'Transfer Engine'!$C$2:$C$1960,0)),"",INDEX('Compliance Database'!$H$2:$H$1960,MATCH(892,'Transfer Engine'!$C$2:$C$1960,0)))</f>
        <v/>
      </c>
      <c r="I901" s="9">
        <f>IF(ISNA(MATCH(892,'Transfer Engine'!$C$2:$C$1960,0)),"",INDEX('Compliance Database'!$I$2:$I$1960,MATCH(892,'Transfer Engine'!$C$2:$C$1960,0)))</f>
        <v/>
      </c>
      <c r="J901" s="8">
        <f>IF(ISNA(MATCH(892,'Transfer Engine'!$C$2:$C$1960,0)),"",INDEX('Compliance Database'!$J$2:$J$1960,MATCH(892,'Transfer Engine'!$C$2:$C$1960,0)))</f>
        <v/>
      </c>
      <c r="K901" s="9">
        <f>IF(ISNA(MATCH(892,'Transfer Engine'!$C$2:$C$1960,0)),"",INDEX('Compliance Database'!$K$2:$K$1960,MATCH(892,'Transfer Engine'!$C$2:$C$1960,0)))</f>
        <v/>
      </c>
      <c r="L901" s="9">
        <f>IF(ISNA(MATCH(892,'Transfer Engine'!$C$2:$C$1960,0)),"",INDEX('Compliance Database'!$L$2:$L$1960,MATCH(892,'Transfer Engine'!$C$2:$C$1960,0)))</f>
        <v/>
      </c>
      <c r="M901" s="9">
        <f>IF(ISNA(MATCH(892,'Transfer Engine'!$C$2:$C$1960,0)),"",INDEX('Compliance Database'!$M$2:$M$1960,MATCH(892,'Transfer Engine'!$C$2:$C$1960,0)))</f>
        <v/>
      </c>
      <c r="N901" s="9">
        <f>IF(ISNA(MATCH(892,'Transfer Engine'!$C$2:$C$1960,0)),"",INDEX('Compliance Database'!$N$2:$N$1960,MATCH(892,'Transfer Engine'!$C$2:$C$1960,0)))</f>
        <v/>
      </c>
      <c r="O901" s="9">
        <f>IF(ISNA(MATCH(892,'Transfer Engine'!$C$2:$C$1960,0)),"",INDEX('Compliance Database'!$O$2:$O$1960,MATCH(892,'Transfer Engine'!$C$2:$C$1960,0)))</f>
        <v/>
      </c>
      <c r="P901" s="8">
        <f>IF(ISNA(MATCH(892,'Transfer Engine'!$C$2:$C$1960,0)),"",HYPERLINK("#Acts!A"&amp;INDEX('Compliance Database'!$P$2:$P$1960,MATCH(892,'Transfer Engine'!$C$2:$C$1960,0)),"Go to Act"))</f>
        <v/>
      </c>
    </row>
    <row r="902" ht="158" customHeight="1">
      <c r="A902" s="8">
        <f>IF(ISNA(MATCH(893,'Transfer Engine'!$C$2:$C$1960,0)),"",INDEX('Compliance Database'!$A$2:$A$1960,MATCH(893,'Transfer Engine'!$C$2:$C$1960,0)))</f>
        <v/>
      </c>
      <c r="B902" s="8">
        <f>IF(ISNA(MATCH(893,'Transfer Engine'!$C$2:$C$1960,0)),"",INDEX('Compliance Database'!$B$2:$B$1960,MATCH(893,'Transfer Engine'!$C$2:$C$1960,0)))</f>
        <v/>
      </c>
      <c r="C902" s="8">
        <f>IF(ISNA(MATCH(893,'Transfer Engine'!$C$2:$C$1960,0)),"",INDEX('Compliance Database'!$C$2:$C$1960,MATCH(893,'Transfer Engine'!$C$2:$C$1960,0)))</f>
        <v/>
      </c>
      <c r="D902" s="9">
        <f>IF(ISNA(MATCH(893,'Transfer Engine'!$C$2:$C$1960,0)),"",INDEX('Compliance Database'!$D$2:$D$1960,MATCH(893,'Transfer Engine'!$C$2:$C$1960,0)))</f>
        <v/>
      </c>
      <c r="E902" s="8">
        <f>IF(ISNA(MATCH(893,'Transfer Engine'!$C$2:$C$1960,0)),"",INDEX('Compliance Database'!$E$2:$E$1960,MATCH(893,'Transfer Engine'!$C$2:$C$1960,0)))</f>
        <v/>
      </c>
      <c r="F902" s="8">
        <f>IF(ISNA(MATCH(893,'Transfer Engine'!$C$2:$C$1960,0)),"",INDEX('Compliance Database'!$F$2:$F$1960,MATCH(893,'Transfer Engine'!$C$2:$C$1960,0)))</f>
        <v/>
      </c>
      <c r="G902" s="8">
        <f>IF(ISNA(MATCH(893,'Transfer Engine'!$C$2:$C$1960,0)),"",INDEX('Compliance Database'!$G$2:$G$1960,MATCH(893,'Transfer Engine'!$C$2:$C$1960,0)))</f>
        <v/>
      </c>
      <c r="H902" s="9">
        <f>IF(ISNA(MATCH(893,'Transfer Engine'!$C$2:$C$1960,0)),"",INDEX('Compliance Database'!$H$2:$H$1960,MATCH(893,'Transfer Engine'!$C$2:$C$1960,0)))</f>
        <v/>
      </c>
      <c r="I902" s="9">
        <f>IF(ISNA(MATCH(893,'Transfer Engine'!$C$2:$C$1960,0)),"",INDEX('Compliance Database'!$I$2:$I$1960,MATCH(893,'Transfer Engine'!$C$2:$C$1960,0)))</f>
        <v/>
      </c>
      <c r="J902" s="8">
        <f>IF(ISNA(MATCH(893,'Transfer Engine'!$C$2:$C$1960,0)),"",INDEX('Compliance Database'!$J$2:$J$1960,MATCH(893,'Transfer Engine'!$C$2:$C$1960,0)))</f>
        <v/>
      </c>
      <c r="K902" s="9">
        <f>IF(ISNA(MATCH(893,'Transfer Engine'!$C$2:$C$1960,0)),"",INDEX('Compliance Database'!$K$2:$K$1960,MATCH(893,'Transfer Engine'!$C$2:$C$1960,0)))</f>
        <v/>
      </c>
      <c r="L902" s="9">
        <f>IF(ISNA(MATCH(893,'Transfer Engine'!$C$2:$C$1960,0)),"",INDEX('Compliance Database'!$L$2:$L$1960,MATCH(893,'Transfer Engine'!$C$2:$C$1960,0)))</f>
        <v/>
      </c>
      <c r="M902" s="9">
        <f>IF(ISNA(MATCH(893,'Transfer Engine'!$C$2:$C$1960,0)),"",INDEX('Compliance Database'!$M$2:$M$1960,MATCH(893,'Transfer Engine'!$C$2:$C$1960,0)))</f>
        <v/>
      </c>
      <c r="N902" s="9">
        <f>IF(ISNA(MATCH(893,'Transfer Engine'!$C$2:$C$1960,0)),"",INDEX('Compliance Database'!$N$2:$N$1960,MATCH(893,'Transfer Engine'!$C$2:$C$1960,0)))</f>
        <v/>
      </c>
      <c r="O902" s="9">
        <f>IF(ISNA(MATCH(893,'Transfer Engine'!$C$2:$C$1960,0)),"",INDEX('Compliance Database'!$O$2:$O$1960,MATCH(893,'Transfer Engine'!$C$2:$C$1960,0)))</f>
        <v/>
      </c>
      <c r="P902" s="8">
        <f>IF(ISNA(MATCH(893,'Transfer Engine'!$C$2:$C$1960,0)),"",HYPERLINK("#Acts!A"&amp;INDEX('Compliance Database'!$P$2:$P$1960,MATCH(893,'Transfer Engine'!$C$2:$C$1960,0)),"Go to Act"))</f>
        <v/>
      </c>
    </row>
    <row r="903" ht="158" customHeight="1">
      <c r="A903" s="8">
        <f>IF(ISNA(MATCH(894,'Transfer Engine'!$C$2:$C$1960,0)),"",INDEX('Compliance Database'!$A$2:$A$1960,MATCH(894,'Transfer Engine'!$C$2:$C$1960,0)))</f>
        <v/>
      </c>
      <c r="B903" s="8">
        <f>IF(ISNA(MATCH(894,'Transfer Engine'!$C$2:$C$1960,0)),"",INDEX('Compliance Database'!$B$2:$B$1960,MATCH(894,'Transfer Engine'!$C$2:$C$1960,0)))</f>
        <v/>
      </c>
      <c r="C903" s="8">
        <f>IF(ISNA(MATCH(894,'Transfer Engine'!$C$2:$C$1960,0)),"",INDEX('Compliance Database'!$C$2:$C$1960,MATCH(894,'Transfer Engine'!$C$2:$C$1960,0)))</f>
        <v/>
      </c>
      <c r="D903" s="9">
        <f>IF(ISNA(MATCH(894,'Transfer Engine'!$C$2:$C$1960,0)),"",INDEX('Compliance Database'!$D$2:$D$1960,MATCH(894,'Transfer Engine'!$C$2:$C$1960,0)))</f>
        <v/>
      </c>
      <c r="E903" s="8">
        <f>IF(ISNA(MATCH(894,'Transfer Engine'!$C$2:$C$1960,0)),"",INDEX('Compliance Database'!$E$2:$E$1960,MATCH(894,'Transfer Engine'!$C$2:$C$1960,0)))</f>
        <v/>
      </c>
      <c r="F903" s="8">
        <f>IF(ISNA(MATCH(894,'Transfer Engine'!$C$2:$C$1960,0)),"",INDEX('Compliance Database'!$F$2:$F$1960,MATCH(894,'Transfer Engine'!$C$2:$C$1960,0)))</f>
        <v/>
      </c>
      <c r="G903" s="8">
        <f>IF(ISNA(MATCH(894,'Transfer Engine'!$C$2:$C$1960,0)),"",INDEX('Compliance Database'!$G$2:$G$1960,MATCH(894,'Transfer Engine'!$C$2:$C$1960,0)))</f>
        <v/>
      </c>
      <c r="H903" s="9">
        <f>IF(ISNA(MATCH(894,'Transfer Engine'!$C$2:$C$1960,0)),"",INDEX('Compliance Database'!$H$2:$H$1960,MATCH(894,'Transfer Engine'!$C$2:$C$1960,0)))</f>
        <v/>
      </c>
      <c r="I903" s="9">
        <f>IF(ISNA(MATCH(894,'Transfer Engine'!$C$2:$C$1960,0)),"",INDEX('Compliance Database'!$I$2:$I$1960,MATCH(894,'Transfer Engine'!$C$2:$C$1960,0)))</f>
        <v/>
      </c>
      <c r="J903" s="8">
        <f>IF(ISNA(MATCH(894,'Transfer Engine'!$C$2:$C$1960,0)),"",INDEX('Compliance Database'!$J$2:$J$1960,MATCH(894,'Transfer Engine'!$C$2:$C$1960,0)))</f>
        <v/>
      </c>
      <c r="K903" s="9">
        <f>IF(ISNA(MATCH(894,'Transfer Engine'!$C$2:$C$1960,0)),"",INDEX('Compliance Database'!$K$2:$K$1960,MATCH(894,'Transfer Engine'!$C$2:$C$1960,0)))</f>
        <v/>
      </c>
      <c r="L903" s="9">
        <f>IF(ISNA(MATCH(894,'Transfer Engine'!$C$2:$C$1960,0)),"",INDEX('Compliance Database'!$L$2:$L$1960,MATCH(894,'Transfer Engine'!$C$2:$C$1960,0)))</f>
        <v/>
      </c>
      <c r="M903" s="9">
        <f>IF(ISNA(MATCH(894,'Transfer Engine'!$C$2:$C$1960,0)),"",INDEX('Compliance Database'!$M$2:$M$1960,MATCH(894,'Transfer Engine'!$C$2:$C$1960,0)))</f>
        <v/>
      </c>
      <c r="N903" s="9">
        <f>IF(ISNA(MATCH(894,'Transfer Engine'!$C$2:$C$1960,0)),"",INDEX('Compliance Database'!$N$2:$N$1960,MATCH(894,'Transfer Engine'!$C$2:$C$1960,0)))</f>
        <v/>
      </c>
      <c r="O903" s="9">
        <f>IF(ISNA(MATCH(894,'Transfer Engine'!$C$2:$C$1960,0)),"",INDEX('Compliance Database'!$O$2:$O$1960,MATCH(894,'Transfer Engine'!$C$2:$C$1960,0)))</f>
        <v/>
      </c>
      <c r="P903" s="8">
        <f>IF(ISNA(MATCH(894,'Transfer Engine'!$C$2:$C$1960,0)),"",HYPERLINK("#Acts!A"&amp;INDEX('Compliance Database'!$P$2:$P$1960,MATCH(894,'Transfer Engine'!$C$2:$C$1960,0)),"Go to Act"))</f>
        <v/>
      </c>
    </row>
    <row r="904" ht="158" customHeight="1">
      <c r="A904" s="8">
        <f>IF(ISNA(MATCH(895,'Transfer Engine'!$C$2:$C$1960,0)),"",INDEX('Compliance Database'!$A$2:$A$1960,MATCH(895,'Transfer Engine'!$C$2:$C$1960,0)))</f>
        <v/>
      </c>
      <c r="B904" s="8">
        <f>IF(ISNA(MATCH(895,'Transfer Engine'!$C$2:$C$1960,0)),"",INDEX('Compliance Database'!$B$2:$B$1960,MATCH(895,'Transfer Engine'!$C$2:$C$1960,0)))</f>
        <v/>
      </c>
      <c r="C904" s="8">
        <f>IF(ISNA(MATCH(895,'Transfer Engine'!$C$2:$C$1960,0)),"",INDEX('Compliance Database'!$C$2:$C$1960,MATCH(895,'Transfer Engine'!$C$2:$C$1960,0)))</f>
        <v/>
      </c>
      <c r="D904" s="9">
        <f>IF(ISNA(MATCH(895,'Transfer Engine'!$C$2:$C$1960,0)),"",INDEX('Compliance Database'!$D$2:$D$1960,MATCH(895,'Transfer Engine'!$C$2:$C$1960,0)))</f>
        <v/>
      </c>
      <c r="E904" s="8">
        <f>IF(ISNA(MATCH(895,'Transfer Engine'!$C$2:$C$1960,0)),"",INDEX('Compliance Database'!$E$2:$E$1960,MATCH(895,'Transfer Engine'!$C$2:$C$1960,0)))</f>
        <v/>
      </c>
      <c r="F904" s="8">
        <f>IF(ISNA(MATCH(895,'Transfer Engine'!$C$2:$C$1960,0)),"",INDEX('Compliance Database'!$F$2:$F$1960,MATCH(895,'Transfer Engine'!$C$2:$C$1960,0)))</f>
        <v/>
      </c>
      <c r="G904" s="8">
        <f>IF(ISNA(MATCH(895,'Transfer Engine'!$C$2:$C$1960,0)),"",INDEX('Compliance Database'!$G$2:$G$1960,MATCH(895,'Transfer Engine'!$C$2:$C$1960,0)))</f>
        <v/>
      </c>
      <c r="H904" s="9">
        <f>IF(ISNA(MATCH(895,'Transfer Engine'!$C$2:$C$1960,0)),"",INDEX('Compliance Database'!$H$2:$H$1960,MATCH(895,'Transfer Engine'!$C$2:$C$1960,0)))</f>
        <v/>
      </c>
      <c r="I904" s="9">
        <f>IF(ISNA(MATCH(895,'Transfer Engine'!$C$2:$C$1960,0)),"",INDEX('Compliance Database'!$I$2:$I$1960,MATCH(895,'Transfer Engine'!$C$2:$C$1960,0)))</f>
        <v/>
      </c>
      <c r="J904" s="8">
        <f>IF(ISNA(MATCH(895,'Transfer Engine'!$C$2:$C$1960,0)),"",INDEX('Compliance Database'!$J$2:$J$1960,MATCH(895,'Transfer Engine'!$C$2:$C$1960,0)))</f>
        <v/>
      </c>
      <c r="K904" s="9">
        <f>IF(ISNA(MATCH(895,'Transfer Engine'!$C$2:$C$1960,0)),"",INDEX('Compliance Database'!$K$2:$K$1960,MATCH(895,'Transfer Engine'!$C$2:$C$1960,0)))</f>
        <v/>
      </c>
      <c r="L904" s="9">
        <f>IF(ISNA(MATCH(895,'Transfer Engine'!$C$2:$C$1960,0)),"",INDEX('Compliance Database'!$L$2:$L$1960,MATCH(895,'Transfer Engine'!$C$2:$C$1960,0)))</f>
        <v/>
      </c>
      <c r="M904" s="9">
        <f>IF(ISNA(MATCH(895,'Transfer Engine'!$C$2:$C$1960,0)),"",INDEX('Compliance Database'!$M$2:$M$1960,MATCH(895,'Transfer Engine'!$C$2:$C$1960,0)))</f>
        <v/>
      </c>
      <c r="N904" s="9">
        <f>IF(ISNA(MATCH(895,'Transfer Engine'!$C$2:$C$1960,0)),"",INDEX('Compliance Database'!$N$2:$N$1960,MATCH(895,'Transfer Engine'!$C$2:$C$1960,0)))</f>
        <v/>
      </c>
      <c r="O904" s="9">
        <f>IF(ISNA(MATCH(895,'Transfer Engine'!$C$2:$C$1960,0)),"",INDEX('Compliance Database'!$O$2:$O$1960,MATCH(895,'Transfer Engine'!$C$2:$C$1960,0)))</f>
        <v/>
      </c>
      <c r="P904" s="8">
        <f>IF(ISNA(MATCH(895,'Transfer Engine'!$C$2:$C$1960,0)),"",HYPERLINK("#Acts!A"&amp;INDEX('Compliance Database'!$P$2:$P$1960,MATCH(895,'Transfer Engine'!$C$2:$C$1960,0)),"Go to Act"))</f>
        <v/>
      </c>
    </row>
    <row r="905" ht="158" customHeight="1">
      <c r="A905" s="8">
        <f>IF(ISNA(MATCH(896,'Transfer Engine'!$C$2:$C$1960,0)),"",INDEX('Compliance Database'!$A$2:$A$1960,MATCH(896,'Transfer Engine'!$C$2:$C$1960,0)))</f>
        <v/>
      </c>
      <c r="B905" s="8">
        <f>IF(ISNA(MATCH(896,'Transfer Engine'!$C$2:$C$1960,0)),"",INDEX('Compliance Database'!$B$2:$B$1960,MATCH(896,'Transfer Engine'!$C$2:$C$1960,0)))</f>
        <v/>
      </c>
      <c r="C905" s="8">
        <f>IF(ISNA(MATCH(896,'Transfer Engine'!$C$2:$C$1960,0)),"",INDEX('Compliance Database'!$C$2:$C$1960,MATCH(896,'Transfer Engine'!$C$2:$C$1960,0)))</f>
        <v/>
      </c>
      <c r="D905" s="9">
        <f>IF(ISNA(MATCH(896,'Transfer Engine'!$C$2:$C$1960,0)),"",INDEX('Compliance Database'!$D$2:$D$1960,MATCH(896,'Transfer Engine'!$C$2:$C$1960,0)))</f>
        <v/>
      </c>
      <c r="E905" s="8">
        <f>IF(ISNA(MATCH(896,'Transfer Engine'!$C$2:$C$1960,0)),"",INDEX('Compliance Database'!$E$2:$E$1960,MATCH(896,'Transfer Engine'!$C$2:$C$1960,0)))</f>
        <v/>
      </c>
      <c r="F905" s="8">
        <f>IF(ISNA(MATCH(896,'Transfer Engine'!$C$2:$C$1960,0)),"",INDEX('Compliance Database'!$F$2:$F$1960,MATCH(896,'Transfer Engine'!$C$2:$C$1960,0)))</f>
        <v/>
      </c>
      <c r="G905" s="8">
        <f>IF(ISNA(MATCH(896,'Transfer Engine'!$C$2:$C$1960,0)),"",INDEX('Compliance Database'!$G$2:$G$1960,MATCH(896,'Transfer Engine'!$C$2:$C$1960,0)))</f>
        <v/>
      </c>
      <c r="H905" s="9">
        <f>IF(ISNA(MATCH(896,'Transfer Engine'!$C$2:$C$1960,0)),"",INDEX('Compliance Database'!$H$2:$H$1960,MATCH(896,'Transfer Engine'!$C$2:$C$1960,0)))</f>
        <v/>
      </c>
      <c r="I905" s="9">
        <f>IF(ISNA(MATCH(896,'Transfer Engine'!$C$2:$C$1960,0)),"",INDEX('Compliance Database'!$I$2:$I$1960,MATCH(896,'Transfer Engine'!$C$2:$C$1960,0)))</f>
        <v/>
      </c>
      <c r="J905" s="8">
        <f>IF(ISNA(MATCH(896,'Transfer Engine'!$C$2:$C$1960,0)),"",INDEX('Compliance Database'!$J$2:$J$1960,MATCH(896,'Transfer Engine'!$C$2:$C$1960,0)))</f>
        <v/>
      </c>
      <c r="K905" s="9">
        <f>IF(ISNA(MATCH(896,'Transfer Engine'!$C$2:$C$1960,0)),"",INDEX('Compliance Database'!$K$2:$K$1960,MATCH(896,'Transfer Engine'!$C$2:$C$1960,0)))</f>
        <v/>
      </c>
      <c r="L905" s="9">
        <f>IF(ISNA(MATCH(896,'Transfer Engine'!$C$2:$C$1960,0)),"",INDEX('Compliance Database'!$L$2:$L$1960,MATCH(896,'Transfer Engine'!$C$2:$C$1960,0)))</f>
        <v/>
      </c>
      <c r="M905" s="9">
        <f>IF(ISNA(MATCH(896,'Transfer Engine'!$C$2:$C$1960,0)),"",INDEX('Compliance Database'!$M$2:$M$1960,MATCH(896,'Transfer Engine'!$C$2:$C$1960,0)))</f>
        <v/>
      </c>
      <c r="N905" s="9">
        <f>IF(ISNA(MATCH(896,'Transfer Engine'!$C$2:$C$1960,0)),"",INDEX('Compliance Database'!$N$2:$N$1960,MATCH(896,'Transfer Engine'!$C$2:$C$1960,0)))</f>
        <v/>
      </c>
      <c r="O905" s="9">
        <f>IF(ISNA(MATCH(896,'Transfer Engine'!$C$2:$C$1960,0)),"",INDEX('Compliance Database'!$O$2:$O$1960,MATCH(896,'Transfer Engine'!$C$2:$C$1960,0)))</f>
        <v/>
      </c>
      <c r="P905" s="8">
        <f>IF(ISNA(MATCH(896,'Transfer Engine'!$C$2:$C$1960,0)),"",HYPERLINK("#Acts!A"&amp;INDEX('Compliance Database'!$P$2:$P$1960,MATCH(896,'Transfer Engine'!$C$2:$C$1960,0)),"Go to Act"))</f>
        <v/>
      </c>
    </row>
    <row r="906" ht="158" customHeight="1">
      <c r="A906" s="8">
        <f>IF(ISNA(MATCH(897,'Transfer Engine'!$C$2:$C$1960,0)),"",INDEX('Compliance Database'!$A$2:$A$1960,MATCH(897,'Transfer Engine'!$C$2:$C$1960,0)))</f>
        <v/>
      </c>
      <c r="B906" s="8">
        <f>IF(ISNA(MATCH(897,'Transfer Engine'!$C$2:$C$1960,0)),"",INDEX('Compliance Database'!$B$2:$B$1960,MATCH(897,'Transfer Engine'!$C$2:$C$1960,0)))</f>
        <v/>
      </c>
      <c r="C906" s="8">
        <f>IF(ISNA(MATCH(897,'Transfer Engine'!$C$2:$C$1960,0)),"",INDEX('Compliance Database'!$C$2:$C$1960,MATCH(897,'Transfer Engine'!$C$2:$C$1960,0)))</f>
        <v/>
      </c>
      <c r="D906" s="9">
        <f>IF(ISNA(MATCH(897,'Transfer Engine'!$C$2:$C$1960,0)),"",INDEX('Compliance Database'!$D$2:$D$1960,MATCH(897,'Transfer Engine'!$C$2:$C$1960,0)))</f>
        <v/>
      </c>
      <c r="E906" s="8">
        <f>IF(ISNA(MATCH(897,'Transfer Engine'!$C$2:$C$1960,0)),"",INDEX('Compliance Database'!$E$2:$E$1960,MATCH(897,'Transfer Engine'!$C$2:$C$1960,0)))</f>
        <v/>
      </c>
      <c r="F906" s="8">
        <f>IF(ISNA(MATCH(897,'Transfer Engine'!$C$2:$C$1960,0)),"",INDEX('Compliance Database'!$F$2:$F$1960,MATCH(897,'Transfer Engine'!$C$2:$C$1960,0)))</f>
        <v/>
      </c>
      <c r="G906" s="8">
        <f>IF(ISNA(MATCH(897,'Transfer Engine'!$C$2:$C$1960,0)),"",INDEX('Compliance Database'!$G$2:$G$1960,MATCH(897,'Transfer Engine'!$C$2:$C$1960,0)))</f>
        <v/>
      </c>
      <c r="H906" s="9">
        <f>IF(ISNA(MATCH(897,'Transfer Engine'!$C$2:$C$1960,0)),"",INDEX('Compliance Database'!$H$2:$H$1960,MATCH(897,'Transfer Engine'!$C$2:$C$1960,0)))</f>
        <v/>
      </c>
      <c r="I906" s="9">
        <f>IF(ISNA(MATCH(897,'Transfer Engine'!$C$2:$C$1960,0)),"",INDEX('Compliance Database'!$I$2:$I$1960,MATCH(897,'Transfer Engine'!$C$2:$C$1960,0)))</f>
        <v/>
      </c>
      <c r="J906" s="8">
        <f>IF(ISNA(MATCH(897,'Transfer Engine'!$C$2:$C$1960,0)),"",INDEX('Compliance Database'!$J$2:$J$1960,MATCH(897,'Transfer Engine'!$C$2:$C$1960,0)))</f>
        <v/>
      </c>
      <c r="K906" s="9">
        <f>IF(ISNA(MATCH(897,'Transfer Engine'!$C$2:$C$1960,0)),"",INDEX('Compliance Database'!$K$2:$K$1960,MATCH(897,'Transfer Engine'!$C$2:$C$1960,0)))</f>
        <v/>
      </c>
      <c r="L906" s="9">
        <f>IF(ISNA(MATCH(897,'Transfer Engine'!$C$2:$C$1960,0)),"",INDEX('Compliance Database'!$L$2:$L$1960,MATCH(897,'Transfer Engine'!$C$2:$C$1960,0)))</f>
        <v/>
      </c>
      <c r="M906" s="9">
        <f>IF(ISNA(MATCH(897,'Transfer Engine'!$C$2:$C$1960,0)),"",INDEX('Compliance Database'!$M$2:$M$1960,MATCH(897,'Transfer Engine'!$C$2:$C$1960,0)))</f>
        <v/>
      </c>
      <c r="N906" s="9">
        <f>IF(ISNA(MATCH(897,'Transfer Engine'!$C$2:$C$1960,0)),"",INDEX('Compliance Database'!$N$2:$N$1960,MATCH(897,'Transfer Engine'!$C$2:$C$1960,0)))</f>
        <v/>
      </c>
      <c r="O906" s="9">
        <f>IF(ISNA(MATCH(897,'Transfer Engine'!$C$2:$C$1960,0)),"",INDEX('Compliance Database'!$O$2:$O$1960,MATCH(897,'Transfer Engine'!$C$2:$C$1960,0)))</f>
        <v/>
      </c>
      <c r="P906" s="8">
        <f>IF(ISNA(MATCH(897,'Transfer Engine'!$C$2:$C$1960,0)),"",HYPERLINK("#Acts!A"&amp;INDEX('Compliance Database'!$P$2:$P$1960,MATCH(897,'Transfer Engine'!$C$2:$C$1960,0)),"Go to Act"))</f>
        <v/>
      </c>
    </row>
    <row r="907" ht="158" customHeight="1">
      <c r="A907" s="8">
        <f>IF(ISNA(MATCH(898,'Transfer Engine'!$C$2:$C$1960,0)),"",INDEX('Compliance Database'!$A$2:$A$1960,MATCH(898,'Transfer Engine'!$C$2:$C$1960,0)))</f>
        <v/>
      </c>
      <c r="B907" s="8">
        <f>IF(ISNA(MATCH(898,'Transfer Engine'!$C$2:$C$1960,0)),"",INDEX('Compliance Database'!$B$2:$B$1960,MATCH(898,'Transfer Engine'!$C$2:$C$1960,0)))</f>
        <v/>
      </c>
      <c r="C907" s="8">
        <f>IF(ISNA(MATCH(898,'Transfer Engine'!$C$2:$C$1960,0)),"",INDEX('Compliance Database'!$C$2:$C$1960,MATCH(898,'Transfer Engine'!$C$2:$C$1960,0)))</f>
        <v/>
      </c>
      <c r="D907" s="9">
        <f>IF(ISNA(MATCH(898,'Transfer Engine'!$C$2:$C$1960,0)),"",INDEX('Compliance Database'!$D$2:$D$1960,MATCH(898,'Transfer Engine'!$C$2:$C$1960,0)))</f>
        <v/>
      </c>
      <c r="E907" s="8">
        <f>IF(ISNA(MATCH(898,'Transfer Engine'!$C$2:$C$1960,0)),"",INDEX('Compliance Database'!$E$2:$E$1960,MATCH(898,'Transfer Engine'!$C$2:$C$1960,0)))</f>
        <v/>
      </c>
      <c r="F907" s="8">
        <f>IF(ISNA(MATCH(898,'Transfer Engine'!$C$2:$C$1960,0)),"",INDEX('Compliance Database'!$F$2:$F$1960,MATCH(898,'Transfer Engine'!$C$2:$C$1960,0)))</f>
        <v/>
      </c>
      <c r="G907" s="8">
        <f>IF(ISNA(MATCH(898,'Transfer Engine'!$C$2:$C$1960,0)),"",INDEX('Compliance Database'!$G$2:$G$1960,MATCH(898,'Transfer Engine'!$C$2:$C$1960,0)))</f>
        <v/>
      </c>
      <c r="H907" s="9">
        <f>IF(ISNA(MATCH(898,'Transfer Engine'!$C$2:$C$1960,0)),"",INDEX('Compliance Database'!$H$2:$H$1960,MATCH(898,'Transfer Engine'!$C$2:$C$1960,0)))</f>
        <v/>
      </c>
      <c r="I907" s="9">
        <f>IF(ISNA(MATCH(898,'Transfer Engine'!$C$2:$C$1960,0)),"",INDEX('Compliance Database'!$I$2:$I$1960,MATCH(898,'Transfer Engine'!$C$2:$C$1960,0)))</f>
        <v/>
      </c>
      <c r="J907" s="8">
        <f>IF(ISNA(MATCH(898,'Transfer Engine'!$C$2:$C$1960,0)),"",INDEX('Compliance Database'!$J$2:$J$1960,MATCH(898,'Transfer Engine'!$C$2:$C$1960,0)))</f>
        <v/>
      </c>
      <c r="K907" s="9">
        <f>IF(ISNA(MATCH(898,'Transfer Engine'!$C$2:$C$1960,0)),"",INDEX('Compliance Database'!$K$2:$K$1960,MATCH(898,'Transfer Engine'!$C$2:$C$1960,0)))</f>
        <v/>
      </c>
      <c r="L907" s="9">
        <f>IF(ISNA(MATCH(898,'Transfer Engine'!$C$2:$C$1960,0)),"",INDEX('Compliance Database'!$L$2:$L$1960,MATCH(898,'Transfer Engine'!$C$2:$C$1960,0)))</f>
        <v/>
      </c>
      <c r="M907" s="9">
        <f>IF(ISNA(MATCH(898,'Transfer Engine'!$C$2:$C$1960,0)),"",INDEX('Compliance Database'!$M$2:$M$1960,MATCH(898,'Transfer Engine'!$C$2:$C$1960,0)))</f>
        <v/>
      </c>
      <c r="N907" s="9">
        <f>IF(ISNA(MATCH(898,'Transfer Engine'!$C$2:$C$1960,0)),"",INDEX('Compliance Database'!$N$2:$N$1960,MATCH(898,'Transfer Engine'!$C$2:$C$1960,0)))</f>
        <v/>
      </c>
      <c r="O907" s="9">
        <f>IF(ISNA(MATCH(898,'Transfer Engine'!$C$2:$C$1960,0)),"",INDEX('Compliance Database'!$O$2:$O$1960,MATCH(898,'Transfer Engine'!$C$2:$C$1960,0)))</f>
        <v/>
      </c>
      <c r="P907" s="8">
        <f>IF(ISNA(MATCH(898,'Transfer Engine'!$C$2:$C$1960,0)),"",HYPERLINK("#Acts!A"&amp;INDEX('Compliance Database'!$P$2:$P$1960,MATCH(898,'Transfer Engine'!$C$2:$C$1960,0)),"Go to Act"))</f>
        <v/>
      </c>
    </row>
    <row r="908" ht="158" customHeight="1">
      <c r="A908" s="8">
        <f>IF(ISNA(MATCH(899,'Transfer Engine'!$C$2:$C$1960,0)),"",INDEX('Compliance Database'!$A$2:$A$1960,MATCH(899,'Transfer Engine'!$C$2:$C$1960,0)))</f>
        <v/>
      </c>
      <c r="B908" s="8">
        <f>IF(ISNA(MATCH(899,'Transfer Engine'!$C$2:$C$1960,0)),"",INDEX('Compliance Database'!$B$2:$B$1960,MATCH(899,'Transfer Engine'!$C$2:$C$1960,0)))</f>
        <v/>
      </c>
      <c r="C908" s="8">
        <f>IF(ISNA(MATCH(899,'Transfer Engine'!$C$2:$C$1960,0)),"",INDEX('Compliance Database'!$C$2:$C$1960,MATCH(899,'Transfer Engine'!$C$2:$C$1960,0)))</f>
        <v/>
      </c>
      <c r="D908" s="9">
        <f>IF(ISNA(MATCH(899,'Transfer Engine'!$C$2:$C$1960,0)),"",INDEX('Compliance Database'!$D$2:$D$1960,MATCH(899,'Transfer Engine'!$C$2:$C$1960,0)))</f>
        <v/>
      </c>
      <c r="E908" s="8">
        <f>IF(ISNA(MATCH(899,'Transfer Engine'!$C$2:$C$1960,0)),"",INDEX('Compliance Database'!$E$2:$E$1960,MATCH(899,'Transfer Engine'!$C$2:$C$1960,0)))</f>
        <v/>
      </c>
      <c r="F908" s="8">
        <f>IF(ISNA(MATCH(899,'Transfer Engine'!$C$2:$C$1960,0)),"",INDEX('Compliance Database'!$F$2:$F$1960,MATCH(899,'Transfer Engine'!$C$2:$C$1960,0)))</f>
        <v/>
      </c>
      <c r="G908" s="8">
        <f>IF(ISNA(MATCH(899,'Transfer Engine'!$C$2:$C$1960,0)),"",INDEX('Compliance Database'!$G$2:$G$1960,MATCH(899,'Transfer Engine'!$C$2:$C$1960,0)))</f>
        <v/>
      </c>
      <c r="H908" s="9">
        <f>IF(ISNA(MATCH(899,'Transfer Engine'!$C$2:$C$1960,0)),"",INDEX('Compliance Database'!$H$2:$H$1960,MATCH(899,'Transfer Engine'!$C$2:$C$1960,0)))</f>
        <v/>
      </c>
      <c r="I908" s="9">
        <f>IF(ISNA(MATCH(899,'Transfer Engine'!$C$2:$C$1960,0)),"",INDEX('Compliance Database'!$I$2:$I$1960,MATCH(899,'Transfer Engine'!$C$2:$C$1960,0)))</f>
        <v/>
      </c>
      <c r="J908" s="8">
        <f>IF(ISNA(MATCH(899,'Transfer Engine'!$C$2:$C$1960,0)),"",INDEX('Compliance Database'!$J$2:$J$1960,MATCH(899,'Transfer Engine'!$C$2:$C$1960,0)))</f>
        <v/>
      </c>
      <c r="K908" s="9">
        <f>IF(ISNA(MATCH(899,'Transfer Engine'!$C$2:$C$1960,0)),"",INDEX('Compliance Database'!$K$2:$K$1960,MATCH(899,'Transfer Engine'!$C$2:$C$1960,0)))</f>
        <v/>
      </c>
      <c r="L908" s="9">
        <f>IF(ISNA(MATCH(899,'Transfer Engine'!$C$2:$C$1960,0)),"",INDEX('Compliance Database'!$L$2:$L$1960,MATCH(899,'Transfer Engine'!$C$2:$C$1960,0)))</f>
        <v/>
      </c>
      <c r="M908" s="9">
        <f>IF(ISNA(MATCH(899,'Transfer Engine'!$C$2:$C$1960,0)),"",INDEX('Compliance Database'!$M$2:$M$1960,MATCH(899,'Transfer Engine'!$C$2:$C$1960,0)))</f>
        <v/>
      </c>
      <c r="N908" s="9">
        <f>IF(ISNA(MATCH(899,'Transfer Engine'!$C$2:$C$1960,0)),"",INDEX('Compliance Database'!$N$2:$N$1960,MATCH(899,'Transfer Engine'!$C$2:$C$1960,0)))</f>
        <v/>
      </c>
      <c r="O908" s="9">
        <f>IF(ISNA(MATCH(899,'Transfer Engine'!$C$2:$C$1960,0)),"",INDEX('Compliance Database'!$O$2:$O$1960,MATCH(899,'Transfer Engine'!$C$2:$C$1960,0)))</f>
        <v/>
      </c>
      <c r="P908" s="8">
        <f>IF(ISNA(MATCH(899,'Transfer Engine'!$C$2:$C$1960,0)),"",HYPERLINK("#Acts!A"&amp;INDEX('Compliance Database'!$P$2:$P$1960,MATCH(899,'Transfer Engine'!$C$2:$C$1960,0)),"Go to Act"))</f>
        <v/>
      </c>
    </row>
    <row r="909" ht="158" customHeight="1">
      <c r="A909" s="8">
        <f>IF(ISNA(MATCH(900,'Transfer Engine'!$C$2:$C$1960,0)),"",INDEX('Compliance Database'!$A$2:$A$1960,MATCH(900,'Transfer Engine'!$C$2:$C$1960,0)))</f>
        <v/>
      </c>
      <c r="B909" s="8">
        <f>IF(ISNA(MATCH(900,'Transfer Engine'!$C$2:$C$1960,0)),"",INDEX('Compliance Database'!$B$2:$B$1960,MATCH(900,'Transfer Engine'!$C$2:$C$1960,0)))</f>
        <v/>
      </c>
      <c r="C909" s="8">
        <f>IF(ISNA(MATCH(900,'Transfer Engine'!$C$2:$C$1960,0)),"",INDEX('Compliance Database'!$C$2:$C$1960,MATCH(900,'Transfer Engine'!$C$2:$C$1960,0)))</f>
        <v/>
      </c>
      <c r="D909" s="9">
        <f>IF(ISNA(MATCH(900,'Transfer Engine'!$C$2:$C$1960,0)),"",INDEX('Compliance Database'!$D$2:$D$1960,MATCH(900,'Transfer Engine'!$C$2:$C$1960,0)))</f>
        <v/>
      </c>
      <c r="E909" s="8">
        <f>IF(ISNA(MATCH(900,'Transfer Engine'!$C$2:$C$1960,0)),"",INDEX('Compliance Database'!$E$2:$E$1960,MATCH(900,'Transfer Engine'!$C$2:$C$1960,0)))</f>
        <v/>
      </c>
      <c r="F909" s="8">
        <f>IF(ISNA(MATCH(900,'Transfer Engine'!$C$2:$C$1960,0)),"",INDEX('Compliance Database'!$F$2:$F$1960,MATCH(900,'Transfer Engine'!$C$2:$C$1960,0)))</f>
        <v/>
      </c>
      <c r="G909" s="8">
        <f>IF(ISNA(MATCH(900,'Transfer Engine'!$C$2:$C$1960,0)),"",INDEX('Compliance Database'!$G$2:$G$1960,MATCH(900,'Transfer Engine'!$C$2:$C$1960,0)))</f>
        <v/>
      </c>
      <c r="H909" s="9">
        <f>IF(ISNA(MATCH(900,'Transfer Engine'!$C$2:$C$1960,0)),"",INDEX('Compliance Database'!$H$2:$H$1960,MATCH(900,'Transfer Engine'!$C$2:$C$1960,0)))</f>
        <v/>
      </c>
      <c r="I909" s="9">
        <f>IF(ISNA(MATCH(900,'Transfer Engine'!$C$2:$C$1960,0)),"",INDEX('Compliance Database'!$I$2:$I$1960,MATCH(900,'Transfer Engine'!$C$2:$C$1960,0)))</f>
        <v/>
      </c>
      <c r="J909" s="8">
        <f>IF(ISNA(MATCH(900,'Transfer Engine'!$C$2:$C$1960,0)),"",INDEX('Compliance Database'!$J$2:$J$1960,MATCH(900,'Transfer Engine'!$C$2:$C$1960,0)))</f>
        <v/>
      </c>
      <c r="K909" s="9">
        <f>IF(ISNA(MATCH(900,'Transfer Engine'!$C$2:$C$1960,0)),"",INDEX('Compliance Database'!$K$2:$K$1960,MATCH(900,'Transfer Engine'!$C$2:$C$1960,0)))</f>
        <v/>
      </c>
      <c r="L909" s="9">
        <f>IF(ISNA(MATCH(900,'Transfer Engine'!$C$2:$C$1960,0)),"",INDEX('Compliance Database'!$L$2:$L$1960,MATCH(900,'Transfer Engine'!$C$2:$C$1960,0)))</f>
        <v/>
      </c>
      <c r="M909" s="9">
        <f>IF(ISNA(MATCH(900,'Transfer Engine'!$C$2:$C$1960,0)),"",INDEX('Compliance Database'!$M$2:$M$1960,MATCH(900,'Transfer Engine'!$C$2:$C$1960,0)))</f>
        <v/>
      </c>
      <c r="N909" s="9">
        <f>IF(ISNA(MATCH(900,'Transfer Engine'!$C$2:$C$1960,0)),"",INDEX('Compliance Database'!$N$2:$N$1960,MATCH(900,'Transfer Engine'!$C$2:$C$1960,0)))</f>
        <v/>
      </c>
      <c r="O909" s="9">
        <f>IF(ISNA(MATCH(900,'Transfer Engine'!$C$2:$C$1960,0)),"",INDEX('Compliance Database'!$O$2:$O$1960,MATCH(900,'Transfer Engine'!$C$2:$C$1960,0)))</f>
        <v/>
      </c>
      <c r="P909" s="8">
        <f>IF(ISNA(MATCH(900,'Transfer Engine'!$C$2:$C$1960,0)),"",HYPERLINK("#Acts!A"&amp;INDEX('Compliance Database'!$P$2:$P$1960,MATCH(900,'Transfer Engine'!$C$2:$C$1960,0)),"Go to Act"))</f>
        <v/>
      </c>
    </row>
    <row r="910" ht="158" customHeight="1">
      <c r="A910" s="8">
        <f>IF(ISNA(MATCH(901,'Transfer Engine'!$C$2:$C$1960,0)),"",INDEX('Compliance Database'!$A$2:$A$1960,MATCH(901,'Transfer Engine'!$C$2:$C$1960,0)))</f>
        <v/>
      </c>
      <c r="B910" s="8">
        <f>IF(ISNA(MATCH(901,'Transfer Engine'!$C$2:$C$1960,0)),"",INDEX('Compliance Database'!$B$2:$B$1960,MATCH(901,'Transfer Engine'!$C$2:$C$1960,0)))</f>
        <v/>
      </c>
      <c r="C910" s="8">
        <f>IF(ISNA(MATCH(901,'Transfer Engine'!$C$2:$C$1960,0)),"",INDEX('Compliance Database'!$C$2:$C$1960,MATCH(901,'Transfer Engine'!$C$2:$C$1960,0)))</f>
        <v/>
      </c>
      <c r="D910" s="9">
        <f>IF(ISNA(MATCH(901,'Transfer Engine'!$C$2:$C$1960,0)),"",INDEX('Compliance Database'!$D$2:$D$1960,MATCH(901,'Transfer Engine'!$C$2:$C$1960,0)))</f>
        <v/>
      </c>
      <c r="E910" s="8">
        <f>IF(ISNA(MATCH(901,'Transfer Engine'!$C$2:$C$1960,0)),"",INDEX('Compliance Database'!$E$2:$E$1960,MATCH(901,'Transfer Engine'!$C$2:$C$1960,0)))</f>
        <v/>
      </c>
      <c r="F910" s="8">
        <f>IF(ISNA(MATCH(901,'Transfer Engine'!$C$2:$C$1960,0)),"",INDEX('Compliance Database'!$F$2:$F$1960,MATCH(901,'Transfer Engine'!$C$2:$C$1960,0)))</f>
        <v/>
      </c>
      <c r="G910" s="8">
        <f>IF(ISNA(MATCH(901,'Transfer Engine'!$C$2:$C$1960,0)),"",INDEX('Compliance Database'!$G$2:$G$1960,MATCH(901,'Transfer Engine'!$C$2:$C$1960,0)))</f>
        <v/>
      </c>
      <c r="H910" s="9">
        <f>IF(ISNA(MATCH(901,'Transfer Engine'!$C$2:$C$1960,0)),"",INDEX('Compliance Database'!$H$2:$H$1960,MATCH(901,'Transfer Engine'!$C$2:$C$1960,0)))</f>
        <v/>
      </c>
      <c r="I910" s="9">
        <f>IF(ISNA(MATCH(901,'Transfer Engine'!$C$2:$C$1960,0)),"",INDEX('Compliance Database'!$I$2:$I$1960,MATCH(901,'Transfer Engine'!$C$2:$C$1960,0)))</f>
        <v/>
      </c>
      <c r="J910" s="8">
        <f>IF(ISNA(MATCH(901,'Transfer Engine'!$C$2:$C$1960,0)),"",INDEX('Compliance Database'!$J$2:$J$1960,MATCH(901,'Transfer Engine'!$C$2:$C$1960,0)))</f>
        <v/>
      </c>
      <c r="K910" s="9">
        <f>IF(ISNA(MATCH(901,'Transfer Engine'!$C$2:$C$1960,0)),"",INDEX('Compliance Database'!$K$2:$K$1960,MATCH(901,'Transfer Engine'!$C$2:$C$1960,0)))</f>
        <v/>
      </c>
      <c r="L910" s="9">
        <f>IF(ISNA(MATCH(901,'Transfer Engine'!$C$2:$C$1960,0)),"",INDEX('Compliance Database'!$L$2:$L$1960,MATCH(901,'Transfer Engine'!$C$2:$C$1960,0)))</f>
        <v/>
      </c>
      <c r="M910" s="9">
        <f>IF(ISNA(MATCH(901,'Transfer Engine'!$C$2:$C$1960,0)),"",INDEX('Compliance Database'!$M$2:$M$1960,MATCH(901,'Transfer Engine'!$C$2:$C$1960,0)))</f>
        <v/>
      </c>
      <c r="N910" s="9">
        <f>IF(ISNA(MATCH(901,'Transfer Engine'!$C$2:$C$1960,0)),"",INDEX('Compliance Database'!$N$2:$N$1960,MATCH(901,'Transfer Engine'!$C$2:$C$1960,0)))</f>
        <v/>
      </c>
      <c r="O910" s="9">
        <f>IF(ISNA(MATCH(901,'Transfer Engine'!$C$2:$C$1960,0)),"",INDEX('Compliance Database'!$O$2:$O$1960,MATCH(901,'Transfer Engine'!$C$2:$C$1960,0)))</f>
        <v/>
      </c>
      <c r="P910" s="8">
        <f>IF(ISNA(MATCH(901,'Transfer Engine'!$C$2:$C$1960,0)),"",HYPERLINK("#Acts!A"&amp;INDEX('Compliance Database'!$P$2:$P$1960,MATCH(901,'Transfer Engine'!$C$2:$C$1960,0)),"Go to Act"))</f>
        <v/>
      </c>
    </row>
    <row r="911" ht="158" customHeight="1">
      <c r="A911" s="8">
        <f>IF(ISNA(MATCH(902,'Transfer Engine'!$C$2:$C$1960,0)),"",INDEX('Compliance Database'!$A$2:$A$1960,MATCH(902,'Transfer Engine'!$C$2:$C$1960,0)))</f>
        <v/>
      </c>
      <c r="B911" s="8">
        <f>IF(ISNA(MATCH(902,'Transfer Engine'!$C$2:$C$1960,0)),"",INDEX('Compliance Database'!$B$2:$B$1960,MATCH(902,'Transfer Engine'!$C$2:$C$1960,0)))</f>
        <v/>
      </c>
      <c r="C911" s="8">
        <f>IF(ISNA(MATCH(902,'Transfer Engine'!$C$2:$C$1960,0)),"",INDEX('Compliance Database'!$C$2:$C$1960,MATCH(902,'Transfer Engine'!$C$2:$C$1960,0)))</f>
        <v/>
      </c>
      <c r="D911" s="9">
        <f>IF(ISNA(MATCH(902,'Transfer Engine'!$C$2:$C$1960,0)),"",INDEX('Compliance Database'!$D$2:$D$1960,MATCH(902,'Transfer Engine'!$C$2:$C$1960,0)))</f>
        <v/>
      </c>
      <c r="E911" s="8">
        <f>IF(ISNA(MATCH(902,'Transfer Engine'!$C$2:$C$1960,0)),"",INDEX('Compliance Database'!$E$2:$E$1960,MATCH(902,'Transfer Engine'!$C$2:$C$1960,0)))</f>
        <v/>
      </c>
      <c r="F911" s="8">
        <f>IF(ISNA(MATCH(902,'Transfer Engine'!$C$2:$C$1960,0)),"",INDEX('Compliance Database'!$F$2:$F$1960,MATCH(902,'Transfer Engine'!$C$2:$C$1960,0)))</f>
        <v/>
      </c>
      <c r="G911" s="8">
        <f>IF(ISNA(MATCH(902,'Transfer Engine'!$C$2:$C$1960,0)),"",INDEX('Compliance Database'!$G$2:$G$1960,MATCH(902,'Transfer Engine'!$C$2:$C$1960,0)))</f>
        <v/>
      </c>
      <c r="H911" s="9">
        <f>IF(ISNA(MATCH(902,'Transfer Engine'!$C$2:$C$1960,0)),"",INDEX('Compliance Database'!$H$2:$H$1960,MATCH(902,'Transfer Engine'!$C$2:$C$1960,0)))</f>
        <v/>
      </c>
      <c r="I911" s="9">
        <f>IF(ISNA(MATCH(902,'Transfer Engine'!$C$2:$C$1960,0)),"",INDEX('Compliance Database'!$I$2:$I$1960,MATCH(902,'Transfer Engine'!$C$2:$C$1960,0)))</f>
        <v/>
      </c>
      <c r="J911" s="8">
        <f>IF(ISNA(MATCH(902,'Transfer Engine'!$C$2:$C$1960,0)),"",INDEX('Compliance Database'!$J$2:$J$1960,MATCH(902,'Transfer Engine'!$C$2:$C$1960,0)))</f>
        <v/>
      </c>
      <c r="K911" s="9">
        <f>IF(ISNA(MATCH(902,'Transfer Engine'!$C$2:$C$1960,0)),"",INDEX('Compliance Database'!$K$2:$K$1960,MATCH(902,'Transfer Engine'!$C$2:$C$1960,0)))</f>
        <v/>
      </c>
      <c r="L911" s="9">
        <f>IF(ISNA(MATCH(902,'Transfer Engine'!$C$2:$C$1960,0)),"",INDEX('Compliance Database'!$L$2:$L$1960,MATCH(902,'Transfer Engine'!$C$2:$C$1960,0)))</f>
        <v/>
      </c>
      <c r="M911" s="9">
        <f>IF(ISNA(MATCH(902,'Transfer Engine'!$C$2:$C$1960,0)),"",INDEX('Compliance Database'!$M$2:$M$1960,MATCH(902,'Transfer Engine'!$C$2:$C$1960,0)))</f>
        <v/>
      </c>
      <c r="N911" s="9">
        <f>IF(ISNA(MATCH(902,'Transfer Engine'!$C$2:$C$1960,0)),"",INDEX('Compliance Database'!$N$2:$N$1960,MATCH(902,'Transfer Engine'!$C$2:$C$1960,0)))</f>
        <v/>
      </c>
      <c r="O911" s="9">
        <f>IF(ISNA(MATCH(902,'Transfer Engine'!$C$2:$C$1960,0)),"",INDEX('Compliance Database'!$O$2:$O$1960,MATCH(902,'Transfer Engine'!$C$2:$C$1960,0)))</f>
        <v/>
      </c>
      <c r="P911" s="8">
        <f>IF(ISNA(MATCH(902,'Transfer Engine'!$C$2:$C$1960,0)),"",HYPERLINK("#Acts!A"&amp;INDEX('Compliance Database'!$P$2:$P$1960,MATCH(902,'Transfer Engine'!$C$2:$C$1960,0)),"Go to Act"))</f>
        <v/>
      </c>
    </row>
    <row r="912" ht="158" customHeight="1">
      <c r="A912" s="8">
        <f>IF(ISNA(MATCH(903,'Transfer Engine'!$C$2:$C$1960,0)),"",INDEX('Compliance Database'!$A$2:$A$1960,MATCH(903,'Transfer Engine'!$C$2:$C$1960,0)))</f>
        <v/>
      </c>
      <c r="B912" s="8">
        <f>IF(ISNA(MATCH(903,'Transfer Engine'!$C$2:$C$1960,0)),"",INDEX('Compliance Database'!$B$2:$B$1960,MATCH(903,'Transfer Engine'!$C$2:$C$1960,0)))</f>
        <v/>
      </c>
      <c r="C912" s="8">
        <f>IF(ISNA(MATCH(903,'Transfer Engine'!$C$2:$C$1960,0)),"",INDEX('Compliance Database'!$C$2:$C$1960,MATCH(903,'Transfer Engine'!$C$2:$C$1960,0)))</f>
        <v/>
      </c>
      <c r="D912" s="9">
        <f>IF(ISNA(MATCH(903,'Transfer Engine'!$C$2:$C$1960,0)),"",INDEX('Compliance Database'!$D$2:$D$1960,MATCH(903,'Transfer Engine'!$C$2:$C$1960,0)))</f>
        <v/>
      </c>
      <c r="E912" s="8">
        <f>IF(ISNA(MATCH(903,'Transfer Engine'!$C$2:$C$1960,0)),"",INDEX('Compliance Database'!$E$2:$E$1960,MATCH(903,'Transfer Engine'!$C$2:$C$1960,0)))</f>
        <v/>
      </c>
      <c r="F912" s="8">
        <f>IF(ISNA(MATCH(903,'Transfer Engine'!$C$2:$C$1960,0)),"",INDEX('Compliance Database'!$F$2:$F$1960,MATCH(903,'Transfer Engine'!$C$2:$C$1960,0)))</f>
        <v/>
      </c>
      <c r="G912" s="8">
        <f>IF(ISNA(MATCH(903,'Transfer Engine'!$C$2:$C$1960,0)),"",INDEX('Compliance Database'!$G$2:$G$1960,MATCH(903,'Transfer Engine'!$C$2:$C$1960,0)))</f>
        <v/>
      </c>
      <c r="H912" s="9">
        <f>IF(ISNA(MATCH(903,'Transfer Engine'!$C$2:$C$1960,0)),"",INDEX('Compliance Database'!$H$2:$H$1960,MATCH(903,'Transfer Engine'!$C$2:$C$1960,0)))</f>
        <v/>
      </c>
      <c r="I912" s="9">
        <f>IF(ISNA(MATCH(903,'Transfer Engine'!$C$2:$C$1960,0)),"",INDEX('Compliance Database'!$I$2:$I$1960,MATCH(903,'Transfer Engine'!$C$2:$C$1960,0)))</f>
        <v/>
      </c>
      <c r="J912" s="8">
        <f>IF(ISNA(MATCH(903,'Transfer Engine'!$C$2:$C$1960,0)),"",INDEX('Compliance Database'!$J$2:$J$1960,MATCH(903,'Transfer Engine'!$C$2:$C$1960,0)))</f>
        <v/>
      </c>
      <c r="K912" s="9">
        <f>IF(ISNA(MATCH(903,'Transfer Engine'!$C$2:$C$1960,0)),"",INDEX('Compliance Database'!$K$2:$K$1960,MATCH(903,'Transfer Engine'!$C$2:$C$1960,0)))</f>
        <v/>
      </c>
      <c r="L912" s="9">
        <f>IF(ISNA(MATCH(903,'Transfer Engine'!$C$2:$C$1960,0)),"",INDEX('Compliance Database'!$L$2:$L$1960,MATCH(903,'Transfer Engine'!$C$2:$C$1960,0)))</f>
        <v/>
      </c>
      <c r="M912" s="9">
        <f>IF(ISNA(MATCH(903,'Transfer Engine'!$C$2:$C$1960,0)),"",INDEX('Compliance Database'!$M$2:$M$1960,MATCH(903,'Transfer Engine'!$C$2:$C$1960,0)))</f>
        <v/>
      </c>
      <c r="N912" s="9">
        <f>IF(ISNA(MATCH(903,'Transfer Engine'!$C$2:$C$1960,0)),"",INDEX('Compliance Database'!$N$2:$N$1960,MATCH(903,'Transfer Engine'!$C$2:$C$1960,0)))</f>
        <v/>
      </c>
      <c r="O912" s="9">
        <f>IF(ISNA(MATCH(903,'Transfer Engine'!$C$2:$C$1960,0)),"",INDEX('Compliance Database'!$O$2:$O$1960,MATCH(903,'Transfer Engine'!$C$2:$C$1960,0)))</f>
        <v/>
      </c>
      <c r="P912" s="8">
        <f>IF(ISNA(MATCH(903,'Transfer Engine'!$C$2:$C$1960,0)),"",HYPERLINK("#Acts!A"&amp;INDEX('Compliance Database'!$P$2:$P$1960,MATCH(903,'Transfer Engine'!$C$2:$C$1960,0)),"Go to Act"))</f>
        <v/>
      </c>
    </row>
    <row r="913" ht="158" customHeight="1">
      <c r="A913" s="8">
        <f>IF(ISNA(MATCH(904,'Transfer Engine'!$C$2:$C$1960,0)),"",INDEX('Compliance Database'!$A$2:$A$1960,MATCH(904,'Transfer Engine'!$C$2:$C$1960,0)))</f>
        <v/>
      </c>
      <c r="B913" s="8">
        <f>IF(ISNA(MATCH(904,'Transfer Engine'!$C$2:$C$1960,0)),"",INDEX('Compliance Database'!$B$2:$B$1960,MATCH(904,'Transfer Engine'!$C$2:$C$1960,0)))</f>
        <v/>
      </c>
      <c r="C913" s="8">
        <f>IF(ISNA(MATCH(904,'Transfer Engine'!$C$2:$C$1960,0)),"",INDEX('Compliance Database'!$C$2:$C$1960,MATCH(904,'Transfer Engine'!$C$2:$C$1960,0)))</f>
        <v/>
      </c>
      <c r="D913" s="9">
        <f>IF(ISNA(MATCH(904,'Transfer Engine'!$C$2:$C$1960,0)),"",INDEX('Compliance Database'!$D$2:$D$1960,MATCH(904,'Transfer Engine'!$C$2:$C$1960,0)))</f>
        <v/>
      </c>
      <c r="E913" s="8">
        <f>IF(ISNA(MATCH(904,'Transfer Engine'!$C$2:$C$1960,0)),"",INDEX('Compliance Database'!$E$2:$E$1960,MATCH(904,'Transfer Engine'!$C$2:$C$1960,0)))</f>
        <v/>
      </c>
      <c r="F913" s="8">
        <f>IF(ISNA(MATCH(904,'Transfer Engine'!$C$2:$C$1960,0)),"",INDEX('Compliance Database'!$F$2:$F$1960,MATCH(904,'Transfer Engine'!$C$2:$C$1960,0)))</f>
        <v/>
      </c>
      <c r="G913" s="8">
        <f>IF(ISNA(MATCH(904,'Transfer Engine'!$C$2:$C$1960,0)),"",INDEX('Compliance Database'!$G$2:$G$1960,MATCH(904,'Transfer Engine'!$C$2:$C$1960,0)))</f>
        <v/>
      </c>
      <c r="H913" s="9">
        <f>IF(ISNA(MATCH(904,'Transfer Engine'!$C$2:$C$1960,0)),"",INDEX('Compliance Database'!$H$2:$H$1960,MATCH(904,'Transfer Engine'!$C$2:$C$1960,0)))</f>
        <v/>
      </c>
      <c r="I913" s="9">
        <f>IF(ISNA(MATCH(904,'Transfer Engine'!$C$2:$C$1960,0)),"",INDEX('Compliance Database'!$I$2:$I$1960,MATCH(904,'Transfer Engine'!$C$2:$C$1960,0)))</f>
        <v/>
      </c>
      <c r="J913" s="8">
        <f>IF(ISNA(MATCH(904,'Transfer Engine'!$C$2:$C$1960,0)),"",INDEX('Compliance Database'!$J$2:$J$1960,MATCH(904,'Transfer Engine'!$C$2:$C$1960,0)))</f>
        <v/>
      </c>
      <c r="K913" s="9">
        <f>IF(ISNA(MATCH(904,'Transfer Engine'!$C$2:$C$1960,0)),"",INDEX('Compliance Database'!$K$2:$K$1960,MATCH(904,'Transfer Engine'!$C$2:$C$1960,0)))</f>
        <v/>
      </c>
      <c r="L913" s="9">
        <f>IF(ISNA(MATCH(904,'Transfer Engine'!$C$2:$C$1960,0)),"",INDEX('Compliance Database'!$L$2:$L$1960,MATCH(904,'Transfer Engine'!$C$2:$C$1960,0)))</f>
        <v/>
      </c>
      <c r="M913" s="9">
        <f>IF(ISNA(MATCH(904,'Transfer Engine'!$C$2:$C$1960,0)),"",INDEX('Compliance Database'!$M$2:$M$1960,MATCH(904,'Transfer Engine'!$C$2:$C$1960,0)))</f>
        <v/>
      </c>
      <c r="N913" s="9">
        <f>IF(ISNA(MATCH(904,'Transfer Engine'!$C$2:$C$1960,0)),"",INDEX('Compliance Database'!$N$2:$N$1960,MATCH(904,'Transfer Engine'!$C$2:$C$1960,0)))</f>
        <v/>
      </c>
      <c r="O913" s="9">
        <f>IF(ISNA(MATCH(904,'Transfer Engine'!$C$2:$C$1960,0)),"",INDEX('Compliance Database'!$O$2:$O$1960,MATCH(904,'Transfer Engine'!$C$2:$C$1960,0)))</f>
        <v/>
      </c>
      <c r="P913" s="8">
        <f>IF(ISNA(MATCH(904,'Transfer Engine'!$C$2:$C$1960,0)),"",HYPERLINK("#Acts!A"&amp;INDEX('Compliance Database'!$P$2:$P$1960,MATCH(904,'Transfer Engine'!$C$2:$C$1960,0)),"Go to Act"))</f>
        <v/>
      </c>
    </row>
    <row r="914" ht="158" customHeight="1">
      <c r="A914" s="8">
        <f>IF(ISNA(MATCH(905,'Transfer Engine'!$C$2:$C$1960,0)),"",INDEX('Compliance Database'!$A$2:$A$1960,MATCH(905,'Transfer Engine'!$C$2:$C$1960,0)))</f>
        <v/>
      </c>
      <c r="B914" s="8">
        <f>IF(ISNA(MATCH(905,'Transfer Engine'!$C$2:$C$1960,0)),"",INDEX('Compliance Database'!$B$2:$B$1960,MATCH(905,'Transfer Engine'!$C$2:$C$1960,0)))</f>
        <v/>
      </c>
      <c r="C914" s="8">
        <f>IF(ISNA(MATCH(905,'Transfer Engine'!$C$2:$C$1960,0)),"",INDEX('Compliance Database'!$C$2:$C$1960,MATCH(905,'Transfer Engine'!$C$2:$C$1960,0)))</f>
        <v/>
      </c>
      <c r="D914" s="9">
        <f>IF(ISNA(MATCH(905,'Transfer Engine'!$C$2:$C$1960,0)),"",INDEX('Compliance Database'!$D$2:$D$1960,MATCH(905,'Transfer Engine'!$C$2:$C$1960,0)))</f>
        <v/>
      </c>
      <c r="E914" s="8">
        <f>IF(ISNA(MATCH(905,'Transfer Engine'!$C$2:$C$1960,0)),"",INDEX('Compliance Database'!$E$2:$E$1960,MATCH(905,'Transfer Engine'!$C$2:$C$1960,0)))</f>
        <v/>
      </c>
      <c r="F914" s="8">
        <f>IF(ISNA(MATCH(905,'Transfer Engine'!$C$2:$C$1960,0)),"",INDEX('Compliance Database'!$F$2:$F$1960,MATCH(905,'Transfer Engine'!$C$2:$C$1960,0)))</f>
        <v/>
      </c>
      <c r="G914" s="8">
        <f>IF(ISNA(MATCH(905,'Transfer Engine'!$C$2:$C$1960,0)),"",INDEX('Compliance Database'!$G$2:$G$1960,MATCH(905,'Transfer Engine'!$C$2:$C$1960,0)))</f>
        <v/>
      </c>
      <c r="H914" s="9">
        <f>IF(ISNA(MATCH(905,'Transfer Engine'!$C$2:$C$1960,0)),"",INDEX('Compliance Database'!$H$2:$H$1960,MATCH(905,'Transfer Engine'!$C$2:$C$1960,0)))</f>
        <v/>
      </c>
      <c r="I914" s="9">
        <f>IF(ISNA(MATCH(905,'Transfer Engine'!$C$2:$C$1960,0)),"",INDEX('Compliance Database'!$I$2:$I$1960,MATCH(905,'Transfer Engine'!$C$2:$C$1960,0)))</f>
        <v/>
      </c>
      <c r="J914" s="8">
        <f>IF(ISNA(MATCH(905,'Transfer Engine'!$C$2:$C$1960,0)),"",INDEX('Compliance Database'!$J$2:$J$1960,MATCH(905,'Transfer Engine'!$C$2:$C$1960,0)))</f>
        <v/>
      </c>
      <c r="K914" s="9">
        <f>IF(ISNA(MATCH(905,'Transfer Engine'!$C$2:$C$1960,0)),"",INDEX('Compliance Database'!$K$2:$K$1960,MATCH(905,'Transfer Engine'!$C$2:$C$1960,0)))</f>
        <v/>
      </c>
      <c r="L914" s="9">
        <f>IF(ISNA(MATCH(905,'Transfer Engine'!$C$2:$C$1960,0)),"",INDEX('Compliance Database'!$L$2:$L$1960,MATCH(905,'Transfer Engine'!$C$2:$C$1960,0)))</f>
        <v/>
      </c>
      <c r="M914" s="9">
        <f>IF(ISNA(MATCH(905,'Transfer Engine'!$C$2:$C$1960,0)),"",INDEX('Compliance Database'!$M$2:$M$1960,MATCH(905,'Transfer Engine'!$C$2:$C$1960,0)))</f>
        <v/>
      </c>
      <c r="N914" s="9">
        <f>IF(ISNA(MATCH(905,'Transfer Engine'!$C$2:$C$1960,0)),"",INDEX('Compliance Database'!$N$2:$N$1960,MATCH(905,'Transfer Engine'!$C$2:$C$1960,0)))</f>
        <v/>
      </c>
      <c r="O914" s="9">
        <f>IF(ISNA(MATCH(905,'Transfer Engine'!$C$2:$C$1960,0)),"",INDEX('Compliance Database'!$O$2:$O$1960,MATCH(905,'Transfer Engine'!$C$2:$C$1960,0)))</f>
        <v/>
      </c>
      <c r="P914" s="8">
        <f>IF(ISNA(MATCH(905,'Transfer Engine'!$C$2:$C$1960,0)),"",HYPERLINK("#Acts!A"&amp;INDEX('Compliance Database'!$P$2:$P$1960,MATCH(905,'Transfer Engine'!$C$2:$C$1960,0)),"Go to Act"))</f>
        <v/>
      </c>
    </row>
    <row r="915" ht="158" customHeight="1">
      <c r="A915" s="8">
        <f>IF(ISNA(MATCH(906,'Transfer Engine'!$C$2:$C$1960,0)),"",INDEX('Compliance Database'!$A$2:$A$1960,MATCH(906,'Transfer Engine'!$C$2:$C$1960,0)))</f>
        <v/>
      </c>
      <c r="B915" s="8">
        <f>IF(ISNA(MATCH(906,'Transfer Engine'!$C$2:$C$1960,0)),"",INDEX('Compliance Database'!$B$2:$B$1960,MATCH(906,'Transfer Engine'!$C$2:$C$1960,0)))</f>
        <v/>
      </c>
      <c r="C915" s="8">
        <f>IF(ISNA(MATCH(906,'Transfer Engine'!$C$2:$C$1960,0)),"",INDEX('Compliance Database'!$C$2:$C$1960,MATCH(906,'Transfer Engine'!$C$2:$C$1960,0)))</f>
        <v/>
      </c>
      <c r="D915" s="9">
        <f>IF(ISNA(MATCH(906,'Transfer Engine'!$C$2:$C$1960,0)),"",INDEX('Compliance Database'!$D$2:$D$1960,MATCH(906,'Transfer Engine'!$C$2:$C$1960,0)))</f>
        <v/>
      </c>
      <c r="E915" s="8">
        <f>IF(ISNA(MATCH(906,'Transfer Engine'!$C$2:$C$1960,0)),"",INDEX('Compliance Database'!$E$2:$E$1960,MATCH(906,'Transfer Engine'!$C$2:$C$1960,0)))</f>
        <v/>
      </c>
      <c r="F915" s="8">
        <f>IF(ISNA(MATCH(906,'Transfer Engine'!$C$2:$C$1960,0)),"",INDEX('Compliance Database'!$F$2:$F$1960,MATCH(906,'Transfer Engine'!$C$2:$C$1960,0)))</f>
        <v/>
      </c>
      <c r="G915" s="8">
        <f>IF(ISNA(MATCH(906,'Transfer Engine'!$C$2:$C$1960,0)),"",INDEX('Compliance Database'!$G$2:$G$1960,MATCH(906,'Transfer Engine'!$C$2:$C$1960,0)))</f>
        <v/>
      </c>
      <c r="H915" s="9">
        <f>IF(ISNA(MATCH(906,'Transfer Engine'!$C$2:$C$1960,0)),"",INDEX('Compliance Database'!$H$2:$H$1960,MATCH(906,'Transfer Engine'!$C$2:$C$1960,0)))</f>
        <v/>
      </c>
      <c r="I915" s="9">
        <f>IF(ISNA(MATCH(906,'Transfer Engine'!$C$2:$C$1960,0)),"",INDEX('Compliance Database'!$I$2:$I$1960,MATCH(906,'Transfer Engine'!$C$2:$C$1960,0)))</f>
        <v/>
      </c>
      <c r="J915" s="8">
        <f>IF(ISNA(MATCH(906,'Transfer Engine'!$C$2:$C$1960,0)),"",INDEX('Compliance Database'!$J$2:$J$1960,MATCH(906,'Transfer Engine'!$C$2:$C$1960,0)))</f>
        <v/>
      </c>
      <c r="K915" s="9">
        <f>IF(ISNA(MATCH(906,'Transfer Engine'!$C$2:$C$1960,0)),"",INDEX('Compliance Database'!$K$2:$K$1960,MATCH(906,'Transfer Engine'!$C$2:$C$1960,0)))</f>
        <v/>
      </c>
      <c r="L915" s="9">
        <f>IF(ISNA(MATCH(906,'Transfer Engine'!$C$2:$C$1960,0)),"",INDEX('Compliance Database'!$L$2:$L$1960,MATCH(906,'Transfer Engine'!$C$2:$C$1960,0)))</f>
        <v/>
      </c>
      <c r="M915" s="9">
        <f>IF(ISNA(MATCH(906,'Transfer Engine'!$C$2:$C$1960,0)),"",INDEX('Compliance Database'!$M$2:$M$1960,MATCH(906,'Transfer Engine'!$C$2:$C$1960,0)))</f>
        <v/>
      </c>
      <c r="N915" s="9">
        <f>IF(ISNA(MATCH(906,'Transfer Engine'!$C$2:$C$1960,0)),"",INDEX('Compliance Database'!$N$2:$N$1960,MATCH(906,'Transfer Engine'!$C$2:$C$1960,0)))</f>
        <v/>
      </c>
      <c r="O915" s="9">
        <f>IF(ISNA(MATCH(906,'Transfer Engine'!$C$2:$C$1960,0)),"",INDEX('Compliance Database'!$O$2:$O$1960,MATCH(906,'Transfer Engine'!$C$2:$C$1960,0)))</f>
        <v/>
      </c>
      <c r="P915" s="8">
        <f>IF(ISNA(MATCH(906,'Transfer Engine'!$C$2:$C$1960,0)),"",HYPERLINK("#Acts!A"&amp;INDEX('Compliance Database'!$P$2:$P$1960,MATCH(906,'Transfer Engine'!$C$2:$C$1960,0)),"Go to Act"))</f>
        <v/>
      </c>
    </row>
    <row r="916" ht="158" customHeight="1">
      <c r="A916" s="8">
        <f>IF(ISNA(MATCH(907,'Transfer Engine'!$C$2:$C$1960,0)),"",INDEX('Compliance Database'!$A$2:$A$1960,MATCH(907,'Transfer Engine'!$C$2:$C$1960,0)))</f>
        <v/>
      </c>
      <c r="B916" s="8">
        <f>IF(ISNA(MATCH(907,'Transfer Engine'!$C$2:$C$1960,0)),"",INDEX('Compliance Database'!$B$2:$B$1960,MATCH(907,'Transfer Engine'!$C$2:$C$1960,0)))</f>
        <v/>
      </c>
      <c r="C916" s="8">
        <f>IF(ISNA(MATCH(907,'Transfer Engine'!$C$2:$C$1960,0)),"",INDEX('Compliance Database'!$C$2:$C$1960,MATCH(907,'Transfer Engine'!$C$2:$C$1960,0)))</f>
        <v/>
      </c>
      <c r="D916" s="9">
        <f>IF(ISNA(MATCH(907,'Transfer Engine'!$C$2:$C$1960,0)),"",INDEX('Compliance Database'!$D$2:$D$1960,MATCH(907,'Transfer Engine'!$C$2:$C$1960,0)))</f>
        <v/>
      </c>
      <c r="E916" s="8">
        <f>IF(ISNA(MATCH(907,'Transfer Engine'!$C$2:$C$1960,0)),"",INDEX('Compliance Database'!$E$2:$E$1960,MATCH(907,'Transfer Engine'!$C$2:$C$1960,0)))</f>
        <v/>
      </c>
      <c r="F916" s="8">
        <f>IF(ISNA(MATCH(907,'Transfer Engine'!$C$2:$C$1960,0)),"",INDEX('Compliance Database'!$F$2:$F$1960,MATCH(907,'Transfer Engine'!$C$2:$C$1960,0)))</f>
        <v/>
      </c>
      <c r="G916" s="8">
        <f>IF(ISNA(MATCH(907,'Transfer Engine'!$C$2:$C$1960,0)),"",INDEX('Compliance Database'!$G$2:$G$1960,MATCH(907,'Transfer Engine'!$C$2:$C$1960,0)))</f>
        <v/>
      </c>
      <c r="H916" s="9">
        <f>IF(ISNA(MATCH(907,'Transfer Engine'!$C$2:$C$1960,0)),"",INDEX('Compliance Database'!$H$2:$H$1960,MATCH(907,'Transfer Engine'!$C$2:$C$1960,0)))</f>
        <v/>
      </c>
      <c r="I916" s="9">
        <f>IF(ISNA(MATCH(907,'Transfer Engine'!$C$2:$C$1960,0)),"",INDEX('Compliance Database'!$I$2:$I$1960,MATCH(907,'Transfer Engine'!$C$2:$C$1960,0)))</f>
        <v/>
      </c>
      <c r="J916" s="8">
        <f>IF(ISNA(MATCH(907,'Transfer Engine'!$C$2:$C$1960,0)),"",INDEX('Compliance Database'!$J$2:$J$1960,MATCH(907,'Transfer Engine'!$C$2:$C$1960,0)))</f>
        <v/>
      </c>
      <c r="K916" s="9">
        <f>IF(ISNA(MATCH(907,'Transfer Engine'!$C$2:$C$1960,0)),"",INDEX('Compliance Database'!$K$2:$K$1960,MATCH(907,'Transfer Engine'!$C$2:$C$1960,0)))</f>
        <v/>
      </c>
      <c r="L916" s="9">
        <f>IF(ISNA(MATCH(907,'Transfer Engine'!$C$2:$C$1960,0)),"",INDEX('Compliance Database'!$L$2:$L$1960,MATCH(907,'Transfer Engine'!$C$2:$C$1960,0)))</f>
        <v/>
      </c>
      <c r="M916" s="9">
        <f>IF(ISNA(MATCH(907,'Transfer Engine'!$C$2:$C$1960,0)),"",INDEX('Compliance Database'!$M$2:$M$1960,MATCH(907,'Transfer Engine'!$C$2:$C$1960,0)))</f>
        <v/>
      </c>
      <c r="N916" s="9">
        <f>IF(ISNA(MATCH(907,'Transfer Engine'!$C$2:$C$1960,0)),"",INDEX('Compliance Database'!$N$2:$N$1960,MATCH(907,'Transfer Engine'!$C$2:$C$1960,0)))</f>
        <v/>
      </c>
      <c r="O916" s="9">
        <f>IF(ISNA(MATCH(907,'Transfer Engine'!$C$2:$C$1960,0)),"",INDEX('Compliance Database'!$O$2:$O$1960,MATCH(907,'Transfer Engine'!$C$2:$C$1960,0)))</f>
        <v/>
      </c>
      <c r="P916" s="8">
        <f>IF(ISNA(MATCH(907,'Transfer Engine'!$C$2:$C$1960,0)),"",HYPERLINK("#Acts!A"&amp;INDEX('Compliance Database'!$P$2:$P$1960,MATCH(907,'Transfer Engine'!$C$2:$C$1960,0)),"Go to Act"))</f>
        <v/>
      </c>
    </row>
    <row r="917" ht="158" customHeight="1">
      <c r="A917" s="8">
        <f>IF(ISNA(MATCH(908,'Transfer Engine'!$C$2:$C$1960,0)),"",INDEX('Compliance Database'!$A$2:$A$1960,MATCH(908,'Transfer Engine'!$C$2:$C$1960,0)))</f>
        <v/>
      </c>
      <c r="B917" s="8">
        <f>IF(ISNA(MATCH(908,'Transfer Engine'!$C$2:$C$1960,0)),"",INDEX('Compliance Database'!$B$2:$B$1960,MATCH(908,'Transfer Engine'!$C$2:$C$1960,0)))</f>
        <v/>
      </c>
      <c r="C917" s="8">
        <f>IF(ISNA(MATCH(908,'Transfer Engine'!$C$2:$C$1960,0)),"",INDEX('Compliance Database'!$C$2:$C$1960,MATCH(908,'Transfer Engine'!$C$2:$C$1960,0)))</f>
        <v/>
      </c>
      <c r="D917" s="9">
        <f>IF(ISNA(MATCH(908,'Transfer Engine'!$C$2:$C$1960,0)),"",INDEX('Compliance Database'!$D$2:$D$1960,MATCH(908,'Transfer Engine'!$C$2:$C$1960,0)))</f>
        <v/>
      </c>
      <c r="E917" s="8">
        <f>IF(ISNA(MATCH(908,'Transfer Engine'!$C$2:$C$1960,0)),"",INDEX('Compliance Database'!$E$2:$E$1960,MATCH(908,'Transfer Engine'!$C$2:$C$1960,0)))</f>
        <v/>
      </c>
      <c r="F917" s="8">
        <f>IF(ISNA(MATCH(908,'Transfer Engine'!$C$2:$C$1960,0)),"",INDEX('Compliance Database'!$F$2:$F$1960,MATCH(908,'Transfer Engine'!$C$2:$C$1960,0)))</f>
        <v/>
      </c>
      <c r="G917" s="8">
        <f>IF(ISNA(MATCH(908,'Transfer Engine'!$C$2:$C$1960,0)),"",INDEX('Compliance Database'!$G$2:$G$1960,MATCH(908,'Transfer Engine'!$C$2:$C$1960,0)))</f>
        <v/>
      </c>
      <c r="H917" s="9">
        <f>IF(ISNA(MATCH(908,'Transfer Engine'!$C$2:$C$1960,0)),"",INDEX('Compliance Database'!$H$2:$H$1960,MATCH(908,'Transfer Engine'!$C$2:$C$1960,0)))</f>
        <v/>
      </c>
      <c r="I917" s="9">
        <f>IF(ISNA(MATCH(908,'Transfer Engine'!$C$2:$C$1960,0)),"",INDEX('Compliance Database'!$I$2:$I$1960,MATCH(908,'Transfer Engine'!$C$2:$C$1960,0)))</f>
        <v/>
      </c>
      <c r="J917" s="8">
        <f>IF(ISNA(MATCH(908,'Transfer Engine'!$C$2:$C$1960,0)),"",INDEX('Compliance Database'!$J$2:$J$1960,MATCH(908,'Transfer Engine'!$C$2:$C$1960,0)))</f>
        <v/>
      </c>
      <c r="K917" s="9">
        <f>IF(ISNA(MATCH(908,'Transfer Engine'!$C$2:$C$1960,0)),"",INDEX('Compliance Database'!$K$2:$K$1960,MATCH(908,'Transfer Engine'!$C$2:$C$1960,0)))</f>
        <v/>
      </c>
      <c r="L917" s="9">
        <f>IF(ISNA(MATCH(908,'Transfer Engine'!$C$2:$C$1960,0)),"",INDEX('Compliance Database'!$L$2:$L$1960,MATCH(908,'Transfer Engine'!$C$2:$C$1960,0)))</f>
        <v/>
      </c>
      <c r="M917" s="9">
        <f>IF(ISNA(MATCH(908,'Transfer Engine'!$C$2:$C$1960,0)),"",INDEX('Compliance Database'!$M$2:$M$1960,MATCH(908,'Transfer Engine'!$C$2:$C$1960,0)))</f>
        <v/>
      </c>
      <c r="N917" s="9">
        <f>IF(ISNA(MATCH(908,'Transfer Engine'!$C$2:$C$1960,0)),"",INDEX('Compliance Database'!$N$2:$N$1960,MATCH(908,'Transfer Engine'!$C$2:$C$1960,0)))</f>
        <v/>
      </c>
      <c r="O917" s="9">
        <f>IF(ISNA(MATCH(908,'Transfer Engine'!$C$2:$C$1960,0)),"",INDEX('Compliance Database'!$O$2:$O$1960,MATCH(908,'Transfer Engine'!$C$2:$C$1960,0)))</f>
        <v/>
      </c>
      <c r="P917" s="8">
        <f>IF(ISNA(MATCH(908,'Transfer Engine'!$C$2:$C$1960,0)),"",HYPERLINK("#Acts!A"&amp;INDEX('Compliance Database'!$P$2:$P$1960,MATCH(908,'Transfer Engine'!$C$2:$C$1960,0)),"Go to Act"))</f>
        <v/>
      </c>
    </row>
    <row r="918" ht="158" customHeight="1">
      <c r="A918" s="8">
        <f>IF(ISNA(MATCH(909,'Transfer Engine'!$C$2:$C$1960,0)),"",INDEX('Compliance Database'!$A$2:$A$1960,MATCH(909,'Transfer Engine'!$C$2:$C$1960,0)))</f>
        <v/>
      </c>
      <c r="B918" s="8">
        <f>IF(ISNA(MATCH(909,'Transfer Engine'!$C$2:$C$1960,0)),"",INDEX('Compliance Database'!$B$2:$B$1960,MATCH(909,'Transfer Engine'!$C$2:$C$1960,0)))</f>
        <v/>
      </c>
      <c r="C918" s="8">
        <f>IF(ISNA(MATCH(909,'Transfer Engine'!$C$2:$C$1960,0)),"",INDEX('Compliance Database'!$C$2:$C$1960,MATCH(909,'Transfer Engine'!$C$2:$C$1960,0)))</f>
        <v/>
      </c>
      <c r="D918" s="9">
        <f>IF(ISNA(MATCH(909,'Transfer Engine'!$C$2:$C$1960,0)),"",INDEX('Compliance Database'!$D$2:$D$1960,MATCH(909,'Transfer Engine'!$C$2:$C$1960,0)))</f>
        <v/>
      </c>
      <c r="E918" s="8">
        <f>IF(ISNA(MATCH(909,'Transfer Engine'!$C$2:$C$1960,0)),"",INDEX('Compliance Database'!$E$2:$E$1960,MATCH(909,'Transfer Engine'!$C$2:$C$1960,0)))</f>
        <v/>
      </c>
      <c r="F918" s="8">
        <f>IF(ISNA(MATCH(909,'Transfer Engine'!$C$2:$C$1960,0)),"",INDEX('Compliance Database'!$F$2:$F$1960,MATCH(909,'Transfer Engine'!$C$2:$C$1960,0)))</f>
        <v/>
      </c>
      <c r="G918" s="8">
        <f>IF(ISNA(MATCH(909,'Transfer Engine'!$C$2:$C$1960,0)),"",INDEX('Compliance Database'!$G$2:$G$1960,MATCH(909,'Transfer Engine'!$C$2:$C$1960,0)))</f>
        <v/>
      </c>
      <c r="H918" s="9">
        <f>IF(ISNA(MATCH(909,'Transfer Engine'!$C$2:$C$1960,0)),"",INDEX('Compliance Database'!$H$2:$H$1960,MATCH(909,'Transfer Engine'!$C$2:$C$1960,0)))</f>
        <v/>
      </c>
      <c r="I918" s="9">
        <f>IF(ISNA(MATCH(909,'Transfer Engine'!$C$2:$C$1960,0)),"",INDEX('Compliance Database'!$I$2:$I$1960,MATCH(909,'Transfer Engine'!$C$2:$C$1960,0)))</f>
        <v/>
      </c>
      <c r="J918" s="8">
        <f>IF(ISNA(MATCH(909,'Transfer Engine'!$C$2:$C$1960,0)),"",INDEX('Compliance Database'!$J$2:$J$1960,MATCH(909,'Transfer Engine'!$C$2:$C$1960,0)))</f>
        <v/>
      </c>
      <c r="K918" s="9">
        <f>IF(ISNA(MATCH(909,'Transfer Engine'!$C$2:$C$1960,0)),"",INDEX('Compliance Database'!$K$2:$K$1960,MATCH(909,'Transfer Engine'!$C$2:$C$1960,0)))</f>
        <v/>
      </c>
      <c r="L918" s="9">
        <f>IF(ISNA(MATCH(909,'Transfer Engine'!$C$2:$C$1960,0)),"",INDEX('Compliance Database'!$L$2:$L$1960,MATCH(909,'Transfer Engine'!$C$2:$C$1960,0)))</f>
        <v/>
      </c>
      <c r="M918" s="9">
        <f>IF(ISNA(MATCH(909,'Transfer Engine'!$C$2:$C$1960,0)),"",INDEX('Compliance Database'!$M$2:$M$1960,MATCH(909,'Transfer Engine'!$C$2:$C$1960,0)))</f>
        <v/>
      </c>
      <c r="N918" s="9">
        <f>IF(ISNA(MATCH(909,'Transfer Engine'!$C$2:$C$1960,0)),"",INDEX('Compliance Database'!$N$2:$N$1960,MATCH(909,'Transfer Engine'!$C$2:$C$1960,0)))</f>
        <v/>
      </c>
      <c r="O918" s="9">
        <f>IF(ISNA(MATCH(909,'Transfer Engine'!$C$2:$C$1960,0)),"",INDEX('Compliance Database'!$O$2:$O$1960,MATCH(909,'Transfer Engine'!$C$2:$C$1960,0)))</f>
        <v/>
      </c>
      <c r="P918" s="8">
        <f>IF(ISNA(MATCH(909,'Transfer Engine'!$C$2:$C$1960,0)),"",HYPERLINK("#Acts!A"&amp;INDEX('Compliance Database'!$P$2:$P$1960,MATCH(909,'Transfer Engine'!$C$2:$C$1960,0)),"Go to Act"))</f>
        <v/>
      </c>
    </row>
    <row r="919" ht="158" customHeight="1">
      <c r="A919" s="8">
        <f>IF(ISNA(MATCH(910,'Transfer Engine'!$C$2:$C$1960,0)),"",INDEX('Compliance Database'!$A$2:$A$1960,MATCH(910,'Transfer Engine'!$C$2:$C$1960,0)))</f>
        <v/>
      </c>
      <c r="B919" s="8">
        <f>IF(ISNA(MATCH(910,'Transfer Engine'!$C$2:$C$1960,0)),"",INDEX('Compliance Database'!$B$2:$B$1960,MATCH(910,'Transfer Engine'!$C$2:$C$1960,0)))</f>
        <v/>
      </c>
      <c r="C919" s="8">
        <f>IF(ISNA(MATCH(910,'Transfer Engine'!$C$2:$C$1960,0)),"",INDEX('Compliance Database'!$C$2:$C$1960,MATCH(910,'Transfer Engine'!$C$2:$C$1960,0)))</f>
        <v/>
      </c>
      <c r="D919" s="9">
        <f>IF(ISNA(MATCH(910,'Transfer Engine'!$C$2:$C$1960,0)),"",INDEX('Compliance Database'!$D$2:$D$1960,MATCH(910,'Transfer Engine'!$C$2:$C$1960,0)))</f>
        <v/>
      </c>
      <c r="E919" s="8">
        <f>IF(ISNA(MATCH(910,'Transfer Engine'!$C$2:$C$1960,0)),"",INDEX('Compliance Database'!$E$2:$E$1960,MATCH(910,'Transfer Engine'!$C$2:$C$1960,0)))</f>
        <v/>
      </c>
      <c r="F919" s="8">
        <f>IF(ISNA(MATCH(910,'Transfer Engine'!$C$2:$C$1960,0)),"",INDEX('Compliance Database'!$F$2:$F$1960,MATCH(910,'Transfer Engine'!$C$2:$C$1960,0)))</f>
        <v/>
      </c>
      <c r="G919" s="8">
        <f>IF(ISNA(MATCH(910,'Transfer Engine'!$C$2:$C$1960,0)),"",INDEX('Compliance Database'!$G$2:$G$1960,MATCH(910,'Transfer Engine'!$C$2:$C$1960,0)))</f>
        <v/>
      </c>
      <c r="H919" s="9">
        <f>IF(ISNA(MATCH(910,'Transfer Engine'!$C$2:$C$1960,0)),"",INDEX('Compliance Database'!$H$2:$H$1960,MATCH(910,'Transfer Engine'!$C$2:$C$1960,0)))</f>
        <v/>
      </c>
      <c r="I919" s="9">
        <f>IF(ISNA(MATCH(910,'Transfer Engine'!$C$2:$C$1960,0)),"",INDEX('Compliance Database'!$I$2:$I$1960,MATCH(910,'Transfer Engine'!$C$2:$C$1960,0)))</f>
        <v/>
      </c>
      <c r="J919" s="8">
        <f>IF(ISNA(MATCH(910,'Transfer Engine'!$C$2:$C$1960,0)),"",INDEX('Compliance Database'!$J$2:$J$1960,MATCH(910,'Transfer Engine'!$C$2:$C$1960,0)))</f>
        <v/>
      </c>
      <c r="K919" s="9">
        <f>IF(ISNA(MATCH(910,'Transfer Engine'!$C$2:$C$1960,0)),"",INDEX('Compliance Database'!$K$2:$K$1960,MATCH(910,'Transfer Engine'!$C$2:$C$1960,0)))</f>
        <v/>
      </c>
      <c r="L919" s="9">
        <f>IF(ISNA(MATCH(910,'Transfer Engine'!$C$2:$C$1960,0)),"",INDEX('Compliance Database'!$L$2:$L$1960,MATCH(910,'Transfer Engine'!$C$2:$C$1960,0)))</f>
        <v/>
      </c>
      <c r="M919" s="9">
        <f>IF(ISNA(MATCH(910,'Transfer Engine'!$C$2:$C$1960,0)),"",INDEX('Compliance Database'!$M$2:$M$1960,MATCH(910,'Transfer Engine'!$C$2:$C$1960,0)))</f>
        <v/>
      </c>
      <c r="N919" s="9">
        <f>IF(ISNA(MATCH(910,'Transfer Engine'!$C$2:$C$1960,0)),"",INDEX('Compliance Database'!$N$2:$N$1960,MATCH(910,'Transfer Engine'!$C$2:$C$1960,0)))</f>
        <v/>
      </c>
      <c r="O919" s="9">
        <f>IF(ISNA(MATCH(910,'Transfer Engine'!$C$2:$C$1960,0)),"",INDEX('Compliance Database'!$O$2:$O$1960,MATCH(910,'Transfer Engine'!$C$2:$C$1960,0)))</f>
        <v/>
      </c>
      <c r="P919" s="8">
        <f>IF(ISNA(MATCH(910,'Transfer Engine'!$C$2:$C$1960,0)),"",HYPERLINK("#Acts!A"&amp;INDEX('Compliance Database'!$P$2:$P$1960,MATCH(910,'Transfer Engine'!$C$2:$C$1960,0)),"Go to Act"))</f>
        <v/>
      </c>
    </row>
    <row r="920" ht="158" customHeight="1">
      <c r="A920" s="8">
        <f>IF(ISNA(MATCH(911,'Transfer Engine'!$C$2:$C$1960,0)),"",INDEX('Compliance Database'!$A$2:$A$1960,MATCH(911,'Transfer Engine'!$C$2:$C$1960,0)))</f>
        <v/>
      </c>
      <c r="B920" s="8">
        <f>IF(ISNA(MATCH(911,'Transfer Engine'!$C$2:$C$1960,0)),"",INDEX('Compliance Database'!$B$2:$B$1960,MATCH(911,'Transfer Engine'!$C$2:$C$1960,0)))</f>
        <v/>
      </c>
      <c r="C920" s="8">
        <f>IF(ISNA(MATCH(911,'Transfer Engine'!$C$2:$C$1960,0)),"",INDEX('Compliance Database'!$C$2:$C$1960,MATCH(911,'Transfer Engine'!$C$2:$C$1960,0)))</f>
        <v/>
      </c>
      <c r="D920" s="9">
        <f>IF(ISNA(MATCH(911,'Transfer Engine'!$C$2:$C$1960,0)),"",INDEX('Compliance Database'!$D$2:$D$1960,MATCH(911,'Transfer Engine'!$C$2:$C$1960,0)))</f>
        <v/>
      </c>
      <c r="E920" s="8">
        <f>IF(ISNA(MATCH(911,'Transfer Engine'!$C$2:$C$1960,0)),"",INDEX('Compliance Database'!$E$2:$E$1960,MATCH(911,'Transfer Engine'!$C$2:$C$1960,0)))</f>
        <v/>
      </c>
      <c r="F920" s="8">
        <f>IF(ISNA(MATCH(911,'Transfer Engine'!$C$2:$C$1960,0)),"",INDEX('Compliance Database'!$F$2:$F$1960,MATCH(911,'Transfer Engine'!$C$2:$C$1960,0)))</f>
        <v/>
      </c>
      <c r="G920" s="8">
        <f>IF(ISNA(MATCH(911,'Transfer Engine'!$C$2:$C$1960,0)),"",INDEX('Compliance Database'!$G$2:$G$1960,MATCH(911,'Transfer Engine'!$C$2:$C$1960,0)))</f>
        <v/>
      </c>
      <c r="H920" s="9">
        <f>IF(ISNA(MATCH(911,'Transfer Engine'!$C$2:$C$1960,0)),"",INDEX('Compliance Database'!$H$2:$H$1960,MATCH(911,'Transfer Engine'!$C$2:$C$1960,0)))</f>
        <v/>
      </c>
      <c r="I920" s="9">
        <f>IF(ISNA(MATCH(911,'Transfer Engine'!$C$2:$C$1960,0)),"",INDEX('Compliance Database'!$I$2:$I$1960,MATCH(911,'Transfer Engine'!$C$2:$C$1960,0)))</f>
        <v/>
      </c>
      <c r="J920" s="8">
        <f>IF(ISNA(MATCH(911,'Transfer Engine'!$C$2:$C$1960,0)),"",INDEX('Compliance Database'!$J$2:$J$1960,MATCH(911,'Transfer Engine'!$C$2:$C$1960,0)))</f>
        <v/>
      </c>
      <c r="K920" s="9">
        <f>IF(ISNA(MATCH(911,'Transfer Engine'!$C$2:$C$1960,0)),"",INDEX('Compliance Database'!$K$2:$K$1960,MATCH(911,'Transfer Engine'!$C$2:$C$1960,0)))</f>
        <v/>
      </c>
      <c r="L920" s="9">
        <f>IF(ISNA(MATCH(911,'Transfer Engine'!$C$2:$C$1960,0)),"",INDEX('Compliance Database'!$L$2:$L$1960,MATCH(911,'Transfer Engine'!$C$2:$C$1960,0)))</f>
        <v/>
      </c>
      <c r="M920" s="9">
        <f>IF(ISNA(MATCH(911,'Transfer Engine'!$C$2:$C$1960,0)),"",INDEX('Compliance Database'!$M$2:$M$1960,MATCH(911,'Transfer Engine'!$C$2:$C$1960,0)))</f>
        <v/>
      </c>
      <c r="N920" s="9">
        <f>IF(ISNA(MATCH(911,'Transfer Engine'!$C$2:$C$1960,0)),"",INDEX('Compliance Database'!$N$2:$N$1960,MATCH(911,'Transfer Engine'!$C$2:$C$1960,0)))</f>
        <v/>
      </c>
      <c r="O920" s="9">
        <f>IF(ISNA(MATCH(911,'Transfer Engine'!$C$2:$C$1960,0)),"",INDEX('Compliance Database'!$O$2:$O$1960,MATCH(911,'Transfer Engine'!$C$2:$C$1960,0)))</f>
        <v/>
      </c>
      <c r="P920" s="8">
        <f>IF(ISNA(MATCH(911,'Transfer Engine'!$C$2:$C$1960,0)),"",HYPERLINK("#Acts!A"&amp;INDEX('Compliance Database'!$P$2:$P$1960,MATCH(911,'Transfer Engine'!$C$2:$C$1960,0)),"Go to Act"))</f>
        <v/>
      </c>
    </row>
    <row r="921" ht="158" customHeight="1">
      <c r="A921" s="8">
        <f>IF(ISNA(MATCH(912,'Transfer Engine'!$C$2:$C$1960,0)),"",INDEX('Compliance Database'!$A$2:$A$1960,MATCH(912,'Transfer Engine'!$C$2:$C$1960,0)))</f>
        <v/>
      </c>
      <c r="B921" s="8">
        <f>IF(ISNA(MATCH(912,'Transfer Engine'!$C$2:$C$1960,0)),"",INDEX('Compliance Database'!$B$2:$B$1960,MATCH(912,'Transfer Engine'!$C$2:$C$1960,0)))</f>
        <v/>
      </c>
      <c r="C921" s="8">
        <f>IF(ISNA(MATCH(912,'Transfer Engine'!$C$2:$C$1960,0)),"",INDEX('Compliance Database'!$C$2:$C$1960,MATCH(912,'Transfer Engine'!$C$2:$C$1960,0)))</f>
        <v/>
      </c>
      <c r="D921" s="9">
        <f>IF(ISNA(MATCH(912,'Transfer Engine'!$C$2:$C$1960,0)),"",INDEX('Compliance Database'!$D$2:$D$1960,MATCH(912,'Transfer Engine'!$C$2:$C$1960,0)))</f>
        <v/>
      </c>
      <c r="E921" s="8">
        <f>IF(ISNA(MATCH(912,'Transfer Engine'!$C$2:$C$1960,0)),"",INDEX('Compliance Database'!$E$2:$E$1960,MATCH(912,'Transfer Engine'!$C$2:$C$1960,0)))</f>
        <v/>
      </c>
      <c r="F921" s="8">
        <f>IF(ISNA(MATCH(912,'Transfer Engine'!$C$2:$C$1960,0)),"",INDEX('Compliance Database'!$F$2:$F$1960,MATCH(912,'Transfer Engine'!$C$2:$C$1960,0)))</f>
        <v/>
      </c>
      <c r="G921" s="8">
        <f>IF(ISNA(MATCH(912,'Transfer Engine'!$C$2:$C$1960,0)),"",INDEX('Compliance Database'!$G$2:$G$1960,MATCH(912,'Transfer Engine'!$C$2:$C$1960,0)))</f>
        <v/>
      </c>
      <c r="H921" s="9">
        <f>IF(ISNA(MATCH(912,'Transfer Engine'!$C$2:$C$1960,0)),"",INDEX('Compliance Database'!$H$2:$H$1960,MATCH(912,'Transfer Engine'!$C$2:$C$1960,0)))</f>
        <v/>
      </c>
      <c r="I921" s="9">
        <f>IF(ISNA(MATCH(912,'Transfer Engine'!$C$2:$C$1960,0)),"",INDEX('Compliance Database'!$I$2:$I$1960,MATCH(912,'Transfer Engine'!$C$2:$C$1960,0)))</f>
        <v/>
      </c>
      <c r="J921" s="8">
        <f>IF(ISNA(MATCH(912,'Transfer Engine'!$C$2:$C$1960,0)),"",INDEX('Compliance Database'!$J$2:$J$1960,MATCH(912,'Transfer Engine'!$C$2:$C$1960,0)))</f>
        <v/>
      </c>
      <c r="K921" s="9">
        <f>IF(ISNA(MATCH(912,'Transfer Engine'!$C$2:$C$1960,0)),"",INDEX('Compliance Database'!$K$2:$K$1960,MATCH(912,'Transfer Engine'!$C$2:$C$1960,0)))</f>
        <v/>
      </c>
      <c r="L921" s="9">
        <f>IF(ISNA(MATCH(912,'Transfer Engine'!$C$2:$C$1960,0)),"",INDEX('Compliance Database'!$L$2:$L$1960,MATCH(912,'Transfer Engine'!$C$2:$C$1960,0)))</f>
        <v/>
      </c>
      <c r="M921" s="9">
        <f>IF(ISNA(MATCH(912,'Transfer Engine'!$C$2:$C$1960,0)),"",INDEX('Compliance Database'!$M$2:$M$1960,MATCH(912,'Transfer Engine'!$C$2:$C$1960,0)))</f>
        <v/>
      </c>
      <c r="N921" s="9">
        <f>IF(ISNA(MATCH(912,'Transfer Engine'!$C$2:$C$1960,0)),"",INDEX('Compliance Database'!$N$2:$N$1960,MATCH(912,'Transfer Engine'!$C$2:$C$1960,0)))</f>
        <v/>
      </c>
      <c r="O921" s="9">
        <f>IF(ISNA(MATCH(912,'Transfer Engine'!$C$2:$C$1960,0)),"",INDEX('Compliance Database'!$O$2:$O$1960,MATCH(912,'Transfer Engine'!$C$2:$C$1960,0)))</f>
        <v/>
      </c>
      <c r="P921" s="8">
        <f>IF(ISNA(MATCH(912,'Transfer Engine'!$C$2:$C$1960,0)),"",HYPERLINK("#Acts!A"&amp;INDEX('Compliance Database'!$P$2:$P$1960,MATCH(912,'Transfer Engine'!$C$2:$C$1960,0)),"Go to Act"))</f>
        <v/>
      </c>
    </row>
    <row r="922" ht="158" customHeight="1">
      <c r="A922" s="8">
        <f>IF(ISNA(MATCH(913,'Transfer Engine'!$C$2:$C$1960,0)),"",INDEX('Compliance Database'!$A$2:$A$1960,MATCH(913,'Transfer Engine'!$C$2:$C$1960,0)))</f>
        <v/>
      </c>
      <c r="B922" s="8">
        <f>IF(ISNA(MATCH(913,'Transfer Engine'!$C$2:$C$1960,0)),"",INDEX('Compliance Database'!$B$2:$B$1960,MATCH(913,'Transfer Engine'!$C$2:$C$1960,0)))</f>
        <v/>
      </c>
      <c r="C922" s="8">
        <f>IF(ISNA(MATCH(913,'Transfer Engine'!$C$2:$C$1960,0)),"",INDEX('Compliance Database'!$C$2:$C$1960,MATCH(913,'Transfer Engine'!$C$2:$C$1960,0)))</f>
        <v/>
      </c>
      <c r="D922" s="9">
        <f>IF(ISNA(MATCH(913,'Transfer Engine'!$C$2:$C$1960,0)),"",INDEX('Compliance Database'!$D$2:$D$1960,MATCH(913,'Transfer Engine'!$C$2:$C$1960,0)))</f>
        <v/>
      </c>
      <c r="E922" s="8">
        <f>IF(ISNA(MATCH(913,'Transfer Engine'!$C$2:$C$1960,0)),"",INDEX('Compliance Database'!$E$2:$E$1960,MATCH(913,'Transfer Engine'!$C$2:$C$1960,0)))</f>
        <v/>
      </c>
      <c r="F922" s="8">
        <f>IF(ISNA(MATCH(913,'Transfer Engine'!$C$2:$C$1960,0)),"",INDEX('Compliance Database'!$F$2:$F$1960,MATCH(913,'Transfer Engine'!$C$2:$C$1960,0)))</f>
        <v/>
      </c>
      <c r="G922" s="8">
        <f>IF(ISNA(MATCH(913,'Transfer Engine'!$C$2:$C$1960,0)),"",INDEX('Compliance Database'!$G$2:$G$1960,MATCH(913,'Transfer Engine'!$C$2:$C$1960,0)))</f>
        <v/>
      </c>
      <c r="H922" s="9">
        <f>IF(ISNA(MATCH(913,'Transfer Engine'!$C$2:$C$1960,0)),"",INDEX('Compliance Database'!$H$2:$H$1960,MATCH(913,'Transfer Engine'!$C$2:$C$1960,0)))</f>
        <v/>
      </c>
      <c r="I922" s="9">
        <f>IF(ISNA(MATCH(913,'Transfer Engine'!$C$2:$C$1960,0)),"",INDEX('Compliance Database'!$I$2:$I$1960,MATCH(913,'Transfer Engine'!$C$2:$C$1960,0)))</f>
        <v/>
      </c>
      <c r="J922" s="8">
        <f>IF(ISNA(MATCH(913,'Transfer Engine'!$C$2:$C$1960,0)),"",INDEX('Compliance Database'!$J$2:$J$1960,MATCH(913,'Transfer Engine'!$C$2:$C$1960,0)))</f>
        <v/>
      </c>
      <c r="K922" s="9">
        <f>IF(ISNA(MATCH(913,'Transfer Engine'!$C$2:$C$1960,0)),"",INDEX('Compliance Database'!$K$2:$K$1960,MATCH(913,'Transfer Engine'!$C$2:$C$1960,0)))</f>
        <v/>
      </c>
      <c r="L922" s="9">
        <f>IF(ISNA(MATCH(913,'Transfer Engine'!$C$2:$C$1960,0)),"",INDEX('Compliance Database'!$L$2:$L$1960,MATCH(913,'Transfer Engine'!$C$2:$C$1960,0)))</f>
        <v/>
      </c>
      <c r="M922" s="9">
        <f>IF(ISNA(MATCH(913,'Transfer Engine'!$C$2:$C$1960,0)),"",INDEX('Compliance Database'!$M$2:$M$1960,MATCH(913,'Transfer Engine'!$C$2:$C$1960,0)))</f>
        <v/>
      </c>
      <c r="N922" s="9">
        <f>IF(ISNA(MATCH(913,'Transfer Engine'!$C$2:$C$1960,0)),"",INDEX('Compliance Database'!$N$2:$N$1960,MATCH(913,'Transfer Engine'!$C$2:$C$1960,0)))</f>
        <v/>
      </c>
      <c r="O922" s="9">
        <f>IF(ISNA(MATCH(913,'Transfer Engine'!$C$2:$C$1960,0)),"",INDEX('Compliance Database'!$O$2:$O$1960,MATCH(913,'Transfer Engine'!$C$2:$C$1960,0)))</f>
        <v/>
      </c>
      <c r="P922" s="8">
        <f>IF(ISNA(MATCH(913,'Transfer Engine'!$C$2:$C$1960,0)),"",HYPERLINK("#Acts!A"&amp;INDEX('Compliance Database'!$P$2:$P$1960,MATCH(913,'Transfer Engine'!$C$2:$C$1960,0)),"Go to Act"))</f>
        <v/>
      </c>
    </row>
    <row r="923" ht="158" customHeight="1">
      <c r="A923" s="8">
        <f>IF(ISNA(MATCH(914,'Transfer Engine'!$C$2:$C$1960,0)),"",INDEX('Compliance Database'!$A$2:$A$1960,MATCH(914,'Transfer Engine'!$C$2:$C$1960,0)))</f>
        <v/>
      </c>
      <c r="B923" s="8">
        <f>IF(ISNA(MATCH(914,'Transfer Engine'!$C$2:$C$1960,0)),"",INDEX('Compliance Database'!$B$2:$B$1960,MATCH(914,'Transfer Engine'!$C$2:$C$1960,0)))</f>
        <v/>
      </c>
      <c r="C923" s="8">
        <f>IF(ISNA(MATCH(914,'Transfer Engine'!$C$2:$C$1960,0)),"",INDEX('Compliance Database'!$C$2:$C$1960,MATCH(914,'Transfer Engine'!$C$2:$C$1960,0)))</f>
        <v/>
      </c>
      <c r="D923" s="9">
        <f>IF(ISNA(MATCH(914,'Transfer Engine'!$C$2:$C$1960,0)),"",INDEX('Compliance Database'!$D$2:$D$1960,MATCH(914,'Transfer Engine'!$C$2:$C$1960,0)))</f>
        <v/>
      </c>
      <c r="E923" s="8">
        <f>IF(ISNA(MATCH(914,'Transfer Engine'!$C$2:$C$1960,0)),"",INDEX('Compliance Database'!$E$2:$E$1960,MATCH(914,'Transfer Engine'!$C$2:$C$1960,0)))</f>
        <v/>
      </c>
      <c r="F923" s="8">
        <f>IF(ISNA(MATCH(914,'Transfer Engine'!$C$2:$C$1960,0)),"",INDEX('Compliance Database'!$F$2:$F$1960,MATCH(914,'Transfer Engine'!$C$2:$C$1960,0)))</f>
        <v/>
      </c>
      <c r="G923" s="8">
        <f>IF(ISNA(MATCH(914,'Transfer Engine'!$C$2:$C$1960,0)),"",INDEX('Compliance Database'!$G$2:$G$1960,MATCH(914,'Transfer Engine'!$C$2:$C$1960,0)))</f>
        <v/>
      </c>
      <c r="H923" s="9">
        <f>IF(ISNA(MATCH(914,'Transfer Engine'!$C$2:$C$1960,0)),"",INDEX('Compliance Database'!$H$2:$H$1960,MATCH(914,'Transfer Engine'!$C$2:$C$1960,0)))</f>
        <v/>
      </c>
      <c r="I923" s="9">
        <f>IF(ISNA(MATCH(914,'Transfer Engine'!$C$2:$C$1960,0)),"",INDEX('Compliance Database'!$I$2:$I$1960,MATCH(914,'Transfer Engine'!$C$2:$C$1960,0)))</f>
        <v/>
      </c>
      <c r="J923" s="8">
        <f>IF(ISNA(MATCH(914,'Transfer Engine'!$C$2:$C$1960,0)),"",INDEX('Compliance Database'!$J$2:$J$1960,MATCH(914,'Transfer Engine'!$C$2:$C$1960,0)))</f>
        <v/>
      </c>
      <c r="K923" s="9">
        <f>IF(ISNA(MATCH(914,'Transfer Engine'!$C$2:$C$1960,0)),"",INDEX('Compliance Database'!$K$2:$K$1960,MATCH(914,'Transfer Engine'!$C$2:$C$1960,0)))</f>
        <v/>
      </c>
      <c r="L923" s="9">
        <f>IF(ISNA(MATCH(914,'Transfer Engine'!$C$2:$C$1960,0)),"",INDEX('Compliance Database'!$L$2:$L$1960,MATCH(914,'Transfer Engine'!$C$2:$C$1960,0)))</f>
        <v/>
      </c>
      <c r="M923" s="9">
        <f>IF(ISNA(MATCH(914,'Transfer Engine'!$C$2:$C$1960,0)),"",INDEX('Compliance Database'!$M$2:$M$1960,MATCH(914,'Transfer Engine'!$C$2:$C$1960,0)))</f>
        <v/>
      </c>
      <c r="N923" s="9">
        <f>IF(ISNA(MATCH(914,'Transfer Engine'!$C$2:$C$1960,0)),"",INDEX('Compliance Database'!$N$2:$N$1960,MATCH(914,'Transfer Engine'!$C$2:$C$1960,0)))</f>
        <v/>
      </c>
      <c r="O923" s="9">
        <f>IF(ISNA(MATCH(914,'Transfer Engine'!$C$2:$C$1960,0)),"",INDEX('Compliance Database'!$O$2:$O$1960,MATCH(914,'Transfer Engine'!$C$2:$C$1960,0)))</f>
        <v/>
      </c>
      <c r="P923" s="8">
        <f>IF(ISNA(MATCH(914,'Transfer Engine'!$C$2:$C$1960,0)),"",HYPERLINK("#Acts!A"&amp;INDEX('Compliance Database'!$P$2:$P$1960,MATCH(914,'Transfer Engine'!$C$2:$C$1960,0)),"Go to Act"))</f>
        <v/>
      </c>
    </row>
    <row r="924" ht="158" customHeight="1">
      <c r="A924" s="8">
        <f>IF(ISNA(MATCH(915,'Transfer Engine'!$C$2:$C$1960,0)),"",INDEX('Compliance Database'!$A$2:$A$1960,MATCH(915,'Transfer Engine'!$C$2:$C$1960,0)))</f>
        <v/>
      </c>
      <c r="B924" s="8">
        <f>IF(ISNA(MATCH(915,'Transfer Engine'!$C$2:$C$1960,0)),"",INDEX('Compliance Database'!$B$2:$B$1960,MATCH(915,'Transfer Engine'!$C$2:$C$1960,0)))</f>
        <v/>
      </c>
      <c r="C924" s="8">
        <f>IF(ISNA(MATCH(915,'Transfer Engine'!$C$2:$C$1960,0)),"",INDEX('Compliance Database'!$C$2:$C$1960,MATCH(915,'Transfer Engine'!$C$2:$C$1960,0)))</f>
        <v/>
      </c>
      <c r="D924" s="9">
        <f>IF(ISNA(MATCH(915,'Transfer Engine'!$C$2:$C$1960,0)),"",INDEX('Compliance Database'!$D$2:$D$1960,MATCH(915,'Transfer Engine'!$C$2:$C$1960,0)))</f>
        <v/>
      </c>
      <c r="E924" s="8">
        <f>IF(ISNA(MATCH(915,'Transfer Engine'!$C$2:$C$1960,0)),"",INDEX('Compliance Database'!$E$2:$E$1960,MATCH(915,'Transfer Engine'!$C$2:$C$1960,0)))</f>
        <v/>
      </c>
      <c r="F924" s="8">
        <f>IF(ISNA(MATCH(915,'Transfer Engine'!$C$2:$C$1960,0)),"",INDEX('Compliance Database'!$F$2:$F$1960,MATCH(915,'Transfer Engine'!$C$2:$C$1960,0)))</f>
        <v/>
      </c>
      <c r="G924" s="8">
        <f>IF(ISNA(MATCH(915,'Transfer Engine'!$C$2:$C$1960,0)),"",INDEX('Compliance Database'!$G$2:$G$1960,MATCH(915,'Transfer Engine'!$C$2:$C$1960,0)))</f>
        <v/>
      </c>
      <c r="H924" s="9">
        <f>IF(ISNA(MATCH(915,'Transfer Engine'!$C$2:$C$1960,0)),"",INDEX('Compliance Database'!$H$2:$H$1960,MATCH(915,'Transfer Engine'!$C$2:$C$1960,0)))</f>
        <v/>
      </c>
      <c r="I924" s="9">
        <f>IF(ISNA(MATCH(915,'Transfer Engine'!$C$2:$C$1960,0)),"",INDEX('Compliance Database'!$I$2:$I$1960,MATCH(915,'Transfer Engine'!$C$2:$C$1960,0)))</f>
        <v/>
      </c>
      <c r="J924" s="8">
        <f>IF(ISNA(MATCH(915,'Transfer Engine'!$C$2:$C$1960,0)),"",INDEX('Compliance Database'!$J$2:$J$1960,MATCH(915,'Transfer Engine'!$C$2:$C$1960,0)))</f>
        <v/>
      </c>
      <c r="K924" s="9">
        <f>IF(ISNA(MATCH(915,'Transfer Engine'!$C$2:$C$1960,0)),"",INDEX('Compliance Database'!$K$2:$K$1960,MATCH(915,'Transfer Engine'!$C$2:$C$1960,0)))</f>
        <v/>
      </c>
      <c r="L924" s="9">
        <f>IF(ISNA(MATCH(915,'Transfer Engine'!$C$2:$C$1960,0)),"",INDEX('Compliance Database'!$L$2:$L$1960,MATCH(915,'Transfer Engine'!$C$2:$C$1960,0)))</f>
        <v/>
      </c>
      <c r="M924" s="9">
        <f>IF(ISNA(MATCH(915,'Transfer Engine'!$C$2:$C$1960,0)),"",INDEX('Compliance Database'!$M$2:$M$1960,MATCH(915,'Transfer Engine'!$C$2:$C$1960,0)))</f>
        <v/>
      </c>
      <c r="N924" s="9">
        <f>IF(ISNA(MATCH(915,'Transfer Engine'!$C$2:$C$1960,0)),"",INDEX('Compliance Database'!$N$2:$N$1960,MATCH(915,'Transfer Engine'!$C$2:$C$1960,0)))</f>
        <v/>
      </c>
      <c r="O924" s="9">
        <f>IF(ISNA(MATCH(915,'Transfer Engine'!$C$2:$C$1960,0)),"",INDEX('Compliance Database'!$O$2:$O$1960,MATCH(915,'Transfer Engine'!$C$2:$C$1960,0)))</f>
        <v/>
      </c>
      <c r="P924" s="8">
        <f>IF(ISNA(MATCH(915,'Transfer Engine'!$C$2:$C$1960,0)),"",HYPERLINK("#Acts!A"&amp;INDEX('Compliance Database'!$P$2:$P$1960,MATCH(915,'Transfer Engine'!$C$2:$C$1960,0)),"Go to Act"))</f>
        <v/>
      </c>
    </row>
    <row r="925" ht="158" customHeight="1">
      <c r="A925" s="8">
        <f>IF(ISNA(MATCH(916,'Transfer Engine'!$C$2:$C$1960,0)),"",INDEX('Compliance Database'!$A$2:$A$1960,MATCH(916,'Transfer Engine'!$C$2:$C$1960,0)))</f>
        <v/>
      </c>
      <c r="B925" s="8">
        <f>IF(ISNA(MATCH(916,'Transfer Engine'!$C$2:$C$1960,0)),"",INDEX('Compliance Database'!$B$2:$B$1960,MATCH(916,'Transfer Engine'!$C$2:$C$1960,0)))</f>
        <v/>
      </c>
      <c r="C925" s="8">
        <f>IF(ISNA(MATCH(916,'Transfer Engine'!$C$2:$C$1960,0)),"",INDEX('Compliance Database'!$C$2:$C$1960,MATCH(916,'Transfer Engine'!$C$2:$C$1960,0)))</f>
        <v/>
      </c>
      <c r="D925" s="9">
        <f>IF(ISNA(MATCH(916,'Transfer Engine'!$C$2:$C$1960,0)),"",INDEX('Compliance Database'!$D$2:$D$1960,MATCH(916,'Transfer Engine'!$C$2:$C$1960,0)))</f>
        <v/>
      </c>
      <c r="E925" s="8">
        <f>IF(ISNA(MATCH(916,'Transfer Engine'!$C$2:$C$1960,0)),"",INDEX('Compliance Database'!$E$2:$E$1960,MATCH(916,'Transfer Engine'!$C$2:$C$1960,0)))</f>
        <v/>
      </c>
      <c r="F925" s="8">
        <f>IF(ISNA(MATCH(916,'Transfer Engine'!$C$2:$C$1960,0)),"",INDEX('Compliance Database'!$F$2:$F$1960,MATCH(916,'Transfer Engine'!$C$2:$C$1960,0)))</f>
        <v/>
      </c>
      <c r="G925" s="8">
        <f>IF(ISNA(MATCH(916,'Transfer Engine'!$C$2:$C$1960,0)),"",INDEX('Compliance Database'!$G$2:$G$1960,MATCH(916,'Transfer Engine'!$C$2:$C$1960,0)))</f>
        <v/>
      </c>
      <c r="H925" s="9">
        <f>IF(ISNA(MATCH(916,'Transfer Engine'!$C$2:$C$1960,0)),"",INDEX('Compliance Database'!$H$2:$H$1960,MATCH(916,'Transfer Engine'!$C$2:$C$1960,0)))</f>
        <v/>
      </c>
      <c r="I925" s="9">
        <f>IF(ISNA(MATCH(916,'Transfer Engine'!$C$2:$C$1960,0)),"",INDEX('Compliance Database'!$I$2:$I$1960,MATCH(916,'Transfer Engine'!$C$2:$C$1960,0)))</f>
        <v/>
      </c>
      <c r="J925" s="8">
        <f>IF(ISNA(MATCH(916,'Transfer Engine'!$C$2:$C$1960,0)),"",INDEX('Compliance Database'!$J$2:$J$1960,MATCH(916,'Transfer Engine'!$C$2:$C$1960,0)))</f>
        <v/>
      </c>
      <c r="K925" s="9">
        <f>IF(ISNA(MATCH(916,'Transfer Engine'!$C$2:$C$1960,0)),"",INDEX('Compliance Database'!$K$2:$K$1960,MATCH(916,'Transfer Engine'!$C$2:$C$1960,0)))</f>
        <v/>
      </c>
      <c r="L925" s="9">
        <f>IF(ISNA(MATCH(916,'Transfer Engine'!$C$2:$C$1960,0)),"",INDEX('Compliance Database'!$L$2:$L$1960,MATCH(916,'Transfer Engine'!$C$2:$C$1960,0)))</f>
        <v/>
      </c>
      <c r="M925" s="9">
        <f>IF(ISNA(MATCH(916,'Transfer Engine'!$C$2:$C$1960,0)),"",INDEX('Compliance Database'!$M$2:$M$1960,MATCH(916,'Transfer Engine'!$C$2:$C$1960,0)))</f>
        <v/>
      </c>
      <c r="N925" s="9">
        <f>IF(ISNA(MATCH(916,'Transfer Engine'!$C$2:$C$1960,0)),"",INDEX('Compliance Database'!$N$2:$N$1960,MATCH(916,'Transfer Engine'!$C$2:$C$1960,0)))</f>
        <v/>
      </c>
      <c r="O925" s="9">
        <f>IF(ISNA(MATCH(916,'Transfer Engine'!$C$2:$C$1960,0)),"",INDEX('Compliance Database'!$O$2:$O$1960,MATCH(916,'Transfer Engine'!$C$2:$C$1960,0)))</f>
        <v/>
      </c>
      <c r="P925" s="8">
        <f>IF(ISNA(MATCH(916,'Transfer Engine'!$C$2:$C$1960,0)),"",HYPERLINK("#Acts!A"&amp;INDEX('Compliance Database'!$P$2:$P$1960,MATCH(916,'Transfer Engine'!$C$2:$C$1960,0)),"Go to Act"))</f>
        <v/>
      </c>
    </row>
    <row r="926" ht="158" customHeight="1">
      <c r="A926" s="8">
        <f>IF(ISNA(MATCH(917,'Transfer Engine'!$C$2:$C$1960,0)),"",INDEX('Compliance Database'!$A$2:$A$1960,MATCH(917,'Transfer Engine'!$C$2:$C$1960,0)))</f>
        <v/>
      </c>
      <c r="B926" s="8">
        <f>IF(ISNA(MATCH(917,'Transfer Engine'!$C$2:$C$1960,0)),"",INDEX('Compliance Database'!$B$2:$B$1960,MATCH(917,'Transfer Engine'!$C$2:$C$1960,0)))</f>
        <v/>
      </c>
      <c r="C926" s="8">
        <f>IF(ISNA(MATCH(917,'Transfer Engine'!$C$2:$C$1960,0)),"",INDEX('Compliance Database'!$C$2:$C$1960,MATCH(917,'Transfer Engine'!$C$2:$C$1960,0)))</f>
        <v/>
      </c>
      <c r="D926" s="9">
        <f>IF(ISNA(MATCH(917,'Transfer Engine'!$C$2:$C$1960,0)),"",INDEX('Compliance Database'!$D$2:$D$1960,MATCH(917,'Transfer Engine'!$C$2:$C$1960,0)))</f>
        <v/>
      </c>
      <c r="E926" s="8">
        <f>IF(ISNA(MATCH(917,'Transfer Engine'!$C$2:$C$1960,0)),"",INDEX('Compliance Database'!$E$2:$E$1960,MATCH(917,'Transfer Engine'!$C$2:$C$1960,0)))</f>
        <v/>
      </c>
      <c r="F926" s="8">
        <f>IF(ISNA(MATCH(917,'Transfer Engine'!$C$2:$C$1960,0)),"",INDEX('Compliance Database'!$F$2:$F$1960,MATCH(917,'Transfer Engine'!$C$2:$C$1960,0)))</f>
        <v/>
      </c>
      <c r="G926" s="8">
        <f>IF(ISNA(MATCH(917,'Transfer Engine'!$C$2:$C$1960,0)),"",INDEX('Compliance Database'!$G$2:$G$1960,MATCH(917,'Transfer Engine'!$C$2:$C$1960,0)))</f>
        <v/>
      </c>
      <c r="H926" s="9">
        <f>IF(ISNA(MATCH(917,'Transfer Engine'!$C$2:$C$1960,0)),"",INDEX('Compliance Database'!$H$2:$H$1960,MATCH(917,'Transfer Engine'!$C$2:$C$1960,0)))</f>
        <v/>
      </c>
      <c r="I926" s="9">
        <f>IF(ISNA(MATCH(917,'Transfer Engine'!$C$2:$C$1960,0)),"",INDEX('Compliance Database'!$I$2:$I$1960,MATCH(917,'Transfer Engine'!$C$2:$C$1960,0)))</f>
        <v/>
      </c>
      <c r="J926" s="8">
        <f>IF(ISNA(MATCH(917,'Transfer Engine'!$C$2:$C$1960,0)),"",INDEX('Compliance Database'!$J$2:$J$1960,MATCH(917,'Transfer Engine'!$C$2:$C$1960,0)))</f>
        <v/>
      </c>
      <c r="K926" s="9">
        <f>IF(ISNA(MATCH(917,'Transfer Engine'!$C$2:$C$1960,0)),"",INDEX('Compliance Database'!$K$2:$K$1960,MATCH(917,'Transfer Engine'!$C$2:$C$1960,0)))</f>
        <v/>
      </c>
      <c r="L926" s="9">
        <f>IF(ISNA(MATCH(917,'Transfer Engine'!$C$2:$C$1960,0)),"",INDEX('Compliance Database'!$L$2:$L$1960,MATCH(917,'Transfer Engine'!$C$2:$C$1960,0)))</f>
        <v/>
      </c>
      <c r="M926" s="9">
        <f>IF(ISNA(MATCH(917,'Transfer Engine'!$C$2:$C$1960,0)),"",INDEX('Compliance Database'!$M$2:$M$1960,MATCH(917,'Transfer Engine'!$C$2:$C$1960,0)))</f>
        <v/>
      </c>
      <c r="N926" s="9">
        <f>IF(ISNA(MATCH(917,'Transfer Engine'!$C$2:$C$1960,0)),"",INDEX('Compliance Database'!$N$2:$N$1960,MATCH(917,'Transfer Engine'!$C$2:$C$1960,0)))</f>
        <v/>
      </c>
      <c r="O926" s="9">
        <f>IF(ISNA(MATCH(917,'Transfer Engine'!$C$2:$C$1960,0)),"",INDEX('Compliance Database'!$O$2:$O$1960,MATCH(917,'Transfer Engine'!$C$2:$C$1960,0)))</f>
        <v/>
      </c>
      <c r="P926" s="8">
        <f>IF(ISNA(MATCH(917,'Transfer Engine'!$C$2:$C$1960,0)),"",HYPERLINK("#Acts!A"&amp;INDEX('Compliance Database'!$P$2:$P$1960,MATCH(917,'Transfer Engine'!$C$2:$C$1960,0)),"Go to Act"))</f>
        <v/>
      </c>
    </row>
    <row r="927" ht="158" customHeight="1">
      <c r="A927" s="8">
        <f>IF(ISNA(MATCH(918,'Transfer Engine'!$C$2:$C$1960,0)),"",INDEX('Compliance Database'!$A$2:$A$1960,MATCH(918,'Transfer Engine'!$C$2:$C$1960,0)))</f>
        <v/>
      </c>
      <c r="B927" s="8">
        <f>IF(ISNA(MATCH(918,'Transfer Engine'!$C$2:$C$1960,0)),"",INDEX('Compliance Database'!$B$2:$B$1960,MATCH(918,'Transfer Engine'!$C$2:$C$1960,0)))</f>
        <v/>
      </c>
      <c r="C927" s="8">
        <f>IF(ISNA(MATCH(918,'Transfer Engine'!$C$2:$C$1960,0)),"",INDEX('Compliance Database'!$C$2:$C$1960,MATCH(918,'Transfer Engine'!$C$2:$C$1960,0)))</f>
        <v/>
      </c>
      <c r="D927" s="9">
        <f>IF(ISNA(MATCH(918,'Transfer Engine'!$C$2:$C$1960,0)),"",INDEX('Compliance Database'!$D$2:$D$1960,MATCH(918,'Transfer Engine'!$C$2:$C$1960,0)))</f>
        <v/>
      </c>
      <c r="E927" s="8">
        <f>IF(ISNA(MATCH(918,'Transfer Engine'!$C$2:$C$1960,0)),"",INDEX('Compliance Database'!$E$2:$E$1960,MATCH(918,'Transfer Engine'!$C$2:$C$1960,0)))</f>
        <v/>
      </c>
      <c r="F927" s="8">
        <f>IF(ISNA(MATCH(918,'Transfer Engine'!$C$2:$C$1960,0)),"",INDEX('Compliance Database'!$F$2:$F$1960,MATCH(918,'Transfer Engine'!$C$2:$C$1960,0)))</f>
        <v/>
      </c>
      <c r="G927" s="8">
        <f>IF(ISNA(MATCH(918,'Transfer Engine'!$C$2:$C$1960,0)),"",INDEX('Compliance Database'!$G$2:$G$1960,MATCH(918,'Transfer Engine'!$C$2:$C$1960,0)))</f>
        <v/>
      </c>
      <c r="H927" s="9">
        <f>IF(ISNA(MATCH(918,'Transfer Engine'!$C$2:$C$1960,0)),"",INDEX('Compliance Database'!$H$2:$H$1960,MATCH(918,'Transfer Engine'!$C$2:$C$1960,0)))</f>
        <v/>
      </c>
      <c r="I927" s="9">
        <f>IF(ISNA(MATCH(918,'Transfer Engine'!$C$2:$C$1960,0)),"",INDEX('Compliance Database'!$I$2:$I$1960,MATCH(918,'Transfer Engine'!$C$2:$C$1960,0)))</f>
        <v/>
      </c>
      <c r="J927" s="8">
        <f>IF(ISNA(MATCH(918,'Transfer Engine'!$C$2:$C$1960,0)),"",INDEX('Compliance Database'!$J$2:$J$1960,MATCH(918,'Transfer Engine'!$C$2:$C$1960,0)))</f>
        <v/>
      </c>
      <c r="K927" s="9">
        <f>IF(ISNA(MATCH(918,'Transfer Engine'!$C$2:$C$1960,0)),"",INDEX('Compliance Database'!$K$2:$K$1960,MATCH(918,'Transfer Engine'!$C$2:$C$1960,0)))</f>
        <v/>
      </c>
      <c r="L927" s="9">
        <f>IF(ISNA(MATCH(918,'Transfer Engine'!$C$2:$C$1960,0)),"",INDEX('Compliance Database'!$L$2:$L$1960,MATCH(918,'Transfer Engine'!$C$2:$C$1960,0)))</f>
        <v/>
      </c>
      <c r="M927" s="9">
        <f>IF(ISNA(MATCH(918,'Transfer Engine'!$C$2:$C$1960,0)),"",INDEX('Compliance Database'!$M$2:$M$1960,MATCH(918,'Transfer Engine'!$C$2:$C$1960,0)))</f>
        <v/>
      </c>
      <c r="N927" s="9">
        <f>IF(ISNA(MATCH(918,'Transfer Engine'!$C$2:$C$1960,0)),"",INDEX('Compliance Database'!$N$2:$N$1960,MATCH(918,'Transfer Engine'!$C$2:$C$1960,0)))</f>
        <v/>
      </c>
      <c r="O927" s="9">
        <f>IF(ISNA(MATCH(918,'Transfer Engine'!$C$2:$C$1960,0)),"",INDEX('Compliance Database'!$O$2:$O$1960,MATCH(918,'Transfer Engine'!$C$2:$C$1960,0)))</f>
        <v/>
      </c>
      <c r="P927" s="8">
        <f>IF(ISNA(MATCH(918,'Transfer Engine'!$C$2:$C$1960,0)),"",HYPERLINK("#Acts!A"&amp;INDEX('Compliance Database'!$P$2:$P$1960,MATCH(918,'Transfer Engine'!$C$2:$C$1960,0)),"Go to Act"))</f>
        <v/>
      </c>
    </row>
    <row r="928" ht="158" customHeight="1">
      <c r="A928" s="8">
        <f>IF(ISNA(MATCH(919,'Transfer Engine'!$C$2:$C$1960,0)),"",INDEX('Compliance Database'!$A$2:$A$1960,MATCH(919,'Transfer Engine'!$C$2:$C$1960,0)))</f>
        <v/>
      </c>
      <c r="B928" s="8">
        <f>IF(ISNA(MATCH(919,'Transfer Engine'!$C$2:$C$1960,0)),"",INDEX('Compliance Database'!$B$2:$B$1960,MATCH(919,'Transfer Engine'!$C$2:$C$1960,0)))</f>
        <v/>
      </c>
      <c r="C928" s="8">
        <f>IF(ISNA(MATCH(919,'Transfer Engine'!$C$2:$C$1960,0)),"",INDEX('Compliance Database'!$C$2:$C$1960,MATCH(919,'Transfer Engine'!$C$2:$C$1960,0)))</f>
        <v/>
      </c>
      <c r="D928" s="9">
        <f>IF(ISNA(MATCH(919,'Transfer Engine'!$C$2:$C$1960,0)),"",INDEX('Compliance Database'!$D$2:$D$1960,MATCH(919,'Transfer Engine'!$C$2:$C$1960,0)))</f>
        <v/>
      </c>
      <c r="E928" s="8">
        <f>IF(ISNA(MATCH(919,'Transfer Engine'!$C$2:$C$1960,0)),"",INDEX('Compliance Database'!$E$2:$E$1960,MATCH(919,'Transfer Engine'!$C$2:$C$1960,0)))</f>
        <v/>
      </c>
      <c r="F928" s="8">
        <f>IF(ISNA(MATCH(919,'Transfer Engine'!$C$2:$C$1960,0)),"",INDEX('Compliance Database'!$F$2:$F$1960,MATCH(919,'Transfer Engine'!$C$2:$C$1960,0)))</f>
        <v/>
      </c>
      <c r="G928" s="8">
        <f>IF(ISNA(MATCH(919,'Transfer Engine'!$C$2:$C$1960,0)),"",INDEX('Compliance Database'!$G$2:$G$1960,MATCH(919,'Transfer Engine'!$C$2:$C$1960,0)))</f>
        <v/>
      </c>
      <c r="H928" s="9">
        <f>IF(ISNA(MATCH(919,'Transfer Engine'!$C$2:$C$1960,0)),"",INDEX('Compliance Database'!$H$2:$H$1960,MATCH(919,'Transfer Engine'!$C$2:$C$1960,0)))</f>
        <v/>
      </c>
      <c r="I928" s="9">
        <f>IF(ISNA(MATCH(919,'Transfer Engine'!$C$2:$C$1960,0)),"",INDEX('Compliance Database'!$I$2:$I$1960,MATCH(919,'Transfer Engine'!$C$2:$C$1960,0)))</f>
        <v/>
      </c>
      <c r="J928" s="8">
        <f>IF(ISNA(MATCH(919,'Transfer Engine'!$C$2:$C$1960,0)),"",INDEX('Compliance Database'!$J$2:$J$1960,MATCH(919,'Transfer Engine'!$C$2:$C$1960,0)))</f>
        <v/>
      </c>
      <c r="K928" s="9">
        <f>IF(ISNA(MATCH(919,'Transfer Engine'!$C$2:$C$1960,0)),"",INDEX('Compliance Database'!$K$2:$K$1960,MATCH(919,'Transfer Engine'!$C$2:$C$1960,0)))</f>
        <v/>
      </c>
      <c r="L928" s="9">
        <f>IF(ISNA(MATCH(919,'Transfer Engine'!$C$2:$C$1960,0)),"",INDEX('Compliance Database'!$L$2:$L$1960,MATCH(919,'Transfer Engine'!$C$2:$C$1960,0)))</f>
        <v/>
      </c>
      <c r="M928" s="9">
        <f>IF(ISNA(MATCH(919,'Transfer Engine'!$C$2:$C$1960,0)),"",INDEX('Compliance Database'!$M$2:$M$1960,MATCH(919,'Transfer Engine'!$C$2:$C$1960,0)))</f>
        <v/>
      </c>
      <c r="N928" s="9">
        <f>IF(ISNA(MATCH(919,'Transfer Engine'!$C$2:$C$1960,0)),"",INDEX('Compliance Database'!$N$2:$N$1960,MATCH(919,'Transfer Engine'!$C$2:$C$1960,0)))</f>
        <v/>
      </c>
      <c r="O928" s="9">
        <f>IF(ISNA(MATCH(919,'Transfer Engine'!$C$2:$C$1960,0)),"",INDEX('Compliance Database'!$O$2:$O$1960,MATCH(919,'Transfer Engine'!$C$2:$C$1960,0)))</f>
        <v/>
      </c>
      <c r="P928" s="8">
        <f>IF(ISNA(MATCH(919,'Transfer Engine'!$C$2:$C$1960,0)),"",HYPERLINK("#Acts!A"&amp;INDEX('Compliance Database'!$P$2:$P$1960,MATCH(919,'Transfer Engine'!$C$2:$C$1960,0)),"Go to Act"))</f>
        <v/>
      </c>
    </row>
    <row r="929" ht="158" customHeight="1">
      <c r="A929" s="8">
        <f>IF(ISNA(MATCH(920,'Transfer Engine'!$C$2:$C$1960,0)),"",INDEX('Compliance Database'!$A$2:$A$1960,MATCH(920,'Transfer Engine'!$C$2:$C$1960,0)))</f>
        <v/>
      </c>
      <c r="B929" s="8">
        <f>IF(ISNA(MATCH(920,'Transfer Engine'!$C$2:$C$1960,0)),"",INDEX('Compliance Database'!$B$2:$B$1960,MATCH(920,'Transfer Engine'!$C$2:$C$1960,0)))</f>
        <v/>
      </c>
      <c r="C929" s="8">
        <f>IF(ISNA(MATCH(920,'Transfer Engine'!$C$2:$C$1960,0)),"",INDEX('Compliance Database'!$C$2:$C$1960,MATCH(920,'Transfer Engine'!$C$2:$C$1960,0)))</f>
        <v/>
      </c>
      <c r="D929" s="9">
        <f>IF(ISNA(MATCH(920,'Transfer Engine'!$C$2:$C$1960,0)),"",INDEX('Compliance Database'!$D$2:$D$1960,MATCH(920,'Transfer Engine'!$C$2:$C$1960,0)))</f>
        <v/>
      </c>
      <c r="E929" s="8">
        <f>IF(ISNA(MATCH(920,'Transfer Engine'!$C$2:$C$1960,0)),"",INDEX('Compliance Database'!$E$2:$E$1960,MATCH(920,'Transfer Engine'!$C$2:$C$1960,0)))</f>
        <v/>
      </c>
      <c r="F929" s="8">
        <f>IF(ISNA(MATCH(920,'Transfer Engine'!$C$2:$C$1960,0)),"",INDEX('Compliance Database'!$F$2:$F$1960,MATCH(920,'Transfer Engine'!$C$2:$C$1960,0)))</f>
        <v/>
      </c>
      <c r="G929" s="8">
        <f>IF(ISNA(MATCH(920,'Transfer Engine'!$C$2:$C$1960,0)),"",INDEX('Compliance Database'!$G$2:$G$1960,MATCH(920,'Transfer Engine'!$C$2:$C$1960,0)))</f>
        <v/>
      </c>
      <c r="H929" s="9">
        <f>IF(ISNA(MATCH(920,'Transfer Engine'!$C$2:$C$1960,0)),"",INDEX('Compliance Database'!$H$2:$H$1960,MATCH(920,'Transfer Engine'!$C$2:$C$1960,0)))</f>
        <v/>
      </c>
      <c r="I929" s="9">
        <f>IF(ISNA(MATCH(920,'Transfer Engine'!$C$2:$C$1960,0)),"",INDEX('Compliance Database'!$I$2:$I$1960,MATCH(920,'Transfer Engine'!$C$2:$C$1960,0)))</f>
        <v/>
      </c>
      <c r="J929" s="8">
        <f>IF(ISNA(MATCH(920,'Transfer Engine'!$C$2:$C$1960,0)),"",INDEX('Compliance Database'!$J$2:$J$1960,MATCH(920,'Transfer Engine'!$C$2:$C$1960,0)))</f>
        <v/>
      </c>
      <c r="K929" s="9">
        <f>IF(ISNA(MATCH(920,'Transfer Engine'!$C$2:$C$1960,0)),"",INDEX('Compliance Database'!$K$2:$K$1960,MATCH(920,'Transfer Engine'!$C$2:$C$1960,0)))</f>
        <v/>
      </c>
      <c r="L929" s="9">
        <f>IF(ISNA(MATCH(920,'Transfer Engine'!$C$2:$C$1960,0)),"",INDEX('Compliance Database'!$L$2:$L$1960,MATCH(920,'Transfer Engine'!$C$2:$C$1960,0)))</f>
        <v/>
      </c>
      <c r="M929" s="9">
        <f>IF(ISNA(MATCH(920,'Transfer Engine'!$C$2:$C$1960,0)),"",INDEX('Compliance Database'!$M$2:$M$1960,MATCH(920,'Transfer Engine'!$C$2:$C$1960,0)))</f>
        <v/>
      </c>
      <c r="N929" s="9">
        <f>IF(ISNA(MATCH(920,'Transfer Engine'!$C$2:$C$1960,0)),"",INDEX('Compliance Database'!$N$2:$N$1960,MATCH(920,'Transfer Engine'!$C$2:$C$1960,0)))</f>
        <v/>
      </c>
      <c r="O929" s="9">
        <f>IF(ISNA(MATCH(920,'Transfer Engine'!$C$2:$C$1960,0)),"",INDEX('Compliance Database'!$O$2:$O$1960,MATCH(920,'Transfer Engine'!$C$2:$C$1960,0)))</f>
        <v/>
      </c>
      <c r="P929" s="8">
        <f>IF(ISNA(MATCH(920,'Transfer Engine'!$C$2:$C$1960,0)),"",HYPERLINK("#Acts!A"&amp;INDEX('Compliance Database'!$P$2:$P$1960,MATCH(920,'Transfer Engine'!$C$2:$C$1960,0)),"Go to Act"))</f>
        <v/>
      </c>
    </row>
    <row r="930" ht="158" customHeight="1">
      <c r="A930" s="8">
        <f>IF(ISNA(MATCH(921,'Transfer Engine'!$C$2:$C$1960,0)),"",INDEX('Compliance Database'!$A$2:$A$1960,MATCH(921,'Transfer Engine'!$C$2:$C$1960,0)))</f>
        <v/>
      </c>
      <c r="B930" s="8">
        <f>IF(ISNA(MATCH(921,'Transfer Engine'!$C$2:$C$1960,0)),"",INDEX('Compliance Database'!$B$2:$B$1960,MATCH(921,'Transfer Engine'!$C$2:$C$1960,0)))</f>
        <v/>
      </c>
      <c r="C930" s="8">
        <f>IF(ISNA(MATCH(921,'Transfer Engine'!$C$2:$C$1960,0)),"",INDEX('Compliance Database'!$C$2:$C$1960,MATCH(921,'Transfer Engine'!$C$2:$C$1960,0)))</f>
        <v/>
      </c>
      <c r="D930" s="9">
        <f>IF(ISNA(MATCH(921,'Transfer Engine'!$C$2:$C$1960,0)),"",INDEX('Compliance Database'!$D$2:$D$1960,MATCH(921,'Transfer Engine'!$C$2:$C$1960,0)))</f>
        <v/>
      </c>
      <c r="E930" s="8">
        <f>IF(ISNA(MATCH(921,'Transfer Engine'!$C$2:$C$1960,0)),"",INDEX('Compliance Database'!$E$2:$E$1960,MATCH(921,'Transfer Engine'!$C$2:$C$1960,0)))</f>
        <v/>
      </c>
      <c r="F930" s="8">
        <f>IF(ISNA(MATCH(921,'Transfer Engine'!$C$2:$C$1960,0)),"",INDEX('Compliance Database'!$F$2:$F$1960,MATCH(921,'Transfer Engine'!$C$2:$C$1960,0)))</f>
        <v/>
      </c>
      <c r="G930" s="8">
        <f>IF(ISNA(MATCH(921,'Transfer Engine'!$C$2:$C$1960,0)),"",INDEX('Compliance Database'!$G$2:$G$1960,MATCH(921,'Transfer Engine'!$C$2:$C$1960,0)))</f>
        <v/>
      </c>
      <c r="H930" s="9">
        <f>IF(ISNA(MATCH(921,'Transfer Engine'!$C$2:$C$1960,0)),"",INDEX('Compliance Database'!$H$2:$H$1960,MATCH(921,'Transfer Engine'!$C$2:$C$1960,0)))</f>
        <v/>
      </c>
      <c r="I930" s="9">
        <f>IF(ISNA(MATCH(921,'Transfer Engine'!$C$2:$C$1960,0)),"",INDEX('Compliance Database'!$I$2:$I$1960,MATCH(921,'Transfer Engine'!$C$2:$C$1960,0)))</f>
        <v/>
      </c>
      <c r="J930" s="8">
        <f>IF(ISNA(MATCH(921,'Transfer Engine'!$C$2:$C$1960,0)),"",INDEX('Compliance Database'!$J$2:$J$1960,MATCH(921,'Transfer Engine'!$C$2:$C$1960,0)))</f>
        <v/>
      </c>
      <c r="K930" s="9">
        <f>IF(ISNA(MATCH(921,'Transfer Engine'!$C$2:$C$1960,0)),"",INDEX('Compliance Database'!$K$2:$K$1960,MATCH(921,'Transfer Engine'!$C$2:$C$1960,0)))</f>
        <v/>
      </c>
      <c r="L930" s="9">
        <f>IF(ISNA(MATCH(921,'Transfer Engine'!$C$2:$C$1960,0)),"",INDEX('Compliance Database'!$L$2:$L$1960,MATCH(921,'Transfer Engine'!$C$2:$C$1960,0)))</f>
        <v/>
      </c>
      <c r="M930" s="9">
        <f>IF(ISNA(MATCH(921,'Transfer Engine'!$C$2:$C$1960,0)),"",INDEX('Compliance Database'!$M$2:$M$1960,MATCH(921,'Transfer Engine'!$C$2:$C$1960,0)))</f>
        <v/>
      </c>
      <c r="N930" s="9">
        <f>IF(ISNA(MATCH(921,'Transfer Engine'!$C$2:$C$1960,0)),"",INDEX('Compliance Database'!$N$2:$N$1960,MATCH(921,'Transfer Engine'!$C$2:$C$1960,0)))</f>
        <v/>
      </c>
      <c r="O930" s="9">
        <f>IF(ISNA(MATCH(921,'Transfer Engine'!$C$2:$C$1960,0)),"",INDEX('Compliance Database'!$O$2:$O$1960,MATCH(921,'Transfer Engine'!$C$2:$C$1960,0)))</f>
        <v/>
      </c>
      <c r="P930" s="8">
        <f>IF(ISNA(MATCH(921,'Transfer Engine'!$C$2:$C$1960,0)),"",HYPERLINK("#Acts!A"&amp;INDEX('Compliance Database'!$P$2:$P$1960,MATCH(921,'Transfer Engine'!$C$2:$C$1960,0)),"Go to Act"))</f>
        <v/>
      </c>
    </row>
    <row r="931" ht="158" customHeight="1">
      <c r="A931" s="8">
        <f>IF(ISNA(MATCH(922,'Transfer Engine'!$C$2:$C$1960,0)),"",INDEX('Compliance Database'!$A$2:$A$1960,MATCH(922,'Transfer Engine'!$C$2:$C$1960,0)))</f>
        <v/>
      </c>
      <c r="B931" s="8">
        <f>IF(ISNA(MATCH(922,'Transfer Engine'!$C$2:$C$1960,0)),"",INDEX('Compliance Database'!$B$2:$B$1960,MATCH(922,'Transfer Engine'!$C$2:$C$1960,0)))</f>
        <v/>
      </c>
      <c r="C931" s="8">
        <f>IF(ISNA(MATCH(922,'Transfer Engine'!$C$2:$C$1960,0)),"",INDEX('Compliance Database'!$C$2:$C$1960,MATCH(922,'Transfer Engine'!$C$2:$C$1960,0)))</f>
        <v/>
      </c>
      <c r="D931" s="9">
        <f>IF(ISNA(MATCH(922,'Transfer Engine'!$C$2:$C$1960,0)),"",INDEX('Compliance Database'!$D$2:$D$1960,MATCH(922,'Transfer Engine'!$C$2:$C$1960,0)))</f>
        <v/>
      </c>
      <c r="E931" s="8">
        <f>IF(ISNA(MATCH(922,'Transfer Engine'!$C$2:$C$1960,0)),"",INDEX('Compliance Database'!$E$2:$E$1960,MATCH(922,'Transfer Engine'!$C$2:$C$1960,0)))</f>
        <v/>
      </c>
      <c r="F931" s="8">
        <f>IF(ISNA(MATCH(922,'Transfer Engine'!$C$2:$C$1960,0)),"",INDEX('Compliance Database'!$F$2:$F$1960,MATCH(922,'Transfer Engine'!$C$2:$C$1960,0)))</f>
        <v/>
      </c>
      <c r="G931" s="8">
        <f>IF(ISNA(MATCH(922,'Transfer Engine'!$C$2:$C$1960,0)),"",INDEX('Compliance Database'!$G$2:$G$1960,MATCH(922,'Transfer Engine'!$C$2:$C$1960,0)))</f>
        <v/>
      </c>
      <c r="H931" s="9">
        <f>IF(ISNA(MATCH(922,'Transfer Engine'!$C$2:$C$1960,0)),"",INDEX('Compliance Database'!$H$2:$H$1960,MATCH(922,'Transfer Engine'!$C$2:$C$1960,0)))</f>
        <v/>
      </c>
      <c r="I931" s="9">
        <f>IF(ISNA(MATCH(922,'Transfer Engine'!$C$2:$C$1960,0)),"",INDEX('Compliance Database'!$I$2:$I$1960,MATCH(922,'Transfer Engine'!$C$2:$C$1960,0)))</f>
        <v/>
      </c>
      <c r="J931" s="8">
        <f>IF(ISNA(MATCH(922,'Transfer Engine'!$C$2:$C$1960,0)),"",INDEX('Compliance Database'!$J$2:$J$1960,MATCH(922,'Transfer Engine'!$C$2:$C$1960,0)))</f>
        <v/>
      </c>
      <c r="K931" s="9">
        <f>IF(ISNA(MATCH(922,'Transfer Engine'!$C$2:$C$1960,0)),"",INDEX('Compliance Database'!$K$2:$K$1960,MATCH(922,'Transfer Engine'!$C$2:$C$1960,0)))</f>
        <v/>
      </c>
      <c r="L931" s="9">
        <f>IF(ISNA(MATCH(922,'Transfer Engine'!$C$2:$C$1960,0)),"",INDEX('Compliance Database'!$L$2:$L$1960,MATCH(922,'Transfer Engine'!$C$2:$C$1960,0)))</f>
        <v/>
      </c>
      <c r="M931" s="9">
        <f>IF(ISNA(MATCH(922,'Transfer Engine'!$C$2:$C$1960,0)),"",INDEX('Compliance Database'!$M$2:$M$1960,MATCH(922,'Transfer Engine'!$C$2:$C$1960,0)))</f>
        <v/>
      </c>
      <c r="N931" s="9">
        <f>IF(ISNA(MATCH(922,'Transfer Engine'!$C$2:$C$1960,0)),"",INDEX('Compliance Database'!$N$2:$N$1960,MATCH(922,'Transfer Engine'!$C$2:$C$1960,0)))</f>
        <v/>
      </c>
      <c r="O931" s="9">
        <f>IF(ISNA(MATCH(922,'Transfer Engine'!$C$2:$C$1960,0)),"",INDEX('Compliance Database'!$O$2:$O$1960,MATCH(922,'Transfer Engine'!$C$2:$C$1960,0)))</f>
        <v/>
      </c>
      <c r="P931" s="8">
        <f>IF(ISNA(MATCH(922,'Transfer Engine'!$C$2:$C$1960,0)),"",HYPERLINK("#Acts!A"&amp;INDEX('Compliance Database'!$P$2:$P$1960,MATCH(922,'Transfer Engine'!$C$2:$C$1960,0)),"Go to Act"))</f>
        <v/>
      </c>
    </row>
    <row r="932" ht="158" customHeight="1">
      <c r="A932" s="8">
        <f>IF(ISNA(MATCH(923,'Transfer Engine'!$C$2:$C$1960,0)),"",INDEX('Compliance Database'!$A$2:$A$1960,MATCH(923,'Transfer Engine'!$C$2:$C$1960,0)))</f>
        <v/>
      </c>
      <c r="B932" s="8">
        <f>IF(ISNA(MATCH(923,'Transfer Engine'!$C$2:$C$1960,0)),"",INDEX('Compliance Database'!$B$2:$B$1960,MATCH(923,'Transfer Engine'!$C$2:$C$1960,0)))</f>
        <v/>
      </c>
      <c r="C932" s="8">
        <f>IF(ISNA(MATCH(923,'Transfer Engine'!$C$2:$C$1960,0)),"",INDEX('Compliance Database'!$C$2:$C$1960,MATCH(923,'Transfer Engine'!$C$2:$C$1960,0)))</f>
        <v/>
      </c>
      <c r="D932" s="9">
        <f>IF(ISNA(MATCH(923,'Transfer Engine'!$C$2:$C$1960,0)),"",INDEX('Compliance Database'!$D$2:$D$1960,MATCH(923,'Transfer Engine'!$C$2:$C$1960,0)))</f>
        <v/>
      </c>
      <c r="E932" s="8">
        <f>IF(ISNA(MATCH(923,'Transfer Engine'!$C$2:$C$1960,0)),"",INDEX('Compliance Database'!$E$2:$E$1960,MATCH(923,'Transfer Engine'!$C$2:$C$1960,0)))</f>
        <v/>
      </c>
      <c r="F932" s="8">
        <f>IF(ISNA(MATCH(923,'Transfer Engine'!$C$2:$C$1960,0)),"",INDEX('Compliance Database'!$F$2:$F$1960,MATCH(923,'Transfer Engine'!$C$2:$C$1960,0)))</f>
        <v/>
      </c>
      <c r="G932" s="8">
        <f>IF(ISNA(MATCH(923,'Transfer Engine'!$C$2:$C$1960,0)),"",INDEX('Compliance Database'!$G$2:$G$1960,MATCH(923,'Transfer Engine'!$C$2:$C$1960,0)))</f>
        <v/>
      </c>
      <c r="H932" s="9">
        <f>IF(ISNA(MATCH(923,'Transfer Engine'!$C$2:$C$1960,0)),"",INDEX('Compliance Database'!$H$2:$H$1960,MATCH(923,'Transfer Engine'!$C$2:$C$1960,0)))</f>
        <v/>
      </c>
      <c r="I932" s="9">
        <f>IF(ISNA(MATCH(923,'Transfer Engine'!$C$2:$C$1960,0)),"",INDEX('Compliance Database'!$I$2:$I$1960,MATCH(923,'Transfer Engine'!$C$2:$C$1960,0)))</f>
        <v/>
      </c>
      <c r="J932" s="8">
        <f>IF(ISNA(MATCH(923,'Transfer Engine'!$C$2:$C$1960,0)),"",INDEX('Compliance Database'!$J$2:$J$1960,MATCH(923,'Transfer Engine'!$C$2:$C$1960,0)))</f>
        <v/>
      </c>
      <c r="K932" s="9">
        <f>IF(ISNA(MATCH(923,'Transfer Engine'!$C$2:$C$1960,0)),"",INDEX('Compliance Database'!$K$2:$K$1960,MATCH(923,'Transfer Engine'!$C$2:$C$1960,0)))</f>
        <v/>
      </c>
      <c r="L932" s="9">
        <f>IF(ISNA(MATCH(923,'Transfer Engine'!$C$2:$C$1960,0)),"",INDEX('Compliance Database'!$L$2:$L$1960,MATCH(923,'Transfer Engine'!$C$2:$C$1960,0)))</f>
        <v/>
      </c>
      <c r="M932" s="9">
        <f>IF(ISNA(MATCH(923,'Transfer Engine'!$C$2:$C$1960,0)),"",INDEX('Compliance Database'!$M$2:$M$1960,MATCH(923,'Transfer Engine'!$C$2:$C$1960,0)))</f>
        <v/>
      </c>
      <c r="N932" s="9">
        <f>IF(ISNA(MATCH(923,'Transfer Engine'!$C$2:$C$1960,0)),"",INDEX('Compliance Database'!$N$2:$N$1960,MATCH(923,'Transfer Engine'!$C$2:$C$1960,0)))</f>
        <v/>
      </c>
      <c r="O932" s="9">
        <f>IF(ISNA(MATCH(923,'Transfer Engine'!$C$2:$C$1960,0)),"",INDEX('Compliance Database'!$O$2:$O$1960,MATCH(923,'Transfer Engine'!$C$2:$C$1960,0)))</f>
        <v/>
      </c>
      <c r="P932" s="8">
        <f>IF(ISNA(MATCH(923,'Transfer Engine'!$C$2:$C$1960,0)),"",HYPERLINK("#Acts!A"&amp;INDEX('Compliance Database'!$P$2:$P$1960,MATCH(923,'Transfer Engine'!$C$2:$C$1960,0)),"Go to Act"))</f>
        <v/>
      </c>
    </row>
    <row r="933" ht="158" customHeight="1">
      <c r="A933" s="8">
        <f>IF(ISNA(MATCH(924,'Transfer Engine'!$C$2:$C$1960,0)),"",INDEX('Compliance Database'!$A$2:$A$1960,MATCH(924,'Transfer Engine'!$C$2:$C$1960,0)))</f>
        <v/>
      </c>
      <c r="B933" s="8">
        <f>IF(ISNA(MATCH(924,'Transfer Engine'!$C$2:$C$1960,0)),"",INDEX('Compliance Database'!$B$2:$B$1960,MATCH(924,'Transfer Engine'!$C$2:$C$1960,0)))</f>
        <v/>
      </c>
      <c r="C933" s="8">
        <f>IF(ISNA(MATCH(924,'Transfer Engine'!$C$2:$C$1960,0)),"",INDEX('Compliance Database'!$C$2:$C$1960,MATCH(924,'Transfer Engine'!$C$2:$C$1960,0)))</f>
        <v/>
      </c>
      <c r="D933" s="9">
        <f>IF(ISNA(MATCH(924,'Transfer Engine'!$C$2:$C$1960,0)),"",INDEX('Compliance Database'!$D$2:$D$1960,MATCH(924,'Transfer Engine'!$C$2:$C$1960,0)))</f>
        <v/>
      </c>
      <c r="E933" s="8">
        <f>IF(ISNA(MATCH(924,'Transfer Engine'!$C$2:$C$1960,0)),"",INDEX('Compliance Database'!$E$2:$E$1960,MATCH(924,'Transfer Engine'!$C$2:$C$1960,0)))</f>
        <v/>
      </c>
      <c r="F933" s="8">
        <f>IF(ISNA(MATCH(924,'Transfer Engine'!$C$2:$C$1960,0)),"",INDEX('Compliance Database'!$F$2:$F$1960,MATCH(924,'Transfer Engine'!$C$2:$C$1960,0)))</f>
        <v/>
      </c>
      <c r="G933" s="8">
        <f>IF(ISNA(MATCH(924,'Transfer Engine'!$C$2:$C$1960,0)),"",INDEX('Compliance Database'!$G$2:$G$1960,MATCH(924,'Transfer Engine'!$C$2:$C$1960,0)))</f>
        <v/>
      </c>
      <c r="H933" s="9">
        <f>IF(ISNA(MATCH(924,'Transfer Engine'!$C$2:$C$1960,0)),"",INDEX('Compliance Database'!$H$2:$H$1960,MATCH(924,'Transfer Engine'!$C$2:$C$1960,0)))</f>
        <v/>
      </c>
      <c r="I933" s="9">
        <f>IF(ISNA(MATCH(924,'Transfer Engine'!$C$2:$C$1960,0)),"",INDEX('Compliance Database'!$I$2:$I$1960,MATCH(924,'Transfer Engine'!$C$2:$C$1960,0)))</f>
        <v/>
      </c>
      <c r="J933" s="8">
        <f>IF(ISNA(MATCH(924,'Transfer Engine'!$C$2:$C$1960,0)),"",INDEX('Compliance Database'!$J$2:$J$1960,MATCH(924,'Transfer Engine'!$C$2:$C$1960,0)))</f>
        <v/>
      </c>
      <c r="K933" s="9">
        <f>IF(ISNA(MATCH(924,'Transfer Engine'!$C$2:$C$1960,0)),"",INDEX('Compliance Database'!$K$2:$K$1960,MATCH(924,'Transfer Engine'!$C$2:$C$1960,0)))</f>
        <v/>
      </c>
      <c r="L933" s="9">
        <f>IF(ISNA(MATCH(924,'Transfer Engine'!$C$2:$C$1960,0)),"",INDEX('Compliance Database'!$L$2:$L$1960,MATCH(924,'Transfer Engine'!$C$2:$C$1960,0)))</f>
        <v/>
      </c>
      <c r="M933" s="9">
        <f>IF(ISNA(MATCH(924,'Transfer Engine'!$C$2:$C$1960,0)),"",INDEX('Compliance Database'!$M$2:$M$1960,MATCH(924,'Transfer Engine'!$C$2:$C$1960,0)))</f>
        <v/>
      </c>
      <c r="N933" s="9">
        <f>IF(ISNA(MATCH(924,'Transfer Engine'!$C$2:$C$1960,0)),"",INDEX('Compliance Database'!$N$2:$N$1960,MATCH(924,'Transfer Engine'!$C$2:$C$1960,0)))</f>
        <v/>
      </c>
      <c r="O933" s="9">
        <f>IF(ISNA(MATCH(924,'Transfer Engine'!$C$2:$C$1960,0)),"",INDEX('Compliance Database'!$O$2:$O$1960,MATCH(924,'Transfer Engine'!$C$2:$C$1960,0)))</f>
        <v/>
      </c>
      <c r="P933" s="8">
        <f>IF(ISNA(MATCH(924,'Transfer Engine'!$C$2:$C$1960,0)),"",HYPERLINK("#Acts!A"&amp;INDEX('Compliance Database'!$P$2:$P$1960,MATCH(924,'Transfer Engine'!$C$2:$C$1960,0)),"Go to Act"))</f>
        <v/>
      </c>
    </row>
    <row r="934" ht="158" customHeight="1">
      <c r="A934" s="8">
        <f>IF(ISNA(MATCH(925,'Transfer Engine'!$C$2:$C$1960,0)),"",INDEX('Compliance Database'!$A$2:$A$1960,MATCH(925,'Transfer Engine'!$C$2:$C$1960,0)))</f>
        <v/>
      </c>
      <c r="B934" s="8">
        <f>IF(ISNA(MATCH(925,'Transfer Engine'!$C$2:$C$1960,0)),"",INDEX('Compliance Database'!$B$2:$B$1960,MATCH(925,'Transfer Engine'!$C$2:$C$1960,0)))</f>
        <v/>
      </c>
      <c r="C934" s="8">
        <f>IF(ISNA(MATCH(925,'Transfer Engine'!$C$2:$C$1960,0)),"",INDEX('Compliance Database'!$C$2:$C$1960,MATCH(925,'Transfer Engine'!$C$2:$C$1960,0)))</f>
        <v/>
      </c>
      <c r="D934" s="9">
        <f>IF(ISNA(MATCH(925,'Transfer Engine'!$C$2:$C$1960,0)),"",INDEX('Compliance Database'!$D$2:$D$1960,MATCH(925,'Transfer Engine'!$C$2:$C$1960,0)))</f>
        <v/>
      </c>
      <c r="E934" s="8">
        <f>IF(ISNA(MATCH(925,'Transfer Engine'!$C$2:$C$1960,0)),"",INDEX('Compliance Database'!$E$2:$E$1960,MATCH(925,'Transfer Engine'!$C$2:$C$1960,0)))</f>
        <v/>
      </c>
      <c r="F934" s="8">
        <f>IF(ISNA(MATCH(925,'Transfer Engine'!$C$2:$C$1960,0)),"",INDEX('Compliance Database'!$F$2:$F$1960,MATCH(925,'Transfer Engine'!$C$2:$C$1960,0)))</f>
        <v/>
      </c>
      <c r="G934" s="8">
        <f>IF(ISNA(MATCH(925,'Transfer Engine'!$C$2:$C$1960,0)),"",INDEX('Compliance Database'!$G$2:$G$1960,MATCH(925,'Transfer Engine'!$C$2:$C$1960,0)))</f>
        <v/>
      </c>
      <c r="H934" s="9">
        <f>IF(ISNA(MATCH(925,'Transfer Engine'!$C$2:$C$1960,0)),"",INDEX('Compliance Database'!$H$2:$H$1960,MATCH(925,'Transfer Engine'!$C$2:$C$1960,0)))</f>
        <v/>
      </c>
      <c r="I934" s="9">
        <f>IF(ISNA(MATCH(925,'Transfer Engine'!$C$2:$C$1960,0)),"",INDEX('Compliance Database'!$I$2:$I$1960,MATCH(925,'Transfer Engine'!$C$2:$C$1960,0)))</f>
        <v/>
      </c>
      <c r="J934" s="8">
        <f>IF(ISNA(MATCH(925,'Transfer Engine'!$C$2:$C$1960,0)),"",INDEX('Compliance Database'!$J$2:$J$1960,MATCH(925,'Transfer Engine'!$C$2:$C$1960,0)))</f>
        <v/>
      </c>
      <c r="K934" s="9">
        <f>IF(ISNA(MATCH(925,'Transfer Engine'!$C$2:$C$1960,0)),"",INDEX('Compliance Database'!$K$2:$K$1960,MATCH(925,'Transfer Engine'!$C$2:$C$1960,0)))</f>
        <v/>
      </c>
      <c r="L934" s="9">
        <f>IF(ISNA(MATCH(925,'Transfer Engine'!$C$2:$C$1960,0)),"",INDEX('Compliance Database'!$L$2:$L$1960,MATCH(925,'Transfer Engine'!$C$2:$C$1960,0)))</f>
        <v/>
      </c>
      <c r="M934" s="9">
        <f>IF(ISNA(MATCH(925,'Transfer Engine'!$C$2:$C$1960,0)),"",INDEX('Compliance Database'!$M$2:$M$1960,MATCH(925,'Transfer Engine'!$C$2:$C$1960,0)))</f>
        <v/>
      </c>
      <c r="N934" s="9">
        <f>IF(ISNA(MATCH(925,'Transfer Engine'!$C$2:$C$1960,0)),"",INDEX('Compliance Database'!$N$2:$N$1960,MATCH(925,'Transfer Engine'!$C$2:$C$1960,0)))</f>
        <v/>
      </c>
      <c r="O934" s="9">
        <f>IF(ISNA(MATCH(925,'Transfer Engine'!$C$2:$C$1960,0)),"",INDEX('Compliance Database'!$O$2:$O$1960,MATCH(925,'Transfer Engine'!$C$2:$C$1960,0)))</f>
        <v/>
      </c>
      <c r="P934" s="8">
        <f>IF(ISNA(MATCH(925,'Transfer Engine'!$C$2:$C$1960,0)),"",HYPERLINK("#Acts!A"&amp;INDEX('Compliance Database'!$P$2:$P$1960,MATCH(925,'Transfer Engine'!$C$2:$C$1960,0)),"Go to Act"))</f>
        <v/>
      </c>
    </row>
    <row r="935" ht="158" customHeight="1">
      <c r="A935" s="8">
        <f>IF(ISNA(MATCH(926,'Transfer Engine'!$C$2:$C$1960,0)),"",INDEX('Compliance Database'!$A$2:$A$1960,MATCH(926,'Transfer Engine'!$C$2:$C$1960,0)))</f>
        <v/>
      </c>
      <c r="B935" s="8">
        <f>IF(ISNA(MATCH(926,'Transfer Engine'!$C$2:$C$1960,0)),"",INDEX('Compliance Database'!$B$2:$B$1960,MATCH(926,'Transfer Engine'!$C$2:$C$1960,0)))</f>
        <v/>
      </c>
      <c r="C935" s="8">
        <f>IF(ISNA(MATCH(926,'Transfer Engine'!$C$2:$C$1960,0)),"",INDEX('Compliance Database'!$C$2:$C$1960,MATCH(926,'Transfer Engine'!$C$2:$C$1960,0)))</f>
        <v/>
      </c>
      <c r="D935" s="9">
        <f>IF(ISNA(MATCH(926,'Transfer Engine'!$C$2:$C$1960,0)),"",INDEX('Compliance Database'!$D$2:$D$1960,MATCH(926,'Transfer Engine'!$C$2:$C$1960,0)))</f>
        <v/>
      </c>
      <c r="E935" s="8">
        <f>IF(ISNA(MATCH(926,'Transfer Engine'!$C$2:$C$1960,0)),"",INDEX('Compliance Database'!$E$2:$E$1960,MATCH(926,'Transfer Engine'!$C$2:$C$1960,0)))</f>
        <v/>
      </c>
      <c r="F935" s="8">
        <f>IF(ISNA(MATCH(926,'Transfer Engine'!$C$2:$C$1960,0)),"",INDEX('Compliance Database'!$F$2:$F$1960,MATCH(926,'Transfer Engine'!$C$2:$C$1960,0)))</f>
        <v/>
      </c>
      <c r="G935" s="8">
        <f>IF(ISNA(MATCH(926,'Transfer Engine'!$C$2:$C$1960,0)),"",INDEX('Compliance Database'!$G$2:$G$1960,MATCH(926,'Transfer Engine'!$C$2:$C$1960,0)))</f>
        <v/>
      </c>
      <c r="H935" s="9">
        <f>IF(ISNA(MATCH(926,'Transfer Engine'!$C$2:$C$1960,0)),"",INDEX('Compliance Database'!$H$2:$H$1960,MATCH(926,'Transfer Engine'!$C$2:$C$1960,0)))</f>
        <v/>
      </c>
      <c r="I935" s="9">
        <f>IF(ISNA(MATCH(926,'Transfer Engine'!$C$2:$C$1960,0)),"",INDEX('Compliance Database'!$I$2:$I$1960,MATCH(926,'Transfer Engine'!$C$2:$C$1960,0)))</f>
        <v/>
      </c>
      <c r="J935" s="8">
        <f>IF(ISNA(MATCH(926,'Transfer Engine'!$C$2:$C$1960,0)),"",INDEX('Compliance Database'!$J$2:$J$1960,MATCH(926,'Transfer Engine'!$C$2:$C$1960,0)))</f>
        <v/>
      </c>
      <c r="K935" s="9">
        <f>IF(ISNA(MATCH(926,'Transfer Engine'!$C$2:$C$1960,0)),"",INDEX('Compliance Database'!$K$2:$K$1960,MATCH(926,'Transfer Engine'!$C$2:$C$1960,0)))</f>
        <v/>
      </c>
      <c r="L935" s="9">
        <f>IF(ISNA(MATCH(926,'Transfer Engine'!$C$2:$C$1960,0)),"",INDEX('Compliance Database'!$L$2:$L$1960,MATCH(926,'Transfer Engine'!$C$2:$C$1960,0)))</f>
        <v/>
      </c>
      <c r="M935" s="9">
        <f>IF(ISNA(MATCH(926,'Transfer Engine'!$C$2:$C$1960,0)),"",INDEX('Compliance Database'!$M$2:$M$1960,MATCH(926,'Transfer Engine'!$C$2:$C$1960,0)))</f>
        <v/>
      </c>
      <c r="N935" s="9">
        <f>IF(ISNA(MATCH(926,'Transfer Engine'!$C$2:$C$1960,0)),"",INDEX('Compliance Database'!$N$2:$N$1960,MATCH(926,'Transfer Engine'!$C$2:$C$1960,0)))</f>
        <v/>
      </c>
      <c r="O935" s="9">
        <f>IF(ISNA(MATCH(926,'Transfer Engine'!$C$2:$C$1960,0)),"",INDEX('Compliance Database'!$O$2:$O$1960,MATCH(926,'Transfer Engine'!$C$2:$C$1960,0)))</f>
        <v/>
      </c>
      <c r="P935" s="8">
        <f>IF(ISNA(MATCH(926,'Transfer Engine'!$C$2:$C$1960,0)),"",HYPERLINK("#Acts!A"&amp;INDEX('Compliance Database'!$P$2:$P$1960,MATCH(926,'Transfer Engine'!$C$2:$C$1960,0)),"Go to Act"))</f>
        <v/>
      </c>
    </row>
    <row r="936" ht="158" customHeight="1">
      <c r="A936" s="8">
        <f>IF(ISNA(MATCH(927,'Transfer Engine'!$C$2:$C$1960,0)),"",INDEX('Compliance Database'!$A$2:$A$1960,MATCH(927,'Transfer Engine'!$C$2:$C$1960,0)))</f>
        <v/>
      </c>
      <c r="B936" s="8">
        <f>IF(ISNA(MATCH(927,'Transfer Engine'!$C$2:$C$1960,0)),"",INDEX('Compliance Database'!$B$2:$B$1960,MATCH(927,'Transfer Engine'!$C$2:$C$1960,0)))</f>
        <v/>
      </c>
      <c r="C936" s="8">
        <f>IF(ISNA(MATCH(927,'Transfer Engine'!$C$2:$C$1960,0)),"",INDEX('Compliance Database'!$C$2:$C$1960,MATCH(927,'Transfer Engine'!$C$2:$C$1960,0)))</f>
        <v/>
      </c>
      <c r="D936" s="9">
        <f>IF(ISNA(MATCH(927,'Transfer Engine'!$C$2:$C$1960,0)),"",INDEX('Compliance Database'!$D$2:$D$1960,MATCH(927,'Transfer Engine'!$C$2:$C$1960,0)))</f>
        <v/>
      </c>
      <c r="E936" s="8">
        <f>IF(ISNA(MATCH(927,'Transfer Engine'!$C$2:$C$1960,0)),"",INDEX('Compliance Database'!$E$2:$E$1960,MATCH(927,'Transfer Engine'!$C$2:$C$1960,0)))</f>
        <v/>
      </c>
      <c r="F936" s="8">
        <f>IF(ISNA(MATCH(927,'Transfer Engine'!$C$2:$C$1960,0)),"",INDEX('Compliance Database'!$F$2:$F$1960,MATCH(927,'Transfer Engine'!$C$2:$C$1960,0)))</f>
        <v/>
      </c>
      <c r="G936" s="8">
        <f>IF(ISNA(MATCH(927,'Transfer Engine'!$C$2:$C$1960,0)),"",INDEX('Compliance Database'!$G$2:$G$1960,MATCH(927,'Transfer Engine'!$C$2:$C$1960,0)))</f>
        <v/>
      </c>
      <c r="H936" s="9">
        <f>IF(ISNA(MATCH(927,'Transfer Engine'!$C$2:$C$1960,0)),"",INDEX('Compliance Database'!$H$2:$H$1960,MATCH(927,'Transfer Engine'!$C$2:$C$1960,0)))</f>
        <v/>
      </c>
      <c r="I936" s="9">
        <f>IF(ISNA(MATCH(927,'Transfer Engine'!$C$2:$C$1960,0)),"",INDEX('Compliance Database'!$I$2:$I$1960,MATCH(927,'Transfer Engine'!$C$2:$C$1960,0)))</f>
        <v/>
      </c>
      <c r="J936" s="8">
        <f>IF(ISNA(MATCH(927,'Transfer Engine'!$C$2:$C$1960,0)),"",INDEX('Compliance Database'!$J$2:$J$1960,MATCH(927,'Transfer Engine'!$C$2:$C$1960,0)))</f>
        <v/>
      </c>
      <c r="K936" s="9">
        <f>IF(ISNA(MATCH(927,'Transfer Engine'!$C$2:$C$1960,0)),"",INDEX('Compliance Database'!$K$2:$K$1960,MATCH(927,'Transfer Engine'!$C$2:$C$1960,0)))</f>
        <v/>
      </c>
      <c r="L936" s="9">
        <f>IF(ISNA(MATCH(927,'Transfer Engine'!$C$2:$C$1960,0)),"",INDEX('Compliance Database'!$L$2:$L$1960,MATCH(927,'Transfer Engine'!$C$2:$C$1960,0)))</f>
        <v/>
      </c>
      <c r="M936" s="9">
        <f>IF(ISNA(MATCH(927,'Transfer Engine'!$C$2:$C$1960,0)),"",INDEX('Compliance Database'!$M$2:$M$1960,MATCH(927,'Transfer Engine'!$C$2:$C$1960,0)))</f>
        <v/>
      </c>
      <c r="N936" s="9">
        <f>IF(ISNA(MATCH(927,'Transfer Engine'!$C$2:$C$1960,0)),"",INDEX('Compliance Database'!$N$2:$N$1960,MATCH(927,'Transfer Engine'!$C$2:$C$1960,0)))</f>
        <v/>
      </c>
      <c r="O936" s="9">
        <f>IF(ISNA(MATCH(927,'Transfer Engine'!$C$2:$C$1960,0)),"",INDEX('Compliance Database'!$O$2:$O$1960,MATCH(927,'Transfer Engine'!$C$2:$C$1960,0)))</f>
        <v/>
      </c>
      <c r="P936" s="8">
        <f>IF(ISNA(MATCH(927,'Transfer Engine'!$C$2:$C$1960,0)),"",HYPERLINK("#Acts!A"&amp;INDEX('Compliance Database'!$P$2:$P$1960,MATCH(927,'Transfer Engine'!$C$2:$C$1960,0)),"Go to Act"))</f>
        <v/>
      </c>
    </row>
    <row r="937" ht="158" customHeight="1">
      <c r="A937" s="8">
        <f>IF(ISNA(MATCH(928,'Transfer Engine'!$C$2:$C$1960,0)),"",INDEX('Compliance Database'!$A$2:$A$1960,MATCH(928,'Transfer Engine'!$C$2:$C$1960,0)))</f>
        <v/>
      </c>
      <c r="B937" s="8">
        <f>IF(ISNA(MATCH(928,'Transfer Engine'!$C$2:$C$1960,0)),"",INDEX('Compliance Database'!$B$2:$B$1960,MATCH(928,'Transfer Engine'!$C$2:$C$1960,0)))</f>
        <v/>
      </c>
      <c r="C937" s="8">
        <f>IF(ISNA(MATCH(928,'Transfer Engine'!$C$2:$C$1960,0)),"",INDEX('Compliance Database'!$C$2:$C$1960,MATCH(928,'Transfer Engine'!$C$2:$C$1960,0)))</f>
        <v/>
      </c>
      <c r="D937" s="9">
        <f>IF(ISNA(MATCH(928,'Transfer Engine'!$C$2:$C$1960,0)),"",INDEX('Compliance Database'!$D$2:$D$1960,MATCH(928,'Transfer Engine'!$C$2:$C$1960,0)))</f>
        <v/>
      </c>
      <c r="E937" s="8">
        <f>IF(ISNA(MATCH(928,'Transfer Engine'!$C$2:$C$1960,0)),"",INDEX('Compliance Database'!$E$2:$E$1960,MATCH(928,'Transfer Engine'!$C$2:$C$1960,0)))</f>
        <v/>
      </c>
      <c r="F937" s="8">
        <f>IF(ISNA(MATCH(928,'Transfer Engine'!$C$2:$C$1960,0)),"",INDEX('Compliance Database'!$F$2:$F$1960,MATCH(928,'Transfer Engine'!$C$2:$C$1960,0)))</f>
        <v/>
      </c>
      <c r="G937" s="8">
        <f>IF(ISNA(MATCH(928,'Transfer Engine'!$C$2:$C$1960,0)),"",INDEX('Compliance Database'!$G$2:$G$1960,MATCH(928,'Transfer Engine'!$C$2:$C$1960,0)))</f>
        <v/>
      </c>
      <c r="H937" s="9">
        <f>IF(ISNA(MATCH(928,'Transfer Engine'!$C$2:$C$1960,0)),"",INDEX('Compliance Database'!$H$2:$H$1960,MATCH(928,'Transfer Engine'!$C$2:$C$1960,0)))</f>
        <v/>
      </c>
      <c r="I937" s="9">
        <f>IF(ISNA(MATCH(928,'Transfer Engine'!$C$2:$C$1960,0)),"",INDEX('Compliance Database'!$I$2:$I$1960,MATCH(928,'Transfer Engine'!$C$2:$C$1960,0)))</f>
        <v/>
      </c>
      <c r="J937" s="8">
        <f>IF(ISNA(MATCH(928,'Transfer Engine'!$C$2:$C$1960,0)),"",INDEX('Compliance Database'!$J$2:$J$1960,MATCH(928,'Transfer Engine'!$C$2:$C$1960,0)))</f>
        <v/>
      </c>
      <c r="K937" s="9">
        <f>IF(ISNA(MATCH(928,'Transfer Engine'!$C$2:$C$1960,0)),"",INDEX('Compliance Database'!$K$2:$K$1960,MATCH(928,'Transfer Engine'!$C$2:$C$1960,0)))</f>
        <v/>
      </c>
      <c r="L937" s="9">
        <f>IF(ISNA(MATCH(928,'Transfer Engine'!$C$2:$C$1960,0)),"",INDEX('Compliance Database'!$L$2:$L$1960,MATCH(928,'Transfer Engine'!$C$2:$C$1960,0)))</f>
        <v/>
      </c>
      <c r="M937" s="9">
        <f>IF(ISNA(MATCH(928,'Transfer Engine'!$C$2:$C$1960,0)),"",INDEX('Compliance Database'!$M$2:$M$1960,MATCH(928,'Transfer Engine'!$C$2:$C$1960,0)))</f>
        <v/>
      </c>
      <c r="N937" s="9">
        <f>IF(ISNA(MATCH(928,'Transfer Engine'!$C$2:$C$1960,0)),"",INDEX('Compliance Database'!$N$2:$N$1960,MATCH(928,'Transfer Engine'!$C$2:$C$1960,0)))</f>
        <v/>
      </c>
      <c r="O937" s="9">
        <f>IF(ISNA(MATCH(928,'Transfer Engine'!$C$2:$C$1960,0)),"",INDEX('Compliance Database'!$O$2:$O$1960,MATCH(928,'Transfer Engine'!$C$2:$C$1960,0)))</f>
        <v/>
      </c>
      <c r="P937" s="8">
        <f>IF(ISNA(MATCH(928,'Transfer Engine'!$C$2:$C$1960,0)),"",HYPERLINK("#Acts!A"&amp;INDEX('Compliance Database'!$P$2:$P$1960,MATCH(928,'Transfer Engine'!$C$2:$C$1960,0)),"Go to Act"))</f>
        <v/>
      </c>
    </row>
    <row r="938" ht="158" customHeight="1">
      <c r="A938" s="8">
        <f>IF(ISNA(MATCH(929,'Transfer Engine'!$C$2:$C$1960,0)),"",INDEX('Compliance Database'!$A$2:$A$1960,MATCH(929,'Transfer Engine'!$C$2:$C$1960,0)))</f>
        <v/>
      </c>
      <c r="B938" s="8">
        <f>IF(ISNA(MATCH(929,'Transfer Engine'!$C$2:$C$1960,0)),"",INDEX('Compliance Database'!$B$2:$B$1960,MATCH(929,'Transfer Engine'!$C$2:$C$1960,0)))</f>
        <v/>
      </c>
      <c r="C938" s="8">
        <f>IF(ISNA(MATCH(929,'Transfer Engine'!$C$2:$C$1960,0)),"",INDEX('Compliance Database'!$C$2:$C$1960,MATCH(929,'Transfer Engine'!$C$2:$C$1960,0)))</f>
        <v/>
      </c>
      <c r="D938" s="9">
        <f>IF(ISNA(MATCH(929,'Transfer Engine'!$C$2:$C$1960,0)),"",INDEX('Compliance Database'!$D$2:$D$1960,MATCH(929,'Transfer Engine'!$C$2:$C$1960,0)))</f>
        <v/>
      </c>
      <c r="E938" s="8">
        <f>IF(ISNA(MATCH(929,'Transfer Engine'!$C$2:$C$1960,0)),"",INDEX('Compliance Database'!$E$2:$E$1960,MATCH(929,'Transfer Engine'!$C$2:$C$1960,0)))</f>
        <v/>
      </c>
      <c r="F938" s="8">
        <f>IF(ISNA(MATCH(929,'Transfer Engine'!$C$2:$C$1960,0)),"",INDEX('Compliance Database'!$F$2:$F$1960,MATCH(929,'Transfer Engine'!$C$2:$C$1960,0)))</f>
        <v/>
      </c>
      <c r="G938" s="8">
        <f>IF(ISNA(MATCH(929,'Transfer Engine'!$C$2:$C$1960,0)),"",INDEX('Compliance Database'!$G$2:$G$1960,MATCH(929,'Transfer Engine'!$C$2:$C$1960,0)))</f>
        <v/>
      </c>
      <c r="H938" s="9">
        <f>IF(ISNA(MATCH(929,'Transfer Engine'!$C$2:$C$1960,0)),"",INDEX('Compliance Database'!$H$2:$H$1960,MATCH(929,'Transfer Engine'!$C$2:$C$1960,0)))</f>
        <v/>
      </c>
      <c r="I938" s="9">
        <f>IF(ISNA(MATCH(929,'Transfer Engine'!$C$2:$C$1960,0)),"",INDEX('Compliance Database'!$I$2:$I$1960,MATCH(929,'Transfer Engine'!$C$2:$C$1960,0)))</f>
        <v/>
      </c>
      <c r="J938" s="8">
        <f>IF(ISNA(MATCH(929,'Transfer Engine'!$C$2:$C$1960,0)),"",INDEX('Compliance Database'!$J$2:$J$1960,MATCH(929,'Transfer Engine'!$C$2:$C$1960,0)))</f>
        <v/>
      </c>
      <c r="K938" s="9">
        <f>IF(ISNA(MATCH(929,'Transfer Engine'!$C$2:$C$1960,0)),"",INDEX('Compliance Database'!$K$2:$K$1960,MATCH(929,'Transfer Engine'!$C$2:$C$1960,0)))</f>
        <v/>
      </c>
      <c r="L938" s="9">
        <f>IF(ISNA(MATCH(929,'Transfer Engine'!$C$2:$C$1960,0)),"",INDEX('Compliance Database'!$L$2:$L$1960,MATCH(929,'Transfer Engine'!$C$2:$C$1960,0)))</f>
        <v/>
      </c>
      <c r="M938" s="9">
        <f>IF(ISNA(MATCH(929,'Transfer Engine'!$C$2:$C$1960,0)),"",INDEX('Compliance Database'!$M$2:$M$1960,MATCH(929,'Transfer Engine'!$C$2:$C$1960,0)))</f>
        <v/>
      </c>
      <c r="N938" s="9">
        <f>IF(ISNA(MATCH(929,'Transfer Engine'!$C$2:$C$1960,0)),"",INDEX('Compliance Database'!$N$2:$N$1960,MATCH(929,'Transfer Engine'!$C$2:$C$1960,0)))</f>
        <v/>
      </c>
      <c r="O938" s="9">
        <f>IF(ISNA(MATCH(929,'Transfer Engine'!$C$2:$C$1960,0)),"",INDEX('Compliance Database'!$O$2:$O$1960,MATCH(929,'Transfer Engine'!$C$2:$C$1960,0)))</f>
        <v/>
      </c>
      <c r="P938" s="8">
        <f>IF(ISNA(MATCH(929,'Transfer Engine'!$C$2:$C$1960,0)),"",HYPERLINK("#Acts!A"&amp;INDEX('Compliance Database'!$P$2:$P$1960,MATCH(929,'Transfer Engine'!$C$2:$C$1960,0)),"Go to Act"))</f>
        <v/>
      </c>
    </row>
    <row r="939" ht="158" customHeight="1">
      <c r="A939" s="8">
        <f>IF(ISNA(MATCH(930,'Transfer Engine'!$C$2:$C$1960,0)),"",INDEX('Compliance Database'!$A$2:$A$1960,MATCH(930,'Transfer Engine'!$C$2:$C$1960,0)))</f>
        <v/>
      </c>
      <c r="B939" s="8">
        <f>IF(ISNA(MATCH(930,'Transfer Engine'!$C$2:$C$1960,0)),"",INDEX('Compliance Database'!$B$2:$B$1960,MATCH(930,'Transfer Engine'!$C$2:$C$1960,0)))</f>
        <v/>
      </c>
      <c r="C939" s="8">
        <f>IF(ISNA(MATCH(930,'Transfer Engine'!$C$2:$C$1960,0)),"",INDEX('Compliance Database'!$C$2:$C$1960,MATCH(930,'Transfer Engine'!$C$2:$C$1960,0)))</f>
        <v/>
      </c>
      <c r="D939" s="9">
        <f>IF(ISNA(MATCH(930,'Transfer Engine'!$C$2:$C$1960,0)),"",INDEX('Compliance Database'!$D$2:$D$1960,MATCH(930,'Transfer Engine'!$C$2:$C$1960,0)))</f>
        <v/>
      </c>
      <c r="E939" s="8">
        <f>IF(ISNA(MATCH(930,'Transfer Engine'!$C$2:$C$1960,0)),"",INDEX('Compliance Database'!$E$2:$E$1960,MATCH(930,'Transfer Engine'!$C$2:$C$1960,0)))</f>
        <v/>
      </c>
      <c r="F939" s="8">
        <f>IF(ISNA(MATCH(930,'Transfer Engine'!$C$2:$C$1960,0)),"",INDEX('Compliance Database'!$F$2:$F$1960,MATCH(930,'Transfer Engine'!$C$2:$C$1960,0)))</f>
        <v/>
      </c>
      <c r="G939" s="8">
        <f>IF(ISNA(MATCH(930,'Transfer Engine'!$C$2:$C$1960,0)),"",INDEX('Compliance Database'!$G$2:$G$1960,MATCH(930,'Transfer Engine'!$C$2:$C$1960,0)))</f>
        <v/>
      </c>
      <c r="H939" s="9">
        <f>IF(ISNA(MATCH(930,'Transfer Engine'!$C$2:$C$1960,0)),"",INDEX('Compliance Database'!$H$2:$H$1960,MATCH(930,'Transfer Engine'!$C$2:$C$1960,0)))</f>
        <v/>
      </c>
      <c r="I939" s="9">
        <f>IF(ISNA(MATCH(930,'Transfer Engine'!$C$2:$C$1960,0)),"",INDEX('Compliance Database'!$I$2:$I$1960,MATCH(930,'Transfer Engine'!$C$2:$C$1960,0)))</f>
        <v/>
      </c>
      <c r="J939" s="8">
        <f>IF(ISNA(MATCH(930,'Transfer Engine'!$C$2:$C$1960,0)),"",INDEX('Compliance Database'!$J$2:$J$1960,MATCH(930,'Transfer Engine'!$C$2:$C$1960,0)))</f>
        <v/>
      </c>
      <c r="K939" s="9">
        <f>IF(ISNA(MATCH(930,'Transfer Engine'!$C$2:$C$1960,0)),"",INDEX('Compliance Database'!$K$2:$K$1960,MATCH(930,'Transfer Engine'!$C$2:$C$1960,0)))</f>
        <v/>
      </c>
      <c r="L939" s="9">
        <f>IF(ISNA(MATCH(930,'Transfer Engine'!$C$2:$C$1960,0)),"",INDEX('Compliance Database'!$L$2:$L$1960,MATCH(930,'Transfer Engine'!$C$2:$C$1960,0)))</f>
        <v/>
      </c>
      <c r="M939" s="9">
        <f>IF(ISNA(MATCH(930,'Transfer Engine'!$C$2:$C$1960,0)),"",INDEX('Compliance Database'!$M$2:$M$1960,MATCH(930,'Transfer Engine'!$C$2:$C$1960,0)))</f>
        <v/>
      </c>
      <c r="N939" s="9">
        <f>IF(ISNA(MATCH(930,'Transfer Engine'!$C$2:$C$1960,0)),"",INDEX('Compliance Database'!$N$2:$N$1960,MATCH(930,'Transfer Engine'!$C$2:$C$1960,0)))</f>
        <v/>
      </c>
      <c r="O939" s="9">
        <f>IF(ISNA(MATCH(930,'Transfer Engine'!$C$2:$C$1960,0)),"",INDEX('Compliance Database'!$O$2:$O$1960,MATCH(930,'Transfer Engine'!$C$2:$C$1960,0)))</f>
        <v/>
      </c>
      <c r="P939" s="8">
        <f>IF(ISNA(MATCH(930,'Transfer Engine'!$C$2:$C$1960,0)),"",HYPERLINK("#Acts!A"&amp;INDEX('Compliance Database'!$P$2:$P$1960,MATCH(930,'Transfer Engine'!$C$2:$C$1960,0)),"Go to Act"))</f>
        <v/>
      </c>
    </row>
    <row r="940" ht="158" customHeight="1">
      <c r="A940" s="8">
        <f>IF(ISNA(MATCH(931,'Transfer Engine'!$C$2:$C$1960,0)),"",INDEX('Compliance Database'!$A$2:$A$1960,MATCH(931,'Transfer Engine'!$C$2:$C$1960,0)))</f>
        <v/>
      </c>
      <c r="B940" s="8">
        <f>IF(ISNA(MATCH(931,'Transfer Engine'!$C$2:$C$1960,0)),"",INDEX('Compliance Database'!$B$2:$B$1960,MATCH(931,'Transfer Engine'!$C$2:$C$1960,0)))</f>
        <v/>
      </c>
      <c r="C940" s="8">
        <f>IF(ISNA(MATCH(931,'Transfer Engine'!$C$2:$C$1960,0)),"",INDEX('Compliance Database'!$C$2:$C$1960,MATCH(931,'Transfer Engine'!$C$2:$C$1960,0)))</f>
        <v/>
      </c>
      <c r="D940" s="9">
        <f>IF(ISNA(MATCH(931,'Transfer Engine'!$C$2:$C$1960,0)),"",INDEX('Compliance Database'!$D$2:$D$1960,MATCH(931,'Transfer Engine'!$C$2:$C$1960,0)))</f>
        <v/>
      </c>
      <c r="E940" s="8">
        <f>IF(ISNA(MATCH(931,'Transfer Engine'!$C$2:$C$1960,0)),"",INDEX('Compliance Database'!$E$2:$E$1960,MATCH(931,'Transfer Engine'!$C$2:$C$1960,0)))</f>
        <v/>
      </c>
      <c r="F940" s="8">
        <f>IF(ISNA(MATCH(931,'Transfer Engine'!$C$2:$C$1960,0)),"",INDEX('Compliance Database'!$F$2:$F$1960,MATCH(931,'Transfer Engine'!$C$2:$C$1960,0)))</f>
        <v/>
      </c>
      <c r="G940" s="8">
        <f>IF(ISNA(MATCH(931,'Transfer Engine'!$C$2:$C$1960,0)),"",INDEX('Compliance Database'!$G$2:$G$1960,MATCH(931,'Transfer Engine'!$C$2:$C$1960,0)))</f>
        <v/>
      </c>
      <c r="H940" s="9">
        <f>IF(ISNA(MATCH(931,'Transfer Engine'!$C$2:$C$1960,0)),"",INDEX('Compliance Database'!$H$2:$H$1960,MATCH(931,'Transfer Engine'!$C$2:$C$1960,0)))</f>
        <v/>
      </c>
      <c r="I940" s="9">
        <f>IF(ISNA(MATCH(931,'Transfer Engine'!$C$2:$C$1960,0)),"",INDEX('Compliance Database'!$I$2:$I$1960,MATCH(931,'Transfer Engine'!$C$2:$C$1960,0)))</f>
        <v/>
      </c>
      <c r="J940" s="8">
        <f>IF(ISNA(MATCH(931,'Transfer Engine'!$C$2:$C$1960,0)),"",INDEX('Compliance Database'!$J$2:$J$1960,MATCH(931,'Transfer Engine'!$C$2:$C$1960,0)))</f>
        <v/>
      </c>
      <c r="K940" s="9">
        <f>IF(ISNA(MATCH(931,'Transfer Engine'!$C$2:$C$1960,0)),"",INDEX('Compliance Database'!$K$2:$K$1960,MATCH(931,'Transfer Engine'!$C$2:$C$1960,0)))</f>
        <v/>
      </c>
      <c r="L940" s="9">
        <f>IF(ISNA(MATCH(931,'Transfer Engine'!$C$2:$C$1960,0)),"",INDEX('Compliance Database'!$L$2:$L$1960,MATCH(931,'Transfer Engine'!$C$2:$C$1960,0)))</f>
        <v/>
      </c>
      <c r="M940" s="9">
        <f>IF(ISNA(MATCH(931,'Transfer Engine'!$C$2:$C$1960,0)),"",INDEX('Compliance Database'!$M$2:$M$1960,MATCH(931,'Transfer Engine'!$C$2:$C$1960,0)))</f>
        <v/>
      </c>
      <c r="N940" s="9">
        <f>IF(ISNA(MATCH(931,'Transfer Engine'!$C$2:$C$1960,0)),"",INDEX('Compliance Database'!$N$2:$N$1960,MATCH(931,'Transfer Engine'!$C$2:$C$1960,0)))</f>
        <v/>
      </c>
      <c r="O940" s="9">
        <f>IF(ISNA(MATCH(931,'Transfer Engine'!$C$2:$C$1960,0)),"",INDEX('Compliance Database'!$O$2:$O$1960,MATCH(931,'Transfer Engine'!$C$2:$C$1960,0)))</f>
        <v/>
      </c>
      <c r="P940" s="8">
        <f>IF(ISNA(MATCH(931,'Transfer Engine'!$C$2:$C$1960,0)),"",HYPERLINK("#Acts!A"&amp;INDEX('Compliance Database'!$P$2:$P$1960,MATCH(931,'Transfer Engine'!$C$2:$C$1960,0)),"Go to Act"))</f>
        <v/>
      </c>
    </row>
    <row r="941" ht="158" customHeight="1">
      <c r="A941" s="8">
        <f>IF(ISNA(MATCH(932,'Transfer Engine'!$C$2:$C$1960,0)),"",INDEX('Compliance Database'!$A$2:$A$1960,MATCH(932,'Transfer Engine'!$C$2:$C$1960,0)))</f>
        <v/>
      </c>
      <c r="B941" s="8">
        <f>IF(ISNA(MATCH(932,'Transfer Engine'!$C$2:$C$1960,0)),"",INDEX('Compliance Database'!$B$2:$B$1960,MATCH(932,'Transfer Engine'!$C$2:$C$1960,0)))</f>
        <v/>
      </c>
      <c r="C941" s="8">
        <f>IF(ISNA(MATCH(932,'Transfer Engine'!$C$2:$C$1960,0)),"",INDEX('Compliance Database'!$C$2:$C$1960,MATCH(932,'Transfer Engine'!$C$2:$C$1960,0)))</f>
        <v/>
      </c>
      <c r="D941" s="9">
        <f>IF(ISNA(MATCH(932,'Transfer Engine'!$C$2:$C$1960,0)),"",INDEX('Compliance Database'!$D$2:$D$1960,MATCH(932,'Transfer Engine'!$C$2:$C$1960,0)))</f>
        <v/>
      </c>
      <c r="E941" s="8">
        <f>IF(ISNA(MATCH(932,'Transfer Engine'!$C$2:$C$1960,0)),"",INDEX('Compliance Database'!$E$2:$E$1960,MATCH(932,'Transfer Engine'!$C$2:$C$1960,0)))</f>
        <v/>
      </c>
      <c r="F941" s="8">
        <f>IF(ISNA(MATCH(932,'Transfer Engine'!$C$2:$C$1960,0)),"",INDEX('Compliance Database'!$F$2:$F$1960,MATCH(932,'Transfer Engine'!$C$2:$C$1960,0)))</f>
        <v/>
      </c>
      <c r="G941" s="8">
        <f>IF(ISNA(MATCH(932,'Transfer Engine'!$C$2:$C$1960,0)),"",INDEX('Compliance Database'!$G$2:$G$1960,MATCH(932,'Transfer Engine'!$C$2:$C$1960,0)))</f>
        <v/>
      </c>
      <c r="H941" s="9">
        <f>IF(ISNA(MATCH(932,'Transfer Engine'!$C$2:$C$1960,0)),"",INDEX('Compliance Database'!$H$2:$H$1960,MATCH(932,'Transfer Engine'!$C$2:$C$1960,0)))</f>
        <v/>
      </c>
      <c r="I941" s="9">
        <f>IF(ISNA(MATCH(932,'Transfer Engine'!$C$2:$C$1960,0)),"",INDEX('Compliance Database'!$I$2:$I$1960,MATCH(932,'Transfer Engine'!$C$2:$C$1960,0)))</f>
        <v/>
      </c>
      <c r="J941" s="8">
        <f>IF(ISNA(MATCH(932,'Transfer Engine'!$C$2:$C$1960,0)),"",INDEX('Compliance Database'!$J$2:$J$1960,MATCH(932,'Transfer Engine'!$C$2:$C$1960,0)))</f>
        <v/>
      </c>
      <c r="K941" s="9">
        <f>IF(ISNA(MATCH(932,'Transfer Engine'!$C$2:$C$1960,0)),"",INDEX('Compliance Database'!$K$2:$K$1960,MATCH(932,'Transfer Engine'!$C$2:$C$1960,0)))</f>
        <v/>
      </c>
      <c r="L941" s="9">
        <f>IF(ISNA(MATCH(932,'Transfer Engine'!$C$2:$C$1960,0)),"",INDEX('Compliance Database'!$L$2:$L$1960,MATCH(932,'Transfer Engine'!$C$2:$C$1960,0)))</f>
        <v/>
      </c>
      <c r="M941" s="9">
        <f>IF(ISNA(MATCH(932,'Transfer Engine'!$C$2:$C$1960,0)),"",INDEX('Compliance Database'!$M$2:$M$1960,MATCH(932,'Transfer Engine'!$C$2:$C$1960,0)))</f>
        <v/>
      </c>
      <c r="N941" s="9">
        <f>IF(ISNA(MATCH(932,'Transfer Engine'!$C$2:$C$1960,0)),"",INDEX('Compliance Database'!$N$2:$N$1960,MATCH(932,'Transfer Engine'!$C$2:$C$1960,0)))</f>
        <v/>
      </c>
      <c r="O941" s="9">
        <f>IF(ISNA(MATCH(932,'Transfer Engine'!$C$2:$C$1960,0)),"",INDEX('Compliance Database'!$O$2:$O$1960,MATCH(932,'Transfer Engine'!$C$2:$C$1960,0)))</f>
        <v/>
      </c>
      <c r="P941" s="8">
        <f>IF(ISNA(MATCH(932,'Transfer Engine'!$C$2:$C$1960,0)),"",HYPERLINK("#Acts!A"&amp;INDEX('Compliance Database'!$P$2:$P$1960,MATCH(932,'Transfer Engine'!$C$2:$C$1960,0)),"Go to Act"))</f>
        <v/>
      </c>
    </row>
    <row r="942" ht="158" customHeight="1">
      <c r="A942" s="8">
        <f>IF(ISNA(MATCH(933,'Transfer Engine'!$C$2:$C$1960,0)),"",INDEX('Compliance Database'!$A$2:$A$1960,MATCH(933,'Transfer Engine'!$C$2:$C$1960,0)))</f>
        <v/>
      </c>
      <c r="B942" s="8">
        <f>IF(ISNA(MATCH(933,'Transfer Engine'!$C$2:$C$1960,0)),"",INDEX('Compliance Database'!$B$2:$B$1960,MATCH(933,'Transfer Engine'!$C$2:$C$1960,0)))</f>
        <v/>
      </c>
      <c r="C942" s="8">
        <f>IF(ISNA(MATCH(933,'Transfer Engine'!$C$2:$C$1960,0)),"",INDEX('Compliance Database'!$C$2:$C$1960,MATCH(933,'Transfer Engine'!$C$2:$C$1960,0)))</f>
        <v/>
      </c>
      <c r="D942" s="9">
        <f>IF(ISNA(MATCH(933,'Transfer Engine'!$C$2:$C$1960,0)),"",INDEX('Compliance Database'!$D$2:$D$1960,MATCH(933,'Transfer Engine'!$C$2:$C$1960,0)))</f>
        <v/>
      </c>
      <c r="E942" s="8">
        <f>IF(ISNA(MATCH(933,'Transfer Engine'!$C$2:$C$1960,0)),"",INDEX('Compliance Database'!$E$2:$E$1960,MATCH(933,'Transfer Engine'!$C$2:$C$1960,0)))</f>
        <v/>
      </c>
      <c r="F942" s="8">
        <f>IF(ISNA(MATCH(933,'Transfer Engine'!$C$2:$C$1960,0)),"",INDEX('Compliance Database'!$F$2:$F$1960,MATCH(933,'Transfer Engine'!$C$2:$C$1960,0)))</f>
        <v/>
      </c>
      <c r="G942" s="8">
        <f>IF(ISNA(MATCH(933,'Transfer Engine'!$C$2:$C$1960,0)),"",INDEX('Compliance Database'!$G$2:$G$1960,MATCH(933,'Transfer Engine'!$C$2:$C$1960,0)))</f>
        <v/>
      </c>
      <c r="H942" s="9">
        <f>IF(ISNA(MATCH(933,'Transfer Engine'!$C$2:$C$1960,0)),"",INDEX('Compliance Database'!$H$2:$H$1960,MATCH(933,'Transfer Engine'!$C$2:$C$1960,0)))</f>
        <v/>
      </c>
      <c r="I942" s="9">
        <f>IF(ISNA(MATCH(933,'Transfer Engine'!$C$2:$C$1960,0)),"",INDEX('Compliance Database'!$I$2:$I$1960,MATCH(933,'Transfer Engine'!$C$2:$C$1960,0)))</f>
        <v/>
      </c>
      <c r="J942" s="8">
        <f>IF(ISNA(MATCH(933,'Transfer Engine'!$C$2:$C$1960,0)),"",INDEX('Compliance Database'!$J$2:$J$1960,MATCH(933,'Transfer Engine'!$C$2:$C$1960,0)))</f>
        <v/>
      </c>
      <c r="K942" s="9">
        <f>IF(ISNA(MATCH(933,'Transfer Engine'!$C$2:$C$1960,0)),"",INDEX('Compliance Database'!$K$2:$K$1960,MATCH(933,'Transfer Engine'!$C$2:$C$1960,0)))</f>
        <v/>
      </c>
      <c r="L942" s="9">
        <f>IF(ISNA(MATCH(933,'Transfer Engine'!$C$2:$C$1960,0)),"",INDEX('Compliance Database'!$L$2:$L$1960,MATCH(933,'Transfer Engine'!$C$2:$C$1960,0)))</f>
        <v/>
      </c>
      <c r="M942" s="9">
        <f>IF(ISNA(MATCH(933,'Transfer Engine'!$C$2:$C$1960,0)),"",INDEX('Compliance Database'!$M$2:$M$1960,MATCH(933,'Transfer Engine'!$C$2:$C$1960,0)))</f>
        <v/>
      </c>
      <c r="N942" s="9">
        <f>IF(ISNA(MATCH(933,'Transfer Engine'!$C$2:$C$1960,0)),"",INDEX('Compliance Database'!$N$2:$N$1960,MATCH(933,'Transfer Engine'!$C$2:$C$1960,0)))</f>
        <v/>
      </c>
      <c r="O942" s="9">
        <f>IF(ISNA(MATCH(933,'Transfer Engine'!$C$2:$C$1960,0)),"",INDEX('Compliance Database'!$O$2:$O$1960,MATCH(933,'Transfer Engine'!$C$2:$C$1960,0)))</f>
        <v/>
      </c>
      <c r="P942" s="8">
        <f>IF(ISNA(MATCH(933,'Transfer Engine'!$C$2:$C$1960,0)),"",HYPERLINK("#Acts!A"&amp;INDEX('Compliance Database'!$P$2:$P$1960,MATCH(933,'Transfer Engine'!$C$2:$C$1960,0)),"Go to Act"))</f>
        <v/>
      </c>
    </row>
    <row r="943" ht="158" customHeight="1">
      <c r="A943" s="8">
        <f>IF(ISNA(MATCH(934,'Transfer Engine'!$C$2:$C$1960,0)),"",INDEX('Compliance Database'!$A$2:$A$1960,MATCH(934,'Transfer Engine'!$C$2:$C$1960,0)))</f>
        <v/>
      </c>
      <c r="B943" s="8">
        <f>IF(ISNA(MATCH(934,'Transfer Engine'!$C$2:$C$1960,0)),"",INDEX('Compliance Database'!$B$2:$B$1960,MATCH(934,'Transfer Engine'!$C$2:$C$1960,0)))</f>
        <v/>
      </c>
      <c r="C943" s="8">
        <f>IF(ISNA(MATCH(934,'Transfer Engine'!$C$2:$C$1960,0)),"",INDEX('Compliance Database'!$C$2:$C$1960,MATCH(934,'Transfer Engine'!$C$2:$C$1960,0)))</f>
        <v/>
      </c>
      <c r="D943" s="9">
        <f>IF(ISNA(MATCH(934,'Transfer Engine'!$C$2:$C$1960,0)),"",INDEX('Compliance Database'!$D$2:$D$1960,MATCH(934,'Transfer Engine'!$C$2:$C$1960,0)))</f>
        <v/>
      </c>
      <c r="E943" s="8">
        <f>IF(ISNA(MATCH(934,'Transfer Engine'!$C$2:$C$1960,0)),"",INDEX('Compliance Database'!$E$2:$E$1960,MATCH(934,'Transfer Engine'!$C$2:$C$1960,0)))</f>
        <v/>
      </c>
      <c r="F943" s="8">
        <f>IF(ISNA(MATCH(934,'Transfer Engine'!$C$2:$C$1960,0)),"",INDEX('Compliance Database'!$F$2:$F$1960,MATCH(934,'Transfer Engine'!$C$2:$C$1960,0)))</f>
        <v/>
      </c>
      <c r="G943" s="8">
        <f>IF(ISNA(MATCH(934,'Transfer Engine'!$C$2:$C$1960,0)),"",INDEX('Compliance Database'!$G$2:$G$1960,MATCH(934,'Transfer Engine'!$C$2:$C$1960,0)))</f>
        <v/>
      </c>
      <c r="H943" s="9">
        <f>IF(ISNA(MATCH(934,'Transfer Engine'!$C$2:$C$1960,0)),"",INDEX('Compliance Database'!$H$2:$H$1960,MATCH(934,'Transfer Engine'!$C$2:$C$1960,0)))</f>
        <v/>
      </c>
      <c r="I943" s="9">
        <f>IF(ISNA(MATCH(934,'Transfer Engine'!$C$2:$C$1960,0)),"",INDEX('Compliance Database'!$I$2:$I$1960,MATCH(934,'Transfer Engine'!$C$2:$C$1960,0)))</f>
        <v/>
      </c>
      <c r="J943" s="8">
        <f>IF(ISNA(MATCH(934,'Transfer Engine'!$C$2:$C$1960,0)),"",INDEX('Compliance Database'!$J$2:$J$1960,MATCH(934,'Transfer Engine'!$C$2:$C$1960,0)))</f>
        <v/>
      </c>
      <c r="K943" s="9">
        <f>IF(ISNA(MATCH(934,'Transfer Engine'!$C$2:$C$1960,0)),"",INDEX('Compliance Database'!$K$2:$K$1960,MATCH(934,'Transfer Engine'!$C$2:$C$1960,0)))</f>
        <v/>
      </c>
      <c r="L943" s="9">
        <f>IF(ISNA(MATCH(934,'Transfer Engine'!$C$2:$C$1960,0)),"",INDEX('Compliance Database'!$L$2:$L$1960,MATCH(934,'Transfer Engine'!$C$2:$C$1960,0)))</f>
        <v/>
      </c>
      <c r="M943" s="9">
        <f>IF(ISNA(MATCH(934,'Transfer Engine'!$C$2:$C$1960,0)),"",INDEX('Compliance Database'!$M$2:$M$1960,MATCH(934,'Transfer Engine'!$C$2:$C$1960,0)))</f>
        <v/>
      </c>
      <c r="N943" s="9">
        <f>IF(ISNA(MATCH(934,'Transfer Engine'!$C$2:$C$1960,0)),"",INDEX('Compliance Database'!$N$2:$N$1960,MATCH(934,'Transfer Engine'!$C$2:$C$1960,0)))</f>
        <v/>
      </c>
      <c r="O943" s="9">
        <f>IF(ISNA(MATCH(934,'Transfer Engine'!$C$2:$C$1960,0)),"",INDEX('Compliance Database'!$O$2:$O$1960,MATCH(934,'Transfer Engine'!$C$2:$C$1960,0)))</f>
        <v/>
      </c>
      <c r="P943" s="8">
        <f>IF(ISNA(MATCH(934,'Transfer Engine'!$C$2:$C$1960,0)),"",HYPERLINK("#Acts!A"&amp;INDEX('Compliance Database'!$P$2:$P$1960,MATCH(934,'Transfer Engine'!$C$2:$C$1960,0)),"Go to Act"))</f>
        <v/>
      </c>
    </row>
    <row r="944" ht="158" customHeight="1">
      <c r="A944" s="8">
        <f>IF(ISNA(MATCH(935,'Transfer Engine'!$C$2:$C$1960,0)),"",INDEX('Compliance Database'!$A$2:$A$1960,MATCH(935,'Transfer Engine'!$C$2:$C$1960,0)))</f>
        <v/>
      </c>
      <c r="B944" s="8">
        <f>IF(ISNA(MATCH(935,'Transfer Engine'!$C$2:$C$1960,0)),"",INDEX('Compliance Database'!$B$2:$B$1960,MATCH(935,'Transfer Engine'!$C$2:$C$1960,0)))</f>
        <v/>
      </c>
      <c r="C944" s="8">
        <f>IF(ISNA(MATCH(935,'Transfer Engine'!$C$2:$C$1960,0)),"",INDEX('Compliance Database'!$C$2:$C$1960,MATCH(935,'Transfer Engine'!$C$2:$C$1960,0)))</f>
        <v/>
      </c>
      <c r="D944" s="9">
        <f>IF(ISNA(MATCH(935,'Transfer Engine'!$C$2:$C$1960,0)),"",INDEX('Compliance Database'!$D$2:$D$1960,MATCH(935,'Transfer Engine'!$C$2:$C$1960,0)))</f>
        <v/>
      </c>
      <c r="E944" s="8">
        <f>IF(ISNA(MATCH(935,'Transfer Engine'!$C$2:$C$1960,0)),"",INDEX('Compliance Database'!$E$2:$E$1960,MATCH(935,'Transfer Engine'!$C$2:$C$1960,0)))</f>
        <v/>
      </c>
      <c r="F944" s="8">
        <f>IF(ISNA(MATCH(935,'Transfer Engine'!$C$2:$C$1960,0)),"",INDEX('Compliance Database'!$F$2:$F$1960,MATCH(935,'Transfer Engine'!$C$2:$C$1960,0)))</f>
        <v/>
      </c>
      <c r="G944" s="8">
        <f>IF(ISNA(MATCH(935,'Transfer Engine'!$C$2:$C$1960,0)),"",INDEX('Compliance Database'!$G$2:$G$1960,MATCH(935,'Transfer Engine'!$C$2:$C$1960,0)))</f>
        <v/>
      </c>
      <c r="H944" s="9">
        <f>IF(ISNA(MATCH(935,'Transfer Engine'!$C$2:$C$1960,0)),"",INDEX('Compliance Database'!$H$2:$H$1960,MATCH(935,'Transfer Engine'!$C$2:$C$1960,0)))</f>
        <v/>
      </c>
      <c r="I944" s="9">
        <f>IF(ISNA(MATCH(935,'Transfer Engine'!$C$2:$C$1960,0)),"",INDEX('Compliance Database'!$I$2:$I$1960,MATCH(935,'Transfer Engine'!$C$2:$C$1960,0)))</f>
        <v/>
      </c>
      <c r="J944" s="8">
        <f>IF(ISNA(MATCH(935,'Transfer Engine'!$C$2:$C$1960,0)),"",INDEX('Compliance Database'!$J$2:$J$1960,MATCH(935,'Transfer Engine'!$C$2:$C$1960,0)))</f>
        <v/>
      </c>
      <c r="K944" s="9">
        <f>IF(ISNA(MATCH(935,'Transfer Engine'!$C$2:$C$1960,0)),"",INDEX('Compliance Database'!$K$2:$K$1960,MATCH(935,'Transfer Engine'!$C$2:$C$1960,0)))</f>
        <v/>
      </c>
      <c r="L944" s="9">
        <f>IF(ISNA(MATCH(935,'Transfer Engine'!$C$2:$C$1960,0)),"",INDEX('Compliance Database'!$L$2:$L$1960,MATCH(935,'Transfer Engine'!$C$2:$C$1960,0)))</f>
        <v/>
      </c>
      <c r="M944" s="9">
        <f>IF(ISNA(MATCH(935,'Transfer Engine'!$C$2:$C$1960,0)),"",INDEX('Compliance Database'!$M$2:$M$1960,MATCH(935,'Transfer Engine'!$C$2:$C$1960,0)))</f>
        <v/>
      </c>
      <c r="N944" s="9">
        <f>IF(ISNA(MATCH(935,'Transfer Engine'!$C$2:$C$1960,0)),"",INDEX('Compliance Database'!$N$2:$N$1960,MATCH(935,'Transfer Engine'!$C$2:$C$1960,0)))</f>
        <v/>
      </c>
      <c r="O944" s="9">
        <f>IF(ISNA(MATCH(935,'Transfer Engine'!$C$2:$C$1960,0)),"",INDEX('Compliance Database'!$O$2:$O$1960,MATCH(935,'Transfer Engine'!$C$2:$C$1960,0)))</f>
        <v/>
      </c>
      <c r="P944" s="8">
        <f>IF(ISNA(MATCH(935,'Transfer Engine'!$C$2:$C$1960,0)),"",HYPERLINK("#Acts!A"&amp;INDEX('Compliance Database'!$P$2:$P$1960,MATCH(935,'Transfer Engine'!$C$2:$C$1960,0)),"Go to Act"))</f>
        <v/>
      </c>
    </row>
    <row r="945" ht="158" customHeight="1">
      <c r="A945" s="8">
        <f>IF(ISNA(MATCH(936,'Transfer Engine'!$C$2:$C$1960,0)),"",INDEX('Compliance Database'!$A$2:$A$1960,MATCH(936,'Transfer Engine'!$C$2:$C$1960,0)))</f>
        <v/>
      </c>
      <c r="B945" s="8">
        <f>IF(ISNA(MATCH(936,'Transfer Engine'!$C$2:$C$1960,0)),"",INDEX('Compliance Database'!$B$2:$B$1960,MATCH(936,'Transfer Engine'!$C$2:$C$1960,0)))</f>
        <v/>
      </c>
      <c r="C945" s="8">
        <f>IF(ISNA(MATCH(936,'Transfer Engine'!$C$2:$C$1960,0)),"",INDEX('Compliance Database'!$C$2:$C$1960,MATCH(936,'Transfer Engine'!$C$2:$C$1960,0)))</f>
        <v/>
      </c>
      <c r="D945" s="9">
        <f>IF(ISNA(MATCH(936,'Transfer Engine'!$C$2:$C$1960,0)),"",INDEX('Compliance Database'!$D$2:$D$1960,MATCH(936,'Transfer Engine'!$C$2:$C$1960,0)))</f>
        <v/>
      </c>
      <c r="E945" s="8">
        <f>IF(ISNA(MATCH(936,'Transfer Engine'!$C$2:$C$1960,0)),"",INDEX('Compliance Database'!$E$2:$E$1960,MATCH(936,'Transfer Engine'!$C$2:$C$1960,0)))</f>
        <v/>
      </c>
      <c r="F945" s="8">
        <f>IF(ISNA(MATCH(936,'Transfer Engine'!$C$2:$C$1960,0)),"",INDEX('Compliance Database'!$F$2:$F$1960,MATCH(936,'Transfer Engine'!$C$2:$C$1960,0)))</f>
        <v/>
      </c>
      <c r="G945" s="8">
        <f>IF(ISNA(MATCH(936,'Transfer Engine'!$C$2:$C$1960,0)),"",INDEX('Compliance Database'!$G$2:$G$1960,MATCH(936,'Transfer Engine'!$C$2:$C$1960,0)))</f>
        <v/>
      </c>
      <c r="H945" s="9">
        <f>IF(ISNA(MATCH(936,'Transfer Engine'!$C$2:$C$1960,0)),"",INDEX('Compliance Database'!$H$2:$H$1960,MATCH(936,'Transfer Engine'!$C$2:$C$1960,0)))</f>
        <v/>
      </c>
      <c r="I945" s="9">
        <f>IF(ISNA(MATCH(936,'Transfer Engine'!$C$2:$C$1960,0)),"",INDEX('Compliance Database'!$I$2:$I$1960,MATCH(936,'Transfer Engine'!$C$2:$C$1960,0)))</f>
        <v/>
      </c>
      <c r="J945" s="8">
        <f>IF(ISNA(MATCH(936,'Transfer Engine'!$C$2:$C$1960,0)),"",INDEX('Compliance Database'!$J$2:$J$1960,MATCH(936,'Transfer Engine'!$C$2:$C$1960,0)))</f>
        <v/>
      </c>
      <c r="K945" s="9">
        <f>IF(ISNA(MATCH(936,'Transfer Engine'!$C$2:$C$1960,0)),"",INDEX('Compliance Database'!$K$2:$K$1960,MATCH(936,'Transfer Engine'!$C$2:$C$1960,0)))</f>
        <v/>
      </c>
      <c r="L945" s="9">
        <f>IF(ISNA(MATCH(936,'Transfer Engine'!$C$2:$C$1960,0)),"",INDEX('Compliance Database'!$L$2:$L$1960,MATCH(936,'Transfer Engine'!$C$2:$C$1960,0)))</f>
        <v/>
      </c>
      <c r="M945" s="9">
        <f>IF(ISNA(MATCH(936,'Transfer Engine'!$C$2:$C$1960,0)),"",INDEX('Compliance Database'!$M$2:$M$1960,MATCH(936,'Transfer Engine'!$C$2:$C$1960,0)))</f>
        <v/>
      </c>
      <c r="N945" s="9">
        <f>IF(ISNA(MATCH(936,'Transfer Engine'!$C$2:$C$1960,0)),"",INDEX('Compliance Database'!$N$2:$N$1960,MATCH(936,'Transfer Engine'!$C$2:$C$1960,0)))</f>
        <v/>
      </c>
      <c r="O945" s="9">
        <f>IF(ISNA(MATCH(936,'Transfer Engine'!$C$2:$C$1960,0)),"",INDEX('Compliance Database'!$O$2:$O$1960,MATCH(936,'Transfer Engine'!$C$2:$C$1960,0)))</f>
        <v/>
      </c>
      <c r="P945" s="8">
        <f>IF(ISNA(MATCH(936,'Transfer Engine'!$C$2:$C$1960,0)),"",HYPERLINK("#Acts!A"&amp;INDEX('Compliance Database'!$P$2:$P$1960,MATCH(936,'Transfer Engine'!$C$2:$C$1960,0)),"Go to Act"))</f>
        <v/>
      </c>
    </row>
    <row r="946" ht="158" customHeight="1">
      <c r="A946" s="8">
        <f>IF(ISNA(MATCH(937,'Transfer Engine'!$C$2:$C$1960,0)),"",INDEX('Compliance Database'!$A$2:$A$1960,MATCH(937,'Transfer Engine'!$C$2:$C$1960,0)))</f>
        <v/>
      </c>
      <c r="B946" s="8">
        <f>IF(ISNA(MATCH(937,'Transfer Engine'!$C$2:$C$1960,0)),"",INDEX('Compliance Database'!$B$2:$B$1960,MATCH(937,'Transfer Engine'!$C$2:$C$1960,0)))</f>
        <v/>
      </c>
      <c r="C946" s="8">
        <f>IF(ISNA(MATCH(937,'Transfer Engine'!$C$2:$C$1960,0)),"",INDEX('Compliance Database'!$C$2:$C$1960,MATCH(937,'Transfer Engine'!$C$2:$C$1960,0)))</f>
        <v/>
      </c>
      <c r="D946" s="9">
        <f>IF(ISNA(MATCH(937,'Transfer Engine'!$C$2:$C$1960,0)),"",INDEX('Compliance Database'!$D$2:$D$1960,MATCH(937,'Transfer Engine'!$C$2:$C$1960,0)))</f>
        <v/>
      </c>
      <c r="E946" s="8">
        <f>IF(ISNA(MATCH(937,'Transfer Engine'!$C$2:$C$1960,0)),"",INDEX('Compliance Database'!$E$2:$E$1960,MATCH(937,'Transfer Engine'!$C$2:$C$1960,0)))</f>
        <v/>
      </c>
      <c r="F946" s="8">
        <f>IF(ISNA(MATCH(937,'Transfer Engine'!$C$2:$C$1960,0)),"",INDEX('Compliance Database'!$F$2:$F$1960,MATCH(937,'Transfer Engine'!$C$2:$C$1960,0)))</f>
        <v/>
      </c>
      <c r="G946" s="8">
        <f>IF(ISNA(MATCH(937,'Transfer Engine'!$C$2:$C$1960,0)),"",INDEX('Compliance Database'!$G$2:$G$1960,MATCH(937,'Transfer Engine'!$C$2:$C$1960,0)))</f>
        <v/>
      </c>
      <c r="H946" s="9">
        <f>IF(ISNA(MATCH(937,'Transfer Engine'!$C$2:$C$1960,0)),"",INDEX('Compliance Database'!$H$2:$H$1960,MATCH(937,'Transfer Engine'!$C$2:$C$1960,0)))</f>
        <v/>
      </c>
      <c r="I946" s="9">
        <f>IF(ISNA(MATCH(937,'Transfer Engine'!$C$2:$C$1960,0)),"",INDEX('Compliance Database'!$I$2:$I$1960,MATCH(937,'Transfer Engine'!$C$2:$C$1960,0)))</f>
        <v/>
      </c>
      <c r="J946" s="8">
        <f>IF(ISNA(MATCH(937,'Transfer Engine'!$C$2:$C$1960,0)),"",INDEX('Compliance Database'!$J$2:$J$1960,MATCH(937,'Transfer Engine'!$C$2:$C$1960,0)))</f>
        <v/>
      </c>
      <c r="K946" s="9">
        <f>IF(ISNA(MATCH(937,'Transfer Engine'!$C$2:$C$1960,0)),"",INDEX('Compliance Database'!$K$2:$K$1960,MATCH(937,'Transfer Engine'!$C$2:$C$1960,0)))</f>
        <v/>
      </c>
      <c r="L946" s="9">
        <f>IF(ISNA(MATCH(937,'Transfer Engine'!$C$2:$C$1960,0)),"",INDEX('Compliance Database'!$L$2:$L$1960,MATCH(937,'Transfer Engine'!$C$2:$C$1960,0)))</f>
        <v/>
      </c>
      <c r="M946" s="9">
        <f>IF(ISNA(MATCH(937,'Transfer Engine'!$C$2:$C$1960,0)),"",INDEX('Compliance Database'!$M$2:$M$1960,MATCH(937,'Transfer Engine'!$C$2:$C$1960,0)))</f>
        <v/>
      </c>
      <c r="N946" s="9">
        <f>IF(ISNA(MATCH(937,'Transfer Engine'!$C$2:$C$1960,0)),"",INDEX('Compliance Database'!$N$2:$N$1960,MATCH(937,'Transfer Engine'!$C$2:$C$1960,0)))</f>
        <v/>
      </c>
      <c r="O946" s="9">
        <f>IF(ISNA(MATCH(937,'Transfer Engine'!$C$2:$C$1960,0)),"",INDEX('Compliance Database'!$O$2:$O$1960,MATCH(937,'Transfer Engine'!$C$2:$C$1960,0)))</f>
        <v/>
      </c>
      <c r="P946" s="8">
        <f>IF(ISNA(MATCH(937,'Transfer Engine'!$C$2:$C$1960,0)),"",HYPERLINK("#Acts!A"&amp;INDEX('Compliance Database'!$P$2:$P$1960,MATCH(937,'Transfer Engine'!$C$2:$C$1960,0)),"Go to Act"))</f>
        <v/>
      </c>
    </row>
    <row r="947" ht="158" customHeight="1">
      <c r="A947" s="8">
        <f>IF(ISNA(MATCH(938,'Transfer Engine'!$C$2:$C$1960,0)),"",INDEX('Compliance Database'!$A$2:$A$1960,MATCH(938,'Transfer Engine'!$C$2:$C$1960,0)))</f>
        <v/>
      </c>
      <c r="B947" s="8">
        <f>IF(ISNA(MATCH(938,'Transfer Engine'!$C$2:$C$1960,0)),"",INDEX('Compliance Database'!$B$2:$B$1960,MATCH(938,'Transfer Engine'!$C$2:$C$1960,0)))</f>
        <v/>
      </c>
      <c r="C947" s="8">
        <f>IF(ISNA(MATCH(938,'Transfer Engine'!$C$2:$C$1960,0)),"",INDEX('Compliance Database'!$C$2:$C$1960,MATCH(938,'Transfer Engine'!$C$2:$C$1960,0)))</f>
        <v/>
      </c>
      <c r="D947" s="9">
        <f>IF(ISNA(MATCH(938,'Transfer Engine'!$C$2:$C$1960,0)),"",INDEX('Compliance Database'!$D$2:$D$1960,MATCH(938,'Transfer Engine'!$C$2:$C$1960,0)))</f>
        <v/>
      </c>
      <c r="E947" s="8">
        <f>IF(ISNA(MATCH(938,'Transfer Engine'!$C$2:$C$1960,0)),"",INDEX('Compliance Database'!$E$2:$E$1960,MATCH(938,'Transfer Engine'!$C$2:$C$1960,0)))</f>
        <v/>
      </c>
      <c r="F947" s="8">
        <f>IF(ISNA(MATCH(938,'Transfer Engine'!$C$2:$C$1960,0)),"",INDEX('Compliance Database'!$F$2:$F$1960,MATCH(938,'Transfer Engine'!$C$2:$C$1960,0)))</f>
        <v/>
      </c>
      <c r="G947" s="8">
        <f>IF(ISNA(MATCH(938,'Transfer Engine'!$C$2:$C$1960,0)),"",INDEX('Compliance Database'!$G$2:$G$1960,MATCH(938,'Transfer Engine'!$C$2:$C$1960,0)))</f>
        <v/>
      </c>
      <c r="H947" s="9">
        <f>IF(ISNA(MATCH(938,'Transfer Engine'!$C$2:$C$1960,0)),"",INDEX('Compliance Database'!$H$2:$H$1960,MATCH(938,'Transfer Engine'!$C$2:$C$1960,0)))</f>
        <v/>
      </c>
      <c r="I947" s="9">
        <f>IF(ISNA(MATCH(938,'Transfer Engine'!$C$2:$C$1960,0)),"",INDEX('Compliance Database'!$I$2:$I$1960,MATCH(938,'Transfer Engine'!$C$2:$C$1960,0)))</f>
        <v/>
      </c>
      <c r="J947" s="8">
        <f>IF(ISNA(MATCH(938,'Transfer Engine'!$C$2:$C$1960,0)),"",INDEX('Compliance Database'!$J$2:$J$1960,MATCH(938,'Transfer Engine'!$C$2:$C$1960,0)))</f>
        <v/>
      </c>
      <c r="K947" s="9">
        <f>IF(ISNA(MATCH(938,'Transfer Engine'!$C$2:$C$1960,0)),"",INDEX('Compliance Database'!$K$2:$K$1960,MATCH(938,'Transfer Engine'!$C$2:$C$1960,0)))</f>
        <v/>
      </c>
      <c r="L947" s="9">
        <f>IF(ISNA(MATCH(938,'Transfer Engine'!$C$2:$C$1960,0)),"",INDEX('Compliance Database'!$L$2:$L$1960,MATCH(938,'Transfer Engine'!$C$2:$C$1960,0)))</f>
        <v/>
      </c>
      <c r="M947" s="9">
        <f>IF(ISNA(MATCH(938,'Transfer Engine'!$C$2:$C$1960,0)),"",INDEX('Compliance Database'!$M$2:$M$1960,MATCH(938,'Transfer Engine'!$C$2:$C$1960,0)))</f>
        <v/>
      </c>
      <c r="N947" s="9">
        <f>IF(ISNA(MATCH(938,'Transfer Engine'!$C$2:$C$1960,0)),"",INDEX('Compliance Database'!$N$2:$N$1960,MATCH(938,'Transfer Engine'!$C$2:$C$1960,0)))</f>
        <v/>
      </c>
      <c r="O947" s="9">
        <f>IF(ISNA(MATCH(938,'Transfer Engine'!$C$2:$C$1960,0)),"",INDEX('Compliance Database'!$O$2:$O$1960,MATCH(938,'Transfer Engine'!$C$2:$C$1960,0)))</f>
        <v/>
      </c>
      <c r="P947" s="8">
        <f>IF(ISNA(MATCH(938,'Transfer Engine'!$C$2:$C$1960,0)),"",HYPERLINK("#Acts!A"&amp;INDEX('Compliance Database'!$P$2:$P$1960,MATCH(938,'Transfer Engine'!$C$2:$C$1960,0)),"Go to Act"))</f>
        <v/>
      </c>
    </row>
    <row r="948" ht="158" customHeight="1">
      <c r="A948" s="8">
        <f>IF(ISNA(MATCH(939,'Transfer Engine'!$C$2:$C$1960,0)),"",INDEX('Compliance Database'!$A$2:$A$1960,MATCH(939,'Transfer Engine'!$C$2:$C$1960,0)))</f>
        <v/>
      </c>
      <c r="B948" s="8">
        <f>IF(ISNA(MATCH(939,'Transfer Engine'!$C$2:$C$1960,0)),"",INDEX('Compliance Database'!$B$2:$B$1960,MATCH(939,'Transfer Engine'!$C$2:$C$1960,0)))</f>
        <v/>
      </c>
      <c r="C948" s="8">
        <f>IF(ISNA(MATCH(939,'Transfer Engine'!$C$2:$C$1960,0)),"",INDEX('Compliance Database'!$C$2:$C$1960,MATCH(939,'Transfer Engine'!$C$2:$C$1960,0)))</f>
        <v/>
      </c>
      <c r="D948" s="9">
        <f>IF(ISNA(MATCH(939,'Transfer Engine'!$C$2:$C$1960,0)),"",INDEX('Compliance Database'!$D$2:$D$1960,MATCH(939,'Transfer Engine'!$C$2:$C$1960,0)))</f>
        <v/>
      </c>
      <c r="E948" s="8">
        <f>IF(ISNA(MATCH(939,'Transfer Engine'!$C$2:$C$1960,0)),"",INDEX('Compliance Database'!$E$2:$E$1960,MATCH(939,'Transfer Engine'!$C$2:$C$1960,0)))</f>
        <v/>
      </c>
      <c r="F948" s="8">
        <f>IF(ISNA(MATCH(939,'Transfer Engine'!$C$2:$C$1960,0)),"",INDEX('Compliance Database'!$F$2:$F$1960,MATCH(939,'Transfer Engine'!$C$2:$C$1960,0)))</f>
        <v/>
      </c>
      <c r="G948" s="8">
        <f>IF(ISNA(MATCH(939,'Transfer Engine'!$C$2:$C$1960,0)),"",INDEX('Compliance Database'!$G$2:$G$1960,MATCH(939,'Transfer Engine'!$C$2:$C$1960,0)))</f>
        <v/>
      </c>
      <c r="H948" s="9">
        <f>IF(ISNA(MATCH(939,'Transfer Engine'!$C$2:$C$1960,0)),"",INDEX('Compliance Database'!$H$2:$H$1960,MATCH(939,'Transfer Engine'!$C$2:$C$1960,0)))</f>
        <v/>
      </c>
      <c r="I948" s="9">
        <f>IF(ISNA(MATCH(939,'Transfer Engine'!$C$2:$C$1960,0)),"",INDEX('Compliance Database'!$I$2:$I$1960,MATCH(939,'Transfer Engine'!$C$2:$C$1960,0)))</f>
        <v/>
      </c>
      <c r="J948" s="8">
        <f>IF(ISNA(MATCH(939,'Transfer Engine'!$C$2:$C$1960,0)),"",INDEX('Compliance Database'!$J$2:$J$1960,MATCH(939,'Transfer Engine'!$C$2:$C$1960,0)))</f>
        <v/>
      </c>
      <c r="K948" s="9">
        <f>IF(ISNA(MATCH(939,'Transfer Engine'!$C$2:$C$1960,0)),"",INDEX('Compliance Database'!$K$2:$K$1960,MATCH(939,'Transfer Engine'!$C$2:$C$1960,0)))</f>
        <v/>
      </c>
      <c r="L948" s="9">
        <f>IF(ISNA(MATCH(939,'Transfer Engine'!$C$2:$C$1960,0)),"",INDEX('Compliance Database'!$L$2:$L$1960,MATCH(939,'Transfer Engine'!$C$2:$C$1960,0)))</f>
        <v/>
      </c>
      <c r="M948" s="9">
        <f>IF(ISNA(MATCH(939,'Transfer Engine'!$C$2:$C$1960,0)),"",INDEX('Compliance Database'!$M$2:$M$1960,MATCH(939,'Transfer Engine'!$C$2:$C$1960,0)))</f>
        <v/>
      </c>
      <c r="N948" s="9">
        <f>IF(ISNA(MATCH(939,'Transfer Engine'!$C$2:$C$1960,0)),"",INDEX('Compliance Database'!$N$2:$N$1960,MATCH(939,'Transfer Engine'!$C$2:$C$1960,0)))</f>
        <v/>
      </c>
      <c r="O948" s="9">
        <f>IF(ISNA(MATCH(939,'Transfer Engine'!$C$2:$C$1960,0)),"",INDEX('Compliance Database'!$O$2:$O$1960,MATCH(939,'Transfer Engine'!$C$2:$C$1960,0)))</f>
        <v/>
      </c>
      <c r="P948" s="8">
        <f>IF(ISNA(MATCH(939,'Transfer Engine'!$C$2:$C$1960,0)),"",HYPERLINK("#Acts!A"&amp;INDEX('Compliance Database'!$P$2:$P$1960,MATCH(939,'Transfer Engine'!$C$2:$C$1960,0)),"Go to Act"))</f>
        <v/>
      </c>
    </row>
    <row r="949" ht="158" customHeight="1">
      <c r="A949" s="8">
        <f>IF(ISNA(MATCH(940,'Transfer Engine'!$C$2:$C$1960,0)),"",INDEX('Compliance Database'!$A$2:$A$1960,MATCH(940,'Transfer Engine'!$C$2:$C$1960,0)))</f>
        <v/>
      </c>
      <c r="B949" s="8">
        <f>IF(ISNA(MATCH(940,'Transfer Engine'!$C$2:$C$1960,0)),"",INDEX('Compliance Database'!$B$2:$B$1960,MATCH(940,'Transfer Engine'!$C$2:$C$1960,0)))</f>
        <v/>
      </c>
      <c r="C949" s="8">
        <f>IF(ISNA(MATCH(940,'Transfer Engine'!$C$2:$C$1960,0)),"",INDEX('Compliance Database'!$C$2:$C$1960,MATCH(940,'Transfer Engine'!$C$2:$C$1960,0)))</f>
        <v/>
      </c>
      <c r="D949" s="9">
        <f>IF(ISNA(MATCH(940,'Transfer Engine'!$C$2:$C$1960,0)),"",INDEX('Compliance Database'!$D$2:$D$1960,MATCH(940,'Transfer Engine'!$C$2:$C$1960,0)))</f>
        <v/>
      </c>
      <c r="E949" s="8">
        <f>IF(ISNA(MATCH(940,'Transfer Engine'!$C$2:$C$1960,0)),"",INDEX('Compliance Database'!$E$2:$E$1960,MATCH(940,'Transfer Engine'!$C$2:$C$1960,0)))</f>
        <v/>
      </c>
      <c r="F949" s="8">
        <f>IF(ISNA(MATCH(940,'Transfer Engine'!$C$2:$C$1960,0)),"",INDEX('Compliance Database'!$F$2:$F$1960,MATCH(940,'Transfer Engine'!$C$2:$C$1960,0)))</f>
        <v/>
      </c>
      <c r="G949" s="8">
        <f>IF(ISNA(MATCH(940,'Transfer Engine'!$C$2:$C$1960,0)),"",INDEX('Compliance Database'!$G$2:$G$1960,MATCH(940,'Transfer Engine'!$C$2:$C$1960,0)))</f>
        <v/>
      </c>
      <c r="H949" s="9">
        <f>IF(ISNA(MATCH(940,'Transfer Engine'!$C$2:$C$1960,0)),"",INDEX('Compliance Database'!$H$2:$H$1960,MATCH(940,'Transfer Engine'!$C$2:$C$1960,0)))</f>
        <v/>
      </c>
      <c r="I949" s="9">
        <f>IF(ISNA(MATCH(940,'Transfer Engine'!$C$2:$C$1960,0)),"",INDEX('Compliance Database'!$I$2:$I$1960,MATCH(940,'Transfer Engine'!$C$2:$C$1960,0)))</f>
        <v/>
      </c>
      <c r="J949" s="8">
        <f>IF(ISNA(MATCH(940,'Transfer Engine'!$C$2:$C$1960,0)),"",INDEX('Compliance Database'!$J$2:$J$1960,MATCH(940,'Transfer Engine'!$C$2:$C$1960,0)))</f>
        <v/>
      </c>
      <c r="K949" s="9">
        <f>IF(ISNA(MATCH(940,'Transfer Engine'!$C$2:$C$1960,0)),"",INDEX('Compliance Database'!$K$2:$K$1960,MATCH(940,'Transfer Engine'!$C$2:$C$1960,0)))</f>
        <v/>
      </c>
      <c r="L949" s="9">
        <f>IF(ISNA(MATCH(940,'Transfer Engine'!$C$2:$C$1960,0)),"",INDEX('Compliance Database'!$L$2:$L$1960,MATCH(940,'Transfer Engine'!$C$2:$C$1960,0)))</f>
        <v/>
      </c>
      <c r="M949" s="9">
        <f>IF(ISNA(MATCH(940,'Transfer Engine'!$C$2:$C$1960,0)),"",INDEX('Compliance Database'!$M$2:$M$1960,MATCH(940,'Transfer Engine'!$C$2:$C$1960,0)))</f>
        <v/>
      </c>
      <c r="N949" s="9">
        <f>IF(ISNA(MATCH(940,'Transfer Engine'!$C$2:$C$1960,0)),"",INDEX('Compliance Database'!$N$2:$N$1960,MATCH(940,'Transfer Engine'!$C$2:$C$1960,0)))</f>
        <v/>
      </c>
      <c r="O949" s="9">
        <f>IF(ISNA(MATCH(940,'Transfer Engine'!$C$2:$C$1960,0)),"",INDEX('Compliance Database'!$O$2:$O$1960,MATCH(940,'Transfer Engine'!$C$2:$C$1960,0)))</f>
        <v/>
      </c>
      <c r="P949" s="8">
        <f>IF(ISNA(MATCH(940,'Transfer Engine'!$C$2:$C$1960,0)),"",HYPERLINK("#Acts!A"&amp;INDEX('Compliance Database'!$P$2:$P$1960,MATCH(940,'Transfer Engine'!$C$2:$C$1960,0)),"Go to Act"))</f>
        <v/>
      </c>
    </row>
    <row r="950" ht="158" customHeight="1">
      <c r="A950" s="8">
        <f>IF(ISNA(MATCH(941,'Transfer Engine'!$C$2:$C$1960,0)),"",INDEX('Compliance Database'!$A$2:$A$1960,MATCH(941,'Transfer Engine'!$C$2:$C$1960,0)))</f>
        <v/>
      </c>
      <c r="B950" s="8">
        <f>IF(ISNA(MATCH(941,'Transfer Engine'!$C$2:$C$1960,0)),"",INDEX('Compliance Database'!$B$2:$B$1960,MATCH(941,'Transfer Engine'!$C$2:$C$1960,0)))</f>
        <v/>
      </c>
      <c r="C950" s="8">
        <f>IF(ISNA(MATCH(941,'Transfer Engine'!$C$2:$C$1960,0)),"",INDEX('Compliance Database'!$C$2:$C$1960,MATCH(941,'Transfer Engine'!$C$2:$C$1960,0)))</f>
        <v/>
      </c>
      <c r="D950" s="9">
        <f>IF(ISNA(MATCH(941,'Transfer Engine'!$C$2:$C$1960,0)),"",INDEX('Compliance Database'!$D$2:$D$1960,MATCH(941,'Transfer Engine'!$C$2:$C$1960,0)))</f>
        <v/>
      </c>
      <c r="E950" s="8">
        <f>IF(ISNA(MATCH(941,'Transfer Engine'!$C$2:$C$1960,0)),"",INDEX('Compliance Database'!$E$2:$E$1960,MATCH(941,'Transfer Engine'!$C$2:$C$1960,0)))</f>
        <v/>
      </c>
      <c r="F950" s="8">
        <f>IF(ISNA(MATCH(941,'Transfer Engine'!$C$2:$C$1960,0)),"",INDEX('Compliance Database'!$F$2:$F$1960,MATCH(941,'Transfer Engine'!$C$2:$C$1960,0)))</f>
        <v/>
      </c>
      <c r="G950" s="8">
        <f>IF(ISNA(MATCH(941,'Transfer Engine'!$C$2:$C$1960,0)),"",INDEX('Compliance Database'!$G$2:$G$1960,MATCH(941,'Transfer Engine'!$C$2:$C$1960,0)))</f>
        <v/>
      </c>
      <c r="H950" s="9">
        <f>IF(ISNA(MATCH(941,'Transfer Engine'!$C$2:$C$1960,0)),"",INDEX('Compliance Database'!$H$2:$H$1960,MATCH(941,'Transfer Engine'!$C$2:$C$1960,0)))</f>
        <v/>
      </c>
      <c r="I950" s="9">
        <f>IF(ISNA(MATCH(941,'Transfer Engine'!$C$2:$C$1960,0)),"",INDEX('Compliance Database'!$I$2:$I$1960,MATCH(941,'Transfer Engine'!$C$2:$C$1960,0)))</f>
        <v/>
      </c>
      <c r="J950" s="8">
        <f>IF(ISNA(MATCH(941,'Transfer Engine'!$C$2:$C$1960,0)),"",INDEX('Compliance Database'!$J$2:$J$1960,MATCH(941,'Transfer Engine'!$C$2:$C$1960,0)))</f>
        <v/>
      </c>
      <c r="K950" s="9">
        <f>IF(ISNA(MATCH(941,'Transfer Engine'!$C$2:$C$1960,0)),"",INDEX('Compliance Database'!$K$2:$K$1960,MATCH(941,'Transfer Engine'!$C$2:$C$1960,0)))</f>
        <v/>
      </c>
      <c r="L950" s="9">
        <f>IF(ISNA(MATCH(941,'Transfer Engine'!$C$2:$C$1960,0)),"",INDEX('Compliance Database'!$L$2:$L$1960,MATCH(941,'Transfer Engine'!$C$2:$C$1960,0)))</f>
        <v/>
      </c>
      <c r="M950" s="9">
        <f>IF(ISNA(MATCH(941,'Transfer Engine'!$C$2:$C$1960,0)),"",INDEX('Compliance Database'!$M$2:$M$1960,MATCH(941,'Transfer Engine'!$C$2:$C$1960,0)))</f>
        <v/>
      </c>
      <c r="N950" s="9">
        <f>IF(ISNA(MATCH(941,'Transfer Engine'!$C$2:$C$1960,0)),"",INDEX('Compliance Database'!$N$2:$N$1960,MATCH(941,'Transfer Engine'!$C$2:$C$1960,0)))</f>
        <v/>
      </c>
      <c r="O950" s="9">
        <f>IF(ISNA(MATCH(941,'Transfer Engine'!$C$2:$C$1960,0)),"",INDEX('Compliance Database'!$O$2:$O$1960,MATCH(941,'Transfer Engine'!$C$2:$C$1960,0)))</f>
        <v/>
      </c>
      <c r="P950" s="8">
        <f>IF(ISNA(MATCH(941,'Transfer Engine'!$C$2:$C$1960,0)),"",HYPERLINK("#Acts!A"&amp;INDEX('Compliance Database'!$P$2:$P$1960,MATCH(941,'Transfer Engine'!$C$2:$C$1960,0)),"Go to Act"))</f>
        <v/>
      </c>
    </row>
    <row r="951" ht="158" customHeight="1">
      <c r="A951" s="8">
        <f>IF(ISNA(MATCH(942,'Transfer Engine'!$C$2:$C$1960,0)),"",INDEX('Compliance Database'!$A$2:$A$1960,MATCH(942,'Transfer Engine'!$C$2:$C$1960,0)))</f>
        <v/>
      </c>
      <c r="B951" s="8">
        <f>IF(ISNA(MATCH(942,'Transfer Engine'!$C$2:$C$1960,0)),"",INDEX('Compliance Database'!$B$2:$B$1960,MATCH(942,'Transfer Engine'!$C$2:$C$1960,0)))</f>
        <v/>
      </c>
      <c r="C951" s="8">
        <f>IF(ISNA(MATCH(942,'Transfer Engine'!$C$2:$C$1960,0)),"",INDEX('Compliance Database'!$C$2:$C$1960,MATCH(942,'Transfer Engine'!$C$2:$C$1960,0)))</f>
        <v/>
      </c>
      <c r="D951" s="9">
        <f>IF(ISNA(MATCH(942,'Transfer Engine'!$C$2:$C$1960,0)),"",INDEX('Compliance Database'!$D$2:$D$1960,MATCH(942,'Transfer Engine'!$C$2:$C$1960,0)))</f>
        <v/>
      </c>
      <c r="E951" s="8">
        <f>IF(ISNA(MATCH(942,'Transfer Engine'!$C$2:$C$1960,0)),"",INDEX('Compliance Database'!$E$2:$E$1960,MATCH(942,'Transfer Engine'!$C$2:$C$1960,0)))</f>
        <v/>
      </c>
      <c r="F951" s="8">
        <f>IF(ISNA(MATCH(942,'Transfer Engine'!$C$2:$C$1960,0)),"",INDEX('Compliance Database'!$F$2:$F$1960,MATCH(942,'Transfer Engine'!$C$2:$C$1960,0)))</f>
        <v/>
      </c>
      <c r="G951" s="8">
        <f>IF(ISNA(MATCH(942,'Transfer Engine'!$C$2:$C$1960,0)),"",INDEX('Compliance Database'!$G$2:$G$1960,MATCH(942,'Transfer Engine'!$C$2:$C$1960,0)))</f>
        <v/>
      </c>
      <c r="H951" s="9">
        <f>IF(ISNA(MATCH(942,'Transfer Engine'!$C$2:$C$1960,0)),"",INDEX('Compliance Database'!$H$2:$H$1960,MATCH(942,'Transfer Engine'!$C$2:$C$1960,0)))</f>
        <v/>
      </c>
      <c r="I951" s="9">
        <f>IF(ISNA(MATCH(942,'Transfer Engine'!$C$2:$C$1960,0)),"",INDEX('Compliance Database'!$I$2:$I$1960,MATCH(942,'Transfer Engine'!$C$2:$C$1960,0)))</f>
        <v/>
      </c>
      <c r="J951" s="8">
        <f>IF(ISNA(MATCH(942,'Transfer Engine'!$C$2:$C$1960,0)),"",INDEX('Compliance Database'!$J$2:$J$1960,MATCH(942,'Transfer Engine'!$C$2:$C$1960,0)))</f>
        <v/>
      </c>
      <c r="K951" s="9">
        <f>IF(ISNA(MATCH(942,'Transfer Engine'!$C$2:$C$1960,0)),"",INDEX('Compliance Database'!$K$2:$K$1960,MATCH(942,'Transfer Engine'!$C$2:$C$1960,0)))</f>
        <v/>
      </c>
      <c r="L951" s="9">
        <f>IF(ISNA(MATCH(942,'Transfer Engine'!$C$2:$C$1960,0)),"",INDEX('Compliance Database'!$L$2:$L$1960,MATCH(942,'Transfer Engine'!$C$2:$C$1960,0)))</f>
        <v/>
      </c>
      <c r="M951" s="9">
        <f>IF(ISNA(MATCH(942,'Transfer Engine'!$C$2:$C$1960,0)),"",INDEX('Compliance Database'!$M$2:$M$1960,MATCH(942,'Transfer Engine'!$C$2:$C$1960,0)))</f>
        <v/>
      </c>
      <c r="N951" s="9">
        <f>IF(ISNA(MATCH(942,'Transfer Engine'!$C$2:$C$1960,0)),"",INDEX('Compliance Database'!$N$2:$N$1960,MATCH(942,'Transfer Engine'!$C$2:$C$1960,0)))</f>
        <v/>
      </c>
      <c r="O951" s="9">
        <f>IF(ISNA(MATCH(942,'Transfer Engine'!$C$2:$C$1960,0)),"",INDEX('Compliance Database'!$O$2:$O$1960,MATCH(942,'Transfer Engine'!$C$2:$C$1960,0)))</f>
        <v/>
      </c>
      <c r="P951" s="8">
        <f>IF(ISNA(MATCH(942,'Transfer Engine'!$C$2:$C$1960,0)),"",HYPERLINK("#Acts!A"&amp;INDEX('Compliance Database'!$P$2:$P$1960,MATCH(942,'Transfer Engine'!$C$2:$C$1960,0)),"Go to Act"))</f>
        <v/>
      </c>
    </row>
    <row r="952" ht="158" customHeight="1">
      <c r="A952" s="8">
        <f>IF(ISNA(MATCH(943,'Transfer Engine'!$C$2:$C$1960,0)),"",INDEX('Compliance Database'!$A$2:$A$1960,MATCH(943,'Transfer Engine'!$C$2:$C$1960,0)))</f>
        <v/>
      </c>
      <c r="B952" s="8">
        <f>IF(ISNA(MATCH(943,'Transfer Engine'!$C$2:$C$1960,0)),"",INDEX('Compliance Database'!$B$2:$B$1960,MATCH(943,'Transfer Engine'!$C$2:$C$1960,0)))</f>
        <v/>
      </c>
      <c r="C952" s="8">
        <f>IF(ISNA(MATCH(943,'Transfer Engine'!$C$2:$C$1960,0)),"",INDEX('Compliance Database'!$C$2:$C$1960,MATCH(943,'Transfer Engine'!$C$2:$C$1960,0)))</f>
        <v/>
      </c>
      <c r="D952" s="9">
        <f>IF(ISNA(MATCH(943,'Transfer Engine'!$C$2:$C$1960,0)),"",INDEX('Compliance Database'!$D$2:$D$1960,MATCH(943,'Transfer Engine'!$C$2:$C$1960,0)))</f>
        <v/>
      </c>
      <c r="E952" s="8">
        <f>IF(ISNA(MATCH(943,'Transfer Engine'!$C$2:$C$1960,0)),"",INDEX('Compliance Database'!$E$2:$E$1960,MATCH(943,'Transfer Engine'!$C$2:$C$1960,0)))</f>
        <v/>
      </c>
      <c r="F952" s="8">
        <f>IF(ISNA(MATCH(943,'Transfer Engine'!$C$2:$C$1960,0)),"",INDEX('Compliance Database'!$F$2:$F$1960,MATCH(943,'Transfer Engine'!$C$2:$C$1960,0)))</f>
        <v/>
      </c>
      <c r="G952" s="8">
        <f>IF(ISNA(MATCH(943,'Transfer Engine'!$C$2:$C$1960,0)),"",INDEX('Compliance Database'!$G$2:$G$1960,MATCH(943,'Transfer Engine'!$C$2:$C$1960,0)))</f>
        <v/>
      </c>
      <c r="H952" s="9">
        <f>IF(ISNA(MATCH(943,'Transfer Engine'!$C$2:$C$1960,0)),"",INDEX('Compliance Database'!$H$2:$H$1960,MATCH(943,'Transfer Engine'!$C$2:$C$1960,0)))</f>
        <v/>
      </c>
      <c r="I952" s="9">
        <f>IF(ISNA(MATCH(943,'Transfer Engine'!$C$2:$C$1960,0)),"",INDEX('Compliance Database'!$I$2:$I$1960,MATCH(943,'Transfer Engine'!$C$2:$C$1960,0)))</f>
        <v/>
      </c>
      <c r="J952" s="8">
        <f>IF(ISNA(MATCH(943,'Transfer Engine'!$C$2:$C$1960,0)),"",INDEX('Compliance Database'!$J$2:$J$1960,MATCH(943,'Transfer Engine'!$C$2:$C$1960,0)))</f>
        <v/>
      </c>
      <c r="K952" s="9">
        <f>IF(ISNA(MATCH(943,'Transfer Engine'!$C$2:$C$1960,0)),"",INDEX('Compliance Database'!$K$2:$K$1960,MATCH(943,'Transfer Engine'!$C$2:$C$1960,0)))</f>
        <v/>
      </c>
      <c r="L952" s="9">
        <f>IF(ISNA(MATCH(943,'Transfer Engine'!$C$2:$C$1960,0)),"",INDEX('Compliance Database'!$L$2:$L$1960,MATCH(943,'Transfer Engine'!$C$2:$C$1960,0)))</f>
        <v/>
      </c>
      <c r="M952" s="9">
        <f>IF(ISNA(MATCH(943,'Transfer Engine'!$C$2:$C$1960,0)),"",INDEX('Compliance Database'!$M$2:$M$1960,MATCH(943,'Transfer Engine'!$C$2:$C$1960,0)))</f>
        <v/>
      </c>
      <c r="N952" s="9">
        <f>IF(ISNA(MATCH(943,'Transfer Engine'!$C$2:$C$1960,0)),"",INDEX('Compliance Database'!$N$2:$N$1960,MATCH(943,'Transfer Engine'!$C$2:$C$1960,0)))</f>
        <v/>
      </c>
      <c r="O952" s="9">
        <f>IF(ISNA(MATCH(943,'Transfer Engine'!$C$2:$C$1960,0)),"",INDEX('Compliance Database'!$O$2:$O$1960,MATCH(943,'Transfer Engine'!$C$2:$C$1960,0)))</f>
        <v/>
      </c>
      <c r="P952" s="8">
        <f>IF(ISNA(MATCH(943,'Transfer Engine'!$C$2:$C$1960,0)),"",HYPERLINK("#Acts!A"&amp;INDEX('Compliance Database'!$P$2:$P$1960,MATCH(943,'Transfer Engine'!$C$2:$C$1960,0)),"Go to Act"))</f>
        <v/>
      </c>
    </row>
    <row r="953" ht="158" customHeight="1">
      <c r="A953" s="8">
        <f>IF(ISNA(MATCH(944,'Transfer Engine'!$C$2:$C$1960,0)),"",INDEX('Compliance Database'!$A$2:$A$1960,MATCH(944,'Transfer Engine'!$C$2:$C$1960,0)))</f>
        <v/>
      </c>
      <c r="B953" s="8">
        <f>IF(ISNA(MATCH(944,'Transfer Engine'!$C$2:$C$1960,0)),"",INDEX('Compliance Database'!$B$2:$B$1960,MATCH(944,'Transfer Engine'!$C$2:$C$1960,0)))</f>
        <v/>
      </c>
      <c r="C953" s="8">
        <f>IF(ISNA(MATCH(944,'Transfer Engine'!$C$2:$C$1960,0)),"",INDEX('Compliance Database'!$C$2:$C$1960,MATCH(944,'Transfer Engine'!$C$2:$C$1960,0)))</f>
        <v/>
      </c>
      <c r="D953" s="9">
        <f>IF(ISNA(MATCH(944,'Transfer Engine'!$C$2:$C$1960,0)),"",INDEX('Compliance Database'!$D$2:$D$1960,MATCH(944,'Transfer Engine'!$C$2:$C$1960,0)))</f>
        <v/>
      </c>
      <c r="E953" s="8">
        <f>IF(ISNA(MATCH(944,'Transfer Engine'!$C$2:$C$1960,0)),"",INDEX('Compliance Database'!$E$2:$E$1960,MATCH(944,'Transfer Engine'!$C$2:$C$1960,0)))</f>
        <v/>
      </c>
      <c r="F953" s="8">
        <f>IF(ISNA(MATCH(944,'Transfer Engine'!$C$2:$C$1960,0)),"",INDEX('Compliance Database'!$F$2:$F$1960,MATCH(944,'Transfer Engine'!$C$2:$C$1960,0)))</f>
        <v/>
      </c>
      <c r="G953" s="8">
        <f>IF(ISNA(MATCH(944,'Transfer Engine'!$C$2:$C$1960,0)),"",INDEX('Compliance Database'!$G$2:$G$1960,MATCH(944,'Transfer Engine'!$C$2:$C$1960,0)))</f>
        <v/>
      </c>
      <c r="H953" s="9">
        <f>IF(ISNA(MATCH(944,'Transfer Engine'!$C$2:$C$1960,0)),"",INDEX('Compliance Database'!$H$2:$H$1960,MATCH(944,'Transfer Engine'!$C$2:$C$1960,0)))</f>
        <v/>
      </c>
      <c r="I953" s="9">
        <f>IF(ISNA(MATCH(944,'Transfer Engine'!$C$2:$C$1960,0)),"",INDEX('Compliance Database'!$I$2:$I$1960,MATCH(944,'Transfer Engine'!$C$2:$C$1960,0)))</f>
        <v/>
      </c>
      <c r="J953" s="8">
        <f>IF(ISNA(MATCH(944,'Transfer Engine'!$C$2:$C$1960,0)),"",INDEX('Compliance Database'!$J$2:$J$1960,MATCH(944,'Transfer Engine'!$C$2:$C$1960,0)))</f>
        <v/>
      </c>
      <c r="K953" s="9">
        <f>IF(ISNA(MATCH(944,'Transfer Engine'!$C$2:$C$1960,0)),"",INDEX('Compliance Database'!$K$2:$K$1960,MATCH(944,'Transfer Engine'!$C$2:$C$1960,0)))</f>
        <v/>
      </c>
      <c r="L953" s="9">
        <f>IF(ISNA(MATCH(944,'Transfer Engine'!$C$2:$C$1960,0)),"",INDEX('Compliance Database'!$L$2:$L$1960,MATCH(944,'Transfer Engine'!$C$2:$C$1960,0)))</f>
        <v/>
      </c>
      <c r="M953" s="9">
        <f>IF(ISNA(MATCH(944,'Transfer Engine'!$C$2:$C$1960,0)),"",INDEX('Compliance Database'!$M$2:$M$1960,MATCH(944,'Transfer Engine'!$C$2:$C$1960,0)))</f>
        <v/>
      </c>
      <c r="N953" s="9">
        <f>IF(ISNA(MATCH(944,'Transfer Engine'!$C$2:$C$1960,0)),"",INDEX('Compliance Database'!$N$2:$N$1960,MATCH(944,'Transfer Engine'!$C$2:$C$1960,0)))</f>
        <v/>
      </c>
      <c r="O953" s="9">
        <f>IF(ISNA(MATCH(944,'Transfer Engine'!$C$2:$C$1960,0)),"",INDEX('Compliance Database'!$O$2:$O$1960,MATCH(944,'Transfer Engine'!$C$2:$C$1960,0)))</f>
        <v/>
      </c>
      <c r="P953" s="8">
        <f>IF(ISNA(MATCH(944,'Transfer Engine'!$C$2:$C$1960,0)),"",HYPERLINK("#Acts!A"&amp;INDEX('Compliance Database'!$P$2:$P$1960,MATCH(944,'Transfer Engine'!$C$2:$C$1960,0)),"Go to Act"))</f>
        <v/>
      </c>
    </row>
    <row r="954" ht="158" customHeight="1">
      <c r="A954" s="8">
        <f>IF(ISNA(MATCH(945,'Transfer Engine'!$C$2:$C$1960,0)),"",INDEX('Compliance Database'!$A$2:$A$1960,MATCH(945,'Transfer Engine'!$C$2:$C$1960,0)))</f>
        <v/>
      </c>
      <c r="B954" s="8">
        <f>IF(ISNA(MATCH(945,'Transfer Engine'!$C$2:$C$1960,0)),"",INDEX('Compliance Database'!$B$2:$B$1960,MATCH(945,'Transfer Engine'!$C$2:$C$1960,0)))</f>
        <v/>
      </c>
      <c r="C954" s="8">
        <f>IF(ISNA(MATCH(945,'Transfer Engine'!$C$2:$C$1960,0)),"",INDEX('Compliance Database'!$C$2:$C$1960,MATCH(945,'Transfer Engine'!$C$2:$C$1960,0)))</f>
        <v/>
      </c>
      <c r="D954" s="9">
        <f>IF(ISNA(MATCH(945,'Transfer Engine'!$C$2:$C$1960,0)),"",INDEX('Compliance Database'!$D$2:$D$1960,MATCH(945,'Transfer Engine'!$C$2:$C$1960,0)))</f>
        <v/>
      </c>
      <c r="E954" s="8">
        <f>IF(ISNA(MATCH(945,'Transfer Engine'!$C$2:$C$1960,0)),"",INDEX('Compliance Database'!$E$2:$E$1960,MATCH(945,'Transfer Engine'!$C$2:$C$1960,0)))</f>
        <v/>
      </c>
      <c r="F954" s="8">
        <f>IF(ISNA(MATCH(945,'Transfer Engine'!$C$2:$C$1960,0)),"",INDEX('Compliance Database'!$F$2:$F$1960,MATCH(945,'Transfer Engine'!$C$2:$C$1960,0)))</f>
        <v/>
      </c>
      <c r="G954" s="8">
        <f>IF(ISNA(MATCH(945,'Transfer Engine'!$C$2:$C$1960,0)),"",INDEX('Compliance Database'!$G$2:$G$1960,MATCH(945,'Transfer Engine'!$C$2:$C$1960,0)))</f>
        <v/>
      </c>
      <c r="H954" s="9">
        <f>IF(ISNA(MATCH(945,'Transfer Engine'!$C$2:$C$1960,0)),"",INDEX('Compliance Database'!$H$2:$H$1960,MATCH(945,'Transfer Engine'!$C$2:$C$1960,0)))</f>
        <v/>
      </c>
      <c r="I954" s="9">
        <f>IF(ISNA(MATCH(945,'Transfer Engine'!$C$2:$C$1960,0)),"",INDEX('Compliance Database'!$I$2:$I$1960,MATCH(945,'Transfer Engine'!$C$2:$C$1960,0)))</f>
        <v/>
      </c>
      <c r="J954" s="8">
        <f>IF(ISNA(MATCH(945,'Transfer Engine'!$C$2:$C$1960,0)),"",INDEX('Compliance Database'!$J$2:$J$1960,MATCH(945,'Transfer Engine'!$C$2:$C$1960,0)))</f>
        <v/>
      </c>
      <c r="K954" s="9">
        <f>IF(ISNA(MATCH(945,'Transfer Engine'!$C$2:$C$1960,0)),"",INDEX('Compliance Database'!$K$2:$K$1960,MATCH(945,'Transfer Engine'!$C$2:$C$1960,0)))</f>
        <v/>
      </c>
      <c r="L954" s="9">
        <f>IF(ISNA(MATCH(945,'Transfer Engine'!$C$2:$C$1960,0)),"",INDEX('Compliance Database'!$L$2:$L$1960,MATCH(945,'Transfer Engine'!$C$2:$C$1960,0)))</f>
        <v/>
      </c>
      <c r="M954" s="9">
        <f>IF(ISNA(MATCH(945,'Transfer Engine'!$C$2:$C$1960,0)),"",INDEX('Compliance Database'!$M$2:$M$1960,MATCH(945,'Transfer Engine'!$C$2:$C$1960,0)))</f>
        <v/>
      </c>
      <c r="N954" s="9">
        <f>IF(ISNA(MATCH(945,'Transfer Engine'!$C$2:$C$1960,0)),"",INDEX('Compliance Database'!$N$2:$N$1960,MATCH(945,'Transfer Engine'!$C$2:$C$1960,0)))</f>
        <v/>
      </c>
      <c r="O954" s="9">
        <f>IF(ISNA(MATCH(945,'Transfer Engine'!$C$2:$C$1960,0)),"",INDEX('Compliance Database'!$O$2:$O$1960,MATCH(945,'Transfer Engine'!$C$2:$C$1960,0)))</f>
        <v/>
      </c>
      <c r="P954" s="8">
        <f>IF(ISNA(MATCH(945,'Transfer Engine'!$C$2:$C$1960,0)),"",HYPERLINK("#Acts!A"&amp;INDEX('Compliance Database'!$P$2:$P$1960,MATCH(945,'Transfer Engine'!$C$2:$C$1960,0)),"Go to Act"))</f>
        <v/>
      </c>
    </row>
    <row r="955" ht="158" customHeight="1">
      <c r="A955" s="8">
        <f>IF(ISNA(MATCH(946,'Transfer Engine'!$C$2:$C$1960,0)),"",INDEX('Compliance Database'!$A$2:$A$1960,MATCH(946,'Transfer Engine'!$C$2:$C$1960,0)))</f>
        <v/>
      </c>
      <c r="B955" s="8">
        <f>IF(ISNA(MATCH(946,'Transfer Engine'!$C$2:$C$1960,0)),"",INDEX('Compliance Database'!$B$2:$B$1960,MATCH(946,'Transfer Engine'!$C$2:$C$1960,0)))</f>
        <v/>
      </c>
      <c r="C955" s="8">
        <f>IF(ISNA(MATCH(946,'Transfer Engine'!$C$2:$C$1960,0)),"",INDEX('Compliance Database'!$C$2:$C$1960,MATCH(946,'Transfer Engine'!$C$2:$C$1960,0)))</f>
        <v/>
      </c>
      <c r="D955" s="9">
        <f>IF(ISNA(MATCH(946,'Transfer Engine'!$C$2:$C$1960,0)),"",INDEX('Compliance Database'!$D$2:$D$1960,MATCH(946,'Transfer Engine'!$C$2:$C$1960,0)))</f>
        <v/>
      </c>
      <c r="E955" s="8">
        <f>IF(ISNA(MATCH(946,'Transfer Engine'!$C$2:$C$1960,0)),"",INDEX('Compliance Database'!$E$2:$E$1960,MATCH(946,'Transfer Engine'!$C$2:$C$1960,0)))</f>
        <v/>
      </c>
      <c r="F955" s="8">
        <f>IF(ISNA(MATCH(946,'Transfer Engine'!$C$2:$C$1960,0)),"",INDEX('Compliance Database'!$F$2:$F$1960,MATCH(946,'Transfer Engine'!$C$2:$C$1960,0)))</f>
        <v/>
      </c>
      <c r="G955" s="8">
        <f>IF(ISNA(MATCH(946,'Transfer Engine'!$C$2:$C$1960,0)),"",INDEX('Compliance Database'!$G$2:$G$1960,MATCH(946,'Transfer Engine'!$C$2:$C$1960,0)))</f>
        <v/>
      </c>
      <c r="H955" s="9">
        <f>IF(ISNA(MATCH(946,'Transfer Engine'!$C$2:$C$1960,0)),"",INDEX('Compliance Database'!$H$2:$H$1960,MATCH(946,'Transfer Engine'!$C$2:$C$1960,0)))</f>
        <v/>
      </c>
      <c r="I955" s="9">
        <f>IF(ISNA(MATCH(946,'Transfer Engine'!$C$2:$C$1960,0)),"",INDEX('Compliance Database'!$I$2:$I$1960,MATCH(946,'Transfer Engine'!$C$2:$C$1960,0)))</f>
        <v/>
      </c>
      <c r="J955" s="8">
        <f>IF(ISNA(MATCH(946,'Transfer Engine'!$C$2:$C$1960,0)),"",INDEX('Compliance Database'!$J$2:$J$1960,MATCH(946,'Transfer Engine'!$C$2:$C$1960,0)))</f>
        <v/>
      </c>
      <c r="K955" s="9">
        <f>IF(ISNA(MATCH(946,'Transfer Engine'!$C$2:$C$1960,0)),"",INDEX('Compliance Database'!$K$2:$K$1960,MATCH(946,'Transfer Engine'!$C$2:$C$1960,0)))</f>
        <v/>
      </c>
      <c r="L955" s="9">
        <f>IF(ISNA(MATCH(946,'Transfer Engine'!$C$2:$C$1960,0)),"",INDEX('Compliance Database'!$L$2:$L$1960,MATCH(946,'Transfer Engine'!$C$2:$C$1960,0)))</f>
        <v/>
      </c>
      <c r="M955" s="9">
        <f>IF(ISNA(MATCH(946,'Transfer Engine'!$C$2:$C$1960,0)),"",INDEX('Compliance Database'!$M$2:$M$1960,MATCH(946,'Transfer Engine'!$C$2:$C$1960,0)))</f>
        <v/>
      </c>
      <c r="N955" s="9">
        <f>IF(ISNA(MATCH(946,'Transfer Engine'!$C$2:$C$1960,0)),"",INDEX('Compliance Database'!$N$2:$N$1960,MATCH(946,'Transfer Engine'!$C$2:$C$1960,0)))</f>
        <v/>
      </c>
      <c r="O955" s="9">
        <f>IF(ISNA(MATCH(946,'Transfer Engine'!$C$2:$C$1960,0)),"",INDEX('Compliance Database'!$O$2:$O$1960,MATCH(946,'Transfer Engine'!$C$2:$C$1960,0)))</f>
        <v/>
      </c>
      <c r="P955" s="8">
        <f>IF(ISNA(MATCH(946,'Transfer Engine'!$C$2:$C$1960,0)),"",HYPERLINK("#Acts!A"&amp;INDEX('Compliance Database'!$P$2:$P$1960,MATCH(946,'Transfer Engine'!$C$2:$C$1960,0)),"Go to Act"))</f>
        <v/>
      </c>
    </row>
    <row r="956" ht="158" customHeight="1">
      <c r="A956" s="8">
        <f>IF(ISNA(MATCH(947,'Transfer Engine'!$C$2:$C$1960,0)),"",INDEX('Compliance Database'!$A$2:$A$1960,MATCH(947,'Transfer Engine'!$C$2:$C$1960,0)))</f>
        <v/>
      </c>
      <c r="B956" s="8">
        <f>IF(ISNA(MATCH(947,'Transfer Engine'!$C$2:$C$1960,0)),"",INDEX('Compliance Database'!$B$2:$B$1960,MATCH(947,'Transfer Engine'!$C$2:$C$1960,0)))</f>
        <v/>
      </c>
      <c r="C956" s="8">
        <f>IF(ISNA(MATCH(947,'Transfer Engine'!$C$2:$C$1960,0)),"",INDEX('Compliance Database'!$C$2:$C$1960,MATCH(947,'Transfer Engine'!$C$2:$C$1960,0)))</f>
        <v/>
      </c>
      <c r="D956" s="9">
        <f>IF(ISNA(MATCH(947,'Transfer Engine'!$C$2:$C$1960,0)),"",INDEX('Compliance Database'!$D$2:$D$1960,MATCH(947,'Transfer Engine'!$C$2:$C$1960,0)))</f>
        <v/>
      </c>
      <c r="E956" s="8">
        <f>IF(ISNA(MATCH(947,'Transfer Engine'!$C$2:$C$1960,0)),"",INDEX('Compliance Database'!$E$2:$E$1960,MATCH(947,'Transfer Engine'!$C$2:$C$1960,0)))</f>
        <v/>
      </c>
      <c r="F956" s="8">
        <f>IF(ISNA(MATCH(947,'Transfer Engine'!$C$2:$C$1960,0)),"",INDEX('Compliance Database'!$F$2:$F$1960,MATCH(947,'Transfer Engine'!$C$2:$C$1960,0)))</f>
        <v/>
      </c>
      <c r="G956" s="8">
        <f>IF(ISNA(MATCH(947,'Transfer Engine'!$C$2:$C$1960,0)),"",INDEX('Compliance Database'!$G$2:$G$1960,MATCH(947,'Transfer Engine'!$C$2:$C$1960,0)))</f>
        <v/>
      </c>
      <c r="H956" s="9">
        <f>IF(ISNA(MATCH(947,'Transfer Engine'!$C$2:$C$1960,0)),"",INDEX('Compliance Database'!$H$2:$H$1960,MATCH(947,'Transfer Engine'!$C$2:$C$1960,0)))</f>
        <v/>
      </c>
      <c r="I956" s="9">
        <f>IF(ISNA(MATCH(947,'Transfer Engine'!$C$2:$C$1960,0)),"",INDEX('Compliance Database'!$I$2:$I$1960,MATCH(947,'Transfer Engine'!$C$2:$C$1960,0)))</f>
        <v/>
      </c>
      <c r="J956" s="8">
        <f>IF(ISNA(MATCH(947,'Transfer Engine'!$C$2:$C$1960,0)),"",INDEX('Compliance Database'!$J$2:$J$1960,MATCH(947,'Transfer Engine'!$C$2:$C$1960,0)))</f>
        <v/>
      </c>
      <c r="K956" s="9">
        <f>IF(ISNA(MATCH(947,'Transfer Engine'!$C$2:$C$1960,0)),"",INDEX('Compliance Database'!$K$2:$K$1960,MATCH(947,'Transfer Engine'!$C$2:$C$1960,0)))</f>
        <v/>
      </c>
      <c r="L956" s="9">
        <f>IF(ISNA(MATCH(947,'Transfer Engine'!$C$2:$C$1960,0)),"",INDEX('Compliance Database'!$L$2:$L$1960,MATCH(947,'Transfer Engine'!$C$2:$C$1960,0)))</f>
        <v/>
      </c>
      <c r="M956" s="9">
        <f>IF(ISNA(MATCH(947,'Transfer Engine'!$C$2:$C$1960,0)),"",INDEX('Compliance Database'!$M$2:$M$1960,MATCH(947,'Transfer Engine'!$C$2:$C$1960,0)))</f>
        <v/>
      </c>
      <c r="N956" s="9">
        <f>IF(ISNA(MATCH(947,'Transfer Engine'!$C$2:$C$1960,0)),"",INDEX('Compliance Database'!$N$2:$N$1960,MATCH(947,'Transfer Engine'!$C$2:$C$1960,0)))</f>
        <v/>
      </c>
      <c r="O956" s="9">
        <f>IF(ISNA(MATCH(947,'Transfer Engine'!$C$2:$C$1960,0)),"",INDEX('Compliance Database'!$O$2:$O$1960,MATCH(947,'Transfer Engine'!$C$2:$C$1960,0)))</f>
        <v/>
      </c>
      <c r="P956" s="8">
        <f>IF(ISNA(MATCH(947,'Transfer Engine'!$C$2:$C$1960,0)),"",HYPERLINK("#Acts!A"&amp;INDEX('Compliance Database'!$P$2:$P$1960,MATCH(947,'Transfer Engine'!$C$2:$C$1960,0)),"Go to Act"))</f>
        <v/>
      </c>
    </row>
    <row r="957" ht="158" customHeight="1">
      <c r="A957" s="8">
        <f>IF(ISNA(MATCH(948,'Transfer Engine'!$C$2:$C$1960,0)),"",INDEX('Compliance Database'!$A$2:$A$1960,MATCH(948,'Transfer Engine'!$C$2:$C$1960,0)))</f>
        <v/>
      </c>
      <c r="B957" s="8">
        <f>IF(ISNA(MATCH(948,'Transfer Engine'!$C$2:$C$1960,0)),"",INDEX('Compliance Database'!$B$2:$B$1960,MATCH(948,'Transfer Engine'!$C$2:$C$1960,0)))</f>
        <v/>
      </c>
      <c r="C957" s="8">
        <f>IF(ISNA(MATCH(948,'Transfer Engine'!$C$2:$C$1960,0)),"",INDEX('Compliance Database'!$C$2:$C$1960,MATCH(948,'Transfer Engine'!$C$2:$C$1960,0)))</f>
        <v/>
      </c>
      <c r="D957" s="9">
        <f>IF(ISNA(MATCH(948,'Transfer Engine'!$C$2:$C$1960,0)),"",INDEX('Compliance Database'!$D$2:$D$1960,MATCH(948,'Transfer Engine'!$C$2:$C$1960,0)))</f>
        <v/>
      </c>
      <c r="E957" s="8">
        <f>IF(ISNA(MATCH(948,'Transfer Engine'!$C$2:$C$1960,0)),"",INDEX('Compliance Database'!$E$2:$E$1960,MATCH(948,'Transfer Engine'!$C$2:$C$1960,0)))</f>
        <v/>
      </c>
      <c r="F957" s="8">
        <f>IF(ISNA(MATCH(948,'Transfer Engine'!$C$2:$C$1960,0)),"",INDEX('Compliance Database'!$F$2:$F$1960,MATCH(948,'Transfer Engine'!$C$2:$C$1960,0)))</f>
        <v/>
      </c>
      <c r="G957" s="8">
        <f>IF(ISNA(MATCH(948,'Transfer Engine'!$C$2:$C$1960,0)),"",INDEX('Compliance Database'!$G$2:$G$1960,MATCH(948,'Transfer Engine'!$C$2:$C$1960,0)))</f>
        <v/>
      </c>
      <c r="H957" s="9">
        <f>IF(ISNA(MATCH(948,'Transfer Engine'!$C$2:$C$1960,0)),"",INDEX('Compliance Database'!$H$2:$H$1960,MATCH(948,'Transfer Engine'!$C$2:$C$1960,0)))</f>
        <v/>
      </c>
      <c r="I957" s="9">
        <f>IF(ISNA(MATCH(948,'Transfer Engine'!$C$2:$C$1960,0)),"",INDEX('Compliance Database'!$I$2:$I$1960,MATCH(948,'Transfer Engine'!$C$2:$C$1960,0)))</f>
        <v/>
      </c>
      <c r="J957" s="8">
        <f>IF(ISNA(MATCH(948,'Transfer Engine'!$C$2:$C$1960,0)),"",INDEX('Compliance Database'!$J$2:$J$1960,MATCH(948,'Transfer Engine'!$C$2:$C$1960,0)))</f>
        <v/>
      </c>
      <c r="K957" s="9">
        <f>IF(ISNA(MATCH(948,'Transfer Engine'!$C$2:$C$1960,0)),"",INDEX('Compliance Database'!$K$2:$K$1960,MATCH(948,'Transfer Engine'!$C$2:$C$1960,0)))</f>
        <v/>
      </c>
      <c r="L957" s="9">
        <f>IF(ISNA(MATCH(948,'Transfer Engine'!$C$2:$C$1960,0)),"",INDEX('Compliance Database'!$L$2:$L$1960,MATCH(948,'Transfer Engine'!$C$2:$C$1960,0)))</f>
        <v/>
      </c>
      <c r="M957" s="9">
        <f>IF(ISNA(MATCH(948,'Transfer Engine'!$C$2:$C$1960,0)),"",INDEX('Compliance Database'!$M$2:$M$1960,MATCH(948,'Transfer Engine'!$C$2:$C$1960,0)))</f>
        <v/>
      </c>
      <c r="N957" s="9">
        <f>IF(ISNA(MATCH(948,'Transfer Engine'!$C$2:$C$1960,0)),"",INDEX('Compliance Database'!$N$2:$N$1960,MATCH(948,'Transfer Engine'!$C$2:$C$1960,0)))</f>
        <v/>
      </c>
      <c r="O957" s="9">
        <f>IF(ISNA(MATCH(948,'Transfer Engine'!$C$2:$C$1960,0)),"",INDEX('Compliance Database'!$O$2:$O$1960,MATCH(948,'Transfer Engine'!$C$2:$C$1960,0)))</f>
        <v/>
      </c>
      <c r="P957" s="8">
        <f>IF(ISNA(MATCH(948,'Transfer Engine'!$C$2:$C$1960,0)),"",HYPERLINK("#Acts!A"&amp;INDEX('Compliance Database'!$P$2:$P$1960,MATCH(948,'Transfer Engine'!$C$2:$C$1960,0)),"Go to Act"))</f>
        <v/>
      </c>
    </row>
    <row r="958" ht="158" customHeight="1">
      <c r="A958" s="8">
        <f>IF(ISNA(MATCH(949,'Transfer Engine'!$C$2:$C$1960,0)),"",INDEX('Compliance Database'!$A$2:$A$1960,MATCH(949,'Transfer Engine'!$C$2:$C$1960,0)))</f>
        <v/>
      </c>
      <c r="B958" s="8">
        <f>IF(ISNA(MATCH(949,'Transfer Engine'!$C$2:$C$1960,0)),"",INDEX('Compliance Database'!$B$2:$B$1960,MATCH(949,'Transfer Engine'!$C$2:$C$1960,0)))</f>
        <v/>
      </c>
      <c r="C958" s="8">
        <f>IF(ISNA(MATCH(949,'Transfer Engine'!$C$2:$C$1960,0)),"",INDEX('Compliance Database'!$C$2:$C$1960,MATCH(949,'Transfer Engine'!$C$2:$C$1960,0)))</f>
        <v/>
      </c>
      <c r="D958" s="9">
        <f>IF(ISNA(MATCH(949,'Transfer Engine'!$C$2:$C$1960,0)),"",INDEX('Compliance Database'!$D$2:$D$1960,MATCH(949,'Transfer Engine'!$C$2:$C$1960,0)))</f>
        <v/>
      </c>
      <c r="E958" s="8">
        <f>IF(ISNA(MATCH(949,'Transfer Engine'!$C$2:$C$1960,0)),"",INDEX('Compliance Database'!$E$2:$E$1960,MATCH(949,'Transfer Engine'!$C$2:$C$1960,0)))</f>
        <v/>
      </c>
      <c r="F958" s="8">
        <f>IF(ISNA(MATCH(949,'Transfer Engine'!$C$2:$C$1960,0)),"",INDEX('Compliance Database'!$F$2:$F$1960,MATCH(949,'Transfer Engine'!$C$2:$C$1960,0)))</f>
        <v/>
      </c>
      <c r="G958" s="8">
        <f>IF(ISNA(MATCH(949,'Transfer Engine'!$C$2:$C$1960,0)),"",INDEX('Compliance Database'!$G$2:$G$1960,MATCH(949,'Transfer Engine'!$C$2:$C$1960,0)))</f>
        <v/>
      </c>
      <c r="H958" s="9">
        <f>IF(ISNA(MATCH(949,'Transfer Engine'!$C$2:$C$1960,0)),"",INDEX('Compliance Database'!$H$2:$H$1960,MATCH(949,'Transfer Engine'!$C$2:$C$1960,0)))</f>
        <v/>
      </c>
      <c r="I958" s="9">
        <f>IF(ISNA(MATCH(949,'Transfer Engine'!$C$2:$C$1960,0)),"",INDEX('Compliance Database'!$I$2:$I$1960,MATCH(949,'Transfer Engine'!$C$2:$C$1960,0)))</f>
        <v/>
      </c>
      <c r="J958" s="8">
        <f>IF(ISNA(MATCH(949,'Transfer Engine'!$C$2:$C$1960,0)),"",INDEX('Compliance Database'!$J$2:$J$1960,MATCH(949,'Transfer Engine'!$C$2:$C$1960,0)))</f>
        <v/>
      </c>
      <c r="K958" s="9">
        <f>IF(ISNA(MATCH(949,'Transfer Engine'!$C$2:$C$1960,0)),"",INDEX('Compliance Database'!$K$2:$K$1960,MATCH(949,'Transfer Engine'!$C$2:$C$1960,0)))</f>
        <v/>
      </c>
      <c r="L958" s="9">
        <f>IF(ISNA(MATCH(949,'Transfer Engine'!$C$2:$C$1960,0)),"",INDEX('Compliance Database'!$L$2:$L$1960,MATCH(949,'Transfer Engine'!$C$2:$C$1960,0)))</f>
        <v/>
      </c>
      <c r="M958" s="9">
        <f>IF(ISNA(MATCH(949,'Transfer Engine'!$C$2:$C$1960,0)),"",INDEX('Compliance Database'!$M$2:$M$1960,MATCH(949,'Transfer Engine'!$C$2:$C$1960,0)))</f>
        <v/>
      </c>
      <c r="N958" s="9">
        <f>IF(ISNA(MATCH(949,'Transfer Engine'!$C$2:$C$1960,0)),"",INDEX('Compliance Database'!$N$2:$N$1960,MATCH(949,'Transfer Engine'!$C$2:$C$1960,0)))</f>
        <v/>
      </c>
      <c r="O958" s="9">
        <f>IF(ISNA(MATCH(949,'Transfer Engine'!$C$2:$C$1960,0)),"",INDEX('Compliance Database'!$O$2:$O$1960,MATCH(949,'Transfer Engine'!$C$2:$C$1960,0)))</f>
        <v/>
      </c>
      <c r="P958" s="8">
        <f>IF(ISNA(MATCH(949,'Transfer Engine'!$C$2:$C$1960,0)),"",HYPERLINK("#Acts!A"&amp;INDEX('Compliance Database'!$P$2:$P$1960,MATCH(949,'Transfer Engine'!$C$2:$C$1960,0)),"Go to Act"))</f>
        <v/>
      </c>
    </row>
    <row r="959" ht="158" customHeight="1">
      <c r="A959" s="8">
        <f>IF(ISNA(MATCH(950,'Transfer Engine'!$C$2:$C$1960,0)),"",INDEX('Compliance Database'!$A$2:$A$1960,MATCH(950,'Transfer Engine'!$C$2:$C$1960,0)))</f>
        <v/>
      </c>
      <c r="B959" s="8">
        <f>IF(ISNA(MATCH(950,'Transfer Engine'!$C$2:$C$1960,0)),"",INDEX('Compliance Database'!$B$2:$B$1960,MATCH(950,'Transfer Engine'!$C$2:$C$1960,0)))</f>
        <v/>
      </c>
      <c r="C959" s="8">
        <f>IF(ISNA(MATCH(950,'Transfer Engine'!$C$2:$C$1960,0)),"",INDEX('Compliance Database'!$C$2:$C$1960,MATCH(950,'Transfer Engine'!$C$2:$C$1960,0)))</f>
        <v/>
      </c>
      <c r="D959" s="9">
        <f>IF(ISNA(MATCH(950,'Transfer Engine'!$C$2:$C$1960,0)),"",INDEX('Compliance Database'!$D$2:$D$1960,MATCH(950,'Transfer Engine'!$C$2:$C$1960,0)))</f>
        <v/>
      </c>
      <c r="E959" s="8">
        <f>IF(ISNA(MATCH(950,'Transfer Engine'!$C$2:$C$1960,0)),"",INDEX('Compliance Database'!$E$2:$E$1960,MATCH(950,'Transfer Engine'!$C$2:$C$1960,0)))</f>
        <v/>
      </c>
      <c r="F959" s="8">
        <f>IF(ISNA(MATCH(950,'Transfer Engine'!$C$2:$C$1960,0)),"",INDEX('Compliance Database'!$F$2:$F$1960,MATCH(950,'Transfer Engine'!$C$2:$C$1960,0)))</f>
        <v/>
      </c>
      <c r="G959" s="8">
        <f>IF(ISNA(MATCH(950,'Transfer Engine'!$C$2:$C$1960,0)),"",INDEX('Compliance Database'!$G$2:$G$1960,MATCH(950,'Transfer Engine'!$C$2:$C$1960,0)))</f>
        <v/>
      </c>
      <c r="H959" s="9">
        <f>IF(ISNA(MATCH(950,'Transfer Engine'!$C$2:$C$1960,0)),"",INDEX('Compliance Database'!$H$2:$H$1960,MATCH(950,'Transfer Engine'!$C$2:$C$1960,0)))</f>
        <v/>
      </c>
      <c r="I959" s="9">
        <f>IF(ISNA(MATCH(950,'Transfer Engine'!$C$2:$C$1960,0)),"",INDEX('Compliance Database'!$I$2:$I$1960,MATCH(950,'Transfer Engine'!$C$2:$C$1960,0)))</f>
        <v/>
      </c>
      <c r="J959" s="8">
        <f>IF(ISNA(MATCH(950,'Transfer Engine'!$C$2:$C$1960,0)),"",INDEX('Compliance Database'!$J$2:$J$1960,MATCH(950,'Transfer Engine'!$C$2:$C$1960,0)))</f>
        <v/>
      </c>
      <c r="K959" s="9">
        <f>IF(ISNA(MATCH(950,'Transfer Engine'!$C$2:$C$1960,0)),"",INDEX('Compliance Database'!$K$2:$K$1960,MATCH(950,'Transfer Engine'!$C$2:$C$1960,0)))</f>
        <v/>
      </c>
      <c r="L959" s="9">
        <f>IF(ISNA(MATCH(950,'Transfer Engine'!$C$2:$C$1960,0)),"",INDEX('Compliance Database'!$L$2:$L$1960,MATCH(950,'Transfer Engine'!$C$2:$C$1960,0)))</f>
        <v/>
      </c>
      <c r="M959" s="9">
        <f>IF(ISNA(MATCH(950,'Transfer Engine'!$C$2:$C$1960,0)),"",INDEX('Compliance Database'!$M$2:$M$1960,MATCH(950,'Transfer Engine'!$C$2:$C$1960,0)))</f>
        <v/>
      </c>
      <c r="N959" s="9">
        <f>IF(ISNA(MATCH(950,'Transfer Engine'!$C$2:$C$1960,0)),"",INDEX('Compliance Database'!$N$2:$N$1960,MATCH(950,'Transfer Engine'!$C$2:$C$1960,0)))</f>
        <v/>
      </c>
      <c r="O959" s="9">
        <f>IF(ISNA(MATCH(950,'Transfer Engine'!$C$2:$C$1960,0)),"",INDEX('Compliance Database'!$O$2:$O$1960,MATCH(950,'Transfer Engine'!$C$2:$C$1960,0)))</f>
        <v/>
      </c>
      <c r="P959" s="8">
        <f>IF(ISNA(MATCH(950,'Transfer Engine'!$C$2:$C$1960,0)),"",HYPERLINK("#Acts!A"&amp;INDEX('Compliance Database'!$P$2:$P$1960,MATCH(950,'Transfer Engine'!$C$2:$C$1960,0)),"Go to Act"))</f>
        <v/>
      </c>
    </row>
    <row r="960" ht="158" customHeight="1">
      <c r="A960" s="8">
        <f>IF(ISNA(MATCH(951,'Transfer Engine'!$C$2:$C$1960,0)),"",INDEX('Compliance Database'!$A$2:$A$1960,MATCH(951,'Transfer Engine'!$C$2:$C$1960,0)))</f>
        <v/>
      </c>
      <c r="B960" s="8">
        <f>IF(ISNA(MATCH(951,'Transfer Engine'!$C$2:$C$1960,0)),"",INDEX('Compliance Database'!$B$2:$B$1960,MATCH(951,'Transfer Engine'!$C$2:$C$1960,0)))</f>
        <v/>
      </c>
      <c r="C960" s="8">
        <f>IF(ISNA(MATCH(951,'Transfer Engine'!$C$2:$C$1960,0)),"",INDEX('Compliance Database'!$C$2:$C$1960,MATCH(951,'Transfer Engine'!$C$2:$C$1960,0)))</f>
        <v/>
      </c>
      <c r="D960" s="9">
        <f>IF(ISNA(MATCH(951,'Transfer Engine'!$C$2:$C$1960,0)),"",INDEX('Compliance Database'!$D$2:$D$1960,MATCH(951,'Transfer Engine'!$C$2:$C$1960,0)))</f>
        <v/>
      </c>
      <c r="E960" s="8">
        <f>IF(ISNA(MATCH(951,'Transfer Engine'!$C$2:$C$1960,0)),"",INDEX('Compliance Database'!$E$2:$E$1960,MATCH(951,'Transfer Engine'!$C$2:$C$1960,0)))</f>
        <v/>
      </c>
      <c r="F960" s="8">
        <f>IF(ISNA(MATCH(951,'Transfer Engine'!$C$2:$C$1960,0)),"",INDEX('Compliance Database'!$F$2:$F$1960,MATCH(951,'Transfer Engine'!$C$2:$C$1960,0)))</f>
        <v/>
      </c>
      <c r="G960" s="8">
        <f>IF(ISNA(MATCH(951,'Transfer Engine'!$C$2:$C$1960,0)),"",INDEX('Compliance Database'!$G$2:$G$1960,MATCH(951,'Transfer Engine'!$C$2:$C$1960,0)))</f>
        <v/>
      </c>
      <c r="H960" s="9">
        <f>IF(ISNA(MATCH(951,'Transfer Engine'!$C$2:$C$1960,0)),"",INDEX('Compliance Database'!$H$2:$H$1960,MATCH(951,'Transfer Engine'!$C$2:$C$1960,0)))</f>
        <v/>
      </c>
      <c r="I960" s="9">
        <f>IF(ISNA(MATCH(951,'Transfer Engine'!$C$2:$C$1960,0)),"",INDEX('Compliance Database'!$I$2:$I$1960,MATCH(951,'Transfer Engine'!$C$2:$C$1960,0)))</f>
        <v/>
      </c>
      <c r="J960" s="8">
        <f>IF(ISNA(MATCH(951,'Transfer Engine'!$C$2:$C$1960,0)),"",INDEX('Compliance Database'!$J$2:$J$1960,MATCH(951,'Transfer Engine'!$C$2:$C$1960,0)))</f>
        <v/>
      </c>
      <c r="K960" s="9">
        <f>IF(ISNA(MATCH(951,'Transfer Engine'!$C$2:$C$1960,0)),"",INDEX('Compliance Database'!$K$2:$K$1960,MATCH(951,'Transfer Engine'!$C$2:$C$1960,0)))</f>
        <v/>
      </c>
      <c r="L960" s="9">
        <f>IF(ISNA(MATCH(951,'Transfer Engine'!$C$2:$C$1960,0)),"",INDEX('Compliance Database'!$L$2:$L$1960,MATCH(951,'Transfer Engine'!$C$2:$C$1960,0)))</f>
        <v/>
      </c>
      <c r="M960" s="9">
        <f>IF(ISNA(MATCH(951,'Transfer Engine'!$C$2:$C$1960,0)),"",INDEX('Compliance Database'!$M$2:$M$1960,MATCH(951,'Transfer Engine'!$C$2:$C$1960,0)))</f>
        <v/>
      </c>
      <c r="N960" s="9">
        <f>IF(ISNA(MATCH(951,'Transfer Engine'!$C$2:$C$1960,0)),"",INDEX('Compliance Database'!$N$2:$N$1960,MATCH(951,'Transfer Engine'!$C$2:$C$1960,0)))</f>
        <v/>
      </c>
      <c r="O960" s="9">
        <f>IF(ISNA(MATCH(951,'Transfer Engine'!$C$2:$C$1960,0)),"",INDEX('Compliance Database'!$O$2:$O$1960,MATCH(951,'Transfer Engine'!$C$2:$C$1960,0)))</f>
        <v/>
      </c>
      <c r="P960" s="8">
        <f>IF(ISNA(MATCH(951,'Transfer Engine'!$C$2:$C$1960,0)),"",HYPERLINK("#Acts!A"&amp;INDEX('Compliance Database'!$P$2:$P$1960,MATCH(951,'Transfer Engine'!$C$2:$C$1960,0)),"Go to Act"))</f>
        <v/>
      </c>
    </row>
    <row r="961" ht="158" customHeight="1">
      <c r="A961" s="8">
        <f>IF(ISNA(MATCH(952,'Transfer Engine'!$C$2:$C$1960,0)),"",INDEX('Compliance Database'!$A$2:$A$1960,MATCH(952,'Transfer Engine'!$C$2:$C$1960,0)))</f>
        <v/>
      </c>
      <c r="B961" s="8">
        <f>IF(ISNA(MATCH(952,'Transfer Engine'!$C$2:$C$1960,0)),"",INDEX('Compliance Database'!$B$2:$B$1960,MATCH(952,'Transfer Engine'!$C$2:$C$1960,0)))</f>
        <v/>
      </c>
      <c r="C961" s="8">
        <f>IF(ISNA(MATCH(952,'Transfer Engine'!$C$2:$C$1960,0)),"",INDEX('Compliance Database'!$C$2:$C$1960,MATCH(952,'Transfer Engine'!$C$2:$C$1960,0)))</f>
        <v/>
      </c>
      <c r="D961" s="9">
        <f>IF(ISNA(MATCH(952,'Transfer Engine'!$C$2:$C$1960,0)),"",INDEX('Compliance Database'!$D$2:$D$1960,MATCH(952,'Transfer Engine'!$C$2:$C$1960,0)))</f>
        <v/>
      </c>
      <c r="E961" s="8">
        <f>IF(ISNA(MATCH(952,'Transfer Engine'!$C$2:$C$1960,0)),"",INDEX('Compliance Database'!$E$2:$E$1960,MATCH(952,'Transfer Engine'!$C$2:$C$1960,0)))</f>
        <v/>
      </c>
      <c r="F961" s="8">
        <f>IF(ISNA(MATCH(952,'Transfer Engine'!$C$2:$C$1960,0)),"",INDEX('Compliance Database'!$F$2:$F$1960,MATCH(952,'Transfer Engine'!$C$2:$C$1960,0)))</f>
        <v/>
      </c>
      <c r="G961" s="8">
        <f>IF(ISNA(MATCH(952,'Transfer Engine'!$C$2:$C$1960,0)),"",INDEX('Compliance Database'!$G$2:$G$1960,MATCH(952,'Transfer Engine'!$C$2:$C$1960,0)))</f>
        <v/>
      </c>
      <c r="H961" s="9">
        <f>IF(ISNA(MATCH(952,'Transfer Engine'!$C$2:$C$1960,0)),"",INDEX('Compliance Database'!$H$2:$H$1960,MATCH(952,'Transfer Engine'!$C$2:$C$1960,0)))</f>
        <v/>
      </c>
      <c r="I961" s="9">
        <f>IF(ISNA(MATCH(952,'Transfer Engine'!$C$2:$C$1960,0)),"",INDEX('Compliance Database'!$I$2:$I$1960,MATCH(952,'Transfer Engine'!$C$2:$C$1960,0)))</f>
        <v/>
      </c>
      <c r="J961" s="8">
        <f>IF(ISNA(MATCH(952,'Transfer Engine'!$C$2:$C$1960,0)),"",INDEX('Compliance Database'!$J$2:$J$1960,MATCH(952,'Transfer Engine'!$C$2:$C$1960,0)))</f>
        <v/>
      </c>
      <c r="K961" s="9">
        <f>IF(ISNA(MATCH(952,'Transfer Engine'!$C$2:$C$1960,0)),"",INDEX('Compliance Database'!$K$2:$K$1960,MATCH(952,'Transfer Engine'!$C$2:$C$1960,0)))</f>
        <v/>
      </c>
      <c r="L961" s="9">
        <f>IF(ISNA(MATCH(952,'Transfer Engine'!$C$2:$C$1960,0)),"",INDEX('Compliance Database'!$L$2:$L$1960,MATCH(952,'Transfer Engine'!$C$2:$C$1960,0)))</f>
        <v/>
      </c>
      <c r="M961" s="9">
        <f>IF(ISNA(MATCH(952,'Transfer Engine'!$C$2:$C$1960,0)),"",INDEX('Compliance Database'!$M$2:$M$1960,MATCH(952,'Transfer Engine'!$C$2:$C$1960,0)))</f>
        <v/>
      </c>
      <c r="N961" s="9">
        <f>IF(ISNA(MATCH(952,'Transfer Engine'!$C$2:$C$1960,0)),"",INDEX('Compliance Database'!$N$2:$N$1960,MATCH(952,'Transfer Engine'!$C$2:$C$1960,0)))</f>
        <v/>
      </c>
      <c r="O961" s="9">
        <f>IF(ISNA(MATCH(952,'Transfer Engine'!$C$2:$C$1960,0)),"",INDEX('Compliance Database'!$O$2:$O$1960,MATCH(952,'Transfer Engine'!$C$2:$C$1960,0)))</f>
        <v/>
      </c>
      <c r="P961" s="8">
        <f>IF(ISNA(MATCH(952,'Transfer Engine'!$C$2:$C$1960,0)),"",HYPERLINK("#Acts!A"&amp;INDEX('Compliance Database'!$P$2:$P$1960,MATCH(952,'Transfer Engine'!$C$2:$C$1960,0)),"Go to Act"))</f>
        <v/>
      </c>
    </row>
    <row r="962" ht="158" customHeight="1">
      <c r="A962" s="8">
        <f>IF(ISNA(MATCH(953,'Transfer Engine'!$C$2:$C$1960,0)),"",INDEX('Compliance Database'!$A$2:$A$1960,MATCH(953,'Transfer Engine'!$C$2:$C$1960,0)))</f>
        <v/>
      </c>
      <c r="B962" s="8">
        <f>IF(ISNA(MATCH(953,'Transfer Engine'!$C$2:$C$1960,0)),"",INDEX('Compliance Database'!$B$2:$B$1960,MATCH(953,'Transfer Engine'!$C$2:$C$1960,0)))</f>
        <v/>
      </c>
      <c r="C962" s="8">
        <f>IF(ISNA(MATCH(953,'Transfer Engine'!$C$2:$C$1960,0)),"",INDEX('Compliance Database'!$C$2:$C$1960,MATCH(953,'Transfer Engine'!$C$2:$C$1960,0)))</f>
        <v/>
      </c>
      <c r="D962" s="9">
        <f>IF(ISNA(MATCH(953,'Transfer Engine'!$C$2:$C$1960,0)),"",INDEX('Compliance Database'!$D$2:$D$1960,MATCH(953,'Transfer Engine'!$C$2:$C$1960,0)))</f>
        <v/>
      </c>
      <c r="E962" s="8">
        <f>IF(ISNA(MATCH(953,'Transfer Engine'!$C$2:$C$1960,0)),"",INDEX('Compliance Database'!$E$2:$E$1960,MATCH(953,'Transfer Engine'!$C$2:$C$1960,0)))</f>
        <v/>
      </c>
      <c r="F962" s="8">
        <f>IF(ISNA(MATCH(953,'Transfer Engine'!$C$2:$C$1960,0)),"",INDEX('Compliance Database'!$F$2:$F$1960,MATCH(953,'Transfer Engine'!$C$2:$C$1960,0)))</f>
        <v/>
      </c>
      <c r="G962" s="8">
        <f>IF(ISNA(MATCH(953,'Transfer Engine'!$C$2:$C$1960,0)),"",INDEX('Compliance Database'!$G$2:$G$1960,MATCH(953,'Transfer Engine'!$C$2:$C$1960,0)))</f>
        <v/>
      </c>
      <c r="H962" s="9">
        <f>IF(ISNA(MATCH(953,'Transfer Engine'!$C$2:$C$1960,0)),"",INDEX('Compliance Database'!$H$2:$H$1960,MATCH(953,'Transfer Engine'!$C$2:$C$1960,0)))</f>
        <v/>
      </c>
      <c r="I962" s="9">
        <f>IF(ISNA(MATCH(953,'Transfer Engine'!$C$2:$C$1960,0)),"",INDEX('Compliance Database'!$I$2:$I$1960,MATCH(953,'Transfer Engine'!$C$2:$C$1960,0)))</f>
        <v/>
      </c>
      <c r="J962" s="8">
        <f>IF(ISNA(MATCH(953,'Transfer Engine'!$C$2:$C$1960,0)),"",INDEX('Compliance Database'!$J$2:$J$1960,MATCH(953,'Transfer Engine'!$C$2:$C$1960,0)))</f>
        <v/>
      </c>
      <c r="K962" s="9">
        <f>IF(ISNA(MATCH(953,'Transfer Engine'!$C$2:$C$1960,0)),"",INDEX('Compliance Database'!$K$2:$K$1960,MATCH(953,'Transfer Engine'!$C$2:$C$1960,0)))</f>
        <v/>
      </c>
      <c r="L962" s="9">
        <f>IF(ISNA(MATCH(953,'Transfer Engine'!$C$2:$C$1960,0)),"",INDEX('Compliance Database'!$L$2:$L$1960,MATCH(953,'Transfer Engine'!$C$2:$C$1960,0)))</f>
        <v/>
      </c>
      <c r="M962" s="9">
        <f>IF(ISNA(MATCH(953,'Transfer Engine'!$C$2:$C$1960,0)),"",INDEX('Compliance Database'!$M$2:$M$1960,MATCH(953,'Transfer Engine'!$C$2:$C$1960,0)))</f>
        <v/>
      </c>
      <c r="N962" s="9">
        <f>IF(ISNA(MATCH(953,'Transfer Engine'!$C$2:$C$1960,0)),"",INDEX('Compliance Database'!$N$2:$N$1960,MATCH(953,'Transfer Engine'!$C$2:$C$1960,0)))</f>
        <v/>
      </c>
      <c r="O962" s="9">
        <f>IF(ISNA(MATCH(953,'Transfer Engine'!$C$2:$C$1960,0)),"",INDEX('Compliance Database'!$O$2:$O$1960,MATCH(953,'Transfer Engine'!$C$2:$C$1960,0)))</f>
        <v/>
      </c>
      <c r="P962" s="8">
        <f>IF(ISNA(MATCH(953,'Transfer Engine'!$C$2:$C$1960,0)),"",HYPERLINK("#Acts!A"&amp;INDEX('Compliance Database'!$P$2:$P$1960,MATCH(953,'Transfer Engine'!$C$2:$C$1960,0)),"Go to Act"))</f>
        <v/>
      </c>
    </row>
    <row r="963" ht="158" customHeight="1">
      <c r="A963" s="8">
        <f>IF(ISNA(MATCH(954,'Transfer Engine'!$C$2:$C$1960,0)),"",INDEX('Compliance Database'!$A$2:$A$1960,MATCH(954,'Transfer Engine'!$C$2:$C$1960,0)))</f>
        <v/>
      </c>
      <c r="B963" s="8">
        <f>IF(ISNA(MATCH(954,'Transfer Engine'!$C$2:$C$1960,0)),"",INDEX('Compliance Database'!$B$2:$B$1960,MATCH(954,'Transfer Engine'!$C$2:$C$1960,0)))</f>
        <v/>
      </c>
      <c r="C963" s="8">
        <f>IF(ISNA(MATCH(954,'Transfer Engine'!$C$2:$C$1960,0)),"",INDEX('Compliance Database'!$C$2:$C$1960,MATCH(954,'Transfer Engine'!$C$2:$C$1960,0)))</f>
        <v/>
      </c>
      <c r="D963" s="9">
        <f>IF(ISNA(MATCH(954,'Transfer Engine'!$C$2:$C$1960,0)),"",INDEX('Compliance Database'!$D$2:$D$1960,MATCH(954,'Transfer Engine'!$C$2:$C$1960,0)))</f>
        <v/>
      </c>
      <c r="E963" s="8">
        <f>IF(ISNA(MATCH(954,'Transfer Engine'!$C$2:$C$1960,0)),"",INDEX('Compliance Database'!$E$2:$E$1960,MATCH(954,'Transfer Engine'!$C$2:$C$1960,0)))</f>
        <v/>
      </c>
      <c r="F963" s="8">
        <f>IF(ISNA(MATCH(954,'Transfer Engine'!$C$2:$C$1960,0)),"",INDEX('Compliance Database'!$F$2:$F$1960,MATCH(954,'Transfer Engine'!$C$2:$C$1960,0)))</f>
        <v/>
      </c>
      <c r="G963" s="8">
        <f>IF(ISNA(MATCH(954,'Transfer Engine'!$C$2:$C$1960,0)),"",INDEX('Compliance Database'!$G$2:$G$1960,MATCH(954,'Transfer Engine'!$C$2:$C$1960,0)))</f>
        <v/>
      </c>
      <c r="H963" s="9">
        <f>IF(ISNA(MATCH(954,'Transfer Engine'!$C$2:$C$1960,0)),"",INDEX('Compliance Database'!$H$2:$H$1960,MATCH(954,'Transfer Engine'!$C$2:$C$1960,0)))</f>
        <v/>
      </c>
      <c r="I963" s="9">
        <f>IF(ISNA(MATCH(954,'Transfer Engine'!$C$2:$C$1960,0)),"",INDEX('Compliance Database'!$I$2:$I$1960,MATCH(954,'Transfer Engine'!$C$2:$C$1960,0)))</f>
        <v/>
      </c>
      <c r="J963" s="8">
        <f>IF(ISNA(MATCH(954,'Transfer Engine'!$C$2:$C$1960,0)),"",INDEX('Compliance Database'!$J$2:$J$1960,MATCH(954,'Transfer Engine'!$C$2:$C$1960,0)))</f>
        <v/>
      </c>
      <c r="K963" s="9">
        <f>IF(ISNA(MATCH(954,'Transfer Engine'!$C$2:$C$1960,0)),"",INDEX('Compliance Database'!$K$2:$K$1960,MATCH(954,'Transfer Engine'!$C$2:$C$1960,0)))</f>
        <v/>
      </c>
      <c r="L963" s="9">
        <f>IF(ISNA(MATCH(954,'Transfer Engine'!$C$2:$C$1960,0)),"",INDEX('Compliance Database'!$L$2:$L$1960,MATCH(954,'Transfer Engine'!$C$2:$C$1960,0)))</f>
        <v/>
      </c>
      <c r="M963" s="9">
        <f>IF(ISNA(MATCH(954,'Transfer Engine'!$C$2:$C$1960,0)),"",INDEX('Compliance Database'!$M$2:$M$1960,MATCH(954,'Transfer Engine'!$C$2:$C$1960,0)))</f>
        <v/>
      </c>
      <c r="N963" s="9">
        <f>IF(ISNA(MATCH(954,'Transfer Engine'!$C$2:$C$1960,0)),"",INDEX('Compliance Database'!$N$2:$N$1960,MATCH(954,'Transfer Engine'!$C$2:$C$1960,0)))</f>
        <v/>
      </c>
      <c r="O963" s="9">
        <f>IF(ISNA(MATCH(954,'Transfer Engine'!$C$2:$C$1960,0)),"",INDEX('Compliance Database'!$O$2:$O$1960,MATCH(954,'Transfer Engine'!$C$2:$C$1960,0)))</f>
        <v/>
      </c>
      <c r="P963" s="8">
        <f>IF(ISNA(MATCH(954,'Transfer Engine'!$C$2:$C$1960,0)),"",HYPERLINK("#Acts!A"&amp;INDEX('Compliance Database'!$P$2:$P$1960,MATCH(954,'Transfer Engine'!$C$2:$C$1960,0)),"Go to Act"))</f>
        <v/>
      </c>
    </row>
    <row r="964" ht="158" customHeight="1">
      <c r="A964" s="8">
        <f>IF(ISNA(MATCH(955,'Transfer Engine'!$C$2:$C$1960,0)),"",INDEX('Compliance Database'!$A$2:$A$1960,MATCH(955,'Transfer Engine'!$C$2:$C$1960,0)))</f>
        <v/>
      </c>
      <c r="B964" s="8">
        <f>IF(ISNA(MATCH(955,'Transfer Engine'!$C$2:$C$1960,0)),"",INDEX('Compliance Database'!$B$2:$B$1960,MATCH(955,'Transfer Engine'!$C$2:$C$1960,0)))</f>
        <v/>
      </c>
      <c r="C964" s="8">
        <f>IF(ISNA(MATCH(955,'Transfer Engine'!$C$2:$C$1960,0)),"",INDEX('Compliance Database'!$C$2:$C$1960,MATCH(955,'Transfer Engine'!$C$2:$C$1960,0)))</f>
        <v/>
      </c>
      <c r="D964" s="9">
        <f>IF(ISNA(MATCH(955,'Transfer Engine'!$C$2:$C$1960,0)),"",INDEX('Compliance Database'!$D$2:$D$1960,MATCH(955,'Transfer Engine'!$C$2:$C$1960,0)))</f>
        <v/>
      </c>
      <c r="E964" s="8">
        <f>IF(ISNA(MATCH(955,'Transfer Engine'!$C$2:$C$1960,0)),"",INDEX('Compliance Database'!$E$2:$E$1960,MATCH(955,'Transfer Engine'!$C$2:$C$1960,0)))</f>
        <v/>
      </c>
      <c r="F964" s="8">
        <f>IF(ISNA(MATCH(955,'Transfer Engine'!$C$2:$C$1960,0)),"",INDEX('Compliance Database'!$F$2:$F$1960,MATCH(955,'Transfer Engine'!$C$2:$C$1960,0)))</f>
        <v/>
      </c>
      <c r="G964" s="8">
        <f>IF(ISNA(MATCH(955,'Transfer Engine'!$C$2:$C$1960,0)),"",INDEX('Compliance Database'!$G$2:$G$1960,MATCH(955,'Transfer Engine'!$C$2:$C$1960,0)))</f>
        <v/>
      </c>
      <c r="H964" s="9">
        <f>IF(ISNA(MATCH(955,'Transfer Engine'!$C$2:$C$1960,0)),"",INDEX('Compliance Database'!$H$2:$H$1960,MATCH(955,'Transfer Engine'!$C$2:$C$1960,0)))</f>
        <v/>
      </c>
      <c r="I964" s="9">
        <f>IF(ISNA(MATCH(955,'Transfer Engine'!$C$2:$C$1960,0)),"",INDEX('Compliance Database'!$I$2:$I$1960,MATCH(955,'Transfer Engine'!$C$2:$C$1960,0)))</f>
        <v/>
      </c>
      <c r="J964" s="8">
        <f>IF(ISNA(MATCH(955,'Transfer Engine'!$C$2:$C$1960,0)),"",INDEX('Compliance Database'!$J$2:$J$1960,MATCH(955,'Transfer Engine'!$C$2:$C$1960,0)))</f>
        <v/>
      </c>
      <c r="K964" s="9">
        <f>IF(ISNA(MATCH(955,'Transfer Engine'!$C$2:$C$1960,0)),"",INDEX('Compliance Database'!$K$2:$K$1960,MATCH(955,'Transfer Engine'!$C$2:$C$1960,0)))</f>
        <v/>
      </c>
      <c r="L964" s="9">
        <f>IF(ISNA(MATCH(955,'Transfer Engine'!$C$2:$C$1960,0)),"",INDEX('Compliance Database'!$L$2:$L$1960,MATCH(955,'Transfer Engine'!$C$2:$C$1960,0)))</f>
        <v/>
      </c>
      <c r="M964" s="9">
        <f>IF(ISNA(MATCH(955,'Transfer Engine'!$C$2:$C$1960,0)),"",INDEX('Compliance Database'!$M$2:$M$1960,MATCH(955,'Transfer Engine'!$C$2:$C$1960,0)))</f>
        <v/>
      </c>
      <c r="N964" s="9">
        <f>IF(ISNA(MATCH(955,'Transfer Engine'!$C$2:$C$1960,0)),"",INDEX('Compliance Database'!$N$2:$N$1960,MATCH(955,'Transfer Engine'!$C$2:$C$1960,0)))</f>
        <v/>
      </c>
      <c r="O964" s="9">
        <f>IF(ISNA(MATCH(955,'Transfer Engine'!$C$2:$C$1960,0)),"",INDEX('Compliance Database'!$O$2:$O$1960,MATCH(955,'Transfer Engine'!$C$2:$C$1960,0)))</f>
        <v/>
      </c>
      <c r="P964" s="8">
        <f>IF(ISNA(MATCH(955,'Transfer Engine'!$C$2:$C$1960,0)),"",HYPERLINK("#Acts!A"&amp;INDEX('Compliance Database'!$P$2:$P$1960,MATCH(955,'Transfer Engine'!$C$2:$C$1960,0)),"Go to Act"))</f>
        <v/>
      </c>
    </row>
    <row r="965" ht="158" customHeight="1">
      <c r="A965" s="8">
        <f>IF(ISNA(MATCH(956,'Transfer Engine'!$C$2:$C$1960,0)),"",INDEX('Compliance Database'!$A$2:$A$1960,MATCH(956,'Transfer Engine'!$C$2:$C$1960,0)))</f>
        <v/>
      </c>
      <c r="B965" s="8">
        <f>IF(ISNA(MATCH(956,'Transfer Engine'!$C$2:$C$1960,0)),"",INDEX('Compliance Database'!$B$2:$B$1960,MATCH(956,'Transfer Engine'!$C$2:$C$1960,0)))</f>
        <v/>
      </c>
      <c r="C965" s="8">
        <f>IF(ISNA(MATCH(956,'Transfer Engine'!$C$2:$C$1960,0)),"",INDEX('Compliance Database'!$C$2:$C$1960,MATCH(956,'Transfer Engine'!$C$2:$C$1960,0)))</f>
        <v/>
      </c>
      <c r="D965" s="9">
        <f>IF(ISNA(MATCH(956,'Transfer Engine'!$C$2:$C$1960,0)),"",INDEX('Compliance Database'!$D$2:$D$1960,MATCH(956,'Transfer Engine'!$C$2:$C$1960,0)))</f>
        <v/>
      </c>
      <c r="E965" s="8">
        <f>IF(ISNA(MATCH(956,'Transfer Engine'!$C$2:$C$1960,0)),"",INDEX('Compliance Database'!$E$2:$E$1960,MATCH(956,'Transfer Engine'!$C$2:$C$1960,0)))</f>
        <v/>
      </c>
      <c r="F965" s="8">
        <f>IF(ISNA(MATCH(956,'Transfer Engine'!$C$2:$C$1960,0)),"",INDEX('Compliance Database'!$F$2:$F$1960,MATCH(956,'Transfer Engine'!$C$2:$C$1960,0)))</f>
        <v/>
      </c>
      <c r="G965" s="8">
        <f>IF(ISNA(MATCH(956,'Transfer Engine'!$C$2:$C$1960,0)),"",INDEX('Compliance Database'!$G$2:$G$1960,MATCH(956,'Transfer Engine'!$C$2:$C$1960,0)))</f>
        <v/>
      </c>
      <c r="H965" s="9">
        <f>IF(ISNA(MATCH(956,'Transfer Engine'!$C$2:$C$1960,0)),"",INDEX('Compliance Database'!$H$2:$H$1960,MATCH(956,'Transfer Engine'!$C$2:$C$1960,0)))</f>
        <v/>
      </c>
      <c r="I965" s="9">
        <f>IF(ISNA(MATCH(956,'Transfer Engine'!$C$2:$C$1960,0)),"",INDEX('Compliance Database'!$I$2:$I$1960,MATCH(956,'Transfer Engine'!$C$2:$C$1960,0)))</f>
        <v/>
      </c>
      <c r="J965" s="8">
        <f>IF(ISNA(MATCH(956,'Transfer Engine'!$C$2:$C$1960,0)),"",INDEX('Compliance Database'!$J$2:$J$1960,MATCH(956,'Transfer Engine'!$C$2:$C$1960,0)))</f>
        <v/>
      </c>
      <c r="K965" s="9">
        <f>IF(ISNA(MATCH(956,'Transfer Engine'!$C$2:$C$1960,0)),"",INDEX('Compliance Database'!$K$2:$K$1960,MATCH(956,'Transfer Engine'!$C$2:$C$1960,0)))</f>
        <v/>
      </c>
      <c r="L965" s="9">
        <f>IF(ISNA(MATCH(956,'Transfer Engine'!$C$2:$C$1960,0)),"",INDEX('Compliance Database'!$L$2:$L$1960,MATCH(956,'Transfer Engine'!$C$2:$C$1960,0)))</f>
        <v/>
      </c>
      <c r="M965" s="9">
        <f>IF(ISNA(MATCH(956,'Transfer Engine'!$C$2:$C$1960,0)),"",INDEX('Compliance Database'!$M$2:$M$1960,MATCH(956,'Transfer Engine'!$C$2:$C$1960,0)))</f>
        <v/>
      </c>
      <c r="N965" s="9">
        <f>IF(ISNA(MATCH(956,'Transfer Engine'!$C$2:$C$1960,0)),"",INDEX('Compliance Database'!$N$2:$N$1960,MATCH(956,'Transfer Engine'!$C$2:$C$1960,0)))</f>
        <v/>
      </c>
      <c r="O965" s="9">
        <f>IF(ISNA(MATCH(956,'Transfer Engine'!$C$2:$C$1960,0)),"",INDEX('Compliance Database'!$O$2:$O$1960,MATCH(956,'Transfer Engine'!$C$2:$C$1960,0)))</f>
        <v/>
      </c>
      <c r="P965" s="8">
        <f>IF(ISNA(MATCH(956,'Transfer Engine'!$C$2:$C$1960,0)),"",HYPERLINK("#Acts!A"&amp;INDEX('Compliance Database'!$P$2:$P$1960,MATCH(956,'Transfer Engine'!$C$2:$C$1960,0)),"Go to Act"))</f>
        <v/>
      </c>
    </row>
    <row r="966" ht="158" customHeight="1">
      <c r="A966" s="8">
        <f>IF(ISNA(MATCH(957,'Transfer Engine'!$C$2:$C$1960,0)),"",INDEX('Compliance Database'!$A$2:$A$1960,MATCH(957,'Transfer Engine'!$C$2:$C$1960,0)))</f>
        <v/>
      </c>
      <c r="B966" s="8">
        <f>IF(ISNA(MATCH(957,'Transfer Engine'!$C$2:$C$1960,0)),"",INDEX('Compliance Database'!$B$2:$B$1960,MATCH(957,'Transfer Engine'!$C$2:$C$1960,0)))</f>
        <v/>
      </c>
      <c r="C966" s="8">
        <f>IF(ISNA(MATCH(957,'Transfer Engine'!$C$2:$C$1960,0)),"",INDEX('Compliance Database'!$C$2:$C$1960,MATCH(957,'Transfer Engine'!$C$2:$C$1960,0)))</f>
        <v/>
      </c>
      <c r="D966" s="9">
        <f>IF(ISNA(MATCH(957,'Transfer Engine'!$C$2:$C$1960,0)),"",INDEX('Compliance Database'!$D$2:$D$1960,MATCH(957,'Transfer Engine'!$C$2:$C$1960,0)))</f>
        <v/>
      </c>
      <c r="E966" s="8">
        <f>IF(ISNA(MATCH(957,'Transfer Engine'!$C$2:$C$1960,0)),"",INDEX('Compliance Database'!$E$2:$E$1960,MATCH(957,'Transfer Engine'!$C$2:$C$1960,0)))</f>
        <v/>
      </c>
      <c r="F966" s="8">
        <f>IF(ISNA(MATCH(957,'Transfer Engine'!$C$2:$C$1960,0)),"",INDEX('Compliance Database'!$F$2:$F$1960,MATCH(957,'Transfer Engine'!$C$2:$C$1960,0)))</f>
        <v/>
      </c>
      <c r="G966" s="8">
        <f>IF(ISNA(MATCH(957,'Transfer Engine'!$C$2:$C$1960,0)),"",INDEX('Compliance Database'!$G$2:$G$1960,MATCH(957,'Transfer Engine'!$C$2:$C$1960,0)))</f>
        <v/>
      </c>
      <c r="H966" s="9">
        <f>IF(ISNA(MATCH(957,'Transfer Engine'!$C$2:$C$1960,0)),"",INDEX('Compliance Database'!$H$2:$H$1960,MATCH(957,'Transfer Engine'!$C$2:$C$1960,0)))</f>
        <v/>
      </c>
      <c r="I966" s="9">
        <f>IF(ISNA(MATCH(957,'Transfer Engine'!$C$2:$C$1960,0)),"",INDEX('Compliance Database'!$I$2:$I$1960,MATCH(957,'Transfer Engine'!$C$2:$C$1960,0)))</f>
        <v/>
      </c>
      <c r="J966" s="8">
        <f>IF(ISNA(MATCH(957,'Transfer Engine'!$C$2:$C$1960,0)),"",INDEX('Compliance Database'!$J$2:$J$1960,MATCH(957,'Transfer Engine'!$C$2:$C$1960,0)))</f>
        <v/>
      </c>
      <c r="K966" s="9">
        <f>IF(ISNA(MATCH(957,'Transfer Engine'!$C$2:$C$1960,0)),"",INDEX('Compliance Database'!$K$2:$K$1960,MATCH(957,'Transfer Engine'!$C$2:$C$1960,0)))</f>
        <v/>
      </c>
      <c r="L966" s="9">
        <f>IF(ISNA(MATCH(957,'Transfer Engine'!$C$2:$C$1960,0)),"",INDEX('Compliance Database'!$L$2:$L$1960,MATCH(957,'Transfer Engine'!$C$2:$C$1960,0)))</f>
        <v/>
      </c>
      <c r="M966" s="9">
        <f>IF(ISNA(MATCH(957,'Transfer Engine'!$C$2:$C$1960,0)),"",INDEX('Compliance Database'!$M$2:$M$1960,MATCH(957,'Transfer Engine'!$C$2:$C$1960,0)))</f>
        <v/>
      </c>
      <c r="N966" s="9">
        <f>IF(ISNA(MATCH(957,'Transfer Engine'!$C$2:$C$1960,0)),"",INDEX('Compliance Database'!$N$2:$N$1960,MATCH(957,'Transfer Engine'!$C$2:$C$1960,0)))</f>
        <v/>
      </c>
      <c r="O966" s="9">
        <f>IF(ISNA(MATCH(957,'Transfer Engine'!$C$2:$C$1960,0)),"",INDEX('Compliance Database'!$O$2:$O$1960,MATCH(957,'Transfer Engine'!$C$2:$C$1960,0)))</f>
        <v/>
      </c>
      <c r="P966" s="8">
        <f>IF(ISNA(MATCH(957,'Transfer Engine'!$C$2:$C$1960,0)),"",HYPERLINK("#Acts!A"&amp;INDEX('Compliance Database'!$P$2:$P$1960,MATCH(957,'Transfer Engine'!$C$2:$C$1960,0)),"Go to Act"))</f>
        <v/>
      </c>
    </row>
    <row r="967" ht="158" customHeight="1">
      <c r="A967" s="8">
        <f>IF(ISNA(MATCH(958,'Transfer Engine'!$C$2:$C$1960,0)),"",INDEX('Compliance Database'!$A$2:$A$1960,MATCH(958,'Transfer Engine'!$C$2:$C$1960,0)))</f>
        <v/>
      </c>
      <c r="B967" s="8">
        <f>IF(ISNA(MATCH(958,'Transfer Engine'!$C$2:$C$1960,0)),"",INDEX('Compliance Database'!$B$2:$B$1960,MATCH(958,'Transfer Engine'!$C$2:$C$1960,0)))</f>
        <v/>
      </c>
      <c r="C967" s="8">
        <f>IF(ISNA(MATCH(958,'Transfer Engine'!$C$2:$C$1960,0)),"",INDEX('Compliance Database'!$C$2:$C$1960,MATCH(958,'Transfer Engine'!$C$2:$C$1960,0)))</f>
        <v/>
      </c>
      <c r="D967" s="9">
        <f>IF(ISNA(MATCH(958,'Transfer Engine'!$C$2:$C$1960,0)),"",INDEX('Compliance Database'!$D$2:$D$1960,MATCH(958,'Transfer Engine'!$C$2:$C$1960,0)))</f>
        <v/>
      </c>
      <c r="E967" s="8">
        <f>IF(ISNA(MATCH(958,'Transfer Engine'!$C$2:$C$1960,0)),"",INDEX('Compliance Database'!$E$2:$E$1960,MATCH(958,'Transfer Engine'!$C$2:$C$1960,0)))</f>
        <v/>
      </c>
      <c r="F967" s="8">
        <f>IF(ISNA(MATCH(958,'Transfer Engine'!$C$2:$C$1960,0)),"",INDEX('Compliance Database'!$F$2:$F$1960,MATCH(958,'Transfer Engine'!$C$2:$C$1960,0)))</f>
        <v/>
      </c>
      <c r="G967" s="8">
        <f>IF(ISNA(MATCH(958,'Transfer Engine'!$C$2:$C$1960,0)),"",INDEX('Compliance Database'!$G$2:$G$1960,MATCH(958,'Transfer Engine'!$C$2:$C$1960,0)))</f>
        <v/>
      </c>
      <c r="H967" s="9">
        <f>IF(ISNA(MATCH(958,'Transfer Engine'!$C$2:$C$1960,0)),"",INDEX('Compliance Database'!$H$2:$H$1960,MATCH(958,'Transfer Engine'!$C$2:$C$1960,0)))</f>
        <v/>
      </c>
      <c r="I967" s="9">
        <f>IF(ISNA(MATCH(958,'Transfer Engine'!$C$2:$C$1960,0)),"",INDEX('Compliance Database'!$I$2:$I$1960,MATCH(958,'Transfer Engine'!$C$2:$C$1960,0)))</f>
        <v/>
      </c>
      <c r="J967" s="8">
        <f>IF(ISNA(MATCH(958,'Transfer Engine'!$C$2:$C$1960,0)),"",INDEX('Compliance Database'!$J$2:$J$1960,MATCH(958,'Transfer Engine'!$C$2:$C$1960,0)))</f>
        <v/>
      </c>
      <c r="K967" s="9">
        <f>IF(ISNA(MATCH(958,'Transfer Engine'!$C$2:$C$1960,0)),"",INDEX('Compliance Database'!$K$2:$K$1960,MATCH(958,'Transfer Engine'!$C$2:$C$1960,0)))</f>
        <v/>
      </c>
      <c r="L967" s="9">
        <f>IF(ISNA(MATCH(958,'Transfer Engine'!$C$2:$C$1960,0)),"",INDEX('Compliance Database'!$L$2:$L$1960,MATCH(958,'Transfer Engine'!$C$2:$C$1960,0)))</f>
        <v/>
      </c>
      <c r="M967" s="9">
        <f>IF(ISNA(MATCH(958,'Transfer Engine'!$C$2:$C$1960,0)),"",INDEX('Compliance Database'!$M$2:$M$1960,MATCH(958,'Transfer Engine'!$C$2:$C$1960,0)))</f>
        <v/>
      </c>
      <c r="N967" s="9">
        <f>IF(ISNA(MATCH(958,'Transfer Engine'!$C$2:$C$1960,0)),"",INDEX('Compliance Database'!$N$2:$N$1960,MATCH(958,'Transfer Engine'!$C$2:$C$1960,0)))</f>
        <v/>
      </c>
      <c r="O967" s="9">
        <f>IF(ISNA(MATCH(958,'Transfer Engine'!$C$2:$C$1960,0)),"",INDEX('Compliance Database'!$O$2:$O$1960,MATCH(958,'Transfer Engine'!$C$2:$C$1960,0)))</f>
        <v/>
      </c>
      <c r="P967" s="8">
        <f>IF(ISNA(MATCH(958,'Transfer Engine'!$C$2:$C$1960,0)),"",HYPERLINK("#Acts!A"&amp;INDEX('Compliance Database'!$P$2:$P$1960,MATCH(958,'Transfer Engine'!$C$2:$C$1960,0)),"Go to Act"))</f>
        <v/>
      </c>
    </row>
    <row r="968" ht="158" customHeight="1">
      <c r="A968" s="8">
        <f>IF(ISNA(MATCH(959,'Transfer Engine'!$C$2:$C$1960,0)),"",INDEX('Compliance Database'!$A$2:$A$1960,MATCH(959,'Transfer Engine'!$C$2:$C$1960,0)))</f>
        <v/>
      </c>
      <c r="B968" s="8">
        <f>IF(ISNA(MATCH(959,'Transfer Engine'!$C$2:$C$1960,0)),"",INDEX('Compliance Database'!$B$2:$B$1960,MATCH(959,'Transfer Engine'!$C$2:$C$1960,0)))</f>
        <v/>
      </c>
      <c r="C968" s="8">
        <f>IF(ISNA(MATCH(959,'Transfer Engine'!$C$2:$C$1960,0)),"",INDEX('Compliance Database'!$C$2:$C$1960,MATCH(959,'Transfer Engine'!$C$2:$C$1960,0)))</f>
        <v/>
      </c>
      <c r="D968" s="9">
        <f>IF(ISNA(MATCH(959,'Transfer Engine'!$C$2:$C$1960,0)),"",INDEX('Compliance Database'!$D$2:$D$1960,MATCH(959,'Transfer Engine'!$C$2:$C$1960,0)))</f>
        <v/>
      </c>
      <c r="E968" s="8">
        <f>IF(ISNA(MATCH(959,'Transfer Engine'!$C$2:$C$1960,0)),"",INDEX('Compliance Database'!$E$2:$E$1960,MATCH(959,'Transfer Engine'!$C$2:$C$1960,0)))</f>
        <v/>
      </c>
      <c r="F968" s="8">
        <f>IF(ISNA(MATCH(959,'Transfer Engine'!$C$2:$C$1960,0)),"",INDEX('Compliance Database'!$F$2:$F$1960,MATCH(959,'Transfer Engine'!$C$2:$C$1960,0)))</f>
        <v/>
      </c>
      <c r="G968" s="8">
        <f>IF(ISNA(MATCH(959,'Transfer Engine'!$C$2:$C$1960,0)),"",INDEX('Compliance Database'!$G$2:$G$1960,MATCH(959,'Transfer Engine'!$C$2:$C$1960,0)))</f>
        <v/>
      </c>
      <c r="H968" s="9">
        <f>IF(ISNA(MATCH(959,'Transfer Engine'!$C$2:$C$1960,0)),"",INDEX('Compliance Database'!$H$2:$H$1960,MATCH(959,'Transfer Engine'!$C$2:$C$1960,0)))</f>
        <v/>
      </c>
      <c r="I968" s="9">
        <f>IF(ISNA(MATCH(959,'Transfer Engine'!$C$2:$C$1960,0)),"",INDEX('Compliance Database'!$I$2:$I$1960,MATCH(959,'Transfer Engine'!$C$2:$C$1960,0)))</f>
        <v/>
      </c>
      <c r="J968" s="8">
        <f>IF(ISNA(MATCH(959,'Transfer Engine'!$C$2:$C$1960,0)),"",INDEX('Compliance Database'!$J$2:$J$1960,MATCH(959,'Transfer Engine'!$C$2:$C$1960,0)))</f>
        <v/>
      </c>
      <c r="K968" s="9">
        <f>IF(ISNA(MATCH(959,'Transfer Engine'!$C$2:$C$1960,0)),"",INDEX('Compliance Database'!$K$2:$K$1960,MATCH(959,'Transfer Engine'!$C$2:$C$1960,0)))</f>
        <v/>
      </c>
      <c r="L968" s="9">
        <f>IF(ISNA(MATCH(959,'Transfer Engine'!$C$2:$C$1960,0)),"",INDEX('Compliance Database'!$L$2:$L$1960,MATCH(959,'Transfer Engine'!$C$2:$C$1960,0)))</f>
        <v/>
      </c>
      <c r="M968" s="9">
        <f>IF(ISNA(MATCH(959,'Transfer Engine'!$C$2:$C$1960,0)),"",INDEX('Compliance Database'!$M$2:$M$1960,MATCH(959,'Transfer Engine'!$C$2:$C$1960,0)))</f>
        <v/>
      </c>
      <c r="N968" s="9">
        <f>IF(ISNA(MATCH(959,'Transfer Engine'!$C$2:$C$1960,0)),"",INDEX('Compliance Database'!$N$2:$N$1960,MATCH(959,'Transfer Engine'!$C$2:$C$1960,0)))</f>
        <v/>
      </c>
      <c r="O968" s="9">
        <f>IF(ISNA(MATCH(959,'Transfer Engine'!$C$2:$C$1960,0)),"",INDEX('Compliance Database'!$O$2:$O$1960,MATCH(959,'Transfer Engine'!$C$2:$C$1960,0)))</f>
        <v/>
      </c>
      <c r="P968" s="8">
        <f>IF(ISNA(MATCH(959,'Transfer Engine'!$C$2:$C$1960,0)),"",HYPERLINK("#Acts!A"&amp;INDEX('Compliance Database'!$P$2:$P$1960,MATCH(959,'Transfer Engine'!$C$2:$C$1960,0)),"Go to Act"))</f>
        <v/>
      </c>
    </row>
    <row r="969" ht="158" customHeight="1">
      <c r="A969" s="8">
        <f>IF(ISNA(MATCH(960,'Transfer Engine'!$C$2:$C$1960,0)),"",INDEX('Compliance Database'!$A$2:$A$1960,MATCH(960,'Transfer Engine'!$C$2:$C$1960,0)))</f>
        <v/>
      </c>
      <c r="B969" s="8">
        <f>IF(ISNA(MATCH(960,'Transfer Engine'!$C$2:$C$1960,0)),"",INDEX('Compliance Database'!$B$2:$B$1960,MATCH(960,'Transfer Engine'!$C$2:$C$1960,0)))</f>
        <v/>
      </c>
      <c r="C969" s="8">
        <f>IF(ISNA(MATCH(960,'Transfer Engine'!$C$2:$C$1960,0)),"",INDEX('Compliance Database'!$C$2:$C$1960,MATCH(960,'Transfer Engine'!$C$2:$C$1960,0)))</f>
        <v/>
      </c>
      <c r="D969" s="9">
        <f>IF(ISNA(MATCH(960,'Transfer Engine'!$C$2:$C$1960,0)),"",INDEX('Compliance Database'!$D$2:$D$1960,MATCH(960,'Transfer Engine'!$C$2:$C$1960,0)))</f>
        <v/>
      </c>
      <c r="E969" s="8">
        <f>IF(ISNA(MATCH(960,'Transfer Engine'!$C$2:$C$1960,0)),"",INDEX('Compliance Database'!$E$2:$E$1960,MATCH(960,'Transfer Engine'!$C$2:$C$1960,0)))</f>
        <v/>
      </c>
      <c r="F969" s="8">
        <f>IF(ISNA(MATCH(960,'Transfer Engine'!$C$2:$C$1960,0)),"",INDEX('Compliance Database'!$F$2:$F$1960,MATCH(960,'Transfer Engine'!$C$2:$C$1960,0)))</f>
        <v/>
      </c>
      <c r="G969" s="8">
        <f>IF(ISNA(MATCH(960,'Transfer Engine'!$C$2:$C$1960,0)),"",INDEX('Compliance Database'!$G$2:$G$1960,MATCH(960,'Transfer Engine'!$C$2:$C$1960,0)))</f>
        <v/>
      </c>
      <c r="H969" s="9">
        <f>IF(ISNA(MATCH(960,'Transfer Engine'!$C$2:$C$1960,0)),"",INDEX('Compliance Database'!$H$2:$H$1960,MATCH(960,'Transfer Engine'!$C$2:$C$1960,0)))</f>
        <v/>
      </c>
      <c r="I969" s="9">
        <f>IF(ISNA(MATCH(960,'Transfer Engine'!$C$2:$C$1960,0)),"",INDEX('Compliance Database'!$I$2:$I$1960,MATCH(960,'Transfer Engine'!$C$2:$C$1960,0)))</f>
        <v/>
      </c>
      <c r="J969" s="8">
        <f>IF(ISNA(MATCH(960,'Transfer Engine'!$C$2:$C$1960,0)),"",INDEX('Compliance Database'!$J$2:$J$1960,MATCH(960,'Transfer Engine'!$C$2:$C$1960,0)))</f>
        <v/>
      </c>
      <c r="K969" s="9">
        <f>IF(ISNA(MATCH(960,'Transfer Engine'!$C$2:$C$1960,0)),"",INDEX('Compliance Database'!$K$2:$K$1960,MATCH(960,'Transfer Engine'!$C$2:$C$1960,0)))</f>
        <v/>
      </c>
      <c r="L969" s="9">
        <f>IF(ISNA(MATCH(960,'Transfer Engine'!$C$2:$C$1960,0)),"",INDEX('Compliance Database'!$L$2:$L$1960,MATCH(960,'Transfer Engine'!$C$2:$C$1960,0)))</f>
        <v/>
      </c>
      <c r="M969" s="9">
        <f>IF(ISNA(MATCH(960,'Transfer Engine'!$C$2:$C$1960,0)),"",INDEX('Compliance Database'!$M$2:$M$1960,MATCH(960,'Transfer Engine'!$C$2:$C$1960,0)))</f>
        <v/>
      </c>
      <c r="N969" s="9">
        <f>IF(ISNA(MATCH(960,'Transfer Engine'!$C$2:$C$1960,0)),"",INDEX('Compliance Database'!$N$2:$N$1960,MATCH(960,'Transfer Engine'!$C$2:$C$1960,0)))</f>
        <v/>
      </c>
      <c r="O969" s="9">
        <f>IF(ISNA(MATCH(960,'Transfer Engine'!$C$2:$C$1960,0)),"",INDEX('Compliance Database'!$O$2:$O$1960,MATCH(960,'Transfer Engine'!$C$2:$C$1960,0)))</f>
        <v/>
      </c>
      <c r="P969" s="8">
        <f>IF(ISNA(MATCH(960,'Transfer Engine'!$C$2:$C$1960,0)),"",HYPERLINK("#Acts!A"&amp;INDEX('Compliance Database'!$P$2:$P$1960,MATCH(960,'Transfer Engine'!$C$2:$C$1960,0)),"Go to Act"))</f>
        <v/>
      </c>
    </row>
    <row r="970" ht="158" customHeight="1">
      <c r="A970" s="8">
        <f>IF(ISNA(MATCH(961,'Transfer Engine'!$C$2:$C$1960,0)),"",INDEX('Compliance Database'!$A$2:$A$1960,MATCH(961,'Transfer Engine'!$C$2:$C$1960,0)))</f>
        <v/>
      </c>
      <c r="B970" s="8">
        <f>IF(ISNA(MATCH(961,'Transfer Engine'!$C$2:$C$1960,0)),"",INDEX('Compliance Database'!$B$2:$B$1960,MATCH(961,'Transfer Engine'!$C$2:$C$1960,0)))</f>
        <v/>
      </c>
      <c r="C970" s="8">
        <f>IF(ISNA(MATCH(961,'Transfer Engine'!$C$2:$C$1960,0)),"",INDEX('Compliance Database'!$C$2:$C$1960,MATCH(961,'Transfer Engine'!$C$2:$C$1960,0)))</f>
        <v/>
      </c>
      <c r="D970" s="9">
        <f>IF(ISNA(MATCH(961,'Transfer Engine'!$C$2:$C$1960,0)),"",INDEX('Compliance Database'!$D$2:$D$1960,MATCH(961,'Transfer Engine'!$C$2:$C$1960,0)))</f>
        <v/>
      </c>
      <c r="E970" s="8">
        <f>IF(ISNA(MATCH(961,'Transfer Engine'!$C$2:$C$1960,0)),"",INDEX('Compliance Database'!$E$2:$E$1960,MATCH(961,'Transfer Engine'!$C$2:$C$1960,0)))</f>
        <v/>
      </c>
      <c r="F970" s="8">
        <f>IF(ISNA(MATCH(961,'Transfer Engine'!$C$2:$C$1960,0)),"",INDEX('Compliance Database'!$F$2:$F$1960,MATCH(961,'Transfer Engine'!$C$2:$C$1960,0)))</f>
        <v/>
      </c>
      <c r="G970" s="8">
        <f>IF(ISNA(MATCH(961,'Transfer Engine'!$C$2:$C$1960,0)),"",INDEX('Compliance Database'!$G$2:$G$1960,MATCH(961,'Transfer Engine'!$C$2:$C$1960,0)))</f>
        <v/>
      </c>
      <c r="H970" s="9">
        <f>IF(ISNA(MATCH(961,'Transfer Engine'!$C$2:$C$1960,0)),"",INDEX('Compliance Database'!$H$2:$H$1960,MATCH(961,'Transfer Engine'!$C$2:$C$1960,0)))</f>
        <v/>
      </c>
      <c r="I970" s="9">
        <f>IF(ISNA(MATCH(961,'Transfer Engine'!$C$2:$C$1960,0)),"",INDEX('Compliance Database'!$I$2:$I$1960,MATCH(961,'Transfer Engine'!$C$2:$C$1960,0)))</f>
        <v/>
      </c>
      <c r="J970" s="8">
        <f>IF(ISNA(MATCH(961,'Transfer Engine'!$C$2:$C$1960,0)),"",INDEX('Compliance Database'!$J$2:$J$1960,MATCH(961,'Transfer Engine'!$C$2:$C$1960,0)))</f>
        <v/>
      </c>
      <c r="K970" s="9">
        <f>IF(ISNA(MATCH(961,'Transfer Engine'!$C$2:$C$1960,0)),"",INDEX('Compliance Database'!$K$2:$K$1960,MATCH(961,'Transfer Engine'!$C$2:$C$1960,0)))</f>
        <v/>
      </c>
      <c r="L970" s="9">
        <f>IF(ISNA(MATCH(961,'Transfer Engine'!$C$2:$C$1960,0)),"",INDEX('Compliance Database'!$L$2:$L$1960,MATCH(961,'Transfer Engine'!$C$2:$C$1960,0)))</f>
        <v/>
      </c>
      <c r="M970" s="9">
        <f>IF(ISNA(MATCH(961,'Transfer Engine'!$C$2:$C$1960,0)),"",INDEX('Compliance Database'!$M$2:$M$1960,MATCH(961,'Transfer Engine'!$C$2:$C$1960,0)))</f>
        <v/>
      </c>
      <c r="N970" s="9">
        <f>IF(ISNA(MATCH(961,'Transfer Engine'!$C$2:$C$1960,0)),"",INDEX('Compliance Database'!$N$2:$N$1960,MATCH(961,'Transfer Engine'!$C$2:$C$1960,0)))</f>
        <v/>
      </c>
      <c r="O970" s="9">
        <f>IF(ISNA(MATCH(961,'Transfer Engine'!$C$2:$C$1960,0)),"",INDEX('Compliance Database'!$O$2:$O$1960,MATCH(961,'Transfer Engine'!$C$2:$C$1960,0)))</f>
        <v/>
      </c>
      <c r="P970" s="8">
        <f>IF(ISNA(MATCH(961,'Transfer Engine'!$C$2:$C$1960,0)),"",HYPERLINK("#Acts!A"&amp;INDEX('Compliance Database'!$P$2:$P$1960,MATCH(961,'Transfer Engine'!$C$2:$C$1960,0)),"Go to Act"))</f>
        <v/>
      </c>
    </row>
    <row r="971" ht="158" customHeight="1">
      <c r="A971" s="8">
        <f>IF(ISNA(MATCH(962,'Transfer Engine'!$C$2:$C$1960,0)),"",INDEX('Compliance Database'!$A$2:$A$1960,MATCH(962,'Transfer Engine'!$C$2:$C$1960,0)))</f>
        <v/>
      </c>
      <c r="B971" s="8">
        <f>IF(ISNA(MATCH(962,'Transfer Engine'!$C$2:$C$1960,0)),"",INDEX('Compliance Database'!$B$2:$B$1960,MATCH(962,'Transfer Engine'!$C$2:$C$1960,0)))</f>
        <v/>
      </c>
      <c r="C971" s="8">
        <f>IF(ISNA(MATCH(962,'Transfer Engine'!$C$2:$C$1960,0)),"",INDEX('Compliance Database'!$C$2:$C$1960,MATCH(962,'Transfer Engine'!$C$2:$C$1960,0)))</f>
        <v/>
      </c>
      <c r="D971" s="9">
        <f>IF(ISNA(MATCH(962,'Transfer Engine'!$C$2:$C$1960,0)),"",INDEX('Compliance Database'!$D$2:$D$1960,MATCH(962,'Transfer Engine'!$C$2:$C$1960,0)))</f>
        <v/>
      </c>
      <c r="E971" s="8">
        <f>IF(ISNA(MATCH(962,'Transfer Engine'!$C$2:$C$1960,0)),"",INDEX('Compliance Database'!$E$2:$E$1960,MATCH(962,'Transfer Engine'!$C$2:$C$1960,0)))</f>
        <v/>
      </c>
      <c r="F971" s="8">
        <f>IF(ISNA(MATCH(962,'Transfer Engine'!$C$2:$C$1960,0)),"",INDEX('Compliance Database'!$F$2:$F$1960,MATCH(962,'Transfer Engine'!$C$2:$C$1960,0)))</f>
        <v/>
      </c>
      <c r="G971" s="8">
        <f>IF(ISNA(MATCH(962,'Transfer Engine'!$C$2:$C$1960,0)),"",INDEX('Compliance Database'!$G$2:$G$1960,MATCH(962,'Transfer Engine'!$C$2:$C$1960,0)))</f>
        <v/>
      </c>
      <c r="H971" s="9">
        <f>IF(ISNA(MATCH(962,'Transfer Engine'!$C$2:$C$1960,0)),"",INDEX('Compliance Database'!$H$2:$H$1960,MATCH(962,'Transfer Engine'!$C$2:$C$1960,0)))</f>
        <v/>
      </c>
      <c r="I971" s="9">
        <f>IF(ISNA(MATCH(962,'Transfer Engine'!$C$2:$C$1960,0)),"",INDEX('Compliance Database'!$I$2:$I$1960,MATCH(962,'Transfer Engine'!$C$2:$C$1960,0)))</f>
        <v/>
      </c>
      <c r="J971" s="8">
        <f>IF(ISNA(MATCH(962,'Transfer Engine'!$C$2:$C$1960,0)),"",INDEX('Compliance Database'!$J$2:$J$1960,MATCH(962,'Transfer Engine'!$C$2:$C$1960,0)))</f>
        <v/>
      </c>
      <c r="K971" s="9">
        <f>IF(ISNA(MATCH(962,'Transfer Engine'!$C$2:$C$1960,0)),"",INDEX('Compliance Database'!$K$2:$K$1960,MATCH(962,'Transfer Engine'!$C$2:$C$1960,0)))</f>
        <v/>
      </c>
      <c r="L971" s="9">
        <f>IF(ISNA(MATCH(962,'Transfer Engine'!$C$2:$C$1960,0)),"",INDEX('Compliance Database'!$L$2:$L$1960,MATCH(962,'Transfer Engine'!$C$2:$C$1960,0)))</f>
        <v/>
      </c>
      <c r="M971" s="9">
        <f>IF(ISNA(MATCH(962,'Transfer Engine'!$C$2:$C$1960,0)),"",INDEX('Compliance Database'!$M$2:$M$1960,MATCH(962,'Transfer Engine'!$C$2:$C$1960,0)))</f>
        <v/>
      </c>
      <c r="N971" s="9">
        <f>IF(ISNA(MATCH(962,'Transfer Engine'!$C$2:$C$1960,0)),"",INDEX('Compliance Database'!$N$2:$N$1960,MATCH(962,'Transfer Engine'!$C$2:$C$1960,0)))</f>
        <v/>
      </c>
      <c r="O971" s="9">
        <f>IF(ISNA(MATCH(962,'Transfer Engine'!$C$2:$C$1960,0)),"",INDEX('Compliance Database'!$O$2:$O$1960,MATCH(962,'Transfer Engine'!$C$2:$C$1960,0)))</f>
        <v/>
      </c>
      <c r="P971" s="8">
        <f>IF(ISNA(MATCH(962,'Transfer Engine'!$C$2:$C$1960,0)),"",HYPERLINK("#Acts!A"&amp;INDEX('Compliance Database'!$P$2:$P$1960,MATCH(962,'Transfer Engine'!$C$2:$C$1960,0)),"Go to Act"))</f>
        <v/>
      </c>
    </row>
    <row r="972" ht="158" customHeight="1">
      <c r="A972" s="8">
        <f>IF(ISNA(MATCH(963,'Transfer Engine'!$C$2:$C$1960,0)),"",INDEX('Compliance Database'!$A$2:$A$1960,MATCH(963,'Transfer Engine'!$C$2:$C$1960,0)))</f>
        <v/>
      </c>
      <c r="B972" s="8">
        <f>IF(ISNA(MATCH(963,'Transfer Engine'!$C$2:$C$1960,0)),"",INDEX('Compliance Database'!$B$2:$B$1960,MATCH(963,'Transfer Engine'!$C$2:$C$1960,0)))</f>
        <v/>
      </c>
      <c r="C972" s="8">
        <f>IF(ISNA(MATCH(963,'Transfer Engine'!$C$2:$C$1960,0)),"",INDEX('Compliance Database'!$C$2:$C$1960,MATCH(963,'Transfer Engine'!$C$2:$C$1960,0)))</f>
        <v/>
      </c>
      <c r="D972" s="9">
        <f>IF(ISNA(MATCH(963,'Transfer Engine'!$C$2:$C$1960,0)),"",INDEX('Compliance Database'!$D$2:$D$1960,MATCH(963,'Transfer Engine'!$C$2:$C$1960,0)))</f>
        <v/>
      </c>
      <c r="E972" s="8">
        <f>IF(ISNA(MATCH(963,'Transfer Engine'!$C$2:$C$1960,0)),"",INDEX('Compliance Database'!$E$2:$E$1960,MATCH(963,'Transfer Engine'!$C$2:$C$1960,0)))</f>
        <v/>
      </c>
      <c r="F972" s="8">
        <f>IF(ISNA(MATCH(963,'Transfer Engine'!$C$2:$C$1960,0)),"",INDEX('Compliance Database'!$F$2:$F$1960,MATCH(963,'Transfer Engine'!$C$2:$C$1960,0)))</f>
        <v/>
      </c>
      <c r="G972" s="8">
        <f>IF(ISNA(MATCH(963,'Transfer Engine'!$C$2:$C$1960,0)),"",INDEX('Compliance Database'!$G$2:$G$1960,MATCH(963,'Transfer Engine'!$C$2:$C$1960,0)))</f>
        <v/>
      </c>
      <c r="H972" s="9">
        <f>IF(ISNA(MATCH(963,'Transfer Engine'!$C$2:$C$1960,0)),"",INDEX('Compliance Database'!$H$2:$H$1960,MATCH(963,'Transfer Engine'!$C$2:$C$1960,0)))</f>
        <v/>
      </c>
      <c r="I972" s="9">
        <f>IF(ISNA(MATCH(963,'Transfer Engine'!$C$2:$C$1960,0)),"",INDEX('Compliance Database'!$I$2:$I$1960,MATCH(963,'Transfer Engine'!$C$2:$C$1960,0)))</f>
        <v/>
      </c>
      <c r="J972" s="8">
        <f>IF(ISNA(MATCH(963,'Transfer Engine'!$C$2:$C$1960,0)),"",INDEX('Compliance Database'!$J$2:$J$1960,MATCH(963,'Transfer Engine'!$C$2:$C$1960,0)))</f>
        <v/>
      </c>
      <c r="K972" s="9">
        <f>IF(ISNA(MATCH(963,'Transfer Engine'!$C$2:$C$1960,0)),"",INDEX('Compliance Database'!$K$2:$K$1960,MATCH(963,'Transfer Engine'!$C$2:$C$1960,0)))</f>
        <v/>
      </c>
      <c r="L972" s="9">
        <f>IF(ISNA(MATCH(963,'Transfer Engine'!$C$2:$C$1960,0)),"",INDEX('Compliance Database'!$L$2:$L$1960,MATCH(963,'Transfer Engine'!$C$2:$C$1960,0)))</f>
        <v/>
      </c>
      <c r="M972" s="9">
        <f>IF(ISNA(MATCH(963,'Transfer Engine'!$C$2:$C$1960,0)),"",INDEX('Compliance Database'!$M$2:$M$1960,MATCH(963,'Transfer Engine'!$C$2:$C$1960,0)))</f>
        <v/>
      </c>
      <c r="N972" s="9">
        <f>IF(ISNA(MATCH(963,'Transfer Engine'!$C$2:$C$1960,0)),"",INDEX('Compliance Database'!$N$2:$N$1960,MATCH(963,'Transfer Engine'!$C$2:$C$1960,0)))</f>
        <v/>
      </c>
      <c r="O972" s="9">
        <f>IF(ISNA(MATCH(963,'Transfer Engine'!$C$2:$C$1960,0)),"",INDEX('Compliance Database'!$O$2:$O$1960,MATCH(963,'Transfer Engine'!$C$2:$C$1960,0)))</f>
        <v/>
      </c>
      <c r="P972" s="8">
        <f>IF(ISNA(MATCH(963,'Transfer Engine'!$C$2:$C$1960,0)),"",HYPERLINK("#Acts!A"&amp;INDEX('Compliance Database'!$P$2:$P$1960,MATCH(963,'Transfer Engine'!$C$2:$C$1960,0)),"Go to Act"))</f>
        <v/>
      </c>
    </row>
    <row r="973" ht="158" customHeight="1">
      <c r="A973" s="8">
        <f>IF(ISNA(MATCH(964,'Transfer Engine'!$C$2:$C$1960,0)),"",INDEX('Compliance Database'!$A$2:$A$1960,MATCH(964,'Transfer Engine'!$C$2:$C$1960,0)))</f>
        <v/>
      </c>
      <c r="B973" s="8">
        <f>IF(ISNA(MATCH(964,'Transfer Engine'!$C$2:$C$1960,0)),"",INDEX('Compliance Database'!$B$2:$B$1960,MATCH(964,'Transfer Engine'!$C$2:$C$1960,0)))</f>
        <v/>
      </c>
      <c r="C973" s="8">
        <f>IF(ISNA(MATCH(964,'Transfer Engine'!$C$2:$C$1960,0)),"",INDEX('Compliance Database'!$C$2:$C$1960,MATCH(964,'Transfer Engine'!$C$2:$C$1960,0)))</f>
        <v/>
      </c>
      <c r="D973" s="9">
        <f>IF(ISNA(MATCH(964,'Transfer Engine'!$C$2:$C$1960,0)),"",INDEX('Compliance Database'!$D$2:$D$1960,MATCH(964,'Transfer Engine'!$C$2:$C$1960,0)))</f>
        <v/>
      </c>
      <c r="E973" s="8">
        <f>IF(ISNA(MATCH(964,'Transfer Engine'!$C$2:$C$1960,0)),"",INDEX('Compliance Database'!$E$2:$E$1960,MATCH(964,'Transfer Engine'!$C$2:$C$1960,0)))</f>
        <v/>
      </c>
      <c r="F973" s="8">
        <f>IF(ISNA(MATCH(964,'Transfer Engine'!$C$2:$C$1960,0)),"",INDEX('Compliance Database'!$F$2:$F$1960,MATCH(964,'Transfer Engine'!$C$2:$C$1960,0)))</f>
        <v/>
      </c>
      <c r="G973" s="8">
        <f>IF(ISNA(MATCH(964,'Transfer Engine'!$C$2:$C$1960,0)),"",INDEX('Compliance Database'!$G$2:$G$1960,MATCH(964,'Transfer Engine'!$C$2:$C$1960,0)))</f>
        <v/>
      </c>
      <c r="H973" s="9">
        <f>IF(ISNA(MATCH(964,'Transfer Engine'!$C$2:$C$1960,0)),"",INDEX('Compliance Database'!$H$2:$H$1960,MATCH(964,'Transfer Engine'!$C$2:$C$1960,0)))</f>
        <v/>
      </c>
      <c r="I973" s="9">
        <f>IF(ISNA(MATCH(964,'Transfer Engine'!$C$2:$C$1960,0)),"",INDEX('Compliance Database'!$I$2:$I$1960,MATCH(964,'Transfer Engine'!$C$2:$C$1960,0)))</f>
        <v/>
      </c>
      <c r="J973" s="8">
        <f>IF(ISNA(MATCH(964,'Transfer Engine'!$C$2:$C$1960,0)),"",INDEX('Compliance Database'!$J$2:$J$1960,MATCH(964,'Transfer Engine'!$C$2:$C$1960,0)))</f>
        <v/>
      </c>
      <c r="K973" s="9">
        <f>IF(ISNA(MATCH(964,'Transfer Engine'!$C$2:$C$1960,0)),"",INDEX('Compliance Database'!$K$2:$K$1960,MATCH(964,'Transfer Engine'!$C$2:$C$1960,0)))</f>
        <v/>
      </c>
      <c r="L973" s="9">
        <f>IF(ISNA(MATCH(964,'Transfer Engine'!$C$2:$C$1960,0)),"",INDEX('Compliance Database'!$L$2:$L$1960,MATCH(964,'Transfer Engine'!$C$2:$C$1960,0)))</f>
        <v/>
      </c>
      <c r="M973" s="9">
        <f>IF(ISNA(MATCH(964,'Transfer Engine'!$C$2:$C$1960,0)),"",INDEX('Compliance Database'!$M$2:$M$1960,MATCH(964,'Transfer Engine'!$C$2:$C$1960,0)))</f>
        <v/>
      </c>
      <c r="N973" s="9">
        <f>IF(ISNA(MATCH(964,'Transfer Engine'!$C$2:$C$1960,0)),"",INDEX('Compliance Database'!$N$2:$N$1960,MATCH(964,'Transfer Engine'!$C$2:$C$1960,0)))</f>
        <v/>
      </c>
      <c r="O973" s="9">
        <f>IF(ISNA(MATCH(964,'Transfer Engine'!$C$2:$C$1960,0)),"",INDEX('Compliance Database'!$O$2:$O$1960,MATCH(964,'Transfer Engine'!$C$2:$C$1960,0)))</f>
        <v/>
      </c>
      <c r="P973" s="8">
        <f>IF(ISNA(MATCH(964,'Transfer Engine'!$C$2:$C$1960,0)),"",HYPERLINK("#Acts!A"&amp;INDEX('Compliance Database'!$P$2:$P$1960,MATCH(964,'Transfer Engine'!$C$2:$C$1960,0)),"Go to Act"))</f>
        <v/>
      </c>
    </row>
    <row r="974" ht="158" customHeight="1">
      <c r="A974" s="8">
        <f>IF(ISNA(MATCH(965,'Transfer Engine'!$C$2:$C$1960,0)),"",INDEX('Compliance Database'!$A$2:$A$1960,MATCH(965,'Transfer Engine'!$C$2:$C$1960,0)))</f>
        <v/>
      </c>
      <c r="B974" s="8">
        <f>IF(ISNA(MATCH(965,'Transfer Engine'!$C$2:$C$1960,0)),"",INDEX('Compliance Database'!$B$2:$B$1960,MATCH(965,'Transfer Engine'!$C$2:$C$1960,0)))</f>
        <v/>
      </c>
      <c r="C974" s="8">
        <f>IF(ISNA(MATCH(965,'Transfer Engine'!$C$2:$C$1960,0)),"",INDEX('Compliance Database'!$C$2:$C$1960,MATCH(965,'Transfer Engine'!$C$2:$C$1960,0)))</f>
        <v/>
      </c>
      <c r="D974" s="9">
        <f>IF(ISNA(MATCH(965,'Transfer Engine'!$C$2:$C$1960,0)),"",INDEX('Compliance Database'!$D$2:$D$1960,MATCH(965,'Transfer Engine'!$C$2:$C$1960,0)))</f>
        <v/>
      </c>
      <c r="E974" s="8">
        <f>IF(ISNA(MATCH(965,'Transfer Engine'!$C$2:$C$1960,0)),"",INDEX('Compliance Database'!$E$2:$E$1960,MATCH(965,'Transfer Engine'!$C$2:$C$1960,0)))</f>
        <v/>
      </c>
      <c r="F974" s="8">
        <f>IF(ISNA(MATCH(965,'Transfer Engine'!$C$2:$C$1960,0)),"",INDEX('Compliance Database'!$F$2:$F$1960,MATCH(965,'Transfer Engine'!$C$2:$C$1960,0)))</f>
        <v/>
      </c>
      <c r="G974" s="8">
        <f>IF(ISNA(MATCH(965,'Transfer Engine'!$C$2:$C$1960,0)),"",INDEX('Compliance Database'!$G$2:$G$1960,MATCH(965,'Transfer Engine'!$C$2:$C$1960,0)))</f>
        <v/>
      </c>
      <c r="H974" s="9">
        <f>IF(ISNA(MATCH(965,'Transfer Engine'!$C$2:$C$1960,0)),"",INDEX('Compliance Database'!$H$2:$H$1960,MATCH(965,'Transfer Engine'!$C$2:$C$1960,0)))</f>
        <v/>
      </c>
      <c r="I974" s="9">
        <f>IF(ISNA(MATCH(965,'Transfer Engine'!$C$2:$C$1960,0)),"",INDEX('Compliance Database'!$I$2:$I$1960,MATCH(965,'Transfer Engine'!$C$2:$C$1960,0)))</f>
        <v/>
      </c>
      <c r="J974" s="8">
        <f>IF(ISNA(MATCH(965,'Transfer Engine'!$C$2:$C$1960,0)),"",INDEX('Compliance Database'!$J$2:$J$1960,MATCH(965,'Transfer Engine'!$C$2:$C$1960,0)))</f>
        <v/>
      </c>
      <c r="K974" s="9">
        <f>IF(ISNA(MATCH(965,'Transfer Engine'!$C$2:$C$1960,0)),"",INDEX('Compliance Database'!$K$2:$K$1960,MATCH(965,'Transfer Engine'!$C$2:$C$1960,0)))</f>
        <v/>
      </c>
      <c r="L974" s="9">
        <f>IF(ISNA(MATCH(965,'Transfer Engine'!$C$2:$C$1960,0)),"",INDEX('Compliance Database'!$L$2:$L$1960,MATCH(965,'Transfer Engine'!$C$2:$C$1960,0)))</f>
        <v/>
      </c>
      <c r="M974" s="9">
        <f>IF(ISNA(MATCH(965,'Transfer Engine'!$C$2:$C$1960,0)),"",INDEX('Compliance Database'!$M$2:$M$1960,MATCH(965,'Transfer Engine'!$C$2:$C$1960,0)))</f>
        <v/>
      </c>
      <c r="N974" s="9">
        <f>IF(ISNA(MATCH(965,'Transfer Engine'!$C$2:$C$1960,0)),"",INDEX('Compliance Database'!$N$2:$N$1960,MATCH(965,'Transfer Engine'!$C$2:$C$1960,0)))</f>
        <v/>
      </c>
      <c r="O974" s="9">
        <f>IF(ISNA(MATCH(965,'Transfer Engine'!$C$2:$C$1960,0)),"",INDEX('Compliance Database'!$O$2:$O$1960,MATCH(965,'Transfer Engine'!$C$2:$C$1960,0)))</f>
        <v/>
      </c>
      <c r="P974" s="8">
        <f>IF(ISNA(MATCH(965,'Transfer Engine'!$C$2:$C$1960,0)),"",HYPERLINK("#Acts!A"&amp;INDEX('Compliance Database'!$P$2:$P$1960,MATCH(965,'Transfer Engine'!$C$2:$C$1960,0)),"Go to Act"))</f>
        <v/>
      </c>
    </row>
    <row r="975" ht="158" customHeight="1">
      <c r="A975" s="8">
        <f>IF(ISNA(MATCH(966,'Transfer Engine'!$C$2:$C$1960,0)),"",INDEX('Compliance Database'!$A$2:$A$1960,MATCH(966,'Transfer Engine'!$C$2:$C$1960,0)))</f>
        <v/>
      </c>
      <c r="B975" s="8">
        <f>IF(ISNA(MATCH(966,'Transfer Engine'!$C$2:$C$1960,0)),"",INDEX('Compliance Database'!$B$2:$B$1960,MATCH(966,'Transfer Engine'!$C$2:$C$1960,0)))</f>
        <v/>
      </c>
      <c r="C975" s="8">
        <f>IF(ISNA(MATCH(966,'Transfer Engine'!$C$2:$C$1960,0)),"",INDEX('Compliance Database'!$C$2:$C$1960,MATCH(966,'Transfer Engine'!$C$2:$C$1960,0)))</f>
        <v/>
      </c>
      <c r="D975" s="9">
        <f>IF(ISNA(MATCH(966,'Transfer Engine'!$C$2:$C$1960,0)),"",INDEX('Compliance Database'!$D$2:$D$1960,MATCH(966,'Transfer Engine'!$C$2:$C$1960,0)))</f>
        <v/>
      </c>
      <c r="E975" s="8">
        <f>IF(ISNA(MATCH(966,'Transfer Engine'!$C$2:$C$1960,0)),"",INDEX('Compliance Database'!$E$2:$E$1960,MATCH(966,'Transfer Engine'!$C$2:$C$1960,0)))</f>
        <v/>
      </c>
      <c r="F975" s="8">
        <f>IF(ISNA(MATCH(966,'Transfer Engine'!$C$2:$C$1960,0)),"",INDEX('Compliance Database'!$F$2:$F$1960,MATCH(966,'Transfer Engine'!$C$2:$C$1960,0)))</f>
        <v/>
      </c>
      <c r="G975" s="8">
        <f>IF(ISNA(MATCH(966,'Transfer Engine'!$C$2:$C$1960,0)),"",INDEX('Compliance Database'!$G$2:$G$1960,MATCH(966,'Transfer Engine'!$C$2:$C$1960,0)))</f>
        <v/>
      </c>
      <c r="H975" s="9">
        <f>IF(ISNA(MATCH(966,'Transfer Engine'!$C$2:$C$1960,0)),"",INDEX('Compliance Database'!$H$2:$H$1960,MATCH(966,'Transfer Engine'!$C$2:$C$1960,0)))</f>
        <v/>
      </c>
      <c r="I975" s="9">
        <f>IF(ISNA(MATCH(966,'Transfer Engine'!$C$2:$C$1960,0)),"",INDEX('Compliance Database'!$I$2:$I$1960,MATCH(966,'Transfer Engine'!$C$2:$C$1960,0)))</f>
        <v/>
      </c>
      <c r="J975" s="8">
        <f>IF(ISNA(MATCH(966,'Transfer Engine'!$C$2:$C$1960,0)),"",INDEX('Compliance Database'!$J$2:$J$1960,MATCH(966,'Transfer Engine'!$C$2:$C$1960,0)))</f>
        <v/>
      </c>
      <c r="K975" s="9">
        <f>IF(ISNA(MATCH(966,'Transfer Engine'!$C$2:$C$1960,0)),"",INDEX('Compliance Database'!$K$2:$K$1960,MATCH(966,'Transfer Engine'!$C$2:$C$1960,0)))</f>
        <v/>
      </c>
      <c r="L975" s="9">
        <f>IF(ISNA(MATCH(966,'Transfer Engine'!$C$2:$C$1960,0)),"",INDEX('Compliance Database'!$L$2:$L$1960,MATCH(966,'Transfer Engine'!$C$2:$C$1960,0)))</f>
        <v/>
      </c>
      <c r="M975" s="9">
        <f>IF(ISNA(MATCH(966,'Transfer Engine'!$C$2:$C$1960,0)),"",INDEX('Compliance Database'!$M$2:$M$1960,MATCH(966,'Transfer Engine'!$C$2:$C$1960,0)))</f>
        <v/>
      </c>
      <c r="N975" s="9">
        <f>IF(ISNA(MATCH(966,'Transfer Engine'!$C$2:$C$1960,0)),"",INDEX('Compliance Database'!$N$2:$N$1960,MATCH(966,'Transfer Engine'!$C$2:$C$1960,0)))</f>
        <v/>
      </c>
      <c r="O975" s="9">
        <f>IF(ISNA(MATCH(966,'Transfer Engine'!$C$2:$C$1960,0)),"",INDEX('Compliance Database'!$O$2:$O$1960,MATCH(966,'Transfer Engine'!$C$2:$C$1960,0)))</f>
        <v/>
      </c>
      <c r="P975" s="8">
        <f>IF(ISNA(MATCH(966,'Transfer Engine'!$C$2:$C$1960,0)),"",HYPERLINK("#Acts!A"&amp;INDEX('Compliance Database'!$P$2:$P$1960,MATCH(966,'Transfer Engine'!$C$2:$C$1960,0)),"Go to Act"))</f>
        <v/>
      </c>
    </row>
    <row r="976" ht="158" customHeight="1">
      <c r="A976" s="8">
        <f>IF(ISNA(MATCH(967,'Transfer Engine'!$C$2:$C$1960,0)),"",INDEX('Compliance Database'!$A$2:$A$1960,MATCH(967,'Transfer Engine'!$C$2:$C$1960,0)))</f>
        <v/>
      </c>
      <c r="B976" s="8">
        <f>IF(ISNA(MATCH(967,'Transfer Engine'!$C$2:$C$1960,0)),"",INDEX('Compliance Database'!$B$2:$B$1960,MATCH(967,'Transfer Engine'!$C$2:$C$1960,0)))</f>
        <v/>
      </c>
      <c r="C976" s="8">
        <f>IF(ISNA(MATCH(967,'Transfer Engine'!$C$2:$C$1960,0)),"",INDEX('Compliance Database'!$C$2:$C$1960,MATCH(967,'Transfer Engine'!$C$2:$C$1960,0)))</f>
        <v/>
      </c>
      <c r="D976" s="9">
        <f>IF(ISNA(MATCH(967,'Transfer Engine'!$C$2:$C$1960,0)),"",INDEX('Compliance Database'!$D$2:$D$1960,MATCH(967,'Transfer Engine'!$C$2:$C$1960,0)))</f>
        <v/>
      </c>
      <c r="E976" s="8">
        <f>IF(ISNA(MATCH(967,'Transfer Engine'!$C$2:$C$1960,0)),"",INDEX('Compliance Database'!$E$2:$E$1960,MATCH(967,'Transfer Engine'!$C$2:$C$1960,0)))</f>
        <v/>
      </c>
      <c r="F976" s="8">
        <f>IF(ISNA(MATCH(967,'Transfer Engine'!$C$2:$C$1960,0)),"",INDEX('Compliance Database'!$F$2:$F$1960,MATCH(967,'Transfer Engine'!$C$2:$C$1960,0)))</f>
        <v/>
      </c>
      <c r="G976" s="8">
        <f>IF(ISNA(MATCH(967,'Transfer Engine'!$C$2:$C$1960,0)),"",INDEX('Compliance Database'!$G$2:$G$1960,MATCH(967,'Transfer Engine'!$C$2:$C$1960,0)))</f>
        <v/>
      </c>
      <c r="H976" s="9">
        <f>IF(ISNA(MATCH(967,'Transfer Engine'!$C$2:$C$1960,0)),"",INDEX('Compliance Database'!$H$2:$H$1960,MATCH(967,'Transfer Engine'!$C$2:$C$1960,0)))</f>
        <v/>
      </c>
      <c r="I976" s="9">
        <f>IF(ISNA(MATCH(967,'Transfer Engine'!$C$2:$C$1960,0)),"",INDEX('Compliance Database'!$I$2:$I$1960,MATCH(967,'Transfer Engine'!$C$2:$C$1960,0)))</f>
        <v/>
      </c>
      <c r="J976" s="8">
        <f>IF(ISNA(MATCH(967,'Transfer Engine'!$C$2:$C$1960,0)),"",INDEX('Compliance Database'!$J$2:$J$1960,MATCH(967,'Transfer Engine'!$C$2:$C$1960,0)))</f>
        <v/>
      </c>
      <c r="K976" s="9">
        <f>IF(ISNA(MATCH(967,'Transfer Engine'!$C$2:$C$1960,0)),"",INDEX('Compliance Database'!$K$2:$K$1960,MATCH(967,'Transfer Engine'!$C$2:$C$1960,0)))</f>
        <v/>
      </c>
      <c r="L976" s="9">
        <f>IF(ISNA(MATCH(967,'Transfer Engine'!$C$2:$C$1960,0)),"",INDEX('Compliance Database'!$L$2:$L$1960,MATCH(967,'Transfer Engine'!$C$2:$C$1960,0)))</f>
        <v/>
      </c>
      <c r="M976" s="9">
        <f>IF(ISNA(MATCH(967,'Transfer Engine'!$C$2:$C$1960,0)),"",INDEX('Compliance Database'!$M$2:$M$1960,MATCH(967,'Transfer Engine'!$C$2:$C$1960,0)))</f>
        <v/>
      </c>
      <c r="N976" s="9">
        <f>IF(ISNA(MATCH(967,'Transfer Engine'!$C$2:$C$1960,0)),"",INDEX('Compliance Database'!$N$2:$N$1960,MATCH(967,'Transfer Engine'!$C$2:$C$1960,0)))</f>
        <v/>
      </c>
      <c r="O976" s="9">
        <f>IF(ISNA(MATCH(967,'Transfer Engine'!$C$2:$C$1960,0)),"",INDEX('Compliance Database'!$O$2:$O$1960,MATCH(967,'Transfer Engine'!$C$2:$C$1960,0)))</f>
        <v/>
      </c>
      <c r="P976" s="8">
        <f>IF(ISNA(MATCH(967,'Transfer Engine'!$C$2:$C$1960,0)),"",HYPERLINK("#Acts!A"&amp;INDEX('Compliance Database'!$P$2:$P$1960,MATCH(967,'Transfer Engine'!$C$2:$C$1960,0)),"Go to Act"))</f>
        <v/>
      </c>
    </row>
    <row r="977" ht="158" customHeight="1">
      <c r="A977" s="8">
        <f>IF(ISNA(MATCH(968,'Transfer Engine'!$C$2:$C$1960,0)),"",INDEX('Compliance Database'!$A$2:$A$1960,MATCH(968,'Transfer Engine'!$C$2:$C$1960,0)))</f>
        <v/>
      </c>
      <c r="B977" s="8">
        <f>IF(ISNA(MATCH(968,'Transfer Engine'!$C$2:$C$1960,0)),"",INDEX('Compliance Database'!$B$2:$B$1960,MATCH(968,'Transfer Engine'!$C$2:$C$1960,0)))</f>
        <v/>
      </c>
      <c r="C977" s="8">
        <f>IF(ISNA(MATCH(968,'Transfer Engine'!$C$2:$C$1960,0)),"",INDEX('Compliance Database'!$C$2:$C$1960,MATCH(968,'Transfer Engine'!$C$2:$C$1960,0)))</f>
        <v/>
      </c>
      <c r="D977" s="9">
        <f>IF(ISNA(MATCH(968,'Transfer Engine'!$C$2:$C$1960,0)),"",INDEX('Compliance Database'!$D$2:$D$1960,MATCH(968,'Transfer Engine'!$C$2:$C$1960,0)))</f>
        <v/>
      </c>
      <c r="E977" s="8">
        <f>IF(ISNA(MATCH(968,'Transfer Engine'!$C$2:$C$1960,0)),"",INDEX('Compliance Database'!$E$2:$E$1960,MATCH(968,'Transfer Engine'!$C$2:$C$1960,0)))</f>
        <v/>
      </c>
      <c r="F977" s="8">
        <f>IF(ISNA(MATCH(968,'Transfer Engine'!$C$2:$C$1960,0)),"",INDEX('Compliance Database'!$F$2:$F$1960,MATCH(968,'Transfer Engine'!$C$2:$C$1960,0)))</f>
        <v/>
      </c>
      <c r="G977" s="8">
        <f>IF(ISNA(MATCH(968,'Transfer Engine'!$C$2:$C$1960,0)),"",INDEX('Compliance Database'!$G$2:$G$1960,MATCH(968,'Transfer Engine'!$C$2:$C$1960,0)))</f>
        <v/>
      </c>
      <c r="H977" s="9">
        <f>IF(ISNA(MATCH(968,'Transfer Engine'!$C$2:$C$1960,0)),"",INDEX('Compliance Database'!$H$2:$H$1960,MATCH(968,'Transfer Engine'!$C$2:$C$1960,0)))</f>
        <v/>
      </c>
      <c r="I977" s="9">
        <f>IF(ISNA(MATCH(968,'Transfer Engine'!$C$2:$C$1960,0)),"",INDEX('Compliance Database'!$I$2:$I$1960,MATCH(968,'Transfer Engine'!$C$2:$C$1960,0)))</f>
        <v/>
      </c>
      <c r="J977" s="8">
        <f>IF(ISNA(MATCH(968,'Transfer Engine'!$C$2:$C$1960,0)),"",INDEX('Compliance Database'!$J$2:$J$1960,MATCH(968,'Transfer Engine'!$C$2:$C$1960,0)))</f>
        <v/>
      </c>
      <c r="K977" s="9">
        <f>IF(ISNA(MATCH(968,'Transfer Engine'!$C$2:$C$1960,0)),"",INDEX('Compliance Database'!$K$2:$K$1960,MATCH(968,'Transfer Engine'!$C$2:$C$1960,0)))</f>
        <v/>
      </c>
      <c r="L977" s="9">
        <f>IF(ISNA(MATCH(968,'Transfer Engine'!$C$2:$C$1960,0)),"",INDEX('Compliance Database'!$L$2:$L$1960,MATCH(968,'Transfer Engine'!$C$2:$C$1960,0)))</f>
        <v/>
      </c>
      <c r="M977" s="9">
        <f>IF(ISNA(MATCH(968,'Transfer Engine'!$C$2:$C$1960,0)),"",INDEX('Compliance Database'!$M$2:$M$1960,MATCH(968,'Transfer Engine'!$C$2:$C$1960,0)))</f>
        <v/>
      </c>
      <c r="N977" s="9">
        <f>IF(ISNA(MATCH(968,'Transfer Engine'!$C$2:$C$1960,0)),"",INDEX('Compliance Database'!$N$2:$N$1960,MATCH(968,'Transfer Engine'!$C$2:$C$1960,0)))</f>
        <v/>
      </c>
      <c r="O977" s="9">
        <f>IF(ISNA(MATCH(968,'Transfer Engine'!$C$2:$C$1960,0)),"",INDEX('Compliance Database'!$O$2:$O$1960,MATCH(968,'Transfer Engine'!$C$2:$C$1960,0)))</f>
        <v/>
      </c>
      <c r="P977" s="8">
        <f>IF(ISNA(MATCH(968,'Transfer Engine'!$C$2:$C$1960,0)),"",HYPERLINK("#Acts!A"&amp;INDEX('Compliance Database'!$P$2:$P$1960,MATCH(968,'Transfer Engine'!$C$2:$C$1960,0)),"Go to Act"))</f>
        <v/>
      </c>
    </row>
    <row r="978" ht="158" customHeight="1">
      <c r="A978" s="8">
        <f>IF(ISNA(MATCH(969,'Transfer Engine'!$C$2:$C$1960,0)),"",INDEX('Compliance Database'!$A$2:$A$1960,MATCH(969,'Transfer Engine'!$C$2:$C$1960,0)))</f>
        <v/>
      </c>
      <c r="B978" s="8">
        <f>IF(ISNA(MATCH(969,'Transfer Engine'!$C$2:$C$1960,0)),"",INDEX('Compliance Database'!$B$2:$B$1960,MATCH(969,'Transfer Engine'!$C$2:$C$1960,0)))</f>
        <v/>
      </c>
      <c r="C978" s="8">
        <f>IF(ISNA(MATCH(969,'Transfer Engine'!$C$2:$C$1960,0)),"",INDEX('Compliance Database'!$C$2:$C$1960,MATCH(969,'Transfer Engine'!$C$2:$C$1960,0)))</f>
        <v/>
      </c>
      <c r="D978" s="9">
        <f>IF(ISNA(MATCH(969,'Transfer Engine'!$C$2:$C$1960,0)),"",INDEX('Compliance Database'!$D$2:$D$1960,MATCH(969,'Transfer Engine'!$C$2:$C$1960,0)))</f>
        <v/>
      </c>
      <c r="E978" s="8">
        <f>IF(ISNA(MATCH(969,'Transfer Engine'!$C$2:$C$1960,0)),"",INDEX('Compliance Database'!$E$2:$E$1960,MATCH(969,'Transfer Engine'!$C$2:$C$1960,0)))</f>
        <v/>
      </c>
      <c r="F978" s="8">
        <f>IF(ISNA(MATCH(969,'Transfer Engine'!$C$2:$C$1960,0)),"",INDEX('Compliance Database'!$F$2:$F$1960,MATCH(969,'Transfer Engine'!$C$2:$C$1960,0)))</f>
        <v/>
      </c>
      <c r="G978" s="8">
        <f>IF(ISNA(MATCH(969,'Transfer Engine'!$C$2:$C$1960,0)),"",INDEX('Compliance Database'!$G$2:$G$1960,MATCH(969,'Transfer Engine'!$C$2:$C$1960,0)))</f>
        <v/>
      </c>
      <c r="H978" s="9">
        <f>IF(ISNA(MATCH(969,'Transfer Engine'!$C$2:$C$1960,0)),"",INDEX('Compliance Database'!$H$2:$H$1960,MATCH(969,'Transfer Engine'!$C$2:$C$1960,0)))</f>
        <v/>
      </c>
      <c r="I978" s="9">
        <f>IF(ISNA(MATCH(969,'Transfer Engine'!$C$2:$C$1960,0)),"",INDEX('Compliance Database'!$I$2:$I$1960,MATCH(969,'Transfer Engine'!$C$2:$C$1960,0)))</f>
        <v/>
      </c>
      <c r="J978" s="8">
        <f>IF(ISNA(MATCH(969,'Transfer Engine'!$C$2:$C$1960,0)),"",INDEX('Compliance Database'!$J$2:$J$1960,MATCH(969,'Transfer Engine'!$C$2:$C$1960,0)))</f>
        <v/>
      </c>
      <c r="K978" s="9">
        <f>IF(ISNA(MATCH(969,'Transfer Engine'!$C$2:$C$1960,0)),"",INDEX('Compliance Database'!$K$2:$K$1960,MATCH(969,'Transfer Engine'!$C$2:$C$1960,0)))</f>
        <v/>
      </c>
      <c r="L978" s="9">
        <f>IF(ISNA(MATCH(969,'Transfer Engine'!$C$2:$C$1960,0)),"",INDEX('Compliance Database'!$L$2:$L$1960,MATCH(969,'Transfer Engine'!$C$2:$C$1960,0)))</f>
        <v/>
      </c>
      <c r="M978" s="9">
        <f>IF(ISNA(MATCH(969,'Transfer Engine'!$C$2:$C$1960,0)),"",INDEX('Compliance Database'!$M$2:$M$1960,MATCH(969,'Transfer Engine'!$C$2:$C$1960,0)))</f>
        <v/>
      </c>
      <c r="N978" s="9">
        <f>IF(ISNA(MATCH(969,'Transfer Engine'!$C$2:$C$1960,0)),"",INDEX('Compliance Database'!$N$2:$N$1960,MATCH(969,'Transfer Engine'!$C$2:$C$1960,0)))</f>
        <v/>
      </c>
      <c r="O978" s="9">
        <f>IF(ISNA(MATCH(969,'Transfer Engine'!$C$2:$C$1960,0)),"",INDEX('Compliance Database'!$O$2:$O$1960,MATCH(969,'Transfer Engine'!$C$2:$C$1960,0)))</f>
        <v/>
      </c>
      <c r="P978" s="8">
        <f>IF(ISNA(MATCH(969,'Transfer Engine'!$C$2:$C$1960,0)),"",HYPERLINK("#Acts!A"&amp;INDEX('Compliance Database'!$P$2:$P$1960,MATCH(969,'Transfer Engine'!$C$2:$C$1960,0)),"Go to Act"))</f>
        <v/>
      </c>
    </row>
    <row r="979" ht="158" customHeight="1">
      <c r="A979" s="8">
        <f>IF(ISNA(MATCH(970,'Transfer Engine'!$C$2:$C$1960,0)),"",INDEX('Compliance Database'!$A$2:$A$1960,MATCH(970,'Transfer Engine'!$C$2:$C$1960,0)))</f>
        <v/>
      </c>
      <c r="B979" s="8">
        <f>IF(ISNA(MATCH(970,'Transfer Engine'!$C$2:$C$1960,0)),"",INDEX('Compliance Database'!$B$2:$B$1960,MATCH(970,'Transfer Engine'!$C$2:$C$1960,0)))</f>
        <v/>
      </c>
      <c r="C979" s="8">
        <f>IF(ISNA(MATCH(970,'Transfer Engine'!$C$2:$C$1960,0)),"",INDEX('Compliance Database'!$C$2:$C$1960,MATCH(970,'Transfer Engine'!$C$2:$C$1960,0)))</f>
        <v/>
      </c>
      <c r="D979" s="9">
        <f>IF(ISNA(MATCH(970,'Transfer Engine'!$C$2:$C$1960,0)),"",INDEX('Compliance Database'!$D$2:$D$1960,MATCH(970,'Transfer Engine'!$C$2:$C$1960,0)))</f>
        <v/>
      </c>
      <c r="E979" s="8">
        <f>IF(ISNA(MATCH(970,'Transfer Engine'!$C$2:$C$1960,0)),"",INDEX('Compliance Database'!$E$2:$E$1960,MATCH(970,'Transfer Engine'!$C$2:$C$1960,0)))</f>
        <v/>
      </c>
      <c r="F979" s="8">
        <f>IF(ISNA(MATCH(970,'Transfer Engine'!$C$2:$C$1960,0)),"",INDEX('Compliance Database'!$F$2:$F$1960,MATCH(970,'Transfer Engine'!$C$2:$C$1960,0)))</f>
        <v/>
      </c>
      <c r="G979" s="8">
        <f>IF(ISNA(MATCH(970,'Transfer Engine'!$C$2:$C$1960,0)),"",INDEX('Compliance Database'!$G$2:$G$1960,MATCH(970,'Transfer Engine'!$C$2:$C$1960,0)))</f>
        <v/>
      </c>
      <c r="H979" s="9">
        <f>IF(ISNA(MATCH(970,'Transfer Engine'!$C$2:$C$1960,0)),"",INDEX('Compliance Database'!$H$2:$H$1960,MATCH(970,'Transfer Engine'!$C$2:$C$1960,0)))</f>
        <v/>
      </c>
      <c r="I979" s="9">
        <f>IF(ISNA(MATCH(970,'Transfer Engine'!$C$2:$C$1960,0)),"",INDEX('Compliance Database'!$I$2:$I$1960,MATCH(970,'Transfer Engine'!$C$2:$C$1960,0)))</f>
        <v/>
      </c>
      <c r="J979" s="8">
        <f>IF(ISNA(MATCH(970,'Transfer Engine'!$C$2:$C$1960,0)),"",INDEX('Compliance Database'!$J$2:$J$1960,MATCH(970,'Transfer Engine'!$C$2:$C$1960,0)))</f>
        <v/>
      </c>
      <c r="K979" s="9">
        <f>IF(ISNA(MATCH(970,'Transfer Engine'!$C$2:$C$1960,0)),"",INDEX('Compliance Database'!$K$2:$K$1960,MATCH(970,'Transfer Engine'!$C$2:$C$1960,0)))</f>
        <v/>
      </c>
      <c r="L979" s="9">
        <f>IF(ISNA(MATCH(970,'Transfer Engine'!$C$2:$C$1960,0)),"",INDEX('Compliance Database'!$L$2:$L$1960,MATCH(970,'Transfer Engine'!$C$2:$C$1960,0)))</f>
        <v/>
      </c>
      <c r="M979" s="9">
        <f>IF(ISNA(MATCH(970,'Transfer Engine'!$C$2:$C$1960,0)),"",INDEX('Compliance Database'!$M$2:$M$1960,MATCH(970,'Transfer Engine'!$C$2:$C$1960,0)))</f>
        <v/>
      </c>
      <c r="N979" s="9">
        <f>IF(ISNA(MATCH(970,'Transfer Engine'!$C$2:$C$1960,0)),"",INDEX('Compliance Database'!$N$2:$N$1960,MATCH(970,'Transfer Engine'!$C$2:$C$1960,0)))</f>
        <v/>
      </c>
      <c r="O979" s="9">
        <f>IF(ISNA(MATCH(970,'Transfer Engine'!$C$2:$C$1960,0)),"",INDEX('Compliance Database'!$O$2:$O$1960,MATCH(970,'Transfer Engine'!$C$2:$C$1960,0)))</f>
        <v/>
      </c>
      <c r="P979" s="8">
        <f>IF(ISNA(MATCH(970,'Transfer Engine'!$C$2:$C$1960,0)),"",HYPERLINK("#Acts!A"&amp;INDEX('Compliance Database'!$P$2:$P$1960,MATCH(970,'Transfer Engine'!$C$2:$C$1960,0)),"Go to Act"))</f>
        <v/>
      </c>
    </row>
    <row r="980" ht="158" customHeight="1">
      <c r="A980" s="8">
        <f>IF(ISNA(MATCH(971,'Transfer Engine'!$C$2:$C$1960,0)),"",INDEX('Compliance Database'!$A$2:$A$1960,MATCH(971,'Transfer Engine'!$C$2:$C$1960,0)))</f>
        <v/>
      </c>
      <c r="B980" s="8">
        <f>IF(ISNA(MATCH(971,'Transfer Engine'!$C$2:$C$1960,0)),"",INDEX('Compliance Database'!$B$2:$B$1960,MATCH(971,'Transfer Engine'!$C$2:$C$1960,0)))</f>
        <v/>
      </c>
      <c r="C980" s="8">
        <f>IF(ISNA(MATCH(971,'Transfer Engine'!$C$2:$C$1960,0)),"",INDEX('Compliance Database'!$C$2:$C$1960,MATCH(971,'Transfer Engine'!$C$2:$C$1960,0)))</f>
        <v/>
      </c>
      <c r="D980" s="9">
        <f>IF(ISNA(MATCH(971,'Transfer Engine'!$C$2:$C$1960,0)),"",INDEX('Compliance Database'!$D$2:$D$1960,MATCH(971,'Transfer Engine'!$C$2:$C$1960,0)))</f>
        <v/>
      </c>
      <c r="E980" s="8">
        <f>IF(ISNA(MATCH(971,'Transfer Engine'!$C$2:$C$1960,0)),"",INDEX('Compliance Database'!$E$2:$E$1960,MATCH(971,'Transfer Engine'!$C$2:$C$1960,0)))</f>
        <v/>
      </c>
      <c r="F980" s="8">
        <f>IF(ISNA(MATCH(971,'Transfer Engine'!$C$2:$C$1960,0)),"",INDEX('Compliance Database'!$F$2:$F$1960,MATCH(971,'Transfer Engine'!$C$2:$C$1960,0)))</f>
        <v/>
      </c>
      <c r="G980" s="8">
        <f>IF(ISNA(MATCH(971,'Transfer Engine'!$C$2:$C$1960,0)),"",INDEX('Compliance Database'!$G$2:$G$1960,MATCH(971,'Transfer Engine'!$C$2:$C$1960,0)))</f>
        <v/>
      </c>
      <c r="H980" s="9">
        <f>IF(ISNA(MATCH(971,'Transfer Engine'!$C$2:$C$1960,0)),"",INDEX('Compliance Database'!$H$2:$H$1960,MATCH(971,'Transfer Engine'!$C$2:$C$1960,0)))</f>
        <v/>
      </c>
      <c r="I980" s="9">
        <f>IF(ISNA(MATCH(971,'Transfer Engine'!$C$2:$C$1960,0)),"",INDEX('Compliance Database'!$I$2:$I$1960,MATCH(971,'Transfer Engine'!$C$2:$C$1960,0)))</f>
        <v/>
      </c>
      <c r="J980" s="8">
        <f>IF(ISNA(MATCH(971,'Transfer Engine'!$C$2:$C$1960,0)),"",INDEX('Compliance Database'!$J$2:$J$1960,MATCH(971,'Transfer Engine'!$C$2:$C$1960,0)))</f>
        <v/>
      </c>
      <c r="K980" s="9">
        <f>IF(ISNA(MATCH(971,'Transfer Engine'!$C$2:$C$1960,0)),"",INDEX('Compliance Database'!$K$2:$K$1960,MATCH(971,'Transfer Engine'!$C$2:$C$1960,0)))</f>
        <v/>
      </c>
      <c r="L980" s="9">
        <f>IF(ISNA(MATCH(971,'Transfer Engine'!$C$2:$C$1960,0)),"",INDEX('Compliance Database'!$L$2:$L$1960,MATCH(971,'Transfer Engine'!$C$2:$C$1960,0)))</f>
        <v/>
      </c>
      <c r="M980" s="9">
        <f>IF(ISNA(MATCH(971,'Transfer Engine'!$C$2:$C$1960,0)),"",INDEX('Compliance Database'!$M$2:$M$1960,MATCH(971,'Transfer Engine'!$C$2:$C$1960,0)))</f>
        <v/>
      </c>
      <c r="N980" s="9">
        <f>IF(ISNA(MATCH(971,'Transfer Engine'!$C$2:$C$1960,0)),"",INDEX('Compliance Database'!$N$2:$N$1960,MATCH(971,'Transfer Engine'!$C$2:$C$1960,0)))</f>
        <v/>
      </c>
      <c r="O980" s="9">
        <f>IF(ISNA(MATCH(971,'Transfer Engine'!$C$2:$C$1960,0)),"",INDEX('Compliance Database'!$O$2:$O$1960,MATCH(971,'Transfer Engine'!$C$2:$C$1960,0)))</f>
        <v/>
      </c>
      <c r="P980" s="8">
        <f>IF(ISNA(MATCH(971,'Transfer Engine'!$C$2:$C$1960,0)),"",HYPERLINK("#Acts!A"&amp;INDEX('Compliance Database'!$P$2:$P$1960,MATCH(971,'Transfer Engine'!$C$2:$C$1960,0)),"Go to Act"))</f>
        <v/>
      </c>
    </row>
    <row r="981" ht="158" customHeight="1">
      <c r="A981" s="8">
        <f>IF(ISNA(MATCH(972,'Transfer Engine'!$C$2:$C$1960,0)),"",INDEX('Compliance Database'!$A$2:$A$1960,MATCH(972,'Transfer Engine'!$C$2:$C$1960,0)))</f>
        <v/>
      </c>
      <c r="B981" s="8">
        <f>IF(ISNA(MATCH(972,'Transfer Engine'!$C$2:$C$1960,0)),"",INDEX('Compliance Database'!$B$2:$B$1960,MATCH(972,'Transfer Engine'!$C$2:$C$1960,0)))</f>
        <v/>
      </c>
      <c r="C981" s="8">
        <f>IF(ISNA(MATCH(972,'Transfer Engine'!$C$2:$C$1960,0)),"",INDEX('Compliance Database'!$C$2:$C$1960,MATCH(972,'Transfer Engine'!$C$2:$C$1960,0)))</f>
        <v/>
      </c>
      <c r="D981" s="9">
        <f>IF(ISNA(MATCH(972,'Transfer Engine'!$C$2:$C$1960,0)),"",INDEX('Compliance Database'!$D$2:$D$1960,MATCH(972,'Transfer Engine'!$C$2:$C$1960,0)))</f>
        <v/>
      </c>
      <c r="E981" s="8">
        <f>IF(ISNA(MATCH(972,'Transfer Engine'!$C$2:$C$1960,0)),"",INDEX('Compliance Database'!$E$2:$E$1960,MATCH(972,'Transfer Engine'!$C$2:$C$1960,0)))</f>
        <v/>
      </c>
      <c r="F981" s="8">
        <f>IF(ISNA(MATCH(972,'Transfer Engine'!$C$2:$C$1960,0)),"",INDEX('Compliance Database'!$F$2:$F$1960,MATCH(972,'Transfer Engine'!$C$2:$C$1960,0)))</f>
        <v/>
      </c>
      <c r="G981" s="8">
        <f>IF(ISNA(MATCH(972,'Transfer Engine'!$C$2:$C$1960,0)),"",INDEX('Compliance Database'!$G$2:$G$1960,MATCH(972,'Transfer Engine'!$C$2:$C$1960,0)))</f>
        <v/>
      </c>
      <c r="H981" s="9">
        <f>IF(ISNA(MATCH(972,'Transfer Engine'!$C$2:$C$1960,0)),"",INDEX('Compliance Database'!$H$2:$H$1960,MATCH(972,'Transfer Engine'!$C$2:$C$1960,0)))</f>
        <v/>
      </c>
      <c r="I981" s="9">
        <f>IF(ISNA(MATCH(972,'Transfer Engine'!$C$2:$C$1960,0)),"",INDEX('Compliance Database'!$I$2:$I$1960,MATCH(972,'Transfer Engine'!$C$2:$C$1960,0)))</f>
        <v/>
      </c>
      <c r="J981" s="8">
        <f>IF(ISNA(MATCH(972,'Transfer Engine'!$C$2:$C$1960,0)),"",INDEX('Compliance Database'!$J$2:$J$1960,MATCH(972,'Transfer Engine'!$C$2:$C$1960,0)))</f>
        <v/>
      </c>
      <c r="K981" s="9">
        <f>IF(ISNA(MATCH(972,'Transfer Engine'!$C$2:$C$1960,0)),"",INDEX('Compliance Database'!$K$2:$K$1960,MATCH(972,'Transfer Engine'!$C$2:$C$1960,0)))</f>
        <v/>
      </c>
      <c r="L981" s="9">
        <f>IF(ISNA(MATCH(972,'Transfer Engine'!$C$2:$C$1960,0)),"",INDEX('Compliance Database'!$L$2:$L$1960,MATCH(972,'Transfer Engine'!$C$2:$C$1960,0)))</f>
        <v/>
      </c>
      <c r="M981" s="9">
        <f>IF(ISNA(MATCH(972,'Transfer Engine'!$C$2:$C$1960,0)),"",INDEX('Compliance Database'!$M$2:$M$1960,MATCH(972,'Transfer Engine'!$C$2:$C$1960,0)))</f>
        <v/>
      </c>
      <c r="N981" s="9">
        <f>IF(ISNA(MATCH(972,'Transfer Engine'!$C$2:$C$1960,0)),"",INDEX('Compliance Database'!$N$2:$N$1960,MATCH(972,'Transfer Engine'!$C$2:$C$1960,0)))</f>
        <v/>
      </c>
      <c r="O981" s="9">
        <f>IF(ISNA(MATCH(972,'Transfer Engine'!$C$2:$C$1960,0)),"",INDEX('Compliance Database'!$O$2:$O$1960,MATCH(972,'Transfer Engine'!$C$2:$C$1960,0)))</f>
        <v/>
      </c>
      <c r="P981" s="8">
        <f>IF(ISNA(MATCH(972,'Transfer Engine'!$C$2:$C$1960,0)),"",HYPERLINK("#Acts!A"&amp;INDEX('Compliance Database'!$P$2:$P$1960,MATCH(972,'Transfer Engine'!$C$2:$C$1960,0)),"Go to Act"))</f>
        <v/>
      </c>
    </row>
    <row r="982" ht="158" customHeight="1">
      <c r="A982" s="8">
        <f>IF(ISNA(MATCH(973,'Transfer Engine'!$C$2:$C$1960,0)),"",INDEX('Compliance Database'!$A$2:$A$1960,MATCH(973,'Transfer Engine'!$C$2:$C$1960,0)))</f>
        <v/>
      </c>
      <c r="B982" s="8">
        <f>IF(ISNA(MATCH(973,'Transfer Engine'!$C$2:$C$1960,0)),"",INDEX('Compliance Database'!$B$2:$B$1960,MATCH(973,'Transfer Engine'!$C$2:$C$1960,0)))</f>
        <v/>
      </c>
      <c r="C982" s="8">
        <f>IF(ISNA(MATCH(973,'Transfer Engine'!$C$2:$C$1960,0)),"",INDEX('Compliance Database'!$C$2:$C$1960,MATCH(973,'Transfer Engine'!$C$2:$C$1960,0)))</f>
        <v/>
      </c>
      <c r="D982" s="9">
        <f>IF(ISNA(MATCH(973,'Transfer Engine'!$C$2:$C$1960,0)),"",INDEX('Compliance Database'!$D$2:$D$1960,MATCH(973,'Transfer Engine'!$C$2:$C$1960,0)))</f>
        <v/>
      </c>
      <c r="E982" s="8">
        <f>IF(ISNA(MATCH(973,'Transfer Engine'!$C$2:$C$1960,0)),"",INDEX('Compliance Database'!$E$2:$E$1960,MATCH(973,'Transfer Engine'!$C$2:$C$1960,0)))</f>
        <v/>
      </c>
      <c r="F982" s="8">
        <f>IF(ISNA(MATCH(973,'Transfer Engine'!$C$2:$C$1960,0)),"",INDEX('Compliance Database'!$F$2:$F$1960,MATCH(973,'Transfer Engine'!$C$2:$C$1960,0)))</f>
        <v/>
      </c>
      <c r="G982" s="8">
        <f>IF(ISNA(MATCH(973,'Transfer Engine'!$C$2:$C$1960,0)),"",INDEX('Compliance Database'!$G$2:$G$1960,MATCH(973,'Transfer Engine'!$C$2:$C$1960,0)))</f>
        <v/>
      </c>
      <c r="H982" s="9">
        <f>IF(ISNA(MATCH(973,'Transfer Engine'!$C$2:$C$1960,0)),"",INDEX('Compliance Database'!$H$2:$H$1960,MATCH(973,'Transfer Engine'!$C$2:$C$1960,0)))</f>
        <v/>
      </c>
      <c r="I982" s="9">
        <f>IF(ISNA(MATCH(973,'Transfer Engine'!$C$2:$C$1960,0)),"",INDEX('Compliance Database'!$I$2:$I$1960,MATCH(973,'Transfer Engine'!$C$2:$C$1960,0)))</f>
        <v/>
      </c>
      <c r="J982" s="8">
        <f>IF(ISNA(MATCH(973,'Transfer Engine'!$C$2:$C$1960,0)),"",INDEX('Compliance Database'!$J$2:$J$1960,MATCH(973,'Transfer Engine'!$C$2:$C$1960,0)))</f>
        <v/>
      </c>
      <c r="K982" s="9">
        <f>IF(ISNA(MATCH(973,'Transfer Engine'!$C$2:$C$1960,0)),"",INDEX('Compliance Database'!$K$2:$K$1960,MATCH(973,'Transfer Engine'!$C$2:$C$1960,0)))</f>
        <v/>
      </c>
      <c r="L982" s="9">
        <f>IF(ISNA(MATCH(973,'Transfer Engine'!$C$2:$C$1960,0)),"",INDEX('Compliance Database'!$L$2:$L$1960,MATCH(973,'Transfer Engine'!$C$2:$C$1960,0)))</f>
        <v/>
      </c>
      <c r="M982" s="9">
        <f>IF(ISNA(MATCH(973,'Transfer Engine'!$C$2:$C$1960,0)),"",INDEX('Compliance Database'!$M$2:$M$1960,MATCH(973,'Transfer Engine'!$C$2:$C$1960,0)))</f>
        <v/>
      </c>
      <c r="N982" s="9">
        <f>IF(ISNA(MATCH(973,'Transfer Engine'!$C$2:$C$1960,0)),"",INDEX('Compliance Database'!$N$2:$N$1960,MATCH(973,'Transfer Engine'!$C$2:$C$1960,0)))</f>
        <v/>
      </c>
      <c r="O982" s="9">
        <f>IF(ISNA(MATCH(973,'Transfer Engine'!$C$2:$C$1960,0)),"",INDEX('Compliance Database'!$O$2:$O$1960,MATCH(973,'Transfer Engine'!$C$2:$C$1960,0)))</f>
        <v/>
      </c>
      <c r="P982" s="8">
        <f>IF(ISNA(MATCH(973,'Transfer Engine'!$C$2:$C$1960,0)),"",HYPERLINK("#Acts!A"&amp;INDEX('Compliance Database'!$P$2:$P$1960,MATCH(973,'Transfer Engine'!$C$2:$C$1960,0)),"Go to Act"))</f>
        <v/>
      </c>
    </row>
    <row r="983" ht="158" customHeight="1">
      <c r="A983" s="8">
        <f>IF(ISNA(MATCH(974,'Transfer Engine'!$C$2:$C$1960,0)),"",INDEX('Compliance Database'!$A$2:$A$1960,MATCH(974,'Transfer Engine'!$C$2:$C$1960,0)))</f>
        <v/>
      </c>
      <c r="B983" s="8">
        <f>IF(ISNA(MATCH(974,'Transfer Engine'!$C$2:$C$1960,0)),"",INDEX('Compliance Database'!$B$2:$B$1960,MATCH(974,'Transfer Engine'!$C$2:$C$1960,0)))</f>
        <v/>
      </c>
      <c r="C983" s="8">
        <f>IF(ISNA(MATCH(974,'Transfer Engine'!$C$2:$C$1960,0)),"",INDEX('Compliance Database'!$C$2:$C$1960,MATCH(974,'Transfer Engine'!$C$2:$C$1960,0)))</f>
        <v/>
      </c>
      <c r="D983" s="9">
        <f>IF(ISNA(MATCH(974,'Transfer Engine'!$C$2:$C$1960,0)),"",INDEX('Compliance Database'!$D$2:$D$1960,MATCH(974,'Transfer Engine'!$C$2:$C$1960,0)))</f>
        <v/>
      </c>
      <c r="E983" s="8">
        <f>IF(ISNA(MATCH(974,'Transfer Engine'!$C$2:$C$1960,0)),"",INDEX('Compliance Database'!$E$2:$E$1960,MATCH(974,'Transfer Engine'!$C$2:$C$1960,0)))</f>
        <v/>
      </c>
      <c r="F983" s="8">
        <f>IF(ISNA(MATCH(974,'Transfer Engine'!$C$2:$C$1960,0)),"",INDEX('Compliance Database'!$F$2:$F$1960,MATCH(974,'Transfer Engine'!$C$2:$C$1960,0)))</f>
        <v/>
      </c>
      <c r="G983" s="8">
        <f>IF(ISNA(MATCH(974,'Transfer Engine'!$C$2:$C$1960,0)),"",INDEX('Compliance Database'!$G$2:$G$1960,MATCH(974,'Transfer Engine'!$C$2:$C$1960,0)))</f>
        <v/>
      </c>
      <c r="H983" s="9">
        <f>IF(ISNA(MATCH(974,'Transfer Engine'!$C$2:$C$1960,0)),"",INDEX('Compliance Database'!$H$2:$H$1960,MATCH(974,'Transfer Engine'!$C$2:$C$1960,0)))</f>
        <v/>
      </c>
      <c r="I983" s="9">
        <f>IF(ISNA(MATCH(974,'Transfer Engine'!$C$2:$C$1960,0)),"",INDEX('Compliance Database'!$I$2:$I$1960,MATCH(974,'Transfer Engine'!$C$2:$C$1960,0)))</f>
        <v/>
      </c>
      <c r="J983" s="8">
        <f>IF(ISNA(MATCH(974,'Transfer Engine'!$C$2:$C$1960,0)),"",INDEX('Compliance Database'!$J$2:$J$1960,MATCH(974,'Transfer Engine'!$C$2:$C$1960,0)))</f>
        <v/>
      </c>
      <c r="K983" s="9">
        <f>IF(ISNA(MATCH(974,'Transfer Engine'!$C$2:$C$1960,0)),"",INDEX('Compliance Database'!$K$2:$K$1960,MATCH(974,'Transfer Engine'!$C$2:$C$1960,0)))</f>
        <v/>
      </c>
      <c r="L983" s="9">
        <f>IF(ISNA(MATCH(974,'Transfer Engine'!$C$2:$C$1960,0)),"",INDEX('Compliance Database'!$L$2:$L$1960,MATCH(974,'Transfer Engine'!$C$2:$C$1960,0)))</f>
        <v/>
      </c>
      <c r="M983" s="9">
        <f>IF(ISNA(MATCH(974,'Transfer Engine'!$C$2:$C$1960,0)),"",INDEX('Compliance Database'!$M$2:$M$1960,MATCH(974,'Transfer Engine'!$C$2:$C$1960,0)))</f>
        <v/>
      </c>
      <c r="N983" s="9">
        <f>IF(ISNA(MATCH(974,'Transfer Engine'!$C$2:$C$1960,0)),"",INDEX('Compliance Database'!$N$2:$N$1960,MATCH(974,'Transfer Engine'!$C$2:$C$1960,0)))</f>
        <v/>
      </c>
      <c r="O983" s="9">
        <f>IF(ISNA(MATCH(974,'Transfer Engine'!$C$2:$C$1960,0)),"",INDEX('Compliance Database'!$O$2:$O$1960,MATCH(974,'Transfer Engine'!$C$2:$C$1960,0)))</f>
        <v/>
      </c>
      <c r="P983" s="8">
        <f>IF(ISNA(MATCH(974,'Transfer Engine'!$C$2:$C$1960,0)),"",HYPERLINK("#Acts!A"&amp;INDEX('Compliance Database'!$P$2:$P$1960,MATCH(974,'Transfer Engine'!$C$2:$C$1960,0)),"Go to Act"))</f>
        <v/>
      </c>
    </row>
    <row r="984" ht="158" customHeight="1">
      <c r="A984" s="8">
        <f>IF(ISNA(MATCH(975,'Transfer Engine'!$C$2:$C$1960,0)),"",INDEX('Compliance Database'!$A$2:$A$1960,MATCH(975,'Transfer Engine'!$C$2:$C$1960,0)))</f>
        <v/>
      </c>
      <c r="B984" s="8">
        <f>IF(ISNA(MATCH(975,'Transfer Engine'!$C$2:$C$1960,0)),"",INDEX('Compliance Database'!$B$2:$B$1960,MATCH(975,'Transfer Engine'!$C$2:$C$1960,0)))</f>
        <v/>
      </c>
      <c r="C984" s="8">
        <f>IF(ISNA(MATCH(975,'Transfer Engine'!$C$2:$C$1960,0)),"",INDEX('Compliance Database'!$C$2:$C$1960,MATCH(975,'Transfer Engine'!$C$2:$C$1960,0)))</f>
        <v/>
      </c>
      <c r="D984" s="9">
        <f>IF(ISNA(MATCH(975,'Transfer Engine'!$C$2:$C$1960,0)),"",INDEX('Compliance Database'!$D$2:$D$1960,MATCH(975,'Transfer Engine'!$C$2:$C$1960,0)))</f>
        <v/>
      </c>
      <c r="E984" s="8">
        <f>IF(ISNA(MATCH(975,'Transfer Engine'!$C$2:$C$1960,0)),"",INDEX('Compliance Database'!$E$2:$E$1960,MATCH(975,'Transfer Engine'!$C$2:$C$1960,0)))</f>
        <v/>
      </c>
      <c r="F984" s="8">
        <f>IF(ISNA(MATCH(975,'Transfer Engine'!$C$2:$C$1960,0)),"",INDEX('Compliance Database'!$F$2:$F$1960,MATCH(975,'Transfer Engine'!$C$2:$C$1960,0)))</f>
        <v/>
      </c>
      <c r="G984" s="8">
        <f>IF(ISNA(MATCH(975,'Transfer Engine'!$C$2:$C$1960,0)),"",INDEX('Compliance Database'!$G$2:$G$1960,MATCH(975,'Transfer Engine'!$C$2:$C$1960,0)))</f>
        <v/>
      </c>
      <c r="H984" s="9">
        <f>IF(ISNA(MATCH(975,'Transfer Engine'!$C$2:$C$1960,0)),"",INDEX('Compliance Database'!$H$2:$H$1960,MATCH(975,'Transfer Engine'!$C$2:$C$1960,0)))</f>
        <v/>
      </c>
      <c r="I984" s="9">
        <f>IF(ISNA(MATCH(975,'Transfer Engine'!$C$2:$C$1960,0)),"",INDEX('Compliance Database'!$I$2:$I$1960,MATCH(975,'Transfer Engine'!$C$2:$C$1960,0)))</f>
        <v/>
      </c>
      <c r="J984" s="8">
        <f>IF(ISNA(MATCH(975,'Transfer Engine'!$C$2:$C$1960,0)),"",INDEX('Compliance Database'!$J$2:$J$1960,MATCH(975,'Transfer Engine'!$C$2:$C$1960,0)))</f>
        <v/>
      </c>
      <c r="K984" s="9">
        <f>IF(ISNA(MATCH(975,'Transfer Engine'!$C$2:$C$1960,0)),"",INDEX('Compliance Database'!$K$2:$K$1960,MATCH(975,'Transfer Engine'!$C$2:$C$1960,0)))</f>
        <v/>
      </c>
      <c r="L984" s="9">
        <f>IF(ISNA(MATCH(975,'Transfer Engine'!$C$2:$C$1960,0)),"",INDEX('Compliance Database'!$L$2:$L$1960,MATCH(975,'Transfer Engine'!$C$2:$C$1960,0)))</f>
        <v/>
      </c>
      <c r="M984" s="9">
        <f>IF(ISNA(MATCH(975,'Transfer Engine'!$C$2:$C$1960,0)),"",INDEX('Compliance Database'!$M$2:$M$1960,MATCH(975,'Transfer Engine'!$C$2:$C$1960,0)))</f>
        <v/>
      </c>
      <c r="N984" s="9">
        <f>IF(ISNA(MATCH(975,'Transfer Engine'!$C$2:$C$1960,0)),"",INDEX('Compliance Database'!$N$2:$N$1960,MATCH(975,'Transfer Engine'!$C$2:$C$1960,0)))</f>
        <v/>
      </c>
      <c r="O984" s="9">
        <f>IF(ISNA(MATCH(975,'Transfer Engine'!$C$2:$C$1960,0)),"",INDEX('Compliance Database'!$O$2:$O$1960,MATCH(975,'Transfer Engine'!$C$2:$C$1960,0)))</f>
        <v/>
      </c>
      <c r="P984" s="8">
        <f>IF(ISNA(MATCH(975,'Transfer Engine'!$C$2:$C$1960,0)),"",HYPERLINK("#Acts!A"&amp;INDEX('Compliance Database'!$P$2:$P$1960,MATCH(975,'Transfer Engine'!$C$2:$C$1960,0)),"Go to Act"))</f>
        <v/>
      </c>
    </row>
    <row r="985" ht="158" customHeight="1">
      <c r="A985" s="8">
        <f>IF(ISNA(MATCH(976,'Transfer Engine'!$C$2:$C$1960,0)),"",INDEX('Compliance Database'!$A$2:$A$1960,MATCH(976,'Transfer Engine'!$C$2:$C$1960,0)))</f>
        <v/>
      </c>
      <c r="B985" s="8">
        <f>IF(ISNA(MATCH(976,'Transfer Engine'!$C$2:$C$1960,0)),"",INDEX('Compliance Database'!$B$2:$B$1960,MATCH(976,'Transfer Engine'!$C$2:$C$1960,0)))</f>
        <v/>
      </c>
      <c r="C985" s="8">
        <f>IF(ISNA(MATCH(976,'Transfer Engine'!$C$2:$C$1960,0)),"",INDEX('Compliance Database'!$C$2:$C$1960,MATCH(976,'Transfer Engine'!$C$2:$C$1960,0)))</f>
        <v/>
      </c>
      <c r="D985" s="9">
        <f>IF(ISNA(MATCH(976,'Transfer Engine'!$C$2:$C$1960,0)),"",INDEX('Compliance Database'!$D$2:$D$1960,MATCH(976,'Transfer Engine'!$C$2:$C$1960,0)))</f>
        <v/>
      </c>
      <c r="E985" s="8">
        <f>IF(ISNA(MATCH(976,'Transfer Engine'!$C$2:$C$1960,0)),"",INDEX('Compliance Database'!$E$2:$E$1960,MATCH(976,'Transfer Engine'!$C$2:$C$1960,0)))</f>
        <v/>
      </c>
      <c r="F985" s="8">
        <f>IF(ISNA(MATCH(976,'Transfer Engine'!$C$2:$C$1960,0)),"",INDEX('Compliance Database'!$F$2:$F$1960,MATCH(976,'Transfer Engine'!$C$2:$C$1960,0)))</f>
        <v/>
      </c>
      <c r="G985" s="8">
        <f>IF(ISNA(MATCH(976,'Transfer Engine'!$C$2:$C$1960,0)),"",INDEX('Compliance Database'!$G$2:$G$1960,MATCH(976,'Transfer Engine'!$C$2:$C$1960,0)))</f>
        <v/>
      </c>
      <c r="H985" s="9">
        <f>IF(ISNA(MATCH(976,'Transfer Engine'!$C$2:$C$1960,0)),"",INDEX('Compliance Database'!$H$2:$H$1960,MATCH(976,'Transfer Engine'!$C$2:$C$1960,0)))</f>
        <v/>
      </c>
      <c r="I985" s="9">
        <f>IF(ISNA(MATCH(976,'Transfer Engine'!$C$2:$C$1960,0)),"",INDEX('Compliance Database'!$I$2:$I$1960,MATCH(976,'Transfer Engine'!$C$2:$C$1960,0)))</f>
        <v/>
      </c>
      <c r="J985" s="8">
        <f>IF(ISNA(MATCH(976,'Transfer Engine'!$C$2:$C$1960,0)),"",INDEX('Compliance Database'!$J$2:$J$1960,MATCH(976,'Transfer Engine'!$C$2:$C$1960,0)))</f>
        <v/>
      </c>
      <c r="K985" s="9">
        <f>IF(ISNA(MATCH(976,'Transfer Engine'!$C$2:$C$1960,0)),"",INDEX('Compliance Database'!$K$2:$K$1960,MATCH(976,'Transfer Engine'!$C$2:$C$1960,0)))</f>
        <v/>
      </c>
      <c r="L985" s="9">
        <f>IF(ISNA(MATCH(976,'Transfer Engine'!$C$2:$C$1960,0)),"",INDEX('Compliance Database'!$L$2:$L$1960,MATCH(976,'Transfer Engine'!$C$2:$C$1960,0)))</f>
        <v/>
      </c>
      <c r="M985" s="9">
        <f>IF(ISNA(MATCH(976,'Transfer Engine'!$C$2:$C$1960,0)),"",INDEX('Compliance Database'!$M$2:$M$1960,MATCH(976,'Transfer Engine'!$C$2:$C$1960,0)))</f>
        <v/>
      </c>
      <c r="N985" s="9">
        <f>IF(ISNA(MATCH(976,'Transfer Engine'!$C$2:$C$1960,0)),"",INDEX('Compliance Database'!$N$2:$N$1960,MATCH(976,'Transfer Engine'!$C$2:$C$1960,0)))</f>
        <v/>
      </c>
      <c r="O985" s="9">
        <f>IF(ISNA(MATCH(976,'Transfer Engine'!$C$2:$C$1960,0)),"",INDEX('Compliance Database'!$O$2:$O$1960,MATCH(976,'Transfer Engine'!$C$2:$C$1960,0)))</f>
        <v/>
      </c>
      <c r="P985" s="8">
        <f>IF(ISNA(MATCH(976,'Transfer Engine'!$C$2:$C$1960,0)),"",HYPERLINK("#Acts!A"&amp;INDEX('Compliance Database'!$P$2:$P$1960,MATCH(976,'Transfer Engine'!$C$2:$C$1960,0)),"Go to Act"))</f>
        <v/>
      </c>
    </row>
    <row r="986" ht="158" customHeight="1">
      <c r="A986" s="8">
        <f>IF(ISNA(MATCH(977,'Transfer Engine'!$C$2:$C$1960,0)),"",INDEX('Compliance Database'!$A$2:$A$1960,MATCH(977,'Transfer Engine'!$C$2:$C$1960,0)))</f>
        <v/>
      </c>
      <c r="B986" s="8">
        <f>IF(ISNA(MATCH(977,'Transfer Engine'!$C$2:$C$1960,0)),"",INDEX('Compliance Database'!$B$2:$B$1960,MATCH(977,'Transfer Engine'!$C$2:$C$1960,0)))</f>
        <v/>
      </c>
      <c r="C986" s="8">
        <f>IF(ISNA(MATCH(977,'Transfer Engine'!$C$2:$C$1960,0)),"",INDEX('Compliance Database'!$C$2:$C$1960,MATCH(977,'Transfer Engine'!$C$2:$C$1960,0)))</f>
        <v/>
      </c>
      <c r="D986" s="9">
        <f>IF(ISNA(MATCH(977,'Transfer Engine'!$C$2:$C$1960,0)),"",INDEX('Compliance Database'!$D$2:$D$1960,MATCH(977,'Transfer Engine'!$C$2:$C$1960,0)))</f>
        <v/>
      </c>
      <c r="E986" s="8">
        <f>IF(ISNA(MATCH(977,'Transfer Engine'!$C$2:$C$1960,0)),"",INDEX('Compliance Database'!$E$2:$E$1960,MATCH(977,'Transfer Engine'!$C$2:$C$1960,0)))</f>
        <v/>
      </c>
      <c r="F986" s="8">
        <f>IF(ISNA(MATCH(977,'Transfer Engine'!$C$2:$C$1960,0)),"",INDEX('Compliance Database'!$F$2:$F$1960,MATCH(977,'Transfer Engine'!$C$2:$C$1960,0)))</f>
        <v/>
      </c>
      <c r="G986" s="8">
        <f>IF(ISNA(MATCH(977,'Transfer Engine'!$C$2:$C$1960,0)),"",INDEX('Compliance Database'!$G$2:$G$1960,MATCH(977,'Transfer Engine'!$C$2:$C$1960,0)))</f>
        <v/>
      </c>
      <c r="H986" s="9">
        <f>IF(ISNA(MATCH(977,'Transfer Engine'!$C$2:$C$1960,0)),"",INDEX('Compliance Database'!$H$2:$H$1960,MATCH(977,'Transfer Engine'!$C$2:$C$1960,0)))</f>
        <v/>
      </c>
      <c r="I986" s="9">
        <f>IF(ISNA(MATCH(977,'Transfer Engine'!$C$2:$C$1960,0)),"",INDEX('Compliance Database'!$I$2:$I$1960,MATCH(977,'Transfer Engine'!$C$2:$C$1960,0)))</f>
        <v/>
      </c>
      <c r="J986" s="8">
        <f>IF(ISNA(MATCH(977,'Transfer Engine'!$C$2:$C$1960,0)),"",INDEX('Compliance Database'!$J$2:$J$1960,MATCH(977,'Transfer Engine'!$C$2:$C$1960,0)))</f>
        <v/>
      </c>
      <c r="K986" s="9">
        <f>IF(ISNA(MATCH(977,'Transfer Engine'!$C$2:$C$1960,0)),"",INDEX('Compliance Database'!$K$2:$K$1960,MATCH(977,'Transfer Engine'!$C$2:$C$1960,0)))</f>
        <v/>
      </c>
      <c r="L986" s="9">
        <f>IF(ISNA(MATCH(977,'Transfer Engine'!$C$2:$C$1960,0)),"",INDEX('Compliance Database'!$L$2:$L$1960,MATCH(977,'Transfer Engine'!$C$2:$C$1960,0)))</f>
        <v/>
      </c>
      <c r="M986" s="9">
        <f>IF(ISNA(MATCH(977,'Transfer Engine'!$C$2:$C$1960,0)),"",INDEX('Compliance Database'!$M$2:$M$1960,MATCH(977,'Transfer Engine'!$C$2:$C$1960,0)))</f>
        <v/>
      </c>
      <c r="N986" s="9">
        <f>IF(ISNA(MATCH(977,'Transfer Engine'!$C$2:$C$1960,0)),"",INDEX('Compliance Database'!$N$2:$N$1960,MATCH(977,'Transfer Engine'!$C$2:$C$1960,0)))</f>
        <v/>
      </c>
      <c r="O986" s="9">
        <f>IF(ISNA(MATCH(977,'Transfer Engine'!$C$2:$C$1960,0)),"",INDEX('Compliance Database'!$O$2:$O$1960,MATCH(977,'Transfer Engine'!$C$2:$C$1960,0)))</f>
        <v/>
      </c>
      <c r="P986" s="8">
        <f>IF(ISNA(MATCH(977,'Transfer Engine'!$C$2:$C$1960,0)),"",HYPERLINK("#Acts!A"&amp;INDEX('Compliance Database'!$P$2:$P$1960,MATCH(977,'Transfer Engine'!$C$2:$C$1960,0)),"Go to Act"))</f>
        <v/>
      </c>
    </row>
    <row r="987" ht="158" customHeight="1">
      <c r="A987" s="8">
        <f>IF(ISNA(MATCH(978,'Transfer Engine'!$C$2:$C$1960,0)),"",INDEX('Compliance Database'!$A$2:$A$1960,MATCH(978,'Transfer Engine'!$C$2:$C$1960,0)))</f>
        <v/>
      </c>
      <c r="B987" s="8">
        <f>IF(ISNA(MATCH(978,'Transfer Engine'!$C$2:$C$1960,0)),"",INDEX('Compliance Database'!$B$2:$B$1960,MATCH(978,'Transfer Engine'!$C$2:$C$1960,0)))</f>
        <v/>
      </c>
      <c r="C987" s="8">
        <f>IF(ISNA(MATCH(978,'Transfer Engine'!$C$2:$C$1960,0)),"",INDEX('Compliance Database'!$C$2:$C$1960,MATCH(978,'Transfer Engine'!$C$2:$C$1960,0)))</f>
        <v/>
      </c>
      <c r="D987" s="9">
        <f>IF(ISNA(MATCH(978,'Transfer Engine'!$C$2:$C$1960,0)),"",INDEX('Compliance Database'!$D$2:$D$1960,MATCH(978,'Transfer Engine'!$C$2:$C$1960,0)))</f>
        <v/>
      </c>
      <c r="E987" s="8">
        <f>IF(ISNA(MATCH(978,'Transfer Engine'!$C$2:$C$1960,0)),"",INDEX('Compliance Database'!$E$2:$E$1960,MATCH(978,'Transfer Engine'!$C$2:$C$1960,0)))</f>
        <v/>
      </c>
      <c r="F987" s="8">
        <f>IF(ISNA(MATCH(978,'Transfer Engine'!$C$2:$C$1960,0)),"",INDEX('Compliance Database'!$F$2:$F$1960,MATCH(978,'Transfer Engine'!$C$2:$C$1960,0)))</f>
        <v/>
      </c>
      <c r="G987" s="8">
        <f>IF(ISNA(MATCH(978,'Transfer Engine'!$C$2:$C$1960,0)),"",INDEX('Compliance Database'!$G$2:$G$1960,MATCH(978,'Transfer Engine'!$C$2:$C$1960,0)))</f>
        <v/>
      </c>
      <c r="H987" s="9">
        <f>IF(ISNA(MATCH(978,'Transfer Engine'!$C$2:$C$1960,0)),"",INDEX('Compliance Database'!$H$2:$H$1960,MATCH(978,'Transfer Engine'!$C$2:$C$1960,0)))</f>
        <v/>
      </c>
      <c r="I987" s="9">
        <f>IF(ISNA(MATCH(978,'Transfer Engine'!$C$2:$C$1960,0)),"",INDEX('Compliance Database'!$I$2:$I$1960,MATCH(978,'Transfer Engine'!$C$2:$C$1960,0)))</f>
        <v/>
      </c>
      <c r="J987" s="8">
        <f>IF(ISNA(MATCH(978,'Transfer Engine'!$C$2:$C$1960,0)),"",INDEX('Compliance Database'!$J$2:$J$1960,MATCH(978,'Transfer Engine'!$C$2:$C$1960,0)))</f>
        <v/>
      </c>
      <c r="K987" s="9">
        <f>IF(ISNA(MATCH(978,'Transfer Engine'!$C$2:$C$1960,0)),"",INDEX('Compliance Database'!$K$2:$K$1960,MATCH(978,'Transfer Engine'!$C$2:$C$1960,0)))</f>
        <v/>
      </c>
      <c r="L987" s="9">
        <f>IF(ISNA(MATCH(978,'Transfer Engine'!$C$2:$C$1960,0)),"",INDEX('Compliance Database'!$L$2:$L$1960,MATCH(978,'Transfer Engine'!$C$2:$C$1960,0)))</f>
        <v/>
      </c>
      <c r="M987" s="9">
        <f>IF(ISNA(MATCH(978,'Transfer Engine'!$C$2:$C$1960,0)),"",INDEX('Compliance Database'!$M$2:$M$1960,MATCH(978,'Transfer Engine'!$C$2:$C$1960,0)))</f>
        <v/>
      </c>
      <c r="N987" s="9">
        <f>IF(ISNA(MATCH(978,'Transfer Engine'!$C$2:$C$1960,0)),"",INDEX('Compliance Database'!$N$2:$N$1960,MATCH(978,'Transfer Engine'!$C$2:$C$1960,0)))</f>
        <v/>
      </c>
      <c r="O987" s="9">
        <f>IF(ISNA(MATCH(978,'Transfer Engine'!$C$2:$C$1960,0)),"",INDEX('Compliance Database'!$O$2:$O$1960,MATCH(978,'Transfer Engine'!$C$2:$C$1960,0)))</f>
        <v/>
      </c>
      <c r="P987" s="8">
        <f>IF(ISNA(MATCH(978,'Transfer Engine'!$C$2:$C$1960,0)),"",HYPERLINK("#Acts!A"&amp;INDEX('Compliance Database'!$P$2:$P$1960,MATCH(978,'Transfer Engine'!$C$2:$C$1960,0)),"Go to Act"))</f>
        <v/>
      </c>
    </row>
    <row r="988" ht="158" customHeight="1">
      <c r="A988" s="8">
        <f>IF(ISNA(MATCH(979,'Transfer Engine'!$C$2:$C$1960,0)),"",INDEX('Compliance Database'!$A$2:$A$1960,MATCH(979,'Transfer Engine'!$C$2:$C$1960,0)))</f>
        <v/>
      </c>
      <c r="B988" s="8">
        <f>IF(ISNA(MATCH(979,'Transfer Engine'!$C$2:$C$1960,0)),"",INDEX('Compliance Database'!$B$2:$B$1960,MATCH(979,'Transfer Engine'!$C$2:$C$1960,0)))</f>
        <v/>
      </c>
      <c r="C988" s="8">
        <f>IF(ISNA(MATCH(979,'Transfer Engine'!$C$2:$C$1960,0)),"",INDEX('Compliance Database'!$C$2:$C$1960,MATCH(979,'Transfer Engine'!$C$2:$C$1960,0)))</f>
        <v/>
      </c>
      <c r="D988" s="9">
        <f>IF(ISNA(MATCH(979,'Transfer Engine'!$C$2:$C$1960,0)),"",INDEX('Compliance Database'!$D$2:$D$1960,MATCH(979,'Transfer Engine'!$C$2:$C$1960,0)))</f>
        <v/>
      </c>
      <c r="E988" s="8">
        <f>IF(ISNA(MATCH(979,'Transfer Engine'!$C$2:$C$1960,0)),"",INDEX('Compliance Database'!$E$2:$E$1960,MATCH(979,'Transfer Engine'!$C$2:$C$1960,0)))</f>
        <v/>
      </c>
      <c r="F988" s="8">
        <f>IF(ISNA(MATCH(979,'Transfer Engine'!$C$2:$C$1960,0)),"",INDEX('Compliance Database'!$F$2:$F$1960,MATCH(979,'Transfer Engine'!$C$2:$C$1960,0)))</f>
        <v/>
      </c>
      <c r="G988" s="8">
        <f>IF(ISNA(MATCH(979,'Transfer Engine'!$C$2:$C$1960,0)),"",INDEX('Compliance Database'!$G$2:$G$1960,MATCH(979,'Transfer Engine'!$C$2:$C$1960,0)))</f>
        <v/>
      </c>
      <c r="H988" s="9">
        <f>IF(ISNA(MATCH(979,'Transfer Engine'!$C$2:$C$1960,0)),"",INDEX('Compliance Database'!$H$2:$H$1960,MATCH(979,'Transfer Engine'!$C$2:$C$1960,0)))</f>
        <v/>
      </c>
      <c r="I988" s="9">
        <f>IF(ISNA(MATCH(979,'Transfer Engine'!$C$2:$C$1960,0)),"",INDEX('Compliance Database'!$I$2:$I$1960,MATCH(979,'Transfer Engine'!$C$2:$C$1960,0)))</f>
        <v/>
      </c>
      <c r="J988" s="8">
        <f>IF(ISNA(MATCH(979,'Transfer Engine'!$C$2:$C$1960,0)),"",INDEX('Compliance Database'!$J$2:$J$1960,MATCH(979,'Transfer Engine'!$C$2:$C$1960,0)))</f>
        <v/>
      </c>
      <c r="K988" s="9">
        <f>IF(ISNA(MATCH(979,'Transfer Engine'!$C$2:$C$1960,0)),"",INDEX('Compliance Database'!$K$2:$K$1960,MATCH(979,'Transfer Engine'!$C$2:$C$1960,0)))</f>
        <v/>
      </c>
      <c r="L988" s="9">
        <f>IF(ISNA(MATCH(979,'Transfer Engine'!$C$2:$C$1960,0)),"",INDEX('Compliance Database'!$L$2:$L$1960,MATCH(979,'Transfer Engine'!$C$2:$C$1960,0)))</f>
        <v/>
      </c>
      <c r="M988" s="9">
        <f>IF(ISNA(MATCH(979,'Transfer Engine'!$C$2:$C$1960,0)),"",INDEX('Compliance Database'!$M$2:$M$1960,MATCH(979,'Transfer Engine'!$C$2:$C$1960,0)))</f>
        <v/>
      </c>
      <c r="N988" s="9">
        <f>IF(ISNA(MATCH(979,'Transfer Engine'!$C$2:$C$1960,0)),"",INDEX('Compliance Database'!$N$2:$N$1960,MATCH(979,'Transfer Engine'!$C$2:$C$1960,0)))</f>
        <v/>
      </c>
      <c r="O988" s="9">
        <f>IF(ISNA(MATCH(979,'Transfer Engine'!$C$2:$C$1960,0)),"",INDEX('Compliance Database'!$O$2:$O$1960,MATCH(979,'Transfer Engine'!$C$2:$C$1960,0)))</f>
        <v/>
      </c>
      <c r="P988" s="8">
        <f>IF(ISNA(MATCH(979,'Transfer Engine'!$C$2:$C$1960,0)),"",HYPERLINK("#Acts!A"&amp;INDEX('Compliance Database'!$P$2:$P$1960,MATCH(979,'Transfer Engine'!$C$2:$C$1960,0)),"Go to Act"))</f>
        <v/>
      </c>
    </row>
    <row r="989" ht="158" customHeight="1">
      <c r="A989" s="8">
        <f>IF(ISNA(MATCH(980,'Transfer Engine'!$C$2:$C$1960,0)),"",INDEX('Compliance Database'!$A$2:$A$1960,MATCH(980,'Transfer Engine'!$C$2:$C$1960,0)))</f>
        <v/>
      </c>
      <c r="B989" s="8">
        <f>IF(ISNA(MATCH(980,'Transfer Engine'!$C$2:$C$1960,0)),"",INDEX('Compliance Database'!$B$2:$B$1960,MATCH(980,'Transfer Engine'!$C$2:$C$1960,0)))</f>
        <v/>
      </c>
      <c r="C989" s="8">
        <f>IF(ISNA(MATCH(980,'Transfer Engine'!$C$2:$C$1960,0)),"",INDEX('Compliance Database'!$C$2:$C$1960,MATCH(980,'Transfer Engine'!$C$2:$C$1960,0)))</f>
        <v/>
      </c>
      <c r="D989" s="9">
        <f>IF(ISNA(MATCH(980,'Transfer Engine'!$C$2:$C$1960,0)),"",INDEX('Compliance Database'!$D$2:$D$1960,MATCH(980,'Transfer Engine'!$C$2:$C$1960,0)))</f>
        <v/>
      </c>
      <c r="E989" s="8">
        <f>IF(ISNA(MATCH(980,'Transfer Engine'!$C$2:$C$1960,0)),"",INDEX('Compliance Database'!$E$2:$E$1960,MATCH(980,'Transfer Engine'!$C$2:$C$1960,0)))</f>
        <v/>
      </c>
      <c r="F989" s="8">
        <f>IF(ISNA(MATCH(980,'Transfer Engine'!$C$2:$C$1960,0)),"",INDEX('Compliance Database'!$F$2:$F$1960,MATCH(980,'Transfer Engine'!$C$2:$C$1960,0)))</f>
        <v/>
      </c>
      <c r="G989" s="8">
        <f>IF(ISNA(MATCH(980,'Transfer Engine'!$C$2:$C$1960,0)),"",INDEX('Compliance Database'!$G$2:$G$1960,MATCH(980,'Transfer Engine'!$C$2:$C$1960,0)))</f>
        <v/>
      </c>
      <c r="H989" s="9">
        <f>IF(ISNA(MATCH(980,'Transfer Engine'!$C$2:$C$1960,0)),"",INDEX('Compliance Database'!$H$2:$H$1960,MATCH(980,'Transfer Engine'!$C$2:$C$1960,0)))</f>
        <v/>
      </c>
      <c r="I989" s="9">
        <f>IF(ISNA(MATCH(980,'Transfer Engine'!$C$2:$C$1960,0)),"",INDEX('Compliance Database'!$I$2:$I$1960,MATCH(980,'Transfer Engine'!$C$2:$C$1960,0)))</f>
        <v/>
      </c>
      <c r="J989" s="8">
        <f>IF(ISNA(MATCH(980,'Transfer Engine'!$C$2:$C$1960,0)),"",INDEX('Compliance Database'!$J$2:$J$1960,MATCH(980,'Transfer Engine'!$C$2:$C$1960,0)))</f>
        <v/>
      </c>
      <c r="K989" s="9">
        <f>IF(ISNA(MATCH(980,'Transfer Engine'!$C$2:$C$1960,0)),"",INDEX('Compliance Database'!$K$2:$K$1960,MATCH(980,'Transfer Engine'!$C$2:$C$1960,0)))</f>
        <v/>
      </c>
      <c r="L989" s="9">
        <f>IF(ISNA(MATCH(980,'Transfer Engine'!$C$2:$C$1960,0)),"",INDEX('Compliance Database'!$L$2:$L$1960,MATCH(980,'Transfer Engine'!$C$2:$C$1960,0)))</f>
        <v/>
      </c>
      <c r="M989" s="9">
        <f>IF(ISNA(MATCH(980,'Transfer Engine'!$C$2:$C$1960,0)),"",INDEX('Compliance Database'!$M$2:$M$1960,MATCH(980,'Transfer Engine'!$C$2:$C$1960,0)))</f>
        <v/>
      </c>
      <c r="N989" s="9">
        <f>IF(ISNA(MATCH(980,'Transfer Engine'!$C$2:$C$1960,0)),"",INDEX('Compliance Database'!$N$2:$N$1960,MATCH(980,'Transfer Engine'!$C$2:$C$1960,0)))</f>
        <v/>
      </c>
      <c r="O989" s="9">
        <f>IF(ISNA(MATCH(980,'Transfer Engine'!$C$2:$C$1960,0)),"",INDEX('Compliance Database'!$O$2:$O$1960,MATCH(980,'Transfer Engine'!$C$2:$C$1960,0)))</f>
        <v/>
      </c>
      <c r="P989" s="8">
        <f>IF(ISNA(MATCH(980,'Transfer Engine'!$C$2:$C$1960,0)),"",HYPERLINK("#Acts!A"&amp;INDEX('Compliance Database'!$P$2:$P$1960,MATCH(980,'Transfer Engine'!$C$2:$C$1960,0)),"Go to Act"))</f>
        <v/>
      </c>
    </row>
    <row r="990" ht="158" customHeight="1">
      <c r="A990" s="8">
        <f>IF(ISNA(MATCH(981,'Transfer Engine'!$C$2:$C$1960,0)),"",INDEX('Compliance Database'!$A$2:$A$1960,MATCH(981,'Transfer Engine'!$C$2:$C$1960,0)))</f>
        <v/>
      </c>
      <c r="B990" s="8">
        <f>IF(ISNA(MATCH(981,'Transfer Engine'!$C$2:$C$1960,0)),"",INDEX('Compliance Database'!$B$2:$B$1960,MATCH(981,'Transfer Engine'!$C$2:$C$1960,0)))</f>
        <v/>
      </c>
      <c r="C990" s="8">
        <f>IF(ISNA(MATCH(981,'Transfer Engine'!$C$2:$C$1960,0)),"",INDEX('Compliance Database'!$C$2:$C$1960,MATCH(981,'Transfer Engine'!$C$2:$C$1960,0)))</f>
        <v/>
      </c>
      <c r="D990" s="9">
        <f>IF(ISNA(MATCH(981,'Transfer Engine'!$C$2:$C$1960,0)),"",INDEX('Compliance Database'!$D$2:$D$1960,MATCH(981,'Transfer Engine'!$C$2:$C$1960,0)))</f>
        <v/>
      </c>
      <c r="E990" s="8">
        <f>IF(ISNA(MATCH(981,'Transfer Engine'!$C$2:$C$1960,0)),"",INDEX('Compliance Database'!$E$2:$E$1960,MATCH(981,'Transfer Engine'!$C$2:$C$1960,0)))</f>
        <v/>
      </c>
      <c r="F990" s="8">
        <f>IF(ISNA(MATCH(981,'Transfer Engine'!$C$2:$C$1960,0)),"",INDEX('Compliance Database'!$F$2:$F$1960,MATCH(981,'Transfer Engine'!$C$2:$C$1960,0)))</f>
        <v/>
      </c>
      <c r="G990" s="8">
        <f>IF(ISNA(MATCH(981,'Transfer Engine'!$C$2:$C$1960,0)),"",INDEX('Compliance Database'!$G$2:$G$1960,MATCH(981,'Transfer Engine'!$C$2:$C$1960,0)))</f>
        <v/>
      </c>
      <c r="H990" s="9">
        <f>IF(ISNA(MATCH(981,'Transfer Engine'!$C$2:$C$1960,0)),"",INDEX('Compliance Database'!$H$2:$H$1960,MATCH(981,'Transfer Engine'!$C$2:$C$1960,0)))</f>
        <v/>
      </c>
      <c r="I990" s="9">
        <f>IF(ISNA(MATCH(981,'Transfer Engine'!$C$2:$C$1960,0)),"",INDEX('Compliance Database'!$I$2:$I$1960,MATCH(981,'Transfer Engine'!$C$2:$C$1960,0)))</f>
        <v/>
      </c>
      <c r="J990" s="8">
        <f>IF(ISNA(MATCH(981,'Transfer Engine'!$C$2:$C$1960,0)),"",INDEX('Compliance Database'!$J$2:$J$1960,MATCH(981,'Transfer Engine'!$C$2:$C$1960,0)))</f>
        <v/>
      </c>
      <c r="K990" s="9">
        <f>IF(ISNA(MATCH(981,'Transfer Engine'!$C$2:$C$1960,0)),"",INDEX('Compliance Database'!$K$2:$K$1960,MATCH(981,'Transfer Engine'!$C$2:$C$1960,0)))</f>
        <v/>
      </c>
      <c r="L990" s="9">
        <f>IF(ISNA(MATCH(981,'Transfer Engine'!$C$2:$C$1960,0)),"",INDEX('Compliance Database'!$L$2:$L$1960,MATCH(981,'Transfer Engine'!$C$2:$C$1960,0)))</f>
        <v/>
      </c>
      <c r="M990" s="9">
        <f>IF(ISNA(MATCH(981,'Transfer Engine'!$C$2:$C$1960,0)),"",INDEX('Compliance Database'!$M$2:$M$1960,MATCH(981,'Transfer Engine'!$C$2:$C$1960,0)))</f>
        <v/>
      </c>
      <c r="N990" s="9">
        <f>IF(ISNA(MATCH(981,'Transfer Engine'!$C$2:$C$1960,0)),"",INDEX('Compliance Database'!$N$2:$N$1960,MATCH(981,'Transfer Engine'!$C$2:$C$1960,0)))</f>
        <v/>
      </c>
      <c r="O990" s="9">
        <f>IF(ISNA(MATCH(981,'Transfer Engine'!$C$2:$C$1960,0)),"",INDEX('Compliance Database'!$O$2:$O$1960,MATCH(981,'Transfer Engine'!$C$2:$C$1960,0)))</f>
        <v/>
      </c>
      <c r="P990" s="8">
        <f>IF(ISNA(MATCH(981,'Transfer Engine'!$C$2:$C$1960,0)),"",HYPERLINK("#Acts!A"&amp;INDEX('Compliance Database'!$P$2:$P$1960,MATCH(981,'Transfer Engine'!$C$2:$C$1960,0)),"Go to Act"))</f>
        <v/>
      </c>
    </row>
    <row r="991" ht="158" customHeight="1">
      <c r="A991" s="8">
        <f>IF(ISNA(MATCH(982,'Transfer Engine'!$C$2:$C$1960,0)),"",INDEX('Compliance Database'!$A$2:$A$1960,MATCH(982,'Transfer Engine'!$C$2:$C$1960,0)))</f>
        <v/>
      </c>
      <c r="B991" s="8">
        <f>IF(ISNA(MATCH(982,'Transfer Engine'!$C$2:$C$1960,0)),"",INDEX('Compliance Database'!$B$2:$B$1960,MATCH(982,'Transfer Engine'!$C$2:$C$1960,0)))</f>
        <v/>
      </c>
      <c r="C991" s="8">
        <f>IF(ISNA(MATCH(982,'Transfer Engine'!$C$2:$C$1960,0)),"",INDEX('Compliance Database'!$C$2:$C$1960,MATCH(982,'Transfer Engine'!$C$2:$C$1960,0)))</f>
        <v/>
      </c>
      <c r="D991" s="9">
        <f>IF(ISNA(MATCH(982,'Transfer Engine'!$C$2:$C$1960,0)),"",INDEX('Compliance Database'!$D$2:$D$1960,MATCH(982,'Transfer Engine'!$C$2:$C$1960,0)))</f>
        <v/>
      </c>
      <c r="E991" s="8">
        <f>IF(ISNA(MATCH(982,'Transfer Engine'!$C$2:$C$1960,0)),"",INDEX('Compliance Database'!$E$2:$E$1960,MATCH(982,'Transfer Engine'!$C$2:$C$1960,0)))</f>
        <v/>
      </c>
      <c r="F991" s="8">
        <f>IF(ISNA(MATCH(982,'Transfer Engine'!$C$2:$C$1960,0)),"",INDEX('Compliance Database'!$F$2:$F$1960,MATCH(982,'Transfer Engine'!$C$2:$C$1960,0)))</f>
        <v/>
      </c>
      <c r="G991" s="8">
        <f>IF(ISNA(MATCH(982,'Transfer Engine'!$C$2:$C$1960,0)),"",INDEX('Compliance Database'!$G$2:$G$1960,MATCH(982,'Transfer Engine'!$C$2:$C$1960,0)))</f>
        <v/>
      </c>
      <c r="H991" s="9">
        <f>IF(ISNA(MATCH(982,'Transfer Engine'!$C$2:$C$1960,0)),"",INDEX('Compliance Database'!$H$2:$H$1960,MATCH(982,'Transfer Engine'!$C$2:$C$1960,0)))</f>
        <v/>
      </c>
      <c r="I991" s="9">
        <f>IF(ISNA(MATCH(982,'Transfer Engine'!$C$2:$C$1960,0)),"",INDEX('Compliance Database'!$I$2:$I$1960,MATCH(982,'Transfer Engine'!$C$2:$C$1960,0)))</f>
        <v/>
      </c>
      <c r="J991" s="8">
        <f>IF(ISNA(MATCH(982,'Transfer Engine'!$C$2:$C$1960,0)),"",INDEX('Compliance Database'!$J$2:$J$1960,MATCH(982,'Transfer Engine'!$C$2:$C$1960,0)))</f>
        <v/>
      </c>
      <c r="K991" s="9">
        <f>IF(ISNA(MATCH(982,'Transfer Engine'!$C$2:$C$1960,0)),"",INDEX('Compliance Database'!$K$2:$K$1960,MATCH(982,'Transfer Engine'!$C$2:$C$1960,0)))</f>
        <v/>
      </c>
      <c r="L991" s="9">
        <f>IF(ISNA(MATCH(982,'Transfer Engine'!$C$2:$C$1960,0)),"",INDEX('Compliance Database'!$L$2:$L$1960,MATCH(982,'Transfer Engine'!$C$2:$C$1960,0)))</f>
        <v/>
      </c>
      <c r="M991" s="9">
        <f>IF(ISNA(MATCH(982,'Transfer Engine'!$C$2:$C$1960,0)),"",INDEX('Compliance Database'!$M$2:$M$1960,MATCH(982,'Transfer Engine'!$C$2:$C$1960,0)))</f>
        <v/>
      </c>
      <c r="N991" s="9">
        <f>IF(ISNA(MATCH(982,'Transfer Engine'!$C$2:$C$1960,0)),"",INDEX('Compliance Database'!$N$2:$N$1960,MATCH(982,'Transfer Engine'!$C$2:$C$1960,0)))</f>
        <v/>
      </c>
      <c r="O991" s="9">
        <f>IF(ISNA(MATCH(982,'Transfer Engine'!$C$2:$C$1960,0)),"",INDEX('Compliance Database'!$O$2:$O$1960,MATCH(982,'Transfer Engine'!$C$2:$C$1960,0)))</f>
        <v/>
      </c>
      <c r="P991" s="8">
        <f>IF(ISNA(MATCH(982,'Transfer Engine'!$C$2:$C$1960,0)),"",HYPERLINK("#Acts!A"&amp;INDEX('Compliance Database'!$P$2:$P$1960,MATCH(982,'Transfer Engine'!$C$2:$C$1960,0)),"Go to Act"))</f>
        <v/>
      </c>
    </row>
    <row r="992" ht="158" customHeight="1">
      <c r="A992" s="8">
        <f>IF(ISNA(MATCH(983,'Transfer Engine'!$C$2:$C$1960,0)),"",INDEX('Compliance Database'!$A$2:$A$1960,MATCH(983,'Transfer Engine'!$C$2:$C$1960,0)))</f>
        <v/>
      </c>
      <c r="B992" s="8">
        <f>IF(ISNA(MATCH(983,'Transfer Engine'!$C$2:$C$1960,0)),"",INDEX('Compliance Database'!$B$2:$B$1960,MATCH(983,'Transfer Engine'!$C$2:$C$1960,0)))</f>
        <v/>
      </c>
      <c r="C992" s="8">
        <f>IF(ISNA(MATCH(983,'Transfer Engine'!$C$2:$C$1960,0)),"",INDEX('Compliance Database'!$C$2:$C$1960,MATCH(983,'Transfer Engine'!$C$2:$C$1960,0)))</f>
        <v/>
      </c>
      <c r="D992" s="9">
        <f>IF(ISNA(MATCH(983,'Transfer Engine'!$C$2:$C$1960,0)),"",INDEX('Compliance Database'!$D$2:$D$1960,MATCH(983,'Transfer Engine'!$C$2:$C$1960,0)))</f>
        <v/>
      </c>
      <c r="E992" s="8">
        <f>IF(ISNA(MATCH(983,'Transfer Engine'!$C$2:$C$1960,0)),"",INDEX('Compliance Database'!$E$2:$E$1960,MATCH(983,'Transfer Engine'!$C$2:$C$1960,0)))</f>
        <v/>
      </c>
      <c r="F992" s="8">
        <f>IF(ISNA(MATCH(983,'Transfer Engine'!$C$2:$C$1960,0)),"",INDEX('Compliance Database'!$F$2:$F$1960,MATCH(983,'Transfer Engine'!$C$2:$C$1960,0)))</f>
        <v/>
      </c>
      <c r="G992" s="8">
        <f>IF(ISNA(MATCH(983,'Transfer Engine'!$C$2:$C$1960,0)),"",INDEX('Compliance Database'!$G$2:$G$1960,MATCH(983,'Transfer Engine'!$C$2:$C$1960,0)))</f>
        <v/>
      </c>
      <c r="H992" s="9">
        <f>IF(ISNA(MATCH(983,'Transfer Engine'!$C$2:$C$1960,0)),"",INDEX('Compliance Database'!$H$2:$H$1960,MATCH(983,'Transfer Engine'!$C$2:$C$1960,0)))</f>
        <v/>
      </c>
      <c r="I992" s="9">
        <f>IF(ISNA(MATCH(983,'Transfer Engine'!$C$2:$C$1960,0)),"",INDEX('Compliance Database'!$I$2:$I$1960,MATCH(983,'Transfer Engine'!$C$2:$C$1960,0)))</f>
        <v/>
      </c>
      <c r="J992" s="8">
        <f>IF(ISNA(MATCH(983,'Transfer Engine'!$C$2:$C$1960,0)),"",INDEX('Compliance Database'!$J$2:$J$1960,MATCH(983,'Transfer Engine'!$C$2:$C$1960,0)))</f>
        <v/>
      </c>
      <c r="K992" s="9">
        <f>IF(ISNA(MATCH(983,'Transfer Engine'!$C$2:$C$1960,0)),"",INDEX('Compliance Database'!$K$2:$K$1960,MATCH(983,'Transfer Engine'!$C$2:$C$1960,0)))</f>
        <v/>
      </c>
      <c r="L992" s="9">
        <f>IF(ISNA(MATCH(983,'Transfer Engine'!$C$2:$C$1960,0)),"",INDEX('Compliance Database'!$L$2:$L$1960,MATCH(983,'Transfer Engine'!$C$2:$C$1960,0)))</f>
        <v/>
      </c>
      <c r="M992" s="9">
        <f>IF(ISNA(MATCH(983,'Transfer Engine'!$C$2:$C$1960,0)),"",INDEX('Compliance Database'!$M$2:$M$1960,MATCH(983,'Transfer Engine'!$C$2:$C$1960,0)))</f>
        <v/>
      </c>
      <c r="N992" s="9">
        <f>IF(ISNA(MATCH(983,'Transfer Engine'!$C$2:$C$1960,0)),"",INDEX('Compliance Database'!$N$2:$N$1960,MATCH(983,'Transfer Engine'!$C$2:$C$1960,0)))</f>
        <v/>
      </c>
      <c r="O992" s="9">
        <f>IF(ISNA(MATCH(983,'Transfer Engine'!$C$2:$C$1960,0)),"",INDEX('Compliance Database'!$O$2:$O$1960,MATCH(983,'Transfer Engine'!$C$2:$C$1960,0)))</f>
        <v/>
      </c>
      <c r="P992" s="8">
        <f>IF(ISNA(MATCH(983,'Transfer Engine'!$C$2:$C$1960,0)),"",HYPERLINK("#Acts!A"&amp;INDEX('Compliance Database'!$P$2:$P$1960,MATCH(983,'Transfer Engine'!$C$2:$C$1960,0)),"Go to Act"))</f>
        <v/>
      </c>
    </row>
    <row r="993" ht="158" customHeight="1">
      <c r="A993" s="8">
        <f>IF(ISNA(MATCH(984,'Transfer Engine'!$C$2:$C$1960,0)),"",INDEX('Compliance Database'!$A$2:$A$1960,MATCH(984,'Transfer Engine'!$C$2:$C$1960,0)))</f>
        <v/>
      </c>
      <c r="B993" s="8">
        <f>IF(ISNA(MATCH(984,'Transfer Engine'!$C$2:$C$1960,0)),"",INDEX('Compliance Database'!$B$2:$B$1960,MATCH(984,'Transfer Engine'!$C$2:$C$1960,0)))</f>
        <v/>
      </c>
      <c r="C993" s="8">
        <f>IF(ISNA(MATCH(984,'Transfer Engine'!$C$2:$C$1960,0)),"",INDEX('Compliance Database'!$C$2:$C$1960,MATCH(984,'Transfer Engine'!$C$2:$C$1960,0)))</f>
        <v/>
      </c>
      <c r="D993" s="9">
        <f>IF(ISNA(MATCH(984,'Transfer Engine'!$C$2:$C$1960,0)),"",INDEX('Compliance Database'!$D$2:$D$1960,MATCH(984,'Transfer Engine'!$C$2:$C$1960,0)))</f>
        <v/>
      </c>
      <c r="E993" s="8">
        <f>IF(ISNA(MATCH(984,'Transfer Engine'!$C$2:$C$1960,0)),"",INDEX('Compliance Database'!$E$2:$E$1960,MATCH(984,'Transfer Engine'!$C$2:$C$1960,0)))</f>
        <v/>
      </c>
      <c r="F993" s="8">
        <f>IF(ISNA(MATCH(984,'Transfer Engine'!$C$2:$C$1960,0)),"",INDEX('Compliance Database'!$F$2:$F$1960,MATCH(984,'Transfer Engine'!$C$2:$C$1960,0)))</f>
        <v/>
      </c>
      <c r="G993" s="8">
        <f>IF(ISNA(MATCH(984,'Transfer Engine'!$C$2:$C$1960,0)),"",INDEX('Compliance Database'!$G$2:$G$1960,MATCH(984,'Transfer Engine'!$C$2:$C$1960,0)))</f>
        <v/>
      </c>
      <c r="H993" s="9">
        <f>IF(ISNA(MATCH(984,'Transfer Engine'!$C$2:$C$1960,0)),"",INDEX('Compliance Database'!$H$2:$H$1960,MATCH(984,'Transfer Engine'!$C$2:$C$1960,0)))</f>
        <v/>
      </c>
      <c r="I993" s="9">
        <f>IF(ISNA(MATCH(984,'Transfer Engine'!$C$2:$C$1960,0)),"",INDEX('Compliance Database'!$I$2:$I$1960,MATCH(984,'Transfer Engine'!$C$2:$C$1960,0)))</f>
        <v/>
      </c>
      <c r="J993" s="8">
        <f>IF(ISNA(MATCH(984,'Transfer Engine'!$C$2:$C$1960,0)),"",INDEX('Compliance Database'!$J$2:$J$1960,MATCH(984,'Transfer Engine'!$C$2:$C$1960,0)))</f>
        <v/>
      </c>
      <c r="K993" s="9">
        <f>IF(ISNA(MATCH(984,'Transfer Engine'!$C$2:$C$1960,0)),"",INDEX('Compliance Database'!$K$2:$K$1960,MATCH(984,'Transfer Engine'!$C$2:$C$1960,0)))</f>
        <v/>
      </c>
      <c r="L993" s="9">
        <f>IF(ISNA(MATCH(984,'Transfer Engine'!$C$2:$C$1960,0)),"",INDEX('Compliance Database'!$L$2:$L$1960,MATCH(984,'Transfer Engine'!$C$2:$C$1960,0)))</f>
        <v/>
      </c>
      <c r="M993" s="9">
        <f>IF(ISNA(MATCH(984,'Transfer Engine'!$C$2:$C$1960,0)),"",INDEX('Compliance Database'!$M$2:$M$1960,MATCH(984,'Transfer Engine'!$C$2:$C$1960,0)))</f>
        <v/>
      </c>
      <c r="N993" s="9">
        <f>IF(ISNA(MATCH(984,'Transfer Engine'!$C$2:$C$1960,0)),"",INDEX('Compliance Database'!$N$2:$N$1960,MATCH(984,'Transfer Engine'!$C$2:$C$1960,0)))</f>
        <v/>
      </c>
      <c r="O993" s="9">
        <f>IF(ISNA(MATCH(984,'Transfer Engine'!$C$2:$C$1960,0)),"",INDEX('Compliance Database'!$O$2:$O$1960,MATCH(984,'Transfer Engine'!$C$2:$C$1960,0)))</f>
        <v/>
      </c>
      <c r="P993" s="8">
        <f>IF(ISNA(MATCH(984,'Transfer Engine'!$C$2:$C$1960,0)),"",HYPERLINK("#Acts!A"&amp;INDEX('Compliance Database'!$P$2:$P$1960,MATCH(984,'Transfer Engine'!$C$2:$C$1960,0)),"Go to Act"))</f>
        <v/>
      </c>
    </row>
    <row r="994" ht="158" customHeight="1">
      <c r="A994" s="8">
        <f>IF(ISNA(MATCH(985,'Transfer Engine'!$C$2:$C$1960,0)),"",INDEX('Compliance Database'!$A$2:$A$1960,MATCH(985,'Transfer Engine'!$C$2:$C$1960,0)))</f>
        <v/>
      </c>
      <c r="B994" s="8">
        <f>IF(ISNA(MATCH(985,'Transfer Engine'!$C$2:$C$1960,0)),"",INDEX('Compliance Database'!$B$2:$B$1960,MATCH(985,'Transfer Engine'!$C$2:$C$1960,0)))</f>
        <v/>
      </c>
      <c r="C994" s="8">
        <f>IF(ISNA(MATCH(985,'Transfer Engine'!$C$2:$C$1960,0)),"",INDEX('Compliance Database'!$C$2:$C$1960,MATCH(985,'Transfer Engine'!$C$2:$C$1960,0)))</f>
        <v/>
      </c>
      <c r="D994" s="9">
        <f>IF(ISNA(MATCH(985,'Transfer Engine'!$C$2:$C$1960,0)),"",INDEX('Compliance Database'!$D$2:$D$1960,MATCH(985,'Transfer Engine'!$C$2:$C$1960,0)))</f>
        <v/>
      </c>
      <c r="E994" s="8">
        <f>IF(ISNA(MATCH(985,'Transfer Engine'!$C$2:$C$1960,0)),"",INDEX('Compliance Database'!$E$2:$E$1960,MATCH(985,'Transfer Engine'!$C$2:$C$1960,0)))</f>
        <v/>
      </c>
      <c r="F994" s="8">
        <f>IF(ISNA(MATCH(985,'Transfer Engine'!$C$2:$C$1960,0)),"",INDEX('Compliance Database'!$F$2:$F$1960,MATCH(985,'Transfer Engine'!$C$2:$C$1960,0)))</f>
        <v/>
      </c>
      <c r="G994" s="8">
        <f>IF(ISNA(MATCH(985,'Transfer Engine'!$C$2:$C$1960,0)),"",INDEX('Compliance Database'!$G$2:$G$1960,MATCH(985,'Transfer Engine'!$C$2:$C$1960,0)))</f>
        <v/>
      </c>
      <c r="H994" s="9">
        <f>IF(ISNA(MATCH(985,'Transfer Engine'!$C$2:$C$1960,0)),"",INDEX('Compliance Database'!$H$2:$H$1960,MATCH(985,'Transfer Engine'!$C$2:$C$1960,0)))</f>
        <v/>
      </c>
      <c r="I994" s="9">
        <f>IF(ISNA(MATCH(985,'Transfer Engine'!$C$2:$C$1960,0)),"",INDEX('Compliance Database'!$I$2:$I$1960,MATCH(985,'Transfer Engine'!$C$2:$C$1960,0)))</f>
        <v/>
      </c>
      <c r="J994" s="8">
        <f>IF(ISNA(MATCH(985,'Transfer Engine'!$C$2:$C$1960,0)),"",INDEX('Compliance Database'!$J$2:$J$1960,MATCH(985,'Transfer Engine'!$C$2:$C$1960,0)))</f>
        <v/>
      </c>
      <c r="K994" s="9">
        <f>IF(ISNA(MATCH(985,'Transfer Engine'!$C$2:$C$1960,0)),"",INDEX('Compliance Database'!$K$2:$K$1960,MATCH(985,'Transfer Engine'!$C$2:$C$1960,0)))</f>
        <v/>
      </c>
      <c r="L994" s="9">
        <f>IF(ISNA(MATCH(985,'Transfer Engine'!$C$2:$C$1960,0)),"",INDEX('Compliance Database'!$L$2:$L$1960,MATCH(985,'Transfer Engine'!$C$2:$C$1960,0)))</f>
        <v/>
      </c>
      <c r="M994" s="9">
        <f>IF(ISNA(MATCH(985,'Transfer Engine'!$C$2:$C$1960,0)),"",INDEX('Compliance Database'!$M$2:$M$1960,MATCH(985,'Transfer Engine'!$C$2:$C$1960,0)))</f>
        <v/>
      </c>
      <c r="N994" s="9">
        <f>IF(ISNA(MATCH(985,'Transfer Engine'!$C$2:$C$1960,0)),"",INDEX('Compliance Database'!$N$2:$N$1960,MATCH(985,'Transfer Engine'!$C$2:$C$1960,0)))</f>
        <v/>
      </c>
      <c r="O994" s="9">
        <f>IF(ISNA(MATCH(985,'Transfer Engine'!$C$2:$C$1960,0)),"",INDEX('Compliance Database'!$O$2:$O$1960,MATCH(985,'Transfer Engine'!$C$2:$C$1960,0)))</f>
        <v/>
      </c>
      <c r="P994" s="8">
        <f>IF(ISNA(MATCH(985,'Transfer Engine'!$C$2:$C$1960,0)),"",HYPERLINK("#Acts!A"&amp;INDEX('Compliance Database'!$P$2:$P$1960,MATCH(985,'Transfer Engine'!$C$2:$C$1960,0)),"Go to Act"))</f>
        <v/>
      </c>
    </row>
    <row r="995" ht="158" customHeight="1">
      <c r="A995" s="8">
        <f>IF(ISNA(MATCH(986,'Transfer Engine'!$C$2:$C$1960,0)),"",INDEX('Compliance Database'!$A$2:$A$1960,MATCH(986,'Transfer Engine'!$C$2:$C$1960,0)))</f>
        <v/>
      </c>
      <c r="B995" s="8">
        <f>IF(ISNA(MATCH(986,'Transfer Engine'!$C$2:$C$1960,0)),"",INDEX('Compliance Database'!$B$2:$B$1960,MATCH(986,'Transfer Engine'!$C$2:$C$1960,0)))</f>
        <v/>
      </c>
      <c r="C995" s="8">
        <f>IF(ISNA(MATCH(986,'Transfer Engine'!$C$2:$C$1960,0)),"",INDEX('Compliance Database'!$C$2:$C$1960,MATCH(986,'Transfer Engine'!$C$2:$C$1960,0)))</f>
        <v/>
      </c>
      <c r="D995" s="9">
        <f>IF(ISNA(MATCH(986,'Transfer Engine'!$C$2:$C$1960,0)),"",INDEX('Compliance Database'!$D$2:$D$1960,MATCH(986,'Transfer Engine'!$C$2:$C$1960,0)))</f>
        <v/>
      </c>
      <c r="E995" s="8">
        <f>IF(ISNA(MATCH(986,'Transfer Engine'!$C$2:$C$1960,0)),"",INDEX('Compliance Database'!$E$2:$E$1960,MATCH(986,'Transfer Engine'!$C$2:$C$1960,0)))</f>
        <v/>
      </c>
      <c r="F995" s="8">
        <f>IF(ISNA(MATCH(986,'Transfer Engine'!$C$2:$C$1960,0)),"",INDEX('Compliance Database'!$F$2:$F$1960,MATCH(986,'Transfer Engine'!$C$2:$C$1960,0)))</f>
        <v/>
      </c>
      <c r="G995" s="8">
        <f>IF(ISNA(MATCH(986,'Transfer Engine'!$C$2:$C$1960,0)),"",INDEX('Compliance Database'!$G$2:$G$1960,MATCH(986,'Transfer Engine'!$C$2:$C$1960,0)))</f>
        <v/>
      </c>
      <c r="H995" s="9">
        <f>IF(ISNA(MATCH(986,'Transfer Engine'!$C$2:$C$1960,0)),"",INDEX('Compliance Database'!$H$2:$H$1960,MATCH(986,'Transfer Engine'!$C$2:$C$1960,0)))</f>
        <v/>
      </c>
      <c r="I995" s="9">
        <f>IF(ISNA(MATCH(986,'Transfer Engine'!$C$2:$C$1960,0)),"",INDEX('Compliance Database'!$I$2:$I$1960,MATCH(986,'Transfer Engine'!$C$2:$C$1960,0)))</f>
        <v/>
      </c>
      <c r="J995" s="8">
        <f>IF(ISNA(MATCH(986,'Transfer Engine'!$C$2:$C$1960,0)),"",INDEX('Compliance Database'!$J$2:$J$1960,MATCH(986,'Transfer Engine'!$C$2:$C$1960,0)))</f>
        <v/>
      </c>
      <c r="K995" s="9">
        <f>IF(ISNA(MATCH(986,'Transfer Engine'!$C$2:$C$1960,0)),"",INDEX('Compliance Database'!$K$2:$K$1960,MATCH(986,'Transfer Engine'!$C$2:$C$1960,0)))</f>
        <v/>
      </c>
      <c r="L995" s="9">
        <f>IF(ISNA(MATCH(986,'Transfer Engine'!$C$2:$C$1960,0)),"",INDEX('Compliance Database'!$L$2:$L$1960,MATCH(986,'Transfer Engine'!$C$2:$C$1960,0)))</f>
        <v/>
      </c>
      <c r="M995" s="9">
        <f>IF(ISNA(MATCH(986,'Transfer Engine'!$C$2:$C$1960,0)),"",INDEX('Compliance Database'!$M$2:$M$1960,MATCH(986,'Transfer Engine'!$C$2:$C$1960,0)))</f>
        <v/>
      </c>
      <c r="N995" s="9">
        <f>IF(ISNA(MATCH(986,'Transfer Engine'!$C$2:$C$1960,0)),"",INDEX('Compliance Database'!$N$2:$N$1960,MATCH(986,'Transfer Engine'!$C$2:$C$1960,0)))</f>
        <v/>
      </c>
      <c r="O995" s="9">
        <f>IF(ISNA(MATCH(986,'Transfer Engine'!$C$2:$C$1960,0)),"",INDEX('Compliance Database'!$O$2:$O$1960,MATCH(986,'Transfer Engine'!$C$2:$C$1960,0)))</f>
        <v/>
      </c>
      <c r="P995" s="8">
        <f>IF(ISNA(MATCH(986,'Transfer Engine'!$C$2:$C$1960,0)),"",HYPERLINK("#Acts!A"&amp;INDEX('Compliance Database'!$P$2:$P$1960,MATCH(986,'Transfer Engine'!$C$2:$C$1960,0)),"Go to Act"))</f>
        <v/>
      </c>
    </row>
    <row r="996" ht="158" customHeight="1">
      <c r="A996" s="8">
        <f>IF(ISNA(MATCH(987,'Transfer Engine'!$C$2:$C$1960,0)),"",INDEX('Compliance Database'!$A$2:$A$1960,MATCH(987,'Transfer Engine'!$C$2:$C$1960,0)))</f>
        <v/>
      </c>
      <c r="B996" s="8">
        <f>IF(ISNA(MATCH(987,'Transfer Engine'!$C$2:$C$1960,0)),"",INDEX('Compliance Database'!$B$2:$B$1960,MATCH(987,'Transfer Engine'!$C$2:$C$1960,0)))</f>
        <v/>
      </c>
      <c r="C996" s="8">
        <f>IF(ISNA(MATCH(987,'Transfer Engine'!$C$2:$C$1960,0)),"",INDEX('Compliance Database'!$C$2:$C$1960,MATCH(987,'Transfer Engine'!$C$2:$C$1960,0)))</f>
        <v/>
      </c>
      <c r="D996" s="9">
        <f>IF(ISNA(MATCH(987,'Transfer Engine'!$C$2:$C$1960,0)),"",INDEX('Compliance Database'!$D$2:$D$1960,MATCH(987,'Transfer Engine'!$C$2:$C$1960,0)))</f>
        <v/>
      </c>
      <c r="E996" s="8">
        <f>IF(ISNA(MATCH(987,'Transfer Engine'!$C$2:$C$1960,0)),"",INDEX('Compliance Database'!$E$2:$E$1960,MATCH(987,'Transfer Engine'!$C$2:$C$1960,0)))</f>
        <v/>
      </c>
      <c r="F996" s="8">
        <f>IF(ISNA(MATCH(987,'Transfer Engine'!$C$2:$C$1960,0)),"",INDEX('Compliance Database'!$F$2:$F$1960,MATCH(987,'Transfer Engine'!$C$2:$C$1960,0)))</f>
        <v/>
      </c>
      <c r="G996" s="8">
        <f>IF(ISNA(MATCH(987,'Transfer Engine'!$C$2:$C$1960,0)),"",INDEX('Compliance Database'!$G$2:$G$1960,MATCH(987,'Transfer Engine'!$C$2:$C$1960,0)))</f>
        <v/>
      </c>
      <c r="H996" s="9">
        <f>IF(ISNA(MATCH(987,'Transfer Engine'!$C$2:$C$1960,0)),"",INDEX('Compliance Database'!$H$2:$H$1960,MATCH(987,'Transfer Engine'!$C$2:$C$1960,0)))</f>
        <v/>
      </c>
      <c r="I996" s="9">
        <f>IF(ISNA(MATCH(987,'Transfer Engine'!$C$2:$C$1960,0)),"",INDEX('Compliance Database'!$I$2:$I$1960,MATCH(987,'Transfer Engine'!$C$2:$C$1960,0)))</f>
        <v/>
      </c>
      <c r="J996" s="8">
        <f>IF(ISNA(MATCH(987,'Transfer Engine'!$C$2:$C$1960,0)),"",INDEX('Compliance Database'!$J$2:$J$1960,MATCH(987,'Transfer Engine'!$C$2:$C$1960,0)))</f>
        <v/>
      </c>
      <c r="K996" s="9">
        <f>IF(ISNA(MATCH(987,'Transfer Engine'!$C$2:$C$1960,0)),"",INDEX('Compliance Database'!$K$2:$K$1960,MATCH(987,'Transfer Engine'!$C$2:$C$1960,0)))</f>
        <v/>
      </c>
      <c r="L996" s="9">
        <f>IF(ISNA(MATCH(987,'Transfer Engine'!$C$2:$C$1960,0)),"",INDEX('Compliance Database'!$L$2:$L$1960,MATCH(987,'Transfer Engine'!$C$2:$C$1960,0)))</f>
        <v/>
      </c>
      <c r="M996" s="9">
        <f>IF(ISNA(MATCH(987,'Transfer Engine'!$C$2:$C$1960,0)),"",INDEX('Compliance Database'!$M$2:$M$1960,MATCH(987,'Transfer Engine'!$C$2:$C$1960,0)))</f>
        <v/>
      </c>
      <c r="N996" s="9">
        <f>IF(ISNA(MATCH(987,'Transfer Engine'!$C$2:$C$1960,0)),"",INDEX('Compliance Database'!$N$2:$N$1960,MATCH(987,'Transfer Engine'!$C$2:$C$1960,0)))</f>
        <v/>
      </c>
      <c r="O996" s="9">
        <f>IF(ISNA(MATCH(987,'Transfer Engine'!$C$2:$C$1960,0)),"",INDEX('Compliance Database'!$O$2:$O$1960,MATCH(987,'Transfer Engine'!$C$2:$C$1960,0)))</f>
        <v/>
      </c>
      <c r="P996" s="8">
        <f>IF(ISNA(MATCH(987,'Transfer Engine'!$C$2:$C$1960,0)),"",HYPERLINK("#Acts!A"&amp;INDEX('Compliance Database'!$P$2:$P$1960,MATCH(987,'Transfer Engine'!$C$2:$C$1960,0)),"Go to Act"))</f>
        <v/>
      </c>
    </row>
    <row r="997" ht="158" customHeight="1">
      <c r="A997" s="8">
        <f>IF(ISNA(MATCH(988,'Transfer Engine'!$C$2:$C$1960,0)),"",INDEX('Compliance Database'!$A$2:$A$1960,MATCH(988,'Transfer Engine'!$C$2:$C$1960,0)))</f>
        <v/>
      </c>
      <c r="B997" s="8">
        <f>IF(ISNA(MATCH(988,'Transfer Engine'!$C$2:$C$1960,0)),"",INDEX('Compliance Database'!$B$2:$B$1960,MATCH(988,'Transfer Engine'!$C$2:$C$1960,0)))</f>
        <v/>
      </c>
      <c r="C997" s="8">
        <f>IF(ISNA(MATCH(988,'Transfer Engine'!$C$2:$C$1960,0)),"",INDEX('Compliance Database'!$C$2:$C$1960,MATCH(988,'Transfer Engine'!$C$2:$C$1960,0)))</f>
        <v/>
      </c>
      <c r="D997" s="9">
        <f>IF(ISNA(MATCH(988,'Transfer Engine'!$C$2:$C$1960,0)),"",INDEX('Compliance Database'!$D$2:$D$1960,MATCH(988,'Transfer Engine'!$C$2:$C$1960,0)))</f>
        <v/>
      </c>
      <c r="E997" s="8">
        <f>IF(ISNA(MATCH(988,'Transfer Engine'!$C$2:$C$1960,0)),"",INDEX('Compliance Database'!$E$2:$E$1960,MATCH(988,'Transfer Engine'!$C$2:$C$1960,0)))</f>
        <v/>
      </c>
      <c r="F997" s="8">
        <f>IF(ISNA(MATCH(988,'Transfer Engine'!$C$2:$C$1960,0)),"",INDEX('Compliance Database'!$F$2:$F$1960,MATCH(988,'Transfer Engine'!$C$2:$C$1960,0)))</f>
        <v/>
      </c>
      <c r="G997" s="8">
        <f>IF(ISNA(MATCH(988,'Transfer Engine'!$C$2:$C$1960,0)),"",INDEX('Compliance Database'!$G$2:$G$1960,MATCH(988,'Transfer Engine'!$C$2:$C$1960,0)))</f>
        <v/>
      </c>
      <c r="H997" s="9">
        <f>IF(ISNA(MATCH(988,'Transfer Engine'!$C$2:$C$1960,0)),"",INDEX('Compliance Database'!$H$2:$H$1960,MATCH(988,'Transfer Engine'!$C$2:$C$1960,0)))</f>
        <v/>
      </c>
      <c r="I997" s="9">
        <f>IF(ISNA(MATCH(988,'Transfer Engine'!$C$2:$C$1960,0)),"",INDEX('Compliance Database'!$I$2:$I$1960,MATCH(988,'Transfer Engine'!$C$2:$C$1960,0)))</f>
        <v/>
      </c>
      <c r="J997" s="8">
        <f>IF(ISNA(MATCH(988,'Transfer Engine'!$C$2:$C$1960,0)),"",INDEX('Compliance Database'!$J$2:$J$1960,MATCH(988,'Transfer Engine'!$C$2:$C$1960,0)))</f>
        <v/>
      </c>
      <c r="K997" s="9">
        <f>IF(ISNA(MATCH(988,'Transfer Engine'!$C$2:$C$1960,0)),"",INDEX('Compliance Database'!$K$2:$K$1960,MATCH(988,'Transfer Engine'!$C$2:$C$1960,0)))</f>
        <v/>
      </c>
      <c r="L997" s="9">
        <f>IF(ISNA(MATCH(988,'Transfer Engine'!$C$2:$C$1960,0)),"",INDEX('Compliance Database'!$L$2:$L$1960,MATCH(988,'Transfer Engine'!$C$2:$C$1960,0)))</f>
        <v/>
      </c>
      <c r="M997" s="9">
        <f>IF(ISNA(MATCH(988,'Transfer Engine'!$C$2:$C$1960,0)),"",INDEX('Compliance Database'!$M$2:$M$1960,MATCH(988,'Transfer Engine'!$C$2:$C$1960,0)))</f>
        <v/>
      </c>
      <c r="N997" s="9">
        <f>IF(ISNA(MATCH(988,'Transfer Engine'!$C$2:$C$1960,0)),"",INDEX('Compliance Database'!$N$2:$N$1960,MATCH(988,'Transfer Engine'!$C$2:$C$1960,0)))</f>
        <v/>
      </c>
      <c r="O997" s="9">
        <f>IF(ISNA(MATCH(988,'Transfer Engine'!$C$2:$C$1960,0)),"",INDEX('Compliance Database'!$O$2:$O$1960,MATCH(988,'Transfer Engine'!$C$2:$C$1960,0)))</f>
        <v/>
      </c>
      <c r="P997" s="8">
        <f>IF(ISNA(MATCH(988,'Transfer Engine'!$C$2:$C$1960,0)),"",HYPERLINK("#Acts!A"&amp;INDEX('Compliance Database'!$P$2:$P$1960,MATCH(988,'Transfer Engine'!$C$2:$C$1960,0)),"Go to Act"))</f>
        <v/>
      </c>
    </row>
    <row r="998" ht="158" customHeight="1">
      <c r="A998" s="8">
        <f>IF(ISNA(MATCH(989,'Transfer Engine'!$C$2:$C$1960,0)),"",INDEX('Compliance Database'!$A$2:$A$1960,MATCH(989,'Transfer Engine'!$C$2:$C$1960,0)))</f>
        <v/>
      </c>
      <c r="B998" s="8">
        <f>IF(ISNA(MATCH(989,'Transfer Engine'!$C$2:$C$1960,0)),"",INDEX('Compliance Database'!$B$2:$B$1960,MATCH(989,'Transfer Engine'!$C$2:$C$1960,0)))</f>
        <v/>
      </c>
      <c r="C998" s="8">
        <f>IF(ISNA(MATCH(989,'Transfer Engine'!$C$2:$C$1960,0)),"",INDEX('Compliance Database'!$C$2:$C$1960,MATCH(989,'Transfer Engine'!$C$2:$C$1960,0)))</f>
        <v/>
      </c>
      <c r="D998" s="9">
        <f>IF(ISNA(MATCH(989,'Transfer Engine'!$C$2:$C$1960,0)),"",INDEX('Compliance Database'!$D$2:$D$1960,MATCH(989,'Transfer Engine'!$C$2:$C$1960,0)))</f>
        <v/>
      </c>
      <c r="E998" s="8">
        <f>IF(ISNA(MATCH(989,'Transfer Engine'!$C$2:$C$1960,0)),"",INDEX('Compliance Database'!$E$2:$E$1960,MATCH(989,'Transfer Engine'!$C$2:$C$1960,0)))</f>
        <v/>
      </c>
      <c r="F998" s="8">
        <f>IF(ISNA(MATCH(989,'Transfer Engine'!$C$2:$C$1960,0)),"",INDEX('Compliance Database'!$F$2:$F$1960,MATCH(989,'Transfer Engine'!$C$2:$C$1960,0)))</f>
        <v/>
      </c>
      <c r="G998" s="8">
        <f>IF(ISNA(MATCH(989,'Transfer Engine'!$C$2:$C$1960,0)),"",INDEX('Compliance Database'!$G$2:$G$1960,MATCH(989,'Transfer Engine'!$C$2:$C$1960,0)))</f>
        <v/>
      </c>
      <c r="H998" s="9">
        <f>IF(ISNA(MATCH(989,'Transfer Engine'!$C$2:$C$1960,0)),"",INDEX('Compliance Database'!$H$2:$H$1960,MATCH(989,'Transfer Engine'!$C$2:$C$1960,0)))</f>
        <v/>
      </c>
      <c r="I998" s="9">
        <f>IF(ISNA(MATCH(989,'Transfer Engine'!$C$2:$C$1960,0)),"",INDEX('Compliance Database'!$I$2:$I$1960,MATCH(989,'Transfer Engine'!$C$2:$C$1960,0)))</f>
        <v/>
      </c>
      <c r="J998" s="8">
        <f>IF(ISNA(MATCH(989,'Transfer Engine'!$C$2:$C$1960,0)),"",INDEX('Compliance Database'!$J$2:$J$1960,MATCH(989,'Transfer Engine'!$C$2:$C$1960,0)))</f>
        <v/>
      </c>
      <c r="K998" s="9">
        <f>IF(ISNA(MATCH(989,'Transfer Engine'!$C$2:$C$1960,0)),"",INDEX('Compliance Database'!$K$2:$K$1960,MATCH(989,'Transfer Engine'!$C$2:$C$1960,0)))</f>
        <v/>
      </c>
      <c r="L998" s="9">
        <f>IF(ISNA(MATCH(989,'Transfer Engine'!$C$2:$C$1960,0)),"",INDEX('Compliance Database'!$L$2:$L$1960,MATCH(989,'Transfer Engine'!$C$2:$C$1960,0)))</f>
        <v/>
      </c>
      <c r="M998" s="9">
        <f>IF(ISNA(MATCH(989,'Transfer Engine'!$C$2:$C$1960,0)),"",INDEX('Compliance Database'!$M$2:$M$1960,MATCH(989,'Transfer Engine'!$C$2:$C$1960,0)))</f>
        <v/>
      </c>
      <c r="N998" s="9">
        <f>IF(ISNA(MATCH(989,'Transfer Engine'!$C$2:$C$1960,0)),"",INDEX('Compliance Database'!$N$2:$N$1960,MATCH(989,'Transfer Engine'!$C$2:$C$1960,0)))</f>
        <v/>
      </c>
      <c r="O998" s="9">
        <f>IF(ISNA(MATCH(989,'Transfer Engine'!$C$2:$C$1960,0)),"",INDEX('Compliance Database'!$O$2:$O$1960,MATCH(989,'Transfer Engine'!$C$2:$C$1960,0)))</f>
        <v/>
      </c>
      <c r="P998" s="8">
        <f>IF(ISNA(MATCH(989,'Transfer Engine'!$C$2:$C$1960,0)),"",HYPERLINK("#Acts!A"&amp;INDEX('Compliance Database'!$P$2:$P$1960,MATCH(989,'Transfer Engine'!$C$2:$C$1960,0)),"Go to Act"))</f>
        <v/>
      </c>
    </row>
    <row r="999" ht="158" customHeight="1">
      <c r="A999" s="8">
        <f>IF(ISNA(MATCH(990,'Transfer Engine'!$C$2:$C$1960,0)),"",INDEX('Compliance Database'!$A$2:$A$1960,MATCH(990,'Transfer Engine'!$C$2:$C$1960,0)))</f>
        <v/>
      </c>
      <c r="B999" s="8">
        <f>IF(ISNA(MATCH(990,'Transfer Engine'!$C$2:$C$1960,0)),"",INDEX('Compliance Database'!$B$2:$B$1960,MATCH(990,'Transfer Engine'!$C$2:$C$1960,0)))</f>
        <v/>
      </c>
      <c r="C999" s="8">
        <f>IF(ISNA(MATCH(990,'Transfer Engine'!$C$2:$C$1960,0)),"",INDEX('Compliance Database'!$C$2:$C$1960,MATCH(990,'Transfer Engine'!$C$2:$C$1960,0)))</f>
        <v/>
      </c>
      <c r="D999" s="9">
        <f>IF(ISNA(MATCH(990,'Transfer Engine'!$C$2:$C$1960,0)),"",INDEX('Compliance Database'!$D$2:$D$1960,MATCH(990,'Transfer Engine'!$C$2:$C$1960,0)))</f>
        <v/>
      </c>
      <c r="E999" s="8">
        <f>IF(ISNA(MATCH(990,'Transfer Engine'!$C$2:$C$1960,0)),"",INDEX('Compliance Database'!$E$2:$E$1960,MATCH(990,'Transfer Engine'!$C$2:$C$1960,0)))</f>
        <v/>
      </c>
      <c r="F999" s="8">
        <f>IF(ISNA(MATCH(990,'Transfer Engine'!$C$2:$C$1960,0)),"",INDEX('Compliance Database'!$F$2:$F$1960,MATCH(990,'Transfer Engine'!$C$2:$C$1960,0)))</f>
        <v/>
      </c>
      <c r="G999" s="8">
        <f>IF(ISNA(MATCH(990,'Transfer Engine'!$C$2:$C$1960,0)),"",INDEX('Compliance Database'!$G$2:$G$1960,MATCH(990,'Transfer Engine'!$C$2:$C$1960,0)))</f>
        <v/>
      </c>
      <c r="H999" s="9">
        <f>IF(ISNA(MATCH(990,'Transfer Engine'!$C$2:$C$1960,0)),"",INDEX('Compliance Database'!$H$2:$H$1960,MATCH(990,'Transfer Engine'!$C$2:$C$1960,0)))</f>
        <v/>
      </c>
      <c r="I999" s="9">
        <f>IF(ISNA(MATCH(990,'Transfer Engine'!$C$2:$C$1960,0)),"",INDEX('Compliance Database'!$I$2:$I$1960,MATCH(990,'Transfer Engine'!$C$2:$C$1960,0)))</f>
        <v/>
      </c>
      <c r="J999" s="8">
        <f>IF(ISNA(MATCH(990,'Transfer Engine'!$C$2:$C$1960,0)),"",INDEX('Compliance Database'!$J$2:$J$1960,MATCH(990,'Transfer Engine'!$C$2:$C$1960,0)))</f>
        <v/>
      </c>
      <c r="K999" s="9">
        <f>IF(ISNA(MATCH(990,'Transfer Engine'!$C$2:$C$1960,0)),"",INDEX('Compliance Database'!$K$2:$K$1960,MATCH(990,'Transfer Engine'!$C$2:$C$1960,0)))</f>
        <v/>
      </c>
      <c r="L999" s="9">
        <f>IF(ISNA(MATCH(990,'Transfer Engine'!$C$2:$C$1960,0)),"",INDEX('Compliance Database'!$L$2:$L$1960,MATCH(990,'Transfer Engine'!$C$2:$C$1960,0)))</f>
        <v/>
      </c>
      <c r="M999" s="9">
        <f>IF(ISNA(MATCH(990,'Transfer Engine'!$C$2:$C$1960,0)),"",INDEX('Compliance Database'!$M$2:$M$1960,MATCH(990,'Transfer Engine'!$C$2:$C$1960,0)))</f>
        <v/>
      </c>
      <c r="N999" s="9">
        <f>IF(ISNA(MATCH(990,'Transfer Engine'!$C$2:$C$1960,0)),"",INDEX('Compliance Database'!$N$2:$N$1960,MATCH(990,'Transfer Engine'!$C$2:$C$1960,0)))</f>
        <v/>
      </c>
      <c r="O999" s="9">
        <f>IF(ISNA(MATCH(990,'Transfer Engine'!$C$2:$C$1960,0)),"",INDEX('Compliance Database'!$O$2:$O$1960,MATCH(990,'Transfer Engine'!$C$2:$C$1960,0)))</f>
        <v/>
      </c>
      <c r="P999" s="8">
        <f>IF(ISNA(MATCH(990,'Transfer Engine'!$C$2:$C$1960,0)),"",HYPERLINK("#Acts!A"&amp;INDEX('Compliance Database'!$P$2:$P$1960,MATCH(990,'Transfer Engine'!$C$2:$C$1960,0)),"Go to Act"))</f>
        <v/>
      </c>
    </row>
    <row r="1000" ht="158" customHeight="1">
      <c r="A1000" s="8">
        <f>IF(ISNA(MATCH(991,'Transfer Engine'!$C$2:$C$1960,0)),"",INDEX('Compliance Database'!$A$2:$A$1960,MATCH(991,'Transfer Engine'!$C$2:$C$1960,0)))</f>
        <v/>
      </c>
      <c r="B1000" s="8">
        <f>IF(ISNA(MATCH(991,'Transfer Engine'!$C$2:$C$1960,0)),"",INDEX('Compliance Database'!$B$2:$B$1960,MATCH(991,'Transfer Engine'!$C$2:$C$1960,0)))</f>
        <v/>
      </c>
      <c r="C1000" s="8">
        <f>IF(ISNA(MATCH(991,'Transfer Engine'!$C$2:$C$1960,0)),"",INDEX('Compliance Database'!$C$2:$C$1960,MATCH(991,'Transfer Engine'!$C$2:$C$1960,0)))</f>
        <v/>
      </c>
      <c r="D1000" s="9">
        <f>IF(ISNA(MATCH(991,'Transfer Engine'!$C$2:$C$1960,0)),"",INDEX('Compliance Database'!$D$2:$D$1960,MATCH(991,'Transfer Engine'!$C$2:$C$1960,0)))</f>
        <v/>
      </c>
      <c r="E1000" s="8">
        <f>IF(ISNA(MATCH(991,'Transfer Engine'!$C$2:$C$1960,0)),"",INDEX('Compliance Database'!$E$2:$E$1960,MATCH(991,'Transfer Engine'!$C$2:$C$1960,0)))</f>
        <v/>
      </c>
      <c r="F1000" s="8">
        <f>IF(ISNA(MATCH(991,'Transfer Engine'!$C$2:$C$1960,0)),"",INDEX('Compliance Database'!$F$2:$F$1960,MATCH(991,'Transfer Engine'!$C$2:$C$1960,0)))</f>
        <v/>
      </c>
      <c r="G1000" s="8">
        <f>IF(ISNA(MATCH(991,'Transfer Engine'!$C$2:$C$1960,0)),"",INDEX('Compliance Database'!$G$2:$G$1960,MATCH(991,'Transfer Engine'!$C$2:$C$1960,0)))</f>
        <v/>
      </c>
      <c r="H1000" s="9">
        <f>IF(ISNA(MATCH(991,'Transfer Engine'!$C$2:$C$1960,0)),"",INDEX('Compliance Database'!$H$2:$H$1960,MATCH(991,'Transfer Engine'!$C$2:$C$1960,0)))</f>
        <v/>
      </c>
      <c r="I1000" s="9">
        <f>IF(ISNA(MATCH(991,'Transfer Engine'!$C$2:$C$1960,0)),"",INDEX('Compliance Database'!$I$2:$I$1960,MATCH(991,'Transfer Engine'!$C$2:$C$1960,0)))</f>
        <v/>
      </c>
      <c r="J1000" s="8">
        <f>IF(ISNA(MATCH(991,'Transfer Engine'!$C$2:$C$1960,0)),"",INDEX('Compliance Database'!$J$2:$J$1960,MATCH(991,'Transfer Engine'!$C$2:$C$1960,0)))</f>
        <v/>
      </c>
      <c r="K1000" s="9">
        <f>IF(ISNA(MATCH(991,'Transfer Engine'!$C$2:$C$1960,0)),"",INDEX('Compliance Database'!$K$2:$K$1960,MATCH(991,'Transfer Engine'!$C$2:$C$1960,0)))</f>
        <v/>
      </c>
      <c r="L1000" s="9">
        <f>IF(ISNA(MATCH(991,'Transfer Engine'!$C$2:$C$1960,0)),"",INDEX('Compliance Database'!$L$2:$L$1960,MATCH(991,'Transfer Engine'!$C$2:$C$1960,0)))</f>
        <v/>
      </c>
      <c r="M1000" s="9">
        <f>IF(ISNA(MATCH(991,'Transfer Engine'!$C$2:$C$1960,0)),"",INDEX('Compliance Database'!$M$2:$M$1960,MATCH(991,'Transfer Engine'!$C$2:$C$1960,0)))</f>
        <v/>
      </c>
      <c r="N1000" s="9">
        <f>IF(ISNA(MATCH(991,'Transfer Engine'!$C$2:$C$1960,0)),"",INDEX('Compliance Database'!$N$2:$N$1960,MATCH(991,'Transfer Engine'!$C$2:$C$1960,0)))</f>
        <v/>
      </c>
      <c r="O1000" s="9">
        <f>IF(ISNA(MATCH(991,'Transfer Engine'!$C$2:$C$1960,0)),"",INDEX('Compliance Database'!$O$2:$O$1960,MATCH(991,'Transfer Engine'!$C$2:$C$1960,0)))</f>
        <v/>
      </c>
      <c r="P1000" s="8">
        <f>IF(ISNA(MATCH(991,'Transfer Engine'!$C$2:$C$1960,0)),"",HYPERLINK("#Acts!A"&amp;INDEX('Compliance Database'!$P$2:$P$1960,MATCH(991,'Transfer Engine'!$C$2:$C$1960,0)),"Go to Act"))</f>
        <v/>
      </c>
    </row>
    <row r="1001" ht="158" customHeight="1">
      <c r="A1001" s="8">
        <f>IF(ISNA(MATCH(992,'Transfer Engine'!$C$2:$C$1960,0)),"",INDEX('Compliance Database'!$A$2:$A$1960,MATCH(992,'Transfer Engine'!$C$2:$C$1960,0)))</f>
        <v/>
      </c>
      <c r="B1001" s="8">
        <f>IF(ISNA(MATCH(992,'Transfer Engine'!$C$2:$C$1960,0)),"",INDEX('Compliance Database'!$B$2:$B$1960,MATCH(992,'Transfer Engine'!$C$2:$C$1960,0)))</f>
        <v/>
      </c>
      <c r="C1001" s="8">
        <f>IF(ISNA(MATCH(992,'Transfer Engine'!$C$2:$C$1960,0)),"",INDEX('Compliance Database'!$C$2:$C$1960,MATCH(992,'Transfer Engine'!$C$2:$C$1960,0)))</f>
        <v/>
      </c>
      <c r="D1001" s="9">
        <f>IF(ISNA(MATCH(992,'Transfer Engine'!$C$2:$C$1960,0)),"",INDEX('Compliance Database'!$D$2:$D$1960,MATCH(992,'Transfer Engine'!$C$2:$C$1960,0)))</f>
        <v/>
      </c>
      <c r="E1001" s="8">
        <f>IF(ISNA(MATCH(992,'Transfer Engine'!$C$2:$C$1960,0)),"",INDEX('Compliance Database'!$E$2:$E$1960,MATCH(992,'Transfer Engine'!$C$2:$C$1960,0)))</f>
        <v/>
      </c>
      <c r="F1001" s="8">
        <f>IF(ISNA(MATCH(992,'Transfer Engine'!$C$2:$C$1960,0)),"",INDEX('Compliance Database'!$F$2:$F$1960,MATCH(992,'Transfer Engine'!$C$2:$C$1960,0)))</f>
        <v/>
      </c>
      <c r="G1001" s="8">
        <f>IF(ISNA(MATCH(992,'Transfer Engine'!$C$2:$C$1960,0)),"",INDEX('Compliance Database'!$G$2:$G$1960,MATCH(992,'Transfer Engine'!$C$2:$C$1960,0)))</f>
        <v/>
      </c>
      <c r="H1001" s="9">
        <f>IF(ISNA(MATCH(992,'Transfer Engine'!$C$2:$C$1960,0)),"",INDEX('Compliance Database'!$H$2:$H$1960,MATCH(992,'Transfer Engine'!$C$2:$C$1960,0)))</f>
        <v/>
      </c>
      <c r="I1001" s="9">
        <f>IF(ISNA(MATCH(992,'Transfer Engine'!$C$2:$C$1960,0)),"",INDEX('Compliance Database'!$I$2:$I$1960,MATCH(992,'Transfer Engine'!$C$2:$C$1960,0)))</f>
        <v/>
      </c>
      <c r="J1001" s="8">
        <f>IF(ISNA(MATCH(992,'Transfer Engine'!$C$2:$C$1960,0)),"",INDEX('Compliance Database'!$J$2:$J$1960,MATCH(992,'Transfer Engine'!$C$2:$C$1960,0)))</f>
        <v/>
      </c>
      <c r="K1001" s="9">
        <f>IF(ISNA(MATCH(992,'Transfer Engine'!$C$2:$C$1960,0)),"",INDEX('Compliance Database'!$K$2:$K$1960,MATCH(992,'Transfer Engine'!$C$2:$C$1960,0)))</f>
        <v/>
      </c>
      <c r="L1001" s="9">
        <f>IF(ISNA(MATCH(992,'Transfer Engine'!$C$2:$C$1960,0)),"",INDEX('Compliance Database'!$L$2:$L$1960,MATCH(992,'Transfer Engine'!$C$2:$C$1960,0)))</f>
        <v/>
      </c>
      <c r="M1001" s="9">
        <f>IF(ISNA(MATCH(992,'Transfer Engine'!$C$2:$C$1960,0)),"",INDEX('Compliance Database'!$M$2:$M$1960,MATCH(992,'Transfer Engine'!$C$2:$C$1960,0)))</f>
        <v/>
      </c>
      <c r="N1001" s="9">
        <f>IF(ISNA(MATCH(992,'Transfer Engine'!$C$2:$C$1960,0)),"",INDEX('Compliance Database'!$N$2:$N$1960,MATCH(992,'Transfer Engine'!$C$2:$C$1960,0)))</f>
        <v/>
      </c>
      <c r="O1001" s="9">
        <f>IF(ISNA(MATCH(992,'Transfer Engine'!$C$2:$C$1960,0)),"",INDEX('Compliance Database'!$O$2:$O$1960,MATCH(992,'Transfer Engine'!$C$2:$C$1960,0)))</f>
        <v/>
      </c>
      <c r="P1001" s="8">
        <f>IF(ISNA(MATCH(992,'Transfer Engine'!$C$2:$C$1960,0)),"",HYPERLINK("#Acts!A"&amp;INDEX('Compliance Database'!$P$2:$P$1960,MATCH(992,'Transfer Engine'!$C$2:$C$1960,0)),"Go to Act"))</f>
        <v/>
      </c>
    </row>
    <row r="1002" ht="158" customHeight="1">
      <c r="A1002" s="8">
        <f>IF(ISNA(MATCH(993,'Transfer Engine'!$C$2:$C$1960,0)),"",INDEX('Compliance Database'!$A$2:$A$1960,MATCH(993,'Transfer Engine'!$C$2:$C$1960,0)))</f>
        <v/>
      </c>
      <c r="B1002" s="8">
        <f>IF(ISNA(MATCH(993,'Transfer Engine'!$C$2:$C$1960,0)),"",INDEX('Compliance Database'!$B$2:$B$1960,MATCH(993,'Transfer Engine'!$C$2:$C$1960,0)))</f>
        <v/>
      </c>
      <c r="C1002" s="8">
        <f>IF(ISNA(MATCH(993,'Transfer Engine'!$C$2:$C$1960,0)),"",INDEX('Compliance Database'!$C$2:$C$1960,MATCH(993,'Transfer Engine'!$C$2:$C$1960,0)))</f>
        <v/>
      </c>
      <c r="D1002" s="9">
        <f>IF(ISNA(MATCH(993,'Transfer Engine'!$C$2:$C$1960,0)),"",INDEX('Compliance Database'!$D$2:$D$1960,MATCH(993,'Transfer Engine'!$C$2:$C$1960,0)))</f>
        <v/>
      </c>
      <c r="E1002" s="8">
        <f>IF(ISNA(MATCH(993,'Transfer Engine'!$C$2:$C$1960,0)),"",INDEX('Compliance Database'!$E$2:$E$1960,MATCH(993,'Transfer Engine'!$C$2:$C$1960,0)))</f>
        <v/>
      </c>
      <c r="F1002" s="8">
        <f>IF(ISNA(MATCH(993,'Transfer Engine'!$C$2:$C$1960,0)),"",INDEX('Compliance Database'!$F$2:$F$1960,MATCH(993,'Transfer Engine'!$C$2:$C$1960,0)))</f>
        <v/>
      </c>
      <c r="G1002" s="8">
        <f>IF(ISNA(MATCH(993,'Transfer Engine'!$C$2:$C$1960,0)),"",INDEX('Compliance Database'!$G$2:$G$1960,MATCH(993,'Transfer Engine'!$C$2:$C$1960,0)))</f>
        <v/>
      </c>
      <c r="H1002" s="9">
        <f>IF(ISNA(MATCH(993,'Transfer Engine'!$C$2:$C$1960,0)),"",INDEX('Compliance Database'!$H$2:$H$1960,MATCH(993,'Transfer Engine'!$C$2:$C$1960,0)))</f>
        <v/>
      </c>
      <c r="I1002" s="9">
        <f>IF(ISNA(MATCH(993,'Transfer Engine'!$C$2:$C$1960,0)),"",INDEX('Compliance Database'!$I$2:$I$1960,MATCH(993,'Transfer Engine'!$C$2:$C$1960,0)))</f>
        <v/>
      </c>
      <c r="J1002" s="8">
        <f>IF(ISNA(MATCH(993,'Transfer Engine'!$C$2:$C$1960,0)),"",INDEX('Compliance Database'!$J$2:$J$1960,MATCH(993,'Transfer Engine'!$C$2:$C$1960,0)))</f>
        <v/>
      </c>
      <c r="K1002" s="9">
        <f>IF(ISNA(MATCH(993,'Transfer Engine'!$C$2:$C$1960,0)),"",INDEX('Compliance Database'!$K$2:$K$1960,MATCH(993,'Transfer Engine'!$C$2:$C$1960,0)))</f>
        <v/>
      </c>
      <c r="L1002" s="9">
        <f>IF(ISNA(MATCH(993,'Transfer Engine'!$C$2:$C$1960,0)),"",INDEX('Compliance Database'!$L$2:$L$1960,MATCH(993,'Transfer Engine'!$C$2:$C$1960,0)))</f>
        <v/>
      </c>
      <c r="M1002" s="9">
        <f>IF(ISNA(MATCH(993,'Transfer Engine'!$C$2:$C$1960,0)),"",INDEX('Compliance Database'!$M$2:$M$1960,MATCH(993,'Transfer Engine'!$C$2:$C$1960,0)))</f>
        <v/>
      </c>
      <c r="N1002" s="9">
        <f>IF(ISNA(MATCH(993,'Transfer Engine'!$C$2:$C$1960,0)),"",INDEX('Compliance Database'!$N$2:$N$1960,MATCH(993,'Transfer Engine'!$C$2:$C$1960,0)))</f>
        <v/>
      </c>
      <c r="O1002" s="9">
        <f>IF(ISNA(MATCH(993,'Transfer Engine'!$C$2:$C$1960,0)),"",INDEX('Compliance Database'!$O$2:$O$1960,MATCH(993,'Transfer Engine'!$C$2:$C$1960,0)))</f>
        <v/>
      </c>
      <c r="P1002" s="8">
        <f>IF(ISNA(MATCH(993,'Transfer Engine'!$C$2:$C$1960,0)),"",HYPERLINK("#Acts!A"&amp;INDEX('Compliance Database'!$P$2:$P$1960,MATCH(993,'Transfer Engine'!$C$2:$C$1960,0)),"Go to Act"))</f>
        <v/>
      </c>
    </row>
    <row r="1003" ht="158" customHeight="1">
      <c r="A1003" s="8">
        <f>IF(ISNA(MATCH(994,'Transfer Engine'!$C$2:$C$1960,0)),"",INDEX('Compliance Database'!$A$2:$A$1960,MATCH(994,'Transfer Engine'!$C$2:$C$1960,0)))</f>
        <v/>
      </c>
      <c r="B1003" s="8">
        <f>IF(ISNA(MATCH(994,'Transfer Engine'!$C$2:$C$1960,0)),"",INDEX('Compliance Database'!$B$2:$B$1960,MATCH(994,'Transfer Engine'!$C$2:$C$1960,0)))</f>
        <v/>
      </c>
      <c r="C1003" s="8">
        <f>IF(ISNA(MATCH(994,'Transfer Engine'!$C$2:$C$1960,0)),"",INDEX('Compliance Database'!$C$2:$C$1960,MATCH(994,'Transfer Engine'!$C$2:$C$1960,0)))</f>
        <v/>
      </c>
      <c r="D1003" s="9">
        <f>IF(ISNA(MATCH(994,'Transfer Engine'!$C$2:$C$1960,0)),"",INDEX('Compliance Database'!$D$2:$D$1960,MATCH(994,'Transfer Engine'!$C$2:$C$1960,0)))</f>
        <v/>
      </c>
      <c r="E1003" s="8">
        <f>IF(ISNA(MATCH(994,'Transfer Engine'!$C$2:$C$1960,0)),"",INDEX('Compliance Database'!$E$2:$E$1960,MATCH(994,'Transfer Engine'!$C$2:$C$1960,0)))</f>
        <v/>
      </c>
      <c r="F1003" s="8">
        <f>IF(ISNA(MATCH(994,'Transfer Engine'!$C$2:$C$1960,0)),"",INDEX('Compliance Database'!$F$2:$F$1960,MATCH(994,'Transfer Engine'!$C$2:$C$1960,0)))</f>
        <v/>
      </c>
      <c r="G1003" s="8">
        <f>IF(ISNA(MATCH(994,'Transfer Engine'!$C$2:$C$1960,0)),"",INDEX('Compliance Database'!$G$2:$G$1960,MATCH(994,'Transfer Engine'!$C$2:$C$1960,0)))</f>
        <v/>
      </c>
      <c r="H1003" s="9">
        <f>IF(ISNA(MATCH(994,'Transfer Engine'!$C$2:$C$1960,0)),"",INDEX('Compliance Database'!$H$2:$H$1960,MATCH(994,'Transfer Engine'!$C$2:$C$1960,0)))</f>
        <v/>
      </c>
      <c r="I1003" s="9">
        <f>IF(ISNA(MATCH(994,'Transfer Engine'!$C$2:$C$1960,0)),"",INDEX('Compliance Database'!$I$2:$I$1960,MATCH(994,'Transfer Engine'!$C$2:$C$1960,0)))</f>
        <v/>
      </c>
      <c r="J1003" s="8">
        <f>IF(ISNA(MATCH(994,'Transfer Engine'!$C$2:$C$1960,0)),"",INDEX('Compliance Database'!$J$2:$J$1960,MATCH(994,'Transfer Engine'!$C$2:$C$1960,0)))</f>
        <v/>
      </c>
      <c r="K1003" s="9">
        <f>IF(ISNA(MATCH(994,'Transfer Engine'!$C$2:$C$1960,0)),"",INDEX('Compliance Database'!$K$2:$K$1960,MATCH(994,'Transfer Engine'!$C$2:$C$1960,0)))</f>
        <v/>
      </c>
      <c r="L1003" s="9">
        <f>IF(ISNA(MATCH(994,'Transfer Engine'!$C$2:$C$1960,0)),"",INDEX('Compliance Database'!$L$2:$L$1960,MATCH(994,'Transfer Engine'!$C$2:$C$1960,0)))</f>
        <v/>
      </c>
      <c r="M1003" s="9">
        <f>IF(ISNA(MATCH(994,'Transfer Engine'!$C$2:$C$1960,0)),"",INDEX('Compliance Database'!$M$2:$M$1960,MATCH(994,'Transfer Engine'!$C$2:$C$1960,0)))</f>
        <v/>
      </c>
      <c r="N1003" s="9">
        <f>IF(ISNA(MATCH(994,'Transfer Engine'!$C$2:$C$1960,0)),"",INDEX('Compliance Database'!$N$2:$N$1960,MATCH(994,'Transfer Engine'!$C$2:$C$1960,0)))</f>
        <v/>
      </c>
      <c r="O1003" s="9">
        <f>IF(ISNA(MATCH(994,'Transfer Engine'!$C$2:$C$1960,0)),"",INDEX('Compliance Database'!$O$2:$O$1960,MATCH(994,'Transfer Engine'!$C$2:$C$1960,0)))</f>
        <v/>
      </c>
      <c r="P1003" s="8">
        <f>IF(ISNA(MATCH(994,'Transfer Engine'!$C$2:$C$1960,0)),"",HYPERLINK("#Acts!A"&amp;INDEX('Compliance Database'!$P$2:$P$1960,MATCH(994,'Transfer Engine'!$C$2:$C$1960,0)),"Go to Act"))</f>
        <v/>
      </c>
    </row>
    <row r="1004" ht="158" customHeight="1">
      <c r="A1004" s="8">
        <f>IF(ISNA(MATCH(995,'Transfer Engine'!$C$2:$C$1960,0)),"",INDEX('Compliance Database'!$A$2:$A$1960,MATCH(995,'Transfer Engine'!$C$2:$C$1960,0)))</f>
        <v/>
      </c>
      <c r="B1004" s="8">
        <f>IF(ISNA(MATCH(995,'Transfer Engine'!$C$2:$C$1960,0)),"",INDEX('Compliance Database'!$B$2:$B$1960,MATCH(995,'Transfer Engine'!$C$2:$C$1960,0)))</f>
        <v/>
      </c>
      <c r="C1004" s="8">
        <f>IF(ISNA(MATCH(995,'Transfer Engine'!$C$2:$C$1960,0)),"",INDEX('Compliance Database'!$C$2:$C$1960,MATCH(995,'Transfer Engine'!$C$2:$C$1960,0)))</f>
        <v/>
      </c>
      <c r="D1004" s="9">
        <f>IF(ISNA(MATCH(995,'Transfer Engine'!$C$2:$C$1960,0)),"",INDEX('Compliance Database'!$D$2:$D$1960,MATCH(995,'Transfer Engine'!$C$2:$C$1960,0)))</f>
        <v/>
      </c>
      <c r="E1004" s="8">
        <f>IF(ISNA(MATCH(995,'Transfer Engine'!$C$2:$C$1960,0)),"",INDEX('Compliance Database'!$E$2:$E$1960,MATCH(995,'Transfer Engine'!$C$2:$C$1960,0)))</f>
        <v/>
      </c>
      <c r="F1004" s="8">
        <f>IF(ISNA(MATCH(995,'Transfer Engine'!$C$2:$C$1960,0)),"",INDEX('Compliance Database'!$F$2:$F$1960,MATCH(995,'Transfer Engine'!$C$2:$C$1960,0)))</f>
        <v/>
      </c>
      <c r="G1004" s="8">
        <f>IF(ISNA(MATCH(995,'Transfer Engine'!$C$2:$C$1960,0)),"",INDEX('Compliance Database'!$G$2:$G$1960,MATCH(995,'Transfer Engine'!$C$2:$C$1960,0)))</f>
        <v/>
      </c>
      <c r="H1004" s="9">
        <f>IF(ISNA(MATCH(995,'Transfer Engine'!$C$2:$C$1960,0)),"",INDEX('Compliance Database'!$H$2:$H$1960,MATCH(995,'Transfer Engine'!$C$2:$C$1960,0)))</f>
        <v/>
      </c>
      <c r="I1004" s="9">
        <f>IF(ISNA(MATCH(995,'Transfer Engine'!$C$2:$C$1960,0)),"",INDEX('Compliance Database'!$I$2:$I$1960,MATCH(995,'Transfer Engine'!$C$2:$C$1960,0)))</f>
        <v/>
      </c>
      <c r="J1004" s="8">
        <f>IF(ISNA(MATCH(995,'Transfer Engine'!$C$2:$C$1960,0)),"",INDEX('Compliance Database'!$J$2:$J$1960,MATCH(995,'Transfer Engine'!$C$2:$C$1960,0)))</f>
        <v/>
      </c>
      <c r="K1004" s="9">
        <f>IF(ISNA(MATCH(995,'Transfer Engine'!$C$2:$C$1960,0)),"",INDEX('Compliance Database'!$K$2:$K$1960,MATCH(995,'Transfer Engine'!$C$2:$C$1960,0)))</f>
        <v/>
      </c>
      <c r="L1004" s="9">
        <f>IF(ISNA(MATCH(995,'Transfer Engine'!$C$2:$C$1960,0)),"",INDEX('Compliance Database'!$L$2:$L$1960,MATCH(995,'Transfer Engine'!$C$2:$C$1960,0)))</f>
        <v/>
      </c>
      <c r="M1004" s="9">
        <f>IF(ISNA(MATCH(995,'Transfer Engine'!$C$2:$C$1960,0)),"",INDEX('Compliance Database'!$M$2:$M$1960,MATCH(995,'Transfer Engine'!$C$2:$C$1960,0)))</f>
        <v/>
      </c>
      <c r="N1004" s="9">
        <f>IF(ISNA(MATCH(995,'Transfer Engine'!$C$2:$C$1960,0)),"",INDEX('Compliance Database'!$N$2:$N$1960,MATCH(995,'Transfer Engine'!$C$2:$C$1960,0)))</f>
        <v/>
      </c>
      <c r="O1004" s="9">
        <f>IF(ISNA(MATCH(995,'Transfer Engine'!$C$2:$C$1960,0)),"",INDEX('Compliance Database'!$O$2:$O$1960,MATCH(995,'Transfer Engine'!$C$2:$C$1960,0)))</f>
        <v/>
      </c>
      <c r="P1004" s="8">
        <f>IF(ISNA(MATCH(995,'Transfer Engine'!$C$2:$C$1960,0)),"",HYPERLINK("#Acts!A"&amp;INDEX('Compliance Database'!$P$2:$P$1960,MATCH(995,'Transfer Engine'!$C$2:$C$1960,0)),"Go to Act"))</f>
        <v/>
      </c>
    </row>
    <row r="1005" ht="158" customHeight="1">
      <c r="A1005" s="8">
        <f>IF(ISNA(MATCH(996,'Transfer Engine'!$C$2:$C$1960,0)),"",INDEX('Compliance Database'!$A$2:$A$1960,MATCH(996,'Transfer Engine'!$C$2:$C$1960,0)))</f>
        <v/>
      </c>
      <c r="B1005" s="8">
        <f>IF(ISNA(MATCH(996,'Transfer Engine'!$C$2:$C$1960,0)),"",INDEX('Compliance Database'!$B$2:$B$1960,MATCH(996,'Transfer Engine'!$C$2:$C$1960,0)))</f>
        <v/>
      </c>
      <c r="C1005" s="8">
        <f>IF(ISNA(MATCH(996,'Transfer Engine'!$C$2:$C$1960,0)),"",INDEX('Compliance Database'!$C$2:$C$1960,MATCH(996,'Transfer Engine'!$C$2:$C$1960,0)))</f>
        <v/>
      </c>
      <c r="D1005" s="9">
        <f>IF(ISNA(MATCH(996,'Transfer Engine'!$C$2:$C$1960,0)),"",INDEX('Compliance Database'!$D$2:$D$1960,MATCH(996,'Transfer Engine'!$C$2:$C$1960,0)))</f>
        <v/>
      </c>
      <c r="E1005" s="8">
        <f>IF(ISNA(MATCH(996,'Transfer Engine'!$C$2:$C$1960,0)),"",INDEX('Compliance Database'!$E$2:$E$1960,MATCH(996,'Transfer Engine'!$C$2:$C$1960,0)))</f>
        <v/>
      </c>
      <c r="F1005" s="8">
        <f>IF(ISNA(MATCH(996,'Transfer Engine'!$C$2:$C$1960,0)),"",INDEX('Compliance Database'!$F$2:$F$1960,MATCH(996,'Transfer Engine'!$C$2:$C$1960,0)))</f>
        <v/>
      </c>
      <c r="G1005" s="8">
        <f>IF(ISNA(MATCH(996,'Transfer Engine'!$C$2:$C$1960,0)),"",INDEX('Compliance Database'!$G$2:$G$1960,MATCH(996,'Transfer Engine'!$C$2:$C$1960,0)))</f>
        <v/>
      </c>
      <c r="H1005" s="9">
        <f>IF(ISNA(MATCH(996,'Transfer Engine'!$C$2:$C$1960,0)),"",INDEX('Compliance Database'!$H$2:$H$1960,MATCH(996,'Transfer Engine'!$C$2:$C$1960,0)))</f>
        <v/>
      </c>
      <c r="I1005" s="9">
        <f>IF(ISNA(MATCH(996,'Transfer Engine'!$C$2:$C$1960,0)),"",INDEX('Compliance Database'!$I$2:$I$1960,MATCH(996,'Transfer Engine'!$C$2:$C$1960,0)))</f>
        <v/>
      </c>
      <c r="J1005" s="8">
        <f>IF(ISNA(MATCH(996,'Transfer Engine'!$C$2:$C$1960,0)),"",INDEX('Compliance Database'!$J$2:$J$1960,MATCH(996,'Transfer Engine'!$C$2:$C$1960,0)))</f>
        <v/>
      </c>
      <c r="K1005" s="9">
        <f>IF(ISNA(MATCH(996,'Transfer Engine'!$C$2:$C$1960,0)),"",INDEX('Compliance Database'!$K$2:$K$1960,MATCH(996,'Transfer Engine'!$C$2:$C$1960,0)))</f>
        <v/>
      </c>
      <c r="L1005" s="9">
        <f>IF(ISNA(MATCH(996,'Transfer Engine'!$C$2:$C$1960,0)),"",INDEX('Compliance Database'!$L$2:$L$1960,MATCH(996,'Transfer Engine'!$C$2:$C$1960,0)))</f>
        <v/>
      </c>
      <c r="M1005" s="9">
        <f>IF(ISNA(MATCH(996,'Transfer Engine'!$C$2:$C$1960,0)),"",INDEX('Compliance Database'!$M$2:$M$1960,MATCH(996,'Transfer Engine'!$C$2:$C$1960,0)))</f>
        <v/>
      </c>
      <c r="N1005" s="9">
        <f>IF(ISNA(MATCH(996,'Transfer Engine'!$C$2:$C$1960,0)),"",INDEX('Compliance Database'!$N$2:$N$1960,MATCH(996,'Transfer Engine'!$C$2:$C$1960,0)))</f>
        <v/>
      </c>
      <c r="O1005" s="9">
        <f>IF(ISNA(MATCH(996,'Transfer Engine'!$C$2:$C$1960,0)),"",INDEX('Compliance Database'!$O$2:$O$1960,MATCH(996,'Transfer Engine'!$C$2:$C$1960,0)))</f>
        <v/>
      </c>
      <c r="P1005" s="8">
        <f>IF(ISNA(MATCH(996,'Transfer Engine'!$C$2:$C$1960,0)),"",HYPERLINK("#Acts!A"&amp;INDEX('Compliance Database'!$P$2:$P$1960,MATCH(996,'Transfer Engine'!$C$2:$C$1960,0)),"Go to Act"))</f>
        <v/>
      </c>
    </row>
    <row r="1006" ht="158" customHeight="1">
      <c r="A1006" s="8">
        <f>IF(ISNA(MATCH(997,'Transfer Engine'!$C$2:$C$1960,0)),"",INDEX('Compliance Database'!$A$2:$A$1960,MATCH(997,'Transfer Engine'!$C$2:$C$1960,0)))</f>
        <v/>
      </c>
      <c r="B1006" s="8">
        <f>IF(ISNA(MATCH(997,'Transfer Engine'!$C$2:$C$1960,0)),"",INDEX('Compliance Database'!$B$2:$B$1960,MATCH(997,'Transfer Engine'!$C$2:$C$1960,0)))</f>
        <v/>
      </c>
      <c r="C1006" s="8">
        <f>IF(ISNA(MATCH(997,'Transfer Engine'!$C$2:$C$1960,0)),"",INDEX('Compliance Database'!$C$2:$C$1960,MATCH(997,'Transfer Engine'!$C$2:$C$1960,0)))</f>
        <v/>
      </c>
      <c r="D1006" s="9">
        <f>IF(ISNA(MATCH(997,'Transfer Engine'!$C$2:$C$1960,0)),"",INDEX('Compliance Database'!$D$2:$D$1960,MATCH(997,'Transfer Engine'!$C$2:$C$1960,0)))</f>
        <v/>
      </c>
      <c r="E1006" s="8">
        <f>IF(ISNA(MATCH(997,'Transfer Engine'!$C$2:$C$1960,0)),"",INDEX('Compliance Database'!$E$2:$E$1960,MATCH(997,'Transfer Engine'!$C$2:$C$1960,0)))</f>
        <v/>
      </c>
      <c r="F1006" s="8">
        <f>IF(ISNA(MATCH(997,'Transfer Engine'!$C$2:$C$1960,0)),"",INDEX('Compliance Database'!$F$2:$F$1960,MATCH(997,'Transfer Engine'!$C$2:$C$1960,0)))</f>
        <v/>
      </c>
      <c r="G1006" s="8">
        <f>IF(ISNA(MATCH(997,'Transfer Engine'!$C$2:$C$1960,0)),"",INDEX('Compliance Database'!$G$2:$G$1960,MATCH(997,'Transfer Engine'!$C$2:$C$1960,0)))</f>
        <v/>
      </c>
      <c r="H1006" s="9">
        <f>IF(ISNA(MATCH(997,'Transfer Engine'!$C$2:$C$1960,0)),"",INDEX('Compliance Database'!$H$2:$H$1960,MATCH(997,'Transfer Engine'!$C$2:$C$1960,0)))</f>
        <v/>
      </c>
      <c r="I1006" s="9">
        <f>IF(ISNA(MATCH(997,'Transfer Engine'!$C$2:$C$1960,0)),"",INDEX('Compliance Database'!$I$2:$I$1960,MATCH(997,'Transfer Engine'!$C$2:$C$1960,0)))</f>
        <v/>
      </c>
      <c r="J1006" s="8">
        <f>IF(ISNA(MATCH(997,'Transfer Engine'!$C$2:$C$1960,0)),"",INDEX('Compliance Database'!$J$2:$J$1960,MATCH(997,'Transfer Engine'!$C$2:$C$1960,0)))</f>
        <v/>
      </c>
      <c r="K1006" s="9">
        <f>IF(ISNA(MATCH(997,'Transfer Engine'!$C$2:$C$1960,0)),"",INDEX('Compliance Database'!$K$2:$K$1960,MATCH(997,'Transfer Engine'!$C$2:$C$1960,0)))</f>
        <v/>
      </c>
      <c r="L1006" s="9">
        <f>IF(ISNA(MATCH(997,'Transfer Engine'!$C$2:$C$1960,0)),"",INDEX('Compliance Database'!$L$2:$L$1960,MATCH(997,'Transfer Engine'!$C$2:$C$1960,0)))</f>
        <v/>
      </c>
      <c r="M1006" s="9">
        <f>IF(ISNA(MATCH(997,'Transfer Engine'!$C$2:$C$1960,0)),"",INDEX('Compliance Database'!$M$2:$M$1960,MATCH(997,'Transfer Engine'!$C$2:$C$1960,0)))</f>
        <v/>
      </c>
      <c r="N1006" s="9">
        <f>IF(ISNA(MATCH(997,'Transfer Engine'!$C$2:$C$1960,0)),"",INDEX('Compliance Database'!$N$2:$N$1960,MATCH(997,'Transfer Engine'!$C$2:$C$1960,0)))</f>
        <v/>
      </c>
      <c r="O1006" s="9">
        <f>IF(ISNA(MATCH(997,'Transfer Engine'!$C$2:$C$1960,0)),"",INDEX('Compliance Database'!$O$2:$O$1960,MATCH(997,'Transfer Engine'!$C$2:$C$1960,0)))</f>
        <v/>
      </c>
      <c r="P1006" s="8">
        <f>IF(ISNA(MATCH(997,'Transfer Engine'!$C$2:$C$1960,0)),"",HYPERLINK("#Acts!A"&amp;INDEX('Compliance Database'!$P$2:$P$1960,MATCH(997,'Transfer Engine'!$C$2:$C$1960,0)),"Go to Act"))</f>
        <v/>
      </c>
    </row>
    <row r="1007" ht="158" customHeight="1">
      <c r="A1007" s="8">
        <f>IF(ISNA(MATCH(998,'Transfer Engine'!$C$2:$C$1960,0)),"",INDEX('Compliance Database'!$A$2:$A$1960,MATCH(998,'Transfer Engine'!$C$2:$C$1960,0)))</f>
        <v/>
      </c>
      <c r="B1007" s="8">
        <f>IF(ISNA(MATCH(998,'Transfer Engine'!$C$2:$C$1960,0)),"",INDEX('Compliance Database'!$B$2:$B$1960,MATCH(998,'Transfer Engine'!$C$2:$C$1960,0)))</f>
        <v/>
      </c>
      <c r="C1007" s="8">
        <f>IF(ISNA(MATCH(998,'Transfer Engine'!$C$2:$C$1960,0)),"",INDEX('Compliance Database'!$C$2:$C$1960,MATCH(998,'Transfer Engine'!$C$2:$C$1960,0)))</f>
        <v/>
      </c>
      <c r="D1007" s="9">
        <f>IF(ISNA(MATCH(998,'Transfer Engine'!$C$2:$C$1960,0)),"",INDEX('Compliance Database'!$D$2:$D$1960,MATCH(998,'Transfer Engine'!$C$2:$C$1960,0)))</f>
        <v/>
      </c>
      <c r="E1007" s="8">
        <f>IF(ISNA(MATCH(998,'Transfer Engine'!$C$2:$C$1960,0)),"",INDEX('Compliance Database'!$E$2:$E$1960,MATCH(998,'Transfer Engine'!$C$2:$C$1960,0)))</f>
        <v/>
      </c>
      <c r="F1007" s="8">
        <f>IF(ISNA(MATCH(998,'Transfer Engine'!$C$2:$C$1960,0)),"",INDEX('Compliance Database'!$F$2:$F$1960,MATCH(998,'Transfer Engine'!$C$2:$C$1960,0)))</f>
        <v/>
      </c>
      <c r="G1007" s="8">
        <f>IF(ISNA(MATCH(998,'Transfer Engine'!$C$2:$C$1960,0)),"",INDEX('Compliance Database'!$G$2:$G$1960,MATCH(998,'Transfer Engine'!$C$2:$C$1960,0)))</f>
        <v/>
      </c>
      <c r="H1007" s="9">
        <f>IF(ISNA(MATCH(998,'Transfer Engine'!$C$2:$C$1960,0)),"",INDEX('Compliance Database'!$H$2:$H$1960,MATCH(998,'Transfer Engine'!$C$2:$C$1960,0)))</f>
        <v/>
      </c>
      <c r="I1007" s="9">
        <f>IF(ISNA(MATCH(998,'Transfer Engine'!$C$2:$C$1960,0)),"",INDEX('Compliance Database'!$I$2:$I$1960,MATCH(998,'Transfer Engine'!$C$2:$C$1960,0)))</f>
        <v/>
      </c>
      <c r="J1007" s="8">
        <f>IF(ISNA(MATCH(998,'Transfer Engine'!$C$2:$C$1960,0)),"",INDEX('Compliance Database'!$J$2:$J$1960,MATCH(998,'Transfer Engine'!$C$2:$C$1960,0)))</f>
        <v/>
      </c>
      <c r="K1007" s="9">
        <f>IF(ISNA(MATCH(998,'Transfer Engine'!$C$2:$C$1960,0)),"",INDEX('Compliance Database'!$K$2:$K$1960,MATCH(998,'Transfer Engine'!$C$2:$C$1960,0)))</f>
        <v/>
      </c>
      <c r="L1007" s="9">
        <f>IF(ISNA(MATCH(998,'Transfer Engine'!$C$2:$C$1960,0)),"",INDEX('Compliance Database'!$L$2:$L$1960,MATCH(998,'Transfer Engine'!$C$2:$C$1960,0)))</f>
        <v/>
      </c>
      <c r="M1007" s="9">
        <f>IF(ISNA(MATCH(998,'Transfer Engine'!$C$2:$C$1960,0)),"",INDEX('Compliance Database'!$M$2:$M$1960,MATCH(998,'Transfer Engine'!$C$2:$C$1960,0)))</f>
        <v/>
      </c>
      <c r="N1007" s="9">
        <f>IF(ISNA(MATCH(998,'Transfer Engine'!$C$2:$C$1960,0)),"",INDEX('Compliance Database'!$N$2:$N$1960,MATCH(998,'Transfer Engine'!$C$2:$C$1960,0)))</f>
        <v/>
      </c>
      <c r="O1007" s="9">
        <f>IF(ISNA(MATCH(998,'Transfer Engine'!$C$2:$C$1960,0)),"",INDEX('Compliance Database'!$O$2:$O$1960,MATCH(998,'Transfer Engine'!$C$2:$C$1960,0)))</f>
        <v/>
      </c>
      <c r="P1007" s="8">
        <f>IF(ISNA(MATCH(998,'Transfer Engine'!$C$2:$C$1960,0)),"",HYPERLINK("#Acts!A"&amp;INDEX('Compliance Database'!$P$2:$P$1960,MATCH(998,'Transfer Engine'!$C$2:$C$1960,0)),"Go to Act"))</f>
        <v/>
      </c>
    </row>
    <row r="1008" ht="158" customHeight="1">
      <c r="A1008" s="8">
        <f>IF(ISNA(MATCH(999,'Transfer Engine'!$C$2:$C$1960,0)),"",INDEX('Compliance Database'!$A$2:$A$1960,MATCH(999,'Transfer Engine'!$C$2:$C$1960,0)))</f>
        <v/>
      </c>
      <c r="B1008" s="8">
        <f>IF(ISNA(MATCH(999,'Transfer Engine'!$C$2:$C$1960,0)),"",INDEX('Compliance Database'!$B$2:$B$1960,MATCH(999,'Transfer Engine'!$C$2:$C$1960,0)))</f>
        <v/>
      </c>
      <c r="C1008" s="8">
        <f>IF(ISNA(MATCH(999,'Transfer Engine'!$C$2:$C$1960,0)),"",INDEX('Compliance Database'!$C$2:$C$1960,MATCH(999,'Transfer Engine'!$C$2:$C$1960,0)))</f>
        <v/>
      </c>
      <c r="D1008" s="9">
        <f>IF(ISNA(MATCH(999,'Transfer Engine'!$C$2:$C$1960,0)),"",INDEX('Compliance Database'!$D$2:$D$1960,MATCH(999,'Transfer Engine'!$C$2:$C$1960,0)))</f>
        <v/>
      </c>
      <c r="E1008" s="8">
        <f>IF(ISNA(MATCH(999,'Transfer Engine'!$C$2:$C$1960,0)),"",INDEX('Compliance Database'!$E$2:$E$1960,MATCH(999,'Transfer Engine'!$C$2:$C$1960,0)))</f>
        <v/>
      </c>
      <c r="F1008" s="8">
        <f>IF(ISNA(MATCH(999,'Transfer Engine'!$C$2:$C$1960,0)),"",INDEX('Compliance Database'!$F$2:$F$1960,MATCH(999,'Transfer Engine'!$C$2:$C$1960,0)))</f>
        <v/>
      </c>
      <c r="G1008" s="8">
        <f>IF(ISNA(MATCH(999,'Transfer Engine'!$C$2:$C$1960,0)),"",INDEX('Compliance Database'!$G$2:$G$1960,MATCH(999,'Transfer Engine'!$C$2:$C$1960,0)))</f>
        <v/>
      </c>
      <c r="H1008" s="9">
        <f>IF(ISNA(MATCH(999,'Transfer Engine'!$C$2:$C$1960,0)),"",INDEX('Compliance Database'!$H$2:$H$1960,MATCH(999,'Transfer Engine'!$C$2:$C$1960,0)))</f>
        <v/>
      </c>
      <c r="I1008" s="9">
        <f>IF(ISNA(MATCH(999,'Transfer Engine'!$C$2:$C$1960,0)),"",INDEX('Compliance Database'!$I$2:$I$1960,MATCH(999,'Transfer Engine'!$C$2:$C$1960,0)))</f>
        <v/>
      </c>
      <c r="J1008" s="8">
        <f>IF(ISNA(MATCH(999,'Transfer Engine'!$C$2:$C$1960,0)),"",INDEX('Compliance Database'!$J$2:$J$1960,MATCH(999,'Transfer Engine'!$C$2:$C$1960,0)))</f>
        <v/>
      </c>
      <c r="K1008" s="9">
        <f>IF(ISNA(MATCH(999,'Transfer Engine'!$C$2:$C$1960,0)),"",INDEX('Compliance Database'!$K$2:$K$1960,MATCH(999,'Transfer Engine'!$C$2:$C$1960,0)))</f>
        <v/>
      </c>
      <c r="L1008" s="9">
        <f>IF(ISNA(MATCH(999,'Transfer Engine'!$C$2:$C$1960,0)),"",INDEX('Compliance Database'!$L$2:$L$1960,MATCH(999,'Transfer Engine'!$C$2:$C$1960,0)))</f>
        <v/>
      </c>
      <c r="M1008" s="9">
        <f>IF(ISNA(MATCH(999,'Transfer Engine'!$C$2:$C$1960,0)),"",INDEX('Compliance Database'!$M$2:$M$1960,MATCH(999,'Transfer Engine'!$C$2:$C$1960,0)))</f>
        <v/>
      </c>
      <c r="N1008" s="9">
        <f>IF(ISNA(MATCH(999,'Transfer Engine'!$C$2:$C$1960,0)),"",INDEX('Compliance Database'!$N$2:$N$1960,MATCH(999,'Transfer Engine'!$C$2:$C$1960,0)))</f>
        <v/>
      </c>
      <c r="O1008" s="9">
        <f>IF(ISNA(MATCH(999,'Transfer Engine'!$C$2:$C$1960,0)),"",INDEX('Compliance Database'!$O$2:$O$1960,MATCH(999,'Transfer Engine'!$C$2:$C$1960,0)))</f>
        <v/>
      </c>
      <c r="P1008" s="8">
        <f>IF(ISNA(MATCH(999,'Transfer Engine'!$C$2:$C$1960,0)),"",HYPERLINK("#Acts!A"&amp;INDEX('Compliance Database'!$P$2:$P$1960,MATCH(999,'Transfer Engine'!$C$2:$C$1960,0)),"Go to Act"))</f>
        <v/>
      </c>
    </row>
    <row r="1009" ht="158" customHeight="1">
      <c r="A1009" s="8">
        <f>IF(ISNA(MATCH(1000,'Transfer Engine'!$C$2:$C$1960,0)),"",INDEX('Compliance Database'!$A$2:$A$1960,MATCH(1000,'Transfer Engine'!$C$2:$C$1960,0)))</f>
        <v/>
      </c>
      <c r="B1009" s="8">
        <f>IF(ISNA(MATCH(1000,'Transfer Engine'!$C$2:$C$1960,0)),"",INDEX('Compliance Database'!$B$2:$B$1960,MATCH(1000,'Transfer Engine'!$C$2:$C$1960,0)))</f>
        <v/>
      </c>
      <c r="C1009" s="8">
        <f>IF(ISNA(MATCH(1000,'Transfer Engine'!$C$2:$C$1960,0)),"",INDEX('Compliance Database'!$C$2:$C$1960,MATCH(1000,'Transfer Engine'!$C$2:$C$1960,0)))</f>
        <v/>
      </c>
      <c r="D1009" s="9">
        <f>IF(ISNA(MATCH(1000,'Transfer Engine'!$C$2:$C$1960,0)),"",INDEX('Compliance Database'!$D$2:$D$1960,MATCH(1000,'Transfer Engine'!$C$2:$C$1960,0)))</f>
        <v/>
      </c>
      <c r="E1009" s="8">
        <f>IF(ISNA(MATCH(1000,'Transfer Engine'!$C$2:$C$1960,0)),"",INDEX('Compliance Database'!$E$2:$E$1960,MATCH(1000,'Transfer Engine'!$C$2:$C$1960,0)))</f>
        <v/>
      </c>
      <c r="F1009" s="8">
        <f>IF(ISNA(MATCH(1000,'Transfer Engine'!$C$2:$C$1960,0)),"",INDEX('Compliance Database'!$F$2:$F$1960,MATCH(1000,'Transfer Engine'!$C$2:$C$1960,0)))</f>
        <v/>
      </c>
      <c r="G1009" s="8">
        <f>IF(ISNA(MATCH(1000,'Transfer Engine'!$C$2:$C$1960,0)),"",INDEX('Compliance Database'!$G$2:$G$1960,MATCH(1000,'Transfer Engine'!$C$2:$C$1960,0)))</f>
        <v/>
      </c>
      <c r="H1009" s="9">
        <f>IF(ISNA(MATCH(1000,'Transfer Engine'!$C$2:$C$1960,0)),"",INDEX('Compliance Database'!$H$2:$H$1960,MATCH(1000,'Transfer Engine'!$C$2:$C$1960,0)))</f>
        <v/>
      </c>
      <c r="I1009" s="9">
        <f>IF(ISNA(MATCH(1000,'Transfer Engine'!$C$2:$C$1960,0)),"",INDEX('Compliance Database'!$I$2:$I$1960,MATCH(1000,'Transfer Engine'!$C$2:$C$1960,0)))</f>
        <v/>
      </c>
      <c r="J1009" s="8">
        <f>IF(ISNA(MATCH(1000,'Transfer Engine'!$C$2:$C$1960,0)),"",INDEX('Compliance Database'!$J$2:$J$1960,MATCH(1000,'Transfer Engine'!$C$2:$C$1960,0)))</f>
        <v/>
      </c>
      <c r="K1009" s="9">
        <f>IF(ISNA(MATCH(1000,'Transfer Engine'!$C$2:$C$1960,0)),"",INDEX('Compliance Database'!$K$2:$K$1960,MATCH(1000,'Transfer Engine'!$C$2:$C$1960,0)))</f>
        <v/>
      </c>
      <c r="L1009" s="9">
        <f>IF(ISNA(MATCH(1000,'Transfer Engine'!$C$2:$C$1960,0)),"",INDEX('Compliance Database'!$L$2:$L$1960,MATCH(1000,'Transfer Engine'!$C$2:$C$1960,0)))</f>
        <v/>
      </c>
      <c r="M1009" s="9">
        <f>IF(ISNA(MATCH(1000,'Transfer Engine'!$C$2:$C$1960,0)),"",INDEX('Compliance Database'!$M$2:$M$1960,MATCH(1000,'Transfer Engine'!$C$2:$C$1960,0)))</f>
        <v/>
      </c>
      <c r="N1009" s="9">
        <f>IF(ISNA(MATCH(1000,'Transfer Engine'!$C$2:$C$1960,0)),"",INDEX('Compliance Database'!$N$2:$N$1960,MATCH(1000,'Transfer Engine'!$C$2:$C$1960,0)))</f>
        <v/>
      </c>
      <c r="O1009" s="9">
        <f>IF(ISNA(MATCH(1000,'Transfer Engine'!$C$2:$C$1960,0)),"",INDEX('Compliance Database'!$O$2:$O$1960,MATCH(1000,'Transfer Engine'!$C$2:$C$1960,0)))</f>
        <v/>
      </c>
      <c r="P1009" s="8">
        <f>IF(ISNA(MATCH(1000,'Transfer Engine'!$C$2:$C$1960,0)),"",HYPERLINK("#Acts!A"&amp;INDEX('Compliance Database'!$P$2:$P$1960,MATCH(1000,'Transfer Engine'!$C$2:$C$1960,0)),"Go to Act"))</f>
        <v/>
      </c>
    </row>
    <row r="1010" ht="158" customHeight="1">
      <c r="A1010" s="8">
        <f>IF(ISNA(MATCH(1001,'Transfer Engine'!$C$2:$C$1960,0)),"",INDEX('Compliance Database'!$A$2:$A$1960,MATCH(1001,'Transfer Engine'!$C$2:$C$1960,0)))</f>
        <v/>
      </c>
      <c r="B1010" s="8">
        <f>IF(ISNA(MATCH(1001,'Transfer Engine'!$C$2:$C$1960,0)),"",INDEX('Compliance Database'!$B$2:$B$1960,MATCH(1001,'Transfer Engine'!$C$2:$C$1960,0)))</f>
        <v/>
      </c>
      <c r="C1010" s="8">
        <f>IF(ISNA(MATCH(1001,'Transfer Engine'!$C$2:$C$1960,0)),"",INDEX('Compliance Database'!$C$2:$C$1960,MATCH(1001,'Transfer Engine'!$C$2:$C$1960,0)))</f>
        <v/>
      </c>
      <c r="D1010" s="9">
        <f>IF(ISNA(MATCH(1001,'Transfer Engine'!$C$2:$C$1960,0)),"",INDEX('Compliance Database'!$D$2:$D$1960,MATCH(1001,'Transfer Engine'!$C$2:$C$1960,0)))</f>
        <v/>
      </c>
      <c r="E1010" s="8">
        <f>IF(ISNA(MATCH(1001,'Transfer Engine'!$C$2:$C$1960,0)),"",INDEX('Compliance Database'!$E$2:$E$1960,MATCH(1001,'Transfer Engine'!$C$2:$C$1960,0)))</f>
        <v/>
      </c>
      <c r="F1010" s="8">
        <f>IF(ISNA(MATCH(1001,'Transfer Engine'!$C$2:$C$1960,0)),"",INDEX('Compliance Database'!$F$2:$F$1960,MATCH(1001,'Transfer Engine'!$C$2:$C$1960,0)))</f>
        <v/>
      </c>
      <c r="G1010" s="8">
        <f>IF(ISNA(MATCH(1001,'Transfer Engine'!$C$2:$C$1960,0)),"",INDEX('Compliance Database'!$G$2:$G$1960,MATCH(1001,'Transfer Engine'!$C$2:$C$1960,0)))</f>
        <v/>
      </c>
      <c r="H1010" s="9">
        <f>IF(ISNA(MATCH(1001,'Transfer Engine'!$C$2:$C$1960,0)),"",INDEX('Compliance Database'!$H$2:$H$1960,MATCH(1001,'Transfer Engine'!$C$2:$C$1960,0)))</f>
        <v/>
      </c>
      <c r="I1010" s="9">
        <f>IF(ISNA(MATCH(1001,'Transfer Engine'!$C$2:$C$1960,0)),"",INDEX('Compliance Database'!$I$2:$I$1960,MATCH(1001,'Transfer Engine'!$C$2:$C$1960,0)))</f>
        <v/>
      </c>
      <c r="J1010" s="8">
        <f>IF(ISNA(MATCH(1001,'Transfer Engine'!$C$2:$C$1960,0)),"",INDEX('Compliance Database'!$J$2:$J$1960,MATCH(1001,'Transfer Engine'!$C$2:$C$1960,0)))</f>
        <v/>
      </c>
      <c r="K1010" s="9">
        <f>IF(ISNA(MATCH(1001,'Transfer Engine'!$C$2:$C$1960,0)),"",INDEX('Compliance Database'!$K$2:$K$1960,MATCH(1001,'Transfer Engine'!$C$2:$C$1960,0)))</f>
        <v/>
      </c>
      <c r="L1010" s="9">
        <f>IF(ISNA(MATCH(1001,'Transfer Engine'!$C$2:$C$1960,0)),"",INDEX('Compliance Database'!$L$2:$L$1960,MATCH(1001,'Transfer Engine'!$C$2:$C$1960,0)))</f>
        <v/>
      </c>
      <c r="M1010" s="9">
        <f>IF(ISNA(MATCH(1001,'Transfer Engine'!$C$2:$C$1960,0)),"",INDEX('Compliance Database'!$M$2:$M$1960,MATCH(1001,'Transfer Engine'!$C$2:$C$1960,0)))</f>
        <v/>
      </c>
      <c r="N1010" s="9">
        <f>IF(ISNA(MATCH(1001,'Transfer Engine'!$C$2:$C$1960,0)),"",INDEX('Compliance Database'!$N$2:$N$1960,MATCH(1001,'Transfer Engine'!$C$2:$C$1960,0)))</f>
        <v/>
      </c>
      <c r="O1010" s="9">
        <f>IF(ISNA(MATCH(1001,'Transfer Engine'!$C$2:$C$1960,0)),"",INDEX('Compliance Database'!$O$2:$O$1960,MATCH(1001,'Transfer Engine'!$C$2:$C$1960,0)))</f>
        <v/>
      </c>
      <c r="P1010" s="8">
        <f>IF(ISNA(MATCH(1001,'Transfer Engine'!$C$2:$C$1960,0)),"",HYPERLINK("#Acts!A"&amp;INDEX('Compliance Database'!$P$2:$P$1960,MATCH(1001,'Transfer Engine'!$C$2:$C$1960,0)),"Go to Act"))</f>
        <v/>
      </c>
    </row>
    <row r="1011" ht="158" customHeight="1">
      <c r="A1011" s="8">
        <f>IF(ISNA(MATCH(1002,'Transfer Engine'!$C$2:$C$1960,0)),"",INDEX('Compliance Database'!$A$2:$A$1960,MATCH(1002,'Transfer Engine'!$C$2:$C$1960,0)))</f>
        <v/>
      </c>
      <c r="B1011" s="8">
        <f>IF(ISNA(MATCH(1002,'Transfer Engine'!$C$2:$C$1960,0)),"",INDEX('Compliance Database'!$B$2:$B$1960,MATCH(1002,'Transfer Engine'!$C$2:$C$1960,0)))</f>
        <v/>
      </c>
      <c r="C1011" s="8">
        <f>IF(ISNA(MATCH(1002,'Transfer Engine'!$C$2:$C$1960,0)),"",INDEX('Compliance Database'!$C$2:$C$1960,MATCH(1002,'Transfer Engine'!$C$2:$C$1960,0)))</f>
        <v/>
      </c>
      <c r="D1011" s="9">
        <f>IF(ISNA(MATCH(1002,'Transfer Engine'!$C$2:$C$1960,0)),"",INDEX('Compliance Database'!$D$2:$D$1960,MATCH(1002,'Transfer Engine'!$C$2:$C$1960,0)))</f>
        <v/>
      </c>
      <c r="E1011" s="8">
        <f>IF(ISNA(MATCH(1002,'Transfer Engine'!$C$2:$C$1960,0)),"",INDEX('Compliance Database'!$E$2:$E$1960,MATCH(1002,'Transfer Engine'!$C$2:$C$1960,0)))</f>
        <v/>
      </c>
      <c r="F1011" s="8">
        <f>IF(ISNA(MATCH(1002,'Transfer Engine'!$C$2:$C$1960,0)),"",INDEX('Compliance Database'!$F$2:$F$1960,MATCH(1002,'Transfer Engine'!$C$2:$C$1960,0)))</f>
        <v/>
      </c>
      <c r="G1011" s="8">
        <f>IF(ISNA(MATCH(1002,'Transfer Engine'!$C$2:$C$1960,0)),"",INDEX('Compliance Database'!$G$2:$G$1960,MATCH(1002,'Transfer Engine'!$C$2:$C$1960,0)))</f>
        <v/>
      </c>
      <c r="H1011" s="9">
        <f>IF(ISNA(MATCH(1002,'Transfer Engine'!$C$2:$C$1960,0)),"",INDEX('Compliance Database'!$H$2:$H$1960,MATCH(1002,'Transfer Engine'!$C$2:$C$1960,0)))</f>
        <v/>
      </c>
      <c r="I1011" s="9">
        <f>IF(ISNA(MATCH(1002,'Transfer Engine'!$C$2:$C$1960,0)),"",INDEX('Compliance Database'!$I$2:$I$1960,MATCH(1002,'Transfer Engine'!$C$2:$C$1960,0)))</f>
        <v/>
      </c>
      <c r="J1011" s="8">
        <f>IF(ISNA(MATCH(1002,'Transfer Engine'!$C$2:$C$1960,0)),"",INDEX('Compliance Database'!$J$2:$J$1960,MATCH(1002,'Transfer Engine'!$C$2:$C$1960,0)))</f>
        <v/>
      </c>
      <c r="K1011" s="9">
        <f>IF(ISNA(MATCH(1002,'Transfer Engine'!$C$2:$C$1960,0)),"",INDEX('Compliance Database'!$K$2:$K$1960,MATCH(1002,'Transfer Engine'!$C$2:$C$1960,0)))</f>
        <v/>
      </c>
      <c r="L1011" s="9">
        <f>IF(ISNA(MATCH(1002,'Transfer Engine'!$C$2:$C$1960,0)),"",INDEX('Compliance Database'!$L$2:$L$1960,MATCH(1002,'Transfer Engine'!$C$2:$C$1960,0)))</f>
        <v/>
      </c>
      <c r="M1011" s="9">
        <f>IF(ISNA(MATCH(1002,'Transfer Engine'!$C$2:$C$1960,0)),"",INDEX('Compliance Database'!$M$2:$M$1960,MATCH(1002,'Transfer Engine'!$C$2:$C$1960,0)))</f>
        <v/>
      </c>
      <c r="N1011" s="9">
        <f>IF(ISNA(MATCH(1002,'Transfer Engine'!$C$2:$C$1960,0)),"",INDEX('Compliance Database'!$N$2:$N$1960,MATCH(1002,'Transfer Engine'!$C$2:$C$1960,0)))</f>
        <v/>
      </c>
      <c r="O1011" s="9">
        <f>IF(ISNA(MATCH(1002,'Transfer Engine'!$C$2:$C$1960,0)),"",INDEX('Compliance Database'!$O$2:$O$1960,MATCH(1002,'Transfer Engine'!$C$2:$C$1960,0)))</f>
        <v/>
      </c>
      <c r="P1011" s="8">
        <f>IF(ISNA(MATCH(1002,'Transfer Engine'!$C$2:$C$1960,0)),"",HYPERLINK("#Acts!A"&amp;INDEX('Compliance Database'!$P$2:$P$1960,MATCH(1002,'Transfer Engine'!$C$2:$C$1960,0)),"Go to Act"))</f>
        <v/>
      </c>
    </row>
    <row r="1012" ht="158" customHeight="1">
      <c r="A1012" s="8">
        <f>IF(ISNA(MATCH(1003,'Transfer Engine'!$C$2:$C$1960,0)),"",INDEX('Compliance Database'!$A$2:$A$1960,MATCH(1003,'Transfer Engine'!$C$2:$C$1960,0)))</f>
        <v/>
      </c>
      <c r="B1012" s="8">
        <f>IF(ISNA(MATCH(1003,'Transfer Engine'!$C$2:$C$1960,0)),"",INDEX('Compliance Database'!$B$2:$B$1960,MATCH(1003,'Transfer Engine'!$C$2:$C$1960,0)))</f>
        <v/>
      </c>
      <c r="C1012" s="8">
        <f>IF(ISNA(MATCH(1003,'Transfer Engine'!$C$2:$C$1960,0)),"",INDEX('Compliance Database'!$C$2:$C$1960,MATCH(1003,'Transfer Engine'!$C$2:$C$1960,0)))</f>
        <v/>
      </c>
      <c r="D1012" s="9">
        <f>IF(ISNA(MATCH(1003,'Transfer Engine'!$C$2:$C$1960,0)),"",INDEX('Compliance Database'!$D$2:$D$1960,MATCH(1003,'Transfer Engine'!$C$2:$C$1960,0)))</f>
        <v/>
      </c>
      <c r="E1012" s="8">
        <f>IF(ISNA(MATCH(1003,'Transfer Engine'!$C$2:$C$1960,0)),"",INDEX('Compliance Database'!$E$2:$E$1960,MATCH(1003,'Transfer Engine'!$C$2:$C$1960,0)))</f>
        <v/>
      </c>
      <c r="F1012" s="8">
        <f>IF(ISNA(MATCH(1003,'Transfer Engine'!$C$2:$C$1960,0)),"",INDEX('Compliance Database'!$F$2:$F$1960,MATCH(1003,'Transfer Engine'!$C$2:$C$1960,0)))</f>
        <v/>
      </c>
      <c r="G1012" s="8">
        <f>IF(ISNA(MATCH(1003,'Transfer Engine'!$C$2:$C$1960,0)),"",INDEX('Compliance Database'!$G$2:$G$1960,MATCH(1003,'Transfer Engine'!$C$2:$C$1960,0)))</f>
        <v/>
      </c>
      <c r="H1012" s="9">
        <f>IF(ISNA(MATCH(1003,'Transfer Engine'!$C$2:$C$1960,0)),"",INDEX('Compliance Database'!$H$2:$H$1960,MATCH(1003,'Transfer Engine'!$C$2:$C$1960,0)))</f>
        <v/>
      </c>
      <c r="I1012" s="9">
        <f>IF(ISNA(MATCH(1003,'Transfer Engine'!$C$2:$C$1960,0)),"",INDEX('Compliance Database'!$I$2:$I$1960,MATCH(1003,'Transfer Engine'!$C$2:$C$1960,0)))</f>
        <v/>
      </c>
      <c r="J1012" s="8">
        <f>IF(ISNA(MATCH(1003,'Transfer Engine'!$C$2:$C$1960,0)),"",INDEX('Compliance Database'!$J$2:$J$1960,MATCH(1003,'Transfer Engine'!$C$2:$C$1960,0)))</f>
        <v/>
      </c>
      <c r="K1012" s="9">
        <f>IF(ISNA(MATCH(1003,'Transfer Engine'!$C$2:$C$1960,0)),"",INDEX('Compliance Database'!$K$2:$K$1960,MATCH(1003,'Transfer Engine'!$C$2:$C$1960,0)))</f>
        <v/>
      </c>
      <c r="L1012" s="9">
        <f>IF(ISNA(MATCH(1003,'Transfer Engine'!$C$2:$C$1960,0)),"",INDEX('Compliance Database'!$L$2:$L$1960,MATCH(1003,'Transfer Engine'!$C$2:$C$1960,0)))</f>
        <v/>
      </c>
      <c r="M1012" s="9">
        <f>IF(ISNA(MATCH(1003,'Transfer Engine'!$C$2:$C$1960,0)),"",INDEX('Compliance Database'!$M$2:$M$1960,MATCH(1003,'Transfer Engine'!$C$2:$C$1960,0)))</f>
        <v/>
      </c>
      <c r="N1012" s="9">
        <f>IF(ISNA(MATCH(1003,'Transfer Engine'!$C$2:$C$1960,0)),"",INDEX('Compliance Database'!$N$2:$N$1960,MATCH(1003,'Transfer Engine'!$C$2:$C$1960,0)))</f>
        <v/>
      </c>
      <c r="O1012" s="9">
        <f>IF(ISNA(MATCH(1003,'Transfer Engine'!$C$2:$C$1960,0)),"",INDEX('Compliance Database'!$O$2:$O$1960,MATCH(1003,'Transfer Engine'!$C$2:$C$1960,0)))</f>
        <v/>
      </c>
      <c r="P1012" s="8">
        <f>IF(ISNA(MATCH(1003,'Transfer Engine'!$C$2:$C$1960,0)),"",HYPERLINK("#Acts!A"&amp;INDEX('Compliance Database'!$P$2:$P$1960,MATCH(1003,'Transfer Engine'!$C$2:$C$1960,0)),"Go to Act"))</f>
        <v/>
      </c>
    </row>
    <row r="1013" ht="158" customHeight="1">
      <c r="A1013" s="8">
        <f>IF(ISNA(MATCH(1004,'Transfer Engine'!$C$2:$C$1960,0)),"",INDEX('Compliance Database'!$A$2:$A$1960,MATCH(1004,'Transfer Engine'!$C$2:$C$1960,0)))</f>
        <v/>
      </c>
      <c r="B1013" s="8">
        <f>IF(ISNA(MATCH(1004,'Transfer Engine'!$C$2:$C$1960,0)),"",INDEX('Compliance Database'!$B$2:$B$1960,MATCH(1004,'Transfer Engine'!$C$2:$C$1960,0)))</f>
        <v/>
      </c>
      <c r="C1013" s="8">
        <f>IF(ISNA(MATCH(1004,'Transfer Engine'!$C$2:$C$1960,0)),"",INDEX('Compliance Database'!$C$2:$C$1960,MATCH(1004,'Transfer Engine'!$C$2:$C$1960,0)))</f>
        <v/>
      </c>
      <c r="D1013" s="9">
        <f>IF(ISNA(MATCH(1004,'Transfer Engine'!$C$2:$C$1960,0)),"",INDEX('Compliance Database'!$D$2:$D$1960,MATCH(1004,'Transfer Engine'!$C$2:$C$1960,0)))</f>
        <v/>
      </c>
      <c r="E1013" s="8">
        <f>IF(ISNA(MATCH(1004,'Transfer Engine'!$C$2:$C$1960,0)),"",INDEX('Compliance Database'!$E$2:$E$1960,MATCH(1004,'Transfer Engine'!$C$2:$C$1960,0)))</f>
        <v/>
      </c>
      <c r="F1013" s="8">
        <f>IF(ISNA(MATCH(1004,'Transfer Engine'!$C$2:$C$1960,0)),"",INDEX('Compliance Database'!$F$2:$F$1960,MATCH(1004,'Transfer Engine'!$C$2:$C$1960,0)))</f>
        <v/>
      </c>
      <c r="G1013" s="8">
        <f>IF(ISNA(MATCH(1004,'Transfer Engine'!$C$2:$C$1960,0)),"",INDEX('Compliance Database'!$G$2:$G$1960,MATCH(1004,'Transfer Engine'!$C$2:$C$1960,0)))</f>
        <v/>
      </c>
      <c r="H1013" s="9">
        <f>IF(ISNA(MATCH(1004,'Transfer Engine'!$C$2:$C$1960,0)),"",INDEX('Compliance Database'!$H$2:$H$1960,MATCH(1004,'Transfer Engine'!$C$2:$C$1960,0)))</f>
        <v/>
      </c>
      <c r="I1013" s="9">
        <f>IF(ISNA(MATCH(1004,'Transfer Engine'!$C$2:$C$1960,0)),"",INDEX('Compliance Database'!$I$2:$I$1960,MATCH(1004,'Transfer Engine'!$C$2:$C$1960,0)))</f>
        <v/>
      </c>
      <c r="J1013" s="8">
        <f>IF(ISNA(MATCH(1004,'Transfer Engine'!$C$2:$C$1960,0)),"",INDEX('Compliance Database'!$J$2:$J$1960,MATCH(1004,'Transfer Engine'!$C$2:$C$1960,0)))</f>
        <v/>
      </c>
      <c r="K1013" s="9">
        <f>IF(ISNA(MATCH(1004,'Transfer Engine'!$C$2:$C$1960,0)),"",INDEX('Compliance Database'!$K$2:$K$1960,MATCH(1004,'Transfer Engine'!$C$2:$C$1960,0)))</f>
        <v/>
      </c>
      <c r="L1013" s="9">
        <f>IF(ISNA(MATCH(1004,'Transfer Engine'!$C$2:$C$1960,0)),"",INDEX('Compliance Database'!$L$2:$L$1960,MATCH(1004,'Transfer Engine'!$C$2:$C$1960,0)))</f>
        <v/>
      </c>
      <c r="M1013" s="9">
        <f>IF(ISNA(MATCH(1004,'Transfer Engine'!$C$2:$C$1960,0)),"",INDEX('Compliance Database'!$M$2:$M$1960,MATCH(1004,'Transfer Engine'!$C$2:$C$1960,0)))</f>
        <v/>
      </c>
      <c r="N1013" s="9">
        <f>IF(ISNA(MATCH(1004,'Transfer Engine'!$C$2:$C$1960,0)),"",INDEX('Compliance Database'!$N$2:$N$1960,MATCH(1004,'Transfer Engine'!$C$2:$C$1960,0)))</f>
        <v/>
      </c>
      <c r="O1013" s="9">
        <f>IF(ISNA(MATCH(1004,'Transfer Engine'!$C$2:$C$1960,0)),"",INDEX('Compliance Database'!$O$2:$O$1960,MATCH(1004,'Transfer Engine'!$C$2:$C$1960,0)))</f>
        <v/>
      </c>
      <c r="P1013" s="8">
        <f>IF(ISNA(MATCH(1004,'Transfer Engine'!$C$2:$C$1960,0)),"",HYPERLINK("#Acts!A"&amp;INDEX('Compliance Database'!$P$2:$P$1960,MATCH(1004,'Transfer Engine'!$C$2:$C$1960,0)),"Go to Act"))</f>
        <v/>
      </c>
    </row>
    <row r="1014" ht="158" customHeight="1">
      <c r="A1014" s="8">
        <f>IF(ISNA(MATCH(1005,'Transfer Engine'!$C$2:$C$1960,0)),"",INDEX('Compliance Database'!$A$2:$A$1960,MATCH(1005,'Transfer Engine'!$C$2:$C$1960,0)))</f>
        <v/>
      </c>
      <c r="B1014" s="8">
        <f>IF(ISNA(MATCH(1005,'Transfer Engine'!$C$2:$C$1960,0)),"",INDEX('Compliance Database'!$B$2:$B$1960,MATCH(1005,'Transfer Engine'!$C$2:$C$1960,0)))</f>
        <v/>
      </c>
      <c r="C1014" s="8">
        <f>IF(ISNA(MATCH(1005,'Transfer Engine'!$C$2:$C$1960,0)),"",INDEX('Compliance Database'!$C$2:$C$1960,MATCH(1005,'Transfer Engine'!$C$2:$C$1960,0)))</f>
        <v/>
      </c>
      <c r="D1014" s="9">
        <f>IF(ISNA(MATCH(1005,'Transfer Engine'!$C$2:$C$1960,0)),"",INDEX('Compliance Database'!$D$2:$D$1960,MATCH(1005,'Transfer Engine'!$C$2:$C$1960,0)))</f>
        <v/>
      </c>
      <c r="E1014" s="8">
        <f>IF(ISNA(MATCH(1005,'Transfer Engine'!$C$2:$C$1960,0)),"",INDEX('Compliance Database'!$E$2:$E$1960,MATCH(1005,'Transfer Engine'!$C$2:$C$1960,0)))</f>
        <v/>
      </c>
      <c r="F1014" s="8">
        <f>IF(ISNA(MATCH(1005,'Transfer Engine'!$C$2:$C$1960,0)),"",INDEX('Compliance Database'!$F$2:$F$1960,MATCH(1005,'Transfer Engine'!$C$2:$C$1960,0)))</f>
        <v/>
      </c>
      <c r="G1014" s="8">
        <f>IF(ISNA(MATCH(1005,'Transfer Engine'!$C$2:$C$1960,0)),"",INDEX('Compliance Database'!$G$2:$G$1960,MATCH(1005,'Transfer Engine'!$C$2:$C$1960,0)))</f>
        <v/>
      </c>
      <c r="H1014" s="9">
        <f>IF(ISNA(MATCH(1005,'Transfer Engine'!$C$2:$C$1960,0)),"",INDEX('Compliance Database'!$H$2:$H$1960,MATCH(1005,'Transfer Engine'!$C$2:$C$1960,0)))</f>
        <v/>
      </c>
      <c r="I1014" s="9">
        <f>IF(ISNA(MATCH(1005,'Transfer Engine'!$C$2:$C$1960,0)),"",INDEX('Compliance Database'!$I$2:$I$1960,MATCH(1005,'Transfer Engine'!$C$2:$C$1960,0)))</f>
        <v/>
      </c>
      <c r="J1014" s="8">
        <f>IF(ISNA(MATCH(1005,'Transfer Engine'!$C$2:$C$1960,0)),"",INDEX('Compliance Database'!$J$2:$J$1960,MATCH(1005,'Transfer Engine'!$C$2:$C$1960,0)))</f>
        <v/>
      </c>
      <c r="K1014" s="9">
        <f>IF(ISNA(MATCH(1005,'Transfer Engine'!$C$2:$C$1960,0)),"",INDEX('Compliance Database'!$K$2:$K$1960,MATCH(1005,'Transfer Engine'!$C$2:$C$1960,0)))</f>
        <v/>
      </c>
      <c r="L1014" s="9">
        <f>IF(ISNA(MATCH(1005,'Transfer Engine'!$C$2:$C$1960,0)),"",INDEX('Compliance Database'!$L$2:$L$1960,MATCH(1005,'Transfer Engine'!$C$2:$C$1960,0)))</f>
        <v/>
      </c>
      <c r="M1014" s="9">
        <f>IF(ISNA(MATCH(1005,'Transfer Engine'!$C$2:$C$1960,0)),"",INDEX('Compliance Database'!$M$2:$M$1960,MATCH(1005,'Transfer Engine'!$C$2:$C$1960,0)))</f>
        <v/>
      </c>
      <c r="N1014" s="9">
        <f>IF(ISNA(MATCH(1005,'Transfer Engine'!$C$2:$C$1960,0)),"",INDEX('Compliance Database'!$N$2:$N$1960,MATCH(1005,'Transfer Engine'!$C$2:$C$1960,0)))</f>
        <v/>
      </c>
      <c r="O1014" s="9">
        <f>IF(ISNA(MATCH(1005,'Transfer Engine'!$C$2:$C$1960,0)),"",INDEX('Compliance Database'!$O$2:$O$1960,MATCH(1005,'Transfer Engine'!$C$2:$C$1960,0)))</f>
        <v/>
      </c>
      <c r="P1014" s="8">
        <f>IF(ISNA(MATCH(1005,'Transfer Engine'!$C$2:$C$1960,0)),"",HYPERLINK("#Acts!A"&amp;INDEX('Compliance Database'!$P$2:$P$1960,MATCH(1005,'Transfer Engine'!$C$2:$C$1960,0)),"Go to Act"))</f>
        <v/>
      </c>
    </row>
    <row r="1015" ht="158" customHeight="1">
      <c r="A1015" s="8">
        <f>IF(ISNA(MATCH(1006,'Transfer Engine'!$C$2:$C$1960,0)),"",INDEX('Compliance Database'!$A$2:$A$1960,MATCH(1006,'Transfer Engine'!$C$2:$C$1960,0)))</f>
        <v/>
      </c>
      <c r="B1015" s="8">
        <f>IF(ISNA(MATCH(1006,'Transfer Engine'!$C$2:$C$1960,0)),"",INDEX('Compliance Database'!$B$2:$B$1960,MATCH(1006,'Transfer Engine'!$C$2:$C$1960,0)))</f>
        <v/>
      </c>
      <c r="C1015" s="8">
        <f>IF(ISNA(MATCH(1006,'Transfer Engine'!$C$2:$C$1960,0)),"",INDEX('Compliance Database'!$C$2:$C$1960,MATCH(1006,'Transfer Engine'!$C$2:$C$1960,0)))</f>
        <v/>
      </c>
      <c r="D1015" s="9">
        <f>IF(ISNA(MATCH(1006,'Transfer Engine'!$C$2:$C$1960,0)),"",INDEX('Compliance Database'!$D$2:$D$1960,MATCH(1006,'Transfer Engine'!$C$2:$C$1960,0)))</f>
        <v/>
      </c>
      <c r="E1015" s="8">
        <f>IF(ISNA(MATCH(1006,'Transfer Engine'!$C$2:$C$1960,0)),"",INDEX('Compliance Database'!$E$2:$E$1960,MATCH(1006,'Transfer Engine'!$C$2:$C$1960,0)))</f>
        <v/>
      </c>
      <c r="F1015" s="8">
        <f>IF(ISNA(MATCH(1006,'Transfer Engine'!$C$2:$C$1960,0)),"",INDEX('Compliance Database'!$F$2:$F$1960,MATCH(1006,'Transfer Engine'!$C$2:$C$1960,0)))</f>
        <v/>
      </c>
      <c r="G1015" s="8">
        <f>IF(ISNA(MATCH(1006,'Transfer Engine'!$C$2:$C$1960,0)),"",INDEX('Compliance Database'!$G$2:$G$1960,MATCH(1006,'Transfer Engine'!$C$2:$C$1960,0)))</f>
        <v/>
      </c>
      <c r="H1015" s="9">
        <f>IF(ISNA(MATCH(1006,'Transfer Engine'!$C$2:$C$1960,0)),"",INDEX('Compliance Database'!$H$2:$H$1960,MATCH(1006,'Transfer Engine'!$C$2:$C$1960,0)))</f>
        <v/>
      </c>
      <c r="I1015" s="9">
        <f>IF(ISNA(MATCH(1006,'Transfer Engine'!$C$2:$C$1960,0)),"",INDEX('Compliance Database'!$I$2:$I$1960,MATCH(1006,'Transfer Engine'!$C$2:$C$1960,0)))</f>
        <v/>
      </c>
      <c r="J1015" s="8">
        <f>IF(ISNA(MATCH(1006,'Transfer Engine'!$C$2:$C$1960,0)),"",INDEX('Compliance Database'!$J$2:$J$1960,MATCH(1006,'Transfer Engine'!$C$2:$C$1960,0)))</f>
        <v/>
      </c>
      <c r="K1015" s="9">
        <f>IF(ISNA(MATCH(1006,'Transfer Engine'!$C$2:$C$1960,0)),"",INDEX('Compliance Database'!$K$2:$K$1960,MATCH(1006,'Transfer Engine'!$C$2:$C$1960,0)))</f>
        <v/>
      </c>
      <c r="L1015" s="9">
        <f>IF(ISNA(MATCH(1006,'Transfer Engine'!$C$2:$C$1960,0)),"",INDEX('Compliance Database'!$L$2:$L$1960,MATCH(1006,'Transfer Engine'!$C$2:$C$1960,0)))</f>
        <v/>
      </c>
      <c r="M1015" s="9">
        <f>IF(ISNA(MATCH(1006,'Transfer Engine'!$C$2:$C$1960,0)),"",INDEX('Compliance Database'!$M$2:$M$1960,MATCH(1006,'Transfer Engine'!$C$2:$C$1960,0)))</f>
        <v/>
      </c>
      <c r="N1015" s="9">
        <f>IF(ISNA(MATCH(1006,'Transfer Engine'!$C$2:$C$1960,0)),"",INDEX('Compliance Database'!$N$2:$N$1960,MATCH(1006,'Transfer Engine'!$C$2:$C$1960,0)))</f>
        <v/>
      </c>
      <c r="O1015" s="9">
        <f>IF(ISNA(MATCH(1006,'Transfer Engine'!$C$2:$C$1960,0)),"",INDEX('Compliance Database'!$O$2:$O$1960,MATCH(1006,'Transfer Engine'!$C$2:$C$1960,0)))</f>
        <v/>
      </c>
      <c r="P1015" s="8">
        <f>IF(ISNA(MATCH(1006,'Transfer Engine'!$C$2:$C$1960,0)),"",HYPERLINK("#Acts!A"&amp;INDEX('Compliance Database'!$P$2:$P$1960,MATCH(1006,'Transfer Engine'!$C$2:$C$1960,0)),"Go to Act"))</f>
        <v/>
      </c>
    </row>
    <row r="1016" ht="158" customHeight="1">
      <c r="A1016" s="8">
        <f>IF(ISNA(MATCH(1007,'Transfer Engine'!$C$2:$C$1960,0)),"",INDEX('Compliance Database'!$A$2:$A$1960,MATCH(1007,'Transfer Engine'!$C$2:$C$1960,0)))</f>
        <v/>
      </c>
      <c r="B1016" s="8">
        <f>IF(ISNA(MATCH(1007,'Transfer Engine'!$C$2:$C$1960,0)),"",INDEX('Compliance Database'!$B$2:$B$1960,MATCH(1007,'Transfer Engine'!$C$2:$C$1960,0)))</f>
        <v/>
      </c>
      <c r="C1016" s="8">
        <f>IF(ISNA(MATCH(1007,'Transfer Engine'!$C$2:$C$1960,0)),"",INDEX('Compliance Database'!$C$2:$C$1960,MATCH(1007,'Transfer Engine'!$C$2:$C$1960,0)))</f>
        <v/>
      </c>
      <c r="D1016" s="9">
        <f>IF(ISNA(MATCH(1007,'Transfer Engine'!$C$2:$C$1960,0)),"",INDEX('Compliance Database'!$D$2:$D$1960,MATCH(1007,'Transfer Engine'!$C$2:$C$1960,0)))</f>
        <v/>
      </c>
      <c r="E1016" s="8">
        <f>IF(ISNA(MATCH(1007,'Transfer Engine'!$C$2:$C$1960,0)),"",INDEX('Compliance Database'!$E$2:$E$1960,MATCH(1007,'Transfer Engine'!$C$2:$C$1960,0)))</f>
        <v/>
      </c>
      <c r="F1016" s="8">
        <f>IF(ISNA(MATCH(1007,'Transfer Engine'!$C$2:$C$1960,0)),"",INDEX('Compliance Database'!$F$2:$F$1960,MATCH(1007,'Transfer Engine'!$C$2:$C$1960,0)))</f>
        <v/>
      </c>
      <c r="G1016" s="8">
        <f>IF(ISNA(MATCH(1007,'Transfer Engine'!$C$2:$C$1960,0)),"",INDEX('Compliance Database'!$G$2:$G$1960,MATCH(1007,'Transfer Engine'!$C$2:$C$1960,0)))</f>
        <v/>
      </c>
      <c r="H1016" s="9">
        <f>IF(ISNA(MATCH(1007,'Transfer Engine'!$C$2:$C$1960,0)),"",INDEX('Compliance Database'!$H$2:$H$1960,MATCH(1007,'Transfer Engine'!$C$2:$C$1960,0)))</f>
        <v/>
      </c>
      <c r="I1016" s="9">
        <f>IF(ISNA(MATCH(1007,'Transfer Engine'!$C$2:$C$1960,0)),"",INDEX('Compliance Database'!$I$2:$I$1960,MATCH(1007,'Transfer Engine'!$C$2:$C$1960,0)))</f>
        <v/>
      </c>
      <c r="J1016" s="8">
        <f>IF(ISNA(MATCH(1007,'Transfer Engine'!$C$2:$C$1960,0)),"",INDEX('Compliance Database'!$J$2:$J$1960,MATCH(1007,'Transfer Engine'!$C$2:$C$1960,0)))</f>
        <v/>
      </c>
      <c r="K1016" s="9">
        <f>IF(ISNA(MATCH(1007,'Transfer Engine'!$C$2:$C$1960,0)),"",INDEX('Compliance Database'!$K$2:$K$1960,MATCH(1007,'Transfer Engine'!$C$2:$C$1960,0)))</f>
        <v/>
      </c>
      <c r="L1016" s="9">
        <f>IF(ISNA(MATCH(1007,'Transfer Engine'!$C$2:$C$1960,0)),"",INDEX('Compliance Database'!$L$2:$L$1960,MATCH(1007,'Transfer Engine'!$C$2:$C$1960,0)))</f>
        <v/>
      </c>
      <c r="M1016" s="9">
        <f>IF(ISNA(MATCH(1007,'Transfer Engine'!$C$2:$C$1960,0)),"",INDEX('Compliance Database'!$M$2:$M$1960,MATCH(1007,'Transfer Engine'!$C$2:$C$1960,0)))</f>
        <v/>
      </c>
      <c r="N1016" s="9">
        <f>IF(ISNA(MATCH(1007,'Transfer Engine'!$C$2:$C$1960,0)),"",INDEX('Compliance Database'!$N$2:$N$1960,MATCH(1007,'Transfer Engine'!$C$2:$C$1960,0)))</f>
        <v/>
      </c>
      <c r="O1016" s="9">
        <f>IF(ISNA(MATCH(1007,'Transfer Engine'!$C$2:$C$1960,0)),"",INDEX('Compliance Database'!$O$2:$O$1960,MATCH(1007,'Transfer Engine'!$C$2:$C$1960,0)))</f>
        <v/>
      </c>
      <c r="P1016" s="8">
        <f>IF(ISNA(MATCH(1007,'Transfer Engine'!$C$2:$C$1960,0)),"",HYPERLINK("#Acts!A"&amp;INDEX('Compliance Database'!$P$2:$P$1960,MATCH(1007,'Transfer Engine'!$C$2:$C$1960,0)),"Go to Act"))</f>
        <v/>
      </c>
    </row>
    <row r="1017" ht="158" customHeight="1">
      <c r="A1017" s="8">
        <f>IF(ISNA(MATCH(1008,'Transfer Engine'!$C$2:$C$1960,0)),"",INDEX('Compliance Database'!$A$2:$A$1960,MATCH(1008,'Transfer Engine'!$C$2:$C$1960,0)))</f>
        <v/>
      </c>
      <c r="B1017" s="8">
        <f>IF(ISNA(MATCH(1008,'Transfer Engine'!$C$2:$C$1960,0)),"",INDEX('Compliance Database'!$B$2:$B$1960,MATCH(1008,'Transfer Engine'!$C$2:$C$1960,0)))</f>
        <v/>
      </c>
      <c r="C1017" s="8">
        <f>IF(ISNA(MATCH(1008,'Transfer Engine'!$C$2:$C$1960,0)),"",INDEX('Compliance Database'!$C$2:$C$1960,MATCH(1008,'Transfer Engine'!$C$2:$C$1960,0)))</f>
        <v/>
      </c>
      <c r="D1017" s="9">
        <f>IF(ISNA(MATCH(1008,'Transfer Engine'!$C$2:$C$1960,0)),"",INDEX('Compliance Database'!$D$2:$D$1960,MATCH(1008,'Transfer Engine'!$C$2:$C$1960,0)))</f>
        <v/>
      </c>
      <c r="E1017" s="8">
        <f>IF(ISNA(MATCH(1008,'Transfer Engine'!$C$2:$C$1960,0)),"",INDEX('Compliance Database'!$E$2:$E$1960,MATCH(1008,'Transfer Engine'!$C$2:$C$1960,0)))</f>
        <v/>
      </c>
      <c r="F1017" s="8">
        <f>IF(ISNA(MATCH(1008,'Transfer Engine'!$C$2:$C$1960,0)),"",INDEX('Compliance Database'!$F$2:$F$1960,MATCH(1008,'Transfer Engine'!$C$2:$C$1960,0)))</f>
        <v/>
      </c>
      <c r="G1017" s="8">
        <f>IF(ISNA(MATCH(1008,'Transfer Engine'!$C$2:$C$1960,0)),"",INDEX('Compliance Database'!$G$2:$G$1960,MATCH(1008,'Transfer Engine'!$C$2:$C$1960,0)))</f>
        <v/>
      </c>
      <c r="H1017" s="9">
        <f>IF(ISNA(MATCH(1008,'Transfer Engine'!$C$2:$C$1960,0)),"",INDEX('Compliance Database'!$H$2:$H$1960,MATCH(1008,'Transfer Engine'!$C$2:$C$1960,0)))</f>
        <v/>
      </c>
      <c r="I1017" s="9">
        <f>IF(ISNA(MATCH(1008,'Transfer Engine'!$C$2:$C$1960,0)),"",INDEX('Compliance Database'!$I$2:$I$1960,MATCH(1008,'Transfer Engine'!$C$2:$C$1960,0)))</f>
        <v/>
      </c>
      <c r="J1017" s="8">
        <f>IF(ISNA(MATCH(1008,'Transfer Engine'!$C$2:$C$1960,0)),"",INDEX('Compliance Database'!$J$2:$J$1960,MATCH(1008,'Transfer Engine'!$C$2:$C$1960,0)))</f>
        <v/>
      </c>
      <c r="K1017" s="9">
        <f>IF(ISNA(MATCH(1008,'Transfer Engine'!$C$2:$C$1960,0)),"",INDEX('Compliance Database'!$K$2:$K$1960,MATCH(1008,'Transfer Engine'!$C$2:$C$1960,0)))</f>
        <v/>
      </c>
      <c r="L1017" s="9">
        <f>IF(ISNA(MATCH(1008,'Transfer Engine'!$C$2:$C$1960,0)),"",INDEX('Compliance Database'!$L$2:$L$1960,MATCH(1008,'Transfer Engine'!$C$2:$C$1960,0)))</f>
        <v/>
      </c>
      <c r="M1017" s="9">
        <f>IF(ISNA(MATCH(1008,'Transfer Engine'!$C$2:$C$1960,0)),"",INDEX('Compliance Database'!$M$2:$M$1960,MATCH(1008,'Transfer Engine'!$C$2:$C$1960,0)))</f>
        <v/>
      </c>
      <c r="N1017" s="9">
        <f>IF(ISNA(MATCH(1008,'Transfer Engine'!$C$2:$C$1960,0)),"",INDEX('Compliance Database'!$N$2:$N$1960,MATCH(1008,'Transfer Engine'!$C$2:$C$1960,0)))</f>
        <v/>
      </c>
      <c r="O1017" s="9">
        <f>IF(ISNA(MATCH(1008,'Transfer Engine'!$C$2:$C$1960,0)),"",INDEX('Compliance Database'!$O$2:$O$1960,MATCH(1008,'Transfer Engine'!$C$2:$C$1960,0)))</f>
        <v/>
      </c>
      <c r="P1017" s="8">
        <f>IF(ISNA(MATCH(1008,'Transfer Engine'!$C$2:$C$1960,0)),"",HYPERLINK("#Acts!A"&amp;INDEX('Compliance Database'!$P$2:$P$1960,MATCH(1008,'Transfer Engine'!$C$2:$C$1960,0)),"Go to Act"))</f>
        <v/>
      </c>
    </row>
    <row r="1018" ht="158" customHeight="1">
      <c r="A1018" s="8">
        <f>IF(ISNA(MATCH(1009,'Transfer Engine'!$C$2:$C$1960,0)),"",INDEX('Compliance Database'!$A$2:$A$1960,MATCH(1009,'Transfer Engine'!$C$2:$C$1960,0)))</f>
        <v/>
      </c>
      <c r="B1018" s="8">
        <f>IF(ISNA(MATCH(1009,'Transfer Engine'!$C$2:$C$1960,0)),"",INDEX('Compliance Database'!$B$2:$B$1960,MATCH(1009,'Transfer Engine'!$C$2:$C$1960,0)))</f>
        <v/>
      </c>
      <c r="C1018" s="8">
        <f>IF(ISNA(MATCH(1009,'Transfer Engine'!$C$2:$C$1960,0)),"",INDEX('Compliance Database'!$C$2:$C$1960,MATCH(1009,'Transfer Engine'!$C$2:$C$1960,0)))</f>
        <v/>
      </c>
      <c r="D1018" s="9">
        <f>IF(ISNA(MATCH(1009,'Transfer Engine'!$C$2:$C$1960,0)),"",INDEX('Compliance Database'!$D$2:$D$1960,MATCH(1009,'Transfer Engine'!$C$2:$C$1960,0)))</f>
        <v/>
      </c>
      <c r="E1018" s="8">
        <f>IF(ISNA(MATCH(1009,'Transfer Engine'!$C$2:$C$1960,0)),"",INDEX('Compliance Database'!$E$2:$E$1960,MATCH(1009,'Transfer Engine'!$C$2:$C$1960,0)))</f>
        <v/>
      </c>
      <c r="F1018" s="8">
        <f>IF(ISNA(MATCH(1009,'Transfer Engine'!$C$2:$C$1960,0)),"",INDEX('Compliance Database'!$F$2:$F$1960,MATCH(1009,'Transfer Engine'!$C$2:$C$1960,0)))</f>
        <v/>
      </c>
      <c r="G1018" s="8">
        <f>IF(ISNA(MATCH(1009,'Transfer Engine'!$C$2:$C$1960,0)),"",INDEX('Compliance Database'!$G$2:$G$1960,MATCH(1009,'Transfer Engine'!$C$2:$C$1960,0)))</f>
        <v/>
      </c>
      <c r="H1018" s="9">
        <f>IF(ISNA(MATCH(1009,'Transfer Engine'!$C$2:$C$1960,0)),"",INDEX('Compliance Database'!$H$2:$H$1960,MATCH(1009,'Transfer Engine'!$C$2:$C$1960,0)))</f>
        <v/>
      </c>
      <c r="I1018" s="9">
        <f>IF(ISNA(MATCH(1009,'Transfer Engine'!$C$2:$C$1960,0)),"",INDEX('Compliance Database'!$I$2:$I$1960,MATCH(1009,'Transfer Engine'!$C$2:$C$1960,0)))</f>
        <v/>
      </c>
      <c r="J1018" s="8">
        <f>IF(ISNA(MATCH(1009,'Transfer Engine'!$C$2:$C$1960,0)),"",INDEX('Compliance Database'!$J$2:$J$1960,MATCH(1009,'Transfer Engine'!$C$2:$C$1960,0)))</f>
        <v/>
      </c>
      <c r="K1018" s="9">
        <f>IF(ISNA(MATCH(1009,'Transfer Engine'!$C$2:$C$1960,0)),"",INDEX('Compliance Database'!$K$2:$K$1960,MATCH(1009,'Transfer Engine'!$C$2:$C$1960,0)))</f>
        <v/>
      </c>
      <c r="L1018" s="9">
        <f>IF(ISNA(MATCH(1009,'Transfer Engine'!$C$2:$C$1960,0)),"",INDEX('Compliance Database'!$L$2:$L$1960,MATCH(1009,'Transfer Engine'!$C$2:$C$1960,0)))</f>
        <v/>
      </c>
      <c r="M1018" s="9">
        <f>IF(ISNA(MATCH(1009,'Transfer Engine'!$C$2:$C$1960,0)),"",INDEX('Compliance Database'!$M$2:$M$1960,MATCH(1009,'Transfer Engine'!$C$2:$C$1960,0)))</f>
        <v/>
      </c>
      <c r="N1018" s="9">
        <f>IF(ISNA(MATCH(1009,'Transfer Engine'!$C$2:$C$1960,0)),"",INDEX('Compliance Database'!$N$2:$N$1960,MATCH(1009,'Transfer Engine'!$C$2:$C$1960,0)))</f>
        <v/>
      </c>
      <c r="O1018" s="9">
        <f>IF(ISNA(MATCH(1009,'Transfer Engine'!$C$2:$C$1960,0)),"",INDEX('Compliance Database'!$O$2:$O$1960,MATCH(1009,'Transfer Engine'!$C$2:$C$1960,0)))</f>
        <v/>
      </c>
      <c r="P1018" s="8">
        <f>IF(ISNA(MATCH(1009,'Transfer Engine'!$C$2:$C$1960,0)),"",HYPERLINK("#Acts!A"&amp;INDEX('Compliance Database'!$P$2:$P$1960,MATCH(1009,'Transfer Engine'!$C$2:$C$1960,0)),"Go to Act"))</f>
        <v/>
      </c>
    </row>
    <row r="1019" ht="158" customHeight="1">
      <c r="A1019" s="8">
        <f>IF(ISNA(MATCH(1010,'Transfer Engine'!$C$2:$C$1960,0)),"",INDEX('Compliance Database'!$A$2:$A$1960,MATCH(1010,'Transfer Engine'!$C$2:$C$1960,0)))</f>
        <v/>
      </c>
      <c r="B1019" s="8">
        <f>IF(ISNA(MATCH(1010,'Transfer Engine'!$C$2:$C$1960,0)),"",INDEX('Compliance Database'!$B$2:$B$1960,MATCH(1010,'Transfer Engine'!$C$2:$C$1960,0)))</f>
        <v/>
      </c>
      <c r="C1019" s="8">
        <f>IF(ISNA(MATCH(1010,'Transfer Engine'!$C$2:$C$1960,0)),"",INDEX('Compliance Database'!$C$2:$C$1960,MATCH(1010,'Transfer Engine'!$C$2:$C$1960,0)))</f>
        <v/>
      </c>
      <c r="D1019" s="9">
        <f>IF(ISNA(MATCH(1010,'Transfer Engine'!$C$2:$C$1960,0)),"",INDEX('Compliance Database'!$D$2:$D$1960,MATCH(1010,'Transfer Engine'!$C$2:$C$1960,0)))</f>
        <v/>
      </c>
      <c r="E1019" s="8">
        <f>IF(ISNA(MATCH(1010,'Transfer Engine'!$C$2:$C$1960,0)),"",INDEX('Compliance Database'!$E$2:$E$1960,MATCH(1010,'Transfer Engine'!$C$2:$C$1960,0)))</f>
        <v/>
      </c>
      <c r="F1019" s="8">
        <f>IF(ISNA(MATCH(1010,'Transfer Engine'!$C$2:$C$1960,0)),"",INDEX('Compliance Database'!$F$2:$F$1960,MATCH(1010,'Transfer Engine'!$C$2:$C$1960,0)))</f>
        <v/>
      </c>
      <c r="G1019" s="8">
        <f>IF(ISNA(MATCH(1010,'Transfer Engine'!$C$2:$C$1960,0)),"",INDEX('Compliance Database'!$G$2:$G$1960,MATCH(1010,'Transfer Engine'!$C$2:$C$1960,0)))</f>
        <v/>
      </c>
      <c r="H1019" s="9">
        <f>IF(ISNA(MATCH(1010,'Transfer Engine'!$C$2:$C$1960,0)),"",INDEX('Compliance Database'!$H$2:$H$1960,MATCH(1010,'Transfer Engine'!$C$2:$C$1960,0)))</f>
        <v/>
      </c>
      <c r="I1019" s="9">
        <f>IF(ISNA(MATCH(1010,'Transfer Engine'!$C$2:$C$1960,0)),"",INDEX('Compliance Database'!$I$2:$I$1960,MATCH(1010,'Transfer Engine'!$C$2:$C$1960,0)))</f>
        <v/>
      </c>
      <c r="J1019" s="8">
        <f>IF(ISNA(MATCH(1010,'Transfer Engine'!$C$2:$C$1960,0)),"",INDEX('Compliance Database'!$J$2:$J$1960,MATCH(1010,'Transfer Engine'!$C$2:$C$1960,0)))</f>
        <v/>
      </c>
      <c r="K1019" s="9">
        <f>IF(ISNA(MATCH(1010,'Transfer Engine'!$C$2:$C$1960,0)),"",INDEX('Compliance Database'!$K$2:$K$1960,MATCH(1010,'Transfer Engine'!$C$2:$C$1960,0)))</f>
        <v/>
      </c>
      <c r="L1019" s="9">
        <f>IF(ISNA(MATCH(1010,'Transfer Engine'!$C$2:$C$1960,0)),"",INDEX('Compliance Database'!$L$2:$L$1960,MATCH(1010,'Transfer Engine'!$C$2:$C$1960,0)))</f>
        <v/>
      </c>
      <c r="M1019" s="9">
        <f>IF(ISNA(MATCH(1010,'Transfer Engine'!$C$2:$C$1960,0)),"",INDEX('Compliance Database'!$M$2:$M$1960,MATCH(1010,'Transfer Engine'!$C$2:$C$1960,0)))</f>
        <v/>
      </c>
      <c r="N1019" s="9">
        <f>IF(ISNA(MATCH(1010,'Transfer Engine'!$C$2:$C$1960,0)),"",INDEX('Compliance Database'!$N$2:$N$1960,MATCH(1010,'Transfer Engine'!$C$2:$C$1960,0)))</f>
        <v/>
      </c>
      <c r="O1019" s="9">
        <f>IF(ISNA(MATCH(1010,'Transfer Engine'!$C$2:$C$1960,0)),"",INDEX('Compliance Database'!$O$2:$O$1960,MATCH(1010,'Transfer Engine'!$C$2:$C$1960,0)))</f>
        <v/>
      </c>
      <c r="P1019" s="8">
        <f>IF(ISNA(MATCH(1010,'Transfer Engine'!$C$2:$C$1960,0)),"",HYPERLINK("#Acts!A"&amp;INDEX('Compliance Database'!$P$2:$P$1960,MATCH(1010,'Transfer Engine'!$C$2:$C$1960,0)),"Go to Act"))</f>
        <v/>
      </c>
    </row>
    <row r="1020" ht="158" customHeight="1">
      <c r="A1020" s="8">
        <f>IF(ISNA(MATCH(1011,'Transfer Engine'!$C$2:$C$1960,0)),"",INDEX('Compliance Database'!$A$2:$A$1960,MATCH(1011,'Transfer Engine'!$C$2:$C$1960,0)))</f>
        <v/>
      </c>
      <c r="B1020" s="8">
        <f>IF(ISNA(MATCH(1011,'Transfer Engine'!$C$2:$C$1960,0)),"",INDEX('Compliance Database'!$B$2:$B$1960,MATCH(1011,'Transfer Engine'!$C$2:$C$1960,0)))</f>
        <v/>
      </c>
      <c r="C1020" s="8">
        <f>IF(ISNA(MATCH(1011,'Transfer Engine'!$C$2:$C$1960,0)),"",INDEX('Compliance Database'!$C$2:$C$1960,MATCH(1011,'Transfer Engine'!$C$2:$C$1960,0)))</f>
        <v/>
      </c>
      <c r="D1020" s="9">
        <f>IF(ISNA(MATCH(1011,'Transfer Engine'!$C$2:$C$1960,0)),"",INDEX('Compliance Database'!$D$2:$D$1960,MATCH(1011,'Transfer Engine'!$C$2:$C$1960,0)))</f>
        <v/>
      </c>
      <c r="E1020" s="8">
        <f>IF(ISNA(MATCH(1011,'Transfer Engine'!$C$2:$C$1960,0)),"",INDEX('Compliance Database'!$E$2:$E$1960,MATCH(1011,'Transfer Engine'!$C$2:$C$1960,0)))</f>
        <v/>
      </c>
      <c r="F1020" s="8">
        <f>IF(ISNA(MATCH(1011,'Transfer Engine'!$C$2:$C$1960,0)),"",INDEX('Compliance Database'!$F$2:$F$1960,MATCH(1011,'Transfer Engine'!$C$2:$C$1960,0)))</f>
        <v/>
      </c>
      <c r="G1020" s="8">
        <f>IF(ISNA(MATCH(1011,'Transfer Engine'!$C$2:$C$1960,0)),"",INDEX('Compliance Database'!$G$2:$G$1960,MATCH(1011,'Transfer Engine'!$C$2:$C$1960,0)))</f>
        <v/>
      </c>
      <c r="H1020" s="9">
        <f>IF(ISNA(MATCH(1011,'Transfer Engine'!$C$2:$C$1960,0)),"",INDEX('Compliance Database'!$H$2:$H$1960,MATCH(1011,'Transfer Engine'!$C$2:$C$1960,0)))</f>
        <v/>
      </c>
      <c r="I1020" s="9">
        <f>IF(ISNA(MATCH(1011,'Transfer Engine'!$C$2:$C$1960,0)),"",INDEX('Compliance Database'!$I$2:$I$1960,MATCH(1011,'Transfer Engine'!$C$2:$C$1960,0)))</f>
        <v/>
      </c>
      <c r="J1020" s="8">
        <f>IF(ISNA(MATCH(1011,'Transfer Engine'!$C$2:$C$1960,0)),"",INDEX('Compliance Database'!$J$2:$J$1960,MATCH(1011,'Transfer Engine'!$C$2:$C$1960,0)))</f>
        <v/>
      </c>
      <c r="K1020" s="9">
        <f>IF(ISNA(MATCH(1011,'Transfer Engine'!$C$2:$C$1960,0)),"",INDEX('Compliance Database'!$K$2:$K$1960,MATCH(1011,'Transfer Engine'!$C$2:$C$1960,0)))</f>
        <v/>
      </c>
      <c r="L1020" s="9">
        <f>IF(ISNA(MATCH(1011,'Transfer Engine'!$C$2:$C$1960,0)),"",INDEX('Compliance Database'!$L$2:$L$1960,MATCH(1011,'Transfer Engine'!$C$2:$C$1960,0)))</f>
        <v/>
      </c>
      <c r="M1020" s="9">
        <f>IF(ISNA(MATCH(1011,'Transfer Engine'!$C$2:$C$1960,0)),"",INDEX('Compliance Database'!$M$2:$M$1960,MATCH(1011,'Transfer Engine'!$C$2:$C$1960,0)))</f>
        <v/>
      </c>
      <c r="N1020" s="9">
        <f>IF(ISNA(MATCH(1011,'Transfer Engine'!$C$2:$C$1960,0)),"",INDEX('Compliance Database'!$N$2:$N$1960,MATCH(1011,'Transfer Engine'!$C$2:$C$1960,0)))</f>
        <v/>
      </c>
      <c r="O1020" s="9">
        <f>IF(ISNA(MATCH(1011,'Transfer Engine'!$C$2:$C$1960,0)),"",INDEX('Compliance Database'!$O$2:$O$1960,MATCH(1011,'Transfer Engine'!$C$2:$C$1960,0)))</f>
        <v/>
      </c>
      <c r="P1020" s="8">
        <f>IF(ISNA(MATCH(1011,'Transfer Engine'!$C$2:$C$1960,0)),"",HYPERLINK("#Acts!A"&amp;INDEX('Compliance Database'!$P$2:$P$1960,MATCH(1011,'Transfer Engine'!$C$2:$C$1960,0)),"Go to Act"))</f>
        <v/>
      </c>
    </row>
    <row r="1021" ht="158" customHeight="1">
      <c r="A1021" s="8">
        <f>IF(ISNA(MATCH(1012,'Transfer Engine'!$C$2:$C$1960,0)),"",INDEX('Compliance Database'!$A$2:$A$1960,MATCH(1012,'Transfer Engine'!$C$2:$C$1960,0)))</f>
        <v/>
      </c>
      <c r="B1021" s="8">
        <f>IF(ISNA(MATCH(1012,'Transfer Engine'!$C$2:$C$1960,0)),"",INDEX('Compliance Database'!$B$2:$B$1960,MATCH(1012,'Transfer Engine'!$C$2:$C$1960,0)))</f>
        <v/>
      </c>
      <c r="C1021" s="8">
        <f>IF(ISNA(MATCH(1012,'Transfer Engine'!$C$2:$C$1960,0)),"",INDEX('Compliance Database'!$C$2:$C$1960,MATCH(1012,'Transfer Engine'!$C$2:$C$1960,0)))</f>
        <v/>
      </c>
      <c r="D1021" s="9">
        <f>IF(ISNA(MATCH(1012,'Transfer Engine'!$C$2:$C$1960,0)),"",INDEX('Compliance Database'!$D$2:$D$1960,MATCH(1012,'Transfer Engine'!$C$2:$C$1960,0)))</f>
        <v/>
      </c>
      <c r="E1021" s="8">
        <f>IF(ISNA(MATCH(1012,'Transfer Engine'!$C$2:$C$1960,0)),"",INDEX('Compliance Database'!$E$2:$E$1960,MATCH(1012,'Transfer Engine'!$C$2:$C$1960,0)))</f>
        <v/>
      </c>
      <c r="F1021" s="8">
        <f>IF(ISNA(MATCH(1012,'Transfer Engine'!$C$2:$C$1960,0)),"",INDEX('Compliance Database'!$F$2:$F$1960,MATCH(1012,'Transfer Engine'!$C$2:$C$1960,0)))</f>
        <v/>
      </c>
      <c r="G1021" s="8">
        <f>IF(ISNA(MATCH(1012,'Transfer Engine'!$C$2:$C$1960,0)),"",INDEX('Compliance Database'!$G$2:$G$1960,MATCH(1012,'Transfer Engine'!$C$2:$C$1960,0)))</f>
        <v/>
      </c>
      <c r="H1021" s="9">
        <f>IF(ISNA(MATCH(1012,'Transfer Engine'!$C$2:$C$1960,0)),"",INDEX('Compliance Database'!$H$2:$H$1960,MATCH(1012,'Transfer Engine'!$C$2:$C$1960,0)))</f>
        <v/>
      </c>
      <c r="I1021" s="9">
        <f>IF(ISNA(MATCH(1012,'Transfer Engine'!$C$2:$C$1960,0)),"",INDEX('Compliance Database'!$I$2:$I$1960,MATCH(1012,'Transfer Engine'!$C$2:$C$1960,0)))</f>
        <v/>
      </c>
      <c r="J1021" s="8">
        <f>IF(ISNA(MATCH(1012,'Transfer Engine'!$C$2:$C$1960,0)),"",INDEX('Compliance Database'!$J$2:$J$1960,MATCH(1012,'Transfer Engine'!$C$2:$C$1960,0)))</f>
        <v/>
      </c>
      <c r="K1021" s="9">
        <f>IF(ISNA(MATCH(1012,'Transfer Engine'!$C$2:$C$1960,0)),"",INDEX('Compliance Database'!$K$2:$K$1960,MATCH(1012,'Transfer Engine'!$C$2:$C$1960,0)))</f>
        <v/>
      </c>
      <c r="L1021" s="9">
        <f>IF(ISNA(MATCH(1012,'Transfer Engine'!$C$2:$C$1960,0)),"",INDEX('Compliance Database'!$L$2:$L$1960,MATCH(1012,'Transfer Engine'!$C$2:$C$1960,0)))</f>
        <v/>
      </c>
      <c r="M1021" s="9">
        <f>IF(ISNA(MATCH(1012,'Transfer Engine'!$C$2:$C$1960,0)),"",INDEX('Compliance Database'!$M$2:$M$1960,MATCH(1012,'Transfer Engine'!$C$2:$C$1960,0)))</f>
        <v/>
      </c>
      <c r="N1021" s="9">
        <f>IF(ISNA(MATCH(1012,'Transfer Engine'!$C$2:$C$1960,0)),"",INDEX('Compliance Database'!$N$2:$N$1960,MATCH(1012,'Transfer Engine'!$C$2:$C$1960,0)))</f>
        <v/>
      </c>
      <c r="O1021" s="9">
        <f>IF(ISNA(MATCH(1012,'Transfer Engine'!$C$2:$C$1960,0)),"",INDEX('Compliance Database'!$O$2:$O$1960,MATCH(1012,'Transfer Engine'!$C$2:$C$1960,0)))</f>
        <v/>
      </c>
      <c r="P1021" s="8">
        <f>IF(ISNA(MATCH(1012,'Transfer Engine'!$C$2:$C$1960,0)),"",HYPERLINK("#Acts!A"&amp;INDEX('Compliance Database'!$P$2:$P$1960,MATCH(1012,'Transfer Engine'!$C$2:$C$1960,0)),"Go to Act"))</f>
        <v/>
      </c>
    </row>
    <row r="1022" ht="158" customHeight="1">
      <c r="A1022" s="8">
        <f>IF(ISNA(MATCH(1013,'Transfer Engine'!$C$2:$C$1960,0)),"",INDEX('Compliance Database'!$A$2:$A$1960,MATCH(1013,'Transfer Engine'!$C$2:$C$1960,0)))</f>
        <v/>
      </c>
      <c r="B1022" s="8">
        <f>IF(ISNA(MATCH(1013,'Transfer Engine'!$C$2:$C$1960,0)),"",INDEX('Compliance Database'!$B$2:$B$1960,MATCH(1013,'Transfer Engine'!$C$2:$C$1960,0)))</f>
        <v/>
      </c>
      <c r="C1022" s="8">
        <f>IF(ISNA(MATCH(1013,'Transfer Engine'!$C$2:$C$1960,0)),"",INDEX('Compliance Database'!$C$2:$C$1960,MATCH(1013,'Transfer Engine'!$C$2:$C$1960,0)))</f>
        <v/>
      </c>
      <c r="D1022" s="9">
        <f>IF(ISNA(MATCH(1013,'Transfer Engine'!$C$2:$C$1960,0)),"",INDEX('Compliance Database'!$D$2:$D$1960,MATCH(1013,'Transfer Engine'!$C$2:$C$1960,0)))</f>
        <v/>
      </c>
      <c r="E1022" s="8">
        <f>IF(ISNA(MATCH(1013,'Transfer Engine'!$C$2:$C$1960,0)),"",INDEX('Compliance Database'!$E$2:$E$1960,MATCH(1013,'Transfer Engine'!$C$2:$C$1960,0)))</f>
        <v/>
      </c>
      <c r="F1022" s="8">
        <f>IF(ISNA(MATCH(1013,'Transfer Engine'!$C$2:$C$1960,0)),"",INDEX('Compliance Database'!$F$2:$F$1960,MATCH(1013,'Transfer Engine'!$C$2:$C$1960,0)))</f>
        <v/>
      </c>
      <c r="G1022" s="8">
        <f>IF(ISNA(MATCH(1013,'Transfer Engine'!$C$2:$C$1960,0)),"",INDEX('Compliance Database'!$G$2:$G$1960,MATCH(1013,'Transfer Engine'!$C$2:$C$1960,0)))</f>
        <v/>
      </c>
      <c r="H1022" s="9">
        <f>IF(ISNA(MATCH(1013,'Transfer Engine'!$C$2:$C$1960,0)),"",INDEX('Compliance Database'!$H$2:$H$1960,MATCH(1013,'Transfer Engine'!$C$2:$C$1960,0)))</f>
        <v/>
      </c>
      <c r="I1022" s="9">
        <f>IF(ISNA(MATCH(1013,'Transfer Engine'!$C$2:$C$1960,0)),"",INDEX('Compliance Database'!$I$2:$I$1960,MATCH(1013,'Transfer Engine'!$C$2:$C$1960,0)))</f>
        <v/>
      </c>
      <c r="J1022" s="8">
        <f>IF(ISNA(MATCH(1013,'Transfer Engine'!$C$2:$C$1960,0)),"",INDEX('Compliance Database'!$J$2:$J$1960,MATCH(1013,'Transfer Engine'!$C$2:$C$1960,0)))</f>
        <v/>
      </c>
      <c r="K1022" s="9">
        <f>IF(ISNA(MATCH(1013,'Transfer Engine'!$C$2:$C$1960,0)),"",INDEX('Compliance Database'!$K$2:$K$1960,MATCH(1013,'Transfer Engine'!$C$2:$C$1960,0)))</f>
        <v/>
      </c>
      <c r="L1022" s="9">
        <f>IF(ISNA(MATCH(1013,'Transfer Engine'!$C$2:$C$1960,0)),"",INDEX('Compliance Database'!$L$2:$L$1960,MATCH(1013,'Transfer Engine'!$C$2:$C$1960,0)))</f>
        <v/>
      </c>
      <c r="M1022" s="9">
        <f>IF(ISNA(MATCH(1013,'Transfer Engine'!$C$2:$C$1960,0)),"",INDEX('Compliance Database'!$M$2:$M$1960,MATCH(1013,'Transfer Engine'!$C$2:$C$1960,0)))</f>
        <v/>
      </c>
      <c r="N1022" s="9">
        <f>IF(ISNA(MATCH(1013,'Transfer Engine'!$C$2:$C$1960,0)),"",INDEX('Compliance Database'!$N$2:$N$1960,MATCH(1013,'Transfer Engine'!$C$2:$C$1960,0)))</f>
        <v/>
      </c>
      <c r="O1022" s="9">
        <f>IF(ISNA(MATCH(1013,'Transfer Engine'!$C$2:$C$1960,0)),"",INDEX('Compliance Database'!$O$2:$O$1960,MATCH(1013,'Transfer Engine'!$C$2:$C$1960,0)))</f>
        <v/>
      </c>
      <c r="P1022" s="8">
        <f>IF(ISNA(MATCH(1013,'Transfer Engine'!$C$2:$C$1960,0)),"",HYPERLINK("#Acts!A"&amp;INDEX('Compliance Database'!$P$2:$P$1960,MATCH(1013,'Transfer Engine'!$C$2:$C$1960,0)),"Go to Act"))</f>
        <v/>
      </c>
    </row>
    <row r="1023" ht="158" customHeight="1">
      <c r="A1023" s="8">
        <f>IF(ISNA(MATCH(1014,'Transfer Engine'!$C$2:$C$1960,0)),"",INDEX('Compliance Database'!$A$2:$A$1960,MATCH(1014,'Transfer Engine'!$C$2:$C$1960,0)))</f>
        <v/>
      </c>
      <c r="B1023" s="8">
        <f>IF(ISNA(MATCH(1014,'Transfer Engine'!$C$2:$C$1960,0)),"",INDEX('Compliance Database'!$B$2:$B$1960,MATCH(1014,'Transfer Engine'!$C$2:$C$1960,0)))</f>
        <v/>
      </c>
      <c r="C1023" s="8">
        <f>IF(ISNA(MATCH(1014,'Transfer Engine'!$C$2:$C$1960,0)),"",INDEX('Compliance Database'!$C$2:$C$1960,MATCH(1014,'Transfer Engine'!$C$2:$C$1960,0)))</f>
        <v/>
      </c>
      <c r="D1023" s="9">
        <f>IF(ISNA(MATCH(1014,'Transfer Engine'!$C$2:$C$1960,0)),"",INDEX('Compliance Database'!$D$2:$D$1960,MATCH(1014,'Transfer Engine'!$C$2:$C$1960,0)))</f>
        <v/>
      </c>
      <c r="E1023" s="8">
        <f>IF(ISNA(MATCH(1014,'Transfer Engine'!$C$2:$C$1960,0)),"",INDEX('Compliance Database'!$E$2:$E$1960,MATCH(1014,'Transfer Engine'!$C$2:$C$1960,0)))</f>
        <v/>
      </c>
      <c r="F1023" s="8">
        <f>IF(ISNA(MATCH(1014,'Transfer Engine'!$C$2:$C$1960,0)),"",INDEX('Compliance Database'!$F$2:$F$1960,MATCH(1014,'Transfer Engine'!$C$2:$C$1960,0)))</f>
        <v/>
      </c>
      <c r="G1023" s="8">
        <f>IF(ISNA(MATCH(1014,'Transfer Engine'!$C$2:$C$1960,0)),"",INDEX('Compliance Database'!$G$2:$G$1960,MATCH(1014,'Transfer Engine'!$C$2:$C$1960,0)))</f>
        <v/>
      </c>
      <c r="H1023" s="9">
        <f>IF(ISNA(MATCH(1014,'Transfer Engine'!$C$2:$C$1960,0)),"",INDEX('Compliance Database'!$H$2:$H$1960,MATCH(1014,'Transfer Engine'!$C$2:$C$1960,0)))</f>
        <v/>
      </c>
      <c r="I1023" s="9">
        <f>IF(ISNA(MATCH(1014,'Transfer Engine'!$C$2:$C$1960,0)),"",INDEX('Compliance Database'!$I$2:$I$1960,MATCH(1014,'Transfer Engine'!$C$2:$C$1960,0)))</f>
        <v/>
      </c>
      <c r="J1023" s="8">
        <f>IF(ISNA(MATCH(1014,'Transfer Engine'!$C$2:$C$1960,0)),"",INDEX('Compliance Database'!$J$2:$J$1960,MATCH(1014,'Transfer Engine'!$C$2:$C$1960,0)))</f>
        <v/>
      </c>
      <c r="K1023" s="9">
        <f>IF(ISNA(MATCH(1014,'Transfer Engine'!$C$2:$C$1960,0)),"",INDEX('Compliance Database'!$K$2:$K$1960,MATCH(1014,'Transfer Engine'!$C$2:$C$1960,0)))</f>
        <v/>
      </c>
      <c r="L1023" s="9">
        <f>IF(ISNA(MATCH(1014,'Transfer Engine'!$C$2:$C$1960,0)),"",INDEX('Compliance Database'!$L$2:$L$1960,MATCH(1014,'Transfer Engine'!$C$2:$C$1960,0)))</f>
        <v/>
      </c>
      <c r="M1023" s="9">
        <f>IF(ISNA(MATCH(1014,'Transfer Engine'!$C$2:$C$1960,0)),"",INDEX('Compliance Database'!$M$2:$M$1960,MATCH(1014,'Transfer Engine'!$C$2:$C$1960,0)))</f>
        <v/>
      </c>
      <c r="N1023" s="9">
        <f>IF(ISNA(MATCH(1014,'Transfer Engine'!$C$2:$C$1960,0)),"",INDEX('Compliance Database'!$N$2:$N$1960,MATCH(1014,'Transfer Engine'!$C$2:$C$1960,0)))</f>
        <v/>
      </c>
      <c r="O1023" s="9">
        <f>IF(ISNA(MATCH(1014,'Transfer Engine'!$C$2:$C$1960,0)),"",INDEX('Compliance Database'!$O$2:$O$1960,MATCH(1014,'Transfer Engine'!$C$2:$C$1960,0)))</f>
        <v/>
      </c>
      <c r="P1023" s="8">
        <f>IF(ISNA(MATCH(1014,'Transfer Engine'!$C$2:$C$1960,0)),"",HYPERLINK("#Acts!A"&amp;INDEX('Compliance Database'!$P$2:$P$1960,MATCH(1014,'Transfer Engine'!$C$2:$C$1960,0)),"Go to Act"))</f>
        <v/>
      </c>
    </row>
    <row r="1024" ht="158" customHeight="1">
      <c r="A1024" s="8">
        <f>IF(ISNA(MATCH(1015,'Transfer Engine'!$C$2:$C$1960,0)),"",INDEX('Compliance Database'!$A$2:$A$1960,MATCH(1015,'Transfer Engine'!$C$2:$C$1960,0)))</f>
        <v/>
      </c>
      <c r="B1024" s="8">
        <f>IF(ISNA(MATCH(1015,'Transfer Engine'!$C$2:$C$1960,0)),"",INDEX('Compliance Database'!$B$2:$B$1960,MATCH(1015,'Transfer Engine'!$C$2:$C$1960,0)))</f>
        <v/>
      </c>
      <c r="C1024" s="8">
        <f>IF(ISNA(MATCH(1015,'Transfer Engine'!$C$2:$C$1960,0)),"",INDEX('Compliance Database'!$C$2:$C$1960,MATCH(1015,'Transfer Engine'!$C$2:$C$1960,0)))</f>
        <v/>
      </c>
      <c r="D1024" s="9">
        <f>IF(ISNA(MATCH(1015,'Transfer Engine'!$C$2:$C$1960,0)),"",INDEX('Compliance Database'!$D$2:$D$1960,MATCH(1015,'Transfer Engine'!$C$2:$C$1960,0)))</f>
        <v/>
      </c>
      <c r="E1024" s="8">
        <f>IF(ISNA(MATCH(1015,'Transfer Engine'!$C$2:$C$1960,0)),"",INDEX('Compliance Database'!$E$2:$E$1960,MATCH(1015,'Transfer Engine'!$C$2:$C$1960,0)))</f>
        <v/>
      </c>
      <c r="F1024" s="8">
        <f>IF(ISNA(MATCH(1015,'Transfer Engine'!$C$2:$C$1960,0)),"",INDEX('Compliance Database'!$F$2:$F$1960,MATCH(1015,'Transfer Engine'!$C$2:$C$1960,0)))</f>
        <v/>
      </c>
      <c r="G1024" s="8">
        <f>IF(ISNA(MATCH(1015,'Transfer Engine'!$C$2:$C$1960,0)),"",INDEX('Compliance Database'!$G$2:$G$1960,MATCH(1015,'Transfer Engine'!$C$2:$C$1960,0)))</f>
        <v/>
      </c>
      <c r="H1024" s="9">
        <f>IF(ISNA(MATCH(1015,'Transfer Engine'!$C$2:$C$1960,0)),"",INDEX('Compliance Database'!$H$2:$H$1960,MATCH(1015,'Transfer Engine'!$C$2:$C$1960,0)))</f>
        <v/>
      </c>
      <c r="I1024" s="9">
        <f>IF(ISNA(MATCH(1015,'Transfer Engine'!$C$2:$C$1960,0)),"",INDEX('Compliance Database'!$I$2:$I$1960,MATCH(1015,'Transfer Engine'!$C$2:$C$1960,0)))</f>
        <v/>
      </c>
      <c r="J1024" s="8">
        <f>IF(ISNA(MATCH(1015,'Transfer Engine'!$C$2:$C$1960,0)),"",INDEX('Compliance Database'!$J$2:$J$1960,MATCH(1015,'Transfer Engine'!$C$2:$C$1960,0)))</f>
        <v/>
      </c>
      <c r="K1024" s="9">
        <f>IF(ISNA(MATCH(1015,'Transfer Engine'!$C$2:$C$1960,0)),"",INDEX('Compliance Database'!$K$2:$K$1960,MATCH(1015,'Transfer Engine'!$C$2:$C$1960,0)))</f>
        <v/>
      </c>
      <c r="L1024" s="9">
        <f>IF(ISNA(MATCH(1015,'Transfer Engine'!$C$2:$C$1960,0)),"",INDEX('Compliance Database'!$L$2:$L$1960,MATCH(1015,'Transfer Engine'!$C$2:$C$1960,0)))</f>
        <v/>
      </c>
      <c r="M1024" s="9">
        <f>IF(ISNA(MATCH(1015,'Transfer Engine'!$C$2:$C$1960,0)),"",INDEX('Compliance Database'!$M$2:$M$1960,MATCH(1015,'Transfer Engine'!$C$2:$C$1960,0)))</f>
        <v/>
      </c>
      <c r="N1024" s="9">
        <f>IF(ISNA(MATCH(1015,'Transfer Engine'!$C$2:$C$1960,0)),"",INDEX('Compliance Database'!$N$2:$N$1960,MATCH(1015,'Transfer Engine'!$C$2:$C$1960,0)))</f>
        <v/>
      </c>
      <c r="O1024" s="9">
        <f>IF(ISNA(MATCH(1015,'Transfer Engine'!$C$2:$C$1960,0)),"",INDEX('Compliance Database'!$O$2:$O$1960,MATCH(1015,'Transfer Engine'!$C$2:$C$1960,0)))</f>
        <v/>
      </c>
      <c r="P1024" s="8">
        <f>IF(ISNA(MATCH(1015,'Transfer Engine'!$C$2:$C$1960,0)),"",HYPERLINK("#Acts!A"&amp;INDEX('Compliance Database'!$P$2:$P$1960,MATCH(1015,'Transfer Engine'!$C$2:$C$1960,0)),"Go to Act"))</f>
        <v/>
      </c>
    </row>
    <row r="1025" ht="158" customHeight="1">
      <c r="A1025" s="8">
        <f>IF(ISNA(MATCH(1016,'Transfer Engine'!$C$2:$C$1960,0)),"",INDEX('Compliance Database'!$A$2:$A$1960,MATCH(1016,'Transfer Engine'!$C$2:$C$1960,0)))</f>
        <v/>
      </c>
      <c r="B1025" s="8">
        <f>IF(ISNA(MATCH(1016,'Transfer Engine'!$C$2:$C$1960,0)),"",INDEX('Compliance Database'!$B$2:$B$1960,MATCH(1016,'Transfer Engine'!$C$2:$C$1960,0)))</f>
        <v/>
      </c>
      <c r="C1025" s="8">
        <f>IF(ISNA(MATCH(1016,'Transfer Engine'!$C$2:$C$1960,0)),"",INDEX('Compliance Database'!$C$2:$C$1960,MATCH(1016,'Transfer Engine'!$C$2:$C$1960,0)))</f>
        <v/>
      </c>
      <c r="D1025" s="9">
        <f>IF(ISNA(MATCH(1016,'Transfer Engine'!$C$2:$C$1960,0)),"",INDEX('Compliance Database'!$D$2:$D$1960,MATCH(1016,'Transfer Engine'!$C$2:$C$1960,0)))</f>
        <v/>
      </c>
      <c r="E1025" s="8">
        <f>IF(ISNA(MATCH(1016,'Transfer Engine'!$C$2:$C$1960,0)),"",INDEX('Compliance Database'!$E$2:$E$1960,MATCH(1016,'Transfer Engine'!$C$2:$C$1960,0)))</f>
        <v/>
      </c>
      <c r="F1025" s="8">
        <f>IF(ISNA(MATCH(1016,'Transfer Engine'!$C$2:$C$1960,0)),"",INDEX('Compliance Database'!$F$2:$F$1960,MATCH(1016,'Transfer Engine'!$C$2:$C$1960,0)))</f>
        <v/>
      </c>
      <c r="G1025" s="8">
        <f>IF(ISNA(MATCH(1016,'Transfer Engine'!$C$2:$C$1960,0)),"",INDEX('Compliance Database'!$G$2:$G$1960,MATCH(1016,'Transfer Engine'!$C$2:$C$1960,0)))</f>
        <v/>
      </c>
      <c r="H1025" s="9">
        <f>IF(ISNA(MATCH(1016,'Transfer Engine'!$C$2:$C$1960,0)),"",INDEX('Compliance Database'!$H$2:$H$1960,MATCH(1016,'Transfer Engine'!$C$2:$C$1960,0)))</f>
        <v/>
      </c>
      <c r="I1025" s="9">
        <f>IF(ISNA(MATCH(1016,'Transfer Engine'!$C$2:$C$1960,0)),"",INDEX('Compliance Database'!$I$2:$I$1960,MATCH(1016,'Transfer Engine'!$C$2:$C$1960,0)))</f>
        <v/>
      </c>
      <c r="J1025" s="8">
        <f>IF(ISNA(MATCH(1016,'Transfer Engine'!$C$2:$C$1960,0)),"",INDEX('Compliance Database'!$J$2:$J$1960,MATCH(1016,'Transfer Engine'!$C$2:$C$1960,0)))</f>
        <v/>
      </c>
      <c r="K1025" s="9">
        <f>IF(ISNA(MATCH(1016,'Transfer Engine'!$C$2:$C$1960,0)),"",INDEX('Compliance Database'!$K$2:$K$1960,MATCH(1016,'Transfer Engine'!$C$2:$C$1960,0)))</f>
        <v/>
      </c>
      <c r="L1025" s="9">
        <f>IF(ISNA(MATCH(1016,'Transfer Engine'!$C$2:$C$1960,0)),"",INDEX('Compliance Database'!$L$2:$L$1960,MATCH(1016,'Transfer Engine'!$C$2:$C$1960,0)))</f>
        <v/>
      </c>
      <c r="M1025" s="9">
        <f>IF(ISNA(MATCH(1016,'Transfer Engine'!$C$2:$C$1960,0)),"",INDEX('Compliance Database'!$M$2:$M$1960,MATCH(1016,'Transfer Engine'!$C$2:$C$1960,0)))</f>
        <v/>
      </c>
      <c r="N1025" s="9">
        <f>IF(ISNA(MATCH(1016,'Transfer Engine'!$C$2:$C$1960,0)),"",INDEX('Compliance Database'!$N$2:$N$1960,MATCH(1016,'Transfer Engine'!$C$2:$C$1960,0)))</f>
        <v/>
      </c>
      <c r="O1025" s="9">
        <f>IF(ISNA(MATCH(1016,'Transfer Engine'!$C$2:$C$1960,0)),"",INDEX('Compliance Database'!$O$2:$O$1960,MATCH(1016,'Transfer Engine'!$C$2:$C$1960,0)))</f>
        <v/>
      </c>
      <c r="P1025" s="8">
        <f>IF(ISNA(MATCH(1016,'Transfer Engine'!$C$2:$C$1960,0)),"",HYPERLINK("#Acts!A"&amp;INDEX('Compliance Database'!$P$2:$P$1960,MATCH(1016,'Transfer Engine'!$C$2:$C$1960,0)),"Go to Act"))</f>
        <v/>
      </c>
    </row>
    <row r="1026" ht="158" customHeight="1">
      <c r="A1026" s="8">
        <f>IF(ISNA(MATCH(1017,'Transfer Engine'!$C$2:$C$1960,0)),"",INDEX('Compliance Database'!$A$2:$A$1960,MATCH(1017,'Transfer Engine'!$C$2:$C$1960,0)))</f>
        <v/>
      </c>
      <c r="B1026" s="8">
        <f>IF(ISNA(MATCH(1017,'Transfer Engine'!$C$2:$C$1960,0)),"",INDEX('Compliance Database'!$B$2:$B$1960,MATCH(1017,'Transfer Engine'!$C$2:$C$1960,0)))</f>
        <v/>
      </c>
      <c r="C1026" s="8">
        <f>IF(ISNA(MATCH(1017,'Transfer Engine'!$C$2:$C$1960,0)),"",INDEX('Compliance Database'!$C$2:$C$1960,MATCH(1017,'Transfer Engine'!$C$2:$C$1960,0)))</f>
        <v/>
      </c>
      <c r="D1026" s="9">
        <f>IF(ISNA(MATCH(1017,'Transfer Engine'!$C$2:$C$1960,0)),"",INDEX('Compliance Database'!$D$2:$D$1960,MATCH(1017,'Transfer Engine'!$C$2:$C$1960,0)))</f>
        <v/>
      </c>
      <c r="E1026" s="8">
        <f>IF(ISNA(MATCH(1017,'Transfer Engine'!$C$2:$C$1960,0)),"",INDEX('Compliance Database'!$E$2:$E$1960,MATCH(1017,'Transfer Engine'!$C$2:$C$1960,0)))</f>
        <v/>
      </c>
      <c r="F1026" s="8">
        <f>IF(ISNA(MATCH(1017,'Transfer Engine'!$C$2:$C$1960,0)),"",INDEX('Compliance Database'!$F$2:$F$1960,MATCH(1017,'Transfer Engine'!$C$2:$C$1960,0)))</f>
        <v/>
      </c>
      <c r="G1026" s="8">
        <f>IF(ISNA(MATCH(1017,'Transfer Engine'!$C$2:$C$1960,0)),"",INDEX('Compliance Database'!$G$2:$G$1960,MATCH(1017,'Transfer Engine'!$C$2:$C$1960,0)))</f>
        <v/>
      </c>
      <c r="H1026" s="9">
        <f>IF(ISNA(MATCH(1017,'Transfer Engine'!$C$2:$C$1960,0)),"",INDEX('Compliance Database'!$H$2:$H$1960,MATCH(1017,'Transfer Engine'!$C$2:$C$1960,0)))</f>
        <v/>
      </c>
      <c r="I1026" s="9">
        <f>IF(ISNA(MATCH(1017,'Transfer Engine'!$C$2:$C$1960,0)),"",INDEX('Compliance Database'!$I$2:$I$1960,MATCH(1017,'Transfer Engine'!$C$2:$C$1960,0)))</f>
        <v/>
      </c>
      <c r="J1026" s="8">
        <f>IF(ISNA(MATCH(1017,'Transfer Engine'!$C$2:$C$1960,0)),"",INDEX('Compliance Database'!$J$2:$J$1960,MATCH(1017,'Transfer Engine'!$C$2:$C$1960,0)))</f>
        <v/>
      </c>
      <c r="K1026" s="9">
        <f>IF(ISNA(MATCH(1017,'Transfer Engine'!$C$2:$C$1960,0)),"",INDEX('Compliance Database'!$K$2:$K$1960,MATCH(1017,'Transfer Engine'!$C$2:$C$1960,0)))</f>
        <v/>
      </c>
      <c r="L1026" s="9">
        <f>IF(ISNA(MATCH(1017,'Transfer Engine'!$C$2:$C$1960,0)),"",INDEX('Compliance Database'!$L$2:$L$1960,MATCH(1017,'Transfer Engine'!$C$2:$C$1960,0)))</f>
        <v/>
      </c>
      <c r="M1026" s="9">
        <f>IF(ISNA(MATCH(1017,'Transfer Engine'!$C$2:$C$1960,0)),"",INDEX('Compliance Database'!$M$2:$M$1960,MATCH(1017,'Transfer Engine'!$C$2:$C$1960,0)))</f>
        <v/>
      </c>
      <c r="N1026" s="9">
        <f>IF(ISNA(MATCH(1017,'Transfer Engine'!$C$2:$C$1960,0)),"",INDEX('Compliance Database'!$N$2:$N$1960,MATCH(1017,'Transfer Engine'!$C$2:$C$1960,0)))</f>
        <v/>
      </c>
      <c r="O1026" s="9">
        <f>IF(ISNA(MATCH(1017,'Transfer Engine'!$C$2:$C$1960,0)),"",INDEX('Compliance Database'!$O$2:$O$1960,MATCH(1017,'Transfer Engine'!$C$2:$C$1960,0)))</f>
        <v/>
      </c>
      <c r="P1026" s="8">
        <f>IF(ISNA(MATCH(1017,'Transfer Engine'!$C$2:$C$1960,0)),"",HYPERLINK("#Acts!A"&amp;INDEX('Compliance Database'!$P$2:$P$1960,MATCH(1017,'Transfer Engine'!$C$2:$C$1960,0)),"Go to Act"))</f>
        <v/>
      </c>
    </row>
    <row r="1027" ht="158" customHeight="1">
      <c r="A1027" s="8">
        <f>IF(ISNA(MATCH(1018,'Transfer Engine'!$C$2:$C$1960,0)),"",INDEX('Compliance Database'!$A$2:$A$1960,MATCH(1018,'Transfer Engine'!$C$2:$C$1960,0)))</f>
        <v/>
      </c>
      <c r="B1027" s="8">
        <f>IF(ISNA(MATCH(1018,'Transfer Engine'!$C$2:$C$1960,0)),"",INDEX('Compliance Database'!$B$2:$B$1960,MATCH(1018,'Transfer Engine'!$C$2:$C$1960,0)))</f>
        <v/>
      </c>
      <c r="C1027" s="8">
        <f>IF(ISNA(MATCH(1018,'Transfer Engine'!$C$2:$C$1960,0)),"",INDEX('Compliance Database'!$C$2:$C$1960,MATCH(1018,'Transfer Engine'!$C$2:$C$1960,0)))</f>
        <v/>
      </c>
      <c r="D1027" s="9">
        <f>IF(ISNA(MATCH(1018,'Transfer Engine'!$C$2:$C$1960,0)),"",INDEX('Compliance Database'!$D$2:$D$1960,MATCH(1018,'Transfer Engine'!$C$2:$C$1960,0)))</f>
        <v/>
      </c>
      <c r="E1027" s="8">
        <f>IF(ISNA(MATCH(1018,'Transfer Engine'!$C$2:$C$1960,0)),"",INDEX('Compliance Database'!$E$2:$E$1960,MATCH(1018,'Transfer Engine'!$C$2:$C$1960,0)))</f>
        <v/>
      </c>
      <c r="F1027" s="8">
        <f>IF(ISNA(MATCH(1018,'Transfer Engine'!$C$2:$C$1960,0)),"",INDEX('Compliance Database'!$F$2:$F$1960,MATCH(1018,'Transfer Engine'!$C$2:$C$1960,0)))</f>
        <v/>
      </c>
      <c r="G1027" s="8">
        <f>IF(ISNA(MATCH(1018,'Transfer Engine'!$C$2:$C$1960,0)),"",INDEX('Compliance Database'!$G$2:$G$1960,MATCH(1018,'Transfer Engine'!$C$2:$C$1960,0)))</f>
        <v/>
      </c>
      <c r="H1027" s="9">
        <f>IF(ISNA(MATCH(1018,'Transfer Engine'!$C$2:$C$1960,0)),"",INDEX('Compliance Database'!$H$2:$H$1960,MATCH(1018,'Transfer Engine'!$C$2:$C$1960,0)))</f>
        <v/>
      </c>
      <c r="I1027" s="9">
        <f>IF(ISNA(MATCH(1018,'Transfer Engine'!$C$2:$C$1960,0)),"",INDEX('Compliance Database'!$I$2:$I$1960,MATCH(1018,'Transfer Engine'!$C$2:$C$1960,0)))</f>
        <v/>
      </c>
      <c r="J1027" s="8">
        <f>IF(ISNA(MATCH(1018,'Transfer Engine'!$C$2:$C$1960,0)),"",INDEX('Compliance Database'!$J$2:$J$1960,MATCH(1018,'Transfer Engine'!$C$2:$C$1960,0)))</f>
        <v/>
      </c>
      <c r="K1027" s="9">
        <f>IF(ISNA(MATCH(1018,'Transfer Engine'!$C$2:$C$1960,0)),"",INDEX('Compliance Database'!$K$2:$K$1960,MATCH(1018,'Transfer Engine'!$C$2:$C$1960,0)))</f>
        <v/>
      </c>
      <c r="L1027" s="9">
        <f>IF(ISNA(MATCH(1018,'Transfer Engine'!$C$2:$C$1960,0)),"",INDEX('Compliance Database'!$L$2:$L$1960,MATCH(1018,'Transfer Engine'!$C$2:$C$1960,0)))</f>
        <v/>
      </c>
      <c r="M1027" s="9">
        <f>IF(ISNA(MATCH(1018,'Transfer Engine'!$C$2:$C$1960,0)),"",INDEX('Compliance Database'!$M$2:$M$1960,MATCH(1018,'Transfer Engine'!$C$2:$C$1960,0)))</f>
        <v/>
      </c>
      <c r="N1027" s="9">
        <f>IF(ISNA(MATCH(1018,'Transfer Engine'!$C$2:$C$1960,0)),"",INDEX('Compliance Database'!$N$2:$N$1960,MATCH(1018,'Transfer Engine'!$C$2:$C$1960,0)))</f>
        <v/>
      </c>
      <c r="O1027" s="9">
        <f>IF(ISNA(MATCH(1018,'Transfer Engine'!$C$2:$C$1960,0)),"",INDEX('Compliance Database'!$O$2:$O$1960,MATCH(1018,'Transfer Engine'!$C$2:$C$1960,0)))</f>
        <v/>
      </c>
      <c r="P1027" s="8">
        <f>IF(ISNA(MATCH(1018,'Transfer Engine'!$C$2:$C$1960,0)),"",HYPERLINK("#Acts!A"&amp;INDEX('Compliance Database'!$P$2:$P$1960,MATCH(1018,'Transfer Engine'!$C$2:$C$1960,0)),"Go to Act"))</f>
        <v/>
      </c>
    </row>
    <row r="1028" ht="158" customHeight="1">
      <c r="A1028" s="8">
        <f>IF(ISNA(MATCH(1019,'Transfer Engine'!$C$2:$C$1960,0)),"",INDEX('Compliance Database'!$A$2:$A$1960,MATCH(1019,'Transfer Engine'!$C$2:$C$1960,0)))</f>
        <v/>
      </c>
      <c r="B1028" s="8">
        <f>IF(ISNA(MATCH(1019,'Transfer Engine'!$C$2:$C$1960,0)),"",INDEX('Compliance Database'!$B$2:$B$1960,MATCH(1019,'Transfer Engine'!$C$2:$C$1960,0)))</f>
        <v/>
      </c>
      <c r="C1028" s="8">
        <f>IF(ISNA(MATCH(1019,'Transfer Engine'!$C$2:$C$1960,0)),"",INDEX('Compliance Database'!$C$2:$C$1960,MATCH(1019,'Transfer Engine'!$C$2:$C$1960,0)))</f>
        <v/>
      </c>
      <c r="D1028" s="9">
        <f>IF(ISNA(MATCH(1019,'Transfer Engine'!$C$2:$C$1960,0)),"",INDEX('Compliance Database'!$D$2:$D$1960,MATCH(1019,'Transfer Engine'!$C$2:$C$1960,0)))</f>
        <v/>
      </c>
      <c r="E1028" s="8">
        <f>IF(ISNA(MATCH(1019,'Transfer Engine'!$C$2:$C$1960,0)),"",INDEX('Compliance Database'!$E$2:$E$1960,MATCH(1019,'Transfer Engine'!$C$2:$C$1960,0)))</f>
        <v/>
      </c>
      <c r="F1028" s="8">
        <f>IF(ISNA(MATCH(1019,'Transfer Engine'!$C$2:$C$1960,0)),"",INDEX('Compliance Database'!$F$2:$F$1960,MATCH(1019,'Transfer Engine'!$C$2:$C$1960,0)))</f>
        <v/>
      </c>
      <c r="G1028" s="8">
        <f>IF(ISNA(MATCH(1019,'Transfer Engine'!$C$2:$C$1960,0)),"",INDEX('Compliance Database'!$G$2:$G$1960,MATCH(1019,'Transfer Engine'!$C$2:$C$1960,0)))</f>
        <v/>
      </c>
      <c r="H1028" s="9">
        <f>IF(ISNA(MATCH(1019,'Transfer Engine'!$C$2:$C$1960,0)),"",INDEX('Compliance Database'!$H$2:$H$1960,MATCH(1019,'Transfer Engine'!$C$2:$C$1960,0)))</f>
        <v/>
      </c>
      <c r="I1028" s="9">
        <f>IF(ISNA(MATCH(1019,'Transfer Engine'!$C$2:$C$1960,0)),"",INDEX('Compliance Database'!$I$2:$I$1960,MATCH(1019,'Transfer Engine'!$C$2:$C$1960,0)))</f>
        <v/>
      </c>
      <c r="J1028" s="8">
        <f>IF(ISNA(MATCH(1019,'Transfer Engine'!$C$2:$C$1960,0)),"",INDEX('Compliance Database'!$J$2:$J$1960,MATCH(1019,'Transfer Engine'!$C$2:$C$1960,0)))</f>
        <v/>
      </c>
      <c r="K1028" s="9">
        <f>IF(ISNA(MATCH(1019,'Transfer Engine'!$C$2:$C$1960,0)),"",INDEX('Compliance Database'!$K$2:$K$1960,MATCH(1019,'Transfer Engine'!$C$2:$C$1960,0)))</f>
        <v/>
      </c>
      <c r="L1028" s="9">
        <f>IF(ISNA(MATCH(1019,'Transfer Engine'!$C$2:$C$1960,0)),"",INDEX('Compliance Database'!$L$2:$L$1960,MATCH(1019,'Transfer Engine'!$C$2:$C$1960,0)))</f>
        <v/>
      </c>
      <c r="M1028" s="9">
        <f>IF(ISNA(MATCH(1019,'Transfer Engine'!$C$2:$C$1960,0)),"",INDEX('Compliance Database'!$M$2:$M$1960,MATCH(1019,'Transfer Engine'!$C$2:$C$1960,0)))</f>
        <v/>
      </c>
      <c r="N1028" s="9">
        <f>IF(ISNA(MATCH(1019,'Transfer Engine'!$C$2:$C$1960,0)),"",INDEX('Compliance Database'!$N$2:$N$1960,MATCH(1019,'Transfer Engine'!$C$2:$C$1960,0)))</f>
        <v/>
      </c>
      <c r="O1028" s="9">
        <f>IF(ISNA(MATCH(1019,'Transfer Engine'!$C$2:$C$1960,0)),"",INDEX('Compliance Database'!$O$2:$O$1960,MATCH(1019,'Transfer Engine'!$C$2:$C$1960,0)))</f>
        <v/>
      </c>
      <c r="P1028" s="8">
        <f>IF(ISNA(MATCH(1019,'Transfer Engine'!$C$2:$C$1960,0)),"",HYPERLINK("#Acts!A"&amp;INDEX('Compliance Database'!$P$2:$P$1960,MATCH(1019,'Transfer Engine'!$C$2:$C$1960,0)),"Go to Act"))</f>
        <v/>
      </c>
    </row>
    <row r="1029" ht="158" customHeight="1">
      <c r="A1029" s="8">
        <f>IF(ISNA(MATCH(1020,'Transfer Engine'!$C$2:$C$1960,0)),"",INDEX('Compliance Database'!$A$2:$A$1960,MATCH(1020,'Transfer Engine'!$C$2:$C$1960,0)))</f>
        <v/>
      </c>
      <c r="B1029" s="8">
        <f>IF(ISNA(MATCH(1020,'Transfer Engine'!$C$2:$C$1960,0)),"",INDEX('Compliance Database'!$B$2:$B$1960,MATCH(1020,'Transfer Engine'!$C$2:$C$1960,0)))</f>
        <v/>
      </c>
      <c r="C1029" s="8">
        <f>IF(ISNA(MATCH(1020,'Transfer Engine'!$C$2:$C$1960,0)),"",INDEX('Compliance Database'!$C$2:$C$1960,MATCH(1020,'Transfer Engine'!$C$2:$C$1960,0)))</f>
        <v/>
      </c>
      <c r="D1029" s="9">
        <f>IF(ISNA(MATCH(1020,'Transfer Engine'!$C$2:$C$1960,0)),"",INDEX('Compliance Database'!$D$2:$D$1960,MATCH(1020,'Transfer Engine'!$C$2:$C$1960,0)))</f>
        <v/>
      </c>
      <c r="E1029" s="8">
        <f>IF(ISNA(MATCH(1020,'Transfer Engine'!$C$2:$C$1960,0)),"",INDEX('Compliance Database'!$E$2:$E$1960,MATCH(1020,'Transfer Engine'!$C$2:$C$1960,0)))</f>
        <v/>
      </c>
      <c r="F1029" s="8">
        <f>IF(ISNA(MATCH(1020,'Transfer Engine'!$C$2:$C$1960,0)),"",INDEX('Compliance Database'!$F$2:$F$1960,MATCH(1020,'Transfer Engine'!$C$2:$C$1960,0)))</f>
        <v/>
      </c>
      <c r="G1029" s="8">
        <f>IF(ISNA(MATCH(1020,'Transfer Engine'!$C$2:$C$1960,0)),"",INDEX('Compliance Database'!$G$2:$G$1960,MATCH(1020,'Transfer Engine'!$C$2:$C$1960,0)))</f>
        <v/>
      </c>
      <c r="H1029" s="9">
        <f>IF(ISNA(MATCH(1020,'Transfer Engine'!$C$2:$C$1960,0)),"",INDEX('Compliance Database'!$H$2:$H$1960,MATCH(1020,'Transfer Engine'!$C$2:$C$1960,0)))</f>
        <v/>
      </c>
      <c r="I1029" s="9">
        <f>IF(ISNA(MATCH(1020,'Transfer Engine'!$C$2:$C$1960,0)),"",INDEX('Compliance Database'!$I$2:$I$1960,MATCH(1020,'Transfer Engine'!$C$2:$C$1960,0)))</f>
        <v/>
      </c>
      <c r="J1029" s="8">
        <f>IF(ISNA(MATCH(1020,'Transfer Engine'!$C$2:$C$1960,0)),"",INDEX('Compliance Database'!$J$2:$J$1960,MATCH(1020,'Transfer Engine'!$C$2:$C$1960,0)))</f>
        <v/>
      </c>
      <c r="K1029" s="9">
        <f>IF(ISNA(MATCH(1020,'Transfer Engine'!$C$2:$C$1960,0)),"",INDEX('Compliance Database'!$K$2:$K$1960,MATCH(1020,'Transfer Engine'!$C$2:$C$1960,0)))</f>
        <v/>
      </c>
      <c r="L1029" s="9">
        <f>IF(ISNA(MATCH(1020,'Transfer Engine'!$C$2:$C$1960,0)),"",INDEX('Compliance Database'!$L$2:$L$1960,MATCH(1020,'Transfer Engine'!$C$2:$C$1960,0)))</f>
        <v/>
      </c>
      <c r="M1029" s="9">
        <f>IF(ISNA(MATCH(1020,'Transfer Engine'!$C$2:$C$1960,0)),"",INDEX('Compliance Database'!$M$2:$M$1960,MATCH(1020,'Transfer Engine'!$C$2:$C$1960,0)))</f>
        <v/>
      </c>
      <c r="N1029" s="9">
        <f>IF(ISNA(MATCH(1020,'Transfer Engine'!$C$2:$C$1960,0)),"",INDEX('Compliance Database'!$N$2:$N$1960,MATCH(1020,'Transfer Engine'!$C$2:$C$1960,0)))</f>
        <v/>
      </c>
      <c r="O1029" s="9">
        <f>IF(ISNA(MATCH(1020,'Transfer Engine'!$C$2:$C$1960,0)),"",INDEX('Compliance Database'!$O$2:$O$1960,MATCH(1020,'Transfer Engine'!$C$2:$C$1960,0)))</f>
        <v/>
      </c>
      <c r="P1029" s="8">
        <f>IF(ISNA(MATCH(1020,'Transfer Engine'!$C$2:$C$1960,0)),"",HYPERLINK("#Acts!A"&amp;INDEX('Compliance Database'!$P$2:$P$1960,MATCH(1020,'Transfer Engine'!$C$2:$C$1960,0)),"Go to Act"))</f>
        <v/>
      </c>
    </row>
    <row r="1030" ht="158" customHeight="1">
      <c r="A1030" s="8">
        <f>IF(ISNA(MATCH(1021,'Transfer Engine'!$C$2:$C$1960,0)),"",INDEX('Compliance Database'!$A$2:$A$1960,MATCH(1021,'Transfer Engine'!$C$2:$C$1960,0)))</f>
        <v/>
      </c>
      <c r="B1030" s="8">
        <f>IF(ISNA(MATCH(1021,'Transfer Engine'!$C$2:$C$1960,0)),"",INDEX('Compliance Database'!$B$2:$B$1960,MATCH(1021,'Transfer Engine'!$C$2:$C$1960,0)))</f>
        <v/>
      </c>
      <c r="C1030" s="8">
        <f>IF(ISNA(MATCH(1021,'Transfer Engine'!$C$2:$C$1960,0)),"",INDEX('Compliance Database'!$C$2:$C$1960,MATCH(1021,'Transfer Engine'!$C$2:$C$1960,0)))</f>
        <v/>
      </c>
      <c r="D1030" s="9">
        <f>IF(ISNA(MATCH(1021,'Transfer Engine'!$C$2:$C$1960,0)),"",INDEX('Compliance Database'!$D$2:$D$1960,MATCH(1021,'Transfer Engine'!$C$2:$C$1960,0)))</f>
        <v/>
      </c>
      <c r="E1030" s="8">
        <f>IF(ISNA(MATCH(1021,'Transfer Engine'!$C$2:$C$1960,0)),"",INDEX('Compliance Database'!$E$2:$E$1960,MATCH(1021,'Transfer Engine'!$C$2:$C$1960,0)))</f>
        <v/>
      </c>
      <c r="F1030" s="8">
        <f>IF(ISNA(MATCH(1021,'Transfer Engine'!$C$2:$C$1960,0)),"",INDEX('Compliance Database'!$F$2:$F$1960,MATCH(1021,'Transfer Engine'!$C$2:$C$1960,0)))</f>
        <v/>
      </c>
      <c r="G1030" s="8">
        <f>IF(ISNA(MATCH(1021,'Transfer Engine'!$C$2:$C$1960,0)),"",INDEX('Compliance Database'!$G$2:$G$1960,MATCH(1021,'Transfer Engine'!$C$2:$C$1960,0)))</f>
        <v/>
      </c>
      <c r="H1030" s="9">
        <f>IF(ISNA(MATCH(1021,'Transfer Engine'!$C$2:$C$1960,0)),"",INDEX('Compliance Database'!$H$2:$H$1960,MATCH(1021,'Transfer Engine'!$C$2:$C$1960,0)))</f>
        <v/>
      </c>
      <c r="I1030" s="9">
        <f>IF(ISNA(MATCH(1021,'Transfer Engine'!$C$2:$C$1960,0)),"",INDEX('Compliance Database'!$I$2:$I$1960,MATCH(1021,'Transfer Engine'!$C$2:$C$1960,0)))</f>
        <v/>
      </c>
      <c r="J1030" s="8">
        <f>IF(ISNA(MATCH(1021,'Transfer Engine'!$C$2:$C$1960,0)),"",INDEX('Compliance Database'!$J$2:$J$1960,MATCH(1021,'Transfer Engine'!$C$2:$C$1960,0)))</f>
        <v/>
      </c>
      <c r="K1030" s="9">
        <f>IF(ISNA(MATCH(1021,'Transfer Engine'!$C$2:$C$1960,0)),"",INDEX('Compliance Database'!$K$2:$K$1960,MATCH(1021,'Transfer Engine'!$C$2:$C$1960,0)))</f>
        <v/>
      </c>
      <c r="L1030" s="9">
        <f>IF(ISNA(MATCH(1021,'Transfer Engine'!$C$2:$C$1960,0)),"",INDEX('Compliance Database'!$L$2:$L$1960,MATCH(1021,'Transfer Engine'!$C$2:$C$1960,0)))</f>
        <v/>
      </c>
      <c r="M1030" s="9">
        <f>IF(ISNA(MATCH(1021,'Transfer Engine'!$C$2:$C$1960,0)),"",INDEX('Compliance Database'!$M$2:$M$1960,MATCH(1021,'Transfer Engine'!$C$2:$C$1960,0)))</f>
        <v/>
      </c>
      <c r="N1030" s="9">
        <f>IF(ISNA(MATCH(1021,'Transfer Engine'!$C$2:$C$1960,0)),"",INDEX('Compliance Database'!$N$2:$N$1960,MATCH(1021,'Transfer Engine'!$C$2:$C$1960,0)))</f>
        <v/>
      </c>
      <c r="O1030" s="9">
        <f>IF(ISNA(MATCH(1021,'Transfer Engine'!$C$2:$C$1960,0)),"",INDEX('Compliance Database'!$O$2:$O$1960,MATCH(1021,'Transfer Engine'!$C$2:$C$1960,0)))</f>
        <v/>
      </c>
      <c r="P1030" s="8">
        <f>IF(ISNA(MATCH(1021,'Transfer Engine'!$C$2:$C$1960,0)),"",HYPERLINK("#Acts!A"&amp;INDEX('Compliance Database'!$P$2:$P$1960,MATCH(1021,'Transfer Engine'!$C$2:$C$1960,0)),"Go to Act"))</f>
        <v/>
      </c>
    </row>
    <row r="1031" ht="158" customHeight="1">
      <c r="A1031" s="8">
        <f>IF(ISNA(MATCH(1022,'Transfer Engine'!$C$2:$C$1960,0)),"",INDEX('Compliance Database'!$A$2:$A$1960,MATCH(1022,'Transfer Engine'!$C$2:$C$1960,0)))</f>
        <v/>
      </c>
      <c r="B1031" s="8">
        <f>IF(ISNA(MATCH(1022,'Transfer Engine'!$C$2:$C$1960,0)),"",INDEX('Compliance Database'!$B$2:$B$1960,MATCH(1022,'Transfer Engine'!$C$2:$C$1960,0)))</f>
        <v/>
      </c>
      <c r="C1031" s="8">
        <f>IF(ISNA(MATCH(1022,'Transfer Engine'!$C$2:$C$1960,0)),"",INDEX('Compliance Database'!$C$2:$C$1960,MATCH(1022,'Transfer Engine'!$C$2:$C$1960,0)))</f>
        <v/>
      </c>
      <c r="D1031" s="9">
        <f>IF(ISNA(MATCH(1022,'Transfer Engine'!$C$2:$C$1960,0)),"",INDEX('Compliance Database'!$D$2:$D$1960,MATCH(1022,'Transfer Engine'!$C$2:$C$1960,0)))</f>
        <v/>
      </c>
      <c r="E1031" s="8">
        <f>IF(ISNA(MATCH(1022,'Transfer Engine'!$C$2:$C$1960,0)),"",INDEX('Compliance Database'!$E$2:$E$1960,MATCH(1022,'Transfer Engine'!$C$2:$C$1960,0)))</f>
        <v/>
      </c>
      <c r="F1031" s="8">
        <f>IF(ISNA(MATCH(1022,'Transfer Engine'!$C$2:$C$1960,0)),"",INDEX('Compliance Database'!$F$2:$F$1960,MATCH(1022,'Transfer Engine'!$C$2:$C$1960,0)))</f>
        <v/>
      </c>
      <c r="G1031" s="8">
        <f>IF(ISNA(MATCH(1022,'Transfer Engine'!$C$2:$C$1960,0)),"",INDEX('Compliance Database'!$G$2:$G$1960,MATCH(1022,'Transfer Engine'!$C$2:$C$1960,0)))</f>
        <v/>
      </c>
      <c r="H1031" s="9">
        <f>IF(ISNA(MATCH(1022,'Transfer Engine'!$C$2:$C$1960,0)),"",INDEX('Compliance Database'!$H$2:$H$1960,MATCH(1022,'Transfer Engine'!$C$2:$C$1960,0)))</f>
        <v/>
      </c>
      <c r="I1031" s="9">
        <f>IF(ISNA(MATCH(1022,'Transfer Engine'!$C$2:$C$1960,0)),"",INDEX('Compliance Database'!$I$2:$I$1960,MATCH(1022,'Transfer Engine'!$C$2:$C$1960,0)))</f>
        <v/>
      </c>
      <c r="J1031" s="8">
        <f>IF(ISNA(MATCH(1022,'Transfer Engine'!$C$2:$C$1960,0)),"",INDEX('Compliance Database'!$J$2:$J$1960,MATCH(1022,'Transfer Engine'!$C$2:$C$1960,0)))</f>
        <v/>
      </c>
      <c r="K1031" s="9">
        <f>IF(ISNA(MATCH(1022,'Transfer Engine'!$C$2:$C$1960,0)),"",INDEX('Compliance Database'!$K$2:$K$1960,MATCH(1022,'Transfer Engine'!$C$2:$C$1960,0)))</f>
        <v/>
      </c>
      <c r="L1031" s="9">
        <f>IF(ISNA(MATCH(1022,'Transfer Engine'!$C$2:$C$1960,0)),"",INDEX('Compliance Database'!$L$2:$L$1960,MATCH(1022,'Transfer Engine'!$C$2:$C$1960,0)))</f>
        <v/>
      </c>
      <c r="M1031" s="9">
        <f>IF(ISNA(MATCH(1022,'Transfer Engine'!$C$2:$C$1960,0)),"",INDEX('Compliance Database'!$M$2:$M$1960,MATCH(1022,'Transfer Engine'!$C$2:$C$1960,0)))</f>
        <v/>
      </c>
      <c r="N1031" s="9">
        <f>IF(ISNA(MATCH(1022,'Transfer Engine'!$C$2:$C$1960,0)),"",INDEX('Compliance Database'!$N$2:$N$1960,MATCH(1022,'Transfer Engine'!$C$2:$C$1960,0)))</f>
        <v/>
      </c>
      <c r="O1031" s="9">
        <f>IF(ISNA(MATCH(1022,'Transfer Engine'!$C$2:$C$1960,0)),"",INDEX('Compliance Database'!$O$2:$O$1960,MATCH(1022,'Transfer Engine'!$C$2:$C$1960,0)))</f>
        <v/>
      </c>
      <c r="P1031" s="8">
        <f>IF(ISNA(MATCH(1022,'Transfer Engine'!$C$2:$C$1960,0)),"",HYPERLINK("#Acts!A"&amp;INDEX('Compliance Database'!$P$2:$P$1960,MATCH(1022,'Transfer Engine'!$C$2:$C$1960,0)),"Go to Act"))</f>
        <v/>
      </c>
    </row>
    <row r="1032" ht="158" customHeight="1">
      <c r="A1032" s="8">
        <f>IF(ISNA(MATCH(1023,'Transfer Engine'!$C$2:$C$1960,0)),"",INDEX('Compliance Database'!$A$2:$A$1960,MATCH(1023,'Transfer Engine'!$C$2:$C$1960,0)))</f>
        <v/>
      </c>
      <c r="B1032" s="8">
        <f>IF(ISNA(MATCH(1023,'Transfer Engine'!$C$2:$C$1960,0)),"",INDEX('Compliance Database'!$B$2:$B$1960,MATCH(1023,'Transfer Engine'!$C$2:$C$1960,0)))</f>
        <v/>
      </c>
      <c r="C1032" s="8">
        <f>IF(ISNA(MATCH(1023,'Transfer Engine'!$C$2:$C$1960,0)),"",INDEX('Compliance Database'!$C$2:$C$1960,MATCH(1023,'Transfer Engine'!$C$2:$C$1960,0)))</f>
        <v/>
      </c>
      <c r="D1032" s="9">
        <f>IF(ISNA(MATCH(1023,'Transfer Engine'!$C$2:$C$1960,0)),"",INDEX('Compliance Database'!$D$2:$D$1960,MATCH(1023,'Transfer Engine'!$C$2:$C$1960,0)))</f>
        <v/>
      </c>
      <c r="E1032" s="8">
        <f>IF(ISNA(MATCH(1023,'Transfer Engine'!$C$2:$C$1960,0)),"",INDEX('Compliance Database'!$E$2:$E$1960,MATCH(1023,'Transfer Engine'!$C$2:$C$1960,0)))</f>
        <v/>
      </c>
      <c r="F1032" s="8">
        <f>IF(ISNA(MATCH(1023,'Transfer Engine'!$C$2:$C$1960,0)),"",INDEX('Compliance Database'!$F$2:$F$1960,MATCH(1023,'Transfer Engine'!$C$2:$C$1960,0)))</f>
        <v/>
      </c>
      <c r="G1032" s="8">
        <f>IF(ISNA(MATCH(1023,'Transfer Engine'!$C$2:$C$1960,0)),"",INDEX('Compliance Database'!$G$2:$G$1960,MATCH(1023,'Transfer Engine'!$C$2:$C$1960,0)))</f>
        <v/>
      </c>
      <c r="H1032" s="9">
        <f>IF(ISNA(MATCH(1023,'Transfer Engine'!$C$2:$C$1960,0)),"",INDEX('Compliance Database'!$H$2:$H$1960,MATCH(1023,'Transfer Engine'!$C$2:$C$1960,0)))</f>
        <v/>
      </c>
      <c r="I1032" s="9">
        <f>IF(ISNA(MATCH(1023,'Transfer Engine'!$C$2:$C$1960,0)),"",INDEX('Compliance Database'!$I$2:$I$1960,MATCH(1023,'Transfer Engine'!$C$2:$C$1960,0)))</f>
        <v/>
      </c>
      <c r="J1032" s="8">
        <f>IF(ISNA(MATCH(1023,'Transfer Engine'!$C$2:$C$1960,0)),"",INDEX('Compliance Database'!$J$2:$J$1960,MATCH(1023,'Transfer Engine'!$C$2:$C$1960,0)))</f>
        <v/>
      </c>
      <c r="K1032" s="9">
        <f>IF(ISNA(MATCH(1023,'Transfer Engine'!$C$2:$C$1960,0)),"",INDEX('Compliance Database'!$K$2:$K$1960,MATCH(1023,'Transfer Engine'!$C$2:$C$1960,0)))</f>
        <v/>
      </c>
      <c r="L1032" s="9">
        <f>IF(ISNA(MATCH(1023,'Transfer Engine'!$C$2:$C$1960,0)),"",INDEX('Compliance Database'!$L$2:$L$1960,MATCH(1023,'Transfer Engine'!$C$2:$C$1960,0)))</f>
        <v/>
      </c>
      <c r="M1032" s="9">
        <f>IF(ISNA(MATCH(1023,'Transfer Engine'!$C$2:$C$1960,0)),"",INDEX('Compliance Database'!$M$2:$M$1960,MATCH(1023,'Transfer Engine'!$C$2:$C$1960,0)))</f>
        <v/>
      </c>
      <c r="N1032" s="9">
        <f>IF(ISNA(MATCH(1023,'Transfer Engine'!$C$2:$C$1960,0)),"",INDEX('Compliance Database'!$N$2:$N$1960,MATCH(1023,'Transfer Engine'!$C$2:$C$1960,0)))</f>
        <v/>
      </c>
      <c r="O1032" s="9">
        <f>IF(ISNA(MATCH(1023,'Transfer Engine'!$C$2:$C$1960,0)),"",INDEX('Compliance Database'!$O$2:$O$1960,MATCH(1023,'Transfer Engine'!$C$2:$C$1960,0)))</f>
        <v/>
      </c>
      <c r="P1032" s="8">
        <f>IF(ISNA(MATCH(1023,'Transfer Engine'!$C$2:$C$1960,0)),"",HYPERLINK("#Acts!A"&amp;INDEX('Compliance Database'!$P$2:$P$1960,MATCH(1023,'Transfer Engine'!$C$2:$C$1960,0)),"Go to Act"))</f>
        <v/>
      </c>
    </row>
    <row r="1033" ht="158" customHeight="1">
      <c r="A1033" s="8">
        <f>IF(ISNA(MATCH(1024,'Transfer Engine'!$C$2:$C$1960,0)),"",INDEX('Compliance Database'!$A$2:$A$1960,MATCH(1024,'Transfer Engine'!$C$2:$C$1960,0)))</f>
        <v/>
      </c>
      <c r="B1033" s="8">
        <f>IF(ISNA(MATCH(1024,'Transfer Engine'!$C$2:$C$1960,0)),"",INDEX('Compliance Database'!$B$2:$B$1960,MATCH(1024,'Transfer Engine'!$C$2:$C$1960,0)))</f>
        <v/>
      </c>
      <c r="C1033" s="8">
        <f>IF(ISNA(MATCH(1024,'Transfer Engine'!$C$2:$C$1960,0)),"",INDEX('Compliance Database'!$C$2:$C$1960,MATCH(1024,'Transfer Engine'!$C$2:$C$1960,0)))</f>
        <v/>
      </c>
      <c r="D1033" s="9">
        <f>IF(ISNA(MATCH(1024,'Transfer Engine'!$C$2:$C$1960,0)),"",INDEX('Compliance Database'!$D$2:$D$1960,MATCH(1024,'Transfer Engine'!$C$2:$C$1960,0)))</f>
        <v/>
      </c>
      <c r="E1033" s="8">
        <f>IF(ISNA(MATCH(1024,'Transfer Engine'!$C$2:$C$1960,0)),"",INDEX('Compliance Database'!$E$2:$E$1960,MATCH(1024,'Transfer Engine'!$C$2:$C$1960,0)))</f>
        <v/>
      </c>
      <c r="F1033" s="8">
        <f>IF(ISNA(MATCH(1024,'Transfer Engine'!$C$2:$C$1960,0)),"",INDEX('Compliance Database'!$F$2:$F$1960,MATCH(1024,'Transfer Engine'!$C$2:$C$1960,0)))</f>
        <v/>
      </c>
      <c r="G1033" s="8">
        <f>IF(ISNA(MATCH(1024,'Transfer Engine'!$C$2:$C$1960,0)),"",INDEX('Compliance Database'!$G$2:$G$1960,MATCH(1024,'Transfer Engine'!$C$2:$C$1960,0)))</f>
        <v/>
      </c>
      <c r="H1033" s="9">
        <f>IF(ISNA(MATCH(1024,'Transfer Engine'!$C$2:$C$1960,0)),"",INDEX('Compliance Database'!$H$2:$H$1960,MATCH(1024,'Transfer Engine'!$C$2:$C$1960,0)))</f>
        <v/>
      </c>
      <c r="I1033" s="9">
        <f>IF(ISNA(MATCH(1024,'Transfer Engine'!$C$2:$C$1960,0)),"",INDEX('Compliance Database'!$I$2:$I$1960,MATCH(1024,'Transfer Engine'!$C$2:$C$1960,0)))</f>
        <v/>
      </c>
      <c r="J1033" s="8">
        <f>IF(ISNA(MATCH(1024,'Transfer Engine'!$C$2:$C$1960,0)),"",INDEX('Compliance Database'!$J$2:$J$1960,MATCH(1024,'Transfer Engine'!$C$2:$C$1960,0)))</f>
        <v/>
      </c>
      <c r="K1033" s="9">
        <f>IF(ISNA(MATCH(1024,'Transfer Engine'!$C$2:$C$1960,0)),"",INDEX('Compliance Database'!$K$2:$K$1960,MATCH(1024,'Transfer Engine'!$C$2:$C$1960,0)))</f>
        <v/>
      </c>
      <c r="L1033" s="9">
        <f>IF(ISNA(MATCH(1024,'Transfer Engine'!$C$2:$C$1960,0)),"",INDEX('Compliance Database'!$L$2:$L$1960,MATCH(1024,'Transfer Engine'!$C$2:$C$1960,0)))</f>
        <v/>
      </c>
      <c r="M1033" s="9">
        <f>IF(ISNA(MATCH(1024,'Transfer Engine'!$C$2:$C$1960,0)),"",INDEX('Compliance Database'!$M$2:$M$1960,MATCH(1024,'Transfer Engine'!$C$2:$C$1960,0)))</f>
        <v/>
      </c>
      <c r="N1033" s="9">
        <f>IF(ISNA(MATCH(1024,'Transfer Engine'!$C$2:$C$1960,0)),"",INDEX('Compliance Database'!$N$2:$N$1960,MATCH(1024,'Transfer Engine'!$C$2:$C$1960,0)))</f>
        <v/>
      </c>
      <c r="O1033" s="9">
        <f>IF(ISNA(MATCH(1024,'Transfer Engine'!$C$2:$C$1960,0)),"",INDEX('Compliance Database'!$O$2:$O$1960,MATCH(1024,'Transfer Engine'!$C$2:$C$1960,0)))</f>
        <v/>
      </c>
      <c r="P1033" s="8">
        <f>IF(ISNA(MATCH(1024,'Transfer Engine'!$C$2:$C$1960,0)),"",HYPERLINK("#Acts!A"&amp;INDEX('Compliance Database'!$P$2:$P$1960,MATCH(1024,'Transfer Engine'!$C$2:$C$1960,0)),"Go to Act"))</f>
        <v/>
      </c>
    </row>
    <row r="1034" ht="158" customHeight="1">
      <c r="A1034" s="8">
        <f>IF(ISNA(MATCH(1025,'Transfer Engine'!$C$2:$C$1960,0)),"",INDEX('Compliance Database'!$A$2:$A$1960,MATCH(1025,'Transfer Engine'!$C$2:$C$1960,0)))</f>
        <v/>
      </c>
      <c r="B1034" s="8">
        <f>IF(ISNA(MATCH(1025,'Transfer Engine'!$C$2:$C$1960,0)),"",INDEX('Compliance Database'!$B$2:$B$1960,MATCH(1025,'Transfer Engine'!$C$2:$C$1960,0)))</f>
        <v/>
      </c>
      <c r="C1034" s="8">
        <f>IF(ISNA(MATCH(1025,'Transfer Engine'!$C$2:$C$1960,0)),"",INDEX('Compliance Database'!$C$2:$C$1960,MATCH(1025,'Transfer Engine'!$C$2:$C$1960,0)))</f>
        <v/>
      </c>
      <c r="D1034" s="9">
        <f>IF(ISNA(MATCH(1025,'Transfer Engine'!$C$2:$C$1960,0)),"",INDEX('Compliance Database'!$D$2:$D$1960,MATCH(1025,'Transfer Engine'!$C$2:$C$1960,0)))</f>
        <v/>
      </c>
      <c r="E1034" s="8">
        <f>IF(ISNA(MATCH(1025,'Transfer Engine'!$C$2:$C$1960,0)),"",INDEX('Compliance Database'!$E$2:$E$1960,MATCH(1025,'Transfer Engine'!$C$2:$C$1960,0)))</f>
        <v/>
      </c>
      <c r="F1034" s="8">
        <f>IF(ISNA(MATCH(1025,'Transfer Engine'!$C$2:$C$1960,0)),"",INDEX('Compliance Database'!$F$2:$F$1960,MATCH(1025,'Transfer Engine'!$C$2:$C$1960,0)))</f>
        <v/>
      </c>
      <c r="G1034" s="8">
        <f>IF(ISNA(MATCH(1025,'Transfer Engine'!$C$2:$C$1960,0)),"",INDEX('Compliance Database'!$G$2:$G$1960,MATCH(1025,'Transfer Engine'!$C$2:$C$1960,0)))</f>
        <v/>
      </c>
      <c r="H1034" s="9">
        <f>IF(ISNA(MATCH(1025,'Transfer Engine'!$C$2:$C$1960,0)),"",INDEX('Compliance Database'!$H$2:$H$1960,MATCH(1025,'Transfer Engine'!$C$2:$C$1960,0)))</f>
        <v/>
      </c>
      <c r="I1034" s="9">
        <f>IF(ISNA(MATCH(1025,'Transfer Engine'!$C$2:$C$1960,0)),"",INDEX('Compliance Database'!$I$2:$I$1960,MATCH(1025,'Transfer Engine'!$C$2:$C$1960,0)))</f>
        <v/>
      </c>
      <c r="J1034" s="8">
        <f>IF(ISNA(MATCH(1025,'Transfer Engine'!$C$2:$C$1960,0)),"",INDEX('Compliance Database'!$J$2:$J$1960,MATCH(1025,'Transfer Engine'!$C$2:$C$1960,0)))</f>
        <v/>
      </c>
      <c r="K1034" s="9">
        <f>IF(ISNA(MATCH(1025,'Transfer Engine'!$C$2:$C$1960,0)),"",INDEX('Compliance Database'!$K$2:$K$1960,MATCH(1025,'Transfer Engine'!$C$2:$C$1960,0)))</f>
        <v/>
      </c>
      <c r="L1034" s="9">
        <f>IF(ISNA(MATCH(1025,'Transfer Engine'!$C$2:$C$1960,0)),"",INDEX('Compliance Database'!$L$2:$L$1960,MATCH(1025,'Transfer Engine'!$C$2:$C$1960,0)))</f>
        <v/>
      </c>
      <c r="M1034" s="9">
        <f>IF(ISNA(MATCH(1025,'Transfer Engine'!$C$2:$C$1960,0)),"",INDEX('Compliance Database'!$M$2:$M$1960,MATCH(1025,'Transfer Engine'!$C$2:$C$1960,0)))</f>
        <v/>
      </c>
      <c r="N1034" s="9">
        <f>IF(ISNA(MATCH(1025,'Transfer Engine'!$C$2:$C$1960,0)),"",INDEX('Compliance Database'!$N$2:$N$1960,MATCH(1025,'Transfer Engine'!$C$2:$C$1960,0)))</f>
        <v/>
      </c>
      <c r="O1034" s="9">
        <f>IF(ISNA(MATCH(1025,'Transfer Engine'!$C$2:$C$1960,0)),"",INDEX('Compliance Database'!$O$2:$O$1960,MATCH(1025,'Transfer Engine'!$C$2:$C$1960,0)))</f>
        <v/>
      </c>
      <c r="P1034" s="8">
        <f>IF(ISNA(MATCH(1025,'Transfer Engine'!$C$2:$C$1960,0)),"",HYPERLINK("#Acts!A"&amp;INDEX('Compliance Database'!$P$2:$P$1960,MATCH(1025,'Transfer Engine'!$C$2:$C$1960,0)),"Go to Act"))</f>
        <v/>
      </c>
    </row>
    <row r="1035" ht="158" customHeight="1">
      <c r="A1035" s="8">
        <f>IF(ISNA(MATCH(1026,'Transfer Engine'!$C$2:$C$1960,0)),"",INDEX('Compliance Database'!$A$2:$A$1960,MATCH(1026,'Transfer Engine'!$C$2:$C$1960,0)))</f>
        <v/>
      </c>
      <c r="B1035" s="8">
        <f>IF(ISNA(MATCH(1026,'Transfer Engine'!$C$2:$C$1960,0)),"",INDEX('Compliance Database'!$B$2:$B$1960,MATCH(1026,'Transfer Engine'!$C$2:$C$1960,0)))</f>
        <v/>
      </c>
      <c r="C1035" s="8">
        <f>IF(ISNA(MATCH(1026,'Transfer Engine'!$C$2:$C$1960,0)),"",INDEX('Compliance Database'!$C$2:$C$1960,MATCH(1026,'Transfer Engine'!$C$2:$C$1960,0)))</f>
        <v/>
      </c>
      <c r="D1035" s="9">
        <f>IF(ISNA(MATCH(1026,'Transfer Engine'!$C$2:$C$1960,0)),"",INDEX('Compliance Database'!$D$2:$D$1960,MATCH(1026,'Transfer Engine'!$C$2:$C$1960,0)))</f>
        <v/>
      </c>
      <c r="E1035" s="8">
        <f>IF(ISNA(MATCH(1026,'Transfer Engine'!$C$2:$C$1960,0)),"",INDEX('Compliance Database'!$E$2:$E$1960,MATCH(1026,'Transfer Engine'!$C$2:$C$1960,0)))</f>
        <v/>
      </c>
      <c r="F1035" s="8">
        <f>IF(ISNA(MATCH(1026,'Transfer Engine'!$C$2:$C$1960,0)),"",INDEX('Compliance Database'!$F$2:$F$1960,MATCH(1026,'Transfer Engine'!$C$2:$C$1960,0)))</f>
        <v/>
      </c>
      <c r="G1035" s="8">
        <f>IF(ISNA(MATCH(1026,'Transfer Engine'!$C$2:$C$1960,0)),"",INDEX('Compliance Database'!$G$2:$G$1960,MATCH(1026,'Transfer Engine'!$C$2:$C$1960,0)))</f>
        <v/>
      </c>
      <c r="H1035" s="9">
        <f>IF(ISNA(MATCH(1026,'Transfer Engine'!$C$2:$C$1960,0)),"",INDEX('Compliance Database'!$H$2:$H$1960,MATCH(1026,'Transfer Engine'!$C$2:$C$1960,0)))</f>
        <v/>
      </c>
      <c r="I1035" s="9">
        <f>IF(ISNA(MATCH(1026,'Transfer Engine'!$C$2:$C$1960,0)),"",INDEX('Compliance Database'!$I$2:$I$1960,MATCH(1026,'Transfer Engine'!$C$2:$C$1960,0)))</f>
        <v/>
      </c>
      <c r="J1035" s="8">
        <f>IF(ISNA(MATCH(1026,'Transfer Engine'!$C$2:$C$1960,0)),"",INDEX('Compliance Database'!$J$2:$J$1960,MATCH(1026,'Transfer Engine'!$C$2:$C$1960,0)))</f>
        <v/>
      </c>
      <c r="K1035" s="9">
        <f>IF(ISNA(MATCH(1026,'Transfer Engine'!$C$2:$C$1960,0)),"",INDEX('Compliance Database'!$K$2:$K$1960,MATCH(1026,'Transfer Engine'!$C$2:$C$1960,0)))</f>
        <v/>
      </c>
      <c r="L1035" s="9">
        <f>IF(ISNA(MATCH(1026,'Transfer Engine'!$C$2:$C$1960,0)),"",INDEX('Compliance Database'!$L$2:$L$1960,MATCH(1026,'Transfer Engine'!$C$2:$C$1960,0)))</f>
        <v/>
      </c>
      <c r="M1035" s="9">
        <f>IF(ISNA(MATCH(1026,'Transfer Engine'!$C$2:$C$1960,0)),"",INDEX('Compliance Database'!$M$2:$M$1960,MATCH(1026,'Transfer Engine'!$C$2:$C$1960,0)))</f>
        <v/>
      </c>
      <c r="N1035" s="9">
        <f>IF(ISNA(MATCH(1026,'Transfer Engine'!$C$2:$C$1960,0)),"",INDEX('Compliance Database'!$N$2:$N$1960,MATCH(1026,'Transfer Engine'!$C$2:$C$1960,0)))</f>
        <v/>
      </c>
      <c r="O1035" s="9">
        <f>IF(ISNA(MATCH(1026,'Transfer Engine'!$C$2:$C$1960,0)),"",INDEX('Compliance Database'!$O$2:$O$1960,MATCH(1026,'Transfer Engine'!$C$2:$C$1960,0)))</f>
        <v/>
      </c>
      <c r="P1035" s="8">
        <f>IF(ISNA(MATCH(1026,'Transfer Engine'!$C$2:$C$1960,0)),"",HYPERLINK("#Acts!A"&amp;INDEX('Compliance Database'!$P$2:$P$1960,MATCH(1026,'Transfer Engine'!$C$2:$C$1960,0)),"Go to Act"))</f>
        <v/>
      </c>
    </row>
    <row r="1036" ht="158" customHeight="1">
      <c r="A1036" s="8">
        <f>IF(ISNA(MATCH(1027,'Transfer Engine'!$C$2:$C$1960,0)),"",INDEX('Compliance Database'!$A$2:$A$1960,MATCH(1027,'Transfer Engine'!$C$2:$C$1960,0)))</f>
        <v/>
      </c>
      <c r="B1036" s="8">
        <f>IF(ISNA(MATCH(1027,'Transfer Engine'!$C$2:$C$1960,0)),"",INDEX('Compliance Database'!$B$2:$B$1960,MATCH(1027,'Transfer Engine'!$C$2:$C$1960,0)))</f>
        <v/>
      </c>
      <c r="C1036" s="8">
        <f>IF(ISNA(MATCH(1027,'Transfer Engine'!$C$2:$C$1960,0)),"",INDEX('Compliance Database'!$C$2:$C$1960,MATCH(1027,'Transfer Engine'!$C$2:$C$1960,0)))</f>
        <v/>
      </c>
      <c r="D1036" s="9">
        <f>IF(ISNA(MATCH(1027,'Transfer Engine'!$C$2:$C$1960,0)),"",INDEX('Compliance Database'!$D$2:$D$1960,MATCH(1027,'Transfer Engine'!$C$2:$C$1960,0)))</f>
        <v/>
      </c>
      <c r="E1036" s="8">
        <f>IF(ISNA(MATCH(1027,'Transfer Engine'!$C$2:$C$1960,0)),"",INDEX('Compliance Database'!$E$2:$E$1960,MATCH(1027,'Transfer Engine'!$C$2:$C$1960,0)))</f>
        <v/>
      </c>
      <c r="F1036" s="8">
        <f>IF(ISNA(MATCH(1027,'Transfer Engine'!$C$2:$C$1960,0)),"",INDEX('Compliance Database'!$F$2:$F$1960,MATCH(1027,'Transfer Engine'!$C$2:$C$1960,0)))</f>
        <v/>
      </c>
      <c r="G1036" s="8">
        <f>IF(ISNA(MATCH(1027,'Transfer Engine'!$C$2:$C$1960,0)),"",INDEX('Compliance Database'!$G$2:$G$1960,MATCH(1027,'Transfer Engine'!$C$2:$C$1960,0)))</f>
        <v/>
      </c>
      <c r="H1036" s="9">
        <f>IF(ISNA(MATCH(1027,'Transfer Engine'!$C$2:$C$1960,0)),"",INDEX('Compliance Database'!$H$2:$H$1960,MATCH(1027,'Transfer Engine'!$C$2:$C$1960,0)))</f>
        <v/>
      </c>
      <c r="I1036" s="9">
        <f>IF(ISNA(MATCH(1027,'Transfer Engine'!$C$2:$C$1960,0)),"",INDEX('Compliance Database'!$I$2:$I$1960,MATCH(1027,'Transfer Engine'!$C$2:$C$1960,0)))</f>
        <v/>
      </c>
      <c r="J1036" s="8">
        <f>IF(ISNA(MATCH(1027,'Transfer Engine'!$C$2:$C$1960,0)),"",INDEX('Compliance Database'!$J$2:$J$1960,MATCH(1027,'Transfer Engine'!$C$2:$C$1960,0)))</f>
        <v/>
      </c>
      <c r="K1036" s="9">
        <f>IF(ISNA(MATCH(1027,'Transfer Engine'!$C$2:$C$1960,0)),"",INDEX('Compliance Database'!$K$2:$K$1960,MATCH(1027,'Transfer Engine'!$C$2:$C$1960,0)))</f>
        <v/>
      </c>
      <c r="L1036" s="9">
        <f>IF(ISNA(MATCH(1027,'Transfer Engine'!$C$2:$C$1960,0)),"",INDEX('Compliance Database'!$L$2:$L$1960,MATCH(1027,'Transfer Engine'!$C$2:$C$1960,0)))</f>
        <v/>
      </c>
      <c r="M1036" s="9">
        <f>IF(ISNA(MATCH(1027,'Transfer Engine'!$C$2:$C$1960,0)),"",INDEX('Compliance Database'!$M$2:$M$1960,MATCH(1027,'Transfer Engine'!$C$2:$C$1960,0)))</f>
        <v/>
      </c>
      <c r="N1036" s="9">
        <f>IF(ISNA(MATCH(1027,'Transfer Engine'!$C$2:$C$1960,0)),"",INDEX('Compliance Database'!$N$2:$N$1960,MATCH(1027,'Transfer Engine'!$C$2:$C$1960,0)))</f>
        <v/>
      </c>
      <c r="O1036" s="9">
        <f>IF(ISNA(MATCH(1027,'Transfer Engine'!$C$2:$C$1960,0)),"",INDEX('Compliance Database'!$O$2:$O$1960,MATCH(1027,'Transfer Engine'!$C$2:$C$1960,0)))</f>
        <v/>
      </c>
      <c r="P1036" s="8">
        <f>IF(ISNA(MATCH(1027,'Transfer Engine'!$C$2:$C$1960,0)),"",HYPERLINK("#Acts!A"&amp;INDEX('Compliance Database'!$P$2:$P$1960,MATCH(1027,'Transfer Engine'!$C$2:$C$1960,0)),"Go to Act"))</f>
        <v/>
      </c>
    </row>
    <row r="1037" ht="158" customHeight="1">
      <c r="A1037" s="8">
        <f>IF(ISNA(MATCH(1028,'Transfer Engine'!$C$2:$C$1960,0)),"",INDEX('Compliance Database'!$A$2:$A$1960,MATCH(1028,'Transfer Engine'!$C$2:$C$1960,0)))</f>
        <v/>
      </c>
      <c r="B1037" s="8">
        <f>IF(ISNA(MATCH(1028,'Transfer Engine'!$C$2:$C$1960,0)),"",INDEX('Compliance Database'!$B$2:$B$1960,MATCH(1028,'Transfer Engine'!$C$2:$C$1960,0)))</f>
        <v/>
      </c>
      <c r="C1037" s="8">
        <f>IF(ISNA(MATCH(1028,'Transfer Engine'!$C$2:$C$1960,0)),"",INDEX('Compliance Database'!$C$2:$C$1960,MATCH(1028,'Transfer Engine'!$C$2:$C$1960,0)))</f>
        <v/>
      </c>
      <c r="D1037" s="9">
        <f>IF(ISNA(MATCH(1028,'Transfer Engine'!$C$2:$C$1960,0)),"",INDEX('Compliance Database'!$D$2:$D$1960,MATCH(1028,'Transfer Engine'!$C$2:$C$1960,0)))</f>
        <v/>
      </c>
      <c r="E1037" s="8">
        <f>IF(ISNA(MATCH(1028,'Transfer Engine'!$C$2:$C$1960,0)),"",INDEX('Compliance Database'!$E$2:$E$1960,MATCH(1028,'Transfer Engine'!$C$2:$C$1960,0)))</f>
        <v/>
      </c>
      <c r="F1037" s="8">
        <f>IF(ISNA(MATCH(1028,'Transfer Engine'!$C$2:$C$1960,0)),"",INDEX('Compliance Database'!$F$2:$F$1960,MATCH(1028,'Transfer Engine'!$C$2:$C$1960,0)))</f>
        <v/>
      </c>
      <c r="G1037" s="8">
        <f>IF(ISNA(MATCH(1028,'Transfer Engine'!$C$2:$C$1960,0)),"",INDEX('Compliance Database'!$G$2:$G$1960,MATCH(1028,'Transfer Engine'!$C$2:$C$1960,0)))</f>
        <v/>
      </c>
      <c r="H1037" s="9">
        <f>IF(ISNA(MATCH(1028,'Transfer Engine'!$C$2:$C$1960,0)),"",INDEX('Compliance Database'!$H$2:$H$1960,MATCH(1028,'Transfer Engine'!$C$2:$C$1960,0)))</f>
        <v/>
      </c>
      <c r="I1037" s="9">
        <f>IF(ISNA(MATCH(1028,'Transfer Engine'!$C$2:$C$1960,0)),"",INDEX('Compliance Database'!$I$2:$I$1960,MATCH(1028,'Transfer Engine'!$C$2:$C$1960,0)))</f>
        <v/>
      </c>
      <c r="J1037" s="8">
        <f>IF(ISNA(MATCH(1028,'Transfer Engine'!$C$2:$C$1960,0)),"",INDEX('Compliance Database'!$J$2:$J$1960,MATCH(1028,'Transfer Engine'!$C$2:$C$1960,0)))</f>
        <v/>
      </c>
      <c r="K1037" s="9">
        <f>IF(ISNA(MATCH(1028,'Transfer Engine'!$C$2:$C$1960,0)),"",INDEX('Compliance Database'!$K$2:$K$1960,MATCH(1028,'Transfer Engine'!$C$2:$C$1960,0)))</f>
        <v/>
      </c>
      <c r="L1037" s="9">
        <f>IF(ISNA(MATCH(1028,'Transfer Engine'!$C$2:$C$1960,0)),"",INDEX('Compliance Database'!$L$2:$L$1960,MATCH(1028,'Transfer Engine'!$C$2:$C$1960,0)))</f>
        <v/>
      </c>
      <c r="M1037" s="9">
        <f>IF(ISNA(MATCH(1028,'Transfer Engine'!$C$2:$C$1960,0)),"",INDEX('Compliance Database'!$M$2:$M$1960,MATCH(1028,'Transfer Engine'!$C$2:$C$1960,0)))</f>
        <v/>
      </c>
      <c r="N1037" s="9">
        <f>IF(ISNA(MATCH(1028,'Transfer Engine'!$C$2:$C$1960,0)),"",INDEX('Compliance Database'!$N$2:$N$1960,MATCH(1028,'Transfer Engine'!$C$2:$C$1960,0)))</f>
        <v/>
      </c>
      <c r="O1037" s="9">
        <f>IF(ISNA(MATCH(1028,'Transfer Engine'!$C$2:$C$1960,0)),"",INDEX('Compliance Database'!$O$2:$O$1960,MATCH(1028,'Transfer Engine'!$C$2:$C$1960,0)))</f>
        <v/>
      </c>
      <c r="P1037" s="8">
        <f>IF(ISNA(MATCH(1028,'Transfer Engine'!$C$2:$C$1960,0)),"",HYPERLINK("#Acts!A"&amp;INDEX('Compliance Database'!$P$2:$P$1960,MATCH(1028,'Transfer Engine'!$C$2:$C$1960,0)),"Go to Act"))</f>
        <v/>
      </c>
    </row>
    <row r="1038" ht="158" customHeight="1">
      <c r="A1038" s="8">
        <f>IF(ISNA(MATCH(1029,'Transfer Engine'!$C$2:$C$1960,0)),"",INDEX('Compliance Database'!$A$2:$A$1960,MATCH(1029,'Transfer Engine'!$C$2:$C$1960,0)))</f>
        <v/>
      </c>
      <c r="B1038" s="8">
        <f>IF(ISNA(MATCH(1029,'Transfer Engine'!$C$2:$C$1960,0)),"",INDEX('Compliance Database'!$B$2:$B$1960,MATCH(1029,'Transfer Engine'!$C$2:$C$1960,0)))</f>
        <v/>
      </c>
      <c r="C1038" s="8">
        <f>IF(ISNA(MATCH(1029,'Transfer Engine'!$C$2:$C$1960,0)),"",INDEX('Compliance Database'!$C$2:$C$1960,MATCH(1029,'Transfer Engine'!$C$2:$C$1960,0)))</f>
        <v/>
      </c>
      <c r="D1038" s="9">
        <f>IF(ISNA(MATCH(1029,'Transfer Engine'!$C$2:$C$1960,0)),"",INDEX('Compliance Database'!$D$2:$D$1960,MATCH(1029,'Transfer Engine'!$C$2:$C$1960,0)))</f>
        <v/>
      </c>
      <c r="E1038" s="8">
        <f>IF(ISNA(MATCH(1029,'Transfer Engine'!$C$2:$C$1960,0)),"",INDEX('Compliance Database'!$E$2:$E$1960,MATCH(1029,'Transfer Engine'!$C$2:$C$1960,0)))</f>
        <v/>
      </c>
      <c r="F1038" s="8">
        <f>IF(ISNA(MATCH(1029,'Transfer Engine'!$C$2:$C$1960,0)),"",INDEX('Compliance Database'!$F$2:$F$1960,MATCH(1029,'Transfer Engine'!$C$2:$C$1960,0)))</f>
        <v/>
      </c>
      <c r="G1038" s="8">
        <f>IF(ISNA(MATCH(1029,'Transfer Engine'!$C$2:$C$1960,0)),"",INDEX('Compliance Database'!$G$2:$G$1960,MATCH(1029,'Transfer Engine'!$C$2:$C$1960,0)))</f>
        <v/>
      </c>
      <c r="H1038" s="9">
        <f>IF(ISNA(MATCH(1029,'Transfer Engine'!$C$2:$C$1960,0)),"",INDEX('Compliance Database'!$H$2:$H$1960,MATCH(1029,'Transfer Engine'!$C$2:$C$1960,0)))</f>
        <v/>
      </c>
      <c r="I1038" s="9">
        <f>IF(ISNA(MATCH(1029,'Transfer Engine'!$C$2:$C$1960,0)),"",INDEX('Compliance Database'!$I$2:$I$1960,MATCH(1029,'Transfer Engine'!$C$2:$C$1960,0)))</f>
        <v/>
      </c>
      <c r="J1038" s="8">
        <f>IF(ISNA(MATCH(1029,'Transfer Engine'!$C$2:$C$1960,0)),"",INDEX('Compliance Database'!$J$2:$J$1960,MATCH(1029,'Transfer Engine'!$C$2:$C$1960,0)))</f>
        <v/>
      </c>
      <c r="K1038" s="9">
        <f>IF(ISNA(MATCH(1029,'Transfer Engine'!$C$2:$C$1960,0)),"",INDEX('Compliance Database'!$K$2:$K$1960,MATCH(1029,'Transfer Engine'!$C$2:$C$1960,0)))</f>
        <v/>
      </c>
      <c r="L1038" s="9">
        <f>IF(ISNA(MATCH(1029,'Transfer Engine'!$C$2:$C$1960,0)),"",INDEX('Compliance Database'!$L$2:$L$1960,MATCH(1029,'Transfer Engine'!$C$2:$C$1960,0)))</f>
        <v/>
      </c>
      <c r="M1038" s="9">
        <f>IF(ISNA(MATCH(1029,'Transfer Engine'!$C$2:$C$1960,0)),"",INDEX('Compliance Database'!$M$2:$M$1960,MATCH(1029,'Transfer Engine'!$C$2:$C$1960,0)))</f>
        <v/>
      </c>
      <c r="N1038" s="9">
        <f>IF(ISNA(MATCH(1029,'Transfer Engine'!$C$2:$C$1960,0)),"",INDEX('Compliance Database'!$N$2:$N$1960,MATCH(1029,'Transfer Engine'!$C$2:$C$1960,0)))</f>
        <v/>
      </c>
      <c r="O1038" s="9">
        <f>IF(ISNA(MATCH(1029,'Transfer Engine'!$C$2:$C$1960,0)),"",INDEX('Compliance Database'!$O$2:$O$1960,MATCH(1029,'Transfer Engine'!$C$2:$C$1960,0)))</f>
        <v/>
      </c>
      <c r="P1038" s="8">
        <f>IF(ISNA(MATCH(1029,'Transfer Engine'!$C$2:$C$1960,0)),"",HYPERLINK("#Acts!A"&amp;INDEX('Compliance Database'!$P$2:$P$1960,MATCH(1029,'Transfer Engine'!$C$2:$C$1960,0)),"Go to Act"))</f>
        <v/>
      </c>
    </row>
    <row r="1039" ht="158" customHeight="1">
      <c r="A1039" s="8">
        <f>IF(ISNA(MATCH(1030,'Transfer Engine'!$C$2:$C$1960,0)),"",INDEX('Compliance Database'!$A$2:$A$1960,MATCH(1030,'Transfer Engine'!$C$2:$C$1960,0)))</f>
        <v/>
      </c>
      <c r="B1039" s="8">
        <f>IF(ISNA(MATCH(1030,'Transfer Engine'!$C$2:$C$1960,0)),"",INDEX('Compliance Database'!$B$2:$B$1960,MATCH(1030,'Transfer Engine'!$C$2:$C$1960,0)))</f>
        <v/>
      </c>
      <c r="C1039" s="8">
        <f>IF(ISNA(MATCH(1030,'Transfer Engine'!$C$2:$C$1960,0)),"",INDEX('Compliance Database'!$C$2:$C$1960,MATCH(1030,'Transfer Engine'!$C$2:$C$1960,0)))</f>
        <v/>
      </c>
      <c r="D1039" s="9">
        <f>IF(ISNA(MATCH(1030,'Transfer Engine'!$C$2:$C$1960,0)),"",INDEX('Compliance Database'!$D$2:$D$1960,MATCH(1030,'Transfer Engine'!$C$2:$C$1960,0)))</f>
        <v/>
      </c>
      <c r="E1039" s="8">
        <f>IF(ISNA(MATCH(1030,'Transfer Engine'!$C$2:$C$1960,0)),"",INDEX('Compliance Database'!$E$2:$E$1960,MATCH(1030,'Transfer Engine'!$C$2:$C$1960,0)))</f>
        <v/>
      </c>
      <c r="F1039" s="8">
        <f>IF(ISNA(MATCH(1030,'Transfer Engine'!$C$2:$C$1960,0)),"",INDEX('Compliance Database'!$F$2:$F$1960,MATCH(1030,'Transfer Engine'!$C$2:$C$1960,0)))</f>
        <v/>
      </c>
      <c r="G1039" s="8">
        <f>IF(ISNA(MATCH(1030,'Transfer Engine'!$C$2:$C$1960,0)),"",INDEX('Compliance Database'!$G$2:$G$1960,MATCH(1030,'Transfer Engine'!$C$2:$C$1960,0)))</f>
        <v/>
      </c>
      <c r="H1039" s="9">
        <f>IF(ISNA(MATCH(1030,'Transfer Engine'!$C$2:$C$1960,0)),"",INDEX('Compliance Database'!$H$2:$H$1960,MATCH(1030,'Transfer Engine'!$C$2:$C$1960,0)))</f>
        <v/>
      </c>
      <c r="I1039" s="9">
        <f>IF(ISNA(MATCH(1030,'Transfer Engine'!$C$2:$C$1960,0)),"",INDEX('Compliance Database'!$I$2:$I$1960,MATCH(1030,'Transfer Engine'!$C$2:$C$1960,0)))</f>
        <v/>
      </c>
      <c r="J1039" s="8">
        <f>IF(ISNA(MATCH(1030,'Transfer Engine'!$C$2:$C$1960,0)),"",INDEX('Compliance Database'!$J$2:$J$1960,MATCH(1030,'Transfer Engine'!$C$2:$C$1960,0)))</f>
        <v/>
      </c>
      <c r="K1039" s="9">
        <f>IF(ISNA(MATCH(1030,'Transfer Engine'!$C$2:$C$1960,0)),"",INDEX('Compliance Database'!$K$2:$K$1960,MATCH(1030,'Transfer Engine'!$C$2:$C$1960,0)))</f>
        <v/>
      </c>
      <c r="L1039" s="9">
        <f>IF(ISNA(MATCH(1030,'Transfer Engine'!$C$2:$C$1960,0)),"",INDEX('Compliance Database'!$L$2:$L$1960,MATCH(1030,'Transfer Engine'!$C$2:$C$1960,0)))</f>
        <v/>
      </c>
      <c r="M1039" s="9">
        <f>IF(ISNA(MATCH(1030,'Transfer Engine'!$C$2:$C$1960,0)),"",INDEX('Compliance Database'!$M$2:$M$1960,MATCH(1030,'Transfer Engine'!$C$2:$C$1960,0)))</f>
        <v/>
      </c>
      <c r="N1039" s="9">
        <f>IF(ISNA(MATCH(1030,'Transfer Engine'!$C$2:$C$1960,0)),"",INDEX('Compliance Database'!$N$2:$N$1960,MATCH(1030,'Transfer Engine'!$C$2:$C$1960,0)))</f>
        <v/>
      </c>
      <c r="O1039" s="9">
        <f>IF(ISNA(MATCH(1030,'Transfer Engine'!$C$2:$C$1960,0)),"",INDEX('Compliance Database'!$O$2:$O$1960,MATCH(1030,'Transfer Engine'!$C$2:$C$1960,0)))</f>
        <v/>
      </c>
      <c r="P1039" s="8">
        <f>IF(ISNA(MATCH(1030,'Transfer Engine'!$C$2:$C$1960,0)),"",HYPERLINK("#Acts!A"&amp;INDEX('Compliance Database'!$P$2:$P$1960,MATCH(1030,'Transfer Engine'!$C$2:$C$1960,0)),"Go to Act"))</f>
        <v/>
      </c>
    </row>
    <row r="1040" ht="158" customHeight="1">
      <c r="A1040" s="8">
        <f>IF(ISNA(MATCH(1031,'Transfer Engine'!$C$2:$C$1960,0)),"",INDEX('Compliance Database'!$A$2:$A$1960,MATCH(1031,'Transfer Engine'!$C$2:$C$1960,0)))</f>
        <v/>
      </c>
      <c r="B1040" s="8">
        <f>IF(ISNA(MATCH(1031,'Transfer Engine'!$C$2:$C$1960,0)),"",INDEX('Compliance Database'!$B$2:$B$1960,MATCH(1031,'Transfer Engine'!$C$2:$C$1960,0)))</f>
        <v/>
      </c>
      <c r="C1040" s="8">
        <f>IF(ISNA(MATCH(1031,'Transfer Engine'!$C$2:$C$1960,0)),"",INDEX('Compliance Database'!$C$2:$C$1960,MATCH(1031,'Transfer Engine'!$C$2:$C$1960,0)))</f>
        <v/>
      </c>
      <c r="D1040" s="9">
        <f>IF(ISNA(MATCH(1031,'Transfer Engine'!$C$2:$C$1960,0)),"",INDEX('Compliance Database'!$D$2:$D$1960,MATCH(1031,'Transfer Engine'!$C$2:$C$1960,0)))</f>
        <v/>
      </c>
      <c r="E1040" s="8">
        <f>IF(ISNA(MATCH(1031,'Transfer Engine'!$C$2:$C$1960,0)),"",INDEX('Compliance Database'!$E$2:$E$1960,MATCH(1031,'Transfer Engine'!$C$2:$C$1960,0)))</f>
        <v/>
      </c>
      <c r="F1040" s="8">
        <f>IF(ISNA(MATCH(1031,'Transfer Engine'!$C$2:$C$1960,0)),"",INDEX('Compliance Database'!$F$2:$F$1960,MATCH(1031,'Transfer Engine'!$C$2:$C$1960,0)))</f>
        <v/>
      </c>
      <c r="G1040" s="8">
        <f>IF(ISNA(MATCH(1031,'Transfer Engine'!$C$2:$C$1960,0)),"",INDEX('Compliance Database'!$G$2:$G$1960,MATCH(1031,'Transfer Engine'!$C$2:$C$1960,0)))</f>
        <v/>
      </c>
      <c r="H1040" s="9">
        <f>IF(ISNA(MATCH(1031,'Transfer Engine'!$C$2:$C$1960,0)),"",INDEX('Compliance Database'!$H$2:$H$1960,MATCH(1031,'Transfer Engine'!$C$2:$C$1960,0)))</f>
        <v/>
      </c>
      <c r="I1040" s="9">
        <f>IF(ISNA(MATCH(1031,'Transfer Engine'!$C$2:$C$1960,0)),"",INDEX('Compliance Database'!$I$2:$I$1960,MATCH(1031,'Transfer Engine'!$C$2:$C$1960,0)))</f>
        <v/>
      </c>
      <c r="J1040" s="8">
        <f>IF(ISNA(MATCH(1031,'Transfer Engine'!$C$2:$C$1960,0)),"",INDEX('Compliance Database'!$J$2:$J$1960,MATCH(1031,'Transfer Engine'!$C$2:$C$1960,0)))</f>
        <v/>
      </c>
      <c r="K1040" s="9">
        <f>IF(ISNA(MATCH(1031,'Transfer Engine'!$C$2:$C$1960,0)),"",INDEX('Compliance Database'!$K$2:$K$1960,MATCH(1031,'Transfer Engine'!$C$2:$C$1960,0)))</f>
        <v/>
      </c>
      <c r="L1040" s="9">
        <f>IF(ISNA(MATCH(1031,'Transfer Engine'!$C$2:$C$1960,0)),"",INDEX('Compliance Database'!$L$2:$L$1960,MATCH(1031,'Transfer Engine'!$C$2:$C$1960,0)))</f>
        <v/>
      </c>
      <c r="M1040" s="9">
        <f>IF(ISNA(MATCH(1031,'Transfer Engine'!$C$2:$C$1960,0)),"",INDEX('Compliance Database'!$M$2:$M$1960,MATCH(1031,'Transfer Engine'!$C$2:$C$1960,0)))</f>
        <v/>
      </c>
      <c r="N1040" s="9">
        <f>IF(ISNA(MATCH(1031,'Transfer Engine'!$C$2:$C$1960,0)),"",INDEX('Compliance Database'!$N$2:$N$1960,MATCH(1031,'Transfer Engine'!$C$2:$C$1960,0)))</f>
        <v/>
      </c>
      <c r="O1040" s="9">
        <f>IF(ISNA(MATCH(1031,'Transfer Engine'!$C$2:$C$1960,0)),"",INDEX('Compliance Database'!$O$2:$O$1960,MATCH(1031,'Transfer Engine'!$C$2:$C$1960,0)))</f>
        <v/>
      </c>
      <c r="P1040" s="8">
        <f>IF(ISNA(MATCH(1031,'Transfer Engine'!$C$2:$C$1960,0)),"",HYPERLINK("#Acts!A"&amp;INDEX('Compliance Database'!$P$2:$P$1960,MATCH(1031,'Transfer Engine'!$C$2:$C$1960,0)),"Go to Act"))</f>
        <v/>
      </c>
    </row>
    <row r="1041" ht="158" customHeight="1">
      <c r="A1041" s="8">
        <f>IF(ISNA(MATCH(1032,'Transfer Engine'!$C$2:$C$1960,0)),"",INDEX('Compliance Database'!$A$2:$A$1960,MATCH(1032,'Transfer Engine'!$C$2:$C$1960,0)))</f>
        <v/>
      </c>
      <c r="B1041" s="8">
        <f>IF(ISNA(MATCH(1032,'Transfer Engine'!$C$2:$C$1960,0)),"",INDEX('Compliance Database'!$B$2:$B$1960,MATCH(1032,'Transfer Engine'!$C$2:$C$1960,0)))</f>
        <v/>
      </c>
      <c r="C1041" s="8">
        <f>IF(ISNA(MATCH(1032,'Transfer Engine'!$C$2:$C$1960,0)),"",INDEX('Compliance Database'!$C$2:$C$1960,MATCH(1032,'Transfer Engine'!$C$2:$C$1960,0)))</f>
        <v/>
      </c>
      <c r="D1041" s="9">
        <f>IF(ISNA(MATCH(1032,'Transfer Engine'!$C$2:$C$1960,0)),"",INDEX('Compliance Database'!$D$2:$D$1960,MATCH(1032,'Transfer Engine'!$C$2:$C$1960,0)))</f>
        <v/>
      </c>
      <c r="E1041" s="8">
        <f>IF(ISNA(MATCH(1032,'Transfer Engine'!$C$2:$C$1960,0)),"",INDEX('Compliance Database'!$E$2:$E$1960,MATCH(1032,'Transfer Engine'!$C$2:$C$1960,0)))</f>
        <v/>
      </c>
      <c r="F1041" s="8">
        <f>IF(ISNA(MATCH(1032,'Transfer Engine'!$C$2:$C$1960,0)),"",INDEX('Compliance Database'!$F$2:$F$1960,MATCH(1032,'Transfer Engine'!$C$2:$C$1960,0)))</f>
        <v/>
      </c>
      <c r="G1041" s="8">
        <f>IF(ISNA(MATCH(1032,'Transfer Engine'!$C$2:$C$1960,0)),"",INDEX('Compliance Database'!$G$2:$G$1960,MATCH(1032,'Transfer Engine'!$C$2:$C$1960,0)))</f>
        <v/>
      </c>
      <c r="H1041" s="9">
        <f>IF(ISNA(MATCH(1032,'Transfer Engine'!$C$2:$C$1960,0)),"",INDEX('Compliance Database'!$H$2:$H$1960,MATCH(1032,'Transfer Engine'!$C$2:$C$1960,0)))</f>
        <v/>
      </c>
      <c r="I1041" s="9">
        <f>IF(ISNA(MATCH(1032,'Transfer Engine'!$C$2:$C$1960,0)),"",INDEX('Compliance Database'!$I$2:$I$1960,MATCH(1032,'Transfer Engine'!$C$2:$C$1960,0)))</f>
        <v/>
      </c>
      <c r="J1041" s="8">
        <f>IF(ISNA(MATCH(1032,'Transfer Engine'!$C$2:$C$1960,0)),"",INDEX('Compliance Database'!$J$2:$J$1960,MATCH(1032,'Transfer Engine'!$C$2:$C$1960,0)))</f>
        <v/>
      </c>
      <c r="K1041" s="9">
        <f>IF(ISNA(MATCH(1032,'Transfer Engine'!$C$2:$C$1960,0)),"",INDEX('Compliance Database'!$K$2:$K$1960,MATCH(1032,'Transfer Engine'!$C$2:$C$1960,0)))</f>
        <v/>
      </c>
      <c r="L1041" s="9">
        <f>IF(ISNA(MATCH(1032,'Transfer Engine'!$C$2:$C$1960,0)),"",INDEX('Compliance Database'!$L$2:$L$1960,MATCH(1032,'Transfer Engine'!$C$2:$C$1960,0)))</f>
        <v/>
      </c>
      <c r="M1041" s="9">
        <f>IF(ISNA(MATCH(1032,'Transfer Engine'!$C$2:$C$1960,0)),"",INDEX('Compliance Database'!$M$2:$M$1960,MATCH(1032,'Transfer Engine'!$C$2:$C$1960,0)))</f>
        <v/>
      </c>
      <c r="N1041" s="9">
        <f>IF(ISNA(MATCH(1032,'Transfer Engine'!$C$2:$C$1960,0)),"",INDEX('Compliance Database'!$N$2:$N$1960,MATCH(1032,'Transfer Engine'!$C$2:$C$1960,0)))</f>
        <v/>
      </c>
      <c r="O1041" s="9">
        <f>IF(ISNA(MATCH(1032,'Transfer Engine'!$C$2:$C$1960,0)),"",INDEX('Compliance Database'!$O$2:$O$1960,MATCH(1032,'Transfer Engine'!$C$2:$C$1960,0)))</f>
        <v/>
      </c>
      <c r="P1041" s="8">
        <f>IF(ISNA(MATCH(1032,'Transfer Engine'!$C$2:$C$1960,0)),"",HYPERLINK("#Acts!A"&amp;INDEX('Compliance Database'!$P$2:$P$1960,MATCH(1032,'Transfer Engine'!$C$2:$C$1960,0)),"Go to Act"))</f>
        <v/>
      </c>
    </row>
    <row r="1042" ht="158" customHeight="1">
      <c r="A1042" s="8">
        <f>IF(ISNA(MATCH(1033,'Transfer Engine'!$C$2:$C$1960,0)),"",INDEX('Compliance Database'!$A$2:$A$1960,MATCH(1033,'Transfer Engine'!$C$2:$C$1960,0)))</f>
        <v/>
      </c>
      <c r="B1042" s="8">
        <f>IF(ISNA(MATCH(1033,'Transfer Engine'!$C$2:$C$1960,0)),"",INDEX('Compliance Database'!$B$2:$B$1960,MATCH(1033,'Transfer Engine'!$C$2:$C$1960,0)))</f>
        <v/>
      </c>
      <c r="C1042" s="8">
        <f>IF(ISNA(MATCH(1033,'Transfer Engine'!$C$2:$C$1960,0)),"",INDEX('Compliance Database'!$C$2:$C$1960,MATCH(1033,'Transfer Engine'!$C$2:$C$1960,0)))</f>
        <v/>
      </c>
      <c r="D1042" s="9">
        <f>IF(ISNA(MATCH(1033,'Transfer Engine'!$C$2:$C$1960,0)),"",INDEX('Compliance Database'!$D$2:$D$1960,MATCH(1033,'Transfer Engine'!$C$2:$C$1960,0)))</f>
        <v/>
      </c>
      <c r="E1042" s="8">
        <f>IF(ISNA(MATCH(1033,'Transfer Engine'!$C$2:$C$1960,0)),"",INDEX('Compliance Database'!$E$2:$E$1960,MATCH(1033,'Transfer Engine'!$C$2:$C$1960,0)))</f>
        <v/>
      </c>
      <c r="F1042" s="8">
        <f>IF(ISNA(MATCH(1033,'Transfer Engine'!$C$2:$C$1960,0)),"",INDEX('Compliance Database'!$F$2:$F$1960,MATCH(1033,'Transfer Engine'!$C$2:$C$1960,0)))</f>
        <v/>
      </c>
      <c r="G1042" s="8">
        <f>IF(ISNA(MATCH(1033,'Transfer Engine'!$C$2:$C$1960,0)),"",INDEX('Compliance Database'!$G$2:$G$1960,MATCH(1033,'Transfer Engine'!$C$2:$C$1960,0)))</f>
        <v/>
      </c>
      <c r="H1042" s="9">
        <f>IF(ISNA(MATCH(1033,'Transfer Engine'!$C$2:$C$1960,0)),"",INDEX('Compliance Database'!$H$2:$H$1960,MATCH(1033,'Transfer Engine'!$C$2:$C$1960,0)))</f>
        <v/>
      </c>
      <c r="I1042" s="9">
        <f>IF(ISNA(MATCH(1033,'Transfer Engine'!$C$2:$C$1960,0)),"",INDEX('Compliance Database'!$I$2:$I$1960,MATCH(1033,'Transfer Engine'!$C$2:$C$1960,0)))</f>
        <v/>
      </c>
      <c r="J1042" s="8">
        <f>IF(ISNA(MATCH(1033,'Transfer Engine'!$C$2:$C$1960,0)),"",INDEX('Compliance Database'!$J$2:$J$1960,MATCH(1033,'Transfer Engine'!$C$2:$C$1960,0)))</f>
        <v/>
      </c>
      <c r="K1042" s="9">
        <f>IF(ISNA(MATCH(1033,'Transfer Engine'!$C$2:$C$1960,0)),"",INDEX('Compliance Database'!$K$2:$K$1960,MATCH(1033,'Transfer Engine'!$C$2:$C$1960,0)))</f>
        <v/>
      </c>
      <c r="L1042" s="9">
        <f>IF(ISNA(MATCH(1033,'Transfer Engine'!$C$2:$C$1960,0)),"",INDEX('Compliance Database'!$L$2:$L$1960,MATCH(1033,'Transfer Engine'!$C$2:$C$1960,0)))</f>
        <v/>
      </c>
      <c r="M1042" s="9">
        <f>IF(ISNA(MATCH(1033,'Transfer Engine'!$C$2:$C$1960,0)),"",INDEX('Compliance Database'!$M$2:$M$1960,MATCH(1033,'Transfer Engine'!$C$2:$C$1960,0)))</f>
        <v/>
      </c>
      <c r="N1042" s="9">
        <f>IF(ISNA(MATCH(1033,'Transfer Engine'!$C$2:$C$1960,0)),"",INDEX('Compliance Database'!$N$2:$N$1960,MATCH(1033,'Transfer Engine'!$C$2:$C$1960,0)))</f>
        <v/>
      </c>
      <c r="O1042" s="9">
        <f>IF(ISNA(MATCH(1033,'Transfer Engine'!$C$2:$C$1960,0)),"",INDEX('Compliance Database'!$O$2:$O$1960,MATCH(1033,'Transfer Engine'!$C$2:$C$1960,0)))</f>
        <v/>
      </c>
      <c r="P1042" s="8">
        <f>IF(ISNA(MATCH(1033,'Transfer Engine'!$C$2:$C$1960,0)),"",HYPERLINK("#Acts!A"&amp;INDEX('Compliance Database'!$P$2:$P$1960,MATCH(1033,'Transfer Engine'!$C$2:$C$1960,0)),"Go to Act"))</f>
        <v/>
      </c>
    </row>
    <row r="1043" ht="158" customHeight="1">
      <c r="A1043" s="8">
        <f>IF(ISNA(MATCH(1034,'Transfer Engine'!$C$2:$C$1960,0)),"",INDEX('Compliance Database'!$A$2:$A$1960,MATCH(1034,'Transfer Engine'!$C$2:$C$1960,0)))</f>
        <v/>
      </c>
      <c r="B1043" s="8">
        <f>IF(ISNA(MATCH(1034,'Transfer Engine'!$C$2:$C$1960,0)),"",INDEX('Compliance Database'!$B$2:$B$1960,MATCH(1034,'Transfer Engine'!$C$2:$C$1960,0)))</f>
        <v/>
      </c>
      <c r="C1043" s="8">
        <f>IF(ISNA(MATCH(1034,'Transfer Engine'!$C$2:$C$1960,0)),"",INDEX('Compliance Database'!$C$2:$C$1960,MATCH(1034,'Transfer Engine'!$C$2:$C$1960,0)))</f>
        <v/>
      </c>
      <c r="D1043" s="9">
        <f>IF(ISNA(MATCH(1034,'Transfer Engine'!$C$2:$C$1960,0)),"",INDEX('Compliance Database'!$D$2:$D$1960,MATCH(1034,'Transfer Engine'!$C$2:$C$1960,0)))</f>
        <v/>
      </c>
      <c r="E1043" s="8">
        <f>IF(ISNA(MATCH(1034,'Transfer Engine'!$C$2:$C$1960,0)),"",INDEX('Compliance Database'!$E$2:$E$1960,MATCH(1034,'Transfer Engine'!$C$2:$C$1960,0)))</f>
        <v/>
      </c>
      <c r="F1043" s="8">
        <f>IF(ISNA(MATCH(1034,'Transfer Engine'!$C$2:$C$1960,0)),"",INDEX('Compliance Database'!$F$2:$F$1960,MATCH(1034,'Transfer Engine'!$C$2:$C$1960,0)))</f>
        <v/>
      </c>
      <c r="G1043" s="8">
        <f>IF(ISNA(MATCH(1034,'Transfer Engine'!$C$2:$C$1960,0)),"",INDEX('Compliance Database'!$G$2:$G$1960,MATCH(1034,'Transfer Engine'!$C$2:$C$1960,0)))</f>
        <v/>
      </c>
      <c r="H1043" s="9">
        <f>IF(ISNA(MATCH(1034,'Transfer Engine'!$C$2:$C$1960,0)),"",INDEX('Compliance Database'!$H$2:$H$1960,MATCH(1034,'Transfer Engine'!$C$2:$C$1960,0)))</f>
        <v/>
      </c>
      <c r="I1043" s="9">
        <f>IF(ISNA(MATCH(1034,'Transfer Engine'!$C$2:$C$1960,0)),"",INDEX('Compliance Database'!$I$2:$I$1960,MATCH(1034,'Transfer Engine'!$C$2:$C$1960,0)))</f>
        <v/>
      </c>
      <c r="J1043" s="8">
        <f>IF(ISNA(MATCH(1034,'Transfer Engine'!$C$2:$C$1960,0)),"",INDEX('Compliance Database'!$J$2:$J$1960,MATCH(1034,'Transfer Engine'!$C$2:$C$1960,0)))</f>
        <v/>
      </c>
      <c r="K1043" s="9">
        <f>IF(ISNA(MATCH(1034,'Transfer Engine'!$C$2:$C$1960,0)),"",INDEX('Compliance Database'!$K$2:$K$1960,MATCH(1034,'Transfer Engine'!$C$2:$C$1960,0)))</f>
        <v/>
      </c>
      <c r="L1043" s="9">
        <f>IF(ISNA(MATCH(1034,'Transfer Engine'!$C$2:$C$1960,0)),"",INDEX('Compliance Database'!$L$2:$L$1960,MATCH(1034,'Transfer Engine'!$C$2:$C$1960,0)))</f>
        <v/>
      </c>
      <c r="M1043" s="9">
        <f>IF(ISNA(MATCH(1034,'Transfer Engine'!$C$2:$C$1960,0)),"",INDEX('Compliance Database'!$M$2:$M$1960,MATCH(1034,'Transfer Engine'!$C$2:$C$1960,0)))</f>
        <v/>
      </c>
      <c r="N1043" s="9">
        <f>IF(ISNA(MATCH(1034,'Transfer Engine'!$C$2:$C$1960,0)),"",INDEX('Compliance Database'!$N$2:$N$1960,MATCH(1034,'Transfer Engine'!$C$2:$C$1960,0)))</f>
        <v/>
      </c>
      <c r="O1043" s="9">
        <f>IF(ISNA(MATCH(1034,'Transfer Engine'!$C$2:$C$1960,0)),"",INDEX('Compliance Database'!$O$2:$O$1960,MATCH(1034,'Transfer Engine'!$C$2:$C$1960,0)))</f>
        <v/>
      </c>
      <c r="P1043" s="8">
        <f>IF(ISNA(MATCH(1034,'Transfer Engine'!$C$2:$C$1960,0)),"",HYPERLINK("#Acts!A"&amp;INDEX('Compliance Database'!$P$2:$P$1960,MATCH(1034,'Transfer Engine'!$C$2:$C$1960,0)),"Go to Act"))</f>
        <v/>
      </c>
    </row>
    <row r="1044" ht="158" customHeight="1">
      <c r="A1044" s="8">
        <f>IF(ISNA(MATCH(1035,'Transfer Engine'!$C$2:$C$1960,0)),"",INDEX('Compliance Database'!$A$2:$A$1960,MATCH(1035,'Transfer Engine'!$C$2:$C$1960,0)))</f>
        <v/>
      </c>
      <c r="B1044" s="8">
        <f>IF(ISNA(MATCH(1035,'Transfer Engine'!$C$2:$C$1960,0)),"",INDEX('Compliance Database'!$B$2:$B$1960,MATCH(1035,'Transfer Engine'!$C$2:$C$1960,0)))</f>
        <v/>
      </c>
      <c r="C1044" s="8">
        <f>IF(ISNA(MATCH(1035,'Transfer Engine'!$C$2:$C$1960,0)),"",INDEX('Compliance Database'!$C$2:$C$1960,MATCH(1035,'Transfer Engine'!$C$2:$C$1960,0)))</f>
        <v/>
      </c>
      <c r="D1044" s="9">
        <f>IF(ISNA(MATCH(1035,'Transfer Engine'!$C$2:$C$1960,0)),"",INDEX('Compliance Database'!$D$2:$D$1960,MATCH(1035,'Transfer Engine'!$C$2:$C$1960,0)))</f>
        <v/>
      </c>
      <c r="E1044" s="8">
        <f>IF(ISNA(MATCH(1035,'Transfer Engine'!$C$2:$C$1960,0)),"",INDEX('Compliance Database'!$E$2:$E$1960,MATCH(1035,'Transfer Engine'!$C$2:$C$1960,0)))</f>
        <v/>
      </c>
      <c r="F1044" s="8">
        <f>IF(ISNA(MATCH(1035,'Transfer Engine'!$C$2:$C$1960,0)),"",INDEX('Compliance Database'!$F$2:$F$1960,MATCH(1035,'Transfer Engine'!$C$2:$C$1960,0)))</f>
        <v/>
      </c>
      <c r="G1044" s="8">
        <f>IF(ISNA(MATCH(1035,'Transfer Engine'!$C$2:$C$1960,0)),"",INDEX('Compliance Database'!$G$2:$G$1960,MATCH(1035,'Transfer Engine'!$C$2:$C$1960,0)))</f>
        <v/>
      </c>
      <c r="H1044" s="9">
        <f>IF(ISNA(MATCH(1035,'Transfer Engine'!$C$2:$C$1960,0)),"",INDEX('Compliance Database'!$H$2:$H$1960,MATCH(1035,'Transfer Engine'!$C$2:$C$1960,0)))</f>
        <v/>
      </c>
      <c r="I1044" s="9">
        <f>IF(ISNA(MATCH(1035,'Transfer Engine'!$C$2:$C$1960,0)),"",INDEX('Compliance Database'!$I$2:$I$1960,MATCH(1035,'Transfer Engine'!$C$2:$C$1960,0)))</f>
        <v/>
      </c>
      <c r="J1044" s="8">
        <f>IF(ISNA(MATCH(1035,'Transfer Engine'!$C$2:$C$1960,0)),"",INDEX('Compliance Database'!$J$2:$J$1960,MATCH(1035,'Transfer Engine'!$C$2:$C$1960,0)))</f>
        <v/>
      </c>
      <c r="K1044" s="9">
        <f>IF(ISNA(MATCH(1035,'Transfer Engine'!$C$2:$C$1960,0)),"",INDEX('Compliance Database'!$K$2:$K$1960,MATCH(1035,'Transfer Engine'!$C$2:$C$1960,0)))</f>
        <v/>
      </c>
      <c r="L1044" s="9">
        <f>IF(ISNA(MATCH(1035,'Transfer Engine'!$C$2:$C$1960,0)),"",INDEX('Compliance Database'!$L$2:$L$1960,MATCH(1035,'Transfer Engine'!$C$2:$C$1960,0)))</f>
        <v/>
      </c>
      <c r="M1044" s="9">
        <f>IF(ISNA(MATCH(1035,'Transfer Engine'!$C$2:$C$1960,0)),"",INDEX('Compliance Database'!$M$2:$M$1960,MATCH(1035,'Transfer Engine'!$C$2:$C$1960,0)))</f>
        <v/>
      </c>
      <c r="N1044" s="9">
        <f>IF(ISNA(MATCH(1035,'Transfer Engine'!$C$2:$C$1960,0)),"",INDEX('Compliance Database'!$N$2:$N$1960,MATCH(1035,'Transfer Engine'!$C$2:$C$1960,0)))</f>
        <v/>
      </c>
      <c r="O1044" s="9">
        <f>IF(ISNA(MATCH(1035,'Transfer Engine'!$C$2:$C$1960,0)),"",INDEX('Compliance Database'!$O$2:$O$1960,MATCH(1035,'Transfer Engine'!$C$2:$C$1960,0)))</f>
        <v/>
      </c>
      <c r="P1044" s="8">
        <f>IF(ISNA(MATCH(1035,'Transfer Engine'!$C$2:$C$1960,0)),"",HYPERLINK("#Acts!A"&amp;INDEX('Compliance Database'!$P$2:$P$1960,MATCH(1035,'Transfer Engine'!$C$2:$C$1960,0)),"Go to Act"))</f>
        <v/>
      </c>
    </row>
    <row r="1045" ht="158" customHeight="1">
      <c r="A1045" s="8">
        <f>IF(ISNA(MATCH(1036,'Transfer Engine'!$C$2:$C$1960,0)),"",INDEX('Compliance Database'!$A$2:$A$1960,MATCH(1036,'Transfer Engine'!$C$2:$C$1960,0)))</f>
        <v/>
      </c>
      <c r="B1045" s="8">
        <f>IF(ISNA(MATCH(1036,'Transfer Engine'!$C$2:$C$1960,0)),"",INDEX('Compliance Database'!$B$2:$B$1960,MATCH(1036,'Transfer Engine'!$C$2:$C$1960,0)))</f>
        <v/>
      </c>
      <c r="C1045" s="8">
        <f>IF(ISNA(MATCH(1036,'Transfer Engine'!$C$2:$C$1960,0)),"",INDEX('Compliance Database'!$C$2:$C$1960,MATCH(1036,'Transfer Engine'!$C$2:$C$1960,0)))</f>
        <v/>
      </c>
      <c r="D1045" s="9">
        <f>IF(ISNA(MATCH(1036,'Transfer Engine'!$C$2:$C$1960,0)),"",INDEX('Compliance Database'!$D$2:$D$1960,MATCH(1036,'Transfer Engine'!$C$2:$C$1960,0)))</f>
        <v/>
      </c>
      <c r="E1045" s="8">
        <f>IF(ISNA(MATCH(1036,'Transfer Engine'!$C$2:$C$1960,0)),"",INDEX('Compliance Database'!$E$2:$E$1960,MATCH(1036,'Transfer Engine'!$C$2:$C$1960,0)))</f>
        <v/>
      </c>
      <c r="F1045" s="8">
        <f>IF(ISNA(MATCH(1036,'Transfer Engine'!$C$2:$C$1960,0)),"",INDEX('Compliance Database'!$F$2:$F$1960,MATCH(1036,'Transfer Engine'!$C$2:$C$1960,0)))</f>
        <v/>
      </c>
      <c r="G1045" s="8">
        <f>IF(ISNA(MATCH(1036,'Transfer Engine'!$C$2:$C$1960,0)),"",INDEX('Compliance Database'!$G$2:$G$1960,MATCH(1036,'Transfer Engine'!$C$2:$C$1960,0)))</f>
        <v/>
      </c>
      <c r="H1045" s="9">
        <f>IF(ISNA(MATCH(1036,'Transfer Engine'!$C$2:$C$1960,0)),"",INDEX('Compliance Database'!$H$2:$H$1960,MATCH(1036,'Transfer Engine'!$C$2:$C$1960,0)))</f>
        <v/>
      </c>
      <c r="I1045" s="9">
        <f>IF(ISNA(MATCH(1036,'Transfer Engine'!$C$2:$C$1960,0)),"",INDEX('Compliance Database'!$I$2:$I$1960,MATCH(1036,'Transfer Engine'!$C$2:$C$1960,0)))</f>
        <v/>
      </c>
      <c r="J1045" s="8">
        <f>IF(ISNA(MATCH(1036,'Transfer Engine'!$C$2:$C$1960,0)),"",INDEX('Compliance Database'!$J$2:$J$1960,MATCH(1036,'Transfer Engine'!$C$2:$C$1960,0)))</f>
        <v/>
      </c>
      <c r="K1045" s="9">
        <f>IF(ISNA(MATCH(1036,'Transfer Engine'!$C$2:$C$1960,0)),"",INDEX('Compliance Database'!$K$2:$K$1960,MATCH(1036,'Transfer Engine'!$C$2:$C$1960,0)))</f>
        <v/>
      </c>
      <c r="L1045" s="9">
        <f>IF(ISNA(MATCH(1036,'Transfer Engine'!$C$2:$C$1960,0)),"",INDEX('Compliance Database'!$L$2:$L$1960,MATCH(1036,'Transfer Engine'!$C$2:$C$1960,0)))</f>
        <v/>
      </c>
      <c r="M1045" s="9">
        <f>IF(ISNA(MATCH(1036,'Transfer Engine'!$C$2:$C$1960,0)),"",INDEX('Compliance Database'!$M$2:$M$1960,MATCH(1036,'Transfer Engine'!$C$2:$C$1960,0)))</f>
        <v/>
      </c>
      <c r="N1045" s="9">
        <f>IF(ISNA(MATCH(1036,'Transfer Engine'!$C$2:$C$1960,0)),"",INDEX('Compliance Database'!$N$2:$N$1960,MATCH(1036,'Transfer Engine'!$C$2:$C$1960,0)))</f>
        <v/>
      </c>
      <c r="O1045" s="9">
        <f>IF(ISNA(MATCH(1036,'Transfer Engine'!$C$2:$C$1960,0)),"",INDEX('Compliance Database'!$O$2:$O$1960,MATCH(1036,'Transfer Engine'!$C$2:$C$1960,0)))</f>
        <v/>
      </c>
      <c r="P1045" s="8">
        <f>IF(ISNA(MATCH(1036,'Transfer Engine'!$C$2:$C$1960,0)),"",HYPERLINK("#Acts!A"&amp;INDEX('Compliance Database'!$P$2:$P$1960,MATCH(1036,'Transfer Engine'!$C$2:$C$1960,0)),"Go to Act"))</f>
        <v/>
      </c>
    </row>
    <row r="1046" ht="158" customHeight="1">
      <c r="A1046" s="8">
        <f>IF(ISNA(MATCH(1037,'Transfer Engine'!$C$2:$C$1960,0)),"",INDEX('Compliance Database'!$A$2:$A$1960,MATCH(1037,'Transfer Engine'!$C$2:$C$1960,0)))</f>
        <v/>
      </c>
      <c r="B1046" s="8">
        <f>IF(ISNA(MATCH(1037,'Transfer Engine'!$C$2:$C$1960,0)),"",INDEX('Compliance Database'!$B$2:$B$1960,MATCH(1037,'Transfer Engine'!$C$2:$C$1960,0)))</f>
        <v/>
      </c>
      <c r="C1046" s="8">
        <f>IF(ISNA(MATCH(1037,'Transfer Engine'!$C$2:$C$1960,0)),"",INDEX('Compliance Database'!$C$2:$C$1960,MATCH(1037,'Transfer Engine'!$C$2:$C$1960,0)))</f>
        <v/>
      </c>
      <c r="D1046" s="9">
        <f>IF(ISNA(MATCH(1037,'Transfer Engine'!$C$2:$C$1960,0)),"",INDEX('Compliance Database'!$D$2:$D$1960,MATCH(1037,'Transfer Engine'!$C$2:$C$1960,0)))</f>
        <v/>
      </c>
      <c r="E1046" s="8">
        <f>IF(ISNA(MATCH(1037,'Transfer Engine'!$C$2:$C$1960,0)),"",INDEX('Compliance Database'!$E$2:$E$1960,MATCH(1037,'Transfer Engine'!$C$2:$C$1960,0)))</f>
        <v/>
      </c>
      <c r="F1046" s="8">
        <f>IF(ISNA(MATCH(1037,'Transfer Engine'!$C$2:$C$1960,0)),"",INDEX('Compliance Database'!$F$2:$F$1960,MATCH(1037,'Transfer Engine'!$C$2:$C$1960,0)))</f>
        <v/>
      </c>
      <c r="G1046" s="8">
        <f>IF(ISNA(MATCH(1037,'Transfer Engine'!$C$2:$C$1960,0)),"",INDEX('Compliance Database'!$G$2:$G$1960,MATCH(1037,'Transfer Engine'!$C$2:$C$1960,0)))</f>
        <v/>
      </c>
      <c r="H1046" s="9">
        <f>IF(ISNA(MATCH(1037,'Transfer Engine'!$C$2:$C$1960,0)),"",INDEX('Compliance Database'!$H$2:$H$1960,MATCH(1037,'Transfer Engine'!$C$2:$C$1960,0)))</f>
        <v/>
      </c>
      <c r="I1046" s="9">
        <f>IF(ISNA(MATCH(1037,'Transfer Engine'!$C$2:$C$1960,0)),"",INDEX('Compliance Database'!$I$2:$I$1960,MATCH(1037,'Transfer Engine'!$C$2:$C$1960,0)))</f>
        <v/>
      </c>
      <c r="J1046" s="8">
        <f>IF(ISNA(MATCH(1037,'Transfer Engine'!$C$2:$C$1960,0)),"",INDEX('Compliance Database'!$J$2:$J$1960,MATCH(1037,'Transfer Engine'!$C$2:$C$1960,0)))</f>
        <v/>
      </c>
      <c r="K1046" s="9">
        <f>IF(ISNA(MATCH(1037,'Transfer Engine'!$C$2:$C$1960,0)),"",INDEX('Compliance Database'!$K$2:$K$1960,MATCH(1037,'Transfer Engine'!$C$2:$C$1960,0)))</f>
        <v/>
      </c>
      <c r="L1046" s="9">
        <f>IF(ISNA(MATCH(1037,'Transfer Engine'!$C$2:$C$1960,0)),"",INDEX('Compliance Database'!$L$2:$L$1960,MATCH(1037,'Transfer Engine'!$C$2:$C$1960,0)))</f>
        <v/>
      </c>
      <c r="M1046" s="9">
        <f>IF(ISNA(MATCH(1037,'Transfer Engine'!$C$2:$C$1960,0)),"",INDEX('Compliance Database'!$M$2:$M$1960,MATCH(1037,'Transfer Engine'!$C$2:$C$1960,0)))</f>
        <v/>
      </c>
      <c r="N1046" s="9">
        <f>IF(ISNA(MATCH(1037,'Transfer Engine'!$C$2:$C$1960,0)),"",INDEX('Compliance Database'!$N$2:$N$1960,MATCH(1037,'Transfer Engine'!$C$2:$C$1960,0)))</f>
        <v/>
      </c>
      <c r="O1046" s="9">
        <f>IF(ISNA(MATCH(1037,'Transfer Engine'!$C$2:$C$1960,0)),"",INDEX('Compliance Database'!$O$2:$O$1960,MATCH(1037,'Transfer Engine'!$C$2:$C$1960,0)))</f>
        <v/>
      </c>
      <c r="P1046" s="8">
        <f>IF(ISNA(MATCH(1037,'Transfer Engine'!$C$2:$C$1960,0)),"",HYPERLINK("#Acts!A"&amp;INDEX('Compliance Database'!$P$2:$P$1960,MATCH(1037,'Transfer Engine'!$C$2:$C$1960,0)),"Go to Act"))</f>
        <v/>
      </c>
    </row>
    <row r="1047" ht="158" customHeight="1">
      <c r="A1047" s="8">
        <f>IF(ISNA(MATCH(1038,'Transfer Engine'!$C$2:$C$1960,0)),"",INDEX('Compliance Database'!$A$2:$A$1960,MATCH(1038,'Transfer Engine'!$C$2:$C$1960,0)))</f>
        <v/>
      </c>
      <c r="B1047" s="8">
        <f>IF(ISNA(MATCH(1038,'Transfer Engine'!$C$2:$C$1960,0)),"",INDEX('Compliance Database'!$B$2:$B$1960,MATCH(1038,'Transfer Engine'!$C$2:$C$1960,0)))</f>
        <v/>
      </c>
      <c r="C1047" s="8">
        <f>IF(ISNA(MATCH(1038,'Transfer Engine'!$C$2:$C$1960,0)),"",INDEX('Compliance Database'!$C$2:$C$1960,MATCH(1038,'Transfer Engine'!$C$2:$C$1960,0)))</f>
        <v/>
      </c>
      <c r="D1047" s="9">
        <f>IF(ISNA(MATCH(1038,'Transfer Engine'!$C$2:$C$1960,0)),"",INDEX('Compliance Database'!$D$2:$D$1960,MATCH(1038,'Transfer Engine'!$C$2:$C$1960,0)))</f>
        <v/>
      </c>
      <c r="E1047" s="8">
        <f>IF(ISNA(MATCH(1038,'Transfer Engine'!$C$2:$C$1960,0)),"",INDEX('Compliance Database'!$E$2:$E$1960,MATCH(1038,'Transfer Engine'!$C$2:$C$1960,0)))</f>
        <v/>
      </c>
      <c r="F1047" s="8">
        <f>IF(ISNA(MATCH(1038,'Transfer Engine'!$C$2:$C$1960,0)),"",INDEX('Compliance Database'!$F$2:$F$1960,MATCH(1038,'Transfer Engine'!$C$2:$C$1960,0)))</f>
        <v/>
      </c>
      <c r="G1047" s="8">
        <f>IF(ISNA(MATCH(1038,'Transfer Engine'!$C$2:$C$1960,0)),"",INDEX('Compliance Database'!$G$2:$G$1960,MATCH(1038,'Transfer Engine'!$C$2:$C$1960,0)))</f>
        <v/>
      </c>
      <c r="H1047" s="9">
        <f>IF(ISNA(MATCH(1038,'Transfer Engine'!$C$2:$C$1960,0)),"",INDEX('Compliance Database'!$H$2:$H$1960,MATCH(1038,'Transfer Engine'!$C$2:$C$1960,0)))</f>
        <v/>
      </c>
      <c r="I1047" s="9">
        <f>IF(ISNA(MATCH(1038,'Transfer Engine'!$C$2:$C$1960,0)),"",INDEX('Compliance Database'!$I$2:$I$1960,MATCH(1038,'Transfer Engine'!$C$2:$C$1960,0)))</f>
        <v/>
      </c>
      <c r="J1047" s="8">
        <f>IF(ISNA(MATCH(1038,'Transfer Engine'!$C$2:$C$1960,0)),"",INDEX('Compliance Database'!$J$2:$J$1960,MATCH(1038,'Transfer Engine'!$C$2:$C$1960,0)))</f>
        <v/>
      </c>
      <c r="K1047" s="9">
        <f>IF(ISNA(MATCH(1038,'Transfer Engine'!$C$2:$C$1960,0)),"",INDEX('Compliance Database'!$K$2:$K$1960,MATCH(1038,'Transfer Engine'!$C$2:$C$1960,0)))</f>
        <v/>
      </c>
      <c r="L1047" s="9">
        <f>IF(ISNA(MATCH(1038,'Transfer Engine'!$C$2:$C$1960,0)),"",INDEX('Compliance Database'!$L$2:$L$1960,MATCH(1038,'Transfer Engine'!$C$2:$C$1960,0)))</f>
        <v/>
      </c>
      <c r="M1047" s="9">
        <f>IF(ISNA(MATCH(1038,'Transfer Engine'!$C$2:$C$1960,0)),"",INDEX('Compliance Database'!$M$2:$M$1960,MATCH(1038,'Transfer Engine'!$C$2:$C$1960,0)))</f>
        <v/>
      </c>
      <c r="N1047" s="9">
        <f>IF(ISNA(MATCH(1038,'Transfer Engine'!$C$2:$C$1960,0)),"",INDEX('Compliance Database'!$N$2:$N$1960,MATCH(1038,'Transfer Engine'!$C$2:$C$1960,0)))</f>
        <v/>
      </c>
      <c r="O1047" s="9">
        <f>IF(ISNA(MATCH(1038,'Transfer Engine'!$C$2:$C$1960,0)),"",INDEX('Compliance Database'!$O$2:$O$1960,MATCH(1038,'Transfer Engine'!$C$2:$C$1960,0)))</f>
        <v/>
      </c>
      <c r="P1047" s="8">
        <f>IF(ISNA(MATCH(1038,'Transfer Engine'!$C$2:$C$1960,0)),"",HYPERLINK("#Acts!A"&amp;INDEX('Compliance Database'!$P$2:$P$1960,MATCH(1038,'Transfer Engine'!$C$2:$C$1960,0)),"Go to Act"))</f>
        <v/>
      </c>
    </row>
    <row r="1048" ht="158" customHeight="1">
      <c r="A1048" s="8">
        <f>IF(ISNA(MATCH(1039,'Transfer Engine'!$C$2:$C$1960,0)),"",INDEX('Compliance Database'!$A$2:$A$1960,MATCH(1039,'Transfer Engine'!$C$2:$C$1960,0)))</f>
        <v/>
      </c>
      <c r="B1048" s="8">
        <f>IF(ISNA(MATCH(1039,'Transfer Engine'!$C$2:$C$1960,0)),"",INDEX('Compliance Database'!$B$2:$B$1960,MATCH(1039,'Transfer Engine'!$C$2:$C$1960,0)))</f>
        <v/>
      </c>
      <c r="C1048" s="8">
        <f>IF(ISNA(MATCH(1039,'Transfer Engine'!$C$2:$C$1960,0)),"",INDEX('Compliance Database'!$C$2:$C$1960,MATCH(1039,'Transfer Engine'!$C$2:$C$1960,0)))</f>
        <v/>
      </c>
      <c r="D1048" s="9">
        <f>IF(ISNA(MATCH(1039,'Transfer Engine'!$C$2:$C$1960,0)),"",INDEX('Compliance Database'!$D$2:$D$1960,MATCH(1039,'Transfer Engine'!$C$2:$C$1960,0)))</f>
        <v/>
      </c>
      <c r="E1048" s="8">
        <f>IF(ISNA(MATCH(1039,'Transfer Engine'!$C$2:$C$1960,0)),"",INDEX('Compliance Database'!$E$2:$E$1960,MATCH(1039,'Transfer Engine'!$C$2:$C$1960,0)))</f>
        <v/>
      </c>
      <c r="F1048" s="8">
        <f>IF(ISNA(MATCH(1039,'Transfer Engine'!$C$2:$C$1960,0)),"",INDEX('Compliance Database'!$F$2:$F$1960,MATCH(1039,'Transfer Engine'!$C$2:$C$1960,0)))</f>
        <v/>
      </c>
      <c r="G1048" s="8">
        <f>IF(ISNA(MATCH(1039,'Transfer Engine'!$C$2:$C$1960,0)),"",INDEX('Compliance Database'!$G$2:$G$1960,MATCH(1039,'Transfer Engine'!$C$2:$C$1960,0)))</f>
        <v/>
      </c>
      <c r="H1048" s="9">
        <f>IF(ISNA(MATCH(1039,'Transfer Engine'!$C$2:$C$1960,0)),"",INDEX('Compliance Database'!$H$2:$H$1960,MATCH(1039,'Transfer Engine'!$C$2:$C$1960,0)))</f>
        <v/>
      </c>
      <c r="I1048" s="9">
        <f>IF(ISNA(MATCH(1039,'Transfer Engine'!$C$2:$C$1960,0)),"",INDEX('Compliance Database'!$I$2:$I$1960,MATCH(1039,'Transfer Engine'!$C$2:$C$1960,0)))</f>
        <v/>
      </c>
      <c r="J1048" s="8">
        <f>IF(ISNA(MATCH(1039,'Transfer Engine'!$C$2:$C$1960,0)),"",INDEX('Compliance Database'!$J$2:$J$1960,MATCH(1039,'Transfer Engine'!$C$2:$C$1960,0)))</f>
        <v/>
      </c>
      <c r="K1048" s="9">
        <f>IF(ISNA(MATCH(1039,'Transfer Engine'!$C$2:$C$1960,0)),"",INDEX('Compliance Database'!$K$2:$K$1960,MATCH(1039,'Transfer Engine'!$C$2:$C$1960,0)))</f>
        <v/>
      </c>
      <c r="L1048" s="9">
        <f>IF(ISNA(MATCH(1039,'Transfer Engine'!$C$2:$C$1960,0)),"",INDEX('Compliance Database'!$L$2:$L$1960,MATCH(1039,'Transfer Engine'!$C$2:$C$1960,0)))</f>
        <v/>
      </c>
      <c r="M1048" s="9">
        <f>IF(ISNA(MATCH(1039,'Transfer Engine'!$C$2:$C$1960,0)),"",INDEX('Compliance Database'!$M$2:$M$1960,MATCH(1039,'Transfer Engine'!$C$2:$C$1960,0)))</f>
        <v/>
      </c>
      <c r="N1048" s="9">
        <f>IF(ISNA(MATCH(1039,'Transfer Engine'!$C$2:$C$1960,0)),"",INDEX('Compliance Database'!$N$2:$N$1960,MATCH(1039,'Transfer Engine'!$C$2:$C$1960,0)))</f>
        <v/>
      </c>
      <c r="O1048" s="9">
        <f>IF(ISNA(MATCH(1039,'Transfer Engine'!$C$2:$C$1960,0)),"",INDEX('Compliance Database'!$O$2:$O$1960,MATCH(1039,'Transfer Engine'!$C$2:$C$1960,0)))</f>
        <v/>
      </c>
      <c r="P1048" s="8">
        <f>IF(ISNA(MATCH(1039,'Transfer Engine'!$C$2:$C$1960,0)),"",HYPERLINK("#Acts!A"&amp;INDEX('Compliance Database'!$P$2:$P$1960,MATCH(1039,'Transfer Engine'!$C$2:$C$1960,0)),"Go to Act"))</f>
        <v/>
      </c>
    </row>
    <row r="1049" ht="158" customHeight="1">
      <c r="A1049" s="8">
        <f>IF(ISNA(MATCH(1040,'Transfer Engine'!$C$2:$C$1960,0)),"",INDEX('Compliance Database'!$A$2:$A$1960,MATCH(1040,'Transfer Engine'!$C$2:$C$1960,0)))</f>
        <v/>
      </c>
      <c r="B1049" s="8">
        <f>IF(ISNA(MATCH(1040,'Transfer Engine'!$C$2:$C$1960,0)),"",INDEX('Compliance Database'!$B$2:$B$1960,MATCH(1040,'Transfer Engine'!$C$2:$C$1960,0)))</f>
        <v/>
      </c>
      <c r="C1049" s="8">
        <f>IF(ISNA(MATCH(1040,'Transfer Engine'!$C$2:$C$1960,0)),"",INDEX('Compliance Database'!$C$2:$C$1960,MATCH(1040,'Transfer Engine'!$C$2:$C$1960,0)))</f>
        <v/>
      </c>
      <c r="D1049" s="9">
        <f>IF(ISNA(MATCH(1040,'Transfer Engine'!$C$2:$C$1960,0)),"",INDEX('Compliance Database'!$D$2:$D$1960,MATCH(1040,'Transfer Engine'!$C$2:$C$1960,0)))</f>
        <v/>
      </c>
      <c r="E1049" s="8">
        <f>IF(ISNA(MATCH(1040,'Transfer Engine'!$C$2:$C$1960,0)),"",INDEX('Compliance Database'!$E$2:$E$1960,MATCH(1040,'Transfer Engine'!$C$2:$C$1960,0)))</f>
        <v/>
      </c>
      <c r="F1049" s="8">
        <f>IF(ISNA(MATCH(1040,'Transfer Engine'!$C$2:$C$1960,0)),"",INDEX('Compliance Database'!$F$2:$F$1960,MATCH(1040,'Transfer Engine'!$C$2:$C$1960,0)))</f>
        <v/>
      </c>
      <c r="G1049" s="8">
        <f>IF(ISNA(MATCH(1040,'Transfer Engine'!$C$2:$C$1960,0)),"",INDEX('Compliance Database'!$G$2:$G$1960,MATCH(1040,'Transfer Engine'!$C$2:$C$1960,0)))</f>
        <v/>
      </c>
      <c r="H1049" s="9">
        <f>IF(ISNA(MATCH(1040,'Transfer Engine'!$C$2:$C$1960,0)),"",INDEX('Compliance Database'!$H$2:$H$1960,MATCH(1040,'Transfer Engine'!$C$2:$C$1960,0)))</f>
        <v/>
      </c>
      <c r="I1049" s="9">
        <f>IF(ISNA(MATCH(1040,'Transfer Engine'!$C$2:$C$1960,0)),"",INDEX('Compliance Database'!$I$2:$I$1960,MATCH(1040,'Transfer Engine'!$C$2:$C$1960,0)))</f>
        <v/>
      </c>
      <c r="J1049" s="8">
        <f>IF(ISNA(MATCH(1040,'Transfer Engine'!$C$2:$C$1960,0)),"",INDEX('Compliance Database'!$J$2:$J$1960,MATCH(1040,'Transfer Engine'!$C$2:$C$1960,0)))</f>
        <v/>
      </c>
      <c r="K1049" s="9">
        <f>IF(ISNA(MATCH(1040,'Transfer Engine'!$C$2:$C$1960,0)),"",INDEX('Compliance Database'!$K$2:$K$1960,MATCH(1040,'Transfer Engine'!$C$2:$C$1960,0)))</f>
        <v/>
      </c>
      <c r="L1049" s="9">
        <f>IF(ISNA(MATCH(1040,'Transfer Engine'!$C$2:$C$1960,0)),"",INDEX('Compliance Database'!$L$2:$L$1960,MATCH(1040,'Transfer Engine'!$C$2:$C$1960,0)))</f>
        <v/>
      </c>
      <c r="M1049" s="9">
        <f>IF(ISNA(MATCH(1040,'Transfer Engine'!$C$2:$C$1960,0)),"",INDEX('Compliance Database'!$M$2:$M$1960,MATCH(1040,'Transfer Engine'!$C$2:$C$1960,0)))</f>
        <v/>
      </c>
      <c r="N1049" s="9">
        <f>IF(ISNA(MATCH(1040,'Transfer Engine'!$C$2:$C$1960,0)),"",INDEX('Compliance Database'!$N$2:$N$1960,MATCH(1040,'Transfer Engine'!$C$2:$C$1960,0)))</f>
        <v/>
      </c>
      <c r="O1049" s="9">
        <f>IF(ISNA(MATCH(1040,'Transfer Engine'!$C$2:$C$1960,0)),"",INDEX('Compliance Database'!$O$2:$O$1960,MATCH(1040,'Transfer Engine'!$C$2:$C$1960,0)))</f>
        <v/>
      </c>
      <c r="P1049" s="8">
        <f>IF(ISNA(MATCH(1040,'Transfer Engine'!$C$2:$C$1960,0)),"",HYPERLINK("#Acts!A"&amp;INDEX('Compliance Database'!$P$2:$P$1960,MATCH(1040,'Transfer Engine'!$C$2:$C$1960,0)),"Go to Act"))</f>
        <v/>
      </c>
    </row>
    <row r="1050" ht="158" customHeight="1">
      <c r="A1050" s="8">
        <f>IF(ISNA(MATCH(1041,'Transfer Engine'!$C$2:$C$1960,0)),"",INDEX('Compliance Database'!$A$2:$A$1960,MATCH(1041,'Transfer Engine'!$C$2:$C$1960,0)))</f>
        <v/>
      </c>
      <c r="B1050" s="8">
        <f>IF(ISNA(MATCH(1041,'Transfer Engine'!$C$2:$C$1960,0)),"",INDEX('Compliance Database'!$B$2:$B$1960,MATCH(1041,'Transfer Engine'!$C$2:$C$1960,0)))</f>
        <v/>
      </c>
      <c r="C1050" s="8">
        <f>IF(ISNA(MATCH(1041,'Transfer Engine'!$C$2:$C$1960,0)),"",INDEX('Compliance Database'!$C$2:$C$1960,MATCH(1041,'Transfer Engine'!$C$2:$C$1960,0)))</f>
        <v/>
      </c>
      <c r="D1050" s="9">
        <f>IF(ISNA(MATCH(1041,'Transfer Engine'!$C$2:$C$1960,0)),"",INDEX('Compliance Database'!$D$2:$D$1960,MATCH(1041,'Transfer Engine'!$C$2:$C$1960,0)))</f>
        <v/>
      </c>
      <c r="E1050" s="8">
        <f>IF(ISNA(MATCH(1041,'Transfer Engine'!$C$2:$C$1960,0)),"",INDEX('Compliance Database'!$E$2:$E$1960,MATCH(1041,'Transfer Engine'!$C$2:$C$1960,0)))</f>
        <v/>
      </c>
      <c r="F1050" s="8">
        <f>IF(ISNA(MATCH(1041,'Transfer Engine'!$C$2:$C$1960,0)),"",INDEX('Compliance Database'!$F$2:$F$1960,MATCH(1041,'Transfer Engine'!$C$2:$C$1960,0)))</f>
        <v/>
      </c>
      <c r="G1050" s="8">
        <f>IF(ISNA(MATCH(1041,'Transfer Engine'!$C$2:$C$1960,0)),"",INDEX('Compliance Database'!$G$2:$G$1960,MATCH(1041,'Transfer Engine'!$C$2:$C$1960,0)))</f>
        <v/>
      </c>
      <c r="H1050" s="9">
        <f>IF(ISNA(MATCH(1041,'Transfer Engine'!$C$2:$C$1960,0)),"",INDEX('Compliance Database'!$H$2:$H$1960,MATCH(1041,'Transfer Engine'!$C$2:$C$1960,0)))</f>
        <v/>
      </c>
      <c r="I1050" s="9">
        <f>IF(ISNA(MATCH(1041,'Transfer Engine'!$C$2:$C$1960,0)),"",INDEX('Compliance Database'!$I$2:$I$1960,MATCH(1041,'Transfer Engine'!$C$2:$C$1960,0)))</f>
        <v/>
      </c>
      <c r="J1050" s="8">
        <f>IF(ISNA(MATCH(1041,'Transfer Engine'!$C$2:$C$1960,0)),"",INDEX('Compliance Database'!$J$2:$J$1960,MATCH(1041,'Transfer Engine'!$C$2:$C$1960,0)))</f>
        <v/>
      </c>
      <c r="K1050" s="9">
        <f>IF(ISNA(MATCH(1041,'Transfer Engine'!$C$2:$C$1960,0)),"",INDEX('Compliance Database'!$K$2:$K$1960,MATCH(1041,'Transfer Engine'!$C$2:$C$1960,0)))</f>
        <v/>
      </c>
      <c r="L1050" s="9">
        <f>IF(ISNA(MATCH(1041,'Transfer Engine'!$C$2:$C$1960,0)),"",INDEX('Compliance Database'!$L$2:$L$1960,MATCH(1041,'Transfer Engine'!$C$2:$C$1960,0)))</f>
        <v/>
      </c>
      <c r="M1050" s="9">
        <f>IF(ISNA(MATCH(1041,'Transfer Engine'!$C$2:$C$1960,0)),"",INDEX('Compliance Database'!$M$2:$M$1960,MATCH(1041,'Transfer Engine'!$C$2:$C$1960,0)))</f>
        <v/>
      </c>
      <c r="N1050" s="9">
        <f>IF(ISNA(MATCH(1041,'Transfer Engine'!$C$2:$C$1960,0)),"",INDEX('Compliance Database'!$N$2:$N$1960,MATCH(1041,'Transfer Engine'!$C$2:$C$1960,0)))</f>
        <v/>
      </c>
      <c r="O1050" s="9">
        <f>IF(ISNA(MATCH(1041,'Transfer Engine'!$C$2:$C$1960,0)),"",INDEX('Compliance Database'!$O$2:$O$1960,MATCH(1041,'Transfer Engine'!$C$2:$C$1960,0)))</f>
        <v/>
      </c>
      <c r="P1050" s="8">
        <f>IF(ISNA(MATCH(1041,'Transfer Engine'!$C$2:$C$1960,0)),"",HYPERLINK("#Acts!A"&amp;INDEX('Compliance Database'!$P$2:$P$1960,MATCH(1041,'Transfer Engine'!$C$2:$C$1960,0)),"Go to Act"))</f>
        <v/>
      </c>
    </row>
    <row r="1051" ht="158" customHeight="1">
      <c r="A1051" s="8">
        <f>IF(ISNA(MATCH(1042,'Transfer Engine'!$C$2:$C$1960,0)),"",INDEX('Compliance Database'!$A$2:$A$1960,MATCH(1042,'Transfer Engine'!$C$2:$C$1960,0)))</f>
        <v/>
      </c>
      <c r="B1051" s="8">
        <f>IF(ISNA(MATCH(1042,'Transfer Engine'!$C$2:$C$1960,0)),"",INDEX('Compliance Database'!$B$2:$B$1960,MATCH(1042,'Transfer Engine'!$C$2:$C$1960,0)))</f>
        <v/>
      </c>
      <c r="C1051" s="8">
        <f>IF(ISNA(MATCH(1042,'Transfer Engine'!$C$2:$C$1960,0)),"",INDEX('Compliance Database'!$C$2:$C$1960,MATCH(1042,'Transfer Engine'!$C$2:$C$1960,0)))</f>
        <v/>
      </c>
      <c r="D1051" s="9">
        <f>IF(ISNA(MATCH(1042,'Transfer Engine'!$C$2:$C$1960,0)),"",INDEX('Compliance Database'!$D$2:$D$1960,MATCH(1042,'Transfer Engine'!$C$2:$C$1960,0)))</f>
        <v/>
      </c>
      <c r="E1051" s="8">
        <f>IF(ISNA(MATCH(1042,'Transfer Engine'!$C$2:$C$1960,0)),"",INDEX('Compliance Database'!$E$2:$E$1960,MATCH(1042,'Transfer Engine'!$C$2:$C$1960,0)))</f>
        <v/>
      </c>
      <c r="F1051" s="8">
        <f>IF(ISNA(MATCH(1042,'Transfer Engine'!$C$2:$C$1960,0)),"",INDEX('Compliance Database'!$F$2:$F$1960,MATCH(1042,'Transfer Engine'!$C$2:$C$1960,0)))</f>
        <v/>
      </c>
      <c r="G1051" s="8">
        <f>IF(ISNA(MATCH(1042,'Transfer Engine'!$C$2:$C$1960,0)),"",INDEX('Compliance Database'!$G$2:$G$1960,MATCH(1042,'Transfer Engine'!$C$2:$C$1960,0)))</f>
        <v/>
      </c>
      <c r="H1051" s="9">
        <f>IF(ISNA(MATCH(1042,'Transfer Engine'!$C$2:$C$1960,0)),"",INDEX('Compliance Database'!$H$2:$H$1960,MATCH(1042,'Transfer Engine'!$C$2:$C$1960,0)))</f>
        <v/>
      </c>
      <c r="I1051" s="9">
        <f>IF(ISNA(MATCH(1042,'Transfer Engine'!$C$2:$C$1960,0)),"",INDEX('Compliance Database'!$I$2:$I$1960,MATCH(1042,'Transfer Engine'!$C$2:$C$1960,0)))</f>
        <v/>
      </c>
      <c r="J1051" s="8">
        <f>IF(ISNA(MATCH(1042,'Transfer Engine'!$C$2:$C$1960,0)),"",INDEX('Compliance Database'!$J$2:$J$1960,MATCH(1042,'Transfer Engine'!$C$2:$C$1960,0)))</f>
        <v/>
      </c>
      <c r="K1051" s="9">
        <f>IF(ISNA(MATCH(1042,'Transfer Engine'!$C$2:$C$1960,0)),"",INDEX('Compliance Database'!$K$2:$K$1960,MATCH(1042,'Transfer Engine'!$C$2:$C$1960,0)))</f>
        <v/>
      </c>
      <c r="L1051" s="9">
        <f>IF(ISNA(MATCH(1042,'Transfer Engine'!$C$2:$C$1960,0)),"",INDEX('Compliance Database'!$L$2:$L$1960,MATCH(1042,'Transfer Engine'!$C$2:$C$1960,0)))</f>
        <v/>
      </c>
      <c r="M1051" s="9">
        <f>IF(ISNA(MATCH(1042,'Transfer Engine'!$C$2:$C$1960,0)),"",INDEX('Compliance Database'!$M$2:$M$1960,MATCH(1042,'Transfer Engine'!$C$2:$C$1960,0)))</f>
        <v/>
      </c>
      <c r="N1051" s="9">
        <f>IF(ISNA(MATCH(1042,'Transfer Engine'!$C$2:$C$1960,0)),"",INDEX('Compliance Database'!$N$2:$N$1960,MATCH(1042,'Transfer Engine'!$C$2:$C$1960,0)))</f>
        <v/>
      </c>
      <c r="O1051" s="9">
        <f>IF(ISNA(MATCH(1042,'Transfer Engine'!$C$2:$C$1960,0)),"",INDEX('Compliance Database'!$O$2:$O$1960,MATCH(1042,'Transfer Engine'!$C$2:$C$1960,0)))</f>
        <v/>
      </c>
      <c r="P1051" s="8">
        <f>IF(ISNA(MATCH(1042,'Transfer Engine'!$C$2:$C$1960,0)),"",HYPERLINK("#Acts!A"&amp;INDEX('Compliance Database'!$P$2:$P$1960,MATCH(1042,'Transfer Engine'!$C$2:$C$1960,0)),"Go to Act"))</f>
        <v/>
      </c>
    </row>
    <row r="1052" ht="158" customHeight="1">
      <c r="A1052" s="8">
        <f>IF(ISNA(MATCH(1043,'Transfer Engine'!$C$2:$C$1960,0)),"",INDEX('Compliance Database'!$A$2:$A$1960,MATCH(1043,'Transfer Engine'!$C$2:$C$1960,0)))</f>
        <v/>
      </c>
      <c r="B1052" s="8">
        <f>IF(ISNA(MATCH(1043,'Transfer Engine'!$C$2:$C$1960,0)),"",INDEX('Compliance Database'!$B$2:$B$1960,MATCH(1043,'Transfer Engine'!$C$2:$C$1960,0)))</f>
        <v/>
      </c>
      <c r="C1052" s="8">
        <f>IF(ISNA(MATCH(1043,'Transfer Engine'!$C$2:$C$1960,0)),"",INDEX('Compliance Database'!$C$2:$C$1960,MATCH(1043,'Transfer Engine'!$C$2:$C$1960,0)))</f>
        <v/>
      </c>
      <c r="D1052" s="9">
        <f>IF(ISNA(MATCH(1043,'Transfer Engine'!$C$2:$C$1960,0)),"",INDEX('Compliance Database'!$D$2:$D$1960,MATCH(1043,'Transfer Engine'!$C$2:$C$1960,0)))</f>
        <v/>
      </c>
      <c r="E1052" s="8">
        <f>IF(ISNA(MATCH(1043,'Transfer Engine'!$C$2:$C$1960,0)),"",INDEX('Compliance Database'!$E$2:$E$1960,MATCH(1043,'Transfer Engine'!$C$2:$C$1960,0)))</f>
        <v/>
      </c>
      <c r="F1052" s="8">
        <f>IF(ISNA(MATCH(1043,'Transfer Engine'!$C$2:$C$1960,0)),"",INDEX('Compliance Database'!$F$2:$F$1960,MATCH(1043,'Transfer Engine'!$C$2:$C$1960,0)))</f>
        <v/>
      </c>
      <c r="G1052" s="8">
        <f>IF(ISNA(MATCH(1043,'Transfer Engine'!$C$2:$C$1960,0)),"",INDEX('Compliance Database'!$G$2:$G$1960,MATCH(1043,'Transfer Engine'!$C$2:$C$1960,0)))</f>
        <v/>
      </c>
      <c r="H1052" s="9">
        <f>IF(ISNA(MATCH(1043,'Transfer Engine'!$C$2:$C$1960,0)),"",INDEX('Compliance Database'!$H$2:$H$1960,MATCH(1043,'Transfer Engine'!$C$2:$C$1960,0)))</f>
        <v/>
      </c>
      <c r="I1052" s="9">
        <f>IF(ISNA(MATCH(1043,'Transfer Engine'!$C$2:$C$1960,0)),"",INDEX('Compliance Database'!$I$2:$I$1960,MATCH(1043,'Transfer Engine'!$C$2:$C$1960,0)))</f>
        <v/>
      </c>
      <c r="J1052" s="8">
        <f>IF(ISNA(MATCH(1043,'Transfer Engine'!$C$2:$C$1960,0)),"",INDEX('Compliance Database'!$J$2:$J$1960,MATCH(1043,'Transfer Engine'!$C$2:$C$1960,0)))</f>
        <v/>
      </c>
      <c r="K1052" s="9">
        <f>IF(ISNA(MATCH(1043,'Transfer Engine'!$C$2:$C$1960,0)),"",INDEX('Compliance Database'!$K$2:$K$1960,MATCH(1043,'Transfer Engine'!$C$2:$C$1960,0)))</f>
        <v/>
      </c>
      <c r="L1052" s="9">
        <f>IF(ISNA(MATCH(1043,'Transfer Engine'!$C$2:$C$1960,0)),"",INDEX('Compliance Database'!$L$2:$L$1960,MATCH(1043,'Transfer Engine'!$C$2:$C$1960,0)))</f>
        <v/>
      </c>
      <c r="M1052" s="9">
        <f>IF(ISNA(MATCH(1043,'Transfer Engine'!$C$2:$C$1960,0)),"",INDEX('Compliance Database'!$M$2:$M$1960,MATCH(1043,'Transfer Engine'!$C$2:$C$1960,0)))</f>
        <v/>
      </c>
      <c r="N1052" s="9">
        <f>IF(ISNA(MATCH(1043,'Transfer Engine'!$C$2:$C$1960,0)),"",INDEX('Compliance Database'!$N$2:$N$1960,MATCH(1043,'Transfer Engine'!$C$2:$C$1960,0)))</f>
        <v/>
      </c>
      <c r="O1052" s="9">
        <f>IF(ISNA(MATCH(1043,'Transfer Engine'!$C$2:$C$1960,0)),"",INDEX('Compliance Database'!$O$2:$O$1960,MATCH(1043,'Transfer Engine'!$C$2:$C$1960,0)))</f>
        <v/>
      </c>
      <c r="P1052" s="8">
        <f>IF(ISNA(MATCH(1043,'Transfer Engine'!$C$2:$C$1960,0)),"",HYPERLINK("#Acts!A"&amp;INDEX('Compliance Database'!$P$2:$P$1960,MATCH(1043,'Transfer Engine'!$C$2:$C$1960,0)),"Go to Act"))</f>
        <v/>
      </c>
    </row>
    <row r="1053" ht="158" customHeight="1">
      <c r="A1053" s="8">
        <f>IF(ISNA(MATCH(1044,'Transfer Engine'!$C$2:$C$1960,0)),"",INDEX('Compliance Database'!$A$2:$A$1960,MATCH(1044,'Transfer Engine'!$C$2:$C$1960,0)))</f>
        <v/>
      </c>
      <c r="B1053" s="8">
        <f>IF(ISNA(MATCH(1044,'Transfer Engine'!$C$2:$C$1960,0)),"",INDEX('Compliance Database'!$B$2:$B$1960,MATCH(1044,'Transfer Engine'!$C$2:$C$1960,0)))</f>
        <v/>
      </c>
      <c r="C1053" s="8">
        <f>IF(ISNA(MATCH(1044,'Transfer Engine'!$C$2:$C$1960,0)),"",INDEX('Compliance Database'!$C$2:$C$1960,MATCH(1044,'Transfer Engine'!$C$2:$C$1960,0)))</f>
        <v/>
      </c>
      <c r="D1053" s="9">
        <f>IF(ISNA(MATCH(1044,'Transfer Engine'!$C$2:$C$1960,0)),"",INDEX('Compliance Database'!$D$2:$D$1960,MATCH(1044,'Transfer Engine'!$C$2:$C$1960,0)))</f>
        <v/>
      </c>
      <c r="E1053" s="8">
        <f>IF(ISNA(MATCH(1044,'Transfer Engine'!$C$2:$C$1960,0)),"",INDEX('Compliance Database'!$E$2:$E$1960,MATCH(1044,'Transfer Engine'!$C$2:$C$1960,0)))</f>
        <v/>
      </c>
      <c r="F1053" s="8">
        <f>IF(ISNA(MATCH(1044,'Transfer Engine'!$C$2:$C$1960,0)),"",INDEX('Compliance Database'!$F$2:$F$1960,MATCH(1044,'Transfer Engine'!$C$2:$C$1960,0)))</f>
        <v/>
      </c>
      <c r="G1053" s="8">
        <f>IF(ISNA(MATCH(1044,'Transfer Engine'!$C$2:$C$1960,0)),"",INDEX('Compliance Database'!$G$2:$G$1960,MATCH(1044,'Transfer Engine'!$C$2:$C$1960,0)))</f>
        <v/>
      </c>
      <c r="H1053" s="9">
        <f>IF(ISNA(MATCH(1044,'Transfer Engine'!$C$2:$C$1960,0)),"",INDEX('Compliance Database'!$H$2:$H$1960,MATCH(1044,'Transfer Engine'!$C$2:$C$1960,0)))</f>
        <v/>
      </c>
      <c r="I1053" s="9">
        <f>IF(ISNA(MATCH(1044,'Transfer Engine'!$C$2:$C$1960,0)),"",INDEX('Compliance Database'!$I$2:$I$1960,MATCH(1044,'Transfer Engine'!$C$2:$C$1960,0)))</f>
        <v/>
      </c>
      <c r="J1053" s="8">
        <f>IF(ISNA(MATCH(1044,'Transfer Engine'!$C$2:$C$1960,0)),"",INDEX('Compliance Database'!$J$2:$J$1960,MATCH(1044,'Transfer Engine'!$C$2:$C$1960,0)))</f>
        <v/>
      </c>
      <c r="K1053" s="9">
        <f>IF(ISNA(MATCH(1044,'Transfer Engine'!$C$2:$C$1960,0)),"",INDEX('Compliance Database'!$K$2:$K$1960,MATCH(1044,'Transfer Engine'!$C$2:$C$1960,0)))</f>
        <v/>
      </c>
      <c r="L1053" s="9">
        <f>IF(ISNA(MATCH(1044,'Transfer Engine'!$C$2:$C$1960,0)),"",INDEX('Compliance Database'!$L$2:$L$1960,MATCH(1044,'Transfer Engine'!$C$2:$C$1960,0)))</f>
        <v/>
      </c>
      <c r="M1053" s="9">
        <f>IF(ISNA(MATCH(1044,'Transfer Engine'!$C$2:$C$1960,0)),"",INDEX('Compliance Database'!$M$2:$M$1960,MATCH(1044,'Transfer Engine'!$C$2:$C$1960,0)))</f>
        <v/>
      </c>
      <c r="N1053" s="9">
        <f>IF(ISNA(MATCH(1044,'Transfer Engine'!$C$2:$C$1960,0)),"",INDEX('Compliance Database'!$N$2:$N$1960,MATCH(1044,'Transfer Engine'!$C$2:$C$1960,0)))</f>
        <v/>
      </c>
      <c r="O1053" s="9">
        <f>IF(ISNA(MATCH(1044,'Transfer Engine'!$C$2:$C$1960,0)),"",INDEX('Compliance Database'!$O$2:$O$1960,MATCH(1044,'Transfer Engine'!$C$2:$C$1960,0)))</f>
        <v/>
      </c>
      <c r="P1053" s="8">
        <f>IF(ISNA(MATCH(1044,'Transfer Engine'!$C$2:$C$1960,0)),"",HYPERLINK("#Acts!A"&amp;INDEX('Compliance Database'!$P$2:$P$1960,MATCH(1044,'Transfer Engine'!$C$2:$C$1960,0)),"Go to Act"))</f>
        <v/>
      </c>
    </row>
    <row r="1054" ht="158" customHeight="1">
      <c r="A1054" s="8">
        <f>IF(ISNA(MATCH(1045,'Transfer Engine'!$C$2:$C$1960,0)),"",INDEX('Compliance Database'!$A$2:$A$1960,MATCH(1045,'Transfer Engine'!$C$2:$C$1960,0)))</f>
        <v/>
      </c>
      <c r="B1054" s="8">
        <f>IF(ISNA(MATCH(1045,'Transfer Engine'!$C$2:$C$1960,0)),"",INDEX('Compliance Database'!$B$2:$B$1960,MATCH(1045,'Transfer Engine'!$C$2:$C$1960,0)))</f>
        <v/>
      </c>
      <c r="C1054" s="8">
        <f>IF(ISNA(MATCH(1045,'Transfer Engine'!$C$2:$C$1960,0)),"",INDEX('Compliance Database'!$C$2:$C$1960,MATCH(1045,'Transfer Engine'!$C$2:$C$1960,0)))</f>
        <v/>
      </c>
      <c r="D1054" s="9">
        <f>IF(ISNA(MATCH(1045,'Transfer Engine'!$C$2:$C$1960,0)),"",INDEX('Compliance Database'!$D$2:$D$1960,MATCH(1045,'Transfer Engine'!$C$2:$C$1960,0)))</f>
        <v/>
      </c>
      <c r="E1054" s="8">
        <f>IF(ISNA(MATCH(1045,'Transfer Engine'!$C$2:$C$1960,0)),"",INDEX('Compliance Database'!$E$2:$E$1960,MATCH(1045,'Transfer Engine'!$C$2:$C$1960,0)))</f>
        <v/>
      </c>
      <c r="F1054" s="8">
        <f>IF(ISNA(MATCH(1045,'Transfer Engine'!$C$2:$C$1960,0)),"",INDEX('Compliance Database'!$F$2:$F$1960,MATCH(1045,'Transfer Engine'!$C$2:$C$1960,0)))</f>
        <v/>
      </c>
      <c r="G1054" s="8">
        <f>IF(ISNA(MATCH(1045,'Transfer Engine'!$C$2:$C$1960,0)),"",INDEX('Compliance Database'!$G$2:$G$1960,MATCH(1045,'Transfer Engine'!$C$2:$C$1960,0)))</f>
        <v/>
      </c>
      <c r="H1054" s="9">
        <f>IF(ISNA(MATCH(1045,'Transfer Engine'!$C$2:$C$1960,0)),"",INDEX('Compliance Database'!$H$2:$H$1960,MATCH(1045,'Transfer Engine'!$C$2:$C$1960,0)))</f>
        <v/>
      </c>
      <c r="I1054" s="9">
        <f>IF(ISNA(MATCH(1045,'Transfer Engine'!$C$2:$C$1960,0)),"",INDEX('Compliance Database'!$I$2:$I$1960,MATCH(1045,'Transfer Engine'!$C$2:$C$1960,0)))</f>
        <v/>
      </c>
      <c r="J1054" s="8">
        <f>IF(ISNA(MATCH(1045,'Transfer Engine'!$C$2:$C$1960,0)),"",INDEX('Compliance Database'!$J$2:$J$1960,MATCH(1045,'Transfer Engine'!$C$2:$C$1960,0)))</f>
        <v/>
      </c>
      <c r="K1054" s="9">
        <f>IF(ISNA(MATCH(1045,'Transfer Engine'!$C$2:$C$1960,0)),"",INDEX('Compliance Database'!$K$2:$K$1960,MATCH(1045,'Transfer Engine'!$C$2:$C$1960,0)))</f>
        <v/>
      </c>
      <c r="L1054" s="9">
        <f>IF(ISNA(MATCH(1045,'Transfer Engine'!$C$2:$C$1960,0)),"",INDEX('Compliance Database'!$L$2:$L$1960,MATCH(1045,'Transfer Engine'!$C$2:$C$1960,0)))</f>
        <v/>
      </c>
      <c r="M1054" s="9">
        <f>IF(ISNA(MATCH(1045,'Transfer Engine'!$C$2:$C$1960,0)),"",INDEX('Compliance Database'!$M$2:$M$1960,MATCH(1045,'Transfer Engine'!$C$2:$C$1960,0)))</f>
        <v/>
      </c>
      <c r="N1054" s="9">
        <f>IF(ISNA(MATCH(1045,'Transfer Engine'!$C$2:$C$1960,0)),"",INDEX('Compliance Database'!$N$2:$N$1960,MATCH(1045,'Transfer Engine'!$C$2:$C$1960,0)))</f>
        <v/>
      </c>
      <c r="O1054" s="9">
        <f>IF(ISNA(MATCH(1045,'Transfer Engine'!$C$2:$C$1960,0)),"",INDEX('Compliance Database'!$O$2:$O$1960,MATCH(1045,'Transfer Engine'!$C$2:$C$1960,0)))</f>
        <v/>
      </c>
      <c r="P1054" s="8">
        <f>IF(ISNA(MATCH(1045,'Transfer Engine'!$C$2:$C$1960,0)),"",HYPERLINK("#Acts!A"&amp;INDEX('Compliance Database'!$P$2:$P$1960,MATCH(1045,'Transfer Engine'!$C$2:$C$1960,0)),"Go to Act"))</f>
        <v/>
      </c>
    </row>
    <row r="1055" ht="158" customHeight="1">
      <c r="A1055" s="8">
        <f>IF(ISNA(MATCH(1046,'Transfer Engine'!$C$2:$C$1960,0)),"",INDEX('Compliance Database'!$A$2:$A$1960,MATCH(1046,'Transfer Engine'!$C$2:$C$1960,0)))</f>
        <v/>
      </c>
      <c r="B1055" s="8">
        <f>IF(ISNA(MATCH(1046,'Transfer Engine'!$C$2:$C$1960,0)),"",INDEX('Compliance Database'!$B$2:$B$1960,MATCH(1046,'Transfer Engine'!$C$2:$C$1960,0)))</f>
        <v/>
      </c>
      <c r="C1055" s="8">
        <f>IF(ISNA(MATCH(1046,'Transfer Engine'!$C$2:$C$1960,0)),"",INDEX('Compliance Database'!$C$2:$C$1960,MATCH(1046,'Transfer Engine'!$C$2:$C$1960,0)))</f>
        <v/>
      </c>
      <c r="D1055" s="9">
        <f>IF(ISNA(MATCH(1046,'Transfer Engine'!$C$2:$C$1960,0)),"",INDEX('Compliance Database'!$D$2:$D$1960,MATCH(1046,'Transfer Engine'!$C$2:$C$1960,0)))</f>
        <v/>
      </c>
      <c r="E1055" s="8">
        <f>IF(ISNA(MATCH(1046,'Transfer Engine'!$C$2:$C$1960,0)),"",INDEX('Compliance Database'!$E$2:$E$1960,MATCH(1046,'Transfer Engine'!$C$2:$C$1960,0)))</f>
        <v/>
      </c>
      <c r="F1055" s="8">
        <f>IF(ISNA(MATCH(1046,'Transfer Engine'!$C$2:$C$1960,0)),"",INDEX('Compliance Database'!$F$2:$F$1960,MATCH(1046,'Transfer Engine'!$C$2:$C$1960,0)))</f>
        <v/>
      </c>
      <c r="G1055" s="8">
        <f>IF(ISNA(MATCH(1046,'Transfer Engine'!$C$2:$C$1960,0)),"",INDEX('Compliance Database'!$G$2:$G$1960,MATCH(1046,'Transfer Engine'!$C$2:$C$1960,0)))</f>
        <v/>
      </c>
      <c r="H1055" s="9">
        <f>IF(ISNA(MATCH(1046,'Transfer Engine'!$C$2:$C$1960,0)),"",INDEX('Compliance Database'!$H$2:$H$1960,MATCH(1046,'Transfer Engine'!$C$2:$C$1960,0)))</f>
        <v/>
      </c>
      <c r="I1055" s="9">
        <f>IF(ISNA(MATCH(1046,'Transfer Engine'!$C$2:$C$1960,0)),"",INDEX('Compliance Database'!$I$2:$I$1960,MATCH(1046,'Transfer Engine'!$C$2:$C$1960,0)))</f>
        <v/>
      </c>
      <c r="J1055" s="8">
        <f>IF(ISNA(MATCH(1046,'Transfer Engine'!$C$2:$C$1960,0)),"",INDEX('Compliance Database'!$J$2:$J$1960,MATCH(1046,'Transfer Engine'!$C$2:$C$1960,0)))</f>
        <v/>
      </c>
      <c r="K1055" s="9">
        <f>IF(ISNA(MATCH(1046,'Transfer Engine'!$C$2:$C$1960,0)),"",INDEX('Compliance Database'!$K$2:$K$1960,MATCH(1046,'Transfer Engine'!$C$2:$C$1960,0)))</f>
        <v/>
      </c>
      <c r="L1055" s="9">
        <f>IF(ISNA(MATCH(1046,'Transfer Engine'!$C$2:$C$1960,0)),"",INDEX('Compliance Database'!$L$2:$L$1960,MATCH(1046,'Transfer Engine'!$C$2:$C$1960,0)))</f>
        <v/>
      </c>
      <c r="M1055" s="9">
        <f>IF(ISNA(MATCH(1046,'Transfer Engine'!$C$2:$C$1960,0)),"",INDEX('Compliance Database'!$M$2:$M$1960,MATCH(1046,'Transfer Engine'!$C$2:$C$1960,0)))</f>
        <v/>
      </c>
      <c r="N1055" s="9">
        <f>IF(ISNA(MATCH(1046,'Transfer Engine'!$C$2:$C$1960,0)),"",INDEX('Compliance Database'!$N$2:$N$1960,MATCH(1046,'Transfer Engine'!$C$2:$C$1960,0)))</f>
        <v/>
      </c>
      <c r="O1055" s="9">
        <f>IF(ISNA(MATCH(1046,'Transfer Engine'!$C$2:$C$1960,0)),"",INDEX('Compliance Database'!$O$2:$O$1960,MATCH(1046,'Transfer Engine'!$C$2:$C$1960,0)))</f>
        <v/>
      </c>
      <c r="P1055" s="8">
        <f>IF(ISNA(MATCH(1046,'Transfer Engine'!$C$2:$C$1960,0)),"",HYPERLINK("#Acts!A"&amp;INDEX('Compliance Database'!$P$2:$P$1960,MATCH(1046,'Transfer Engine'!$C$2:$C$1960,0)),"Go to Act"))</f>
        <v/>
      </c>
    </row>
    <row r="1056" ht="158" customHeight="1">
      <c r="A1056" s="8">
        <f>IF(ISNA(MATCH(1047,'Transfer Engine'!$C$2:$C$1960,0)),"",INDEX('Compliance Database'!$A$2:$A$1960,MATCH(1047,'Transfer Engine'!$C$2:$C$1960,0)))</f>
        <v/>
      </c>
      <c r="B1056" s="8">
        <f>IF(ISNA(MATCH(1047,'Transfer Engine'!$C$2:$C$1960,0)),"",INDEX('Compliance Database'!$B$2:$B$1960,MATCH(1047,'Transfer Engine'!$C$2:$C$1960,0)))</f>
        <v/>
      </c>
      <c r="C1056" s="8">
        <f>IF(ISNA(MATCH(1047,'Transfer Engine'!$C$2:$C$1960,0)),"",INDEX('Compliance Database'!$C$2:$C$1960,MATCH(1047,'Transfer Engine'!$C$2:$C$1960,0)))</f>
        <v/>
      </c>
      <c r="D1056" s="9">
        <f>IF(ISNA(MATCH(1047,'Transfer Engine'!$C$2:$C$1960,0)),"",INDEX('Compliance Database'!$D$2:$D$1960,MATCH(1047,'Transfer Engine'!$C$2:$C$1960,0)))</f>
        <v/>
      </c>
      <c r="E1056" s="8">
        <f>IF(ISNA(MATCH(1047,'Transfer Engine'!$C$2:$C$1960,0)),"",INDEX('Compliance Database'!$E$2:$E$1960,MATCH(1047,'Transfer Engine'!$C$2:$C$1960,0)))</f>
        <v/>
      </c>
      <c r="F1056" s="8">
        <f>IF(ISNA(MATCH(1047,'Transfer Engine'!$C$2:$C$1960,0)),"",INDEX('Compliance Database'!$F$2:$F$1960,MATCH(1047,'Transfer Engine'!$C$2:$C$1960,0)))</f>
        <v/>
      </c>
      <c r="G1056" s="8">
        <f>IF(ISNA(MATCH(1047,'Transfer Engine'!$C$2:$C$1960,0)),"",INDEX('Compliance Database'!$G$2:$G$1960,MATCH(1047,'Transfer Engine'!$C$2:$C$1960,0)))</f>
        <v/>
      </c>
      <c r="H1056" s="9">
        <f>IF(ISNA(MATCH(1047,'Transfer Engine'!$C$2:$C$1960,0)),"",INDEX('Compliance Database'!$H$2:$H$1960,MATCH(1047,'Transfer Engine'!$C$2:$C$1960,0)))</f>
        <v/>
      </c>
      <c r="I1056" s="9">
        <f>IF(ISNA(MATCH(1047,'Transfer Engine'!$C$2:$C$1960,0)),"",INDEX('Compliance Database'!$I$2:$I$1960,MATCH(1047,'Transfer Engine'!$C$2:$C$1960,0)))</f>
        <v/>
      </c>
      <c r="J1056" s="8">
        <f>IF(ISNA(MATCH(1047,'Transfer Engine'!$C$2:$C$1960,0)),"",INDEX('Compliance Database'!$J$2:$J$1960,MATCH(1047,'Transfer Engine'!$C$2:$C$1960,0)))</f>
        <v/>
      </c>
      <c r="K1056" s="9">
        <f>IF(ISNA(MATCH(1047,'Transfer Engine'!$C$2:$C$1960,0)),"",INDEX('Compliance Database'!$K$2:$K$1960,MATCH(1047,'Transfer Engine'!$C$2:$C$1960,0)))</f>
        <v/>
      </c>
      <c r="L1056" s="9">
        <f>IF(ISNA(MATCH(1047,'Transfer Engine'!$C$2:$C$1960,0)),"",INDEX('Compliance Database'!$L$2:$L$1960,MATCH(1047,'Transfer Engine'!$C$2:$C$1960,0)))</f>
        <v/>
      </c>
      <c r="M1056" s="9">
        <f>IF(ISNA(MATCH(1047,'Transfer Engine'!$C$2:$C$1960,0)),"",INDEX('Compliance Database'!$M$2:$M$1960,MATCH(1047,'Transfer Engine'!$C$2:$C$1960,0)))</f>
        <v/>
      </c>
      <c r="N1056" s="9">
        <f>IF(ISNA(MATCH(1047,'Transfer Engine'!$C$2:$C$1960,0)),"",INDEX('Compliance Database'!$N$2:$N$1960,MATCH(1047,'Transfer Engine'!$C$2:$C$1960,0)))</f>
        <v/>
      </c>
      <c r="O1056" s="9">
        <f>IF(ISNA(MATCH(1047,'Transfer Engine'!$C$2:$C$1960,0)),"",INDEX('Compliance Database'!$O$2:$O$1960,MATCH(1047,'Transfer Engine'!$C$2:$C$1960,0)))</f>
        <v/>
      </c>
      <c r="P1056" s="8">
        <f>IF(ISNA(MATCH(1047,'Transfer Engine'!$C$2:$C$1960,0)),"",HYPERLINK("#Acts!A"&amp;INDEX('Compliance Database'!$P$2:$P$1960,MATCH(1047,'Transfer Engine'!$C$2:$C$1960,0)),"Go to Act"))</f>
        <v/>
      </c>
    </row>
    <row r="1057" ht="158" customHeight="1">
      <c r="A1057" s="8">
        <f>IF(ISNA(MATCH(1048,'Transfer Engine'!$C$2:$C$1960,0)),"",INDEX('Compliance Database'!$A$2:$A$1960,MATCH(1048,'Transfer Engine'!$C$2:$C$1960,0)))</f>
        <v/>
      </c>
      <c r="B1057" s="8">
        <f>IF(ISNA(MATCH(1048,'Transfer Engine'!$C$2:$C$1960,0)),"",INDEX('Compliance Database'!$B$2:$B$1960,MATCH(1048,'Transfer Engine'!$C$2:$C$1960,0)))</f>
        <v/>
      </c>
      <c r="C1057" s="8">
        <f>IF(ISNA(MATCH(1048,'Transfer Engine'!$C$2:$C$1960,0)),"",INDEX('Compliance Database'!$C$2:$C$1960,MATCH(1048,'Transfer Engine'!$C$2:$C$1960,0)))</f>
        <v/>
      </c>
      <c r="D1057" s="9">
        <f>IF(ISNA(MATCH(1048,'Transfer Engine'!$C$2:$C$1960,0)),"",INDEX('Compliance Database'!$D$2:$D$1960,MATCH(1048,'Transfer Engine'!$C$2:$C$1960,0)))</f>
        <v/>
      </c>
      <c r="E1057" s="8">
        <f>IF(ISNA(MATCH(1048,'Transfer Engine'!$C$2:$C$1960,0)),"",INDEX('Compliance Database'!$E$2:$E$1960,MATCH(1048,'Transfer Engine'!$C$2:$C$1960,0)))</f>
        <v/>
      </c>
      <c r="F1057" s="8">
        <f>IF(ISNA(MATCH(1048,'Transfer Engine'!$C$2:$C$1960,0)),"",INDEX('Compliance Database'!$F$2:$F$1960,MATCH(1048,'Transfer Engine'!$C$2:$C$1960,0)))</f>
        <v/>
      </c>
      <c r="G1057" s="8">
        <f>IF(ISNA(MATCH(1048,'Transfer Engine'!$C$2:$C$1960,0)),"",INDEX('Compliance Database'!$G$2:$G$1960,MATCH(1048,'Transfer Engine'!$C$2:$C$1960,0)))</f>
        <v/>
      </c>
      <c r="H1057" s="9">
        <f>IF(ISNA(MATCH(1048,'Transfer Engine'!$C$2:$C$1960,0)),"",INDEX('Compliance Database'!$H$2:$H$1960,MATCH(1048,'Transfer Engine'!$C$2:$C$1960,0)))</f>
        <v/>
      </c>
      <c r="I1057" s="9">
        <f>IF(ISNA(MATCH(1048,'Transfer Engine'!$C$2:$C$1960,0)),"",INDEX('Compliance Database'!$I$2:$I$1960,MATCH(1048,'Transfer Engine'!$C$2:$C$1960,0)))</f>
        <v/>
      </c>
      <c r="J1057" s="8">
        <f>IF(ISNA(MATCH(1048,'Transfer Engine'!$C$2:$C$1960,0)),"",INDEX('Compliance Database'!$J$2:$J$1960,MATCH(1048,'Transfer Engine'!$C$2:$C$1960,0)))</f>
        <v/>
      </c>
      <c r="K1057" s="9">
        <f>IF(ISNA(MATCH(1048,'Transfer Engine'!$C$2:$C$1960,0)),"",INDEX('Compliance Database'!$K$2:$K$1960,MATCH(1048,'Transfer Engine'!$C$2:$C$1960,0)))</f>
        <v/>
      </c>
      <c r="L1057" s="9">
        <f>IF(ISNA(MATCH(1048,'Transfer Engine'!$C$2:$C$1960,0)),"",INDEX('Compliance Database'!$L$2:$L$1960,MATCH(1048,'Transfer Engine'!$C$2:$C$1960,0)))</f>
        <v/>
      </c>
      <c r="M1057" s="9">
        <f>IF(ISNA(MATCH(1048,'Transfer Engine'!$C$2:$C$1960,0)),"",INDEX('Compliance Database'!$M$2:$M$1960,MATCH(1048,'Transfer Engine'!$C$2:$C$1960,0)))</f>
        <v/>
      </c>
      <c r="N1057" s="9">
        <f>IF(ISNA(MATCH(1048,'Transfer Engine'!$C$2:$C$1960,0)),"",INDEX('Compliance Database'!$N$2:$N$1960,MATCH(1048,'Transfer Engine'!$C$2:$C$1960,0)))</f>
        <v/>
      </c>
      <c r="O1057" s="9">
        <f>IF(ISNA(MATCH(1048,'Transfer Engine'!$C$2:$C$1960,0)),"",INDEX('Compliance Database'!$O$2:$O$1960,MATCH(1048,'Transfer Engine'!$C$2:$C$1960,0)))</f>
        <v/>
      </c>
      <c r="P1057" s="8">
        <f>IF(ISNA(MATCH(1048,'Transfer Engine'!$C$2:$C$1960,0)),"",HYPERLINK("#Acts!A"&amp;INDEX('Compliance Database'!$P$2:$P$1960,MATCH(1048,'Transfer Engine'!$C$2:$C$1960,0)),"Go to Act"))</f>
        <v/>
      </c>
    </row>
    <row r="1058" ht="158" customHeight="1">
      <c r="A1058" s="8">
        <f>IF(ISNA(MATCH(1049,'Transfer Engine'!$C$2:$C$1960,0)),"",INDEX('Compliance Database'!$A$2:$A$1960,MATCH(1049,'Transfer Engine'!$C$2:$C$1960,0)))</f>
        <v/>
      </c>
      <c r="B1058" s="8">
        <f>IF(ISNA(MATCH(1049,'Transfer Engine'!$C$2:$C$1960,0)),"",INDEX('Compliance Database'!$B$2:$B$1960,MATCH(1049,'Transfer Engine'!$C$2:$C$1960,0)))</f>
        <v/>
      </c>
      <c r="C1058" s="8">
        <f>IF(ISNA(MATCH(1049,'Transfer Engine'!$C$2:$C$1960,0)),"",INDEX('Compliance Database'!$C$2:$C$1960,MATCH(1049,'Transfer Engine'!$C$2:$C$1960,0)))</f>
        <v/>
      </c>
      <c r="D1058" s="9">
        <f>IF(ISNA(MATCH(1049,'Transfer Engine'!$C$2:$C$1960,0)),"",INDEX('Compliance Database'!$D$2:$D$1960,MATCH(1049,'Transfer Engine'!$C$2:$C$1960,0)))</f>
        <v/>
      </c>
      <c r="E1058" s="8">
        <f>IF(ISNA(MATCH(1049,'Transfer Engine'!$C$2:$C$1960,0)),"",INDEX('Compliance Database'!$E$2:$E$1960,MATCH(1049,'Transfer Engine'!$C$2:$C$1960,0)))</f>
        <v/>
      </c>
      <c r="F1058" s="8">
        <f>IF(ISNA(MATCH(1049,'Transfer Engine'!$C$2:$C$1960,0)),"",INDEX('Compliance Database'!$F$2:$F$1960,MATCH(1049,'Transfer Engine'!$C$2:$C$1960,0)))</f>
        <v/>
      </c>
      <c r="G1058" s="8">
        <f>IF(ISNA(MATCH(1049,'Transfer Engine'!$C$2:$C$1960,0)),"",INDEX('Compliance Database'!$G$2:$G$1960,MATCH(1049,'Transfer Engine'!$C$2:$C$1960,0)))</f>
        <v/>
      </c>
      <c r="H1058" s="9">
        <f>IF(ISNA(MATCH(1049,'Transfer Engine'!$C$2:$C$1960,0)),"",INDEX('Compliance Database'!$H$2:$H$1960,MATCH(1049,'Transfer Engine'!$C$2:$C$1960,0)))</f>
        <v/>
      </c>
      <c r="I1058" s="9">
        <f>IF(ISNA(MATCH(1049,'Transfer Engine'!$C$2:$C$1960,0)),"",INDEX('Compliance Database'!$I$2:$I$1960,MATCH(1049,'Transfer Engine'!$C$2:$C$1960,0)))</f>
        <v/>
      </c>
      <c r="J1058" s="8">
        <f>IF(ISNA(MATCH(1049,'Transfer Engine'!$C$2:$C$1960,0)),"",INDEX('Compliance Database'!$J$2:$J$1960,MATCH(1049,'Transfer Engine'!$C$2:$C$1960,0)))</f>
        <v/>
      </c>
      <c r="K1058" s="9">
        <f>IF(ISNA(MATCH(1049,'Transfer Engine'!$C$2:$C$1960,0)),"",INDEX('Compliance Database'!$K$2:$K$1960,MATCH(1049,'Transfer Engine'!$C$2:$C$1960,0)))</f>
        <v/>
      </c>
      <c r="L1058" s="9">
        <f>IF(ISNA(MATCH(1049,'Transfer Engine'!$C$2:$C$1960,0)),"",INDEX('Compliance Database'!$L$2:$L$1960,MATCH(1049,'Transfer Engine'!$C$2:$C$1960,0)))</f>
        <v/>
      </c>
      <c r="M1058" s="9">
        <f>IF(ISNA(MATCH(1049,'Transfer Engine'!$C$2:$C$1960,0)),"",INDEX('Compliance Database'!$M$2:$M$1960,MATCH(1049,'Transfer Engine'!$C$2:$C$1960,0)))</f>
        <v/>
      </c>
      <c r="N1058" s="9">
        <f>IF(ISNA(MATCH(1049,'Transfer Engine'!$C$2:$C$1960,0)),"",INDEX('Compliance Database'!$N$2:$N$1960,MATCH(1049,'Transfer Engine'!$C$2:$C$1960,0)))</f>
        <v/>
      </c>
      <c r="O1058" s="9">
        <f>IF(ISNA(MATCH(1049,'Transfer Engine'!$C$2:$C$1960,0)),"",INDEX('Compliance Database'!$O$2:$O$1960,MATCH(1049,'Transfer Engine'!$C$2:$C$1960,0)))</f>
        <v/>
      </c>
      <c r="P1058" s="8">
        <f>IF(ISNA(MATCH(1049,'Transfer Engine'!$C$2:$C$1960,0)),"",HYPERLINK("#Acts!A"&amp;INDEX('Compliance Database'!$P$2:$P$1960,MATCH(1049,'Transfer Engine'!$C$2:$C$1960,0)),"Go to Act"))</f>
        <v/>
      </c>
    </row>
    <row r="1059" ht="158" customHeight="1">
      <c r="A1059" s="8">
        <f>IF(ISNA(MATCH(1050,'Transfer Engine'!$C$2:$C$1960,0)),"",INDEX('Compliance Database'!$A$2:$A$1960,MATCH(1050,'Transfer Engine'!$C$2:$C$1960,0)))</f>
        <v/>
      </c>
      <c r="B1059" s="8">
        <f>IF(ISNA(MATCH(1050,'Transfer Engine'!$C$2:$C$1960,0)),"",INDEX('Compliance Database'!$B$2:$B$1960,MATCH(1050,'Transfer Engine'!$C$2:$C$1960,0)))</f>
        <v/>
      </c>
      <c r="C1059" s="8">
        <f>IF(ISNA(MATCH(1050,'Transfer Engine'!$C$2:$C$1960,0)),"",INDEX('Compliance Database'!$C$2:$C$1960,MATCH(1050,'Transfer Engine'!$C$2:$C$1960,0)))</f>
        <v/>
      </c>
      <c r="D1059" s="9">
        <f>IF(ISNA(MATCH(1050,'Transfer Engine'!$C$2:$C$1960,0)),"",INDEX('Compliance Database'!$D$2:$D$1960,MATCH(1050,'Transfer Engine'!$C$2:$C$1960,0)))</f>
        <v/>
      </c>
      <c r="E1059" s="8">
        <f>IF(ISNA(MATCH(1050,'Transfer Engine'!$C$2:$C$1960,0)),"",INDEX('Compliance Database'!$E$2:$E$1960,MATCH(1050,'Transfer Engine'!$C$2:$C$1960,0)))</f>
        <v/>
      </c>
      <c r="F1059" s="8">
        <f>IF(ISNA(MATCH(1050,'Transfer Engine'!$C$2:$C$1960,0)),"",INDEX('Compliance Database'!$F$2:$F$1960,MATCH(1050,'Transfer Engine'!$C$2:$C$1960,0)))</f>
        <v/>
      </c>
      <c r="G1059" s="8">
        <f>IF(ISNA(MATCH(1050,'Transfer Engine'!$C$2:$C$1960,0)),"",INDEX('Compliance Database'!$G$2:$G$1960,MATCH(1050,'Transfer Engine'!$C$2:$C$1960,0)))</f>
        <v/>
      </c>
      <c r="H1059" s="9">
        <f>IF(ISNA(MATCH(1050,'Transfer Engine'!$C$2:$C$1960,0)),"",INDEX('Compliance Database'!$H$2:$H$1960,MATCH(1050,'Transfer Engine'!$C$2:$C$1960,0)))</f>
        <v/>
      </c>
      <c r="I1059" s="9">
        <f>IF(ISNA(MATCH(1050,'Transfer Engine'!$C$2:$C$1960,0)),"",INDEX('Compliance Database'!$I$2:$I$1960,MATCH(1050,'Transfer Engine'!$C$2:$C$1960,0)))</f>
        <v/>
      </c>
      <c r="J1059" s="8">
        <f>IF(ISNA(MATCH(1050,'Transfer Engine'!$C$2:$C$1960,0)),"",INDEX('Compliance Database'!$J$2:$J$1960,MATCH(1050,'Transfer Engine'!$C$2:$C$1960,0)))</f>
        <v/>
      </c>
      <c r="K1059" s="9">
        <f>IF(ISNA(MATCH(1050,'Transfer Engine'!$C$2:$C$1960,0)),"",INDEX('Compliance Database'!$K$2:$K$1960,MATCH(1050,'Transfer Engine'!$C$2:$C$1960,0)))</f>
        <v/>
      </c>
      <c r="L1059" s="9">
        <f>IF(ISNA(MATCH(1050,'Transfer Engine'!$C$2:$C$1960,0)),"",INDEX('Compliance Database'!$L$2:$L$1960,MATCH(1050,'Transfer Engine'!$C$2:$C$1960,0)))</f>
        <v/>
      </c>
      <c r="M1059" s="9">
        <f>IF(ISNA(MATCH(1050,'Transfer Engine'!$C$2:$C$1960,0)),"",INDEX('Compliance Database'!$M$2:$M$1960,MATCH(1050,'Transfer Engine'!$C$2:$C$1960,0)))</f>
        <v/>
      </c>
      <c r="N1059" s="9">
        <f>IF(ISNA(MATCH(1050,'Transfer Engine'!$C$2:$C$1960,0)),"",INDEX('Compliance Database'!$N$2:$N$1960,MATCH(1050,'Transfer Engine'!$C$2:$C$1960,0)))</f>
        <v/>
      </c>
      <c r="O1059" s="9">
        <f>IF(ISNA(MATCH(1050,'Transfer Engine'!$C$2:$C$1960,0)),"",INDEX('Compliance Database'!$O$2:$O$1960,MATCH(1050,'Transfer Engine'!$C$2:$C$1960,0)))</f>
        <v/>
      </c>
      <c r="P1059" s="8">
        <f>IF(ISNA(MATCH(1050,'Transfer Engine'!$C$2:$C$1960,0)),"",HYPERLINK("#Acts!A"&amp;INDEX('Compliance Database'!$P$2:$P$1960,MATCH(1050,'Transfer Engine'!$C$2:$C$1960,0)),"Go to Act"))</f>
        <v/>
      </c>
    </row>
    <row r="1060" ht="158" customHeight="1">
      <c r="A1060" s="8">
        <f>IF(ISNA(MATCH(1051,'Transfer Engine'!$C$2:$C$1960,0)),"",INDEX('Compliance Database'!$A$2:$A$1960,MATCH(1051,'Transfer Engine'!$C$2:$C$1960,0)))</f>
        <v/>
      </c>
      <c r="B1060" s="8">
        <f>IF(ISNA(MATCH(1051,'Transfer Engine'!$C$2:$C$1960,0)),"",INDEX('Compliance Database'!$B$2:$B$1960,MATCH(1051,'Transfer Engine'!$C$2:$C$1960,0)))</f>
        <v/>
      </c>
      <c r="C1060" s="8">
        <f>IF(ISNA(MATCH(1051,'Transfer Engine'!$C$2:$C$1960,0)),"",INDEX('Compliance Database'!$C$2:$C$1960,MATCH(1051,'Transfer Engine'!$C$2:$C$1960,0)))</f>
        <v/>
      </c>
      <c r="D1060" s="9">
        <f>IF(ISNA(MATCH(1051,'Transfer Engine'!$C$2:$C$1960,0)),"",INDEX('Compliance Database'!$D$2:$D$1960,MATCH(1051,'Transfer Engine'!$C$2:$C$1960,0)))</f>
        <v/>
      </c>
      <c r="E1060" s="8">
        <f>IF(ISNA(MATCH(1051,'Transfer Engine'!$C$2:$C$1960,0)),"",INDEX('Compliance Database'!$E$2:$E$1960,MATCH(1051,'Transfer Engine'!$C$2:$C$1960,0)))</f>
        <v/>
      </c>
      <c r="F1060" s="8">
        <f>IF(ISNA(MATCH(1051,'Transfer Engine'!$C$2:$C$1960,0)),"",INDEX('Compliance Database'!$F$2:$F$1960,MATCH(1051,'Transfer Engine'!$C$2:$C$1960,0)))</f>
        <v/>
      </c>
      <c r="G1060" s="8">
        <f>IF(ISNA(MATCH(1051,'Transfer Engine'!$C$2:$C$1960,0)),"",INDEX('Compliance Database'!$G$2:$G$1960,MATCH(1051,'Transfer Engine'!$C$2:$C$1960,0)))</f>
        <v/>
      </c>
      <c r="H1060" s="9">
        <f>IF(ISNA(MATCH(1051,'Transfer Engine'!$C$2:$C$1960,0)),"",INDEX('Compliance Database'!$H$2:$H$1960,MATCH(1051,'Transfer Engine'!$C$2:$C$1960,0)))</f>
        <v/>
      </c>
      <c r="I1060" s="9">
        <f>IF(ISNA(MATCH(1051,'Transfer Engine'!$C$2:$C$1960,0)),"",INDEX('Compliance Database'!$I$2:$I$1960,MATCH(1051,'Transfer Engine'!$C$2:$C$1960,0)))</f>
        <v/>
      </c>
      <c r="J1060" s="8">
        <f>IF(ISNA(MATCH(1051,'Transfer Engine'!$C$2:$C$1960,0)),"",INDEX('Compliance Database'!$J$2:$J$1960,MATCH(1051,'Transfer Engine'!$C$2:$C$1960,0)))</f>
        <v/>
      </c>
      <c r="K1060" s="9">
        <f>IF(ISNA(MATCH(1051,'Transfer Engine'!$C$2:$C$1960,0)),"",INDEX('Compliance Database'!$K$2:$K$1960,MATCH(1051,'Transfer Engine'!$C$2:$C$1960,0)))</f>
        <v/>
      </c>
      <c r="L1060" s="9">
        <f>IF(ISNA(MATCH(1051,'Transfer Engine'!$C$2:$C$1960,0)),"",INDEX('Compliance Database'!$L$2:$L$1960,MATCH(1051,'Transfer Engine'!$C$2:$C$1960,0)))</f>
        <v/>
      </c>
      <c r="M1060" s="9">
        <f>IF(ISNA(MATCH(1051,'Transfer Engine'!$C$2:$C$1960,0)),"",INDEX('Compliance Database'!$M$2:$M$1960,MATCH(1051,'Transfer Engine'!$C$2:$C$1960,0)))</f>
        <v/>
      </c>
      <c r="N1060" s="9">
        <f>IF(ISNA(MATCH(1051,'Transfer Engine'!$C$2:$C$1960,0)),"",INDEX('Compliance Database'!$N$2:$N$1960,MATCH(1051,'Transfer Engine'!$C$2:$C$1960,0)))</f>
        <v/>
      </c>
      <c r="O1060" s="9">
        <f>IF(ISNA(MATCH(1051,'Transfer Engine'!$C$2:$C$1960,0)),"",INDEX('Compliance Database'!$O$2:$O$1960,MATCH(1051,'Transfer Engine'!$C$2:$C$1960,0)))</f>
        <v/>
      </c>
      <c r="P1060" s="8">
        <f>IF(ISNA(MATCH(1051,'Transfer Engine'!$C$2:$C$1960,0)),"",HYPERLINK("#Acts!A"&amp;INDEX('Compliance Database'!$P$2:$P$1960,MATCH(1051,'Transfer Engine'!$C$2:$C$1960,0)),"Go to Act"))</f>
        <v/>
      </c>
    </row>
    <row r="1061" ht="158" customHeight="1">
      <c r="A1061" s="8">
        <f>IF(ISNA(MATCH(1052,'Transfer Engine'!$C$2:$C$1960,0)),"",INDEX('Compliance Database'!$A$2:$A$1960,MATCH(1052,'Transfer Engine'!$C$2:$C$1960,0)))</f>
        <v/>
      </c>
      <c r="B1061" s="8">
        <f>IF(ISNA(MATCH(1052,'Transfer Engine'!$C$2:$C$1960,0)),"",INDEX('Compliance Database'!$B$2:$B$1960,MATCH(1052,'Transfer Engine'!$C$2:$C$1960,0)))</f>
        <v/>
      </c>
      <c r="C1061" s="8">
        <f>IF(ISNA(MATCH(1052,'Transfer Engine'!$C$2:$C$1960,0)),"",INDEX('Compliance Database'!$C$2:$C$1960,MATCH(1052,'Transfer Engine'!$C$2:$C$1960,0)))</f>
        <v/>
      </c>
      <c r="D1061" s="9">
        <f>IF(ISNA(MATCH(1052,'Transfer Engine'!$C$2:$C$1960,0)),"",INDEX('Compliance Database'!$D$2:$D$1960,MATCH(1052,'Transfer Engine'!$C$2:$C$1960,0)))</f>
        <v/>
      </c>
      <c r="E1061" s="8">
        <f>IF(ISNA(MATCH(1052,'Transfer Engine'!$C$2:$C$1960,0)),"",INDEX('Compliance Database'!$E$2:$E$1960,MATCH(1052,'Transfer Engine'!$C$2:$C$1960,0)))</f>
        <v/>
      </c>
      <c r="F1061" s="8">
        <f>IF(ISNA(MATCH(1052,'Transfer Engine'!$C$2:$C$1960,0)),"",INDEX('Compliance Database'!$F$2:$F$1960,MATCH(1052,'Transfer Engine'!$C$2:$C$1960,0)))</f>
        <v/>
      </c>
      <c r="G1061" s="8">
        <f>IF(ISNA(MATCH(1052,'Transfer Engine'!$C$2:$C$1960,0)),"",INDEX('Compliance Database'!$G$2:$G$1960,MATCH(1052,'Transfer Engine'!$C$2:$C$1960,0)))</f>
        <v/>
      </c>
      <c r="H1061" s="9">
        <f>IF(ISNA(MATCH(1052,'Transfer Engine'!$C$2:$C$1960,0)),"",INDEX('Compliance Database'!$H$2:$H$1960,MATCH(1052,'Transfer Engine'!$C$2:$C$1960,0)))</f>
        <v/>
      </c>
      <c r="I1061" s="9">
        <f>IF(ISNA(MATCH(1052,'Transfer Engine'!$C$2:$C$1960,0)),"",INDEX('Compliance Database'!$I$2:$I$1960,MATCH(1052,'Transfer Engine'!$C$2:$C$1960,0)))</f>
        <v/>
      </c>
      <c r="J1061" s="8">
        <f>IF(ISNA(MATCH(1052,'Transfer Engine'!$C$2:$C$1960,0)),"",INDEX('Compliance Database'!$J$2:$J$1960,MATCH(1052,'Transfer Engine'!$C$2:$C$1960,0)))</f>
        <v/>
      </c>
      <c r="K1061" s="9">
        <f>IF(ISNA(MATCH(1052,'Transfer Engine'!$C$2:$C$1960,0)),"",INDEX('Compliance Database'!$K$2:$K$1960,MATCH(1052,'Transfer Engine'!$C$2:$C$1960,0)))</f>
        <v/>
      </c>
      <c r="L1061" s="9">
        <f>IF(ISNA(MATCH(1052,'Transfer Engine'!$C$2:$C$1960,0)),"",INDEX('Compliance Database'!$L$2:$L$1960,MATCH(1052,'Transfer Engine'!$C$2:$C$1960,0)))</f>
        <v/>
      </c>
      <c r="M1061" s="9">
        <f>IF(ISNA(MATCH(1052,'Transfer Engine'!$C$2:$C$1960,0)),"",INDEX('Compliance Database'!$M$2:$M$1960,MATCH(1052,'Transfer Engine'!$C$2:$C$1960,0)))</f>
        <v/>
      </c>
      <c r="N1061" s="9">
        <f>IF(ISNA(MATCH(1052,'Transfer Engine'!$C$2:$C$1960,0)),"",INDEX('Compliance Database'!$N$2:$N$1960,MATCH(1052,'Transfer Engine'!$C$2:$C$1960,0)))</f>
        <v/>
      </c>
      <c r="O1061" s="9">
        <f>IF(ISNA(MATCH(1052,'Transfer Engine'!$C$2:$C$1960,0)),"",INDEX('Compliance Database'!$O$2:$O$1960,MATCH(1052,'Transfer Engine'!$C$2:$C$1960,0)))</f>
        <v/>
      </c>
      <c r="P1061" s="8">
        <f>IF(ISNA(MATCH(1052,'Transfer Engine'!$C$2:$C$1960,0)),"",HYPERLINK("#Acts!A"&amp;INDEX('Compliance Database'!$P$2:$P$1960,MATCH(1052,'Transfer Engine'!$C$2:$C$1960,0)),"Go to Act"))</f>
        <v/>
      </c>
    </row>
    <row r="1062" ht="158" customHeight="1">
      <c r="A1062" s="8">
        <f>IF(ISNA(MATCH(1053,'Transfer Engine'!$C$2:$C$1960,0)),"",INDEX('Compliance Database'!$A$2:$A$1960,MATCH(1053,'Transfer Engine'!$C$2:$C$1960,0)))</f>
        <v/>
      </c>
      <c r="B1062" s="8">
        <f>IF(ISNA(MATCH(1053,'Transfer Engine'!$C$2:$C$1960,0)),"",INDEX('Compliance Database'!$B$2:$B$1960,MATCH(1053,'Transfer Engine'!$C$2:$C$1960,0)))</f>
        <v/>
      </c>
      <c r="C1062" s="8">
        <f>IF(ISNA(MATCH(1053,'Transfer Engine'!$C$2:$C$1960,0)),"",INDEX('Compliance Database'!$C$2:$C$1960,MATCH(1053,'Transfer Engine'!$C$2:$C$1960,0)))</f>
        <v/>
      </c>
      <c r="D1062" s="9">
        <f>IF(ISNA(MATCH(1053,'Transfer Engine'!$C$2:$C$1960,0)),"",INDEX('Compliance Database'!$D$2:$D$1960,MATCH(1053,'Transfer Engine'!$C$2:$C$1960,0)))</f>
        <v/>
      </c>
      <c r="E1062" s="8">
        <f>IF(ISNA(MATCH(1053,'Transfer Engine'!$C$2:$C$1960,0)),"",INDEX('Compliance Database'!$E$2:$E$1960,MATCH(1053,'Transfer Engine'!$C$2:$C$1960,0)))</f>
        <v/>
      </c>
      <c r="F1062" s="8">
        <f>IF(ISNA(MATCH(1053,'Transfer Engine'!$C$2:$C$1960,0)),"",INDEX('Compliance Database'!$F$2:$F$1960,MATCH(1053,'Transfer Engine'!$C$2:$C$1960,0)))</f>
        <v/>
      </c>
      <c r="G1062" s="8">
        <f>IF(ISNA(MATCH(1053,'Transfer Engine'!$C$2:$C$1960,0)),"",INDEX('Compliance Database'!$G$2:$G$1960,MATCH(1053,'Transfer Engine'!$C$2:$C$1960,0)))</f>
        <v/>
      </c>
      <c r="H1062" s="9">
        <f>IF(ISNA(MATCH(1053,'Transfer Engine'!$C$2:$C$1960,0)),"",INDEX('Compliance Database'!$H$2:$H$1960,MATCH(1053,'Transfer Engine'!$C$2:$C$1960,0)))</f>
        <v/>
      </c>
      <c r="I1062" s="9">
        <f>IF(ISNA(MATCH(1053,'Transfer Engine'!$C$2:$C$1960,0)),"",INDEX('Compliance Database'!$I$2:$I$1960,MATCH(1053,'Transfer Engine'!$C$2:$C$1960,0)))</f>
        <v/>
      </c>
      <c r="J1062" s="8">
        <f>IF(ISNA(MATCH(1053,'Transfer Engine'!$C$2:$C$1960,0)),"",INDEX('Compliance Database'!$J$2:$J$1960,MATCH(1053,'Transfer Engine'!$C$2:$C$1960,0)))</f>
        <v/>
      </c>
      <c r="K1062" s="9">
        <f>IF(ISNA(MATCH(1053,'Transfer Engine'!$C$2:$C$1960,0)),"",INDEX('Compliance Database'!$K$2:$K$1960,MATCH(1053,'Transfer Engine'!$C$2:$C$1960,0)))</f>
        <v/>
      </c>
      <c r="L1062" s="9">
        <f>IF(ISNA(MATCH(1053,'Transfer Engine'!$C$2:$C$1960,0)),"",INDEX('Compliance Database'!$L$2:$L$1960,MATCH(1053,'Transfer Engine'!$C$2:$C$1960,0)))</f>
        <v/>
      </c>
      <c r="M1062" s="9">
        <f>IF(ISNA(MATCH(1053,'Transfer Engine'!$C$2:$C$1960,0)),"",INDEX('Compliance Database'!$M$2:$M$1960,MATCH(1053,'Transfer Engine'!$C$2:$C$1960,0)))</f>
        <v/>
      </c>
      <c r="N1062" s="9">
        <f>IF(ISNA(MATCH(1053,'Transfer Engine'!$C$2:$C$1960,0)),"",INDEX('Compliance Database'!$N$2:$N$1960,MATCH(1053,'Transfer Engine'!$C$2:$C$1960,0)))</f>
        <v/>
      </c>
      <c r="O1062" s="9">
        <f>IF(ISNA(MATCH(1053,'Transfer Engine'!$C$2:$C$1960,0)),"",INDEX('Compliance Database'!$O$2:$O$1960,MATCH(1053,'Transfer Engine'!$C$2:$C$1960,0)))</f>
        <v/>
      </c>
      <c r="P1062" s="8">
        <f>IF(ISNA(MATCH(1053,'Transfer Engine'!$C$2:$C$1960,0)),"",HYPERLINK("#Acts!A"&amp;INDEX('Compliance Database'!$P$2:$P$1960,MATCH(1053,'Transfer Engine'!$C$2:$C$1960,0)),"Go to Act"))</f>
        <v/>
      </c>
    </row>
    <row r="1063" ht="158" customHeight="1">
      <c r="A1063" s="8">
        <f>IF(ISNA(MATCH(1054,'Transfer Engine'!$C$2:$C$1960,0)),"",INDEX('Compliance Database'!$A$2:$A$1960,MATCH(1054,'Transfer Engine'!$C$2:$C$1960,0)))</f>
        <v/>
      </c>
      <c r="B1063" s="8">
        <f>IF(ISNA(MATCH(1054,'Transfer Engine'!$C$2:$C$1960,0)),"",INDEX('Compliance Database'!$B$2:$B$1960,MATCH(1054,'Transfer Engine'!$C$2:$C$1960,0)))</f>
        <v/>
      </c>
      <c r="C1063" s="8">
        <f>IF(ISNA(MATCH(1054,'Transfer Engine'!$C$2:$C$1960,0)),"",INDEX('Compliance Database'!$C$2:$C$1960,MATCH(1054,'Transfer Engine'!$C$2:$C$1960,0)))</f>
        <v/>
      </c>
      <c r="D1063" s="9">
        <f>IF(ISNA(MATCH(1054,'Transfer Engine'!$C$2:$C$1960,0)),"",INDEX('Compliance Database'!$D$2:$D$1960,MATCH(1054,'Transfer Engine'!$C$2:$C$1960,0)))</f>
        <v/>
      </c>
      <c r="E1063" s="8">
        <f>IF(ISNA(MATCH(1054,'Transfer Engine'!$C$2:$C$1960,0)),"",INDEX('Compliance Database'!$E$2:$E$1960,MATCH(1054,'Transfer Engine'!$C$2:$C$1960,0)))</f>
        <v/>
      </c>
      <c r="F1063" s="8">
        <f>IF(ISNA(MATCH(1054,'Transfer Engine'!$C$2:$C$1960,0)),"",INDEX('Compliance Database'!$F$2:$F$1960,MATCH(1054,'Transfer Engine'!$C$2:$C$1960,0)))</f>
        <v/>
      </c>
      <c r="G1063" s="8">
        <f>IF(ISNA(MATCH(1054,'Transfer Engine'!$C$2:$C$1960,0)),"",INDEX('Compliance Database'!$G$2:$G$1960,MATCH(1054,'Transfer Engine'!$C$2:$C$1960,0)))</f>
        <v/>
      </c>
      <c r="H1063" s="9">
        <f>IF(ISNA(MATCH(1054,'Transfer Engine'!$C$2:$C$1960,0)),"",INDEX('Compliance Database'!$H$2:$H$1960,MATCH(1054,'Transfer Engine'!$C$2:$C$1960,0)))</f>
        <v/>
      </c>
      <c r="I1063" s="9">
        <f>IF(ISNA(MATCH(1054,'Transfer Engine'!$C$2:$C$1960,0)),"",INDEX('Compliance Database'!$I$2:$I$1960,MATCH(1054,'Transfer Engine'!$C$2:$C$1960,0)))</f>
        <v/>
      </c>
      <c r="J1063" s="8">
        <f>IF(ISNA(MATCH(1054,'Transfer Engine'!$C$2:$C$1960,0)),"",INDEX('Compliance Database'!$J$2:$J$1960,MATCH(1054,'Transfer Engine'!$C$2:$C$1960,0)))</f>
        <v/>
      </c>
      <c r="K1063" s="9">
        <f>IF(ISNA(MATCH(1054,'Transfer Engine'!$C$2:$C$1960,0)),"",INDEX('Compliance Database'!$K$2:$K$1960,MATCH(1054,'Transfer Engine'!$C$2:$C$1960,0)))</f>
        <v/>
      </c>
      <c r="L1063" s="9">
        <f>IF(ISNA(MATCH(1054,'Transfer Engine'!$C$2:$C$1960,0)),"",INDEX('Compliance Database'!$L$2:$L$1960,MATCH(1054,'Transfer Engine'!$C$2:$C$1960,0)))</f>
        <v/>
      </c>
      <c r="M1063" s="9">
        <f>IF(ISNA(MATCH(1054,'Transfer Engine'!$C$2:$C$1960,0)),"",INDEX('Compliance Database'!$M$2:$M$1960,MATCH(1054,'Transfer Engine'!$C$2:$C$1960,0)))</f>
        <v/>
      </c>
      <c r="N1063" s="9">
        <f>IF(ISNA(MATCH(1054,'Transfer Engine'!$C$2:$C$1960,0)),"",INDEX('Compliance Database'!$N$2:$N$1960,MATCH(1054,'Transfer Engine'!$C$2:$C$1960,0)))</f>
        <v/>
      </c>
      <c r="O1063" s="9">
        <f>IF(ISNA(MATCH(1054,'Transfer Engine'!$C$2:$C$1960,0)),"",INDEX('Compliance Database'!$O$2:$O$1960,MATCH(1054,'Transfer Engine'!$C$2:$C$1960,0)))</f>
        <v/>
      </c>
      <c r="P1063" s="8">
        <f>IF(ISNA(MATCH(1054,'Transfer Engine'!$C$2:$C$1960,0)),"",HYPERLINK("#Acts!A"&amp;INDEX('Compliance Database'!$P$2:$P$1960,MATCH(1054,'Transfer Engine'!$C$2:$C$1960,0)),"Go to Act"))</f>
        <v/>
      </c>
    </row>
    <row r="1064" ht="158" customHeight="1">
      <c r="A1064" s="8">
        <f>IF(ISNA(MATCH(1055,'Transfer Engine'!$C$2:$C$1960,0)),"",INDEX('Compliance Database'!$A$2:$A$1960,MATCH(1055,'Transfer Engine'!$C$2:$C$1960,0)))</f>
        <v/>
      </c>
      <c r="B1064" s="8">
        <f>IF(ISNA(MATCH(1055,'Transfer Engine'!$C$2:$C$1960,0)),"",INDEX('Compliance Database'!$B$2:$B$1960,MATCH(1055,'Transfer Engine'!$C$2:$C$1960,0)))</f>
        <v/>
      </c>
      <c r="C1064" s="8">
        <f>IF(ISNA(MATCH(1055,'Transfer Engine'!$C$2:$C$1960,0)),"",INDEX('Compliance Database'!$C$2:$C$1960,MATCH(1055,'Transfer Engine'!$C$2:$C$1960,0)))</f>
        <v/>
      </c>
      <c r="D1064" s="9">
        <f>IF(ISNA(MATCH(1055,'Transfer Engine'!$C$2:$C$1960,0)),"",INDEX('Compliance Database'!$D$2:$D$1960,MATCH(1055,'Transfer Engine'!$C$2:$C$1960,0)))</f>
        <v/>
      </c>
      <c r="E1064" s="8">
        <f>IF(ISNA(MATCH(1055,'Transfer Engine'!$C$2:$C$1960,0)),"",INDEX('Compliance Database'!$E$2:$E$1960,MATCH(1055,'Transfer Engine'!$C$2:$C$1960,0)))</f>
        <v/>
      </c>
      <c r="F1064" s="8">
        <f>IF(ISNA(MATCH(1055,'Transfer Engine'!$C$2:$C$1960,0)),"",INDEX('Compliance Database'!$F$2:$F$1960,MATCH(1055,'Transfer Engine'!$C$2:$C$1960,0)))</f>
        <v/>
      </c>
      <c r="G1064" s="8">
        <f>IF(ISNA(MATCH(1055,'Transfer Engine'!$C$2:$C$1960,0)),"",INDEX('Compliance Database'!$G$2:$G$1960,MATCH(1055,'Transfer Engine'!$C$2:$C$1960,0)))</f>
        <v/>
      </c>
      <c r="H1064" s="9">
        <f>IF(ISNA(MATCH(1055,'Transfer Engine'!$C$2:$C$1960,0)),"",INDEX('Compliance Database'!$H$2:$H$1960,MATCH(1055,'Transfer Engine'!$C$2:$C$1960,0)))</f>
        <v/>
      </c>
      <c r="I1064" s="9">
        <f>IF(ISNA(MATCH(1055,'Transfer Engine'!$C$2:$C$1960,0)),"",INDEX('Compliance Database'!$I$2:$I$1960,MATCH(1055,'Transfer Engine'!$C$2:$C$1960,0)))</f>
        <v/>
      </c>
      <c r="J1064" s="8">
        <f>IF(ISNA(MATCH(1055,'Transfer Engine'!$C$2:$C$1960,0)),"",INDEX('Compliance Database'!$J$2:$J$1960,MATCH(1055,'Transfer Engine'!$C$2:$C$1960,0)))</f>
        <v/>
      </c>
      <c r="K1064" s="9">
        <f>IF(ISNA(MATCH(1055,'Transfer Engine'!$C$2:$C$1960,0)),"",INDEX('Compliance Database'!$K$2:$K$1960,MATCH(1055,'Transfer Engine'!$C$2:$C$1960,0)))</f>
        <v/>
      </c>
      <c r="L1064" s="9">
        <f>IF(ISNA(MATCH(1055,'Transfer Engine'!$C$2:$C$1960,0)),"",INDEX('Compliance Database'!$L$2:$L$1960,MATCH(1055,'Transfer Engine'!$C$2:$C$1960,0)))</f>
        <v/>
      </c>
      <c r="M1064" s="9">
        <f>IF(ISNA(MATCH(1055,'Transfer Engine'!$C$2:$C$1960,0)),"",INDEX('Compliance Database'!$M$2:$M$1960,MATCH(1055,'Transfer Engine'!$C$2:$C$1960,0)))</f>
        <v/>
      </c>
      <c r="N1064" s="9">
        <f>IF(ISNA(MATCH(1055,'Transfer Engine'!$C$2:$C$1960,0)),"",INDEX('Compliance Database'!$N$2:$N$1960,MATCH(1055,'Transfer Engine'!$C$2:$C$1960,0)))</f>
        <v/>
      </c>
      <c r="O1064" s="9">
        <f>IF(ISNA(MATCH(1055,'Transfer Engine'!$C$2:$C$1960,0)),"",INDEX('Compliance Database'!$O$2:$O$1960,MATCH(1055,'Transfer Engine'!$C$2:$C$1960,0)))</f>
        <v/>
      </c>
      <c r="P1064" s="8">
        <f>IF(ISNA(MATCH(1055,'Transfer Engine'!$C$2:$C$1960,0)),"",HYPERLINK("#Acts!A"&amp;INDEX('Compliance Database'!$P$2:$P$1960,MATCH(1055,'Transfer Engine'!$C$2:$C$1960,0)),"Go to Act"))</f>
        <v/>
      </c>
    </row>
    <row r="1065" ht="158" customHeight="1">
      <c r="A1065" s="8">
        <f>IF(ISNA(MATCH(1056,'Transfer Engine'!$C$2:$C$1960,0)),"",INDEX('Compliance Database'!$A$2:$A$1960,MATCH(1056,'Transfer Engine'!$C$2:$C$1960,0)))</f>
        <v/>
      </c>
      <c r="B1065" s="8">
        <f>IF(ISNA(MATCH(1056,'Transfer Engine'!$C$2:$C$1960,0)),"",INDEX('Compliance Database'!$B$2:$B$1960,MATCH(1056,'Transfer Engine'!$C$2:$C$1960,0)))</f>
        <v/>
      </c>
      <c r="C1065" s="8">
        <f>IF(ISNA(MATCH(1056,'Transfer Engine'!$C$2:$C$1960,0)),"",INDEX('Compliance Database'!$C$2:$C$1960,MATCH(1056,'Transfer Engine'!$C$2:$C$1960,0)))</f>
        <v/>
      </c>
      <c r="D1065" s="9">
        <f>IF(ISNA(MATCH(1056,'Transfer Engine'!$C$2:$C$1960,0)),"",INDEX('Compliance Database'!$D$2:$D$1960,MATCH(1056,'Transfer Engine'!$C$2:$C$1960,0)))</f>
        <v/>
      </c>
      <c r="E1065" s="8">
        <f>IF(ISNA(MATCH(1056,'Transfer Engine'!$C$2:$C$1960,0)),"",INDEX('Compliance Database'!$E$2:$E$1960,MATCH(1056,'Transfer Engine'!$C$2:$C$1960,0)))</f>
        <v/>
      </c>
      <c r="F1065" s="8">
        <f>IF(ISNA(MATCH(1056,'Transfer Engine'!$C$2:$C$1960,0)),"",INDEX('Compliance Database'!$F$2:$F$1960,MATCH(1056,'Transfer Engine'!$C$2:$C$1960,0)))</f>
        <v/>
      </c>
      <c r="G1065" s="8">
        <f>IF(ISNA(MATCH(1056,'Transfer Engine'!$C$2:$C$1960,0)),"",INDEX('Compliance Database'!$G$2:$G$1960,MATCH(1056,'Transfer Engine'!$C$2:$C$1960,0)))</f>
        <v/>
      </c>
      <c r="H1065" s="9">
        <f>IF(ISNA(MATCH(1056,'Transfer Engine'!$C$2:$C$1960,0)),"",INDEX('Compliance Database'!$H$2:$H$1960,MATCH(1056,'Transfer Engine'!$C$2:$C$1960,0)))</f>
        <v/>
      </c>
      <c r="I1065" s="9">
        <f>IF(ISNA(MATCH(1056,'Transfer Engine'!$C$2:$C$1960,0)),"",INDEX('Compliance Database'!$I$2:$I$1960,MATCH(1056,'Transfer Engine'!$C$2:$C$1960,0)))</f>
        <v/>
      </c>
      <c r="J1065" s="8">
        <f>IF(ISNA(MATCH(1056,'Transfer Engine'!$C$2:$C$1960,0)),"",INDEX('Compliance Database'!$J$2:$J$1960,MATCH(1056,'Transfer Engine'!$C$2:$C$1960,0)))</f>
        <v/>
      </c>
      <c r="K1065" s="9">
        <f>IF(ISNA(MATCH(1056,'Transfer Engine'!$C$2:$C$1960,0)),"",INDEX('Compliance Database'!$K$2:$K$1960,MATCH(1056,'Transfer Engine'!$C$2:$C$1960,0)))</f>
        <v/>
      </c>
      <c r="L1065" s="9">
        <f>IF(ISNA(MATCH(1056,'Transfer Engine'!$C$2:$C$1960,0)),"",INDEX('Compliance Database'!$L$2:$L$1960,MATCH(1056,'Transfer Engine'!$C$2:$C$1960,0)))</f>
        <v/>
      </c>
      <c r="M1065" s="9">
        <f>IF(ISNA(MATCH(1056,'Transfer Engine'!$C$2:$C$1960,0)),"",INDEX('Compliance Database'!$M$2:$M$1960,MATCH(1056,'Transfer Engine'!$C$2:$C$1960,0)))</f>
        <v/>
      </c>
      <c r="N1065" s="9">
        <f>IF(ISNA(MATCH(1056,'Transfer Engine'!$C$2:$C$1960,0)),"",INDEX('Compliance Database'!$N$2:$N$1960,MATCH(1056,'Transfer Engine'!$C$2:$C$1960,0)))</f>
        <v/>
      </c>
      <c r="O1065" s="9">
        <f>IF(ISNA(MATCH(1056,'Transfer Engine'!$C$2:$C$1960,0)),"",INDEX('Compliance Database'!$O$2:$O$1960,MATCH(1056,'Transfer Engine'!$C$2:$C$1960,0)))</f>
        <v/>
      </c>
      <c r="P1065" s="8">
        <f>IF(ISNA(MATCH(1056,'Transfer Engine'!$C$2:$C$1960,0)),"",HYPERLINK("#Acts!A"&amp;INDEX('Compliance Database'!$P$2:$P$1960,MATCH(1056,'Transfer Engine'!$C$2:$C$1960,0)),"Go to Act"))</f>
        <v/>
      </c>
    </row>
    <row r="1066" ht="158" customHeight="1">
      <c r="A1066" s="8">
        <f>IF(ISNA(MATCH(1057,'Transfer Engine'!$C$2:$C$1960,0)),"",INDEX('Compliance Database'!$A$2:$A$1960,MATCH(1057,'Transfer Engine'!$C$2:$C$1960,0)))</f>
        <v/>
      </c>
      <c r="B1066" s="8">
        <f>IF(ISNA(MATCH(1057,'Transfer Engine'!$C$2:$C$1960,0)),"",INDEX('Compliance Database'!$B$2:$B$1960,MATCH(1057,'Transfer Engine'!$C$2:$C$1960,0)))</f>
        <v/>
      </c>
      <c r="C1066" s="8">
        <f>IF(ISNA(MATCH(1057,'Transfer Engine'!$C$2:$C$1960,0)),"",INDEX('Compliance Database'!$C$2:$C$1960,MATCH(1057,'Transfer Engine'!$C$2:$C$1960,0)))</f>
        <v/>
      </c>
      <c r="D1066" s="9">
        <f>IF(ISNA(MATCH(1057,'Transfer Engine'!$C$2:$C$1960,0)),"",INDEX('Compliance Database'!$D$2:$D$1960,MATCH(1057,'Transfer Engine'!$C$2:$C$1960,0)))</f>
        <v/>
      </c>
      <c r="E1066" s="8">
        <f>IF(ISNA(MATCH(1057,'Transfer Engine'!$C$2:$C$1960,0)),"",INDEX('Compliance Database'!$E$2:$E$1960,MATCH(1057,'Transfer Engine'!$C$2:$C$1960,0)))</f>
        <v/>
      </c>
      <c r="F1066" s="8">
        <f>IF(ISNA(MATCH(1057,'Transfer Engine'!$C$2:$C$1960,0)),"",INDEX('Compliance Database'!$F$2:$F$1960,MATCH(1057,'Transfer Engine'!$C$2:$C$1960,0)))</f>
        <v/>
      </c>
      <c r="G1066" s="8">
        <f>IF(ISNA(MATCH(1057,'Transfer Engine'!$C$2:$C$1960,0)),"",INDEX('Compliance Database'!$G$2:$G$1960,MATCH(1057,'Transfer Engine'!$C$2:$C$1960,0)))</f>
        <v/>
      </c>
      <c r="H1066" s="9">
        <f>IF(ISNA(MATCH(1057,'Transfer Engine'!$C$2:$C$1960,0)),"",INDEX('Compliance Database'!$H$2:$H$1960,MATCH(1057,'Transfer Engine'!$C$2:$C$1960,0)))</f>
        <v/>
      </c>
      <c r="I1066" s="9">
        <f>IF(ISNA(MATCH(1057,'Transfer Engine'!$C$2:$C$1960,0)),"",INDEX('Compliance Database'!$I$2:$I$1960,MATCH(1057,'Transfer Engine'!$C$2:$C$1960,0)))</f>
        <v/>
      </c>
      <c r="J1066" s="8">
        <f>IF(ISNA(MATCH(1057,'Transfer Engine'!$C$2:$C$1960,0)),"",INDEX('Compliance Database'!$J$2:$J$1960,MATCH(1057,'Transfer Engine'!$C$2:$C$1960,0)))</f>
        <v/>
      </c>
      <c r="K1066" s="9">
        <f>IF(ISNA(MATCH(1057,'Transfer Engine'!$C$2:$C$1960,0)),"",INDEX('Compliance Database'!$K$2:$K$1960,MATCH(1057,'Transfer Engine'!$C$2:$C$1960,0)))</f>
        <v/>
      </c>
      <c r="L1066" s="9">
        <f>IF(ISNA(MATCH(1057,'Transfer Engine'!$C$2:$C$1960,0)),"",INDEX('Compliance Database'!$L$2:$L$1960,MATCH(1057,'Transfer Engine'!$C$2:$C$1960,0)))</f>
        <v/>
      </c>
      <c r="M1066" s="9">
        <f>IF(ISNA(MATCH(1057,'Transfer Engine'!$C$2:$C$1960,0)),"",INDEX('Compliance Database'!$M$2:$M$1960,MATCH(1057,'Transfer Engine'!$C$2:$C$1960,0)))</f>
        <v/>
      </c>
      <c r="N1066" s="9">
        <f>IF(ISNA(MATCH(1057,'Transfer Engine'!$C$2:$C$1960,0)),"",INDEX('Compliance Database'!$N$2:$N$1960,MATCH(1057,'Transfer Engine'!$C$2:$C$1960,0)))</f>
        <v/>
      </c>
      <c r="O1066" s="9">
        <f>IF(ISNA(MATCH(1057,'Transfer Engine'!$C$2:$C$1960,0)),"",INDEX('Compliance Database'!$O$2:$O$1960,MATCH(1057,'Transfer Engine'!$C$2:$C$1960,0)))</f>
        <v/>
      </c>
      <c r="P1066" s="8">
        <f>IF(ISNA(MATCH(1057,'Transfer Engine'!$C$2:$C$1960,0)),"",HYPERLINK("#Acts!A"&amp;INDEX('Compliance Database'!$P$2:$P$1960,MATCH(1057,'Transfer Engine'!$C$2:$C$1960,0)),"Go to Act"))</f>
        <v/>
      </c>
    </row>
    <row r="1067" ht="158" customHeight="1">
      <c r="A1067" s="8">
        <f>IF(ISNA(MATCH(1058,'Transfer Engine'!$C$2:$C$1960,0)),"",INDEX('Compliance Database'!$A$2:$A$1960,MATCH(1058,'Transfer Engine'!$C$2:$C$1960,0)))</f>
        <v/>
      </c>
      <c r="B1067" s="8">
        <f>IF(ISNA(MATCH(1058,'Transfer Engine'!$C$2:$C$1960,0)),"",INDEX('Compliance Database'!$B$2:$B$1960,MATCH(1058,'Transfer Engine'!$C$2:$C$1960,0)))</f>
        <v/>
      </c>
      <c r="C1067" s="8">
        <f>IF(ISNA(MATCH(1058,'Transfer Engine'!$C$2:$C$1960,0)),"",INDEX('Compliance Database'!$C$2:$C$1960,MATCH(1058,'Transfer Engine'!$C$2:$C$1960,0)))</f>
        <v/>
      </c>
      <c r="D1067" s="9">
        <f>IF(ISNA(MATCH(1058,'Transfer Engine'!$C$2:$C$1960,0)),"",INDEX('Compliance Database'!$D$2:$D$1960,MATCH(1058,'Transfer Engine'!$C$2:$C$1960,0)))</f>
        <v/>
      </c>
      <c r="E1067" s="8">
        <f>IF(ISNA(MATCH(1058,'Transfer Engine'!$C$2:$C$1960,0)),"",INDEX('Compliance Database'!$E$2:$E$1960,MATCH(1058,'Transfer Engine'!$C$2:$C$1960,0)))</f>
        <v/>
      </c>
      <c r="F1067" s="8">
        <f>IF(ISNA(MATCH(1058,'Transfer Engine'!$C$2:$C$1960,0)),"",INDEX('Compliance Database'!$F$2:$F$1960,MATCH(1058,'Transfer Engine'!$C$2:$C$1960,0)))</f>
        <v/>
      </c>
      <c r="G1067" s="8">
        <f>IF(ISNA(MATCH(1058,'Transfer Engine'!$C$2:$C$1960,0)),"",INDEX('Compliance Database'!$G$2:$G$1960,MATCH(1058,'Transfer Engine'!$C$2:$C$1960,0)))</f>
        <v/>
      </c>
      <c r="H1067" s="9">
        <f>IF(ISNA(MATCH(1058,'Transfer Engine'!$C$2:$C$1960,0)),"",INDEX('Compliance Database'!$H$2:$H$1960,MATCH(1058,'Transfer Engine'!$C$2:$C$1960,0)))</f>
        <v/>
      </c>
      <c r="I1067" s="9">
        <f>IF(ISNA(MATCH(1058,'Transfer Engine'!$C$2:$C$1960,0)),"",INDEX('Compliance Database'!$I$2:$I$1960,MATCH(1058,'Transfer Engine'!$C$2:$C$1960,0)))</f>
        <v/>
      </c>
      <c r="J1067" s="8">
        <f>IF(ISNA(MATCH(1058,'Transfer Engine'!$C$2:$C$1960,0)),"",INDEX('Compliance Database'!$J$2:$J$1960,MATCH(1058,'Transfer Engine'!$C$2:$C$1960,0)))</f>
        <v/>
      </c>
      <c r="K1067" s="9">
        <f>IF(ISNA(MATCH(1058,'Transfer Engine'!$C$2:$C$1960,0)),"",INDEX('Compliance Database'!$K$2:$K$1960,MATCH(1058,'Transfer Engine'!$C$2:$C$1960,0)))</f>
        <v/>
      </c>
      <c r="L1067" s="9">
        <f>IF(ISNA(MATCH(1058,'Transfer Engine'!$C$2:$C$1960,0)),"",INDEX('Compliance Database'!$L$2:$L$1960,MATCH(1058,'Transfer Engine'!$C$2:$C$1960,0)))</f>
        <v/>
      </c>
      <c r="M1067" s="9">
        <f>IF(ISNA(MATCH(1058,'Transfer Engine'!$C$2:$C$1960,0)),"",INDEX('Compliance Database'!$M$2:$M$1960,MATCH(1058,'Transfer Engine'!$C$2:$C$1960,0)))</f>
        <v/>
      </c>
      <c r="N1067" s="9">
        <f>IF(ISNA(MATCH(1058,'Transfer Engine'!$C$2:$C$1960,0)),"",INDEX('Compliance Database'!$N$2:$N$1960,MATCH(1058,'Transfer Engine'!$C$2:$C$1960,0)))</f>
        <v/>
      </c>
      <c r="O1067" s="9">
        <f>IF(ISNA(MATCH(1058,'Transfer Engine'!$C$2:$C$1960,0)),"",INDEX('Compliance Database'!$O$2:$O$1960,MATCH(1058,'Transfer Engine'!$C$2:$C$1960,0)))</f>
        <v/>
      </c>
      <c r="P1067" s="8">
        <f>IF(ISNA(MATCH(1058,'Transfer Engine'!$C$2:$C$1960,0)),"",HYPERLINK("#Acts!A"&amp;INDEX('Compliance Database'!$P$2:$P$1960,MATCH(1058,'Transfer Engine'!$C$2:$C$1960,0)),"Go to Act"))</f>
        <v/>
      </c>
    </row>
    <row r="1068" ht="158" customHeight="1">
      <c r="A1068" s="8">
        <f>IF(ISNA(MATCH(1059,'Transfer Engine'!$C$2:$C$1960,0)),"",INDEX('Compliance Database'!$A$2:$A$1960,MATCH(1059,'Transfer Engine'!$C$2:$C$1960,0)))</f>
        <v/>
      </c>
      <c r="B1068" s="8">
        <f>IF(ISNA(MATCH(1059,'Transfer Engine'!$C$2:$C$1960,0)),"",INDEX('Compliance Database'!$B$2:$B$1960,MATCH(1059,'Transfer Engine'!$C$2:$C$1960,0)))</f>
        <v/>
      </c>
      <c r="C1068" s="8">
        <f>IF(ISNA(MATCH(1059,'Transfer Engine'!$C$2:$C$1960,0)),"",INDEX('Compliance Database'!$C$2:$C$1960,MATCH(1059,'Transfer Engine'!$C$2:$C$1960,0)))</f>
        <v/>
      </c>
      <c r="D1068" s="9">
        <f>IF(ISNA(MATCH(1059,'Transfer Engine'!$C$2:$C$1960,0)),"",INDEX('Compliance Database'!$D$2:$D$1960,MATCH(1059,'Transfer Engine'!$C$2:$C$1960,0)))</f>
        <v/>
      </c>
      <c r="E1068" s="8">
        <f>IF(ISNA(MATCH(1059,'Transfer Engine'!$C$2:$C$1960,0)),"",INDEX('Compliance Database'!$E$2:$E$1960,MATCH(1059,'Transfer Engine'!$C$2:$C$1960,0)))</f>
        <v/>
      </c>
      <c r="F1068" s="8">
        <f>IF(ISNA(MATCH(1059,'Transfer Engine'!$C$2:$C$1960,0)),"",INDEX('Compliance Database'!$F$2:$F$1960,MATCH(1059,'Transfer Engine'!$C$2:$C$1960,0)))</f>
        <v/>
      </c>
      <c r="G1068" s="8">
        <f>IF(ISNA(MATCH(1059,'Transfer Engine'!$C$2:$C$1960,0)),"",INDEX('Compliance Database'!$G$2:$G$1960,MATCH(1059,'Transfer Engine'!$C$2:$C$1960,0)))</f>
        <v/>
      </c>
      <c r="H1068" s="9">
        <f>IF(ISNA(MATCH(1059,'Transfer Engine'!$C$2:$C$1960,0)),"",INDEX('Compliance Database'!$H$2:$H$1960,MATCH(1059,'Transfer Engine'!$C$2:$C$1960,0)))</f>
        <v/>
      </c>
      <c r="I1068" s="9">
        <f>IF(ISNA(MATCH(1059,'Transfer Engine'!$C$2:$C$1960,0)),"",INDEX('Compliance Database'!$I$2:$I$1960,MATCH(1059,'Transfer Engine'!$C$2:$C$1960,0)))</f>
        <v/>
      </c>
      <c r="J1068" s="8">
        <f>IF(ISNA(MATCH(1059,'Transfer Engine'!$C$2:$C$1960,0)),"",INDEX('Compliance Database'!$J$2:$J$1960,MATCH(1059,'Transfer Engine'!$C$2:$C$1960,0)))</f>
        <v/>
      </c>
      <c r="K1068" s="9">
        <f>IF(ISNA(MATCH(1059,'Transfer Engine'!$C$2:$C$1960,0)),"",INDEX('Compliance Database'!$K$2:$K$1960,MATCH(1059,'Transfer Engine'!$C$2:$C$1960,0)))</f>
        <v/>
      </c>
      <c r="L1068" s="9">
        <f>IF(ISNA(MATCH(1059,'Transfer Engine'!$C$2:$C$1960,0)),"",INDEX('Compliance Database'!$L$2:$L$1960,MATCH(1059,'Transfer Engine'!$C$2:$C$1960,0)))</f>
        <v/>
      </c>
      <c r="M1068" s="9">
        <f>IF(ISNA(MATCH(1059,'Transfer Engine'!$C$2:$C$1960,0)),"",INDEX('Compliance Database'!$M$2:$M$1960,MATCH(1059,'Transfer Engine'!$C$2:$C$1960,0)))</f>
        <v/>
      </c>
      <c r="N1068" s="9">
        <f>IF(ISNA(MATCH(1059,'Transfer Engine'!$C$2:$C$1960,0)),"",INDEX('Compliance Database'!$N$2:$N$1960,MATCH(1059,'Transfer Engine'!$C$2:$C$1960,0)))</f>
        <v/>
      </c>
      <c r="O1068" s="9">
        <f>IF(ISNA(MATCH(1059,'Transfer Engine'!$C$2:$C$1960,0)),"",INDEX('Compliance Database'!$O$2:$O$1960,MATCH(1059,'Transfer Engine'!$C$2:$C$1960,0)))</f>
        <v/>
      </c>
      <c r="P1068" s="8">
        <f>IF(ISNA(MATCH(1059,'Transfer Engine'!$C$2:$C$1960,0)),"",HYPERLINK("#Acts!A"&amp;INDEX('Compliance Database'!$P$2:$P$1960,MATCH(1059,'Transfer Engine'!$C$2:$C$1960,0)),"Go to Act"))</f>
        <v/>
      </c>
    </row>
    <row r="1069" ht="158" customHeight="1">
      <c r="A1069" s="8">
        <f>IF(ISNA(MATCH(1060,'Transfer Engine'!$C$2:$C$1960,0)),"",INDEX('Compliance Database'!$A$2:$A$1960,MATCH(1060,'Transfer Engine'!$C$2:$C$1960,0)))</f>
        <v/>
      </c>
      <c r="B1069" s="8">
        <f>IF(ISNA(MATCH(1060,'Transfer Engine'!$C$2:$C$1960,0)),"",INDEX('Compliance Database'!$B$2:$B$1960,MATCH(1060,'Transfer Engine'!$C$2:$C$1960,0)))</f>
        <v/>
      </c>
      <c r="C1069" s="8">
        <f>IF(ISNA(MATCH(1060,'Transfer Engine'!$C$2:$C$1960,0)),"",INDEX('Compliance Database'!$C$2:$C$1960,MATCH(1060,'Transfer Engine'!$C$2:$C$1960,0)))</f>
        <v/>
      </c>
      <c r="D1069" s="9">
        <f>IF(ISNA(MATCH(1060,'Transfer Engine'!$C$2:$C$1960,0)),"",INDEX('Compliance Database'!$D$2:$D$1960,MATCH(1060,'Transfer Engine'!$C$2:$C$1960,0)))</f>
        <v/>
      </c>
      <c r="E1069" s="8">
        <f>IF(ISNA(MATCH(1060,'Transfer Engine'!$C$2:$C$1960,0)),"",INDEX('Compliance Database'!$E$2:$E$1960,MATCH(1060,'Transfer Engine'!$C$2:$C$1960,0)))</f>
        <v/>
      </c>
      <c r="F1069" s="8">
        <f>IF(ISNA(MATCH(1060,'Transfer Engine'!$C$2:$C$1960,0)),"",INDEX('Compliance Database'!$F$2:$F$1960,MATCH(1060,'Transfer Engine'!$C$2:$C$1960,0)))</f>
        <v/>
      </c>
      <c r="G1069" s="8">
        <f>IF(ISNA(MATCH(1060,'Transfer Engine'!$C$2:$C$1960,0)),"",INDEX('Compliance Database'!$G$2:$G$1960,MATCH(1060,'Transfer Engine'!$C$2:$C$1960,0)))</f>
        <v/>
      </c>
      <c r="H1069" s="9">
        <f>IF(ISNA(MATCH(1060,'Transfer Engine'!$C$2:$C$1960,0)),"",INDEX('Compliance Database'!$H$2:$H$1960,MATCH(1060,'Transfer Engine'!$C$2:$C$1960,0)))</f>
        <v/>
      </c>
      <c r="I1069" s="9">
        <f>IF(ISNA(MATCH(1060,'Transfer Engine'!$C$2:$C$1960,0)),"",INDEX('Compliance Database'!$I$2:$I$1960,MATCH(1060,'Transfer Engine'!$C$2:$C$1960,0)))</f>
        <v/>
      </c>
      <c r="J1069" s="8">
        <f>IF(ISNA(MATCH(1060,'Transfer Engine'!$C$2:$C$1960,0)),"",INDEX('Compliance Database'!$J$2:$J$1960,MATCH(1060,'Transfer Engine'!$C$2:$C$1960,0)))</f>
        <v/>
      </c>
      <c r="K1069" s="9">
        <f>IF(ISNA(MATCH(1060,'Transfer Engine'!$C$2:$C$1960,0)),"",INDEX('Compliance Database'!$K$2:$K$1960,MATCH(1060,'Transfer Engine'!$C$2:$C$1960,0)))</f>
        <v/>
      </c>
      <c r="L1069" s="9">
        <f>IF(ISNA(MATCH(1060,'Transfer Engine'!$C$2:$C$1960,0)),"",INDEX('Compliance Database'!$L$2:$L$1960,MATCH(1060,'Transfer Engine'!$C$2:$C$1960,0)))</f>
        <v/>
      </c>
      <c r="M1069" s="9">
        <f>IF(ISNA(MATCH(1060,'Transfer Engine'!$C$2:$C$1960,0)),"",INDEX('Compliance Database'!$M$2:$M$1960,MATCH(1060,'Transfer Engine'!$C$2:$C$1960,0)))</f>
        <v/>
      </c>
      <c r="N1069" s="9">
        <f>IF(ISNA(MATCH(1060,'Transfer Engine'!$C$2:$C$1960,0)),"",INDEX('Compliance Database'!$N$2:$N$1960,MATCH(1060,'Transfer Engine'!$C$2:$C$1960,0)))</f>
        <v/>
      </c>
      <c r="O1069" s="9">
        <f>IF(ISNA(MATCH(1060,'Transfer Engine'!$C$2:$C$1960,0)),"",INDEX('Compliance Database'!$O$2:$O$1960,MATCH(1060,'Transfer Engine'!$C$2:$C$1960,0)))</f>
        <v/>
      </c>
      <c r="P1069" s="8">
        <f>IF(ISNA(MATCH(1060,'Transfer Engine'!$C$2:$C$1960,0)),"",HYPERLINK("#Acts!A"&amp;INDEX('Compliance Database'!$P$2:$P$1960,MATCH(1060,'Transfer Engine'!$C$2:$C$1960,0)),"Go to Act"))</f>
        <v/>
      </c>
    </row>
    <row r="1070" ht="158" customHeight="1">
      <c r="A1070" s="8">
        <f>IF(ISNA(MATCH(1061,'Transfer Engine'!$C$2:$C$1960,0)),"",INDEX('Compliance Database'!$A$2:$A$1960,MATCH(1061,'Transfer Engine'!$C$2:$C$1960,0)))</f>
        <v/>
      </c>
      <c r="B1070" s="8">
        <f>IF(ISNA(MATCH(1061,'Transfer Engine'!$C$2:$C$1960,0)),"",INDEX('Compliance Database'!$B$2:$B$1960,MATCH(1061,'Transfer Engine'!$C$2:$C$1960,0)))</f>
        <v/>
      </c>
      <c r="C1070" s="8">
        <f>IF(ISNA(MATCH(1061,'Transfer Engine'!$C$2:$C$1960,0)),"",INDEX('Compliance Database'!$C$2:$C$1960,MATCH(1061,'Transfer Engine'!$C$2:$C$1960,0)))</f>
        <v/>
      </c>
      <c r="D1070" s="9">
        <f>IF(ISNA(MATCH(1061,'Transfer Engine'!$C$2:$C$1960,0)),"",INDEX('Compliance Database'!$D$2:$D$1960,MATCH(1061,'Transfer Engine'!$C$2:$C$1960,0)))</f>
        <v/>
      </c>
      <c r="E1070" s="8">
        <f>IF(ISNA(MATCH(1061,'Transfer Engine'!$C$2:$C$1960,0)),"",INDEX('Compliance Database'!$E$2:$E$1960,MATCH(1061,'Transfer Engine'!$C$2:$C$1960,0)))</f>
        <v/>
      </c>
      <c r="F1070" s="8">
        <f>IF(ISNA(MATCH(1061,'Transfer Engine'!$C$2:$C$1960,0)),"",INDEX('Compliance Database'!$F$2:$F$1960,MATCH(1061,'Transfer Engine'!$C$2:$C$1960,0)))</f>
        <v/>
      </c>
      <c r="G1070" s="8">
        <f>IF(ISNA(MATCH(1061,'Transfer Engine'!$C$2:$C$1960,0)),"",INDEX('Compliance Database'!$G$2:$G$1960,MATCH(1061,'Transfer Engine'!$C$2:$C$1960,0)))</f>
        <v/>
      </c>
      <c r="H1070" s="9">
        <f>IF(ISNA(MATCH(1061,'Transfer Engine'!$C$2:$C$1960,0)),"",INDEX('Compliance Database'!$H$2:$H$1960,MATCH(1061,'Transfer Engine'!$C$2:$C$1960,0)))</f>
        <v/>
      </c>
      <c r="I1070" s="9">
        <f>IF(ISNA(MATCH(1061,'Transfer Engine'!$C$2:$C$1960,0)),"",INDEX('Compliance Database'!$I$2:$I$1960,MATCH(1061,'Transfer Engine'!$C$2:$C$1960,0)))</f>
        <v/>
      </c>
      <c r="J1070" s="8">
        <f>IF(ISNA(MATCH(1061,'Transfer Engine'!$C$2:$C$1960,0)),"",INDEX('Compliance Database'!$J$2:$J$1960,MATCH(1061,'Transfer Engine'!$C$2:$C$1960,0)))</f>
        <v/>
      </c>
      <c r="K1070" s="9">
        <f>IF(ISNA(MATCH(1061,'Transfer Engine'!$C$2:$C$1960,0)),"",INDEX('Compliance Database'!$K$2:$K$1960,MATCH(1061,'Transfer Engine'!$C$2:$C$1960,0)))</f>
        <v/>
      </c>
      <c r="L1070" s="9">
        <f>IF(ISNA(MATCH(1061,'Transfer Engine'!$C$2:$C$1960,0)),"",INDEX('Compliance Database'!$L$2:$L$1960,MATCH(1061,'Transfer Engine'!$C$2:$C$1960,0)))</f>
        <v/>
      </c>
      <c r="M1070" s="9">
        <f>IF(ISNA(MATCH(1061,'Transfer Engine'!$C$2:$C$1960,0)),"",INDEX('Compliance Database'!$M$2:$M$1960,MATCH(1061,'Transfer Engine'!$C$2:$C$1960,0)))</f>
        <v/>
      </c>
      <c r="N1070" s="9">
        <f>IF(ISNA(MATCH(1061,'Transfer Engine'!$C$2:$C$1960,0)),"",INDEX('Compliance Database'!$N$2:$N$1960,MATCH(1061,'Transfer Engine'!$C$2:$C$1960,0)))</f>
        <v/>
      </c>
      <c r="O1070" s="9">
        <f>IF(ISNA(MATCH(1061,'Transfer Engine'!$C$2:$C$1960,0)),"",INDEX('Compliance Database'!$O$2:$O$1960,MATCH(1061,'Transfer Engine'!$C$2:$C$1960,0)))</f>
        <v/>
      </c>
      <c r="P1070" s="8">
        <f>IF(ISNA(MATCH(1061,'Transfer Engine'!$C$2:$C$1960,0)),"",HYPERLINK("#Acts!A"&amp;INDEX('Compliance Database'!$P$2:$P$1960,MATCH(1061,'Transfer Engine'!$C$2:$C$1960,0)),"Go to Act"))</f>
        <v/>
      </c>
    </row>
    <row r="1071" ht="158" customHeight="1">
      <c r="A1071" s="8">
        <f>IF(ISNA(MATCH(1062,'Transfer Engine'!$C$2:$C$1960,0)),"",INDEX('Compliance Database'!$A$2:$A$1960,MATCH(1062,'Transfer Engine'!$C$2:$C$1960,0)))</f>
        <v/>
      </c>
      <c r="B1071" s="8">
        <f>IF(ISNA(MATCH(1062,'Transfer Engine'!$C$2:$C$1960,0)),"",INDEX('Compliance Database'!$B$2:$B$1960,MATCH(1062,'Transfer Engine'!$C$2:$C$1960,0)))</f>
        <v/>
      </c>
      <c r="C1071" s="8">
        <f>IF(ISNA(MATCH(1062,'Transfer Engine'!$C$2:$C$1960,0)),"",INDEX('Compliance Database'!$C$2:$C$1960,MATCH(1062,'Transfer Engine'!$C$2:$C$1960,0)))</f>
        <v/>
      </c>
      <c r="D1071" s="9">
        <f>IF(ISNA(MATCH(1062,'Transfer Engine'!$C$2:$C$1960,0)),"",INDEX('Compliance Database'!$D$2:$D$1960,MATCH(1062,'Transfer Engine'!$C$2:$C$1960,0)))</f>
        <v/>
      </c>
      <c r="E1071" s="8">
        <f>IF(ISNA(MATCH(1062,'Transfer Engine'!$C$2:$C$1960,0)),"",INDEX('Compliance Database'!$E$2:$E$1960,MATCH(1062,'Transfer Engine'!$C$2:$C$1960,0)))</f>
        <v/>
      </c>
      <c r="F1071" s="8">
        <f>IF(ISNA(MATCH(1062,'Transfer Engine'!$C$2:$C$1960,0)),"",INDEX('Compliance Database'!$F$2:$F$1960,MATCH(1062,'Transfer Engine'!$C$2:$C$1960,0)))</f>
        <v/>
      </c>
      <c r="G1071" s="8">
        <f>IF(ISNA(MATCH(1062,'Transfer Engine'!$C$2:$C$1960,0)),"",INDEX('Compliance Database'!$G$2:$G$1960,MATCH(1062,'Transfer Engine'!$C$2:$C$1960,0)))</f>
        <v/>
      </c>
      <c r="H1071" s="9">
        <f>IF(ISNA(MATCH(1062,'Transfer Engine'!$C$2:$C$1960,0)),"",INDEX('Compliance Database'!$H$2:$H$1960,MATCH(1062,'Transfer Engine'!$C$2:$C$1960,0)))</f>
        <v/>
      </c>
      <c r="I1071" s="9">
        <f>IF(ISNA(MATCH(1062,'Transfer Engine'!$C$2:$C$1960,0)),"",INDEX('Compliance Database'!$I$2:$I$1960,MATCH(1062,'Transfer Engine'!$C$2:$C$1960,0)))</f>
        <v/>
      </c>
      <c r="J1071" s="8">
        <f>IF(ISNA(MATCH(1062,'Transfer Engine'!$C$2:$C$1960,0)),"",INDEX('Compliance Database'!$J$2:$J$1960,MATCH(1062,'Transfer Engine'!$C$2:$C$1960,0)))</f>
        <v/>
      </c>
      <c r="K1071" s="9">
        <f>IF(ISNA(MATCH(1062,'Transfer Engine'!$C$2:$C$1960,0)),"",INDEX('Compliance Database'!$K$2:$K$1960,MATCH(1062,'Transfer Engine'!$C$2:$C$1960,0)))</f>
        <v/>
      </c>
      <c r="L1071" s="9">
        <f>IF(ISNA(MATCH(1062,'Transfer Engine'!$C$2:$C$1960,0)),"",INDEX('Compliance Database'!$L$2:$L$1960,MATCH(1062,'Transfer Engine'!$C$2:$C$1960,0)))</f>
        <v/>
      </c>
      <c r="M1071" s="9">
        <f>IF(ISNA(MATCH(1062,'Transfer Engine'!$C$2:$C$1960,0)),"",INDEX('Compliance Database'!$M$2:$M$1960,MATCH(1062,'Transfer Engine'!$C$2:$C$1960,0)))</f>
        <v/>
      </c>
      <c r="N1071" s="9">
        <f>IF(ISNA(MATCH(1062,'Transfer Engine'!$C$2:$C$1960,0)),"",INDEX('Compliance Database'!$N$2:$N$1960,MATCH(1062,'Transfer Engine'!$C$2:$C$1960,0)))</f>
        <v/>
      </c>
      <c r="O1071" s="9">
        <f>IF(ISNA(MATCH(1062,'Transfer Engine'!$C$2:$C$1960,0)),"",INDEX('Compliance Database'!$O$2:$O$1960,MATCH(1062,'Transfer Engine'!$C$2:$C$1960,0)))</f>
        <v/>
      </c>
      <c r="P1071" s="8">
        <f>IF(ISNA(MATCH(1062,'Transfer Engine'!$C$2:$C$1960,0)),"",HYPERLINK("#Acts!A"&amp;INDEX('Compliance Database'!$P$2:$P$1960,MATCH(1062,'Transfer Engine'!$C$2:$C$1960,0)),"Go to Act"))</f>
        <v/>
      </c>
    </row>
    <row r="1072" ht="158" customHeight="1">
      <c r="A1072" s="8">
        <f>IF(ISNA(MATCH(1063,'Transfer Engine'!$C$2:$C$1960,0)),"",INDEX('Compliance Database'!$A$2:$A$1960,MATCH(1063,'Transfer Engine'!$C$2:$C$1960,0)))</f>
        <v/>
      </c>
      <c r="B1072" s="8">
        <f>IF(ISNA(MATCH(1063,'Transfer Engine'!$C$2:$C$1960,0)),"",INDEX('Compliance Database'!$B$2:$B$1960,MATCH(1063,'Transfer Engine'!$C$2:$C$1960,0)))</f>
        <v/>
      </c>
      <c r="C1072" s="8">
        <f>IF(ISNA(MATCH(1063,'Transfer Engine'!$C$2:$C$1960,0)),"",INDEX('Compliance Database'!$C$2:$C$1960,MATCH(1063,'Transfer Engine'!$C$2:$C$1960,0)))</f>
        <v/>
      </c>
      <c r="D1072" s="9">
        <f>IF(ISNA(MATCH(1063,'Transfer Engine'!$C$2:$C$1960,0)),"",INDEX('Compliance Database'!$D$2:$D$1960,MATCH(1063,'Transfer Engine'!$C$2:$C$1960,0)))</f>
        <v/>
      </c>
      <c r="E1072" s="8">
        <f>IF(ISNA(MATCH(1063,'Transfer Engine'!$C$2:$C$1960,0)),"",INDEX('Compliance Database'!$E$2:$E$1960,MATCH(1063,'Transfer Engine'!$C$2:$C$1960,0)))</f>
        <v/>
      </c>
      <c r="F1072" s="8">
        <f>IF(ISNA(MATCH(1063,'Transfer Engine'!$C$2:$C$1960,0)),"",INDEX('Compliance Database'!$F$2:$F$1960,MATCH(1063,'Transfer Engine'!$C$2:$C$1960,0)))</f>
        <v/>
      </c>
      <c r="G1072" s="8">
        <f>IF(ISNA(MATCH(1063,'Transfer Engine'!$C$2:$C$1960,0)),"",INDEX('Compliance Database'!$G$2:$G$1960,MATCH(1063,'Transfer Engine'!$C$2:$C$1960,0)))</f>
        <v/>
      </c>
      <c r="H1072" s="9">
        <f>IF(ISNA(MATCH(1063,'Transfer Engine'!$C$2:$C$1960,0)),"",INDEX('Compliance Database'!$H$2:$H$1960,MATCH(1063,'Transfer Engine'!$C$2:$C$1960,0)))</f>
        <v/>
      </c>
      <c r="I1072" s="9">
        <f>IF(ISNA(MATCH(1063,'Transfer Engine'!$C$2:$C$1960,0)),"",INDEX('Compliance Database'!$I$2:$I$1960,MATCH(1063,'Transfer Engine'!$C$2:$C$1960,0)))</f>
        <v/>
      </c>
      <c r="J1072" s="8">
        <f>IF(ISNA(MATCH(1063,'Transfer Engine'!$C$2:$C$1960,0)),"",INDEX('Compliance Database'!$J$2:$J$1960,MATCH(1063,'Transfer Engine'!$C$2:$C$1960,0)))</f>
        <v/>
      </c>
      <c r="K1072" s="9">
        <f>IF(ISNA(MATCH(1063,'Transfer Engine'!$C$2:$C$1960,0)),"",INDEX('Compliance Database'!$K$2:$K$1960,MATCH(1063,'Transfer Engine'!$C$2:$C$1960,0)))</f>
        <v/>
      </c>
      <c r="L1072" s="9">
        <f>IF(ISNA(MATCH(1063,'Transfer Engine'!$C$2:$C$1960,0)),"",INDEX('Compliance Database'!$L$2:$L$1960,MATCH(1063,'Transfer Engine'!$C$2:$C$1960,0)))</f>
        <v/>
      </c>
      <c r="M1072" s="9">
        <f>IF(ISNA(MATCH(1063,'Transfer Engine'!$C$2:$C$1960,0)),"",INDEX('Compliance Database'!$M$2:$M$1960,MATCH(1063,'Transfer Engine'!$C$2:$C$1960,0)))</f>
        <v/>
      </c>
      <c r="N1072" s="9">
        <f>IF(ISNA(MATCH(1063,'Transfer Engine'!$C$2:$C$1960,0)),"",INDEX('Compliance Database'!$N$2:$N$1960,MATCH(1063,'Transfer Engine'!$C$2:$C$1960,0)))</f>
        <v/>
      </c>
      <c r="O1072" s="9">
        <f>IF(ISNA(MATCH(1063,'Transfer Engine'!$C$2:$C$1960,0)),"",INDEX('Compliance Database'!$O$2:$O$1960,MATCH(1063,'Transfer Engine'!$C$2:$C$1960,0)))</f>
        <v/>
      </c>
      <c r="P1072" s="8">
        <f>IF(ISNA(MATCH(1063,'Transfer Engine'!$C$2:$C$1960,0)),"",HYPERLINK("#Acts!A"&amp;INDEX('Compliance Database'!$P$2:$P$1960,MATCH(1063,'Transfer Engine'!$C$2:$C$1960,0)),"Go to Act"))</f>
        <v/>
      </c>
    </row>
    <row r="1073" ht="158" customHeight="1">
      <c r="A1073" s="8">
        <f>IF(ISNA(MATCH(1064,'Transfer Engine'!$C$2:$C$1960,0)),"",INDEX('Compliance Database'!$A$2:$A$1960,MATCH(1064,'Transfer Engine'!$C$2:$C$1960,0)))</f>
        <v/>
      </c>
      <c r="B1073" s="8">
        <f>IF(ISNA(MATCH(1064,'Transfer Engine'!$C$2:$C$1960,0)),"",INDEX('Compliance Database'!$B$2:$B$1960,MATCH(1064,'Transfer Engine'!$C$2:$C$1960,0)))</f>
        <v/>
      </c>
      <c r="C1073" s="8">
        <f>IF(ISNA(MATCH(1064,'Transfer Engine'!$C$2:$C$1960,0)),"",INDEX('Compliance Database'!$C$2:$C$1960,MATCH(1064,'Transfer Engine'!$C$2:$C$1960,0)))</f>
        <v/>
      </c>
      <c r="D1073" s="9">
        <f>IF(ISNA(MATCH(1064,'Transfer Engine'!$C$2:$C$1960,0)),"",INDEX('Compliance Database'!$D$2:$D$1960,MATCH(1064,'Transfer Engine'!$C$2:$C$1960,0)))</f>
        <v/>
      </c>
      <c r="E1073" s="8">
        <f>IF(ISNA(MATCH(1064,'Transfer Engine'!$C$2:$C$1960,0)),"",INDEX('Compliance Database'!$E$2:$E$1960,MATCH(1064,'Transfer Engine'!$C$2:$C$1960,0)))</f>
        <v/>
      </c>
      <c r="F1073" s="8">
        <f>IF(ISNA(MATCH(1064,'Transfer Engine'!$C$2:$C$1960,0)),"",INDEX('Compliance Database'!$F$2:$F$1960,MATCH(1064,'Transfer Engine'!$C$2:$C$1960,0)))</f>
        <v/>
      </c>
      <c r="G1073" s="8">
        <f>IF(ISNA(MATCH(1064,'Transfer Engine'!$C$2:$C$1960,0)),"",INDEX('Compliance Database'!$G$2:$G$1960,MATCH(1064,'Transfer Engine'!$C$2:$C$1960,0)))</f>
        <v/>
      </c>
      <c r="H1073" s="9">
        <f>IF(ISNA(MATCH(1064,'Transfer Engine'!$C$2:$C$1960,0)),"",INDEX('Compliance Database'!$H$2:$H$1960,MATCH(1064,'Transfer Engine'!$C$2:$C$1960,0)))</f>
        <v/>
      </c>
      <c r="I1073" s="9">
        <f>IF(ISNA(MATCH(1064,'Transfer Engine'!$C$2:$C$1960,0)),"",INDEX('Compliance Database'!$I$2:$I$1960,MATCH(1064,'Transfer Engine'!$C$2:$C$1960,0)))</f>
        <v/>
      </c>
      <c r="J1073" s="8">
        <f>IF(ISNA(MATCH(1064,'Transfer Engine'!$C$2:$C$1960,0)),"",INDEX('Compliance Database'!$J$2:$J$1960,MATCH(1064,'Transfer Engine'!$C$2:$C$1960,0)))</f>
        <v/>
      </c>
      <c r="K1073" s="9">
        <f>IF(ISNA(MATCH(1064,'Transfer Engine'!$C$2:$C$1960,0)),"",INDEX('Compliance Database'!$K$2:$K$1960,MATCH(1064,'Transfer Engine'!$C$2:$C$1960,0)))</f>
        <v/>
      </c>
      <c r="L1073" s="9">
        <f>IF(ISNA(MATCH(1064,'Transfer Engine'!$C$2:$C$1960,0)),"",INDEX('Compliance Database'!$L$2:$L$1960,MATCH(1064,'Transfer Engine'!$C$2:$C$1960,0)))</f>
        <v/>
      </c>
      <c r="M1073" s="9">
        <f>IF(ISNA(MATCH(1064,'Transfer Engine'!$C$2:$C$1960,0)),"",INDEX('Compliance Database'!$M$2:$M$1960,MATCH(1064,'Transfer Engine'!$C$2:$C$1960,0)))</f>
        <v/>
      </c>
      <c r="N1073" s="9">
        <f>IF(ISNA(MATCH(1064,'Transfer Engine'!$C$2:$C$1960,0)),"",INDEX('Compliance Database'!$N$2:$N$1960,MATCH(1064,'Transfer Engine'!$C$2:$C$1960,0)))</f>
        <v/>
      </c>
      <c r="O1073" s="9">
        <f>IF(ISNA(MATCH(1064,'Transfer Engine'!$C$2:$C$1960,0)),"",INDEX('Compliance Database'!$O$2:$O$1960,MATCH(1064,'Transfer Engine'!$C$2:$C$1960,0)))</f>
        <v/>
      </c>
      <c r="P1073" s="8">
        <f>IF(ISNA(MATCH(1064,'Transfer Engine'!$C$2:$C$1960,0)),"",HYPERLINK("#Acts!A"&amp;INDEX('Compliance Database'!$P$2:$P$1960,MATCH(1064,'Transfer Engine'!$C$2:$C$1960,0)),"Go to Act"))</f>
        <v/>
      </c>
    </row>
    <row r="1074" ht="158" customHeight="1">
      <c r="A1074" s="8">
        <f>IF(ISNA(MATCH(1065,'Transfer Engine'!$C$2:$C$1960,0)),"",INDEX('Compliance Database'!$A$2:$A$1960,MATCH(1065,'Transfer Engine'!$C$2:$C$1960,0)))</f>
        <v/>
      </c>
      <c r="B1074" s="8">
        <f>IF(ISNA(MATCH(1065,'Transfer Engine'!$C$2:$C$1960,0)),"",INDEX('Compliance Database'!$B$2:$B$1960,MATCH(1065,'Transfer Engine'!$C$2:$C$1960,0)))</f>
        <v/>
      </c>
      <c r="C1074" s="8">
        <f>IF(ISNA(MATCH(1065,'Transfer Engine'!$C$2:$C$1960,0)),"",INDEX('Compliance Database'!$C$2:$C$1960,MATCH(1065,'Transfer Engine'!$C$2:$C$1960,0)))</f>
        <v/>
      </c>
      <c r="D1074" s="9">
        <f>IF(ISNA(MATCH(1065,'Transfer Engine'!$C$2:$C$1960,0)),"",INDEX('Compliance Database'!$D$2:$D$1960,MATCH(1065,'Transfer Engine'!$C$2:$C$1960,0)))</f>
        <v/>
      </c>
      <c r="E1074" s="8">
        <f>IF(ISNA(MATCH(1065,'Transfer Engine'!$C$2:$C$1960,0)),"",INDEX('Compliance Database'!$E$2:$E$1960,MATCH(1065,'Transfer Engine'!$C$2:$C$1960,0)))</f>
        <v/>
      </c>
      <c r="F1074" s="8">
        <f>IF(ISNA(MATCH(1065,'Transfer Engine'!$C$2:$C$1960,0)),"",INDEX('Compliance Database'!$F$2:$F$1960,MATCH(1065,'Transfer Engine'!$C$2:$C$1960,0)))</f>
        <v/>
      </c>
      <c r="G1074" s="8">
        <f>IF(ISNA(MATCH(1065,'Transfer Engine'!$C$2:$C$1960,0)),"",INDEX('Compliance Database'!$G$2:$G$1960,MATCH(1065,'Transfer Engine'!$C$2:$C$1960,0)))</f>
        <v/>
      </c>
      <c r="H1074" s="9">
        <f>IF(ISNA(MATCH(1065,'Transfer Engine'!$C$2:$C$1960,0)),"",INDEX('Compliance Database'!$H$2:$H$1960,MATCH(1065,'Transfer Engine'!$C$2:$C$1960,0)))</f>
        <v/>
      </c>
      <c r="I1074" s="9">
        <f>IF(ISNA(MATCH(1065,'Transfer Engine'!$C$2:$C$1960,0)),"",INDEX('Compliance Database'!$I$2:$I$1960,MATCH(1065,'Transfer Engine'!$C$2:$C$1960,0)))</f>
        <v/>
      </c>
      <c r="J1074" s="8">
        <f>IF(ISNA(MATCH(1065,'Transfer Engine'!$C$2:$C$1960,0)),"",INDEX('Compliance Database'!$J$2:$J$1960,MATCH(1065,'Transfer Engine'!$C$2:$C$1960,0)))</f>
        <v/>
      </c>
      <c r="K1074" s="9">
        <f>IF(ISNA(MATCH(1065,'Transfer Engine'!$C$2:$C$1960,0)),"",INDEX('Compliance Database'!$K$2:$K$1960,MATCH(1065,'Transfer Engine'!$C$2:$C$1960,0)))</f>
        <v/>
      </c>
      <c r="L1074" s="9">
        <f>IF(ISNA(MATCH(1065,'Transfer Engine'!$C$2:$C$1960,0)),"",INDEX('Compliance Database'!$L$2:$L$1960,MATCH(1065,'Transfer Engine'!$C$2:$C$1960,0)))</f>
        <v/>
      </c>
      <c r="M1074" s="9">
        <f>IF(ISNA(MATCH(1065,'Transfer Engine'!$C$2:$C$1960,0)),"",INDEX('Compliance Database'!$M$2:$M$1960,MATCH(1065,'Transfer Engine'!$C$2:$C$1960,0)))</f>
        <v/>
      </c>
      <c r="N1074" s="9">
        <f>IF(ISNA(MATCH(1065,'Transfer Engine'!$C$2:$C$1960,0)),"",INDEX('Compliance Database'!$N$2:$N$1960,MATCH(1065,'Transfer Engine'!$C$2:$C$1960,0)))</f>
        <v/>
      </c>
      <c r="O1074" s="9">
        <f>IF(ISNA(MATCH(1065,'Transfer Engine'!$C$2:$C$1960,0)),"",INDEX('Compliance Database'!$O$2:$O$1960,MATCH(1065,'Transfer Engine'!$C$2:$C$1960,0)))</f>
        <v/>
      </c>
      <c r="P1074" s="8">
        <f>IF(ISNA(MATCH(1065,'Transfer Engine'!$C$2:$C$1960,0)),"",HYPERLINK("#Acts!A"&amp;INDEX('Compliance Database'!$P$2:$P$1960,MATCH(1065,'Transfer Engine'!$C$2:$C$1960,0)),"Go to Act"))</f>
        <v/>
      </c>
    </row>
    <row r="1075" ht="158" customHeight="1">
      <c r="A1075" s="8">
        <f>IF(ISNA(MATCH(1066,'Transfer Engine'!$C$2:$C$1960,0)),"",INDEX('Compliance Database'!$A$2:$A$1960,MATCH(1066,'Transfer Engine'!$C$2:$C$1960,0)))</f>
        <v/>
      </c>
      <c r="B1075" s="8">
        <f>IF(ISNA(MATCH(1066,'Transfer Engine'!$C$2:$C$1960,0)),"",INDEX('Compliance Database'!$B$2:$B$1960,MATCH(1066,'Transfer Engine'!$C$2:$C$1960,0)))</f>
        <v/>
      </c>
      <c r="C1075" s="8">
        <f>IF(ISNA(MATCH(1066,'Transfer Engine'!$C$2:$C$1960,0)),"",INDEX('Compliance Database'!$C$2:$C$1960,MATCH(1066,'Transfer Engine'!$C$2:$C$1960,0)))</f>
        <v/>
      </c>
      <c r="D1075" s="9">
        <f>IF(ISNA(MATCH(1066,'Transfer Engine'!$C$2:$C$1960,0)),"",INDEX('Compliance Database'!$D$2:$D$1960,MATCH(1066,'Transfer Engine'!$C$2:$C$1960,0)))</f>
        <v/>
      </c>
      <c r="E1075" s="8">
        <f>IF(ISNA(MATCH(1066,'Transfer Engine'!$C$2:$C$1960,0)),"",INDEX('Compliance Database'!$E$2:$E$1960,MATCH(1066,'Transfer Engine'!$C$2:$C$1960,0)))</f>
        <v/>
      </c>
      <c r="F1075" s="8">
        <f>IF(ISNA(MATCH(1066,'Transfer Engine'!$C$2:$C$1960,0)),"",INDEX('Compliance Database'!$F$2:$F$1960,MATCH(1066,'Transfer Engine'!$C$2:$C$1960,0)))</f>
        <v/>
      </c>
      <c r="G1075" s="8">
        <f>IF(ISNA(MATCH(1066,'Transfer Engine'!$C$2:$C$1960,0)),"",INDEX('Compliance Database'!$G$2:$G$1960,MATCH(1066,'Transfer Engine'!$C$2:$C$1960,0)))</f>
        <v/>
      </c>
      <c r="H1075" s="9">
        <f>IF(ISNA(MATCH(1066,'Transfer Engine'!$C$2:$C$1960,0)),"",INDEX('Compliance Database'!$H$2:$H$1960,MATCH(1066,'Transfer Engine'!$C$2:$C$1960,0)))</f>
        <v/>
      </c>
      <c r="I1075" s="9">
        <f>IF(ISNA(MATCH(1066,'Transfer Engine'!$C$2:$C$1960,0)),"",INDEX('Compliance Database'!$I$2:$I$1960,MATCH(1066,'Transfer Engine'!$C$2:$C$1960,0)))</f>
        <v/>
      </c>
      <c r="J1075" s="8">
        <f>IF(ISNA(MATCH(1066,'Transfer Engine'!$C$2:$C$1960,0)),"",INDEX('Compliance Database'!$J$2:$J$1960,MATCH(1066,'Transfer Engine'!$C$2:$C$1960,0)))</f>
        <v/>
      </c>
      <c r="K1075" s="9">
        <f>IF(ISNA(MATCH(1066,'Transfer Engine'!$C$2:$C$1960,0)),"",INDEX('Compliance Database'!$K$2:$K$1960,MATCH(1066,'Transfer Engine'!$C$2:$C$1960,0)))</f>
        <v/>
      </c>
      <c r="L1075" s="9">
        <f>IF(ISNA(MATCH(1066,'Transfer Engine'!$C$2:$C$1960,0)),"",INDEX('Compliance Database'!$L$2:$L$1960,MATCH(1066,'Transfer Engine'!$C$2:$C$1960,0)))</f>
        <v/>
      </c>
      <c r="M1075" s="9">
        <f>IF(ISNA(MATCH(1066,'Transfer Engine'!$C$2:$C$1960,0)),"",INDEX('Compliance Database'!$M$2:$M$1960,MATCH(1066,'Transfer Engine'!$C$2:$C$1960,0)))</f>
        <v/>
      </c>
      <c r="N1075" s="9">
        <f>IF(ISNA(MATCH(1066,'Transfer Engine'!$C$2:$C$1960,0)),"",INDEX('Compliance Database'!$N$2:$N$1960,MATCH(1066,'Transfer Engine'!$C$2:$C$1960,0)))</f>
        <v/>
      </c>
      <c r="O1075" s="9">
        <f>IF(ISNA(MATCH(1066,'Transfer Engine'!$C$2:$C$1960,0)),"",INDEX('Compliance Database'!$O$2:$O$1960,MATCH(1066,'Transfer Engine'!$C$2:$C$1960,0)))</f>
        <v/>
      </c>
      <c r="P1075" s="8">
        <f>IF(ISNA(MATCH(1066,'Transfer Engine'!$C$2:$C$1960,0)),"",HYPERLINK("#Acts!A"&amp;INDEX('Compliance Database'!$P$2:$P$1960,MATCH(1066,'Transfer Engine'!$C$2:$C$1960,0)),"Go to Act"))</f>
        <v/>
      </c>
    </row>
    <row r="1076" ht="158" customHeight="1">
      <c r="A1076" s="8">
        <f>IF(ISNA(MATCH(1067,'Transfer Engine'!$C$2:$C$1960,0)),"",INDEX('Compliance Database'!$A$2:$A$1960,MATCH(1067,'Transfer Engine'!$C$2:$C$1960,0)))</f>
        <v/>
      </c>
      <c r="B1076" s="8">
        <f>IF(ISNA(MATCH(1067,'Transfer Engine'!$C$2:$C$1960,0)),"",INDEX('Compliance Database'!$B$2:$B$1960,MATCH(1067,'Transfer Engine'!$C$2:$C$1960,0)))</f>
        <v/>
      </c>
      <c r="C1076" s="8">
        <f>IF(ISNA(MATCH(1067,'Transfer Engine'!$C$2:$C$1960,0)),"",INDEX('Compliance Database'!$C$2:$C$1960,MATCH(1067,'Transfer Engine'!$C$2:$C$1960,0)))</f>
        <v/>
      </c>
      <c r="D1076" s="9">
        <f>IF(ISNA(MATCH(1067,'Transfer Engine'!$C$2:$C$1960,0)),"",INDEX('Compliance Database'!$D$2:$D$1960,MATCH(1067,'Transfer Engine'!$C$2:$C$1960,0)))</f>
        <v/>
      </c>
      <c r="E1076" s="8">
        <f>IF(ISNA(MATCH(1067,'Transfer Engine'!$C$2:$C$1960,0)),"",INDEX('Compliance Database'!$E$2:$E$1960,MATCH(1067,'Transfer Engine'!$C$2:$C$1960,0)))</f>
        <v/>
      </c>
      <c r="F1076" s="8">
        <f>IF(ISNA(MATCH(1067,'Transfer Engine'!$C$2:$C$1960,0)),"",INDEX('Compliance Database'!$F$2:$F$1960,MATCH(1067,'Transfer Engine'!$C$2:$C$1960,0)))</f>
        <v/>
      </c>
      <c r="G1076" s="8">
        <f>IF(ISNA(MATCH(1067,'Transfer Engine'!$C$2:$C$1960,0)),"",INDEX('Compliance Database'!$G$2:$G$1960,MATCH(1067,'Transfer Engine'!$C$2:$C$1960,0)))</f>
        <v/>
      </c>
      <c r="H1076" s="9">
        <f>IF(ISNA(MATCH(1067,'Transfer Engine'!$C$2:$C$1960,0)),"",INDEX('Compliance Database'!$H$2:$H$1960,MATCH(1067,'Transfer Engine'!$C$2:$C$1960,0)))</f>
        <v/>
      </c>
      <c r="I1076" s="9">
        <f>IF(ISNA(MATCH(1067,'Transfer Engine'!$C$2:$C$1960,0)),"",INDEX('Compliance Database'!$I$2:$I$1960,MATCH(1067,'Transfer Engine'!$C$2:$C$1960,0)))</f>
        <v/>
      </c>
      <c r="J1076" s="8">
        <f>IF(ISNA(MATCH(1067,'Transfer Engine'!$C$2:$C$1960,0)),"",INDEX('Compliance Database'!$J$2:$J$1960,MATCH(1067,'Transfer Engine'!$C$2:$C$1960,0)))</f>
        <v/>
      </c>
      <c r="K1076" s="9">
        <f>IF(ISNA(MATCH(1067,'Transfer Engine'!$C$2:$C$1960,0)),"",INDEX('Compliance Database'!$K$2:$K$1960,MATCH(1067,'Transfer Engine'!$C$2:$C$1960,0)))</f>
        <v/>
      </c>
      <c r="L1076" s="9">
        <f>IF(ISNA(MATCH(1067,'Transfer Engine'!$C$2:$C$1960,0)),"",INDEX('Compliance Database'!$L$2:$L$1960,MATCH(1067,'Transfer Engine'!$C$2:$C$1960,0)))</f>
        <v/>
      </c>
      <c r="M1076" s="9">
        <f>IF(ISNA(MATCH(1067,'Transfer Engine'!$C$2:$C$1960,0)),"",INDEX('Compliance Database'!$M$2:$M$1960,MATCH(1067,'Transfer Engine'!$C$2:$C$1960,0)))</f>
        <v/>
      </c>
      <c r="N1076" s="9">
        <f>IF(ISNA(MATCH(1067,'Transfer Engine'!$C$2:$C$1960,0)),"",INDEX('Compliance Database'!$N$2:$N$1960,MATCH(1067,'Transfer Engine'!$C$2:$C$1960,0)))</f>
        <v/>
      </c>
      <c r="O1076" s="9">
        <f>IF(ISNA(MATCH(1067,'Transfer Engine'!$C$2:$C$1960,0)),"",INDEX('Compliance Database'!$O$2:$O$1960,MATCH(1067,'Transfer Engine'!$C$2:$C$1960,0)))</f>
        <v/>
      </c>
      <c r="P1076" s="8">
        <f>IF(ISNA(MATCH(1067,'Transfer Engine'!$C$2:$C$1960,0)),"",HYPERLINK("#Acts!A"&amp;INDEX('Compliance Database'!$P$2:$P$1960,MATCH(1067,'Transfer Engine'!$C$2:$C$1960,0)),"Go to Act"))</f>
        <v/>
      </c>
    </row>
    <row r="1077" ht="158" customHeight="1">
      <c r="A1077" s="8">
        <f>IF(ISNA(MATCH(1068,'Transfer Engine'!$C$2:$C$1960,0)),"",INDEX('Compliance Database'!$A$2:$A$1960,MATCH(1068,'Transfer Engine'!$C$2:$C$1960,0)))</f>
        <v/>
      </c>
      <c r="B1077" s="8">
        <f>IF(ISNA(MATCH(1068,'Transfer Engine'!$C$2:$C$1960,0)),"",INDEX('Compliance Database'!$B$2:$B$1960,MATCH(1068,'Transfer Engine'!$C$2:$C$1960,0)))</f>
        <v/>
      </c>
      <c r="C1077" s="8">
        <f>IF(ISNA(MATCH(1068,'Transfer Engine'!$C$2:$C$1960,0)),"",INDEX('Compliance Database'!$C$2:$C$1960,MATCH(1068,'Transfer Engine'!$C$2:$C$1960,0)))</f>
        <v/>
      </c>
      <c r="D1077" s="9">
        <f>IF(ISNA(MATCH(1068,'Transfer Engine'!$C$2:$C$1960,0)),"",INDEX('Compliance Database'!$D$2:$D$1960,MATCH(1068,'Transfer Engine'!$C$2:$C$1960,0)))</f>
        <v/>
      </c>
      <c r="E1077" s="8">
        <f>IF(ISNA(MATCH(1068,'Transfer Engine'!$C$2:$C$1960,0)),"",INDEX('Compliance Database'!$E$2:$E$1960,MATCH(1068,'Transfer Engine'!$C$2:$C$1960,0)))</f>
        <v/>
      </c>
      <c r="F1077" s="8">
        <f>IF(ISNA(MATCH(1068,'Transfer Engine'!$C$2:$C$1960,0)),"",INDEX('Compliance Database'!$F$2:$F$1960,MATCH(1068,'Transfer Engine'!$C$2:$C$1960,0)))</f>
        <v/>
      </c>
      <c r="G1077" s="8">
        <f>IF(ISNA(MATCH(1068,'Transfer Engine'!$C$2:$C$1960,0)),"",INDEX('Compliance Database'!$G$2:$G$1960,MATCH(1068,'Transfer Engine'!$C$2:$C$1960,0)))</f>
        <v/>
      </c>
      <c r="H1077" s="9">
        <f>IF(ISNA(MATCH(1068,'Transfer Engine'!$C$2:$C$1960,0)),"",INDEX('Compliance Database'!$H$2:$H$1960,MATCH(1068,'Transfer Engine'!$C$2:$C$1960,0)))</f>
        <v/>
      </c>
      <c r="I1077" s="9">
        <f>IF(ISNA(MATCH(1068,'Transfer Engine'!$C$2:$C$1960,0)),"",INDEX('Compliance Database'!$I$2:$I$1960,MATCH(1068,'Transfer Engine'!$C$2:$C$1960,0)))</f>
        <v/>
      </c>
      <c r="J1077" s="8">
        <f>IF(ISNA(MATCH(1068,'Transfer Engine'!$C$2:$C$1960,0)),"",INDEX('Compliance Database'!$J$2:$J$1960,MATCH(1068,'Transfer Engine'!$C$2:$C$1960,0)))</f>
        <v/>
      </c>
      <c r="K1077" s="9">
        <f>IF(ISNA(MATCH(1068,'Transfer Engine'!$C$2:$C$1960,0)),"",INDEX('Compliance Database'!$K$2:$K$1960,MATCH(1068,'Transfer Engine'!$C$2:$C$1960,0)))</f>
        <v/>
      </c>
      <c r="L1077" s="9">
        <f>IF(ISNA(MATCH(1068,'Transfer Engine'!$C$2:$C$1960,0)),"",INDEX('Compliance Database'!$L$2:$L$1960,MATCH(1068,'Transfer Engine'!$C$2:$C$1960,0)))</f>
        <v/>
      </c>
      <c r="M1077" s="9">
        <f>IF(ISNA(MATCH(1068,'Transfer Engine'!$C$2:$C$1960,0)),"",INDEX('Compliance Database'!$M$2:$M$1960,MATCH(1068,'Transfer Engine'!$C$2:$C$1960,0)))</f>
        <v/>
      </c>
      <c r="N1077" s="9">
        <f>IF(ISNA(MATCH(1068,'Transfer Engine'!$C$2:$C$1960,0)),"",INDEX('Compliance Database'!$N$2:$N$1960,MATCH(1068,'Transfer Engine'!$C$2:$C$1960,0)))</f>
        <v/>
      </c>
      <c r="O1077" s="9">
        <f>IF(ISNA(MATCH(1068,'Transfer Engine'!$C$2:$C$1960,0)),"",INDEX('Compliance Database'!$O$2:$O$1960,MATCH(1068,'Transfer Engine'!$C$2:$C$1960,0)))</f>
        <v/>
      </c>
      <c r="P1077" s="8">
        <f>IF(ISNA(MATCH(1068,'Transfer Engine'!$C$2:$C$1960,0)),"",HYPERLINK("#Acts!A"&amp;INDEX('Compliance Database'!$P$2:$P$1960,MATCH(1068,'Transfer Engine'!$C$2:$C$1960,0)),"Go to Act"))</f>
        <v/>
      </c>
    </row>
    <row r="1078" ht="158" customHeight="1">
      <c r="A1078" s="8">
        <f>IF(ISNA(MATCH(1069,'Transfer Engine'!$C$2:$C$1960,0)),"",INDEX('Compliance Database'!$A$2:$A$1960,MATCH(1069,'Transfer Engine'!$C$2:$C$1960,0)))</f>
        <v/>
      </c>
      <c r="B1078" s="8">
        <f>IF(ISNA(MATCH(1069,'Transfer Engine'!$C$2:$C$1960,0)),"",INDEX('Compliance Database'!$B$2:$B$1960,MATCH(1069,'Transfer Engine'!$C$2:$C$1960,0)))</f>
        <v/>
      </c>
      <c r="C1078" s="8">
        <f>IF(ISNA(MATCH(1069,'Transfer Engine'!$C$2:$C$1960,0)),"",INDEX('Compliance Database'!$C$2:$C$1960,MATCH(1069,'Transfer Engine'!$C$2:$C$1960,0)))</f>
        <v/>
      </c>
      <c r="D1078" s="9">
        <f>IF(ISNA(MATCH(1069,'Transfer Engine'!$C$2:$C$1960,0)),"",INDEX('Compliance Database'!$D$2:$D$1960,MATCH(1069,'Transfer Engine'!$C$2:$C$1960,0)))</f>
        <v/>
      </c>
      <c r="E1078" s="8">
        <f>IF(ISNA(MATCH(1069,'Transfer Engine'!$C$2:$C$1960,0)),"",INDEX('Compliance Database'!$E$2:$E$1960,MATCH(1069,'Transfer Engine'!$C$2:$C$1960,0)))</f>
        <v/>
      </c>
      <c r="F1078" s="8">
        <f>IF(ISNA(MATCH(1069,'Transfer Engine'!$C$2:$C$1960,0)),"",INDEX('Compliance Database'!$F$2:$F$1960,MATCH(1069,'Transfer Engine'!$C$2:$C$1960,0)))</f>
        <v/>
      </c>
      <c r="G1078" s="8">
        <f>IF(ISNA(MATCH(1069,'Transfer Engine'!$C$2:$C$1960,0)),"",INDEX('Compliance Database'!$G$2:$G$1960,MATCH(1069,'Transfer Engine'!$C$2:$C$1960,0)))</f>
        <v/>
      </c>
      <c r="H1078" s="9">
        <f>IF(ISNA(MATCH(1069,'Transfer Engine'!$C$2:$C$1960,0)),"",INDEX('Compliance Database'!$H$2:$H$1960,MATCH(1069,'Transfer Engine'!$C$2:$C$1960,0)))</f>
        <v/>
      </c>
      <c r="I1078" s="9">
        <f>IF(ISNA(MATCH(1069,'Transfer Engine'!$C$2:$C$1960,0)),"",INDEX('Compliance Database'!$I$2:$I$1960,MATCH(1069,'Transfer Engine'!$C$2:$C$1960,0)))</f>
        <v/>
      </c>
      <c r="J1078" s="8">
        <f>IF(ISNA(MATCH(1069,'Transfer Engine'!$C$2:$C$1960,0)),"",INDEX('Compliance Database'!$J$2:$J$1960,MATCH(1069,'Transfer Engine'!$C$2:$C$1960,0)))</f>
        <v/>
      </c>
      <c r="K1078" s="9">
        <f>IF(ISNA(MATCH(1069,'Transfer Engine'!$C$2:$C$1960,0)),"",INDEX('Compliance Database'!$K$2:$K$1960,MATCH(1069,'Transfer Engine'!$C$2:$C$1960,0)))</f>
        <v/>
      </c>
      <c r="L1078" s="9">
        <f>IF(ISNA(MATCH(1069,'Transfer Engine'!$C$2:$C$1960,0)),"",INDEX('Compliance Database'!$L$2:$L$1960,MATCH(1069,'Transfer Engine'!$C$2:$C$1960,0)))</f>
        <v/>
      </c>
      <c r="M1078" s="9">
        <f>IF(ISNA(MATCH(1069,'Transfer Engine'!$C$2:$C$1960,0)),"",INDEX('Compliance Database'!$M$2:$M$1960,MATCH(1069,'Transfer Engine'!$C$2:$C$1960,0)))</f>
        <v/>
      </c>
      <c r="N1078" s="9">
        <f>IF(ISNA(MATCH(1069,'Transfer Engine'!$C$2:$C$1960,0)),"",INDEX('Compliance Database'!$N$2:$N$1960,MATCH(1069,'Transfer Engine'!$C$2:$C$1960,0)))</f>
        <v/>
      </c>
      <c r="O1078" s="9">
        <f>IF(ISNA(MATCH(1069,'Transfer Engine'!$C$2:$C$1960,0)),"",INDEX('Compliance Database'!$O$2:$O$1960,MATCH(1069,'Transfer Engine'!$C$2:$C$1960,0)))</f>
        <v/>
      </c>
      <c r="P1078" s="8">
        <f>IF(ISNA(MATCH(1069,'Transfer Engine'!$C$2:$C$1960,0)),"",HYPERLINK("#Acts!A"&amp;INDEX('Compliance Database'!$P$2:$P$1960,MATCH(1069,'Transfer Engine'!$C$2:$C$1960,0)),"Go to Act"))</f>
        <v/>
      </c>
    </row>
    <row r="1079" ht="158" customHeight="1">
      <c r="A1079" s="8">
        <f>IF(ISNA(MATCH(1070,'Transfer Engine'!$C$2:$C$1960,0)),"",INDEX('Compliance Database'!$A$2:$A$1960,MATCH(1070,'Transfer Engine'!$C$2:$C$1960,0)))</f>
        <v/>
      </c>
      <c r="B1079" s="8">
        <f>IF(ISNA(MATCH(1070,'Transfer Engine'!$C$2:$C$1960,0)),"",INDEX('Compliance Database'!$B$2:$B$1960,MATCH(1070,'Transfer Engine'!$C$2:$C$1960,0)))</f>
        <v/>
      </c>
      <c r="C1079" s="8">
        <f>IF(ISNA(MATCH(1070,'Transfer Engine'!$C$2:$C$1960,0)),"",INDEX('Compliance Database'!$C$2:$C$1960,MATCH(1070,'Transfer Engine'!$C$2:$C$1960,0)))</f>
        <v/>
      </c>
      <c r="D1079" s="9">
        <f>IF(ISNA(MATCH(1070,'Transfer Engine'!$C$2:$C$1960,0)),"",INDEX('Compliance Database'!$D$2:$D$1960,MATCH(1070,'Transfer Engine'!$C$2:$C$1960,0)))</f>
        <v/>
      </c>
      <c r="E1079" s="8">
        <f>IF(ISNA(MATCH(1070,'Transfer Engine'!$C$2:$C$1960,0)),"",INDEX('Compliance Database'!$E$2:$E$1960,MATCH(1070,'Transfer Engine'!$C$2:$C$1960,0)))</f>
        <v/>
      </c>
      <c r="F1079" s="8">
        <f>IF(ISNA(MATCH(1070,'Transfer Engine'!$C$2:$C$1960,0)),"",INDEX('Compliance Database'!$F$2:$F$1960,MATCH(1070,'Transfer Engine'!$C$2:$C$1960,0)))</f>
        <v/>
      </c>
      <c r="G1079" s="8">
        <f>IF(ISNA(MATCH(1070,'Transfer Engine'!$C$2:$C$1960,0)),"",INDEX('Compliance Database'!$G$2:$G$1960,MATCH(1070,'Transfer Engine'!$C$2:$C$1960,0)))</f>
        <v/>
      </c>
      <c r="H1079" s="9">
        <f>IF(ISNA(MATCH(1070,'Transfer Engine'!$C$2:$C$1960,0)),"",INDEX('Compliance Database'!$H$2:$H$1960,MATCH(1070,'Transfer Engine'!$C$2:$C$1960,0)))</f>
        <v/>
      </c>
      <c r="I1079" s="9">
        <f>IF(ISNA(MATCH(1070,'Transfer Engine'!$C$2:$C$1960,0)),"",INDEX('Compliance Database'!$I$2:$I$1960,MATCH(1070,'Transfer Engine'!$C$2:$C$1960,0)))</f>
        <v/>
      </c>
      <c r="J1079" s="8">
        <f>IF(ISNA(MATCH(1070,'Transfer Engine'!$C$2:$C$1960,0)),"",INDEX('Compliance Database'!$J$2:$J$1960,MATCH(1070,'Transfer Engine'!$C$2:$C$1960,0)))</f>
        <v/>
      </c>
      <c r="K1079" s="9">
        <f>IF(ISNA(MATCH(1070,'Transfer Engine'!$C$2:$C$1960,0)),"",INDEX('Compliance Database'!$K$2:$K$1960,MATCH(1070,'Transfer Engine'!$C$2:$C$1960,0)))</f>
        <v/>
      </c>
      <c r="L1079" s="9">
        <f>IF(ISNA(MATCH(1070,'Transfer Engine'!$C$2:$C$1960,0)),"",INDEX('Compliance Database'!$L$2:$L$1960,MATCH(1070,'Transfer Engine'!$C$2:$C$1960,0)))</f>
        <v/>
      </c>
      <c r="M1079" s="9">
        <f>IF(ISNA(MATCH(1070,'Transfer Engine'!$C$2:$C$1960,0)),"",INDEX('Compliance Database'!$M$2:$M$1960,MATCH(1070,'Transfer Engine'!$C$2:$C$1960,0)))</f>
        <v/>
      </c>
      <c r="N1079" s="9">
        <f>IF(ISNA(MATCH(1070,'Transfer Engine'!$C$2:$C$1960,0)),"",INDEX('Compliance Database'!$N$2:$N$1960,MATCH(1070,'Transfer Engine'!$C$2:$C$1960,0)))</f>
        <v/>
      </c>
      <c r="O1079" s="9">
        <f>IF(ISNA(MATCH(1070,'Transfer Engine'!$C$2:$C$1960,0)),"",INDEX('Compliance Database'!$O$2:$O$1960,MATCH(1070,'Transfer Engine'!$C$2:$C$1960,0)))</f>
        <v/>
      </c>
      <c r="P1079" s="8">
        <f>IF(ISNA(MATCH(1070,'Transfer Engine'!$C$2:$C$1960,0)),"",HYPERLINK("#Acts!A"&amp;INDEX('Compliance Database'!$P$2:$P$1960,MATCH(1070,'Transfer Engine'!$C$2:$C$1960,0)),"Go to Act"))</f>
        <v/>
      </c>
    </row>
    <row r="1080" ht="158" customHeight="1">
      <c r="A1080" s="8">
        <f>IF(ISNA(MATCH(1071,'Transfer Engine'!$C$2:$C$1960,0)),"",INDEX('Compliance Database'!$A$2:$A$1960,MATCH(1071,'Transfer Engine'!$C$2:$C$1960,0)))</f>
        <v/>
      </c>
      <c r="B1080" s="8">
        <f>IF(ISNA(MATCH(1071,'Transfer Engine'!$C$2:$C$1960,0)),"",INDEX('Compliance Database'!$B$2:$B$1960,MATCH(1071,'Transfer Engine'!$C$2:$C$1960,0)))</f>
        <v/>
      </c>
      <c r="C1080" s="8">
        <f>IF(ISNA(MATCH(1071,'Transfer Engine'!$C$2:$C$1960,0)),"",INDEX('Compliance Database'!$C$2:$C$1960,MATCH(1071,'Transfer Engine'!$C$2:$C$1960,0)))</f>
        <v/>
      </c>
      <c r="D1080" s="9">
        <f>IF(ISNA(MATCH(1071,'Transfer Engine'!$C$2:$C$1960,0)),"",INDEX('Compliance Database'!$D$2:$D$1960,MATCH(1071,'Transfer Engine'!$C$2:$C$1960,0)))</f>
        <v/>
      </c>
      <c r="E1080" s="8">
        <f>IF(ISNA(MATCH(1071,'Transfer Engine'!$C$2:$C$1960,0)),"",INDEX('Compliance Database'!$E$2:$E$1960,MATCH(1071,'Transfer Engine'!$C$2:$C$1960,0)))</f>
        <v/>
      </c>
      <c r="F1080" s="8">
        <f>IF(ISNA(MATCH(1071,'Transfer Engine'!$C$2:$C$1960,0)),"",INDEX('Compliance Database'!$F$2:$F$1960,MATCH(1071,'Transfer Engine'!$C$2:$C$1960,0)))</f>
        <v/>
      </c>
      <c r="G1080" s="8">
        <f>IF(ISNA(MATCH(1071,'Transfer Engine'!$C$2:$C$1960,0)),"",INDEX('Compliance Database'!$G$2:$G$1960,MATCH(1071,'Transfer Engine'!$C$2:$C$1960,0)))</f>
        <v/>
      </c>
      <c r="H1080" s="9">
        <f>IF(ISNA(MATCH(1071,'Transfer Engine'!$C$2:$C$1960,0)),"",INDEX('Compliance Database'!$H$2:$H$1960,MATCH(1071,'Transfer Engine'!$C$2:$C$1960,0)))</f>
        <v/>
      </c>
      <c r="I1080" s="9">
        <f>IF(ISNA(MATCH(1071,'Transfer Engine'!$C$2:$C$1960,0)),"",INDEX('Compliance Database'!$I$2:$I$1960,MATCH(1071,'Transfer Engine'!$C$2:$C$1960,0)))</f>
        <v/>
      </c>
      <c r="J1080" s="8">
        <f>IF(ISNA(MATCH(1071,'Transfer Engine'!$C$2:$C$1960,0)),"",INDEX('Compliance Database'!$J$2:$J$1960,MATCH(1071,'Transfer Engine'!$C$2:$C$1960,0)))</f>
        <v/>
      </c>
      <c r="K1080" s="9">
        <f>IF(ISNA(MATCH(1071,'Transfer Engine'!$C$2:$C$1960,0)),"",INDEX('Compliance Database'!$K$2:$K$1960,MATCH(1071,'Transfer Engine'!$C$2:$C$1960,0)))</f>
        <v/>
      </c>
      <c r="L1080" s="9">
        <f>IF(ISNA(MATCH(1071,'Transfer Engine'!$C$2:$C$1960,0)),"",INDEX('Compliance Database'!$L$2:$L$1960,MATCH(1071,'Transfer Engine'!$C$2:$C$1960,0)))</f>
        <v/>
      </c>
      <c r="M1080" s="9">
        <f>IF(ISNA(MATCH(1071,'Transfer Engine'!$C$2:$C$1960,0)),"",INDEX('Compliance Database'!$M$2:$M$1960,MATCH(1071,'Transfer Engine'!$C$2:$C$1960,0)))</f>
        <v/>
      </c>
      <c r="N1080" s="9">
        <f>IF(ISNA(MATCH(1071,'Transfer Engine'!$C$2:$C$1960,0)),"",INDEX('Compliance Database'!$N$2:$N$1960,MATCH(1071,'Transfer Engine'!$C$2:$C$1960,0)))</f>
        <v/>
      </c>
      <c r="O1080" s="9">
        <f>IF(ISNA(MATCH(1071,'Transfer Engine'!$C$2:$C$1960,0)),"",INDEX('Compliance Database'!$O$2:$O$1960,MATCH(1071,'Transfer Engine'!$C$2:$C$1960,0)))</f>
        <v/>
      </c>
      <c r="P1080" s="8">
        <f>IF(ISNA(MATCH(1071,'Transfer Engine'!$C$2:$C$1960,0)),"",HYPERLINK("#Acts!A"&amp;INDEX('Compliance Database'!$P$2:$P$1960,MATCH(1071,'Transfer Engine'!$C$2:$C$1960,0)),"Go to Act"))</f>
        <v/>
      </c>
    </row>
    <row r="1081" ht="158" customHeight="1">
      <c r="A1081" s="8">
        <f>IF(ISNA(MATCH(1072,'Transfer Engine'!$C$2:$C$1960,0)),"",INDEX('Compliance Database'!$A$2:$A$1960,MATCH(1072,'Transfer Engine'!$C$2:$C$1960,0)))</f>
        <v/>
      </c>
      <c r="B1081" s="8">
        <f>IF(ISNA(MATCH(1072,'Transfer Engine'!$C$2:$C$1960,0)),"",INDEX('Compliance Database'!$B$2:$B$1960,MATCH(1072,'Transfer Engine'!$C$2:$C$1960,0)))</f>
        <v/>
      </c>
      <c r="C1081" s="8">
        <f>IF(ISNA(MATCH(1072,'Transfer Engine'!$C$2:$C$1960,0)),"",INDEX('Compliance Database'!$C$2:$C$1960,MATCH(1072,'Transfer Engine'!$C$2:$C$1960,0)))</f>
        <v/>
      </c>
      <c r="D1081" s="9">
        <f>IF(ISNA(MATCH(1072,'Transfer Engine'!$C$2:$C$1960,0)),"",INDEX('Compliance Database'!$D$2:$D$1960,MATCH(1072,'Transfer Engine'!$C$2:$C$1960,0)))</f>
        <v/>
      </c>
      <c r="E1081" s="8">
        <f>IF(ISNA(MATCH(1072,'Transfer Engine'!$C$2:$C$1960,0)),"",INDEX('Compliance Database'!$E$2:$E$1960,MATCH(1072,'Transfer Engine'!$C$2:$C$1960,0)))</f>
        <v/>
      </c>
      <c r="F1081" s="8">
        <f>IF(ISNA(MATCH(1072,'Transfer Engine'!$C$2:$C$1960,0)),"",INDEX('Compliance Database'!$F$2:$F$1960,MATCH(1072,'Transfer Engine'!$C$2:$C$1960,0)))</f>
        <v/>
      </c>
      <c r="G1081" s="8">
        <f>IF(ISNA(MATCH(1072,'Transfer Engine'!$C$2:$C$1960,0)),"",INDEX('Compliance Database'!$G$2:$G$1960,MATCH(1072,'Transfer Engine'!$C$2:$C$1960,0)))</f>
        <v/>
      </c>
      <c r="H1081" s="9">
        <f>IF(ISNA(MATCH(1072,'Transfer Engine'!$C$2:$C$1960,0)),"",INDEX('Compliance Database'!$H$2:$H$1960,MATCH(1072,'Transfer Engine'!$C$2:$C$1960,0)))</f>
        <v/>
      </c>
      <c r="I1081" s="9">
        <f>IF(ISNA(MATCH(1072,'Transfer Engine'!$C$2:$C$1960,0)),"",INDEX('Compliance Database'!$I$2:$I$1960,MATCH(1072,'Transfer Engine'!$C$2:$C$1960,0)))</f>
        <v/>
      </c>
      <c r="J1081" s="8">
        <f>IF(ISNA(MATCH(1072,'Transfer Engine'!$C$2:$C$1960,0)),"",INDEX('Compliance Database'!$J$2:$J$1960,MATCH(1072,'Transfer Engine'!$C$2:$C$1960,0)))</f>
        <v/>
      </c>
      <c r="K1081" s="9">
        <f>IF(ISNA(MATCH(1072,'Transfer Engine'!$C$2:$C$1960,0)),"",INDEX('Compliance Database'!$K$2:$K$1960,MATCH(1072,'Transfer Engine'!$C$2:$C$1960,0)))</f>
        <v/>
      </c>
      <c r="L1081" s="9">
        <f>IF(ISNA(MATCH(1072,'Transfer Engine'!$C$2:$C$1960,0)),"",INDEX('Compliance Database'!$L$2:$L$1960,MATCH(1072,'Transfer Engine'!$C$2:$C$1960,0)))</f>
        <v/>
      </c>
      <c r="M1081" s="9">
        <f>IF(ISNA(MATCH(1072,'Transfer Engine'!$C$2:$C$1960,0)),"",INDEX('Compliance Database'!$M$2:$M$1960,MATCH(1072,'Transfer Engine'!$C$2:$C$1960,0)))</f>
        <v/>
      </c>
      <c r="N1081" s="9">
        <f>IF(ISNA(MATCH(1072,'Transfer Engine'!$C$2:$C$1960,0)),"",INDEX('Compliance Database'!$N$2:$N$1960,MATCH(1072,'Transfer Engine'!$C$2:$C$1960,0)))</f>
        <v/>
      </c>
      <c r="O1081" s="9">
        <f>IF(ISNA(MATCH(1072,'Transfer Engine'!$C$2:$C$1960,0)),"",INDEX('Compliance Database'!$O$2:$O$1960,MATCH(1072,'Transfer Engine'!$C$2:$C$1960,0)))</f>
        <v/>
      </c>
      <c r="P1081" s="8">
        <f>IF(ISNA(MATCH(1072,'Transfer Engine'!$C$2:$C$1960,0)),"",HYPERLINK("#Acts!A"&amp;INDEX('Compliance Database'!$P$2:$P$1960,MATCH(1072,'Transfer Engine'!$C$2:$C$1960,0)),"Go to Act"))</f>
        <v/>
      </c>
    </row>
    <row r="1082" ht="158" customHeight="1">
      <c r="A1082" s="8">
        <f>IF(ISNA(MATCH(1073,'Transfer Engine'!$C$2:$C$1960,0)),"",INDEX('Compliance Database'!$A$2:$A$1960,MATCH(1073,'Transfer Engine'!$C$2:$C$1960,0)))</f>
        <v/>
      </c>
      <c r="B1082" s="8">
        <f>IF(ISNA(MATCH(1073,'Transfer Engine'!$C$2:$C$1960,0)),"",INDEX('Compliance Database'!$B$2:$B$1960,MATCH(1073,'Transfer Engine'!$C$2:$C$1960,0)))</f>
        <v/>
      </c>
      <c r="C1082" s="8">
        <f>IF(ISNA(MATCH(1073,'Transfer Engine'!$C$2:$C$1960,0)),"",INDEX('Compliance Database'!$C$2:$C$1960,MATCH(1073,'Transfer Engine'!$C$2:$C$1960,0)))</f>
        <v/>
      </c>
      <c r="D1082" s="9">
        <f>IF(ISNA(MATCH(1073,'Transfer Engine'!$C$2:$C$1960,0)),"",INDEX('Compliance Database'!$D$2:$D$1960,MATCH(1073,'Transfer Engine'!$C$2:$C$1960,0)))</f>
        <v/>
      </c>
      <c r="E1082" s="8">
        <f>IF(ISNA(MATCH(1073,'Transfer Engine'!$C$2:$C$1960,0)),"",INDEX('Compliance Database'!$E$2:$E$1960,MATCH(1073,'Transfer Engine'!$C$2:$C$1960,0)))</f>
        <v/>
      </c>
      <c r="F1082" s="8">
        <f>IF(ISNA(MATCH(1073,'Transfer Engine'!$C$2:$C$1960,0)),"",INDEX('Compliance Database'!$F$2:$F$1960,MATCH(1073,'Transfer Engine'!$C$2:$C$1960,0)))</f>
        <v/>
      </c>
      <c r="G1082" s="8">
        <f>IF(ISNA(MATCH(1073,'Transfer Engine'!$C$2:$C$1960,0)),"",INDEX('Compliance Database'!$G$2:$G$1960,MATCH(1073,'Transfer Engine'!$C$2:$C$1960,0)))</f>
        <v/>
      </c>
      <c r="H1082" s="9">
        <f>IF(ISNA(MATCH(1073,'Transfer Engine'!$C$2:$C$1960,0)),"",INDEX('Compliance Database'!$H$2:$H$1960,MATCH(1073,'Transfer Engine'!$C$2:$C$1960,0)))</f>
        <v/>
      </c>
      <c r="I1082" s="9">
        <f>IF(ISNA(MATCH(1073,'Transfer Engine'!$C$2:$C$1960,0)),"",INDEX('Compliance Database'!$I$2:$I$1960,MATCH(1073,'Transfer Engine'!$C$2:$C$1960,0)))</f>
        <v/>
      </c>
      <c r="J1082" s="8">
        <f>IF(ISNA(MATCH(1073,'Transfer Engine'!$C$2:$C$1960,0)),"",INDEX('Compliance Database'!$J$2:$J$1960,MATCH(1073,'Transfer Engine'!$C$2:$C$1960,0)))</f>
        <v/>
      </c>
      <c r="K1082" s="9">
        <f>IF(ISNA(MATCH(1073,'Transfer Engine'!$C$2:$C$1960,0)),"",INDEX('Compliance Database'!$K$2:$K$1960,MATCH(1073,'Transfer Engine'!$C$2:$C$1960,0)))</f>
        <v/>
      </c>
      <c r="L1082" s="9">
        <f>IF(ISNA(MATCH(1073,'Transfer Engine'!$C$2:$C$1960,0)),"",INDEX('Compliance Database'!$L$2:$L$1960,MATCH(1073,'Transfer Engine'!$C$2:$C$1960,0)))</f>
        <v/>
      </c>
      <c r="M1082" s="9">
        <f>IF(ISNA(MATCH(1073,'Transfer Engine'!$C$2:$C$1960,0)),"",INDEX('Compliance Database'!$M$2:$M$1960,MATCH(1073,'Transfer Engine'!$C$2:$C$1960,0)))</f>
        <v/>
      </c>
      <c r="N1082" s="9">
        <f>IF(ISNA(MATCH(1073,'Transfer Engine'!$C$2:$C$1960,0)),"",INDEX('Compliance Database'!$N$2:$N$1960,MATCH(1073,'Transfer Engine'!$C$2:$C$1960,0)))</f>
        <v/>
      </c>
      <c r="O1082" s="9">
        <f>IF(ISNA(MATCH(1073,'Transfer Engine'!$C$2:$C$1960,0)),"",INDEX('Compliance Database'!$O$2:$O$1960,MATCH(1073,'Transfer Engine'!$C$2:$C$1960,0)))</f>
        <v/>
      </c>
      <c r="P1082" s="8">
        <f>IF(ISNA(MATCH(1073,'Transfer Engine'!$C$2:$C$1960,0)),"",HYPERLINK("#Acts!A"&amp;INDEX('Compliance Database'!$P$2:$P$1960,MATCH(1073,'Transfer Engine'!$C$2:$C$1960,0)),"Go to Act"))</f>
        <v/>
      </c>
    </row>
    <row r="1083" ht="158" customHeight="1">
      <c r="A1083" s="8">
        <f>IF(ISNA(MATCH(1074,'Transfer Engine'!$C$2:$C$1960,0)),"",INDEX('Compliance Database'!$A$2:$A$1960,MATCH(1074,'Transfer Engine'!$C$2:$C$1960,0)))</f>
        <v/>
      </c>
      <c r="B1083" s="8">
        <f>IF(ISNA(MATCH(1074,'Transfer Engine'!$C$2:$C$1960,0)),"",INDEX('Compliance Database'!$B$2:$B$1960,MATCH(1074,'Transfer Engine'!$C$2:$C$1960,0)))</f>
        <v/>
      </c>
      <c r="C1083" s="8">
        <f>IF(ISNA(MATCH(1074,'Transfer Engine'!$C$2:$C$1960,0)),"",INDEX('Compliance Database'!$C$2:$C$1960,MATCH(1074,'Transfer Engine'!$C$2:$C$1960,0)))</f>
        <v/>
      </c>
      <c r="D1083" s="9">
        <f>IF(ISNA(MATCH(1074,'Transfer Engine'!$C$2:$C$1960,0)),"",INDEX('Compliance Database'!$D$2:$D$1960,MATCH(1074,'Transfer Engine'!$C$2:$C$1960,0)))</f>
        <v/>
      </c>
      <c r="E1083" s="8">
        <f>IF(ISNA(MATCH(1074,'Transfer Engine'!$C$2:$C$1960,0)),"",INDEX('Compliance Database'!$E$2:$E$1960,MATCH(1074,'Transfer Engine'!$C$2:$C$1960,0)))</f>
        <v/>
      </c>
      <c r="F1083" s="8">
        <f>IF(ISNA(MATCH(1074,'Transfer Engine'!$C$2:$C$1960,0)),"",INDEX('Compliance Database'!$F$2:$F$1960,MATCH(1074,'Transfer Engine'!$C$2:$C$1960,0)))</f>
        <v/>
      </c>
      <c r="G1083" s="8">
        <f>IF(ISNA(MATCH(1074,'Transfer Engine'!$C$2:$C$1960,0)),"",INDEX('Compliance Database'!$G$2:$G$1960,MATCH(1074,'Transfer Engine'!$C$2:$C$1960,0)))</f>
        <v/>
      </c>
      <c r="H1083" s="9">
        <f>IF(ISNA(MATCH(1074,'Transfer Engine'!$C$2:$C$1960,0)),"",INDEX('Compliance Database'!$H$2:$H$1960,MATCH(1074,'Transfer Engine'!$C$2:$C$1960,0)))</f>
        <v/>
      </c>
      <c r="I1083" s="9">
        <f>IF(ISNA(MATCH(1074,'Transfer Engine'!$C$2:$C$1960,0)),"",INDEX('Compliance Database'!$I$2:$I$1960,MATCH(1074,'Transfer Engine'!$C$2:$C$1960,0)))</f>
        <v/>
      </c>
      <c r="J1083" s="8">
        <f>IF(ISNA(MATCH(1074,'Transfer Engine'!$C$2:$C$1960,0)),"",INDEX('Compliance Database'!$J$2:$J$1960,MATCH(1074,'Transfer Engine'!$C$2:$C$1960,0)))</f>
        <v/>
      </c>
      <c r="K1083" s="9">
        <f>IF(ISNA(MATCH(1074,'Transfer Engine'!$C$2:$C$1960,0)),"",INDEX('Compliance Database'!$K$2:$K$1960,MATCH(1074,'Transfer Engine'!$C$2:$C$1960,0)))</f>
        <v/>
      </c>
      <c r="L1083" s="9">
        <f>IF(ISNA(MATCH(1074,'Transfer Engine'!$C$2:$C$1960,0)),"",INDEX('Compliance Database'!$L$2:$L$1960,MATCH(1074,'Transfer Engine'!$C$2:$C$1960,0)))</f>
        <v/>
      </c>
      <c r="M1083" s="9">
        <f>IF(ISNA(MATCH(1074,'Transfer Engine'!$C$2:$C$1960,0)),"",INDEX('Compliance Database'!$M$2:$M$1960,MATCH(1074,'Transfer Engine'!$C$2:$C$1960,0)))</f>
        <v/>
      </c>
      <c r="N1083" s="9">
        <f>IF(ISNA(MATCH(1074,'Transfer Engine'!$C$2:$C$1960,0)),"",INDEX('Compliance Database'!$N$2:$N$1960,MATCH(1074,'Transfer Engine'!$C$2:$C$1960,0)))</f>
        <v/>
      </c>
      <c r="O1083" s="9">
        <f>IF(ISNA(MATCH(1074,'Transfer Engine'!$C$2:$C$1960,0)),"",INDEX('Compliance Database'!$O$2:$O$1960,MATCH(1074,'Transfer Engine'!$C$2:$C$1960,0)))</f>
        <v/>
      </c>
      <c r="P1083" s="8">
        <f>IF(ISNA(MATCH(1074,'Transfer Engine'!$C$2:$C$1960,0)),"",HYPERLINK("#Acts!A"&amp;INDEX('Compliance Database'!$P$2:$P$1960,MATCH(1074,'Transfer Engine'!$C$2:$C$1960,0)),"Go to Act"))</f>
        <v/>
      </c>
    </row>
    <row r="1084" ht="158" customHeight="1">
      <c r="A1084" s="8">
        <f>IF(ISNA(MATCH(1075,'Transfer Engine'!$C$2:$C$1960,0)),"",INDEX('Compliance Database'!$A$2:$A$1960,MATCH(1075,'Transfer Engine'!$C$2:$C$1960,0)))</f>
        <v/>
      </c>
      <c r="B1084" s="8">
        <f>IF(ISNA(MATCH(1075,'Transfer Engine'!$C$2:$C$1960,0)),"",INDEX('Compliance Database'!$B$2:$B$1960,MATCH(1075,'Transfer Engine'!$C$2:$C$1960,0)))</f>
        <v/>
      </c>
      <c r="C1084" s="8">
        <f>IF(ISNA(MATCH(1075,'Transfer Engine'!$C$2:$C$1960,0)),"",INDEX('Compliance Database'!$C$2:$C$1960,MATCH(1075,'Transfer Engine'!$C$2:$C$1960,0)))</f>
        <v/>
      </c>
      <c r="D1084" s="9">
        <f>IF(ISNA(MATCH(1075,'Transfer Engine'!$C$2:$C$1960,0)),"",INDEX('Compliance Database'!$D$2:$D$1960,MATCH(1075,'Transfer Engine'!$C$2:$C$1960,0)))</f>
        <v/>
      </c>
      <c r="E1084" s="8">
        <f>IF(ISNA(MATCH(1075,'Transfer Engine'!$C$2:$C$1960,0)),"",INDEX('Compliance Database'!$E$2:$E$1960,MATCH(1075,'Transfer Engine'!$C$2:$C$1960,0)))</f>
        <v/>
      </c>
      <c r="F1084" s="8">
        <f>IF(ISNA(MATCH(1075,'Transfer Engine'!$C$2:$C$1960,0)),"",INDEX('Compliance Database'!$F$2:$F$1960,MATCH(1075,'Transfer Engine'!$C$2:$C$1960,0)))</f>
        <v/>
      </c>
      <c r="G1084" s="8">
        <f>IF(ISNA(MATCH(1075,'Transfer Engine'!$C$2:$C$1960,0)),"",INDEX('Compliance Database'!$G$2:$G$1960,MATCH(1075,'Transfer Engine'!$C$2:$C$1960,0)))</f>
        <v/>
      </c>
      <c r="H1084" s="9">
        <f>IF(ISNA(MATCH(1075,'Transfer Engine'!$C$2:$C$1960,0)),"",INDEX('Compliance Database'!$H$2:$H$1960,MATCH(1075,'Transfer Engine'!$C$2:$C$1960,0)))</f>
        <v/>
      </c>
      <c r="I1084" s="9">
        <f>IF(ISNA(MATCH(1075,'Transfer Engine'!$C$2:$C$1960,0)),"",INDEX('Compliance Database'!$I$2:$I$1960,MATCH(1075,'Transfer Engine'!$C$2:$C$1960,0)))</f>
        <v/>
      </c>
      <c r="J1084" s="8">
        <f>IF(ISNA(MATCH(1075,'Transfer Engine'!$C$2:$C$1960,0)),"",INDEX('Compliance Database'!$J$2:$J$1960,MATCH(1075,'Transfer Engine'!$C$2:$C$1960,0)))</f>
        <v/>
      </c>
      <c r="K1084" s="9">
        <f>IF(ISNA(MATCH(1075,'Transfer Engine'!$C$2:$C$1960,0)),"",INDEX('Compliance Database'!$K$2:$K$1960,MATCH(1075,'Transfer Engine'!$C$2:$C$1960,0)))</f>
        <v/>
      </c>
      <c r="L1084" s="9">
        <f>IF(ISNA(MATCH(1075,'Transfer Engine'!$C$2:$C$1960,0)),"",INDEX('Compliance Database'!$L$2:$L$1960,MATCH(1075,'Transfer Engine'!$C$2:$C$1960,0)))</f>
        <v/>
      </c>
      <c r="M1084" s="9">
        <f>IF(ISNA(MATCH(1075,'Transfer Engine'!$C$2:$C$1960,0)),"",INDEX('Compliance Database'!$M$2:$M$1960,MATCH(1075,'Transfer Engine'!$C$2:$C$1960,0)))</f>
        <v/>
      </c>
      <c r="N1084" s="9">
        <f>IF(ISNA(MATCH(1075,'Transfer Engine'!$C$2:$C$1960,0)),"",INDEX('Compliance Database'!$N$2:$N$1960,MATCH(1075,'Transfer Engine'!$C$2:$C$1960,0)))</f>
        <v/>
      </c>
      <c r="O1084" s="9">
        <f>IF(ISNA(MATCH(1075,'Transfer Engine'!$C$2:$C$1960,0)),"",INDEX('Compliance Database'!$O$2:$O$1960,MATCH(1075,'Transfer Engine'!$C$2:$C$1960,0)))</f>
        <v/>
      </c>
      <c r="P1084" s="8">
        <f>IF(ISNA(MATCH(1075,'Transfer Engine'!$C$2:$C$1960,0)),"",HYPERLINK("#Acts!A"&amp;INDEX('Compliance Database'!$P$2:$P$1960,MATCH(1075,'Transfer Engine'!$C$2:$C$1960,0)),"Go to Act"))</f>
        <v/>
      </c>
    </row>
    <row r="1085" ht="158" customHeight="1">
      <c r="A1085" s="8">
        <f>IF(ISNA(MATCH(1076,'Transfer Engine'!$C$2:$C$1960,0)),"",INDEX('Compliance Database'!$A$2:$A$1960,MATCH(1076,'Transfer Engine'!$C$2:$C$1960,0)))</f>
        <v/>
      </c>
      <c r="B1085" s="8">
        <f>IF(ISNA(MATCH(1076,'Transfer Engine'!$C$2:$C$1960,0)),"",INDEX('Compliance Database'!$B$2:$B$1960,MATCH(1076,'Transfer Engine'!$C$2:$C$1960,0)))</f>
        <v/>
      </c>
      <c r="C1085" s="8">
        <f>IF(ISNA(MATCH(1076,'Transfer Engine'!$C$2:$C$1960,0)),"",INDEX('Compliance Database'!$C$2:$C$1960,MATCH(1076,'Transfer Engine'!$C$2:$C$1960,0)))</f>
        <v/>
      </c>
      <c r="D1085" s="9">
        <f>IF(ISNA(MATCH(1076,'Transfer Engine'!$C$2:$C$1960,0)),"",INDEX('Compliance Database'!$D$2:$D$1960,MATCH(1076,'Transfer Engine'!$C$2:$C$1960,0)))</f>
        <v/>
      </c>
      <c r="E1085" s="8">
        <f>IF(ISNA(MATCH(1076,'Transfer Engine'!$C$2:$C$1960,0)),"",INDEX('Compliance Database'!$E$2:$E$1960,MATCH(1076,'Transfer Engine'!$C$2:$C$1960,0)))</f>
        <v/>
      </c>
      <c r="F1085" s="8">
        <f>IF(ISNA(MATCH(1076,'Transfer Engine'!$C$2:$C$1960,0)),"",INDEX('Compliance Database'!$F$2:$F$1960,MATCH(1076,'Transfer Engine'!$C$2:$C$1960,0)))</f>
        <v/>
      </c>
      <c r="G1085" s="8">
        <f>IF(ISNA(MATCH(1076,'Transfer Engine'!$C$2:$C$1960,0)),"",INDEX('Compliance Database'!$G$2:$G$1960,MATCH(1076,'Transfer Engine'!$C$2:$C$1960,0)))</f>
        <v/>
      </c>
      <c r="H1085" s="9">
        <f>IF(ISNA(MATCH(1076,'Transfer Engine'!$C$2:$C$1960,0)),"",INDEX('Compliance Database'!$H$2:$H$1960,MATCH(1076,'Transfer Engine'!$C$2:$C$1960,0)))</f>
        <v/>
      </c>
      <c r="I1085" s="9">
        <f>IF(ISNA(MATCH(1076,'Transfer Engine'!$C$2:$C$1960,0)),"",INDEX('Compliance Database'!$I$2:$I$1960,MATCH(1076,'Transfer Engine'!$C$2:$C$1960,0)))</f>
        <v/>
      </c>
      <c r="J1085" s="8">
        <f>IF(ISNA(MATCH(1076,'Transfer Engine'!$C$2:$C$1960,0)),"",INDEX('Compliance Database'!$J$2:$J$1960,MATCH(1076,'Transfer Engine'!$C$2:$C$1960,0)))</f>
        <v/>
      </c>
      <c r="K1085" s="9">
        <f>IF(ISNA(MATCH(1076,'Transfer Engine'!$C$2:$C$1960,0)),"",INDEX('Compliance Database'!$K$2:$K$1960,MATCH(1076,'Transfer Engine'!$C$2:$C$1960,0)))</f>
        <v/>
      </c>
      <c r="L1085" s="9">
        <f>IF(ISNA(MATCH(1076,'Transfer Engine'!$C$2:$C$1960,0)),"",INDEX('Compliance Database'!$L$2:$L$1960,MATCH(1076,'Transfer Engine'!$C$2:$C$1960,0)))</f>
        <v/>
      </c>
      <c r="M1085" s="9">
        <f>IF(ISNA(MATCH(1076,'Transfer Engine'!$C$2:$C$1960,0)),"",INDEX('Compliance Database'!$M$2:$M$1960,MATCH(1076,'Transfer Engine'!$C$2:$C$1960,0)))</f>
        <v/>
      </c>
      <c r="N1085" s="9">
        <f>IF(ISNA(MATCH(1076,'Transfer Engine'!$C$2:$C$1960,0)),"",INDEX('Compliance Database'!$N$2:$N$1960,MATCH(1076,'Transfer Engine'!$C$2:$C$1960,0)))</f>
        <v/>
      </c>
      <c r="O1085" s="9">
        <f>IF(ISNA(MATCH(1076,'Transfer Engine'!$C$2:$C$1960,0)),"",INDEX('Compliance Database'!$O$2:$O$1960,MATCH(1076,'Transfer Engine'!$C$2:$C$1960,0)))</f>
        <v/>
      </c>
      <c r="P1085" s="8">
        <f>IF(ISNA(MATCH(1076,'Transfer Engine'!$C$2:$C$1960,0)),"",HYPERLINK("#Acts!A"&amp;INDEX('Compliance Database'!$P$2:$P$1960,MATCH(1076,'Transfer Engine'!$C$2:$C$1960,0)),"Go to Act"))</f>
        <v/>
      </c>
    </row>
    <row r="1086" ht="158" customHeight="1">
      <c r="A1086" s="8">
        <f>IF(ISNA(MATCH(1077,'Transfer Engine'!$C$2:$C$1960,0)),"",INDEX('Compliance Database'!$A$2:$A$1960,MATCH(1077,'Transfer Engine'!$C$2:$C$1960,0)))</f>
        <v/>
      </c>
      <c r="B1086" s="8">
        <f>IF(ISNA(MATCH(1077,'Transfer Engine'!$C$2:$C$1960,0)),"",INDEX('Compliance Database'!$B$2:$B$1960,MATCH(1077,'Transfer Engine'!$C$2:$C$1960,0)))</f>
        <v/>
      </c>
      <c r="C1086" s="8">
        <f>IF(ISNA(MATCH(1077,'Transfer Engine'!$C$2:$C$1960,0)),"",INDEX('Compliance Database'!$C$2:$C$1960,MATCH(1077,'Transfer Engine'!$C$2:$C$1960,0)))</f>
        <v/>
      </c>
      <c r="D1086" s="9">
        <f>IF(ISNA(MATCH(1077,'Transfer Engine'!$C$2:$C$1960,0)),"",INDEX('Compliance Database'!$D$2:$D$1960,MATCH(1077,'Transfer Engine'!$C$2:$C$1960,0)))</f>
        <v/>
      </c>
      <c r="E1086" s="8">
        <f>IF(ISNA(MATCH(1077,'Transfer Engine'!$C$2:$C$1960,0)),"",INDEX('Compliance Database'!$E$2:$E$1960,MATCH(1077,'Transfer Engine'!$C$2:$C$1960,0)))</f>
        <v/>
      </c>
      <c r="F1086" s="8">
        <f>IF(ISNA(MATCH(1077,'Transfer Engine'!$C$2:$C$1960,0)),"",INDEX('Compliance Database'!$F$2:$F$1960,MATCH(1077,'Transfer Engine'!$C$2:$C$1960,0)))</f>
        <v/>
      </c>
      <c r="G1086" s="8">
        <f>IF(ISNA(MATCH(1077,'Transfer Engine'!$C$2:$C$1960,0)),"",INDEX('Compliance Database'!$G$2:$G$1960,MATCH(1077,'Transfer Engine'!$C$2:$C$1960,0)))</f>
        <v/>
      </c>
      <c r="H1086" s="9">
        <f>IF(ISNA(MATCH(1077,'Transfer Engine'!$C$2:$C$1960,0)),"",INDEX('Compliance Database'!$H$2:$H$1960,MATCH(1077,'Transfer Engine'!$C$2:$C$1960,0)))</f>
        <v/>
      </c>
      <c r="I1086" s="9">
        <f>IF(ISNA(MATCH(1077,'Transfer Engine'!$C$2:$C$1960,0)),"",INDEX('Compliance Database'!$I$2:$I$1960,MATCH(1077,'Transfer Engine'!$C$2:$C$1960,0)))</f>
        <v/>
      </c>
      <c r="J1086" s="8">
        <f>IF(ISNA(MATCH(1077,'Transfer Engine'!$C$2:$C$1960,0)),"",INDEX('Compliance Database'!$J$2:$J$1960,MATCH(1077,'Transfer Engine'!$C$2:$C$1960,0)))</f>
        <v/>
      </c>
      <c r="K1086" s="9">
        <f>IF(ISNA(MATCH(1077,'Transfer Engine'!$C$2:$C$1960,0)),"",INDEX('Compliance Database'!$K$2:$K$1960,MATCH(1077,'Transfer Engine'!$C$2:$C$1960,0)))</f>
        <v/>
      </c>
      <c r="L1086" s="9">
        <f>IF(ISNA(MATCH(1077,'Transfer Engine'!$C$2:$C$1960,0)),"",INDEX('Compliance Database'!$L$2:$L$1960,MATCH(1077,'Transfer Engine'!$C$2:$C$1960,0)))</f>
        <v/>
      </c>
      <c r="M1086" s="9">
        <f>IF(ISNA(MATCH(1077,'Transfer Engine'!$C$2:$C$1960,0)),"",INDEX('Compliance Database'!$M$2:$M$1960,MATCH(1077,'Transfer Engine'!$C$2:$C$1960,0)))</f>
        <v/>
      </c>
      <c r="N1086" s="9">
        <f>IF(ISNA(MATCH(1077,'Transfer Engine'!$C$2:$C$1960,0)),"",INDEX('Compliance Database'!$N$2:$N$1960,MATCH(1077,'Transfer Engine'!$C$2:$C$1960,0)))</f>
        <v/>
      </c>
      <c r="O1086" s="9">
        <f>IF(ISNA(MATCH(1077,'Transfer Engine'!$C$2:$C$1960,0)),"",INDEX('Compliance Database'!$O$2:$O$1960,MATCH(1077,'Transfer Engine'!$C$2:$C$1960,0)))</f>
        <v/>
      </c>
      <c r="P1086" s="8">
        <f>IF(ISNA(MATCH(1077,'Transfer Engine'!$C$2:$C$1960,0)),"",HYPERLINK("#Acts!A"&amp;INDEX('Compliance Database'!$P$2:$P$1960,MATCH(1077,'Transfer Engine'!$C$2:$C$1960,0)),"Go to Act"))</f>
        <v/>
      </c>
    </row>
    <row r="1087" ht="158" customHeight="1">
      <c r="A1087" s="8">
        <f>IF(ISNA(MATCH(1078,'Transfer Engine'!$C$2:$C$1960,0)),"",INDEX('Compliance Database'!$A$2:$A$1960,MATCH(1078,'Transfer Engine'!$C$2:$C$1960,0)))</f>
        <v/>
      </c>
      <c r="B1087" s="8">
        <f>IF(ISNA(MATCH(1078,'Transfer Engine'!$C$2:$C$1960,0)),"",INDEX('Compliance Database'!$B$2:$B$1960,MATCH(1078,'Transfer Engine'!$C$2:$C$1960,0)))</f>
        <v/>
      </c>
      <c r="C1087" s="8">
        <f>IF(ISNA(MATCH(1078,'Transfer Engine'!$C$2:$C$1960,0)),"",INDEX('Compliance Database'!$C$2:$C$1960,MATCH(1078,'Transfer Engine'!$C$2:$C$1960,0)))</f>
        <v/>
      </c>
      <c r="D1087" s="9">
        <f>IF(ISNA(MATCH(1078,'Transfer Engine'!$C$2:$C$1960,0)),"",INDEX('Compliance Database'!$D$2:$D$1960,MATCH(1078,'Transfer Engine'!$C$2:$C$1960,0)))</f>
        <v/>
      </c>
      <c r="E1087" s="8">
        <f>IF(ISNA(MATCH(1078,'Transfer Engine'!$C$2:$C$1960,0)),"",INDEX('Compliance Database'!$E$2:$E$1960,MATCH(1078,'Transfer Engine'!$C$2:$C$1960,0)))</f>
        <v/>
      </c>
      <c r="F1087" s="8">
        <f>IF(ISNA(MATCH(1078,'Transfer Engine'!$C$2:$C$1960,0)),"",INDEX('Compliance Database'!$F$2:$F$1960,MATCH(1078,'Transfer Engine'!$C$2:$C$1960,0)))</f>
        <v/>
      </c>
      <c r="G1087" s="8">
        <f>IF(ISNA(MATCH(1078,'Transfer Engine'!$C$2:$C$1960,0)),"",INDEX('Compliance Database'!$G$2:$G$1960,MATCH(1078,'Transfer Engine'!$C$2:$C$1960,0)))</f>
        <v/>
      </c>
      <c r="H1087" s="9">
        <f>IF(ISNA(MATCH(1078,'Transfer Engine'!$C$2:$C$1960,0)),"",INDEX('Compliance Database'!$H$2:$H$1960,MATCH(1078,'Transfer Engine'!$C$2:$C$1960,0)))</f>
        <v/>
      </c>
      <c r="I1087" s="9">
        <f>IF(ISNA(MATCH(1078,'Transfer Engine'!$C$2:$C$1960,0)),"",INDEX('Compliance Database'!$I$2:$I$1960,MATCH(1078,'Transfer Engine'!$C$2:$C$1960,0)))</f>
        <v/>
      </c>
      <c r="J1087" s="8">
        <f>IF(ISNA(MATCH(1078,'Transfer Engine'!$C$2:$C$1960,0)),"",INDEX('Compliance Database'!$J$2:$J$1960,MATCH(1078,'Transfer Engine'!$C$2:$C$1960,0)))</f>
        <v/>
      </c>
      <c r="K1087" s="9">
        <f>IF(ISNA(MATCH(1078,'Transfer Engine'!$C$2:$C$1960,0)),"",INDEX('Compliance Database'!$K$2:$K$1960,MATCH(1078,'Transfer Engine'!$C$2:$C$1960,0)))</f>
        <v/>
      </c>
      <c r="L1087" s="9">
        <f>IF(ISNA(MATCH(1078,'Transfer Engine'!$C$2:$C$1960,0)),"",INDEX('Compliance Database'!$L$2:$L$1960,MATCH(1078,'Transfer Engine'!$C$2:$C$1960,0)))</f>
        <v/>
      </c>
      <c r="M1087" s="9">
        <f>IF(ISNA(MATCH(1078,'Transfer Engine'!$C$2:$C$1960,0)),"",INDEX('Compliance Database'!$M$2:$M$1960,MATCH(1078,'Transfer Engine'!$C$2:$C$1960,0)))</f>
        <v/>
      </c>
      <c r="N1087" s="9">
        <f>IF(ISNA(MATCH(1078,'Transfer Engine'!$C$2:$C$1960,0)),"",INDEX('Compliance Database'!$N$2:$N$1960,MATCH(1078,'Transfer Engine'!$C$2:$C$1960,0)))</f>
        <v/>
      </c>
      <c r="O1087" s="9">
        <f>IF(ISNA(MATCH(1078,'Transfer Engine'!$C$2:$C$1960,0)),"",INDEX('Compliance Database'!$O$2:$O$1960,MATCH(1078,'Transfer Engine'!$C$2:$C$1960,0)))</f>
        <v/>
      </c>
      <c r="P1087" s="8">
        <f>IF(ISNA(MATCH(1078,'Transfer Engine'!$C$2:$C$1960,0)),"",HYPERLINK("#Acts!A"&amp;INDEX('Compliance Database'!$P$2:$P$1960,MATCH(1078,'Transfer Engine'!$C$2:$C$1960,0)),"Go to Act"))</f>
        <v/>
      </c>
    </row>
    <row r="1088" ht="158" customHeight="1">
      <c r="A1088" s="8">
        <f>IF(ISNA(MATCH(1079,'Transfer Engine'!$C$2:$C$1960,0)),"",INDEX('Compliance Database'!$A$2:$A$1960,MATCH(1079,'Transfer Engine'!$C$2:$C$1960,0)))</f>
        <v/>
      </c>
      <c r="B1088" s="8">
        <f>IF(ISNA(MATCH(1079,'Transfer Engine'!$C$2:$C$1960,0)),"",INDEX('Compliance Database'!$B$2:$B$1960,MATCH(1079,'Transfer Engine'!$C$2:$C$1960,0)))</f>
        <v/>
      </c>
      <c r="C1088" s="8">
        <f>IF(ISNA(MATCH(1079,'Transfer Engine'!$C$2:$C$1960,0)),"",INDEX('Compliance Database'!$C$2:$C$1960,MATCH(1079,'Transfer Engine'!$C$2:$C$1960,0)))</f>
        <v/>
      </c>
      <c r="D1088" s="9">
        <f>IF(ISNA(MATCH(1079,'Transfer Engine'!$C$2:$C$1960,0)),"",INDEX('Compliance Database'!$D$2:$D$1960,MATCH(1079,'Transfer Engine'!$C$2:$C$1960,0)))</f>
        <v/>
      </c>
      <c r="E1088" s="8">
        <f>IF(ISNA(MATCH(1079,'Transfer Engine'!$C$2:$C$1960,0)),"",INDEX('Compliance Database'!$E$2:$E$1960,MATCH(1079,'Transfer Engine'!$C$2:$C$1960,0)))</f>
        <v/>
      </c>
      <c r="F1088" s="8">
        <f>IF(ISNA(MATCH(1079,'Transfer Engine'!$C$2:$C$1960,0)),"",INDEX('Compliance Database'!$F$2:$F$1960,MATCH(1079,'Transfer Engine'!$C$2:$C$1960,0)))</f>
        <v/>
      </c>
      <c r="G1088" s="8">
        <f>IF(ISNA(MATCH(1079,'Transfer Engine'!$C$2:$C$1960,0)),"",INDEX('Compliance Database'!$G$2:$G$1960,MATCH(1079,'Transfer Engine'!$C$2:$C$1960,0)))</f>
        <v/>
      </c>
      <c r="H1088" s="9">
        <f>IF(ISNA(MATCH(1079,'Transfer Engine'!$C$2:$C$1960,0)),"",INDEX('Compliance Database'!$H$2:$H$1960,MATCH(1079,'Transfer Engine'!$C$2:$C$1960,0)))</f>
        <v/>
      </c>
      <c r="I1088" s="9">
        <f>IF(ISNA(MATCH(1079,'Transfer Engine'!$C$2:$C$1960,0)),"",INDEX('Compliance Database'!$I$2:$I$1960,MATCH(1079,'Transfer Engine'!$C$2:$C$1960,0)))</f>
        <v/>
      </c>
      <c r="J1088" s="8">
        <f>IF(ISNA(MATCH(1079,'Transfer Engine'!$C$2:$C$1960,0)),"",INDEX('Compliance Database'!$J$2:$J$1960,MATCH(1079,'Transfer Engine'!$C$2:$C$1960,0)))</f>
        <v/>
      </c>
      <c r="K1088" s="9">
        <f>IF(ISNA(MATCH(1079,'Transfer Engine'!$C$2:$C$1960,0)),"",INDEX('Compliance Database'!$K$2:$K$1960,MATCH(1079,'Transfer Engine'!$C$2:$C$1960,0)))</f>
        <v/>
      </c>
      <c r="L1088" s="9">
        <f>IF(ISNA(MATCH(1079,'Transfer Engine'!$C$2:$C$1960,0)),"",INDEX('Compliance Database'!$L$2:$L$1960,MATCH(1079,'Transfer Engine'!$C$2:$C$1960,0)))</f>
        <v/>
      </c>
      <c r="M1088" s="9">
        <f>IF(ISNA(MATCH(1079,'Transfer Engine'!$C$2:$C$1960,0)),"",INDEX('Compliance Database'!$M$2:$M$1960,MATCH(1079,'Transfer Engine'!$C$2:$C$1960,0)))</f>
        <v/>
      </c>
      <c r="N1088" s="9">
        <f>IF(ISNA(MATCH(1079,'Transfer Engine'!$C$2:$C$1960,0)),"",INDEX('Compliance Database'!$N$2:$N$1960,MATCH(1079,'Transfer Engine'!$C$2:$C$1960,0)))</f>
        <v/>
      </c>
      <c r="O1088" s="9">
        <f>IF(ISNA(MATCH(1079,'Transfer Engine'!$C$2:$C$1960,0)),"",INDEX('Compliance Database'!$O$2:$O$1960,MATCH(1079,'Transfer Engine'!$C$2:$C$1960,0)))</f>
        <v/>
      </c>
      <c r="P1088" s="8">
        <f>IF(ISNA(MATCH(1079,'Transfer Engine'!$C$2:$C$1960,0)),"",HYPERLINK("#Acts!A"&amp;INDEX('Compliance Database'!$P$2:$P$1960,MATCH(1079,'Transfer Engine'!$C$2:$C$1960,0)),"Go to Act"))</f>
        <v/>
      </c>
    </row>
    <row r="1089" ht="158" customHeight="1">
      <c r="A1089" s="8">
        <f>IF(ISNA(MATCH(1080,'Transfer Engine'!$C$2:$C$1960,0)),"",INDEX('Compliance Database'!$A$2:$A$1960,MATCH(1080,'Transfer Engine'!$C$2:$C$1960,0)))</f>
        <v/>
      </c>
      <c r="B1089" s="8">
        <f>IF(ISNA(MATCH(1080,'Transfer Engine'!$C$2:$C$1960,0)),"",INDEX('Compliance Database'!$B$2:$B$1960,MATCH(1080,'Transfer Engine'!$C$2:$C$1960,0)))</f>
        <v/>
      </c>
      <c r="C1089" s="8">
        <f>IF(ISNA(MATCH(1080,'Transfer Engine'!$C$2:$C$1960,0)),"",INDEX('Compliance Database'!$C$2:$C$1960,MATCH(1080,'Transfer Engine'!$C$2:$C$1960,0)))</f>
        <v/>
      </c>
      <c r="D1089" s="9">
        <f>IF(ISNA(MATCH(1080,'Transfer Engine'!$C$2:$C$1960,0)),"",INDEX('Compliance Database'!$D$2:$D$1960,MATCH(1080,'Transfer Engine'!$C$2:$C$1960,0)))</f>
        <v/>
      </c>
      <c r="E1089" s="8">
        <f>IF(ISNA(MATCH(1080,'Transfer Engine'!$C$2:$C$1960,0)),"",INDEX('Compliance Database'!$E$2:$E$1960,MATCH(1080,'Transfer Engine'!$C$2:$C$1960,0)))</f>
        <v/>
      </c>
      <c r="F1089" s="8">
        <f>IF(ISNA(MATCH(1080,'Transfer Engine'!$C$2:$C$1960,0)),"",INDEX('Compliance Database'!$F$2:$F$1960,MATCH(1080,'Transfer Engine'!$C$2:$C$1960,0)))</f>
        <v/>
      </c>
      <c r="G1089" s="8">
        <f>IF(ISNA(MATCH(1080,'Transfer Engine'!$C$2:$C$1960,0)),"",INDEX('Compliance Database'!$G$2:$G$1960,MATCH(1080,'Transfer Engine'!$C$2:$C$1960,0)))</f>
        <v/>
      </c>
      <c r="H1089" s="9">
        <f>IF(ISNA(MATCH(1080,'Transfer Engine'!$C$2:$C$1960,0)),"",INDEX('Compliance Database'!$H$2:$H$1960,MATCH(1080,'Transfer Engine'!$C$2:$C$1960,0)))</f>
        <v/>
      </c>
      <c r="I1089" s="9">
        <f>IF(ISNA(MATCH(1080,'Transfer Engine'!$C$2:$C$1960,0)),"",INDEX('Compliance Database'!$I$2:$I$1960,MATCH(1080,'Transfer Engine'!$C$2:$C$1960,0)))</f>
        <v/>
      </c>
      <c r="J1089" s="8">
        <f>IF(ISNA(MATCH(1080,'Transfer Engine'!$C$2:$C$1960,0)),"",INDEX('Compliance Database'!$J$2:$J$1960,MATCH(1080,'Transfer Engine'!$C$2:$C$1960,0)))</f>
        <v/>
      </c>
      <c r="K1089" s="9">
        <f>IF(ISNA(MATCH(1080,'Transfer Engine'!$C$2:$C$1960,0)),"",INDEX('Compliance Database'!$K$2:$K$1960,MATCH(1080,'Transfer Engine'!$C$2:$C$1960,0)))</f>
        <v/>
      </c>
      <c r="L1089" s="9">
        <f>IF(ISNA(MATCH(1080,'Transfer Engine'!$C$2:$C$1960,0)),"",INDEX('Compliance Database'!$L$2:$L$1960,MATCH(1080,'Transfer Engine'!$C$2:$C$1960,0)))</f>
        <v/>
      </c>
      <c r="M1089" s="9">
        <f>IF(ISNA(MATCH(1080,'Transfer Engine'!$C$2:$C$1960,0)),"",INDEX('Compliance Database'!$M$2:$M$1960,MATCH(1080,'Transfer Engine'!$C$2:$C$1960,0)))</f>
        <v/>
      </c>
      <c r="N1089" s="9">
        <f>IF(ISNA(MATCH(1080,'Transfer Engine'!$C$2:$C$1960,0)),"",INDEX('Compliance Database'!$N$2:$N$1960,MATCH(1080,'Transfer Engine'!$C$2:$C$1960,0)))</f>
        <v/>
      </c>
      <c r="O1089" s="9">
        <f>IF(ISNA(MATCH(1080,'Transfer Engine'!$C$2:$C$1960,0)),"",INDEX('Compliance Database'!$O$2:$O$1960,MATCH(1080,'Transfer Engine'!$C$2:$C$1960,0)))</f>
        <v/>
      </c>
      <c r="P1089" s="8">
        <f>IF(ISNA(MATCH(1080,'Transfer Engine'!$C$2:$C$1960,0)),"",HYPERLINK("#Acts!A"&amp;INDEX('Compliance Database'!$P$2:$P$1960,MATCH(1080,'Transfer Engine'!$C$2:$C$1960,0)),"Go to Act"))</f>
        <v/>
      </c>
    </row>
    <row r="1090" ht="158" customHeight="1">
      <c r="A1090" s="8">
        <f>IF(ISNA(MATCH(1081,'Transfer Engine'!$C$2:$C$1960,0)),"",INDEX('Compliance Database'!$A$2:$A$1960,MATCH(1081,'Transfer Engine'!$C$2:$C$1960,0)))</f>
        <v/>
      </c>
      <c r="B1090" s="8">
        <f>IF(ISNA(MATCH(1081,'Transfer Engine'!$C$2:$C$1960,0)),"",INDEX('Compliance Database'!$B$2:$B$1960,MATCH(1081,'Transfer Engine'!$C$2:$C$1960,0)))</f>
        <v/>
      </c>
      <c r="C1090" s="8">
        <f>IF(ISNA(MATCH(1081,'Transfer Engine'!$C$2:$C$1960,0)),"",INDEX('Compliance Database'!$C$2:$C$1960,MATCH(1081,'Transfer Engine'!$C$2:$C$1960,0)))</f>
        <v/>
      </c>
      <c r="D1090" s="9">
        <f>IF(ISNA(MATCH(1081,'Transfer Engine'!$C$2:$C$1960,0)),"",INDEX('Compliance Database'!$D$2:$D$1960,MATCH(1081,'Transfer Engine'!$C$2:$C$1960,0)))</f>
        <v/>
      </c>
      <c r="E1090" s="8">
        <f>IF(ISNA(MATCH(1081,'Transfer Engine'!$C$2:$C$1960,0)),"",INDEX('Compliance Database'!$E$2:$E$1960,MATCH(1081,'Transfer Engine'!$C$2:$C$1960,0)))</f>
        <v/>
      </c>
      <c r="F1090" s="8">
        <f>IF(ISNA(MATCH(1081,'Transfer Engine'!$C$2:$C$1960,0)),"",INDEX('Compliance Database'!$F$2:$F$1960,MATCH(1081,'Transfer Engine'!$C$2:$C$1960,0)))</f>
        <v/>
      </c>
      <c r="G1090" s="8">
        <f>IF(ISNA(MATCH(1081,'Transfer Engine'!$C$2:$C$1960,0)),"",INDEX('Compliance Database'!$G$2:$G$1960,MATCH(1081,'Transfer Engine'!$C$2:$C$1960,0)))</f>
        <v/>
      </c>
      <c r="H1090" s="9">
        <f>IF(ISNA(MATCH(1081,'Transfer Engine'!$C$2:$C$1960,0)),"",INDEX('Compliance Database'!$H$2:$H$1960,MATCH(1081,'Transfer Engine'!$C$2:$C$1960,0)))</f>
        <v/>
      </c>
      <c r="I1090" s="9">
        <f>IF(ISNA(MATCH(1081,'Transfer Engine'!$C$2:$C$1960,0)),"",INDEX('Compliance Database'!$I$2:$I$1960,MATCH(1081,'Transfer Engine'!$C$2:$C$1960,0)))</f>
        <v/>
      </c>
      <c r="J1090" s="8">
        <f>IF(ISNA(MATCH(1081,'Transfer Engine'!$C$2:$C$1960,0)),"",INDEX('Compliance Database'!$J$2:$J$1960,MATCH(1081,'Transfer Engine'!$C$2:$C$1960,0)))</f>
        <v/>
      </c>
      <c r="K1090" s="9">
        <f>IF(ISNA(MATCH(1081,'Transfer Engine'!$C$2:$C$1960,0)),"",INDEX('Compliance Database'!$K$2:$K$1960,MATCH(1081,'Transfer Engine'!$C$2:$C$1960,0)))</f>
        <v/>
      </c>
      <c r="L1090" s="9">
        <f>IF(ISNA(MATCH(1081,'Transfer Engine'!$C$2:$C$1960,0)),"",INDEX('Compliance Database'!$L$2:$L$1960,MATCH(1081,'Transfer Engine'!$C$2:$C$1960,0)))</f>
        <v/>
      </c>
      <c r="M1090" s="9">
        <f>IF(ISNA(MATCH(1081,'Transfer Engine'!$C$2:$C$1960,0)),"",INDEX('Compliance Database'!$M$2:$M$1960,MATCH(1081,'Transfer Engine'!$C$2:$C$1960,0)))</f>
        <v/>
      </c>
      <c r="N1090" s="9">
        <f>IF(ISNA(MATCH(1081,'Transfer Engine'!$C$2:$C$1960,0)),"",INDEX('Compliance Database'!$N$2:$N$1960,MATCH(1081,'Transfer Engine'!$C$2:$C$1960,0)))</f>
        <v/>
      </c>
      <c r="O1090" s="9">
        <f>IF(ISNA(MATCH(1081,'Transfer Engine'!$C$2:$C$1960,0)),"",INDEX('Compliance Database'!$O$2:$O$1960,MATCH(1081,'Transfer Engine'!$C$2:$C$1960,0)))</f>
        <v/>
      </c>
      <c r="P1090" s="8">
        <f>IF(ISNA(MATCH(1081,'Transfer Engine'!$C$2:$C$1960,0)),"",HYPERLINK("#Acts!A"&amp;INDEX('Compliance Database'!$P$2:$P$1960,MATCH(1081,'Transfer Engine'!$C$2:$C$1960,0)),"Go to Act"))</f>
        <v/>
      </c>
    </row>
    <row r="1091" ht="158" customHeight="1">
      <c r="A1091" s="8">
        <f>IF(ISNA(MATCH(1082,'Transfer Engine'!$C$2:$C$1960,0)),"",INDEX('Compliance Database'!$A$2:$A$1960,MATCH(1082,'Transfer Engine'!$C$2:$C$1960,0)))</f>
        <v/>
      </c>
      <c r="B1091" s="8">
        <f>IF(ISNA(MATCH(1082,'Transfer Engine'!$C$2:$C$1960,0)),"",INDEX('Compliance Database'!$B$2:$B$1960,MATCH(1082,'Transfer Engine'!$C$2:$C$1960,0)))</f>
        <v/>
      </c>
      <c r="C1091" s="8">
        <f>IF(ISNA(MATCH(1082,'Transfer Engine'!$C$2:$C$1960,0)),"",INDEX('Compliance Database'!$C$2:$C$1960,MATCH(1082,'Transfer Engine'!$C$2:$C$1960,0)))</f>
        <v/>
      </c>
      <c r="D1091" s="9">
        <f>IF(ISNA(MATCH(1082,'Transfer Engine'!$C$2:$C$1960,0)),"",INDEX('Compliance Database'!$D$2:$D$1960,MATCH(1082,'Transfer Engine'!$C$2:$C$1960,0)))</f>
        <v/>
      </c>
      <c r="E1091" s="8">
        <f>IF(ISNA(MATCH(1082,'Transfer Engine'!$C$2:$C$1960,0)),"",INDEX('Compliance Database'!$E$2:$E$1960,MATCH(1082,'Transfer Engine'!$C$2:$C$1960,0)))</f>
        <v/>
      </c>
      <c r="F1091" s="8">
        <f>IF(ISNA(MATCH(1082,'Transfer Engine'!$C$2:$C$1960,0)),"",INDEX('Compliance Database'!$F$2:$F$1960,MATCH(1082,'Transfer Engine'!$C$2:$C$1960,0)))</f>
        <v/>
      </c>
      <c r="G1091" s="8">
        <f>IF(ISNA(MATCH(1082,'Transfer Engine'!$C$2:$C$1960,0)),"",INDEX('Compliance Database'!$G$2:$G$1960,MATCH(1082,'Transfer Engine'!$C$2:$C$1960,0)))</f>
        <v/>
      </c>
      <c r="H1091" s="9">
        <f>IF(ISNA(MATCH(1082,'Transfer Engine'!$C$2:$C$1960,0)),"",INDEX('Compliance Database'!$H$2:$H$1960,MATCH(1082,'Transfer Engine'!$C$2:$C$1960,0)))</f>
        <v/>
      </c>
      <c r="I1091" s="9">
        <f>IF(ISNA(MATCH(1082,'Transfer Engine'!$C$2:$C$1960,0)),"",INDEX('Compliance Database'!$I$2:$I$1960,MATCH(1082,'Transfer Engine'!$C$2:$C$1960,0)))</f>
        <v/>
      </c>
      <c r="J1091" s="8">
        <f>IF(ISNA(MATCH(1082,'Transfer Engine'!$C$2:$C$1960,0)),"",INDEX('Compliance Database'!$J$2:$J$1960,MATCH(1082,'Transfer Engine'!$C$2:$C$1960,0)))</f>
        <v/>
      </c>
      <c r="K1091" s="9">
        <f>IF(ISNA(MATCH(1082,'Transfer Engine'!$C$2:$C$1960,0)),"",INDEX('Compliance Database'!$K$2:$K$1960,MATCH(1082,'Transfer Engine'!$C$2:$C$1960,0)))</f>
        <v/>
      </c>
      <c r="L1091" s="9">
        <f>IF(ISNA(MATCH(1082,'Transfer Engine'!$C$2:$C$1960,0)),"",INDEX('Compliance Database'!$L$2:$L$1960,MATCH(1082,'Transfer Engine'!$C$2:$C$1960,0)))</f>
        <v/>
      </c>
      <c r="M1091" s="9">
        <f>IF(ISNA(MATCH(1082,'Transfer Engine'!$C$2:$C$1960,0)),"",INDEX('Compliance Database'!$M$2:$M$1960,MATCH(1082,'Transfer Engine'!$C$2:$C$1960,0)))</f>
        <v/>
      </c>
      <c r="N1091" s="9">
        <f>IF(ISNA(MATCH(1082,'Transfer Engine'!$C$2:$C$1960,0)),"",INDEX('Compliance Database'!$N$2:$N$1960,MATCH(1082,'Transfer Engine'!$C$2:$C$1960,0)))</f>
        <v/>
      </c>
      <c r="O1091" s="9">
        <f>IF(ISNA(MATCH(1082,'Transfer Engine'!$C$2:$C$1960,0)),"",INDEX('Compliance Database'!$O$2:$O$1960,MATCH(1082,'Transfer Engine'!$C$2:$C$1960,0)))</f>
        <v/>
      </c>
      <c r="P1091" s="8">
        <f>IF(ISNA(MATCH(1082,'Transfer Engine'!$C$2:$C$1960,0)),"",HYPERLINK("#Acts!A"&amp;INDEX('Compliance Database'!$P$2:$P$1960,MATCH(1082,'Transfer Engine'!$C$2:$C$1960,0)),"Go to Act"))</f>
        <v/>
      </c>
    </row>
    <row r="1092" ht="158" customHeight="1">
      <c r="A1092" s="8">
        <f>IF(ISNA(MATCH(1083,'Transfer Engine'!$C$2:$C$1960,0)),"",INDEX('Compliance Database'!$A$2:$A$1960,MATCH(1083,'Transfer Engine'!$C$2:$C$1960,0)))</f>
        <v/>
      </c>
      <c r="B1092" s="8">
        <f>IF(ISNA(MATCH(1083,'Transfer Engine'!$C$2:$C$1960,0)),"",INDEX('Compliance Database'!$B$2:$B$1960,MATCH(1083,'Transfer Engine'!$C$2:$C$1960,0)))</f>
        <v/>
      </c>
      <c r="C1092" s="8">
        <f>IF(ISNA(MATCH(1083,'Transfer Engine'!$C$2:$C$1960,0)),"",INDEX('Compliance Database'!$C$2:$C$1960,MATCH(1083,'Transfer Engine'!$C$2:$C$1960,0)))</f>
        <v/>
      </c>
      <c r="D1092" s="9">
        <f>IF(ISNA(MATCH(1083,'Transfer Engine'!$C$2:$C$1960,0)),"",INDEX('Compliance Database'!$D$2:$D$1960,MATCH(1083,'Transfer Engine'!$C$2:$C$1960,0)))</f>
        <v/>
      </c>
      <c r="E1092" s="8">
        <f>IF(ISNA(MATCH(1083,'Transfer Engine'!$C$2:$C$1960,0)),"",INDEX('Compliance Database'!$E$2:$E$1960,MATCH(1083,'Transfer Engine'!$C$2:$C$1960,0)))</f>
        <v/>
      </c>
      <c r="F1092" s="8">
        <f>IF(ISNA(MATCH(1083,'Transfer Engine'!$C$2:$C$1960,0)),"",INDEX('Compliance Database'!$F$2:$F$1960,MATCH(1083,'Transfer Engine'!$C$2:$C$1960,0)))</f>
        <v/>
      </c>
      <c r="G1092" s="8">
        <f>IF(ISNA(MATCH(1083,'Transfer Engine'!$C$2:$C$1960,0)),"",INDEX('Compliance Database'!$G$2:$G$1960,MATCH(1083,'Transfer Engine'!$C$2:$C$1960,0)))</f>
        <v/>
      </c>
      <c r="H1092" s="9">
        <f>IF(ISNA(MATCH(1083,'Transfer Engine'!$C$2:$C$1960,0)),"",INDEX('Compliance Database'!$H$2:$H$1960,MATCH(1083,'Transfer Engine'!$C$2:$C$1960,0)))</f>
        <v/>
      </c>
      <c r="I1092" s="9">
        <f>IF(ISNA(MATCH(1083,'Transfer Engine'!$C$2:$C$1960,0)),"",INDEX('Compliance Database'!$I$2:$I$1960,MATCH(1083,'Transfer Engine'!$C$2:$C$1960,0)))</f>
        <v/>
      </c>
      <c r="J1092" s="8">
        <f>IF(ISNA(MATCH(1083,'Transfer Engine'!$C$2:$C$1960,0)),"",INDEX('Compliance Database'!$J$2:$J$1960,MATCH(1083,'Transfer Engine'!$C$2:$C$1960,0)))</f>
        <v/>
      </c>
      <c r="K1092" s="9">
        <f>IF(ISNA(MATCH(1083,'Transfer Engine'!$C$2:$C$1960,0)),"",INDEX('Compliance Database'!$K$2:$K$1960,MATCH(1083,'Transfer Engine'!$C$2:$C$1960,0)))</f>
        <v/>
      </c>
      <c r="L1092" s="9">
        <f>IF(ISNA(MATCH(1083,'Transfer Engine'!$C$2:$C$1960,0)),"",INDEX('Compliance Database'!$L$2:$L$1960,MATCH(1083,'Transfer Engine'!$C$2:$C$1960,0)))</f>
        <v/>
      </c>
      <c r="M1092" s="9">
        <f>IF(ISNA(MATCH(1083,'Transfer Engine'!$C$2:$C$1960,0)),"",INDEX('Compliance Database'!$M$2:$M$1960,MATCH(1083,'Transfer Engine'!$C$2:$C$1960,0)))</f>
        <v/>
      </c>
      <c r="N1092" s="9">
        <f>IF(ISNA(MATCH(1083,'Transfer Engine'!$C$2:$C$1960,0)),"",INDEX('Compliance Database'!$N$2:$N$1960,MATCH(1083,'Transfer Engine'!$C$2:$C$1960,0)))</f>
        <v/>
      </c>
      <c r="O1092" s="9">
        <f>IF(ISNA(MATCH(1083,'Transfer Engine'!$C$2:$C$1960,0)),"",INDEX('Compliance Database'!$O$2:$O$1960,MATCH(1083,'Transfer Engine'!$C$2:$C$1960,0)))</f>
        <v/>
      </c>
      <c r="P1092" s="8">
        <f>IF(ISNA(MATCH(1083,'Transfer Engine'!$C$2:$C$1960,0)),"",HYPERLINK("#Acts!A"&amp;INDEX('Compliance Database'!$P$2:$P$1960,MATCH(1083,'Transfer Engine'!$C$2:$C$1960,0)),"Go to Act"))</f>
        <v/>
      </c>
    </row>
    <row r="1093" ht="158" customHeight="1">
      <c r="A1093" s="8">
        <f>IF(ISNA(MATCH(1084,'Transfer Engine'!$C$2:$C$1960,0)),"",INDEX('Compliance Database'!$A$2:$A$1960,MATCH(1084,'Transfer Engine'!$C$2:$C$1960,0)))</f>
        <v/>
      </c>
      <c r="B1093" s="8">
        <f>IF(ISNA(MATCH(1084,'Transfer Engine'!$C$2:$C$1960,0)),"",INDEX('Compliance Database'!$B$2:$B$1960,MATCH(1084,'Transfer Engine'!$C$2:$C$1960,0)))</f>
        <v/>
      </c>
      <c r="C1093" s="8">
        <f>IF(ISNA(MATCH(1084,'Transfer Engine'!$C$2:$C$1960,0)),"",INDEX('Compliance Database'!$C$2:$C$1960,MATCH(1084,'Transfer Engine'!$C$2:$C$1960,0)))</f>
        <v/>
      </c>
      <c r="D1093" s="9">
        <f>IF(ISNA(MATCH(1084,'Transfer Engine'!$C$2:$C$1960,0)),"",INDEX('Compliance Database'!$D$2:$D$1960,MATCH(1084,'Transfer Engine'!$C$2:$C$1960,0)))</f>
        <v/>
      </c>
      <c r="E1093" s="8">
        <f>IF(ISNA(MATCH(1084,'Transfer Engine'!$C$2:$C$1960,0)),"",INDEX('Compliance Database'!$E$2:$E$1960,MATCH(1084,'Transfer Engine'!$C$2:$C$1960,0)))</f>
        <v/>
      </c>
      <c r="F1093" s="8">
        <f>IF(ISNA(MATCH(1084,'Transfer Engine'!$C$2:$C$1960,0)),"",INDEX('Compliance Database'!$F$2:$F$1960,MATCH(1084,'Transfer Engine'!$C$2:$C$1960,0)))</f>
        <v/>
      </c>
      <c r="G1093" s="8">
        <f>IF(ISNA(MATCH(1084,'Transfer Engine'!$C$2:$C$1960,0)),"",INDEX('Compliance Database'!$G$2:$G$1960,MATCH(1084,'Transfer Engine'!$C$2:$C$1960,0)))</f>
        <v/>
      </c>
      <c r="H1093" s="9">
        <f>IF(ISNA(MATCH(1084,'Transfer Engine'!$C$2:$C$1960,0)),"",INDEX('Compliance Database'!$H$2:$H$1960,MATCH(1084,'Transfer Engine'!$C$2:$C$1960,0)))</f>
        <v/>
      </c>
      <c r="I1093" s="9">
        <f>IF(ISNA(MATCH(1084,'Transfer Engine'!$C$2:$C$1960,0)),"",INDEX('Compliance Database'!$I$2:$I$1960,MATCH(1084,'Transfer Engine'!$C$2:$C$1960,0)))</f>
        <v/>
      </c>
      <c r="J1093" s="8">
        <f>IF(ISNA(MATCH(1084,'Transfer Engine'!$C$2:$C$1960,0)),"",INDEX('Compliance Database'!$J$2:$J$1960,MATCH(1084,'Transfer Engine'!$C$2:$C$1960,0)))</f>
        <v/>
      </c>
      <c r="K1093" s="9">
        <f>IF(ISNA(MATCH(1084,'Transfer Engine'!$C$2:$C$1960,0)),"",INDEX('Compliance Database'!$K$2:$K$1960,MATCH(1084,'Transfer Engine'!$C$2:$C$1960,0)))</f>
        <v/>
      </c>
      <c r="L1093" s="9">
        <f>IF(ISNA(MATCH(1084,'Transfer Engine'!$C$2:$C$1960,0)),"",INDEX('Compliance Database'!$L$2:$L$1960,MATCH(1084,'Transfer Engine'!$C$2:$C$1960,0)))</f>
        <v/>
      </c>
      <c r="M1093" s="9">
        <f>IF(ISNA(MATCH(1084,'Transfer Engine'!$C$2:$C$1960,0)),"",INDEX('Compliance Database'!$M$2:$M$1960,MATCH(1084,'Transfer Engine'!$C$2:$C$1960,0)))</f>
        <v/>
      </c>
      <c r="N1093" s="9">
        <f>IF(ISNA(MATCH(1084,'Transfer Engine'!$C$2:$C$1960,0)),"",INDEX('Compliance Database'!$N$2:$N$1960,MATCH(1084,'Transfer Engine'!$C$2:$C$1960,0)))</f>
        <v/>
      </c>
      <c r="O1093" s="9">
        <f>IF(ISNA(MATCH(1084,'Transfer Engine'!$C$2:$C$1960,0)),"",INDEX('Compliance Database'!$O$2:$O$1960,MATCH(1084,'Transfer Engine'!$C$2:$C$1960,0)))</f>
        <v/>
      </c>
      <c r="P1093" s="8">
        <f>IF(ISNA(MATCH(1084,'Transfer Engine'!$C$2:$C$1960,0)),"",HYPERLINK("#Acts!A"&amp;INDEX('Compliance Database'!$P$2:$P$1960,MATCH(1084,'Transfer Engine'!$C$2:$C$1960,0)),"Go to Act"))</f>
        <v/>
      </c>
    </row>
    <row r="1094" ht="158" customHeight="1">
      <c r="A1094" s="8">
        <f>IF(ISNA(MATCH(1085,'Transfer Engine'!$C$2:$C$1960,0)),"",INDEX('Compliance Database'!$A$2:$A$1960,MATCH(1085,'Transfer Engine'!$C$2:$C$1960,0)))</f>
        <v/>
      </c>
      <c r="B1094" s="8">
        <f>IF(ISNA(MATCH(1085,'Transfer Engine'!$C$2:$C$1960,0)),"",INDEX('Compliance Database'!$B$2:$B$1960,MATCH(1085,'Transfer Engine'!$C$2:$C$1960,0)))</f>
        <v/>
      </c>
      <c r="C1094" s="8">
        <f>IF(ISNA(MATCH(1085,'Transfer Engine'!$C$2:$C$1960,0)),"",INDEX('Compliance Database'!$C$2:$C$1960,MATCH(1085,'Transfer Engine'!$C$2:$C$1960,0)))</f>
        <v/>
      </c>
      <c r="D1094" s="9">
        <f>IF(ISNA(MATCH(1085,'Transfer Engine'!$C$2:$C$1960,0)),"",INDEX('Compliance Database'!$D$2:$D$1960,MATCH(1085,'Transfer Engine'!$C$2:$C$1960,0)))</f>
        <v/>
      </c>
      <c r="E1094" s="8">
        <f>IF(ISNA(MATCH(1085,'Transfer Engine'!$C$2:$C$1960,0)),"",INDEX('Compliance Database'!$E$2:$E$1960,MATCH(1085,'Transfer Engine'!$C$2:$C$1960,0)))</f>
        <v/>
      </c>
      <c r="F1094" s="8">
        <f>IF(ISNA(MATCH(1085,'Transfer Engine'!$C$2:$C$1960,0)),"",INDEX('Compliance Database'!$F$2:$F$1960,MATCH(1085,'Transfer Engine'!$C$2:$C$1960,0)))</f>
        <v/>
      </c>
      <c r="G1094" s="8">
        <f>IF(ISNA(MATCH(1085,'Transfer Engine'!$C$2:$C$1960,0)),"",INDEX('Compliance Database'!$G$2:$G$1960,MATCH(1085,'Transfer Engine'!$C$2:$C$1960,0)))</f>
        <v/>
      </c>
      <c r="H1094" s="9">
        <f>IF(ISNA(MATCH(1085,'Transfer Engine'!$C$2:$C$1960,0)),"",INDEX('Compliance Database'!$H$2:$H$1960,MATCH(1085,'Transfer Engine'!$C$2:$C$1960,0)))</f>
        <v/>
      </c>
      <c r="I1094" s="9">
        <f>IF(ISNA(MATCH(1085,'Transfer Engine'!$C$2:$C$1960,0)),"",INDEX('Compliance Database'!$I$2:$I$1960,MATCH(1085,'Transfer Engine'!$C$2:$C$1960,0)))</f>
        <v/>
      </c>
      <c r="J1094" s="8">
        <f>IF(ISNA(MATCH(1085,'Transfer Engine'!$C$2:$C$1960,0)),"",INDEX('Compliance Database'!$J$2:$J$1960,MATCH(1085,'Transfer Engine'!$C$2:$C$1960,0)))</f>
        <v/>
      </c>
      <c r="K1094" s="9">
        <f>IF(ISNA(MATCH(1085,'Transfer Engine'!$C$2:$C$1960,0)),"",INDEX('Compliance Database'!$K$2:$K$1960,MATCH(1085,'Transfer Engine'!$C$2:$C$1960,0)))</f>
        <v/>
      </c>
      <c r="L1094" s="9">
        <f>IF(ISNA(MATCH(1085,'Transfer Engine'!$C$2:$C$1960,0)),"",INDEX('Compliance Database'!$L$2:$L$1960,MATCH(1085,'Transfer Engine'!$C$2:$C$1960,0)))</f>
        <v/>
      </c>
      <c r="M1094" s="9">
        <f>IF(ISNA(MATCH(1085,'Transfer Engine'!$C$2:$C$1960,0)),"",INDEX('Compliance Database'!$M$2:$M$1960,MATCH(1085,'Transfer Engine'!$C$2:$C$1960,0)))</f>
        <v/>
      </c>
      <c r="N1094" s="9">
        <f>IF(ISNA(MATCH(1085,'Transfer Engine'!$C$2:$C$1960,0)),"",INDEX('Compliance Database'!$N$2:$N$1960,MATCH(1085,'Transfer Engine'!$C$2:$C$1960,0)))</f>
        <v/>
      </c>
      <c r="O1094" s="9">
        <f>IF(ISNA(MATCH(1085,'Transfer Engine'!$C$2:$C$1960,0)),"",INDEX('Compliance Database'!$O$2:$O$1960,MATCH(1085,'Transfer Engine'!$C$2:$C$1960,0)))</f>
        <v/>
      </c>
      <c r="P1094" s="8">
        <f>IF(ISNA(MATCH(1085,'Transfer Engine'!$C$2:$C$1960,0)),"",HYPERLINK("#Acts!A"&amp;INDEX('Compliance Database'!$P$2:$P$1960,MATCH(1085,'Transfer Engine'!$C$2:$C$1960,0)),"Go to Act"))</f>
        <v/>
      </c>
    </row>
    <row r="1095" ht="158" customHeight="1">
      <c r="A1095" s="8">
        <f>IF(ISNA(MATCH(1086,'Transfer Engine'!$C$2:$C$1960,0)),"",INDEX('Compliance Database'!$A$2:$A$1960,MATCH(1086,'Transfer Engine'!$C$2:$C$1960,0)))</f>
        <v/>
      </c>
      <c r="B1095" s="8">
        <f>IF(ISNA(MATCH(1086,'Transfer Engine'!$C$2:$C$1960,0)),"",INDEX('Compliance Database'!$B$2:$B$1960,MATCH(1086,'Transfer Engine'!$C$2:$C$1960,0)))</f>
        <v/>
      </c>
      <c r="C1095" s="8">
        <f>IF(ISNA(MATCH(1086,'Transfer Engine'!$C$2:$C$1960,0)),"",INDEX('Compliance Database'!$C$2:$C$1960,MATCH(1086,'Transfer Engine'!$C$2:$C$1960,0)))</f>
        <v/>
      </c>
      <c r="D1095" s="9">
        <f>IF(ISNA(MATCH(1086,'Transfer Engine'!$C$2:$C$1960,0)),"",INDEX('Compliance Database'!$D$2:$D$1960,MATCH(1086,'Transfer Engine'!$C$2:$C$1960,0)))</f>
        <v/>
      </c>
      <c r="E1095" s="8">
        <f>IF(ISNA(MATCH(1086,'Transfer Engine'!$C$2:$C$1960,0)),"",INDEX('Compliance Database'!$E$2:$E$1960,MATCH(1086,'Transfer Engine'!$C$2:$C$1960,0)))</f>
        <v/>
      </c>
      <c r="F1095" s="8">
        <f>IF(ISNA(MATCH(1086,'Transfer Engine'!$C$2:$C$1960,0)),"",INDEX('Compliance Database'!$F$2:$F$1960,MATCH(1086,'Transfer Engine'!$C$2:$C$1960,0)))</f>
        <v/>
      </c>
      <c r="G1095" s="8">
        <f>IF(ISNA(MATCH(1086,'Transfer Engine'!$C$2:$C$1960,0)),"",INDEX('Compliance Database'!$G$2:$G$1960,MATCH(1086,'Transfer Engine'!$C$2:$C$1960,0)))</f>
        <v/>
      </c>
      <c r="H1095" s="9">
        <f>IF(ISNA(MATCH(1086,'Transfer Engine'!$C$2:$C$1960,0)),"",INDEX('Compliance Database'!$H$2:$H$1960,MATCH(1086,'Transfer Engine'!$C$2:$C$1960,0)))</f>
        <v/>
      </c>
      <c r="I1095" s="9">
        <f>IF(ISNA(MATCH(1086,'Transfer Engine'!$C$2:$C$1960,0)),"",INDEX('Compliance Database'!$I$2:$I$1960,MATCH(1086,'Transfer Engine'!$C$2:$C$1960,0)))</f>
        <v/>
      </c>
      <c r="J1095" s="8">
        <f>IF(ISNA(MATCH(1086,'Transfer Engine'!$C$2:$C$1960,0)),"",INDEX('Compliance Database'!$J$2:$J$1960,MATCH(1086,'Transfer Engine'!$C$2:$C$1960,0)))</f>
        <v/>
      </c>
      <c r="K1095" s="9">
        <f>IF(ISNA(MATCH(1086,'Transfer Engine'!$C$2:$C$1960,0)),"",INDEX('Compliance Database'!$K$2:$K$1960,MATCH(1086,'Transfer Engine'!$C$2:$C$1960,0)))</f>
        <v/>
      </c>
      <c r="L1095" s="9">
        <f>IF(ISNA(MATCH(1086,'Transfer Engine'!$C$2:$C$1960,0)),"",INDEX('Compliance Database'!$L$2:$L$1960,MATCH(1086,'Transfer Engine'!$C$2:$C$1960,0)))</f>
        <v/>
      </c>
      <c r="M1095" s="9">
        <f>IF(ISNA(MATCH(1086,'Transfer Engine'!$C$2:$C$1960,0)),"",INDEX('Compliance Database'!$M$2:$M$1960,MATCH(1086,'Transfer Engine'!$C$2:$C$1960,0)))</f>
        <v/>
      </c>
      <c r="N1095" s="9">
        <f>IF(ISNA(MATCH(1086,'Transfer Engine'!$C$2:$C$1960,0)),"",INDEX('Compliance Database'!$N$2:$N$1960,MATCH(1086,'Transfer Engine'!$C$2:$C$1960,0)))</f>
        <v/>
      </c>
      <c r="O1095" s="9">
        <f>IF(ISNA(MATCH(1086,'Transfer Engine'!$C$2:$C$1960,0)),"",INDEX('Compliance Database'!$O$2:$O$1960,MATCH(1086,'Transfer Engine'!$C$2:$C$1960,0)))</f>
        <v/>
      </c>
      <c r="P1095" s="8">
        <f>IF(ISNA(MATCH(1086,'Transfer Engine'!$C$2:$C$1960,0)),"",HYPERLINK("#Acts!A"&amp;INDEX('Compliance Database'!$P$2:$P$1960,MATCH(1086,'Transfer Engine'!$C$2:$C$1960,0)),"Go to Act"))</f>
        <v/>
      </c>
    </row>
    <row r="1096" ht="158" customHeight="1">
      <c r="A1096" s="8">
        <f>IF(ISNA(MATCH(1087,'Transfer Engine'!$C$2:$C$1960,0)),"",INDEX('Compliance Database'!$A$2:$A$1960,MATCH(1087,'Transfer Engine'!$C$2:$C$1960,0)))</f>
        <v/>
      </c>
      <c r="B1096" s="8">
        <f>IF(ISNA(MATCH(1087,'Transfer Engine'!$C$2:$C$1960,0)),"",INDEX('Compliance Database'!$B$2:$B$1960,MATCH(1087,'Transfer Engine'!$C$2:$C$1960,0)))</f>
        <v/>
      </c>
      <c r="C1096" s="8">
        <f>IF(ISNA(MATCH(1087,'Transfer Engine'!$C$2:$C$1960,0)),"",INDEX('Compliance Database'!$C$2:$C$1960,MATCH(1087,'Transfer Engine'!$C$2:$C$1960,0)))</f>
        <v/>
      </c>
      <c r="D1096" s="9">
        <f>IF(ISNA(MATCH(1087,'Transfer Engine'!$C$2:$C$1960,0)),"",INDEX('Compliance Database'!$D$2:$D$1960,MATCH(1087,'Transfer Engine'!$C$2:$C$1960,0)))</f>
        <v/>
      </c>
      <c r="E1096" s="8">
        <f>IF(ISNA(MATCH(1087,'Transfer Engine'!$C$2:$C$1960,0)),"",INDEX('Compliance Database'!$E$2:$E$1960,MATCH(1087,'Transfer Engine'!$C$2:$C$1960,0)))</f>
        <v/>
      </c>
      <c r="F1096" s="8">
        <f>IF(ISNA(MATCH(1087,'Transfer Engine'!$C$2:$C$1960,0)),"",INDEX('Compliance Database'!$F$2:$F$1960,MATCH(1087,'Transfer Engine'!$C$2:$C$1960,0)))</f>
        <v/>
      </c>
      <c r="G1096" s="8">
        <f>IF(ISNA(MATCH(1087,'Transfer Engine'!$C$2:$C$1960,0)),"",INDEX('Compliance Database'!$G$2:$G$1960,MATCH(1087,'Transfer Engine'!$C$2:$C$1960,0)))</f>
        <v/>
      </c>
      <c r="H1096" s="9">
        <f>IF(ISNA(MATCH(1087,'Transfer Engine'!$C$2:$C$1960,0)),"",INDEX('Compliance Database'!$H$2:$H$1960,MATCH(1087,'Transfer Engine'!$C$2:$C$1960,0)))</f>
        <v/>
      </c>
      <c r="I1096" s="9">
        <f>IF(ISNA(MATCH(1087,'Transfer Engine'!$C$2:$C$1960,0)),"",INDEX('Compliance Database'!$I$2:$I$1960,MATCH(1087,'Transfer Engine'!$C$2:$C$1960,0)))</f>
        <v/>
      </c>
      <c r="J1096" s="8">
        <f>IF(ISNA(MATCH(1087,'Transfer Engine'!$C$2:$C$1960,0)),"",INDEX('Compliance Database'!$J$2:$J$1960,MATCH(1087,'Transfer Engine'!$C$2:$C$1960,0)))</f>
        <v/>
      </c>
      <c r="K1096" s="9">
        <f>IF(ISNA(MATCH(1087,'Transfer Engine'!$C$2:$C$1960,0)),"",INDEX('Compliance Database'!$K$2:$K$1960,MATCH(1087,'Transfer Engine'!$C$2:$C$1960,0)))</f>
        <v/>
      </c>
      <c r="L1096" s="9">
        <f>IF(ISNA(MATCH(1087,'Transfer Engine'!$C$2:$C$1960,0)),"",INDEX('Compliance Database'!$L$2:$L$1960,MATCH(1087,'Transfer Engine'!$C$2:$C$1960,0)))</f>
        <v/>
      </c>
      <c r="M1096" s="9">
        <f>IF(ISNA(MATCH(1087,'Transfer Engine'!$C$2:$C$1960,0)),"",INDEX('Compliance Database'!$M$2:$M$1960,MATCH(1087,'Transfer Engine'!$C$2:$C$1960,0)))</f>
        <v/>
      </c>
      <c r="N1096" s="9">
        <f>IF(ISNA(MATCH(1087,'Transfer Engine'!$C$2:$C$1960,0)),"",INDEX('Compliance Database'!$N$2:$N$1960,MATCH(1087,'Transfer Engine'!$C$2:$C$1960,0)))</f>
        <v/>
      </c>
      <c r="O1096" s="9">
        <f>IF(ISNA(MATCH(1087,'Transfer Engine'!$C$2:$C$1960,0)),"",INDEX('Compliance Database'!$O$2:$O$1960,MATCH(1087,'Transfer Engine'!$C$2:$C$1960,0)))</f>
        <v/>
      </c>
      <c r="P1096" s="8">
        <f>IF(ISNA(MATCH(1087,'Transfer Engine'!$C$2:$C$1960,0)),"",HYPERLINK("#Acts!A"&amp;INDEX('Compliance Database'!$P$2:$P$1960,MATCH(1087,'Transfer Engine'!$C$2:$C$1960,0)),"Go to Act"))</f>
        <v/>
      </c>
    </row>
    <row r="1097" ht="158" customHeight="1">
      <c r="A1097" s="8">
        <f>IF(ISNA(MATCH(1088,'Transfer Engine'!$C$2:$C$1960,0)),"",INDEX('Compliance Database'!$A$2:$A$1960,MATCH(1088,'Transfer Engine'!$C$2:$C$1960,0)))</f>
        <v/>
      </c>
      <c r="B1097" s="8">
        <f>IF(ISNA(MATCH(1088,'Transfer Engine'!$C$2:$C$1960,0)),"",INDEX('Compliance Database'!$B$2:$B$1960,MATCH(1088,'Transfer Engine'!$C$2:$C$1960,0)))</f>
        <v/>
      </c>
      <c r="C1097" s="8">
        <f>IF(ISNA(MATCH(1088,'Transfer Engine'!$C$2:$C$1960,0)),"",INDEX('Compliance Database'!$C$2:$C$1960,MATCH(1088,'Transfer Engine'!$C$2:$C$1960,0)))</f>
        <v/>
      </c>
      <c r="D1097" s="9">
        <f>IF(ISNA(MATCH(1088,'Transfer Engine'!$C$2:$C$1960,0)),"",INDEX('Compliance Database'!$D$2:$D$1960,MATCH(1088,'Transfer Engine'!$C$2:$C$1960,0)))</f>
        <v/>
      </c>
      <c r="E1097" s="8">
        <f>IF(ISNA(MATCH(1088,'Transfer Engine'!$C$2:$C$1960,0)),"",INDEX('Compliance Database'!$E$2:$E$1960,MATCH(1088,'Transfer Engine'!$C$2:$C$1960,0)))</f>
        <v/>
      </c>
      <c r="F1097" s="8">
        <f>IF(ISNA(MATCH(1088,'Transfer Engine'!$C$2:$C$1960,0)),"",INDEX('Compliance Database'!$F$2:$F$1960,MATCH(1088,'Transfer Engine'!$C$2:$C$1960,0)))</f>
        <v/>
      </c>
      <c r="G1097" s="8">
        <f>IF(ISNA(MATCH(1088,'Transfer Engine'!$C$2:$C$1960,0)),"",INDEX('Compliance Database'!$G$2:$G$1960,MATCH(1088,'Transfer Engine'!$C$2:$C$1960,0)))</f>
        <v/>
      </c>
      <c r="H1097" s="9">
        <f>IF(ISNA(MATCH(1088,'Transfer Engine'!$C$2:$C$1960,0)),"",INDEX('Compliance Database'!$H$2:$H$1960,MATCH(1088,'Transfer Engine'!$C$2:$C$1960,0)))</f>
        <v/>
      </c>
      <c r="I1097" s="9">
        <f>IF(ISNA(MATCH(1088,'Transfer Engine'!$C$2:$C$1960,0)),"",INDEX('Compliance Database'!$I$2:$I$1960,MATCH(1088,'Transfer Engine'!$C$2:$C$1960,0)))</f>
        <v/>
      </c>
      <c r="J1097" s="8">
        <f>IF(ISNA(MATCH(1088,'Transfer Engine'!$C$2:$C$1960,0)),"",INDEX('Compliance Database'!$J$2:$J$1960,MATCH(1088,'Transfer Engine'!$C$2:$C$1960,0)))</f>
        <v/>
      </c>
      <c r="K1097" s="9">
        <f>IF(ISNA(MATCH(1088,'Transfer Engine'!$C$2:$C$1960,0)),"",INDEX('Compliance Database'!$K$2:$K$1960,MATCH(1088,'Transfer Engine'!$C$2:$C$1960,0)))</f>
        <v/>
      </c>
      <c r="L1097" s="9">
        <f>IF(ISNA(MATCH(1088,'Transfer Engine'!$C$2:$C$1960,0)),"",INDEX('Compliance Database'!$L$2:$L$1960,MATCH(1088,'Transfer Engine'!$C$2:$C$1960,0)))</f>
        <v/>
      </c>
      <c r="M1097" s="9">
        <f>IF(ISNA(MATCH(1088,'Transfer Engine'!$C$2:$C$1960,0)),"",INDEX('Compliance Database'!$M$2:$M$1960,MATCH(1088,'Transfer Engine'!$C$2:$C$1960,0)))</f>
        <v/>
      </c>
      <c r="N1097" s="9">
        <f>IF(ISNA(MATCH(1088,'Transfer Engine'!$C$2:$C$1960,0)),"",INDEX('Compliance Database'!$N$2:$N$1960,MATCH(1088,'Transfer Engine'!$C$2:$C$1960,0)))</f>
        <v/>
      </c>
      <c r="O1097" s="9">
        <f>IF(ISNA(MATCH(1088,'Transfer Engine'!$C$2:$C$1960,0)),"",INDEX('Compliance Database'!$O$2:$O$1960,MATCH(1088,'Transfer Engine'!$C$2:$C$1960,0)))</f>
        <v/>
      </c>
      <c r="P1097" s="8">
        <f>IF(ISNA(MATCH(1088,'Transfer Engine'!$C$2:$C$1960,0)),"",HYPERLINK("#Acts!A"&amp;INDEX('Compliance Database'!$P$2:$P$1960,MATCH(1088,'Transfer Engine'!$C$2:$C$1960,0)),"Go to Act"))</f>
        <v/>
      </c>
    </row>
    <row r="1098" ht="158" customHeight="1">
      <c r="A1098" s="8">
        <f>IF(ISNA(MATCH(1089,'Transfer Engine'!$C$2:$C$1960,0)),"",INDEX('Compliance Database'!$A$2:$A$1960,MATCH(1089,'Transfer Engine'!$C$2:$C$1960,0)))</f>
        <v/>
      </c>
      <c r="B1098" s="8">
        <f>IF(ISNA(MATCH(1089,'Transfer Engine'!$C$2:$C$1960,0)),"",INDEX('Compliance Database'!$B$2:$B$1960,MATCH(1089,'Transfer Engine'!$C$2:$C$1960,0)))</f>
        <v/>
      </c>
      <c r="C1098" s="8">
        <f>IF(ISNA(MATCH(1089,'Transfer Engine'!$C$2:$C$1960,0)),"",INDEX('Compliance Database'!$C$2:$C$1960,MATCH(1089,'Transfer Engine'!$C$2:$C$1960,0)))</f>
        <v/>
      </c>
      <c r="D1098" s="9">
        <f>IF(ISNA(MATCH(1089,'Transfer Engine'!$C$2:$C$1960,0)),"",INDEX('Compliance Database'!$D$2:$D$1960,MATCH(1089,'Transfer Engine'!$C$2:$C$1960,0)))</f>
        <v/>
      </c>
      <c r="E1098" s="8">
        <f>IF(ISNA(MATCH(1089,'Transfer Engine'!$C$2:$C$1960,0)),"",INDEX('Compliance Database'!$E$2:$E$1960,MATCH(1089,'Transfer Engine'!$C$2:$C$1960,0)))</f>
        <v/>
      </c>
      <c r="F1098" s="8">
        <f>IF(ISNA(MATCH(1089,'Transfer Engine'!$C$2:$C$1960,0)),"",INDEX('Compliance Database'!$F$2:$F$1960,MATCH(1089,'Transfer Engine'!$C$2:$C$1960,0)))</f>
        <v/>
      </c>
      <c r="G1098" s="8">
        <f>IF(ISNA(MATCH(1089,'Transfer Engine'!$C$2:$C$1960,0)),"",INDEX('Compliance Database'!$G$2:$G$1960,MATCH(1089,'Transfer Engine'!$C$2:$C$1960,0)))</f>
        <v/>
      </c>
      <c r="H1098" s="9">
        <f>IF(ISNA(MATCH(1089,'Transfer Engine'!$C$2:$C$1960,0)),"",INDEX('Compliance Database'!$H$2:$H$1960,MATCH(1089,'Transfer Engine'!$C$2:$C$1960,0)))</f>
        <v/>
      </c>
      <c r="I1098" s="9">
        <f>IF(ISNA(MATCH(1089,'Transfer Engine'!$C$2:$C$1960,0)),"",INDEX('Compliance Database'!$I$2:$I$1960,MATCH(1089,'Transfer Engine'!$C$2:$C$1960,0)))</f>
        <v/>
      </c>
      <c r="J1098" s="8">
        <f>IF(ISNA(MATCH(1089,'Transfer Engine'!$C$2:$C$1960,0)),"",INDEX('Compliance Database'!$J$2:$J$1960,MATCH(1089,'Transfer Engine'!$C$2:$C$1960,0)))</f>
        <v/>
      </c>
      <c r="K1098" s="9">
        <f>IF(ISNA(MATCH(1089,'Transfer Engine'!$C$2:$C$1960,0)),"",INDEX('Compliance Database'!$K$2:$K$1960,MATCH(1089,'Transfer Engine'!$C$2:$C$1960,0)))</f>
        <v/>
      </c>
      <c r="L1098" s="9">
        <f>IF(ISNA(MATCH(1089,'Transfer Engine'!$C$2:$C$1960,0)),"",INDEX('Compliance Database'!$L$2:$L$1960,MATCH(1089,'Transfer Engine'!$C$2:$C$1960,0)))</f>
        <v/>
      </c>
      <c r="M1098" s="9">
        <f>IF(ISNA(MATCH(1089,'Transfer Engine'!$C$2:$C$1960,0)),"",INDEX('Compliance Database'!$M$2:$M$1960,MATCH(1089,'Transfer Engine'!$C$2:$C$1960,0)))</f>
        <v/>
      </c>
      <c r="N1098" s="9">
        <f>IF(ISNA(MATCH(1089,'Transfer Engine'!$C$2:$C$1960,0)),"",INDEX('Compliance Database'!$N$2:$N$1960,MATCH(1089,'Transfer Engine'!$C$2:$C$1960,0)))</f>
        <v/>
      </c>
      <c r="O1098" s="9">
        <f>IF(ISNA(MATCH(1089,'Transfer Engine'!$C$2:$C$1960,0)),"",INDEX('Compliance Database'!$O$2:$O$1960,MATCH(1089,'Transfer Engine'!$C$2:$C$1960,0)))</f>
        <v/>
      </c>
      <c r="P1098" s="8">
        <f>IF(ISNA(MATCH(1089,'Transfer Engine'!$C$2:$C$1960,0)),"",HYPERLINK("#Acts!A"&amp;INDEX('Compliance Database'!$P$2:$P$1960,MATCH(1089,'Transfer Engine'!$C$2:$C$1960,0)),"Go to Act"))</f>
        <v/>
      </c>
    </row>
    <row r="1099" ht="158" customHeight="1">
      <c r="A1099" s="8">
        <f>IF(ISNA(MATCH(1090,'Transfer Engine'!$C$2:$C$1960,0)),"",INDEX('Compliance Database'!$A$2:$A$1960,MATCH(1090,'Transfer Engine'!$C$2:$C$1960,0)))</f>
        <v/>
      </c>
      <c r="B1099" s="8">
        <f>IF(ISNA(MATCH(1090,'Transfer Engine'!$C$2:$C$1960,0)),"",INDEX('Compliance Database'!$B$2:$B$1960,MATCH(1090,'Transfer Engine'!$C$2:$C$1960,0)))</f>
        <v/>
      </c>
      <c r="C1099" s="8">
        <f>IF(ISNA(MATCH(1090,'Transfer Engine'!$C$2:$C$1960,0)),"",INDEX('Compliance Database'!$C$2:$C$1960,MATCH(1090,'Transfer Engine'!$C$2:$C$1960,0)))</f>
        <v/>
      </c>
      <c r="D1099" s="9">
        <f>IF(ISNA(MATCH(1090,'Transfer Engine'!$C$2:$C$1960,0)),"",INDEX('Compliance Database'!$D$2:$D$1960,MATCH(1090,'Transfer Engine'!$C$2:$C$1960,0)))</f>
        <v/>
      </c>
      <c r="E1099" s="8">
        <f>IF(ISNA(MATCH(1090,'Transfer Engine'!$C$2:$C$1960,0)),"",INDEX('Compliance Database'!$E$2:$E$1960,MATCH(1090,'Transfer Engine'!$C$2:$C$1960,0)))</f>
        <v/>
      </c>
      <c r="F1099" s="8">
        <f>IF(ISNA(MATCH(1090,'Transfer Engine'!$C$2:$C$1960,0)),"",INDEX('Compliance Database'!$F$2:$F$1960,MATCH(1090,'Transfer Engine'!$C$2:$C$1960,0)))</f>
        <v/>
      </c>
      <c r="G1099" s="8">
        <f>IF(ISNA(MATCH(1090,'Transfer Engine'!$C$2:$C$1960,0)),"",INDEX('Compliance Database'!$G$2:$G$1960,MATCH(1090,'Transfer Engine'!$C$2:$C$1960,0)))</f>
        <v/>
      </c>
      <c r="H1099" s="9">
        <f>IF(ISNA(MATCH(1090,'Transfer Engine'!$C$2:$C$1960,0)),"",INDEX('Compliance Database'!$H$2:$H$1960,MATCH(1090,'Transfer Engine'!$C$2:$C$1960,0)))</f>
        <v/>
      </c>
      <c r="I1099" s="9">
        <f>IF(ISNA(MATCH(1090,'Transfer Engine'!$C$2:$C$1960,0)),"",INDEX('Compliance Database'!$I$2:$I$1960,MATCH(1090,'Transfer Engine'!$C$2:$C$1960,0)))</f>
        <v/>
      </c>
      <c r="J1099" s="8">
        <f>IF(ISNA(MATCH(1090,'Transfer Engine'!$C$2:$C$1960,0)),"",INDEX('Compliance Database'!$J$2:$J$1960,MATCH(1090,'Transfer Engine'!$C$2:$C$1960,0)))</f>
        <v/>
      </c>
      <c r="K1099" s="9">
        <f>IF(ISNA(MATCH(1090,'Transfer Engine'!$C$2:$C$1960,0)),"",INDEX('Compliance Database'!$K$2:$K$1960,MATCH(1090,'Transfer Engine'!$C$2:$C$1960,0)))</f>
        <v/>
      </c>
      <c r="L1099" s="9">
        <f>IF(ISNA(MATCH(1090,'Transfer Engine'!$C$2:$C$1960,0)),"",INDEX('Compliance Database'!$L$2:$L$1960,MATCH(1090,'Transfer Engine'!$C$2:$C$1960,0)))</f>
        <v/>
      </c>
      <c r="M1099" s="9">
        <f>IF(ISNA(MATCH(1090,'Transfer Engine'!$C$2:$C$1960,0)),"",INDEX('Compliance Database'!$M$2:$M$1960,MATCH(1090,'Transfer Engine'!$C$2:$C$1960,0)))</f>
        <v/>
      </c>
      <c r="N1099" s="9">
        <f>IF(ISNA(MATCH(1090,'Transfer Engine'!$C$2:$C$1960,0)),"",INDEX('Compliance Database'!$N$2:$N$1960,MATCH(1090,'Transfer Engine'!$C$2:$C$1960,0)))</f>
        <v/>
      </c>
      <c r="O1099" s="9">
        <f>IF(ISNA(MATCH(1090,'Transfer Engine'!$C$2:$C$1960,0)),"",INDEX('Compliance Database'!$O$2:$O$1960,MATCH(1090,'Transfer Engine'!$C$2:$C$1960,0)))</f>
        <v/>
      </c>
      <c r="P1099" s="8">
        <f>IF(ISNA(MATCH(1090,'Transfer Engine'!$C$2:$C$1960,0)),"",HYPERLINK("#Acts!A"&amp;INDEX('Compliance Database'!$P$2:$P$1960,MATCH(1090,'Transfer Engine'!$C$2:$C$1960,0)),"Go to Act"))</f>
        <v/>
      </c>
    </row>
    <row r="1100" ht="158" customHeight="1">
      <c r="A1100" s="8">
        <f>IF(ISNA(MATCH(1091,'Transfer Engine'!$C$2:$C$1960,0)),"",INDEX('Compliance Database'!$A$2:$A$1960,MATCH(1091,'Transfer Engine'!$C$2:$C$1960,0)))</f>
        <v/>
      </c>
      <c r="B1100" s="8">
        <f>IF(ISNA(MATCH(1091,'Transfer Engine'!$C$2:$C$1960,0)),"",INDEX('Compliance Database'!$B$2:$B$1960,MATCH(1091,'Transfer Engine'!$C$2:$C$1960,0)))</f>
        <v/>
      </c>
      <c r="C1100" s="8">
        <f>IF(ISNA(MATCH(1091,'Transfer Engine'!$C$2:$C$1960,0)),"",INDEX('Compliance Database'!$C$2:$C$1960,MATCH(1091,'Transfer Engine'!$C$2:$C$1960,0)))</f>
        <v/>
      </c>
      <c r="D1100" s="9">
        <f>IF(ISNA(MATCH(1091,'Transfer Engine'!$C$2:$C$1960,0)),"",INDEX('Compliance Database'!$D$2:$D$1960,MATCH(1091,'Transfer Engine'!$C$2:$C$1960,0)))</f>
        <v/>
      </c>
      <c r="E1100" s="8">
        <f>IF(ISNA(MATCH(1091,'Transfer Engine'!$C$2:$C$1960,0)),"",INDEX('Compliance Database'!$E$2:$E$1960,MATCH(1091,'Transfer Engine'!$C$2:$C$1960,0)))</f>
        <v/>
      </c>
      <c r="F1100" s="8">
        <f>IF(ISNA(MATCH(1091,'Transfer Engine'!$C$2:$C$1960,0)),"",INDEX('Compliance Database'!$F$2:$F$1960,MATCH(1091,'Transfer Engine'!$C$2:$C$1960,0)))</f>
        <v/>
      </c>
      <c r="G1100" s="8">
        <f>IF(ISNA(MATCH(1091,'Transfer Engine'!$C$2:$C$1960,0)),"",INDEX('Compliance Database'!$G$2:$G$1960,MATCH(1091,'Transfer Engine'!$C$2:$C$1960,0)))</f>
        <v/>
      </c>
      <c r="H1100" s="9">
        <f>IF(ISNA(MATCH(1091,'Transfer Engine'!$C$2:$C$1960,0)),"",INDEX('Compliance Database'!$H$2:$H$1960,MATCH(1091,'Transfer Engine'!$C$2:$C$1960,0)))</f>
        <v/>
      </c>
      <c r="I1100" s="9">
        <f>IF(ISNA(MATCH(1091,'Transfer Engine'!$C$2:$C$1960,0)),"",INDEX('Compliance Database'!$I$2:$I$1960,MATCH(1091,'Transfer Engine'!$C$2:$C$1960,0)))</f>
        <v/>
      </c>
      <c r="J1100" s="8">
        <f>IF(ISNA(MATCH(1091,'Transfer Engine'!$C$2:$C$1960,0)),"",INDEX('Compliance Database'!$J$2:$J$1960,MATCH(1091,'Transfer Engine'!$C$2:$C$1960,0)))</f>
        <v/>
      </c>
      <c r="K1100" s="9">
        <f>IF(ISNA(MATCH(1091,'Transfer Engine'!$C$2:$C$1960,0)),"",INDEX('Compliance Database'!$K$2:$K$1960,MATCH(1091,'Transfer Engine'!$C$2:$C$1960,0)))</f>
        <v/>
      </c>
      <c r="L1100" s="9">
        <f>IF(ISNA(MATCH(1091,'Transfer Engine'!$C$2:$C$1960,0)),"",INDEX('Compliance Database'!$L$2:$L$1960,MATCH(1091,'Transfer Engine'!$C$2:$C$1960,0)))</f>
        <v/>
      </c>
      <c r="M1100" s="9">
        <f>IF(ISNA(MATCH(1091,'Transfer Engine'!$C$2:$C$1960,0)),"",INDEX('Compliance Database'!$M$2:$M$1960,MATCH(1091,'Transfer Engine'!$C$2:$C$1960,0)))</f>
        <v/>
      </c>
      <c r="N1100" s="9">
        <f>IF(ISNA(MATCH(1091,'Transfer Engine'!$C$2:$C$1960,0)),"",INDEX('Compliance Database'!$N$2:$N$1960,MATCH(1091,'Transfer Engine'!$C$2:$C$1960,0)))</f>
        <v/>
      </c>
      <c r="O1100" s="9">
        <f>IF(ISNA(MATCH(1091,'Transfer Engine'!$C$2:$C$1960,0)),"",INDEX('Compliance Database'!$O$2:$O$1960,MATCH(1091,'Transfer Engine'!$C$2:$C$1960,0)))</f>
        <v/>
      </c>
      <c r="P1100" s="8">
        <f>IF(ISNA(MATCH(1091,'Transfer Engine'!$C$2:$C$1960,0)),"",HYPERLINK("#Acts!A"&amp;INDEX('Compliance Database'!$P$2:$P$1960,MATCH(1091,'Transfer Engine'!$C$2:$C$1960,0)),"Go to Act"))</f>
        <v/>
      </c>
    </row>
    <row r="1101" ht="158" customHeight="1">
      <c r="A1101" s="8">
        <f>IF(ISNA(MATCH(1092,'Transfer Engine'!$C$2:$C$1960,0)),"",INDEX('Compliance Database'!$A$2:$A$1960,MATCH(1092,'Transfer Engine'!$C$2:$C$1960,0)))</f>
        <v/>
      </c>
      <c r="B1101" s="8">
        <f>IF(ISNA(MATCH(1092,'Transfer Engine'!$C$2:$C$1960,0)),"",INDEX('Compliance Database'!$B$2:$B$1960,MATCH(1092,'Transfer Engine'!$C$2:$C$1960,0)))</f>
        <v/>
      </c>
      <c r="C1101" s="8">
        <f>IF(ISNA(MATCH(1092,'Transfer Engine'!$C$2:$C$1960,0)),"",INDEX('Compliance Database'!$C$2:$C$1960,MATCH(1092,'Transfer Engine'!$C$2:$C$1960,0)))</f>
        <v/>
      </c>
      <c r="D1101" s="9">
        <f>IF(ISNA(MATCH(1092,'Transfer Engine'!$C$2:$C$1960,0)),"",INDEX('Compliance Database'!$D$2:$D$1960,MATCH(1092,'Transfer Engine'!$C$2:$C$1960,0)))</f>
        <v/>
      </c>
      <c r="E1101" s="8">
        <f>IF(ISNA(MATCH(1092,'Transfer Engine'!$C$2:$C$1960,0)),"",INDEX('Compliance Database'!$E$2:$E$1960,MATCH(1092,'Transfer Engine'!$C$2:$C$1960,0)))</f>
        <v/>
      </c>
      <c r="F1101" s="8">
        <f>IF(ISNA(MATCH(1092,'Transfer Engine'!$C$2:$C$1960,0)),"",INDEX('Compliance Database'!$F$2:$F$1960,MATCH(1092,'Transfer Engine'!$C$2:$C$1960,0)))</f>
        <v/>
      </c>
      <c r="G1101" s="8">
        <f>IF(ISNA(MATCH(1092,'Transfer Engine'!$C$2:$C$1960,0)),"",INDEX('Compliance Database'!$G$2:$G$1960,MATCH(1092,'Transfer Engine'!$C$2:$C$1960,0)))</f>
        <v/>
      </c>
      <c r="H1101" s="9">
        <f>IF(ISNA(MATCH(1092,'Transfer Engine'!$C$2:$C$1960,0)),"",INDEX('Compliance Database'!$H$2:$H$1960,MATCH(1092,'Transfer Engine'!$C$2:$C$1960,0)))</f>
        <v/>
      </c>
      <c r="I1101" s="9">
        <f>IF(ISNA(MATCH(1092,'Transfer Engine'!$C$2:$C$1960,0)),"",INDEX('Compliance Database'!$I$2:$I$1960,MATCH(1092,'Transfer Engine'!$C$2:$C$1960,0)))</f>
        <v/>
      </c>
      <c r="J1101" s="8">
        <f>IF(ISNA(MATCH(1092,'Transfer Engine'!$C$2:$C$1960,0)),"",INDEX('Compliance Database'!$J$2:$J$1960,MATCH(1092,'Transfer Engine'!$C$2:$C$1960,0)))</f>
        <v/>
      </c>
      <c r="K1101" s="9">
        <f>IF(ISNA(MATCH(1092,'Transfer Engine'!$C$2:$C$1960,0)),"",INDEX('Compliance Database'!$K$2:$K$1960,MATCH(1092,'Transfer Engine'!$C$2:$C$1960,0)))</f>
        <v/>
      </c>
      <c r="L1101" s="9">
        <f>IF(ISNA(MATCH(1092,'Transfer Engine'!$C$2:$C$1960,0)),"",INDEX('Compliance Database'!$L$2:$L$1960,MATCH(1092,'Transfer Engine'!$C$2:$C$1960,0)))</f>
        <v/>
      </c>
      <c r="M1101" s="9">
        <f>IF(ISNA(MATCH(1092,'Transfer Engine'!$C$2:$C$1960,0)),"",INDEX('Compliance Database'!$M$2:$M$1960,MATCH(1092,'Transfer Engine'!$C$2:$C$1960,0)))</f>
        <v/>
      </c>
      <c r="N1101" s="9">
        <f>IF(ISNA(MATCH(1092,'Transfer Engine'!$C$2:$C$1960,0)),"",INDEX('Compliance Database'!$N$2:$N$1960,MATCH(1092,'Transfer Engine'!$C$2:$C$1960,0)))</f>
        <v/>
      </c>
      <c r="O1101" s="9">
        <f>IF(ISNA(MATCH(1092,'Transfer Engine'!$C$2:$C$1960,0)),"",INDEX('Compliance Database'!$O$2:$O$1960,MATCH(1092,'Transfer Engine'!$C$2:$C$1960,0)))</f>
        <v/>
      </c>
      <c r="P1101" s="8">
        <f>IF(ISNA(MATCH(1092,'Transfer Engine'!$C$2:$C$1960,0)),"",HYPERLINK("#Acts!A"&amp;INDEX('Compliance Database'!$P$2:$P$1960,MATCH(1092,'Transfer Engine'!$C$2:$C$1960,0)),"Go to Act"))</f>
        <v/>
      </c>
    </row>
    <row r="1102" ht="158" customHeight="1">
      <c r="A1102" s="8">
        <f>IF(ISNA(MATCH(1093,'Transfer Engine'!$C$2:$C$1960,0)),"",INDEX('Compliance Database'!$A$2:$A$1960,MATCH(1093,'Transfer Engine'!$C$2:$C$1960,0)))</f>
        <v/>
      </c>
      <c r="B1102" s="8">
        <f>IF(ISNA(MATCH(1093,'Transfer Engine'!$C$2:$C$1960,0)),"",INDEX('Compliance Database'!$B$2:$B$1960,MATCH(1093,'Transfer Engine'!$C$2:$C$1960,0)))</f>
        <v/>
      </c>
      <c r="C1102" s="8">
        <f>IF(ISNA(MATCH(1093,'Transfer Engine'!$C$2:$C$1960,0)),"",INDEX('Compliance Database'!$C$2:$C$1960,MATCH(1093,'Transfer Engine'!$C$2:$C$1960,0)))</f>
        <v/>
      </c>
      <c r="D1102" s="9">
        <f>IF(ISNA(MATCH(1093,'Transfer Engine'!$C$2:$C$1960,0)),"",INDEX('Compliance Database'!$D$2:$D$1960,MATCH(1093,'Transfer Engine'!$C$2:$C$1960,0)))</f>
        <v/>
      </c>
      <c r="E1102" s="8">
        <f>IF(ISNA(MATCH(1093,'Transfer Engine'!$C$2:$C$1960,0)),"",INDEX('Compliance Database'!$E$2:$E$1960,MATCH(1093,'Transfer Engine'!$C$2:$C$1960,0)))</f>
        <v/>
      </c>
      <c r="F1102" s="8">
        <f>IF(ISNA(MATCH(1093,'Transfer Engine'!$C$2:$C$1960,0)),"",INDEX('Compliance Database'!$F$2:$F$1960,MATCH(1093,'Transfer Engine'!$C$2:$C$1960,0)))</f>
        <v/>
      </c>
      <c r="G1102" s="8">
        <f>IF(ISNA(MATCH(1093,'Transfer Engine'!$C$2:$C$1960,0)),"",INDEX('Compliance Database'!$G$2:$G$1960,MATCH(1093,'Transfer Engine'!$C$2:$C$1960,0)))</f>
        <v/>
      </c>
      <c r="H1102" s="9">
        <f>IF(ISNA(MATCH(1093,'Transfer Engine'!$C$2:$C$1960,0)),"",INDEX('Compliance Database'!$H$2:$H$1960,MATCH(1093,'Transfer Engine'!$C$2:$C$1960,0)))</f>
        <v/>
      </c>
      <c r="I1102" s="9">
        <f>IF(ISNA(MATCH(1093,'Transfer Engine'!$C$2:$C$1960,0)),"",INDEX('Compliance Database'!$I$2:$I$1960,MATCH(1093,'Transfer Engine'!$C$2:$C$1960,0)))</f>
        <v/>
      </c>
      <c r="J1102" s="8">
        <f>IF(ISNA(MATCH(1093,'Transfer Engine'!$C$2:$C$1960,0)),"",INDEX('Compliance Database'!$J$2:$J$1960,MATCH(1093,'Transfer Engine'!$C$2:$C$1960,0)))</f>
        <v/>
      </c>
      <c r="K1102" s="9">
        <f>IF(ISNA(MATCH(1093,'Transfer Engine'!$C$2:$C$1960,0)),"",INDEX('Compliance Database'!$K$2:$K$1960,MATCH(1093,'Transfer Engine'!$C$2:$C$1960,0)))</f>
        <v/>
      </c>
      <c r="L1102" s="9">
        <f>IF(ISNA(MATCH(1093,'Transfer Engine'!$C$2:$C$1960,0)),"",INDEX('Compliance Database'!$L$2:$L$1960,MATCH(1093,'Transfer Engine'!$C$2:$C$1960,0)))</f>
        <v/>
      </c>
      <c r="M1102" s="9">
        <f>IF(ISNA(MATCH(1093,'Transfer Engine'!$C$2:$C$1960,0)),"",INDEX('Compliance Database'!$M$2:$M$1960,MATCH(1093,'Transfer Engine'!$C$2:$C$1960,0)))</f>
        <v/>
      </c>
      <c r="N1102" s="9">
        <f>IF(ISNA(MATCH(1093,'Transfer Engine'!$C$2:$C$1960,0)),"",INDEX('Compliance Database'!$N$2:$N$1960,MATCH(1093,'Transfer Engine'!$C$2:$C$1960,0)))</f>
        <v/>
      </c>
      <c r="O1102" s="9">
        <f>IF(ISNA(MATCH(1093,'Transfer Engine'!$C$2:$C$1960,0)),"",INDEX('Compliance Database'!$O$2:$O$1960,MATCH(1093,'Transfer Engine'!$C$2:$C$1960,0)))</f>
        <v/>
      </c>
      <c r="P1102" s="8">
        <f>IF(ISNA(MATCH(1093,'Transfer Engine'!$C$2:$C$1960,0)),"",HYPERLINK("#Acts!A"&amp;INDEX('Compliance Database'!$P$2:$P$1960,MATCH(1093,'Transfer Engine'!$C$2:$C$1960,0)),"Go to Act"))</f>
        <v/>
      </c>
    </row>
    <row r="1103" ht="158" customHeight="1">
      <c r="A1103" s="8">
        <f>IF(ISNA(MATCH(1094,'Transfer Engine'!$C$2:$C$1960,0)),"",INDEX('Compliance Database'!$A$2:$A$1960,MATCH(1094,'Transfer Engine'!$C$2:$C$1960,0)))</f>
        <v/>
      </c>
      <c r="B1103" s="8">
        <f>IF(ISNA(MATCH(1094,'Transfer Engine'!$C$2:$C$1960,0)),"",INDEX('Compliance Database'!$B$2:$B$1960,MATCH(1094,'Transfer Engine'!$C$2:$C$1960,0)))</f>
        <v/>
      </c>
      <c r="C1103" s="8">
        <f>IF(ISNA(MATCH(1094,'Transfer Engine'!$C$2:$C$1960,0)),"",INDEX('Compliance Database'!$C$2:$C$1960,MATCH(1094,'Transfer Engine'!$C$2:$C$1960,0)))</f>
        <v/>
      </c>
      <c r="D1103" s="9">
        <f>IF(ISNA(MATCH(1094,'Transfer Engine'!$C$2:$C$1960,0)),"",INDEX('Compliance Database'!$D$2:$D$1960,MATCH(1094,'Transfer Engine'!$C$2:$C$1960,0)))</f>
        <v/>
      </c>
      <c r="E1103" s="8">
        <f>IF(ISNA(MATCH(1094,'Transfer Engine'!$C$2:$C$1960,0)),"",INDEX('Compliance Database'!$E$2:$E$1960,MATCH(1094,'Transfer Engine'!$C$2:$C$1960,0)))</f>
        <v/>
      </c>
      <c r="F1103" s="8">
        <f>IF(ISNA(MATCH(1094,'Transfer Engine'!$C$2:$C$1960,0)),"",INDEX('Compliance Database'!$F$2:$F$1960,MATCH(1094,'Transfer Engine'!$C$2:$C$1960,0)))</f>
        <v/>
      </c>
      <c r="G1103" s="8">
        <f>IF(ISNA(MATCH(1094,'Transfer Engine'!$C$2:$C$1960,0)),"",INDEX('Compliance Database'!$G$2:$G$1960,MATCH(1094,'Transfer Engine'!$C$2:$C$1960,0)))</f>
        <v/>
      </c>
      <c r="H1103" s="9">
        <f>IF(ISNA(MATCH(1094,'Transfer Engine'!$C$2:$C$1960,0)),"",INDEX('Compliance Database'!$H$2:$H$1960,MATCH(1094,'Transfer Engine'!$C$2:$C$1960,0)))</f>
        <v/>
      </c>
      <c r="I1103" s="9">
        <f>IF(ISNA(MATCH(1094,'Transfer Engine'!$C$2:$C$1960,0)),"",INDEX('Compliance Database'!$I$2:$I$1960,MATCH(1094,'Transfer Engine'!$C$2:$C$1960,0)))</f>
        <v/>
      </c>
      <c r="J1103" s="8">
        <f>IF(ISNA(MATCH(1094,'Transfer Engine'!$C$2:$C$1960,0)),"",INDEX('Compliance Database'!$J$2:$J$1960,MATCH(1094,'Transfer Engine'!$C$2:$C$1960,0)))</f>
        <v/>
      </c>
      <c r="K1103" s="9">
        <f>IF(ISNA(MATCH(1094,'Transfer Engine'!$C$2:$C$1960,0)),"",INDEX('Compliance Database'!$K$2:$K$1960,MATCH(1094,'Transfer Engine'!$C$2:$C$1960,0)))</f>
        <v/>
      </c>
      <c r="L1103" s="9">
        <f>IF(ISNA(MATCH(1094,'Transfer Engine'!$C$2:$C$1960,0)),"",INDEX('Compliance Database'!$L$2:$L$1960,MATCH(1094,'Transfer Engine'!$C$2:$C$1960,0)))</f>
        <v/>
      </c>
      <c r="M1103" s="9">
        <f>IF(ISNA(MATCH(1094,'Transfer Engine'!$C$2:$C$1960,0)),"",INDEX('Compliance Database'!$M$2:$M$1960,MATCH(1094,'Transfer Engine'!$C$2:$C$1960,0)))</f>
        <v/>
      </c>
      <c r="N1103" s="9">
        <f>IF(ISNA(MATCH(1094,'Transfer Engine'!$C$2:$C$1960,0)),"",INDEX('Compliance Database'!$N$2:$N$1960,MATCH(1094,'Transfer Engine'!$C$2:$C$1960,0)))</f>
        <v/>
      </c>
      <c r="O1103" s="9">
        <f>IF(ISNA(MATCH(1094,'Transfer Engine'!$C$2:$C$1960,0)),"",INDEX('Compliance Database'!$O$2:$O$1960,MATCH(1094,'Transfer Engine'!$C$2:$C$1960,0)))</f>
        <v/>
      </c>
      <c r="P1103" s="8">
        <f>IF(ISNA(MATCH(1094,'Transfer Engine'!$C$2:$C$1960,0)),"",HYPERLINK("#Acts!A"&amp;INDEX('Compliance Database'!$P$2:$P$1960,MATCH(1094,'Transfer Engine'!$C$2:$C$1960,0)),"Go to Act"))</f>
        <v/>
      </c>
    </row>
    <row r="1104" ht="158" customHeight="1">
      <c r="A1104" s="8">
        <f>IF(ISNA(MATCH(1095,'Transfer Engine'!$C$2:$C$1960,0)),"",INDEX('Compliance Database'!$A$2:$A$1960,MATCH(1095,'Transfer Engine'!$C$2:$C$1960,0)))</f>
        <v/>
      </c>
      <c r="B1104" s="8">
        <f>IF(ISNA(MATCH(1095,'Transfer Engine'!$C$2:$C$1960,0)),"",INDEX('Compliance Database'!$B$2:$B$1960,MATCH(1095,'Transfer Engine'!$C$2:$C$1960,0)))</f>
        <v/>
      </c>
      <c r="C1104" s="8">
        <f>IF(ISNA(MATCH(1095,'Transfer Engine'!$C$2:$C$1960,0)),"",INDEX('Compliance Database'!$C$2:$C$1960,MATCH(1095,'Transfer Engine'!$C$2:$C$1960,0)))</f>
        <v/>
      </c>
      <c r="D1104" s="9">
        <f>IF(ISNA(MATCH(1095,'Transfer Engine'!$C$2:$C$1960,0)),"",INDEX('Compliance Database'!$D$2:$D$1960,MATCH(1095,'Transfer Engine'!$C$2:$C$1960,0)))</f>
        <v/>
      </c>
      <c r="E1104" s="8">
        <f>IF(ISNA(MATCH(1095,'Transfer Engine'!$C$2:$C$1960,0)),"",INDEX('Compliance Database'!$E$2:$E$1960,MATCH(1095,'Transfer Engine'!$C$2:$C$1960,0)))</f>
        <v/>
      </c>
      <c r="F1104" s="8">
        <f>IF(ISNA(MATCH(1095,'Transfer Engine'!$C$2:$C$1960,0)),"",INDEX('Compliance Database'!$F$2:$F$1960,MATCH(1095,'Transfer Engine'!$C$2:$C$1960,0)))</f>
        <v/>
      </c>
      <c r="G1104" s="8">
        <f>IF(ISNA(MATCH(1095,'Transfer Engine'!$C$2:$C$1960,0)),"",INDEX('Compliance Database'!$G$2:$G$1960,MATCH(1095,'Transfer Engine'!$C$2:$C$1960,0)))</f>
        <v/>
      </c>
      <c r="H1104" s="9">
        <f>IF(ISNA(MATCH(1095,'Transfer Engine'!$C$2:$C$1960,0)),"",INDEX('Compliance Database'!$H$2:$H$1960,MATCH(1095,'Transfer Engine'!$C$2:$C$1960,0)))</f>
        <v/>
      </c>
      <c r="I1104" s="9">
        <f>IF(ISNA(MATCH(1095,'Transfer Engine'!$C$2:$C$1960,0)),"",INDEX('Compliance Database'!$I$2:$I$1960,MATCH(1095,'Transfer Engine'!$C$2:$C$1960,0)))</f>
        <v/>
      </c>
      <c r="J1104" s="8">
        <f>IF(ISNA(MATCH(1095,'Transfer Engine'!$C$2:$C$1960,0)),"",INDEX('Compliance Database'!$J$2:$J$1960,MATCH(1095,'Transfer Engine'!$C$2:$C$1960,0)))</f>
        <v/>
      </c>
      <c r="K1104" s="9">
        <f>IF(ISNA(MATCH(1095,'Transfer Engine'!$C$2:$C$1960,0)),"",INDEX('Compliance Database'!$K$2:$K$1960,MATCH(1095,'Transfer Engine'!$C$2:$C$1960,0)))</f>
        <v/>
      </c>
      <c r="L1104" s="9">
        <f>IF(ISNA(MATCH(1095,'Transfer Engine'!$C$2:$C$1960,0)),"",INDEX('Compliance Database'!$L$2:$L$1960,MATCH(1095,'Transfer Engine'!$C$2:$C$1960,0)))</f>
        <v/>
      </c>
      <c r="M1104" s="9">
        <f>IF(ISNA(MATCH(1095,'Transfer Engine'!$C$2:$C$1960,0)),"",INDEX('Compliance Database'!$M$2:$M$1960,MATCH(1095,'Transfer Engine'!$C$2:$C$1960,0)))</f>
        <v/>
      </c>
      <c r="N1104" s="9">
        <f>IF(ISNA(MATCH(1095,'Transfer Engine'!$C$2:$C$1960,0)),"",INDEX('Compliance Database'!$N$2:$N$1960,MATCH(1095,'Transfer Engine'!$C$2:$C$1960,0)))</f>
        <v/>
      </c>
      <c r="O1104" s="9">
        <f>IF(ISNA(MATCH(1095,'Transfer Engine'!$C$2:$C$1960,0)),"",INDEX('Compliance Database'!$O$2:$O$1960,MATCH(1095,'Transfer Engine'!$C$2:$C$1960,0)))</f>
        <v/>
      </c>
      <c r="P1104" s="8">
        <f>IF(ISNA(MATCH(1095,'Transfer Engine'!$C$2:$C$1960,0)),"",HYPERLINK("#Acts!A"&amp;INDEX('Compliance Database'!$P$2:$P$1960,MATCH(1095,'Transfer Engine'!$C$2:$C$1960,0)),"Go to Act"))</f>
        <v/>
      </c>
    </row>
    <row r="1105" ht="158" customHeight="1">
      <c r="A1105" s="8">
        <f>IF(ISNA(MATCH(1096,'Transfer Engine'!$C$2:$C$1960,0)),"",INDEX('Compliance Database'!$A$2:$A$1960,MATCH(1096,'Transfer Engine'!$C$2:$C$1960,0)))</f>
        <v/>
      </c>
      <c r="B1105" s="8">
        <f>IF(ISNA(MATCH(1096,'Transfer Engine'!$C$2:$C$1960,0)),"",INDEX('Compliance Database'!$B$2:$B$1960,MATCH(1096,'Transfer Engine'!$C$2:$C$1960,0)))</f>
        <v/>
      </c>
      <c r="C1105" s="8">
        <f>IF(ISNA(MATCH(1096,'Transfer Engine'!$C$2:$C$1960,0)),"",INDEX('Compliance Database'!$C$2:$C$1960,MATCH(1096,'Transfer Engine'!$C$2:$C$1960,0)))</f>
        <v/>
      </c>
      <c r="D1105" s="9">
        <f>IF(ISNA(MATCH(1096,'Transfer Engine'!$C$2:$C$1960,0)),"",INDEX('Compliance Database'!$D$2:$D$1960,MATCH(1096,'Transfer Engine'!$C$2:$C$1960,0)))</f>
        <v/>
      </c>
      <c r="E1105" s="8">
        <f>IF(ISNA(MATCH(1096,'Transfer Engine'!$C$2:$C$1960,0)),"",INDEX('Compliance Database'!$E$2:$E$1960,MATCH(1096,'Transfer Engine'!$C$2:$C$1960,0)))</f>
        <v/>
      </c>
      <c r="F1105" s="8">
        <f>IF(ISNA(MATCH(1096,'Transfer Engine'!$C$2:$C$1960,0)),"",INDEX('Compliance Database'!$F$2:$F$1960,MATCH(1096,'Transfer Engine'!$C$2:$C$1960,0)))</f>
        <v/>
      </c>
      <c r="G1105" s="8">
        <f>IF(ISNA(MATCH(1096,'Transfer Engine'!$C$2:$C$1960,0)),"",INDEX('Compliance Database'!$G$2:$G$1960,MATCH(1096,'Transfer Engine'!$C$2:$C$1960,0)))</f>
        <v/>
      </c>
      <c r="H1105" s="9">
        <f>IF(ISNA(MATCH(1096,'Transfer Engine'!$C$2:$C$1960,0)),"",INDEX('Compliance Database'!$H$2:$H$1960,MATCH(1096,'Transfer Engine'!$C$2:$C$1960,0)))</f>
        <v/>
      </c>
      <c r="I1105" s="9">
        <f>IF(ISNA(MATCH(1096,'Transfer Engine'!$C$2:$C$1960,0)),"",INDEX('Compliance Database'!$I$2:$I$1960,MATCH(1096,'Transfer Engine'!$C$2:$C$1960,0)))</f>
        <v/>
      </c>
      <c r="J1105" s="8">
        <f>IF(ISNA(MATCH(1096,'Transfer Engine'!$C$2:$C$1960,0)),"",INDEX('Compliance Database'!$J$2:$J$1960,MATCH(1096,'Transfer Engine'!$C$2:$C$1960,0)))</f>
        <v/>
      </c>
      <c r="K1105" s="9">
        <f>IF(ISNA(MATCH(1096,'Transfer Engine'!$C$2:$C$1960,0)),"",INDEX('Compliance Database'!$K$2:$K$1960,MATCH(1096,'Transfer Engine'!$C$2:$C$1960,0)))</f>
        <v/>
      </c>
      <c r="L1105" s="9">
        <f>IF(ISNA(MATCH(1096,'Transfer Engine'!$C$2:$C$1960,0)),"",INDEX('Compliance Database'!$L$2:$L$1960,MATCH(1096,'Transfer Engine'!$C$2:$C$1960,0)))</f>
        <v/>
      </c>
      <c r="M1105" s="9">
        <f>IF(ISNA(MATCH(1096,'Transfer Engine'!$C$2:$C$1960,0)),"",INDEX('Compliance Database'!$M$2:$M$1960,MATCH(1096,'Transfer Engine'!$C$2:$C$1960,0)))</f>
        <v/>
      </c>
      <c r="N1105" s="9">
        <f>IF(ISNA(MATCH(1096,'Transfer Engine'!$C$2:$C$1960,0)),"",INDEX('Compliance Database'!$N$2:$N$1960,MATCH(1096,'Transfer Engine'!$C$2:$C$1960,0)))</f>
        <v/>
      </c>
      <c r="O1105" s="9">
        <f>IF(ISNA(MATCH(1096,'Transfer Engine'!$C$2:$C$1960,0)),"",INDEX('Compliance Database'!$O$2:$O$1960,MATCH(1096,'Transfer Engine'!$C$2:$C$1960,0)))</f>
        <v/>
      </c>
      <c r="P1105" s="8">
        <f>IF(ISNA(MATCH(1096,'Transfer Engine'!$C$2:$C$1960,0)),"",HYPERLINK("#Acts!A"&amp;INDEX('Compliance Database'!$P$2:$P$1960,MATCH(1096,'Transfer Engine'!$C$2:$C$1960,0)),"Go to Act"))</f>
        <v/>
      </c>
    </row>
    <row r="1106" ht="158" customHeight="1">
      <c r="A1106" s="8">
        <f>IF(ISNA(MATCH(1097,'Transfer Engine'!$C$2:$C$1960,0)),"",INDEX('Compliance Database'!$A$2:$A$1960,MATCH(1097,'Transfer Engine'!$C$2:$C$1960,0)))</f>
        <v/>
      </c>
      <c r="B1106" s="8">
        <f>IF(ISNA(MATCH(1097,'Transfer Engine'!$C$2:$C$1960,0)),"",INDEX('Compliance Database'!$B$2:$B$1960,MATCH(1097,'Transfer Engine'!$C$2:$C$1960,0)))</f>
        <v/>
      </c>
      <c r="C1106" s="8">
        <f>IF(ISNA(MATCH(1097,'Transfer Engine'!$C$2:$C$1960,0)),"",INDEX('Compliance Database'!$C$2:$C$1960,MATCH(1097,'Transfer Engine'!$C$2:$C$1960,0)))</f>
        <v/>
      </c>
      <c r="D1106" s="9">
        <f>IF(ISNA(MATCH(1097,'Transfer Engine'!$C$2:$C$1960,0)),"",INDEX('Compliance Database'!$D$2:$D$1960,MATCH(1097,'Transfer Engine'!$C$2:$C$1960,0)))</f>
        <v/>
      </c>
      <c r="E1106" s="8">
        <f>IF(ISNA(MATCH(1097,'Transfer Engine'!$C$2:$C$1960,0)),"",INDEX('Compliance Database'!$E$2:$E$1960,MATCH(1097,'Transfer Engine'!$C$2:$C$1960,0)))</f>
        <v/>
      </c>
      <c r="F1106" s="8">
        <f>IF(ISNA(MATCH(1097,'Transfer Engine'!$C$2:$C$1960,0)),"",INDEX('Compliance Database'!$F$2:$F$1960,MATCH(1097,'Transfer Engine'!$C$2:$C$1960,0)))</f>
        <v/>
      </c>
      <c r="G1106" s="8">
        <f>IF(ISNA(MATCH(1097,'Transfer Engine'!$C$2:$C$1960,0)),"",INDEX('Compliance Database'!$G$2:$G$1960,MATCH(1097,'Transfer Engine'!$C$2:$C$1960,0)))</f>
        <v/>
      </c>
      <c r="H1106" s="9">
        <f>IF(ISNA(MATCH(1097,'Transfer Engine'!$C$2:$C$1960,0)),"",INDEX('Compliance Database'!$H$2:$H$1960,MATCH(1097,'Transfer Engine'!$C$2:$C$1960,0)))</f>
        <v/>
      </c>
      <c r="I1106" s="9">
        <f>IF(ISNA(MATCH(1097,'Transfer Engine'!$C$2:$C$1960,0)),"",INDEX('Compliance Database'!$I$2:$I$1960,MATCH(1097,'Transfer Engine'!$C$2:$C$1960,0)))</f>
        <v/>
      </c>
      <c r="J1106" s="8">
        <f>IF(ISNA(MATCH(1097,'Transfer Engine'!$C$2:$C$1960,0)),"",INDEX('Compliance Database'!$J$2:$J$1960,MATCH(1097,'Transfer Engine'!$C$2:$C$1960,0)))</f>
        <v/>
      </c>
      <c r="K1106" s="9">
        <f>IF(ISNA(MATCH(1097,'Transfer Engine'!$C$2:$C$1960,0)),"",INDEX('Compliance Database'!$K$2:$K$1960,MATCH(1097,'Transfer Engine'!$C$2:$C$1960,0)))</f>
        <v/>
      </c>
      <c r="L1106" s="9">
        <f>IF(ISNA(MATCH(1097,'Transfer Engine'!$C$2:$C$1960,0)),"",INDEX('Compliance Database'!$L$2:$L$1960,MATCH(1097,'Transfer Engine'!$C$2:$C$1960,0)))</f>
        <v/>
      </c>
      <c r="M1106" s="9">
        <f>IF(ISNA(MATCH(1097,'Transfer Engine'!$C$2:$C$1960,0)),"",INDEX('Compliance Database'!$M$2:$M$1960,MATCH(1097,'Transfer Engine'!$C$2:$C$1960,0)))</f>
        <v/>
      </c>
      <c r="N1106" s="9">
        <f>IF(ISNA(MATCH(1097,'Transfer Engine'!$C$2:$C$1960,0)),"",INDEX('Compliance Database'!$N$2:$N$1960,MATCH(1097,'Transfer Engine'!$C$2:$C$1960,0)))</f>
        <v/>
      </c>
      <c r="O1106" s="9">
        <f>IF(ISNA(MATCH(1097,'Transfer Engine'!$C$2:$C$1960,0)),"",INDEX('Compliance Database'!$O$2:$O$1960,MATCH(1097,'Transfer Engine'!$C$2:$C$1960,0)))</f>
        <v/>
      </c>
      <c r="P1106" s="8">
        <f>IF(ISNA(MATCH(1097,'Transfer Engine'!$C$2:$C$1960,0)),"",HYPERLINK("#Acts!A"&amp;INDEX('Compliance Database'!$P$2:$P$1960,MATCH(1097,'Transfer Engine'!$C$2:$C$1960,0)),"Go to Act"))</f>
        <v/>
      </c>
    </row>
    <row r="1107" ht="158" customHeight="1">
      <c r="A1107" s="8">
        <f>IF(ISNA(MATCH(1098,'Transfer Engine'!$C$2:$C$1960,0)),"",INDEX('Compliance Database'!$A$2:$A$1960,MATCH(1098,'Transfer Engine'!$C$2:$C$1960,0)))</f>
        <v/>
      </c>
      <c r="B1107" s="8">
        <f>IF(ISNA(MATCH(1098,'Transfer Engine'!$C$2:$C$1960,0)),"",INDEX('Compliance Database'!$B$2:$B$1960,MATCH(1098,'Transfer Engine'!$C$2:$C$1960,0)))</f>
        <v/>
      </c>
      <c r="C1107" s="8">
        <f>IF(ISNA(MATCH(1098,'Transfer Engine'!$C$2:$C$1960,0)),"",INDEX('Compliance Database'!$C$2:$C$1960,MATCH(1098,'Transfer Engine'!$C$2:$C$1960,0)))</f>
        <v/>
      </c>
      <c r="D1107" s="9">
        <f>IF(ISNA(MATCH(1098,'Transfer Engine'!$C$2:$C$1960,0)),"",INDEX('Compliance Database'!$D$2:$D$1960,MATCH(1098,'Transfer Engine'!$C$2:$C$1960,0)))</f>
        <v/>
      </c>
      <c r="E1107" s="8">
        <f>IF(ISNA(MATCH(1098,'Transfer Engine'!$C$2:$C$1960,0)),"",INDEX('Compliance Database'!$E$2:$E$1960,MATCH(1098,'Transfer Engine'!$C$2:$C$1960,0)))</f>
        <v/>
      </c>
      <c r="F1107" s="8">
        <f>IF(ISNA(MATCH(1098,'Transfer Engine'!$C$2:$C$1960,0)),"",INDEX('Compliance Database'!$F$2:$F$1960,MATCH(1098,'Transfer Engine'!$C$2:$C$1960,0)))</f>
        <v/>
      </c>
      <c r="G1107" s="8">
        <f>IF(ISNA(MATCH(1098,'Transfer Engine'!$C$2:$C$1960,0)),"",INDEX('Compliance Database'!$G$2:$G$1960,MATCH(1098,'Transfer Engine'!$C$2:$C$1960,0)))</f>
        <v/>
      </c>
      <c r="H1107" s="9">
        <f>IF(ISNA(MATCH(1098,'Transfer Engine'!$C$2:$C$1960,0)),"",INDEX('Compliance Database'!$H$2:$H$1960,MATCH(1098,'Transfer Engine'!$C$2:$C$1960,0)))</f>
        <v/>
      </c>
      <c r="I1107" s="9">
        <f>IF(ISNA(MATCH(1098,'Transfer Engine'!$C$2:$C$1960,0)),"",INDEX('Compliance Database'!$I$2:$I$1960,MATCH(1098,'Transfer Engine'!$C$2:$C$1960,0)))</f>
        <v/>
      </c>
      <c r="J1107" s="8">
        <f>IF(ISNA(MATCH(1098,'Transfer Engine'!$C$2:$C$1960,0)),"",INDEX('Compliance Database'!$J$2:$J$1960,MATCH(1098,'Transfer Engine'!$C$2:$C$1960,0)))</f>
        <v/>
      </c>
      <c r="K1107" s="9">
        <f>IF(ISNA(MATCH(1098,'Transfer Engine'!$C$2:$C$1960,0)),"",INDEX('Compliance Database'!$K$2:$K$1960,MATCH(1098,'Transfer Engine'!$C$2:$C$1960,0)))</f>
        <v/>
      </c>
      <c r="L1107" s="9">
        <f>IF(ISNA(MATCH(1098,'Transfer Engine'!$C$2:$C$1960,0)),"",INDEX('Compliance Database'!$L$2:$L$1960,MATCH(1098,'Transfer Engine'!$C$2:$C$1960,0)))</f>
        <v/>
      </c>
      <c r="M1107" s="9">
        <f>IF(ISNA(MATCH(1098,'Transfer Engine'!$C$2:$C$1960,0)),"",INDEX('Compliance Database'!$M$2:$M$1960,MATCH(1098,'Transfer Engine'!$C$2:$C$1960,0)))</f>
        <v/>
      </c>
      <c r="N1107" s="9">
        <f>IF(ISNA(MATCH(1098,'Transfer Engine'!$C$2:$C$1960,0)),"",INDEX('Compliance Database'!$N$2:$N$1960,MATCH(1098,'Transfer Engine'!$C$2:$C$1960,0)))</f>
        <v/>
      </c>
      <c r="O1107" s="9">
        <f>IF(ISNA(MATCH(1098,'Transfer Engine'!$C$2:$C$1960,0)),"",INDEX('Compliance Database'!$O$2:$O$1960,MATCH(1098,'Transfer Engine'!$C$2:$C$1960,0)))</f>
        <v/>
      </c>
      <c r="P1107" s="8">
        <f>IF(ISNA(MATCH(1098,'Transfer Engine'!$C$2:$C$1960,0)),"",HYPERLINK("#Acts!A"&amp;INDEX('Compliance Database'!$P$2:$P$1960,MATCH(1098,'Transfer Engine'!$C$2:$C$1960,0)),"Go to Act"))</f>
        <v/>
      </c>
    </row>
    <row r="1108" ht="158" customHeight="1">
      <c r="A1108" s="8">
        <f>IF(ISNA(MATCH(1099,'Transfer Engine'!$C$2:$C$1960,0)),"",INDEX('Compliance Database'!$A$2:$A$1960,MATCH(1099,'Transfer Engine'!$C$2:$C$1960,0)))</f>
        <v/>
      </c>
      <c r="B1108" s="8">
        <f>IF(ISNA(MATCH(1099,'Transfer Engine'!$C$2:$C$1960,0)),"",INDEX('Compliance Database'!$B$2:$B$1960,MATCH(1099,'Transfer Engine'!$C$2:$C$1960,0)))</f>
        <v/>
      </c>
      <c r="C1108" s="8">
        <f>IF(ISNA(MATCH(1099,'Transfer Engine'!$C$2:$C$1960,0)),"",INDEX('Compliance Database'!$C$2:$C$1960,MATCH(1099,'Transfer Engine'!$C$2:$C$1960,0)))</f>
        <v/>
      </c>
      <c r="D1108" s="9">
        <f>IF(ISNA(MATCH(1099,'Transfer Engine'!$C$2:$C$1960,0)),"",INDEX('Compliance Database'!$D$2:$D$1960,MATCH(1099,'Transfer Engine'!$C$2:$C$1960,0)))</f>
        <v/>
      </c>
      <c r="E1108" s="8">
        <f>IF(ISNA(MATCH(1099,'Transfer Engine'!$C$2:$C$1960,0)),"",INDEX('Compliance Database'!$E$2:$E$1960,MATCH(1099,'Transfer Engine'!$C$2:$C$1960,0)))</f>
        <v/>
      </c>
      <c r="F1108" s="8">
        <f>IF(ISNA(MATCH(1099,'Transfer Engine'!$C$2:$C$1960,0)),"",INDEX('Compliance Database'!$F$2:$F$1960,MATCH(1099,'Transfer Engine'!$C$2:$C$1960,0)))</f>
        <v/>
      </c>
      <c r="G1108" s="8">
        <f>IF(ISNA(MATCH(1099,'Transfer Engine'!$C$2:$C$1960,0)),"",INDEX('Compliance Database'!$G$2:$G$1960,MATCH(1099,'Transfer Engine'!$C$2:$C$1960,0)))</f>
        <v/>
      </c>
      <c r="H1108" s="9">
        <f>IF(ISNA(MATCH(1099,'Transfer Engine'!$C$2:$C$1960,0)),"",INDEX('Compliance Database'!$H$2:$H$1960,MATCH(1099,'Transfer Engine'!$C$2:$C$1960,0)))</f>
        <v/>
      </c>
      <c r="I1108" s="9">
        <f>IF(ISNA(MATCH(1099,'Transfer Engine'!$C$2:$C$1960,0)),"",INDEX('Compliance Database'!$I$2:$I$1960,MATCH(1099,'Transfer Engine'!$C$2:$C$1960,0)))</f>
        <v/>
      </c>
      <c r="J1108" s="8">
        <f>IF(ISNA(MATCH(1099,'Transfer Engine'!$C$2:$C$1960,0)),"",INDEX('Compliance Database'!$J$2:$J$1960,MATCH(1099,'Transfer Engine'!$C$2:$C$1960,0)))</f>
        <v/>
      </c>
      <c r="K1108" s="9">
        <f>IF(ISNA(MATCH(1099,'Transfer Engine'!$C$2:$C$1960,0)),"",INDEX('Compliance Database'!$K$2:$K$1960,MATCH(1099,'Transfer Engine'!$C$2:$C$1960,0)))</f>
        <v/>
      </c>
      <c r="L1108" s="9">
        <f>IF(ISNA(MATCH(1099,'Transfer Engine'!$C$2:$C$1960,0)),"",INDEX('Compliance Database'!$L$2:$L$1960,MATCH(1099,'Transfer Engine'!$C$2:$C$1960,0)))</f>
        <v/>
      </c>
      <c r="M1108" s="9">
        <f>IF(ISNA(MATCH(1099,'Transfer Engine'!$C$2:$C$1960,0)),"",INDEX('Compliance Database'!$M$2:$M$1960,MATCH(1099,'Transfer Engine'!$C$2:$C$1960,0)))</f>
        <v/>
      </c>
      <c r="N1108" s="9">
        <f>IF(ISNA(MATCH(1099,'Transfer Engine'!$C$2:$C$1960,0)),"",INDEX('Compliance Database'!$N$2:$N$1960,MATCH(1099,'Transfer Engine'!$C$2:$C$1960,0)))</f>
        <v/>
      </c>
      <c r="O1108" s="9">
        <f>IF(ISNA(MATCH(1099,'Transfer Engine'!$C$2:$C$1960,0)),"",INDEX('Compliance Database'!$O$2:$O$1960,MATCH(1099,'Transfer Engine'!$C$2:$C$1960,0)))</f>
        <v/>
      </c>
      <c r="P1108" s="8">
        <f>IF(ISNA(MATCH(1099,'Transfer Engine'!$C$2:$C$1960,0)),"",HYPERLINK("#Acts!A"&amp;INDEX('Compliance Database'!$P$2:$P$1960,MATCH(1099,'Transfer Engine'!$C$2:$C$1960,0)),"Go to Act"))</f>
        <v/>
      </c>
    </row>
    <row r="1109" ht="158" customHeight="1">
      <c r="A1109" s="8">
        <f>IF(ISNA(MATCH(1100,'Transfer Engine'!$C$2:$C$1960,0)),"",INDEX('Compliance Database'!$A$2:$A$1960,MATCH(1100,'Transfer Engine'!$C$2:$C$1960,0)))</f>
        <v/>
      </c>
      <c r="B1109" s="8">
        <f>IF(ISNA(MATCH(1100,'Transfer Engine'!$C$2:$C$1960,0)),"",INDEX('Compliance Database'!$B$2:$B$1960,MATCH(1100,'Transfer Engine'!$C$2:$C$1960,0)))</f>
        <v/>
      </c>
      <c r="C1109" s="8">
        <f>IF(ISNA(MATCH(1100,'Transfer Engine'!$C$2:$C$1960,0)),"",INDEX('Compliance Database'!$C$2:$C$1960,MATCH(1100,'Transfer Engine'!$C$2:$C$1960,0)))</f>
        <v/>
      </c>
      <c r="D1109" s="9">
        <f>IF(ISNA(MATCH(1100,'Transfer Engine'!$C$2:$C$1960,0)),"",INDEX('Compliance Database'!$D$2:$D$1960,MATCH(1100,'Transfer Engine'!$C$2:$C$1960,0)))</f>
        <v/>
      </c>
      <c r="E1109" s="8">
        <f>IF(ISNA(MATCH(1100,'Transfer Engine'!$C$2:$C$1960,0)),"",INDEX('Compliance Database'!$E$2:$E$1960,MATCH(1100,'Transfer Engine'!$C$2:$C$1960,0)))</f>
        <v/>
      </c>
      <c r="F1109" s="8">
        <f>IF(ISNA(MATCH(1100,'Transfer Engine'!$C$2:$C$1960,0)),"",INDEX('Compliance Database'!$F$2:$F$1960,MATCH(1100,'Transfer Engine'!$C$2:$C$1960,0)))</f>
        <v/>
      </c>
      <c r="G1109" s="8">
        <f>IF(ISNA(MATCH(1100,'Transfer Engine'!$C$2:$C$1960,0)),"",INDEX('Compliance Database'!$G$2:$G$1960,MATCH(1100,'Transfer Engine'!$C$2:$C$1960,0)))</f>
        <v/>
      </c>
      <c r="H1109" s="9">
        <f>IF(ISNA(MATCH(1100,'Transfer Engine'!$C$2:$C$1960,0)),"",INDEX('Compliance Database'!$H$2:$H$1960,MATCH(1100,'Transfer Engine'!$C$2:$C$1960,0)))</f>
        <v/>
      </c>
      <c r="I1109" s="9">
        <f>IF(ISNA(MATCH(1100,'Transfer Engine'!$C$2:$C$1960,0)),"",INDEX('Compliance Database'!$I$2:$I$1960,MATCH(1100,'Transfer Engine'!$C$2:$C$1960,0)))</f>
        <v/>
      </c>
      <c r="J1109" s="8">
        <f>IF(ISNA(MATCH(1100,'Transfer Engine'!$C$2:$C$1960,0)),"",INDEX('Compliance Database'!$J$2:$J$1960,MATCH(1100,'Transfer Engine'!$C$2:$C$1960,0)))</f>
        <v/>
      </c>
      <c r="K1109" s="9">
        <f>IF(ISNA(MATCH(1100,'Transfer Engine'!$C$2:$C$1960,0)),"",INDEX('Compliance Database'!$K$2:$K$1960,MATCH(1100,'Transfer Engine'!$C$2:$C$1960,0)))</f>
        <v/>
      </c>
      <c r="L1109" s="9">
        <f>IF(ISNA(MATCH(1100,'Transfer Engine'!$C$2:$C$1960,0)),"",INDEX('Compliance Database'!$L$2:$L$1960,MATCH(1100,'Transfer Engine'!$C$2:$C$1960,0)))</f>
        <v/>
      </c>
      <c r="M1109" s="9">
        <f>IF(ISNA(MATCH(1100,'Transfer Engine'!$C$2:$C$1960,0)),"",INDEX('Compliance Database'!$M$2:$M$1960,MATCH(1100,'Transfer Engine'!$C$2:$C$1960,0)))</f>
        <v/>
      </c>
      <c r="N1109" s="9">
        <f>IF(ISNA(MATCH(1100,'Transfer Engine'!$C$2:$C$1960,0)),"",INDEX('Compliance Database'!$N$2:$N$1960,MATCH(1100,'Transfer Engine'!$C$2:$C$1960,0)))</f>
        <v/>
      </c>
      <c r="O1109" s="9">
        <f>IF(ISNA(MATCH(1100,'Transfer Engine'!$C$2:$C$1960,0)),"",INDEX('Compliance Database'!$O$2:$O$1960,MATCH(1100,'Transfer Engine'!$C$2:$C$1960,0)))</f>
        <v/>
      </c>
      <c r="P1109" s="8">
        <f>IF(ISNA(MATCH(1100,'Transfer Engine'!$C$2:$C$1960,0)),"",HYPERLINK("#Acts!A"&amp;INDEX('Compliance Database'!$P$2:$P$1960,MATCH(1100,'Transfer Engine'!$C$2:$C$1960,0)),"Go to Act"))</f>
        <v/>
      </c>
    </row>
    <row r="1110" ht="158" customHeight="1">
      <c r="A1110" s="8">
        <f>IF(ISNA(MATCH(1101,'Transfer Engine'!$C$2:$C$1960,0)),"",INDEX('Compliance Database'!$A$2:$A$1960,MATCH(1101,'Transfer Engine'!$C$2:$C$1960,0)))</f>
        <v/>
      </c>
      <c r="B1110" s="8">
        <f>IF(ISNA(MATCH(1101,'Transfer Engine'!$C$2:$C$1960,0)),"",INDEX('Compliance Database'!$B$2:$B$1960,MATCH(1101,'Transfer Engine'!$C$2:$C$1960,0)))</f>
        <v/>
      </c>
      <c r="C1110" s="8">
        <f>IF(ISNA(MATCH(1101,'Transfer Engine'!$C$2:$C$1960,0)),"",INDEX('Compliance Database'!$C$2:$C$1960,MATCH(1101,'Transfer Engine'!$C$2:$C$1960,0)))</f>
        <v/>
      </c>
      <c r="D1110" s="9">
        <f>IF(ISNA(MATCH(1101,'Transfer Engine'!$C$2:$C$1960,0)),"",INDEX('Compliance Database'!$D$2:$D$1960,MATCH(1101,'Transfer Engine'!$C$2:$C$1960,0)))</f>
        <v/>
      </c>
      <c r="E1110" s="8">
        <f>IF(ISNA(MATCH(1101,'Transfer Engine'!$C$2:$C$1960,0)),"",INDEX('Compliance Database'!$E$2:$E$1960,MATCH(1101,'Transfer Engine'!$C$2:$C$1960,0)))</f>
        <v/>
      </c>
      <c r="F1110" s="8">
        <f>IF(ISNA(MATCH(1101,'Transfer Engine'!$C$2:$C$1960,0)),"",INDEX('Compliance Database'!$F$2:$F$1960,MATCH(1101,'Transfer Engine'!$C$2:$C$1960,0)))</f>
        <v/>
      </c>
      <c r="G1110" s="8">
        <f>IF(ISNA(MATCH(1101,'Transfer Engine'!$C$2:$C$1960,0)),"",INDEX('Compliance Database'!$G$2:$G$1960,MATCH(1101,'Transfer Engine'!$C$2:$C$1960,0)))</f>
        <v/>
      </c>
      <c r="H1110" s="9">
        <f>IF(ISNA(MATCH(1101,'Transfer Engine'!$C$2:$C$1960,0)),"",INDEX('Compliance Database'!$H$2:$H$1960,MATCH(1101,'Transfer Engine'!$C$2:$C$1960,0)))</f>
        <v/>
      </c>
      <c r="I1110" s="9">
        <f>IF(ISNA(MATCH(1101,'Transfer Engine'!$C$2:$C$1960,0)),"",INDEX('Compliance Database'!$I$2:$I$1960,MATCH(1101,'Transfer Engine'!$C$2:$C$1960,0)))</f>
        <v/>
      </c>
      <c r="J1110" s="8">
        <f>IF(ISNA(MATCH(1101,'Transfer Engine'!$C$2:$C$1960,0)),"",INDEX('Compliance Database'!$J$2:$J$1960,MATCH(1101,'Transfer Engine'!$C$2:$C$1960,0)))</f>
        <v/>
      </c>
      <c r="K1110" s="9">
        <f>IF(ISNA(MATCH(1101,'Transfer Engine'!$C$2:$C$1960,0)),"",INDEX('Compliance Database'!$K$2:$K$1960,MATCH(1101,'Transfer Engine'!$C$2:$C$1960,0)))</f>
        <v/>
      </c>
      <c r="L1110" s="9">
        <f>IF(ISNA(MATCH(1101,'Transfer Engine'!$C$2:$C$1960,0)),"",INDEX('Compliance Database'!$L$2:$L$1960,MATCH(1101,'Transfer Engine'!$C$2:$C$1960,0)))</f>
        <v/>
      </c>
      <c r="M1110" s="9">
        <f>IF(ISNA(MATCH(1101,'Transfer Engine'!$C$2:$C$1960,0)),"",INDEX('Compliance Database'!$M$2:$M$1960,MATCH(1101,'Transfer Engine'!$C$2:$C$1960,0)))</f>
        <v/>
      </c>
      <c r="N1110" s="9">
        <f>IF(ISNA(MATCH(1101,'Transfer Engine'!$C$2:$C$1960,0)),"",INDEX('Compliance Database'!$N$2:$N$1960,MATCH(1101,'Transfer Engine'!$C$2:$C$1960,0)))</f>
        <v/>
      </c>
      <c r="O1110" s="9">
        <f>IF(ISNA(MATCH(1101,'Transfer Engine'!$C$2:$C$1960,0)),"",INDEX('Compliance Database'!$O$2:$O$1960,MATCH(1101,'Transfer Engine'!$C$2:$C$1960,0)))</f>
        <v/>
      </c>
      <c r="P1110" s="8">
        <f>IF(ISNA(MATCH(1101,'Transfer Engine'!$C$2:$C$1960,0)),"",HYPERLINK("#Acts!A"&amp;INDEX('Compliance Database'!$P$2:$P$1960,MATCH(1101,'Transfer Engine'!$C$2:$C$1960,0)),"Go to Act"))</f>
        <v/>
      </c>
    </row>
    <row r="1111" ht="158" customHeight="1">
      <c r="A1111" s="8">
        <f>IF(ISNA(MATCH(1102,'Transfer Engine'!$C$2:$C$1960,0)),"",INDEX('Compliance Database'!$A$2:$A$1960,MATCH(1102,'Transfer Engine'!$C$2:$C$1960,0)))</f>
        <v/>
      </c>
      <c r="B1111" s="8">
        <f>IF(ISNA(MATCH(1102,'Transfer Engine'!$C$2:$C$1960,0)),"",INDEX('Compliance Database'!$B$2:$B$1960,MATCH(1102,'Transfer Engine'!$C$2:$C$1960,0)))</f>
        <v/>
      </c>
      <c r="C1111" s="8">
        <f>IF(ISNA(MATCH(1102,'Transfer Engine'!$C$2:$C$1960,0)),"",INDEX('Compliance Database'!$C$2:$C$1960,MATCH(1102,'Transfer Engine'!$C$2:$C$1960,0)))</f>
        <v/>
      </c>
      <c r="D1111" s="9">
        <f>IF(ISNA(MATCH(1102,'Transfer Engine'!$C$2:$C$1960,0)),"",INDEX('Compliance Database'!$D$2:$D$1960,MATCH(1102,'Transfer Engine'!$C$2:$C$1960,0)))</f>
        <v/>
      </c>
      <c r="E1111" s="8">
        <f>IF(ISNA(MATCH(1102,'Transfer Engine'!$C$2:$C$1960,0)),"",INDEX('Compliance Database'!$E$2:$E$1960,MATCH(1102,'Transfer Engine'!$C$2:$C$1960,0)))</f>
        <v/>
      </c>
      <c r="F1111" s="8">
        <f>IF(ISNA(MATCH(1102,'Transfer Engine'!$C$2:$C$1960,0)),"",INDEX('Compliance Database'!$F$2:$F$1960,MATCH(1102,'Transfer Engine'!$C$2:$C$1960,0)))</f>
        <v/>
      </c>
      <c r="G1111" s="8">
        <f>IF(ISNA(MATCH(1102,'Transfer Engine'!$C$2:$C$1960,0)),"",INDEX('Compliance Database'!$G$2:$G$1960,MATCH(1102,'Transfer Engine'!$C$2:$C$1960,0)))</f>
        <v/>
      </c>
      <c r="H1111" s="9">
        <f>IF(ISNA(MATCH(1102,'Transfer Engine'!$C$2:$C$1960,0)),"",INDEX('Compliance Database'!$H$2:$H$1960,MATCH(1102,'Transfer Engine'!$C$2:$C$1960,0)))</f>
        <v/>
      </c>
      <c r="I1111" s="9">
        <f>IF(ISNA(MATCH(1102,'Transfer Engine'!$C$2:$C$1960,0)),"",INDEX('Compliance Database'!$I$2:$I$1960,MATCH(1102,'Transfer Engine'!$C$2:$C$1960,0)))</f>
        <v/>
      </c>
      <c r="J1111" s="8">
        <f>IF(ISNA(MATCH(1102,'Transfer Engine'!$C$2:$C$1960,0)),"",INDEX('Compliance Database'!$J$2:$J$1960,MATCH(1102,'Transfer Engine'!$C$2:$C$1960,0)))</f>
        <v/>
      </c>
      <c r="K1111" s="9">
        <f>IF(ISNA(MATCH(1102,'Transfer Engine'!$C$2:$C$1960,0)),"",INDEX('Compliance Database'!$K$2:$K$1960,MATCH(1102,'Transfer Engine'!$C$2:$C$1960,0)))</f>
        <v/>
      </c>
      <c r="L1111" s="9">
        <f>IF(ISNA(MATCH(1102,'Transfer Engine'!$C$2:$C$1960,0)),"",INDEX('Compliance Database'!$L$2:$L$1960,MATCH(1102,'Transfer Engine'!$C$2:$C$1960,0)))</f>
        <v/>
      </c>
      <c r="M1111" s="9">
        <f>IF(ISNA(MATCH(1102,'Transfer Engine'!$C$2:$C$1960,0)),"",INDEX('Compliance Database'!$M$2:$M$1960,MATCH(1102,'Transfer Engine'!$C$2:$C$1960,0)))</f>
        <v/>
      </c>
      <c r="N1111" s="9">
        <f>IF(ISNA(MATCH(1102,'Transfer Engine'!$C$2:$C$1960,0)),"",INDEX('Compliance Database'!$N$2:$N$1960,MATCH(1102,'Transfer Engine'!$C$2:$C$1960,0)))</f>
        <v/>
      </c>
      <c r="O1111" s="9">
        <f>IF(ISNA(MATCH(1102,'Transfer Engine'!$C$2:$C$1960,0)),"",INDEX('Compliance Database'!$O$2:$O$1960,MATCH(1102,'Transfer Engine'!$C$2:$C$1960,0)))</f>
        <v/>
      </c>
      <c r="P1111" s="8">
        <f>IF(ISNA(MATCH(1102,'Transfer Engine'!$C$2:$C$1960,0)),"",HYPERLINK("#Acts!A"&amp;INDEX('Compliance Database'!$P$2:$P$1960,MATCH(1102,'Transfer Engine'!$C$2:$C$1960,0)),"Go to Act"))</f>
        <v/>
      </c>
    </row>
    <row r="1112" ht="158" customHeight="1">
      <c r="A1112" s="8">
        <f>IF(ISNA(MATCH(1103,'Transfer Engine'!$C$2:$C$1960,0)),"",INDEX('Compliance Database'!$A$2:$A$1960,MATCH(1103,'Transfer Engine'!$C$2:$C$1960,0)))</f>
        <v/>
      </c>
      <c r="B1112" s="8">
        <f>IF(ISNA(MATCH(1103,'Transfer Engine'!$C$2:$C$1960,0)),"",INDEX('Compliance Database'!$B$2:$B$1960,MATCH(1103,'Transfer Engine'!$C$2:$C$1960,0)))</f>
        <v/>
      </c>
      <c r="C1112" s="8">
        <f>IF(ISNA(MATCH(1103,'Transfer Engine'!$C$2:$C$1960,0)),"",INDEX('Compliance Database'!$C$2:$C$1960,MATCH(1103,'Transfer Engine'!$C$2:$C$1960,0)))</f>
        <v/>
      </c>
      <c r="D1112" s="9">
        <f>IF(ISNA(MATCH(1103,'Transfer Engine'!$C$2:$C$1960,0)),"",INDEX('Compliance Database'!$D$2:$D$1960,MATCH(1103,'Transfer Engine'!$C$2:$C$1960,0)))</f>
        <v/>
      </c>
      <c r="E1112" s="8">
        <f>IF(ISNA(MATCH(1103,'Transfer Engine'!$C$2:$C$1960,0)),"",INDEX('Compliance Database'!$E$2:$E$1960,MATCH(1103,'Transfer Engine'!$C$2:$C$1960,0)))</f>
        <v/>
      </c>
      <c r="F1112" s="8">
        <f>IF(ISNA(MATCH(1103,'Transfer Engine'!$C$2:$C$1960,0)),"",INDEX('Compliance Database'!$F$2:$F$1960,MATCH(1103,'Transfer Engine'!$C$2:$C$1960,0)))</f>
        <v/>
      </c>
      <c r="G1112" s="8">
        <f>IF(ISNA(MATCH(1103,'Transfer Engine'!$C$2:$C$1960,0)),"",INDEX('Compliance Database'!$G$2:$G$1960,MATCH(1103,'Transfer Engine'!$C$2:$C$1960,0)))</f>
        <v/>
      </c>
      <c r="H1112" s="9">
        <f>IF(ISNA(MATCH(1103,'Transfer Engine'!$C$2:$C$1960,0)),"",INDEX('Compliance Database'!$H$2:$H$1960,MATCH(1103,'Transfer Engine'!$C$2:$C$1960,0)))</f>
        <v/>
      </c>
      <c r="I1112" s="9">
        <f>IF(ISNA(MATCH(1103,'Transfer Engine'!$C$2:$C$1960,0)),"",INDEX('Compliance Database'!$I$2:$I$1960,MATCH(1103,'Transfer Engine'!$C$2:$C$1960,0)))</f>
        <v/>
      </c>
      <c r="J1112" s="8">
        <f>IF(ISNA(MATCH(1103,'Transfer Engine'!$C$2:$C$1960,0)),"",INDEX('Compliance Database'!$J$2:$J$1960,MATCH(1103,'Transfer Engine'!$C$2:$C$1960,0)))</f>
        <v/>
      </c>
      <c r="K1112" s="9">
        <f>IF(ISNA(MATCH(1103,'Transfer Engine'!$C$2:$C$1960,0)),"",INDEX('Compliance Database'!$K$2:$K$1960,MATCH(1103,'Transfer Engine'!$C$2:$C$1960,0)))</f>
        <v/>
      </c>
      <c r="L1112" s="9">
        <f>IF(ISNA(MATCH(1103,'Transfer Engine'!$C$2:$C$1960,0)),"",INDEX('Compliance Database'!$L$2:$L$1960,MATCH(1103,'Transfer Engine'!$C$2:$C$1960,0)))</f>
        <v/>
      </c>
      <c r="M1112" s="9">
        <f>IF(ISNA(MATCH(1103,'Transfer Engine'!$C$2:$C$1960,0)),"",INDEX('Compliance Database'!$M$2:$M$1960,MATCH(1103,'Transfer Engine'!$C$2:$C$1960,0)))</f>
        <v/>
      </c>
      <c r="N1112" s="9">
        <f>IF(ISNA(MATCH(1103,'Transfer Engine'!$C$2:$C$1960,0)),"",INDEX('Compliance Database'!$N$2:$N$1960,MATCH(1103,'Transfer Engine'!$C$2:$C$1960,0)))</f>
        <v/>
      </c>
      <c r="O1112" s="9">
        <f>IF(ISNA(MATCH(1103,'Transfer Engine'!$C$2:$C$1960,0)),"",INDEX('Compliance Database'!$O$2:$O$1960,MATCH(1103,'Transfer Engine'!$C$2:$C$1960,0)))</f>
        <v/>
      </c>
      <c r="P1112" s="8">
        <f>IF(ISNA(MATCH(1103,'Transfer Engine'!$C$2:$C$1960,0)),"",HYPERLINK("#Acts!A"&amp;INDEX('Compliance Database'!$P$2:$P$1960,MATCH(1103,'Transfer Engine'!$C$2:$C$1960,0)),"Go to Act"))</f>
        <v/>
      </c>
    </row>
    <row r="1113" ht="158" customHeight="1">
      <c r="A1113" s="8">
        <f>IF(ISNA(MATCH(1104,'Transfer Engine'!$C$2:$C$1960,0)),"",INDEX('Compliance Database'!$A$2:$A$1960,MATCH(1104,'Transfer Engine'!$C$2:$C$1960,0)))</f>
        <v/>
      </c>
      <c r="B1113" s="8">
        <f>IF(ISNA(MATCH(1104,'Transfer Engine'!$C$2:$C$1960,0)),"",INDEX('Compliance Database'!$B$2:$B$1960,MATCH(1104,'Transfer Engine'!$C$2:$C$1960,0)))</f>
        <v/>
      </c>
      <c r="C1113" s="8">
        <f>IF(ISNA(MATCH(1104,'Transfer Engine'!$C$2:$C$1960,0)),"",INDEX('Compliance Database'!$C$2:$C$1960,MATCH(1104,'Transfer Engine'!$C$2:$C$1960,0)))</f>
        <v/>
      </c>
      <c r="D1113" s="9">
        <f>IF(ISNA(MATCH(1104,'Transfer Engine'!$C$2:$C$1960,0)),"",INDEX('Compliance Database'!$D$2:$D$1960,MATCH(1104,'Transfer Engine'!$C$2:$C$1960,0)))</f>
        <v/>
      </c>
      <c r="E1113" s="8">
        <f>IF(ISNA(MATCH(1104,'Transfer Engine'!$C$2:$C$1960,0)),"",INDEX('Compliance Database'!$E$2:$E$1960,MATCH(1104,'Transfer Engine'!$C$2:$C$1960,0)))</f>
        <v/>
      </c>
      <c r="F1113" s="8">
        <f>IF(ISNA(MATCH(1104,'Transfer Engine'!$C$2:$C$1960,0)),"",INDEX('Compliance Database'!$F$2:$F$1960,MATCH(1104,'Transfer Engine'!$C$2:$C$1960,0)))</f>
        <v/>
      </c>
      <c r="G1113" s="8">
        <f>IF(ISNA(MATCH(1104,'Transfer Engine'!$C$2:$C$1960,0)),"",INDEX('Compliance Database'!$G$2:$G$1960,MATCH(1104,'Transfer Engine'!$C$2:$C$1960,0)))</f>
        <v/>
      </c>
      <c r="H1113" s="9">
        <f>IF(ISNA(MATCH(1104,'Transfer Engine'!$C$2:$C$1960,0)),"",INDEX('Compliance Database'!$H$2:$H$1960,MATCH(1104,'Transfer Engine'!$C$2:$C$1960,0)))</f>
        <v/>
      </c>
      <c r="I1113" s="9">
        <f>IF(ISNA(MATCH(1104,'Transfer Engine'!$C$2:$C$1960,0)),"",INDEX('Compliance Database'!$I$2:$I$1960,MATCH(1104,'Transfer Engine'!$C$2:$C$1960,0)))</f>
        <v/>
      </c>
      <c r="J1113" s="8">
        <f>IF(ISNA(MATCH(1104,'Transfer Engine'!$C$2:$C$1960,0)),"",INDEX('Compliance Database'!$J$2:$J$1960,MATCH(1104,'Transfer Engine'!$C$2:$C$1960,0)))</f>
        <v/>
      </c>
      <c r="K1113" s="9">
        <f>IF(ISNA(MATCH(1104,'Transfer Engine'!$C$2:$C$1960,0)),"",INDEX('Compliance Database'!$K$2:$K$1960,MATCH(1104,'Transfer Engine'!$C$2:$C$1960,0)))</f>
        <v/>
      </c>
      <c r="L1113" s="9">
        <f>IF(ISNA(MATCH(1104,'Transfer Engine'!$C$2:$C$1960,0)),"",INDEX('Compliance Database'!$L$2:$L$1960,MATCH(1104,'Transfer Engine'!$C$2:$C$1960,0)))</f>
        <v/>
      </c>
      <c r="M1113" s="9">
        <f>IF(ISNA(MATCH(1104,'Transfer Engine'!$C$2:$C$1960,0)),"",INDEX('Compliance Database'!$M$2:$M$1960,MATCH(1104,'Transfer Engine'!$C$2:$C$1960,0)))</f>
        <v/>
      </c>
      <c r="N1113" s="9">
        <f>IF(ISNA(MATCH(1104,'Transfer Engine'!$C$2:$C$1960,0)),"",INDEX('Compliance Database'!$N$2:$N$1960,MATCH(1104,'Transfer Engine'!$C$2:$C$1960,0)))</f>
        <v/>
      </c>
      <c r="O1113" s="9">
        <f>IF(ISNA(MATCH(1104,'Transfer Engine'!$C$2:$C$1960,0)),"",INDEX('Compliance Database'!$O$2:$O$1960,MATCH(1104,'Transfer Engine'!$C$2:$C$1960,0)))</f>
        <v/>
      </c>
      <c r="P1113" s="8">
        <f>IF(ISNA(MATCH(1104,'Transfer Engine'!$C$2:$C$1960,0)),"",HYPERLINK("#Acts!A"&amp;INDEX('Compliance Database'!$P$2:$P$1960,MATCH(1104,'Transfer Engine'!$C$2:$C$1960,0)),"Go to Act"))</f>
        <v/>
      </c>
    </row>
    <row r="1114" ht="158" customHeight="1">
      <c r="A1114" s="8">
        <f>IF(ISNA(MATCH(1105,'Transfer Engine'!$C$2:$C$1960,0)),"",INDEX('Compliance Database'!$A$2:$A$1960,MATCH(1105,'Transfer Engine'!$C$2:$C$1960,0)))</f>
        <v/>
      </c>
      <c r="B1114" s="8">
        <f>IF(ISNA(MATCH(1105,'Transfer Engine'!$C$2:$C$1960,0)),"",INDEX('Compliance Database'!$B$2:$B$1960,MATCH(1105,'Transfer Engine'!$C$2:$C$1960,0)))</f>
        <v/>
      </c>
      <c r="C1114" s="8">
        <f>IF(ISNA(MATCH(1105,'Transfer Engine'!$C$2:$C$1960,0)),"",INDEX('Compliance Database'!$C$2:$C$1960,MATCH(1105,'Transfer Engine'!$C$2:$C$1960,0)))</f>
        <v/>
      </c>
      <c r="D1114" s="9">
        <f>IF(ISNA(MATCH(1105,'Transfer Engine'!$C$2:$C$1960,0)),"",INDEX('Compliance Database'!$D$2:$D$1960,MATCH(1105,'Transfer Engine'!$C$2:$C$1960,0)))</f>
        <v/>
      </c>
      <c r="E1114" s="8">
        <f>IF(ISNA(MATCH(1105,'Transfer Engine'!$C$2:$C$1960,0)),"",INDEX('Compliance Database'!$E$2:$E$1960,MATCH(1105,'Transfer Engine'!$C$2:$C$1960,0)))</f>
        <v/>
      </c>
      <c r="F1114" s="8">
        <f>IF(ISNA(MATCH(1105,'Transfer Engine'!$C$2:$C$1960,0)),"",INDEX('Compliance Database'!$F$2:$F$1960,MATCH(1105,'Transfer Engine'!$C$2:$C$1960,0)))</f>
        <v/>
      </c>
      <c r="G1114" s="8">
        <f>IF(ISNA(MATCH(1105,'Transfer Engine'!$C$2:$C$1960,0)),"",INDEX('Compliance Database'!$G$2:$G$1960,MATCH(1105,'Transfer Engine'!$C$2:$C$1960,0)))</f>
        <v/>
      </c>
      <c r="H1114" s="9">
        <f>IF(ISNA(MATCH(1105,'Transfer Engine'!$C$2:$C$1960,0)),"",INDEX('Compliance Database'!$H$2:$H$1960,MATCH(1105,'Transfer Engine'!$C$2:$C$1960,0)))</f>
        <v/>
      </c>
      <c r="I1114" s="9">
        <f>IF(ISNA(MATCH(1105,'Transfer Engine'!$C$2:$C$1960,0)),"",INDEX('Compliance Database'!$I$2:$I$1960,MATCH(1105,'Transfer Engine'!$C$2:$C$1960,0)))</f>
        <v/>
      </c>
      <c r="J1114" s="8">
        <f>IF(ISNA(MATCH(1105,'Transfer Engine'!$C$2:$C$1960,0)),"",INDEX('Compliance Database'!$J$2:$J$1960,MATCH(1105,'Transfer Engine'!$C$2:$C$1960,0)))</f>
        <v/>
      </c>
      <c r="K1114" s="9">
        <f>IF(ISNA(MATCH(1105,'Transfer Engine'!$C$2:$C$1960,0)),"",INDEX('Compliance Database'!$K$2:$K$1960,MATCH(1105,'Transfer Engine'!$C$2:$C$1960,0)))</f>
        <v/>
      </c>
      <c r="L1114" s="9">
        <f>IF(ISNA(MATCH(1105,'Transfer Engine'!$C$2:$C$1960,0)),"",INDEX('Compliance Database'!$L$2:$L$1960,MATCH(1105,'Transfer Engine'!$C$2:$C$1960,0)))</f>
        <v/>
      </c>
      <c r="M1114" s="9">
        <f>IF(ISNA(MATCH(1105,'Transfer Engine'!$C$2:$C$1960,0)),"",INDEX('Compliance Database'!$M$2:$M$1960,MATCH(1105,'Transfer Engine'!$C$2:$C$1960,0)))</f>
        <v/>
      </c>
      <c r="N1114" s="9">
        <f>IF(ISNA(MATCH(1105,'Transfer Engine'!$C$2:$C$1960,0)),"",INDEX('Compliance Database'!$N$2:$N$1960,MATCH(1105,'Transfer Engine'!$C$2:$C$1960,0)))</f>
        <v/>
      </c>
      <c r="O1114" s="9">
        <f>IF(ISNA(MATCH(1105,'Transfer Engine'!$C$2:$C$1960,0)),"",INDEX('Compliance Database'!$O$2:$O$1960,MATCH(1105,'Transfer Engine'!$C$2:$C$1960,0)))</f>
        <v/>
      </c>
      <c r="P1114" s="8">
        <f>IF(ISNA(MATCH(1105,'Transfer Engine'!$C$2:$C$1960,0)),"",HYPERLINK("#Acts!A"&amp;INDEX('Compliance Database'!$P$2:$P$1960,MATCH(1105,'Transfer Engine'!$C$2:$C$1960,0)),"Go to Act"))</f>
        <v/>
      </c>
    </row>
    <row r="1115" ht="158" customHeight="1">
      <c r="A1115" s="8">
        <f>IF(ISNA(MATCH(1106,'Transfer Engine'!$C$2:$C$1960,0)),"",INDEX('Compliance Database'!$A$2:$A$1960,MATCH(1106,'Transfer Engine'!$C$2:$C$1960,0)))</f>
        <v/>
      </c>
      <c r="B1115" s="8">
        <f>IF(ISNA(MATCH(1106,'Transfer Engine'!$C$2:$C$1960,0)),"",INDEX('Compliance Database'!$B$2:$B$1960,MATCH(1106,'Transfer Engine'!$C$2:$C$1960,0)))</f>
        <v/>
      </c>
      <c r="C1115" s="8">
        <f>IF(ISNA(MATCH(1106,'Transfer Engine'!$C$2:$C$1960,0)),"",INDEX('Compliance Database'!$C$2:$C$1960,MATCH(1106,'Transfer Engine'!$C$2:$C$1960,0)))</f>
        <v/>
      </c>
      <c r="D1115" s="9">
        <f>IF(ISNA(MATCH(1106,'Transfer Engine'!$C$2:$C$1960,0)),"",INDEX('Compliance Database'!$D$2:$D$1960,MATCH(1106,'Transfer Engine'!$C$2:$C$1960,0)))</f>
        <v/>
      </c>
      <c r="E1115" s="8">
        <f>IF(ISNA(MATCH(1106,'Transfer Engine'!$C$2:$C$1960,0)),"",INDEX('Compliance Database'!$E$2:$E$1960,MATCH(1106,'Transfer Engine'!$C$2:$C$1960,0)))</f>
        <v/>
      </c>
      <c r="F1115" s="8">
        <f>IF(ISNA(MATCH(1106,'Transfer Engine'!$C$2:$C$1960,0)),"",INDEX('Compliance Database'!$F$2:$F$1960,MATCH(1106,'Transfer Engine'!$C$2:$C$1960,0)))</f>
        <v/>
      </c>
      <c r="G1115" s="8">
        <f>IF(ISNA(MATCH(1106,'Transfer Engine'!$C$2:$C$1960,0)),"",INDEX('Compliance Database'!$G$2:$G$1960,MATCH(1106,'Transfer Engine'!$C$2:$C$1960,0)))</f>
        <v/>
      </c>
      <c r="H1115" s="9">
        <f>IF(ISNA(MATCH(1106,'Transfer Engine'!$C$2:$C$1960,0)),"",INDEX('Compliance Database'!$H$2:$H$1960,MATCH(1106,'Transfer Engine'!$C$2:$C$1960,0)))</f>
        <v/>
      </c>
      <c r="I1115" s="9">
        <f>IF(ISNA(MATCH(1106,'Transfer Engine'!$C$2:$C$1960,0)),"",INDEX('Compliance Database'!$I$2:$I$1960,MATCH(1106,'Transfer Engine'!$C$2:$C$1960,0)))</f>
        <v/>
      </c>
      <c r="J1115" s="8">
        <f>IF(ISNA(MATCH(1106,'Transfer Engine'!$C$2:$C$1960,0)),"",INDEX('Compliance Database'!$J$2:$J$1960,MATCH(1106,'Transfer Engine'!$C$2:$C$1960,0)))</f>
        <v/>
      </c>
      <c r="K1115" s="9">
        <f>IF(ISNA(MATCH(1106,'Transfer Engine'!$C$2:$C$1960,0)),"",INDEX('Compliance Database'!$K$2:$K$1960,MATCH(1106,'Transfer Engine'!$C$2:$C$1960,0)))</f>
        <v/>
      </c>
      <c r="L1115" s="9">
        <f>IF(ISNA(MATCH(1106,'Transfer Engine'!$C$2:$C$1960,0)),"",INDEX('Compliance Database'!$L$2:$L$1960,MATCH(1106,'Transfer Engine'!$C$2:$C$1960,0)))</f>
        <v/>
      </c>
      <c r="M1115" s="9">
        <f>IF(ISNA(MATCH(1106,'Transfer Engine'!$C$2:$C$1960,0)),"",INDEX('Compliance Database'!$M$2:$M$1960,MATCH(1106,'Transfer Engine'!$C$2:$C$1960,0)))</f>
        <v/>
      </c>
      <c r="N1115" s="9">
        <f>IF(ISNA(MATCH(1106,'Transfer Engine'!$C$2:$C$1960,0)),"",INDEX('Compliance Database'!$N$2:$N$1960,MATCH(1106,'Transfer Engine'!$C$2:$C$1960,0)))</f>
        <v/>
      </c>
      <c r="O1115" s="9">
        <f>IF(ISNA(MATCH(1106,'Transfer Engine'!$C$2:$C$1960,0)),"",INDEX('Compliance Database'!$O$2:$O$1960,MATCH(1106,'Transfer Engine'!$C$2:$C$1960,0)))</f>
        <v/>
      </c>
      <c r="P1115" s="8">
        <f>IF(ISNA(MATCH(1106,'Transfer Engine'!$C$2:$C$1960,0)),"",HYPERLINK("#Acts!A"&amp;INDEX('Compliance Database'!$P$2:$P$1960,MATCH(1106,'Transfer Engine'!$C$2:$C$1960,0)),"Go to Act"))</f>
        <v/>
      </c>
    </row>
    <row r="1116" ht="158" customHeight="1">
      <c r="A1116" s="8">
        <f>IF(ISNA(MATCH(1107,'Transfer Engine'!$C$2:$C$1960,0)),"",INDEX('Compliance Database'!$A$2:$A$1960,MATCH(1107,'Transfer Engine'!$C$2:$C$1960,0)))</f>
        <v/>
      </c>
      <c r="B1116" s="8">
        <f>IF(ISNA(MATCH(1107,'Transfer Engine'!$C$2:$C$1960,0)),"",INDEX('Compliance Database'!$B$2:$B$1960,MATCH(1107,'Transfer Engine'!$C$2:$C$1960,0)))</f>
        <v/>
      </c>
      <c r="C1116" s="8">
        <f>IF(ISNA(MATCH(1107,'Transfer Engine'!$C$2:$C$1960,0)),"",INDEX('Compliance Database'!$C$2:$C$1960,MATCH(1107,'Transfer Engine'!$C$2:$C$1960,0)))</f>
        <v/>
      </c>
      <c r="D1116" s="9">
        <f>IF(ISNA(MATCH(1107,'Transfer Engine'!$C$2:$C$1960,0)),"",INDEX('Compliance Database'!$D$2:$D$1960,MATCH(1107,'Transfer Engine'!$C$2:$C$1960,0)))</f>
        <v/>
      </c>
      <c r="E1116" s="8">
        <f>IF(ISNA(MATCH(1107,'Transfer Engine'!$C$2:$C$1960,0)),"",INDEX('Compliance Database'!$E$2:$E$1960,MATCH(1107,'Transfer Engine'!$C$2:$C$1960,0)))</f>
        <v/>
      </c>
      <c r="F1116" s="8">
        <f>IF(ISNA(MATCH(1107,'Transfer Engine'!$C$2:$C$1960,0)),"",INDEX('Compliance Database'!$F$2:$F$1960,MATCH(1107,'Transfer Engine'!$C$2:$C$1960,0)))</f>
        <v/>
      </c>
      <c r="G1116" s="8">
        <f>IF(ISNA(MATCH(1107,'Transfer Engine'!$C$2:$C$1960,0)),"",INDEX('Compliance Database'!$G$2:$G$1960,MATCH(1107,'Transfer Engine'!$C$2:$C$1960,0)))</f>
        <v/>
      </c>
      <c r="H1116" s="9">
        <f>IF(ISNA(MATCH(1107,'Transfer Engine'!$C$2:$C$1960,0)),"",INDEX('Compliance Database'!$H$2:$H$1960,MATCH(1107,'Transfer Engine'!$C$2:$C$1960,0)))</f>
        <v/>
      </c>
      <c r="I1116" s="9">
        <f>IF(ISNA(MATCH(1107,'Transfer Engine'!$C$2:$C$1960,0)),"",INDEX('Compliance Database'!$I$2:$I$1960,MATCH(1107,'Transfer Engine'!$C$2:$C$1960,0)))</f>
        <v/>
      </c>
      <c r="J1116" s="8">
        <f>IF(ISNA(MATCH(1107,'Transfer Engine'!$C$2:$C$1960,0)),"",INDEX('Compliance Database'!$J$2:$J$1960,MATCH(1107,'Transfer Engine'!$C$2:$C$1960,0)))</f>
        <v/>
      </c>
      <c r="K1116" s="9">
        <f>IF(ISNA(MATCH(1107,'Transfer Engine'!$C$2:$C$1960,0)),"",INDEX('Compliance Database'!$K$2:$K$1960,MATCH(1107,'Transfer Engine'!$C$2:$C$1960,0)))</f>
        <v/>
      </c>
      <c r="L1116" s="9">
        <f>IF(ISNA(MATCH(1107,'Transfer Engine'!$C$2:$C$1960,0)),"",INDEX('Compliance Database'!$L$2:$L$1960,MATCH(1107,'Transfer Engine'!$C$2:$C$1960,0)))</f>
        <v/>
      </c>
      <c r="M1116" s="9">
        <f>IF(ISNA(MATCH(1107,'Transfer Engine'!$C$2:$C$1960,0)),"",INDEX('Compliance Database'!$M$2:$M$1960,MATCH(1107,'Transfer Engine'!$C$2:$C$1960,0)))</f>
        <v/>
      </c>
      <c r="N1116" s="9">
        <f>IF(ISNA(MATCH(1107,'Transfer Engine'!$C$2:$C$1960,0)),"",INDEX('Compliance Database'!$N$2:$N$1960,MATCH(1107,'Transfer Engine'!$C$2:$C$1960,0)))</f>
        <v/>
      </c>
      <c r="O1116" s="9">
        <f>IF(ISNA(MATCH(1107,'Transfer Engine'!$C$2:$C$1960,0)),"",INDEX('Compliance Database'!$O$2:$O$1960,MATCH(1107,'Transfer Engine'!$C$2:$C$1960,0)))</f>
        <v/>
      </c>
      <c r="P1116" s="8">
        <f>IF(ISNA(MATCH(1107,'Transfer Engine'!$C$2:$C$1960,0)),"",HYPERLINK("#Acts!A"&amp;INDEX('Compliance Database'!$P$2:$P$1960,MATCH(1107,'Transfer Engine'!$C$2:$C$1960,0)),"Go to Act"))</f>
        <v/>
      </c>
    </row>
    <row r="1117" ht="158" customHeight="1">
      <c r="A1117" s="8">
        <f>IF(ISNA(MATCH(1108,'Transfer Engine'!$C$2:$C$1960,0)),"",INDEX('Compliance Database'!$A$2:$A$1960,MATCH(1108,'Transfer Engine'!$C$2:$C$1960,0)))</f>
        <v/>
      </c>
      <c r="B1117" s="8">
        <f>IF(ISNA(MATCH(1108,'Transfer Engine'!$C$2:$C$1960,0)),"",INDEX('Compliance Database'!$B$2:$B$1960,MATCH(1108,'Transfer Engine'!$C$2:$C$1960,0)))</f>
        <v/>
      </c>
      <c r="C1117" s="8">
        <f>IF(ISNA(MATCH(1108,'Transfer Engine'!$C$2:$C$1960,0)),"",INDEX('Compliance Database'!$C$2:$C$1960,MATCH(1108,'Transfer Engine'!$C$2:$C$1960,0)))</f>
        <v/>
      </c>
      <c r="D1117" s="9">
        <f>IF(ISNA(MATCH(1108,'Transfer Engine'!$C$2:$C$1960,0)),"",INDEX('Compliance Database'!$D$2:$D$1960,MATCH(1108,'Transfer Engine'!$C$2:$C$1960,0)))</f>
        <v/>
      </c>
      <c r="E1117" s="8">
        <f>IF(ISNA(MATCH(1108,'Transfer Engine'!$C$2:$C$1960,0)),"",INDEX('Compliance Database'!$E$2:$E$1960,MATCH(1108,'Transfer Engine'!$C$2:$C$1960,0)))</f>
        <v/>
      </c>
      <c r="F1117" s="8">
        <f>IF(ISNA(MATCH(1108,'Transfer Engine'!$C$2:$C$1960,0)),"",INDEX('Compliance Database'!$F$2:$F$1960,MATCH(1108,'Transfer Engine'!$C$2:$C$1960,0)))</f>
        <v/>
      </c>
      <c r="G1117" s="8">
        <f>IF(ISNA(MATCH(1108,'Transfer Engine'!$C$2:$C$1960,0)),"",INDEX('Compliance Database'!$G$2:$G$1960,MATCH(1108,'Transfer Engine'!$C$2:$C$1960,0)))</f>
        <v/>
      </c>
      <c r="H1117" s="9">
        <f>IF(ISNA(MATCH(1108,'Transfer Engine'!$C$2:$C$1960,0)),"",INDEX('Compliance Database'!$H$2:$H$1960,MATCH(1108,'Transfer Engine'!$C$2:$C$1960,0)))</f>
        <v/>
      </c>
      <c r="I1117" s="9">
        <f>IF(ISNA(MATCH(1108,'Transfer Engine'!$C$2:$C$1960,0)),"",INDEX('Compliance Database'!$I$2:$I$1960,MATCH(1108,'Transfer Engine'!$C$2:$C$1960,0)))</f>
        <v/>
      </c>
      <c r="J1117" s="8">
        <f>IF(ISNA(MATCH(1108,'Transfer Engine'!$C$2:$C$1960,0)),"",INDEX('Compliance Database'!$J$2:$J$1960,MATCH(1108,'Transfer Engine'!$C$2:$C$1960,0)))</f>
        <v/>
      </c>
      <c r="K1117" s="9">
        <f>IF(ISNA(MATCH(1108,'Transfer Engine'!$C$2:$C$1960,0)),"",INDEX('Compliance Database'!$K$2:$K$1960,MATCH(1108,'Transfer Engine'!$C$2:$C$1960,0)))</f>
        <v/>
      </c>
      <c r="L1117" s="9">
        <f>IF(ISNA(MATCH(1108,'Transfer Engine'!$C$2:$C$1960,0)),"",INDEX('Compliance Database'!$L$2:$L$1960,MATCH(1108,'Transfer Engine'!$C$2:$C$1960,0)))</f>
        <v/>
      </c>
      <c r="M1117" s="9">
        <f>IF(ISNA(MATCH(1108,'Transfer Engine'!$C$2:$C$1960,0)),"",INDEX('Compliance Database'!$M$2:$M$1960,MATCH(1108,'Transfer Engine'!$C$2:$C$1960,0)))</f>
        <v/>
      </c>
      <c r="N1117" s="9">
        <f>IF(ISNA(MATCH(1108,'Transfer Engine'!$C$2:$C$1960,0)),"",INDEX('Compliance Database'!$N$2:$N$1960,MATCH(1108,'Transfer Engine'!$C$2:$C$1960,0)))</f>
        <v/>
      </c>
      <c r="O1117" s="9">
        <f>IF(ISNA(MATCH(1108,'Transfer Engine'!$C$2:$C$1960,0)),"",INDEX('Compliance Database'!$O$2:$O$1960,MATCH(1108,'Transfer Engine'!$C$2:$C$1960,0)))</f>
        <v/>
      </c>
      <c r="P1117" s="8">
        <f>IF(ISNA(MATCH(1108,'Transfer Engine'!$C$2:$C$1960,0)),"",HYPERLINK("#Acts!A"&amp;INDEX('Compliance Database'!$P$2:$P$1960,MATCH(1108,'Transfer Engine'!$C$2:$C$1960,0)),"Go to Act"))</f>
        <v/>
      </c>
    </row>
    <row r="1118" ht="158" customHeight="1">
      <c r="A1118" s="8">
        <f>IF(ISNA(MATCH(1109,'Transfer Engine'!$C$2:$C$1960,0)),"",INDEX('Compliance Database'!$A$2:$A$1960,MATCH(1109,'Transfer Engine'!$C$2:$C$1960,0)))</f>
        <v/>
      </c>
      <c r="B1118" s="8">
        <f>IF(ISNA(MATCH(1109,'Transfer Engine'!$C$2:$C$1960,0)),"",INDEX('Compliance Database'!$B$2:$B$1960,MATCH(1109,'Transfer Engine'!$C$2:$C$1960,0)))</f>
        <v/>
      </c>
      <c r="C1118" s="8">
        <f>IF(ISNA(MATCH(1109,'Transfer Engine'!$C$2:$C$1960,0)),"",INDEX('Compliance Database'!$C$2:$C$1960,MATCH(1109,'Transfer Engine'!$C$2:$C$1960,0)))</f>
        <v/>
      </c>
      <c r="D1118" s="9">
        <f>IF(ISNA(MATCH(1109,'Transfer Engine'!$C$2:$C$1960,0)),"",INDEX('Compliance Database'!$D$2:$D$1960,MATCH(1109,'Transfer Engine'!$C$2:$C$1960,0)))</f>
        <v/>
      </c>
      <c r="E1118" s="8">
        <f>IF(ISNA(MATCH(1109,'Transfer Engine'!$C$2:$C$1960,0)),"",INDEX('Compliance Database'!$E$2:$E$1960,MATCH(1109,'Transfer Engine'!$C$2:$C$1960,0)))</f>
        <v/>
      </c>
      <c r="F1118" s="8">
        <f>IF(ISNA(MATCH(1109,'Transfer Engine'!$C$2:$C$1960,0)),"",INDEX('Compliance Database'!$F$2:$F$1960,MATCH(1109,'Transfer Engine'!$C$2:$C$1960,0)))</f>
        <v/>
      </c>
      <c r="G1118" s="8">
        <f>IF(ISNA(MATCH(1109,'Transfer Engine'!$C$2:$C$1960,0)),"",INDEX('Compliance Database'!$G$2:$G$1960,MATCH(1109,'Transfer Engine'!$C$2:$C$1960,0)))</f>
        <v/>
      </c>
      <c r="H1118" s="9">
        <f>IF(ISNA(MATCH(1109,'Transfer Engine'!$C$2:$C$1960,0)),"",INDEX('Compliance Database'!$H$2:$H$1960,MATCH(1109,'Transfer Engine'!$C$2:$C$1960,0)))</f>
        <v/>
      </c>
      <c r="I1118" s="9">
        <f>IF(ISNA(MATCH(1109,'Transfer Engine'!$C$2:$C$1960,0)),"",INDEX('Compliance Database'!$I$2:$I$1960,MATCH(1109,'Transfer Engine'!$C$2:$C$1960,0)))</f>
        <v/>
      </c>
      <c r="J1118" s="8">
        <f>IF(ISNA(MATCH(1109,'Transfer Engine'!$C$2:$C$1960,0)),"",INDEX('Compliance Database'!$J$2:$J$1960,MATCH(1109,'Transfer Engine'!$C$2:$C$1960,0)))</f>
        <v/>
      </c>
      <c r="K1118" s="9">
        <f>IF(ISNA(MATCH(1109,'Transfer Engine'!$C$2:$C$1960,0)),"",INDEX('Compliance Database'!$K$2:$K$1960,MATCH(1109,'Transfer Engine'!$C$2:$C$1960,0)))</f>
        <v/>
      </c>
      <c r="L1118" s="9">
        <f>IF(ISNA(MATCH(1109,'Transfer Engine'!$C$2:$C$1960,0)),"",INDEX('Compliance Database'!$L$2:$L$1960,MATCH(1109,'Transfer Engine'!$C$2:$C$1960,0)))</f>
        <v/>
      </c>
      <c r="M1118" s="9">
        <f>IF(ISNA(MATCH(1109,'Transfer Engine'!$C$2:$C$1960,0)),"",INDEX('Compliance Database'!$M$2:$M$1960,MATCH(1109,'Transfer Engine'!$C$2:$C$1960,0)))</f>
        <v/>
      </c>
      <c r="N1118" s="9">
        <f>IF(ISNA(MATCH(1109,'Transfer Engine'!$C$2:$C$1960,0)),"",INDEX('Compliance Database'!$N$2:$N$1960,MATCH(1109,'Transfer Engine'!$C$2:$C$1960,0)))</f>
        <v/>
      </c>
      <c r="O1118" s="9">
        <f>IF(ISNA(MATCH(1109,'Transfer Engine'!$C$2:$C$1960,0)),"",INDEX('Compliance Database'!$O$2:$O$1960,MATCH(1109,'Transfer Engine'!$C$2:$C$1960,0)))</f>
        <v/>
      </c>
      <c r="P1118" s="8">
        <f>IF(ISNA(MATCH(1109,'Transfer Engine'!$C$2:$C$1960,0)),"",HYPERLINK("#Acts!A"&amp;INDEX('Compliance Database'!$P$2:$P$1960,MATCH(1109,'Transfer Engine'!$C$2:$C$1960,0)),"Go to Act"))</f>
        <v/>
      </c>
    </row>
    <row r="1119" ht="158" customHeight="1">
      <c r="A1119" s="8">
        <f>IF(ISNA(MATCH(1110,'Transfer Engine'!$C$2:$C$1960,0)),"",INDEX('Compliance Database'!$A$2:$A$1960,MATCH(1110,'Transfer Engine'!$C$2:$C$1960,0)))</f>
        <v/>
      </c>
      <c r="B1119" s="8">
        <f>IF(ISNA(MATCH(1110,'Transfer Engine'!$C$2:$C$1960,0)),"",INDEX('Compliance Database'!$B$2:$B$1960,MATCH(1110,'Transfer Engine'!$C$2:$C$1960,0)))</f>
        <v/>
      </c>
      <c r="C1119" s="8">
        <f>IF(ISNA(MATCH(1110,'Transfer Engine'!$C$2:$C$1960,0)),"",INDEX('Compliance Database'!$C$2:$C$1960,MATCH(1110,'Transfer Engine'!$C$2:$C$1960,0)))</f>
        <v/>
      </c>
      <c r="D1119" s="9">
        <f>IF(ISNA(MATCH(1110,'Transfer Engine'!$C$2:$C$1960,0)),"",INDEX('Compliance Database'!$D$2:$D$1960,MATCH(1110,'Transfer Engine'!$C$2:$C$1960,0)))</f>
        <v/>
      </c>
      <c r="E1119" s="8">
        <f>IF(ISNA(MATCH(1110,'Transfer Engine'!$C$2:$C$1960,0)),"",INDEX('Compliance Database'!$E$2:$E$1960,MATCH(1110,'Transfer Engine'!$C$2:$C$1960,0)))</f>
        <v/>
      </c>
      <c r="F1119" s="8">
        <f>IF(ISNA(MATCH(1110,'Transfer Engine'!$C$2:$C$1960,0)),"",INDEX('Compliance Database'!$F$2:$F$1960,MATCH(1110,'Transfer Engine'!$C$2:$C$1960,0)))</f>
        <v/>
      </c>
      <c r="G1119" s="8">
        <f>IF(ISNA(MATCH(1110,'Transfer Engine'!$C$2:$C$1960,0)),"",INDEX('Compliance Database'!$G$2:$G$1960,MATCH(1110,'Transfer Engine'!$C$2:$C$1960,0)))</f>
        <v/>
      </c>
      <c r="H1119" s="9">
        <f>IF(ISNA(MATCH(1110,'Transfer Engine'!$C$2:$C$1960,0)),"",INDEX('Compliance Database'!$H$2:$H$1960,MATCH(1110,'Transfer Engine'!$C$2:$C$1960,0)))</f>
        <v/>
      </c>
      <c r="I1119" s="9">
        <f>IF(ISNA(MATCH(1110,'Transfer Engine'!$C$2:$C$1960,0)),"",INDEX('Compliance Database'!$I$2:$I$1960,MATCH(1110,'Transfer Engine'!$C$2:$C$1960,0)))</f>
        <v/>
      </c>
      <c r="J1119" s="8">
        <f>IF(ISNA(MATCH(1110,'Transfer Engine'!$C$2:$C$1960,0)),"",INDEX('Compliance Database'!$J$2:$J$1960,MATCH(1110,'Transfer Engine'!$C$2:$C$1960,0)))</f>
        <v/>
      </c>
      <c r="K1119" s="9">
        <f>IF(ISNA(MATCH(1110,'Transfer Engine'!$C$2:$C$1960,0)),"",INDEX('Compliance Database'!$K$2:$K$1960,MATCH(1110,'Transfer Engine'!$C$2:$C$1960,0)))</f>
        <v/>
      </c>
      <c r="L1119" s="9">
        <f>IF(ISNA(MATCH(1110,'Transfer Engine'!$C$2:$C$1960,0)),"",INDEX('Compliance Database'!$L$2:$L$1960,MATCH(1110,'Transfer Engine'!$C$2:$C$1960,0)))</f>
        <v/>
      </c>
      <c r="M1119" s="9">
        <f>IF(ISNA(MATCH(1110,'Transfer Engine'!$C$2:$C$1960,0)),"",INDEX('Compliance Database'!$M$2:$M$1960,MATCH(1110,'Transfer Engine'!$C$2:$C$1960,0)))</f>
        <v/>
      </c>
      <c r="N1119" s="9">
        <f>IF(ISNA(MATCH(1110,'Transfer Engine'!$C$2:$C$1960,0)),"",INDEX('Compliance Database'!$N$2:$N$1960,MATCH(1110,'Transfer Engine'!$C$2:$C$1960,0)))</f>
        <v/>
      </c>
      <c r="O1119" s="9">
        <f>IF(ISNA(MATCH(1110,'Transfer Engine'!$C$2:$C$1960,0)),"",INDEX('Compliance Database'!$O$2:$O$1960,MATCH(1110,'Transfer Engine'!$C$2:$C$1960,0)))</f>
        <v/>
      </c>
      <c r="P1119" s="8">
        <f>IF(ISNA(MATCH(1110,'Transfer Engine'!$C$2:$C$1960,0)),"",HYPERLINK("#Acts!A"&amp;INDEX('Compliance Database'!$P$2:$P$1960,MATCH(1110,'Transfer Engine'!$C$2:$C$1960,0)),"Go to Act"))</f>
        <v/>
      </c>
    </row>
    <row r="1120" ht="158" customHeight="1">
      <c r="A1120" s="8">
        <f>IF(ISNA(MATCH(1111,'Transfer Engine'!$C$2:$C$1960,0)),"",INDEX('Compliance Database'!$A$2:$A$1960,MATCH(1111,'Transfer Engine'!$C$2:$C$1960,0)))</f>
        <v/>
      </c>
      <c r="B1120" s="8">
        <f>IF(ISNA(MATCH(1111,'Transfer Engine'!$C$2:$C$1960,0)),"",INDEX('Compliance Database'!$B$2:$B$1960,MATCH(1111,'Transfer Engine'!$C$2:$C$1960,0)))</f>
        <v/>
      </c>
      <c r="C1120" s="8">
        <f>IF(ISNA(MATCH(1111,'Transfer Engine'!$C$2:$C$1960,0)),"",INDEX('Compliance Database'!$C$2:$C$1960,MATCH(1111,'Transfer Engine'!$C$2:$C$1960,0)))</f>
        <v/>
      </c>
      <c r="D1120" s="9">
        <f>IF(ISNA(MATCH(1111,'Transfer Engine'!$C$2:$C$1960,0)),"",INDEX('Compliance Database'!$D$2:$D$1960,MATCH(1111,'Transfer Engine'!$C$2:$C$1960,0)))</f>
        <v/>
      </c>
      <c r="E1120" s="8">
        <f>IF(ISNA(MATCH(1111,'Transfer Engine'!$C$2:$C$1960,0)),"",INDEX('Compliance Database'!$E$2:$E$1960,MATCH(1111,'Transfer Engine'!$C$2:$C$1960,0)))</f>
        <v/>
      </c>
      <c r="F1120" s="8">
        <f>IF(ISNA(MATCH(1111,'Transfer Engine'!$C$2:$C$1960,0)),"",INDEX('Compliance Database'!$F$2:$F$1960,MATCH(1111,'Transfer Engine'!$C$2:$C$1960,0)))</f>
        <v/>
      </c>
      <c r="G1120" s="8">
        <f>IF(ISNA(MATCH(1111,'Transfer Engine'!$C$2:$C$1960,0)),"",INDEX('Compliance Database'!$G$2:$G$1960,MATCH(1111,'Transfer Engine'!$C$2:$C$1960,0)))</f>
        <v/>
      </c>
      <c r="H1120" s="9">
        <f>IF(ISNA(MATCH(1111,'Transfer Engine'!$C$2:$C$1960,0)),"",INDEX('Compliance Database'!$H$2:$H$1960,MATCH(1111,'Transfer Engine'!$C$2:$C$1960,0)))</f>
        <v/>
      </c>
      <c r="I1120" s="9">
        <f>IF(ISNA(MATCH(1111,'Transfer Engine'!$C$2:$C$1960,0)),"",INDEX('Compliance Database'!$I$2:$I$1960,MATCH(1111,'Transfer Engine'!$C$2:$C$1960,0)))</f>
        <v/>
      </c>
      <c r="J1120" s="8">
        <f>IF(ISNA(MATCH(1111,'Transfer Engine'!$C$2:$C$1960,0)),"",INDEX('Compliance Database'!$J$2:$J$1960,MATCH(1111,'Transfer Engine'!$C$2:$C$1960,0)))</f>
        <v/>
      </c>
      <c r="K1120" s="9">
        <f>IF(ISNA(MATCH(1111,'Transfer Engine'!$C$2:$C$1960,0)),"",INDEX('Compliance Database'!$K$2:$K$1960,MATCH(1111,'Transfer Engine'!$C$2:$C$1960,0)))</f>
        <v/>
      </c>
      <c r="L1120" s="9">
        <f>IF(ISNA(MATCH(1111,'Transfer Engine'!$C$2:$C$1960,0)),"",INDEX('Compliance Database'!$L$2:$L$1960,MATCH(1111,'Transfer Engine'!$C$2:$C$1960,0)))</f>
        <v/>
      </c>
      <c r="M1120" s="9">
        <f>IF(ISNA(MATCH(1111,'Transfer Engine'!$C$2:$C$1960,0)),"",INDEX('Compliance Database'!$M$2:$M$1960,MATCH(1111,'Transfer Engine'!$C$2:$C$1960,0)))</f>
        <v/>
      </c>
      <c r="N1120" s="9">
        <f>IF(ISNA(MATCH(1111,'Transfer Engine'!$C$2:$C$1960,0)),"",INDEX('Compliance Database'!$N$2:$N$1960,MATCH(1111,'Transfer Engine'!$C$2:$C$1960,0)))</f>
        <v/>
      </c>
      <c r="O1120" s="9">
        <f>IF(ISNA(MATCH(1111,'Transfer Engine'!$C$2:$C$1960,0)),"",INDEX('Compliance Database'!$O$2:$O$1960,MATCH(1111,'Transfer Engine'!$C$2:$C$1960,0)))</f>
        <v/>
      </c>
      <c r="P1120" s="8">
        <f>IF(ISNA(MATCH(1111,'Transfer Engine'!$C$2:$C$1960,0)),"",HYPERLINK("#Acts!A"&amp;INDEX('Compliance Database'!$P$2:$P$1960,MATCH(1111,'Transfer Engine'!$C$2:$C$1960,0)),"Go to Act"))</f>
        <v/>
      </c>
    </row>
    <row r="1121" ht="158" customHeight="1">
      <c r="A1121" s="8">
        <f>IF(ISNA(MATCH(1112,'Transfer Engine'!$C$2:$C$1960,0)),"",INDEX('Compliance Database'!$A$2:$A$1960,MATCH(1112,'Transfer Engine'!$C$2:$C$1960,0)))</f>
        <v/>
      </c>
      <c r="B1121" s="8">
        <f>IF(ISNA(MATCH(1112,'Transfer Engine'!$C$2:$C$1960,0)),"",INDEX('Compliance Database'!$B$2:$B$1960,MATCH(1112,'Transfer Engine'!$C$2:$C$1960,0)))</f>
        <v/>
      </c>
      <c r="C1121" s="8">
        <f>IF(ISNA(MATCH(1112,'Transfer Engine'!$C$2:$C$1960,0)),"",INDEX('Compliance Database'!$C$2:$C$1960,MATCH(1112,'Transfer Engine'!$C$2:$C$1960,0)))</f>
        <v/>
      </c>
      <c r="D1121" s="9">
        <f>IF(ISNA(MATCH(1112,'Transfer Engine'!$C$2:$C$1960,0)),"",INDEX('Compliance Database'!$D$2:$D$1960,MATCH(1112,'Transfer Engine'!$C$2:$C$1960,0)))</f>
        <v/>
      </c>
      <c r="E1121" s="8">
        <f>IF(ISNA(MATCH(1112,'Transfer Engine'!$C$2:$C$1960,0)),"",INDEX('Compliance Database'!$E$2:$E$1960,MATCH(1112,'Transfer Engine'!$C$2:$C$1960,0)))</f>
        <v/>
      </c>
      <c r="F1121" s="8">
        <f>IF(ISNA(MATCH(1112,'Transfer Engine'!$C$2:$C$1960,0)),"",INDEX('Compliance Database'!$F$2:$F$1960,MATCH(1112,'Transfer Engine'!$C$2:$C$1960,0)))</f>
        <v/>
      </c>
      <c r="G1121" s="8">
        <f>IF(ISNA(MATCH(1112,'Transfer Engine'!$C$2:$C$1960,0)),"",INDEX('Compliance Database'!$G$2:$G$1960,MATCH(1112,'Transfer Engine'!$C$2:$C$1960,0)))</f>
        <v/>
      </c>
      <c r="H1121" s="9">
        <f>IF(ISNA(MATCH(1112,'Transfer Engine'!$C$2:$C$1960,0)),"",INDEX('Compliance Database'!$H$2:$H$1960,MATCH(1112,'Transfer Engine'!$C$2:$C$1960,0)))</f>
        <v/>
      </c>
      <c r="I1121" s="9">
        <f>IF(ISNA(MATCH(1112,'Transfer Engine'!$C$2:$C$1960,0)),"",INDEX('Compliance Database'!$I$2:$I$1960,MATCH(1112,'Transfer Engine'!$C$2:$C$1960,0)))</f>
        <v/>
      </c>
      <c r="J1121" s="8">
        <f>IF(ISNA(MATCH(1112,'Transfer Engine'!$C$2:$C$1960,0)),"",INDEX('Compliance Database'!$J$2:$J$1960,MATCH(1112,'Transfer Engine'!$C$2:$C$1960,0)))</f>
        <v/>
      </c>
      <c r="K1121" s="9">
        <f>IF(ISNA(MATCH(1112,'Transfer Engine'!$C$2:$C$1960,0)),"",INDEX('Compliance Database'!$K$2:$K$1960,MATCH(1112,'Transfer Engine'!$C$2:$C$1960,0)))</f>
        <v/>
      </c>
      <c r="L1121" s="9">
        <f>IF(ISNA(MATCH(1112,'Transfer Engine'!$C$2:$C$1960,0)),"",INDEX('Compliance Database'!$L$2:$L$1960,MATCH(1112,'Transfer Engine'!$C$2:$C$1960,0)))</f>
        <v/>
      </c>
      <c r="M1121" s="9">
        <f>IF(ISNA(MATCH(1112,'Transfer Engine'!$C$2:$C$1960,0)),"",INDEX('Compliance Database'!$M$2:$M$1960,MATCH(1112,'Transfer Engine'!$C$2:$C$1960,0)))</f>
        <v/>
      </c>
      <c r="N1121" s="9">
        <f>IF(ISNA(MATCH(1112,'Transfer Engine'!$C$2:$C$1960,0)),"",INDEX('Compliance Database'!$N$2:$N$1960,MATCH(1112,'Transfer Engine'!$C$2:$C$1960,0)))</f>
        <v/>
      </c>
      <c r="O1121" s="9">
        <f>IF(ISNA(MATCH(1112,'Transfer Engine'!$C$2:$C$1960,0)),"",INDEX('Compliance Database'!$O$2:$O$1960,MATCH(1112,'Transfer Engine'!$C$2:$C$1960,0)))</f>
        <v/>
      </c>
      <c r="P1121" s="8">
        <f>IF(ISNA(MATCH(1112,'Transfer Engine'!$C$2:$C$1960,0)),"",HYPERLINK("#Acts!A"&amp;INDEX('Compliance Database'!$P$2:$P$1960,MATCH(1112,'Transfer Engine'!$C$2:$C$1960,0)),"Go to Act"))</f>
        <v/>
      </c>
    </row>
    <row r="1122" ht="158" customHeight="1">
      <c r="A1122" s="8">
        <f>IF(ISNA(MATCH(1113,'Transfer Engine'!$C$2:$C$1960,0)),"",INDEX('Compliance Database'!$A$2:$A$1960,MATCH(1113,'Transfer Engine'!$C$2:$C$1960,0)))</f>
        <v/>
      </c>
      <c r="B1122" s="8">
        <f>IF(ISNA(MATCH(1113,'Transfer Engine'!$C$2:$C$1960,0)),"",INDEX('Compliance Database'!$B$2:$B$1960,MATCH(1113,'Transfer Engine'!$C$2:$C$1960,0)))</f>
        <v/>
      </c>
      <c r="C1122" s="8">
        <f>IF(ISNA(MATCH(1113,'Transfer Engine'!$C$2:$C$1960,0)),"",INDEX('Compliance Database'!$C$2:$C$1960,MATCH(1113,'Transfer Engine'!$C$2:$C$1960,0)))</f>
        <v/>
      </c>
      <c r="D1122" s="9">
        <f>IF(ISNA(MATCH(1113,'Transfer Engine'!$C$2:$C$1960,0)),"",INDEX('Compliance Database'!$D$2:$D$1960,MATCH(1113,'Transfer Engine'!$C$2:$C$1960,0)))</f>
        <v/>
      </c>
      <c r="E1122" s="8">
        <f>IF(ISNA(MATCH(1113,'Transfer Engine'!$C$2:$C$1960,0)),"",INDEX('Compliance Database'!$E$2:$E$1960,MATCH(1113,'Transfer Engine'!$C$2:$C$1960,0)))</f>
        <v/>
      </c>
      <c r="F1122" s="8">
        <f>IF(ISNA(MATCH(1113,'Transfer Engine'!$C$2:$C$1960,0)),"",INDEX('Compliance Database'!$F$2:$F$1960,MATCH(1113,'Transfer Engine'!$C$2:$C$1960,0)))</f>
        <v/>
      </c>
      <c r="G1122" s="8">
        <f>IF(ISNA(MATCH(1113,'Transfer Engine'!$C$2:$C$1960,0)),"",INDEX('Compliance Database'!$G$2:$G$1960,MATCH(1113,'Transfer Engine'!$C$2:$C$1960,0)))</f>
        <v/>
      </c>
      <c r="H1122" s="9">
        <f>IF(ISNA(MATCH(1113,'Transfer Engine'!$C$2:$C$1960,0)),"",INDEX('Compliance Database'!$H$2:$H$1960,MATCH(1113,'Transfer Engine'!$C$2:$C$1960,0)))</f>
        <v/>
      </c>
      <c r="I1122" s="9">
        <f>IF(ISNA(MATCH(1113,'Transfer Engine'!$C$2:$C$1960,0)),"",INDEX('Compliance Database'!$I$2:$I$1960,MATCH(1113,'Transfer Engine'!$C$2:$C$1960,0)))</f>
        <v/>
      </c>
      <c r="J1122" s="8">
        <f>IF(ISNA(MATCH(1113,'Transfer Engine'!$C$2:$C$1960,0)),"",INDEX('Compliance Database'!$J$2:$J$1960,MATCH(1113,'Transfer Engine'!$C$2:$C$1960,0)))</f>
        <v/>
      </c>
      <c r="K1122" s="9">
        <f>IF(ISNA(MATCH(1113,'Transfer Engine'!$C$2:$C$1960,0)),"",INDEX('Compliance Database'!$K$2:$K$1960,MATCH(1113,'Transfer Engine'!$C$2:$C$1960,0)))</f>
        <v/>
      </c>
      <c r="L1122" s="9">
        <f>IF(ISNA(MATCH(1113,'Transfer Engine'!$C$2:$C$1960,0)),"",INDEX('Compliance Database'!$L$2:$L$1960,MATCH(1113,'Transfer Engine'!$C$2:$C$1960,0)))</f>
        <v/>
      </c>
      <c r="M1122" s="9">
        <f>IF(ISNA(MATCH(1113,'Transfer Engine'!$C$2:$C$1960,0)),"",INDEX('Compliance Database'!$M$2:$M$1960,MATCH(1113,'Transfer Engine'!$C$2:$C$1960,0)))</f>
        <v/>
      </c>
      <c r="N1122" s="9">
        <f>IF(ISNA(MATCH(1113,'Transfer Engine'!$C$2:$C$1960,0)),"",INDEX('Compliance Database'!$N$2:$N$1960,MATCH(1113,'Transfer Engine'!$C$2:$C$1960,0)))</f>
        <v/>
      </c>
      <c r="O1122" s="9">
        <f>IF(ISNA(MATCH(1113,'Transfer Engine'!$C$2:$C$1960,0)),"",INDEX('Compliance Database'!$O$2:$O$1960,MATCH(1113,'Transfer Engine'!$C$2:$C$1960,0)))</f>
        <v/>
      </c>
      <c r="P1122" s="8">
        <f>IF(ISNA(MATCH(1113,'Transfer Engine'!$C$2:$C$1960,0)),"",HYPERLINK("#Acts!A"&amp;INDEX('Compliance Database'!$P$2:$P$1960,MATCH(1113,'Transfer Engine'!$C$2:$C$1960,0)),"Go to Act"))</f>
        <v/>
      </c>
    </row>
    <row r="1123" ht="158" customHeight="1">
      <c r="A1123" s="8">
        <f>IF(ISNA(MATCH(1114,'Transfer Engine'!$C$2:$C$1960,0)),"",INDEX('Compliance Database'!$A$2:$A$1960,MATCH(1114,'Transfer Engine'!$C$2:$C$1960,0)))</f>
        <v/>
      </c>
      <c r="B1123" s="8">
        <f>IF(ISNA(MATCH(1114,'Transfer Engine'!$C$2:$C$1960,0)),"",INDEX('Compliance Database'!$B$2:$B$1960,MATCH(1114,'Transfer Engine'!$C$2:$C$1960,0)))</f>
        <v/>
      </c>
      <c r="C1123" s="8">
        <f>IF(ISNA(MATCH(1114,'Transfer Engine'!$C$2:$C$1960,0)),"",INDEX('Compliance Database'!$C$2:$C$1960,MATCH(1114,'Transfer Engine'!$C$2:$C$1960,0)))</f>
        <v/>
      </c>
      <c r="D1123" s="9">
        <f>IF(ISNA(MATCH(1114,'Transfer Engine'!$C$2:$C$1960,0)),"",INDEX('Compliance Database'!$D$2:$D$1960,MATCH(1114,'Transfer Engine'!$C$2:$C$1960,0)))</f>
        <v/>
      </c>
      <c r="E1123" s="8">
        <f>IF(ISNA(MATCH(1114,'Transfer Engine'!$C$2:$C$1960,0)),"",INDEX('Compliance Database'!$E$2:$E$1960,MATCH(1114,'Transfer Engine'!$C$2:$C$1960,0)))</f>
        <v/>
      </c>
      <c r="F1123" s="8">
        <f>IF(ISNA(MATCH(1114,'Transfer Engine'!$C$2:$C$1960,0)),"",INDEX('Compliance Database'!$F$2:$F$1960,MATCH(1114,'Transfer Engine'!$C$2:$C$1960,0)))</f>
        <v/>
      </c>
      <c r="G1123" s="8">
        <f>IF(ISNA(MATCH(1114,'Transfer Engine'!$C$2:$C$1960,0)),"",INDEX('Compliance Database'!$G$2:$G$1960,MATCH(1114,'Transfer Engine'!$C$2:$C$1960,0)))</f>
        <v/>
      </c>
      <c r="H1123" s="9">
        <f>IF(ISNA(MATCH(1114,'Transfer Engine'!$C$2:$C$1960,0)),"",INDEX('Compliance Database'!$H$2:$H$1960,MATCH(1114,'Transfer Engine'!$C$2:$C$1960,0)))</f>
        <v/>
      </c>
      <c r="I1123" s="9">
        <f>IF(ISNA(MATCH(1114,'Transfer Engine'!$C$2:$C$1960,0)),"",INDEX('Compliance Database'!$I$2:$I$1960,MATCH(1114,'Transfer Engine'!$C$2:$C$1960,0)))</f>
        <v/>
      </c>
      <c r="J1123" s="8">
        <f>IF(ISNA(MATCH(1114,'Transfer Engine'!$C$2:$C$1960,0)),"",INDEX('Compliance Database'!$J$2:$J$1960,MATCH(1114,'Transfer Engine'!$C$2:$C$1960,0)))</f>
        <v/>
      </c>
      <c r="K1123" s="9">
        <f>IF(ISNA(MATCH(1114,'Transfer Engine'!$C$2:$C$1960,0)),"",INDEX('Compliance Database'!$K$2:$K$1960,MATCH(1114,'Transfer Engine'!$C$2:$C$1960,0)))</f>
        <v/>
      </c>
      <c r="L1123" s="9">
        <f>IF(ISNA(MATCH(1114,'Transfer Engine'!$C$2:$C$1960,0)),"",INDEX('Compliance Database'!$L$2:$L$1960,MATCH(1114,'Transfer Engine'!$C$2:$C$1960,0)))</f>
        <v/>
      </c>
      <c r="M1123" s="9">
        <f>IF(ISNA(MATCH(1114,'Transfer Engine'!$C$2:$C$1960,0)),"",INDEX('Compliance Database'!$M$2:$M$1960,MATCH(1114,'Transfer Engine'!$C$2:$C$1960,0)))</f>
        <v/>
      </c>
      <c r="N1123" s="9">
        <f>IF(ISNA(MATCH(1114,'Transfer Engine'!$C$2:$C$1960,0)),"",INDEX('Compliance Database'!$N$2:$N$1960,MATCH(1114,'Transfer Engine'!$C$2:$C$1960,0)))</f>
        <v/>
      </c>
      <c r="O1123" s="9">
        <f>IF(ISNA(MATCH(1114,'Transfer Engine'!$C$2:$C$1960,0)),"",INDEX('Compliance Database'!$O$2:$O$1960,MATCH(1114,'Transfer Engine'!$C$2:$C$1960,0)))</f>
        <v/>
      </c>
      <c r="P1123" s="8">
        <f>IF(ISNA(MATCH(1114,'Transfer Engine'!$C$2:$C$1960,0)),"",HYPERLINK("#Acts!A"&amp;INDEX('Compliance Database'!$P$2:$P$1960,MATCH(1114,'Transfer Engine'!$C$2:$C$1960,0)),"Go to Act"))</f>
        <v/>
      </c>
    </row>
    <row r="1124" ht="158" customHeight="1">
      <c r="A1124" s="8">
        <f>IF(ISNA(MATCH(1115,'Transfer Engine'!$C$2:$C$1960,0)),"",INDEX('Compliance Database'!$A$2:$A$1960,MATCH(1115,'Transfer Engine'!$C$2:$C$1960,0)))</f>
        <v/>
      </c>
      <c r="B1124" s="8">
        <f>IF(ISNA(MATCH(1115,'Transfer Engine'!$C$2:$C$1960,0)),"",INDEX('Compliance Database'!$B$2:$B$1960,MATCH(1115,'Transfer Engine'!$C$2:$C$1960,0)))</f>
        <v/>
      </c>
      <c r="C1124" s="8">
        <f>IF(ISNA(MATCH(1115,'Transfer Engine'!$C$2:$C$1960,0)),"",INDEX('Compliance Database'!$C$2:$C$1960,MATCH(1115,'Transfer Engine'!$C$2:$C$1960,0)))</f>
        <v/>
      </c>
      <c r="D1124" s="9">
        <f>IF(ISNA(MATCH(1115,'Transfer Engine'!$C$2:$C$1960,0)),"",INDEX('Compliance Database'!$D$2:$D$1960,MATCH(1115,'Transfer Engine'!$C$2:$C$1960,0)))</f>
        <v/>
      </c>
      <c r="E1124" s="8">
        <f>IF(ISNA(MATCH(1115,'Transfer Engine'!$C$2:$C$1960,0)),"",INDEX('Compliance Database'!$E$2:$E$1960,MATCH(1115,'Transfer Engine'!$C$2:$C$1960,0)))</f>
        <v/>
      </c>
      <c r="F1124" s="8">
        <f>IF(ISNA(MATCH(1115,'Transfer Engine'!$C$2:$C$1960,0)),"",INDEX('Compliance Database'!$F$2:$F$1960,MATCH(1115,'Transfer Engine'!$C$2:$C$1960,0)))</f>
        <v/>
      </c>
      <c r="G1124" s="8">
        <f>IF(ISNA(MATCH(1115,'Transfer Engine'!$C$2:$C$1960,0)),"",INDEX('Compliance Database'!$G$2:$G$1960,MATCH(1115,'Transfer Engine'!$C$2:$C$1960,0)))</f>
        <v/>
      </c>
      <c r="H1124" s="9">
        <f>IF(ISNA(MATCH(1115,'Transfer Engine'!$C$2:$C$1960,0)),"",INDEX('Compliance Database'!$H$2:$H$1960,MATCH(1115,'Transfer Engine'!$C$2:$C$1960,0)))</f>
        <v/>
      </c>
      <c r="I1124" s="9">
        <f>IF(ISNA(MATCH(1115,'Transfer Engine'!$C$2:$C$1960,0)),"",INDEX('Compliance Database'!$I$2:$I$1960,MATCH(1115,'Transfer Engine'!$C$2:$C$1960,0)))</f>
        <v/>
      </c>
      <c r="J1124" s="8">
        <f>IF(ISNA(MATCH(1115,'Transfer Engine'!$C$2:$C$1960,0)),"",INDEX('Compliance Database'!$J$2:$J$1960,MATCH(1115,'Transfer Engine'!$C$2:$C$1960,0)))</f>
        <v/>
      </c>
      <c r="K1124" s="9">
        <f>IF(ISNA(MATCH(1115,'Transfer Engine'!$C$2:$C$1960,0)),"",INDEX('Compliance Database'!$K$2:$K$1960,MATCH(1115,'Transfer Engine'!$C$2:$C$1960,0)))</f>
        <v/>
      </c>
      <c r="L1124" s="9">
        <f>IF(ISNA(MATCH(1115,'Transfer Engine'!$C$2:$C$1960,0)),"",INDEX('Compliance Database'!$L$2:$L$1960,MATCH(1115,'Transfer Engine'!$C$2:$C$1960,0)))</f>
        <v/>
      </c>
      <c r="M1124" s="9">
        <f>IF(ISNA(MATCH(1115,'Transfer Engine'!$C$2:$C$1960,0)),"",INDEX('Compliance Database'!$M$2:$M$1960,MATCH(1115,'Transfer Engine'!$C$2:$C$1960,0)))</f>
        <v/>
      </c>
      <c r="N1124" s="9">
        <f>IF(ISNA(MATCH(1115,'Transfer Engine'!$C$2:$C$1960,0)),"",INDEX('Compliance Database'!$N$2:$N$1960,MATCH(1115,'Transfer Engine'!$C$2:$C$1960,0)))</f>
        <v/>
      </c>
      <c r="O1124" s="9">
        <f>IF(ISNA(MATCH(1115,'Transfer Engine'!$C$2:$C$1960,0)),"",INDEX('Compliance Database'!$O$2:$O$1960,MATCH(1115,'Transfer Engine'!$C$2:$C$1960,0)))</f>
        <v/>
      </c>
      <c r="P1124" s="8">
        <f>IF(ISNA(MATCH(1115,'Transfer Engine'!$C$2:$C$1960,0)),"",HYPERLINK("#Acts!A"&amp;INDEX('Compliance Database'!$P$2:$P$1960,MATCH(1115,'Transfer Engine'!$C$2:$C$1960,0)),"Go to Act"))</f>
        <v/>
      </c>
    </row>
    <row r="1125" ht="158" customHeight="1">
      <c r="A1125" s="8">
        <f>IF(ISNA(MATCH(1116,'Transfer Engine'!$C$2:$C$1960,0)),"",INDEX('Compliance Database'!$A$2:$A$1960,MATCH(1116,'Transfer Engine'!$C$2:$C$1960,0)))</f>
        <v/>
      </c>
      <c r="B1125" s="8">
        <f>IF(ISNA(MATCH(1116,'Transfer Engine'!$C$2:$C$1960,0)),"",INDEX('Compliance Database'!$B$2:$B$1960,MATCH(1116,'Transfer Engine'!$C$2:$C$1960,0)))</f>
        <v/>
      </c>
      <c r="C1125" s="8">
        <f>IF(ISNA(MATCH(1116,'Transfer Engine'!$C$2:$C$1960,0)),"",INDEX('Compliance Database'!$C$2:$C$1960,MATCH(1116,'Transfer Engine'!$C$2:$C$1960,0)))</f>
        <v/>
      </c>
      <c r="D1125" s="9">
        <f>IF(ISNA(MATCH(1116,'Transfer Engine'!$C$2:$C$1960,0)),"",INDEX('Compliance Database'!$D$2:$D$1960,MATCH(1116,'Transfer Engine'!$C$2:$C$1960,0)))</f>
        <v/>
      </c>
      <c r="E1125" s="8">
        <f>IF(ISNA(MATCH(1116,'Transfer Engine'!$C$2:$C$1960,0)),"",INDEX('Compliance Database'!$E$2:$E$1960,MATCH(1116,'Transfer Engine'!$C$2:$C$1960,0)))</f>
        <v/>
      </c>
      <c r="F1125" s="8">
        <f>IF(ISNA(MATCH(1116,'Transfer Engine'!$C$2:$C$1960,0)),"",INDEX('Compliance Database'!$F$2:$F$1960,MATCH(1116,'Transfer Engine'!$C$2:$C$1960,0)))</f>
        <v/>
      </c>
      <c r="G1125" s="8">
        <f>IF(ISNA(MATCH(1116,'Transfer Engine'!$C$2:$C$1960,0)),"",INDEX('Compliance Database'!$G$2:$G$1960,MATCH(1116,'Transfer Engine'!$C$2:$C$1960,0)))</f>
        <v/>
      </c>
      <c r="H1125" s="9">
        <f>IF(ISNA(MATCH(1116,'Transfer Engine'!$C$2:$C$1960,0)),"",INDEX('Compliance Database'!$H$2:$H$1960,MATCH(1116,'Transfer Engine'!$C$2:$C$1960,0)))</f>
        <v/>
      </c>
      <c r="I1125" s="9">
        <f>IF(ISNA(MATCH(1116,'Transfer Engine'!$C$2:$C$1960,0)),"",INDEX('Compliance Database'!$I$2:$I$1960,MATCH(1116,'Transfer Engine'!$C$2:$C$1960,0)))</f>
        <v/>
      </c>
      <c r="J1125" s="8">
        <f>IF(ISNA(MATCH(1116,'Transfer Engine'!$C$2:$C$1960,0)),"",INDEX('Compliance Database'!$J$2:$J$1960,MATCH(1116,'Transfer Engine'!$C$2:$C$1960,0)))</f>
        <v/>
      </c>
      <c r="K1125" s="9">
        <f>IF(ISNA(MATCH(1116,'Transfer Engine'!$C$2:$C$1960,0)),"",INDEX('Compliance Database'!$K$2:$K$1960,MATCH(1116,'Transfer Engine'!$C$2:$C$1960,0)))</f>
        <v/>
      </c>
      <c r="L1125" s="9">
        <f>IF(ISNA(MATCH(1116,'Transfer Engine'!$C$2:$C$1960,0)),"",INDEX('Compliance Database'!$L$2:$L$1960,MATCH(1116,'Transfer Engine'!$C$2:$C$1960,0)))</f>
        <v/>
      </c>
      <c r="M1125" s="9">
        <f>IF(ISNA(MATCH(1116,'Transfer Engine'!$C$2:$C$1960,0)),"",INDEX('Compliance Database'!$M$2:$M$1960,MATCH(1116,'Transfer Engine'!$C$2:$C$1960,0)))</f>
        <v/>
      </c>
      <c r="N1125" s="9">
        <f>IF(ISNA(MATCH(1116,'Transfer Engine'!$C$2:$C$1960,0)),"",INDEX('Compliance Database'!$N$2:$N$1960,MATCH(1116,'Transfer Engine'!$C$2:$C$1960,0)))</f>
        <v/>
      </c>
      <c r="O1125" s="9">
        <f>IF(ISNA(MATCH(1116,'Transfer Engine'!$C$2:$C$1960,0)),"",INDEX('Compliance Database'!$O$2:$O$1960,MATCH(1116,'Transfer Engine'!$C$2:$C$1960,0)))</f>
        <v/>
      </c>
      <c r="P1125" s="8">
        <f>IF(ISNA(MATCH(1116,'Transfer Engine'!$C$2:$C$1960,0)),"",HYPERLINK("#Acts!A"&amp;INDEX('Compliance Database'!$P$2:$P$1960,MATCH(1116,'Transfer Engine'!$C$2:$C$1960,0)),"Go to Act"))</f>
        <v/>
      </c>
    </row>
    <row r="1126" ht="158" customHeight="1">
      <c r="A1126" s="8">
        <f>IF(ISNA(MATCH(1117,'Transfer Engine'!$C$2:$C$1960,0)),"",INDEX('Compliance Database'!$A$2:$A$1960,MATCH(1117,'Transfer Engine'!$C$2:$C$1960,0)))</f>
        <v/>
      </c>
      <c r="B1126" s="8">
        <f>IF(ISNA(MATCH(1117,'Transfer Engine'!$C$2:$C$1960,0)),"",INDEX('Compliance Database'!$B$2:$B$1960,MATCH(1117,'Transfer Engine'!$C$2:$C$1960,0)))</f>
        <v/>
      </c>
      <c r="C1126" s="8">
        <f>IF(ISNA(MATCH(1117,'Transfer Engine'!$C$2:$C$1960,0)),"",INDEX('Compliance Database'!$C$2:$C$1960,MATCH(1117,'Transfer Engine'!$C$2:$C$1960,0)))</f>
        <v/>
      </c>
      <c r="D1126" s="9">
        <f>IF(ISNA(MATCH(1117,'Transfer Engine'!$C$2:$C$1960,0)),"",INDEX('Compliance Database'!$D$2:$D$1960,MATCH(1117,'Transfer Engine'!$C$2:$C$1960,0)))</f>
        <v/>
      </c>
      <c r="E1126" s="8">
        <f>IF(ISNA(MATCH(1117,'Transfer Engine'!$C$2:$C$1960,0)),"",INDEX('Compliance Database'!$E$2:$E$1960,MATCH(1117,'Transfer Engine'!$C$2:$C$1960,0)))</f>
        <v/>
      </c>
      <c r="F1126" s="8">
        <f>IF(ISNA(MATCH(1117,'Transfer Engine'!$C$2:$C$1960,0)),"",INDEX('Compliance Database'!$F$2:$F$1960,MATCH(1117,'Transfer Engine'!$C$2:$C$1960,0)))</f>
        <v/>
      </c>
      <c r="G1126" s="8">
        <f>IF(ISNA(MATCH(1117,'Transfer Engine'!$C$2:$C$1960,0)),"",INDEX('Compliance Database'!$G$2:$G$1960,MATCH(1117,'Transfer Engine'!$C$2:$C$1960,0)))</f>
        <v/>
      </c>
      <c r="H1126" s="9">
        <f>IF(ISNA(MATCH(1117,'Transfer Engine'!$C$2:$C$1960,0)),"",INDEX('Compliance Database'!$H$2:$H$1960,MATCH(1117,'Transfer Engine'!$C$2:$C$1960,0)))</f>
        <v/>
      </c>
      <c r="I1126" s="9">
        <f>IF(ISNA(MATCH(1117,'Transfer Engine'!$C$2:$C$1960,0)),"",INDEX('Compliance Database'!$I$2:$I$1960,MATCH(1117,'Transfer Engine'!$C$2:$C$1960,0)))</f>
        <v/>
      </c>
      <c r="J1126" s="8">
        <f>IF(ISNA(MATCH(1117,'Transfer Engine'!$C$2:$C$1960,0)),"",INDEX('Compliance Database'!$J$2:$J$1960,MATCH(1117,'Transfer Engine'!$C$2:$C$1960,0)))</f>
        <v/>
      </c>
      <c r="K1126" s="9">
        <f>IF(ISNA(MATCH(1117,'Transfer Engine'!$C$2:$C$1960,0)),"",INDEX('Compliance Database'!$K$2:$K$1960,MATCH(1117,'Transfer Engine'!$C$2:$C$1960,0)))</f>
        <v/>
      </c>
      <c r="L1126" s="9">
        <f>IF(ISNA(MATCH(1117,'Transfer Engine'!$C$2:$C$1960,0)),"",INDEX('Compliance Database'!$L$2:$L$1960,MATCH(1117,'Transfer Engine'!$C$2:$C$1960,0)))</f>
        <v/>
      </c>
      <c r="M1126" s="9">
        <f>IF(ISNA(MATCH(1117,'Transfer Engine'!$C$2:$C$1960,0)),"",INDEX('Compliance Database'!$M$2:$M$1960,MATCH(1117,'Transfer Engine'!$C$2:$C$1960,0)))</f>
        <v/>
      </c>
      <c r="N1126" s="9">
        <f>IF(ISNA(MATCH(1117,'Transfer Engine'!$C$2:$C$1960,0)),"",INDEX('Compliance Database'!$N$2:$N$1960,MATCH(1117,'Transfer Engine'!$C$2:$C$1960,0)))</f>
        <v/>
      </c>
      <c r="O1126" s="9">
        <f>IF(ISNA(MATCH(1117,'Transfer Engine'!$C$2:$C$1960,0)),"",INDEX('Compliance Database'!$O$2:$O$1960,MATCH(1117,'Transfer Engine'!$C$2:$C$1960,0)))</f>
        <v/>
      </c>
      <c r="P1126" s="8">
        <f>IF(ISNA(MATCH(1117,'Transfer Engine'!$C$2:$C$1960,0)),"",HYPERLINK("#Acts!A"&amp;INDEX('Compliance Database'!$P$2:$P$1960,MATCH(1117,'Transfer Engine'!$C$2:$C$1960,0)),"Go to Act"))</f>
        <v/>
      </c>
    </row>
    <row r="1127" ht="158" customHeight="1">
      <c r="A1127" s="8">
        <f>IF(ISNA(MATCH(1118,'Transfer Engine'!$C$2:$C$1960,0)),"",INDEX('Compliance Database'!$A$2:$A$1960,MATCH(1118,'Transfer Engine'!$C$2:$C$1960,0)))</f>
        <v/>
      </c>
      <c r="B1127" s="8">
        <f>IF(ISNA(MATCH(1118,'Transfer Engine'!$C$2:$C$1960,0)),"",INDEX('Compliance Database'!$B$2:$B$1960,MATCH(1118,'Transfer Engine'!$C$2:$C$1960,0)))</f>
        <v/>
      </c>
      <c r="C1127" s="8">
        <f>IF(ISNA(MATCH(1118,'Transfer Engine'!$C$2:$C$1960,0)),"",INDEX('Compliance Database'!$C$2:$C$1960,MATCH(1118,'Transfer Engine'!$C$2:$C$1960,0)))</f>
        <v/>
      </c>
      <c r="D1127" s="9">
        <f>IF(ISNA(MATCH(1118,'Transfer Engine'!$C$2:$C$1960,0)),"",INDEX('Compliance Database'!$D$2:$D$1960,MATCH(1118,'Transfer Engine'!$C$2:$C$1960,0)))</f>
        <v/>
      </c>
      <c r="E1127" s="8">
        <f>IF(ISNA(MATCH(1118,'Transfer Engine'!$C$2:$C$1960,0)),"",INDEX('Compliance Database'!$E$2:$E$1960,MATCH(1118,'Transfer Engine'!$C$2:$C$1960,0)))</f>
        <v/>
      </c>
      <c r="F1127" s="8">
        <f>IF(ISNA(MATCH(1118,'Transfer Engine'!$C$2:$C$1960,0)),"",INDEX('Compliance Database'!$F$2:$F$1960,MATCH(1118,'Transfer Engine'!$C$2:$C$1960,0)))</f>
        <v/>
      </c>
      <c r="G1127" s="8">
        <f>IF(ISNA(MATCH(1118,'Transfer Engine'!$C$2:$C$1960,0)),"",INDEX('Compliance Database'!$G$2:$G$1960,MATCH(1118,'Transfer Engine'!$C$2:$C$1960,0)))</f>
        <v/>
      </c>
      <c r="H1127" s="9">
        <f>IF(ISNA(MATCH(1118,'Transfer Engine'!$C$2:$C$1960,0)),"",INDEX('Compliance Database'!$H$2:$H$1960,MATCH(1118,'Transfer Engine'!$C$2:$C$1960,0)))</f>
        <v/>
      </c>
      <c r="I1127" s="9">
        <f>IF(ISNA(MATCH(1118,'Transfer Engine'!$C$2:$C$1960,0)),"",INDEX('Compliance Database'!$I$2:$I$1960,MATCH(1118,'Transfer Engine'!$C$2:$C$1960,0)))</f>
        <v/>
      </c>
      <c r="J1127" s="8">
        <f>IF(ISNA(MATCH(1118,'Transfer Engine'!$C$2:$C$1960,0)),"",INDEX('Compliance Database'!$J$2:$J$1960,MATCH(1118,'Transfer Engine'!$C$2:$C$1960,0)))</f>
        <v/>
      </c>
      <c r="K1127" s="9">
        <f>IF(ISNA(MATCH(1118,'Transfer Engine'!$C$2:$C$1960,0)),"",INDEX('Compliance Database'!$K$2:$K$1960,MATCH(1118,'Transfer Engine'!$C$2:$C$1960,0)))</f>
        <v/>
      </c>
      <c r="L1127" s="9">
        <f>IF(ISNA(MATCH(1118,'Transfer Engine'!$C$2:$C$1960,0)),"",INDEX('Compliance Database'!$L$2:$L$1960,MATCH(1118,'Transfer Engine'!$C$2:$C$1960,0)))</f>
        <v/>
      </c>
      <c r="M1127" s="9">
        <f>IF(ISNA(MATCH(1118,'Transfer Engine'!$C$2:$C$1960,0)),"",INDEX('Compliance Database'!$M$2:$M$1960,MATCH(1118,'Transfer Engine'!$C$2:$C$1960,0)))</f>
        <v/>
      </c>
      <c r="N1127" s="9">
        <f>IF(ISNA(MATCH(1118,'Transfer Engine'!$C$2:$C$1960,0)),"",INDEX('Compliance Database'!$N$2:$N$1960,MATCH(1118,'Transfer Engine'!$C$2:$C$1960,0)))</f>
        <v/>
      </c>
      <c r="O1127" s="9">
        <f>IF(ISNA(MATCH(1118,'Transfer Engine'!$C$2:$C$1960,0)),"",INDEX('Compliance Database'!$O$2:$O$1960,MATCH(1118,'Transfer Engine'!$C$2:$C$1960,0)))</f>
        <v/>
      </c>
      <c r="P1127" s="8">
        <f>IF(ISNA(MATCH(1118,'Transfer Engine'!$C$2:$C$1960,0)),"",HYPERLINK("#Acts!A"&amp;INDEX('Compliance Database'!$P$2:$P$1960,MATCH(1118,'Transfer Engine'!$C$2:$C$1960,0)),"Go to Act"))</f>
        <v/>
      </c>
    </row>
    <row r="1128" ht="158" customHeight="1">
      <c r="A1128" s="8">
        <f>IF(ISNA(MATCH(1119,'Transfer Engine'!$C$2:$C$1960,0)),"",INDEX('Compliance Database'!$A$2:$A$1960,MATCH(1119,'Transfer Engine'!$C$2:$C$1960,0)))</f>
        <v/>
      </c>
      <c r="B1128" s="8">
        <f>IF(ISNA(MATCH(1119,'Transfer Engine'!$C$2:$C$1960,0)),"",INDEX('Compliance Database'!$B$2:$B$1960,MATCH(1119,'Transfer Engine'!$C$2:$C$1960,0)))</f>
        <v/>
      </c>
      <c r="C1128" s="8">
        <f>IF(ISNA(MATCH(1119,'Transfer Engine'!$C$2:$C$1960,0)),"",INDEX('Compliance Database'!$C$2:$C$1960,MATCH(1119,'Transfer Engine'!$C$2:$C$1960,0)))</f>
        <v/>
      </c>
      <c r="D1128" s="9">
        <f>IF(ISNA(MATCH(1119,'Transfer Engine'!$C$2:$C$1960,0)),"",INDEX('Compliance Database'!$D$2:$D$1960,MATCH(1119,'Transfer Engine'!$C$2:$C$1960,0)))</f>
        <v/>
      </c>
      <c r="E1128" s="8">
        <f>IF(ISNA(MATCH(1119,'Transfer Engine'!$C$2:$C$1960,0)),"",INDEX('Compliance Database'!$E$2:$E$1960,MATCH(1119,'Transfer Engine'!$C$2:$C$1960,0)))</f>
        <v/>
      </c>
      <c r="F1128" s="8">
        <f>IF(ISNA(MATCH(1119,'Transfer Engine'!$C$2:$C$1960,0)),"",INDEX('Compliance Database'!$F$2:$F$1960,MATCH(1119,'Transfer Engine'!$C$2:$C$1960,0)))</f>
        <v/>
      </c>
      <c r="G1128" s="8">
        <f>IF(ISNA(MATCH(1119,'Transfer Engine'!$C$2:$C$1960,0)),"",INDEX('Compliance Database'!$G$2:$G$1960,MATCH(1119,'Transfer Engine'!$C$2:$C$1960,0)))</f>
        <v/>
      </c>
      <c r="H1128" s="9">
        <f>IF(ISNA(MATCH(1119,'Transfer Engine'!$C$2:$C$1960,0)),"",INDEX('Compliance Database'!$H$2:$H$1960,MATCH(1119,'Transfer Engine'!$C$2:$C$1960,0)))</f>
        <v/>
      </c>
      <c r="I1128" s="9">
        <f>IF(ISNA(MATCH(1119,'Transfer Engine'!$C$2:$C$1960,0)),"",INDEX('Compliance Database'!$I$2:$I$1960,MATCH(1119,'Transfer Engine'!$C$2:$C$1960,0)))</f>
        <v/>
      </c>
      <c r="J1128" s="8">
        <f>IF(ISNA(MATCH(1119,'Transfer Engine'!$C$2:$C$1960,0)),"",INDEX('Compliance Database'!$J$2:$J$1960,MATCH(1119,'Transfer Engine'!$C$2:$C$1960,0)))</f>
        <v/>
      </c>
      <c r="K1128" s="9">
        <f>IF(ISNA(MATCH(1119,'Transfer Engine'!$C$2:$C$1960,0)),"",INDEX('Compliance Database'!$K$2:$K$1960,MATCH(1119,'Transfer Engine'!$C$2:$C$1960,0)))</f>
        <v/>
      </c>
      <c r="L1128" s="9">
        <f>IF(ISNA(MATCH(1119,'Transfer Engine'!$C$2:$C$1960,0)),"",INDEX('Compliance Database'!$L$2:$L$1960,MATCH(1119,'Transfer Engine'!$C$2:$C$1960,0)))</f>
        <v/>
      </c>
      <c r="M1128" s="9">
        <f>IF(ISNA(MATCH(1119,'Transfer Engine'!$C$2:$C$1960,0)),"",INDEX('Compliance Database'!$M$2:$M$1960,MATCH(1119,'Transfer Engine'!$C$2:$C$1960,0)))</f>
        <v/>
      </c>
      <c r="N1128" s="9">
        <f>IF(ISNA(MATCH(1119,'Transfer Engine'!$C$2:$C$1960,0)),"",INDEX('Compliance Database'!$N$2:$N$1960,MATCH(1119,'Transfer Engine'!$C$2:$C$1960,0)))</f>
        <v/>
      </c>
      <c r="O1128" s="9">
        <f>IF(ISNA(MATCH(1119,'Transfer Engine'!$C$2:$C$1960,0)),"",INDEX('Compliance Database'!$O$2:$O$1960,MATCH(1119,'Transfer Engine'!$C$2:$C$1960,0)))</f>
        <v/>
      </c>
      <c r="P1128" s="8">
        <f>IF(ISNA(MATCH(1119,'Transfer Engine'!$C$2:$C$1960,0)),"",HYPERLINK("#Acts!A"&amp;INDEX('Compliance Database'!$P$2:$P$1960,MATCH(1119,'Transfer Engine'!$C$2:$C$1960,0)),"Go to Act"))</f>
        <v/>
      </c>
    </row>
    <row r="1129" ht="158" customHeight="1">
      <c r="A1129" s="8">
        <f>IF(ISNA(MATCH(1120,'Transfer Engine'!$C$2:$C$1960,0)),"",INDEX('Compliance Database'!$A$2:$A$1960,MATCH(1120,'Transfer Engine'!$C$2:$C$1960,0)))</f>
        <v/>
      </c>
      <c r="B1129" s="8">
        <f>IF(ISNA(MATCH(1120,'Transfer Engine'!$C$2:$C$1960,0)),"",INDEX('Compliance Database'!$B$2:$B$1960,MATCH(1120,'Transfer Engine'!$C$2:$C$1960,0)))</f>
        <v/>
      </c>
      <c r="C1129" s="8">
        <f>IF(ISNA(MATCH(1120,'Transfer Engine'!$C$2:$C$1960,0)),"",INDEX('Compliance Database'!$C$2:$C$1960,MATCH(1120,'Transfer Engine'!$C$2:$C$1960,0)))</f>
        <v/>
      </c>
      <c r="D1129" s="9">
        <f>IF(ISNA(MATCH(1120,'Transfer Engine'!$C$2:$C$1960,0)),"",INDEX('Compliance Database'!$D$2:$D$1960,MATCH(1120,'Transfer Engine'!$C$2:$C$1960,0)))</f>
        <v/>
      </c>
      <c r="E1129" s="8">
        <f>IF(ISNA(MATCH(1120,'Transfer Engine'!$C$2:$C$1960,0)),"",INDEX('Compliance Database'!$E$2:$E$1960,MATCH(1120,'Transfer Engine'!$C$2:$C$1960,0)))</f>
        <v/>
      </c>
      <c r="F1129" s="8">
        <f>IF(ISNA(MATCH(1120,'Transfer Engine'!$C$2:$C$1960,0)),"",INDEX('Compliance Database'!$F$2:$F$1960,MATCH(1120,'Transfer Engine'!$C$2:$C$1960,0)))</f>
        <v/>
      </c>
      <c r="G1129" s="8">
        <f>IF(ISNA(MATCH(1120,'Transfer Engine'!$C$2:$C$1960,0)),"",INDEX('Compliance Database'!$G$2:$G$1960,MATCH(1120,'Transfer Engine'!$C$2:$C$1960,0)))</f>
        <v/>
      </c>
      <c r="H1129" s="9">
        <f>IF(ISNA(MATCH(1120,'Transfer Engine'!$C$2:$C$1960,0)),"",INDEX('Compliance Database'!$H$2:$H$1960,MATCH(1120,'Transfer Engine'!$C$2:$C$1960,0)))</f>
        <v/>
      </c>
      <c r="I1129" s="9">
        <f>IF(ISNA(MATCH(1120,'Transfer Engine'!$C$2:$C$1960,0)),"",INDEX('Compliance Database'!$I$2:$I$1960,MATCH(1120,'Transfer Engine'!$C$2:$C$1960,0)))</f>
        <v/>
      </c>
      <c r="J1129" s="8">
        <f>IF(ISNA(MATCH(1120,'Transfer Engine'!$C$2:$C$1960,0)),"",INDEX('Compliance Database'!$J$2:$J$1960,MATCH(1120,'Transfer Engine'!$C$2:$C$1960,0)))</f>
        <v/>
      </c>
      <c r="K1129" s="9">
        <f>IF(ISNA(MATCH(1120,'Transfer Engine'!$C$2:$C$1960,0)),"",INDEX('Compliance Database'!$K$2:$K$1960,MATCH(1120,'Transfer Engine'!$C$2:$C$1960,0)))</f>
        <v/>
      </c>
      <c r="L1129" s="9">
        <f>IF(ISNA(MATCH(1120,'Transfer Engine'!$C$2:$C$1960,0)),"",INDEX('Compliance Database'!$L$2:$L$1960,MATCH(1120,'Transfer Engine'!$C$2:$C$1960,0)))</f>
        <v/>
      </c>
      <c r="M1129" s="9">
        <f>IF(ISNA(MATCH(1120,'Transfer Engine'!$C$2:$C$1960,0)),"",INDEX('Compliance Database'!$M$2:$M$1960,MATCH(1120,'Transfer Engine'!$C$2:$C$1960,0)))</f>
        <v/>
      </c>
      <c r="N1129" s="9">
        <f>IF(ISNA(MATCH(1120,'Transfer Engine'!$C$2:$C$1960,0)),"",INDEX('Compliance Database'!$N$2:$N$1960,MATCH(1120,'Transfer Engine'!$C$2:$C$1960,0)))</f>
        <v/>
      </c>
      <c r="O1129" s="9">
        <f>IF(ISNA(MATCH(1120,'Transfer Engine'!$C$2:$C$1960,0)),"",INDEX('Compliance Database'!$O$2:$O$1960,MATCH(1120,'Transfer Engine'!$C$2:$C$1960,0)))</f>
        <v/>
      </c>
      <c r="P1129" s="8">
        <f>IF(ISNA(MATCH(1120,'Transfer Engine'!$C$2:$C$1960,0)),"",HYPERLINK("#Acts!A"&amp;INDEX('Compliance Database'!$P$2:$P$1960,MATCH(1120,'Transfer Engine'!$C$2:$C$1960,0)),"Go to Act"))</f>
        <v/>
      </c>
    </row>
    <row r="1130" ht="158" customHeight="1">
      <c r="A1130" s="8">
        <f>IF(ISNA(MATCH(1121,'Transfer Engine'!$C$2:$C$1960,0)),"",INDEX('Compliance Database'!$A$2:$A$1960,MATCH(1121,'Transfer Engine'!$C$2:$C$1960,0)))</f>
        <v/>
      </c>
      <c r="B1130" s="8">
        <f>IF(ISNA(MATCH(1121,'Transfer Engine'!$C$2:$C$1960,0)),"",INDEX('Compliance Database'!$B$2:$B$1960,MATCH(1121,'Transfer Engine'!$C$2:$C$1960,0)))</f>
        <v/>
      </c>
      <c r="C1130" s="8">
        <f>IF(ISNA(MATCH(1121,'Transfer Engine'!$C$2:$C$1960,0)),"",INDEX('Compliance Database'!$C$2:$C$1960,MATCH(1121,'Transfer Engine'!$C$2:$C$1960,0)))</f>
        <v/>
      </c>
      <c r="D1130" s="9">
        <f>IF(ISNA(MATCH(1121,'Transfer Engine'!$C$2:$C$1960,0)),"",INDEX('Compliance Database'!$D$2:$D$1960,MATCH(1121,'Transfer Engine'!$C$2:$C$1960,0)))</f>
        <v/>
      </c>
      <c r="E1130" s="8">
        <f>IF(ISNA(MATCH(1121,'Transfer Engine'!$C$2:$C$1960,0)),"",INDEX('Compliance Database'!$E$2:$E$1960,MATCH(1121,'Transfer Engine'!$C$2:$C$1960,0)))</f>
        <v/>
      </c>
      <c r="F1130" s="8">
        <f>IF(ISNA(MATCH(1121,'Transfer Engine'!$C$2:$C$1960,0)),"",INDEX('Compliance Database'!$F$2:$F$1960,MATCH(1121,'Transfer Engine'!$C$2:$C$1960,0)))</f>
        <v/>
      </c>
      <c r="G1130" s="8">
        <f>IF(ISNA(MATCH(1121,'Transfer Engine'!$C$2:$C$1960,0)),"",INDEX('Compliance Database'!$G$2:$G$1960,MATCH(1121,'Transfer Engine'!$C$2:$C$1960,0)))</f>
        <v/>
      </c>
      <c r="H1130" s="9">
        <f>IF(ISNA(MATCH(1121,'Transfer Engine'!$C$2:$C$1960,0)),"",INDEX('Compliance Database'!$H$2:$H$1960,MATCH(1121,'Transfer Engine'!$C$2:$C$1960,0)))</f>
        <v/>
      </c>
      <c r="I1130" s="9">
        <f>IF(ISNA(MATCH(1121,'Transfer Engine'!$C$2:$C$1960,0)),"",INDEX('Compliance Database'!$I$2:$I$1960,MATCH(1121,'Transfer Engine'!$C$2:$C$1960,0)))</f>
        <v/>
      </c>
      <c r="J1130" s="8">
        <f>IF(ISNA(MATCH(1121,'Transfer Engine'!$C$2:$C$1960,0)),"",INDEX('Compliance Database'!$J$2:$J$1960,MATCH(1121,'Transfer Engine'!$C$2:$C$1960,0)))</f>
        <v/>
      </c>
      <c r="K1130" s="9">
        <f>IF(ISNA(MATCH(1121,'Transfer Engine'!$C$2:$C$1960,0)),"",INDEX('Compliance Database'!$K$2:$K$1960,MATCH(1121,'Transfer Engine'!$C$2:$C$1960,0)))</f>
        <v/>
      </c>
      <c r="L1130" s="9">
        <f>IF(ISNA(MATCH(1121,'Transfer Engine'!$C$2:$C$1960,0)),"",INDEX('Compliance Database'!$L$2:$L$1960,MATCH(1121,'Transfer Engine'!$C$2:$C$1960,0)))</f>
        <v/>
      </c>
      <c r="M1130" s="9">
        <f>IF(ISNA(MATCH(1121,'Transfer Engine'!$C$2:$C$1960,0)),"",INDEX('Compliance Database'!$M$2:$M$1960,MATCH(1121,'Transfer Engine'!$C$2:$C$1960,0)))</f>
        <v/>
      </c>
      <c r="N1130" s="9">
        <f>IF(ISNA(MATCH(1121,'Transfer Engine'!$C$2:$C$1960,0)),"",INDEX('Compliance Database'!$N$2:$N$1960,MATCH(1121,'Transfer Engine'!$C$2:$C$1960,0)))</f>
        <v/>
      </c>
      <c r="O1130" s="9">
        <f>IF(ISNA(MATCH(1121,'Transfer Engine'!$C$2:$C$1960,0)),"",INDEX('Compliance Database'!$O$2:$O$1960,MATCH(1121,'Transfer Engine'!$C$2:$C$1960,0)))</f>
        <v/>
      </c>
      <c r="P1130" s="8">
        <f>IF(ISNA(MATCH(1121,'Transfer Engine'!$C$2:$C$1960,0)),"",HYPERLINK("#Acts!A"&amp;INDEX('Compliance Database'!$P$2:$P$1960,MATCH(1121,'Transfer Engine'!$C$2:$C$1960,0)),"Go to Act"))</f>
        <v/>
      </c>
    </row>
    <row r="1131" ht="158" customHeight="1">
      <c r="A1131" s="8">
        <f>IF(ISNA(MATCH(1122,'Transfer Engine'!$C$2:$C$1960,0)),"",INDEX('Compliance Database'!$A$2:$A$1960,MATCH(1122,'Transfer Engine'!$C$2:$C$1960,0)))</f>
        <v/>
      </c>
      <c r="B1131" s="8">
        <f>IF(ISNA(MATCH(1122,'Transfer Engine'!$C$2:$C$1960,0)),"",INDEX('Compliance Database'!$B$2:$B$1960,MATCH(1122,'Transfer Engine'!$C$2:$C$1960,0)))</f>
        <v/>
      </c>
      <c r="C1131" s="8">
        <f>IF(ISNA(MATCH(1122,'Transfer Engine'!$C$2:$C$1960,0)),"",INDEX('Compliance Database'!$C$2:$C$1960,MATCH(1122,'Transfer Engine'!$C$2:$C$1960,0)))</f>
        <v/>
      </c>
      <c r="D1131" s="9">
        <f>IF(ISNA(MATCH(1122,'Transfer Engine'!$C$2:$C$1960,0)),"",INDEX('Compliance Database'!$D$2:$D$1960,MATCH(1122,'Transfer Engine'!$C$2:$C$1960,0)))</f>
        <v/>
      </c>
      <c r="E1131" s="8">
        <f>IF(ISNA(MATCH(1122,'Transfer Engine'!$C$2:$C$1960,0)),"",INDEX('Compliance Database'!$E$2:$E$1960,MATCH(1122,'Transfer Engine'!$C$2:$C$1960,0)))</f>
        <v/>
      </c>
      <c r="F1131" s="8">
        <f>IF(ISNA(MATCH(1122,'Transfer Engine'!$C$2:$C$1960,0)),"",INDEX('Compliance Database'!$F$2:$F$1960,MATCH(1122,'Transfer Engine'!$C$2:$C$1960,0)))</f>
        <v/>
      </c>
      <c r="G1131" s="8">
        <f>IF(ISNA(MATCH(1122,'Transfer Engine'!$C$2:$C$1960,0)),"",INDEX('Compliance Database'!$G$2:$G$1960,MATCH(1122,'Transfer Engine'!$C$2:$C$1960,0)))</f>
        <v/>
      </c>
      <c r="H1131" s="9">
        <f>IF(ISNA(MATCH(1122,'Transfer Engine'!$C$2:$C$1960,0)),"",INDEX('Compliance Database'!$H$2:$H$1960,MATCH(1122,'Transfer Engine'!$C$2:$C$1960,0)))</f>
        <v/>
      </c>
      <c r="I1131" s="9">
        <f>IF(ISNA(MATCH(1122,'Transfer Engine'!$C$2:$C$1960,0)),"",INDEX('Compliance Database'!$I$2:$I$1960,MATCH(1122,'Transfer Engine'!$C$2:$C$1960,0)))</f>
        <v/>
      </c>
      <c r="J1131" s="8">
        <f>IF(ISNA(MATCH(1122,'Transfer Engine'!$C$2:$C$1960,0)),"",INDEX('Compliance Database'!$J$2:$J$1960,MATCH(1122,'Transfer Engine'!$C$2:$C$1960,0)))</f>
        <v/>
      </c>
      <c r="K1131" s="9">
        <f>IF(ISNA(MATCH(1122,'Transfer Engine'!$C$2:$C$1960,0)),"",INDEX('Compliance Database'!$K$2:$K$1960,MATCH(1122,'Transfer Engine'!$C$2:$C$1960,0)))</f>
        <v/>
      </c>
      <c r="L1131" s="9">
        <f>IF(ISNA(MATCH(1122,'Transfer Engine'!$C$2:$C$1960,0)),"",INDEX('Compliance Database'!$L$2:$L$1960,MATCH(1122,'Transfer Engine'!$C$2:$C$1960,0)))</f>
        <v/>
      </c>
      <c r="M1131" s="9">
        <f>IF(ISNA(MATCH(1122,'Transfer Engine'!$C$2:$C$1960,0)),"",INDEX('Compliance Database'!$M$2:$M$1960,MATCH(1122,'Transfer Engine'!$C$2:$C$1960,0)))</f>
        <v/>
      </c>
      <c r="N1131" s="9">
        <f>IF(ISNA(MATCH(1122,'Transfer Engine'!$C$2:$C$1960,0)),"",INDEX('Compliance Database'!$N$2:$N$1960,MATCH(1122,'Transfer Engine'!$C$2:$C$1960,0)))</f>
        <v/>
      </c>
      <c r="O1131" s="9">
        <f>IF(ISNA(MATCH(1122,'Transfer Engine'!$C$2:$C$1960,0)),"",INDEX('Compliance Database'!$O$2:$O$1960,MATCH(1122,'Transfer Engine'!$C$2:$C$1960,0)))</f>
        <v/>
      </c>
      <c r="P1131" s="8">
        <f>IF(ISNA(MATCH(1122,'Transfer Engine'!$C$2:$C$1960,0)),"",HYPERLINK("#Acts!A"&amp;INDEX('Compliance Database'!$P$2:$P$1960,MATCH(1122,'Transfer Engine'!$C$2:$C$1960,0)),"Go to Act"))</f>
        <v/>
      </c>
    </row>
    <row r="1132" ht="158" customHeight="1">
      <c r="A1132" s="8">
        <f>IF(ISNA(MATCH(1123,'Transfer Engine'!$C$2:$C$1960,0)),"",INDEX('Compliance Database'!$A$2:$A$1960,MATCH(1123,'Transfer Engine'!$C$2:$C$1960,0)))</f>
        <v/>
      </c>
      <c r="B1132" s="8">
        <f>IF(ISNA(MATCH(1123,'Transfer Engine'!$C$2:$C$1960,0)),"",INDEX('Compliance Database'!$B$2:$B$1960,MATCH(1123,'Transfer Engine'!$C$2:$C$1960,0)))</f>
        <v/>
      </c>
      <c r="C1132" s="8">
        <f>IF(ISNA(MATCH(1123,'Transfer Engine'!$C$2:$C$1960,0)),"",INDEX('Compliance Database'!$C$2:$C$1960,MATCH(1123,'Transfer Engine'!$C$2:$C$1960,0)))</f>
        <v/>
      </c>
      <c r="D1132" s="9">
        <f>IF(ISNA(MATCH(1123,'Transfer Engine'!$C$2:$C$1960,0)),"",INDEX('Compliance Database'!$D$2:$D$1960,MATCH(1123,'Transfer Engine'!$C$2:$C$1960,0)))</f>
        <v/>
      </c>
      <c r="E1132" s="8">
        <f>IF(ISNA(MATCH(1123,'Transfer Engine'!$C$2:$C$1960,0)),"",INDEX('Compliance Database'!$E$2:$E$1960,MATCH(1123,'Transfer Engine'!$C$2:$C$1960,0)))</f>
        <v/>
      </c>
      <c r="F1132" s="8">
        <f>IF(ISNA(MATCH(1123,'Transfer Engine'!$C$2:$C$1960,0)),"",INDEX('Compliance Database'!$F$2:$F$1960,MATCH(1123,'Transfer Engine'!$C$2:$C$1960,0)))</f>
        <v/>
      </c>
      <c r="G1132" s="8">
        <f>IF(ISNA(MATCH(1123,'Transfer Engine'!$C$2:$C$1960,0)),"",INDEX('Compliance Database'!$G$2:$G$1960,MATCH(1123,'Transfer Engine'!$C$2:$C$1960,0)))</f>
        <v/>
      </c>
      <c r="H1132" s="9">
        <f>IF(ISNA(MATCH(1123,'Transfer Engine'!$C$2:$C$1960,0)),"",INDEX('Compliance Database'!$H$2:$H$1960,MATCH(1123,'Transfer Engine'!$C$2:$C$1960,0)))</f>
        <v/>
      </c>
      <c r="I1132" s="9">
        <f>IF(ISNA(MATCH(1123,'Transfer Engine'!$C$2:$C$1960,0)),"",INDEX('Compliance Database'!$I$2:$I$1960,MATCH(1123,'Transfer Engine'!$C$2:$C$1960,0)))</f>
        <v/>
      </c>
      <c r="J1132" s="8">
        <f>IF(ISNA(MATCH(1123,'Transfer Engine'!$C$2:$C$1960,0)),"",INDEX('Compliance Database'!$J$2:$J$1960,MATCH(1123,'Transfer Engine'!$C$2:$C$1960,0)))</f>
        <v/>
      </c>
      <c r="K1132" s="9">
        <f>IF(ISNA(MATCH(1123,'Transfer Engine'!$C$2:$C$1960,0)),"",INDEX('Compliance Database'!$K$2:$K$1960,MATCH(1123,'Transfer Engine'!$C$2:$C$1960,0)))</f>
        <v/>
      </c>
      <c r="L1132" s="9">
        <f>IF(ISNA(MATCH(1123,'Transfer Engine'!$C$2:$C$1960,0)),"",INDEX('Compliance Database'!$L$2:$L$1960,MATCH(1123,'Transfer Engine'!$C$2:$C$1960,0)))</f>
        <v/>
      </c>
      <c r="M1132" s="9">
        <f>IF(ISNA(MATCH(1123,'Transfer Engine'!$C$2:$C$1960,0)),"",INDEX('Compliance Database'!$M$2:$M$1960,MATCH(1123,'Transfer Engine'!$C$2:$C$1960,0)))</f>
        <v/>
      </c>
      <c r="N1132" s="9">
        <f>IF(ISNA(MATCH(1123,'Transfer Engine'!$C$2:$C$1960,0)),"",INDEX('Compliance Database'!$N$2:$N$1960,MATCH(1123,'Transfer Engine'!$C$2:$C$1960,0)))</f>
        <v/>
      </c>
      <c r="O1132" s="9">
        <f>IF(ISNA(MATCH(1123,'Transfer Engine'!$C$2:$C$1960,0)),"",INDEX('Compliance Database'!$O$2:$O$1960,MATCH(1123,'Transfer Engine'!$C$2:$C$1960,0)))</f>
        <v/>
      </c>
      <c r="P1132" s="8">
        <f>IF(ISNA(MATCH(1123,'Transfer Engine'!$C$2:$C$1960,0)),"",HYPERLINK("#Acts!A"&amp;INDEX('Compliance Database'!$P$2:$P$1960,MATCH(1123,'Transfer Engine'!$C$2:$C$1960,0)),"Go to Act"))</f>
        <v/>
      </c>
    </row>
    <row r="1133" ht="158" customHeight="1">
      <c r="A1133" s="8">
        <f>IF(ISNA(MATCH(1124,'Transfer Engine'!$C$2:$C$1960,0)),"",INDEX('Compliance Database'!$A$2:$A$1960,MATCH(1124,'Transfer Engine'!$C$2:$C$1960,0)))</f>
        <v/>
      </c>
      <c r="B1133" s="8">
        <f>IF(ISNA(MATCH(1124,'Transfer Engine'!$C$2:$C$1960,0)),"",INDEX('Compliance Database'!$B$2:$B$1960,MATCH(1124,'Transfer Engine'!$C$2:$C$1960,0)))</f>
        <v/>
      </c>
      <c r="C1133" s="8">
        <f>IF(ISNA(MATCH(1124,'Transfer Engine'!$C$2:$C$1960,0)),"",INDEX('Compliance Database'!$C$2:$C$1960,MATCH(1124,'Transfer Engine'!$C$2:$C$1960,0)))</f>
        <v/>
      </c>
      <c r="D1133" s="9">
        <f>IF(ISNA(MATCH(1124,'Transfer Engine'!$C$2:$C$1960,0)),"",INDEX('Compliance Database'!$D$2:$D$1960,MATCH(1124,'Transfer Engine'!$C$2:$C$1960,0)))</f>
        <v/>
      </c>
      <c r="E1133" s="8">
        <f>IF(ISNA(MATCH(1124,'Transfer Engine'!$C$2:$C$1960,0)),"",INDEX('Compliance Database'!$E$2:$E$1960,MATCH(1124,'Transfer Engine'!$C$2:$C$1960,0)))</f>
        <v/>
      </c>
      <c r="F1133" s="8">
        <f>IF(ISNA(MATCH(1124,'Transfer Engine'!$C$2:$C$1960,0)),"",INDEX('Compliance Database'!$F$2:$F$1960,MATCH(1124,'Transfer Engine'!$C$2:$C$1960,0)))</f>
        <v/>
      </c>
      <c r="G1133" s="8">
        <f>IF(ISNA(MATCH(1124,'Transfer Engine'!$C$2:$C$1960,0)),"",INDEX('Compliance Database'!$G$2:$G$1960,MATCH(1124,'Transfer Engine'!$C$2:$C$1960,0)))</f>
        <v/>
      </c>
      <c r="H1133" s="9">
        <f>IF(ISNA(MATCH(1124,'Transfer Engine'!$C$2:$C$1960,0)),"",INDEX('Compliance Database'!$H$2:$H$1960,MATCH(1124,'Transfer Engine'!$C$2:$C$1960,0)))</f>
        <v/>
      </c>
      <c r="I1133" s="9">
        <f>IF(ISNA(MATCH(1124,'Transfer Engine'!$C$2:$C$1960,0)),"",INDEX('Compliance Database'!$I$2:$I$1960,MATCH(1124,'Transfer Engine'!$C$2:$C$1960,0)))</f>
        <v/>
      </c>
      <c r="J1133" s="8">
        <f>IF(ISNA(MATCH(1124,'Transfer Engine'!$C$2:$C$1960,0)),"",INDEX('Compliance Database'!$J$2:$J$1960,MATCH(1124,'Transfer Engine'!$C$2:$C$1960,0)))</f>
        <v/>
      </c>
      <c r="K1133" s="9">
        <f>IF(ISNA(MATCH(1124,'Transfer Engine'!$C$2:$C$1960,0)),"",INDEX('Compliance Database'!$K$2:$K$1960,MATCH(1124,'Transfer Engine'!$C$2:$C$1960,0)))</f>
        <v/>
      </c>
      <c r="L1133" s="9">
        <f>IF(ISNA(MATCH(1124,'Transfer Engine'!$C$2:$C$1960,0)),"",INDEX('Compliance Database'!$L$2:$L$1960,MATCH(1124,'Transfer Engine'!$C$2:$C$1960,0)))</f>
        <v/>
      </c>
      <c r="M1133" s="9">
        <f>IF(ISNA(MATCH(1124,'Transfer Engine'!$C$2:$C$1960,0)),"",INDEX('Compliance Database'!$M$2:$M$1960,MATCH(1124,'Transfer Engine'!$C$2:$C$1960,0)))</f>
        <v/>
      </c>
      <c r="N1133" s="9">
        <f>IF(ISNA(MATCH(1124,'Transfer Engine'!$C$2:$C$1960,0)),"",INDEX('Compliance Database'!$N$2:$N$1960,MATCH(1124,'Transfer Engine'!$C$2:$C$1960,0)))</f>
        <v/>
      </c>
      <c r="O1133" s="9">
        <f>IF(ISNA(MATCH(1124,'Transfer Engine'!$C$2:$C$1960,0)),"",INDEX('Compliance Database'!$O$2:$O$1960,MATCH(1124,'Transfer Engine'!$C$2:$C$1960,0)))</f>
        <v/>
      </c>
      <c r="P1133" s="8">
        <f>IF(ISNA(MATCH(1124,'Transfer Engine'!$C$2:$C$1960,0)),"",HYPERLINK("#Acts!A"&amp;INDEX('Compliance Database'!$P$2:$P$1960,MATCH(1124,'Transfer Engine'!$C$2:$C$1960,0)),"Go to Act"))</f>
        <v/>
      </c>
    </row>
    <row r="1134" ht="158" customHeight="1">
      <c r="A1134" s="8">
        <f>IF(ISNA(MATCH(1125,'Transfer Engine'!$C$2:$C$1960,0)),"",INDEX('Compliance Database'!$A$2:$A$1960,MATCH(1125,'Transfer Engine'!$C$2:$C$1960,0)))</f>
        <v/>
      </c>
      <c r="B1134" s="8">
        <f>IF(ISNA(MATCH(1125,'Transfer Engine'!$C$2:$C$1960,0)),"",INDEX('Compliance Database'!$B$2:$B$1960,MATCH(1125,'Transfer Engine'!$C$2:$C$1960,0)))</f>
        <v/>
      </c>
      <c r="C1134" s="8">
        <f>IF(ISNA(MATCH(1125,'Transfer Engine'!$C$2:$C$1960,0)),"",INDEX('Compliance Database'!$C$2:$C$1960,MATCH(1125,'Transfer Engine'!$C$2:$C$1960,0)))</f>
        <v/>
      </c>
      <c r="D1134" s="9">
        <f>IF(ISNA(MATCH(1125,'Transfer Engine'!$C$2:$C$1960,0)),"",INDEX('Compliance Database'!$D$2:$D$1960,MATCH(1125,'Transfer Engine'!$C$2:$C$1960,0)))</f>
        <v/>
      </c>
      <c r="E1134" s="8">
        <f>IF(ISNA(MATCH(1125,'Transfer Engine'!$C$2:$C$1960,0)),"",INDEX('Compliance Database'!$E$2:$E$1960,MATCH(1125,'Transfer Engine'!$C$2:$C$1960,0)))</f>
        <v/>
      </c>
      <c r="F1134" s="8">
        <f>IF(ISNA(MATCH(1125,'Transfer Engine'!$C$2:$C$1960,0)),"",INDEX('Compliance Database'!$F$2:$F$1960,MATCH(1125,'Transfer Engine'!$C$2:$C$1960,0)))</f>
        <v/>
      </c>
      <c r="G1134" s="8">
        <f>IF(ISNA(MATCH(1125,'Transfer Engine'!$C$2:$C$1960,0)),"",INDEX('Compliance Database'!$G$2:$G$1960,MATCH(1125,'Transfer Engine'!$C$2:$C$1960,0)))</f>
        <v/>
      </c>
      <c r="H1134" s="9">
        <f>IF(ISNA(MATCH(1125,'Transfer Engine'!$C$2:$C$1960,0)),"",INDEX('Compliance Database'!$H$2:$H$1960,MATCH(1125,'Transfer Engine'!$C$2:$C$1960,0)))</f>
        <v/>
      </c>
      <c r="I1134" s="9">
        <f>IF(ISNA(MATCH(1125,'Transfer Engine'!$C$2:$C$1960,0)),"",INDEX('Compliance Database'!$I$2:$I$1960,MATCH(1125,'Transfer Engine'!$C$2:$C$1960,0)))</f>
        <v/>
      </c>
      <c r="J1134" s="8">
        <f>IF(ISNA(MATCH(1125,'Transfer Engine'!$C$2:$C$1960,0)),"",INDEX('Compliance Database'!$J$2:$J$1960,MATCH(1125,'Transfer Engine'!$C$2:$C$1960,0)))</f>
        <v/>
      </c>
      <c r="K1134" s="9">
        <f>IF(ISNA(MATCH(1125,'Transfer Engine'!$C$2:$C$1960,0)),"",INDEX('Compliance Database'!$K$2:$K$1960,MATCH(1125,'Transfer Engine'!$C$2:$C$1960,0)))</f>
        <v/>
      </c>
      <c r="L1134" s="9">
        <f>IF(ISNA(MATCH(1125,'Transfer Engine'!$C$2:$C$1960,0)),"",INDEX('Compliance Database'!$L$2:$L$1960,MATCH(1125,'Transfer Engine'!$C$2:$C$1960,0)))</f>
        <v/>
      </c>
      <c r="M1134" s="9">
        <f>IF(ISNA(MATCH(1125,'Transfer Engine'!$C$2:$C$1960,0)),"",INDEX('Compliance Database'!$M$2:$M$1960,MATCH(1125,'Transfer Engine'!$C$2:$C$1960,0)))</f>
        <v/>
      </c>
      <c r="N1134" s="9">
        <f>IF(ISNA(MATCH(1125,'Transfer Engine'!$C$2:$C$1960,0)),"",INDEX('Compliance Database'!$N$2:$N$1960,MATCH(1125,'Transfer Engine'!$C$2:$C$1960,0)))</f>
        <v/>
      </c>
      <c r="O1134" s="9">
        <f>IF(ISNA(MATCH(1125,'Transfer Engine'!$C$2:$C$1960,0)),"",INDEX('Compliance Database'!$O$2:$O$1960,MATCH(1125,'Transfer Engine'!$C$2:$C$1960,0)))</f>
        <v/>
      </c>
      <c r="P1134" s="8">
        <f>IF(ISNA(MATCH(1125,'Transfer Engine'!$C$2:$C$1960,0)),"",HYPERLINK("#Acts!A"&amp;INDEX('Compliance Database'!$P$2:$P$1960,MATCH(1125,'Transfer Engine'!$C$2:$C$1960,0)),"Go to Act"))</f>
        <v/>
      </c>
    </row>
    <row r="1135" ht="158" customHeight="1">
      <c r="A1135" s="8">
        <f>IF(ISNA(MATCH(1126,'Transfer Engine'!$C$2:$C$1960,0)),"",INDEX('Compliance Database'!$A$2:$A$1960,MATCH(1126,'Transfer Engine'!$C$2:$C$1960,0)))</f>
        <v/>
      </c>
      <c r="B1135" s="8">
        <f>IF(ISNA(MATCH(1126,'Transfer Engine'!$C$2:$C$1960,0)),"",INDEX('Compliance Database'!$B$2:$B$1960,MATCH(1126,'Transfer Engine'!$C$2:$C$1960,0)))</f>
        <v/>
      </c>
      <c r="C1135" s="8">
        <f>IF(ISNA(MATCH(1126,'Transfer Engine'!$C$2:$C$1960,0)),"",INDEX('Compliance Database'!$C$2:$C$1960,MATCH(1126,'Transfer Engine'!$C$2:$C$1960,0)))</f>
        <v/>
      </c>
      <c r="D1135" s="9">
        <f>IF(ISNA(MATCH(1126,'Transfer Engine'!$C$2:$C$1960,0)),"",INDEX('Compliance Database'!$D$2:$D$1960,MATCH(1126,'Transfer Engine'!$C$2:$C$1960,0)))</f>
        <v/>
      </c>
      <c r="E1135" s="8">
        <f>IF(ISNA(MATCH(1126,'Transfer Engine'!$C$2:$C$1960,0)),"",INDEX('Compliance Database'!$E$2:$E$1960,MATCH(1126,'Transfer Engine'!$C$2:$C$1960,0)))</f>
        <v/>
      </c>
      <c r="F1135" s="8">
        <f>IF(ISNA(MATCH(1126,'Transfer Engine'!$C$2:$C$1960,0)),"",INDEX('Compliance Database'!$F$2:$F$1960,MATCH(1126,'Transfer Engine'!$C$2:$C$1960,0)))</f>
        <v/>
      </c>
      <c r="G1135" s="8">
        <f>IF(ISNA(MATCH(1126,'Transfer Engine'!$C$2:$C$1960,0)),"",INDEX('Compliance Database'!$G$2:$G$1960,MATCH(1126,'Transfer Engine'!$C$2:$C$1960,0)))</f>
        <v/>
      </c>
      <c r="H1135" s="9">
        <f>IF(ISNA(MATCH(1126,'Transfer Engine'!$C$2:$C$1960,0)),"",INDEX('Compliance Database'!$H$2:$H$1960,MATCH(1126,'Transfer Engine'!$C$2:$C$1960,0)))</f>
        <v/>
      </c>
      <c r="I1135" s="9">
        <f>IF(ISNA(MATCH(1126,'Transfer Engine'!$C$2:$C$1960,0)),"",INDEX('Compliance Database'!$I$2:$I$1960,MATCH(1126,'Transfer Engine'!$C$2:$C$1960,0)))</f>
        <v/>
      </c>
      <c r="J1135" s="8">
        <f>IF(ISNA(MATCH(1126,'Transfer Engine'!$C$2:$C$1960,0)),"",INDEX('Compliance Database'!$J$2:$J$1960,MATCH(1126,'Transfer Engine'!$C$2:$C$1960,0)))</f>
        <v/>
      </c>
      <c r="K1135" s="9">
        <f>IF(ISNA(MATCH(1126,'Transfer Engine'!$C$2:$C$1960,0)),"",INDEX('Compliance Database'!$K$2:$K$1960,MATCH(1126,'Transfer Engine'!$C$2:$C$1960,0)))</f>
        <v/>
      </c>
      <c r="L1135" s="9">
        <f>IF(ISNA(MATCH(1126,'Transfer Engine'!$C$2:$C$1960,0)),"",INDEX('Compliance Database'!$L$2:$L$1960,MATCH(1126,'Transfer Engine'!$C$2:$C$1960,0)))</f>
        <v/>
      </c>
      <c r="M1135" s="9">
        <f>IF(ISNA(MATCH(1126,'Transfer Engine'!$C$2:$C$1960,0)),"",INDEX('Compliance Database'!$M$2:$M$1960,MATCH(1126,'Transfer Engine'!$C$2:$C$1960,0)))</f>
        <v/>
      </c>
      <c r="N1135" s="9">
        <f>IF(ISNA(MATCH(1126,'Transfer Engine'!$C$2:$C$1960,0)),"",INDEX('Compliance Database'!$N$2:$N$1960,MATCH(1126,'Transfer Engine'!$C$2:$C$1960,0)))</f>
        <v/>
      </c>
      <c r="O1135" s="9">
        <f>IF(ISNA(MATCH(1126,'Transfer Engine'!$C$2:$C$1960,0)),"",INDEX('Compliance Database'!$O$2:$O$1960,MATCH(1126,'Transfer Engine'!$C$2:$C$1960,0)))</f>
        <v/>
      </c>
      <c r="P1135" s="8">
        <f>IF(ISNA(MATCH(1126,'Transfer Engine'!$C$2:$C$1960,0)),"",HYPERLINK("#Acts!A"&amp;INDEX('Compliance Database'!$P$2:$P$1960,MATCH(1126,'Transfer Engine'!$C$2:$C$1960,0)),"Go to Act"))</f>
        <v/>
      </c>
    </row>
    <row r="1136" ht="158" customHeight="1">
      <c r="A1136" s="8">
        <f>IF(ISNA(MATCH(1127,'Transfer Engine'!$C$2:$C$1960,0)),"",INDEX('Compliance Database'!$A$2:$A$1960,MATCH(1127,'Transfer Engine'!$C$2:$C$1960,0)))</f>
        <v/>
      </c>
      <c r="B1136" s="8">
        <f>IF(ISNA(MATCH(1127,'Transfer Engine'!$C$2:$C$1960,0)),"",INDEX('Compliance Database'!$B$2:$B$1960,MATCH(1127,'Transfer Engine'!$C$2:$C$1960,0)))</f>
        <v/>
      </c>
      <c r="C1136" s="8">
        <f>IF(ISNA(MATCH(1127,'Transfer Engine'!$C$2:$C$1960,0)),"",INDEX('Compliance Database'!$C$2:$C$1960,MATCH(1127,'Transfer Engine'!$C$2:$C$1960,0)))</f>
        <v/>
      </c>
      <c r="D1136" s="9">
        <f>IF(ISNA(MATCH(1127,'Transfer Engine'!$C$2:$C$1960,0)),"",INDEX('Compliance Database'!$D$2:$D$1960,MATCH(1127,'Transfer Engine'!$C$2:$C$1960,0)))</f>
        <v/>
      </c>
      <c r="E1136" s="8">
        <f>IF(ISNA(MATCH(1127,'Transfer Engine'!$C$2:$C$1960,0)),"",INDEX('Compliance Database'!$E$2:$E$1960,MATCH(1127,'Transfer Engine'!$C$2:$C$1960,0)))</f>
        <v/>
      </c>
      <c r="F1136" s="8">
        <f>IF(ISNA(MATCH(1127,'Transfer Engine'!$C$2:$C$1960,0)),"",INDEX('Compliance Database'!$F$2:$F$1960,MATCH(1127,'Transfer Engine'!$C$2:$C$1960,0)))</f>
        <v/>
      </c>
      <c r="G1136" s="8">
        <f>IF(ISNA(MATCH(1127,'Transfer Engine'!$C$2:$C$1960,0)),"",INDEX('Compliance Database'!$G$2:$G$1960,MATCH(1127,'Transfer Engine'!$C$2:$C$1960,0)))</f>
        <v/>
      </c>
      <c r="H1136" s="9">
        <f>IF(ISNA(MATCH(1127,'Transfer Engine'!$C$2:$C$1960,0)),"",INDEX('Compliance Database'!$H$2:$H$1960,MATCH(1127,'Transfer Engine'!$C$2:$C$1960,0)))</f>
        <v/>
      </c>
      <c r="I1136" s="9">
        <f>IF(ISNA(MATCH(1127,'Transfer Engine'!$C$2:$C$1960,0)),"",INDEX('Compliance Database'!$I$2:$I$1960,MATCH(1127,'Transfer Engine'!$C$2:$C$1960,0)))</f>
        <v/>
      </c>
      <c r="J1136" s="8">
        <f>IF(ISNA(MATCH(1127,'Transfer Engine'!$C$2:$C$1960,0)),"",INDEX('Compliance Database'!$J$2:$J$1960,MATCH(1127,'Transfer Engine'!$C$2:$C$1960,0)))</f>
        <v/>
      </c>
      <c r="K1136" s="9">
        <f>IF(ISNA(MATCH(1127,'Transfer Engine'!$C$2:$C$1960,0)),"",INDEX('Compliance Database'!$K$2:$K$1960,MATCH(1127,'Transfer Engine'!$C$2:$C$1960,0)))</f>
        <v/>
      </c>
      <c r="L1136" s="9">
        <f>IF(ISNA(MATCH(1127,'Transfer Engine'!$C$2:$C$1960,0)),"",INDEX('Compliance Database'!$L$2:$L$1960,MATCH(1127,'Transfer Engine'!$C$2:$C$1960,0)))</f>
        <v/>
      </c>
      <c r="M1136" s="9">
        <f>IF(ISNA(MATCH(1127,'Transfer Engine'!$C$2:$C$1960,0)),"",INDEX('Compliance Database'!$M$2:$M$1960,MATCH(1127,'Transfer Engine'!$C$2:$C$1960,0)))</f>
        <v/>
      </c>
      <c r="N1136" s="9">
        <f>IF(ISNA(MATCH(1127,'Transfer Engine'!$C$2:$C$1960,0)),"",INDEX('Compliance Database'!$N$2:$N$1960,MATCH(1127,'Transfer Engine'!$C$2:$C$1960,0)))</f>
        <v/>
      </c>
      <c r="O1136" s="9">
        <f>IF(ISNA(MATCH(1127,'Transfer Engine'!$C$2:$C$1960,0)),"",INDEX('Compliance Database'!$O$2:$O$1960,MATCH(1127,'Transfer Engine'!$C$2:$C$1960,0)))</f>
        <v/>
      </c>
      <c r="P1136" s="8">
        <f>IF(ISNA(MATCH(1127,'Transfer Engine'!$C$2:$C$1960,0)),"",HYPERLINK("#Acts!A"&amp;INDEX('Compliance Database'!$P$2:$P$1960,MATCH(1127,'Transfer Engine'!$C$2:$C$1960,0)),"Go to Act"))</f>
        <v/>
      </c>
    </row>
    <row r="1137" ht="158" customHeight="1">
      <c r="A1137" s="8">
        <f>IF(ISNA(MATCH(1128,'Transfer Engine'!$C$2:$C$1960,0)),"",INDEX('Compliance Database'!$A$2:$A$1960,MATCH(1128,'Transfer Engine'!$C$2:$C$1960,0)))</f>
        <v/>
      </c>
      <c r="B1137" s="8">
        <f>IF(ISNA(MATCH(1128,'Transfer Engine'!$C$2:$C$1960,0)),"",INDEX('Compliance Database'!$B$2:$B$1960,MATCH(1128,'Transfer Engine'!$C$2:$C$1960,0)))</f>
        <v/>
      </c>
      <c r="C1137" s="8">
        <f>IF(ISNA(MATCH(1128,'Transfer Engine'!$C$2:$C$1960,0)),"",INDEX('Compliance Database'!$C$2:$C$1960,MATCH(1128,'Transfer Engine'!$C$2:$C$1960,0)))</f>
        <v/>
      </c>
      <c r="D1137" s="9">
        <f>IF(ISNA(MATCH(1128,'Transfer Engine'!$C$2:$C$1960,0)),"",INDEX('Compliance Database'!$D$2:$D$1960,MATCH(1128,'Transfer Engine'!$C$2:$C$1960,0)))</f>
        <v/>
      </c>
      <c r="E1137" s="8">
        <f>IF(ISNA(MATCH(1128,'Transfer Engine'!$C$2:$C$1960,0)),"",INDEX('Compliance Database'!$E$2:$E$1960,MATCH(1128,'Transfer Engine'!$C$2:$C$1960,0)))</f>
        <v/>
      </c>
      <c r="F1137" s="8">
        <f>IF(ISNA(MATCH(1128,'Transfer Engine'!$C$2:$C$1960,0)),"",INDEX('Compliance Database'!$F$2:$F$1960,MATCH(1128,'Transfer Engine'!$C$2:$C$1960,0)))</f>
        <v/>
      </c>
      <c r="G1137" s="8">
        <f>IF(ISNA(MATCH(1128,'Transfer Engine'!$C$2:$C$1960,0)),"",INDEX('Compliance Database'!$G$2:$G$1960,MATCH(1128,'Transfer Engine'!$C$2:$C$1960,0)))</f>
        <v/>
      </c>
      <c r="H1137" s="9">
        <f>IF(ISNA(MATCH(1128,'Transfer Engine'!$C$2:$C$1960,0)),"",INDEX('Compliance Database'!$H$2:$H$1960,MATCH(1128,'Transfer Engine'!$C$2:$C$1960,0)))</f>
        <v/>
      </c>
      <c r="I1137" s="9">
        <f>IF(ISNA(MATCH(1128,'Transfer Engine'!$C$2:$C$1960,0)),"",INDEX('Compliance Database'!$I$2:$I$1960,MATCH(1128,'Transfer Engine'!$C$2:$C$1960,0)))</f>
        <v/>
      </c>
      <c r="J1137" s="8">
        <f>IF(ISNA(MATCH(1128,'Transfer Engine'!$C$2:$C$1960,0)),"",INDEX('Compliance Database'!$J$2:$J$1960,MATCH(1128,'Transfer Engine'!$C$2:$C$1960,0)))</f>
        <v/>
      </c>
      <c r="K1137" s="9">
        <f>IF(ISNA(MATCH(1128,'Transfer Engine'!$C$2:$C$1960,0)),"",INDEX('Compliance Database'!$K$2:$K$1960,MATCH(1128,'Transfer Engine'!$C$2:$C$1960,0)))</f>
        <v/>
      </c>
      <c r="L1137" s="9">
        <f>IF(ISNA(MATCH(1128,'Transfer Engine'!$C$2:$C$1960,0)),"",INDEX('Compliance Database'!$L$2:$L$1960,MATCH(1128,'Transfer Engine'!$C$2:$C$1960,0)))</f>
        <v/>
      </c>
      <c r="M1137" s="9">
        <f>IF(ISNA(MATCH(1128,'Transfer Engine'!$C$2:$C$1960,0)),"",INDEX('Compliance Database'!$M$2:$M$1960,MATCH(1128,'Transfer Engine'!$C$2:$C$1960,0)))</f>
        <v/>
      </c>
      <c r="N1137" s="9">
        <f>IF(ISNA(MATCH(1128,'Transfer Engine'!$C$2:$C$1960,0)),"",INDEX('Compliance Database'!$N$2:$N$1960,MATCH(1128,'Transfer Engine'!$C$2:$C$1960,0)))</f>
        <v/>
      </c>
      <c r="O1137" s="9">
        <f>IF(ISNA(MATCH(1128,'Transfer Engine'!$C$2:$C$1960,0)),"",INDEX('Compliance Database'!$O$2:$O$1960,MATCH(1128,'Transfer Engine'!$C$2:$C$1960,0)))</f>
        <v/>
      </c>
      <c r="P1137" s="8">
        <f>IF(ISNA(MATCH(1128,'Transfer Engine'!$C$2:$C$1960,0)),"",HYPERLINK("#Acts!A"&amp;INDEX('Compliance Database'!$P$2:$P$1960,MATCH(1128,'Transfer Engine'!$C$2:$C$1960,0)),"Go to Act"))</f>
        <v/>
      </c>
    </row>
    <row r="1138" ht="158" customHeight="1">
      <c r="A1138" s="8">
        <f>IF(ISNA(MATCH(1129,'Transfer Engine'!$C$2:$C$1960,0)),"",INDEX('Compliance Database'!$A$2:$A$1960,MATCH(1129,'Transfer Engine'!$C$2:$C$1960,0)))</f>
        <v/>
      </c>
      <c r="B1138" s="8">
        <f>IF(ISNA(MATCH(1129,'Transfer Engine'!$C$2:$C$1960,0)),"",INDEX('Compliance Database'!$B$2:$B$1960,MATCH(1129,'Transfer Engine'!$C$2:$C$1960,0)))</f>
        <v/>
      </c>
      <c r="C1138" s="8">
        <f>IF(ISNA(MATCH(1129,'Transfer Engine'!$C$2:$C$1960,0)),"",INDEX('Compliance Database'!$C$2:$C$1960,MATCH(1129,'Transfer Engine'!$C$2:$C$1960,0)))</f>
        <v/>
      </c>
      <c r="D1138" s="9">
        <f>IF(ISNA(MATCH(1129,'Transfer Engine'!$C$2:$C$1960,0)),"",INDEX('Compliance Database'!$D$2:$D$1960,MATCH(1129,'Transfer Engine'!$C$2:$C$1960,0)))</f>
        <v/>
      </c>
      <c r="E1138" s="8">
        <f>IF(ISNA(MATCH(1129,'Transfer Engine'!$C$2:$C$1960,0)),"",INDEX('Compliance Database'!$E$2:$E$1960,MATCH(1129,'Transfer Engine'!$C$2:$C$1960,0)))</f>
        <v/>
      </c>
      <c r="F1138" s="8">
        <f>IF(ISNA(MATCH(1129,'Transfer Engine'!$C$2:$C$1960,0)),"",INDEX('Compliance Database'!$F$2:$F$1960,MATCH(1129,'Transfer Engine'!$C$2:$C$1960,0)))</f>
        <v/>
      </c>
      <c r="G1138" s="8">
        <f>IF(ISNA(MATCH(1129,'Transfer Engine'!$C$2:$C$1960,0)),"",INDEX('Compliance Database'!$G$2:$G$1960,MATCH(1129,'Transfer Engine'!$C$2:$C$1960,0)))</f>
        <v/>
      </c>
      <c r="H1138" s="9">
        <f>IF(ISNA(MATCH(1129,'Transfer Engine'!$C$2:$C$1960,0)),"",INDEX('Compliance Database'!$H$2:$H$1960,MATCH(1129,'Transfer Engine'!$C$2:$C$1960,0)))</f>
        <v/>
      </c>
      <c r="I1138" s="9">
        <f>IF(ISNA(MATCH(1129,'Transfer Engine'!$C$2:$C$1960,0)),"",INDEX('Compliance Database'!$I$2:$I$1960,MATCH(1129,'Transfer Engine'!$C$2:$C$1960,0)))</f>
        <v/>
      </c>
      <c r="J1138" s="8">
        <f>IF(ISNA(MATCH(1129,'Transfer Engine'!$C$2:$C$1960,0)),"",INDEX('Compliance Database'!$J$2:$J$1960,MATCH(1129,'Transfer Engine'!$C$2:$C$1960,0)))</f>
        <v/>
      </c>
      <c r="K1138" s="9">
        <f>IF(ISNA(MATCH(1129,'Transfer Engine'!$C$2:$C$1960,0)),"",INDEX('Compliance Database'!$K$2:$K$1960,MATCH(1129,'Transfer Engine'!$C$2:$C$1960,0)))</f>
        <v/>
      </c>
      <c r="L1138" s="9">
        <f>IF(ISNA(MATCH(1129,'Transfer Engine'!$C$2:$C$1960,0)),"",INDEX('Compliance Database'!$L$2:$L$1960,MATCH(1129,'Transfer Engine'!$C$2:$C$1960,0)))</f>
        <v/>
      </c>
      <c r="M1138" s="9">
        <f>IF(ISNA(MATCH(1129,'Transfer Engine'!$C$2:$C$1960,0)),"",INDEX('Compliance Database'!$M$2:$M$1960,MATCH(1129,'Transfer Engine'!$C$2:$C$1960,0)))</f>
        <v/>
      </c>
      <c r="N1138" s="9">
        <f>IF(ISNA(MATCH(1129,'Transfer Engine'!$C$2:$C$1960,0)),"",INDEX('Compliance Database'!$N$2:$N$1960,MATCH(1129,'Transfer Engine'!$C$2:$C$1960,0)))</f>
        <v/>
      </c>
      <c r="O1138" s="9">
        <f>IF(ISNA(MATCH(1129,'Transfer Engine'!$C$2:$C$1960,0)),"",INDEX('Compliance Database'!$O$2:$O$1960,MATCH(1129,'Transfer Engine'!$C$2:$C$1960,0)))</f>
        <v/>
      </c>
      <c r="P1138" s="8">
        <f>IF(ISNA(MATCH(1129,'Transfer Engine'!$C$2:$C$1960,0)),"",HYPERLINK("#Acts!A"&amp;INDEX('Compliance Database'!$P$2:$P$1960,MATCH(1129,'Transfer Engine'!$C$2:$C$1960,0)),"Go to Act"))</f>
        <v/>
      </c>
    </row>
    <row r="1139" ht="158" customHeight="1">
      <c r="A1139" s="8">
        <f>IF(ISNA(MATCH(1130,'Transfer Engine'!$C$2:$C$1960,0)),"",INDEX('Compliance Database'!$A$2:$A$1960,MATCH(1130,'Transfer Engine'!$C$2:$C$1960,0)))</f>
        <v/>
      </c>
      <c r="B1139" s="8">
        <f>IF(ISNA(MATCH(1130,'Transfer Engine'!$C$2:$C$1960,0)),"",INDEX('Compliance Database'!$B$2:$B$1960,MATCH(1130,'Transfer Engine'!$C$2:$C$1960,0)))</f>
        <v/>
      </c>
      <c r="C1139" s="8">
        <f>IF(ISNA(MATCH(1130,'Transfer Engine'!$C$2:$C$1960,0)),"",INDEX('Compliance Database'!$C$2:$C$1960,MATCH(1130,'Transfer Engine'!$C$2:$C$1960,0)))</f>
        <v/>
      </c>
      <c r="D1139" s="9">
        <f>IF(ISNA(MATCH(1130,'Transfer Engine'!$C$2:$C$1960,0)),"",INDEX('Compliance Database'!$D$2:$D$1960,MATCH(1130,'Transfer Engine'!$C$2:$C$1960,0)))</f>
        <v/>
      </c>
      <c r="E1139" s="8">
        <f>IF(ISNA(MATCH(1130,'Transfer Engine'!$C$2:$C$1960,0)),"",INDEX('Compliance Database'!$E$2:$E$1960,MATCH(1130,'Transfer Engine'!$C$2:$C$1960,0)))</f>
        <v/>
      </c>
      <c r="F1139" s="8">
        <f>IF(ISNA(MATCH(1130,'Transfer Engine'!$C$2:$C$1960,0)),"",INDEX('Compliance Database'!$F$2:$F$1960,MATCH(1130,'Transfer Engine'!$C$2:$C$1960,0)))</f>
        <v/>
      </c>
      <c r="G1139" s="8">
        <f>IF(ISNA(MATCH(1130,'Transfer Engine'!$C$2:$C$1960,0)),"",INDEX('Compliance Database'!$G$2:$G$1960,MATCH(1130,'Transfer Engine'!$C$2:$C$1960,0)))</f>
        <v/>
      </c>
      <c r="H1139" s="9">
        <f>IF(ISNA(MATCH(1130,'Transfer Engine'!$C$2:$C$1960,0)),"",INDEX('Compliance Database'!$H$2:$H$1960,MATCH(1130,'Transfer Engine'!$C$2:$C$1960,0)))</f>
        <v/>
      </c>
      <c r="I1139" s="9">
        <f>IF(ISNA(MATCH(1130,'Transfer Engine'!$C$2:$C$1960,0)),"",INDEX('Compliance Database'!$I$2:$I$1960,MATCH(1130,'Transfer Engine'!$C$2:$C$1960,0)))</f>
        <v/>
      </c>
      <c r="J1139" s="8">
        <f>IF(ISNA(MATCH(1130,'Transfer Engine'!$C$2:$C$1960,0)),"",INDEX('Compliance Database'!$J$2:$J$1960,MATCH(1130,'Transfer Engine'!$C$2:$C$1960,0)))</f>
        <v/>
      </c>
      <c r="K1139" s="9">
        <f>IF(ISNA(MATCH(1130,'Transfer Engine'!$C$2:$C$1960,0)),"",INDEX('Compliance Database'!$K$2:$K$1960,MATCH(1130,'Transfer Engine'!$C$2:$C$1960,0)))</f>
        <v/>
      </c>
      <c r="L1139" s="9">
        <f>IF(ISNA(MATCH(1130,'Transfer Engine'!$C$2:$C$1960,0)),"",INDEX('Compliance Database'!$L$2:$L$1960,MATCH(1130,'Transfer Engine'!$C$2:$C$1960,0)))</f>
        <v/>
      </c>
      <c r="M1139" s="9">
        <f>IF(ISNA(MATCH(1130,'Transfer Engine'!$C$2:$C$1960,0)),"",INDEX('Compliance Database'!$M$2:$M$1960,MATCH(1130,'Transfer Engine'!$C$2:$C$1960,0)))</f>
        <v/>
      </c>
      <c r="N1139" s="9">
        <f>IF(ISNA(MATCH(1130,'Transfer Engine'!$C$2:$C$1960,0)),"",INDEX('Compliance Database'!$N$2:$N$1960,MATCH(1130,'Transfer Engine'!$C$2:$C$1960,0)))</f>
        <v/>
      </c>
      <c r="O1139" s="9">
        <f>IF(ISNA(MATCH(1130,'Transfer Engine'!$C$2:$C$1960,0)),"",INDEX('Compliance Database'!$O$2:$O$1960,MATCH(1130,'Transfer Engine'!$C$2:$C$1960,0)))</f>
        <v/>
      </c>
      <c r="P1139" s="8">
        <f>IF(ISNA(MATCH(1130,'Transfer Engine'!$C$2:$C$1960,0)),"",HYPERLINK("#Acts!A"&amp;INDEX('Compliance Database'!$P$2:$P$1960,MATCH(1130,'Transfer Engine'!$C$2:$C$1960,0)),"Go to Act"))</f>
        <v/>
      </c>
    </row>
    <row r="1140" ht="158" customHeight="1">
      <c r="A1140" s="8">
        <f>IF(ISNA(MATCH(1131,'Transfer Engine'!$C$2:$C$1960,0)),"",INDEX('Compliance Database'!$A$2:$A$1960,MATCH(1131,'Transfer Engine'!$C$2:$C$1960,0)))</f>
        <v/>
      </c>
      <c r="B1140" s="8">
        <f>IF(ISNA(MATCH(1131,'Transfer Engine'!$C$2:$C$1960,0)),"",INDEX('Compliance Database'!$B$2:$B$1960,MATCH(1131,'Transfer Engine'!$C$2:$C$1960,0)))</f>
        <v/>
      </c>
      <c r="C1140" s="8">
        <f>IF(ISNA(MATCH(1131,'Transfer Engine'!$C$2:$C$1960,0)),"",INDEX('Compliance Database'!$C$2:$C$1960,MATCH(1131,'Transfer Engine'!$C$2:$C$1960,0)))</f>
        <v/>
      </c>
      <c r="D1140" s="9">
        <f>IF(ISNA(MATCH(1131,'Transfer Engine'!$C$2:$C$1960,0)),"",INDEX('Compliance Database'!$D$2:$D$1960,MATCH(1131,'Transfer Engine'!$C$2:$C$1960,0)))</f>
        <v/>
      </c>
      <c r="E1140" s="8">
        <f>IF(ISNA(MATCH(1131,'Transfer Engine'!$C$2:$C$1960,0)),"",INDEX('Compliance Database'!$E$2:$E$1960,MATCH(1131,'Transfer Engine'!$C$2:$C$1960,0)))</f>
        <v/>
      </c>
      <c r="F1140" s="8">
        <f>IF(ISNA(MATCH(1131,'Transfer Engine'!$C$2:$C$1960,0)),"",INDEX('Compliance Database'!$F$2:$F$1960,MATCH(1131,'Transfer Engine'!$C$2:$C$1960,0)))</f>
        <v/>
      </c>
      <c r="G1140" s="8">
        <f>IF(ISNA(MATCH(1131,'Transfer Engine'!$C$2:$C$1960,0)),"",INDEX('Compliance Database'!$G$2:$G$1960,MATCH(1131,'Transfer Engine'!$C$2:$C$1960,0)))</f>
        <v/>
      </c>
      <c r="H1140" s="9">
        <f>IF(ISNA(MATCH(1131,'Transfer Engine'!$C$2:$C$1960,0)),"",INDEX('Compliance Database'!$H$2:$H$1960,MATCH(1131,'Transfer Engine'!$C$2:$C$1960,0)))</f>
        <v/>
      </c>
      <c r="I1140" s="9">
        <f>IF(ISNA(MATCH(1131,'Transfer Engine'!$C$2:$C$1960,0)),"",INDEX('Compliance Database'!$I$2:$I$1960,MATCH(1131,'Transfer Engine'!$C$2:$C$1960,0)))</f>
        <v/>
      </c>
      <c r="J1140" s="8">
        <f>IF(ISNA(MATCH(1131,'Transfer Engine'!$C$2:$C$1960,0)),"",INDEX('Compliance Database'!$J$2:$J$1960,MATCH(1131,'Transfer Engine'!$C$2:$C$1960,0)))</f>
        <v/>
      </c>
      <c r="K1140" s="9">
        <f>IF(ISNA(MATCH(1131,'Transfer Engine'!$C$2:$C$1960,0)),"",INDEX('Compliance Database'!$K$2:$K$1960,MATCH(1131,'Transfer Engine'!$C$2:$C$1960,0)))</f>
        <v/>
      </c>
      <c r="L1140" s="9">
        <f>IF(ISNA(MATCH(1131,'Transfer Engine'!$C$2:$C$1960,0)),"",INDEX('Compliance Database'!$L$2:$L$1960,MATCH(1131,'Transfer Engine'!$C$2:$C$1960,0)))</f>
        <v/>
      </c>
      <c r="M1140" s="9">
        <f>IF(ISNA(MATCH(1131,'Transfer Engine'!$C$2:$C$1960,0)),"",INDEX('Compliance Database'!$M$2:$M$1960,MATCH(1131,'Transfer Engine'!$C$2:$C$1960,0)))</f>
        <v/>
      </c>
      <c r="N1140" s="9">
        <f>IF(ISNA(MATCH(1131,'Transfer Engine'!$C$2:$C$1960,0)),"",INDEX('Compliance Database'!$N$2:$N$1960,MATCH(1131,'Transfer Engine'!$C$2:$C$1960,0)))</f>
        <v/>
      </c>
      <c r="O1140" s="9">
        <f>IF(ISNA(MATCH(1131,'Transfer Engine'!$C$2:$C$1960,0)),"",INDEX('Compliance Database'!$O$2:$O$1960,MATCH(1131,'Transfer Engine'!$C$2:$C$1960,0)))</f>
        <v/>
      </c>
      <c r="P1140" s="8">
        <f>IF(ISNA(MATCH(1131,'Transfer Engine'!$C$2:$C$1960,0)),"",HYPERLINK("#Acts!A"&amp;INDEX('Compliance Database'!$P$2:$P$1960,MATCH(1131,'Transfer Engine'!$C$2:$C$1960,0)),"Go to Act"))</f>
        <v/>
      </c>
    </row>
    <row r="1141" ht="158" customHeight="1">
      <c r="A1141" s="8">
        <f>IF(ISNA(MATCH(1132,'Transfer Engine'!$C$2:$C$1960,0)),"",INDEX('Compliance Database'!$A$2:$A$1960,MATCH(1132,'Transfer Engine'!$C$2:$C$1960,0)))</f>
        <v/>
      </c>
      <c r="B1141" s="8">
        <f>IF(ISNA(MATCH(1132,'Transfer Engine'!$C$2:$C$1960,0)),"",INDEX('Compliance Database'!$B$2:$B$1960,MATCH(1132,'Transfer Engine'!$C$2:$C$1960,0)))</f>
        <v/>
      </c>
      <c r="C1141" s="8">
        <f>IF(ISNA(MATCH(1132,'Transfer Engine'!$C$2:$C$1960,0)),"",INDEX('Compliance Database'!$C$2:$C$1960,MATCH(1132,'Transfer Engine'!$C$2:$C$1960,0)))</f>
        <v/>
      </c>
      <c r="D1141" s="9">
        <f>IF(ISNA(MATCH(1132,'Transfer Engine'!$C$2:$C$1960,0)),"",INDEX('Compliance Database'!$D$2:$D$1960,MATCH(1132,'Transfer Engine'!$C$2:$C$1960,0)))</f>
        <v/>
      </c>
      <c r="E1141" s="8">
        <f>IF(ISNA(MATCH(1132,'Transfer Engine'!$C$2:$C$1960,0)),"",INDEX('Compliance Database'!$E$2:$E$1960,MATCH(1132,'Transfer Engine'!$C$2:$C$1960,0)))</f>
        <v/>
      </c>
      <c r="F1141" s="8">
        <f>IF(ISNA(MATCH(1132,'Transfer Engine'!$C$2:$C$1960,0)),"",INDEX('Compliance Database'!$F$2:$F$1960,MATCH(1132,'Transfer Engine'!$C$2:$C$1960,0)))</f>
        <v/>
      </c>
      <c r="G1141" s="8">
        <f>IF(ISNA(MATCH(1132,'Transfer Engine'!$C$2:$C$1960,0)),"",INDEX('Compliance Database'!$G$2:$G$1960,MATCH(1132,'Transfer Engine'!$C$2:$C$1960,0)))</f>
        <v/>
      </c>
      <c r="H1141" s="9">
        <f>IF(ISNA(MATCH(1132,'Transfer Engine'!$C$2:$C$1960,0)),"",INDEX('Compliance Database'!$H$2:$H$1960,MATCH(1132,'Transfer Engine'!$C$2:$C$1960,0)))</f>
        <v/>
      </c>
      <c r="I1141" s="9">
        <f>IF(ISNA(MATCH(1132,'Transfer Engine'!$C$2:$C$1960,0)),"",INDEX('Compliance Database'!$I$2:$I$1960,MATCH(1132,'Transfer Engine'!$C$2:$C$1960,0)))</f>
        <v/>
      </c>
      <c r="J1141" s="8">
        <f>IF(ISNA(MATCH(1132,'Transfer Engine'!$C$2:$C$1960,0)),"",INDEX('Compliance Database'!$J$2:$J$1960,MATCH(1132,'Transfer Engine'!$C$2:$C$1960,0)))</f>
        <v/>
      </c>
      <c r="K1141" s="9">
        <f>IF(ISNA(MATCH(1132,'Transfer Engine'!$C$2:$C$1960,0)),"",INDEX('Compliance Database'!$K$2:$K$1960,MATCH(1132,'Transfer Engine'!$C$2:$C$1960,0)))</f>
        <v/>
      </c>
      <c r="L1141" s="9">
        <f>IF(ISNA(MATCH(1132,'Transfer Engine'!$C$2:$C$1960,0)),"",INDEX('Compliance Database'!$L$2:$L$1960,MATCH(1132,'Transfer Engine'!$C$2:$C$1960,0)))</f>
        <v/>
      </c>
      <c r="M1141" s="9">
        <f>IF(ISNA(MATCH(1132,'Transfer Engine'!$C$2:$C$1960,0)),"",INDEX('Compliance Database'!$M$2:$M$1960,MATCH(1132,'Transfer Engine'!$C$2:$C$1960,0)))</f>
        <v/>
      </c>
      <c r="N1141" s="9">
        <f>IF(ISNA(MATCH(1132,'Transfer Engine'!$C$2:$C$1960,0)),"",INDEX('Compliance Database'!$N$2:$N$1960,MATCH(1132,'Transfer Engine'!$C$2:$C$1960,0)))</f>
        <v/>
      </c>
      <c r="O1141" s="9">
        <f>IF(ISNA(MATCH(1132,'Transfer Engine'!$C$2:$C$1960,0)),"",INDEX('Compliance Database'!$O$2:$O$1960,MATCH(1132,'Transfer Engine'!$C$2:$C$1960,0)))</f>
        <v/>
      </c>
      <c r="P1141" s="8">
        <f>IF(ISNA(MATCH(1132,'Transfer Engine'!$C$2:$C$1960,0)),"",HYPERLINK("#Acts!A"&amp;INDEX('Compliance Database'!$P$2:$P$1960,MATCH(1132,'Transfer Engine'!$C$2:$C$1960,0)),"Go to Act"))</f>
        <v/>
      </c>
    </row>
    <row r="1142" ht="158" customHeight="1">
      <c r="A1142" s="8">
        <f>IF(ISNA(MATCH(1133,'Transfer Engine'!$C$2:$C$1960,0)),"",INDEX('Compliance Database'!$A$2:$A$1960,MATCH(1133,'Transfer Engine'!$C$2:$C$1960,0)))</f>
        <v/>
      </c>
      <c r="B1142" s="8">
        <f>IF(ISNA(MATCH(1133,'Transfer Engine'!$C$2:$C$1960,0)),"",INDEX('Compliance Database'!$B$2:$B$1960,MATCH(1133,'Transfer Engine'!$C$2:$C$1960,0)))</f>
        <v/>
      </c>
      <c r="C1142" s="8">
        <f>IF(ISNA(MATCH(1133,'Transfer Engine'!$C$2:$C$1960,0)),"",INDEX('Compliance Database'!$C$2:$C$1960,MATCH(1133,'Transfer Engine'!$C$2:$C$1960,0)))</f>
        <v/>
      </c>
      <c r="D1142" s="9">
        <f>IF(ISNA(MATCH(1133,'Transfer Engine'!$C$2:$C$1960,0)),"",INDEX('Compliance Database'!$D$2:$D$1960,MATCH(1133,'Transfer Engine'!$C$2:$C$1960,0)))</f>
        <v/>
      </c>
      <c r="E1142" s="8">
        <f>IF(ISNA(MATCH(1133,'Transfer Engine'!$C$2:$C$1960,0)),"",INDEX('Compliance Database'!$E$2:$E$1960,MATCH(1133,'Transfer Engine'!$C$2:$C$1960,0)))</f>
        <v/>
      </c>
      <c r="F1142" s="8">
        <f>IF(ISNA(MATCH(1133,'Transfer Engine'!$C$2:$C$1960,0)),"",INDEX('Compliance Database'!$F$2:$F$1960,MATCH(1133,'Transfer Engine'!$C$2:$C$1960,0)))</f>
        <v/>
      </c>
      <c r="G1142" s="8">
        <f>IF(ISNA(MATCH(1133,'Transfer Engine'!$C$2:$C$1960,0)),"",INDEX('Compliance Database'!$G$2:$G$1960,MATCH(1133,'Transfer Engine'!$C$2:$C$1960,0)))</f>
        <v/>
      </c>
      <c r="H1142" s="9">
        <f>IF(ISNA(MATCH(1133,'Transfer Engine'!$C$2:$C$1960,0)),"",INDEX('Compliance Database'!$H$2:$H$1960,MATCH(1133,'Transfer Engine'!$C$2:$C$1960,0)))</f>
        <v/>
      </c>
      <c r="I1142" s="9">
        <f>IF(ISNA(MATCH(1133,'Transfer Engine'!$C$2:$C$1960,0)),"",INDEX('Compliance Database'!$I$2:$I$1960,MATCH(1133,'Transfer Engine'!$C$2:$C$1960,0)))</f>
        <v/>
      </c>
      <c r="J1142" s="8">
        <f>IF(ISNA(MATCH(1133,'Transfer Engine'!$C$2:$C$1960,0)),"",INDEX('Compliance Database'!$J$2:$J$1960,MATCH(1133,'Transfer Engine'!$C$2:$C$1960,0)))</f>
        <v/>
      </c>
      <c r="K1142" s="9">
        <f>IF(ISNA(MATCH(1133,'Transfer Engine'!$C$2:$C$1960,0)),"",INDEX('Compliance Database'!$K$2:$K$1960,MATCH(1133,'Transfer Engine'!$C$2:$C$1960,0)))</f>
        <v/>
      </c>
      <c r="L1142" s="9">
        <f>IF(ISNA(MATCH(1133,'Transfer Engine'!$C$2:$C$1960,0)),"",INDEX('Compliance Database'!$L$2:$L$1960,MATCH(1133,'Transfer Engine'!$C$2:$C$1960,0)))</f>
        <v/>
      </c>
      <c r="M1142" s="9">
        <f>IF(ISNA(MATCH(1133,'Transfer Engine'!$C$2:$C$1960,0)),"",INDEX('Compliance Database'!$M$2:$M$1960,MATCH(1133,'Transfer Engine'!$C$2:$C$1960,0)))</f>
        <v/>
      </c>
      <c r="N1142" s="9">
        <f>IF(ISNA(MATCH(1133,'Transfer Engine'!$C$2:$C$1960,0)),"",INDEX('Compliance Database'!$N$2:$N$1960,MATCH(1133,'Transfer Engine'!$C$2:$C$1960,0)))</f>
        <v/>
      </c>
      <c r="O1142" s="9">
        <f>IF(ISNA(MATCH(1133,'Transfer Engine'!$C$2:$C$1960,0)),"",INDEX('Compliance Database'!$O$2:$O$1960,MATCH(1133,'Transfer Engine'!$C$2:$C$1960,0)))</f>
        <v/>
      </c>
      <c r="P1142" s="8">
        <f>IF(ISNA(MATCH(1133,'Transfer Engine'!$C$2:$C$1960,0)),"",HYPERLINK("#Acts!A"&amp;INDEX('Compliance Database'!$P$2:$P$1960,MATCH(1133,'Transfer Engine'!$C$2:$C$1960,0)),"Go to Act"))</f>
        <v/>
      </c>
    </row>
    <row r="1143" ht="158" customHeight="1">
      <c r="A1143" s="8">
        <f>IF(ISNA(MATCH(1134,'Transfer Engine'!$C$2:$C$1960,0)),"",INDEX('Compliance Database'!$A$2:$A$1960,MATCH(1134,'Transfer Engine'!$C$2:$C$1960,0)))</f>
        <v/>
      </c>
      <c r="B1143" s="8">
        <f>IF(ISNA(MATCH(1134,'Transfer Engine'!$C$2:$C$1960,0)),"",INDEX('Compliance Database'!$B$2:$B$1960,MATCH(1134,'Transfer Engine'!$C$2:$C$1960,0)))</f>
        <v/>
      </c>
      <c r="C1143" s="8">
        <f>IF(ISNA(MATCH(1134,'Transfer Engine'!$C$2:$C$1960,0)),"",INDEX('Compliance Database'!$C$2:$C$1960,MATCH(1134,'Transfer Engine'!$C$2:$C$1960,0)))</f>
        <v/>
      </c>
      <c r="D1143" s="9">
        <f>IF(ISNA(MATCH(1134,'Transfer Engine'!$C$2:$C$1960,0)),"",INDEX('Compliance Database'!$D$2:$D$1960,MATCH(1134,'Transfer Engine'!$C$2:$C$1960,0)))</f>
        <v/>
      </c>
      <c r="E1143" s="8">
        <f>IF(ISNA(MATCH(1134,'Transfer Engine'!$C$2:$C$1960,0)),"",INDEX('Compliance Database'!$E$2:$E$1960,MATCH(1134,'Transfer Engine'!$C$2:$C$1960,0)))</f>
        <v/>
      </c>
      <c r="F1143" s="8">
        <f>IF(ISNA(MATCH(1134,'Transfer Engine'!$C$2:$C$1960,0)),"",INDEX('Compliance Database'!$F$2:$F$1960,MATCH(1134,'Transfer Engine'!$C$2:$C$1960,0)))</f>
        <v/>
      </c>
      <c r="G1143" s="8">
        <f>IF(ISNA(MATCH(1134,'Transfer Engine'!$C$2:$C$1960,0)),"",INDEX('Compliance Database'!$G$2:$G$1960,MATCH(1134,'Transfer Engine'!$C$2:$C$1960,0)))</f>
        <v/>
      </c>
      <c r="H1143" s="9">
        <f>IF(ISNA(MATCH(1134,'Transfer Engine'!$C$2:$C$1960,0)),"",INDEX('Compliance Database'!$H$2:$H$1960,MATCH(1134,'Transfer Engine'!$C$2:$C$1960,0)))</f>
        <v/>
      </c>
      <c r="I1143" s="9">
        <f>IF(ISNA(MATCH(1134,'Transfer Engine'!$C$2:$C$1960,0)),"",INDEX('Compliance Database'!$I$2:$I$1960,MATCH(1134,'Transfer Engine'!$C$2:$C$1960,0)))</f>
        <v/>
      </c>
      <c r="J1143" s="8">
        <f>IF(ISNA(MATCH(1134,'Transfer Engine'!$C$2:$C$1960,0)),"",INDEX('Compliance Database'!$J$2:$J$1960,MATCH(1134,'Transfer Engine'!$C$2:$C$1960,0)))</f>
        <v/>
      </c>
      <c r="K1143" s="9">
        <f>IF(ISNA(MATCH(1134,'Transfer Engine'!$C$2:$C$1960,0)),"",INDEX('Compliance Database'!$K$2:$K$1960,MATCH(1134,'Transfer Engine'!$C$2:$C$1960,0)))</f>
        <v/>
      </c>
      <c r="L1143" s="9">
        <f>IF(ISNA(MATCH(1134,'Transfer Engine'!$C$2:$C$1960,0)),"",INDEX('Compliance Database'!$L$2:$L$1960,MATCH(1134,'Transfer Engine'!$C$2:$C$1960,0)))</f>
        <v/>
      </c>
      <c r="M1143" s="9">
        <f>IF(ISNA(MATCH(1134,'Transfer Engine'!$C$2:$C$1960,0)),"",INDEX('Compliance Database'!$M$2:$M$1960,MATCH(1134,'Transfer Engine'!$C$2:$C$1960,0)))</f>
        <v/>
      </c>
      <c r="N1143" s="9">
        <f>IF(ISNA(MATCH(1134,'Transfer Engine'!$C$2:$C$1960,0)),"",INDEX('Compliance Database'!$N$2:$N$1960,MATCH(1134,'Transfer Engine'!$C$2:$C$1960,0)))</f>
        <v/>
      </c>
      <c r="O1143" s="9">
        <f>IF(ISNA(MATCH(1134,'Transfer Engine'!$C$2:$C$1960,0)),"",INDEX('Compliance Database'!$O$2:$O$1960,MATCH(1134,'Transfer Engine'!$C$2:$C$1960,0)))</f>
        <v/>
      </c>
      <c r="P1143" s="8">
        <f>IF(ISNA(MATCH(1134,'Transfer Engine'!$C$2:$C$1960,0)),"",HYPERLINK("#Acts!A"&amp;INDEX('Compliance Database'!$P$2:$P$1960,MATCH(1134,'Transfer Engine'!$C$2:$C$1960,0)),"Go to Act"))</f>
        <v/>
      </c>
    </row>
    <row r="1144" ht="158" customHeight="1">
      <c r="A1144" s="8">
        <f>IF(ISNA(MATCH(1135,'Transfer Engine'!$C$2:$C$1960,0)),"",INDEX('Compliance Database'!$A$2:$A$1960,MATCH(1135,'Transfer Engine'!$C$2:$C$1960,0)))</f>
        <v/>
      </c>
      <c r="B1144" s="8">
        <f>IF(ISNA(MATCH(1135,'Transfer Engine'!$C$2:$C$1960,0)),"",INDEX('Compliance Database'!$B$2:$B$1960,MATCH(1135,'Transfer Engine'!$C$2:$C$1960,0)))</f>
        <v/>
      </c>
      <c r="C1144" s="8">
        <f>IF(ISNA(MATCH(1135,'Transfer Engine'!$C$2:$C$1960,0)),"",INDEX('Compliance Database'!$C$2:$C$1960,MATCH(1135,'Transfer Engine'!$C$2:$C$1960,0)))</f>
        <v/>
      </c>
      <c r="D1144" s="9">
        <f>IF(ISNA(MATCH(1135,'Transfer Engine'!$C$2:$C$1960,0)),"",INDEX('Compliance Database'!$D$2:$D$1960,MATCH(1135,'Transfer Engine'!$C$2:$C$1960,0)))</f>
        <v/>
      </c>
      <c r="E1144" s="8">
        <f>IF(ISNA(MATCH(1135,'Transfer Engine'!$C$2:$C$1960,0)),"",INDEX('Compliance Database'!$E$2:$E$1960,MATCH(1135,'Transfer Engine'!$C$2:$C$1960,0)))</f>
        <v/>
      </c>
      <c r="F1144" s="8">
        <f>IF(ISNA(MATCH(1135,'Transfer Engine'!$C$2:$C$1960,0)),"",INDEX('Compliance Database'!$F$2:$F$1960,MATCH(1135,'Transfer Engine'!$C$2:$C$1960,0)))</f>
        <v/>
      </c>
      <c r="G1144" s="8">
        <f>IF(ISNA(MATCH(1135,'Transfer Engine'!$C$2:$C$1960,0)),"",INDEX('Compliance Database'!$G$2:$G$1960,MATCH(1135,'Transfer Engine'!$C$2:$C$1960,0)))</f>
        <v/>
      </c>
      <c r="H1144" s="9">
        <f>IF(ISNA(MATCH(1135,'Transfer Engine'!$C$2:$C$1960,0)),"",INDEX('Compliance Database'!$H$2:$H$1960,MATCH(1135,'Transfer Engine'!$C$2:$C$1960,0)))</f>
        <v/>
      </c>
      <c r="I1144" s="9">
        <f>IF(ISNA(MATCH(1135,'Transfer Engine'!$C$2:$C$1960,0)),"",INDEX('Compliance Database'!$I$2:$I$1960,MATCH(1135,'Transfer Engine'!$C$2:$C$1960,0)))</f>
        <v/>
      </c>
      <c r="J1144" s="8">
        <f>IF(ISNA(MATCH(1135,'Transfer Engine'!$C$2:$C$1960,0)),"",INDEX('Compliance Database'!$J$2:$J$1960,MATCH(1135,'Transfer Engine'!$C$2:$C$1960,0)))</f>
        <v/>
      </c>
      <c r="K1144" s="9">
        <f>IF(ISNA(MATCH(1135,'Transfer Engine'!$C$2:$C$1960,0)),"",INDEX('Compliance Database'!$K$2:$K$1960,MATCH(1135,'Transfer Engine'!$C$2:$C$1960,0)))</f>
        <v/>
      </c>
      <c r="L1144" s="9">
        <f>IF(ISNA(MATCH(1135,'Transfer Engine'!$C$2:$C$1960,0)),"",INDEX('Compliance Database'!$L$2:$L$1960,MATCH(1135,'Transfer Engine'!$C$2:$C$1960,0)))</f>
        <v/>
      </c>
      <c r="M1144" s="9">
        <f>IF(ISNA(MATCH(1135,'Transfer Engine'!$C$2:$C$1960,0)),"",INDEX('Compliance Database'!$M$2:$M$1960,MATCH(1135,'Transfer Engine'!$C$2:$C$1960,0)))</f>
        <v/>
      </c>
      <c r="N1144" s="9">
        <f>IF(ISNA(MATCH(1135,'Transfer Engine'!$C$2:$C$1960,0)),"",INDEX('Compliance Database'!$N$2:$N$1960,MATCH(1135,'Transfer Engine'!$C$2:$C$1960,0)))</f>
        <v/>
      </c>
      <c r="O1144" s="9">
        <f>IF(ISNA(MATCH(1135,'Transfer Engine'!$C$2:$C$1960,0)),"",INDEX('Compliance Database'!$O$2:$O$1960,MATCH(1135,'Transfer Engine'!$C$2:$C$1960,0)))</f>
        <v/>
      </c>
      <c r="P1144" s="8">
        <f>IF(ISNA(MATCH(1135,'Transfer Engine'!$C$2:$C$1960,0)),"",HYPERLINK("#Acts!A"&amp;INDEX('Compliance Database'!$P$2:$P$1960,MATCH(1135,'Transfer Engine'!$C$2:$C$1960,0)),"Go to Act"))</f>
        <v/>
      </c>
    </row>
    <row r="1145" ht="158" customHeight="1">
      <c r="A1145" s="8">
        <f>IF(ISNA(MATCH(1136,'Transfer Engine'!$C$2:$C$1960,0)),"",INDEX('Compliance Database'!$A$2:$A$1960,MATCH(1136,'Transfer Engine'!$C$2:$C$1960,0)))</f>
        <v/>
      </c>
      <c r="B1145" s="8">
        <f>IF(ISNA(MATCH(1136,'Transfer Engine'!$C$2:$C$1960,0)),"",INDEX('Compliance Database'!$B$2:$B$1960,MATCH(1136,'Transfer Engine'!$C$2:$C$1960,0)))</f>
        <v/>
      </c>
      <c r="C1145" s="8">
        <f>IF(ISNA(MATCH(1136,'Transfer Engine'!$C$2:$C$1960,0)),"",INDEX('Compliance Database'!$C$2:$C$1960,MATCH(1136,'Transfer Engine'!$C$2:$C$1960,0)))</f>
        <v/>
      </c>
      <c r="D1145" s="9">
        <f>IF(ISNA(MATCH(1136,'Transfer Engine'!$C$2:$C$1960,0)),"",INDEX('Compliance Database'!$D$2:$D$1960,MATCH(1136,'Transfer Engine'!$C$2:$C$1960,0)))</f>
        <v/>
      </c>
      <c r="E1145" s="8">
        <f>IF(ISNA(MATCH(1136,'Transfer Engine'!$C$2:$C$1960,0)),"",INDEX('Compliance Database'!$E$2:$E$1960,MATCH(1136,'Transfer Engine'!$C$2:$C$1960,0)))</f>
        <v/>
      </c>
      <c r="F1145" s="8">
        <f>IF(ISNA(MATCH(1136,'Transfer Engine'!$C$2:$C$1960,0)),"",INDEX('Compliance Database'!$F$2:$F$1960,MATCH(1136,'Transfer Engine'!$C$2:$C$1960,0)))</f>
        <v/>
      </c>
      <c r="G1145" s="8">
        <f>IF(ISNA(MATCH(1136,'Transfer Engine'!$C$2:$C$1960,0)),"",INDEX('Compliance Database'!$G$2:$G$1960,MATCH(1136,'Transfer Engine'!$C$2:$C$1960,0)))</f>
        <v/>
      </c>
      <c r="H1145" s="9">
        <f>IF(ISNA(MATCH(1136,'Transfer Engine'!$C$2:$C$1960,0)),"",INDEX('Compliance Database'!$H$2:$H$1960,MATCH(1136,'Transfer Engine'!$C$2:$C$1960,0)))</f>
        <v/>
      </c>
      <c r="I1145" s="9">
        <f>IF(ISNA(MATCH(1136,'Transfer Engine'!$C$2:$C$1960,0)),"",INDEX('Compliance Database'!$I$2:$I$1960,MATCH(1136,'Transfer Engine'!$C$2:$C$1960,0)))</f>
        <v/>
      </c>
      <c r="J1145" s="8">
        <f>IF(ISNA(MATCH(1136,'Transfer Engine'!$C$2:$C$1960,0)),"",INDEX('Compliance Database'!$J$2:$J$1960,MATCH(1136,'Transfer Engine'!$C$2:$C$1960,0)))</f>
        <v/>
      </c>
      <c r="K1145" s="9">
        <f>IF(ISNA(MATCH(1136,'Transfer Engine'!$C$2:$C$1960,0)),"",INDEX('Compliance Database'!$K$2:$K$1960,MATCH(1136,'Transfer Engine'!$C$2:$C$1960,0)))</f>
        <v/>
      </c>
      <c r="L1145" s="9">
        <f>IF(ISNA(MATCH(1136,'Transfer Engine'!$C$2:$C$1960,0)),"",INDEX('Compliance Database'!$L$2:$L$1960,MATCH(1136,'Transfer Engine'!$C$2:$C$1960,0)))</f>
        <v/>
      </c>
      <c r="M1145" s="9">
        <f>IF(ISNA(MATCH(1136,'Transfer Engine'!$C$2:$C$1960,0)),"",INDEX('Compliance Database'!$M$2:$M$1960,MATCH(1136,'Transfer Engine'!$C$2:$C$1960,0)))</f>
        <v/>
      </c>
      <c r="N1145" s="9">
        <f>IF(ISNA(MATCH(1136,'Transfer Engine'!$C$2:$C$1960,0)),"",INDEX('Compliance Database'!$N$2:$N$1960,MATCH(1136,'Transfer Engine'!$C$2:$C$1960,0)))</f>
        <v/>
      </c>
      <c r="O1145" s="9">
        <f>IF(ISNA(MATCH(1136,'Transfer Engine'!$C$2:$C$1960,0)),"",INDEX('Compliance Database'!$O$2:$O$1960,MATCH(1136,'Transfer Engine'!$C$2:$C$1960,0)))</f>
        <v/>
      </c>
      <c r="P1145" s="8">
        <f>IF(ISNA(MATCH(1136,'Transfer Engine'!$C$2:$C$1960,0)),"",HYPERLINK("#Acts!A"&amp;INDEX('Compliance Database'!$P$2:$P$1960,MATCH(1136,'Transfer Engine'!$C$2:$C$1960,0)),"Go to Act"))</f>
        <v/>
      </c>
    </row>
    <row r="1146" ht="158" customHeight="1">
      <c r="A1146" s="8">
        <f>IF(ISNA(MATCH(1137,'Transfer Engine'!$C$2:$C$1960,0)),"",INDEX('Compliance Database'!$A$2:$A$1960,MATCH(1137,'Transfer Engine'!$C$2:$C$1960,0)))</f>
        <v/>
      </c>
      <c r="B1146" s="8">
        <f>IF(ISNA(MATCH(1137,'Transfer Engine'!$C$2:$C$1960,0)),"",INDEX('Compliance Database'!$B$2:$B$1960,MATCH(1137,'Transfer Engine'!$C$2:$C$1960,0)))</f>
        <v/>
      </c>
      <c r="C1146" s="8">
        <f>IF(ISNA(MATCH(1137,'Transfer Engine'!$C$2:$C$1960,0)),"",INDEX('Compliance Database'!$C$2:$C$1960,MATCH(1137,'Transfer Engine'!$C$2:$C$1960,0)))</f>
        <v/>
      </c>
      <c r="D1146" s="9">
        <f>IF(ISNA(MATCH(1137,'Transfer Engine'!$C$2:$C$1960,0)),"",INDEX('Compliance Database'!$D$2:$D$1960,MATCH(1137,'Transfer Engine'!$C$2:$C$1960,0)))</f>
        <v/>
      </c>
      <c r="E1146" s="8">
        <f>IF(ISNA(MATCH(1137,'Transfer Engine'!$C$2:$C$1960,0)),"",INDEX('Compliance Database'!$E$2:$E$1960,MATCH(1137,'Transfer Engine'!$C$2:$C$1960,0)))</f>
        <v/>
      </c>
      <c r="F1146" s="8">
        <f>IF(ISNA(MATCH(1137,'Transfer Engine'!$C$2:$C$1960,0)),"",INDEX('Compliance Database'!$F$2:$F$1960,MATCH(1137,'Transfer Engine'!$C$2:$C$1960,0)))</f>
        <v/>
      </c>
      <c r="G1146" s="8">
        <f>IF(ISNA(MATCH(1137,'Transfer Engine'!$C$2:$C$1960,0)),"",INDEX('Compliance Database'!$G$2:$G$1960,MATCH(1137,'Transfer Engine'!$C$2:$C$1960,0)))</f>
        <v/>
      </c>
      <c r="H1146" s="9">
        <f>IF(ISNA(MATCH(1137,'Transfer Engine'!$C$2:$C$1960,0)),"",INDEX('Compliance Database'!$H$2:$H$1960,MATCH(1137,'Transfer Engine'!$C$2:$C$1960,0)))</f>
        <v/>
      </c>
      <c r="I1146" s="9">
        <f>IF(ISNA(MATCH(1137,'Transfer Engine'!$C$2:$C$1960,0)),"",INDEX('Compliance Database'!$I$2:$I$1960,MATCH(1137,'Transfer Engine'!$C$2:$C$1960,0)))</f>
        <v/>
      </c>
      <c r="J1146" s="8">
        <f>IF(ISNA(MATCH(1137,'Transfer Engine'!$C$2:$C$1960,0)),"",INDEX('Compliance Database'!$J$2:$J$1960,MATCH(1137,'Transfer Engine'!$C$2:$C$1960,0)))</f>
        <v/>
      </c>
      <c r="K1146" s="9">
        <f>IF(ISNA(MATCH(1137,'Transfer Engine'!$C$2:$C$1960,0)),"",INDEX('Compliance Database'!$K$2:$K$1960,MATCH(1137,'Transfer Engine'!$C$2:$C$1960,0)))</f>
        <v/>
      </c>
      <c r="L1146" s="9">
        <f>IF(ISNA(MATCH(1137,'Transfer Engine'!$C$2:$C$1960,0)),"",INDEX('Compliance Database'!$L$2:$L$1960,MATCH(1137,'Transfer Engine'!$C$2:$C$1960,0)))</f>
        <v/>
      </c>
      <c r="M1146" s="9">
        <f>IF(ISNA(MATCH(1137,'Transfer Engine'!$C$2:$C$1960,0)),"",INDEX('Compliance Database'!$M$2:$M$1960,MATCH(1137,'Transfer Engine'!$C$2:$C$1960,0)))</f>
        <v/>
      </c>
      <c r="N1146" s="9">
        <f>IF(ISNA(MATCH(1137,'Transfer Engine'!$C$2:$C$1960,0)),"",INDEX('Compliance Database'!$N$2:$N$1960,MATCH(1137,'Transfer Engine'!$C$2:$C$1960,0)))</f>
        <v/>
      </c>
      <c r="O1146" s="9">
        <f>IF(ISNA(MATCH(1137,'Transfer Engine'!$C$2:$C$1960,0)),"",INDEX('Compliance Database'!$O$2:$O$1960,MATCH(1137,'Transfer Engine'!$C$2:$C$1960,0)))</f>
        <v/>
      </c>
      <c r="P1146" s="8">
        <f>IF(ISNA(MATCH(1137,'Transfer Engine'!$C$2:$C$1960,0)),"",HYPERLINK("#Acts!A"&amp;INDEX('Compliance Database'!$P$2:$P$1960,MATCH(1137,'Transfer Engine'!$C$2:$C$1960,0)),"Go to Act"))</f>
        <v/>
      </c>
    </row>
    <row r="1147" ht="158" customHeight="1">
      <c r="A1147" s="8">
        <f>IF(ISNA(MATCH(1138,'Transfer Engine'!$C$2:$C$1960,0)),"",INDEX('Compliance Database'!$A$2:$A$1960,MATCH(1138,'Transfer Engine'!$C$2:$C$1960,0)))</f>
        <v/>
      </c>
      <c r="B1147" s="8">
        <f>IF(ISNA(MATCH(1138,'Transfer Engine'!$C$2:$C$1960,0)),"",INDEX('Compliance Database'!$B$2:$B$1960,MATCH(1138,'Transfer Engine'!$C$2:$C$1960,0)))</f>
        <v/>
      </c>
      <c r="C1147" s="8">
        <f>IF(ISNA(MATCH(1138,'Transfer Engine'!$C$2:$C$1960,0)),"",INDEX('Compliance Database'!$C$2:$C$1960,MATCH(1138,'Transfer Engine'!$C$2:$C$1960,0)))</f>
        <v/>
      </c>
      <c r="D1147" s="9">
        <f>IF(ISNA(MATCH(1138,'Transfer Engine'!$C$2:$C$1960,0)),"",INDEX('Compliance Database'!$D$2:$D$1960,MATCH(1138,'Transfer Engine'!$C$2:$C$1960,0)))</f>
        <v/>
      </c>
      <c r="E1147" s="8">
        <f>IF(ISNA(MATCH(1138,'Transfer Engine'!$C$2:$C$1960,0)),"",INDEX('Compliance Database'!$E$2:$E$1960,MATCH(1138,'Transfer Engine'!$C$2:$C$1960,0)))</f>
        <v/>
      </c>
      <c r="F1147" s="8">
        <f>IF(ISNA(MATCH(1138,'Transfer Engine'!$C$2:$C$1960,0)),"",INDEX('Compliance Database'!$F$2:$F$1960,MATCH(1138,'Transfer Engine'!$C$2:$C$1960,0)))</f>
        <v/>
      </c>
      <c r="G1147" s="8">
        <f>IF(ISNA(MATCH(1138,'Transfer Engine'!$C$2:$C$1960,0)),"",INDEX('Compliance Database'!$G$2:$G$1960,MATCH(1138,'Transfer Engine'!$C$2:$C$1960,0)))</f>
        <v/>
      </c>
      <c r="H1147" s="9">
        <f>IF(ISNA(MATCH(1138,'Transfer Engine'!$C$2:$C$1960,0)),"",INDEX('Compliance Database'!$H$2:$H$1960,MATCH(1138,'Transfer Engine'!$C$2:$C$1960,0)))</f>
        <v/>
      </c>
      <c r="I1147" s="9">
        <f>IF(ISNA(MATCH(1138,'Transfer Engine'!$C$2:$C$1960,0)),"",INDEX('Compliance Database'!$I$2:$I$1960,MATCH(1138,'Transfer Engine'!$C$2:$C$1960,0)))</f>
        <v/>
      </c>
      <c r="J1147" s="8">
        <f>IF(ISNA(MATCH(1138,'Transfer Engine'!$C$2:$C$1960,0)),"",INDEX('Compliance Database'!$J$2:$J$1960,MATCH(1138,'Transfer Engine'!$C$2:$C$1960,0)))</f>
        <v/>
      </c>
      <c r="K1147" s="9">
        <f>IF(ISNA(MATCH(1138,'Transfer Engine'!$C$2:$C$1960,0)),"",INDEX('Compliance Database'!$K$2:$K$1960,MATCH(1138,'Transfer Engine'!$C$2:$C$1960,0)))</f>
        <v/>
      </c>
      <c r="L1147" s="9">
        <f>IF(ISNA(MATCH(1138,'Transfer Engine'!$C$2:$C$1960,0)),"",INDEX('Compliance Database'!$L$2:$L$1960,MATCH(1138,'Transfer Engine'!$C$2:$C$1960,0)))</f>
        <v/>
      </c>
      <c r="M1147" s="9">
        <f>IF(ISNA(MATCH(1138,'Transfer Engine'!$C$2:$C$1960,0)),"",INDEX('Compliance Database'!$M$2:$M$1960,MATCH(1138,'Transfer Engine'!$C$2:$C$1960,0)))</f>
        <v/>
      </c>
      <c r="N1147" s="9">
        <f>IF(ISNA(MATCH(1138,'Transfer Engine'!$C$2:$C$1960,0)),"",INDEX('Compliance Database'!$N$2:$N$1960,MATCH(1138,'Transfer Engine'!$C$2:$C$1960,0)))</f>
        <v/>
      </c>
      <c r="O1147" s="9">
        <f>IF(ISNA(MATCH(1138,'Transfer Engine'!$C$2:$C$1960,0)),"",INDEX('Compliance Database'!$O$2:$O$1960,MATCH(1138,'Transfer Engine'!$C$2:$C$1960,0)))</f>
        <v/>
      </c>
      <c r="P1147" s="8">
        <f>IF(ISNA(MATCH(1138,'Transfer Engine'!$C$2:$C$1960,0)),"",HYPERLINK("#Acts!A"&amp;INDEX('Compliance Database'!$P$2:$P$1960,MATCH(1138,'Transfer Engine'!$C$2:$C$1960,0)),"Go to Act"))</f>
        <v/>
      </c>
    </row>
    <row r="1148" ht="158" customHeight="1">
      <c r="A1148" s="8">
        <f>IF(ISNA(MATCH(1139,'Transfer Engine'!$C$2:$C$1960,0)),"",INDEX('Compliance Database'!$A$2:$A$1960,MATCH(1139,'Transfer Engine'!$C$2:$C$1960,0)))</f>
        <v/>
      </c>
      <c r="B1148" s="8">
        <f>IF(ISNA(MATCH(1139,'Transfer Engine'!$C$2:$C$1960,0)),"",INDEX('Compliance Database'!$B$2:$B$1960,MATCH(1139,'Transfer Engine'!$C$2:$C$1960,0)))</f>
        <v/>
      </c>
      <c r="C1148" s="8">
        <f>IF(ISNA(MATCH(1139,'Transfer Engine'!$C$2:$C$1960,0)),"",INDEX('Compliance Database'!$C$2:$C$1960,MATCH(1139,'Transfer Engine'!$C$2:$C$1960,0)))</f>
        <v/>
      </c>
      <c r="D1148" s="9">
        <f>IF(ISNA(MATCH(1139,'Transfer Engine'!$C$2:$C$1960,0)),"",INDEX('Compliance Database'!$D$2:$D$1960,MATCH(1139,'Transfer Engine'!$C$2:$C$1960,0)))</f>
        <v/>
      </c>
      <c r="E1148" s="8">
        <f>IF(ISNA(MATCH(1139,'Transfer Engine'!$C$2:$C$1960,0)),"",INDEX('Compliance Database'!$E$2:$E$1960,MATCH(1139,'Transfer Engine'!$C$2:$C$1960,0)))</f>
        <v/>
      </c>
      <c r="F1148" s="8">
        <f>IF(ISNA(MATCH(1139,'Transfer Engine'!$C$2:$C$1960,0)),"",INDEX('Compliance Database'!$F$2:$F$1960,MATCH(1139,'Transfer Engine'!$C$2:$C$1960,0)))</f>
        <v/>
      </c>
      <c r="G1148" s="8">
        <f>IF(ISNA(MATCH(1139,'Transfer Engine'!$C$2:$C$1960,0)),"",INDEX('Compliance Database'!$G$2:$G$1960,MATCH(1139,'Transfer Engine'!$C$2:$C$1960,0)))</f>
        <v/>
      </c>
      <c r="H1148" s="9">
        <f>IF(ISNA(MATCH(1139,'Transfer Engine'!$C$2:$C$1960,0)),"",INDEX('Compliance Database'!$H$2:$H$1960,MATCH(1139,'Transfer Engine'!$C$2:$C$1960,0)))</f>
        <v/>
      </c>
      <c r="I1148" s="9">
        <f>IF(ISNA(MATCH(1139,'Transfer Engine'!$C$2:$C$1960,0)),"",INDEX('Compliance Database'!$I$2:$I$1960,MATCH(1139,'Transfer Engine'!$C$2:$C$1960,0)))</f>
        <v/>
      </c>
      <c r="J1148" s="8">
        <f>IF(ISNA(MATCH(1139,'Transfer Engine'!$C$2:$C$1960,0)),"",INDEX('Compliance Database'!$J$2:$J$1960,MATCH(1139,'Transfer Engine'!$C$2:$C$1960,0)))</f>
        <v/>
      </c>
      <c r="K1148" s="9">
        <f>IF(ISNA(MATCH(1139,'Transfer Engine'!$C$2:$C$1960,0)),"",INDEX('Compliance Database'!$K$2:$K$1960,MATCH(1139,'Transfer Engine'!$C$2:$C$1960,0)))</f>
        <v/>
      </c>
      <c r="L1148" s="9">
        <f>IF(ISNA(MATCH(1139,'Transfer Engine'!$C$2:$C$1960,0)),"",INDEX('Compliance Database'!$L$2:$L$1960,MATCH(1139,'Transfer Engine'!$C$2:$C$1960,0)))</f>
        <v/>
      </c>
      <c r="M1148" s="9">
        <f>IF(ISNA(MATCH(1139,'Transfer Engine'!$C$2:$C$1960,0)),"",INDEX('Compliance Database'!$M$2:$M$1960,MATCH(1139,'Transfer Engine'!$C$2:$C$1960,0)))</f>
        <v/>
      </c>
      <c r="N1148" s="9">
        <f>IF(ISNA(MATCH(1139,'Transfer Engine'!$C$2:$C$1960,0)),"",INDEX('Compliance Database'!$N$2:$N$1960,MATCH(1139,'Transfer Engine'!$C$2:$C$1960,0)))</f>
        <v/>
      </c>
      <c r="O1148" s="9">
        <f>IF(ISNA(MATCH(1139,'Transfer Engine'!$C$2:$C$1960,0)),"",INDEX('Compliance Database'!$O$2:$O$1960,MATCH(1139,'Transfer Engine'!$C$2:$C$1960,0)))</f>
        <v/>
      </c>
      <c r="P1148" s="8">
        <f>IF(ISNA(MATCH(1139,'Transfer Engine'!$C$2:$C$1960,0)),"",HYPERLINK("#Acts!A"&amp;INDEX('Compliance Database'!$P$2:$P$1960,MATCH(1139,'Transfer Engine'!$C$2:$C$1960,0)),"Go to Act"))</f>
        <v/>
      </c>
    </row>
    <row r="1149" ht="158" customHeight="1">
      <c r="A1149" s="8">
        <f>IF(ISNA(MATCH(1140,'Transfer Engine'!$C$2:$C$1960,0)),"",INDEX('Compliance Database'!$A$2:$A$1960,MATCH(1140,'Transfer Engine'!$C$2:$C$1960,0)))</f>
        <v/>
      </c>
      <c r="B1149" s="8">
        <f>IF(ISNA(MATCH(1140,'Transfer Engine'!$C$2:$C$1960,0)),"",INDEX('Compliance Database'!$B$2:$B$1960,MATCH(1140,'Transfer Engine'!$C$2:$C$1960,0)))</f>
        <v/>
      </c>
      <c r="C1149" s="8">
        <f>IF(ISNA(MATCH(1140,'Transfer Engine'!$C$2:$C$1960,0)),"",INDEX('Compliance Database'!$C$2:$C$1960,MATCH(1140,'Transfer Engine'!$C$2:$C$1960,0)))</f>
        <v/>
      </c>
      <c r="D1149" s="9">
        <f>IF(ISNA(MATCH(1140,'Transfer Engine'!$C$2:$C$1960,0)),"",INDEX('Compliance Database'!$D$2:$D$1960,MATCH(1140,'Transfer Engine'!$C$2:$C$1960,0)))</f>
        <v/>
      </c>
      <c r="E1149" s="8">
        <f>IF(ISNA(MATCH(1140,'Transfer Engine'!$C$2:$C$1960,0)),"",INDEX('Compliance Database'!$E$2:$E$1960,MATCH(1140,'Transfer Engine'!$C$2:$C$1960,0)))</f>
        <v/>
      </c>
      <c r="F1149" s="8">
        <f>IF(ISNA(MATCH(1140,'Transfer Engine'!$C$2:$C$1960,0)),"",INDEX('Compliance Database'!$F$2:$F$1960,MATCH(1140,'Transfer Engine'!$C$2:$C$1960,0)))</f>
        <v/>
      </c>
      <c r="G1149" s="8">
        <f>IF(ISNA(MATCH(1140,'Transfer Engine'!$C$2:$C$1960,0)),"",INDEX('Compliance Database'!$G$2:$G$1960,MATCH(1140,'Transfer Engine'!$C$2:$C$1960,0)))</f>
        <v/>
      </c>
      <c r="H1149" s="9">
        <f>IF(ISNA(MATCH(1140,'Transfer Engine'!$C$2:$C$1960,0)),"",INDEX('Compliance Database'!$H$2:$H$1960,MATCH(1140,'Transfer Engine'!$C$2:$C$1960,0)))</f>
        <v/>
      </c>
      <c r="I1149" s="9">
        <f>IF(ISNA(MATCH(1140,'Transfer Engine'!$C$2:$C$1960,0)),"",INDEX('Compliance Database'!$I$2:$I$1960,MATCH(1140,'Transfer Engine'!$C$2:$C$1960,0)))</f>
        <v/>
      </c>
      <c r="J1149" s="8">
        <f>IF(ISNA(MATCH(1140,'Transfer Engine'!$C$2:$C$1960,0)),"",INDEX('Compliance Database'!$J$2:$J$1960,MATCH(1140,'Transfer Engine'!$C$2:$C$1960,0)))</f>
        <v/>
      </c>
      <c r="K1149" s="9">
        <f>IF(ISNA(MATCH(1140,'Transfer Engine'!$C$2:$C$1960,0)),"",INDEX('Compliance Database'!$K$2:$K$1960,MATCH(1140,'Transfer Engine'!$C$2:$C$1960,0)))</f>
        <v/>
      </c>
      <c r="L1149" s="9">
        <f>IF(ISNA(MATCH(1140,'Transfer Engine'!$C$2:$C$1960,0)),"",INDEX('Compliance Database'!$L$2:$L$1960,MATCH(1140,'Transfer Engine'!$C$2:$C$1960,0)))</f>
        <v/>
      </c>
      <c r="M1149" s="9">
        <f>IF(ISNA(MATCH(1140,'Transfer Engine'!$C$2:$C$1960,0)),"",INDEX('Compliance Database'!$M$2:$M$1960,MATCH(1140,'Transfer Engine'!$C$2:$C$1960,0)))</f>
        <v/>
      </c>
      <c r="N1149" s="9">
        <f>IF(ISNA(MATCH(1140,'Transfer Engine'!$C$2:$C$1960,0)),"",INDEX('Compliance Database'!$N$2:$N$1960,MATCH(1140,'Transfer Engine'!$C$2:$C$1960,0)))</f>
        <v/>
      </c>
      <c r="O1149" s="9">
        <f>IF(ISNA(MATCH(1140,'Transfer Engine'!$C$2:$C$1960,0)),"",INDEX('Compliance Database'!$O$2:$O$1960,MATCH(1140,'Transfer Engine'!$C$2:$C$1960,0)))</f>
        <v/>
      </c>
      <c r="P1149" s="8">
        <f>IF(ISNA(MATCH(1140,'Transfer Engine'!$C$2:$C$1960,0)),"",HYPERLINK("#Acts!A"&amp;INDEX('Compliance Database'!$P$2:$P$1960,MATCH(1140,'Transfer Engine'!$C$2:$C$1960,0)),"Go to Act"))</f>
        <v/>
      </c>
    </row>
    <row r="1150" ht="158" customHeight="1">
      <c r="A1150" s="8">
        <f>IF(ISNA(MATCH(1141,'Transfer Engine'!$C$2:$C$1960,0)),"",INDEX('Compliance Database'!$A$2:$A$1960,MATCH(1141,'Transfer Engine'!$C$2:$C$1960,0)))</f>
        <v/>
      </c>
      <c r="B1150" s="8">
        <f>IF(ISNA(MATCH(1141,'Transfer Engine'!$C$2:$C$1960,0)),"",INDEX('Compliance Database'!$B$2:$B$1960,MATCH(1141,'Transfer Engine'!$C$2:$C$1960,0)))</f>
        <v/>
      </c>
      <c r="C1150" s="8">
        <f>IF(ISNA(MATCH(1141,'Transfer Engine'!$C$2:$C$1960,0)),"",INDEX('Compliance Database'!$C$2:$C$1960,MATCH(1141,'Transfer Engine'!$C$2:$C$1960,0)))</f>
        <v/>
      </c>
      <c r="D1150" s="9">
        <f>IF(ISNA(MATCH(1141,'Transfer Engine'!$C$2:$C$1960,0)),"",INDEX('Compliance Database'!$D$2:$D$1960,MATCH(1141,'Transfer Engine'!$C$2:$C$1960,0)))</f>
        <v/>
      </c>
      <c r="E1150" s="8">
        <f>IF(ISNA(MATCH(1141,'Transfer Engine'!$C$2:$C$1960,0)),"",INDEX('Compliance Database'!$E$2:$E$1960,MATCH(1141,'Transfer Engine'!$C$2:$C$1960,0)))</f>
        <v/>
      </c>
      <c r="F1150" s="8">
        <f>IF(ISNA(MATCH(1141,'Transfer Engine'!$C$2:$C$1960,0)),"",INDEX('Compliance Database'!$F$2:$F$1960,MATCH(1141,'Transfer Engine'!$C$2:$C$1960,0)))</f>
        <v/>
      </c>
      <c r="G1150" s="8">
        <f>IF(ISNA(MATCH(1141,'Transfer Engine'!$C$2:$C$1960,0)),"",INDEX('Compliance Database'!$G$2:$G$1960,MATCH(1141,'Transfer Engine'!$C$2:$C$1960,0)))</f>
        <v/>
      </c>
      <c r="H1150" s="9">
        <f>IF(ISNA(MATCH(1141,'Transfer Engine'!$C$2:$C$1960,0)),"",INDEX('Compliance Database'!$H$2:$H$1960,MATCH(1141,'Transfer Engine'!$C$2:$C$1960,0)))</f>
        <v/>
      </c>
      <c r="I1150" s="9">
        <f>IF(ISNA(MATCH(1141,'Transfer Engine'!$C$2:$C$1960,0)),"",INDEX('Compliance Database'!$I$2:$I$1960,MATCH(1141,'Transfer Engine'!$C$2:$C$1960,0)))</f>
        <v/>
      </c>
      <c r="J1150" s="8">
        <f>IF(ISNA(MATCH(1141,'Transfer Engine'!$C$2:$C$1960,0)),"",INDEX('Compliance Database'!$J$2:$J$1960,MATCH(1141,'Transfer Engine'!$C$2:$C$1960,0)))</f>
        <v/>
      </c>
      <c r="K1150" s="9">
        <f>IF(ISNA(MATCH(1141,'Transfer Engine'!$C$2:$C$1960,0)),"",INDEX('Compliance Database'!$K$2:$K$1960,MATCH(1141,'Transfer Engine'!$C$2:$C$1960,0)))</f>
        <v/>
      </c>
      <c r="L1150" s="9">
        <f>IF(ISNA(MATCH(1141,'Transfer Engine'!$C$2:$C$1960,0)),"",INDEX('Compliance Database'!$L$2:$L$1960,MATCH(1141,'Transfer Engine'!$C$2:$C$1960,0)))</f>
        <v/>
      </c>
      <c r="M1150" s="9">
        <f>IF(ISNA(MATCH(1141,'Transfer Engine'!$C$2:$C$1960,0)),"",INDEX('Compliance Database'!$M$2:$M$1960,MATCH(1141,'Transfer Engine'!$C$2:$C$1960,0)))</f>
        <v/>
      </c>
      <c r="N1150" s="9">
        <f>IF(ISNA(MATCH(1141,'Transfer Engine'!$C$2:$C$1960,0)),"",INDEX('Compliance Database'!$N$2:$N$1960,MATCH(1141,'Transfer Engine'!$C$2:$C$1960,0)))</f>
        <v/>
      </c>
      <c r="O1150" s="9">
        <f>IF(ISNA(MATCH(1141,'Transfer Engine'!$C$2:$C$1960,0)),"",INDEX('Compliance Database'!$O$2:$O$1960,MATCH(1141,'Transfer Engine'!$C$2:$C$1960,0)))</f>
        <v/>
      </c>
      <c r="P1150" s="8">
        <f>IF(ISNA(MATCH(1141,'Transfer Engine'!$C$2:$C$1960,0)),"",HYPERLINK("#Acts!A"&amp;INDEX('Compliance Database'!$P$2:$P$1960,MATCH(1141,'Transfer Engine'!$C$2:$C$1960,0)),"Go to Act"))</f>
        <v/>
      </c>
    </row>
    <row r="1151" ht="158" customHeight="1">
      <c r="A1151" s="8">
        <f>IF(ISNA(MATCH(1142,'Transfer Engine'!$C$2:$C$1960,0)),"",INDEX('Compliance Database'!$A$2:$A$1960,MATCH(1142,'Transfer Engine'!$C$2:$C$1960,0)))</f>
        <v/>
      </c>
      <c r="B1151" s="8">
        <f>IF(ISNA(MATCH(1142,'Transfer Engine'!$C$2:$C$1960,0)),"",INDEX('Compliance Database'!$B$2:$B$1960,MATCH(1142,'Transfer Engine'!$C$2:$C$1960,0)))</f>
        <v/>
      </c>
      <c r="C1151" s="8">
        <f>IF(ISNA(MATCH(1142,'Transfer Engine'!$C$2:$C$1960,0)),"",INDEX('Compliance Database'!$C$2:$C$1960,MATCH(1142,'Transfer Engine'!$C$2:$C$1960,0)))</f>
        <v/>
      </c>
      <c r="D1151" s="9">
        <f>IF(ISNA(MATCH(1142,'Transfer Engine'!$C$2:$C$1960,0)),"",INDEX('Compliance Database'!$D$2:$D$1960,MATCH(1142,'Transfer Engine'!$C$2:$C$1960,0)))</f>
        <v/>
      </c>
      <c r="E1151" s="8">
        <f>IF(ISNA(MATCH(1142,'Transfer Engine'!$C$2:$C$1960,0)),"",INDEX('Compliance Database'!$E$2:$E$1960,MATCH(1142,'Transfer Engine'!$C$2:$C$1960,0)))</f>
        <v/>
      </c>
      <c r="F1151" s="8">
        <f>IF(ISNA(MATCH(1142,'Transfer Engine'!$C$2:$C$1960,0)),"",INDEX('Compliance Database'!$F$2:$F$1960,MATCH(1142,'Transfer Engine'!$C$2:$C$1960,0)))</f>
        <v/>
      </c>
      <c r="G1151" s="8">
        <f>IF(ISNA(MATCH(1142,'Transfer Engine'!$C$2:$C$1960,0)),"",INDEX('Compliance Database'!$G$2:$G$1960,MATCH(1142,'Transfer Engine'!$C$2:$C$1960,0)))</f>
        <v/>
      </c>
      <c r="H1151" s="9">
        <f>IF(ISNA(MATCH(1142,'Transfer Engine'!$C$2:$C$1960,0)),"",INDEX('Compliance Database'!$H$2:$H$1960,MATCH(1142,'Transfer Engine'!$C$2:$C$1960,0)))</f>
        <v/>
      </c>
      <c r="I1151" s="9">
        <f>IF(ISNA(MATCH(1142,'Transfer Engine'!$C$2:$C$1960,0)),"",INDEX('Compliance Database'!$I$2:$I$1960,MATCH(1142,'Transfer Engine'!$C$2:$C$1960,0)))</f>
        <v/>
      </c>
      <c r="J1151" s="8">
        <f>IF(ISNA(MATCH(1142,'Transfer Engine'!$C$2:$C$1960,0)),"",INDEX('Compliance Database'!$J$2:$J$1960,MATCH(1142,'Transfer Engine'!$C$2:$C$1960,0)))</f>
        <v/>
      </c>
      <c r="K1151" s="9">
        <f>IF(ISNA(MATCH(1142,'Transfer Engine'!$C$2:$C$1960,0)),"",INDEX('Compliance Database'!$K$2:$K$1960,MATCH(1142,'Transfer Engine'!$C$2:$C$1960,0)))</f>
        <v/>
      </c>
      <c r="L1151" s="9">
        <f>IF(ISNA(MATCH(1142,'Transfer Engine'!$C$2:$C$1960,0)),"",INDEX('Compliance Database'!$L$2:$L$1960,MATCH(1142,'Transfer Engine'!$C$2:$C$1960,0)))</f>
        <v/>
      </c>
      <c r="M1151" s="9">
        <f>IF(ISNA(MATCH(1142,'Transfer Engine'!$C$2:$C$1960,0)),"",INDEX('Compliance Database'!$M$2:$M$1960,MATCH(1142,'Transfer Engine'!$C$2:$C$1960,0)))</f>
        <v/>
      </c>
      <c r="N1151" s="9">
        <f>IF(ISNA(MATCH(1142,'Transfer Engine'!$C$2:$C$1960,0)),"",INDEX('Compliance Database'!$N$2:$N$1960,MATCH(1142,'Transfer Engine'!$C$2:$C$1960,0)))</f>
        <v/>
      </c>
      <c r="O1151" s="9">
        <f>IF(ISNA(MATCH(1142,'Transfer Engine'!$C$2:$C$1960,0)),"",INDEX('Compliance Database'!$O$2:$O$1960,MATCH(1142,'Transfer Engine'!$C$2:$C$1960,0)))</f>
        <v/>
      </c>
      <c r="P1151" s="8">
        <f>IF(ISNA(MATCH(1142,'Transfer Engine'!$C$2:$C$1960,0)),"",HYPERLINK("#Acts!A"&amp;INDEX('Compliance Database'!$P$2:$P$1960,MATCH(1142,'Transfer Engine'!$C$2:$C$1960,0)),"Go to Act"))</f>
        <v/>
      </c>
    </row>
    <row r="1152" ht="158" customHeight="1">
      <c r="A1152" s="8">
        <f>IF(ISNA(MATCH(1143,'Transfer Engine'!$C$2:$C$1960,0)),"",INDEX('Compliance Database'!$A$2:$A$1960,MATCH(1143,'Transfer Engine'!$C$2:$C$1960,0)))</f>
        <v/>
      </c>
      <c r="B1152" s="8">
        <f>IF(ISNA(MATCH(1143,'Transfer Engine'!$C$2:$C$1960,0)),"",INDEX('Compliance Database'!$B$2:$B$1960,MATCH(1143,'Transfer Engine'!$C$2:$C$1960,0)))</f>
        <v/>
      </c>
      <c r="C1152" s="8">
        <f>IF(ISNA(MATCH(1143,'Transfer Engine'!$C$2:$C$1960,0)),"",INDEX('Compliance Database'!$C$2:$C$1960,MATCH(1143,'Transfer Engine'!$C$2:$C$1960,0)))</f>
        <v/>
      </c>
      <c r="D1152" s="9">
        <f>IF(ISNA(MATCH(1143,'Transfer Engine'!$C$2:$C$1960,0)),"",INDEX('Compliance Database'!$D$2:$D$1960,MATCH(1143,'Transfer Engine'!$C$2:$C$1960,0)))</f>
        <v/>
      </c>
      <c r="E1152" s="8">
        <f>IF(ISNA(MATCH(1143,'Transfer Engine'!$C$2:$C$1960,0)),"",INDEX('Compliance Database'!$E$2:$E$1960,MATCH(1143,'Transfer Engine'!$C$2:$C$1960,0)))</f>
        <v/>
      </c>
      <c r="F1152" s="8">
        <f>IF(ISNA(MATCH(1143,'Transfer Engine'!$C$2:$C$1960,0)),"",INDEX('Compliance Database'!$F$2:$F$1960,MATCH(1143,'Transfer Engine'!$C$2:$C$1960,0)))</f>
        <v/>
      </c>
      <c r="G1152" s="8">
        <f>IF(ISNA(MATCH(1143,'Transfer Engine'!$C$2:$C$1960,0)),"",INDEX('Compliance Database'!$G$2:$G$1960,MATCH(1143,'Transfer Engine'!$C$2:$C$1960,0)))</f>
        <v/>
      </c>
      <c r="H1152" s="9">
        <f>IF(ISNA(MATCH(1143,'Transfer Engine'!$C$2:$C$1960,0)),"",INDEX('Compliance Database'!$H$2:$H$1960,MATCH(1143,'Transfer Engine'!$C$2:$C$1960,0)))</f>
        <v/>
      </c>
      <c r="I1152" s="9">
        <f>IF(ISNA(MATCH(1143,'Transfer Engine'!$C$2:$C$1960,0)),"",INDEX('Compliance Database'!$I$2:$I$1960,MATCH(1143,'Transfer Engine'!$C$2:$C$1960,0)))</f>
        <v/>
      </c>
      <c r="J1152" s="8">
        <f>IF(ISNA(MATCH(1143,'Transfer Engine'!$C$2:$C$1960,0)),"",INDEX('Compliance Database'!$J$2:$J$1960,MATCH(1143,'Transfer Engine'!$C$2:$C$1960,0)))</f>
        <v/>
      </c>
      <c r="K1152" s="9">
        <f>IF(ISNA(MATCH(1143,'Transfer Engine'!$C$2:$C$1960,0)),"",INDEX('Compliance Database'!$K$2:$K$1960,MATCH(1143,'Transfer Engine'!$C$2:$C$1960,0)))</f>
        <v/>
      </c>
      <c r="L1152" s="9">
        <f>IF(ISNA(MATCH(1143,'Transfer Engine'!$C$2:$C$1960,0)),"",INDEX('Compliance Database'!$L$2:$L$1960,MATCH(1143,'Transfer Engine'!$C$2:$C$1960,0)))</f>
        <v/>
      </c>
      <c r="M1152" s="9">
        <f>IF(ISNA(MATCH(1143,'Transfer Engine'!$C$2:$C$1960,0)),"",INDEX('Compliance Database'!$M$2:$M$1960,MATCH(1143,'Transfer Engine'!$C$2:$C$1960,0)))</f>
        <v/>
      </c>
      <c r="N1152" s="9">
        <f>IF(ISNA(MATCH(1143,'Transfer Engine'!$C$2:$C$1960,0)),"",INDEX('Compliance Database'!$N$2:$N$1960,MATCH(1143,'Transfer Engine'!$C$2:$C$1960,0)))</f>
        <v/>
      </c>
      <c r="O1152" s="9">
        <f>IF(ISNA(MATCH(1143,'Transfer Engine'!$C$2:$C$1960,0)),"",INDEX('Compliance Database'!$O$2:$O$1960,MATCH(1143,'Transfer Engine'!$C$2:$C$1960,0)))</f>
        <v/>
      </c>
      <c r="P1152" s="8">
        <f>IF(ISNA(MATCH(1143,'Transfer Engine'!$C$2:$C$1960,0)),"",HYPERLINK("#Acts!A"&amp;INDEX('Compliance Database'!$P$2:$P$1960,MATCH(1143,'Transfer Engine'!$C$2:$C$1960,0)),"Go to Act"))</f>
        <v/>
      </c>
    </row>
    <row r="1153" ht="158" customHeight="1">
      <c r="A1153" s="8">
        <f>IF(ISNA(MATCH(1144,'Transfer Engine'!$C$2:$C$1960,0)),"",INDEX('Compliance Database'!$A$2:$A$1960,MATCH(1144,'Transfer Engine'!$C$2:$C$1960,0)))</f>
        <v/>
      </c>
      <c r="B1153" s="8">
        <f>IF(ISNA(MATCH(1144,'Transfer Engine'!$C$2:$C$1960,0)),"",INDEX('Compliance Database'!$B$2:$B$1960,MATCH(1144,'Transfer Engine'!$C$2:$C$1960,0)))</f>
        <v/>
      </c>
      <c r="C1153" s="8">
        <f>IF(ISNA(MATCH(1144,'Transfer Engine'!$C$2:$C$1960,0)),"",INDEX('Compliance Database'!$C$2:$C$1960,MATCH(1144,'Transfer Engine'!$C$2:$C$1960,0)))</f>
        <v/>
      </c>
      <c r="D1153" s="9">
        <f>IF(ISNA(MATCH(1144,'Transfer Engine'!$C$2:$C$1960,0)),"",INDEX('Compliance Database'!$D$2:$D$1960,MATCH(1144,'Transfer Engine'!$C$2:$C$1960,0)))</f>
        <v/>
      </c>
      <c r="E1153" s="8">
        <f>IF(ISNA(MATCH(1144,'Transfer Engine'!$C$2:$C$1960,0)),"",INDEX('Compliance Database'!$E$2:$E$1960,MATCH(1144,'Transfer Engine'!$C$2:$C$1960,0)))</f>
        <v/>
      </c>
      <c r="F1153" s="8">
        <f>IF(ISNA(MATCH(1144,'Transfer Engine'!$C$2:$C$1960,0)),"",INDEX('Compliance Database'!$F$2:$F$1960,MATCH(1144,'Transfer Engine'!$C$2:$C$1960,0)))</f>
        <v/>
      </c>
      <c r="G1153" s="8">
        <f>IF(ISNA(MATCH(1144,'Transfer Engine'!$C$2:$C$1960,0)),"",INDEX('Compliance Database'!$G$2:$G$1960,MATCH(1144,'Transfer Engine'!$C$2:$C$1960,0)))</f>
        <v/>
      </c>
      <c r="H1153" s="9">
        <f>IF(ISNA(MATCH(1144,'Transfer Engine'!$C$2:$C$1960,0)),"",INDEX('Compliance Database'!$H$2:$H$1960,MATCH(1144,'Transfer Engine'!$C$2:$C$1960,0)))</f>
        <v/>
      </c>
      <c r="I1153" s="9">
        <f>IF(ISNA(MATCH(1144,'Transfer Engine'!$C$2:$C$1960,0)),"",INDEX('Compliance Database'!$I$2:$I$1960,MATCH(1144,'Transfer Engine'!$C$2:$C$1960,0)))</f>
        <v/>
      </c>
      <c r="J1153" s="8">
        <f>IF(ISNA(MATCH(1144,'Transfer Engine'!$C$2:$C$1960,0)),"",INDEX('Compliance Database'!$J$2:$J$1960,MATCH(1144,'Transfer Engine'!$C$2:$C$1960,0)))</f>
        <v/>
      </c>
      <c r="K1153" s="9">
        <f>IF(ISNA(MATCH(1144,'Transfer Engine'!$C$2:$C$1960,0)),"",INDEX('Compliance Database'!$K$2:$K$1960,MATCH(1144,'Transfer Engine'!$C$2:$C$1960,0)))</f>
        <v/>
      </c>
      <c r="L1153" s="9">
        <f>IF(ISNA(MATCH(1144,'Transfer Engine'!$C$2:$C$1960,0)),"",INDEX('Compliance Database'!$L$2:$L$1960,MATCH(1144,'Transfer Engine'!$C$2:$C$1960,0)))</f>
        <v/>
      </c>
      <c r="M1153" s="9">
        <f>IF(ISNA(MATCH(1144,'Transfer Engine'!$C$2:$C$1960,0)),"",INDEX('Compliance Database'!$M$2:$M$1960,MATCH(1144,'Transfer Engine'!$C$2:$C$1960,0)))</f>
        <v/>
      </c>
      <c r="N1153" s="9">
        <f>IF(ISNA(MATCH(1144,'Transfer Engine'!$C$2:$C$1960,0)),"",INDEX('Compliance Database'!$N$2:$N$1960,MATCH(1144,'Transfer Engine'!$C$2:$C$1960,0)))</f>
        <v/>
      </c>
      <c r="O1153" s="9">
        <f>IF(ISNA(MATCH(1144,'Transfer Engine'!$C$2:$C$1960,0)),"",INDEX('Compliance Database'!$O$2:$O$1960,MATCH(1144,'Transfer Engine'!$C$2:$C$1960,0)))</f>
        <v/>
      </c>
      <c r="P1153" s="8">
        <f>IF(ISNA(MATCH(1144,'Transfer Engine'!$C$2:$C$1960,0)),"",HYPERLINK("#Acts!A"&amp;INDEX('Compliance Database'!$P$2:$P$1960,MATCH(1144,'Transfer Engine'!$C$2:$C$1960,0)),"Go to Act"))</f>
        <v/>
      </c>
    </row>
    <row r="1154" ht="158" customHeight="1">
      <c r="A1154" s="8">
        <f>IF(ISNA(MATCH(1145,'Transfer Engine'!$C$2:$C$1960,0)),"",INDEX('Compliance Database'!$A$2:$A$1960,MATCH(1145,'Transfer Engine'!$C$2:$C$1960,0)))</f>
        <v/>
      </c>
      <c r="B1154" s="8">
        <f>IF(ISNA(MATCH(1145,'Transfer Engine'!$C$2:$C$1960,0)),"",INDEX('Compliance Database'!$B$2:$B$1960,MATCH(1145,'Transfer Engine'!$C$2:$C$1960,0)))</f>
        <v/>
      </c>
      <c r="C1154" s="8">
        <f>IF(ISNA(MATCH(1145,'Transfer Engine'!$C$2:$C$1960,0)),"",INDEX('Compliance Database'!$C$2:$C$1960,MATCH(1145,'Transfer Engine'!$C$2:$C$1960,0)))</f>
        <v/>
      </c>
      <c r="D1154" s="9">
        <f>IF(ISNA(MATCH(1145,'Transfer Engine'!$C$2:$C$1960,0)),"",INDEX('Compliance Database'!$D$2:$D$1960,MATCH(1145,'Transfer Engine'!$C$2:$C$1960,0)))</f>
        <v/>
      </c>
      <c r="E1154" s="8">
        <f>IF(ISNA(MATCH(1145,'Transfer Engine'!$C$2:$C$1960,0)),"",INDEX('Compliance Database'!$E$2:$E$1960,MATCH(1145,'Transfer Engine'!$C$2:$C$1960,0)))</f>
        <v/>
      </c>
      <c r="F1154" s="8">
        <f>IF(ISNA(MATCH(1145,'Transfer Engine'!$C$2:$C$1960,0)),"",INDEX('Compliance Database'!$F$2:$F$1960,MATCH(1145,'Transfer Engine'!$C$2:$C$1960,0)))</f>
        <v/>
      </c>
      <c r="G1154" s="8">
        <f>IF(ISNA(MATCH(1145,'Transfer Engine'!$C$2:$C$1960,0)),"",INDEX('Compliance Database'!$G$2:$G$1960,MATCH(1145,'Transfer Engine'!$C$2:$C$1960,0)))</f>
        <v/>
      </c>
      <c r="H1154" s="9">
        <f>IF(ISNA(MATCH(1145,'Transfer Engine'!$C$2:$C$1960,0)),"",INDEX('Compliance Database'!$H$2:$H$1960,MATCH(1145,'Transfer Engine'!$C$2:$C$1960,0)))</f>
        <v/>
      </c>
      <c r="I1154" s="9">
        <f>IF(ISNA(MATCH(1145,'Transfer Engine'!$C$2:$C$1960,0)),"",INDEX('Compliance Database'!$I$2:$I$1960,MATCH(1145,'Transfer Engine'!$C$2:$C$1960,0)))</f>
        <v/>
      </c>
      <c r="J1154" s="8">
        <f>IF(ISNA(MATCH(1145,'Transfer Engine'!$C$2:$C$1960,0)),"",INDEX('Compliance Database'!$J$2:$J$1960,MATCH(1145,'Transfer Engine'!$C$2:$C$1960,0)))</f>
        <v/>
      </c>
      <c r="K1154" s="9">
        <f>IF(ISNA(MATCH(1145,'Transfer Engine'!$C$2:$C$1960,0)),"",INDEX('Compliance Database'!$K$2:$K$1960,MATCH(1145,'Transfer Engine'!$C$2:$C$1960,0)))</f>
        <v/>
      </c>
      <c r="L1154" s="9">
        <f>IF(ISNA(MATCH(1145,'Transfer Engine'!$C$2:$C$1960,0)),"",INDEX('Compliance Database'!$L$2:$L$1960,MATCH(1145,'Transfer Engine'!$C$2:$C$1960,0)))</f>
        <v/>
      </c>
      <c r="M1154" s="9">
        <f>IF(ISNA(MATCH(1145,'Transfer Engine'!$C$2:$C$1960,0)),"",INDEX('Compliance Database'!$M$2:$M$1960,MATCH(1145,'Transfer Engine'!$C$2:$C$1960,0)))</f>
        <v/>
      </c>
      <c r="N1154" s="9">
        <f>IF(ISNA(MATCH(1145,'Transfer Engine'!$C$2:$C$1960,0)),"",INDEX('Compliance Database'!$N$2:$N$1960,MATCH(1145,'Transfer Engine'!$C$2:$C$1960,0)))</f>
        <v/>
      </c>
      <c r="O1154" s="9">
        <f>IF(ISNA(MATCH(1145,'Transfer Engine'!$C$2:$C$1960,0)),"",INDEX('Compliance Database'!$O$2:$O$1960,MATCH(1145,'Transfer Engine'!$C$2:$C$1960,0)))</f>
        <v/>
      </c>
      <c r="P1154" s="8">
        <f>IF(ISNA(MATCH(1145,'Transfer Engine'!$C$2:$C$1960,0)),"",HYPERLINK("#Acts!A"&amp;INDEX('Compliance Database'!$P$2:$P$1960,MATCH(1145,'Transfer Engine'!$C$2:$C$1960,0)),"Go to Act"))</f>
        <v/>
      </c>
    </row>
    <row r="1155" ht="158" customHeight="1">
      <c r="A1155" s="8">
        <f>IF(ISNA(MATCH(1146,'Transfer Engine'!$C$2:$C$1960,0)),"",INDEX('Compliance Database'!$A$2:$A$1960,MATCH(1146,'Transfer Engine'!$C$2:$C$1960,0)))</f>
        <v/>
      </c>
      <c r="B1155" s="8">
        <f>IF(ISNA(MATCH(1146,'Transfer Engine'!$C$2:$C$1960,0)),"",INDEX('Compliance Database'!$B$2:$B$1960,MATCH(1146,'Transfer Engine'!$C$2:$C$1960,0)))</f>
        <v/>
      </c>
      <c r="C1155" s="8">
        <f>IF(ISNA(MATCH(1146,'Transfer Engine'!$C$2:$C$1960,0)),"",INDEX('Compliance Database'!$C$2:$C$1960,MATCH(1146,'Transfer Engine'!$C$2:$C$1960,0)))</f>
        <v/>
      </c>
      <c r="D1155" s="9">
        <f>IF(ISNA(MATCH(1146,'Transfer Engine'!$C$2:$C$1960,0)),"",INDEX('Compliance Database'!$D$2:$D$1960,MATCH(1146,'Transfer Engine'!$C$2:$C$1960,0)))</f>
        <v/>
      </c>
      <c r="E1155" s="8">
        <f>IF(ISNA(MATCH(1146,'Transfer Engine'!$C$2:$C$1960,0)),"",INDEX('Compliance Database'!$E$2:$E$1960,MATCH(1146,'Transfer Engine'!$C$2:$C$1960,0)))</f>
        <v/>
      </c>
      <c r="F1155" s="8">
        <f>IF(ISNA(MATCH(1146,'Transfer Engine'!$C$2:$C$1960,0)),"",INDEX('Compliance Database'!$F$2:$F$1960,MATCH(1146,'Transfer Engine'!$C$2:$C$1960,0)))</f>
        <v/>
      </c>
      <c r="G1155" s="8">
        <f>IF(ISNA(MATCH(1146,'Transfer Engine'!$C$2:$C$1960,0)),"",INDEX('Compliance Database'!$G$2:$G$1960,MATCH(1146,'Transfer Engine'!$C$2:$C$1960,0)))</f>
        <v/>
      </c>
      <c r="H1155" s="9">
        <f>IF(ISNA(MATCH(1146,'Transfer Engine'!$C$2:$C$1960,0)),"",INDEX('Compliance Database'!$H$2:$H$1960,MATCH(1146,'Transfer Engine'!$C$2:$C$1960,0)))</f>
        <v/>
      </c>
      <c r="I1155" s="9">
        <f>IF(ISNA(MATCH(1146,'Transfer Engine'!$C$2:$C$1960,0)),"",INDEX('Compliance Database'!$I$2:$I$1960,MATCH(1146,'Transfer Engine'!$C$2:$C$1960,0)))</f>
        <v/>
      </c>
      <c r="J1155" s="8">
        <f>IF(ISNA(MATCH(1146,'Transfer Engine'!$C$2:$C$1960,0)),"",INDEX('Compliance Database'!$J$2:$J$1960,MATCH(1146,'Transfer Engine'!$C$2:$C$1960,0)))</f>
        <v/>
      </c>
      <c r="K1155" s="9">
        <f>IF(ISNA(MATCH(1146,'Transfer Engine'!$C$2:$C$1960,0)),"",INDEX('Compliance Database'!$K$2:$K$1960,MATCH(1146,'Transfer Engine'!$C$2:$C$1960,0)))</f>
        <v/>
      </c>
      <c r="L1155" s="9">
        <f>IF(ISNA(MATCH(1146,'Transfer Engine'!$C$2:$C$1960,0)),"",INDEX('Compliance Database'!$L$2:$L$1960,MATCH(1146,'Transfer Engine'!$C$2:$C$1960,0)))</f>
        <v/>
      </c>
      <c r="M1155" s="9">
        <f>IF(ISNA(MATCH(1146,'Transfer Engine'!$C$2:$C$1960,0)),"",INDEX('Compliance Database'!$M$2:$M$1960,MATCH(1146,'Transfer Engine'!$C$2:$C$1960,0)))</f>
        <v/>
      </c>
      <c r="N1155" s="9">
        <f>IF(ISNA(MATCH(1146,'Transfer Engine'!$C$2:$C$1960,0)),"",INDEX('Compliance Database'!$N$2:$N$1960,MATCH(1146,'Transfer Engine'!$C$2:$C$1960,0)))</f>
        <v/>
      </c>
      <c r="O1155" s="9">
        <f>IF(ISNA(MATCH(1146,'Transfer Engine'!$C$2:$C$1960,0)),"",INDEX('Compliance Database'!$O$2:$O$1960,MATCH(1146,'Transfer Engine'!$C$2:$C$1960,0)))</f>
        <v/>
      </c>
      <c r="P1155" s="8">
        <f>IF(ISNA(MATCH(1146,'Transfer Engine'!$C$2:$C$1960,0)),"",HYPERLINK("#Acts!A"&amp;INDEX('Compliance Database'!$P$2:$P$1960,MATCH(1146,'Transfer Engine'!$C$2:$C$1960,0)),"Go to Act"))</f>
        <v/>
      </c>
    </row>
    <row r="1156" ht="158" customHeight="1">
      <c r="A1156" s="8">
        <f>IF(ISNA(MATCH(1147,'Transfer Engine'!$C$2:$C$1960,0)),"",INDEX('Compliance Database'!$A$2:$A$1960,MATCH(1147,'Transfer Engine'!$C$2:$C$1960,0)))</f>
        <v/>
      </c>
      <c r="B1156" s="8">
        <f>IF(ISNA(MATCH(1147,'Transfer Engine'!$C$2:$C$1960,0)),"",INDEX('Compliance Database'!$B$2:$B$1960,MATCH(1147,'Transfer Engine'!$C$2:$C$1960,0)))</f>
        <v/>
      </c>
      <c r="C1156" s="8">
        <f>IF(ISNA(MATCH(1147,'Transfer Engine'!$C$2:$C$1960,0)),"",INDEX('Compliance Database'!$C$2:$C$1960,MATCH(1147,'Transfer Engine'!$C$2:$C$1960,0)))</f>
        <v/>
      </c>
      <c r="D1156" s="9">
        <f>IF(ISNA(MATCH(1147,'Transfer Engine'!$C$2:$C$1960,0)),"",INDEX('Compliance Database'!$D$2:$D$1960,MATCH(1147,'Transfer Engine'!$C$2:$C$1960,0)))</f>
        <v/>
      </c>
      <c r="E1156" s="8">
        <f>IF(ISNA(MATCH(1147,'Transfer Engine'!$C$2:$C$1960,0)),"",INDEX('Compliance Database'!$E$2:$E$1960,MATCH(1147,'Transfer Engine'!$C$2:$C$1960,0)))</f>
        <v/>
      </c>
      <c r="F1156" s="8">
        <f>IF(ISNA(MATCH(1147,'Transfer Engine'!$C$2:$C$1960,0)),"",INDEX('Compliance Database'!$F$2:$F$1960,MATCH(1147,'Transfer Engine'!$C$2:$C$1960,0)))</f>
        <v/>
      </c>
      <c r="G1156" s="8">
        <f>IF(ISNA(MATCH(1147,'Transfer Engine'!$C$2:$C$1960,0)),"",INDEX('Compliance Database'!$G$2:$G$1960,MATCH(1147,'Transfer Engine'!$C$2:$C$1960,0)))</f>
        <v/>
      </c>
      <c r="H1156" s="9">
        <f>IF(ISNA(MATCH(1147,'Transfer Engine'!$C$2:$C$1960,0)),"",INDEX('Compliance Database'!$H$2:$H$1960,MATCH(1147,'Transfer Engine'!$C$2:$C$1960,0)))</f>
        <v/>
      </c>
      <c r="I1156" s="9">
        <f>IF(ISNA(MATCH(1147,'Transfer Engine'!$C$2:$C$1960,0)),"",INDEX('Compliance Database'!$I$2:$I$1960,MATCH(1147,'Transfer Engine'!$C$2:$C$1960,0)))</f>
        <v/>
      </c>
      <c r="J1156" s="8">
        <f>IF(ISNA(MATCH(1147,'Transfer Engine'!$C$2:$C$1960,0)),"",INDEX('Compliance Database'!$J$2:$J$1960,MATCH(1147,'Transfer Engine'!$C$2:$C$1960,0)))</f>
        <v/>
      </c>
      <c r="K1156" s="9">
        <f>IF(ISNA(MATCH(1147,'Transfer Engine'!$C$2:$C$1960,0)),"",INDEX('Compliance Database'!$K$2:$K$1960,MATCH(1147,'Transfer Engine'!$C$2:$C$1960,0)))</f>
        <v/>
      </c>
      <c r="L1156" s="9">
        <f>IF(ISNA(MATCH(1147,'Transfer Engine'!$C$2:$C$1960,0)),"",INDEX('Compliance Database'!$L$2:$L$1960,MATCH(1147,'Transfer Engine'!$C$2:$C$1960,0)))</f>
        <v/>
      </c>
      <c r="M1156" s="9">
        <f>IF(ISNA(MATCH(1147,'Transfer Engine'!$C$2:$C$1960,0)),"",INDEX('Compliance Database'!$M$2:$M$1960,MATCH(1147,'Transfer Engine'!$C$2:$C$1960,0)))</f>
        <v/>
      </c>
      <c r="N1156" s="9">
        <f>IF(ISNA(MATCH(1147,'Transfer Engine'!$C$2:$C$1960,0)),"",INDEX('Compliance Database'!$N$2:$N$1960,MATCH(1147,'Transfer Engine'!$C$2:$C$1960,0)))</f>
        <v/>
      </c>
      <c r="O1156" s="9">
        <f>IF(ISNA(MATCH(1147,'Transfer Engine'!$C$2:$C$1960,0)),"",INDEX('Compliance Database'!$O$2:$O$1960,MATCH(1147,'Transfer Engine'!$C$2:$C$1960,0)))</f>
        <v/>
      </c>
      <c r="P1156" s="8">
        <f>IF(ISNA(MATCH(1147,'Transfer Engine'!$C$2:$C$1960,0)),"",HYPERLINK("#Acts!A"&amp;INDEX('Compliance Database'!$P$2:$P$1960,MATCH(1147,'Transfer Engine'!$C$2:$C$1960,0)),"Go to Act"))</f>
        <v/>
      </c>
    </row>
    <row r="1157" ht="158" customHeight="1">
      <c r="A1157" s="8">
        <f>IF(ISNA(MATCH(1148,'Transfer Engine'!$C$2:$C$1960,0)),"",INDEX('Compliance Database'!$A$2:$A$1960,MATCH(1148,'Transfer Engine'!$C$2:$C$1960,0)))</f>
        <v/>
      </c>
      <c r="B1157" s="8">
        <f>IF(ISNA(MATCH(1148,'Transfer Engine'!$C$2:$C$1960,0)),"",INDEX('Compliance Database'!$B$2:$B$1960,MATCH(1148,'Transfer Engine'!$C$2:$C$1960,0)))</f>
        <v/>
      </c>
      <c r="C1157" s="8">
        <f>IF(ISNA(MATCH(1148,'Transfer Engine'!$C$2:$C$1960,0)),"",INDEX('Compliance Database'!$C$2:$C$1960,MATCH(1148,'Transfer Engine'!$C$2:$C$1960,0)))</f>
        <v/>
      </c>
      <c r="D1157" s="9">
        <f>IF(ISNA(MATCH(1148,'Transfer Engine'!$C$2:$C$1960,0)),"",INDEX('Compliance Database'!$D$2:$D$1960,MATCH(1148,'Transfer Engine'!$C$2:$C$1960,0)))</f>
        <v/>
      </c>
      <c r="E1157" s="8">
        <f>IF(ISNA(MATCH(1148,'Transfer Engine'!$C$2:$C$1960,0)),"",INDEX('Compliance Database'!$E$2:$E$1960,MATCH(1148,'Transfer Engine'!$C$2:$C$1960,0)))</f>
        <v/>
      </c>
      <c r="F1157" s="8">
        <f>IF(ISNA(MATCH(1148,'Transfer Engine'!$C$2:$C$1960,0)),"",INDEX('Compliance Database'!$F$2:$F$1960,MATCH(1148,'Transfer Engine'!$C$2:$C$1960,0)))</f>
        <v/>
      </c>
      <c r="G1157" s="8">
        <f>IF(ISNA(MATCH(1148,'Transfer Engine'!$C$2:$C$1960,0)),"",INDEX('Compliance Database'!$G$2:$G$1960,MATCH(1148,'Transfer Engine'!$C$2:$C$1960,0)))</f>
        <v/>
      </c>
      <c r="H1157" s="9">
        <f>IF(ISNA(MATCH(1148,'Transfer Engine'!$C$2:$C$1960,0)),"",INDEX('Compliance Database'!$H$2:$H$1960,MATCH(1148,'Transfer Engine'!$C$2:$C$1960,0)))</f>
        <v/>
      </c>
      <c r="I1157" s="9">
        <f>IF(ISNA(MATCH(1148,'Transfer Engine'!$C$2:$C$1960,0)),"",INDEX('Compliance Database'!$I$2:$I$1960,MATCH(1148,'Transfer Engine'!$C$2:$C$1960,0)))</f>
        <v/>
      </c>
      <c r="J1157" s="8">
        <f>IF(ISNA(MATCH(1148,'Transfer Engine'!$C$2:$C$1960,0)),"",INDEX('Compliance Database'!$J$2:$J$1960,MATCH(1148,'Transfer Engine'!$C$2:$C$1960,0)))</f>
        <v/>
      </c>
      <c r="K1157" s="9">
        <f>IF(ISNA(MATCH(1148,'Transfer Engine'!$C$2:$C$1960,0)),"",INDEX('Compliance Database'!$K$2:$K$1960,MATCH(1148,'Transfer Engine'!$C$2:$C$1960,0)))</f>
        <v/>
      </c>
      <c r="L1157" s="9">
        <f>IF(ISNA(MATCH(1148,'Transfer Engine'!$C$2:$C$1960,0)),"",INDEX('Compliance Database'!$L$2:$L$1960,MATCH(1148,'Transfer Engine'!$C$2:$C$1960,0)))</f>
        <v/>
      </c>
      <c r="M1157" s="9">
        <f>IF(ISNA(MATCH(1148,'Transfer Engine'!$C$2:$C$1960,0)),"",INDEX('Compliance Database'!$M$2:$M$1960,MATCH(1148,'Transfer Engine'!$C$2:$C$1960,0)))</f>
        <v/>
      </c>
      <c r="N1157" s="9">
        <f>IF(ISNA(MATCH(1148,'Transfer Engine'!$C$2:$C$1960,0)),"",INDEX('Compliance Database'!$N$2:$N$1960,MATCH(1148,'Transfer Engine'!$C$2:$C$1960,0)))</f>
        <v/>
      </c>
      <c r="O1157" s="9">
        <f>IF(ISNA(MATCH(1148,'Transfer Engine'!$C$2:$C$1960,0)),"",INDEX('Compliance Database'!$O$2:$O$1960,MATCH(1148,'Transfer Engine'!$C$2:$C$1960,0)))</f>
        <v/>
      </c>
      <c r="P1157" s="8">
        <f>IF(ISNA(MATCH(1148,'Transfer Engine'!$C$2:$C$1960,0)),"",HYPERLINK("#Acts!A"&amp;INDEX('Compliance Database'!$P$2:$P$1960,MATCH(1148,'Transfer Engine'!$C$2:$C$1960,0)),"Go to Act"))</f>
        <v/>
      </c>
    </row>
    <row r="1158" ht="158" customHeight="1">
      <c r="A1158" s="8">
        <f>IF(ISNA(MATCH(1149,'Transfer Engine'!$C$2:$C$1960,0)),"",INDEX('Compliance Database'!$A$2:$A$1960,MATCH(1149,'Transfer Engine'!$C$2:$C$1960,0)))</f>
        <v/>
      </c>
      <c r="B1158" s="8">
        <f>IF(ISNA(MATCH(1149,'Transfer Engine'!$C$2:$C$1960,0)),"",INDEX('Compliance Database'!$B$2:$B$1960,MATCH(1149,'Transfer Engine'!$C$2:$C$1960,0)))</f>
        <v/>
      </c>
      <c r="C1158" s="8">
        <f>IF(ISNA(MATCH(1149,'Transfer Engine'!$C$2:$C$1960,0)),"",INDEX('Compliance Database'!$C$2:$C$1960,MATCH(1149,'Transfer Engine'!$C$2:$C$1960,0)))</f>
        <v/>
      </c>
      <c r="D1158" s="9">
        <f>IF(ISNA(MATCH(1149,'Transfer Engine'!$C$2:$C$1960,0)),"",INDEX('Compliance Database'!$D$2:$D$1960,MATCH(1149,'Transfer Engine'!$C$2:$C$1960,0)))</f>
        <v/>
      </c>
      <c r="E1158" s="8">
        <f>IF(ISNA(MATCH(1149,'Transfer Engine'!$C$2:$C$1960,0)),"",INDEX('Compliance Database'!$E$2:$E$1960,MATCH(1149,'Transfer Engine'!$C$2:$C$1960,0)))</f>
        <v/>
      </c>
      <c r="F1158" s="8">
        <f>IF(ISNA(MATCH(1149,'Transfer Engine'!$C$2:$C$1960,0)),"",INDEX('Compliance Database'!$F$2:$F$1960,MATCH(1149,'Transfer Engine'!$C$2:$C$1960,0)))</f>
        <v/>
      </c>
      <c r="G1158" s="8">
        <f>IF(ISNA(MATCH(1149,'Transfer Engine'!$C$2:$C$1960,0)),"",INDEX('Compliance Database'!$G$2:$G$1960,MATCH(1149,'Transfer Engine'!$C$2:$C$1960,0)))</f>
        <v/>
      </c>
      <c r="H1158" s="9">
        <f>IF(ISNA(MATCH(1149,'Transfer Engine'!$C$2:$C$1960,0)),"",INDEX('Compliance Database'!$H$2:$H$1960,MATCH(1149,'Transfer Engine'!$C$2:$C$1960,0)))</f>
        <v/>
      </c>
      <c r="I1158" s="9">
        <f>IF(ISNA(MATCH(1149,'Transfer Engine'!$C$2:$C$1960,0)),"",INDEX('Compliance Database'!$I$2:$I$1960,MATCH(1149,'Transfer Engine'!$C$2:$C$1960,0)))</f>
        <v/>
      </c>
      <c r="J1158" s="8">
        <f>IF(ISNA(MATCH(1149,'Transfer Engine'!$C$2:$C$1960,0)),"",INDEX('Compliance Database'!$J$2:$J$1960,MATCH(1149,'Transfer Engine'!$C$2:$C$1960,0)))</f>
        <v/>
      </c>
      <c r="K1158" s="9">
        <f>IF(ISNA(MATCH(1149,'Transfer Engine'!$C$2:$C$1960,0)),"",INDEX('Compliance Database'!$K$2:$K$1960,MATCH(1149,'Transfer Engine'!$C$2:$C$1960,0)))</f>
        <v/>
      </c>
      <c r="L1158" s="9">
        <f>IF(ISNA(MATCH(1149,'Transfer Engine'!$C$2:$C$1960,0)),"",INDEX('Compliance Database'!$L$2:$L$1960,MATCH(1149,'Transfer Engine'!$C$2:$C$1960,0)))</f>
        <v/>
      </c>
      <c r="M1158" s="9">
        <f>IF(ISNA(MATCH(1149,'Transfer Engine'!$C$2:$C$1960,0)),"",INDEX('Compliance Database'!$M$2:$M$1960,MATCH(1149,'Transfer Engine'!$C$2:$C$1960,0)))</f>
        <v/>
      </c>
      <c r="N1158" s="9">
        <f>IF(ISNA(MATCH(1149,'Transfer Engine'!$C$2:$C$1960,0)),"",INDEX('Compliance Database'!$N$2:$N$1960,MATCH(1149,'Transfer Engine'!$C$2:$C$1960,0)))</f>
        <v/>
      </c>
      <c r="O1158" s="9">
        <f>IF(ISNA(MATCH(1149,'Transfer Engine'!$C$2:$C$1960,0)),"",INDEX('Compliance Database'!$O$2:$O$1960,MATCH(1149,'Transfer Engine'!$C$2:$C$1960,0)))</f>
        <v/>
      </c>
      <c r="P1158" s="8">
        <f>IF(ISNA(MATCH(1149,'Transfer Engine'!$C$2:$C$1960,0)),"",HYPERLINK("#Acts!A"&amp;INDEX('Compliance Database'!$P$2:$P$1960,MATCH(1149,'Transfer Engine'!$C$2:$C$1960,0)),"Go to Act"))</f>
        <v/>
      </c>
    </row>
    <row r="1159" ht="158" customHeight="1">
      <c r="A1159" s="8">
        <f>IF(ISNA(MATCH(1150,'Transfer Engine'!$C$2:$C$1960,0)),"",INDEX('Compliance Database'!$A$2:$A$1960,MATCH(1150,'Transfer Engine'!$C$2:$C$1960,0)))</f>
        <v/>
      </c>
      <c r="B1159" s="8">
        <f>IF(ISNA(MATCH(1150,'Transfer Engine'!$C$2:$C$1960,0)),"",INDEX('Compliance Database'!$B$2:$B$1960,MATCH(1150,'Transfer Engine'!$C$2:$C$1960,0)))</f>
        <v/>
      </c>
      <c r="C1159" s="8">
        <f>IF(ISNA(MATCH(1150,'Transfer Engine'!$C$2:$C$1960,0)),"",INDEX('Compliance Database'!$C$2:$C$1960,MATCH(1150,'Transfer Engine'!$C$2:$C$1960,0)))</f>
        <v/>
      </c>
      <c r="D1159" s="9">
        <f>IF(ISNA(MATCH(1150,'Transfer Engine'!$C$2:$C$1960,0)),"",INDEX('Compliance Database'!$D$2:$D$1960,MATCH(1150,'Transfer Engine'!$C$2:$C$1960,0)))</f>
        <v/>
      </c>
      <c r="E1159" s="8">
        <f>IF(ISNA(MATCH(1150,'Transfer Engine'!$C$2:$C$1960,0)),"",INDEX('Compliance Database'!$E$2:$E$1960,MATCH(1150,'Transfer Engine'!$C$2:$C$1960,0)))</f>
        <v/>
      </c>
      <c r="F1159" s="8">
        <f>IF(ISNA(MATCH(1150,'Transfer Engine'!$C$2:$C$1960,0)),"",INDEX('Compliance Database'!$F$2:$F$1960,MATCH(1150,'Transfer Engine'!$C$2:$C$1960,0)))</f>
        <v/>
      </c>
      <c r="G1159" s="8">
        <f>IF(ISNA(MATCH(1150,'Transfer Engine'!$C$2:$C$1960,0)),"",INDEX('Compliance Database'!$G$2:$G$1960,MATCH(1150,'Transfer Engine'!$C$2:$C$1960,0)))</f>
        <v/>
      </c>
      <c r="H1159" s="9">
        <f>IF(ISNA(MATCH(1150,'Transfer Engine'!$C$2:$C$1960,0)),"",INDEX('Compliance Database'!$H$2:$H$1960,MATCH(1150,'Transfer Engine'!$C$2:$C$1960,0)))</f>
        <v/>
      </c>
      <c r="I1159" s="9">
        <f>IF(ISNA(MATCH(1150,'Transfer Engine'!$C$2:$C$1960,0)),"",INDEX('Compliance Database'!$I$2:$I$1960,MATCH(1150,'Transfer Engine'!$C$2:$C$1960,0)))</f>
        <v/>
      </c>
      <c r="J1159" s="8">
        <f>IF(ISNA(MATCH(1150,'Transfer Engine'!$C$2:$C$1960,0)),"",INDEX('Compliance Database'!$J$2:$J$1960,MATCH(1150,'Transfer Engine'!$C$2:$C$1960,0)))</f>
        <v/>
      </c>
      <c r="K1159" s="9">
        <f>IF(ISNA(MATCH(1150,'Transfer Engine'!$C$2:$C$1960,0)),"",INDEX('Compliance Database'!$K$2:$K$1960,MATCH(1150,'Transfer Engine'!$C$2:$C$1960,0)))</f>
        <v/>
      </c>
      <c r="L1159" s="9">
        <f>IF(ISNA(MATCH(1150,'Transfer Engine'!$C$2:$C$1960,0)),"",INDEX('Compliance Database'!$L$2:$L$1960,MATCH(1150,'Transfer Engine'!$C$2:$C$1960,0)))</f>
        <v/>
      </c>
      <c r="M1159" s="9">
        <f>IF(ISNA(MATCH(1150,'Transfer Engine'!$C$2:$C$1960,0)),"",INDEX('Compliance Database'!$M$2:$M$1960,MATCH(1150,'Transfer Engine'!$C$2:$C$1960,0)))</f>
        <v/>
      </c>
      <c r="N1159" s="9">
        <f>IF(ISNA(MATCH(1150,'Transfer Engine'!$C$2:$C$1960,0)),"",INDEX('Compliance Database'!$N$2:$N$1960,MATCH(1150,'Transfer Engine'!$C$2:$C$1960,0)))</f>
        <v/>
      </c>
      <c r="O1159" s="9">
        <f>IF(ISNA(MATCH(1150,'Transfer Engine'!$C$2:$C$1960,0)),"",INDEX('Compliance Database'!$O$2:$O$1960,MATCH(1150,'Transfer Engine'!$C$2:$C$1960,0)))</f>
        <v/>
      </c>
      <c r="P1159" s="8">
        <f>IF(ISNA(MATCH(1150,'Transfer Engine'!$C$2:$C$1960,0)),"",HYPERLINK("#Acts!A"&amp;INDEX('Compliance Database'!$P$2:$P$1960,MATCH(1150,'Transfer Engine'!$C$2:$C$1960,0)),"Go to Act"))</f>
        <v/>
      </c>
    </row>
    <row r="1160" ht="158" customHeight="1">
      <c r="A1160" s="8">
        <f>IF(ISNA(MATCH(1151,'Transfer Engine'!$C$2:$C$1960,0)),"",INDEX('Compliance Database'!$A$2:$A$1960,MATCH(1151,'Transfer Engine'!$C$2:$C$1960,0)))</f>
        <v/>
      </c>
      <c r="B1160" s="8">
        <f>IF(ISNA(MATCH(1151,'Transfer Engine'!$C$2:$C$1960,0)),"",INDEX('Compliance Database'!$B$2:$B$1960,MATCH(1151,'Transfer Engine'!$C$2:$C$1960,0)))</f>
        <v/>
      </c>
      <c r="C1160" s="8">
        <f>IF(ISNA(MATCH(1151,'Transfer Engine'!$C$2:$C$1960,0)),"",INDEX('Compliance Database'!$C$2:$C$1960,MATCH(1151,'Transfer Engine'!$C$2:$C$1960,0)))</f>
        <v/>
      </c>
      <c r="D1160" s="9">
        <f>IF(ISNA(MATCH(1151,'Transfer Engine'!$C$2:$C$1960,0)),"",INDEX('Compliance Database'!$D$2:$D$1960,MATCH(1151,'Transfer Engine'!$C$2:$C$1960,0)))</f>
        <v/>
      </c>
      <c r="E1160" s="8">
        <f>IF(ISNA(MATCH(1151,'Transfer Engine'!$C$2:$C$1960,0)),"",INDEX('Compliance Database'!$E$2:$E$1960,MATCH(1151,'Transfer Engine'!$C$2:$C$1960,0)))</f>
        <v/>
      </c>
      <c r="F1160" s="8">
        <f>IF(ISNA(MATCH(1151,'Transfer Engine'!$C$2:$C$1960,0)),"",INDEX('Compliance Database'!$F$2:$F$1960,MATCH(1151,'Transfer Engine'!$C$2:$C$1960,0)))</f>
        <v/>
      </c>
      <c r="G1160" s="8">
        <f>IF(ISNA(MATCH(1151,'Transfer Engine'!$C$2:$C$1960,0)),"",INDEX('Compliance Database'!$G$2:$G$1960,MATCH(1151,'Transfer Engine'!$C$2:$C$1960,0)))</f>
        <v/>
      </c>
      <c r="H1160" s="9">
        <f>IF(ISNA(MATCH(1151,'Transfer Engine'!$C$2:$C$1960,0)),"",INDEX('Compliance Database'!$H$2:$H$1960,MATCH(1151,'Transfer Engine'!$C$2:$C$1960,0)))</f>
        <v/>
      </c>
      <c r="I1160" s="9">
        <f>IF(ISNA(MATCH(1151,'Transfer Engine'!$C$2:$C$1960,0)),"",INDEX('Compliance Database'!$I$2:$I$1960,MATCH(1151,'Transfer Engine'!$C$2:$C$1960,0)))</f>
        <v/>
      </c>
      <c r="J1160" s="8">
        <f>IF(ISNA(MATCH(1151,'Transfer Engine'!$C$2:$C$1960,0)),"",INDEX('Compliance Database'!$J$2:$J$1960,MATCH(1151,'Transfer Engine'!$C$2:$C$1960,0)))</f>
        <v/>
      </c>
      <c r="K1160" s="9">
        <f>IF(ISNA(MATCH(1151,'Transfer Engine'!$C$2:$C$1960,0)),"",INDEX('Compliance Database'!$K$2:$K$1960,MATCH(1151,'Transfer Engine'!$C$2:$C$1960,0)))</f>
        <v/>
      </c>
      <c r="L1160" s="9">
        <f>IF(ISNA(MATCH(1151,'Transfer Engine'!$C$2:$C$1960,0)),"",INDEX('Compliance Database'!$L$2:$L$1960,MATCH(1151,'Transfer Engine'!$C$2:$C$1960,0)))</f>
        <v/>
      </c>
      <c r="M1160" s="9">
        <f>IF(ISNA(MATCH(1151,'Transfer Engine'!$C$2:$C$1960,0)),"",INDEX('Compliance Database'!$M$2:$M$1960,MATCH(1151,'Transfer Engine'!$C$2:$C$1960,0)))</f>
        <v/>
      </c>
      <c r="N1160" s="9">
        <f>IF(ISNA(MATCH(1151,'Transfer Engine'!$C$2:$C$1960,0)),"",INDEX('Compliance Database'!$N$2:$N$1960,MATCH(1151,'Transfer Engine'!$C$2:$C$1960,0)))</f>
        <v/>
      </c>
      <c r="O1160" s="9">
        <f>IF(ISNA(MATCH(1151,'Transfer Engine'!$C$2:$C$1960,0)),"",INDEX('Compliance Database'!$O$2:$O$1960,MATCH(1151,'Transfer Engine'!$C$2:$C$1960,0)))</f>
        <v/>
      </c>
      <c r="P1160" s="8">
        <f>IF(ISNA(MATCH(1151,'Transfer Engine'!$C$2:$C$1960,0)),"",HYPERLINK("#Acts!A"&amp;INDEX('Compliance Database'!$P$2:$P$1960,MATCH(1151,'Transfer Engine'!$C$2:$C$1960,0)),"Go to Act"))</f>
        <v/>
      </c>
    </row>
    <row r="1161" ht="158" customHeight="1">
      <c r="A1161" s="8">
        <f>IF(ISNA(MATCH(1152,'Transfer Engine'!$C$2:$C$1960,0)),"",INDEX('Compliance Database'!$A$2:$A$1960,MATCH(1152,'Transfer Engine'!$C$2:$C$1960,0)))</f>
        <v/>
      </c>
      <c r="B1161" s="8">
        <f>IF(ISNA(MATCH(1152,'Transfer Engine'!$C$2:$C$1960,0)),"",INDEX('Compliance Database'!$B$2:$B$1960,MATCH(1152,'Transfer Engine'!$C$2:$C$1960,0)))</f>
        <v/>
      </c>
      <c r="C1161" s="8">
        <f>IF(ISNA(MATCH(1152,'Transfer Engine'!$C$2:$C$1960,0)),"",INDEX('Compliance Database'!$C$2:$C$1960,MATCH(1152,'Transfer Engine'!$C$2:$C$1960,0)))</f>
        <v/>
      </c>
      <c r="D1161" s="9">
        <f>IF(ISNA(MATCH(1152,'Transfer Engine'!$C$2:$C$1960,0)),"",INDEX('Compliance Database'!$D$2:$D$1960,MATCH(1152,'Transfer Engine'!$C$2:$C$1960,0)))</f>
        <v/>
      </c>
      <c r="E1161" s="8">
        <f>IF(ISNA(MATCH(1152,'Transfer Engine'!$C$2:$C$1960,0)),"",INDEX('Compliance Database'!$E$2:$E$1960,MATCH(1152,'Transfer Engine'!$C$2:$C$1960,0)))</f>
        <v/>
      </c>
      <c r="F1161" s="8">
        <f>IF(ISNA(MATCH(1152,'Transfer Engine'!$C$2:$C$1960,0)),"",INDEX('Compliance Database'!$F$2:$F$1960,MATCH(1152,'Transfer Engine'!$C$2:$C$1960,0)))</f>
        <v/>
      </c>
      <c r="G1161" s="8">
        <f>IF(ISNA(MATCH(1152,'Transfer Engine'!$C$2:$C$1960,0)),"",INDEX('Compliance Database'!$G$2:$G$1960,MATCH(1152,'Transfer Engine'!$C$2:$C$1960,0)))</f>
        <v/>
      </c>
      <c r="H1161" s="9">
        <f>IF(ISNA(MATCH(1152,'Transfer Engine'!$C$2:$C$1960,0)),"",INDEX('Compliance Database'!$H$2:$H$1960,MATCH(1152,'Transfer Engine'!$C$2:$C$1960,0)))</f>
        <v/>
      </c>
      <c r="I1161" s="9">
        <f>IF(ISNA(MATCH(1152,'Transfer Engine'!$C$2:$C$1960,0)),"",INDEX('Compliance Database'!$I$2:$I$1960,MATCH(1152,'Transfer Engine'!$C$2:$C$1960,0)))</f>
        <v/>
      </c>
      <c r="J1161" s="8">
        <f>IF(ISNA(MATCH(1152,'Transfer Engine'!$C$2:$C$1960,0)),"",INDEX('Compliance Database'!$J$2:$J$1960,MATCH(1152,'Transfer Engine'!$C$2:$C$1960,0)))</f>
        <v/>
      </c>
      <c r="K1161" s="9">
        <f>IF(ISNA(MATCH(1152,'Transfer Engine'!$C$2:$C$1960,0)),"",INDEX('Compliance Database'!$K$2:$K$1960,MATCH(1152,'Transfer Engine'!$C$2:$C$1960,0)))</f>
        <v/>
      </c>
      <c r="L1161" s="9">
        <f>IF(ISNA(MATCH(1152,'Transfer Engine'!$C$2:$C$1960,0)),"",INDEX('Compliance Database'!$L$2:$L$1960,MATCH(1152,'Transfer Engine'!$C$2:$C$1960,0)))</f>
        <v/>
      </c>
      <c r="M1161" s="9">
        <f>IF(ISNA(MATCH(1152,'Transfer Engine'!$C$2:$C$1960,0)),"",INDEX('Compliance Database'!$M$2:$M$1960,MATCH(1152,'Transfer Engine'!$C$2:$C$1960,0)))</f>
        <v/>
      </c>
      <c r="N1161" s="9">
        <f>IF(ISNA(MATCH(1152,'Transfer Engine'!$C$2:$C$1960,0)),"",INDEX('Compliance Database'!$N$2:$N$1960,MATCH(1152,'Transfer Engine'!$C$2:$C$1960,0)))</f>
        <v/>
      </c>
      <c r="O1161" s="9">
        <f>IF(ISNA(MATCH(1152,'Transfer Engine'!$C$2:$C$1960,0)),"",INDEX('Compliance Database'!$O$2:$O$1960,MATCH(1152,'Transfer Engine'!$C$2:$C$1960,0)))</f>
        <v/>
      </c>
      <c r="P1161" s="8">
        <f>IF(ISNA(MATCH(1152,'Transfer Engine'!$C$2:$C$1960,0)),"",HYPERLINK("#Acts!A"&amp;INDEX('Compliance Database'!$P$2:$P$1960,MATCH(1152,'Transfer Engine'!$C$2:$C$1960,0)),"Go to Act"))</f>
        <v/>
      </c>
    </row>
    <row r="1162" ht="158" customHeight="1">
      <c r="A1162" s="8">
        <f>IF(ISNA(MATCH(1153,'Transfer Engine'!$C$2:$C$1960,0)),"",INDEX('Compliance Database'!$A$2:$A$1960,MATCH(1153,'Transfer Engine'!$C$2:$C$1960,0)))</f>
        <v/>
      </c>
      <c r="B1162" s="8">
        <f>IF(ISNA(MATCH(1153,'Transfer Engine'!$C$2:$C$1960,0)),"",INDEX('Compliance Database'!$B$2:$B$1960,MATCH(1153,'Transfer Engine'!$C$2:$C$1960,0)))</f>
        <v/>
      </c>
      <c r="C1162" s="8">
        <f>IF(ISNA(MATCH(1153,'Transfer Engine'!$C$2:$C$1960,0)),"",INDEX('Compliance Database'!$C$2:$C$1960,MATCH(1153,'Transfer Engine'!$C$2:$C$1960,0)))</f>
        <v/>
      </c>
      <c r="D1162" s="9">
        <f>IF(ISNA(MATCH(1153,'Transfer Engine'!$C$2:$C$1960,0)),"",INDEX('Compliance Database'!$D$2:$D$1960,MATCH(1153,'Transfer Engine'!$C$2:$C$1960,0)))</f>
        <v/>
      </c>
      <c r="E1162" s="8">
        <f>IF(ISNA(MATCH(1153,'Transfer Engine'!$C$2:$C$1960,0)),"",INDEX('Compliance Database'!$E$2:$E$1960,MATCH(1153,'Transfer Engine'!$C$2:$C$1960,0)))</f>
        <v/>
      </c>
      <c r="F1162" s="8">
        <f>IF(ISNA(MATCH(1153,'Transfer Engine'!$C$2:$C$1960,0)),"",INDEX('Compliance Database'!$F$2:$F$1960,MATCH(1153,'Transfer Engine'!$C$2:$C$1960,0)))</f>
        <v/>
      </c>
      <c r="G1162" s="8">
        <f>IF(ISNA(MATCH(1153,'Transfer Engine'!$C$2:$C$1960,0)),"",INDEX('Compliance Database'!$G$2:$G$1960,MATCH(1153,'Transfer Engine'!$C$2:$C$1960,0)))</f>
        <v/>
      </c>
      <c r="H1162" s="9">
        <f>IF(ISNA(MATCH(1153,'Transfer Engine'!$C$2:$C$1960,0)),"",INDEX('Compliance Database'!$H$2:$H$1960,MATCH(1153,'Transfer Engine'!$C$2:$C$1960,0)))</f>
        <v/>
      </c>
      <c r="I1162" s="9">
        <f>IF(ISNA(MATCH(1153,'Transfer Engine'!$C$2:$C$1960,0)),"",INDEX('Compliance Database'!$I$2:$I$1960,MATCH(1153,'Transfer Engine'!$C$2:$C$1960,0)))</f>
        <v/>
      </c>
      <c r="J1162" s="8">
        <f>IF(ISNA(MATCH(1153,'Transfer Engine'!$C$2:$C$1960,0)),"",INDEX('Compliance Database'!$J$2:$J$1960,MATCH(1153,'Transfer Engine'!$C$2:$C$1960,0)))</f>
        <v/>
      </c>
      <c r="K1162" s="9">
        <f>IF(ISNA(MATCH(1153,'Transfer Engine'!$C$2:$C$1960,0)),"",INDEX('Compliance Database'!$K$2:$K$1960,MATCH(1153,'Transfer Engine'!$C$2:$C$1960,0)))</f>
        <v/>
      </c>
      <c r="L1162" s="9">
        <f>IF(ISNA(MATCH(1153,'Transfer Engine'!$C$2:$C$1960,0)),"",INDEX('Compliance Database'!$L$2:$L$1960,MATCH(1153,'Transfer Engine'!$C$2:$C$1960,0)))</f>
        <v/>
      </c>
      <c r="M1162" s="9">
        <f>IF(ISNA(MATCH(1153,'Transfer Engine'!$C$2:$C$1960,0)),"",INDEX('Compliance Database'!$M$2:$M$1960,MATCH(1153,'Transfer Engine'!$C$2:$C$1960,0)))</f>
        <v/>
      </c>
      <c r="N1162" s="9">
        <f>IF(ISNA(MATCH(1153,'Transfer Engine'!$C$2:$C$1960,0)),"",INDEX('Compliance Database'!$N$2:$N$1960,MATCH(1153,'Transfer Engine'!$C$2:$C$1960,0)))</f>
        <v/>
      </c>
      <c r="O1162" s="9">
        <f>IF(ISNA(MATCH(1153,'Transfer Engine'!$C$2:$C$1960,0)),"",INDEX('Compliance Database'!$O$2:$O$1960,MATCH(1153,'Transfer Engine'!$C$2:$C$1960,0)))</f>
        <v/>
      </c>
      <c r="P1162" s="8">
        <f>IF(ISNA(MATCH(1153,'Transfer Engine'!$C$2:$C$1960,0)),"",HYPERLINK("#Acts!A"&amp;INDEX('Compliance Database'!$P$2:$P$1960,MATCH(1153,'Transfer Engine'!$C$2:$C$1960,0)),"Go to Act"))</f>
        <v/>
      </c>
    </row>
    <row r="1163" ht="158" customHeight="1">
      <c r="A1163" s="8">
        <f>IF(ISNA(MATCH(1154,'Transfer Engine'!$C$2:$C$1960,0)),"",INDEX('Compliance Database'!$A$2:$A$1960,MATCH(1154,'Transfer Engine'!$C$2:$C$1960,0)))</f>
        <v/>
      </c>
      <c r="B1163" s="8">
        <f>IF(ISNA(MATCH(1154,'Transfer Engine'!$C$2:$C$1960,0)),"",INDEX('Compliance Database'!$B$2:$B$1960,MATCH(1154,'Transfer Engine'!$C$2:$C$1960,0)))</f>
        <v/>
      </c>
      <c r="C1163" s="8">
        <f>IF(ISNA(MATCH(1154,'Transfer Engine'!$C$2:$C$1960,0)),"",INDEX('Compliance Database'!$C$2:$C$1960,MATCH(1154,'Transfer Engine'!$C$2:$C$1960,0)))</f>
        <v/>
      </c>
      <c r="D1163" s="9">
        <f>IF(ISNA(MATCH(1154,'Transfer Engine'!$C$2:$C$1960,0)),"",INDEX('Compliance Database'!$D$2:$D$1960,MATCH(1154,'Transfer Engine'!$C$2:$C$1960,0)))</f>
        <v/>
      </c>
      <c r="E1163" s="8">
        <f>IF(ISNA(MATCH(1154,'Transfer Engine'!$C$2:$C$1960,0)),"",INDEX('Compliance Database'!$E$2:$E$1960,MATCH(1154,'Transfer Engine'!$C$2:$C$1960,0)))</f>
        <v/>
      </c>
      <c r="F1163" s="8">
        <f>IF(ISNA(MATCH(1154,'Transfer Engine'!$C$2:$C$1960,0)),"",INDEX('Compliance Database'!$F$2:$F$1960,MATCH(1154,'Transfer Engine'!$C$2:$C$1960,0)))</f>
        <v/>
      </c>
      <c r="G1163" s="8">
        <f>IF(ISNA(MATCH(1154,'Transfer Engine'!$C$2:$C$1960,0)),"",INDEX('Compliance Database'!$G$2:$G$1960,MATCH(1154,'Transfer Engine'!$C$2:$C$1960,0)))</f>
        <v/>
      </c>
      <c r="H1163" s="9">
        <f>IF(ISNA(MATCH(1154,'Transfer Engine'!$C$2:$C$1960,0)),"",INDEX('Compliance Database'!$H$2:$H$1960,MATCH(1154,'Transfer Engine'!$C$2:$C$1960,0)))</f>
        <v/>
      </c>
      <c r="I1163" s="9">
        <f>IF(ISNA(MATCH(1154,'Transfer Engine'!$C$2:$C$1960,0)),"",INDEX('Compliance Database'!$I$2:$I$1960,MATCH(1154,'Transfer Engine'!$C$2:$C$1960,0)))</f>
        <v/>
      </c>
      <c r="J1163" s="8">
        <f>IF(ISNA(MATCH(1154,'Transfer Engine'!$C$2:$C$1960,0)),"",INDEX('Compliance Database'!$J$2:$J$1960,MATCH(1154,'Transfer Engine'!$C$2:$C$1960,0)))</f>
        <v/>
      </c>
      <c r="K1163" s="9">
        <f>IF(ISNA(MATCH(1154,'Transfer Engine'!$C$2:$C$1960,0)),"",INDEX('Compliance Database'!$K$2:$K$1960,MATCH(1154,'Transfer Engine'!$C$2:$C$1960,0)))</f>
        <v/>
      </c>
      <c r="L1163" s="9">
        <f>IF(ISNA(MATCH(1154,'Transfer Engine'!$C$2:$C$1960,0)),"",INDEX('Compliance Database'!$L$2:$L$1960,MATCH(1154,'Transfer Engine'!$C$2:$C$1960,0)))</f>
        <v/>
      </c>
      <c r="M1163" s="9">
        <f>IF(ISNA(MATCH(1154,'Transfer Engine'!$C$2:$C$1960,0)),"",INDEX('Compliance Database'!$M$2:$M$1960,MATCH(1154,'Transfer Engine'!$C$2:$C$1960,0)))</f>
        <v/>
      </c>
      <c r="N1163" s="9">
        <f>IF(ISNA(MATCH(1154,'Transfer Engine'!$C$2:$C$1960,0)),"",INDEX('Compliance Database'!$N$2:$N$1960,MATCH(1154,'Transfer Engine'!$C$2:$C$1960,0)))</f>
        <v/>
      </c>
      <c r="O1163" s="9">
        <f>IF(ISNA(MATCH(1154,'Transfer Engine'!$C$2:$C$1960,0)),"",INDEX('Compliance Database'!$O$2:$O$1960,MATCH(1154,'Transfer Engine'!$C$2:$C$1960,0)))</f>
        <v/>
      </c>
      <c r="P1163" s="8">
        <f>IF(ISNA(MATCH(1154,'Transfer Engine'!$C$2:$C$1960,0)),"",HYPERLINK("#Acts!A"&amp;INDEX('Compliance Database'!$P$2:$P$1960,MATCH(1154,'Transfer Engine'!$C$2:$C$1960,0)),"Go to Act"))</f>
        <v/>
      </c>
    </row>
    <row r="1164" ht="158" customHeight="1">
      <c r="A1164" s="8">
        <f>IF(ISNA(MATCH(1155,'Transfer Engine'!$C$2:$C$1960,0)),"",INDEX('Compliance Database'!$A$2:$A$1960,MATCH(1155,'Transfer Engine'!$C$2:$C$1960,0)))</f>
        <v/>
      </c>
      <c r="B1164" s="8">
        <f>IF(ISNA(MATCH(1155,'Transfer Engine'!$C$2:$C$1960,0)),"",INDEX('Compliance Database'!$B$2:$B$1960,MATCH(1155,'Transfer Engine'!$C$2:$C$1960,0)))</f>
        <v/>
      </c>
      <c r="C1164" s="8">
        <f>IF(ISNA(MATCH(1155,'Transfer Engine'!$C$2:$C$1960,0)),"",INDEX('Compliance Database'!$C$2:$C$1960,MATCH(1155,'Transfer Engine'!$C$2:$C$1960,0)))</f>
        <v/>
      </c>
      <c r="D1164" s="9">
        <f>IF(ISNA(MATCH(1155,'Transfer Engine'!$C$2:$C$1960,0)),"",INDEX('Compliance Database'!$D$2:$D$1960,MATCH(1155,'Transfer Engine'!$C$2:$C$1960,0)))</f>
        <v/>
      </c>
      <c r="E1164" s="8">
        <f>IF(ISNA(MATCH(1155,'Transfer Engine'!$C$2:$C$1960,0)),"",INDEX('Compliance Database'!$E$2:$E$1960,MATCH(1155,'Transfer Engine'!$C$2:$C$1960,0)))</f>
        <v/>
      </c>
      <c r="F1164" s="8">
        <f>IF(ISNA(MATCH(1155,'Transfer Engine'!$C$2:$C$1960,0)),"",INDEX('Compliance Database'!$F$2:$F$1960,MATCH(1155,'Transfer Engine'!$C$2:$C$1960,0)))</f>
        <v/>
      </c>
      <c r="G1164" s="8">
        <f>IF(ISNA(MATCH(1155,'Transfer Engine'!$C$2:$C$1960,0)),"",INDEX('Compliance Database'!$G$2:$G$1960,MATCH(1155,'Transfer Engine'!$C$2:$C$1960,0)))</f>
        <v/>
      </c>
      <c r="H1164" s="9">
        <f>IF(ISNA(MATCH(1155,'Transfer Engine'!$C$2:$C$1960,0)),"",INDEX('Compliance Database'!$H$2:$H$1960,MATCH(1155,'Transfer Engine'!$C$2:$C$1960,0)))</f>
        <v/>
      </c>
      <c r="I1164" s="9">
        <f>IF(ISNA(MATCH(1155,'Transfer Engine'!$C$2:$C$1960,0)),"",INDEX('Compliance Database'!$I$2:$I$1960,MATCH(1155,'Transfer Engine'!$C$2:$C$1960,0)))</f>
        <v/>
      </c>
      <c r="J1164" s="8">
        <f>IF(ISNA(MATCH(1155,'Transfer Engine'!$C$2:$C$1960,0)),"",INDEX('Compliance Database'!$J$2:$J$1960,MATCH(1155,'Transfer Engine'!$C$2:$C$1960,0)))</f>
        <v/>
      </c>
      <c r="K1164" s="9">
        <f>IF(ISNA(MATCH(1155,'Transfer Engine'!$C$2:$C$1960,0)),"",INDEX('Compliance Database'!$K$2:$K$1960,MATCH(1155,'Transfer Engine'!$C$2:$C$1960,0)))</f>
        <v/>
      </c>
      <c r="L1164" s="9">
        <f>IF(ISNA(MATCH(1155,'Transfer Engine'!$C$2:$C$1960,0)),"",INDEX('Compliance Database'!$L$2:$L$1960,MATCH(1155,'Transfer Engine'!$C$2:$C$1960,0)))</f>
        <v/>
      </c>
      <c r="M1164" s="9">
        <f>IF(ISNA(MATCH(1155,'Transfer Engine'!$C$2:$C$1960,0)),"",INDEX('Compliance Database'!$M$2:$M$1960,MATCH(1155,'Transfer Engine'!$C$2:$C$1960,0)))</f>
        <v/>
      </c>
      <c r="N1164" s="9">
        <f>IF(ISNA(MATCH(1155,'Transfer Engine'!$C$2:$C$1960,0)),"",INDEX('Compliance Database'!$N$2:$N$1960,MATCH(1155,'Transfer Engine'!$C$2:$C$1960,0)))</f>
        <v/>
      </c>
      <c r="O1164" s="9">
        <f>IF(ISNA(MATCH(1155,'Transfer Engine'!$C$2:$C$1960,0)),"",INDEX('Compliance Database'!$O$2:$O$1960,MATCH(1155,'Transfer Engine'!$C$2:$C$1960,0)))</f>
        <v/>
      </c>
      <c r="P1164" s="8">
        <f>IF(ISNA(MATCH(1155,'Transfer Engine'!$C$2:$C$1960,0)),"",HYPERLINK("#Acts!A"&amp;INDEX('Compliance Database'!$P$2:$P$1960,MATCH(1155,'Transfer Engine'!$C$2:$C$1960,0)),"Go to Act"))</f>
        <v/>
      </c>
    </row>
    <row r="1165" ht="158" customHeight="1">
      <c r="A1165" s="8">
        <f>IF(ISNA(MATCH(1156,'Transfer Engine'!$C$2:$C$1960,0)),"",INDEX('Compliance Database'!$A$2:$A$1960,MATCH(1156,'Transfer Engine'!$C$2:$C$1960,0)))</f>
        <v/>
      </c>
      <c r="B1165" s="8">
        <f>IF(ISNA(MATCH(1156,'Transfer Engine'!$C$2:$C$1960,0)),"",INDEX('Compliance Database'!$B$2:$B$1960,MATCH(1156,'Transfer Engine'!$C$2:$C$1960,0)))</f>
        <v/>
      </c>
      <c r="C1165" s="8">
        <f>IF(ISNA(MATCH(1156,'Transfer Engine'!$C$2:$C$1960,0)),"",INDEX('Compliance Database'!$C$2:$C$1960,MATCH(1156,'Transfer Engine'!$C$2:$C$1960,0)))</f>
        <v/>
      </c>
      <c r="D1165" s="9">
        <f>IF(ISNA(MATCH(1156,'Transfer Engine'!$C$2:$C$1960,0)),"",INDEX('Compliance Database'!$D$2:$D$1960,MATCH(1156,'Transfer Engine'!$C$2:$C$1960,0)))</f>
        <v/>
      </c>
      <c r="E1165" s="8">
        <f>IF(ISNA(MATCH(1156,'Transfer Engine'!$C$2:$C$1960,0)),"",INDEX('Compliance Database'!$E$2:$E$1960,MATCH(1156,'Transfer Engine'!$C$2:$C$1960,0)))</f>
        <v/>
      </c>
      <c r="F1165" s="8">
        <f>IF(ISNA(MATCH(1156,'Transfer Engine'!$C$2:$C$1960,0)),"",INDEX('Compliance Database'!$F$2:$F$1960,MATCH(1156,'Transfer Engine'!$C$2:$C$1960,0)))</f>
        <v/>
      </c>
      <c r="G1165" s="8">
        <f>IF(ISNA(MATCH(1156,'Transfer Engine'!$C$2:$C$1960,0)),"",INDEX('Compliance Database'!$G$2:$G$1960,MATCH(1156,'Transfer Engine'!$C$2:$C$1960,0)))</f>
        <v/>
      </c>
      <c r="H1165" s="9">
        <f>IF(ISNA(MATCH(1156,'Transfer Engine'!$C$2:$C$1960,0)),"",INDEX('Compliance Database'!$H$2:$H$1960,MATCH(1156,'Transfer Engine'!$C$2:$C$1960,0)))</f>
        <v/>
      </c>
      <c r="I1165" s="9">
        <f>IF(ISNA(MATCH(1156,'Transfer Engine'!$C$2:$C$1960,0)),"",INDEX('Compliance Database'!$I$2:$I$1960,MATCH(1156,'Transfer Engine'!$C$2:$C$1960,0)))</f>
        <v/>
      </c>
      <c r="J1165" s="8">
        <f>IF(ISNA(MATCH(1156,'Transfer Engine'!$C$2:$C$1960,0)),"",INDEX('Compliance Database'!$J$2:$J$1960,MATCH(1156,'Transfer Engine'!$C$2:$C$1960,0)))</f>
        <v/>
      </c>
      <c r="K1165" s="9">
        <f>IF(ISNA(MATCH(1156,'Transfer Engine'!$C$2:$C$1960,0)),"",INDEX('Compliance Database'!$K$2:$K$1960,MATCH(1156,'Transfer Engine'!$C$2:$C$1960,0)))</f>
        <v/>
      </c>
      <c r="L1165" s="9">
        <f>IF(ISNA(MATCH(1156,'Transfer Engine'!$C$2:$C$1960,0)),"",INDEX('Compliance Database'!$L$2:$L$1960,MATCH(1156,'Transfer Engine'!$C$2:$C$1960,0)))</f>
        <v/>
      </c>
      <c r="M1165" s="9">
        <f>IF(ISNA(MATCH(1156,'Transfer Engine'!$C$2:$C$1960,0)),"",INDEX('Compliance Database'!$M$2:$M$1960,MATCH(1156,'Transfer Engine'!$C$2:$C$1960,0)))</f>
        <v/>
      </c>
      <c r="N1165" s="9">
        <f>IF(ISNA(MATCH(1156,'Transfer Engine'!$C$2:$C$1960,0)),"",INDEX('Compliance Database'!$N$2:$N$1960,MATCH(1156,'Transfer Engine'!$C$2:$C$1960,0)))</f>
        <v/>
      </c>
      <c r="O1165" s="9">
        <f>IF(ISNA(MATCH(1156,'Transfer Engine'!$C$2:$C$1960,0)),"",INDEX('Compliance Database'!$O$2:$O$1960,MATCH(1156,'Transfer Engine'!$C$2:$C$1960,0)))</f>
        <v/>
      </c>
      <c r="P1165" s="8">
        <f>IF(ISNA(MATCH(1156,'Transfer Engine'!$C$2:$C$1960,0)),"",HYPERLINK("#Acts!A"&amp;INDEX('Compliance Database'!$P$2:$P$1960,MATCH(1156,'Transfer Engine'!$C$2:$C$1960,0)),"Go to Act"))</f>
        <v/>
      </c>
    </row>
    <row r="1166" ht="158" customHeight="1">
      <c r="A1166" s="8">
        <f>IF(ISNA(MATCH(1157,'Transfer Engine'!$C$2:$C$1960,0)),"",INDEX('Compliance Database'!$A$2:$A$1960,MATCH(1157,'Transfer Engine'!$C$2:$C$1960,0)))</f>
        <v/>
      </c>
      <c r="B1166" s="8">
        <f>IF(ISNA(MATCH(1157,'Transfer Engine'!$C$2:$C$1960,0)),"",INDEX('Compliance Database'!$B$2:$B$1960,MATCH(1157,'Transfer Engine'!$C$2:$C$1960,0)))</f>
        <v/>
      </c>
      <c r="C1166" s="8">
        <f>IF(ISNA(MATCH(1157,'Transfer Engine'!$C$2:$C$1960,0)),"",INDEX('Compliance Database'!$C$2:$C$1960,MATCH(1157,'Transfer Engine'!$C$2:$C$1960,0)))</f>
        <v/>
      </c>
      <c r="D1166" s="9">
        <f>IF(ISNA(MATCH(1157,'Transfer Engine'!$C$2:$C$1960,0)),"",INDEX('Compliance Database'!$D$2:$D$1960,MATCH(1157,'Transfer Engine'!$C$2:$C$1960,0)))</f>
        <v/>
      </c>
      <c r="E1166" s="8">
        <f>IF(ISNA(MATCH(1157,'Transfer Engine'!$C$2:$C$1960,0)),"",INDEX('Compliance Database'!$E$2:$E$1960,MATCH(1157,'Transfer Engine'!$C$2:$C$1960,0)))</f>
        <v/>
      </c>
      <c r="F1166" s="8">
        <f>IF(ISNA(MATCH(1157,'Transfer Engine'!$C$2:$C$1960,0)),"",INDEX('Compliance Database'!$F$2:$F$1960,MATCH(1157,'Transfer Engine'!$C$2:$C$1960,0)))</f>
        <v/>
      </c>
      <c r="G1166" s="8">
        <f>IF(ISNA(MATCH(1157,'Transfer Engine'!$C$2:$C$1960,0)),"",INDEX('Compliance Database'!$G$2:$G$1960,MATCH(1157,'Transfer Engine'!$C$2:$C$1960,0)))</f>
        <v/>
      </c>
      <c r="H1166" s="9">
        <f>IF(ISNA(MATCH(1157,'Transfer Engine'!$C$2:$C$1960,0)),"",INDEX('Compliance Database'!$H$2:$H$1960,MATCH(1157,'Transfer Engine'!$C$2:$C$1960,0)))</f>
        <v/>
      </c>
      <c r="I1166" s="9">
        <f>IF(ISNA(MATCH(1157,'Transfer Engine'!$C$2:$C$1960,0)),"",INDEX('Compliance Database'!$I$2:$I$1960,MATCH(1157,'Transfer Engine'!$C$2:$C$1960,0)))</f>
        <v/>
      </c>
      <c r="J1166" s="8">
        <f>IF(ISNA(MATCH(1157,'Transfer Engine'!$C$2:$C$1960,0)),"",INDEX('Compliance Database'!$J$2:$J$1960,MATCH(1157,'Transfer Engine'!$C$2:$C$1960,0)))</f>
        <v/>
      </c>
      <c r="K1166" s="9">
        <f>IF(ISNA(MATCH(1157,'Transfer Engine'!$C$2:$C$1960,0)),"",INDEX('Compliance Database'!$K$2:$K$1960,MATCH(1157,'Transfer Engine'!$C$2:$C$1960,0)))</f>
        <v/>
      </c>
      <c r="L1166" s="9">
        <f>IF(ISNA(MATCH(1157,'Transfer Engine'!$C$2:$C$1960,0)),"",INDEX('Compliance Database'!$L$2:$L$1960,MATCH(1157,'Transfer Engine'!$C$2:$C$1960,0)))</f>
        <v/>
      </c>
      <c r="M1166" s="9">
        <f>IF(ISNA(MATCH(1157,'Transfer Engine'!$C$2:$C$1960,0)),"",INDEX('Compliance Database'!$M$2:$M$1960,MATCH(1157,'Transfer Engine'!$C$2:$C$1960,0)))</f>
        <v/>
      </c>
      <c r="N1166" s="9">
        <f>IF(ISNA(MATCH(1157,'Transfer Engine'!$C$2:$C$1960,0)),"",INDEX('Compliance Database'!$N$2:$N$1960,MATCH(1157,'Transfer Engine'!$C$2:$C$1960,0)))</f>
        <v/>
      </c>
      <c r="O1166" s="9">
        <f>IF(ISNA(MATCH(1157,'Transfer Engine'!$C$2:$C$1960,0)),"",INDEX('Compliance Database'!$O$2:$O$1960,MATCH(1157,'Transfer Engine'!$C$2:$C$1960,0)))</f>
        <v/>
      </c>
      <c r="P1166" s="8">
        <f>IF(ISNA(MATCH(1157,'Transfer Engine'!$C$2:$C$1960,0)),"",HYPERLINK("#Acts!A"&amp;INDEX('Compliance Database'!$P$2:$P$1960,MATCH(1157,'Transfer Engine'!$C$2:$C$1960,0)),"Go to Act"))</f>
        <v/>
      </c>
    </row>
    <row r="1167" ht="158" customHeight="1">
      <c r="A1167" s="8">
        <f>IF(ISNA(MATCH(1158,'Transfer Engine'!$C$2:$C$1960,0)),"",INDEX('Compliance Database'!$A$2:$A$1960,MATCH(1158,'Transfer Engine'!$C$2:$C$1960,0)))</f>
        <v/>
      </c>
      <c r="B1167" s="8">
        <f>IF(ISNA(MATCH(1158,'Transfer Engine'!$C$2:$C$1960,0)),"",INDEX('Compliance Database'!$B$2:$B$1960,MATCH(1158,'Transfer Engine'!$C$2:$C$1960,0)))</f>
        <v/>
      </c>
      <c r="C1167" s="8">
        <f>IF(ISNA(MATCH(1158,'Transfer Engine'!$C$2:$C$1960,0)),"",INDEX('Compliance Database'!$C$2:$C$1960,MATCH(1158,'Transfer Engine'!$C$2:$C$1960,0)))</f>
        <v/>
      </c>
      <c r="D1167" s="9">
        <f>IF(ISNA(MATCH(1158,'Transfer Engine'!$C$2:$C$1960,0)),"",INDEX('Compliance Database'!$D$2:$D$1960,MATCH(1158,'Transfer Engine'!$C$2:$C$1960,0)))</f>
        <v/>
      </c>
      <c r="E1167" s="8">
        <f>IF(ISNA(MATCH(1158,'Transfer Engine'!$C$2:$C$1960,0)),"",INDEX('Compliance Database'!$E$2:$E$1960,MATCH(1158,'Transfer Engine'!$C$2:$C$1960,0)))</f>
        <v/>
      </c>
      <c r="F1167" s="8">
        <f>IF(ISNA(MATCH(1158,'Transfer Engine'!$C$2:$C$1960,0)),"",INDEX('Compliance Database'!$F$2:$F$1960,MATCH(1158,'Transfer Engine'!$C$2:$C$1960,0)))</f>
        <v/>
      </c>
      <c r="G1167" s="8">
        <f>IF(ISNA(MATCH(1158,'Transfer Engine'!$C$2:$C$1960,0)),"",INDEX('Compliance Database'!$G$2:$G$1960,MATCH(1158,'Transfer Engine'!$C$2:$C$1960,0)))</f>
        <v/>
      </c>
      <c r="H1167" s="9">
        <f>IF(ISNA(MATCH(1158,'Transfer Engine'!$C$2:$C$1960,0)),"",INDEX('Compliance Database'!$H$2:$H$1960,MATCH(1158,'Transfer Engine'!$C$2:$C$1960,0)))</f>
        <v/>
      </c>
      <c r="I1167" s="9">
        <f>IF(ISNA(MATCH(1158,'Transfer Engine'!$C$2:$C$1960,0)),"",INDEX('Compliance Database'!$I$2:$I$1960,MATCH(1158,'Transfer Engine'!$C$2:$C$1960,0)))</f>
        <v/>
      </c>
      <c r="J1167" s="8">
        <f>IF(ISNA(MATCH(1158,'Transfer Engine'!$C$2:$C$1960,0)),"",INDEX('Compliance Database'!$J$2:$J$1960,MATCH(1158,'Transfer Engine'!$C$2:$C$1960,0)))</f>
        <v/>
      </c>
      <c r="K1167" s="9">
        <f>IF(ISNA(MATCH(1158,'Transfer Engine'!$C$2:$C$1960,0)),"",INDEX('Compliance Database'!$K$2:$K$1960,MATCH(1158,'Transfer Engine'!$C$2:$C$1960,0)))</f>
        <v/>
      </c>
      <c r="L1167" s="9">
        <f>IF(ISNA(MATCH(1158,'Transfer Engine'!$C$2:$C$1960,0)),"",INDEX('Compliance Database'!$L$2:$L$1960,MATCH(1158,'Transfer Engine'!$C$2:$C$1960,0)))</f>
        <v/>
      </c>
      <c r="M1167" s="9">
        <f>IF(ISNA(MATCH(1158,'Transfer Engine'!$C$2:$C$1960,0)),"",INDEX('Compliance Database'!$M$2:$M$1960,MATCH(1158,'Transfer Engine'!$C$2:$C$1960,0)))</f>
        <v/>
      </c>
      <c r="N1167" s="9">
        <f>IF(ISNA(MATCH(1158,'Transfer Engine'!$C$2:$C$1960,0)),"",INDEX('Compliance Database'!$N$2:$N$1960,MATCH(1158,'Transfer Engine'!$C$2:$C$1960,0)))</f>
        <v/>
      </c>
      <c r="O1167" s="9">
        <f>IF(ISNA(MATCH(1158,'Transfer Engine'!$C$2:$C$1960,0)),"",INDEX('Compliance Database'!$O$2:$O$1960,MATCH(1158,'Transfer Engine'!$C$2:$C$1960,0)))</f>
        <v/>
      </c>
      <c r="P1167" s="8">
        <f>IF(ISNA(MATCH(1158,'Transfer Engine'!$C$2:$C$1960,0)),"",HYPERLINK("#Acts!A"&amp;INDEX('Compliance Database'!$P$2:$P$1960,MATCH(1158,'Transfer Engine'!$C$2:$C$1960,0)),"Go to Act"))</f>
        <v/>
      </c>
    </row>
    <row r="1168" ht="158" customHeight="1">
      <c r="A1168" s="8">
        <f>IF(ISNA(MATCH(1159,'Transfer Engine'!$C$2:$C$1960,0)),"",INDEX('Compliance Database'!$A$2:$A$1960,MATCH(1159,'Transfer Engine'!$C$2:$C$1960,0)))</f>
        <v/>
      </c>
      <c r="B1168" s="8">
        <f>IF(ISNA(MATCH(1159,'Transfer Engine'!$C$2:$C$1960,0)),"",INDEX('Compliance Database'!$B$2:$B$1960,MATCH(1159,'Transfer Engine'!$C$2:$C$1960,0)))</f>
        <v/>
      </c>
      <c r="C1168" s="8">
        <f>IF(ISNA(MATCH(1159,'Transfer Engine'!$C$2:$C$1960,0)),"",INDEX('Compliance Database'!$C$2:$C$1960,MATCH(1159,'Transfer Engine'!$C$2:$C$1960,0)))</f>
        <v/>
      </c>
      <c r="D1168" s="9">
        <f>IF(ISNA(MATCH(1159,'Transfer Engine'!$C$2:$C$1960,0)),"",INDEX('Compliance Database'!$D$2:$D$1960,MATCH(1159,'Transfer Engine'!$C$2:$C$1960,0)))</f>
        <v/>
      </c>
      <c r="E1168" s="8">
        <f>IF(ISNA(MATCH(1159,'Transfer Engine'!$C$2:$C$1960,0)),"",INDEX('Compliance Database'!$E$2:$E$1960,MATCH(1159,'Transfer Engine'!$C$2:$C$1960,0)))</f>
        <v/>
      </c>
      <c r="F1168" s="8">
        <f>IF(ISNA(MATCH(1159,'Transfer Engine'!$C$2:$C$1960,0)),"",INDEX('Compliance Database'!$F$2:$F$1960,MATCH(1159,'Transfer Engine'!$C$2:$C$1960,0)))</f>
        <v/>
      </c>
      <c r="G1168" s="8">
        <f>IF(ISNA(MATCH(1159,'Transfer Engine'!$C$2:$C$1960,0)),"",INDEX('Compliance Database'!$G$2:$G$1960,MATCH(1159,'Transfer Engine'!$C$2:$C$1960,0)))</f>
        <v/>
      </c>
      <c r="H1168" s="9">
        <f>IF(ISNA(MATCH(1159,'Transfer Engine'!$C$2:$C$1960,0)),"",INDEX('Compliance Database'!$H$2:$H$1960,MATCH(1159,'Transfer Engine'!$C$2:$C$1960,0)))</f>
        <v/>
      </c>
      <c r="I1168" s="9">
        <f>IF(ISNA(MATCH(1159,'Transfer Engine'!$C$2:$C$1960,0)),"",INDEX('Compliance Database'!$I$2:$I$1960,MATCH(1159,'Transfer Engine'!$C$2:$C$1960,0)))</f>
        <v/>
      </c>
      <c r="J1168" s="8">
        <f>IF(ISNA(MATCH(1159,'Transfer Engine'!$C$2:$C$1960,0)),"",INDEX('Compliance Database'!$J$2:$J$1960,MATCH(1159,'Transfer Engine'!$C$2:$C$1960,0)))</f>
        <v/>
      </c>
      <c r="K1168" s="9">
        <f>IF(ISNA(MATCH(1159,'Transfer Engine'!$C$2:$C$1960,0)),"",INDEX('Compliance Database'!$K$2:$K$1960,MATCH(1159,'Transfer Engine'!$C$2:$C$1960,0)))</f>
        <v/>
      </c>
      <c r="L1168" s="9">
        <f>IF(ISNA(MATCH(1159,'Transfer Engine'!$C$2:$C$1960,0)),"",INDEX('Compliance Database'!$L$2:$L$1960,MATCH(1159,'Transfer Engine'!$C$2:$C$1960,0)))</f>
        <v/>
      </c>
      <c r="M1168" s="9">
        <f>IF(ISNA(MATCH(1159,'Transfer Engine'!$C$2:$C$1960,0)),"",INDEX('Compliance Database'!$M$2:$M$1960,MATCH(1159,'Transfer Engine'!$C$2:$C$1960,0)))</f>
        <v/>
      </c>
      <c r="N1168" s="9">
        <f>IF(ISNA(MATCH(1159,'Transfer Engine'!$C$2:$C$1960,0)),"",INDEX('Compliance Database'!$N$2:$N$1960,MATCH(1159,'Transfer Engine'!$C$2:$C$1960,0)))</f>
        <v/>
      </c>
      <c r="O1168" s="9">
        <f>IF(ISNA(MATCH(1159,'Transfer Engine'!$C$2:$C$1960,0)),"",INDEX('Compliance Database'!$O$2:$O$1960,MATCH(1159,'Transfer Engine'!$C$2:$C$1960,0)))</f>
        <v/>
      </c>
      <c r="P1168" s="8">
        <f>IF(ISNA(MATCH(1159,'Transfer Engine'!$C$2:$C$1960,0)),"",HYPERLINK("#Acts!A"&amp;INDEX('Compliance Database'!$P$2:$P$1960,MATCH(1159,'Transfer Engine'!$C$2:$C$1960,0)),"Go to Act"))</f>
        <v/>
      </c>
    </row>
    <row r="1169" ht="158" customHeight="1">
      <c r="A1169" s="8">
        <f>IF(ISNA(MATCH(1160,'Transfer Engine'!$C$2:$C$1960,0)),"",INDEX('Compliance Database'!$A$2:$A$1960,MATCH(1160,'Transfer Engine'!$C$2:$C$1960,0)))</f>
        <v/>
      </c>
      <c r="B1169" s="8">
        <f>IF(ISNA(MATCH(1160,'Transfer Engine'!$C$2:$C$1960,0)),"",INDEX('Compliance Database'!$B$2:$B$1960,MATCH(1160,'Transfer Engine'!$C$2:$C$1960,0)))</f>
        <v/>
      </c>
      <c r="C1169" s="8">
        <f>IF(ISNA(MATCH(1160,'Transfer Engine'!$C$2:$C$1960,0)),"",INDEX('Compliance Database'!$C$2:$C$1960,MATCH(1160,'Transfer Engine'!$C$2:$C$1960,0)))</f>
        <v/>
      </c>
      <c r="D1169" s="9">
        <f>IF(ISNA(MATCH(1160,'Transfer Engine'!$C$2:$C$1960,0)),"",INDEX('Compliance Database'!$D$2:$D$1960,MATCH(1160,'Transfer Engine'!$C$2:$C$1960,0)))</f>
        <v/>
      </c>
      <c r="E1169" s="8">
        <f>IF(ISNA(MATCH(1160,'Transfer Engine'!$C$2:$C$1960,0)),"",INDEX('Compliance Database'!$E$2:$E$1960,MATCH(1160,'Transfer Engine'!$C$2:$C$1960,0)))</f>
        <v/>
      </c>
      <c r="F1169" s="8">
        <f>IF(ISNA(MATCH(1160,'Transfer Engine'!$C$2:$C$1960,0)),"",INDEX('Compliance Database'!$F$2:$F$1960,MATCH(1160,'Transfer Engine'!$C$2:$C$1960,0)))</f>
        <v/>
      </c>
      <c r="G1169" s="8">
        <f>IF(ISNA(MATCH(1160,'Transfer Engine'!$C$2:$C$1960,0)),"",INDEX('Compliance Database'!$G$2:$G$1960,MATCH(1160,'Transfer Engine'!$C$2:$C$1960,0)))</f>
        <v/>
      </c>
      <c r="H1169" s="9">
        <f>IF(ISNA(MATCH(1160,'Transfer Engine'!$C$2:$C$1960,0)),"",INDEX('Compliance Database'!$H$2:$H$1960,MATCH(1160,'Transfer Engine'!$C$2:$C$1960,0)))</f>
        <v/>
      </c>
      <c r="I1169" s="9">
        <f>IF(ISNA(MATCH(1160,'Transfer Engine'!$C$2:$C$1960,0)),"",INDEX('Compliance Database'!$I$2:$I$1960,MATCH(1160,'Transfer Engine'!$C$2:$C$1960,0)))</f>
        <v/>
      </c>
      <c r="J1169" s="8">
        <f>IF(ISNA(MATCH(1160,'Transfer Engine'!$C$2:$C$1960,0)),"",INDEX('Compliance Database'!$J$2:$J$1960,MATCH(1160,'Transfer Engine'!$C$2:$C$1960,0)))</f>
        <v/>
      </c>
      <c r="K1169" s="9">
        <f>IF(ISNA(MATCH(1160,'Transfer Engine'!$C$2:$C$1960,0)),"",INDEX('Compliance Database'!$K$2:$K$1960,MATCH(1160,'Transfer Engine'!$C$2:$C$1960,0)))</f>
        <v/>
      </c>
      <c r="L1169" s="9">
        <f>IF(ISNA(MATCH(1160,'Transfer Engine'!$C$2:$C$1960,0)),"",INDEX('Compliance Database'!$L$2:$L$1960,MATCH(1160,'Transfer Engine'!$C$2:$C$1960,0)))</f>
        <v/>
      </c>
      <c r="M1169" s="9">
        <f>IF(ISNA(MATCH(1160,'Transfer Engine'!$C$2:$C$1960,0)),"",INDEX('Compliance Database'!$M$2:$M$1960,MATCH(1160,'Transfer Engine'!$C$2:$C$1960,0)))</f>
        <v/>
      </c>
      <c r="N1169" s="9">
        <f>IF(ISNA(MATCH(1160,'Transfer Engine'!$C$2:$C$1960,0)),"",INDEX('Compliance Database'!$N$2:$N$1960,MATCH(1160,'Transfer Engine'!$C$2:$C$1960,0)))</f>
        <v/>
      </c>
      <c r="O1169" s="9">
        <f>IF(ISNA(MATCH(1160,'Transfer Engine'!$C$2:$C$1960,0)),"",INDEX('Compliance Database'!$O$2:$O$1960,MATCH(1160,'Transfer Engine'!$C$2:$C$1960,0)))</f>
        <v/>
      </c>
      <c r="P1169" s="8">
        <f>IF(ISNA(MATCH(1160,'Transfer Engine'!$C$2:$C$1960,0)),"",HYPERLINK("#Acts!A"&amp;INDEX('Compliance Database'!$P$2:$P$1960,MATCH(1160,'Transfer Engine'!$C$2:$C$1960,0)),"Go to Act"))</f>
        <v/>
      </c>
    </row>
    <row r="1170" ht="158" customHeight="1">
      <c r="A1170" s="8">
        <f>IF(ISNA(MATCH(1161,'Transfer Engine'!$C$2:$C$1960,0)),"",INDEX('Compliance Database'!$A$2:$A$1960,MATCH(1161,'Transfer Engine'!$C$2:$C$1960,0)))</f>
        <v/>
      </c>
      <c r="B1170" s="8">
        <f>IF(ISNA(MATCH(1161,'Transfer Engine'!$C$2:$C$1960,0)),"",INDEX('Compliance Database'!$B$2:$B$1960,MATCH(1161,'Transfer Engine'!$C$2:$C$1960,0)))</f>
        <v/>
      </c>
      <c r="C1170" s="8">
        <f>IF(ISNA(MATCH(1161,'Transfer Engine'!$C$2:$C$1960,0)),"",INDEX('Compliance Database'!$C$2:$C$1960,MATCH(1161,'Transfer Engine'!$C$2:$C$1960,0)))</f>
        <v/>
      </c>
      <c r="D1170" s="9">
        <f>IF(ISNA(MATCH(1161,'Transfer Engine'!$C$2:$C$1960,0)),"",INDEX('Compliance Database'!$D$2:$D$1960,MATCH(1161,'Transfer Engine'!$C$2:$C$1960,0)))</f>
        <v/>
      </c>
      <c r="E1170" s="8">
        <f>IF(ISNA(MATCH(1161,'Transfer Engine'!$C$2:$C$1960,0)),"",INDEX('Compliance Database'!$E$2:$E$1960,MATCH(1161,'Transfer Engine'!$C$2:$C$1960,0)))</f>
        <v/>
      </c>
      <c r="F1170" s="8">
        <f>IF(ISNA(MATCH(1161,'Transfer Engine'!$C$2:$C$1960,0)),"",INDEX('Compliance Database'!$F$2:$F$1960,MATCH(1161,'Transfer Engine'!$C$2:$C$1960,0)))</f>
        <v/>
      </c>
      <c r="G1170" s="8">
        <f>IF(ISNA(MATCH(1161,'Transfer Engine'!$C$2:$C$1960,0)),"",INDEX('Compliance Database'!$G$2:$G$1960,MATCH(1161,'Transfer Engine'!$C$2:$C$1960,0)))</f>
        <v/>
      </c>
      <c r="H1170" s="9">
        <f>IF(ISNA(MATCH(1161,'Transfer Engine'!$C$2:$C$1960,0)),"",INDEX('Compliance Database'!$H$2:$H$1960,MATCH(1161,'Transfer Engine'!$C$2:$C$1960,0)))</f>
        <v/>
      </c>
      <c r="I1170" s="9">
        <f>IF(ISNA(MATCH(1161,'Transfer Engine'!$C$2:$C$1960,0)),"",INDEX('Compliance Database'!$I$2:$I$1960,MATCH(1161,'Transfer Engine'!$C$2:$C$1960,0)))</f>
        <v/>
      </c>
      <c r="J1170" s="8">
        <f>IF(ISNA(MATCH(1161,'Transfer Engine'!$C$2:$C$1960,0)),"",INDEX('Compliance Database'!$J$2:$J$1960,MATCH(1161,'Transfer Engine'!$C$2:$C$1960,0)))</f>
        <v/>
      </c>
      <c r="K1170" s="9">
        <f>IF(ISNA(MATCH(1161,'Transfer Engine'!$C$2:$C$1960,0)),"",INDEX('Compliance Database'!$K$2:$K$1960,MATCH(1161,'Transfer Engine'!$C$2:$C$1960,0)))</f>
        <v/>
      </c>
      <c r="L1170" s="9">
        <f>IF(ISNA(MATCH(1161,'Transfer Engine'!$C$2:$C$1960,0)),"",INDEX('Compliance Database'!$L$2:$L$1960,MATCH(1161,'Transfer Engine'!$C$2:$C$1960,0)))</f>
        <v/>
      </c>
      <c r="M1170" s="9">
        <f>IF(ISNA(MATCH(1161,'Transfer Engine'!$C$2:$C$1960,0)),"",INDEX('Compliance Database'!$M$2:$M$1960,MATCH(1161,'Transfer Engine'!$C$2:$C$1960,0)))</f>
        <v/>
      </c>
      <c r="N1170" s="9">
        <f>IF(ISNA(MATCH(1161,'Transfer Engine'!$C$2:$C$1960,0)),"",INDEX('Compliance Database'!$N$2:$N$1960,MATCH(1161,'Transfer Engine'!$C$2:$C$1960,0)))</f>
        <v/>
      </c>
      <c r="O1170" s="9">
        <f>IF(ISNA(MATCH(1161,'Transfer Engine'!$C$2:$C$1960,0)),"",INDEX('Compliance Database'!$O$2:$O$1960,MATCH(1161,'Transfer Engine'!$C$2:$C$1960,0)))</f>
        <v/>
      </c>
      <c r="P1170" s="8">
        <f>IF(ISNA(MATCH(1161,'Transfer Engine'!$C$2:$C$1960,0)),"",HYPERLINK("#Acts!A"&amp;INDEX('Compliance Database'!$P$2:$P$1960,MATCH(1161,'Transfer Engine'!$C$2:$C$1960,0)),"Go to Act"))</f>
        <v/>
      </c>
    </row>
    <row r="1171" ht="158" customHeight="1">
      <c r="A1171" s="8">
        <f>IF(ISNA(MATCH(1162,'Transfer Engine'!$C$2:$C$1960,0)),"",INDEX('Compliance Database'!$A$2:$A$1960,MATCH(1162,'Transfer Engine'!$C$2:$C$1960,0)))</f>
        <v/>
      </c>
      <c r="B1171" s="8">
        <f>IF(ISNA(MATCH(1162,'Transfer Engine'!$C$2:$C$1960,0)),"",INDEX('Compliance Database'!$B$2:$B$1960,MATCH(1162,'Transfer Engine'!$C$2:$C$1960,0)))</f>
        <v/>
      </c>
      <c r="C1171" s="8">
        <f>IF(ISNA(MATCH(1162,'Transfer Engine'!$C$2:$C$1960,0)),"",INDEX('Compliance Database'!$C$2:$C$1960,MATCH(1162,'Transfer Engine'!$C$2:$C$1960,0)))</f>
        <v/>
      </c>
      <c r="D1171" s="9">
        <f>IF(ISNA(MATCH(1162,'Transfer Engine'!$C$2:$C$1960,0)),"",INDEX('Compliance Database'!$D$2:$D$1960,MATCH(1162,'Transfer Engine'!$C$2:$C$1960,0)))</f>
        <v/>
      </c>
      <c r="E1171" s="8">
        <f>IF(ISNA(MATCH(1162,'Transfer Engine'!$C$2:$C$1960,0)),"",INDEX('Compliance Database'!$E$2:$E$1960,MATCH(1162,'Transfer Engine'!$C$2:$C$1960,0)))</f>
        <v/>
      </c>
      <c r="F1171" s="8">
        <f>IF(ISNA(MATCH(1162,'Transfer Engine'!$C$2:$C$1960,0)),"",INDEX('Compliance Database'!$F$2:$F$1960,MATCH(1162,'Transfer Engine'!$C$2:$C$1960,0)))</f>
        <v/>
      </c>
      <c r="G1171" s="8">
        <f>IF(ISNA(MATCH(1162,'Transfer Engine'!$C$2:$C$1960,0)),"",INDEX('Compliance Database'!$G$2:$G$1960,MATCH(1162,'Transfer Engine'!$C$2:$C$1960,0)))</f>
        <v/>
      </c>
      <c r="H1171" s="9">
        <f>IF(ISNA(MATCH(1162,'Transfer Engine'!$C$2:$C$1960,0)),"",INDEX('Compliance Database'!$H$2:$H$1960,MATCH(1162,'Transfer Engine'!$C$2:$C$1960,0)))</f>
        <v/>
      </c>
      <c r="I1171" s="9">
        <f>IF(ISNA(MATCH(1162,'Transfer Engine'!$C$2:$C$1960,0)),"",INDEX('Compliance Database'!$I$2:$I$1960,MATCH(1162,'Transfer Engine'!$C$2:$C$1960,0)))</f>
        <v/>
      </c>
      <c r="J1171" s="8">
        <f>IF(ISNA(MATCH(1162,'Transfer Engine'!$C$2:$C$1960,0)),"",INDEX('Compliance Database'!$J$2:$J$1960,MATCH(1162,'Transfer Engine'!$C$2:$C$1960,0)))</f>
        <v/>
      </c>
      <c r="K1171" s="9">
        <f>IF(ISNA(MATCH(1162,'Transfer Engine'!$C$2:$C$1960,0)),"",INDEX('Compliance Database'!$K$2:$K$1960,MATCH(1162,'Transfer Engine'!$C$2:$C$1960,0)))</f>
        <v/>
      </c>
      <c r="L1171" s="9">
        <f>IF(ISNA(MATCH(1162,'Transfer Engine'!$C$2:$C$1960,0)),"",INDEX('Compliance Database'!$L$2:$L$1960,MATCH(1162,'Transfer Engine'!$C$2:$C$1960,0)))</f>
        <v/>
      </c>
      <c r="M1171" s="9">
        <f>IF(ISNA(MATCH(1162,'Transfer Engine'!$C$2:$C$1960,0)),"",INDEX('Compliance Database'!$M$2:$M$1960,MATCH(1162,'Transfer Engine'!$C$2:$C$1960,0)))</f>
        <v/>
      </c>
      <c r="N1171" s="9">
        <f>IF(ISNA(MATCH(1162,'Transfer Engine'!$C$2:$C$1960,0)),"",INDEX('Compliance Database'!$N$2:$N$1960,MATCH(1162,'Transfer Engine'!$C$2:$C$1960,0)))</f>
        <v/>
      </c>
      <c r="O1171" s="9">
        <f>IF(ISNA(MATCH(1162,'Transfer Engine'!$C$2:$C$1960,0)),"",INDEX('Compliance Database'!$O$2:$O$1960,MATCH(1162,'Transfer Engine'!$C$2:$C$1960,0)))</f>
        <v/>
      </c>
      <c r="P1171" s="8">
        <f>IF(ISNA(MATCH(1162,'Transfer Engine'!$C$2:$C$1960,0)),"",HYPERLINK("#Acts!A"&amp;INDEX('Compliance Database'!$P$2:$P$1960,MATCH(1162,'Transfer Engine'!$C$2:$C$1960,0)),"Go to Act"))</f>
        <v/>
      </c>
    </row>
    <row r="1172" ht="158" customHeight="1">
      <c r="A1172" s="8">
        <f>IF(ISNA(MATCH(1163,'Transfer Engine'!$C$2:$C$1960,0)),"",INDEX('Compliance Database'!$A$2:$A$1960,MATCH(1163,'Transfer Engine'!$C$2:$C$1960,0)))</f>
        <v/>
      </c>
      <c r="B1172" s="8">
        <f>IF(ISNA(MATCH(1163,'Transfer Engine'!$C$2:$C$1960,0)),"",INDEX('Compliance Database'!$B$2:$B$1960,MATCH(1163,'Transfer Engine'!$C$2:$C$1960,0)))</f>
        <v/>
      </c>
      <c r="C1172" s="8">
        <f>IF(ISNA(MATCH(1163,'Transfer Engine'!$C$2:$C$1960,0)),"",INDEX('Compliance Database'!$C$2:$C$1960,MATCH(1163,'Transfer Engine'!$C$2:$C$1960,0)))</f>
        <v/>
      </c>
      <c r="D1172" s="9">
        <f>IF(ISNA(MATCH(1163,'Transfer Engine'!$C$2:$C$1960,0)),"",INDEX('Compliance Database'!$D$2:$D$1960,MATCH(1163,'Transfer Engine'!$C$2:$C$1960,0)))</f>
        <v/>
      </c>
      <c r="E1172" s="8">
        <f>IF(ISNA(MATCH(1163,'Transfer Engine'!$C$2:$C$1960,0)),"",INDEX('Compliance Database'!$E$2:$E$1960,MATCH(1163,'Transfer Engine'!$C$2:$C$1960,0)))</f>
        <v/>
      </c>
      <c r="F1172" s="8">
        <f>IF(ISNA(MATCH(1163,'Transfer Engine'!$C$2:$C$1960,0)),"",INDEX('Compliance Database'!$F$2:$F$1960,MATCH(1163,'Transfer Engine'!$C$2:$C$1960,0)))</f>
        <v/>
      </c>
      <c r="G1172" s="8">
        <f>IF(ISNA(MATCH(1163,'Transfer Engine'!$C$2:$C$1960,0)),"",INDEX('Compliance Database'!$G$2:$G$1960,MATCH(1163,'Transfer Engine'!$C$2:$C$1960,0)))</f>
        <v/>
      </c>
      <c r="H1172" s="9">
        <f>IF(ISNA(MATCH(1163,'Transfer Engine'!$C$2:$C$1960,0)),"",INDEX('Compliance Database'!$H$2:$H$1960,MATCH(1163,'Transfer Engine'!$C$2:$C$1960,0)))</f>
        <v/>
      </c>
      <c r="I1172" s="9">
        <f>IF(ISNA(MATCH(1163,'Transfer Engine'!$C$2:$C$1960,0)),"",INDEX('Compliance Database'!$I$2:$I$1960,MATCH(1163,'Transfer Engine'!$C$2:$C$1960,0)))</f>
        <v/>
      </c>
      <c r="J1172" s="8">
        <f>IF(ISNA(MATCH(1163,'Transfer Engine'!$C$2:$C$1960,0)),"",INDEX('Compliance Database'!$J$2:$J$1960,MATCH(1163,'Transfer Engine'!$C$2:$C$1960,0)))</f>
        <v/>
      </c>
      <c r="K1172" s="9">
        <f>IF(ISNA(MATCH(1163,'Transfer Engine'!$C$2:$C$1960,0)),"",INDEX('Compliance Database'!$K$2:$K$1960,MATCH(1163,'Transfer Engine'!$C$2:$C$1960,0)))</f>
        <v/>
      </c>
      <c r="L1172" s="9">
        <f>IF(ISNA(MATCH(1163,'Transfer Engine'!$C$2:$C$1960,0)),"",INDEX('Compliance Database'!$L$2:$L$1960,MATCH(1163,'Transfer Engine'!$C$2:$C$1960,0)))</f>
        <v/>
      </c>
      <c r="M1172" s="9">
        <f>IF(ISNA(MATCH(1163,'Transfer Engine'!$C$2:$C$1960,0)),"",INDEX('Compliance Database'!$M$2:$M$1960,MATCH(1163,'Transfer Engine'!$C$2:$C$1960,0)))</f>
        <v/>
      </c>
      <c r="N1172" s="9">
        <f>IF(ISNA(MATCH(1163,'Transfer Engine'!$C$2:$C$1960,0)),"",INDEX('Compliance Database'!$N$2:$N$1960,MATCH(1163,'Transfer Engine'!$C$2:$C$1960,0)))</f>
        <v/>
      </c>
      <c r="O1172" s="9">
        <f>IF(ISNA(MATCH(1163,'Transfer Engine'!$C$2:$C$1960,0)),"",INDEX('Compliance Database'!$O$2:$O$1960,MATCH(1163,'Transfer Engine'!$C$2:$C$1960,0)))</f>
        <v/>
      </c>
      <c r="P1172" s="8">
        <f>IF(ISNA(MATCH(1163,'Transfer Engine'!$C$2:$C$1960,0)),"",HYPERLINK("#Acts!A"&amp;INDEX('Compliance Database'!$P$2:$P$1960,MATCH(1163,'Transfer Engine'!$C$2:$C$1960,0)),"Go to Act"))</f>
        <v/>
      </c>
    </row>
    <row r="1173" ht="158" customHeight="1">
      <c r="A1173" s="8">
        <f>IF(ISNA(MATCH(1164,'Transfer Engine'!$C$2:$C$1960,0)),"",INDEX('Compliance Database'!$A$2:$A$1960,MATCH(1164,'Transfer Engine'!$C$2:$C$1960,0)))</f>
        <v/>
      </c>
      <c r="B1173" s="8">
        <f>IF(ISNA(MATCH(1164,'Transfer Engine'!$C$2:$C$1960,0)),"",INDEX('Compliance Database'!$B$2:$B$1960,MATCH(1164,'Transfer Engine'!$C$2:$C$1960,0)))</f>
        <v/>
      </c>
      <c r="C1173" s="8">
        <f>IF(ISNA(MATCH(1164,'Transfer Engine'!$C$2:$C$1960,0)),"",INDEX('Compliance Database'!$C$2:$C$1960,MATCH(1164,'Transfer Engine'!$C$2:$C$1960,0)))</f>
        <v/>
      </c>
      <c r="D1173" s="9">
        <f>IF(ISNA(MATCH(1164,'Transfer Engine'!$C$2:$C$1960,0)),"",INDEX('Compliance Database'!$D$2:$D$1960,MATCH(1164,'Transfer Engine'!$C$2:$C$1960,0)))</f>
        <v/>
      </c>
      <c r="E1173" s="8">
        <f>IF(ISNA(MATCH(1164,'Transfer Engine'!$C$2:$C$1960,0)),"",INDEX('Compliance Database'!$E$2:$E$1960,MATCH(1164,'Transfer Engine'!$C$2:$C$1960,0)))</f>
        <v/>
      </c>
      <c r="F1173" s="8">
        <f>IF(ISNA(MATCH(1164,'Transfer Engine'!$C$2:$C$1960,0)),"",INDEX('Compliance Database'!$F$2:$F$1960,MATCH(1164,'Transfer Engine'!$C$2:$C$1960,0)))</f>
        <v/>
      </c>
      <c r="G1173" s="8">
        <f>IF(ISNA(MATCH(1164,'Transfer Engine'!$C$2:$C$1960,0)),"",INDEX('Compliance Database'!$G$2:$G$1960,MATCH(1164,'Transfer Engine'!$C$2:$C$1960,0)))</f>
        <v/>
      </c>
      <c r="H1173" s="9">
        <f>IF(ISNA(MATCH(1164,'Transfer Engine'!$C$2:$C$1960,0)),"",INDEX('Compliance Database'!$H$2:$H$1960,MATCH(1164,'Transfer Engine'!$C$2:$C$1960,0)))</f>
        <v/>
      </c>
      <c r="I1173" s="9">
        <f>IF(ISNA(MATCH(1164,'Transfer Engine'!$C$2:$C$1960,0)),"",INDEX('Compliance Database'!$I$2:$I$1960,MATCH(1164,'Transfer Engine'!$C$2:$C$1960,0)))</f>
        <v/>
      </c>
      <c r="J1173" s="8">
        <f>IF(ISNA(MATCH(1164,'Transfer Engine'!$C$2:$C$1960,0)),"",INDEX('Compliance Database'!$J$2:$J$1960,MATCH(1164,'Transfer Engine'!$C$2:$C$1960,0)))</f>
        <v/>
      </c>
      <c r="K1173" s="9">
        <f>IF(ISNA(MATCH(1164,'Transfer Engine'!$C$2:$C$1960,0)),"",INDEX('Compliance Database'!$K$2:$K$1960,MATCH(1164,'Transfer Engine'!$C$2:$C$1960,0)))</f>
        <v/>
      </c>
      <c r="L1173" s="9">
        <f>IF(ISNA(MATCH(1164,'Transfer Engine'!$C$2:$C$1960,0)),"",INDEX('Compliance Database'!$L$2:$L$1960,MATCH(1164,'Transfer Engine'!$C$2:$C$1960,0)))</f>
        <v/>
      </c>
      <c r="M1173" s="9">
        <f>IF(ISNA(MATCH(1164,'Transfer Engine'!$C$2:$C$1960,0)),"",INDEX('Compliance Database'!$M$2:$M$1960,MATCH(1164,'Transfer Engine'!$C$2:$C$1960,0)))</f>
        <v/>
      </c>
      <c r="N1173" s="9">
        <f>IF(ISNA(MATCH(1164,'Transfer Engine'!$C$2:$C$1960,0)),"",INDEX('Compliance Database'!$N$2:$N$1960,MATCH(1164,'Transfer Engine'!$C$2:$C$1960,0)))</f>
        <v/>
      </c>
      <c r="O1173" s="9">
        <f>IF(ISNA(MATCH(1164,'Transfer Engine'!$C$2:$C$1960,0)),"",INDEX('Compliance Database'!$O$2:$O$1960,MATCH(1164,'Transfer Engine'!$C$2:$C$1960,0)))</f>
        <v/>
      </c>
      <c r="P1173" s="8">
        <f>IF(ISNA(MATCH(1164,'Transfer Engine'!$C$2:$C$1960,0)),"",HYPERLINK("#Acts!A"&amp;INDEX('Compliance Database'!$P$2:$P$1960,MATCH(1164,'Transfer Engine'!$C$2:$C$1960,0)),"Go to Act"))</f>
        <v/>
      </c>
    </row>
    <row r="1174" ht="158" customHeight="1">
      <c r="A1174" s="8">
        <f>IF(ISNA(MATCH(1165,'Transfer Engine'!$C$2:$C$1960,0)),"",INDEX('Compliance Database'!$A$2:$A$1960,MATCH(1165,'Transfer Engine'!$C$2:$C$1960,0)))</f>
        <v/>
      </c>
      <c r="B1174" s="8">
        <f>IF(ISNA(MATCH(1165,'Transfer Engine'!$C$2:$C$1960,0)),"",INDEX('Compliance Database'!$B$2:$B$1960,MATCH(1165,'Transfer Engine'!$C$2:$C$1960,0)))</f>
        <v/>
      </c>
      <c r="C1174" s="8">
        <f>IF(ISNA(MATCH(1165,'Transfer Engine'!$C$2:$C$1960,0)),"",INDEX('Compliance Database'!$C$2:$C$1960,MATCH(1165,'Transfer Engine'!$C$2:$C$1960,0)))</f>
        <v/>
      </c>
      <c r="D1174" s="9">
        <f>IF(ISNA(MATCH(1165,'Transfer Engine'!$C$2:$C$1960,0)),"",INDEX('Compliance Database'!$D$2:$D$1960,MATCH(1165,'Transfer Engine'!$C$2:$C$1960,0)))</f>
        <v/>
      </c>
      <c r="E1174" s="8">
        <f>IF(ISNA(MATCH(1165,'Transfer Engine'!$C$2:$C$1960,0)),"",INDEX('Compliance Database'!$E$2:$E$1960,MATCH(1165,'Transfer Engine'!$C$2:$C$1960,0)))</f>
        <v/>
      </c>
      <c r="F1174" s="8">
        <f>IF(ISNA(MATCH(1165,'Transfer Engine'!$C$2:$C$1960,0)),"",INDEX('Compliance Database'!$F$2:$F$1960,MATCH(1165,'Transfer Engine'!$C$2:$C$1960,0)))</f>
        <v/>
      </c>
      <c r="G1174" s="8">
        <f>IF(ISNA(MATCH(1165,'Transfer Engine'!$C$2:$C$1960,0)),"",INDEX('Compliance Database'!$G$2:$G$1960,MATCH(1165,'Transfer Engine'!$C$2:$C$1960,0)))</f>
        <v/>
      </c>
      <c r="H1174" s="9">
        <f>IF(ISNA(MATCH(1165,'Transfer Engine'!$C$2:$C$1960,0)),"",INDEX('Compliance Database'!$H$2:$H$1960,MATCH(1165,'Transfer Engine'!$C$2:$C$1960,0)))</f>
        <v/>
      </c>
      <c r="I1174" s="9">
        <f>IF(ISNA(MATCH(1165,'Transfer Engine'!$C$2:$C$1960,0)),"",INDEX('Compliance Database'!$I$2:$I$1960,MATCH(1165,'Transfer Engine'!$C$2:$C$1960,0)))</f>
        <v/>
      </c>
      <c r="J1174" s="8">
        <f>IF(ISNA(MATCH(1165,'Transfer Engine'!$C$2:$C$1960,0)),"",INDEX('Compliance Database'!$J$2:$J$1960,MATCH(1165,'Transfer Engine'!$C$2:$C$1960,0)))</f>
        <v/>
      </c>
      <c r="K1174" s="9">
        <f>IF(ISNA(MATCH(1165,'Transfer Engine'!$C$2:$C$1960,0)),"",INDEX('Compliance Database'!$K$2:$K$1960,MATCH(1165,'Transfer Engine'!$C$2:$C$1960,0)))</f>
        <v/>
      </c>
      <c r="L1174" s="9">
        <f>IF(ISNA(MATCH(1165,'Transfer Engine'!$C$2:$C$1960,0)),"",INDEX('Compliance Database'!$L$2:$L$1960,MATCH(1165,'Transfer Engine'!$C$2:$C$1960,0)))</f>
        <v/>
      </c>
      <c r="M1174" s="9">
        <f>IF(ISNA(MATCH(1165,'Transfer Engine'!$C$2:$C$1960,0)),"",INDEX('Compliance Database'!$M$2:$M$1960,MATCH(1165,'Transfer Engine'!$C$2:$C$1960,0)))</f>
        <v/>
      </c>
      <c r="N1174" s="9">
        <f>IF(ISNA(MATCH(1165,'Transfer Engine'!$C$2:$C$1960,0)),"",INDEX('Compliance Database'!$N$2:$N$1960,MATCH(1165,'Transfer Engine'!$C$2:$C$1960,0)))</f>
        <v/>
      </c>
      <c r="O1174" s="9">
        <f>IF(ISNA(MATCH(1165,'Transfer Engine'!$C$2:$C$1960,0)),"",INDEX('Compliance Database'!$O$2:$O$1960,MATCH(1165,'Transfer Engine'!$C$2:$C$1960,0)))</f>
        <v/>
      </c>
      <c r="P1174" s="8">
        <f>IF(ISNA(MATCH(1165,'Transfer Engine'!$C$2:$C$1960,0)),"",HYPERLINK("#Acts!A"&amp;INDEX('Compliance Database'!$P$2:$P$1960,MATCH(1165,'Transfer Engine'!$C$2:$C$1960,0)),"Go to Act"))</f>
        <v/>
      </c>
    </row>
    <row r="1175" ht="158" customHeight="1">
      <c r="A1175" s="8">
        <f>IF(ISNA(MATCH(1166,'Transfer Engine'!$C$2:$C$1960,0)),"",INDEX('Compliance Database'!$A$2:$A$1960,MATCH(1166,'Transfer Engine'!$C$2:$C$1960,0)))</f>
        <v/>
      </c>
      <c r="B1175" s="8">
        <f>IF(ISNA(MATCH(1166,'Transfer Engine'!$C$2:$C$1960,0)),"",INDEX('Compliance Database'!$B$2:$B$1960,MATCH(1166,'Transfer Engine'!$C$2:$C$1960,0)))</f>
        <v/>
      </c>
      <c r="C1175" s="8">
        <f>IF(ISNA(MATCH(1166,'Transfer Engine'!$C$2:$C$1960,0)),"",INDEX('Compliance Database'!$C$2:$C$1960,MATCH(1166,'Transfer Engine'!$C$2:$C$1960,0)))</f>
        <v/>
      </c>
      <c r="D1175" s="9">
        <f>IF(ISNA(MATCH(1166,'Transfer Engine'!$C$2:$C$1960,0)),"",INDEX('Compliance Database'!$D$2:$D$1960,MATCH(1166,'Transfer Engine'!$C$2:$C$1960,0)))</f>
        <v/>
      </c>
      <c r="E1175" s="8">
        <f>IF(ISNA(MATCH(1166,'Transfer Engine'!$C$2:$C$1960,0)),"",INDEX('Compliance Database'!$E$2:$E$1960,MATCH(1166,'Transfer Engine'!$C$2:$C$1960,0)))</f>
        <v/>
      </c>
      <c r="F1175" s="8">
        <f>IF(ISNA(MATCH(1166,'Transfer Engine'!$C$2:$C$1960,0)),"",INDEX('Compliance Database'!$F$2:$F$1960,MATCH(1166,'Transfer Engine'!$C$2:$C$1960,0)))</f>
        <v/>
      </c>
      <c r="G1175" s="8">
        <f>IF(ISNA(MATCH(1166,'Transfer Engine'!$C$2:$C$1960,0)),"",INDEX('Compliance Database'!$G$2:$G$1960,MATCH(1166,'Transfer Engine'!$C$2:$C$1960,0)))</f>
        <v/>
      </c>
      <c r="H1175" s="9">
        <f>IF(ISNA(MATCH(1166,'Transfer Engine'!$C$2:$C$1960,0)),"",INDEX('Compliance Database'!$H$2:$H$1960,MATCH(1166,'Transfer Engine'!$C$2:$C$1960,0)))</f>
        <v/>
      </c>
      <c r="I1175" s="9">
        <f>IF(ISNA(MATCH(1166,'Transfer Engine'!$C$2:$C$1960,0)),"",INDEX('Compliance Database'!$I$2:$I$1960,MATCH(1166,'Transfer Engine'!$C$2:$C$1960,0)))</f>
        <v/>
      </c>
      <c r="J1175" s="8">
        <f>IF(ISNA(MATCH(1166,'Transfer Engine'!$C$2:$C$1960,0)),"",INDEX('Compliance Database'!$J$2:$J$1960,MATCH(1166,'Transfer Engine'!$C$2:$C$1960,0)))</f>
        <v/>
      </c>
      <c r="K1175" s="9">
        <f>IF(ISNA(MATCH(1166,'Transfer Engine'!$C$2:$C$1960,0)),"",INDEX('Compliance Database'!$K$2:$K$1960,MATCH(1166,'Transfer Engine'!$C$2:$C$1960,0)))</f>
        <v/>
      </c>
      <c r="L1175" s="9">
        <f>IF(ISNA(MATCH(1166,'Transfer Engine'!$C$2:$C$1960,0)),"",INDEX('Compliance Database'!$L$2:$L$1960,MATCH(1166,'Transfer Engine'!$C$2:$C$1960,0)))</f>
        <v/>
      </c>
      <c r="M1175" s="9">
        <f>IF(ISNA(MATCH(1166,'Transfer Engine'!$C$2:$C$1960,0)),"",INDEX('Compliance Database'!$M$2:$M$1960,MATCH(1166,'Transfer Engine'!$C$2:$C$1960,0)))</f>
        <v/>
      </c>
      <c r="N1175" s="9">
        <f>IF(ISNA(MATCH(1166,'Transfer Engine'!$C$2:$C$1960,0)),"",INDEX('Compliance Database'!$N$2:$N$1960,MATCH(1166,'Transfer Engine'!$C$2:$C$1960,0)))</f>
        <v/>
      </c>
      <c r="O1175" s="9">
        <f>IF(ISNA(MATCH(1166,'Transfer Engine'!$C$2:$C$1960,0)),"",INDEX('Compliance Database'!$O$2:$O$1960,MATCH(1166,'Transfer Engine'!$C$2:$C$1960,0)))</f>
        <v/>
      </c>
      <c r="P1175" s="8">
        <f>IF(ISNA(MATCH(1166,'Transfer Engine'!$C$2:$C$1960,0)),"",HYPERLINK("#Acts!A"&amp;INDEX('Compliance Database'!$P$2:$P$1960,MATCH(1166,'Transfer Engine'!$C$2:$C$1960,0)),"Go to Act"))</f>
        <v/>
      </c>
    </row>
    <row r="1176" ht="158" customHeight="1">
      <c r="A1176" s="8">
        <f>IF(ISNA(MATCH(1167,'Transfer Engine'!$C$2:$C$1960,0)),"",INDEX('Compliance Database'!$A$2:$A$1960,MATCH(1167,'Transfer Engine'!$C$2:$C$1960,0)))</f>
        <v/>
      </c>
      <c r="B1176" s="8">
        <f>IF(ISNA(MATCH(1167,'Transfer Engine'!$C$2:$C$1960,0)),"",INDEX('Compliance Database'!$B$2:$B$1960,MATCH(1167,'Transfer Engine'!$C$2:$C$1960,0)))</f>
        <v/>
      </c>
      <c r="C1176" s="8">
        <f>IF(ISNA(MATCH(1167,'Transfer Engine'!$C$2:$C$1960,0)),"",INDEX('Compliance Database'!$C$2:$C$1960,MATCH(1167,'Transfer Engine'!$C$2:$C$1960,0)))</f>
        <v/>
      </c>
      <c r="D1176" s="9">
        <f>IF(ISNA(MATCH(1167,'Transfer Engine'!$C$2:$C$1960,0)),"",INDEX('Compliance Database'!$D$2:$D$1960,MATCH(1167,'Transfer Engine'!$C$2:$C$1960,0)))</f>
        <v/>
      </c>
      <c r="E1176" s="8">
        <f>IF(ISNA(MATCH(1167,'Transfer Engine'!$C$2:$C$1960,0)),"",INDEX('Compliance Database'!$E$2:$E$1960,MATCH(1167,'Transfer Engine'!$C$2:$C$1960,0)))</f>
        <v/>
      </c>
      <c r="F1176" s="8">
        <f>IF(ISNA(MATCH(1167,'Transfer Engine'!$C$2:$C$1960,0)),"",INDEX('Compliance Database'!$F$2:$F$1960,MATCH(1167,'Transfer Engine'!$C$2:$C$1960,0)))</f>
        <v/>
      </c>
      <c r="G1176" s="8">
        <f>IF(ISNA(MATCH(1167,'Transfer Engine'!$C$2:$C$1960,0)),"",INDEX('Compliance Database'!$G$2:$G$1960,MATCH(1167,'Transfer Engine'!$C$2:$C$1960,0)))</f>
        <v/>
      </c>
      <c r="H1176" s="9">
        <f>IF(ISNA(MATCH(1167,'Transfer Engine'!$C$2:$C$1960,0)),"",INDEX('Compliance Database'!$H$2:$H$1960,MATCH(1167,'Transfer Engine'!$C$2:$C$1960,0)))</f>
        <v/>
      </c>
      <c r="I1176" s="9">
        <f>IF(ISNA(MATCH(1167,'Transfer Engine'!$C$2:$C$1960,0)),"",INDEX('Compliance Database'!$I$2:$I$1960,MATCH(1167,'Transfer Engine'!$C$2:$C$1960,0)))</f>
        <v/>
      </c>
      <c r="J1176" s="8">
        <f>IF(ISNA(MATCH(1167,'Transfer Engine'!$C$2:$C$1960,0)),"",INDEX('Compliance Database'!$J$2:$J$1960,MATCH(1167,'Transfer Engine'!$C$2:$C$1960,0)))</f>
        <v/>
      </c>
      <c r="K1176" s="9">
        <f>IF(ISNA(MATCH(1167,'Transfer Engine'!$C$2:$C$1960,0)),"",INDEX('Compliance Database'!$K$2:$K$1960,MATCH(1167,'Transfer Engine'!$C$2:$C$1960,0)))</f>
        <v/>
      </c>
      <c r="L1176" s="9">
        <f>IF(ISNA(MATCH(1167,'Transfer Engine'!$C$2:$C$1960,0)),"",INDEX('Compliance Database'!$L$2:$L$1960,MATCH(1167,'Transfer Engine'!$C$2:$C$1960,0)))</f>
        <v/>
      </c>
      <c r="M1176" s="9">
        <f>IF(ISNA(MATCH(1167,'Transfer Engine'!$C$2:$C$1960,0)),"",INDEX('Compliance Database'!$M$2:$M$1960,MATCH(1167,'Transfer Engine'!$C$2:$C$1960,0)))</f>
        <v/>
      </c>
      <c r="N1176" s="9">
        <f>IF(ISNA(MATCH(1167,'Transfer Engine'!$C$2:$C$1960,0)),"",INDEX('Compliance Database'!$N$2:$N$1960,MATCH(1167,'Transfer Engine'!$C$2:$C$1960,0)))</f>
        <v/>
      </c>
      <c r="O1176" s="9">
        <f>IF(ISNA(MATCH(1167,'Transfer Engine'!$C$2:$C$1960,0)),"",INDEX('Compliance Database'!$O$2:$O$1960,MATCH(1167,'Transfer Engine'!$C$2:$C$1960,0)))</f>
        <v/>
      </c>
      <c r="P1176" s="8">
        <f>IF(ISNA(MATCH(1167,'Transfer Engine'!$C$2:$C$1960,0)),"",HYPERLINK("#Acts!A"&amp;INDEX('Compliance Database'!$P$2:$P$1960,MATCH(1167,'Transfer Engine'!$C$2:$C$1960,0)),"Go to Act"))</f>
        <v/>
      </c>
    </row>
    <row r="1177" ht="158" customHeight="1">
      <c r="A1177" s="8">
        <f>IF(ISNA(MATCH(1168,'Transfer Engine'!$C$2:$C$1960,0)),"",INDEX('Compliance Database'!$A$2:$A$1960,MATCH(1168,'Transfer Engine'!$C$2:$C$1960,0)))</f>
        <v/>
      </c>
      <c r="B1177" s="8">
        <f>IF(ISNA(MATCH(1168,'Transfer Engine'!$C$2:$C$1960,0)),"",INDEX('Compliance Database'!$B$2:$B$1960,MATCH(1168,'Transfer Engine'!$C$2:$C$1960,0)))</f>
        <v/>
      </c>
      <c r="C1177" s="8">
        <f>IF(ISNA(MATCH(1168,'Transfer Engine'!$C$2:$C$1960,0)),"",INDEX('Compliance Database'!$C$2:$C$1960,MATCH(1168,'Transfer Engine'!$C$2:$C$1960,0)))</f>
        <v/>
      </c>
      <c r="D1177" s="9">
        <f>IF(ISNA(MATCH(1168,'Transfer Engine'!$C$2:$C$1960,0)),"",INDEX('Compliance Database'!$D$2:$D$1960,MATCH(1168,'Transfer Engine'!$C$2:$C$1960,0)))</f>
        <v/>
      </c>
      <c r="E1177" s="8">
        <f>IF(ISNA(MATCH(1168,'Transfer Engine'!$C$2:$C$1960,0)),"",INDEX('Compliance Database'!$E$2:$E$1960,MATCH(1168,'Transfer Engine'!$C$2:$C$1960,0)))</f>
        <v/>
      </c>
      <c r="F1177" s="8">
        <f>IF(ISNA(MATCH(1168,'Transfer Engine'!$C$2:$C$1960,0)),"",INDEX('Compliance Database'!$F$2:$F$1960,MATCH(1168,'Transfer Engine'!$C$2:$C$1960,0)))</f>
        <v/>
      </c>
      <c r="G1177" s="8">
        <f>IF(ISNA(MATCH(1168,'Transfer Engine'!$C$2:$C$1960,0)),"",INDEX('Compliance Database'!$G$2:$G$1960,MATCH(1168,'Transfer Engine'!$C$2:$C$1960,0)))</f>
        <v/>
      </c>
      <c r="H1177" s="9">
        <f>IF(ISNA(MATCH(1168,'Transfer Engine'!$C$2:$C$1960,0)),"",INDEX('Compliance Database'!$H$2:$H$1960,MATCH(1168,'Transfer Engine'!$C$2:$C$1960,0)))</f>
        <v/>
      </c>
      <c r="I1177" s="9">
        <f>IF(ISNA(MATCH(1168,'Transfer Engine'!$C$2:$C$1960,0)),"",INDEX('Compliance Database'!$I$2:$I$1960,MATCH(1168,'Transfer Engine'!$C$2:$C$1960,0)))</f>
        <v/>
      </c>
      <c r="J1177" s="8">
        <f>IF(ISNA(MATCH(1168,'Transfer Engine'!$C$2:$C$1960,0)),"",INDEX('Compliance Database'!$J$2:$J$1960,MATCH(1168,'Transfer Engine'!$C$2:$C$1960,0)))</f>
        <v/>
      </c>
      <c r="K1177" s="9">
        <f>IF(ISNA(MATCH(1168,'Transfer Engine'!$C$2:$C$1960,0)),"",INDEX('Compliance Database'!$K$2:$K$1960,MATCH(1168,'Transfer Engine'!$C$2:$C$1960,0)))</f>
        <v/>
      </c>
      <c r="L1177" s="9">
        <f>IF(ISNA(MATCH(1168,'Transfer Engine'!$C$2:$C$1960,0)),"",INDEX('Compliance Database'!$L$2:$L$1960,MATCH(1168,'Transfer Engine'!$C$2:$C$1960,0)))</f>
        <v/>
      </c>
      <c r="M1177" s="9">
        <f>IF(ISNA(MATCH(1168,'Transfer Engine'!$C$2:$C$1960,0)),"",INDEX('Compliance Database'!$M$2:$M$1960,MATCH(1168,'Transfer Engine'!$C$2:$C$1960,0)))</f>
        <v/>
      </c>
      <c r="N1177" s="9">
        <f>IF(ISNA(MATCH(1168,'Transfer Engine'!$C$2:$C$1960,0)),"",INDEX('Compliance Database'!$N$2:$N$1960,MATCH(1168,'Transfer Engine'!$C$2:$C$1960,0)))</f>
        <v/>
      </c>
      <c r="O1177" s="9">
        <f>IF(ISNA(MATCH(1168,'Transfer Engine'!$C$2:$C$1960,0)),"",INDEX('Compliance Database'!$O$2:$O$1960,MATCH(1168,'Transfer Engine'!$C$2:$C$1960,0)))</f>
        <v/>
      </c>
      <c r="P1177" s="8">
        <f>IF(ISNA(MATCH(1168,'Transfer Engine'!$C$2:$C$1960,0)),"",HYPERLINK("#Acts!A"&amp;INDEX('Compliance Database'!$P$2:$P$1960,MATCH(1168,'Transfer Engine'!$C$2:$C$1960,0)),"Go to Act"))</f>
        <v/>
      </c>
    </row>
    <row r="1178" ht="158" customHeight="1">
      <c r="A1178" s="8">
        <f>IF(ISNA(MATCH(1169,'Transfer Engine'!$C$2:$C$1960,0)),"",INDEX('Compliance Database'!$A$2:$A$1960,MATCH(1169,'Transfer Engine'!$C$2:$C$1960,0)))</f>
        <v/>
      </c>
      <c r="B1178" s="8">
        <f>IF(ISNA(MATCH(1169,'Transfer Engine'!$C$2:$C$1960,0)),"",INDEX('Compliance Database'!$B$2:$B$1960,MATCH(1169,'Transfer Engine'!$C$2:$C$1960,0)))</f>
        <v/>
      </c>
      <c r="C1178" s="8">
        <f>IF(ISNA(MATCH(1169,'Transfer Engine'!$C$2:$C$1960,0)),"",INDEX('Compliance Database'!$C$2:$C$1960,MATCH(1169,'Transfer Engine'!$C$2:$C$1960,0)))</f>
        <v/>
      </c>
      <c r="D1178" s="9">
        <f>IF(ISNA(MATCH(1169,'Transfer Engine'!$C$2:$C$1960,0)),"",INDEX('Compliance Database'!$D$2:$D$1960,MATCH(1169,'Transfer Engine'!$C$2:$C$1960,0)))</f>
        <v/>
      </c>
      <c r="E1178" s="8">
        <f>IF(ISNA(MATCH(1169,'Transfer Engine'!$C$2:$C$1960,0)),"",INDEX('Compliance Database'!$E$2:$E$1960,MATCH(1169,'Transfer Engine'!$C$2:$C$1960,0)))</f>
        <v/>
      </c>
      <c r="F1178" s="8">
        <f>IF(ISNA(MATCH(1169,'Transfer Engine'!$C$2:$C$1960,0)),"",INDEX('Compliance Database'!$F$2:$F$1960,MATCH(1169,'Transfer Engine'!$C$2:$C$1960,0)))</f>
        <v/>
      </c>
      <c r="G1178" s="8">
        <f>IF(ISNA(MATCH(1169,'Transfer Engine'!$C$2:$C$1960,0)),"",INDEX('Compliance Database'!$G$2:$G$1960,MATCH(1169,'Transfer Engine'!$C$2:$C$1960,0)))</f>
        <v/>
      </c>
      <c r="H1178" s="9">
        <f>IF(ISNA(MATCH(1169,'Transfer Engine'!$C$2:$C$1960,0)),"",INDEX('Compliance Database'!$H$2:$H$1960,MATCH(1169,'Transfer Engine'!$C$2:$C$1960,0)))</f>
        <v/>
      </c>
      <c r="I1178" s="9">
        <f>IF(ISNA(MATCH(1169,'Transfer Engine'!$C$2:$C$1960,0)),"",INDEX('Compliance Database'!$I$2:$I$1960,MATCH(1169,'Transfer Engine'!$C$2:$C$1960,0)))</f>
        <v/>
      </c>
      <c r="J1178" s="8">
        <f>IF(ISNA(MATCH(1169,'Transfer Engine'!$C$2:$C$1960,0)),"",INDEX('Compliance Database'!$J$2:$J$1960,MATCH(1169,'Transfer Engine'!$C$2:$C$1960,0)))</f>
        <v/>
      </c>
      <c r="K1178" s="9">
        <f>IF(ISNA(MATCH(1169,'Transfer Engine'!$C$2:$C$1960,0)),"",INDEX('Compliance Database'!$K$2:$K$1960,MATCH(1169,'Transfer Engine'!$C$2:$C$1960,0)))</f>
        <v/>
      </c>
      <c r="L1178" s="9">
        <f>IF(ISNA(MATCH(1169,'Transfer Engine'!$C$2:$C$1960,0)),"",INDEX('Compliance Database'!$L$2:$L$1960,MATCH(1169,'Transfer Engine'!$C$2:$C$1960,0)))</f>
        <v/>
      </c>
      <c r="M1178" s="9">
        <f>IF(ISNA(MATCH(1169,'Transfer Engine'!$C$2:$C$1960,0)),"",INDEX('Compliance Database'!$M$2:$M$1960,MATCH(1169,'Transfer Engine'!$C$2:$C$1960,0)))</f>
        <v/>
      </c>
      <c r="N1178" s="9">
        <f>IF(ISNA(MATCH(1169,'Transfer Engine'!$C$2:$C$1960,0)),"",INDEX('Compliance Database'!$N$2:$N$1960,MATCH(1169,'Transfer Engine'!$C$2:$C$1960,0)))</f>
        <v/>
      </c>
      <c r="O1178" s="9">
        <f>IF(ISNA(MATCH(1169,'Transfer Engine'!$C$2:$C$1960,0)),"",INDEX('Compliance Database'!$O$2:$O$1960,MATCH(1169,'Transfer Engine'!$C$2:$C$1960,0)))</f>
        <v/>
      </c>
      <c r="P1178" s="8">
        <f>IF(ISNA(MATCH(1169,'Transfer Engine'!$C$2:$C$1960,0)),"",HYPERLINK("#Acts!A"&amp;INDEX('Compliance Database'!$P$2:$P$1960,MATCH(1169,'Transfer Engine'!$C$2:$C$1960,0)),"Go to Act"))</f>
        <v/>
      </c>
    </row>
    <row r="1179" ht="158" customHeight="1">
      <c r="A1179" s="8">
        <f>IF(ISNA(MATCH(1170,'Transfer Engine'!$C$2:$C$1960,0)),"",INDEX('Compliance Database'!$A$2:$A$1960,MATCH(1170,'Transfer Engine'!$C$2:$C$1960,0)))</f>
        <v/>
      </c>
      <c r="B1179" s="8">
        <f>IF(ISNA(MATCH(1170,'Transfer Engine'!$C$2:$C$1960,0)),"",INDEX('Compliance Database'!$B$2:$B$1960,MATCH(1170,'Transfer Engine'!$C$2:$C$1960,0)))</f>
        <v/>
      </c>
      <c r="C1179" s="8">
        <f>IF(ISNA(MATCH(1170,'Transfer Engine'!$C$2:$C$1960,0)),"",INDEX('Compliance Database'!$C$2:$C$1960,MATCH(1170,'Transfer Engine'!$C$2:$C$1960,0)))</f>
        <v/>
      </c>
      <c r="D1179" s="9">
        <f>IF(ISNA(MATCH(1170,'Transfer Engine'!$C$2:$C$1960,0)),"",INDEX('Compliance Database'!$D$2:$D$1960,MATCH(1170,'Transfer Engine'!$C$2:$C$1960,0)))</f>
        <v/>
      </c>
      <c r="E1179" s="8">
        <f>IF(ISNA(MATCH(1170,'Transfer Engine'!$C$2:$C$1960,0)),"",INDEX('Compliance Database'!$E$2:$E$1960,MATCH(1170,'Transfer Engine'!$C$2:$C$1960,0)))</f>
        <v/>
      </c>
      <c r="F1179" s="8">
        <f>IF(ISNA(MATCH(1170,'Transfer Engine'!$C$2:$C$1960,0)),"",INDEX('Compliance Database'!$F$2:$F$1960,MATCH(1170,'Transfer Engine'!$C$2:$C$1960,0)))</f>
        <v/>
      </c>
      <c r="G1179" s="8">
        <f>IF(ISNA(MATCH(1170,'Transfer Engine'!$C$2:$C$1960,0)),"",INDEX('Compliance Database'!$G$2:$G$1960,MATCH(1170,'Transfer Engine'!$C$2:$C$1960,0)))</f>
        <v/>
      </c>
      <c r="H1179" s="9">
        <f>IF(ISNA(MATCH(1170,'Transfer Engine'!$C$2:$C$1960,0)),"",INDEX('Compliance Database'!$H$2:$H$1960,MATCH(1170,'Transfer Engine'!$C$2:$C$1960,0)))</f>
        <v/>
      </c>
      <c r="I1179" s="9">
        <f>IF(ISNA(MATCH(1170,'Transfer Engine'!$C$2:$C$1960,0)),"",INDEX('Compliance Database'!$I$2:$I$1960,MATCH(1170,'Transfer Engine'!$C$2:$C$1960,0)))</f>
        <v/>
      </c>
      <c r="J1179" s="8">
        <f>IF(ISNA(MATCH(1170,'Transfer Engine'!$C$2:$C$1960,0)),"",INDEX('Compliance Database'!$J$2:$J$1960,MATCH(1170,'Transfer Engine'!$C$2:$C$1960,0)))</f>
        <v/>
      </c>
      <c r="K1179" s="9">
        <f>IF(ISNA(MATCH(1170,'Transfer Engine'!$C$2:$C$1960,0)),"",INDEX('Compliance Database'!$K$2:$K$1960,MATCH(1170,'Transfer Engine'!$C$2:$C$1960,0)))</f>
        <v/>
      </c>
      <c r="L1179" s="9">
        <f>IF(ISNA(MATCH(1170,'Transfer Engine'!$C$2:$C$1960,0)),"",INDEX('Compliance Database'!$L$2:$L$1960,MATCH(1170,'Transfer Engine'!$C$2:$C$1960,0)))</f>
        <v/>
      </c>
      <c r="M1179" s="9">
        <f>IF(ISNA(MATCH(1170,'Transfer Engine'!$C$2:$C$1960,0)),"",INDEX('Compliance Database'!$M$2:$M$1960,MATCH(1170,'Transfer Engine'!$C$2:$C$1960,0)))</f>
        <v/>
      </c>
      <c r="N1179" s="9">
        <f>IF(ISNA(MATCH(1170,'Transfer Engine'!$C$2:$C$1960,0)),"",INDEX('Compliance Database'!$N$2:$N$1960,MATCH(1170,'Transfer Engine'!$C$2:$C$1960,0)))</f>
        <v/>
      </c>
      <c r="O1179" s="9">
        <f>IF(ISNA(MATCH(1170,'Transfer Engine'!$C$2:$C$1960,0)),"",INDEX('Compliance Database'!$O$2:$O$1960,MATCH(1170,'Transfer Engine'!$C$2:$C$1960,0)))</f>
        <v/>
      </c>
      <c r="P1179" s="8">
        <f>IF(ISNA(MATCH(1170,'Transfer Engine'!$C$2:$C$1960,0)),"",HYPERLINK("#Acts!A"&amp;INDEX('Compliance Database'!$P$2:$P$1960,MATCH(1170,'Transfer Engine'!$C$2:$C$1960,0)),"Go to Act"))</f>
        <v/>
      </c>
    </row>
    <row r="1180" ht="158" customHeight="1">
      <c r="A1180" s="8">
        <f>IF(ISNA(MATCH(1171,'Transfer Engine'!$C$2:$C$1960,0)),"",INDEX('Compliance Database'!$A$2:$A$1960,MATCH(1171,'Transfer Engine'!$C$2:$C$1960,0)))</f>
        <v/>
      </c>
      <c r="B1180" s="8">
        <f>IF(ISNA(MATCH(1171,'Transfer Engine'!$C$2:$C$1960,0)),"",INDEX('Compliance Database'!$B$2:$B$1960,MATCH(1171,'Transfer Engine'!$C$2:$C$1960,0)))</f>
        <v/>
      </c>
      <c r="C1180" s="8">
        <f>IF(ISNA(MATCH(1171,'Transfer Engine'!$C$2:$C$1960,0)),"",INDEX('Compliance Database'!$C$2:$C$1960,MATCH(1171,'Transfer Engine'!$C$2:$C$1960,0)))</f>
        <v/>
      </c>
      <c r="D1180" s="9">
        <f>IF(ISNA(MATCH(1171,'Transfer Engine'!$C$2:$C$1960,0)),"",INDEX('Compliance Database'!$D$2:$D$1960,MATCH(1171,'Transfer Engine'!$C$2:$C$1960,0)))</f>
        <v/>
      </c>
      <c r="E1180" s="8">
        <f>IF(ISNA(MATCH(1171,'Transfer Engine'!$C$2:$C$1960,0)),"",INDEX('Compliance Database'!$E$2:$E$1960,MATCH(1171,'Transfer Engine'!$C$2:$C$1960,0)))</f>
        <v/>
      </c>
      <c r="F1180" s="8">
        <f>IF(ISNA(MATCH(1171,'Transfer Engine'!$C$2:$C$1960,0)),"",INDEX('Compliance Database'!$F$2:$F$1960,MATCH(1171,'Transfer Engine'!$C$2:$C$1960,0)))</f>
        <v/>
      </c>
      <c r="G1180" s="8">
        <f>IF(ISNA(MATCH(1171,'Transfer Engine'!$C$2:$C$1960,0)),"",INDEX('Compliance Database'!$G$2:$G$1960,MATCH(1171,'Transfer Engine'!$C$2:$C$1960,0)))</f>
        <v/>
      </c>
      <c r="H1180" s="9">
        <f>IF(ISNA(MATCH(1171,'Transfer Engine'!$C$2:$C$1960,0)),"",INDEX('Compliance Database'!$H$2:$H$1960,MATCH(1171,'Transfer Engine'!$C$2:$C$1960,0)))</f>
        <v/>
      </c>
      <c r="I1180" s="9">
        <f>IF(ISNA(MATCH(1171,'Transfer Engine'!$C$2:$C$1960,0)),"",INDEX('Compliance Database'!$I$2:$I$1960,MATCH(1171,'Transfer Engine'!$C$2:$C$1960,0)))</f>
        <v/>
      </c>
      <c r="J1180" s="8">
        <f>IF(ISNA(MATCH(1171,'Transfer Engine'!$C$2:$C$1960,0)),"",INDEX('Compliance Database'!$J$2:$J$1960,MATCH(1171,'Transfer Engine'!$C$2:$C$1960,0)))</f>
        <v/>
      </c>
      <c r="K1180" s="9">
        <f>IF(ISNA(MATCH(1171,'Transfer Engine'!$C$2:$C$1960,0)),"",INDEX('Compliance Database'!$K$2:$K$1960,MATCH(1171,'Transfer Engine'!$C$2:$C$1960,0)))</f>
        <v/>
      </c>
      <c r="L1180" s="9">
        <f>IF(ISNA(MATCH(1171,'Transfer Engine'!$C$2:$C$1960,0)),"",INDEX('Compliance Database'!$L$2:$L$1960,MATCH(1171,'Transfer Engine'!$C$2:$C$1960,0)))</f>
        <v/>
      </c>
      <c r="M1180" s="9">
        <f>IF(ISNA(MATCH(1171,'Transfer Engine'!$C$2:$C$1960,0)),"",INDEX('Compliance Database'!$M$2:$M$1960,MATCH(1171,'Transfer Engine'!$C$2:$C$1960,0)))</f>
        <v/>
      </c>
      <c r="N1180" s="9">
        <f>IF(ISNA(MATCH(1171,'Transfer Engine'!$C$2:$C$1960,0)),"",INDEX('Compliance Database'!$N$2:$N$1960,MATCH(1171,'Transfer Engine'!$C$2:$C$1960,0)))</f>
        <v/>
      </c>
      <c r="O1180" s="9">
        <f>IF(ISNA(MATCH(1171,'Transfer Engine'!$C$2:$C$1960,0)),"",INDEX('Compliance Database'!$O$2:$O$1960,MATCH(1171,'Transfer Engine'!$C$2:$C$1960,0)))</f>
        <v/>
      </c>
      <c r="P1180" s="8">
        <f>IF(ISNA(MATCH(1171,'Transfer Engine'!$C$2:$C$1960,0)),"",HYPERLINK("#Acts!A"&amp;INDEX('Compliance Database'!$P$2:$P$1960,MATCH(1171,'Transfer Engine'!$C$2:$C$1960,0)),"Go to Act"))</f>
        <v/>
      </c>
    </row>
    <row r="1181" ht="158" customHeight="1">
      <c r="A1181" s="8">
        <f>IF(ISNA(MATCH(1172,'Transfer Engine'!$C$2:$C$1960,0)),"",INDEX('Compliance Database'!$A$2:$A$1960,MATCH(1172,'Transfer Engine'!$C$2:$C$1960,0)))</f>
        <v/>
      </c>
      <c r="B1181" s="8">
        <f>IF(ISNA(MATCH(1172,'Transfer Engine'!$C$2:$C$1960,0)),"",INDEX('Compliance Database'!$B$2:$B$1960,MATCH(1172,'Transfer Engine'!$C$2:$C$1960,0)))</f>
        <v/>
      </c>
      <c r="C1181" s="8">
        <f>IF(ISNA(MATCH(1172,'Transfer Engine'!$C$2:$C$1960,0)),"",INDEX('Compliance Database'!$C$2:$C$1960,MATCH(1172,'Transfer Engine'!$C$2:$C$1960,0)))</f>
        <v/>
      </c>
      <c r="D1181" s="9">
        <f>IF(ISNA(MATCH(1172,'Transfer Engine'!$C$2:$C$1960,0)),"",INDEX('Compliance Database'!$D$2:$D$1960,MATCH(1172,'Transfer Engine'!$C$2:$C$1960,0)))</f>
        <v/>
      </c>
      <c r="E1181" s="8">
        <f>IF(ISNA(MATCH(1172,'Transfer Engine'!$C$2:$C$1960,0)),"",INDEX('Compliance Database'!$E$2:$E$1960,MATCH(1172,'Transfer Engine'!$C$2:$C$1960,0)))</f>
        <v/>
      </c>
      <c r="F1181" s="8">
        <f>IF(ISNA(MATCH(1172,'Transfer Engine'!$C$2:$C$1960,0)),"",INDEX('Compliance Database'!$F$2:$F$1960,MATCH(1172,'Transfer Engine'!$C$2:$C$1960,0)))</f>
        <v/>
      </c>
      <c r="G1181" s="8">
        <f>IF(ISNA(MATCH(1172,'Transfer Engine'!$C$2:$C$1960,0)),"",INDEX('Compliance Database'!$G$2:$G$1960,MATCH(1172,'Transfer Engine'!$C$2:$C$1960,0)))</f>
        <v/>
      </c>
      <c r="H1181" s="9">
        <f>IF(ISNA(MATCH(1172,'Transfer Engine'!$C$2:$C$1960,0)),"",INDEX('Compliance Database'!$H$2:$H$1960,MATCH(1172,'Transfer Engine'!$C$2:$C$1960,0)))</f>
        <v/>
      </c>
      <c r="I1181" s="9">
        <f>IF(ISNA(MATCH(1172,'Transfer Engine'!$C$2:$C$1960,0)),"",INDEX('Compliance Database'!$I$2:$I$1960,MATCH(1172,'Transfer Engine'!$C$2:$C$1960,0)))</f>
        <v/>
      </c>
      <c r="J1181" s="8">
        <f>IF(ISNA(MATCH(1172,'Transfer Engine'!$C$2:$C$1960,0)),"",INDEX('Compliance Database'!$J$2:$J$1960,MATCH(1172,'Transfer Engine'!$C$2:$C$1960,0)))</f>
        <v/>
      </c>
      <c r="K1181" s="9">
        <f>IF(ISNA(MATCH(1172,'Transfer Engine'!$C$2:$C$1960,0)),"",INDEX('Compliance Database'!$K$2:$K$1960,MATCH(1172,'Transfer Engine'!$C$2:$C$1960,0)))</f>
        <v/>
      </c>
      <c r="L1181" s="9">
        <f>IF(ISNA(MATCH(1172,'Transfer Engine'!$C$2:$C$1960,0)),"",INDEX('Compliance Database'!$L$2:$L$1960,MATCH(1172,'Transfer Engine'!$C$2:$C$1960,0)))</f>
        <v/>
      </c>
      <c r="M1181" s="9">
        <f>IF(ISNA(MATCH(1172,'Transfer Engine'!$C$2:$C$1960,0)),"",INDEX('Compliance Database'!$M$2:$M$1960,MATCH(1172,'Transfer Engine'!$C$2:$C$1960,0)))</f>
        <v/>
      </c>
      <c r="N1181" s="9">
        <f>IF(ISNA(MATCH(1172,'Transfer Engine'!$C$2:$C$1960,0)),"",INDEX('Compliance Database'!$N$2:$N$1960,MATCH(1172,'Transfer Engine'!$C$2:$C$1960,0)))</f>
        <v/>
      </c>
      <c r="O1181" s="9">
        <f>IF(ISNA(MATCH(1172,'Transfer Engine'!$C$2:$C$1960,0)),"",INDEX('Compliance Database'!$O$2:$O$1960,MATCH(1172,'Transfer Engine'!$C$2:$C$1960,0)))</f>
        <v/>
      </c>
      <c r="P1181" s="8">
        <f>IF(ISNA(MATCH(1172,'Transfer Engine'!$C$2:$C$1960,0)),"",HYPERLINK("#Acts!A"&amp;INDEX('Compliance Database'!$P$2:$P$1960,MATCH(1172,'Transfer Engine'!$C$2:$C$1960,0)),"Go to Act"))</f>
        <v/>
      </c>
    </row>
    <row r="1182" ht="158" customHeight="1">
      <c r="A1182" s="8">
        <f>IF(ISNA(MATCH(1173,'Transfer Engine'!$C$2:$C$1960,0)),"",INDEX('Compliance Database'!$A$2:$A$1960,MATCH(1173,'Transfer Engine'!$C$2:$C$1960,0)))</f>
        <v/>
      </c>
      <c r="B1182" s="8">
        <f>IF(ISNA(MATCH(1173,'Transfer Engine'!$C$2:$C$1960,0)),"",INDEX('Compliance Database'!$B$2:$B$1960,MATCH(1173,'Transfer Engine'!$C$2:$C$1960,0)))</f>
        <v/>
      </c>
      <c r="C1182" s="8">
        <f>IF(ISNA(MATCH(1173,'Transfer Engine'!$C$2:$C$1960,0)),"",INDEX('Compliance Database'!$C$2:$C$1960,MATCH(1173,'Transfer Engine'!$C$2:$C$1960,0)))</f>
        <v/>
      </c>
      <c r="D1182" s="9">
        <f>IF(ISNA(MATCH(1173,'Transfer Engine'!$C$2:$C$1960,0)),"",INDEX('Compliance Database'!$D$2:$D$1960,MATCH(1173,'Transfer Engine'!$C$2:$C$1960,0)))</f>
        <v/>
      </c>
      <c r="E1182" s="8">
        <f>IF(ISNA(MATCH(1173,'Transfer Engine'!$C$2:$C$1960,0)),"",INDEX('Compliance Database'!$E$2:$E$1960,MATCH(1173,'Transfer Engine'!$C$2:$C$1960,0)))</f>
        <v/>
      </c>
      <c r="F1182" s="8">
        <f>IF(ISNA(MATCH(1173,'Transfer Engine'!$C$2:$C$1960,0)),"",INDEX('Compliance Database'!$F$2:$F$1960,MATCH(1173,'Transfer Engine'!$C$2:$C$1960,0)))</f>
        <v/>
      </c>
      <c r="G1182" s="8">
        <f>IF(ISNA(MATCH(1173,'Transfer Engine'!$C$2:$C$1960,0)),"",INDEX('Compliance Database'!$G$2:$G$1960,MATCH(1173,'Transfer Engine'!$C$2:$C$1960,0)))</f>
        <v/>
      </c>
      <c r="H1182" s="9">
        <f>IF(ISNA(MATCH(1173,'Transfer Engine'!$C$2:$C$1960,0)),"",INDEX('Compliance Database'!$H$2:$H$1960,MATCH(1173,'Transfer Engine'!$C$2:$C$1960,0)))</f>
        <v/>
      </c>
      <c r="I1182" s="9">
        <f>IF(ISNA(MATCH(1173,'Transfer Engine'!$C$2:$C$1960,0)),"",INDEX('Compliance Database'!$I$2:$I$1960,MATCH(1173,'Transfer Engine'!$C$2:$C$1960,0)))</f>
        <v/>
      </c>
      <c r="J1182" s="8">
        <f>IF(ISNA(MATCH(1173,'Transfer Engine'!$C$2:$C$1960,0)),"",INDEX('Compliance Database'!$J$2:$J$1960,MATCH(1173,'Transfer Engine'!$C$2:$C$1960,0)))</f>
        <v/>
      </c>
      <c r="K1182" s="9">
        <f>IF(ISNA(MATCH(1173,'Transfer Engine'!$C$2:$C$1960,0)),"",INDEX('Compliance Database'!$K$2:$K$1960,MATCH(1173,'Transfer Engine'!$C$2:$C$1960,0)))</f>
        <v/>
      </c>
      <c r="L1182" s="9">
        <f>IF(ISNA(MATCH(1173,'Transfer Engine'!$C$2:$C$1960,0)),"",INDEX('Compliance Database'!$L$2:$L$1960,MATCH(1173,'Transfer Engine'!$C$2:$C$1960,0)))</f>
        <v/>
      </c>
      <c r="M1182" s="9">
        <f>IF(ISNA(MATCH(1173,'Transfer Engine'!$C$2:$C$1960,0)),"",INDEX('Compliance Database'!$M$2:$M$1960,MATCH(1173,'Transfer Engine'!$C$2:$C$1960,0)))</f>
        <v/>
      </c>
      <c r="N1182" s="9">
        <f>IF(ISNA(MATCH(1173,'Transfer Engine'!$C$2:$C$1960,0)),"",INDEX('Compliance Database'!$N$2:$N$1960,MATCH(1173,'Transfer Engine'!$C$2:$C$1960,0)))</f>
        <v/>
      </c>
      <c r="O1182" s="9">
        <f>IF(ISNA(MATCH(1173,'Transfer Engine'!$C$2:$C$1960,0)),"",INDEX('Compliance Database'!$O$2:$O$1960,MATCH(1173,'Transfer Engine'!$C$2:$C$1960,0)))</f>
        <v/>
      </c>
      <c r="P1182" s="8">
        <f>IF(ISNA(MATCH(1173,'Transfer Engine'!$C$2:$C$1960,0)),"",HYPERLINK("#Acts!A"&amp;INDEX('Compliance Database'!$P$2:$P$1960,MATCH(1173,'Transfer Engine'!$C$2:$C$1960,0)),"Go to Act"))</f>
        <v/>
      </c>
    </row>
    <row r="1183" ht="158" customHeight="1">
      <c r="A1183" s="8">
        <f>IF(ISNA(MATCH(1174,'Transfer Engine'!$C$2:$C$1960,0)),"",INDEX('Compliance Database'!$A$2:$A$1960,MATCH(1174,'Transfer Engine'!$C$2:$C$1960,0)))</f>
        <v/>
      </c>
      <c r="B1183" s="8">
        <f>IF(ISNA(MATCH(1174,'Transfer Engine'!$C$2:$C$1960,0)),"",INDEX('Compliance Database'!$B$2:$B$1960,MATCH(1174,'Transfer Engine'!$C$2:$C$1960,0)))</f>
        <v/>
      </c>
      <c r="C1183" s="8">
        <f>IF(ISNA(MATCH(1174,'Transfer Engine'!$C$2:$C$1960,0)),"",INDEX('Compliance Database'!$C$2:$C$1960,MATCH(1174,'Transfer Engine'!$C$2:$C$1960,0)))</f>
        <v/>
      </c>
      <c r="D1183" s="9">
        <f>IF(ISNA(MATCH(1174,'Transfer Engine'!$C$2:$C$1960,0)),"",INDEX('Compliance Database'!$D$2:$D$1960,MATCH(1174,'Transfer Engine'!$C$2:$C$1960,0)))</f>
        <v/>
      </c>
      <c r="E1183" s="8">
        <f>IF(ISNA(MATCH(1174,'Transfer Engine'!$C$2:$C$1960,0)),"",INDEX('Compliance Database'!$E$2:$E$1960,MATCH(1174,'Transfer Engine'!$C$2:$C$1960,0)))</f>
        <v/>
      </c>
      <c r="F1183" s="8">
        <f>IF(ISNA(MATCH(1174,'Transfer Engine'!$C$2:$C$1960,0)),"",INDEX('Compliance Database'!$F$2:$F$1960,MATCH(1174,'Transfer Engine'!$C$2:$C$1960,0)))</f>
        <v/>
      </c>
      <c r="G1183" s="8">
        <f>IF(ISNA(MATCH(1174,'Transfer Engine'!$C$2:$C$1960,0)),"",INDEX('Compliance Database'!$G$2:$G$1960,MATCH(1174,'Transfer Engine'!$C$2:$C$1960,0)))</f>
        <v/>
      </c>
      <c r="H1183" s="9">
        <f>IF(ISNA(MATCH(1174,'Transfer Engine'!$C$2:$C$1960,0)),"",INDEX('Compliance Database'!$H$2:$H$1960,MATCH(1174,'Transfer Engine'!$C$2:$C$1960,0)))</f>
        <v/>
      </c>
      <c r="I1183" s="9">
        <f>IF(ISNA(MATCH(1174,'Transfer Engine'!$C$2:$C$1960,0)),"",INDEX('Compliance Database'!$I$2:$I$1960,MATCH(1174,'Transfer Engine'!$C$2:$C$1960,0)))</f>
        <v/>
      </c>
      <c r="J1183" s="8">
        <f>IF(ISNA(MATCH(1174,'Transfer Engine'!$C$2:$C$1960,0)),"",INDEX('Compliance Database'!$J$2:$J$1960,MATCH(1174,'Transfer Engine'!$C$2:$C$1960,0)))</f>
        <v/>
      </c>
      <c r="K1183" s="9">
        <f>IF(ISNA(MATCH(1174,'Transfer Engine'!$C$2:$C$1960,0)),"",INDEX('Compliance Database'!$K$2:$K$1960,MATCH(1174,'Transfer Engine'!$C$2:$C$1960,0)))</f>
        <v/>
      </c>
      <c r="L1183" s="9">
        <f>IF(ISNA(MATCH(1174,'Transfer Engine'!$C$2:$C$1960,0)),"",INDEX('Compliance Database'!$L$2:$L$1960,MATCH(1174,'Transfer Engine'!$C$2:$C$1960,0)))</f>
        <v/>
      </c>
      <c r="M1183" s="9">
        <f>IF(ISNA(MATCH(1174,'Transfer Engine'!$C$2:$C$1960,0)),"",INDEX('Compliance Database'!$M$2:$M$1960,MATCH(1174,'Transfer Engine'!$C$2:$C$1960,0)))</f>
        <v/>
      </c>
      <c r="N1183" s="9">
        <f>IF(ISNA(MATCH(1174,'Transfer Engine'!$C$2:$C$1960,0)),"",INDEX('Compliance Database'!$N$2:$N$1960,MATCH(1174,'Transfer Engine'!$C$2:$C$1960,0)))</f>
        <v/>
      </c>
      <c r="O1183" s="9">
        <f>IF(ISNA(MATCH(1174,'Transfer Engine'!$C$2:$C$1960,0)),"",INDEX('Compliance Database'!$O$2:$O$1960,MATCH(1174,'Transfer Engine'!$C$2:$C$1960,0)))</f>
        <v/>
      </c>
      <c r="P1183" s="8">
        <f>IF(ISNA(MATCH(1174,'Transfer Engine'!$C$2:$C$1960,0)),"",HYPERLINK("#Acts!A"&amp;INDEX('Compliance Database'!$P$2:$P$1960,MATCH(1174,'Transfer Engine'!$C$2:$C$1960,0)),"Go to Act"))</f>
        <v/>
      </c>
    </row>
    <row r="1184" ht="158" customHeight="1">
      <c r="A1184" s="8">
        <f>IF(ISNA(MATCH(1175,'Transfer Engine'!$C$2:$C$1960,0)),"",INDEX('Compliance Database'!$A$2:$A$1960,MATCH(1175,'Transfer Engine'!$C$2:$C$1960,0)))</f>
        <v/>
      </c>
      <c r="B1184" s="8">
        <f>IF(ISNA(MATCH(1175,'Transfer Engine'!$C$2:$C$1960,0)),"",INDEX('Compliance Database'!$B$2:$B$1960,MATCH(1175,'Transfer Engine'!$C$2:$C$1960,0)))</f>
        <v/>
      </c>
      <c r="C1184" s="8">
        <f>IF(ISNA(MATCH(1175,'Transfer Engine'!$C$2:$C$1960,0)),"",INDEX('Compliance Database'!$C$2:$C$1960,MATCH(1175,'Transfer Engine'!$C$2:$C$1960,0)))</f>
        <v/>
      </c>
      <c r="D1184" s="9">
        <f>IF(ISNA(MATCH(1175,'Transfer Engine'!$C$2:$C$1960,0)),"",INDEX('Compliance Database'!$D$2:$D$1960,MATCH(1175,'Transfer Engine'!$C$2:$C$1960,0)))</f>
        <v/>
      </c>
      <c r="E1184" s="8">
        <f>IF(ISNA(MATCH(1175,'Transfer Engine'!$C$2:$C$1960,0)),"",INDEX('Compliance Database'!$E$2:$E$1960,MATCH(1175,'Transfer Engine'!$C$2:$C$1960,0)))</f>
        <v/>
      </c>
      <c r="F1184" s="8">
        <f>IF(ISNA(MATCH(1175,'Transfer Engine'!$C$2:$C$1960,0)),"",INDEX('Compliance Database'!$F$2:$F$1960,MATCH(1175,'Transfer Engine'!$C$2:$C$1960,0)))</f>
        <v/>
      </c>
      <c r="G1184" s="8">
        <f>IF(ISNA(MATCH(1175,'Transfer Engine'!$C$2:$C$1960,0)),"",INDEX('Compliance Database'!$G$2:$G$1960,MATCH(1175,'Transfer Engine'!$C$2:$C$1960,0)))</f>
        <v/>
      </c>
      <c r="H1184" s="9">
        <f>IF(ISNA(MATCH(1175,'Transfer Engine'!$C$2:$C$1960,0)),"",INDEX('Compliance Database'!$H$2:$H$1960,MATCH(1175,'Transfer Engine'!$C$2:$C$1960,0)))</f>
        <v/>
      </c>
      <c r="I1184" s="9">
        <f>IF(ISNA(MATCH(1175,'Transfer Engine'!$C$2:$C$1960,0)),"",INDEX('Compliance Database'!$I$2:$I$1960,MATCH(1175,'Transfer Engine'!$C$2:$C$1960,0)))</f>
        <v/>
      </c>
      <c r="J1184" s="8">
        <f>IF(ISNA(MATCH(1175,'Transfer Engine'!$C$2:$C$1960,0)),"",INDEX('Compliance Database'!$J$2:$J$1960,MATCH(1175,'Transfer Engine'!$C$2:$C$1960,0)))</f>
        <v/>
      </c>
      <c r="K1184" s="9">
        <f>IF(ISNA(MATCH(1175,'Transfer Engine'!$C$2:$C$1960,0)),"",INDEX('Compliance Database'!$K$2:$K$1960,MATCH(1175,'Transfer Engine'!$C$2:$C$1960,0)))</f>
        <v/>
      </c>
      <c r="L1184" s="9">
        <f>IF(ISNA(MATCH(1175,'Transfer Engine'!$C$2:$C$1960,0)),"",INDEX('Compliance Database'!$L$2:$L$1960,MATCH(1175,'Transfer Engine'!$C$2:$C$1960,0)))</f>
        <v/>
      </c>
      <c r="M1184" s="9">
        <f>IF(ISNA(MATCH(1175,'Transfer Engine'!$C$2:$C$1960,0)),"",INDEX('Compliance Database'!$M$2:$M$1960,MATCH(1175,'Transfer Engine'!$C$2:$C$1960,0)))</f>
        <v/>
      </c>
      <c r="N1184" s="9">
        <f>IF(ISNA(MATCH(1175,'Transfer Engine'!$C$2:$C$1960,0)),"",INDEX('Compliance Database'!$N$2:$N$1960,MATCH(1175,'Transfer Engine'!$C$2:$C$1960,0)))</f>
        <v/>
      </c>
      <c r="O1184" s="9">
        <f>IF(ISNA(MATCH(1175,'Transfer Engine'!$C$2:$C$1960,0)),"",INDEX('Compliance Database'!$O$2:$O$1960,MATCH(1175,'Transfer Engine'!$C$2:$C$1960,0)))</f>
        <v/>
      </c>
      <c r="P1184" s="8">
        <f>IF(ISNA(MATCH(1175,'Transfer Engine'!$C$2:$C$1960,0)),"",HYPERLINK("#Acts!A"&amp;INDEX('Compliance Database'!$P$2:$P$1960,MATCH(1175,'Transfer Engine'!$C$2:$C$1960,0)),"Go to Act"))</f>
        <v/>
      </c>
    </row>
    <row r="1185" ht="158" customHeight="1">
      <c r="A1185" s="8">
        <f>IF(ISNA(MATCH(1176,'Transfer Engine'!$C$2:$C$1960,0)),"",INDEX('Compliance Database'!$A$2:$A$1960,MATCH(1176,'Transfer Engine'!$C$2:$C$1960,0)))</f>
        <v/>
      </c>
      <c r="B1185" s="8">
        <f>IF(ISNA(MATCH(1176,'Transfer Engine'!$C$2:$C$1960,0)),"",INDEX('Compliance Database'!$B$2:$B$1960,MATCH(1176,'Transfer Engine'!$C$2:$C$1960,0)))</f>
        <v/>
      </c>
      <c r="C1185" s="8">
        <f>IF(ISNA(MATCH(1176,'Transfer Engine'!$C$2:$C$1960,0)),"",INDEX('Compliance Database'!$C$2:$C$1960,MATCH(1176,'Transfer Engine'!$C$2:$C$1960,0)))</f>
        <v/>
      </c>
      <c r="D1185" s="9">
        <f>IF(ISNA(MATCH(1176,'Transfer Engine'!$C$2:$C$1960,0)),"",INDEX('Compliance Database'!$D$2:$D$1960,MATCH(1176,'Transfer Engine'!$C$2:$C$1960,0)))</f>
        <v/>
      </c>
      <c r="E1185" s="8">
        <f>IF(ISNA(MATCH(1176,'Transfer Engine'!$C$2:$C$1960,0)),"",INDEX('Compliance Database'!$E$2:$E$1960,MATCH(1176,'Transfer Engine'!$C$2:$C$1960,0)))</f>
        <v/>
      </c>
      <c r="F1185" s="8">
        <f>IF(ISNA(MATCH(1176,'Transfer Engine'!$C$2:$C$1960,0)),"",INDEX('Compliance Database'!$F$2:$F$1960,MATCH(1176,'Transfer Engine'!$C$2:$C$1960,0)))</f>
        <v/>
      </c>
      <c r="G1185" s="8">
        <f>IF(ISNA(MATCH(1176,'Transfer Engine'!$C$2:$C$1960,0)),"",INDEX('Compliance Database'!$G$2:$G$1960,MATCH(1176,'Transfer Engine'!$C$2:$C$1960,0)))</f>
        <v/>
      </c>
      <c r="H1185" s="9">
        <f>IF(ISNA(MATCH(1176,'Transfer Engine'!$C$2:$C$1960,0)),"",INDEX('Compliance Database'!$H$2:$H$1960,MATCH(1176,'Transfer Engine'!$C$2:$C$1960,0)))</f>
        <v/>
      </c>
      <c r="I1185" s="9">
        <f>IF(ISNA(MATCH(1176,'Transfer Engine'!$C$2:$C$1960,0)),"",INDEX('Compliance Database'!$I$2:$I$1960,MATCH(1176,'Transfer Engine'!$C$2:$C$1960,0)))</f>
        <v/>
      </c>
      <c r="J1185" s="8">
        <f>IF(ISNA(MATCH(1176,'Transfer Engine'!$C$2:$C$1960,0)),"",INDEX('Compliance Database'!$J$2:$J$1960,MATCH(1176,'Transfer Engine'!$C$2:$C$1960,0)))</f>
        <v/>
      </c>
      <c r="K1185" s="9">
        <f>IF(ISNA(MATCH(1176,'Transfer Engine'!$C$2:$C$1960,0)),"",INDEX('Compliance Database'!$K$2:$K$1960,MATCH(1176,'Transfer Engine'!$C$2:$C$1960,0)))</f>
        <v/>
      </c>
      <c r="L1185" s="9">
        <f>IF(ISNA(MATCH(1176,'Transfer Engine'!$C$2:$C$1960,0)),"",INDEX('Compliance Database'!$L$2:$L$1960,MATCH(1176,'Transfer Engine'!$C$2:$C$1960,0)))</f>
        <v/>
      </c>
      <c r="M1185" s="9">
        <f>IF(ISNA(MATCH(1176,'Transfer Engine'!$C$2:$C$1960,0)),"",INDEX('Compliance Database'!$M$2:$M$1960,MATCH(1176,'Transfer Engine'!$C$2:$C$1960,0)))</f>
        <v/>
      </c>
      <c r="N1185" s="9">
        <f>IF(ISNA(MATCH(1176,'Transfer Engine'!$C$2:$C$1960,0)),"",INDEX('Compliance Database'!$N$2:$N$1960,MATCH(1176,'Transfer Engine'!$C$2:$C$1960,0)))</f>
        <v/>
      </c>
      <c r="O1185" s="9">
        <f>IF(ISNA(MATCH(1176,'Transfer Engine'!$C$2:$C$1960,0)),"",INDEX('Compliance Database'!$O$2:$O$1960,MATCH(1176,'Transfer Engine'!$C$2:$C$1960,0)))</f>
        <v/>
      </c>
      <c r="P1185" s="8">
        <f>IF(ISNA(MATCH(1176,'Transfer Engine'!$C$2:$C$1960,0)),"",HYPERLINK("#Acts!A"&amp;INDEX('Compliance Database'!$P$2:$P$1960,MATCH(1176,'Transfer Engine'!$C$2:$C$1960,0)),"Go to Act"))</f>
        <v/>
      </c>
    </row>
    <row r="1186" ht="158" customHeight="1">
      <c r="A1186" s="8">
        <f>IF(ISNA(MATCH(1177,'Transfer Engine'!$C$2:$C$1960,0)),"",INDEX('Compliance Database'!$A$2:$A$1960,MATCH(1177,'Transfer Engine'!$C$2:$C$1960,0)))</f>
        <v/>
      </c>
      <c r="B1186" s="8">
        <f>IF(ISNA(MATCH(1177,'Transfer Engine'!$C$2:$C$1960,0)),"",INDEX('Compliance Database'!$B$2:$B$1960,MATCH(1177,'Transfer Engine'!$C$2:$C$1960,0)))</f>
        <v/>
      </c>
      <c r="C1186" s="8">
        <f>IF(ISNA(MATCH(1177,'Transfer Engine'!$C$2:$C$1960,0)),"",INDEX('Compliance Database'!$C$2:$C$1960,MATCH(1177,'Transfer Engine'!$C$2:$C$1960,0)))</f>
        <v/>
      </c>
      <c r="D1186" s="9">
        <f>IF(ISNA(MATCH(1177,'Transfer Engine'!$C$2:$C$1960,0)),"",INDEX('Compliance Database'!$D$2:$D$1960,MATCH(1177,'Transfer Engine'!$C$2:$C$1960,0)))</f>
        <v/>
      </c>
      <c r="E1186" s="8">
        <f>IF(ISNA(MATCH(1177,'Transfer Engine'!$C$2:$C$1960,0)),"",INDEX('Compliance Database'!$E$2:$E$1960,MATCH(1177,'Transfer Engine'!$C$2:$C$1960,0)))</f>
        <v/>
      </c>
      <c r="F1186" s="8">
        <f>IF(ISNA(MATCH(1177,'Transfer Engine'!$C$2:$C$1960,0)),"",INDEX('Compliance Database'!$F$2:$F$1960,MATCH(1177,'Transfer Engine'!$C$2:$C$1960,0)))</f>
        <v/>
      </c>
      <c r="G1186" s="8">
        <f>IF(ISNA(MATCH(1177,'Transfer Engine'!$C$2:$C$1960,0)),"",INDEX('Compliance Database'!$G$2:$G$1960,MATCH(1177,'Transfer Engine'!$C$2:$C$1960,0)))</f>
        <v/>
      </c>
      <c r="H1186" s="9">
        <f>IF(ISNA(MATCH(1177,'Transfer Engine'!$C$2:$C$1960,0)),"",INDEX('Compliance Database'!$H$2:$H$1960,MATCH(1177,'Transfer Engine'!$C$2:$C$1960,0)))</f>
        <v/>
      </c>
      <c r="I1186" s="9">
        <f>IF(ISNA(MATCH(1177,'Transfer Engine'!$C$2:$C$1960,0)),"",INDEX('Compliance Database'!$I$2:$I$1960,MATCH(1177,'Transfer Engine'!$C$2:$C$1960,0)))</f>
        <v/>
      </c>
      <c r="J1186" s="8">
        <f>IF(ISNA(MATCH(1177,'Transfer Engine'!$C$2:$C$1960,0)),"",INDEX('Compliance Database'!$J$2:$J$1960,MATCH(1177,'Transfer Engine'!$C$2:$C$1960,0)))</f>
        <v/>
      </c>
      <c r="K1186" s="9">
        <f>IF(ISNA(MATCH(1177,'Transfer Engine'!$C$2:$C$1960,0)),"",INDEX('Compliance Database'!$K$2:$K$1960,MATCH(1177,'Transfer Engine'!$C$2:$C$1960,0)))</f>
        <v/>
      </c>
      <c r="L1186" s="9">
        <f>IF(ISNA(MATCH(1177,'Transfer Engine'!$C$2:$C$1960,0)),"",INDEX('Compliance Database'!$L$2:$L$1960,MATCH(1177,'Transfer Engine'!$C$2:$C$1960,0)))</f>
        <v/>
      </c>
      <c r="M1186" s="9">
        <f>IF(ISNA(MATCH(1177,'Transfer Engine'!$C$2:$C$1960,0)),"",INDEX('Compliance Database'!$M$2:$M$1960,MATCH(1177,'Transfer Engine'!$C$2:$C$1960,0)))</f>
        <v/>
      </c>
      <c r="N1186" s="9">
        <f>IF(ISNA(MATCH(1177,'Transfer Engine'!$C$2:$C$1960,0)),"",INDEX('Compliance Database'!$N$2:$N$1960,MATCH(1177,'Transfer Engine'!$C$2:$C$1960,0)))</f>
        <v/>
      </c>
      <c r="O1186" s="9">
        <f>IF(ISNA(MATCH(1177,'Transfer Engine'!$C$2:$C$1960,0)),"",INDEX('Compliance Database'!$O$2:$O$1960,MATCH(1177,'Transfer Engine'!$C$2:$C$1960,0)))</f>
        <v/>
      </c>
      <c r="P1186" s="8">
        <f>IF(ISNA(MATCH(1177,'Transfer Engine'!$C$2:$C$1960,0)),"",HYPERLINK("#Acts!A"&amp;INDEX('Compliance Database'!$P$2:$P$1960,MATCH(1177,'Transfer Engine'!$C$2:$C$1960,0)),"Go to Act"))</f>
        <v/>
      </c>
    </row>
    <row r="1187" ht="158" customHeight="1">
      <c r="A1187" s="8">
        <f>IF(ISNA(MATCH(1178,'Transfer Engine'!$C$2:$C$1960,0)),"",INDEX('Compliance Database'!$A$2:$A$1960,MATCH(1178,'Transfer Engine'!$C$2:$C$1960,0)))</f>
        <v/>
      </c>
      <c r="B1187" s="8">
        <f>IF(ISNA(MATCH(1178,'Transfer Engine'!$C$2:$C$1960,0)),"",INDEX('Compliance Database'!$B$2:$B$1960,MATCH(1178,'Transfer Engine'!$C$2:$C$1960,0)))</f>
        <v/>
      </c>
      <c r="C1187" s="8">
        <f>IF(ISNA(MATCH(1178,'Transfer Engine'!$C$2:$C$1960,0)),"",INDEX('Compliance Database'!$C$2:$C$1960,MATCH(1178,'Transfer Engine'!$C$2:$C$1960,0)))</f>
        <v/>
      </c>
      <c r="D1187" s="9">
        <f>IF(ISNA(MATCH(1178,'Transfer Engine'!$C$2:$C$1960,0)),"",INDEX('Compliance Database'!$D$2:$D$1960,MATCH(1178,'Transfer Engine'!$C$2:$C$1960,0)))</f>
        <v/>
      </c>
      <c r="E1187" s="8">
        <f>IF(ISNA(MATCH(1178,'Transfer Engine'!$C$2:$C$1960,0)),"",INDEX('Compliance Database'!$E$2:$E$1960,MATCH(1178,'Transfer Engine'!$C$2:$C$1960,0)))</f>
        <v/>
      </c>
      <c r="F1187" s="8">
        <f>IF(ISNA(MATCH(1178,'Transfer Engine'!$C$2:$C$1960,0)),"",INDEX('Compliance Database'!$F$2:$F$1960,MATCH(1178,'Transfer Engine'!$C$2:$C$1960,0)))</f>
        <v/>
      </c>
      <c r="G1187" s="8">
        <f>IF(ISNA(MATCH(1178,'Transfer Engine'!$C$2:$C$1960,0)),"",INDEX('Compliance Database'!$G$2:$G$1960,MATCH(1178,'Transfer Engine'!$C$2:$C$1960,0)))</f>
        <v/>
      </c>
      <c r="H1187" s="9">
        <f>IF(ISNA(MATCH(1178,'Transfer Engine'!$C$2:$C$1960,0)),"",INDEX('Compliance Database'!$H$2:$H$1960,MATCH(1178,'Transfer Engine'!$C$2:$C$1960,0)))</f>
        <v/>
      </c>
      <c r="I1187" s="9">
        <f>IF(ISNA(MATCH(1178,'Transfer Engine'!$C$2:$C$1960,0)),"",INDEX('Compliance Database'!$I$2:$I$1960,MATCH(1178,'Transfer Engine'!$C$2:$C$1960,0)))</f>
        <v/>
      </c>
      <c r="J1187" s="8">
        <f>IF(ISNA(MATCH(1178,'Transfer Engine'!$C$2:$C$1960,0)),"",INDEX('Compliance Database'!$J$2:$J$1960,MATCH(1178,'Transfer Engine'!$C$2:$C$1960,0)))</f>
        <v/>
      </c>
      <c r="K1187" s="9">
        <f>IF(ISNA(MATCH(1178,'Transfer Engine'!$C$2:$C$1960,0)),"",INDEX('Compliance Database'!$K$2:$K$1960,MATCH(1178,'Transfer Engine'!$C$2:$C$1960,0)))</f>
        <v/>
      </c>
      <c r="L1187" s="9">
        <f>IF(ISNA(MATCH(1178,'Transfer Engine'!$C$2:$C$1960,0)),"",INDEX('Compliance Database'!$L$2:$L$1960,MATCH(1178,'Transfer Engine'!$C$2:$C$1960,0)))</f>
        <v/>
      </c>
      <c r="M1187" s="9">
        <f>IF(ISNA(MATCH(1178,'Transfer Engine'!$C$2:$C$1960,0)),"",INDEX('Compliance Database'!$M$2:$M$1960,MATCH(1178,'Transfer Engine'!$C$2:$C$1960,0)))</f>
        <v/>
      </c>
      <c r="N1187" s="9">
        <f>IF(ISNA(MATCH(1178,'Transfer Engine'!$C$2:$C$1960,0)),"",INDEX('Compliance Database'!$N$2:$N$1960,MATCH(1178,'Transfer Engine'!$C$2:$C$1960,0)))</f>
        <v/>
      </c>
      <c r="O1187" s="9">
        <f>IF(ISNA(MATCH(1178,'Transfer Engine'!$C$2:$C$1960,0)),"",INDEX('Compliance Database'!$O$2:$O$1960,MATCH(1178,'Transfer Engine'!$C$2:$C$1960,0)))</f>
        <v/>
      </c>
      <c r="P1187" s="8">
        <f>IF(ISNA(MATCH(1178,'Transfer Engine'!$C$2:$C$1960,0)),"",HYPERLINK("#Acts!A"&amp;INDEX('Compliance Database'!$P$2:$P$1960,MATCH(1178,'Transfer Engine'!$C$2:$C$1960,0)),"Go to Act"))</f>
        <v/>
      </c>
    </row>
    <row r="1188" ht="158" customHeight="1">
      <c r="A1188" s="8">
        <f>IF(ISNA(MATCH(1179,'Transfer Engine'!$C$2:$C$1960,0)),"",INDEX('Compliance Database'!$A$2:$A$1960,MATCH(1179,'Transfer Engine'!$C$2:$C$1960,0)))</f>
        <v/>
      </c>
      <c r="B1188" s="8">
        <f>IF(ISNA(MATCH(1179,'Transfer Engine'!$C$2:$C$1960,0)),"",INDEX('Compliance Database'!$B$2:$B$1960,MATCH(1179,'Transfer Engine'!$C$2:$C$1960,0)))</f>
        <v/>
      </c>
      <c r="C1188" s="8">
        <f>IF(ISNA(MATCH(1179,'Transfer Engine'!$C$2:$C$1960,0)),"",INDEX('Compliance Database'!$C$2:$C$1960,MATCH(1179,'Transfer Engine'!$C$2:$C$1960,0)))</f>
        <v/>
      </c>
      <c r="D1188" s="9">
        <f>IF(ISNA(MATCH(1179,'Transfer Engine'!$C$2:$C$1960,0)),"",INDEX('Compliance Database'!$D$2:$D$1960,MATCH(1179,'Transfer Engine'!$C$2:$C$1960,0)))</f>
        <v/>
      </c>
      <c r="E1188" s="8">
        <f>IF(ISNA(MATCH(1179,'Transfer Engine'!$C$2:$C$1960,0)),"",INDEX('Compliance Database'!$E$2:$E$1960,MATCH(1179,'Transfer Engine'!$C$2:$C$1960,0)))</f>
        <v/>
      </c>
      <c r="F1188" s="8">
        <f>IF(ISNA(MATCH(1179,'Transfer Engine'!$C$2:$C$1960,0)),"",INDEX('Compliance Database'!$F$2:$F$1960,MATCH(1179,'Transfer Engine'!$C$2:$C$1960,0)))</f>
        <v/>
      </c>
      <c r="G1188" s="8">
        <f>IF(ISNA(MATCH(1179,'Transfer Engine'!$C$2:$C$1960,0)),"",INDEX('Compliance Database'!$G$2:$G$1960,MATCH(1179,'Transfer Engine'!$C$2:$C$1960,0)))</f>
        <v/>
      </c>
      <c r="H1188" s="9">
        <f>IF(ISNA(MATCH(1179,'Transfer Engine'!$C$2:$C$1960,0)),"",INDEX('Compliance Database'!$H$2:$H$1960,MATCH(1179,'Transfer Engine'!$C$2:$C$1960,0)))</f>
        <v/>
      </c>
      <c r="I1188" s="9">
        <f>IF(ISNA(MATCH(1179,'Transfer Engine'!$C$2:$C$1960,0)),"",INDEX('Compliance Database'!$I$2:$I$1960,MATCH(1179,'Transfer Engine'!$C$2:$C$1960,0)))</f>
        <v/>
      </c>
      <c r="J1188" s="8">
        <f>IF(ISNA(MATCH(1179,'Transfer Engine'!$C$2:$C$1960,0)),"",INDEX('Compliance Database'!$J$2:$J$1960,MATCH(1179,'Transfer Engine'!$C$2:$C$1960,0)))</f>
        <v/>
      </c>
      <c r="K1188" s="9">
        <f>IF(ISNA(MATCH(1179,'Transfer Engine'!$C$2:$C$1960,0)),"",INDEX('Compliance Database'!$K$2:$K$1960,MATCH(1179,'Transfer Engine'!$C$2:$C$1960,0)))</f>
        <v/>
      </c>
      <c r="L1188" s="9">
        <f>IF(ISNA(MATCH(1179,'Transfer Engine'!$C$2:$C$1960,0)),"",INDEX('Compliance Database'!$L$2:$L$1960,MATCH(1179,'Transfer Engine'!$C$2:$C$1960,0)))</f>
        <v/>
      </c>
      <c r="M1188" s="9">
        <f>IF(ISNA(MATCH(1179,'Transfer Engine'!$C$2:$C$1960,0)),"",INDEX('Compliance Database'!$M$2:$M$1960,MATCH(1179,'Transfer Engine'!$C$2:$C$1960,0)))</f>
        <v/>
      </c>
      <c r="N1188" s="9">
        <f>IF(ISNA(MATCH(1179,'Transfer Engine'!$C$2:$C$1960,0)),"",INDEX('Compliance Database'!$N$2:$N$1960,MATCH(1179,'Transfer Engine'!$C$2:$C$1960,0)))</f>
        <v/>
      </c>
      <c r="O1188" s="9">
        <f>IF(ISNA(MATCH(1179,'Transfer Engine'!$C$2:$C$1960,0)),"",INDEX('Compliance Database'!$O$2:$O$1960,MATCH(1179,'Transfer Engine'!$C$2:$C$1960,0)))</f>
        <v/>
      </c>
      <c r="P1188" s="8">
        <f>IF(ISNA(MATCH(1179,'Transfer Engine'!$C$2:$C$1960,0)),"",HYPERLINK("#Acts!A"&amp;INDEX('Compliance Database'!$P$2:$P$1960,MATCH(1179,'Transfer Engine'!$C$2:$C$1960,0)),"Go to Act"))</f>
        <v/>
      </c>
    </row>
    <row r="1189" ht="158" customHeight="1">
      <c r="A1189" s="8">
        <f>IF(ISNA(MATCH(1180,'Transfer Engine'!$C$2:$C$1960,0)),"",INDEX('Compliance Database'!$A$2:$A$1960,MATCH(1180,'Transfer Engine'!$C$2:$C$1960,0)))</f>
        <v/>
      </c>
      <c r="B1189" s="8">
        <f>IF(ISNA(MATCH(1180,'Transfer Engine'!$C$2:$C$1960,0)),"",INDEX('Compliance Database'!$B$2:$B$1960,MATCH(1180,'Transfer Engine'!$C$2:$C$1960,0)))</f>
        <v/>
      </c>
      <c r="C1189" s="8">
        <f>IF(ISNA(MATCH(1180,'Transfer Engine'!$C$2:$C$1960,0)),"",INDEX('Compliance Database'!$C$2:$C$1960,MATCH(1180,'Transfer Engine'!$C$2:$C$1960,0)))</f>
        <v/>
      </c>
      <c r="D1189" s="9">
        <f>IF(ISNA(MATCH(1180,'Transfer Engine'!$C$2:$C$1960,0)),"",INDEX('Compliance Database'!$D$2:$D$1960,MATCH(1180,'Transfer Engine'!$C$2:$C$1960,0)))</f>
        <v/>
      </c>
      <c r="E1189" s="8">
        <f>IF(ISNA(MATCH(1180,'Transfer Engine'!$C$2:$C$1960,0)),"",INDEX('Compliance Database'!$E$2:$E$1960,MATCH(1180,'Transfer Engine'!$C$2:$C$1960,0)))</f>
        <v/>
      </c>
      <c r="F1189" s="8">
        <f>IF(ISNA(MATCH(1180,'Transfer Engine'!$C$2:$C$1960,0)),"",INDEX('Compliance Database'!$F$2:$F$1960,MATCH(1180,'Transfer Engine'!$C$2:$C$1960,0)))</f>
        <v/>
      </c>
      <c r="G1189" s="8">
        <f>IF(ISNA(MATCH(1180,'Transfer Engine'!$C$2:$C$1960,0)),"",INDEX('Compliance Database'!$G$2:$G$1960,MATCH(1180,'Transfer Engine'!$C$2:$C$1960,0)))</f>
        <v/>
      </c>
      <c r="H1189" s="9">
        <f>IF(ISNA(MATCH(1180,'Transfer Engine'!$C$2:$C$1960,0)),"",INDEX('Compliance Database'!$H$2:$H$1960,MATCH(1180,'Transfer Engine'!$C$2:$C$1960,0)))</f>
        <v/>
      </c>
      <c r="I1189" s="9">
        <f>IF(ISNA(MATCH(1180,'Transfer Engine'!$C$2:$C$1960,0)),"",INDEX('Compliance Database'!$I$2:$I$1960,MATCH(1180,'Transfer Engine'!$C$2:$C$1960,0)))</f>
        <v/>
      </c>
      <c r="J1189" s="8">
        <f>IF(ISNA(MATCH(1180,'Transfer Engine'!$C$2:$C$1960,0)),"",INDEX('Compliance Database'!$J$2:$J$1960,MATCH(1180,'Transfer Engine'!$C$2:$C$1960,0)))</f>
        <v/>
      </c>
      <c r="K1189" s="9">
        <f>IF(ISNA(MATCH(1180,'Transfer Engine'!$C$2:$C$1960,0)),"",INDEX('Compliance Database'!$K$2:$K$1960,MATCH(1180,'Transfer Engine'!$C$2:$C$1960,0)))</f>
        <v/>
      </c>
      <c r="L1189" s="9">
        <f>IF(ISNA(MATCH(1180,'Transfer Engine'!$C$2:$C$1960,0)),"",INDEX('Compliance Database'!$L$2:$L$1960,MATCH(1180,'Transfer Engine'!$C$2:$C$1960,0)))</f>
        <v/>
      </c>
      <c r="M1189" s="9">
        <f>IF(ISNA(MATCH(1180,'Transfer Engine'!$C$2:$C$1960,0)),"",INDEX('Compliance Database'!$M$2:$M$1960,MATCH(1180,'Transfer Engine'!$C$2:$C$1960,0)))</f>
        <v/>
      </c>
      <c r="N1189" s="9">
        <f>IF(ISNA(MATCH(1180,'Transfer Engine'!$C$2:$C$1960,0)),"",INDEX('Compliance Database'!$N$2:$N$1960,MATCH(1180,'Transfer Engine'!$C$2:$C$1960,0)))</f>
        <v/>
      </c>
      <c r="O1189" s="9">
        <f>IF(ISNA(MATCH(1180,'Transfer Engine'!$C$2:$C$1960,0)),"",INDEX('Compliance Database'!$O$2:$O$1960,MATCH(1180,'Transfer Engine'!$C$2:$C$1960,0)))</f>
        <v/>
      </c>
      <c r="P1189" s="8">
        <f>IF(ISNA(MATCH(1180,'Transfer Engine'!$C$2:$C$1960,0)),"",HYPERLINK("#Acts!A"&amp;INDEX('Compliance Database'!$P$2:$P$1960,MATCH(1180,'Transfer Engine'!$C$2:$C$1960,0)),"Go to Act"))</f>
        <v/>
      </c>
    </row>
    <row r="1190" ht="158" customHeight="1">
      <c r="A1190" s="8">
        <f>IF(ISNA(MATCH(1181,'Transfer Engine'!$C$2:$C$1960,0)),"",INDEX('Compliance Database'!$A$2:$A$1960,MATCH(1181,'Transfer Engine'!$C$2:$C$1960,0)))</f>
        <v/>
      </c>
      <c r="B1190" s="8">
        <f>IF(ISNA(MATCH(1181,'Transfer Engine'!$C$2:$C$1960,0)),"",INDEX('Compliance Database'!$B$2:$B$1960,MATCH(1181,'Transfer Engine'!$C$2:$C$1960,0)))</f>
        <v/>
      </c>
      <c r="C1190" s="8">
        <f>IF(ISNA(MATCH(1181,'Transfer Engine'!$C$2:$C$1960,0)),"",INDEX('Compliance Database'!$C$2:$C$1960,MATCH(1181,'Transfer Engine'!$C$2:$C$1960,0)))</f>
        <v/>
      </c>
      <c r="D1190" s="9">
        <f>IF(ISNA(MATCH(1181,'Transfer Engine'!$C$2:$C$1960,0)),"",INDEX('Compliance Database'!$D$2:$D$1960,MATCH(1181,'Transfer Engine'!$C$2:$C$1960,0)))</f>
        <v/>
      </c>
      <c r="E1190" s="8">
        <f>IF(ISNA(MATCH(1181,'Transfer Engine'!$C$2:$C$1960,0)),"",INDEX('Compliance Database'!$E$2:$E$1960,MATCH(1181,'Transfer Engine'!$C$2:$C$1960,0)))</f>
        <v/>
      </c>
      <c r="F1190" s="8">
        <f>IF(ISNA(MATCH(1181,'Transfer Engine'!$C$2:$C$1960,0)),"",INDEX('Compliance Database'!$F$2:$F$1960,MATCH(1181,'Transfer Engine'!$C$2:$C$1960,0)))</f>
        <v/>
      </c>
      <c r="G1190" s="8">
        <f>IF(ISNA(MATCH(1181,'Transfer Engine'!$C$2:$C$1960,0)),"",INDEX('Compliance Database'!$G$2:$G$1960,MATCH(1181,'Transfer Engine'!$C$2:$C$1960,0)))</f>
        <v/>
      </c>
      <c r="H1190" s="9">
        <f>IF(ISNA(MATCH(1181,'Transfer Engine'!$C$2:$C$1960,0)),"",INDEX('Compliance Database'!$H$2:$H$1960,MATCH(1181,'Transfer Engine'!$C$2:$C$1960,0)))</f>
        <v/>
      </c>
      <c r="I1190" s="9">
        <f>IF(ISNA(MATCH(1181,'Transfer Engine'!$C$2:$C$1960,0)),"",INDEX('Compliance Database'!$I$2:$I$1960,MATCH(1181,'Transfer Engine'!$C$2:$C$1960,0)))</f>
        <v/>
      </c>
      <c r="J1190" s="8">
        <f>IF(ISNA(MATCH(1181,'Transfer Engine'!$C$2:$C$1960,0)),"",INDEX('Compliance Database'!$J$2:$J$1960,MATCH(1181,'Transfer Engine'!$C$2:$C$1960,0)))</f>
        <v/>
      </c>
      <c r="K1190" s="9">
        <f>IF(ISNA(MATCH(1181,'Transfer Engine'!$C$2:$C$1960,0)),"",INDEX('Compliance Database'!$K$2:$K$1960,MATCH(1181,'Transfer Engine'!$C$2:$C$1960,0)))</f>
        <v/>
      </c>
      <c r="L1190" s="9">
        <f>IF(ISNA(MATCH(1181,'Transfer Engine'!$C$2:$C$1960,0)),"",INDEX('Compliance Database'!$L$2:$L$1960,MATCH(1181,'Transfer Engine'!$C$2:$C$1960,0)))</f>
        <v/>
      </c>
      <c r="M1190" s="9">
        <f>IF(ISNA(MATCH(1181,'Transfer Engine'!$C$2:$C$1960,0)),"",INDEX('Compliance Database'!$M$2:$M$1960,MATCH(1181,'Transfer Engine'!$C$2:$C$1960,0)))</f>
        <v/>
      </c>
      <c r="N1190" s="9">
        <f>IF(ISNA(MATCH(1181,'Transfer Engine'!$C$2:$C$1960,0)),"",INDEX('Compliance Database'!$N$2:$N$1960,MATCH(1181,'Transfer Engine'!$C$2:$C$1960,0)))</f>
        <v/>
      </c>
      <c r="O1190" s="9">
        <f>IF(ISNA(MATCH(1181,'Transfer Engine'!$C$2:$C$1960,0)),"",INDEX('Compliance Database'!$O$2:$O$1960,MATCH(1181,'Transfer Engine'!$C$2:$C$1960,0)))</f>
        <v/>
      </c>
      <c r="P1190" s="8">
        <f>IF(ISNA(MATCH(1181,'Transfer Engine'!$C$2:$C$1960,0)),"",HYPERLINK("#Acts!A"&amp;INDEX('Compliance Database'!$P$2:$P$1960,MATCH(1181,'Transfer Engine'!$C$2:$C$1960,0)),"Go to Act"))</f>
        <v/>
      </c>
    </row>
    <row r="1191" ht="158" customHeight="1">
      <c r="A1191" s="8">
        <f>IF(ISNA(MATCH(1182,'Transfer Engine'!$C$2:$C$1960,0)),"",INDEX('Compliance Database'!$A$2:$A$1960,MATCH(1182,'Transfer Engine'!$C$2:$C$1960,0)))</f>
        <v/>
      </c>
      <c r="B1191" s="8">
        <f>IF(ISNA(MATCH(1182,'Transfer Engine'!$C$2:$C$1960,0)),"",INDEX('Compliance Database'!$B$2:$B$1960,MATCH(1182,'Transfer Engine'!$C$2:$C$1960,0)))</f>
        <v/>
      </c>
      <c r="C1191" s="8">
        <f>IF(ISNA(MATCH(1182,'Transfer Engine'!$C$2:$C$1960,0)),"",INDEX('Compliance Database'!$C$2:$C$1960,MATCH(1182,'Transfer Engine'!$C$2:$C$1960,0)))</f>
        <v/>
      </c>
      <c r="D1191" s="9">
        <f>IF(ISNA(MATCH(1182,'Transfer Engine'!$C$2:$C$1960,0)),"",INDEX('Compliance Database'!$D$2:$D$1960,MATCH(1182,'Transfer Engine'!$C$2:$C$1960,0)))</f>
        <v/>
      </c>
      <c r="E1191" s="8">
        <f>IF(ISNA(MATCH(1182,'Transfer Engine'!$C$2:$C$1960,0)),"",INDEX('Compliance Database'!$E$2:$E$1960,MATCH(1182,'Transfer Engine'!$C$2:$C$1960,0)))</f>
        <v/>
      </c>
      <c r="F1191" s="8">
        <f>IF(ISNA(MATCH(1182,'Transfer Engine'!$C$2:$C$1960,0)),"",INDEX('Compliance Database'!$F$2:$F$1960,MATCH(1182,'Transfer Engine'!$C$2:$C$1960,0)))</f>
        <v/>
      </c>
      <c r="G1191" s="8">
        <f>IF(ISNA(MATCH(1182,'Transfer Engine'!$C$2:$C$1960,0)),"",INDEX('Compliance Database'!$G$2:$G$1960,MATCH(1182,'Transfer Engine'!$C$2:$C$1960,0)))</f>
        <v/>
      </c>
      <c r="H1191" s="9">
        <f>IF(ISNA(MATCH(1182,'Transfer Engine'!$C$2:$C$1960,0)),"",INDEX('Compliance Database'!$H$2:$H$1960,MATCH(1182,'Transfer Engine'!$C$2:$C$1960,0)))</f>
        <v/>
      </c>
      <c r="I1191" s="9">
        <f>IF(ISNA(MATCH(1182,'Transfer Engine'!$C$2:$C$1960,0)),"",INDEX('Compliance Database'!$I$2:$I$1960,MATCH(1182,'Transfer Engine'!$C$2:$C$1960,0)))</f>
        <v/>
      </c>
      <c r="J1191" s="8">
        <f>IF(ISNA(MATCH(1182,'Transfer Engine'!$C$2:$C$1960,0)),"",INDEX('Compliance Database'!$J$2:$J$1960,MATCH(1182,'Transfer Engine'!$C$2:$C$1960,0)))</f>
        <v/>
      </c>
      <c r="K1191" s="9">
        <f>IF(ISNA(MATCH(1182,'Transfer Engine'!$C$2:$C$1960,0)),"",INDEX('Compliance Database'!$K$2:$K$1960,MATCH(1182,'Transfer Engine'!$C$2:$C$1960,0)))</f>
        <v/>
      </c>
      <c r="L1191" s="9">
        <f>IF(ISNA(MATCH(1182,'Transfer Engine'!$C$2:$C$1960,0)),"",INDEX('Compliance Database'!$L$2:$L$1960,MATCH(1182,'Transfer Engine'!$C$2:$C$1960,0)))</f>
        <v/>
      </c>
      <c r="M1191" s="9">
        <f>IF(ISNA(MATCH(1182,'Transfer Engine'!$C$2:$C$1960,0)),"",INDEX('Compliance Database'!$M$2:$M$1960,MATCH(1182,'Transfer Engine'!$C$2:$C$1960,0)))</f>
        <v/>
      </c>
      <c r="N1191" s="9">
        <f>IF(ISNA(MATCH(1182,'Transfer Engine'!$C$2:$C$1960,0)),"",INDEX('Compliance Database'!$N$2:$N$1960,MATCH(1182,'Transfer Engine'!$C$2:$C$1960,0)))</f>
        <v/>
      </c>
      <c r="O1191" s="9">
        <f>IF(ISNA(MATCH(1182,'Transfer Engine'!$C$2:$C$1960,0)),"",INDEX('Compliance Database'!$O$2:$O$1960,MATCH(1182,'Transfer Engine'!$C$2:$C$1960,0)))</f>
        <v/>
      </c>
      <c r="P1191" s="8">
        <f>IF(ISNA(MATCH(1182,'Transfer Engine'!$C$2:$C$1960,0)),"",HYPERLINK("#Acts!A"&amp;INDEX('Compliance Database'!$P$2:$P$1960,MATCH(1182,'Transfer Engine'!$C$2:$C$1960,0)),"Go to Act"))</f>
        <v/>
      </c>
    </row>
    <row r="1192" ht="158" customHeight="1">
      <c r="A1192" s="8">
        <f>IF(ISNA(MATCH(1183,'Transfer Engine'!$C$2:$C$1960,0)),"",INDEX('Compliance Database'!$A$2:$A$1960,MATCH(1183,'Transfer Engine'!$C$2:$C$1960,0)))</f>
        <v/>
      </c>
      <c r="B1192" s="8">
        <f>IF(ISNA(MATCH(1183,'Transfer Engine'!$C$2:$C$1960,0)),"",INDEX('Compliance Database'!$B$2:$B$1960,MATCH(1183,'Transfer Engine'!$C$2:$C$1960,0)))</f>
        <v/>
      </c>
      <c r="C1192" s="8">
        <f>IF(ISNA(MATCH(1183,'Transfer Engine'!$C$2:$C$1960,0)),"",INDEX('Compliance Database'!$C$2:$C$1960,MATCH(1183,'Transfer Engine'!$C$2:$C$1960,0)))</f>
        <v/>
      </c>
      <c r="D1192" s="9">
        <f>IF(ISNA(MATCH(1183,'Transfer Engine'!$C$2:$C$1960,0)),"",INDEX('Compliance Database'!$D$2:$D$1960,MATCH(1183,'Transfer Engine'!$C$2:$C$1960,0)))</f>
        <v/>
      </c>
      <c r="E1192" s="8">
        <f>IF(ISNA(MATCH(1183,'Transfer Engine'!$C$2:$C$1960,0)),"",INDEX('Compliance Database'!$E$2:$E$1960,MATCH(1183,'Transfer Engine'!$C$2:$C$1960,0)))</f>
        <v/>
      </c>
      <c r="F1192" s="8">
        <f>IF(ISNA(MATCH(1183,'Transfer Engine'!$C$2:$C$1960,0)),"",INDEX('Compliance Database'!$F$2:$F$1960,MATCH(1183,'Transfer Engine'!$C$2:$C$1960,0)))</f>
        <v/>
      </c>
      <c r="G1192" s="8">
        <f>IF(ISNA(MATCH(1183,'Transfer Engine'!$C$2:$C$1960,0)),"",INDEX('Compliance Database'!$G$2:$G$1960,MATCH(1183,'Transfer Engine'!$C$2:$C$1960,0)))</f>
        <v/>
      </c>
      <c r="H1192" s="9">
        <f>IF(ISNA(MATCH(1183,'Transfer Engine'!$C$2:$C$1960,0)),"",INDEX('Compliance Database'!$H$2:$H$1960,MATCH(1183,'Transfer Engine'!$C$2:$C$1960,0)))</f>
        <v/>
      </c>
      <c r="I1192" s="9">
        <f>IF(ISNA(MATCH(1183,'Transfer Engine'!$C$2:$C$1960,0)),"",INDEX('Compliance Database'!$I$2:$I$1960,MATCH(1183,'Transfer Engine'!$C$2:$C$1960,0)))</f>
        <v/>
      </c>
      <c r="J1192" s="8">
        <f>IF(ISNA(MATCH(1183,'Transfer Engine'!$C$2:$C$1960,0)),"",INDEX('Compliance Database'!$J$2:$J$1960,MATCH(1183,'Transfer Engine'!$C$2:$C$1960,0)))</f>
        <v/>
      </c>
      <c r="K1192" s="9">
        <f>IF(ISNA(MATCH(1183,'Transfer Engine'!$C$2:$C$1960,0)),"",INDEX('Compliance Database'!$K$2:$K$1960,MATCH(1183,'Transfer Engine'!$C$2:$C$1960,0)))</f>
        <v/>
      </c>
      <c r="L1192" s="9">
        <f>IF(ISNA(MATCH(1183,'Transfer Engine'!$C$2:$C$1960,0)),"",INDEX('Compliance Database'!$L$2:$L$1960,MATCH(1183,'Transfer Engine'!$C$2:$C$1960,0)))</f>
        <v/>
      </c>
      <c r="M1192" s="9">
        <f>IF(ISNA(MATCH(1183,'Transfer Engine'!$C$2:$C$1960,0)),"",INDEX('Compliance Database'!$M$2:$M$1960,MATCH(1183,'Transfer Engine'!$C$2:$C$1960,0)))</f>
        <v/>
      </c>
      <c r="N1192" s="9">
        <f>IF(ISNA(MATCH(1183,'Transfer Engine'!$C$2:$C$1960,0)),"",INDEX('Compliance Database'!$N$2:$N$1960,MATCH(1183,'Transfer Engine'!$C$2:$C$1960,0)))</f>
        <v/>
      </c>
      <c r="O1192" s="9">
        <f>IF(ISNA(MATCH(1183,'Transfer Engine'!$C$2:$C$1960,0)),"",INDEX('Compliance Database'!$O$2:$O$1960,MATCH(1183,'Transfer Engine'!$C$2:$C$1960,0)))</f>
        <v/>
      </c>
      <c r="P1192" s="8">
        <f>IF(ISNA(MATCH(1183,'Transfer Engine'!$C$2:$C$1960,0)),"",HYPERLINK("#Acts!A"&amp;INDEX('Compliance Database'!$P$2:$P$1960,MATCH(1183,'Transfer Engine'!$C$2:$C$1960,0)),"Go to Act"))</f>
        <v/>
      </c>
    </row>
    <row r="1193" ht="158" customHeight="1">
      <c r="A1193" s="8">
        <f>IF(ISNA(MATCH(1184,'Transfer Engine'!$C$2:$C$1960,0)),"",INDEX('Compliance Database'!$A$2:$A$1960,MATCH(1184,'Transfer Engine'!$C$2:$C$1960,0)))</f>
        <v/>
      </c>
      <c r="B1193" s="8">
        <f>IF(ISNA(MATCH(1184,'Transfer Engine'!$C$2:$C$1960,0)),"",INDEX('Compliance Database'!$B$2:$B$1960,MATCH(1184,'Transfer Engine'!$C$2:$C$1960,0)))</f>
        <v/>
      </c>
      <c r="C1193" s="8">
        <f>IF(ISNA(MATCH(1184,'Transfer Engine'!$C$2:$C$1960,0)),"",INDEX('Compliance Database'!$C$2:$C$1960,MATCH(1184,'Transfer Engine'!$C$2:$C$1960,0)))</f>
        <v/>
      </c>
      <c r="D1193" s="9">
        <f>IF(ISNA(MATCH(1184,'Transfer Engine'!$C$2:$C$1960,0)),"",INDEX('Compliance Database'!$D$2:$D$1960,MATCH(1184,'Transfer Engine'!$C$2:$C$1960,0)))</f>
        <v/>
      </c>
      <c r="E1193" s="8">
        <f>IF(ISNA(MATCH(1184,'Transfer Engine'!$C$2:$C$1960,0)),"",INDEX('Compliance Database'!$E$2:$E$1960,MATCH(1184,'Transfer Engine'!$C$2:$C$1960,0)))</f>
        <v/>
      </c>
      <c r="F1193" s="8">
        <f>IF(ISNA(MATCH(1184,'Transfer Engine'!$C$2:$C$1960,0)),"",INDEX('Compliance Database'!$F$2:$F$1960,MATCH(1184,'Transfer Engine'!$C$2:$C$1960,0)))</f>
        <v/>
      </c>
      <c r="G1193" s="8">
        <f>IF(ISNA(MATCH(1184,'Transfer Engine'!$C$2:$C$1960,0)),"",INDEX('Compliance Database'!$G$2:$G$1960,MATCH(1184,'Transfer Engine'!$C$2:$C$1960,0)))</f>
        <v/>
      </c>
      <c r="H1193" s="9">
        <f>IF(ISNA(MATCH(1184,'Transfer Engine'!$C$2:$C$1960,0)),"",INDEX('Compliance Database'!$H$2:$H$1960,MATCH(1184,'Transfer Engine'!$C$2:$C$1960,0)))</f>
        <v/>
      </c>
      <c r="I1193" s="9">
        <f>IF(ISNA(MATCH(1184,'Transfer Engine'!$C$2:$C$1960,0)),"",INDEX('Compliance Database'!$I$2:$I$1960,MATCH(1184,'Transfer Engine'!$C$2:$C$1960,0)))</f>
        <v/>
      </c>
      <c r="J1193" s="8">
        <f>IF(ISNA(MATCH(1184,'Transfer Engine'!$C$2:$C$1960,0)),"",INDEX('Compliance Database'!$J$2:$J$1960,MATCH(1184,'Transfer Engine'!$C$2:$C$1960,0)))</f>
        <v/>
      </c>
      <c r="K1193" s="9">
        <f>IF(ISNA(MATCH(1184,'Transfer Engine'!$C$2:$C$1960,0)),"",INDEX('Compliance Database'!$K$2:$K$1960,MATCH(1184,'Transfer Engine'!$C$2:$C$1960,0)))</f>
        <v/>
      </c>
      <c r="L1193" s="9">
        <f>IF(ISNA(MATCH(1184,'Transfer Engine'!$C$2:$C$1960,0)),"",INDEX('Compliance Database'!$L$2:$L$1960,MATCH(1184,'Transfer Engine'!$C$2:$C$1960,0)))</f>
        <v/>
      </c>
      <c r="M1193" s="9">
        <f>IF(ISNA(MATCH(1184,'Transfer Engine'!$C$2:$C$1960,0)),"",INDEX('Compliance Database'!$M$2:$M$1960,MATCH(1184,'Transfer Engine'!$C$2:$C$1960,0)))</f>
        <v/>
      </c>
      <c r="N1193" s="9">
        <f>IF(ISNA(MATCH(1184,'Transfer Engine'!$C$2:$C$1960,0)),"",INDEX('Compliance Database'!$N$2:$N$1960,MATCH(1184,'Transfer Engine'!$C$2:$C$1960,0)))</f>
        <v/>
      </c>
      <c r="O1193" s="9">
        <f>IF(ISNA(MATCH(1184,'Transfer Engine'!$C$2:$C$1960,0)),"",INDEX('Compliance Database'!$O$2:$O$1960,MATCH(1184,'Transfer Engine'!$C$2:$C$1960,0)))</f>
        <v/>
      </c>
      <c r="P1193" s="8">
        <f>IF(ISNA(MATCH(1184,'Transfer Engine'!$C$2:$C$1960,0)),"",HYPERLINK("#Acts!A"&amp;INDEX('Compliance Database'!$P$2:$P$1960,MATCH(1184,'Transfer Engine'!$C$2:$C$1960,0)),"Go to Act"))</f>
        <v/>
      </c>
    </row>
    <row r="1194" ht="158" customHeight="1">
      <c r="A1194" s="8">
        <f>IF(ISNA(MATCH(1185,'Transfer Engine'!$C$2:$C$1960,0)),"",INDEX('Compliance Database'!$A$2:$A$1960,MATCH(1185,'Transfer Engine'!$C$2:$C$1960,0)))</f>
        <v/>
      </c>
      <c r="B1194" s="8">
        <f>IF(ISNA(MATCH(1185,'Transfer Engine'!$C$2:$C$1960,0)),"",INDEX('Compliance Database'!$B$2:$B$1960,MATCH(1185,'Transfer Engine'!$C$2:$C$1960,0)))</f>
        <v/>
      </c>
      <c r="C1194" s="8">
        <f>IF(ISNA(MATCH(1185,'Transfer Engine'!$C$2:$C$1960,0)),"",INDEX('Compliance Database'!$C$2:$C$1960,MATCH(1185,'Transfer Engine'!$C$2:$C$1960,0)))</f>
        <v/>
      </c>
      <c r="D1194" s="9">
        <f>IF(ISNA(MATCH(1185,'Transfer Engine'!$C$2:$C$1960,0)),"",INDEX('Compliance Database'!$D$2:$D$1960,MATCH(1185,'Transfer Engine'!$C$2:$C$1960,0)))</f>
        <v/>
      </c>
      <c r="E1194" s="8">
        <f>IF(ISNA(MATCH(1185,'Transfer Engine'!$C$2:$C$1960,0)),"",INDEX('Compliance Database'!$E$2:$E$1960,MATCH(1185,'Transfer Engine'!$C$2:$C$1960,0)))</f>
        <v/>
      </c>
      <c r="F1194" s="8">
        <f>IF(ISNA(MATCH(1185,'Transfer Engine'!$C$2:$C$1960,0)),"",INDEX('Compliance Database'!$F$2:$F$1960,MATCH(1185,'Transfer Engine'!$C$2:$C$1960,0)))</f>
        <v/>
      </c>
      <c r="G1194" s="8">
        <f>IF(ISNA(MATCH(1185,'Transfer Engine'!$C$2:$C$1960,0)),"",INDEX('Compliance Database'!$G$2:$G$1960,MATCH(1185,'Transfer Engine'!$C$2:$C$1960,0)))</f>
        <v/>
      </c>
      <c r="H1194" s="9">
        <f>IF(ISNA(MATCH(1185,'Transfer Engine'!$C$2:$C$1960,0)),"",INDEX('Compliance Database'!$H$2:$H$1960,MATCH(1185,'Transfer Engine'!$C$2:$C$1960,0)))</f>
        <v/>
      </c>
      <c r="I1194" s="9">
        <f>IF(ISNA(MATCH(1185,'Transfer Engine'!$C$2:$C$1960,0)),"",INDEX('Compliance Database'!$I$2:$I$1960,MATCH(1185,'Transfer Engine'!$C$2:$C$1960,0)))</f>
        <v/>
      </c>
      <c r="J1194" s="8">
        <f>IF(ISNA(MATCH(1185,'Transfer Engine'!$C$2:$C$1960,0)),"",INDEX('Compliance Database'!$J$2:$J$1960,MATCH(1185,'Transfer Engine'!$C$2:$C$1960,0)))</f>
        <v/>
      </c>
      <c r="K1194" s="9">
        <f>IF(ISNA(MATCH(1185,'Transfer Engine'!$C$2:$C$1960,0)),"",INDEX('Compliance Database'!$K$2:$K$1960,MATCH(1185,'Transfer Engine'!$C$2:$C$1960,0)))</f>
        <v/>
      </c>
      <c r="L1194" s="9">
        <f>IF(ISNA(MATCH(1185,'Transfer Engine'!$C$2:$C$1960,0)),"",INDEX('Compliance Database'!$L$2:$L$1960,MATCH(1185,'Transfer Engine'!$C$2:$C$1960,0)))</f>
        <v/>
      </c>
      <c r="M1194" s="9">
        <f>IF(ISNA(MATCH(1185,'Transfer Engine'!$C$2:$C$1960,0)),"",INDEX('Compliance Database'!$M$2:$M$1960,MATCH(1185,'Transfer Engine'!$C$2:$C$1960,0)))</f>
        <v/>
      </c>
      <c r="N1194" s="9">
        <f>IF(ISNA(MATCH(1185,'Transfer Engine'!$C$2:$C$1960,0)),"",INDEX('Compliance Database'!$N$2:$N$1960,MATCH(1185,'Transfer Engine'!$C$2:$C$1960,0)))</f>
        <v/>
      </c>
      <c r="O1194" s="9">
        <f>IF(ISNA(MATCH(1185,'Transfer Engine'!$C$2:$C$1960,0)),"",INDEX('Compliance Database'!$O$2:$O$1960,MATCH(1185,'Transfer Engine'!$C$2:$C$1960,0)))</f>
        <v/>
      </c>
      <c r="P1194" s="8">
        <f>IF(ISNA(MATCH(1185,'Transfer Engine'!$C$2:$C$1960,0)),"",HYPERLINK("#Acts!A"&amp;INDEX('Compliance Database'!$P$2:$P$1960,MATCH(1185,'Transfer Engine'!$C$2:$C$1960,0)),"Go to Act"))</f>
        <v/>
      </c>
    </row>
    <row r="1195" ht="158" customHeight="1">
      <c r="A1195" s="8">
        <f>IF(ISNA(MATCH(1186,'Transfer Engine'!$C$2:$C$1960,0)),"",INDEX('Compliance Database'!$A$2:$A$1960,MATCH(1186,'Transfer Engine'!$C$2:$C$1960,0)))</f>
        <v/>
      </c>
      <c r="B1195" s="8">
        <f>IF(ISNA(MATCH(1186,'Transfer Engine'!$C$2:$C$1960,0)),"",INDEX('Compliance Database'!$B$2:$B$1960,MATCH(1186,'Transfer Engine'!$C$2:$C$1960,0)))</f>
        <v/>
      </c>
      <c r="C1195" s="8">
        <f>IF(ISNA(MATCH(1186,'Transfer Engine'!$C$2:$C$1960,0)),"",INDEX('Compliance Database'!$C$2:$C$1960,MATCH(1186,'Transfer Engine'!$C$2:$C$1960,0)))</f>
        <v/>
      </c>
      <c r="D1195" s="9">
        <f>IF(ISNA(MATCH(1186,'Transfer Engine'!$C$2:$C$1960,0)),"",INDEX('Compliance Database'!$D$2:$D$1960,MATCH(1186,'Transfer Engine'!$C$2:$C$1960,0)))</f>
        <v/>
      </c>
      <c r="E1195" s="8">
        <f>IF(ISNA(MATCH(1186,'Transfer Engine'!$C$2:$C$1960,0)),"",INDEX('Compliance Database'!$E$2:$E$1960,MATCH(1186,'Transfer Engine'!$C$2:$C$1960,0)))</f>
        <v/>
      </c>
      <c r="F1195" s="8">
        <f>IF(ISNA(MATCH(1186,'Transfer Engine'!$C$2:$C$1960,0)),"",INDEX('Compliance Database'!$F$2:$F$1960,MATCH(1186,'Transfer Engine'!$C$2:$C$1960,0)))</f>
        <v/>
      </c>
      <c r="G1195" s="8">
        <f>IF(ISNA(MATCH(1186,'Transfer Engine'!$C$2:$C$1960,0)),"",INDEX('Compliance Database'!$G$2:$G$1960,MATCH(1186,'Transfer Engine'!$C$2:$C$1960,0)))</f>
        <v/>
      </c>
      <c r="H1195" s="9">
        <f>IF(ISNA(MATCH(1186,'Transfer Engine'!$C$2:$C$1960,0)),"",INDEX('Compliance Database'!$H$2:$H$1960,MATCH(1186,'Transfer Engine'!$C$2:$C$1960,0)))</f>
        <v/>
      </c>
      <c r="I1195" s="9">
        <f>IF(ISNA(MATCH(1186,'Transfer Engine'!$C$2:$C$1960,0)),"",INDEX('Compliance Database'!$I$2:$I$1960,MATCH(1186,'Transfer Engine'!$C$2:$C$1960,0)))</f>
        <v/>
      </c>
      <c r="J1195" s="8">
        <f>IF(ISNA(MATCH(1186,'Transfer Engine'!$C$2:$C$1960,0)),"",INDEX('Compliance Database'!$J$2:$J$1960,MATCH(1186,'Transfer Engine'!$C$2:$C$1960,0)))</f>
        <v/>
      </c>
      <c r="K1195" s="9">
        <f>IF(ISNA(MATCH(1186,'Transfer Engine'!$C$2:$C$1960,0)),"",INDEX('Compliance Database'!$K$2:$K$1960,MATCH(1186,'Transfer Engine'!$C$2:$C$1960,0)))</f>
        <v/>
      </c>
      <c r="L1195" s="9">
        <f>IF(ISNA(MATCH(1186,'Transfer Engine'!$C$2:$C$1960,0)),"",INDEX('Compliance Database'!$L$2:$L$1960,MATCH(1186,'Transfer Engine'!$C$2:$C$1960,0)))</f>
        <v/>
      </c>
      <c r="M1195" s="9">
        <f>IF(ISNA(MATCH(1186,'Transfer Engine'!$C$2:$C$1960,0)),"",INDEX('Compliance Database'!$M$2:$M$1960,MATCH(1186,'Transfer Engine'!$C$2:$C$1960,0)))</f>
        <v/>
      </c>
      <c r="N1195" s="9">
        <f>IF(ISNA(MATCH(1186,'Transfer Engine'!$C$2:$C$1960,0)),"",INDEX('Compliance Database'!$N$2:$N$1960,MATCH(1186,'Transfer Engine'!$C$2:$C$1960,0)))</f>
        <v/>
      </c>
      <c r="O1195" s="9">
        <f>IF(ISNA(MATCH(1186,'Transfer Engine'!$C$2:$C$1960,0)),"",INDEX('Compliance Database'!$O$2:$O$1960,MATCH(1186,'Transfer Engine'!$C$2:$C$1960,0)))</f>
        <v/>
      </c>
      <c r="P1195" s="8">
        <f>IF(ISNA(MATCH(1186,'Transfer Engine'!$C$2:$C$1960,0)),"",HYPERLINK("#Acts!A"&amp;INDEX('Compliance Database'!$P$2:$P$1960,MATCH(1186,'Transfer Engine'!$C$2:$C$1960,0)),"Go to Act"))</f>
        <v/>
      </c>
    </row>
    <row r="1196" ht="158" customHeight="1">
      <c r="A1196" s="8">
        <f>IF(ISNA(MATCH(1187,'Transfer Engine'!$C$2:$C$1960,0)),"",INDEX('Compliance Database'!$A$2:$A$1960,MATCH(1187,'Transfer Engine'!$C$2:$C$1960,0)))</f>
        <v/>
      </c>
      <c r="B1196" s="8">
        <f>IF(ISNA(MATCH(1187,'Transfer Engine'!$C$2:$C$1960,0)),"",INDEX('Compliance Database'!$B$2:$B$1960,MATCH(1187,'Transfer Engine'!$C$2:$C$1960,0)))</f>
        <v/>
      </c>
      <c r="C1196" s="8">
        <f>IF(ISNA(MATCH(1187,'Transfer Engine'!$C$2:$C$1960,0)),"",INDEX('Compliance Database'!$C$2:$C$1960,MATCH(1187,'Transfer Engine'!$C$2:$C$1960,0)))</f>
        <v/>
      </c>
      <c r="D1196" s="9">
        <f>IF(ISNA(MATCH(1187,'Transfer Engine'!$C$2:$C$1960,0)),"",INDEX('Compliance Database'!$D$2:$D$1960,MATCH(1187,'Transfer Engine'!$C$2:$C$1960,0)))</f>
        <v/>
      </c>
      <c r="E1196" s="8">
        <f>IF(ISNA(MATCH(1187,'Transfer Engine'!$C$2:$C$1960,0)),"",INDEX('Compliance Database'!$E$2:$E$1960,MATCH(1187,'Transfer Engine'!$C$2:$C$1960,0)))</f>
        <v/>
      </c>
      <c r="F1196" s="8">
        <f>IF(ISNA(MATCH(1187,'Transfer Engine'!$C$2:$C$1960,0)),"",INDEX('Compliance Database'!$F$2:$F$1960,MATCH(1187,'Transfer Engine'!$C$2:$C$1960,0)))</f>
        <v/>
      </c>
      <c r="G1196" s="8">
        <f>IF(ISNA(MATCH(1187,'Transfer Engine'!$C$2:$C$1960,0)),"",INDEX('Compliance Database'!$G$2:$G$1960,MATCH(1187,'Transfer Engine'!$C$2:$C$1960,0)))</f>
        <v/>
      </c>
      <c r="H1196" s="9">
        <f>IF(ISNA(MATCH(1187,'Transfer Engine'!$C$2:$C$1960,0)),"",INDEX('Compliance Database'!$H$2:$H$1960,MATCH(1187,'Transfer Engine'!$C$2:$C$1960,0)))</f>
        <v/>
      </c>
      <c r="I1196" s="9">
        <f>IF(ISNA(MATCH(1187,'Transfer Engine'!$C$2:$C$1960,0)),"",INDEX('Compliance Database'!$I$2:$I$1960,MATCH(1187,'Transfer Engine'!$C$2:$C$1960,0)))</f>
        <v/>
      </c>
      <c r="J1196" s="8">
        <f>IF(ISNA(MATCH(1187,'Transfer Engine'!$C$2:$C$1960,0)),"",INDEX('Compliance Database'!$J$2:$J$1960,MATCH(1187,'Transfer Engine'!$C$2:$C$1960,0)))</f>
        <v/>
      </c>
      <c r="K1196" s="9">
        <f>IF(ISNA(MATCH(1187,'Transfer Engine'!$C$2:$C$1960,0)),"",INDEX('Compliance Database'!$K$2:$K$1960,MATCH(1187,'Transfer Engine'!$C$2:$C$1960,0)))</f>
        <v/>
      </c>
      <c r="L1196" s="9">
        <f>IF(ISNA(MATCH(1187,'Transfer Engine'!$C$2:$C$1960,0)),"",INDEX('Compliance Database'!$L$2:$L$1960,MATCH(1187,'Transfer Engine'!$C$2:$C$1960,0)))</f>
        <v/>
      </c>
      <c r="M1196" s="9">
        <f>IF(ISNA(MATCH(1187,'Transfer Engine'!$C$2:$C$1960,0)),"",INDEX('Compliance Database'!$M$2:$M$1960,MATCH(1187,'Transfer Engine'!$C$2:$C$1960,0)))</f>
        <v/>
      </c>
      <c r="N1196" s="9">
        <f>IF(ISNA(MATCH(1187,'Transfer Engine'!$C$2:$C$1960,0)),"",INDEX('Compliance Database'!$N$2:$N$1960,MATCH(1187,'Transfer Engine'!$C$2:$C$1960,0)))</f>
        <v/>
      </c>
      <c r="O1196" s="9">
        <f>IF(ISNA(MATCH(1187,'Transfer Engine'!$C$2:$C$1960,0)),"",INDEX('Compliance Database'!$O$2:$O$1960,MATCH(1187,'Transfer Engine'!$C$2:$C$1960,0)))</f>
        <v/>
      </c>
      <c r="P1196" s="8">
        <f>IF(ISNA(MATCH(1187,'Transfer Engine'!$C$2:$C$1960,0)),"",HYPERLINK("#Acts!A"&amp;INDEX('Compliance Database'!$P$2:$P$1960,MATCH(1187,'Transfer Engine'!$C$2:$C$1960,0)),"Go to Act"))</f>
        <v/>
      </c>
    </row>
    <row r="1197" ht="158" customHeight="1">
      <c r="A1197" s="8">
        <f>IF(ISNA(MATCH(1188,'Transfer Engine'!$C$2:$C$1960,0)),"",INDEX('Compliance Database'!$A$2:$A$1960,MATCH(1188,'Transfer Engine'!$C$2:$C$1960,0)))</f>
        <v/>
      </c>
      <c r="B1197" s="8">
        <f>IF(ISNA(MATCH(1188,'Transfer Engine'!$C$2:$C$1960,0)),"",INDEX('Compliance Database'!$B$2:$B$1960,MATCH(1188,'Transfer Engine'!$C$2:$C$1960,0)))</f>
        <v/>
      </c>
      <c r="C1197" s="8">
        <f>IF(ISNA(MATCH(1188,'Transfer Engine'!$C$2:$C$1960,0)),"",INDEX('Compliance Database'!$C$2:$C$1960,MATCH(1188,'Transfer Engine'!$C$2:$C$1960,0)))</f>
        <v/>
      </c>
      <c r="D1197" s="9">
        <f>IF(ISNA(MATCH(1188,'Transfer Engine'!$C$2:$C$1960,0)),"",INDEX('Compliance Database'!$D$2:$D$1960,MATCH(1188,'Transfer Engine'!$C$2:$C$1960,0)))</f>
        <v/>
      </c>
      <c r="E1197" s="8">
        <f>IF(ISNA(MATCH(1188,'Transfer Engine'!$C$2:$C$1960,0)),"",INDEX('Compliance Database'!$E$2:$E$1960,MATCH(1188,'Transfer Engine'!$C$2:$C$1960,0)))</f>
        <v/>
      </c>
      <c r="F1197" s="8">
        <f>IF(ISNA(MATCH(1188,'Transfer Engine'!$C$2:$C$1960,0)),"",INDEX('Compliance Database'!$F$2:$F$1960,MATCH(1188,'Transfer Engine'!$C$2:$C$1960,0)))</f>
        <v/>
      </c>
      <c r="G1197" s="8">
        <f>IF(ISNA(MATCH(1188,'Transfer Engine'!$C$2:$C$1960,0)),"",INDEX('Compliance Database'!$G$2:$G$1960,MATCH(1188,'Transfer Engine'!$C$2:$C$1960,0)))</f>
        <v/>
      </c>
      <c r="H1197" s="9">
        <f>IF(ISNA(MATCH(1188,'Transfer Engine'!$C$2:$C$1960,0)),"",INDEX('Compliance Database'!$H$2:$H$1960,MATCH(1188,'Transfer Engine'!$C$2:$C$1960,0)))</f>
        <v/>
      </c>
      <c r="I1197" s="9">
        <f>IF(ISNA(MATCH(1188,'Transfer Engine'!$C$2:$C$1960,0)),"",INDEX('Compliance Database'!$I$2:$I$1960,MATCH(1188,'Transfer Engine'!$C$2:$C$1960,0)))</f>
        <v/>
      </c>
      <c r="J1197" s="8">
        <f>IF(ISNA(MATCH(1188,'Transfer Engine'!$C$2:$C$1960,0)),"",INDEX('Compliance Database'!$J$2:$J$1960,MATCH(1188,'Transfer Engine'!$C$2:$C$1960,0)))</f>
        <v/>
      </c>
      <c r="K1197" s="9">
        <f>IF(ISNA(MATCH(1188,'Transfer Engine'!$C$2:$C$1960,0)),"",INDEX('Compliance Database'!$K$2:$K$1960,MATCH(1188,'Transfer Engine'!$C$2:$C$1960,0)))</f>
        <v/>
      </c>
      <c r="L1197" s="9">
        <f>IF(ISNA(MATCH(1188,'Transfer Engine'!$C$2:$C$1960,0)),"",INDEX('Compliance Database'!$L$2:$L$1960,MATCH(1188,'Transfer Engine'!$C$2:$C$1960,0)))</f>
        <v/>
      </c>
      <c r="M1197" s="9">
        <f>IF(ISNA(MATCH(1188,'Transfer Engine'!$C$2:$C$1960,0)),"",INDEX('Compliance Database'!$M$2:$M$1960,MATCH(1188,'Transfer Engine'!$C$2:$C$1960,0)))</f>
        <v/>
      </c>
      <c r="N1197" s="9">
        <f>IF(ISNA(MATCH(1188,'Transfer Engine'!$C$2:$C$1960,0)),"",INDEX('Compliance Database'!$N$2:$N$1960,MATCH(1188,'Transfer Engine'!$C$2:$C$1960,0)))</f>
        <v/>
      </c>
      <c r="O1197" s="9">
        <f>IF(ISNA(MATCH(1188,'Transfer Engine'!$C$2:$C$1960,0)),"",INDEX('Compliance Database'!$O$2:$O$1960,MATCH(1188,'Transfer Engine'!$C$2:$C$1960,0)))</f>
        <v/>
      </c>
      <c r="P1197" s="8">
        <f>IF(ISNA(MATCH(1188,'Transfer Engine'!$C$2:$C$1960,0)),"",HYPERLINK("#Acts!A"&amp;INDEX('Compliance Database'!$P$2:$P$1960,MATCH(1188,'Transfer Engine'!$C$2:$C$1960,0)),"Go to Act"))</f>
        <v/>
      </c>
    </row>
    <row r="1198" ht="158" customHeight="1">
      <c r="A1198" s="8">
        <f>IF(ISNA(MATCH(1189,'Transfer Engine'!$C$2:$C$1960,0)),"",INDEX('Compliance Database'!$A$2:$A$1960,MATCH(1189,'Transfer Engine'!$C$2:$C$1960,0)))</f>
        <v/>
      </c>
      <c r="B1198" s="8">
        <f>IF(ISNA(MATCH(1189,'Transfer Engine'!$C$2:$C$1960,0)),"",INDEX('Compliance Database'!$B$2:$B$1960,MATCH(1189,'Transfer Engine'!$C$2:$C$1960,0)))</f>
        <v/>
      </c>
      <c r="C1198" s="8">
        <f>IF(ISNA(MATCH(1189,'Transfer Engine'!$C$2:$C$1960,0)),"",INDEX('Compliance Database'!$C$2:$C$1960,MATCH(1189,'Transfer Engine'!$C$2:$C$1960,0)))</f>
        <v/>
      </c>
      <c r="D1198" s="9">
        <f>IF(ISNA(MATCH(1189,'Transfer Engine'!$C$2:$C$1960,0)),"",INDEX('Compliance Database'!$D$2:$D$1960,MATCH(1189,'Transfer Engine'!$C$2:$C$1960,0)))</f>
        <v/>
      </c>
      <c r="E1198" s="8">
        <f>IF(ISNA(MATCH(1189,'Transfer Engine'!$C$2:$C$1960,0)),"",INDEX('Compliance Database'!$E$2:$E$1960,MATCH(1189,'Transfer Engine'!$C$2:$C$1960,0)))</f>
        <v/>
      </c>
      <c r="F1198" s="8">
        <f>IF(ISNA(MATCH(1189,'Transfer Engine'!$C$2:$C$1960,0)),"",INDEX('Compliance Database'!$F$2:$F$1960,MATCH(1189,'Transfer Engine'!$C$2:$C$1960,0)))</f>
        <v/>
      </c>
      <c r="G1198" s="8">
        <f>IF(ISNA(MATCH(1189,'Transfer Engine'!$C$2:$C$1960,0)),"",INDEX('Compliance Database'!$G$2:$G$1960,MATCH(1189,'Transfer Engine'!$C$2:$C$1960,0)))</f>
        <v/>
      </c>
      <c r="H1198" s="9">
        <f>IF(ISNA(MATCH(1189,'Transfer Engine'!$C$2:$C$1960,0)),"",INDEX('Compliance Database'!$H$2:$H$1960,MATCH(1189,'Transfer Engine'!$C$2:$C$1960,0)))</f>
        <v/>
      </c>
      <c r="I1198" s="9">
        <f>IF(ISNA(MATCH(1189,'Transfer Engine'!$C$2:$C$1960,0)),"",INDEX('Compliance Database'!$I$2:$I$1960,MATCH(1189,'Transfer Engine'!$C$2:$C$1960,0)))</f>
        <v/>
      </c>
      <c r="J1198" s="8">
        <f>IF(ISNA(MATCH(1189,'Transfer Engine'!$C$2:$C$1960,0)),"",INDEX('Compliance Database'!$J$2:$J$1960,MATCH(1189,'Transfer Engine'!$C$2:$C$1960,0)))</f>
        <v/>
      </c>
      <c r="K1198" s="9">
        <f>IF(ISNA(MATCH(1189,'Transfer Engine'!$C$2:$C$1960,0)),"",INDEX('Compliance Database'!$K$2:$K$1960,MATCH(1189,'Transfer Engine'!$C$2:$C$1960,0)))</f>
        <v/>
      </c>
      <c r="L1198" s="9">
        <f>IF(ISNA(MATCH(1189,'Transfer Engine'!$C$2:$C$1960,0)),"",INDEX('Compliance Database'!$L$2:$L$1960,MATCH(1189,'Transfer Engine'!$C$2:$C$1960,0)))</f>
        <v/>
      </c>
      <c r="M1198" s="9">
        <f>IF(ISNA(MATCH(1189,'Transfer Engine'!$C$2:$C$1960,0)),"",INDEX('Compliance Database'!$M$2:$M$1960,MATCH(1189,'Transfer Engine'!$C$2:$C$1960,0)))</f>
        <v/>
      </c>
      <c r="N1198" s="9">
        <f>IF(ISNA(MATCH(1189,'Transfer Engine'!$C$2:$C$1960,0)),"",INDEX('Compliance Database'!$N$2:$N$1960,MATCH(1189,'Transfer Engine'!$C$2:$C$1960,0)))</f>
        <v/>
      </c>
      <c r="O1198" s="9">
        <f>IF(ISNA(MATCH(1189,'Transfer Engine'!$C$2:$C$1960,0)),"",INDEX('Compliance Database'!$O$2:$O$1960,MATCH(1189,'Transfer Engine'!$C$2:$C$1960,0)))</f>
        <v/>
      </c>
      <c r="P1198" s="8">
        <f>IF(ISNA(MATCH(1189,'Transfer Engine'!$C$2:$C$1960,0)),"",HYPERLINK("#Acts!A"&amp;INDEX('Compliance Database'!$P$2:$P$1960,MATCH(1189,'Transfer Engine'!$C$2:$C$1960,0)),"Go to Act"))</f>
        <v/>
      </c>
    </row>
    <row r="1199" ht="158" customHeight="1">
      <c r="A1199" s="8">
        <f>IF(ISNA(MATCH(1190,'Transfer Engine'!$C$2:$C$1960,0)),"",INDEX('Compliance Database'!$A$2:$A$1960,MATCH(1190,'Transfer Engine'!$C$2:$C$1960,0)))</f>
        <v/>
      </c>
      <c r="B1199" s="8">
        <f>IF(ISNA(MATCH(1190,'Transfer Engine'!$C$2:$C$1960,0)),"",INDEX('Compliance Database'!$B$2:$B$1960,MATCH(1190,'Transfer Engine'!$C$2:$C$1960,0)))</f>
        <v/>
      </c>
      <c r="C1199" s="8">
        <f>IF(ISNA(MATCH(1190,'Transfer Engine'!$C$2:$C$1960,0)),"",INDEX('Compliance Database'!$C$2:$C$1960,MATCH(1190,'Transfer Engine'!$C$2:$C$1960,0)))</f>
        <v/>
      </c>
      <c r="D1199" s="9">
        <f>IF(ISNA(MATCH(1190,'Transfer Engine'!$C$2:$C$1960,0)),"",INDEX('Compliance Database'!$D$2:$D$1960,MATCH(1190,'Transfer Engine'!$C$2:$C$1960,0)))</f>
        <v/>
      </c>
      <c r="E1199" s="8">
        <f>IF(ISNA(MATCH(1190,'Transfer Engine'!$C$2:$C$1960,0)),"",INDEX('Compliance Database'!$E$2:$E$1960,MATCH(1190,'Transfer Engine'!$C$2:$C$1960,0)))</f>
        <v/>
      </c>
      <c r="F1199" s="8">
        <f>IF(ISNA(MATCH(1190,'Transfer Engine'!$C$2:$C$1960,0)),"",INDEX('Compliance Database'!$F$2:$F$1960,MATCH(1190,'Transfer Engine'!$C$2:$C$1960,0)))</f>
        <v/>
      </c>
      <c r="G1199" s="8">
        <f>IF(ISNA(MATCH(1190,'Transfer Engine'!$C$2:$C$1960,0)),"",INDEX('Compliance Database'!$G$2:$G$1960,MATCH(1190,'Transfer Engine'!$C$2:$C$1960,0)))</f>
        <v/>
      </c>
      <c r="H1199" s="9">
        <f>IF(ISNA(MATCH(1190,'Transfer Engine'!$C$2:$C$1960,0)),"",INDEX('Compliance Database'!$H$2:$H$1960,MATCH(1190,'Transfer Engine'!$C$2:$C$1960,0)))</f>
        <v/>
      </c>
      <c r="I1199" s="9">
        <f>IF(ISNA(MATCH(1190,'Transfer Engine'!$C$2:$C$1960,0)),"",INDEX('Compliance Database'!$I$2:$I$1960,MATCH(1190,'Transfer Engine'!$C$2:$C$1960,0)))</f>
        <v/>
      </c>
      <c r="J1199" s="8">
        <f>IF(ISNA(MATCH(1190,'Transfer Engine'!$C$2:$C$1960,0)),"",INDEX('Compliance Database'!$J$2:$J$1960,MATCH(1190,'Transfer Engine'!$C$2:$C$1960,0)))</f>
        <v/>
      </c>
      <c r="K1199" s="9">
        <f>IF(ISNA(MATCH(1190,'Transfer Engine'!$C$2:$C$1960,0)),"",INDEX('Compliance Database'!$K$2:$K$1960,MATCH(1190,'Transfer Engine'!$C$2:$C$1960,0)))</f>
        <v/>
      </c>
      <c r="L1199" s="9">
        <f>IF(ISNA(MATCH(1190,'Transfer Engine'!$C$2:$C$1960,0)),"",INDEX('Compliance Database'!$L$2:$L$1960,MATCH(1190,'Transfer Engine'!$C$2:$C$1960,0)))</f>
        <v/>
      </c>
      <c r="M1199" s="9">
        <f>IF(ISNA(MATCH(1190,'Transfer Engine'!$C$2:$C$1960,0)),"",INDEX('Compliance Database'!$M$2:$M$1960,MATCH(1190,'Transfer Engine'!$C$2:$C$1960,0)))</f>
        <v/>
      </c>
      <c r="N1199" s="9">
        <f>IF(ISNA(MATCH(1190,'Transfer Engine'!$C$2:$C$1960,0)),"",INDEX('Compliance Database'!$N$2:$N$1960,MATCH(1190,'Transfer Engine'!$C$2:$C$1960,0)))</f>
        <v/>
      </c>
      <c r="O1199" s="9">
        <f>IF(ISNA(MATCH(1190,'Transfer Engine'!$C$2:$C$1960,0)),"",INDEX('Compliance Database'!$O$2:$O$1960,MATCH(1190,'Transfer Engine'!$C$2:$C$1960,0)))</f>
        <v/>
      </c>
      <c r="P1199" s="8">
        <f>IF(ISNA(MATCH(1190,'Transfer Engine'!$C$2:$C$1960,0)),"",HYPERLINK("#Acts!A"&amp;INDEX('Compliance Database'!$P$2:$P$1960,MATCH(1190,'Transfer Engine'!$C$2:$C$1960,0)),"Go to Act"))</f>
        <v/>
      </c>
    </row>
    <row r="1200" ht="158" customHeight="1">
      <c r="A1200" s="8">
        <f>IF(ISNA(MATCH(1191,'Transfer Engine'!$C$2:$C$1960,0)),"",INDEX('Compliance Database'!$A$2:$A$1960,MATCH(1191,'Transfer Engine'!$C$2:$C$1960,0)))</f>
        <v/>
      </c>
      <c r="B1200" s="8">
        <f>IF(ISNA(MATCH(1191,'Transfer Engine'!$C$2:$C$1960,0)),"",INDEX('Compliance Database'!$B$2:$B$1960,MATCH(1191,'Transfer Engine'!$C$2:$C$1960,0)))</f>
        <v/>
      </c>
      <c r="C1200" s="8">
        <f>IF(ISNA(MATCH(1191,'Transfer Engine'!$C$2:$C$1960,0)),"",INDEX('Compliance Database'!$C$2:$C$1960,MATCH(1191,'Transfer Engine'!$C$2:$C$1960,0)))</f>
        <v/>
      </c>
      <c r="D1200" s="9">
        <f>IF(ISNA(MATCH(1191,'Transfer Engine'!$C$2:$C$1960,0)),"",INDEX('Compliance Database'!$D$2:$D$1960,MATCH(1191,'Transfer Engine'!$C$2:$C$1960,0)))</f>
        <v/>
      </c>
      <c r="E1200" s="8">
        <f>IF(ISNA(MATCH(1191,'Transfer Engine'!$C$2:$C$1960,0)),"",INDEX('Compliance Database'!$E$2:$E$1960,MATCH(1191,'Transfer Engine'!$C$2:$C$1960,0)))</f>
        <v/>
      </c>
      <c r="F1200" s="8">
        <f>IF(ISNA(MATCH(1191,'Transfer Engine'!$C$2:$C$1960,0)),"",INDEX('Compliance Database'!$F$2:$F$1960,MATCH(1191,'Transfer Engine'!$C$2:$C$1960,0)))</f>
        <v/>
      </c>
      <c r="G1200" s="8">
        <f>IF(ISNA(MATCH(1191,'Transfer Engine'!$C$2:$C$1960,0)),"",INDEX('Compliance Database'!$G$2:$G$1960,MATCH(1191,'Transfer Engine'!$C$2:$C$1960,0)))</f>
        <v/>
      </c>
      <c r="H1200" s="9">
        <f>IF(ISNA(MATCH(1191,'Transfer Engine'!$C$2:$C$1960,0)),"",INDEX('Compliance Database'!$H$2:$H$1960,MATCH(1191,'Transfer Engine'!$C$2:$C$1960,0)))</f>
        <v/>
      </c>
      <c r="I1200" s="9">
        <f>IF(ISNA(MATCH(1191,'Transfer Engine'!$C$2:$C$1960,0)),"",INDEX('Compliance Database'!$I$2:$I$1960,MATCH(1191,'Transfer Engine'!$C$2:$C$1960,0)))</f>
        <v/>
      </c>
      <c r="J1200" s="8">
        <f>IF(ISNA(MATCH(1191,'Transfer Engine'!$C$2:$C$1960,0)),"",INDEX('Compliance Database'!$J$2:$J$1960,MATCH(1191,'Transfer Engine'!$C$2:$C$1960,0)))</f>
        <v/>
      </c>
      <c r="K1200" s="9">
        <f>IF(ISNA(MATCH(1191,'Transfer Engine'!$C$2:$C$1960,0)),"",INDEX('Compliance Database'!$K$2:$K$1960,MATCH(1191,'Transfer Engine'!$C$2:$C$1960,0)))</f>
        <v/>
      </c>
      <c r="L1200" s="9">
        <f>IF(ISNA(MATCH(1191,'Transfer Engine'!$C$2:$C$1960,0)),"",INDEX('Compliance Database'!$L$2:$L$1960,MATCH(1191,'Transfer Engine'!$C$2:$C$1960,0)))</f>
        <v/>
      </c>
      <c r="M1200" s="9">
        <f>IF(ISNA(MATCH(1191,'Transfer Engine'!$C$2:$C$1960,0)),"",INDEX('Compliance Database'!$M$2:$M$1960,MATCH(1191,'Transfer Engine'!$C$2:$C$1960,0)))</f>
        <v/>
      </c>
      <c r="N1200" s="9">
        <f>IF(ISNA(MATCH(1191,'Transfer Engine'!$C$2:$C$1960,0)),"",INDEX('Compliance Database'!$N$2:$N$1960,MATCH(1191,'Transfer Engine'!$C$2:$C$1960,0)))</f>
        <v/>
      </c>
      <c r="O1200" s="9">
        <f>IF(ISNA(MATCH(1191,'Transfer Engine'!$C$2:$C$1960,0)),"",INDEX('Compliance Database'!$O$2:$O$1960,MATCH(1191,'Transfer Engine'!$C$2:$C$1960,0)))</f>
        <v/>
      </c>
      <c r="P1200" s="8">
        <f>IF(ISNA(MATCH(1191,'Transfer Engine'!$C$2:$C$1960,0)),"",HYPERLINK("#Acts!A"&amp;INDEX('Compliance Database'!$P$2:$P$1960,MATCH(1191,'Transfer Engine'!$C$2:$C$1960,0)),"Go to Act"))</f>
        <v/>
      </c>
    </row>
    <row r="1201" ht="158" customHeight="1">
      <c r="A1201" s="8">
        <f>IF(ISNA(MATCH(1192,'Transfer Engine'!$C$2:$C$1960,0)),"",INDEX('Compliance Database'!$A$2:$A$1960,MATCH(1192,'Transfer Engine'!$C$2:$C$1960,0)))</f>
        <v/>
      </c>
      <c r="B1201" s="8">
        <f>IF(ISNA(MATCH(1192,'Transfer Engine'!$C$2:$C$1960,0)),"",INDEX('Compliance Database'!$B$2:$B$1960,MATCH(1192,'Transfer Engine'!$C$2:$C$1960,0)))</f>
        <v/>
      </c>
      <c r="C1201" s="8">
        <f>IF(ISNA(MATCH(1192,'Transfer Engine'!$C$2:$C$1960,0)),"",INDEX('Compliance Database'!$C$2:$C$1960,MATCH(1192,'Transfer Engine'!$C$2:$C$1960,0)))</f>
        <v/>
      </c>
      <c r="D1201" s="9">
        <f>IF(ISNA(MATCH(1192,'Transfer Engine'!$C$2:$C$1960,0)),"",INDEX('Compliance Database'!$D$2:$D$1960,MATCH(1192,'Transfer Engine'!$C$2:$C$1960,0)))</f>
        <v/>
      </c>
      <c r="E1201" s="8">
        <f>IF(ISNA(MATCH(1192,'Transfer Engine'!$C$2:$C$1960,0)),"",INDEX('Compliance Database'!$E$2:$E$1960,MATCH(1192,'Transfer Engine'!$C$2:$C$1960,0)))</f>
        <v/>
      </c>
      <c r="F1201" s="8">
        <f>IF(ISNA(MATCH(1192,'Transfer Engine'!$C$2:$C$1960,0)),"",INDEX('Compliance Database'!$F$2:$F$1960,MATCH(1192,'Transfer Engine'!$C$2:$C$1960,0)))</f>
        <v/>
      </c>
      <c r="G1201" s="8">
        <f>IF(ISNA(MATCH(1192,'Transfer Engine'!$C$2:$C$1960,0)),"",INDEX('Compliance Database'!$G$2:$G$1960,MATCH(1192,'Transfer Engine'!$C$2:$C$1960,0)))</f>
        <v/>
      </c>
      <c r="H1201" s="9">
        <f>IF(ISNA(MATCH(1192,'Transfer Engine'!$C$2:$C$1960,0)),"",INDEX('Compliance Database'!$H$2:$H$1960,MATCH(1192,'Transfer Engine'!$C$2:$C$1960,0)))</f>
        <v/>
      </c>
      <c r="I1201" s="9">
        <f>IF(ISNA(MATCH(1192,'Transfer Engine'!$C$2:$C$1960,0)),"",INDEX('Compliance Database'!$I$2:$I$1960,MATCH(1192,'Transfer Engine'!$C$2:$C$1960,0)))</f>
        <v/>
      </c>
      <c r="J1201" s="8">
        <f>IF(ISNA(MATCH(1192,'Transfer Engine'!$C$2:$C$1960,0)),"",INDEX('Compliance Database'!$J$2:$J$1960,MATCH(1192,'Transfer Engine'!$C$2:$C$1960,0)))</f>
        <v/>
      </c>
      <c r="K1201" s="9">
        <f>IF(ISNA(MATCH(1192,'Transfer Engine'!$C$2:$C$1960,0)),"",INDEX('Compliance Database'!$K$2:$K$1960,MATCH(1192,'Transfer Engine'!$C$2:$C$1960,0)))</f>
        <v/>
      </c>
      <c r="L1201" s="9">
        <f>IF(ISNA(MATCH(1192,'Transfer Engine'!$C$2:$C$1960,0)),"",INDEX('Compliance Database'!$L$2:$L$1960,MATCH(1192,'Transfer Engine'!$C$2:$C$1960,0)))</f>
        <v/>
      </c>
      <c r="M1201" s="9">
        <f>IF(ISNA(MATCH(1192,'Transfer Engine'!$C$2:$C$1960,0)),"",INDEX('Compliance Database'!$M$2:$M$1960,MATCH(1192,'Transfer Engine'!$C$2:$C$1960,0)))</f>
        <v/>
      </c>
      <c r="N1201" s="9">
        <f>IF(ISNA(MATCH(1192,'Transfer Engine'!$C$2:$C$1960,0)),"",INDEX('Compliance Database'!$N$2:$N$1960,MATCH(1192,'Transfer Engine'!$C$2:$C$1960,0)))</f>
        <v/>
      </c>
      <c r="O1201" s="9">
        <f>IF(ISNA(MATCH(1192,'Transfer Engine'!$C$2:$C$1960,0)),"",INDEX('Compliance Database'!$O$2:$O$1960,MATCH(1192,'Transfer Engine'!$C$2:$C$1960,0)))</f>
        <v/>
      </c>
      <c r="P1201" s="8">
        <f>IF(ISNA(MATCH(1192,'Transfer Engine'!$C$2:$C$1960,0)),"",HYPERLINK("#Acts!A"&amp;INDEX('Compliance Database'!$P$2:$P$1960,MATCH(1192,'Transfer Engine'!$C$2:$C$1960,0)),"Go to Act"))</f>
        <v/>
      </c>
    </row>
    <row r="1202" ht="158" customHeight="1">
      <c r="A1202" s="8">
        <f>IF(ISNA(MATCH(1193,'Transfer Engine'!$C$2:$C$1960,0)),"",INDEX('Compliance Database'!$A$2:$A$1960,MATCH(1193,'Transfer Engine'!$C$2:$C$1960,0)))</f>
        <v/>
      </c>
      <c r="B1202" s="8">
        <f>IF(ISNA(MATCH(1193,'Transfer Engine'!$C$2:$C$1960,0)),"",INDEX('Compliance Database'!$B$2:$B$1960,MATCH(1193,'Transfer Engine'!$C$2:$C$1960,0)))</f>
        <v/>
      </c>
      <c r="C1202" s="8">
        <f>IF(ISNA(MATCH(1193,'Transfer Engine'!$C$2:$C$1960,0)),"",INDEX('Compliance Database'!$C$2:$C$1960,MATCH(1193,'Transfer Engine'!$C$2:$C$1960,0)))</f>
        <v/>
      </c>
      <c r="D1202" s="9">
        <f>IF(ISNA(MATCH(1193,'Transfer Engine'!$C$2:$C$1960,0)),"",INDEX('Compliance Database'!$D$2:$D$1960,MATCH(1193,'Transfer Engine'!$C$2:$C$1960,0)))</f>
        <v/>
      </c>
      <c r="E1202" s="8">
        <f>IF(ISNA(MATCH(1193,'Transfer Engine'!$C$2:$C$1960,0)),"",INDEX('Compliance Database'!$E$2:$E$1960,MATCH(1193,'Transfer Engine'!$C$2:$C$1960,0)))</f>
        <v/>
      </c>
      <c r="F1202" s="8">
        <f>IF(ISNA(MATCH(1193,'Transfer Engine'!$C$2:$C$1960,0)),"",INDEX('Compliance Database'!$F$2:$F$1960,MATCH(1193,'Transfer Engine'!$C$2:$C$1960,0)))</f>
        <v/>
      </c>
      <c r="G1202" s="8">
        <f>IF(ISNA(MATCH(1193,'Transfer Engine'!$C$2:$C$1960,0)),"",INDEX('Compliance Database'!$G$2:$G$1960,MATCH(1193,'Transfer Engine'!$C$2:$C$1960,0)))</f>
        <v/>
      </c>
      <c r="H1202" s="9">
        <f>IF(ISNA(MATCH(1193,'Transfer Engine'!$C$2:$C$1960,0)),"",INDEX('Compliance Database'!$H$2:$H$1960,MATCH(1193,'Transfer Engine'!$C$2:$C$1960,0)))</f>
        <v/>
      </c>
      <c r="I1202" s="9">
        <f>IF(ISNA(MATCH(1193,'Transfer Engine'!$C$2:$C$1960,0)),"",INDEX('Compliance Database'!$I$2:$I$1960,MATCH(1193,'Transfer Engine'!$C$2:$C$1960,0)))</f>
        <v/>
      </c>
      <c r="J1202" s="8">
        <f>IF(ISNA(MATCH(1193,'Transfer Engine'!$C$2:$C$1960,0)),"",INDEX('Compliance Database'!$J$2:$J$1960,MATCH(1193,'Transfer Engine'!$C$2:$C$1960,0)))</f>
        <v/>
      </c>
      <c r="K1202" s="9">
        <f>IF(ISNA(MATCH(1193,'Transfer Engine'!$C$2:$C$1960,0)),"",INDEX('Compliance Database'!$K$2:$K$1960,MATCH(1193,'Transfer Engine'!$C$2:$C$1960,0)))</f>
        <v/>
      </c>
      <c r="L1202" s="9">
        <f>IF(ISNA(MATCH(1193,'Transfer Engine'!$C$2:$C$1960,0)),"",INDEX('Compliance Database'!$L$2:$L$1960,MATCH(1193,'Transfer Engine'!$C$2:$C$1960,0)))</f>
        <v/>
      </c>
      <c r="M1202" s="9">
        <f>IF(ISNA(MATCH(1193,'Transfer Engine'!$C$2:$C$1960,0)),"",INDEX('Compliance Database'!$M$2:$M$1960,MATCH(1193,'Transfer Engine'!$C$2:$C$1960,0)))</f>
        <v/>
      </c>
      <c r="N1202" s="9">
        <f>IF(ISNA(MATCH(1193,'Transfer Engine'!$C$2:$C$1960,0)),"",INDEX('Compliance Database'!$N$2:$N$1960,MATCH(1193,'Transfer Engine'!$C$2:$C$1960,0)))</f>
        <v/>
      </c>
      <c r="O1202" s="9">
        <f>IF(ISNA(MATCH(1193,'Transfer Engine'!$C$2:$C$1960,0)),"",INDEX('Compliance Database'!$O$2:$O$1960,MATCH(1193,'Transfer Engine'!$C$2:$C$1960,0)))</f>
        <v/>
      </c>
      <c r="P1202" s="8">
        <f>IF(ISNA(MATCH(1193,'Transfer Engine'!$C$2:$C$1960,0)),"",HYPERLINK("#Acts!A"&amp;INDEX('Compliance Database'!$P$2:$P$1960,MATCH(1193,'Transfer Engine'!$C$2:$C$1960,0)),"Go to Act"))</f>
        <v/>
      </c>
    </row>
    <row r="1203" ht="158" customHeight="1">
      <c r="A1203" s="8">
        <f>IF(ISNA(MATCH(1194,'Transfer Engine'!$C$2:$C$1960,0)),"",INDEX('Compliance Database'!$A$2:$A$1960,MATCH(1194,'Transfer Engine'!$C$2:$C$1960,0)))</f>
        <v/>
      </c>
      <c r="B1203" s="8">
        <f>IF(ISNA(MATCH(1194,'Transfer Engine'!$C$2:$C$1960,0)),"",INDEX('Compliance Database'!$B$2:$B$1960,MATCH(1194,'Transfer Engine'!$C$2:$C$1960,0)))</f>
        <v/>
      </c>
      <c r="C1203" s="8">
        <f>IF(ISNA(MATCH(1194,'Transfer Engine'!$C$2:$C$1960,0)),"",INDEX('Compliance Database'!$C$2:$C$1960,MATCH(1194,'Transfer Engine'!$C$2:$C$1960,0)))</f>
        <v/>
      </c>
      <c r="D1203" s="9">
        <f>IF(ISNA(MATCH(1194,'Transfer Engine'!$C$2:$C$1960,0)),"",INDEX('Compliance Database'!$D$2:$D$1960,MATCH(1194,'Transfer Engine'!$C$2:$C$1960,0)))</f>
        <v/>
      </c>
      <c r="E1203" s="8">
        <f>IF(ISNA(MATCH(1194,'Transfer Engine'!$C$2:$C$1960,0)),"",INDEX('Compliance Database'!$E$2:$E$1960,MATCH(1194,'Transfer Engine'!$C$2:$C$1960,0)))</f>
        <v/>
      </c>
      <c r="F1203" s="8">
        <f>IF(ISNA(MATCH(1194,'Transfer Engine'!$C$2:$C$1960,0)),"",INDEX('Compliance Database'!$F$2:$F$1960,MATCH(1194,'Transfer Engine'!$C$2:$C$1960,0)))</f>
        <v/>
      </c>
      <c r="G1203" s="8">
        <f>IF(ISNA(MATCH(1194,'Transfer Engine'!$C$2:$C$1960,0)),"",INDEX('Compliance Database'!$G$2:$G$1960,MATCH(1194,'Transfer Engine'!$C$2:$C$1960,0)))</f>
        <v/>
      </c>
      <c r="H1203" s="9">
        <f>IF(ISNA(MATCH(1194,'Transfer Engine'!$C$2:$C$1960,0)),"",INDEX('Compliance Database'!$H$2:$H$1960,MATCH(1194,'Transfer Engine'!$C$2:$C$1960,0)))</f>
        <v/>
      </c>
      <c r="I1203" s="9">
        <f>IF(ISNA(MATCH(1194,'Transfer Engine'!$C$2:$C$1960,0)),"",INDEX('Compliance Database'!$I$2:$I$1960,MATCH(1194,'Transfer Engine'!$C$2:$C$1960,0)))</f>
        <v/>
      </c>
      <c r="J1203" s="8">
        <f>IF(ISNA(MATCH(1194,'Transfer Engine'!$C$2:$C$1960,0)),"",INDEX('Compliance Database'!$J$2:$J$1960,MATCH(1194,'Transfer Engine'!$C$2:$C$1960,0)))</f>
        <v/>
      </c>
      <c r="K1203" s="9">
        <f>IF(ISNA(MATCH(1194,'Transfer Engine'!$C$2:$C$1960,0)),"",INDEX('Compliance Database'!$K$2:$K$1960,MATCH(1194,'Transfer Engine'!$C$2:$C$1960,0)))</f>
        <v/>
      </c>
      <c r="L1203" s="9">
        <f>IF(ISNA(MATCH(1194,'Transfer Engine'!$C$2:$C$1960,0)),"",INDEX('Compliance Database'!$L$2:$L$1960,MATCH(1194,'Transfer Engine'!$C$2:$C$1960,0)))</f>
        <v/>
      </c>
      <c r="M1203" s="9">
        <f>IF(ISNA(MATCH(1194,'Transfer Engine'!$C$2:$C$1960,0)),"",INDEX('Compliance Database'!$M$2:$M$1960,MATCH(1194,'Transfer Engine'!$C$2:$C$1960,0)))</f>
        <v/>
      </c>
      <c r="N1203" s="9">
        <f>IF(ISNA(MATCH(1194,'Transfer Engine'!$C$2:$C$1960,0)),"",INDEX('Compliance Database'!$N$2:$N$1960,MATCH(1194,'Transfer Engine'!$C$2:$C$1960,0)))</f>
        <v/>
      </c>
      <c r="O1203" s="9">
        <f>IF(ISNA(MATCH(1194,'Transfer Engine'!$C$2:$C$1960,0)),"",INDEX('Compliance Database'!$O$2:$O$1960,MATCH(1194,'Transfer Engine'!$C$2:$C$1960,0)))</f>
        <v/>
      </c>
      <c r="P1203" s="8">
        <f>IF(ISNA(MATCH(1194,'Transfer Engine'!$C$2:$C$1960,0)),"",HYPERLINK("#Acts!A"&amp;INDEX('Compliance Database'!$P$2:$P$1960,MATCH(1194,'Transfer Engine'!$C$2:$C$1960,0)),"Go to Act"))</f>
        <v/>
      </c>
    </row>
    <row r="1204" ht="158" customHeight="1">
      <c r="A1204" s="8">
        <f>IF(ISNA(MATCH(1195,'Transfer Engine'!$C$2:$C$1960,0)),"",INDEX('Compliance Database'!$A$2:$A$1960,MATCH(1195,'Transfer Engine'!$C$2:$C$1960,0)))</f>
        <v/>
      </c>
      <c r="B1204" s="8">
        <f>IF(ISNA(MATCH(1195,'Transfer Engine'!$C$2:$C$1960,0)),"",INDEX('Compliance Database'!$B$2:$B$1960,MATCH(1195,'Transfer Engine'!$C$2:$C$1960,0)))</f>
        <v/>
      </c>
      <c r="C1204" s="8">
        <f>IF(ISNA(MATCH(1195,'Transfer Engine'!$C$2:$C$1960,0)),"",INDEX('Compliance Database'!$C$2:$C$1960,MATCH(1195,'Transfer Engine'!$C$2:$C$1960,0)))</f>
        <v/>
      </c>
      <c r="D1204" s="9">
        <f>IF(ISNA(MATCH(1195,'Transfer Engine'!$C$2:$C$1960,0)),"",INDEX('Compliance Database'!$D$2:$D$1960,MATCH(1195,'Transfer Engine'!$C$2:$C$1960,0)))</f>
        <v/>
      </c>
      <c r="E1204" s="8">
        <f>IF(ISNA(MATCH(1195,'Transfer Engine'!$C$2:$C$1960,0)),"",INDEX('Compliance Database'!$E$2:$E$1960,MATCH(1195,'Transfer Engine'!$C$2:$C$1960,0)))</f>
        <v/>
      </c>
      <c r="F1204" s="8">
        <f>IF(ISNA(MATCH(1195,'Transfer Engine'!$C$2:$C$1960,0)),"",INDEX('Compliance Database'!$F$2:$F$1960,MATCH(1195,'Transfer Engine'!$C$2:$C$1960,0)))</f>
        <v/>
      </c>
      <c r="G1204" s="8">
        <f>IF(ISNA(MATCH(1195,'Transfer Engine'!$C$2:$C$1960,0)),"",INDEX('Compliance Database'!$G$2:$G$1960,MATCH(1195,'Transfer Engine'!$C$2:$C$1960,0)))</f>
        <v/>
      </c>
      <c r="H1204" s="9">
        <f>IF(ISNA(MATCH(1195,'Transfer Engine'!$C$2:$C$1960,0)),"",INDEX('Compliance Database'!$H$2:$H$1960,MATCH(1195,'Transfer Engine'!$C$2:$C$1960,0)))</f>
        <v/>
      </c>
      <c r="I1204" s="9">
        <f>IF(ISNA(MATCH(1195,'Transfer Engine'!$C$2:$C$1960,0)),"",INDEX('Compliance Database'!$I$2:$I$1960,MATCH(1195,'Transfer Engine'!$C$2:$C$1960,0)))</f>
        <v/>
      </c>
      <c r="J1204" s="8">
        <f>IF(ISNA(MATCH(1195,'Transfer Engine'!$C$2:$C$1960,0)),"",INDEX('Compliance Database'!$J$2:$J$1960,MATCH(1195,'Transfer Engine'!$C$2:$C$1960,0)))</f>
        <v/>
      </c>
      <c r="K1204" s="9">
        <f>IF(ISNA(MATCH(1195,'Transfer Engine'!$C$2:$C$1960,0)),"",INDEX('Compliance Database'!$K$2:$K$1960,MATCH(1195,'Transfer Engine'!$C$2:$C$1960,0)))</f>
        <v/>
      </c>
      <c r="L1204" s="9">
        <f>IF(ISNA(MATCH(1195,'Transfer Engine'!$C$2:$C$1960,0)),"",INDEX('Compliance Database'!$L$2:$L$1960,MATCH(1195,'Transfer Engine'!$C$2:$C$1960,0)))</f>
        <v/>
      </c>
      <c r="M1204" s="9">
        <f>IF(ISNA(MATCH(1195,'Transfer Engine'!$C$2:$C$1960,0)),"",INDEX('Compliance Database'!$M$2:$M$1960,MATCH(1195,'Transfer Engine'!$C$2:$C$1960,0)))</f>
        <v/>
      </c>
      <c r="N1204" s="9">
        <f>IF(ISNA(MATCH(1195,'Transfer Engine'!$C$2:$C$1960,0)),"",INDEX('Compliance Database'!$N$2:$N$1960,MATCH(1195,'Transfer Engine'!$C$2:$C$1960,0)))</f>
        <v/>
      </c>
      <c r="O1204" s="9">
        <f>IF(ISNA(MATCH(1195,'Transfer Engine'!$C$2:$C$1960,0)),"",INDEX('Compliance Database'!$O$2:$O$1960,MATCH(1195,'Transfer Engine'!$C$2:$C$1960,0)))</f>
        <v/>
      </c>
      <c r="P1204" s="8">
        <f>IF(ISNA(MATCH(1195,'Transfer Engine'!$C$2:$C$1960,0)),"",HYPERLINK("#Acts!A"&amp;INDEX('Compliance Database'!$P$2:$P$1960,MATCH(1195,'Transfer Engine'!$C$2:$C$1960,0)),"Go to Act"))</f>
        <v/>
      </c>
    </row>
    <row r="1205" ht="158" customHeight="1">
      <c r="A1205" s="8">
        <f>IF(ISNA(MATCH(1196,'Transfer Engine'!$C$2:$C$1960,0)),"",INDEX('Compliance Database'!$A$2:$A$1960,MATCH(1196,'Transfer Engine'!$C$2:$C$1960,0)))</f>
        <v/>
      </c>
      <c r="B1205" s="8">
        <f>IF(ISNA(MATCH(1196,'Transfer Engine'!$C$2:$C$1960,0)),"",INDEX('Compliance Database'!$B$2:$B$1960,MATCH(1196,'Transfer Engine'!$C$2:$C$1960,0)))</f>
        <v/>
      </c>
      <c r="C1205" s="8">
        <f>IF(ISNA(MATCH(1196,'Transfer Engine'!$C$2:$C$1960,0)),"",INDEX('Compliance Database'!$C$2:$C$1960,MATCH(1196,'Transfer Engine'!$C$2:$C$1960,0)))</f>
        <v/>
      </c>
      <c r="D1205" s="9">
        <f>IF(ISNA(MATCH(1196,'Transfer Engine'!$C$2:$C$1960,0)),"",INDEX('Compliance Database'!$D$2:$D$1960,MATCH(1196,'Transfer Engine'!$C$2:$C$1960,0)))</f>
        <v/>
      </c>
      <c r="E1205" s="8">
        <f>IF(ISNA(MATCH(1196,'Transfer Engine'!$C$2:$C$1960,0)),"",INDEX('Compliance Database'!$E$2:$E$1960,MATCH(1196,'Transfer Engine'!$C$2:$C$1960,0)))</f>
        <v/>
      </c>
      <c r="F1205" s="8">
        <f>IF(ISNA(MATCH(1196,'Transfer Engine'!$C$2:$C$1960,0)),"",INDEX('Compliance Database'!$F$2:$F$1960,MATCH(1196,'Transfer Engine'!$C$2:$C$1960,0)))</f>
        <v/>
      </c>
      <c r="G1205" s="8">
        <f>IF(ISNA(MATCH(1196,'Transfer Engine'!$C$2:$C$1960,0)),"",INDEX('Compliance Database'!$G$2:$G$1960,MATCH(1196,'Transfer Engine'!$C$2:$C$1960,0)))</f>
        <v/>
      </c>
      <c r="H1205" s="9">
        <f>IF(ISNA(MATCH(1196,'Transfer Engine'!$C$2:$C$1960,0)),"",INDEX('Compliance Database'!$H$2:$H$1960,MATCH(1196,'Transfer Engine'!$C$2:$C$1960,0)))</f>
        <v/>
      </c>
      <c r="I1205" s="9">
        <f>IF(ISNA(MATCH(1196,'Transfer Engine'!$C$2:$C$1960,0)),"",INDEX('Compliance Database'!$I$2:$I$1960,MATCH(1196,'Transfer Engine'!$C$2:$C$1960,0)))</f>
        <v/>
      </c>
      <c r="J1205" s="8">
        <f>IF(ISNA(MATCH(1196,'Transfer Engine'!$C$2:$C$1960,0)),"",INDEX('Compliance Database'!$J$2:$J$1960,MATCH(1196,'Transfer Engine'!$C$2:$C$1960,0)))</f>
        <v/>
      </c>
      <c r="K1205" s="9">
        <f>IF(ISNA(MATCH(1196,'Transfer Engine'!$C$2:$C$1960,0)),"",INDEX('Compliance Database'!$K$2:$K$1960,MATCH(1196,'Transfer Engine'!$C$2:$C$1960,0)))</f>
        <v/>
      </c>
      <c r="L1205" s="9">
        <f>IF(ISNA(MATCH(1196,'Transfer Engine'!$C$2:$C$1960,0)),"",INDEX('Compliance Database'!$L$2:$L$1960,MATCH(1196,'Transfer Engine'!$C$2:$C$1960,0)))</f>
        <v/>
      </c>
      <c r="M1205" s="9">
        <f>IF(ISNA(MATCH(1196,'Transfer Engine'!$C$2:$C$1960,0)),"",INDEX('Compliance Database'!$M$2:$M$1960,MATCH(1196,'Transfer Engine'!$C$2:$C$1960,0)))</f>
        <v/>
      </c>
      <c r="N1205" s="9">
        <f>IF(ISNA(MATCH(1196,'Transfer Engine'!$C$2:$C$1960,0)),"",INDEX('Compliance Database'!$N$2:$N$1960,MATCH(1196,'Transfer Engine'!$C$2:$C$1960,0)))</f>
        <v/>
      </c>
      <c r="O1205" s="9">
        <f>IF(ISNA(MATCH(1196,'Transfer Engine'!$C$2:$C$1960,0)),"",INDEX('Compliance Database'!$O$2:$O$1960,MATCH(1196,'Transfer Engine'!$C$2:$C$1960,0)))</f>
        <v/>
      </c>
      <c r="P1205" s="8">
        <f>IF(ISNA(MATCH(1196,'Transfer Engine'!$C$2:$C$1960,0)),"",HYPERLINK("#Acts!A"&amp;INDEX('Compliance Database'!$P$2:$P$1960,MATCH(1196,'Transfer Engine'!$C$2:$C$1960,0)),"Go to Act"))</f>
        <v/>
      </c>
    </row>
    <row r="1206" ht="158" customHeight="1">
      <c r="A1206" s="8">
        <f>IF(ISNA(MATCH(1197,'Transfer Engine'!$C$2:$C$1960,0)),"",INDEX('Compliance Database'!$A$2:$A$1960,MATCH(1197,'Transfer Engine'!$C$2:$C$1960,0)))</f>
        <v/>
      </c>
      <c r="B1206" s="8">
        <f>IF(ISNA(MATCH(1197,'Transfer Engine'!$C$2:$C$1960,0)),"",INDEX('Compliance Database'!$B$2:$B$1960,MATCH(1197,'Transfer Engine'!$C$2:$C$1960,0)))</f>
        <v/>
      </c>
      <c r="C1206" s="8">
        <f>IF(ISNA(MATCH(1197,'Transfer Engine'!$C$2:$C$1960,0)),"",INDEX('Compliance Database'!$C$2:$C$1960,MATCH(1197,'Transfer Engine'!$C$2:$C$1960,0)))</f>
        <v/>
      </c>
      <c r="D1206" s="9">
        <f>IF(ISNA(MATCH(1197,'Transfer Engine'!$C$2:$C$1960,0)),"",INDEX('Compliance Database'!$D$2:$D$1960,MATCH(1197,'Transfer Engine'!$C$2:$C$1960,0)))</f>
        <v/>
      </c>
      <c r="E1206" s="8">
        <f>IF(ISNA(MATCH(1197,'Transfer Engine'!$C$2:$C$1960,0)),"",INDEX('Compliance Database'!$E$2:$E$1960,MATCH(1197,'Transfer Engine'!$C$2:$C$1960,0)))</f>
        <v/>
      </c>
      <c r="F1206" s="8">
        <f>IF(ISNA(MATCH(1197,'Transfer Engine'!$C$2:$C$1960,0)),"",INDEX('Compliance Database'!$F$2:$F$1960,MATCH(1197,'Transfer Engine'!$C$2:$C$1960,0)))</f>
        <v/>
      </c>
      <c r="G1206" s="8">
        <f>IF(ISNA(MATCH(1197,'Transfer Engine'!$C$2:$C$1960,0)),"",INDEX('Compliance Database'!$G$2:$G$1960,MATCH(1197,'Transfer Engine'!$C$2:$C$1960,0)))</f>
        <v/>
      </c>
      <c r="H1206" s="9">
        <f>IF(ISNA(MATCH(1197,'Transfer Engine'!$C$2:$C$1960,0)),"",INDEX('Compliance Database'!$H$2:$H$1960,MATCH(1197,'Transfer Engine'!$C$2:$C$1960,0)))</f>
        <v/>
      </c>
      <c r="I1206" s="9">
        <f>IF(ISNA(MATCH(1197,'Transfer Engine'!$C$2:$C$1960,0)),"",INDEX('Compliance Database'!$I$2:$I$1960,MATCH(1197,'Transfer Engine'!$C$2:$C$1960,0)))</f>
        <v/>
      </c>
      <c r="J1206" s="8">
        <f>IF(ISNA(MATCH(1197,'Transfer Engine'!$C$2:$C$1960,0)),"",INDEX('Compliance Database'!$J$2:$J$1960,MATCH(1197,'Transfer Engine'!$C$2:$C$1960,0)))</f>
        <v/>
      </c>
      <c r="K1206" s="9">
        <f>IF(ISNA(MATCH(1197,'Transfer Engine'!$C$2:$C$1960,0)),"",INDEX('Compliance Database'!$K$2:$K$1960,MATCH(1197,'Transfer Engine'!$C$2:$C$1960,0)))</f>
        <v/>
      </c>
      <c r="L1206" s="9">
        <f>IF(ISNA(MATCH(1197,'Transfer Engine'!$C$2:$C$1960,0)),"",INDEX('Compliance Database'!$L$2:$L$1960,MATCH(1197,'Transfer Engine'!$C$2:$C$1960,0)))</f>
        <v/>
      </c>
      <c r="M1206" s="9">
        <f>IF(ISNA(MATCH(1197,'Transfer Engine'!$C$2:$C$1960,0)),"",INDEX('Compliance Database'!$M$2:$M$1960,MATCH(1197,'Transfer Engine'!$C$2:$C$1960,0)))</f>
        <v/>
      </c>
      <c r="N1206" s="9">
        <f>IF(ISNA(MATCH(1197,'Transfer Engine'!$C$2:$C$1960,0)),"",INDEX('Compliance Database'!$N$2:$N$1960,MATCH(1197,'Transfer Engine'!$C$2:$C$1960,0)))</f>
        <v/>
      </c>
      <c r="O1206" s="9">
        <f>IF(ISNA(MATCH(1197,'Transfer Engine'!$C$2:$C$1960,0)),"",INDEX('Compliance Database'!$O$2:$O$1960,MATCH(1197,'Transfer Engine'!$C$2:$C$1960,0)))</f>
        <v/>
      </c>
      <c r="P1206" s="8">
        <f>IF(ISNA(MATCH(1197,'Transfer Engine'!$C$2:$C$1960,0)),"",HYPERLINK("#Acts!A"&amp;INDEX('Compliance Database'!$P$2:$P$1960,MATCH(1197,'Transfer Engine'!$C$2:$C$1960,0)),"Go to Act"))</f>
        <v/>
      </c>
    </row>
    <row r="1207" ht="158" customHeight="1">
      <c r="A1207" s="8">
        <f>IF(ISNA(MATCH(1198,'Transfer Engine'!$C$2:$C$1960,0)),"",INDEX('Compliance Database'!$A$2:$A$1960,MATCH(1198,'Transfer Engine'!$C$2:$C$1960,0)))</f>
        <v/>
      </c>
      <c r="B1207" s="8">
        <f>IF(ISNA(MATCH(1198,'Transfer Engine'!$C$2:$C$1960,0)),"",INDEX('Compliance Database'!$B$2:$B$1960,MATCH(1198,'Transfer Engine'!$C$2:$C$1960,0)))</f>
        <v/>
      </c>
      <c r="C1207" s="8">
        <f>IF(ISNA(MATCH(1198,'Transfer Engine'!$C$2:$C$1960,0)),"",INDEX('Compliance Database'!$C$2:$C$1960,MATCH(1198,'Transfer Engine'!$C$2:$C$1960,0)))</f>
        <v/>
      </c>
      <c r="D1207" s="9">
        <f>IF(ISNA(MATCH(1198,'Transfer Engine'!$C$2:$C$1960,0)),"",INDEX('Compliance Database'!$D$2:$D$1960,MATCH(1198,'Transfer Engine'!$C$2:$C$1960,0)))</f>
        <v/>
      </c>
      <c r="E1207" s="8">
        <f>IF(ISNA(MATCH(1198,'Transfer Engine'!$C$2:$C$1960,0)),"",INDEX('Compliance Database'!$E$2:$E$1960,MATCH(1198,'Transfer Engine'!$C$2:$C$1960,0)))</f>
        <v/>
      </c>
      <c r="F1207" s="8">
        <f>IF(ISNA(MATCH(1198,'Transfer Engine'!$C$2:$C$1960,0)),"",INDEX('Compliance Database'!$F$2:$F$1960,MATCH(1198,'Transfer Engine'!$C$2:$C$1960,0)))</f>
        <v/>
      </c>
      <c r="G1207" s="8">
        <f>IF(ISNA(MATCH(1198,'Transfer Engine'!$C$2:$C$1960,0)),"",INDEX('Compliance Database'!$G$2:$G$1960,MATCH(1198,'Transfer Engine'!$C$2:$C$1960,0)))</f>
        <v/>
      </c>
      <c r="H1207" s="9">
        <f>IF(ISNA(MATCH(1198,'Transfer Engine'!$C$2:$C$1960,0)),"",INDEX('Compliance Database'!$H$2:$H$1960,MATCH(1198,'Transfer Engine'!$C$2:$C$1960,0)))</f>
        <v/>
      </c>
      <c r="I1207" s="9">
        <f>IF(ISNA(MATCH(1198,'Transfer Engine'!$C$2:$C$1960,0)),"",INDEX('Compliance Database'!$I$2:$I$1960,MATCH(1198,'Transfer Engine'!$C$2:$C$1960,0)))</f>
        <v/>
      </c>
      <c r="J1207" s="8">
        <f>IF(ISNA(MATCH(1198,'Transfer Engine'!$C$2:$C$1960,0)),"",INDEX('Compliance Database'!$J$2:$J$1960,MATCH(1198,'Transfer Engine'!$C$2:$C$1960,0)))</f>
        <v/>
      </c>
      <c r="K1207" s="9">
        <f>IF(ISNA(MATCH(1198,'Transfer Engine'!$C$2:$C$1960,0)),"",INDEX('Compliance Database'!$K$2:$K$1960,MATCH(1198,'Transfer Engine'!$C$2:$C$1960,0)))</f>
        <v/>
      </c>
      <c r="L1207" s="9">
        <f>IF(ISNA(MATCH(1198,'Transfer Engine'!$C$2:$C$1960,0)),"",INDEX('Compliance Database'!$L$2:$L$1960,MATCH(1198,'Transfer Engine'!$C$2:$C$1960,0)))</f>
        <v/>
      </c>
      <c r="M1207" s="9">
        <f>IF(ISNA(MATCH(1198,'Transfer Engine'!$C$2:$C$1960,0)),"",INDEX('Compliance Database'!$M$2:$M$1960,MATCH(1198,'Transfer Engine'!$C$2:$C$1960,0)))</f>
        <v/>
      </c>
      <c r="N1207" s="9">
        <f>IF(ISNA(MATCH(1198,'Transfer Engine'!$C$2:$C$1960,0)),"",INDEX('Compliance Database'!$N$2:$N$1960,MATCH(1198,'Transfer Engine'!$C$2:$C$1960,0)))</f>
        <v/>
      </c>
      <c r="O1207" s="9">
        <f>IF(ISNA(MATCH(1198,'Transfer Engine'!$C$2:$C$1960,0)),"",INDEX('Compliance Database'!$O$2:$O$1960,MATCH(1198,'Transfer Engine'!$C$2:$C$1960,0)))</f>
        <v/>
      </c>
      <c r="P1207" s="8">
        <f>IF(ISNA(MATCH(1198,'Transfer Engine'!$C$2:$C$1960,0)),"",HYPERLINK("#Acts!A"&amp;INDEX('Compliance Database'!$P$2:$P$1960,MATCH(1198,'Transfer Engine'!$C$2:$C$1960,0)),"Go to Act"))</f>
        <v/>
      </c>
    </row>
    <row r="1208" ht="158" customHeight="1">
      <c r="A1208" s="8">
        <f>IF(ISNA(MATCH(1199,'Transfer Engine'!$C$2:$C$1960,0)),"",INDEX('Compliance Database'!$A$2:$A$1960,MATCH(1199,'Transfer Engine'!$C$2:$C$1960,0)))</f>
        <v/>
      </c>
      <c r="B1208" s="8">
        <f>IF(ISNA(MATCH(1199,'Transfer Engine'!$C$2:$C$1960,0)),"",INDEX('Compliance Database'!$B$2:$B$1960,MATCH(1199,'Transfer Engine'!$C$2:$C$1960,0)))</f>
        <v/>
      </c>
      <c r="C1208" s="8">
        <f>IF(ISNA(MATCH(1199,'Transfer Engine'!$C$2:$C$1960,0)),"",INDEX('Compliance Database'!$C$2:$C$1960,MATCH(1199,'Transfer Engine'!$C$2:$C$1960,0)))</f>
        <v/>
      </c>
      <c r="D1208" s="9">
        <f>IF(ISNA(MATCH(1199,'Transfer Engine'!$C$2:$C$1960,0)),"",INDEX('Compliance Database'!$D$2:$D$1960,MATCH(1199,'Transfer Engine'!$C$2:$C$1960,0)))</f>
        <v/>
      </c>
      <c r="E1208" s="8">
        <f>IF(ISNA(MATCH(1199,'Transfer Engine'!$C$2:$C$1960,0)),"",INDEX('Compliance Database'!$E$2:$E$1960,MATCH(1199,'Transfer Engine'!$C$2:$C$1960,0)))</f>
        <v/>
      </c>
      <c r="F1208" s="8">
        <f>IF(ISNA(MATCH(1199,'Transfer Engine'!$C$2:$C$1960,0)),"",INDEX('Compliance Database'!$F$2:$F$1960,MATCH(1199,'Transfer Engine'!$C$2:$C$1960,0)))</f>
        <v/>
      </c>
      <c r="G1208" s="8">
        <f>IF(ISNA(MATCH(1199,'Transfer Engine'!$C$2:$C$1960,0)),"",INDEX('Compliance Database'!$G$2:$G$1960,MATCH(1199,'Transfer Engine'!$C$2:$C$1960,0)))</f>
        <v/>
      </c>
      <c r="H1208" s="9">
        <f>IF(ISNA(MATCH(1199,'Transfer Engine'!$C$2:$C$1960,0)),"",INDEX('Compliance Database'!$H$2:$H$1960,MATCH(1199,'Transfer Engine'!$C$2:$C$1960,0)))</f>
        <v/>
      </c>
      <c r="I1208" s="9">
        <f>IF(ISNA(MATCH(1199,'Transfer Engine'!$C$2:$C$1960,0)),"",INDEX('Compliance Database'!$I$2:$I$1960,MATCH(1199,'Transfer Engine'!$C$2:$C$1960,0)))</f>
        <v/>
      </c>
      <c r="J1208" s="8">
        <f>IF(ISNA(MATCH(1199,'Transfer Engine'!$C$2:$C$1960,0)),"",INDEX('Compliance Database'!$J$2:$J$1960,MATCH(1199,'Transfer Engine'!$C$2:$C$1960,0)))</f>
        <v/>
      </c>
      <c r="K1208" s="9">
        <f>IF(ISNA(MATCH(1199,'Transfer Engine'!$C$2:$C$1960,0)),"",INDEX('Compliance Database'!$K$2:$K$1960,MATCH(1199,'Transfer Engine'!$C$2:$C$1960,0)))</f>
        <v/>
      </c>
      <c r="L1208" s="9">
        <f>IF(ISNA(MATCH(1199,'Transfer Engine'!$C$2:$C$1960,0)),"",INDEX('Compliance Database'!$L$2:$L$1960,MATCH(1199,'Transfer Engine'!$C$2:$C$1960,0)))</f>
        <v/>
      </c>
      <c r="M1208" s="9">
        <f>IF(ISNA(MATCH(1199,'Transfer Engine'!$C$2:$C$1960,0)),"",INDEX('Compliance Database'!$M$2:$M$1960,MATCH(1199,'Transfer Engine'!$C$2:$C$1960,0)))</f>
        <v/>
      </c>
      <c r="N1208" s="9">
        <f>IF(ISNA(MATCH(1199,'Transfer Engine'!$C$2:$C$1960,0)),"",INDEX('Compliance Database'!$N$2:$N$1960,MATCH(1199,'Transfer Engine'!$C$2:$C$1960,0)))</f>
        <v/>
      </c>
      <c r="O1208" s="9">
        <f>IF(ISNA(MATCH(1199,'Transfer Engine'!$C$2:$C$1960,0)),"",INDEX('Compliance Database'!$O$2:$O$1960,MATCH(1199,'Transfer Engine'!$C$2:$C$1960,0)))</f>
        <v/>
      </c>
      <c r="P1208" s="8">
        <f>IF(ISNA(MATCH(1199,'Transfer Engine'!$C$2:$C$1960,0)),"",HYPERLINK("#Acts!A"&amp;INDEX('Compliance Database'!$P$2:$P$1960,MATCH(1199,'Transfer Engine'!$C$2:$C$1960,0)),"Go to Act"))</f>
        <v/>
      </c>
    </row>
    <row r="1209" ht="158" customHeight="1">
      <c r="A1209" s="8">
        <f>IF(ISNA(MATCH(1200,'Transfer Engine'!$C$2:$C$1960,0)),"",INDEX('Compliance Database'!$A$2:$A$1960,MATCH(1200,'Transfer Engine'!$C$2:$C$1960,0)))</f>
        <v/>
      </c>
      <c r="B1209" s="8">
        <f>IF(ISNA(MATCH(1200,'Transfer Engine'!$C$2:$C$1960,0)),"",INDEX('Compliance Database'!$B$2:$B$1960,MATCH(1200,'Transfer Engine'!$C$2:$C$1960,0)))</f>
        <v/>
      </c>
      <c r="C1209" s="8">
        <f>IF(ISNA(MATCH(1200,'Transfer Engine'!$C$2:$C$1960,0)),"",INDEX('Compliance Database'!$C$2:$C$1960,MATCH(1200,'Transfer Engine'!$C$2:$C$1960,0)))</f>
        <v/>
      </c>
      <c r="D1209" s="9">
        <f>IF(ISNA(MATCH(1200,'Transfer Engine'!$C$2:$C$1960,0)),"",INDEX('Compliance Database'!$D$2:$D$1960,MATCH(1200,'Transfer Engine'!$C$2:$C$1960,0)))</f>
        <v/>
      </c>
      <c r="E1209" s="8">
        <f>IF(ISNA(MATCH(1200,'Transfer Engine'!$C$2:$C$1960,0)),"",INDEX('Compliance Database'!$E$2:$E$1960,MATCH(1200,'Transfer Engine'!$C$2:$C$1960,0)))</f>
        <v/>
      </c>
      <c r="F1209" s="8">
        <f>IF(ISNA(MATCH(1200,'Transfer Engine'!$C$2:$C$1960,0)),"",INDEX('Compliance Database'!$F$2:$F$1960,MATCH(1200,'Transfer Engine'!$C$2:$C$1960,0)))</f>
        <v/>
      </c>
      <c r="G1209" s="8">
        <f>IF(ISNA(MATCH(1200,'Transfer Engine'!$C$2:$C$1960,0)),"",INDEX('Compliance Database'!$G$2:$G$1960,MATCH(1200,'Transfer Engine'!$C$2:$C$1960,0)))</f>
        <v/>
      </c>
      <c r="H1209" s="9">
        <f>IF(ISNA(MATCH(1200,'Transfer Engine'!$C$2:$C$1960,0)),"",INDEX('Compliance Database'!$H$2:$H$1960,MATCH(1200,'Transfer Engine'!$C$2:$C$1960,0)))</f>
        <v/>
      </c>
      <c r="I1209" s="9">
        <f>IF(ISNA(MATCH(1200,'Transfer Engine'!$C$2:$C$1960,0)),"",INDEX('Compliance Database'!$I$2:$I$1960,MATCH(1200,'Transfer Engine'!$C$2:$C$1960,0)))</f>
        <v/>
      </c>
      <c r="J1209" s="8">
        <f>IF(ISNA(MATCH(1200,'Transfer Engine'!$C$2:$C$1960,0)),"",INDEX('Compliance Database'!$J$2:$J$1960,MATCH(1200,'Transfer Engine'!$C$2:$C$1960,0)))</f>
        <v/>
      </c>
      <c r="K1209" s="9">
        <f>IF(ISNA(MATCH(1200,'Transfer Engine'!$C$2:$C$1960,0)),"",INDEX('Compliance Database'!$K$2:$K$1960,MATCH(1200,'Transfer Engine'!$C$2:$C$1960,0)))</f>
        <v/>
      </c>
      <c r="L1209" s="9">
        <f>IF(ISNA(MATCH(1200,'Transfer Engine'!$C$2:$C$1960,0)),"",INDEX('Compliance Database'!$L$2:$L$1960,MATCH(1200,'Transfer Engine'!$C$2:$C$1960,0)))</f>
        <v/>
      </c>
      <c r="M1209" s="9">
        <f>IF(ISNA(MATCH(1200,'Transfer Engine'!$C$2:$C$1960,0)),"",INDEX('Compliance Database'!$M$2:$M$1960,MATCH(1200,'Transfer Engine'!$C$2:$C$1960,0)))</f>
        <v/>
      </c>
      <c r="N1209" s="9">
        <f>IF(ISNA(MATCH(1200,'Transfer Engine'!$C$2:$C$1960,0)),"",INDEX('Compliance Database'!$N$2:$N$1960,MATCH(1200,'Transfer Engine'!$C$2:$C$1960,0)))</f>
        <v/>
      </c>
      <c r="O1209" s="9">
        <f>IF(ISNA(MATCH(1200,'Transfer Engine'!$C$2:$C$1960,0)),"",INDEX('Compliance Database'!$O$2:$O$1960,MATCH(1200,'Transfer Engine'!$C$2:$C$1960,0)))</f>
        <v/>
      </c>
      <c r="P1209" s="8">
        <f>IF(ISNA(MATCH(1200,'Transfer Engine'!$C$2:$C$1960,0)),"",HYPERLINK("#Acts!A"&amp;INDEX('Compliance Database'!$P$2:$P$1960,MATCH(1200,'Transfer Engine'!$C$2:$C$1960,0)),"Go to Act"))</f>
        <v/>
      </c>
    </row>
    <row r="1210" ht="158" customHeight="1">
      <c r="A1210" s="8">
        <f>IF(ISNA(MATCH(1201,'Transfer Engine'!$C$2:$C$1960,0)),"",INDEX('Compliance Database'!$A$2:$A$1960,MATCH(1201,'Transfer Engine'!$C$2:$C$1960,0)))</f>
        <v/>
      </c>
      <c r="B1210" s="8">
        <f>IF(ISNA(MATCH(1201,'Transfer Engine'!$C$2:$C$1960,0)),"",INDEX('Compliance Database'!$B$2:$B$1960,MATCH(1201,'Transfer Engine'!$C$2:$C$1960,0)))</f>
        <v/>
      </c>
      <c r="C1210" s="8">
        <f>IF(ISNA(MATCH(1201,'Transfer Engine'!$C$2:$C$1960,0)),"",INDEX('Compliance Database'!$C$2:$C$1960,MATCH(1201,'Transfer Engine'!$C$2:$C$1960,0)))</f>
        <v/>
      </c>
      <c r="D1210" s="9">
        <f>IF(ISNA(MATCH(1201,'Transfer Engine'!$C$2:$C$1960,0)),"",INDEX('Compliance Database'!$D$2:$D$1960,MATCH(1201,'Transfer Engine'!$C$2:$C$1960,0)))</f>
        <v/>
      </c>
      <c r="E1210" s="8">
        <f>IF(ISNA(MATCH(1201,'Transfer Engine'!$C$2:$C$1960,0)),"",INDEX('Compliance Database'!$E$2:$E$1960,MATCH(1201,'Transfer Engine'!$C$2:$C$1960,0)))</f>
        <v/>
      </c>
      <c r="F1210" s="8">
        <f>IF(ISNA(MATCH(1201,'Transfer Engine'!$C$2:$C$1960,0)),"",INDEX('Compliance Database'!$F$2:$F$1960,MATCH(1201,'Transfer Engine'!$C$2:$C$1960,0)))</f>
        <v/>
      </c>
      <c r="G1210" s="8">
        <f>IF(ISNA(MATCH(1201,'Transfer Engine'!$C$2:$C$1960,0)),"",INDEX('Compliance Database'!$G$2:$G$1960,MATCH(1201,'Transfer Engine'!$C$2:$C$1960,0)))</f>
        <v/>
      </c>
      <c r="H1210" s="9">
        <f>IF(ISNA(MATCH(1201,'Transfer Engine'!$C$2:$C$1960,0)),"",INDEX('Compliance Database'!$H$2:$H$1960,MATCH(1201,'Transfer Engine'!$C$2:$C$1960,0)))</f>
        <v/>
      </c>
      <c r="I1210" s="9">
        <f>IF(ISNA(MATCH(1201,'Transfer Engine'!$C$2:$C$1960,0)),"",INDEX('Compliance Database'!$I$2:$I$1960,MATCH(1201,'Transfer Engine'!$C$2:$C$1960,0)))</f>
        <v/>
      </c>
      <c r="J1210" s="8">
        <f>IF(ISNA(MATCH(1201,'Transfer Engine'!$C$2:$C$1960,0)),"",INDEX('Compliance Database'!$J$2:$J$1960,MATCH(1201,'Transfer Engine'!$C$2:$C$1960,0)))</f>
        <v/>
      </c>
      <c r="K1210" s="9">
        <f>IF(ISNA(MATCH(1201,'Transfer Engine'!$C$2:$C$1960,0)),"",INDEX('Compliance Database'!$K$2:$K$1960,MATCH(1201,'Transfer Engine'!$C$2:$C$1960,0)))</f>
        <v/>
      </c>
      <c r="L1210" s="9">
        <f>IF(ISNA(MATCH(1201,'Transfer Engine'!$C$2:$C$1960,0)),"",INDEX('Compliance Database'!$L$2:$L$1960,MATCH(1201,'Transfer Engine'!$C$2:$C$1960,0)))</f>
        <v/>
      </c>
      <c r="M1210" s="9">
        <f>IF(ISNA(MATCH(1201,'Transfer Engine'!$C$2:$C$1960,0)),"",INDEX('Compliance Database'!$M$2:$M$1960,MATCH(1201,'Transfer Engine'!$C$2:$C$1960,0)))</f>
        <v/>
      </c>
      <c r="N1210" s="9">
        <f>IF(ISNA(MATCH(1201,'Transfer Engine'!$C$2:$C$1960,0)),"",INDEX('Compliance Database'!$N$2:$N$1960,MATCH(1201,'Transfer Engine'!$C$2:$C$1960,0)))</f>
        <v/>
      </c>
      <c r="O1210" s="9">
        <f>IF(ISNA(MATCH(1201,'Transfer Engine'!$C$2:$C$1960,0)),"",INDEX('Compliance Database'!$O$2:$O$1960,MATCH(1201,'Transfer Engine'!$C$2:$C$1960,0)))</f>
        <v/>
      </c>
      <c r="P1210" s="8">
        <f>IF(ISNA(MATCH(1201,'Transfer Engine'!$C$2:$C$1960,0)),"",HYPERLINK("#Acts!A"&amp;INDEX('Compliance Database'!$P$2:$P$1960,MATCH(1201,'Transfer Engine'!$C$2:$C$1960,0)),"Go to Act"))</f>
        <v/>
      </c>
    </row>
    <row r="1211" ht="158" customHeight="1">
      <c r="A1211" s="8">
        <f>IF(ISNA(MATCH(1202,'Transfer Engine'!$C$2:$C$1960,0)),"",INDEX('Compliance Database'!$A$2:$A$1960,MATCH(1202,'Transfer Engine'!$C$2:$C$1960,0)))</f>
        <v/>
      </c>
      <c r="B1211" s="8">
        <f>IF(ISNA(MATCH(1202,'Transfer Engine'!$C$2:$C$1960,0)),"",INDEX('Compliance Database'!$B$2:$B$1960,MATCH(1202,'Transfer Engine'!$C$2:$C$1960,0)))</f>
        <v/>
      </c>
      <c r="C1211" s="8">
        <f>IF(ISNA(MATCH(1202,'Transfer Engine'!$C$2:$C$1960,0)),"",INDEX('Compliance Database'!$C$2:$C$1960,MATCH(1202,'Transfer Engine'!$C$2:$C$1960,0)))</f>
        <v/>
      </c>
      <c r="D1211" s="9">
        <f>IF(ISNA(MATCH(1202,'Transfer Engine'!$C$2:$C$1960,0)),"",INDEX('Compliance Database'!$D$2:$D$1960,MATCH(1202,'Transfer Engine'!$C$2:$C$1960,0)))</f>
        <v/>
      </c>
      <c r="E1211" s="8">
        <f>IF(ISNA(MATCH(1202,'Transfer Engine'!$C$2:$C$1960,0)),"",INDEX('Compliance Database'!$E$2:$E$1960,MATCH(1202,'Transfer Engine'!$C$2:$C$1960,0)))</f>
        <v/>
      </c>
      <c r="F1211" s="8">
        <f>IF(ISNA(MATCH(1202,'Transfer Engine'!$C$2:$C$1960,0)),"",INDEX('Compliance Database'!$F$2:$F$1960,MATCH(1202,'Transfer Engine'!$C$2:$C$1960,0)))</f>
        <v/>
      </c>
      <c r="G1211" s="8">
        <f>IF(ISNA(MATCH(1202,'Transfer Engine'!$C$2:$C$1960,0)),"",INDEX('Compliance Database'!$G$2:$G$1960,MATCH(1202,'Transfer Engine'!$C$2:$C$1960,0)))</f>
        <v/>
      </c>
      <c r="H1211" s="9">
        <f>IF(ISNA(MATCH(1202,'Transfer Engine'!$C$2:$C$1960,0)),"",INDEX('Compliance Database'!$H$2:$H$1960,MATCH(1202,'Transfer Engine'!$C$2:$C$1960,0)))</f>
        <v/>
      </c>
      <c r="I1211" s="9">
        <f>IF(ISNA(MATCH(1202,'Transfer Engine'!$C$2:$C$1960,0)),"",INDEX('Compliance Database'!$I$2:$I$1960,MATCH(1202,'Transfer Engine'!$C$2:$C$1960,0)))</f>
        <v/>
      </c>
      <c r="J1211" s="8">
        <f>IF(ISNA(MATCH(1202,'Transfer Engine'!$C$2:$C$1960,0)),"",INDEX('Compliance Database'!$J$2:$J$1960,MATCH(1202,'Transfer Engine'!$C$2:$C$1960,0)))</f>
        <v/>
      </c>
      <c r="K1211" s="9">
        <f>IF(ISNA(MATCH(1202,'Transfer Engine'!$C$2:$C$1960,0)),"",INDEX('Compliance Database'!$K$2:$K$1960,MATCH(1202,'Transfer Engine'!$C$2:$C$1960,0)))</f>
        <v/>
      </c>
      <c r="L1211" s="9">
        <f>IF(ISNA(MATCH(1202,'Transfer Engine'!$C$2:$C$1960,0)),"",INDEX('Compliance Database'!$L$2:$L$1960,MATCH(1202,'Transfer Engine'!$C$2:$C$1960,0)))</f>
        <v/>
      </c>
      <c r="M1211" s="9">
        <f>IF(ISNA(MATCH(1202,'Transfer Engine'!$C$2:$C$1960,0)),"",INDEX('Compliance Database'!$M$2:$M$1960,MATCH(1202,'Transfer Engine'!$C$2:$C$1960,0)))</f>
        <v/>
      </c>
      <c r="N1211" s="9">
        <f>IF(ISNA(MATCH(1202,'Transfer Engine'!$C$2:$C$1960,0)),"",INDEX('Compliance Database'!$N$2:$N$1960,MATCH(1202,'Transfer Engine'!$C$2:$C$1960,0)))</f>
        <v/>
      </c>
      <c r="O1211" s="9">
        <f>IF(ISNA(MATCH(1202,'Transfer Engine'!$C$2:$C$1960,0)),"",INDEX('Compliance Database'!$O$2:$O$1960,MATCH(1202,'Transfer Engine'!$C$2:$C$1960,0)))</f>
        <v/>
      </c>
      <c r="P1211" s="8">
        <f>IF(ISNA(MATCH(1202,'Transfer Engine'!$C$2:$C$1960,0)),"",HYPERLINK("#Acts!A"&amp;INDEX('Compliance Database'!$P$2:$P$1960,MATCH(1202,'Transfer Engine'!$C$2:$C$1960,0)),"Go to Act"))</f>
        <v/>
      </c>
    </row>
    <row r="1212" ht="158" customHeight="1">
      <c r="A1212" s="8">
        <f>IF(ISNA(MATCH(1203,'Transfer Engine'!$C$2:$C$1960,0)),"",INDEX('Compliance Database'!$A$2:$A$1960,MATCH(1203,'Transfer Engine'!$C$2:$C$1960,0)))</f>
        <v/>
      </c>
      <c r="B1212" s="8">
        <f>IF(ISNA(MATCH(1203,'Transfer Engine'!$C$2:$C$1960,0)),"",INDEX('Compliance Database'!$B$2:$B$1960,MATCH(1203,'Transfer Engine'!$C$2:$C$1960,0)))</f>
        <v/>
      </c>
      <c r="C1212" s="8">
        <f>IF(ISNA(MATCH(1203,'Transfer Engine'!$C$2:$C$1960,0)),"",INDEX('Compliance Database'!$C$2:$C$1960,MATCH(1203,'Transfer Engine'!$C$2:$C$1960,0)))</f>
        <v/>
      </c>
      <c r="D1212" s="9">
        <f>IF(ISNA(MATCH(1203,'Transfer Engine'!$C$2:$C$1960,0)),"",INDEX('Compliance Database'!$D$2:$D$1960,MATCH(1203,'Transfer Engine'!$C$2:$C$1960,0)))</f>
        <v/>
      </c>
      <c r="E1212" s="8">
        <f>IF(ISNA(MATCH(1203,'Transfer Engine'!$C$2:$C$1960,0)),"",INDEX('Compliance Database'!$E$2:$E$1960,MATCH(1203,'Transfer Engine'!$C$2:$C$1960,0)))</f>
        <v/>
      </c>
      <c r="F1212" s="8">
        <f>IF(ISNA(MATCH(1203,'Transfer Engine'!$C$2:$C$1960,0)),"",INDEX('Compliance Database'!$F$2:$F$1960,MATCH(1203,'Transfer Engine'!$C$2:$C$1960,0)))</f>
        <v/>
      </c>
      <c r="G1212" s="8">
        <f>IF(ISNA(MATCH(1203,'Transfer Engine'!$C$2:$C$1960,0)),"",INDEX('Compliance Database'!$G$2:$G$1960,MATCH(1203,'Transfer Engine'!$C$2:$C$1960,0)))</f>
        <v/>
      </c>
      <c r="H1212" s="9">
        <f>IF(ISNA(MATCH(1203,'Transfer Engine'!$C$2:$C$1960,0)),"",INDEX('Compliance Database'!$H$2:$H$1960,MATCH(1203,'Transfer Engine'!$C$2:$C$1960,0)))</f>
        <v/>
      </c>
      <c r="I1212" s="9">
        <f>IF(ISNA(MATCH(1203,'Transfer Engine'!$C$2:$C$1960,0)),"",INDEX('Compliance Database'!$I$2:$I$1960,MATCH(1203,'Transfer Engine'!$C$2:$C$1960,0)))</f>
        <v/>
      </c>
      <c r="J1212" s="8">
        <f>IF(ISNA(MATCH(1203,'Transfer Engine'!$C$2:$C$1960,0)),"",INDEX('Compliance Database'!$J$2:$J$1960,MATCH(1203,'Transfer Engine'!$C$2:$C$1960,0)))</f>
        <v/>
      </c>
      <c r="K1212" s="9">
        <f>IF(ISNA(MATCH(1203,'Transfer Engine'!$C$2:$C$1960,0)),"",INDEX('Compliance Database'!$K$2:$K$1960,MATCH(1203,'Transfer Engine'!$C$2:$C$1960,0)))</f>
        <v/>
      </c>
      <c r="L1212" s="9">
        <f>IF(ISNA(MATCH(1203,'Transfer Engine'!$C$2:$C$1960,0)),"",INDEX('Compliance Database'!$L$2:$L$1960,MATCH(1203,'Transfer Engine'!$C$2:$C$1960,0)))</f>
        <v/>
      </c>
      <c r="M1212" s="9">
        <f>IF(ISNA(MATCH(1203,'Transfer Engine'!$C$2:$C$1960,0)),"",INDEX('Compliance Database'!$M$2:$M$1960,MATCH(1203,'Transfer Engine'!$C$2:$C$1960,0)))</f>
        <v/>
      </c>
      <c r="N1212" s="9">
        <f>IF(ISNA(MATCH(1203,'Transfer Engine'!$C$2:$C$1960,0)),"",INDEX('Compliance Database'!$N$2:$N$1960,MATCH(1203,'Transfer Engine'!$C$2:$C$1960,0)))</f>
        <v/>
      </c>
      <c r="O1212" s="9">
        <f>IF(ISNA(MATCH(1203,'Transfer Engine'!$C$2:$C$1960,0)),"",INDEX('Compliance Database'!$O$2:$O$1960,MATCH(1203,'Transfer Engine'!$C$2:$C$1960,0)))</f>
        <v/>
      </c>
      <c r="P1212" s="8">
        <f>IF(ISNA(MATCH(1203,'Transfer Engine'!$C$2:$C$1960,0)),"",HYPERLINK("#Acts!A"&amp;INDEX('Compliance Database'!$P$2:$P$1960,MATCH(1203,'Transfer Engine'!$C$2:$C$1960,0)),"Go to Act"))</f>
        <v/>
      </c>
    </row>
    <row r="1213" ht="158" customHeight="1">
      <c r="A1213" s="8">
        <f>IF(ISNA(MATCH(1204,'Transfer Engine'!$C$2:$C$1960,0)),"",INDEX('Compliance Database'!$A$2:$A$1960,MATCH(1204,'Transfer Engine'!$C$2:$C$1960,0)))</f>
        <v/>
      </c>
      <c r="B1213" s="8">
        <f>IF(ISNA(MATCH(1204,'Transfer Engine'!$C$2:$C$1960,0)),"",INDEX('Compliance Database'!$B$2:$B$1960,MATCH(1204,'Transfer Engine'!$C$2:$C$1960,0)))</f>
        <v/>
      </c>
      <c r="C1213" s="8">
        <f>IF(ISNA(MATCH(1204,'Transfer Engine'!$C$2:$C$1960,0)),"",INDEX('Compliance Database'!$C$2:$C$1960,MATCH(1204,'Transfer Engine'!$C$2:$C$1960,0)))</f>
        <v/>
      </c>
      <c r="D1213" s="9">
        <f>IF(ISNA(MATCH(1204,'Transfer Engine'!$C$2:$C$1960,0)),"",INDEX('Compliance Database'!$D$2:$D$1960,MATCH(1204,'Transfer Engine'!$C$2:$C$1960,0)))</f>
        <v/>
      </c>
      <c r="E1213" s="8">
        <f>IF(ISNA(MATCH(1204,'Transfer Engine'!$C$2:$C$1960,0)),"",INDEX('Compliance Database'!$E$2:$E$1960,MATCH(1204,'Transfer Engine'!$C$2:$C$1960,0)))</f>
        <v/>
      </c>
      <c r="F1213" s="8">
        <f>IF(ISNA(MATCH(1204,'Transfer Engine'!$C$2:$C$1960,0)),"",INDEX('Compliance Database'!$F$2:$F$1960,MATCH(1204,'Transfer Engine'!$C$2:$C$1960,0)))</f>
        <v/>
      </c>
      <c r="G1213" s="8">
        <f>IF(ISNA(MATCH(1204,'Transfer Engine'!$C$2:$C$1960,0)),"",INDEX('Compliance Database'!$G$2:$G$1960,MATCH(1204,'Transfer Engine'!$C$2:$C$1960,0)))</f>
        <v/>
      </c>
      <c r="H1213" s="9">
        <f>IF(ISNA(MATCH(1204,'Transfer Engine'!$C$2:$C$1960,0)),"",INDEX('Compliance Database'!$H$2:$H$1960,MATCH(1204,'Transfer Engine'!$C$2:$C$1960,0)))</f>
        <v/>
      </c>
      <c r="I1213" s="9">
        <f>IF(ISNA(MATCH(1204,'Transfer Engine'!$C$2:$C$1960,0)),"",INDEX('Compliance Database'!$I$2:$I$1960,MATCH(1204,'Transfer Engine'!$C$2:$C$1960,0)))</f>
        <v/>
      </c>
      <c r="J1213" s="8">
        <f>IF(ISNA(MATCH(1204,'Transfer Engine'!$C$2:$C$1960,0)),"",INDEX('Compliance Database'!$J$2:$J$1960,MATCH(1204,'Transfer Engine'!$C$2:$C$1960,0)))</f>
        <v/>
      </c>
      <c r="K1213" s="9">
        <f>IF(ISNA(MATCH(1204,'Transfer Engine'!$C$2:$C$1960,0)),"",INDEX('Compliance Database'!$K$2:$K$1960,MATCH(1204,'Transfer Engine'!$C$2:$C$1960,0)))</f>
        <v/>
      </c>
      <c r="L1213" s="9">
        <f>IF(ISNA(MATCH(1204,'Transfer Engine'!$C$2:$C$1960,0)),"",INDEX('Compliance Database'!$L$2:$L$1960,MATCH(1204,'Transfer Engine'!$C$2:$C$1960,0)))</f>
        <v/>
      </c>
      <c r="M1213" s="9">
        <f>IF(ISNA(MATCH(1204,'Transfer Engine'!$C$2:$C$1960,0)),"",INDEX('Compliance Database'!$M$2:$M$1960,MATCH(1204,'Transfer Engine'!$C$2:$C$1960,0)))</f>
        <v/>
      </c>
      <c r="N1213" s="9">
        <f>IF(ISNA(MATCH(1204,'Transfer Engine'!$C$2:$C$1960,0)),"",INDEX('Compliance Database'!$N$2:$N$1960,MATCH(1204,'Transfer Engine'!$C$2:$C$1960,0)))</f>
        <v/>
      </c>
      <c r="O1213" s="9">
        <f>IF(ISNA(MATCH(1204,'Transfer Engine'!$C$2:$C$1960,0)),"",INDEX('Compliance Database'!$O$2:$O$1960,MATCH(1204,'Transfer Engine'!$C$2:$C$1960,0)))</f>
        <v/>
      </c>
      <c r="P1213" s="8">
        <f>IF(ISNA(MATCH(1204,'Transfer Engine'!$C$2:$C$1960,0)),"",HYPERLINK("#Acts!A"&amp;INDEX('Compliance Database'!$P$2:$P$1960,MATCH(1204,'Transfer Engine'!$C$2:$C$1960,0)),"Go to Act"))</f>
        <v/>
      </c>
    </row>
    <row r="1214" ht="158" customHeight="1">
      <c r="A1214" s="8">
        <f>IF(ISNA(MATCH(1205,'Transfer Engine'!$C$2:$C$1960,0)),"",INDEX('Compliance Database'!$A$2:$A$1960,MATCH(1205,'Transfer Engine'!$C$2:$C$1960,0)))</f>
        <v/>
      </c>
      <c r="B1214" s="8">
        <f>IF(ISNA(MATCH(1205,'Transfer Engine'!$C$2:$C$1960,0)),"",INDEX('Compliance Database'!$B$2:$B$1960,MATCH(1205,'Transfer Engine'!$C$2:$C$1960,0)))</f>
        <v/>
      </c>
      <c r="C1214" s="8">
        <f>IF(ISNA(MATCH(1205,'Transfer Engine'!$C$2:$C$1960,0)),"",INDEX('Compliance Database'!$C$2:$C$1960,MATCH(1205,'Transfer Engine'!$C$2:$C$1960,0)))</f>
        <v/>
      </c>
      <c r="D1214" s="9">
        <f>IF(ISNA(MATCH(1205,'Transfer Engine'!$C$2:$C$1960,0)),"",INDEX('Compliance Database'!$D$2:$D$1960,MATCH(1205,'Transfer Engine'!$C$2:$C$1960,0)))</f>
        <v/>
      </c>
      <c r="E1214" s="8">
        <f>IF(ISNA(MATCH(1205,'Transfer Engine'!$C$2:$C$1960,0)),"",INDEX('Compliance Database'!$E$2:$E$1960,MATCH(1205,'Transfer Engine'!$C$2:$C$1960,0)))</f>
        <v/>
      </c>
      <c r="F1214" s="8">
        <f>IF(ISNA(MATCH(1205,'Transfer Engine'!$C$2:$C$1960,0)),"",INDEX('Compliance Database'!$F$2:$F$1960,MATCH(1205,'Transfer Engine'!$C$2:$C$1960,0)))</f>
        <v/>
      </c>
      <c r="G1214" s="8">
        <f>IF(ISNA(MATCH(1205,'Transfer Engine'!$C$2:$C$1960,0)),"",INDEX('Compliance Database'!$G$2:$G$1960,MATCH(1205,'Transfer Engine'!$C$2:$C$1960,0)))</f>
        <v/>
      </c>
      <c r="H1214" s="9">
        <f>IF(ISNA(MATCH(1205,'Transfer Engine'!$C$2:$C$1960,0)),"",INDEX('Compliance Database'!$H$2:$H$1960,MATCH(1205,'Transfer Engine'!$C$2:$C$1960,0)))</f>
        <v/>
      </c>
      <c r="I1214" s="9">
        <f>IF(ISNA(MATCH(1205,'Transfer Engine'!$C$2:$C$1960,0)),"",INDEX('Compliance Database'!$I$2:$I$1960,MATCH(1205,'Transfer Engine'!$C$2:$C$1960,0)))</f>
        <v/>
      </c>
      <c r="J1214" s="8">
        <f>IF(ISNA(MATCH(1205,'Transfer Engine'!$C$2:$C$1960,0)),"",INDEX('Compliance Database'!$J$2:$J$1960,MATCH(1205,'Transfer Engine'!$C$2:$C$1960,0)))</f>
        <v/>
      </c>
      <c r="K1214" s="9">
        <f>IF(ISNA(MATCH(1205,'Transfer Engine'!$C$2:$C$1960,0)),"",INDEX('Compliance Database'!$K$2:$K$1960,MATCH(1205,'Transfer Engine'!$C$2:$C$1960,0)))</f>
        <v/>
      </c>
      <c r="L1214" s="9">
        <f>IF(ISNA(MATCH(1205,'Transfer Engine'!$C$2:$C$1960,0)),"",INDEX('Compliance Database'!$L$2:$L$1960,MATCH(1205,'Transfer Engine'!$C$2:$C$1960,0)))</f>
        <v/>
      </c>
      <c r="M1214" s="9">
        <f>IF(ISNA(MATCH(1205,'Transfer Engine'!$C$2:$C$1960,0)),"",INDEX('Compliance Database'!$M$2:$M$1960,MATCH(1205,'Transfer Engine'!$C$2:$C$1960,0)))</f>
        <v/>
      </c>
      <c r="N1214" s="9">
        <f>IF(ISNA(MATCH(1205,'Transfer Engine'!$C$2:$C$1960,0)),"",INDEX('Compliance Database'!$N$2:$N$1960,MATCH(1205,'Transfer Engine'!$C$2:$C$1960,0)))</f>
        <v/>
      </c>
      <c r="O1214" s="9">
        <f>IF(ISNA(MATCH(1205,'Transfer Engine'!$C$2:$C$1960,0)),"",INDEX('Compliance Database'!$O$2:$O$1960,MATCH(1205,'Transfer Engine'!$C$2:$C$1960,0)))</f>
        <v/>
      </c>
      <c r="P1214" s="8">
        <f>IF(ISNA(MATCH(1205,'Transfer Engine'!$C$2:$C$1960,0)),"",HYPERLINK("#Acts!A"&amp;INDEX('Compliance Database'!$P$2:$P$1960,MATCH(1205,'Transfer Engine'!$C$2:$C$1960,0)),"Go to Act"))</f>
        <v/>
      </c>
    </row>
    <row r="1215" ht="158" customHeight="1">
      <c r="A1215" s="8">
        <f>IF(ISNA(MATCH(1206,'Transfer Engine'!$C$2:$C$1960,0)),"",INDEX('Compliance Database'!$A$2:$A$1960,MATCH(1206,'Transfer Engine'!$C$2:$C$1960,0)))</f>
        <v/>
      </c>
      <c r="B1215" s="8">
        <f>IF(ISNA(MATCH(1206,'Transfer Engine'!$C$2:$C$1960,0)),"",INDEX('Compliance Database'!$B$2:$B$1960,MATCH(1206,'Transfer Engine'!$C$2:$C$1960,0)))</f>
        <v/>
      </c>
      <c r="C1215" s="8">
        <f>IF(ISNA(MATCH(1206,'Transfer Engine'!$C$2:$C$1960,0)),"",INDEX('Compliance Database'!$C$2:$C$1960,MATCH(1206,'Transfer Engine'!$C$2:$C$1960,0)))</f>
        <v/>
      </c>
      <c r="D1215" s="9">
        <f>IF(ISNA(MATCH(1206,'Transfer Engine'!$C$2:$C$1960,0)),"",INDEX('Compliance Database'!$D$2:$D$1960,MATCH(1206,'Transfer Engine'!$C$2:$C$1960,0)))</f>
        <v/>
      </c>
      <c r="E1215" s="8">
        <f>IF(ISNA(MATCH(1206,'Transfer Engine'!$C$2:$C$1960,0)),"",INDEX('Compliance Database'!$E$2:$E$1960,MATCH(1206,'Transfer Engine'!$C$2:$C$1960,0)))</f>
        <v/>
      </c>
      <c r="F1215" s="8">
        <f>IF(ISNA(MATCH(1206,'Transfer Engine'!$C$2:$C$1960,0)),"",INDEX('Compliance Database'!$F$2:$F$1960,MATCH(1206,'Transfer Engine'!$C$2:$C$1960,0)))</f>
        <v/>
      </c>
      <c r="G1215" s="8">
        <f>IF(ISNA(MATCH(1206,'Transfer Engine'!$C$2:$C$1960,0)),"",INDEX('Compliance Database'!$G$2:$G$1960,MATCH(1206,'Transfer Engine'!$C$2:$C$1960,0)))</f>
        <v/>
      </c>
      <c r="H1215" s="9">
        <f>IF(ISNA(MATCH(1206,'Transfer Engine'!$C$2:$C$1960,0)),"",INDEX('Compliance Database'!$H$2:$H$1960,MATCH(1206,'Transfer Engine'!$C$2:$C$1960,0)))</f>
        <v/>
      </c>
      <c r="I1215" s="9">
        <f>IF(ISNA(MATCH(1206,'Transfer Engine'!$C$2:$C$1960,0)),"",INDEX('Compliance Database'!$I$2:$I$1960,MATCH(1206,'Transfer Engine'!$C$2:$C$1960,0)))</f>
        <v/>
      </c>
      <c r="J1215" s="8">
        <f>IF(ISNA(MATCH(1206,'Transfer Engine'!$C$2:$C$1960,0)),"",INDEX('Compliance Database'!$J$2:$J$1960,MATCH(1206,'Transfer Engine'!$C$2:$C$1960,0)))</f>
        <v/>
      </c>
      <c r="K1215" s="9">
        <f>IF(ISNA(MATCH(1206,'Transfer Engine'!$C$2:$C$1960,0)),"",INDEX('Compliance Database'!$K$2:$K$1960,MATCH(1206,'Transfer Engine'!$C$2:$C$1960,0)))</f>
        <v/>
      </c>
      <c r="L1215" s="9">
        <f>IF(ISNA(MATCH(1206,'Transfer Engine'!$C$2:$C$1960,0)),"",INDEX('Compliance Database'!$L$2:$L$1960,MATCH(1206,'Transfer Engine'!$C$2:$C$1960,0)))</f>
        <v/>
      </c>
      <c r="M1215" s="9">
        <f>IF(ISNA(MATCH(1206,'Transfer Engine'!$C$2:$C$1960,0)),"",INDEX('Compliance Database'!$M$2:$M$1960,MATCH(1206,'Transfer Engine'!$C$2:$C$1960,0)))</f>
        <v/>
      </c>
      <c r="N1215" s="9">
        <f>IF(ISNA(MATCH(1206,'Transfer Engine'!$C$2:$C$1960,0)),"",INDEX('Compliance Database'!$N$2:$N$1960,MATCH(1206,'Transfer Engine'!$C$2:$C$1960,0)))</f>
        <v/>
      </c>
      <c r="O1215" s="9">
        <f>IF(ISNA(MATCH(1206,'Transfer Engine'!$C$2:$C$1960,0)),"",INDEX('Compliance Database'!$O$2:$O$1960,MATCH(1206,'Transfer Engine'!$C$2:$C$1960,0)))</f>
        <v/>
      </c>
      <c r="P1215" s="8">
        <f>IF(ISNA(MATCH(1206,'Transfer Engine'!$C$2:$C$1960,0)),"",HYPERLINK("#Acts!A"&amp;INDEX('Compliance Database'!$P$2:$P$1960,MATCH(1206,'Transfer Engine'!$C$2:$C$1960,0)),"Go to Act"))</f>
        <v/>
      </c>
    </row>
    <row r="1216" ht="158" customHeight="1">
      <c r="A1216" s="8">
        <f>IF(ISNA(MATCH(1207,'Transfer Engine'!$C$2:$C$1960,0)),"",INDEX('Compliance Database'!$A$2:$A$1960,MATCH(1207,'Transfer Engine'!$C$2:$C$1960,0)))</f>
        <v/>
      </c>
      <c r="B1216" s="8">
        <f>IF(ISNA(MATCH(1207,'Transfer Engine'!$C$2:$C$1960,0)),"",INDEX('Compliance Database'!$B$2:$B$1960,MATCH(1207,'Transfer Engine'!$C$2:$C$1960,0)))</f>
        <v/>
      </c>
      <c r="C1216" s="8">
        <f>IF(ISNA(MATCH(1207,'Transfer Engine'!$C$2:$C$1960,0)),"",INDEX('Compliance Database'!$C$2:$C$1960,MATCH(1207,'Transfer Engine'!$C$2:$C$1960,0)))</f>
        <v/>
      </c>
      <c r="D1216" s="9">
        <f>IF(ISNA(MATCH(1207,'Transfer Engine'!$C$2:$C$1960,0)),"",INDEX('Compliance Database'!$D$2:$D$1960,MATCH(1207,'Transfer Engine'!$C$2:$C$1960,0)))</f>
        <v/>
      </c>
      <c r="E1216" s="8">
        <f>IF(ISNA(MATCH(1207,'Transfer Engine'!$C$2:$C$1960,0)),"",INDEX('Compliance Database'!$E$2:$E$1960,MATCH(1207,'Transfer Engine'!$C$2:$C$1960,0)))</f>
        <v/>
      </c>
      <c r="F1216" s="8">
        <f>IF(ISNA(MATCH(1207,'Transfer Engine'!$C$2:$C$1960,0)),"",INDEX('Compliance Database'!$F$2:$F$1960,MATCH(1207,'Transfer Engine'!$C$2:$C$1960,0)))</f>
        <v/>
      </c>
      <c r="G1216" s="8">
        <f>IF(ISNA(MATCH(1207,'Transfer Engine'!$C$2:$C$1960,0)),"",INDEX('Compliance Database'!$G$2:$G$1960,MATCH(1207,'Transfer Engine'!$C$2:$C$1960,0)))</f>
        <v/>
      </c>
      <c r="H1216" s="9">
        <f>IF(ISNA(MATCH(1207,'Transfer Engine'!$C$2:$C$1960,0)),"",INDEX('Compliance Database'!$H$2:$H$1960,MATCH(1207,'Transfer Engine'!$C$2:$C$1960,0)))</f>
        <v/>
      </c>
      <c r="I1216" s="9">
        <f>IF(ISNA(MATCH(1207,'Transfer Engine'!$C$2:$C$1960,0)),"",INDEX('Compliance Database'!$I$2:$I$1960,MATCH(1207,'Transfer Engine'!$C$2:$C$1960,0)))</f>
        <v/>
      </c>
      <c r="J1216" s="8">
        <f>IF(ISNA(MATCH(1207,'Transfer Engine'!$C$2:$C$1960,0)),"",INDEX('Compliance Database'!$J$2:$J$1960,MATCH(1207,'Transfer Engine'!$C$2:$C$1960,0)))</f>
        <v/>
      </c>
      <c r="K1216" s="9">
        <f>IF(ISNA(MATCH(1207,'Transfer Engine'!$C$2:$C$1960,0)),"",INDEX('Compliance Database'!$K$2:$K$1960,MATCH(1207,'Transfer Engine'!$C$2:$C$1960,0)))</f>
        <v/>
      </c>
      <c r="L1216" s="9">
        <f>IF(ISNA(MATCH(1207,'Transfer Engine'!$C$2:$C$1960,0)),"",INDEX('Compliance Database'!$L$2:$L$1960,MATCH(1207,'Transfer Engine'!$C$2:$C$1960,0)))</f>
        <v/>
      </c>
      <c r="M1216" s="9">
        <f>IF(ISNA(MATCH(1207,'Transfer Engine'!$C$2:$C$1960,0)),"",INDEX('Compliance Database'!$M$2:$M$1960,MATCH(1207,'Transfer Engine'!$C$2:$C$1960,0)))</f>
        <v/>
      </c>
      <c r="N1216" s="9">
        <f>IF(ISNA(MATCH(1207,'Transfer Engine'!$C$2:$C$1960,0)),"",INDEX('Compliance Database'!$N$2:$N$1960,MATCH(1207,'Transfer Engine'!$C$2:$C$1960,0)))</f>
        <v/>
      </c>
      <c r="O1216" s="9">
        <f>IF(ISNA(MATCH(1207,'Transfer Engine'!$C$2:$C$1960,0)),"",INDEX('Compliance Database'!$O$2:$O$1960,MATCH(1207,'Transfer Engine'!$C$2:$C$1960,0)))</f>
        <v/>
      </c>
      <c r="P1216" s="8">
        <f>IF(ISNA(MATCH(1207,'Transfer Engine'!$C$2:$C$1960,0)),"",HYPERLINK("#Acts!A"&amp;INDEX('Compliance Database'!$P$2:$P$1960,MATCH(1207,'Transfer Engine'!$C$2:$C$1960,0)),"Go to Act"))</f>
        <v/>
      </c>
    </row>
    <row r="1217" ht="158" customHeight="1">
      <c r="A1217" s="8">
        <f>IF(ISNA(MATCH(1208,'Transfer Engine'!$C$2:$C$1960,0)),"",INDEX('Compliance Database'!$A$2:$A$1960,MATCH(1208,'Transfer Engine'!$C$2:$C$1960,0)))</f>
        <v/>
      </c>
      <c r="B1217" s="8">
        <f>IF(ISNA(MATCH(1208,'Transfer Engine'!$C$2:$C$1960,0)),"",INDEX('Compliance Database'!$B$2:$B$1960,MATCH(1208,'Transfer Engine'!$C$2:$C$1960,0)))</f>
        <v/>
      </c>
      <c r="C1217" s="8">
        <f>IF(ISNA(MATCH(1208,'Transfer Engine'!$C$2:$C$1960,0)),"",INDEX('Compliance Database'!$C$2:$C$1960,MATCH(1208,'Transfer Engine'!$C$2:$C$1960,0)))</f>
        <v/>
      </c>
      <c r="D1217" s="9">
        <f>IF(ISNA(MATCH(1208,'Transfer Engine'!$C$2:$C$1960,0)),"",INDEX('Compliance Database'!$D$2:$D$1960,MATCH(1208,'Transfer Engine'!$C$2:$C$1960,0)))</f>
        <v/>
      </c>
      <c r="E1217" s="8">
        <f>IF(ISNA(MATCH(1208,'Transfer Engine'!$C$2:$C$1960,0)),"",INDEX('Compliance Database'!$E$2:$E$1960,MATCH(1208,'Transfer Engine'!$C$2:$C$1960,0)))</f>
        <v/>
      </c>
      <c r="F1217" s="8">
        <f>IF(ISNA(MATCH(1208,'Transfer Engine'!$C$2:$C$1960,0)),"",INDEX('Compliance Database'!$F$2:$F$1960,MATCH(1208,'Transfer Engine'!$C$2:$C$1960,0)))</f>
        <v/>
      </c>
      <c r="G1217" s="8">
        <f>IF(ISNA(MATCH(1208,'Transfer Engine'!$C$2:$C$1960,0)),"",INDEX('Compliance Database'!$G$2:$G$1960,MATCH(1208,'Transfer Engine'!$C$2:$C$1960,0)))</f>
        <v/>
      </c>
      <c r="H1217" s="9">
        <f>IF(ISNA(MATCH(1208,'Transfer Engine'!$C$2:$C$1960,0)),"",INDEX('Compliance Database'!$H$2:$H$1960,MATCH(1208,'Transfer Engine'!$C$2:$C$1960,0)))</f>
        <v/>
      </c>
      <c r="I1217" s="9">
        <f>IF(ISNA(MATCH(1208,'Transfer Engine'!$C$2:$C$1960,0)),"",INDEX('Compliance Database'!$I$2:$I$1960,MATCH(1208,'Transfer Engine'!$C$2:$C$1960,0)))</f>
        <v/>
      </c>
      <c r="J1217" s="8">
        <f>IF(ISNA(MATCH(1208,'Transfer Engine'!$C$2:$C$1960,0)),"",INDEX('Compliance Database'!$J$2:$J$1960,MATCH(1208,'Transfer Engine'!$C$2:$C$1960,0)))</f>
        <v/>
      </c>
      <c r="K1217" s="9">
        <f>IF(ISNA(MATCH(1208,'Transfer Engine'!$C$2:$C$1960,0)),"",INDEX('Compliance Database'!$K$2:$K$1960,MATCH(1208,'Transfer Engine'!$C$2:$C$1960,0)))</f>
        <v/>
      </c>
      <c r="L1217" s="9">
        <f>IF(ISNA(MATCH(1208,'Transfer Engine'!$C$2:$C$1960,0)),"",INDEX('Compliance Database'!$L$2:$L$1960,MATCH(1208,'Transfer Engine'!$C$2:$C$1960,0)))</f>
        <v/>
      </c>
      <c r="M1217" s="9">
        <f>IF(ISNA(MATCH(1208,'Transfer Engine'!$C$2:$C$1960,0)),"",INDEX('Compliance Database'!$M$2:$M$1960,MATCH(1208,'Transfer Engine'!$C$2:$C$1960,0)))</f>
        <v/>
      </c>
      <c r="N1217" s="9">
        <f>IF(ISNA(MATCH(1208,'Transfer Engine'!$C$2:$C$1960,0)),"",INDEX('Compliance Database'!$N$2:$N$1960,MATCH(1208,'Transfer Engine'!$C$2:$C$1960,0)))</f>
        <v/>
      </c>
      <c r="O1217" s="9">
        <f>IF(ISNA(MATCH(1208,'Transfer Engine'!$C$2:$C$1960,0)),"",INDEX('Compliance Database'!$O$2:$O$1960,MATCH(1208,'Transfer Engine'!$C$2:$C$1960,0)))</f>
        <v/>
      </c>
      <c r="P1217" s="8">
        <f>IF(ISNA(MATCH(1208,'Transfer Engine'!$C$2:$C$1960,0)),"",HYPERLINK("#Acts!A"&amp;INDEX('Compliance Database'!$P$2:$P$1960,MATCH(1208,'Transfer Engine'!$C$2:$C$1960,0)),"Go to Act"))</f>
        <v/>
      </c>
    </row>
    <row r="1218" ht="158" customHeight="1">
      <c r="A1218" s="8">
        <f>IF(ISNA(MATCH(1209,'Transfer Engine'!$C$2:$C$1960,0)),"",INDEX('Compliance Database'!$A$2:$A$1960,MATCH(1209,'Transfer Engine'!$C$2:$C$1960,0)))</f>
        <v/>
      </c>
      <c r="B1218" s="8">
        <f>IF(ISNA(MATCH(1209,'Transfer Engine'!$C$2:$C$1960,0)),"",INDEX('Compliance Database'!$B$2:$B$1960,MATCH(1209,'Transfer Engine'!$C$2:$C$1960,0)))</f>
        <v/>
      </c>
      <c r="C1218" s="8">
        <f>IF(ISNA(MATCH(1209,'Transfer Engine'!$C$2:$C$1960,0)),"",INDEX('Compliance Database'!$C$2:$C$1960,MATCH(1209,'Transfer Engine'!$C$2:$C$1960,0)))</f>
        <v/>
      </c>
      <c r="D1218" s="9">
        <f>IF(ISNA(MATCH(1209,'Transfer Engine'!$C$2:$C$1960,0)),"",INDEX('Compliance Database'!$D$2:$D$1960,MATCH(1209,'Transfer Engine'!$C$2:$C$1960,0)))</f>
        <v/>
      </c>
      <c r="E1218" s="8">
        <f>IF(ISNA(MATCH(1209,'Transfer Engine'!$C$2:$C$1960,0)),"",INDEX('Compliance Database'!$E$2:$E$1960,MATCH(1209,'Transfer Engine'!$C$2:$C$1960,0)))</f>
        <v/>
      </c>
      <c r="F1218" s="8">
        <f>IF(ISNA(MATCH(1209,'Transfer Engine'!$C$2:$C$1960,0)),"",INDEX('Compliance Database'!$F$2:$F$1960,MATCH(1209,'Transfer Engine'!$C$2:$C$1960,0)))</f>
        <v/>
      </c>
      <c r="G1218" s="8">
        <f>IF(ISNA(MATCH(1209,'Transfer Engine'!$C$2:$C$1960,0)),"",INDEX('Compliance Database'!$G$2:$G$1960,MATCH(1209,'Transfer Engine'!$C$2:$C$1960,0)))</f>
        <v/>
      </c>
      <c r="H1218" s="9">
        <f>IF(ISNA(MATCH(1209,'Transfer Engine'!$C$2:$C$1960,0)),"",INDEX('Compliance Database'!$H$2:$H$1960,MATCH(1209,'Transfer Engine'!$C$2:$C$1960,0)))</f>
        <v/>
      </c>
      <c r="I1218" s="9">
        <f>IF(ISNA(MATCH(1209,'Transfer Engine'!$C$2:$C$1960,0)),"",INDEX('Compliance Database'!$I$2:$I$1960,MATCH(1209,'Transfer Engine'!$C$2:$C$1960,0)))</f>
        <v/>
      </c>
      <c r="J1218" s="8">
        <f>IF(ISNA(MATCH(1209,'Transfer Engine'!$C$2:$C$1960,0)),"",INDEX('Compliance Database'!$J$2:$J$1960,MATCH(1209,'Transfer Engine'!$C$2:$C$1960,0)))</f>
        <v/>
      </c>
      <c r="K1218" s="9">
        <f>IF(ISNA(MATCH(1209,'Transfer Engine'!$C$2:$C$1960,0)),"",INDEX('Compliance Database'!$K$2:$K$1960,MATCH(1209,'Transfer Engine'!$C$2:$C$1960,0)))</f>
        <v/>
      </c>
      <c r="L1218" s="9">
        <f>IF(ISNA(MATCH(1209,'Transfer Engine'!$C$2:$C$1960,0)),"",INDEX('Compliance Database'!$L$2:$L$1960,MATCH(1209,'Transfer Engine'!$C$2:$C$1960,0)))</f>
        <v/>
      </c>
      <c r="M1218" s="9">
        <f>IF(ISNA(MATCH(1209,'Transfer Engine'!$C$2:$C$1960,0)),"",INDEX('Compliance Database'!$M$2:$M$1960,MATCH(1209,'Transfer Engine'!$C$2:$C$1960,0)))</f>
        <v/>
      </c>
      <c r="N1218" s="9">
        <f>IF(ISNA(MATCH(1209,'Transfer Engine'!$C$2:$C$1960,0)),"",INDEX('Compliance Database'!$N$2:$N$1960,MATCH(1209,'Transfer Engine'!$C$2:$C$1960,0)))</f>
        <v/>
      </c>
      <c r="O1218" s="9">
        <f>IF(ISNA(MATCH(1209,'Transfer Engine'!$C$2:$C$1960,0)),"",INDEX('Compliance Database'!$O$2:$O$1960,MATCH(1209,'Transfer Engine'!$C$2:$C$1960,0)))</f>
        <v/>
      </c>
      <c r="P1218" s="8">
        <f>IF(ISNA(MATCH(1209,'Transfer Engine'!$C$2:$C$1960,0)),"",HYPERLINK("#Acts!A"&amp;INDEX('Compliance Database'!$P$2:$P$1960,MATCH(1209,'Transfer Engine'!$C$2:$C$1960,0)),"Go to Act"))</f>
        <v/>
      </c>
    </row>
    <row r="1219" ht="158" customHeight="1">
      <c r="A1219" s="8">
        <f>IF(ISNA(MATCH(1210,'Transfer Engine'!$C$2:$C$1960,0)),"",INDEX('Compliance Database'!$A$2:$A$1960,MATCH(1210,'Transfer Engine'!$C$2:$C$1960,0)))</f>
        <v/>
      </c>
      <c r="B1219" s="8">
        <f>IF(ISNA(MATCH(1210,'Transfer Engine'!$C$2:$C$1960,0)),"",INDEX('Compliance Database'!$B$2:$B$1960,MATCH(1210,'Transfer Engine'!$C$2:$C$1960,0)))</f>
        <v/>
      </c>
      <c r="C1219" s="8">
        <f>IF(ISNA(MATCH(1210,'Transfer Engine'!$C$2:$C$1960,0)),"",INDEX('Compliance Database'!$C$2:$C$1960,MATCH(1210,'Transfer Engine'!$C$2:$C$1960,0)))</f>
        <v/>
      </c>
      <c r="D1219" s="9">
        <f>IF(ISNA(MATCH(1210,'Transfer Engine'!$C$2:$C$1960,0)),"",INDEX('Compliance Database'!$D$2:$D$1960,MATCH(1210,'Transfer Engine'!$C$2:$C$1960,0)))</f>
        <v/>
      </c>
      <c r="E1219" s="8">
        <f>IF(ISNA(MATCH(1210,'Transfer Engine'!$C$2:$C$1960,0)),"",INDEX('Compliance Database'!$E$2:$E$1960,MATCH(1210,'Transfer Engine'!$C$2:$C$1960,0)))</f>
        <v/>
      </c>
      <c r="F1219" s="8">
        <f>IF(ISNA(MATCH(1210,'Transfer Engine'!$C$2:$C$1960,0)),"",INDEX('Compliance Database'!$F$2:$F$1960,MATCH(1210,'Transfer Engine'!$C$2:$C$1960,0)))</f>
        <v/>
      </c>
      <c r="G1219" s="8">
        <f>IF(ISNA(MATCH(1210,'Transfer Engine'!$C$2:$C$1960,0)),"",INDEX('Compliance Database'!$G$2:$G$1960,MATCH(1210,'Transfer Engine'!$C$2:$C$1960,0)))</f>
        <v/>
      </c>
      <c r="H1219" s="9">
        <f>IF(ISNA(MATCH(1210,'Transfer Engine'!$C$2:$C$1960,0)),"",INDEX('Compliance Database'!$H$2:$H$1960,MATCH(1210,'Transfer Engine'!$C$2:$C$1960,0)))</f>
        <v/>
      </c>
      <c r="I1219" s="9">
        <f>IF(ISNA(MATCH(1210,'Transfer Engine'!$C$2:$C$1960,0)),"",INDEX('Compliance Database'!$I$2:$I$1960,MATCH(1210,'Transfer Engine'!$C$2:$C$1960,0)))</f>
        <v/>
      </c>
      <c r="J1219" s="8">
        <f>IF(ISNA(MATCH(1210,'Transfer Engine'!$C$2:$C$1960,0)),"",INDEX('Compliance Database'!$J$2:$J$1960,MATCH(1210,'Transfer Engine'!$C$2:$C$1960,0)))</f>
        <v/>
      </c>
      <c r="K1219" s="9">
        <f>IF(ISNA(MATCH(1210,'Transfer Engine'!$C$2:$C$1960,0)),"",INDEX('Compliance Database'!$K$2:$K$1960,MATCH(1210,'Transfer Engine'!$C$2:$C$1960,0)))</f>
        <v/>
      </c>
      <c r="L1219" s="9">
        <f>IF(ISNA(MATCH(1210,'Transfer Engine'!$C$2:$C$1960,0)),"",INDEX('Compliance Database'!$L$2:$L$1960,MATCH(1210,'Transfer Engine'!$C$2:$C$1960,0)))</f>
        <v/>
      </c>
      <c r="M1219" s="9">
        <f>IF(ISNA(MATCH(1210,'Transfer Engine'!$C$2:$C$1960,0)),"",INDEX('Compliance Database'!$M$2:$M$1960,MATCH(1210,'Transfer Engine'!$C$2:$C$1960,0)))</f>
        <v/>
      </c>
      <c r="N1219" s="9">
        <f>IF(ISNA(MATCH(1210,'Transfer Engine'!$C$2:$C$1960,0)),"",INDEX('Compliance Database'!$N$2:$N$1960,MATCH(1210,'Transfer Engine'!$C$2:$C$1960,0)))</f>
        <v/>
      </c>
      <c r="O1219" s="9">
        <f>IF(ISNA(MATCH(1210,'Transfer Engine'!$C$2:$C$1960,0)),"",INDEX('Compliance Database'!$O$2:$O$1960,MATCH(1210,'Transfer Engine'!$C$2:$C$1960,0)))</f>
        <v/>
      </c>
      <c r="P1219" s="8">
        <f>IF(ISNA(MATCH(1210,'Transfer Engine'!$C$2:$C$1960,0)),"",HYPERLINK("#Acts!A"&amp;INDEX('Compliance Database'!$P$2:$P$1960,MATCH(1210,'Transfer Engine'!$C$2:$C$1960,0)),"Go to Act"))</f>
        <v/>
      </c>
    </row>
    <row r="1220" ht="158" customHeight="1">
      <c r="A1220" s="8">
        <f>IF(ISNA(MATCH(1211,'Transfer Engine'!$C$2:$C$1960,0)),"",INDEX('Compliance Database'!$A$2:$A$1960,MATCH(1211,'Transfer Engine'!$C$2:$C$1960,0)))</f>
        <v/>
      </c>
      <c r="B1220" s="8">
        <f>IF(ISNA(MATCH(1211,'Transfer Engine'!$C$2:$C$1960,0)),"",INDEX('Compliance Database'!$B$2:$B$1960,MATCH(1211,'Transfer Engine'!$C$2:$C$1960,0)))</f>
        <v/>
      </c>
      <c r="C1220" s="8">
        <f>IF(ISNA(MATCH(1211,'Transfer Engine'!$C$2:$C$1960,0)),"",INDEX('Compliance Database'!$C$2:$C$1960,MATCH(1211,'Transfer Engine'!$C$2:$C$1960,0)))</f>
        <v/>
      </c>
      <c r="D1220" s="9">
        <f>IF(ISNA(MATCH(1211,'Transfer Engine'!$C$2:$C$1960,0)),"",INDEX('Compliance Database'!$D$2:$D$1960,MATCH(1211,'Transfer Engine'!$C$2:$C$1960,0)))</f>
        <v/>
      </c>
      <c r="E1220" s="8">
        <f>IF(ISNA(MATCH(1211,'Transfer Engine'!$C$2:$C$1960,0)),"",INDEX('Compliance Database'!$E$2:$E$1960,MATCH(1211,'Transfer Engine'!$C$2:$C$1960,0)))</f>
        <v/>
      </c>
      <c r="F1220" s="8">
        <f>IF(ISNA(MATCH(1211,'Transfer Engine'!$C$2:$C$1960,0)),"",INDEX('Compliance Database'!$F$2:$F$1960,MATCH(1211,'Transfer Engine'!$C$2:$C$1960,0)))</f>
        <v/>
      </c>
      <c r="G1220" s="8">
        <f>IF(ISNA(MATCH(1211,'Transfer Engine'!$C$2:$C$1960,0)),"",INDEX('Compliance Database'!$G$2:$G$1960,MATCH(1211,'Transfer Engine'!$C$2:$C$1960,0)))</f>
        <v/>
      </c>
      <c r="H1220" s="9">
        <f>IF(ISNA(MATCH(1211,'Transfer Engine'!$C$2:$C$1960,0)),"",INDEX('Compliance Database'!$H$2:$H$1960,MATCH(1211,'Transfer Engine'!$C$2:$C$1960,0)))</f>
        <v/>
      </c>
      <c r="I1220" s="9">
        <f>IF(ISNA(MATCH(1211,'Transfer Engine'!$C$2:$C$1960,0)),"",INDEX('Compliance Database'!$I$2:$I$1960,MATCH(1211,'Transfer Engine'!$C$2:$C$1960,0)))</f>
        <v/>
      </c>
      <c r="J1220" s="8">
        <f>IF(ISNA(MATCH(1211,'Transfer Engine'!$C$2:$C$1960,0)),"",INDEX('Compliance Database'!$J$2:$J$1960,MATCH(1211,'Transfer Engine'!$C$2:$C$1960,0)))</f>
        <v/>
      </c>
      <c r="K1220" s="9">
        <f>IF(ISNA(MATCH(1211,'Transfer Engine'!$C$2:$C$1960,0)),"",INDEX('Compliance Database'!$K$2:$K$1960,MATCH(1211,'Transfer Engine'!$C$2:$C$1960,0)))</f>
        <v/>
      </c>
      <c r="L1220" s="9">
        <f>IF(ISNA(MATCH(1211,'Transfer Engine'!$C$2:$C$1960,0)),"",INDEX('Compliance Database'!$L$2:$L$1960,MATCH(1211,'Transfer Engine'!$C$2:$C$1960,0)))</f>
        <v/>
      </c>
      <c r="M1220" s="9">
        <f>IF(ISNA(MATCH(1211,'Transfer Engine'!$C$2:$C$1960,0)),"",INDEX('Compliance Database'!$M$2:$M$1960,MATCH(1211,'Transfer Engine'!$C$2:$C$1960,0)))</f>
        <v/>
      </c>
      <c r="N1220" s="9">
        <f>IF(ISNA(MATCH(1211,'Transfer Engine'!$C$2:$C$1960,0)),"",INDEX('Compliance Database'!$N$2:$N$1960,MATCH(1211,'Transfer Engine'!$C$2:$C$1960,0)))</f>
        <v/>
      </c>
      <c r="O1220" s="9">
        <f>IF(ISNA(MATCH(1211,'Transfer Engine'!$C$2:$C$1960,0)),"",INDEX('Compliance Database'!$O$2:$O$1960,MATCH(1211,'Transfer Engine'!$C$2:$C$1960,0)))</f>
        <v/>
      </c>
      <c r="P1220" s="8">
        <f>IF(ISNA(MATCH(1211,'Transfer Engine'!$C$2:$C$1960,0)),"",HYPERLINK("#Acts!A"&amp;INDEX('Compliance Database'!$P$2:$P$1960,MATCH(1211,'Transfer Engine'!$C$2:$C$1960,0)),"Go to Act"))</f>
        <v/>
      </c>
    </row>
    <row r="1221" ht="158" customHeight="1">
      <c r="A1221" s="8">
        <f>IF(ISNA(MATCH(1212,'Transfer Engine'!$C$2:$C$1960,0)),"",INDEX('Compliance Database'!$A$2:$A$1960,MATCH(1212,'Transfer Engine'!$C$2:$C$1960,0)))</f>
        <v/>
      </c>
      <c r="B1221" s="8">
        <f>IF(ISNA(MATCH(1212,'Transfer Engine'!$C$2:$C$1960,0)),"",INDEX('Compliance Database'!$B$2:$B$1960,MATCH(1212,'Transfer Engine'!$C$2:$C$1960,0)))</f>
        <v/>
      </c>
      <c r="C1221" s="8">
        <f>IF(ISNA(MATCH(1212,'Transfer Engine'!$C$2:$C$1960,0)),"",INDEX('Compliance Database'!$C$2:$C$1960,MATCH(1212,'Transfer Engine'!$C$2:$C$1960,0)))</f>
        <v/>
      </c>
      <c r="D1221" s="9">
        <f>IF(ISNA(MATCH(1212,'Transfer Engine'!$C$2:$C$1960,0)),"",INDEX('Compliance Database'!$D$2:$D$1960,MATCH(1212,'Transfer Engine'!$C$2:$C$1960,0)))</f>
        <v/>
      </c>
      <c r="E1221" s="8">
        <f>IF(ISNA(MATCH(1212,'Transfer Engine'!$C$2:$C$1960,0)),"",INDEX('Compliance Database'!$E$2:$E$1960,MATCH(1212,'Transfer Engine'!$C$2:$C$1960,0)))</f>
        <v/>
      </c>
      <c r="F1221" s="8">
        <f>IF(ISNA(MATCH(1212,'Transfer Engine'!$C$2:$C$1960,0)),"",INDEX('Compliance Database'!$F$2:$F$1960,MATCH(1212,'Transfer Engine'!$C$2:$C$1960,0)))</f>
        <v/>
      </c>
      <c r="G1221" s="8">
        <f>IF(ISNA(MATCH(1212,'Transfer Engine'!$C$2:$C$1960,0)),"",INDEX('Compliance Database'!$G$2:$G$1960,MATCH(1212,'Transfer Engine'!$C$2:$C$1960,0)))</f>
        <v/>
      </c>
      <c r="H1221" s="9">
        <f>IF(ISNA(MATCH(1212,'Transfer Engine'!$C$2:$C$1960,0)),"",INDEX('Compliance Database'!$H$2:$H$1960,MATCH(1212,'Transfer Engine'!$C$2:$C$1960,0)))</f>
        <v/>
      </c>
      <c r="I1221" s="9">
        <f>IF(ISNA(MATCH(1212,'Transfer Engine'!$C$2:$C$1960,0)),"",INDEX('Compliance Database'!$I$2:$I$1960,MATCH(1212,'Transfer Engine'!$C$2:$C$1960,0)))</f>
        <v/>
      </c>
      <c r="J1221" s="8">
        <f>IF(ISNA(MATCH(1212,'Transfer Engine'!$C$2:$C$1960,0)),"",INDEX('Compliance Database'!$J$2:$J$1960,MATCH(1212,'Transfer Engine'!$C$2:$C$1960,0)))</f>
        <v/>
      </c>
      <c r="K1221" s="9">
        <f>IF(ISNA(MATCH(1212,'Transfer Engine'!$C$2:$C$1960,0)),"",INDEX('Compliance Database'!$K$2:$K$1960,MATCH(1212,'Transfer Engine'!$C$2:$C$1960,0)))</f>
        <v/>
      </c>
      <c r="L1221" s="9">
        <f>IF(ISNA(MATCH(1212,'Transfer Engine'!$C$2:$C$1960,0)),"",INDEX('Compliance Database'!$L$2:$L$1960,MATCH(1212,'Transfer Engine'!$C$2:$C$1960,0)))</f>
        <v/>
      </c>
      <c r="M1221" s="9">
        <f>IF(ISNA(MATCH(1212,'Transfer Engine'!$C$2:$C$1960,0)),"",INDEX('Compliance Database'!$M$2:$M$1960,MATCH(1212,'Transfer Engine'!$C$2:$C$1960,0)))</f>
        <v/>
      </c>
      <c r="N1221" s="9">
        <f>IF(ISNA(MATCH(1212,'Transfer Engine'!$C$2:$C$1960,0)),"",INDEX('Compliance Database'!$N$2:$N$1960,MATCH(1212,'Transfer Engine'!$C$2:$C$1960,0)))</f>
        <v/>
      </c>
      <c r="O1221" s="9">
        <f>IF(ISNA(MATCH(1212,'Transfer Engine'!$C$2:$C$1960,0)),"",INDEX('Compliance Database'!$O$2:$O$1960,MATCH(1212,'Transfer Engine'!$C$2:$C$1960,0)))</f>
        <v/>
      </c>
      <c r="P1221" s="8">
        <f>IF(ISNA(MATCH(1212,'Transfer Engine'!$C$2:$C$1960,0)),"",HYPERLINK("#Acts!A"&amp;INDEX('Compliance Database'!$P$2:$P$1960,MATCH(1212,'Transfer Engine'!$C$2:$C$1960,0)),"Go to Act"))</f>
        <v/>
      </c>
    </row>
    <row r="1222" ht="158" customHeight="1">
      <c r="A1222" s="8">
        <f>IF(ISNA(MATCH(1213,'Transfer Engine'!$C$2:$C$1960,0)),"",INDEX('Compliance Database'!$A$2:$A$1960,MATCH(1213,'Transfer Engine'!$C$2:$C$1960,0)))</f>
        <v/>
      </c>
      <c r="B1222" s="8">
        <f>IF(ISNA(MATCH(1213,'Transfer Engine'!$C$2:$C$1960,0)),"",INDEX('Compliance Database'!$B$2:$B$1960,MATCH(1213,'Transfer Engine'!$C$2:$C$1960,0)))</f>
        <v/>
      </c>
      <c r="C1222" s="8">
        <f>IF(ISNA(MATCH(1213,'Transfer Engine'!$C$2:$C$1960,0)),"",INDEX('Compliance Database'!$C$2:$C$1960,MATCH(1213,'Transfer Engine'!$C$2:$C$1960,0)))</f>
        <v/>
      </c>
      <c r="D1222" s="9">
        <f>IF(ISNA(MATCH(1213,'Transfer Engine'!$C$2:$C$1960,0)),"",INDEX('Compliance Database'!$D$2:$D$1960,MATCH(1213,'Transfer Engine'!$C$2:$C$1960,0)))</f>
        <v/>
      </c>
      <c r="E1222" s="8">
        <f>IF(ISNA(MATCH(1213,'Transfer Engine'!$C$2:$C$1960,0)),"",INDEX('Compliance Database'!$E$2:$E$1960,MATCH(1213,'Transfer Engine'!$C$2:$C$1960,0)))</f>
        <v/>
      </c>
      <c r="F1222" s="8">
        <f>IF(ISNA(MATCH(1213,'Transfer Engine'!$C$2:$C$1960,0)),"",INDEX('Compliance Database'!$F$2:$F$1960,MATCH(1213,'Transfer Engine'!$C$2:$C$1960,0)))</f>
        <v/>
      </c>
      <c r="G1222" s="8">
        <f>IF(ISNA(MATCH(1213,'Transfer Engine'!$C$2:$C$1960,0)),"",INDEX('Compliance Database'!$G$2:$G$1960,MATCH(1213,'Transfer Engine'!$C$2:$C$1960,0)))</f>
        <v/>
      </c>
      <c r="H1222" s="9">
        <f>IF(ISNA(MATCH(1213,'Transfer Engine'!$C$2:$C$1960,0)),"",INDEX('Compliance Database'!$H$2:$H$1960,MATCH(1213,'Transfer Engine'!$C$2:$C$1960,0)))</f>
        <v/>
      </c>
      <c r="I1222" s="9">
        <f>IF(ISNA(MATCH(1213,'Transfer Engine'!$C$2:$C$1960,0)),"",INDEX('Compliance Database'!$I$2:$I$1960,MATCH(1213,'Transfer Engine'!$C$2:$C$1960,0)))</f>
        <v/>
      </c>
      <c r="J1222" s="8">
        <f>IF(ISNA(MATCH(1213,'Transfer Engine'!$C$2:$C$1960,0)),"",INDEX('Compliance Database'!$J$2:$J$1960,MATCH(1213,'Transfer Engine'!$C$2:$C$1960,0)))</f>
        <v/>
      </c>
      <c r="K1222" s="9">
        <f>IF(ISNA(MATCH(1213,'Transfer Engine'!$C$2:$C$1960,0)),"",INDEX('Compliance Database'!$K$2:$K$1960,MATCH(1213,'Transfer Engine'!$C$2:$C$1960,0)))</f>
        <v/>
      </c>
      <c r="L1222" s="9">
        <f>IF(ISNA(MATCH(1213,'Transfer Engine'!$C$2:$C$1960,0)),"",INDEX('Compliance Database'!$L$2:$L$1960,MATCH(1213,'Transfer Engine'!$C$2:$C$1960,0)))</f>
        <v/>
      </c>
      <c r="M1222" s="9">
        <f>IF(ISNA(MATCH(1213,'Transfer Engine'!$C$2:$C$1960,0)),"",INDEX('Compliance Database'!$M$2:$M$1960,MATCH(1213,'Transfer Engine'!$C$2:$C$1960,0)))</f>
        <v/>
      </c>
      <c r="N1222" s="9">
        <f>IF(ISNA(MATCH(1213,'Transfer Engine'!$C$2:$C$1960,0)),"",INDEX('Compliance Database'!$N$2:$N$1960,MATCH(1213,'Transfer Engine'!$C$2:$C$1960,0)))</f>
        <v/>
      </c>
      <c r="O1222" s="9">
        <f>IF(ISNA(MATCH(1213,'Transfer Engine'!$C$2:$C$1960,0)),"",INDEX('Compliance Database'!$O$2:$O$1960,MATCH(1213,'Transfer Engine'!$C$2:$C$1960,0)))</f>
        <v/>
      </c>
      <c r="P1222" s="8">
        <f>IF(ISNA(MATCH(1213,'Transfer Engine'!$C$2:$C$1960,0)),"",HYPERLINK("#Acts!A"&amp;INDEX('Compliance Database'!$P$2:$P$1960,MATCH(1213,'Transfer Engine'!$C$2:$C$1960,0)),"Go to Act"))</f>
        <v/>
      </c>
    </row>
    <row r="1223" ht="158" customHeight="1">
      <c r="A1223" s="8">
        <f>IF(ISNA(MATCH(1214,'Transfer Engine'!$C$2:$C$1960,0)),"",INDEX('Compliance Database'!$A$2:$A$1960,MATCH(1214,'Transfer Engine'!$C$2:$C$1960,0)))</f>
        <v/>
      </c>
      <c r="B1223" s="8">
        <f>IF(ISNA(MATCH(1214,'Transfer Engine'!$C$2:$C$1960,0)),"",INDEX('Compliance Database'!$B$2:$B$1960,MATCH(1214,'Transfer Engine'!$C$2:$C$1960,0)))</f>
        <v/>
      </c>
      <c r="C1223" s="8">
        <f>IF(ISNA(MATCH(1214,'Transfer Engine'!$C$2:$C$1960,0)),"",INDEX('Compliance Database'!$C$2:$C$1960,MATCH(1214,'Transfer Engine'!$C$2:$C$1960,0)))</f>
        <v/>
      </c>
      <c r="D1223" s="9">
        <f>IF(ISNA(MATCH(1214,'Transfer Engine'!$C$2:$C$1960,0)),"",INDEX('Compliance Database'!$D$2:$D$1960,MATCH(1214,'Transfer Engine'!$C$2:$C$1960,0)))</f>
        <v/>
      </c>
      <c r="E1223" s="8">
        <f>IF(ISNA(MATCH(1214,'Transfer Engine'!$C$2:$C$1960,0)),"",INDEX('Compliance Database'!$E$2:$E$1960,MATCH(1214,'Transfer Engine'!$C$2:$C$1960,0)))</f>
        <v/>
      </c>
      <c r="F1223" s="8">
        <f>IF(ISNA(MATCH(1214,'Transfer Engine'!$C$2:$C$1960,0)),"",INDEX('Compliance Database'!$F$2:$F$1960,MATCH(1214,'Transfer Engine'!$C$2:$C$1960,0)))</f>
        <v/>
      </c>
      <c r="G1223" s="8">
        <f>IF(ISNA(MATCH(1214,'Transfer Engine'!$C$2:$C$1960,0)),"",INDEX('Compliance Database'!$G$2:$G$1960,MATCH(1214,'Transfer Engine'!$C$2:$C$1960,0)))</f>
        <v/>
      </c>
      <c r="H1223" s="9">
        <f>IF(ISNA(MATCH(1214,'Transfer Engine'!$C$2:$C$1960,0)),"",INDEX('Compliance Database'!$H$2:$H$1960,MATCH(1214,'Transfer Engine'!$C$2:$C$1960,0)))</f>
        <v/>
      </c>
      <c r="I1223" s="9">
        <f>IF(ISNA(MATCH(1214,'Transfer Engine'!$C$2:$C$1960,0)),"",INDEX('Compliance Database'!$I$2:$I$1960,MATCH(1214,'Transfer Engine'!$C$2:$C$1960,0)))</f>
        <v/>
      </c>
      <c r="J1223" s="8">
        <f>IF(ISNA(MATCH(1214,'Transfer Engine'!$C$2:$C$1960,0)),"",INDEX('Compliance Database'!$J$2:$J$1960,MATCH(1214,'Transfer Engine'!$C$2:$C$1960,0)))</f>
        <v/>
      </c>
      <c r="K1223" s="9">
        <f>IF(ISNA(MATCH(1214,'Transfer Engine'!$C$2:$C$1960,0)),"",INDEX('Compliance Database'!$K$2:$K$1960,MATCH(1214,'Transfer Engine'!$C$2:$C$1960,0)))</f>
        <v/>
      </c>
      <c r="L1223" s="9">
        <f>IF(ISNA(MATCH(1214,'Transfer Engine'!$C$2:$C$1960,0)),"",INDEX('Compliance Database'!$L$2:$L$1960,MATCH(1214,'Transfer Engine'!$C$2:$C$1960,0)))</f>
        <v/>
      </c>
      <c r="M1223" s="9">
        <f>IF(ISNA(MATCH(1214,'Transfer Engine'!$C$2:$C$1960,0)),"",INDEX('Compliance Database'!$M$2:$M$1960,MATCH(1214,'Transfer Engine'!$C$2:$C$1960,0)))</f>
        <v/>
      </c>
      <c r="N1223" s="9">
        <f>IF(ISNA(MATCH(1214,'Transfer Engine'!$C$2:$C$1960,0)),"",INDEX('Compliance Database'!$N$2:$N$1960,MATCH(1214,'Transfer Engine'!$C$2:$C$1960,0)))</f>
        <v/>
      </c>
      <c r="O1223" s="9">
        <f>IF(ISNA(MATCH(1214,'Transfer Engine'!$C$2:$C$1960,0)),"",INDEX('Compliance Database'!$O$2:$O$1960,MATCH(1214,'Transfer Engine'!$C$2:$C$1960,0)))</f>
        <v/>
      </c>
      <c r="P1223" s="8">
        <f>IF(ISNA(MATCH(1214,'Transfer Engine'!$C$2:$C$1960,0)),"",HYPERLINK("#Acts!A"&amp;INDEX('Compliance Database'!$P$2:$P$1960,MATCH(1214,'Transfer Engine'!$C$2:$C$1960,0)),"Go to Act"))</f>
        <v/>
      </c>
    </row>
    <row r="1224" ht="158" customHeight="1">
      <c r="A1224" s="8">
        <f>IF(ISNA(MATCH(1215,'Transfer Engine'!$C$2:$C$1960,0)),"",INDEX('Compliance Database'!$A$2:$A$1960,MATCH(1215,'Transfer Engine'!$C$2:$C$1960,0)))</f>
        <v/>
      </c>
      <c r="B1224" s="8">
        <f>IF(ISNA(MATCH(1215,'Transfer Engine'!$C$2:$C$1960,0)),"",INDEX('Compliance Database'!$B$2:$B$1960,MATCH(1215,'Transfer Engine'!$C$2:$C$1960,0)))</f>
        <v/>
      </c>
      <c r="C1224" s="8">
        <f>IF(ISNA(MATCH(1215,'Transfer Engine'!$C$2:$C$1960,0)),"",INDEX('Compliance Database'!$C$2:$C$1960,MATCH(1215,'Transfer Engine'!$C$2:$C$1960,0)))</f>
        <v/>
      </c>
      <c r="D1224" s="9">
        <f>IF(ISNA(MATCH(1215,'Transfer Engine'!$C$2:$C$1960,0)),"",INDEX('Compliance Database'!$D$2:$D$1960,MATCH(1215,'Transfer Engine'!$C$2:$C$1960,0)))</f>
        <v/>
      </c>
      <c r="E1224" s="8">
        <f>IF(ISNA(MATCH(1215,'Transfer Engine'!$C$2:$C$1960,0)),"",INDEX('Compliance Database'!$E$2:$E$1960,MATCH(1215,'Transfer Engine'!$C$2:$C$1960,0)))</f>
        <v/>
      </c>
      <c r="F1224" s="8">
        <f>IF(ISNA(MATCH(1215,'Transfer Engine'!$C$2:$C$1960,0)),"",INDEX('Compliance Database'!$F$2:$F$1960,MATCH(1215,'Transfer Engine'!$C$2:$C$1960,0)))</f>
        <v/>
      </c>
      <c r="G1224" s="8">
        <f>IF(ISNA(MATCH(1215,'Transfer Engine'!$C$2:$C$1960,0)),"",INDEX('Compliance Database'!$G$2:$G$1960,MATCH(1215,'Transfer Engine'!$C$2:$C$1960,0)))</f>
        <v/>
      </c>
      <c r="H1224" s="9">
        <f>IF(ISNA(MATCH(1215,'Transfer Engine'!$C$2:$C$1960,0)),"",INDEX('Compliance Database'!$H$2:$H$1960,MATCH(1215,'Transfer Engine'!$C$2:$C$1960,0)))</f>
        <v/>
      </c>
      <c r="I1224" s="9">
        <f>IF(ISNA(MATCH(1215,'Transfer Engine'!$C$2:$C$1960,0)),"",INDEX('Compliance Database'!$I$2:$I$1960,MATCH(1215,'Transfer Engine'!$C$2:$C$1960,0)))</f>
        <v/>
      </c>
      <c r="J1224" s="8">
        <f>IF(ISNA(MATCH(1215,'Transfer Engine'!$C$2:$C$1960,0)),"",INDEX('Compliance Database'!$J$2:$J$1960,MATCH(1215,'Transfer Engine'!$C$2:$C$1960,0)))</f>
        <v/>
      </c>
      <c r="K1224" s="9">
        <f>IF(ISNA(MATCH(1215,'Transfer Engine'!$C$2:$C$1960,0)),"",INDEX('Compliance Database'!$K$2:$K$1960,MATCH(1215,'Transfer Engine'!$C$2:$C$1960,0)))</f>
        <v/>
      </c>
      <c r="L1224" s="9">
        <f>IF(ISNA(MATCH(1215,'Transfer Engine'!$C$2:$C$1960,0)),"",INDEX('Compliance Database'!$L$2:$L$1960,MATCH(1215,'Transfer Engine'!$C$2:$C$1960,0)))</f>
        <v/>
      </c>
      <c r="M1224" s="9">
        <f>IF(ISNA(MATCH(1215,'Transfer Engine'!$C$2:$C$1960,0)),"",INDEX('Compliance Database'!$M$2:$M$1960,MATCH(1215,'Transfer Engine'!$C$2:$C$1960,0)))</f>
        <v/>
      </c>
      <c r="N1224" s="9">
        <f>IF(ISNA(MATCH(1215,'Transfer Engine'!$C$2:$C$1960,0)),"",INDEX('Compliance Database'!$N$2:$N$1960,MATCH(1215,'Transfer Engine'!$C$2:$C$1960,0)))</f>
        <v/>
      </c>
      <c r="O1224" s="9">
        <f>IF(ISNA(MATCH(1215,'Transfer Engine'!$C$2:$C$1960,0)),"",INDEX('Compliance Database'!$O$2:$O$1960,MATCH(1215,'Transfer Engine'!$C$2:$C$1960,0)))</f>
        <v/>
      </c>
      <c r="P1224" s="8">
        <f>IF(ISNA(MATCH(1215,'Transfer Engine'!$C$2:$C$1960,0)),"",HYPERLINK("#Acts!A"&amp;INDEX('Compliance Database'!$P$2:$P$1960,MATCH(1215,'Transfer Engine'!$C$2:$C$1960,0)),"Go to Act"))</f>
        <v/>
      </c>
    </row>
    <row r="1225" ht="158" customHeight="1">
      <c r="A1225" s="8">
        <f>IF(ISNA(MATCH(1216,'Transfer Engine'!$C$2:$C$1960,0)),"",INDEX('Compliance Database'!$A$2:$A$1960,MATCH(1216,'Transfer Engine'!$C$2:$C$1960,0)))</f>
        <v/>
      </c>
      <c r="B1225" s="8">
        <f>IF(ISNA(MATCH(1216,'Transfer Engine'!$C$2:$C$1960,0)),"",INDEX('Compliance Database'!$B$2:$B$1960,MATCH(1216,'Transfer Engine'!$C$2:$C$1960,0)))</f>
        <v/>
      </c>
      <c r="C1225" s="8">
        <f>IF(ISNA(MATCH(1216,'Transfer Engine'!$C$2:$C$1960,0)),"",INDEX('Compliance Database'!$C$2:$C$1960,MATCH(1216,'Transfer Engine'!$C$2:$C$1960,0)))</f>
        <v/>
      </c>
      <c r="D1225" s="9">
        <f>IF(ISNA(MATCH(1216,'Transfer Engine'!$C$2:$C$1960,0)),"",INDEX('Compliance Database'!$D$2:$D$1960,MATCH(1216,'Transfer Engine'!$C$2:$C$1960,0)))</f>
        <v/>
      </c>
      <c r="E1225" s="8">
        <f>IF(ISNA(MATCH(1216,'Transfer Engine'!$C$2:$C$1960,0)),"",INDEX('Compliance Database'!$E$2:$E$1960,MATCH(1216,'Transfer Engine'!$C$2:$C$1960,0)))</f>
        <v/>
      </c>
      <c r="F1225" s="8">
        <f>IF(ISNA(MATCH(1216,'Transfer Engine'!$C$2:$C$1960,0)),"",INDEX('Compliance Database'!$F$2:$F$1960,MATCH(1216,'Transfer Engine'!$C$2:$C$1960,0)))</f>
        <v/>
      </c>
      <c r="G1225" s="8">
        <f>IF(ISNA(MATCH(1216,'Transfer Engine'!$C$2:$C$1960,0)),"",INDEX('Compliance Database'!$G$2:$G$1960,MATCH(1216,'Transfer Engine'!$C$2:$C$1960,0)))</f>
        <v/>
      </c>
      <c r="H1225" s="9">
        <f>IF(ISNA(MATCH(1216,'Transfer Engine'!$C$2:$C$1960,0)),"",INDEX('Compliance Database'!$H$2:$H$1960,MATCH(1216,'Transfer Engine'!$C$2:$C$1960,0)))</f>
        <v/>
      </c>
      <c r="I1225" s="9">
        <f>IF(ISNA(MATCH(1216,'Transfer Engine'!$C$2:$C$1960,0)),"",INDEX('Compliance Database'!$I$2:$I$1960,MATCH(1216,'Transfer Engine'!$C$2:$C$1960,0)))</f>
        <v/>
      </c>
      <c r="J1225" s="8">
        <f>IF(ISNA(MATCH(1216,'Transfer Engine'!$C$2:$C$1960,0)),"",INDEX('Compliance Database'!$J$2:$J$1960,MATCH(1216,'Transfer Engine'!$C$2:$C$1960,0)))</f>
        <v/>
      </c>
      <c r="K1225" s="9">
        <f>IF(ISNA(MATCH(1216,'Transfer Engine'!$C$2:$C$1960,0)),"",INDEX('Compliance Database'!$K$2:$K$1960,MATCH(1216,'Transfer Engine'!$C$2:$C$1960,0)))</f>
        <v/>
      </c>
      <c r="L1225" s="9">
        <f>IF(ISNA(MATCH(1216,'Transfer Engine'!$C$2:$C$1960,0)),"",INDEX('Compliance Database'!$L$2:$L$1960,MATCH(1216,'Transfer Engine'!$C$2:$C$1960,0)))</f>
        <v/>
      </c>
      <c r="M1225" s="9">
        <f>IF(ISNA(MATCH(1216,'Transfer Engine'!$C$2:$C$1960,0)),"",INDEX('Compliance Database'!$M$2:$M$1960,MATCH(1216,'Transfer Engine'!$C$2:$C$1960,0)))</f>
        <v/>
      </c>
      <c r="N1225" s="9">
        <f>IF(ISNA(MATCH(1216,'Transfer Engine'!$C$2:$C$1960,0)),"",INDEX('Compliance Database'!$N$2:$N$1960,MATCH(1216,'Transfer Engine'!$C$2:$C$1960,0)))</f>
        <v/>
      </c>
      <c r="O1225" s="9">
        <f>IF(ISNA(MATCH(1216,'Transfer Engine'!$C$2:$C$1960,0)),"",INDEX('Compliance Database'!$O$2:$O$1960,MATCH(1216,'Transfer Engine'!$C$2:$C$1960,0)))</f>
        <v/>
      </c>
      <c r="P1225" s="8">
        <f>IF(ISNA(MATCH(1216,'Transfer Engine'!$C$2:$C$1960,0)),"",HYPERLINK("#Acts!A"&amp;INDEX('Compliance Database'!$P$2:$P$1960,MATCH(1216,'Transfer Engine'!$C$2:$C$1960,0)),"Go to Act"))</f>
        <v/>
      </c>
    </row>
    <row r="1226" ht="158" customHeight="1">
      <c r="A1226" s="8">
        <f>IF(ISNA(MATCH(1217,'Transfer Engine'!$C$2:$C$1960,0)),"",INDEX('Compliance Database'!$A$2:$A$1960,MATCH(1217,'Transfer Engine'!$C$2:$C$1960,0)))</f>
        <v/>
      </c>
      <c r="B1226" s="8">
        <f>IF(ISNA(MATCH(1217,'Transfer Engine'!$C$2:$C$1960,0)),"",INDEX('Compliance Database'!$B$2:$B$1960,MATCH(1217,'Transfer Engine'!$C$2:$C$1960,0)))</f>
        <v/>
      </c>
      <c r="C1226" s="8">
        <f>IF(ISNA(MATCH(1217,'Transfer Engine'!$C$2:$C$1960,0)),"",INDEX('Compliance Database'!$C$2:$C$1960,MATCH(1217,'Transfer Engine'!$C$2:$C$1960,0)))</f>
        <v/>
      </c>
      <c r="D1226" s="9">
        <f>IF(ISNA(MATCH(1217,'Transfer Engine'!$C$2:$C$1960,0)),"",INDEX('Compliance Database'!$D$2:$D$1960,MATCH(1217,'Transfer Engine'!$C$2:$C$1960,0)))</f>
        <v/>
      </c>
      <c r="E1226" s="8">
        <f>IF(ISNA(MATCH(1217,'Transfer Engine'!$C$2:$C$1960,0)),"",INDEX('Compliance Database'!$E$2:$E$1960,MATCH(1217,'Transfer Engine'!$C$2:$C$1960,0)))</f>
        <v/>
      </c>
      <c r="F1226" s="8">
        <f>IF(ISNA(MATCH(1217,'Transfer Engine'!$C$2:$C$1960,0)),"",INDEX('Compliance Database'!$F$2:$F$1960,MATCH(1217,'Transfer Engine'!$C$2:$C$1960,0)))</f>
        <v/>
      </c>
      <c r="G1226" s="8">
        <f>IF(ISNA(MATCH(1217,'Transfer Engine'!$C$2:$C$1960,0)),"",INDEX('Compliance Database'!$G$2:$G$1960,MATCH(1217,'Transfer Engine'!$C$2:$C$1960,0)))</f>
        <v/>
      </c>
      <c r="H1226" s="9">
        <f>IF(ISNA(MATCH(1217,'Transfer Engine'!$C$2:$C$1960,0)),"",INDEX('Compliance Database'!$H$2:$H$1960,MATCH(1217,'Transfer Engine'!$C$2:$C$1960,0)))</f>
        <v/>
      </c>
      <c r="I1226" s="9">
        <f>IF(ISNA(MATCH(1217,'Transfer Engine'!$C$2:$C$1960,0)),"",INDEX('Compliance Database'!$I$2:$I$1960,MATCH(1217,'Transfer Engine'!$C$2:$C$1960,0)))</f>
        <v/>
      </c>
      <c r="J1226" s="8">
        <f>IF(ISNA(MATCH(1217,'Transfer Engine'!$C$2:$C$1960,0)),"",INDEX('Compliance Database'!$J$2:$J$1960,MATCH(1217,'Transfer Engine'!$C$2:$C$1960,0)))</f>
        <v/>
      </c>
      <c r="K1226" s="9">
        <f>IF(ISNA(MATCH(1217,'Transfer Engine'!$C$2:$C$1960,0)),"",INDEX('Compliance Database'!$K$2:$K$1960,MATCH(1217,'Transfer Engine'!$C$2:$C$1960,0)))</f>
        <v/>
      </c>
      <c r="L1226" s="9">
        <f>IF(ISNA(MATCH(1217,'Transfer Engine'!$C$2:$C$1960,0)),"",INDEX('Compliance Database'!$L$2:$L$1960,MATCH(1217,'Transfer Engine'!$C$2:$C$1960,0)))</f>
        <v/>
      </c>
      <c r="M1226" s="9">
        <f>IF(ISNA(MATCH(1217,'Transfer Engine'!$C$2:$C$1960,0)),"",INDEX('Compliance Database'!$M$2:$M$1960,MATCH(1217,'Transfer Engine'!$C$2:$C$1960,0)))</f>
        <v/>
      </c>
      <c r="N1226" s="9">
        <f>IF(ISNA(MATCH(1217,'Transfer Engine'!$C$2:$C$1960,0)),"",INDEX('Compliance Database'!$N$2:$N$1960,MATCH(1217,'Transfer Engine'!$C$2:$C$1960,0)))</f>
        <v/>
      </c>
      <c r="O1226" s="9">
        <f>IF(ISNA(MATCH(1217,'Transfer Engine'!$C$2:$C$1960,0)),"",INDEX('Compliance Database'!$O$2:$O$1960,MATCH(1217,'Transfer Engine'!$C$2:$C$1960,0)))</f>
        <v/>
      </c>
      <c r="P1226" s="8">
        <f>IF(ISNA(MATCH(1217,'Transfer Engine'!$C$2:$C$1960,0)),"",HYPERLINK("#Acts!A"&amp;INDEX('Compliance Database'!$P$2:$P$1960,MATCH(1217,'Transfer Engine'!$C$2:$C$1960,0)),"Go to Act"))</f>
        <v/>
      </c>
    </row>
    <row r="1227" ht="158" customHeight="1">
      <c r="A1227" s="8">
        <f>IF(ISNA(MATCH(1218,'Transfer Engine'!$C$2:$C$1960,0)),"",INDEX('Compliance Database'!$A$2:$A$1960,MATCH(1218,'Transfer Engine'!$C$2:$C$1960,0)))</f>
        <v/>
      </c>
      <c r="B1227" s="8">
        <f>IF(ISNA(MATCH(1218,'Transfer Engine'!$C$2:$C$1960,0)),"",INDEX('Compliance Database'!$B$2:$B$1960,MATCH(1218,'Transfer Engine'!$C$2:$C$1960,0)))</f>
        <v/>
      </c>
      <c r="C1227" s="8">
        <f>IF(ISNA(MATCH(1218,'Transfer Engine'!$C$2:$C$1960,0)),"",INDEX('Compliance Database'!$C$2:$C$1960,MATCH(1218,'Transfer Engine'!$C$2:$C$1960,0)))</f>
        <v/>
      </c>
      <c r="D1227" s="9">
        <f>IF(ISNA(MATCH(1218,'Transfer Engine'!$C$2:$C$1960,0)),"",INDEX('Compliance Database'!$D$2:$D$1960,MATCH(1218,'Transfer Engine'!$C$2:$C$1960,0)))</f>
        <v/>
      </c>
      <c r="E1227" s="8">
        <f>IF(ISNA(MATCH(1218,'Transfer Engine'!$C$2:$C$1960,0)),"",INDEX('Compliance Database'!$E$2:$E$1960,MATCH(1218,'Transfer Engine'!$C$2:$C$1960,0)))</f>
        <v/>
      </c>
      <c r="F1227" s="8">
        <f>IF(ISNA(MATCH(1218,'Transfer Engine'!$C$2:$C$1960,0)),"",INDEX('Compliance Database'!$F$2:$F$1960,MATCH(1218,'Transfer Engine'!$C$2:$C$1960,0)))</f>
        <v/>
      </c>
      <c r="G1227" s="8">
        <f>IF(ISNA(MATCH(1218,'Transfer Engine'!$C$2:$C$1960,0)),"",INDEX('Compliance Database'!$G$2:$G$1960,MATCH(1218,'Transfer Engine'!$C$2:$C$1960,0)))</f>
        <v/>
      </c>
      <c r="H1227" s="9">
        <f>IF(ISNA(MATCH(1218,'Transfer Engine'!$C$2:$C$1960,0)),"",INDEX('Compliance Database'!$H$2:$H$1960,MATCH(1218,'Transfer Engine'!$C$2:$C$1960,0)))</f>
        <v/>
      </c>
      <c r="I1227" s="9">
        <f>IF(ISNA(MATCH(1218,'Transfer Engine'!$C$2:$C$1960,0)),"",INDEX('Compliance Database'!$I$2:$I$1960,MATCH(1218,'Transfer Engine'!$C$2:$C$1960,0)))</f>
        <v/>
      </c>
      <c r="J1227" s="8">
        <f>IF(ISNA(MATCH(1218,'Transfer Engine'!$C$2:$C$1960,0)),"",INDEX('Compliance Database'!$J$2:$J$1960,MATCH(1218,'Transfer Engine'!$C$2:$C$1960,0)))</f>
        <v/>
      </c>
      <c r="K1227" s="9">
        <f>IF(ISNA(MATCH(1218,'Transfer Engine'!$C$2:$C$1960,0)),"",INDEX('Compliance Database'!$K$2:$K$1960,MATCH(1218,'Transfer Engine'!$C$2:$C$1960,0)))</f>
        <v/>
      </c>
      <c r="L1227" s="9">
        <f>IF(ISNA(MATCH(1218,'Transfer Engine'!$C$2:$C$1960,0)),"",INDEX('Compliance Database'!$L$2:$L$1960,MATCH(1218,'Transfer Engine'!$C$2:$C$1960,0)))</f>
        <v/>
      </c>
      <c r="M1227" s="9">
        <f>IF(ISNA(MATCH(1218,'Transfer Engine'!$C$2:$C$1960,0)),"",INDEX('Compliance Database'!$M$2:$M$1960,MATCH(1218,'Transfer Engine'!$C$2:$C$1960,0)))</f>
        <v/>
      </c>
      <c r="N1227" s="9">
        <f>IF(ISNA(MATCH(1218,'Transfer Engine'!$C$2:$C$1960,0)),"",INDEX('Compliance Database'!$N$2:$N$1960,MATCH(1218,'Transfer Engine'!$C$2:$C$1960,0)))</f>
        <v/>
      </c>
      <c r="O1227" s="9">
        <f>IF(ISNA(MATCH(1218,'Transfer Engine'!$C$2:$C$1960,0)),"",INDEX('Compliance Database'!$O$2:$O$1960,MATCH(1218,'Transfer Engine'!$C$2:$C$1960,0)))</f>
        <v/>
      </c>
      <c r="P1227" s="8">
        <f>IF(ISNA(MATCH(1218,'Transfer Engine'!$C$2:$C$1960,0)),"",HYPERLINK("#Acts!A"&amp;INDEX('Compliance Database'!$P$2:$P$1960,MATCH(1218,'Transfer Engine'!$C$2:$C$1960,0)),"Go to Act"))</f>
        <v/>
      </c>
    </row>
    <row r="1228" ht="158" customHeight="1">
      <c r="A1228" s="8">
        <f>IF(ISNA(MATCH(1219,'Transfer Engine'!$C$2:$C$1960,0)),"",INDEX('Compliance Database'!$A$2:$A$1960,MATCH(1219,'Transfer Engine'!$C$2:$C$1960,0)))</f>
        <v/>
      </c>
      <c r="B1228" s="8">
        <f>IF(ISNA(MATCH(1219,'Transfer Engine'!$C$2:$C$1960,0)),"",INDEX('Compliance Database'!$B$2:$B$1960,MATCH(1219,'Transfer Engine'!$C$2:$C$1960,0)))</f>
        <v/>
      </c>
      <c r="C1228" s="8">
        <f>IF(ISNA(MATCH(1219,'Transfer Engine'!$C$2:$C$1960,0)),"",INDEX('Compliance Database'!$C$2:$C$1960,MATCH(1219,'Transfer Engine'!$C$2:$C$1960,0)))</f>
        <v/>
      </c>
      <c r="D1228" s="9">
        <f>IF(ISNA(MATCH(1219,'Transfer Engine'!$C$2:$C$1960,0)),"",INDEX('Compliance Database'!$D$2:$D$1960,MATCH(1219,'Transfer Engine'!$C$2:$C$1960,0)))</f>
        <v/>
      </c>
      <c r="E1228" s="8">
        <f>IF(ISNA(MATCH(1219,'Transfer Engine'!$C$2:$C$1960,0)),"",INDEX('Compliance Database'!$E$2:$E$1960,MATCH(1219,'Transfer Engine'!$C$2:$C$1960,0)))</f>
        <v/>
      </c>
      <c r="F1228" s="8">
        <f>IF(ISNA(MATCH(1219,'Transfer Engine'!$C$2:$C$1960,0)),"",INDEX('Compliance Database'!$F$2:$F$1960,MATCH(1219,'Transfer Engine'!$C$2:$C$1960,0)))</f>
        <v/>
      </c>
      <c r="G1228" s="8">
        <f>IF(ISNA(MATCH(1219,'Transfer Engine'!$C$2:$C$1960,0)),"",INDEX('Compliance Database'!$G$2:$G$1960,MATCH(1219,'Transfer Engine'!$C$2:$C$1960,0)))</f>
        <v/>
      </c>
      <c r="H1228" s="9">
        <f>IF(ISNA(MATCH(1219,'Transfer Engine'!$C$2:$C$1960,0)),"",INDEX('Compliance Database'!$H$2:$H$1960,MATCH(1219,'Transfer Engine'!$C$2:$C$1960,0)))</f>
        <v/>
      </c>
      <c r="I1228" s="9">
        <f>IF(ISNA(MATCH(1219,'Transfer Engine'!$C$2:$C$1960,0)),"",INDEX('Compliance Database'!$I$2:$I$1960,MATCH(1219,'Transfer Engine'!$C$2:$C$1960,0)))</f>
        <v/>
      </c>
      <c r="J1228" s="8">
        <f>IF(ISNA(MATCH(1219,'Transfer Engine'!$C$2:$C$1960,0)),"",INDEX('Compliance Database'!$J$2:$J$1960,MATCH(1219,'Transfer Engine'!$C$2:$C$1960,0)))</f>
        <v/>
      </c>
      <c r="K1228" s="9">
        <f>IF(ISNA(MATCH(1219,'Transfer Engine'!$C$2:$C$1960,0)),"",INDEX('Compliance Database'!$K$2:$K$1960,MATCH(1219,'Transfer Engine'!$C$2:$C$1960,0)))</f>
        <v/>
      </c>
      <c r="L1228" s="9">
        <f>IF(ISNA(MATCH(1219,'Transfer Engine'!$C$2:$C$1960,0)),"",INDEX('Compliance Database'!$L$2:$L$1960,MATCH(1219,'Transfer Engine'!$C$2:$C$1960,0)))</f>
        <v/>
      </c>
      <c r="M1228" s="9">
        <f>IF(ISNA(MATCH(1219,'Transfer Engine'!$C$2:$C$1960,0)),"",INDEX('Compliance Database'!$M$2:$M$1960,MATCH(1219,'Transfer Engine'!$C$2:$C$1960,0)))</f>
        <v/>
      </c>
      <c r="N1228" s="9">
        <f>IF(ISNA(MATCH(1219,'Transfer Engine'!$C$2:$C$1960,0)),"",INDEX('Compliance Database'!$N$2:$N$1960,MATCH(1219,'Transfer Engine'!$C$2:$C$1960,0)))</f>
        <v/>
      </c>
      <c r="O1228" s="9">
        <f>IF(ISNA(MATCH(1219,'Transfer Engine'!$C$2:$C$1960,0)),"",INDEX('Compliance Database'!$O$2:$O$1960,MATCH(1219,'Transfer Engine'!$C$2:$C$1960,0)))</f>
        <v/>
      </c>
      <c r="P1228" s="8">
        <f>IF(ISNA(MATCH(1219,'Transfer Engine'!$C$2:$C$1960,0)),"",HYPERLINK("#Acts!A"&amp;INDEX('Compliance Database'!$P$2:$P$1960,MATCH(1219,'Transfer Engine'!$C$2:$C$1960,0)),"Go to Act"))</f>
        <v/>
      </c>
    </row>
    <row r="1229" ht="158" customHeight="1">
      <c r="A1229" s="8">
        <f>IF(ISNA(MATCH(1220,'Transfer Engine'!$C$2:$C$1960,0)),"",INDEX('Compliance Database'!$A$2:$A$1960,MATCH(1220,'Transfer Engine'!$C$2:$C$1960,0)))</f>
        <v/>
      </c>
      <c r="B1229" s="8">
        <f>IF(ISNA(MATCH(1220,'Transfer Engine'!$C$2:$C$1960,0)),"",INDEX('Compliance Database'!$B$2:$B$1960,MATCH(1220,'Transfer Engine'!$C$2:$C$1960,0)))</f>
        <v/>
      </c>
      <c r="C1229" s="8">
        <f>IF(ISNA(MATCH(1220,'Transfer Engine'!$C$2:$C$1960,0)),"",INDEX('Compliance Database'!$C$2:$C$1960,MATCH(1220,'Transfer Engine'!$C$2:$C$1960,0)))</f>
        <v/>
      </c>
      <c r="D1229" s="9">
        <f>IF(ISNA(MATCH(1220,'Transfer Engine'!$C$2:$C$1960,0)),"",INDEX('Compliance Database'!$D$2:$D$1960,MATCH(1220,'Transfer Engine'!$C$2:$C$1960,0)))</f>
        <v/>
      </c>
      <c r="E1229" s="8">
        <f>IF(ISNA(MATCH(1220,'Transfer Engine'!$C$2:$C$1960,0)),"",INDEX('Compliance Database'!$E$2:$E$1960,MATCH(1220,'Transfer Engine'!$C$2:$C$1960,0)))</f>
        <v/>
      </c>
      <c r="F1229" s="8">
        <f>IF(ISNA(MATCH(1220,'Transfer Engine'!$C$2:$C$1960,0)),"",INDEX('Compliance Database'!$F$2:$F$1960,MATCH(1220,'Transfer Engine'!$C$2:$C$1960,0)))</f>
        <v/>
      </c>
      <c r="G1229" s="8">
        <f>IF(ISNA(MATCH(1220,'Transfer Engine'!$C$2:$C$1960,0)),"",INDEX('Compliance Database'!$G$2:$G$1960,MATCH(1220,'Transfer Engine'!$C$2:$C$1960,0)))</f>
        <v/>
      </c>
      <c r="H1229" s="9">
        <f>IF(ISNA(MATCH(1220,'Transfer Engine'!$C$2:$C$1960,0)),"",INDEX('Compliance Database'!$H$2:$H$1960,MATCH(1220,'Transfer Engine'!$C$2:$C$1960,0)))</f>
        <v/>
      </c>
      <c r="I1229" s="9">
        <f>IF(ISNA(MATCH(1220,'Transfer Engine'!$C$2:$C$1960,0)),"",INDEX('Compliance Database'!$I$2:$I$1960,MATCH(1220,'Transfer Engine'!$C$2:$C$1960,0)))</f>
        <v/>
      </c>
      <c r="J1229" s="8">
        <f>IF(ISNA(MATCH(1220,'Transfer Engine'!$C$2:$C$1960,0)),"",INDEX('Compliance Database'!$J$2:$J$1960,MATCH(1220,'Transfer Engine'!$C$2:$C$1960,0)))</f>
        <v/>
      </c>
      <c r="K1229" s="9">
        <f>IF(ISNA(MATCH(1220,'Transfer Engine'!$C$2:$C$1960,0)),"",INDEX('Compliance Database'!$K$2:$K$1960,MATCH(1220,'Transfer Engine'!$C$2:$C$1960,0)))</f>
        <v/>
      </c>
      <c r="L1229" s="9">
        <f>IF(ISNA(MATCH(1220,'Transfer Engine'!$C$2:$C$1960,0)),"",INDEX('Compliance Database'!$L$2:$L$1960,MATCH(1220,'Transfer Engine'!$C$2:$C$1960,0)))</f>
        <v/>
      </c>
      <c r="M1229" s="9">
        <f>IF(ISNA(MATCH(1220,'Transfer Engine'!$C$2:$C$1960,0)),"",INDEX('Compliance Database'!$M$2:$M$1960,MATCH(1220,'Transfer Engine'!$C$2:$C$1960,0)))</f>
        <v/>
      </c>
      <c r="N1229" s="9">
        <f>IF(ISNA(MATCH(1220,'Transfer Engine'!$C$2:$C$1960,0)),"",INDEX('Compliance Database'!$N$2:$N$1960,MATCH(1220,'Transfer Engine'!$C$2:$C$1960,0)))</f>
        <v/>
      </c>
      <c r="O1229" s="9">
        <f>IF(ISNA(MATCH(1220,'Transfer Engine'!$C$2:$C$1960,0)),"",INDEX('Compliance Database'!$O$2:$O$1960,MATCH(1220,'Transfer Engine'!$C$2:$C$1960,0)))</f>
        <v/>
      </c>
      <c r="P1229" s="8">
        <f>IF(ISNA(MATCH(1220,'Transfer Engine'!$C$2:$C$1960,0)),"",HYPERLINK("#Acts!A"&amp;INDEX('Compliance Database'!$P$2:$P$1960,MATCH(1220,'Transfer Engine'!$C$2:$C$1960,0)),"Go to Act"))</f>
        <v/>
      </c>
    </row>
    <row r="1230" ht="158" customHeight="1">
      <c r="A1230" s="8">
        <f>IF(ISNA(MATCH(1221,'Transfer Engine'!$C$2:$C$1960,0)),"",INDEX('Compliance Database'!$A$2:$A$1960,MATCH(1221,'Transfer Engine'!$C$2:$C$1960,0)))</f>
        <v/>
      </c>
      <c r="B1230" s="8">
        <f>IF(ISNA(MATCH(1221,'Transfer Engine'!$C$2:$C$1960,0)),"",INDEX('Compliance Database'!$B$2:$B$1960,MATCH(1221,'Transfer Engine'!$C$2:$C$1960,0)))</f>
        <v/>
      </c>
      <c r="C1230" s="8">
        <f>IF(ISNA(MATCH(1221,'Transfer Engine'!$C$2:$C$1960,0)),"",INDEX('Compliance Database'!$C$2:$C$1960,MATCH(1221,'Transfer Engine'!$C$2:$C$1960,0)))</f>
        <v/>
      </c>
      <c r="D1230" s="9">
        <f>IF(ISNA(MATCH(1221,'Transfer Engine'!$C$2:$C$1960,0)),"",INDEX('Compliance Database'!$D$2:$D$1960,MATCH(1221,'Transfer Engine'!$C$2:$C$1960,0)))</f>
        <v/>
      </c>
      <c r="E1230" s="8">
        <f>IF(ISNA(MATCH(1221,'Transfer Engine'!$C$2:$C$1960,0)),"",INDEX('Compliance Database'!$E$2:$E$1960,MATCH(1221,'Transfer Engine'!$C$2:$C$1960,0)))</f>
        <v/>
      </c>
      <c r="F1230" s="8">
        <f>IF(ISNA(MATCH(1221,'Transfer Engine'!$C$2:$C$1960,0)),"",INDEX('Compliance Database'!$F$2:$F$1960,MATCH(1221,'Transfer Engine'!$C$2:$C$1960,0)))</f>
        <v/>
      </c>
      <c r="G1230" s="8">
        <f>IF(ISNA(MATCH(1221,'Transfer Engine'!$C$2:$C$1960,0)),"",INDEX('Compliance Database'!$G$2:$G$1960,MATCH(1221,'Transfer Engine'!$C$2:$C$1960,0)))</f>
        <v/>
      </c>
      <c r="H1230" s="9">
        <f>IF(ISNA(MATCH(1221,'Transfer Engine'!$C$2:$C$1960,0)),"",INDEX('Compliance Database'!$H$2:$H$1960,MATCH(1221,'Transfer Engine'!$C$2:$C$1960,0)))</f>
        <v/>
      </c>
      <c r="I1230" s="9">
        <f>IF(ISNA(MATCH(1221,'Transfer Engine'!$C$2:$C$1960,0)),"",INDEX('Compliance Database'!$I$2:$I$1960,MATCH(1221,'Transfer Engine'!$C$2:$C$1960,0)))</f>
        <v/>
      </c>
      <c r="J1230" s="8">
        <f>IF(ISNA(MATCH(1221,'Transfer Engine'!$C$2:$C$1960,0)),"",INDEX('Compliance Database'!$J$2:$J$1960,MATCH(1221,'Transfer Engine'!$C$2:$C$1960,0)))</f>
        <v/>
      </c>
      <c r="K1230" s="9">
        <f>IF(ISNA(MATCH(1221,'Transfer Engine'!$C$2:$C$1960,0)),"",INDEX('Compliance Database'!$K$2:$K$1960,MATCH(1221,'Transfer Engine'!$C$2:$C$1960,0)))</f>
        <v/>
      </c>
      <c r="L1230" s="9">
        <f>IF(ISNA(MATCH(1221,'Transfer Engine'!$C$2:$C$1960,0)),"",INDEX('Compliance Database'!$L$2:$L$1960,MATCH(1221,'Transfer Engine'!$C$2:$C$1960,0)))</f>
        <v/>
      </c>
      <c r="M1230" s="9">
        <f>IF(ISNA(MATCH(1221,'Transfer Engine'!$C$2:$C$1960,0)),"",INDEX('Compliance Database'!$M$2:$M$1960,MATCH(1221,'Transfer Engine'!$C$2:$C$1960,0)))</f>
        <v/>
      </c>
      <c r="N1230" s="9">
        <f>IF(ISNA(MATCH(1221,'Transfer Engine'!$C$2:$C$1960,0)),"",INDEX('Compliance Database'!$N$2:$N$1960,MATCH(1221,'Transfer Engine'!$C$2:$C$1960,0)))</f>
        <v/>
      </c>
      <c r="O1230" s="9">
        <f>IF(ISNA(MATCH(1221,'Transfer Engine'!$C$2:$C$1960,0)),"",INDEX('Compliance Database'!$O$2:$O$1960,MATCH(1221,'Transfer Engine'!$C$2:$C$1960,0)))</f>
        <v/>
      </c>
      <c r="P1230" s="8">
        <f>IF(ISNA(MATCH(1221,'Transfer Engine'!$C$2:$C$1960,0)),"",HYPERLINK("#Acts!A"&amp;INDEX('Compliance Database'!$P$2:$P$1960,MATCH(1221,'Transfer Engine'!$C$2:$C$1960,0)),"Go to Act"))</f>
        <v/>
      </c>
    </row>
    <row r="1231" ht="158" customHeight="1">
      <c r="A1231" s="8">
        <f>IF(ISNA(MATCH(1222,'Transfer Engine'!$C$2:$C$1960,0)),"",INDEX('Compliance Database'!$A$2:$A$1960,MATCH(1222,'Transfer Engine'!$C$2:$C$1960,0)))</f>
        <v/>
      </c>
      <c r="B1231" s="8">
        <f>IF(ISNA(MATCH(1222,'Transfer Engine'!$C$2:$C$1960,0)),"",INDEX('Compliance Database'!$B$2:$B$1960,MATCH(1222,'Transfer Engine'!$C$2:$C$1960,0)))</f>
        <v/>
      </c>
      <c r="C1231" s="8">
        <f>IF(ISNA(MATCH(1222,'Transfer Engine'!$C$2:$C$1960,0)),"",INDEX('Compliance Database'!$C$2:$C$1960,MATCH(1222,'Transfer Engine'!$C$2:$C$1960,0)))</f>
        <v/>
      </c>
      <c r="D1231" s="9">
        <f>IF(ISNA(MATCH(1222,'Transfer Engine'!$C$2:$C$1960,0)),"",INDEX('Compliance Database'!$D$2:$D$1960,MATCH(1222,'Transfer Engine'!$C$2:$C$1960,0)))</f>
        <v/>
      </c>
      <c r="E1231" s="8">
        <f>IF(ISNA(MATCH(1222,'Transfer Engine'!$C$2:$C$1960,0)),"",INDEX('Compliance Database'!$E$2:$E$1960,MATCH(1222,'Transfer Engine'!$C$2:$C$1960,0)))</f>
        <v/>
      </c>
      <c r="F1231" s="8">
        <f>IF(ISNA(MATCH(1222,'Transfer Engine'!$C$2:$C$1960,0)),"",INDEX('Compliance Database'!$F$2:$F$1960,MATCH(1222,'Transfer Engine'!$C$2:$C$1960,0)))</f>
        <v/>
      </c>
      <c r="G1231" s="8">
        <f>IF(ISNA(MATCH(1222,'Transfer Engine'!$C$2:$C$1960,0)),"",INDEX('Compliance Database'!$G$2:$G$1960,MATCH(1222,'Transfer Engine'!$C$2:$C$1960,0)))</f>
        <v/>
      </c>
      <c r="H1231" s="9">
        <f>IF(ISNA(MATCH(1222,'Transfer Engine'!$C$2:$C$1960,0)),"",INDEX('Compliance Database'!$H$2:$H$1960,MATCH(1222,'Transfer Engine'!$C$2:$C$1960,0)))</f>
        <v/>
      </c>
      <c r="I1231" s="9">
        <f>IF(ISNA(MATCH(1222,'Transfer Engine'!$C$2:$C$1960,0)),"",INDEX('Compliance Database'!$I$2:$I$1960,MATCH(1222,'Transfer Engine'!$C$2:$C$1960,0)))</f>
        <v/>
      </c>
      <c r="J1231" s="8">
        <f>IF(ISNA(MATCH(1222,'Transfer Engine'!$C$2:$C$1960,0)),"",INDEX('Compliance Database'!$J$2:$J$1960,MATCH(1222,'Transfer Engine'!$C$2:$C$1960,0)))</f>
        <v/>
      </c>
      <c r="K1231" s="9">
        <f>IF(ISNA(MATCH(1222,'Transfer Engine'!$C$2:$C$1960,0)),"",INDEX('Compliance Database'!$K$2:$K$1960,MATCH(1222,'Transfer Engine'!$C$2:$C$1960,0)))</f>
        <v/>
      </c>
      <c r="L1231" s="9">
        <f>IF(ISNA(MATCH(1222,'Transfer Engine'!$C$2:$C$1960,0)),"",INDEX('Compliance Database'!$L$2:$L$1960,MATCH(1222,'Transfer Engine'!$C$2:$C$1960,0)))</f>
        <v/>
      </c>
      <c r="M1231" s="9">
        <f>IF(ISNA(MATCH(1222,'Transfer Engine'!$C$2:$C$1960,0)),"",INDEX('Compliance Database'!$M$2:$M$1960,MATCH(1222,'Transfer Engine'!$C$2:$C$1960,0)))</f>
        <v/>
      </c>
      <c r="N1231" s="9">
        <f>IF(ISNA(MATCH(1222,'Transfer Engine'!$C$2:$C$1960,0)),"",INDEX('Compliance Database'!$N$2:$N$1960,MATCH(1222,'Transfer Engine'!$C$2:$C$1960,0)))</f>
        <v/>
      </c>
      <c r="O1231" s="9">
        <f>IF(ISNA(MATCH(1222,'Transfer Engine'!$C$2:$C$1960,0)),"",INDEX('Compliance Database'!$O$2:$O$1960,MATCH(1222,'Transfer Engine'!$C$2:$C$1960,0)))</f>
        <v/>
      </c>
      <c r="P1231" s="8">
        <f>IF(ISNA(MATCH(1222,'Transfer Engine'!$C$2:$C$1960,0)),"",HYPERLINK("#Acts!A"&amp;INDEX('Compliance Database'!$P$2:$P$1960,MATCH(1222,'Transfer Engine'!$C$2:$C$1960,0)),"Go to Act"))</f>
        <v/>
      </c>
    </row>
    <row r="1232" ht="158" customHeight="1">
      <c r="A1232" s="8">
        <f>IF(ISNA(MATCH(1223,'Transfer Engine'!$C$2:$C$1960,0)),"",INDEX('Compliance Database'!$A$2:$A$1960,MATCH(1223,'Transfer Engine'!$C$2:$C$1960,0)))</f>
        <v/>
      </c>
      <c r="B1232" s="8">
        <f>IF(ISNA(MATCH(1223,'Transfer Engine'!$C$2:$C$1960,0)),"",INDEX('Compliance Database'!$B$2:$B$1960,MATCH(1223,'Transfer Engine'!$C$2:$C$1960,0)))</f>
        <v/>
      </c>
      <c r="C1232" s="8">
        <f>IF(ISNA(MATCH(1223,'Transfer Engine'!$C$2:$C$1960,0)),"",INDEX('Compliance Database'!$C$2:$C$1960,MATCH(1223,'Transfer Engine'!$C$2:$C$1960,0)))</f>
        <v/>
      </c>
      <c r="D1232" s="9">
        <f>IF(ISNA(MATCH(1223,'Transfer Engine'!$C$2:$C$1960,0)),"",INDEX('Compliance Database'!$D$2:$D$1960,MATCH(1223,'Transfer Engine'!$C$2:$C$1960,0)))</f>
        <v/>
      </c>
      <c r="E1232" s="8">
        <f>IF(ISNA(MATCH(1223,'Transfer Engine'!$C$2:$C$1960,0)),"",INDEX('Compliance Database'!$E$2:$E$1960,MATCH(1223,'Transfer Engine'!$C$2:$C$1960,0)))</f>
        <v/>
      </c>
      <c r="F1232" s="8">
        <f>IF(ISNA(MATCH(1223,'Transfer Engine'!$C$2:$C$1960,0)),"",INDEX('Compliance Database'!$F$2:$F$1960,MATCH(1223,'Transfer Engine'!$C$2:$C$1960,0)))</f>
        <v/>
      </c>
      <c r="G1232" s="8">
        <f>IF(ISNA(MATCH(1223,'Transfer Engine'!$C$2:$C$1960,0)),"",INDEX('Compliance Database'!$G$2:$G$1960,MATCH(1223,'Transfer Engine'!$C$2:$C$1960,0)))</f>
        <v/>
      </c>
      <c r="H1232" s="9">
        <f>IF(ISNA(MATCH(1223,'Transfer Engine'!$C$2:$C$1960,0)),"",INDEX('Compliance Database'!$H$2:$H$1960,MATCH(1223,'Transfer Engine'!$C$2:$C$1960,0)))</f>
        <v/>
      </c>
      <c r="I1232" s="9">
        <f>IF(ISNA(MATCH(1223,'Transfer Engine'!$C$2:$C$1960,0)),"",INDEX('Compliance Database'!$I$2:$I$1960,MATCH(1223,'Transfer Engine'!$C$2:$C$1960,0)))</f>
        <v/>
      </c>
      <c r="J1232" s="8">
        <f>IF(ISNA(MATCH(1223,'Transfer Engine'!$C$2:$C$1960,0)),"",INDEX('Compliance Database'!$J$2:$J$1960,MATCH(1223,'Transfer Engine'!$C$2:$C$1960,0)))</f>
        <v/>
      </c>
      <c r="K1232" s="9">
        <f>IF(ISNA(MATCH(1223,'Transfer Engine'!$C$2:$C$1960,0)),"",INDEX('Compliance Database'!$K$2:$K$1960,MATCH(1223,'Transfer Engine'!$C$2:$C$1960,0)))</f>
        <v/>
      </c>
      <c r="L1232" s="9">
        <f>IF(ISNA(MATCH(1223,'Transfer Engine'!$C$2:$C$1960,0)),"",INDEX('Compliance Database'!$L$2:$L$1960,MATCH(1223,'Transfer Engine'!$C$2:$C$1960,0)))</f>
        <v/>
      </c>
      <c r="M1232" s="9">
        <f>IF(ISNA(MATCH(1223,'Transfer Engine'!$C$2:$C$1960,0)),"",INDEX('Compliance Database'!$M$2:$M$1960,MATCH(1223,'Transfer Engine'!$C$2:$C$1960,0)))</f>
        <v/>
      </c>
      <c r="N1232" s="9">
        <f>IF(ISNA(MATCH(1223,'Transfer Engine'!$C$2:$C$1960,0)),"",INDEX('Compliance Database'!$N$2:$N$1960,MATCH(1223,'Transfer Engine'!$C$2:$C$1960,0)))</f>
        <v/>
      </c>
      <c r="O1232" s="9">
        <f>IF(ISNA(MATCH(1223,'Transfer Engine'!$C$2:$C$1960,0)),"",INDEX('Compliance Database'!$O$2:$O$1960,MATCH(1223,'Transfer Engine'!$C$2:$C$1960,0)))</f>
        <v/>
      </c>
      <c r="P1232" s="8">
        <f>IF(ISNA(MATCH(1223,'Transfer Engine'!$C$2:$C$1960,0)),"",HYPERLINK("#Acts!A"&amp;INDEX('Compliance Database'!$P$2:$P$1960,MATCH(1223,'Transfer Engine'!$C$2:$C$1960,0)),"Go to Act"))</f>
        <v/>
      </c>
    </row>
    <row r="1233" ht="158" customHeight="1">
      <c r="A1233" s="8">
        <f>IF(ISNA(MATCH(1224,'Transfer Engine'!$C$2:$C$1960,0)),"",INDEX('Compliance Database'!$A$2:$A$1960,MATCH(1224,'Transfer Engine'!$C$2:$C$1960,0)))</f>
        <v/>
      </c>
      <c r="B1233" s="8">
        <f>IF(ISNA(MATCH(1224,'Transfer Engine'!$C$2:$C$1960,0)),"",INDEX('Compliance Database'!$B$2:$B$1960,MATCH(1224,'Transfer Engine'!$C$2:$C$1960,0)))</f>
        <v/>
      </c>
      <c r="C1233" s="8">
        <f>IF(ISNA(MATCH(1224,'Transfer Engine'!$C$2:$C$1960,0)),"",INDEX('Compliance Database'!$C$2:$C$1960,MATCH(1224,'Transfer Engine'!$C$2:$C$1960,0)))</f>
        <v/>
      </c>
      <c r="D1233" s="9">
        <f>IF(ISNA(MATCH(1224,'Transfer Engine'!$C$2:$C$1960,0)),"",INDEX('Compliance Database'!$D$2:$D$1960,MATCH(1224,'Transfer Engine'!$C$2:$C$1960,0)))</f>
        <v/>
      </c>
      <c r="E1233" s="8">
        <f>IF(ISNA(MATCH(1224,'Transfer Engine'!$C$2:$C$1960,0)),"",INDEX('Compliance Database'!$E$2:$E$1960,MATCH(1224,'Transfer Engine'!$C$2:$C$1960,0)))</f>
        <v/>
      </c>
      <c r="F1233" s="8">
        <f>IF(ISNA(MATCH(1224,'Transfer Engine'!$C$2:$C$1960,0)),"",INDEX('Compliance Database'!$F$2:$F$1960,MATCH(1224,'Transfer Engine'!$C$2:$C$1960,0)))</f>
        <v/>
      </c>
      <c r="G1233" s="8">
        <f>IF(ISNA(MATCH(1224,'Transfer Engine'!$C$2:$C$1960,0)),"",INDEX('Compliance Database'!$G$2:$G$1960,MATCH(1224,'Transfer Engine'!$C$2:$C$1960,0)))</f>
        <v/>
      </c>
      <c r="H1233" s="9">
        <f>IF(ISNA(MATCH(1224,'Transfer Engine'!$C$2:$C$1960,0)),"",INDEX('Compliance Database'!$H$2:$H$1960,MATCH(1224,'Transfer Engine'!$C$2:$C$1960,0)))</f>
        <v/>
      </c>
      <c r="I1233" s="9">
        <f>IF(ISNA(MATCH(1224,'Transfer Engine'!$C$2:$C$1960,0)),"",INDEX('Compliance Database'!$I$2:$I$1960,MATCH(1224,'Transfer Engine'!$C$2:$C$1960,0)))</f>
        <v/>
      </c>
      <c r="J1233" s="8">
        <f>IF(ISNA(MATCH(1224,'Transfer Engine'!$C$2:$C$1960,0)),"",INDEX('Compliance Database'!$J$2:$J$1960,MATCH(1224,'Transfer Engine'!$C$2:$C$1960,0)))</f>
        <v/>
      </c>
      <c r="K1233" s="9">
        <f>IF(ISNA(MATCH(1224,'Transfer Engine'!$C$2:$C$1960,0)),"",INDEX('Compliance Database'!$K$2:$K$1960,MATCH(1224,'Transfer Engine'!$C$2:$C$1960,0)))</f>
        <v/>
      </c>
      <c r="L1233" s="9">
        <f>IF(ISNA(MATCH(1224,'Transfer Engine'!$C$2:$C$1960,0)),"",INDEX('Compliance Database'!$L$2:$L$1960,MATCH(1224,'Transfer Engine'!$C$2:$C$1960,0)))</f>
        <v/>
      </c>
      <c r="M1233" s="9">
        <f>IF(ISNA(MATCH(1224,'Transfer Engine'!$C$2:$C$1960,0)),"",INDEX('Compliance Database'!$M$2:$M$1960,MATCH(1224,'Transfer Engine'!$C$2:$C$1960,0)))</f>
        <v/>
      </c>
      <c r="N1233" s="9">
        <f>IF(ISNA(MATCH(1224,'Transfer Engine'!$C$2:$C$1960,0)),"",INDEX('Compliance Database'!$N$2:$N$1960,MATCH(1224,'Transfer Engine'!$C$2:$C$1960,0)))</f>
        <v/>
      </c>
      <c r="O1233" s="9">
        <f>IF(ISNA(MATCH(1224,'Transfer Engine'!$C$2:$C$1960,0)),"",INDEX('Compliance Database'!$O$2:$O$1960,MATCH(1224,'Transfer Engine'!$C$2:$C$1960,0)))</f>
        <v/>
      </c>
      <c r="P1233" s="8">
        <f>IF(ISNA(MATCH(1224,'Transfer Engine'!$C$2:$C$1960,0)),"",HYPERLINK("#Acts!A"&amp;INDEX('Compliance Database'!$P$2:$P$1960,MATCH(1224,'Transfer Engine'!$C$2:$C$1960,0)),"Go to Act"))</f>
        <v/>
      </c>
    </row>
    <row r="1234" ht="158" customHeight="1">
      <c r="A1234" s="8">
        <f>IF(ISNA(MATCH(1225,'Transfer Engine'!$C$2:$C$1960,0)),"",INDEX('Compliance Database'!$A$2:$A$1960,MATCH(1225,'Transfer Engine'!$C$2:$C$1960,0)))</f>
        <v/>
      </c>
      <c r="B1234" s="8">
        <f>IF(ISNA(MATCH(1225,'Transfer Engine'!$C$2:$C$1960,0)),"",INDEX('Compliance Database'!$B$2:$B$1960,MATCH(1225,'Transfer Engine'!$C$2:$C$1960,0)))</f>
        <v/>
      </c>
      <c r="C1234" s="8">
        <f>IF(ISNA(MATCH(1225,'Transfer Engine'!$C$2:$C$1960,0)),"",INDEX('Compliance Database'!$C$2:$C$1960,MATCH(1225,'Transfer Engine'!$C$2:$C$1960,0)))</f>
        <v/>
      </c>
      <c r="D1234" s="9">
        <f>IF(ISNA(MATCH(1225,'Transfer Engine'!$C$2:$C$1960,0)),"",INDEX('Compliance Database'!$D$2:$D$1960,MATCH(1225,'Transfer Engine'!$C$2:$C$1960,0)))</f>
        <v/>
      </c>
      <c r="E1234" s="8">
        <f>IF(ISNA(MATCH(1225,'Transfer Engine'!$C$2:$C$1960,0)),"",INDEX('Compliance Database'!$E$2:$E$1960,MATCH(1225,'Transfer Engine'!$C$2:$C$1960,0)))</f>
        <v/>
      </c>
      <c r="F1234" s="8">
        <f>IF(ISNA(MATCH(1225,'Transfer Engine'!$C$2:$C$1960,0)),"",INDEX('Compliance Database'!$F$2:$F$1960,MATCH(1225,'Transfer Engine'!$C$2:$C$1960,0)))</f>
        <v/>
      </c>
      <c r="G1234" s="8">
        <f>IF(ISNA(MATCH(1225,'Transfer Engine'!$C$2:$C$1960,0)),"",INDEX('Compliance Database'!$G$2:$G$1960,MATCH(1225,'Transfer Engine'!$C$2:$C$1960,0)))</f>
        <v/>
      </c>
      <c r="H1234" s="9">
        <f>IF(ISNA(MATCH(1225,'Transfer Engine'!$C$2:$C$1960,0)),"",INDEX('Compliance Database'!$H$2:$H$1960,MATCH(1225,'Transfer Engine'!$C$2:$C$1960,0)))</f>
        <v/>
      </c>
      <c r="I1234" s="9">
        <f>IF(ISNA(MATCH(1225,'Transfer Engine'!$C$2:$C$1960,0)),"",INDEX('Compliance Database'!$I$2:$I$1960,MATCH(1225,'Transfer Engine'!$C$2:$C$1960,0)))</f>
        <v/>
      </c>
      <c r="J1234" s="8">
        <f>IF(ISNA(MATCH(1225,'Transfer Engine'!$C$2:$C$1960,0)),"",INDEX('Compliance Database'!$J$2:$J$1960,MATCH(1225,'Transfer Engine'!$C$2:$C$1960,0)))</f>
        <v/>
      </c>
      <c r="K1234" s="9">
        <f>IF(ISNA(MATCH(1225,'Transfer Engine'!$C$2:$C$1960,0)),"",INDEX('Compliance Database'!$K$2:$K$1960,MATCH(1225,'Transfer Engine'!$C$2:$C$1960,0)))</f>
        <v/>
      </c>
      <c r="L1234" s="9">
        <f>IF(ISNA(MATCH(1225,'Transfer Engine'!$C$2:$C$1960,0)),"",INDEX('Compliance Database'!$L$2:$L$1960,MATCH(1225,'Transfer Engine'!$C$2:$C$1960,0)))</f>
        <v/>
      </c>
      <c r="M1234" s="9">
        <f>IF(ISNA(MATCH(1225,'Transfer Engine'!$C$2:$C$1960,0)),"",INDEX('Compliance Database'!$M$2:$M$1960,MATCH(1225,'Transfer Engine'!$C$2:$C$1960,0)))</f>
        <v/>
      </c>
      <c r="N1234" s="9">
        <f>IF(ISNA(MATCH(1225,'Transfer Engine'!$C$2:$C$1960,0)),"",INDEX('Compliance Database'!$N$2:$N$1960,MATCH(1225,'Transfer Engine'!$C$2:$C$1960,0)))</f>
        <v/>
      </c>
      <c r="O1234" s="9">
        <f>IF(ISNA(MATCH(1225,'Transfer Engine'!$C$2:$C$1960,0)),"",INDEX('Compliance Database'!$O$2:$O$1960,MATCH(1225,'Transfer Engine'!$C$2:$C$1960,0)))</f>
        <v/>
      </c>
      <c r="P1234" s="8">
        <f>IF(ISNA(MATCH(1225,'Transfer Engine'!$C$2:$C$1960,0)),"",HYPERLINK("#Acts!A"&amp;INDEX('Compliance Database'!$P$2:$P$1960,MATCH(1225,'Transfer Engine'!$C$2:$C$1960,0)),"Go to Act"))</f>
        <v/>
      </c>
    </row>
    <row r="1235" ht="158" customHeight="1">
      <c r="A1235" s="8">
        <f>IF(ISNA(MATCH(1226,'Transfer Engine'!$C$2:$C$1960,0)),"",INDEX('Compliance Database'!$A$2:$A$1960,MATCH(1226,'Transfer Engine'!$C$2:$C$1960,0)))</f>
        <v/>
      </c>
      <c r="B1235" s="8">
        <f>IF(ISNA(MATCH(1226,'Transfer Engine'!$C$2:$C$1960,0)),"",INDEX('Compliance Database'!$B$2:$B$1960,MATCH(1226,'Transfer Engine'!$C$2:$C$1960,0)))</f>
        <v/>
      </c>
      <c r="C1235" s="8">
        <f>IF(ISNA(MATCH(1226,'Transfer Engine'!$C$2:$C$1960,0)),"",INDEX('Compliance Database'!$C$2:$C$1960,MATCH(1226,'Transfer Engine'!$C$2:$C$1960,0)))</f>
        <v/>
      </c>
      <c r="D1235" s="9">
        <f>IF(ISNA(MATCH(1226,'Transfer Engine'!$C$2:$C$1960,0)),"",INDEX('Compliance Database'!$D$2:$D$1960,MATCH(1226,'Transfer Engine'!$C$2:$C$1960,0)))</f>
        <v/>
      </c>
      <c r="E1235" s="8">
        <f>IF(ISNA(MATCH(1226,'Transfer Engine'!$C$2:$C$1960,0)),"",INDEX('Compliance Database'!$E$2:$E$1960,MATCH(1226,'Transfer Engine'!$C$2:$C$1960,0)))</f>
        <v/>
      </c>
      <c r="F1235" s="8">
        <f>IF(ISNA(MATCH(1226,'Transfer Engine'!$C$2:$C$1960,0)),"",INDEX('Compliance Database'!$F$2:$F$1960,MATCH(1226,'Transfer Engine'!$C$2:$C$1960,0)))</f>
        <v/>
      </c>
      <c r="G1235" s="8">
        <f>IF(ISNA(MATCH(1226,'Transfer Engine'!$C$2:$C$1960,0)),"",INDEX('Compliance Database'!$G$2:$G$1960,MATCH(1226,'Transfer Engine'!$C$2:$C$1960,0)))</f>
        <v/>
      </c>
      <c r="H1235" s="9">
        <f>IF(ISNA(MATCH(1226,'Transfer Engine'!$C$2:$C$1960,0)),"",INDEX('Compliance Database'!$H$2:$H$1960,MATCH(1226,'Transfer Engine'!$C$2:$C$1960,0)))</f>
        <v/>
      </c>
      <c r="I1235" s="9">
        <f>IF(ISNA(MATCH(1226,'Transfer Engine'!$C$2:$C$1960,0)),"",INDEX('Compliance Database'!$I$2:$I$1960,MATCH(1226,'Transfer Engine'!$C$2:$C$1960,0)))</f>
        <v/>
      </c>
      <c r="J1235" s="8">
        <f>IF(ISNA(MATCH(1226,'Transfer Engine'!$C$2:$C$1960,0)),"",INDEX('Compliance Database'!$J$2:$J$1960,MATCH(1226,'Transfer Engine'!$C$2:$C$1960,0)))</f>
        <v/>
      </c>
      <c r="K1235" s="9">
        <f>IF(ISNA(MATCH(1226,'Transfer Engine'!$C$2:$C$1960,0)),"",INDEX('Compliance Database'!$K$2:$K$1960,MATCH(1226,'Transfer Engine'!$C$2:$C$1960,0)))</f>
        <v/>
      </c>
      <c r="L1235" s="9">
        <f>IF(ISNA(MATCH(1226,'Transfer Engine'!$C$2:$C$1960,0)),"",INDEX('Compliance Database'!$L$2:$L$1960,MATCH(1226,'Transfer Engine'!$C$2:$C$1960,0)))</f>
        <v/>
      </c>
      <c r="M1235" s="9">
        <f>IF(ISNA(MATCH(1226,'Transfer Engine'!$C$2:$C$1960,0)),"",INDEX('Compliance Database'!$M$2:$M$1960,MATCH(1226,'Transfer Engine'!$C$2:$C$1960,0)))</f>
        <v/>
      </c>
      <c r="N1235" s="9">
        <f>IF(ISNA(MATCH(1226,'Transfer Engine'!$C$2:$C$1960,0)),"",INDEX('Compliance Database'!$N$2:$N$1960,MATCH(1226,'Transfer Engine'!$C$2:$C$1960,0)))</f>
        <v/>
      </c>
      <c r="O1235" s="9">
        <f>IF(ISNA(MATCH(1226,'Transfer Engine'!$C$2:$C$1960,0)),"",INDEX('Compliance Database'!$O$2:$O$1960,MATCH(1226,'Transfer Engine'!$C$2:$C$1960,0)))</f>
        <v/>
      </c>
      <c r="P1235" s="8">
        <f>IF(ISNA(MATCH(1226,'Transfer Engine'!$C$2:$C$1960,0)),"",HYPERLINK("#Acts!A"&amp;INDEX('Compliance Database'!$P$2:$P$1960,MATCH(1226,'Transfer Engine'!$C$2:$C$1960,0)),"Go to Act"))</f>
        <v/>
      </c>
    </row>
    <row r="1236" ht="158" customHeight="1">
      <c r="A1236" s="8">
        <f>IF(ISNA(MATCH(1227,'Transfer Engine'!$C$2:$C$1960,0)),"",INDEX('Compliance Database'!$A$2:$A$1960,MATCH(1227,'Transfer Engine'!$C$2:$C$1960,0)))</f>
        <v/>
      </c>
      <c r="B1236" s="8">
        <f>IF(ISNA(MATCH(1227,'Transfer Engine'!$C$2:$C$1960,0)),"",INDEX('Compliance Database'!$B$2:$B$1960,MATCH(1227,'Transfer Engine'!$C$2:$C$1960,0)))</f>
        <v/>
      </c>
      <c r="C1236" s="8">
        <f>IF(ISNA(MATCH(1227,'Transfer Engine'!$C$2:$C$1960,0)),"",INDEX('Compliance Database'!$C$2:$C$1960,MATCH(1227,'Transfer Engine'!$C$2:$C$1960,0)))</f>
        <v/>
      </c>
      <c r="D1236" s="9">
        <f>IF(ISNA(MATCH(1227,'Transfer Engine'!$C$2:$C$1960,0)),"",INDEX('Compliance Database'!$D$2:$D$1960,MATCH(1227,'Transfer Engine'!$C$2:$C$1960,0)))</f>
        <v/>
      </c>
      <c r="E1236" s="8">
        <f>IF(ISNA(MATCH(1227,'Transfer Engine'!$C$2:$C$1960,0)),"",INDEX('Compliance Database'!$E$2:$E$1960,MATCH(1227,'Transfer Engine'!$C$2:$C$1960,0)))</f>
        <v/>
      </c>
      <c r="F1236" s="8">
        <f>IF(ISNA(MATCH(1227,'Transfer Engine'!$C$2:$C$1960,0)),"",INDEX('Compliance Database'!$F$2:$F$1960,MATCH(1227,'Transfer Engine'!$C$2:$C$1960,0)))</f>
        <v/>
      </c>
      <c r="G1236" s="8">
        <f>IF(ISNA(MATCH(1227,'Transfer Engine'!$C$2:$C$1960,0)),"",INDEX('Compliance Database'!$G$2:$G$1960,MATCH(1227,'Transfer Engine'!$C$2:$C$1960,0)))</f>
        <v/>
      </c>
      <c r="H1236" s="9">
        <f>IF(ISNA(MATCH(1227,'Transfer Engine'!$C$2:$C$1960,0)),"",INDEX('Compliance Database'!$H$2:$H$1960,MATCH(1227,'Transfer Engine'!$C$2:$C$1960,0)))</f>
        <v/>
      </c>
      <c r="I1236" s="9">
        <f>IF(ISNA(MATCH(1227,'Transfer Engine'!$C$2:$C$1960,0)),"",INDEX('Compliance Database'!$I$2:$I$1960,MATCH(1227,'Transfer Engine'!$C$2:$C$1960,0)))</f>
        <v/>
      </c>
      <c r="J1236" s="8">
        <f>IF(ISNA(MATCH(1227,'Transfer Engine'!$C$2:$C$1960,0)),"",INDEX('Compliance Database'!$J$2:$J$1960,MATCH(1227,'Transfer Engine'!$C$2:$C$1960,0)))</f>
        <v/>
      </c>
      <c r="K1236" s="9">
        <f>IF(ISNA(MATCH(1227,'Transfer Engine'!$C$2:$C$1960,0)),"",INDEX('Compliance Database'!$K$2:$K$1960,MATCH(1227,'Transfer Engine'!$C$2:$C$1960,0)))</f>
        <v/>
      </c>
      <c r="L1236" s="9">
        <f>IF(ISNA(MATCH(1227,'Transfer Engine'!$C$2:$C$1960,0)),"",INDEX('Compliance Database'!$L$2:$L$1960,MATCH(1227,'Transfer Engine'!$C$2:$C$1960,0)))</f>
        <v/>
      </c>
      <c r="M1236" s="9">
        <f>IF(ISNA(MATCH(1227,'Transfer Engine'!$C$2:$C$1960,0)),"",INDEX('Compliance Database'!$M$2:$M$1960,MATCH(1227,'Transfer Engine'!$C$2:$C$1960,0)))</f>
        <v/>
      </c>
      <c r="N1236" s="9">
        <f>IF(ISNA(MATCH(1227,'Transfer Engine'!$C$2:$C$1960,0)),"",INDEX('Compliance Database'!$N$2:$N$1960,MATCH(1227,'Transfer Engine'!$C$2:$C$1960,0)))</f>
        <v/>
      </c>
      <c r="O1236" s="9">
        <f>IF(ISNA(MATCH(1227,'Transfer Engine'!$C$2:$C$1960,0)),"",INDEX('Compliance Database'!$O$2:$O$1960,MATCH(1227,'Transfer Engine'!$C$2:$C$1960,0)))</f>
        <v/>
      </c>
      <c r="P1236" s="8">
        <f>IF(ISNA(MATCH(1227,'Transfer Engine'!$C$2:$C$1960,0)),"",HYPERLINK("#Acts!A"&amp;INDEX('Compliance Database'!$P$2:$P$1960,MATCH(1227,'Transfer Engine'!$C$2:$C$1960,0)),"Go to Act"))</f>
        <v/>
      </c>
    </row>
    <row r="1237" ht="158" customHeight="1">
      <c r="A1237" s="8">
        <f>IF(ISNA(MATCH(1228,'Transfer Engine'!$C$2:$C$1960,0)),"",INDEX('Compliance Database'!$A$2:$A$1960,MATCH(1228,'Transfer Engine'!$C$2:$C$1960,0)))</f>
        <v/>
      </c>
      <c r="B1237" s="8">
        <f>IF(ISNA(MATCH(1228,'Transfer Engine'!$C$2:$C$1960,0)),"",INDEX('Compliance Database'!$B$2:$B$1960,MATCH(1228,'Transfer Engine'!$C$2:$C$1960,0)))</f>
        <v/>
      </c>
      <c r="C1237" s="8">
        <f>IF(ISNA(MATCH(1228,'Transfer Engine'!$C$2:$C$1960,0)),"",INDEX('Compliance Database'!$C$2:$C$1960,MATCH(1228,'Transfer Engine'!$C$2:$C$1960,0)))</f>
        <v/>
      </c>
      <c r="D1237" s="9">
        <f>IF(ISNA(MATCH(1228,'Transfer Engine'!$C$2:$C$1960,0)),"",INDEX('Compliance Database'!$D$2:$D$1960,MATCH(1228,'Transfer Engine'!$C$2:$C$1960,0)))</f>
        <v/>
      </c>
      <c r="E1237" s="8">
        <f>IF(ISNA(MATCH(1228,'Transfer Engine'!$C$2:$C$1960,0)),"",INDEX('Compliance Database'!$E$2:$E$1960,MATCH(1228,'Transfer Engine'!$C$2:$C$1960,0)))</f>
        <v/>
      </c>
      <c r="F1237" s="8">
        <f>IF(ISNA(MATCH(1228,'Transfer Engine'!$C$2:$C$1960,0)),"",INDEX('Compliance Database'!$F$2:$F$1960,MATCH(1228,'Transfer Engine'!$C$2:$C$1960,0)))</f>
        <v/>
      </c>
      <c r="G1237" s="8">
        <f>IF(ISNA(MATCH(1228,'Transfer Engine'!$C$2:$C$1960,0)),"",INDEX('Compliance Database'!$G$2:$G$1960,MATCH(1228,'Transfer Engine'!$C$2:$C$1960,0)))</f>
        <v/>
      </c>
      <c r="H1237" s="9">
        <f>IF(ISNA(MATCH(1228,'Transfer Engine'!$C$2:$C$1960,0)),"",INDEX('Compliance Database'!$H$2:$H$1960,MATCH(1228,'Transfer Engine'!$C$2:$C$1960,0)))</f>
        <v/>
      </c>
      <c r="I1237" s="9">
        <f>IF(ISNA(MATCH(1228,'Transfer Engine'!$C$2:$C$1960,0)),"",INDEX('Compliance Database'!$I$2:$I$1960,MATCH(1228,'Transfer Engine'!$C$2:$C$1960,0)))</f>
        <v/>
      </c>
      <c r="J1237" s="8">
        <f>IF(ISNA(MATCH(1228,'Transfer Engine'!$C$2:$C$1960,0)),"",INDEX('Compliance Database'!$J$2:$J$1960,MATCH(1228,'Transfer Engine'!$C$2:$C$1960,0)))</f>
        <v/>
      </c>
      <c r="K1237" s="9">
        <f>IF(ISNA(MATCH(1228,'Transfer Engine'!$C$2:$C$1960,0)),"",INDEX('Compliance Database'!$K$2:$K$1960,MATCH(1228,'Transfer Engine'!$C$2:$C$1960,0)))</f>
        <v/>
      </c>
      <c r="L1237" s="9">
        <f>IF(ISNA(MATCH(1228,'Transfer Engine'!$C$2:$C$1960,0)),"",INDEX('Compliance Database'!$L$2:$L$1960,MATCH(1228,'Transfer Engine'!$C$2:$C$1960,0)))</f>
        <v/>
      </c>
      <c r="M1237" s="9">
        <f>IF(ISNA(MATCH(1228,'Transfer Engine'!$C$2:$C$1960,0)),"",INDEX('Compliance Database'!$M$2:$M$1960,MATCH(1228,'Transfer Engine'!$C$2:$C$1960,0)))</f>
        <v/>
      </c>
      <c r="N1237" s="9">
        <f>IF(ISNA(MATCH(1228,'Transfer Engine'!$C$2:$C$1960,0)),"",INDEX('Compliance Database'!$N$2:$N$1960,MATCH(1228,'Transfer Engine'!$C$2:$C$1960,0)))</f>
        <v/>
      </c>
      <c r="O1237" s="9">
        <f>IF(ISNA(MATCH(1228,'Transfer Engine'!$C$2:$C$1960,0)),"",INDEX('Compliance Database'!$O$2:$O$1960,MATCH(1228,'Transfer Engine'!$C$2:$C$1960,0)))</f>
        <v/>
      </c>
      <c r="P1237" s="8">
        <f>IF(ISNA(MATCH(1228,'Transfer Engine'!$C$2:$C$1960,0)),"",HYPERLINK("#Acts!A"&amp;INDEX('Compliance Database'!$P$2:$P$1960,MATCH(1228,'Transfer Engine'!$C$2:$C$1960,0)),"Go to Act"))</f>
        <v/>
      </c>
    </row>
    <row r="1238" ht="158" customHeight="1">
      <c r="A1238" s="8">
        <f>IF(ISNA(MATCH(1229,'Transfer Engine'!$C$2:$C$1960,0)),"",INDEX('Compliance Database'!$A$2:$A$1960,MATCH(1229,'Transfer Engine'!$C$2:$C$1960,0)))</f>
        <v/>
      </c>
      <c r="B1238" s="8">
        <f>IF(ISNA(MATCH(1229,'Transfer Engine'!$C$2:$C$1960,0)),"",INDEX('Compliance Database'!$B$2:$B$1960,MATCH(1229,'Transfer Engine'!$C$2:$C$1960,0)))</f>
        <v/>
      </c>
      <c r="C1238" s="8">
        <f>IF(ISNA(MATCH(1229,'Transfer Engine'!$C$2:$C$1960,0)),"",INDEX('Compliance Database'!$C$2:$C$1960,MATCH(1229,'Transfer Engine'!$C$2:$C$1960,0)))</f>
        <v/>
      </c>
      <c r="D1238" s="9">
        <f>IF(ISNA(MATCH(1229,'Transfer Engine'!$C$2:$C$1960,0)),"",INDEX('Compliance Database'!$D$2:$D$1960,MATCH(1229,'Transfer Engine'!$C$2:$C$1960,0)))</f>
        <v/>
      </c>
      <c r="E1238" s="8">
        <f>IF(ISNA(MATCH(1229,'Transfer Engine'!$C$2:$C$1960,0)),"",INDEX('Compliance Database'!$E$2:$E$1960,MATCH(1229,'Transfer Engine'!$C$2:$C$1960,0)))</f>
        <v/>
      </c>
      <c r="F1238" s="8">
        <f>IF(ISNA(MATCH(1229,'Transfer Engine'!$C$2:$C$1960,0)),"",INDEX('Compliance Database'!$F$2:$F$1960,MATCH(1229,'Transfer Engine'!$C$2:$C$1960,0)))</f>
        <v/>
      </c>
      <c r="G1238" s="8">
        <f>IF(ISNA(MATCH(1229,'Transfer Engine'!$C$2:$C$1960,0)),"",INDEX('Compliance Database'!$G$2:$G$1960,MATCH(1229,'Transfer Engine'!$C$2:$C$1960,0)))</f>
        <v/>
      </c>
      <c r="H1238" s="9">
        <f>IF(ISNA(MATCH(1229,'Transfer Engine'!$C$2:$C$1960,0)),"",INDEX('Compliance Database'!$H$2:$H$1960,MATCH(1229,'Transfer Engine'!$C$2:$C$1960,0)))</f>
        <v/>
      </c>
      <c r="I1238" s="9">
        <f>IF(ISNA(MATCH(1229,'Transfer Engine'!$C$2:$C$1960,0)),"",INDEX('Compliance Database'!$I$2:$I$1960,MATCH(1229,'Transfer Engine'!$C$2:$C$1960,0)))</f>
        <v/>
      </c>
      <c r="J1238" s="8">
        <f>IF(ISNA(MATCH(1229,'Transfer Engine'!$C$2:$C$1960,0)),"",INDEX('Compliance Database'!$J$2:$J$1960,MATCH(1229,'Transfer Engine'!$C$2:$C$1960,0)))</f>
        <v/>
      </c>
      <c r="K1238" s="9">
        <f>IF(ISNA(MATCH(1229,'Transfer Engine'!$C$2:$C$1960,0)),"",INDEX('Compliance Database'!$K$2:$K$1960,MATCH(1229,'Transfer Engine'!$C$2:$C$1960,0)))</f>
        <v/>
      </c>
      <c r="L1238" s="9">
        <f>IF(ISNA(MATCH(1229,'Transfer Engine'!$C$2:$C$1960,0)),"",INDEX('Compliance Database'!$L$2:$L$1960,MATCH(1229,'Transfer Engine'!$C$2:$C$1960,0)))</f>
        <v/>
      </c>
      <c r="M1238" s="9">
        <f>IF(ISNA(MATCH(1229,'Transfer Engine'!$C$2:$C$1960,0)),"",INDEX('Compliance Database'!$M$2:$M$1960,MATCH(1229,'Transfer Engine'!$C$2:$C$1960,0)))</f>
        <v/>
      </c>
      <c r="N1238" s="9">
        <f>IF(ISNA(MATCH(1229,'Transfer Engine'!$C$2:$C$1960,0)),"",INDEX('Compliance Database'!$N$2:$N$1960,MATCH(1229,'Transfer Engine'!$C$2:$C$1960,0)))</f>
        <v/>
      </c>
      <c r="O1238" s="9">
        <f>IF(ISNA(MATCH(1229,'Transfer Engine'!$C$2:$C$1960,0)),"",INDEX('Compliance Database'!$O$2:$O$1960,MATCH(1229,'Transfer Engine'!$C$2:$C$1960,0)))</f>
        <v/>
      </c>
      <c r="P1238" s="8">
        <f>IF(ISNA(MATCH(1229,'Transfer Engine'!$C$2:$C$1960,0)),"",HYPERLINK("#Acts!A"&amp;INDEX('Compliance Database'!$P$2:$P$1960,MATCH(1229,'Transfer Engine'!$C$2:$C$1960,0)),"Go to Act"))</f>
        <v/>
      </c>
    </row>
    <row r="1239" ht="158" customHeight="1">
      <c r="A1239" s="8">
        <f>IF(ISNA(MATCH(1230,'Transfer Engine'!$C$2:$C$1960,0)),"",INDEX('Compliance Database'!$A$2:$A$1960,MATCH(1230,'Transfer Engine'!$C$2:$C$1960,0)))</f>
        <v/>
      </c>
      <c r="B1239" s="8">
        <f>IF(ISNA(MATCH(1230,'Transfer Engine'!$C$2:$C$1960,0)),"",INDEX('Compliance Database'!$B$2:$B$1960,MATCH(1230,'Transfer Engine'!$C$2:$C$1960,0)))</f>
        <v/>
      </c>
      <c r="C1239" s="8">
        <f>IF(ISNA(MATCH(1230,'Transfer Engine'!$C$2:$C$1960,0)),"",INDEX('Compliance Database'!$C$2:$C$1960,MATCH(1230,'Transfer Engine'!$C$2:$C$1960,0)))</f>
        <v/>
      </c>
      <c r="D1239" s="9">
        <f>IF(ISNA(MATCH(1230,'Transfer Engine'!$C$2:$C$1960,0)),"",INDEX('Compliance Database'!$D$2:$D$1960,MATCH(1230,'Transfer Engine'!$C$2:$C$1960,0)))</f>
        <v/>
      </c>
      <c r="E1239" s="8">
        <f>IF(ISNA(MATCH(1230,'Transfer Engine'!$C$2:$C$1960,0)),"",INDEX('Compliance Database'!$E$2:$E$1960,MATCH(1230,'Transfer Engine'!$C$2:$C$1960,0)))</f>
        <v/>
      </c>
      <c r="F1239" s="8">
        <f>IF(ISNA(MATCH(1230,'Transfer Engine'!$C$2:$C$1960,0)),"",INDEX('Compliance Database'!$F$2:$F$1960,MATCH(1230,'Transfer Engine'!$C$2:$C$1960,0)))</f>
        <v/>
      </c>
      <c r="G1239" s="8">
        <f>IF(ISNA(MATCH(1230,'Transfer Engine'!$C$2:$C$1960,0)),"",INDEX('Compliance Database'!$G$2:$G$1960,MATCH(1230,'Transfer Engine'!$C$2:$C$1960,0)))</f>
        <v/>
      </c>
      <c r="H1239" s="9">
        <f>IF(ISNA(MATCH(1230,'Transfer Engine'!$C$2:$C$1960,0)),"",INDEX('Compliance Database'!$H$2:$H$1960,MATCH(1230,'Transfer Engine'!$C$2:$C$1960,0)))</f>
        <v/>
      </c>
      <c r="I1239" s="9">
        <f>IF(ISNA(MATCH(1230,'Transfer Engine'!$C$2:$C$1960,0)),"",INDEX('Compliance Database'!$I$2:$I$1960,MATCH(1230,'Transfer Engine'!$C$2:$C$1960,0)))</f>
        <v/>
      </c>
      <c r="J1239" s="8">
        <f>IF(ISNA(MATCH(1230,'Transfer Engine'!$C$2:$C$1960,0)),"",INDEX('Compliance Database'!$J$2:$J$1960,MATCH(1230,'Transfer Engine'!$C$2:$C$1960,0)))</f>
        <v/>
      </c>
      <c r="K1239" s="9">
        <f>IF(ISNA(MATCH(1230,'Transfer Engine'!$C$2:$C$1960,0)),"",INDEX('Compliance Database'!$K$2:$K$1960,MATCH(1230,'Transfer Engine'!$C$2:$C$1960,0)))</f>
        <v/>
      </c>
      <c r="L1239" s="9">
        <f>IF(ISNA(MATCH(1230,'Transfer Engine'!$C$2:$C$1960,0)),"",INDEX('Compliance Database'!$L$2:$L$1960,MATCH(1230,'Transfer Engine'!$C$2:$C$1960,0)))</f>
        <v/>
      </c>
      <c r="M1239" s="9">
        <f>IF(ISNA(MATCH(1230,'Transfer Engine'!$C$2:$C$1960,0)),"",INDEX('Compliance Database'!$M$2:$M$1960,MATCH(1230,'Transfer Engine'!$C$2:$C$1960,0)))</f>
        <v/>
      </c>
      <c r="N1239" s="9">
        <f>IF(ISNA(MATCH(1230,'Transfer Engine'!$C$2:$C$1960,0)),"",INDEX('Compliance Database'!$N$2:$N$1960,MATCH(1230,'Transfer Engine'!$C$2:$C$1960,0)))</f>
        <v/>
      </c>
      <c r="O1239" s="9">
        <f>IF(ISNA(MATCH(1230,'Transfer Engine'!$C$2:$C$1960,0)),"",INDEX('Compliance Database'!$O$2:$O$1960,MATCH(1230,'Transfer Engine'!$C$2:$C$1960,0)))</f>
        <v/>
      </c>
      <c r="P1239" s="8">
        <f>IF(ISNA(MATCH(1230,'Transfer Engine'!$C$2:$C$1960,0)),"",HYPERLINK("#Acts!A"&amp;INDEX('Compliance Database'!$P$2:$P$1960,MATCH(1230,'Transfer Engine'!$C$2:$C$1960,0)),"Go to Act"))</f>
        <v/>
      </c>
    </row>
    <row r="1240" ht="158" customHeight="1">
      <c r="A1240" s="8">
        <f>IF(ISNA(MATCH(1231,'Transfer Engine'!$C$2:$C$1960,0)),"",INDEX('Compliance Database'!$A$2:$A$1960,MATCH(1231,'Transfer Engine'!$C$2:$C$1960,0)))</f>
        <v/>
      </c>
      <c r="B1240" s="8">
        <f>IF(ISNA(MATCH(1231,'Transfer Engine'!$C$2:$C$1960,0)),"",INDEX('Compliance Database'!$B$2:$B$1960,MATCH(1231,'Transfer Engine'!$C$2:$C$1960,0)))</f>
        <v/>
      </c>
      <c r="C1240" s="8">
        <f>IF(ISNA(MATCH(1231,'Transfer Engine'!$C$2:$C$1960,0)),"",INDEX('Compliance Database'!$C$2:$C$1960,MATCH(1231,'Transfer Engine'!$C$2:$C$1960,0)))</f>
        <v/>
      </c>
      <c r="D1240" s="9">
        <f>IF(ISNA(MATCH(1231,'Transfer Engine'!$C$2:$C$1960,0)),"",INDEX('Compliance Database'!$D$2:$D$1960,MATCH(1231,'Transfer Engine'!$C$2:$C$1960,0)))</f>
        <v/>
      </c>
      <c r="E1240" s="8">
        <f>IF(ISNA(MATCH(1231,'Transfer Engine'!$C$2:$C$1960,0)),"",INDEX('Compliance Database'!$E$2:$E$1960,MATCH(1231,'Transfer Engine'!$C$2:$C$1960,0)))</f>
        <v/>
      </c>
      <c r="F1240" s="8">
        <f>IF(ISNA(MATCH(1231,'Transfer Engine'!$C$2:$C$1960,0)),"",INDEX('Compliance Database'!$F$2:$F$1960,MATCH(1231,'Transfer Engine'!$C$2:$C$1960,0)))</f>
        <v/>
      </c>
      <c r="G1240" s="8">
        <f>IF(ISNA(MATCH(1231,'Transfer Engine'!$C$2:$C$1960,0)),"",INDEX('Compliance Database'!$G$2:$G$1960,MATCH(1231,'Transfer Engine'!$C$2:$C$1960,0)))</f>
        <v/>
      </c>
      <c r="H1240" s="9">
        <f>IF(ISNA(MATCH(1231,'Transfer Engine'!$C$2:$C$1960,0)),"",INDEX('Compliance Database'!$H$2:$H$1960,MATCH(1231,'Transfer Engine'!$C$2:$C$1960,0)))</f>
        <v/>
      </c>
      <c r="I1240" s="9">
        <f>IF(ISNA(MATCH(1231,'Transfer Engine'!$C$2:$C$1960,0)),"",INDEX('Compliance Database'!$I$2:$I$1960,MATCH(1231,'Transfer Engine'!$C$2:$C$1960,0)))</f>
        <v/>
      </c>
      <c r="J1240" s="8">
        <f>IF(ISNA(MATCH(1231,'Transfer Engine'!$C$2:$C$1960,0)),"",INDEX('Compliance Database'!$J$2:$J$1960,MATCH(1231,'Transfer Engine'!$C$2:$C$1960,0)))</f>
        <v/>
      </c>
      <c r="K1240" s="9">
        <f>IF(ISNA(MATCH(1231,'Transfer Engine'!$C$2:$C$1960,0)),"",INDEX('Compliance Database'!$K$2:$K$1960,MATCH(1231,'Transfer Engine'!$C$2:$C$1960,0)))</f>
        <v/>
      </c>
      <c r="L1240" s="9">
        <f>IF(ISNA(MATCH(1231,'Transfer Engine'!$C$2:$C$1960,0)),"",INDEX('Compliance Database'!$L$2:$L$1960,MATCH(1231,'Transfer Engine'!$C$2:$C$1960,0)))</f>
        <v/>
      </c>
      <c r="M1240" s="9">
        <f>IF(ISNA(MATCH(1231,'Transfer Engine'!$C$2:$C$1960,0)),"",INDEX('Compliance Database'!$M$2:$M$1960,MATCH(1231,'Transfer Engine'!$C$2:$C$1960,0)))</f>
        <v/>
      </c>
      <c r="N1240" s="9">
        <f>IF(ISNA(MATCH(1231,'Transfer Engine'!$C$2:$C$1960,0)),"",INDEX('Compliance Database'!$N$2:$N$1960,MATCH(1231,'Transfer Engine'!$C$2:$C$1960,0)))</f>
        <v/>
      </c>
      <c r="O1240" s="9">
        <f>IF(ISNA(MATCH(1231,'Transfer Engine'!$C$2:$C$1960,0)),"",INDEX('Compliance Database'!$O$2:$O$1960,MATCH(1231,'Transfer Engine'!$C$2:$C$1960,0)))</f>
        <v/>
      </c>
      <c r="P1240" s="8">
        <f>IF(ISNA(MATCH(1231,'Transfer Engine'!$C$2:$C$1960,0)),"",HYPERLINK("#Acts!A"&amp;INDEX('Compliance Database'!$P$2:$P$1960,MATCH(1231,'Transfer Engine'!$C$2:$C$1960,0)),"Go to Act"))</f>
        <v/>
      </c>
    </row>
    <row r="1241" ht="158" customHeight="1">
      <c r="A1241" s="8">
        <f>IF(ISNA(MATCH(1232,'Transfer Engine'!$C$2:$C$1960,0)),"",INDEX('Compliance Database'!$A$2:$A$1960,MATCH(1232,'Transfer Engine'!$C$2:$C$1960,0)))</f>
        <v/>
      </c>
      <c r="B1241" s="8">
        <f>IF(ISNA(MATCH(1232,'Transfer Engine'!$C$2:$C$1960,0)),"",INDEX('Compliance Database'!$B$2:$B$1960,MATCH(1232,'Transfer Engine'!$C$2:$C$1960,0)))</f>
        <v/>
      </c>
      <c r="C1241" s="8">
        <f>IF(ISNA(MATCH(1232,'Transfer Engine'!$C$2:$C$1960,0)),"",INDEX('Compliance Database'!$C$2:$C$1960,MATCH(1232,'Transfer Engine'!$C$2:$C$1960,0)))</f>
        <v/>
      </c>
      <c r="D1241" s="9">
        <f>IF(ISNA(MATCH(1232,'Transfer Engine'!$C$2:$C$1960,0)),"",INDEX('Compliance Database'!$D$2:$D$1960,MATCH(1232,'Transfer Engine'!$C$2:$C$1960,0)))</f>
        <v/>
      </c>
      <c r="E1241" s="8">
        <f>IF(ISNA(MATCH(1232,'Transfer Engine'!$C$2:$C$1960,0)),"",INDEX('Compliance Database'!$E$2:$E$1960,MATCH(1232,'Transfer Engine'!$C$2:$C$1960,0)))</f>
        <v/>
      </c>
      <c r="F1241" s="8">
        <f>IF(ISNA(MATCH(1232,'Transfer Engine'!$C$2:$C$1960,0)),"",INDEX('Compliance Database'!$F$2:$F$1960,MATCH(1232,'Transfer Engine'!$C$2:$C$1960,0)))</f>
        <v/>
      </c>
      <c r="G1241" s="8">
        <f>IF(ISNA(MATCH(1232,'Transfer Engine'!$C$2:$C$1960,0)),"",INDEX('Compliance Database'!$G$2:$G$1960,MATCH(1232,'Transfer Engine'!$C$2:$C$1960,0)))</f>
        <v/>
      </c>
      <c r="H1241" s="9">
        <f>IF(ISNA(MATCH(1232,'Transfer Engine'!$C$2:$C$1960,0)),"",INDEX('Compliance Database'!$H$2:$H$1960,MATCH(1232,'Transfer Engine'!$C$2:$C$1960,0)))</f>
        <v/>
      </c>
      <c r="I1241" s="9">
        <f>IF(ISNA(MATCH(1232,'Transfer Engine'!$C$2:$C$1960,0)),"",INDEX('Compliance Database'!$I$2:$I$1960,MATCH(1232,'Transfer Engine'!$C$2:$C$1960,0)))</f>
        <v/>
      </c>
      <c r="J1241" s="8">
        <f>IF(ISNA(MATCH(1232,'Transfer Engine'!$C$2:$C$1960,0)),"",INDEX('Compliance Database'!$J$2:$J$1960,MATCH(1232,'Transfer Engine'!$C$2:$C$1960,0)))</f>
        <v/>
      </c>
      <c r="K1241" s="9">
        <f>IF(ISNA(MATCH(1232,'Transfer Engine'!$C$2:$C$1960,0)),"",INDEX('Compliance Database'!$K$2:$K$1960,MATCH(1232,'Transfer Engine'!$C$2:$C$1960,0)))</f>
        <v/>
      </c>
      <c r="L1241" s="9">
        <f>IF(ISNA(MATCH(1232,'Transfer Engine'!$C$2:$C$1960,0)),"",INDEX('Compliance Database'!$L$2:$L$1960,MATCH(1232,'Transfer Engine'!$C$2:$C$1960,0)))</f>
        <v/>
      </c>
      <c r="M1241" s="9">
        <f>IF(ISNA(MATCH(1232,'Transfer Engine'!$C$2:$C$1960,0)),"",INDEX('Compliance Database'!$M$2:$M$1960,MATCH(1232,'Transfer Engine'!$C$2:$C$1960,0)))</f>
        <v/>
      </c>
      <c r="N1241" s="9">
        <f>IF(ISNA(MATCH(1232,'Transfer Engine'!$C$2:$C$1960,0)),"",INDEX('Compliance Database'!$N$2:$N$1960,MATCH(1232,'Transfer Engine'!$C$2:$C$1960,0)))</f>
        <v/>
      </c>
      <c r="O1241" s="9">
        <f>IF(ISNA(MATCH(1232,'Transfer Engine'!$C$2:$C$1960,0)),"",INDEX('Compliance Database'!$O$2:$O$1960,MATCH(1232,'Transfer Engine'!$C$2:$C$1960,0)))</f>
        <v/>
      </c>
      <c r="P1241" s="8">
        <f>IF(ISNA(MATCH(1232,'Transfer Engine'!$C$2:$C$1960,0)),"",HYPERLINK("#Acts!A"&amp;INDEX('Compliance Database'!$P$2:$P$1960,MATCH(1232,'Transfer Engine'!$C$2:$C$1960,0)),"Go to Act"))</f>
        <v/>
      </c>
    </row>
    <row r="1242" ht="158" customHeight="1">
      <c r="A1242" s="8">
        <f>IF(ISNA(MATCH(1233,'Transfer Engine'!$C$2:$C$1960,0)),"",INDEX('Compliance Database'!$A$2:$A$1960,MATCH(1233,'Transfer Engine'!$C$2:$C$1960,0)))</f>
        <v/>
      </c>
      <c r="B1242" s="8">
        <f>IF(ISNA(MATCH(1233,'Transfer Engine'!$C$2:$C$1960,0)),"",INDEX('Compliance Database'!$B$2:$B$1960,MATCH(1233,'Transfer Engine'!$C$2:$C$1960,0)))</f>
        <v/>
      </c>
      <c r="C1242" s="8">
        <f>IF(ISNA(MATCH(1233,'Transfer Engine'!$C$2:$C$1960,0)),"",INDEX('Compliance Database'!$C$2:$C$1960,MATCH(1233,'Transfer Engine'!$C$2:$C$1960,0)))</f>
        <v/>
      </c>
      <c r="D1242" s="9">
        <f>IF(ISNA(MATCH(1233,'Transfer Engine'!$C$2:$C$1960,0)),"",INDEX('Compliance Database'!$D$2:$D$1960,MATCH(1233,'Transfer Engine'!$C$2:$C$1960,0)))</f>
        <v/>
      </c>
      <c r="E1242" s="8">
        <f>IF(ISNA(MATCH(1233,'Transfer Engine'!$C$2:$C$1960,0)),"",INDEX('Compliance Database'!$E$2:$E$1960,MATCH(1233,'Transfer Engine'!$C$2:$C$1960,0)))</f>
        <v/>
      </c>
      <c r="F1242" s="8">
        <f>IF(ISNA(MATCH(1233,'Transfer Engine'!$C$2:$C$1960,0)),"",INDEX('Compliance Database'!$F$2:$F$1960,MATCH(1233,'Transfer Engine'!$C$2:$C$1960,0)))</f>
        <v/>
      </c>
      <c r="G1242" s="8">
        <f>IF(ISNA(MATCH(1233,'Transfer Engine'!$C$2:$C$1960,0)),"",INDEX('Compliance Database'!$G$2:$G$1960,MATCH(1233,'Transfer Engine'!$C$2:$C$1960,0)))</f>
        <v/>
      </c>
      <c r="H1242" s="9">
        <f>IF(ISNA(MATCH(1233,'Transfer Engine'!$C$2:$C$1960,0)),"",INDEX('Compliance Database'!$H$2:$H$1960,MATCH(1233,'Transfer Engine'!$C$2:$C$1960,0)))</f>
        <v/>
      </c>
      <c r="I1242" s="9">
        <f>IF(ISNA(MATCH(1233,'Transfer Engine'!$C$2:$C$1960,0)),"",INDEX('Compliance Database'!$I$2:$I$1960,MATCH(1233,'Transfer Engine'!$C$2:$C$1960,0)))</f>
        <v/>
      </c>
      <c r="J1242" s="8">
        <f>IF(ISNA(MATCH(1233,'Transfer Engine'!$C$2:$C$1960,0)),"",INDEX('Compliance Database'!$J$2:$J$1960,MATCH(1233,'Transfer Engine'!$C$2:$C$1960,0)))</f>
        <v/>
      </c>
      <c r="K1242" s="9">
        <f>IF(ISNA(MATCH(1233,'Transfer Engine'!$C$2:$C$1960,0)),"",INDEX('Compliance Database'!$K$2:$K$1960,MATCH(1233,'Transfer Engine'!$C$2:$C$1960,0)))</f>
        <v/>
      </c>
      <c r="L1242" s="9">
        <f>IF(ISNA(MATCH(1233,'Transfer Engine'!$C$2:$C$1960,0)),"",INDEX('Compliance Database'!$L$2:$L$1960,MATCH(1233,'Transfer Engine'!$C$2:$C$1960,0)))</f>
        <v/>
      </c>
      <c r="M1242" s="9">
        <f>IF(ISNA(MATCH(1233,'Transfer Engine'!$C$2:$C$1960,0)),"",INDEX('Compliance Database'!$M$2:$M$1960,MATCH(1233,'Transfer Engine'!$C$2:$C$1960,0)))</f>
        <v/>
      </c>
      <c r="N1242" s="9">
        <f>IF(ISNA(MATCH(1233,'Transfer Engine'!$C$2:$C$1960,0)),"",INDEX('Compliance Database'!$N$2:$N$1960,MATCH(1233,'Transfer Engine'!$C$2:$C$1960,0)))</f>
        <v/>
      </c>
      <c r="O1242" s="9">
        <f>IF(ISNA(MATCH(1233,'Transfer Engine'!$C$2:$C$1960,0)),"",INDEX('Compliance Database'!$O$2:$O$1960,MATCH(1233,'Transfer Engine'!$C$2:$C$1960,0)))</f>
        <v/>
      </c>
      <c r="P1242" s="8">
        <f>IF(ISNA(MATCH(1233,'Transfer Engine'!$C$2:$C$1960,0)),"",HYPERLINK("#Acts!A"&amp;INDEX('Compliance Database'!$P$2:$P$1960,MATCH(1233,'Transfer Engine'!$C$2:$C$1960,0)),"Go to Act"))</f>
        <v/>
      </c>
    </row>
    <row r="1243" ht="158" customHeight="1">
      <c r="A1243" s="8">
        <f>IF(ISNA(MATCH(1234,'Transfer Engine'!$C$2:$C$1960,0)),"",INDEX('Compliance Database'!$A$2:$A$1960,MATCH(1234,'Transfer Engine'!$C$2:$C$1960,0)))</f>
        <v/>
      </c>
      <c r="B1243" s="8">
        <f>IF(ISNA(MATCH(1234,'Transfer Engine'!$C$2:$C$1960,0)),"",INDEX('Compliance Database'!$B$2:$B$1960,MATCH(1234,'Transfer Engine'!$C$2:$C$1960,0)))</f>
        <v/>
      </c>
      <c r="C1243" s="8">
        <f>IF(ISNA(MATCH(1234,'Transfer Engine'!$C$2:$C$1960,0)),"",INDEX('Compliance Database'!$C$2:$C$1960,MATCH(1234,'Transfer Engine'!$C$2:$C$1960,0)))</f>
        <v/>
      </c>
      <c r="D1243" s="9">
        <f>IF(ISNA(MATCH(1234,'Transfer Engine'!$C$2:$C$1960,0)),"",INDEX('Compliance Database'!$D$2:$D$1960,MATCH(1234,'Transfer Engine'!$C$2:$C$1960,0)))</f>
        <v/>
      </c>
      <c r="E1243" s="8">
        <f>IF(ISNA(MATCH(1234,'Transfer Engine'!$C$2:$C$1960,0)),"",INDEX('Compliance Database'!$E$2:$E$1960,MATCH(1234,'Transfer Engine'!$C$2:$C$1960,0)))</f>
        <v/>
      </c>
      <c r="F1243" s="8">
        <f>IF(ISNA(MATCH(1234,'Transfer Engine'!$C$2:$C$1960,0)),"",INDEX('Compliance Database'!$F$2:$F$1960,MATCH(1234,'Transfer Engine'!$C$2:$C$1960,0)))</f>
        <v/>
      </c>
      <c r="G1243" s="8">
        <f>IF(ISNA(MATCH(1234,'Transfer Engine'!$C$2:$C$1960,0)),"",INDEX('Compliance Database'!$G$2:$G$1960,MATCH(1234,'Transfer Engine'!$C$2:$C$1960,0)))</f>
        <v/>
      </c>
      <c r="H1243" s="9">
        <f>IF(ISNA(MATCH(1234,'Transfer Engine'!$C$2:$C$1960,0)),"",INDEX('Compliance Database'!$H$2:$H$1960,MATCH(1234,'Transfer Engine'!$C$2:$C$1960,0)))</f>
        <v/>
      </c>
      <c r="I1243" s="9">
        <f>IF(ISNA(MATCH(1234,'Transfer Engine'!$C$2:$C$1960,0)),"",INDEX('Compliance Database'!$I$2:$I$1960,MATCH(1234,'Transfer Engine'!$C$2:$C$1960,0)))</f>
        <v/>
      </c>
      <c r="J1243" s="8">
        <f>IF(ISNA(MATCH(1234,'Transfer Engine'!$C$2:$C$1960,0)),"",INDEX('Compliance Database'!$J$2:$J$1960,MATCH(1234,'Transfer Engine'!$C$2:$C$1960,0)))</f>
        <v/>
      </c>
      <c r="K1243" s="9">
        <f>IF(ISNA(MATCH(1234,'Transfer Engine'!$C$2:$C$1960,0)),"",INDEX('Compliance Database'!$K$2:$K$1960,MATCH(1234,'Transfer Engine'!$C$2:$C$1960,0)))</f>
        <v/>
      </c>
      <c r="L1243" s="9">
        <f>IF(ISNA(MATCH(1234,'Transfer Engine'!$C$2:$C$1960,0)),"",INDEX('Compliance Database'!$L$2:$L$1960,MATCH(1234,'Transfer Engine'!$C$2:$C$1960,0)))</f>
        <v/>
      </c>
      <c r="M1243" s="9">
        <f>IF(ISNA(MATCH(1234,'Transfer Engine'!$C$2:$C$1960,0)),"",INDEX('Compliance Database'!$M$2:$M$1960,MATCH(1234,'Transfer Engine'!$C$2:$C$1960,0)))</f>
        <v/>
      </c>
      <c r="N1243" s="9">
        <f>IF(ISNA(MATCH(1234,'Transfer Engine'!$C$2:$C$1960,0)),"",INDEX('Compliance Database'!$N$2:$N$1960,MATCH(1234,'Transfer Engine'!$C$2:$C$1960,0)))</f>
        <v/>
      </c>
      <c r="O1243" s="9">
        <f>IF(ISNA(MATCH(1234,'Transfer Engine'!$C$2:$C$1960,0)),"",INDEX('Compliance Database'!$O$2:$O$1960,MATCH(1234,'Transfer Engine'!$C$2:$C$1960,0)))</f>
        <v/>
      </c>
      <c r="P1243" s="8">
        <f>IF(ISNA(MATCH(1234,'Transfer Engine'!$C$2:$C$1960,0)),"",HYPERLINK("#Acts!A"&amp;INDEX('Compliance Database'!$P$2:$P$1960,MATCH(1234,'Transfer Engine'!$C$2:$C$1960,0)),"Go to Act"))</f>
        <v/>
      </c>
    </row>
    <row r="1244" ht="158" customHeight="1">
      <c r="A1244" s="8">
        <f>IF(ISNA(MATCH(1235,'Transfer Engine'!$C$2:$C$1960,0)),"",INDEX('Compliance Database'!$A$2:$A$1960,MATCH(1235,'Transfer Engine'!$C$2:$C$1960,0)))</f>
        <v/>
      </c>
      <c r="B1244" s="8">
        <f>IF(ISNA(MATCH(1235,'Transfer Engine'!$C$2:$C$1960,0)),"",INDEX('Compliance Database'!$B$2:$B$1960,MATCH(1235,'Transfer Engine'!$C$2:$C$1960,0)))</f>
        <v/>
      </c>
      <c r="C1244" s="8">
        <f>IF(ISNA(MATCH(1235,'Transfer Engine'!$C$2:$C$1960,0)),"",INDEX('Compliance Database'!$C$2:$C$1960,MATCH(1235,'Transfer Engine'!$C$2:$C$1960,0)))</f>
        <v/>
      </c>
      <c r="D1244" s="9">
        <f>IF(ISNA(MATCH(1235,'Transfer Engine'!$C$2:$C$1960,0)),"",INDEX('Compliance Database'!$D$2:$D$1960,MATCH(1235,'Transfer Engine'!$C$2:$C$1960,0)))</f>
        <v/>
      </c>
      <c r="E1244" s="8">
        <f>IF(ISNA(MATCH(1235,'Transfer Engine'!$C$2:$C$1960,0)),"",INDEX('Compliance Database'!$E$2:$E$1960,MATCH(1235,'Transfer Engine'!$C$2:$C$1960,0)))</f>
        <v/>
      </c>
      <c r="F1244" s="8">
        <f>IF(ISNA(MATCH(1235,'Transfer Engine'!$C$2:$C$1960,0)),"",INDEX('Compliance Database'!$F$2:$F$1960,MATCH(1235,'Transfer Engine'!$C$2:$C$1960,0)))</f>
        <v/>
      </c>
      <c r="G1244" s="8">
        <f>IF(ISNA(MATCH(1235,'Transfer Engine'!$C$2:$C$1960,0)),"",INDEX('Compliance Database'!$G$2:$G$1960,MATCH(1235,'Transfer Engine'!$C$2:$C$1960,0)))</f>
        <v/>
      </c>
      <c r="H1244" s="9">
        <f>IF(ISNA(MATCH(1235,'Transfer Engine'!$C$2:$C$1960,0)),"",INDEX('Compliance Database'!$H$2:$H$1960,MATCH(1235,'Transfer Engine'!$C$2:$C$1960,0)))</f>
        <v/>
      </c>
      <c r="I1244" s="9">
        <f>IF(ISNA(MATCH(1235,'Transfer Engine'!$C$2:$C$1960,0)),"",INDEX('Compliance Database'!$I$2:$I$1960,MATCH(1235,'Transfer Engine'!$C$2:$C$1960,0)))</f>
        <v/>
      </c>
      <c r="J1244" s="8">
        <f>IF(ISNA(MATCH(1235,'Transfer Engine'!$C$2:$C$1960,0)),"",INDEX('Compliance Database'!$J$2:$J$1960,MATCH(1235,'Transfer Engine'!$C$2:$C$1960,0)))</f>
        <v/>
      </c>
      <c r="K1244" s="9">
        <f>IF(ISNA(MATCH(1235,'Transfer Engine'!$C$2:$C$1960,0)),"",INDEX('Compliance Database'!$K$2:$K$1960,MATCH(1235,'Transfer Engine'!$C$2:$C$1960,0)))</f>
        <v/>
      </c>
      <c r="L1244" s="9">
        <f>IF(ISNA(MATCH(1235,'Transfer Engine'!$C$2:$C$1960,0)),"",INDEX('Compliance Database'!$L$2:$L$1960,MATCH(1235,'Transfer Engine'!$C$2:$C$1960,0)))</f>
        <v/>
      </c>
      <c r="M1244" s="9">
        <f>IF(ISNA(MATCH(1235,'Transfer Engine'!$C$2:$C$1960,0)),"",INDEX('Compliance Database'!$M$2:$M$1960,MATCH(1235,'Transfer Engine'!$C$2:$C$1960,0)))</f>
        <v/>
      </c>
      <c r="N1244" s="9">
        <f>IF(ISNA(MATCH(1235,'Transfer Engine'!$C$2:$C$1960,0)),"",INDEX('Compliance Database'!$N$2:$N$1960,MATCH(1235,'Transfer Engine'!$C$2:$C$1960,0)))</f>
        <v/>
      </c>
      <c r="O1244" s="9">
        <f>IF(ISNA(MATCH(1235,'Transfer Engine'!$C$2:$C$1960,0)),"",INDEX('Compliance Database'!$O$2:$O$1960,MATCH(1235,'Transfer Engine'!$C$2:$C$1960,0)))</f>
        <v/>
      </c>
      <c r="P1244" s="8">
        <f>IF(ISNA(MATCH(1235,'Transfer Engine'!$C$2:$C$1960,0)),"",HYPERLINK("#Acts!A"&amp;INDEX('Compliance Database'!$P$2:$P$1960,MATCH(1235,'Transfer Engine'!$C$2:$C$1960,0)),"Go to Act"))</f>
        <v/>
      </c>
    </row>
    <row r="1245" ht="158" customHeight="1">
      <c r="A1245" s="8">
        <f>IF(ISNA(MATCH(1236,'Transfer Engine'!$C$2:$C$1960,0)),"",INDEX('Compliance Database'!$A$2:$A$1960,MATCH(1236,'Transfer Engine'!$C$2:$C$1960,0)))</f>
        <v/>
      </c>
      <c r="B1245" s="8">
        <f>IF(ISNA(MATCH(1236,'Transfer Engine'!$C$2:$C$1960,0)),"",INDEX('Compliance Database'!$B$2:$B$1960,MATCH(1236,'Transfer Engine'!$C$2:$C$1960,0)))</f>
        <v/>
      </c>
      <c r="C1245" s="8">
        <f>IF(ISNA(MATCH(1236,'Transfer Engine'!$C$2:$C$1960,0)),"",INDEX('Compliance Database'!$C$2:$C$1960,MATCH(1236,'Transfer Engine'!$C$2:$C$1960,0)))</f>
        <v/>
      </c>
      <c r="D1245" s="9">
        <f>IF(ISNA(MATCH(1236,'Transfer Engine'!$C$2:$C$1960,0)),"",INDEX('Compliance Database'!$D$2:$D$1960,MATCH(1236,'Transfer Engine'!$C$2:$C$1960,0)))</f>
        <v/>
      </c>
      <c r="E1245" s="8">
        <f>IF(ISNA(MATCH(1236,'Transfer Engine'!$C$2:$C$1960,0)),"",INDEX('Compliance Database'!$E$2:$E$1960,MATCH(1236,'Transfer Engine'!$C$2:$C$1960,0)))</f>
        <v/>
      </c>
      <c r="F1245" s="8">
        <f>IF(ISNA(MATCH(1236,'Transfer Engine'!$C$2:$C$1960,0)),"",INDEX('Compliance Database'!$F$2:$F$1960,MATCH(1236,'Transfer Engine'!$C$2:$C$1960,0)))</f>
        <v/>
      </c>
      <c r="G1245" s="8">
        <f>IF(ISNA(MATCH(1236,'Transfer Engine'!$C$2:$C$1960,0)),"",INDEX('Compliance Database'!$G$2:$G$1960,MATCH(1236,'Transfer Engine'!$C$2:$C$1960,0)))</f>
        <v/>
      </c>
      <c r="H1245" s="9">
        <f>IF(ISNA(MATCH(1236,'Transfer Engine'!$C$2:$C$1960,0)),"",INDEX('Compliance Database'!$H$2:$H$1960,MATCH(1236,'Transfer Engine'!$C$2:$C$1960,0)))</f>
        <v/>
      </c>
      <c r="I1245" s="9">
        <f>IF(ISNA(MATCH(1236,'Transfer Engine'!$C$2:$C$1960,0)),"",INDEX('Compliance Database'!$I$2:$I$1960,MATCH(1236,'Transfer Engine'!$C$2:$C$1960,0)))</f>
        <v/>
      </c>
      <c r="J1245" s="8">
        <f>IF(ISNA(MATCH(1236,'Transfer Engine'!$C$2:$C$1960,0)),"",INDEX('Compliance Database'!$J$2:$J$1960,MATCH(1236,'Transfer Engine'!$C$2:$C$1960,0)))</f>
        <v/>
      </c>
      <c r="K1245" s="9">
        <f>IF(ISNA(MATCH(1236,'Transfer Engine'!$C$2:$C$1960,0)),"",INDEX('Compliance Database'!$K$2:$K$1960,MATCH(1236,'Transfer Engine'!$C$2:$C$1960,0)))</f>
        <v/>
      </c>
      <c r="L1245" s="9">
        <f>IF(ISNA(MATCH(1236,'Transfer Engine'!$C$2:$C$1960,0)),"",INDEX('Compliance Database'!$L$2:$L$1960,MATCH(1236,'Transfer Engine'!$C$2:$C$1960,0)))</f>
        <v/>
      </c>
      <c r="M1245" s="9">
        <f>IF(ISNA(MATCH(1236,'Transfer Engine'!$C$2:$C$1960,0)),"",INDEX('Compliance Database'!$M$2:$M$1960,MATCH(1236,'Transfer Engine'!$C$2:$C$1960,0)))</f>
        <v/>
      </c>
      <c r="N1245" s="9">
        <f>IF(ISNA(MATCH(1236,'Transfer Engine'!$C$2:$C$1960,0)),"",INDEX('Compliance Database'!$N$2:$N$1960,MATCH(1236,'Transfer Engine'!$C$2:$C$1960,0)))</f>
        <v/>
      </c>
      <c r="O1245" s="9">
        <f>IF(ISNA(MATCH(1236,'Transfer Engine'!$C$2:$C$1960,0)),"",INDEX('Compliance Database'!$O$2:$O$1960,MATCH(1236,'Transfer Engine'!$C$2:$C$1960,0)))</f>
        <v/>
      </c>
      <c r="P1245" s="8">
        <f>IF(ISNA(MATCH(1236,'Transfer Engine'!$C$2:$C$1960,0)),"",HYPERLINK("#Acts!A"&amp;INDEX('Compliance Database'!$P$2:$P$1960,MATCH(1236,'Transfer Engine'!$C$2:$C$1960,0)),"Go to Act"))</f>
        <v/>
      </c>
    </row>
    <row r="1246" ht="158" customHeight="1">
      <c r="A1246" s="8">
        <f>IF(ISNA(MATCH(1237,'Transfer Engine'!$C$2:$C$1960,0)),"",INDEX('Compliance Database'!$A$2:$A$1960,MATCH(1237,'Transfer Engine'!$C$2:$C$1960,0)))</f>
        <v/>
      </c>
      <c r="B1246" s="8">
        <f>IF(ISNA(MATCH(1237,'Transfer Engine'!$C$2:$C$1960,0)),"",INDEX('Compliance Database'!$B$2:$B$1960,MATCH(1237,'Transfer Engine'!$C$2:$C$1960,0)))</f>
        <v/>
      </c>
      <c r="C1246" s="8">
        <f>IF(ISNA(MATCH(1237,'Transfer Engine'!$C$2:$C$1960,0)),"",INDEX('Compliance Database'!$C$2:$C$1960,MATCH(1237,'Transfer Engine'!$C$2:$C$1960,0)))</f>
        <v/>
      </c>
      <c r="D1246" s="9">
        <f>IF(ISNA(MATCH(1237,'Transfer Engine'!$C$2:$C$1960,0)),"",INDEX('Compliance Database'!$D$2:$D$1960,MATCH(1237,'Transfer Engine'!$C$2:$C$1960,0)))</f>
        <v/>
      </c>
      <c r="E1246" s="8">
        <f>IF(ISNA(MATCH(1237,'Transfer Engine'!$C$2:$C$1960,0)),"",INDEX('Compliance Database'!$E$2:$E$1960,MATCH(1237,'Transfer Engine'!$C$2:$C$1960,0)))</f>
        <v/>
      </c>
      <c r="F1246" s="8">
        <f>IF(ISNA(MATCH(1237,'Transfer Engine'!$C$2:$C$1960,0)),"",INDEX('Compliance Database'!$F$2:$F$1960,MATCH(1237,'Transfer Engine'!$C$2:$C$1960,0)))</f>
        <v/>
      </c>
      <c r="G1246" s="8">
        <f>IF(ISNA(MATCH(1237,'Transfer Engine'!$C$2:$C$1960,0)),"",INDEX('Compliance Database'!$G$2:$G$1960,MATCH(1237,'Transfer Engine'!$C$2:$C$1960,0)))</f>
        <v/>
      </c>
      <c r="H1246" s="9">
        <f>IF(ISNA(MATCH(1237,'Transfer Engine'!$C$2:$C$1960,0)),"",INDEX('Compliance Database'!$H$2:$H$1960,MATCH(1237,'Transfer Engine'!$C$2:$C$1960,0)))</f>
        <v/>
      </c>
      <c r="I1246" s="9">
        <f>IF(ISNA(MATCH(1237,'Transfer Engine'!$C$2:$C$1960,0)),"",INDEX('Compliance Database'!$I$2:$I$1960,MATCH(1237,'Transfer Engine'!$C$2:$C$1960,0)))</f>
        <v/>
      </c>
      <c r="J1246" s="8">
        <f>IF(ISNA(MATCH(1237,'Transfer Engine'!$C$2:$C$1960,0)),"",INDEX('Compliance Database'!$J$2:$J$1960,MATCH(1237,'Transfer Engine'!$C$2:$C$1960,0)))</f>
        <v/>
      </c>
      <c r="K1246" s="9">
        <f>IF(ISNA(MATCH(1237,'Transfer Engine'!$C$2:$C$1960,0)),"",INDEX('Compliance Database'!$K$2:$K$1960,MATCH(1237,'Transfer Engine'!$C$2:$C$1960,0)))</f>
        <v/>
      </c>
      <c r="L1246" s="9">
        <f>IF(ISNA(MATCH(1237,'Transfer Engine'!$C$2:$C$1960,0)),"",INDEX('Compliance Database'!$L$2:$L$1960,MATCH(1237,'Transfer Engine'!$C$2:$C$1960,0)))</f>
        <v/>
      </c>
      <c r="M1246" s="9">
        <f>IF(ISNA(MATCH(1237,'Transfer Engine'!$C$2:$C$1960,0)),"",INDEX('Compliance Database'!$M$2:$M$1960,MATCH(1237,'Transfer Engine'!$C$2:$C$1960,0)))</f>
        <v/>
      </c>
      <c r="N1246" s="9">
        <f>IF(ISNA(MATCH(1237,'Transfer Engine'!$C$2:$C$1960,0)),"",INDEX('Compliance Database'!$N$2:$N$1960,MATCH(1237,'Transfer Engine'!$C$2:$C$1960,0)))</f>
        <v/>
      </c>
      <c r="O1246" s="9">
        <f>IF(ISNA(MATCH(1237,'Transfer Engine'!$C$2:$C$1960,0)),"",INDEX('Compliance Database'!$O$2:$O$1960,MATCH(1237,'Transfer Engine'!$C$2:$C$1960,0)))</f>
        <v/>
      </c>
      <c r="P1246" s="8">
        <f>IF(ISNA(MATCH(1237,'Transfer Engine'!$C$2:$C$1960,0)),"",HYPERLINK("#Acts!A"&amp;INDEX('Compliance Database'!$P$2:$P$1960,MATCH(1237,'Transfer Engine'!$C$2:$C$1960,0)),"Go to Act"))</f>
        <v/>
      </c>
    </row>
    <row r="1247" ht="158" customHeight="1">
      <c r="A1247" s="8">
        <f>IF(ISNA(MATCH(1238,'Transfer Engine'!$C$2:$C$1960,0)),"",INDEX('Compliance Database'!$A$2:$A$1960,MATCH(1238,'Transfer Engine'!$C$2:$C$1960,0)))</f>
        <v/>
      </c>
      <c r="B1247" s="8">
        <f>IF(ISNA(MATCH(1238,'Transfer Engine'!$C$2:$C$1960,0)),"",INDEX('Compliance Database'!$B$2:$B$1960,MATCH(1238,'Transfer Engine'!$C$2:$C$1960,0)))</f>
        <v/>
      </c>
      <c r="C1247" s="8">
        <f>IF(ISNA(MATCH(1238,'Transfer Engine'!$C$2:$C$1960,0)),"",INDEX('Compliance Database'!$C$2:$C$1960,MATCH(1238,'Transfer Engine'!$C$2:$C$1960,0)))</f>
        <v/>
      </c>
      <c r="D1247" s="9">
        <f>IF(ISNA(MATCH(1238,'Transfer Engine'!$C$2:$C$1960,0)),"",INDEX('Compliance Database'!$D$2:$D$1960,MATCH(1238,'Transfer Engine'!$C$2:$C$1960,0)))</f>
        <v/>
      </c>
      <c r="E1247" s="8">
        <f>IF(ISNA(MATCH(1238,'Transfer Engine'!$C$2:$C$1960,0)),"",INDEX('Compliance Database'!$E$2:$E$1960,MATCH(1238,'Transfer Engine'!$C$2:$C$1960,0)))</f>
        <v/>
      </c>
      <c r="F1247" s="8">
        <f>IF(ISNA(MATCH(1238,'Transfer Engine'!$C$2:$C$1960,0)),"",INDEX('Compliance Database'!$F$2:$F$1960,MATCH(1238,'Transfer Engine'!$C$2:$C$1960,0)))</f>
        <v/>
      </c>
      <c r="G1247" s="8">
        <f>IF(ISNA(MATCH(1238,'Transfer Engine'!$C$2:$C$1960,0)),"",INDEX('Compliance Database'!$G$2:$G$1960,MATCH(1238,'Transfer Engine'!$C$2:$C$1960,0)))</f>
        <v/>
      </c>
      <c r="H1247" s="9">
        <f>IF(ISNA(MATCH(1238,'Transfer Engine'!$C$2:$C$1960,0)),"",INDEX('Compliance Database'!$H$2:$H$1960,MATCH(1238,'Transfer Engine'!$C$2:$C$1960,0)))</f>
        <v/>
      </c>
      <c r="I1247" s="9">
        <f>IF(ISNA(MATCH(1238,'Transfer Engine'!$C$2:$C$1960,0)),"",INDEX('Compliance Database'!$I$2:$I$1960,MATCH(1238,'Transfer Engine'!$C$2:$C$1960,0)))</f>
        <v/>
      </c>
      <c r="J1247" s="8">
        <f>IF(ISNA(MATCH(1238,'Transfer Engine'!$C$2:$C$1960,0)),"",INDEX('Compliance Database'!$J$2:$J$1960,MATCH(1238,'Transfer Engine'!$C$2:$C$1960,0)))</f>
        <v/>
      </c>
      <c r="K1247" s="9">
        <f>IF(ISNA(MATCH(1238,'Transfer Engine'!$C$2:$C$1960,0)),"",INDEX('Compliance Database'!$K$2:$K$1960,MATCH(1238,'Transfer Engine'!$C$2:$C$1960,0)))</f>
        <v/>
      </c>
      <c r="L1247" s="9">
        <f>IF(ISNA(MATCH(1238,'Transfer Engine'!$C$2:$C$1960,0)),"",INDEX('Compliance Database'!$L$2:$L$1960,MATCH(1238,'Transfer Engine'!$C$2:$C$1960,0)))</f>
        <v/>
      </c>
      <c r="M1247" s="9">
        <f>IF(ISNA(MATCH(1238,'Transfer Engine'!$C$2:$C$1960,0)),"",INDEX('Compliance Database'!$M$2:$M$1960,MATCH(1238,'Transfer Engine'!$C$2:$C$1960,0)))</f>
        <v/>
      </c>
      <c r="N1247" s="9">
        <f>IF(ISNA(MATCH(1238,'Transfer Engine'!$C$2:$C$1960,0)),"",INDEX('Compliance Database'!$N$2:$N$1960,MATCH(1238,'Transfer Engine'!$C$2:$C$1960,0)))</f>
        <v/>
      </c>
      <c r="O1247" s="9">
        <f>IF(ISNA(MATCH(1238,'Transfer Engine'!$C$2:$C$1960,0)),"",INDEX('Compliance Database'!$O$2:$O$1960,MATCH(1238,'Transfer Engine'!$C$2:$C$1960,0)))</f>
        <v/>
      </c>
      <c r="P1247" s="8">
        <f>IF(ISNA(MATCH(1238,'Transfer Engine'!$C$2:$C$1960,0)),"",HYPERLINK("#Acts!A"&amp;INDEX('Compliance Database'!$P$2:$P$1960,MATCH(1238,'Transfer Engine'!$C$2:$C$1960,0)),"Go to Act"))</f>
        <v/>
      </c>
    </row>
    <row r="1248" ht="158" customHeight="1">
      <c r="A1248" s="8">
        <f>IF(ISNA(MATCH(1239,'Transfer Engine'!$C$2:$C$1960,0)),"",INDEX('Compliance Database'!$A$2:$A$1960,MATCH(1239,'Transfer Engine'!$C$2:$C$1960,0)))</f>
        <v/>
      </c>
      <c r="B1248" s="8">
        <f>IF(ISNA(MATCH(1239,'Transfer Engine'!$C$2:$C$1960,0)),"",INDEX('Compliance Database'!$B$2:$B$1960,MATCH(1239,'Transfer Engine'!$C$2:$C$1960,0)))</f>
        <v/>
      </c>
      <c r="C1248" s="8">
        <f>IF(ISNA(MATCH(1239,'Transfer Engine'!$C$2:$C$1960,0)),"",INDEX('Compliance Database'!$C$2:$C$1960,MATCH(1239,'Transfer Engine'!$C$2:$C$1960,0)))</f>
        <v/>
      </c>
      <c r="D1248" s="9">
        <f>IF(ISNA(MATCH(1239,'Transfer Engine'!$C$2:$C$1960,0)),"",INDEX('Compliance Database'!$D$2:$D$1960,MATCH(1239,'Transfer Engine'!$C$2:$C$1960,0)))</f>
        <v/>
      </c>
      <c r="E1248" s="8">
        <f>IF(ISNA(MATCH(1239,'Transfer Engine'!$C$2:$C$1960,0)),"",INDEX('Compliance Database'!$E$2:$E$1960,MATCH(1239,'Transfer Engine'!$C$2:$C$1960,0)))</f>
        <v/>
      </c>
      <c r="F1248" s="8">
        <f>IF(ISNA(MATCH(1239,'Transfer Engine'!$C$2:$C$1960,0)),"",INDEX('Compliance Database'!$F$2:$F$1960,MATCH(1239,'Transfer Engine'!$C$2:$C$1960,0)))</f>
        <v/>
      </c>
      <c r="G1248" s="8">
        <f>IF(ISNA(MATCH(1239,'Transfer Engine'!$C$2:$C$1960,0)),"",INDEX('Compliance Database'!$G$2:$G$1960,MATCH(1239,'Transfer Engine'!$C$2:$C$1960,0)))</f>
        <v/>
      </c>
      <c r="H1248" s="9">
        <f>IF(ISNA(MATCH(1239,'Transfer Engine'!$C$2:$C$1960,0)),"",INDEX('Compliance Database'!$H$2:$H$1960,MATCH(1239,'Transfer Engine'!$C$2:$C$1960,0)))</f>
        <v/>
      </c>
      <c r="I1248" s="9">
        <f>IF(ISNA(MATCH(1239,'Transfer Engine'!$C$2:$C$1960,0)),"",INDEX('Compliance Database'!$I$2:$I$1960,MATCH(1239,'Transfer Engine'!$C$2:$C$1960,0)))</f>
        <v/>
      </c>
      <c r="J1248" s="8">
        <f>IF(ISNA(MATCH(1239,'Transfer Engine'!$C$2:$C$1960,0)),"",INDEX('Compliance Database'!$J$2:$J$1960,MATCH(1239,'Transfer Engine'!$C$2:$C$1960,0)))</f>
        <v/>
      </c>
      <c r="K1248" s="9">
        <f>IF(ISNA(MATCH(1239,'Transfer Engine'!$C$2:$C$1960,0)),"",INDEX('Compliance Database'!$K$2:$K$1960,MATCH(1239,'Transfer Engine'!$C$2:$C$1960,0)))</f>
        <v/>
      </c>
      <c r="L1248" s="9">
        <f>IF(ISNA(MATCH(1239,'Transfer Engine'!$C$2:$C$1960,0)),"",INDEX('Compliance Database'!$L$2:$L$1960,MATCH(1239,'Transfer Engine'!$C$2:$C$1960,0)))</f>
        <v/>
      </c>
      <c r="M1248" s="9">
        <f>IF(ISNA(MATCH(1239,'Transfer Engine'!$C$2:$C$1960,0)),"",INDEX('Compliance Database'!$M$2:$M$1960,MATCH(1239,'Transfer Engine'!$C$2:$C$1960,0)))</f>
        <v/>
      </c>
      <c r="N1248" s="9">
        <f>IF(ISNA(MATCH(1239,'Transfer Engine'!$C$2:$C$1960,0)),"",INDEX('Compliance Database'!$N$2:$N$1960,MATCH(1239,'Transfer Engine'!$C$2:$C$1960,0)))</f>
        <v/>
      </c>
      <c r="O1248" s="9">
        <f>IF(ISNA(MATCH(1239,'Transfer Engine'!$C$2:$C$1960,0)),"",INDEX('Compliance Database'!$O$2:$O$1960,MATCH(1239,'Transfer Engine'!$C$2:$C$1960,0)))</f>
        <v/>
      </c>
      <c r="P1248" s="8">
        <f>IF(ISNA(MATCH(1239,'Transfer Engine'!$C$2:$C$1960,0)),"",HYPERLINK("#Acts!A"&amp;INDEX('Compliance Database'!$P$2:$P$1960,MATCH(1239,'Transfer Engine'!$C$2:$C$1960,0)),"Go to Act"))</f>
        <v/>
      </c>
    </row>
    <row r="1249" ht="158" customHeight="1">
      <c r="A1249" s="8">
        <f>IF(ISNA(MATCH(1240,'Transfer Engine'!$C$2:$C$1960,0)),"",INDEX('Compliance Database'!$A$2:$A$1960,MATCH(1240,'Transfer Engine'!$C$2:$C$1960,0)))</f>
        <v/>
      </c>
      <c r="B1249" s="8">
        <f>IF(ISNA(MATCH(1240,'Transfer Engine'!$C$2:$C$1960,0)),"",INDEX('Compliance Database'!$B$2:$B$1960,MATCH(1240,'Transfer Engine'!$C$2:$C$1960,0)))</f>
        <v/>
      </c>
      <c r="C1249" s="8">
        <f>IF(ISNA(MATCH(1240,'Transfer Engine'!$C$2:$C$1960,0)),"",INDEX('Compliance Database'!$C$2:$C$1960,MATCH(1240,'Transfer Engine'!$C$2:$C$1960,0)))</f>
        <v/>
      </c>
      <c r="D1249" s="9">
        <f>IF(ISNA(MATCH(1240,'Transfer Engine'!$C$2:$C$1960,0)),"",INDEX('Compliance Database'!$D$2:$D$1960,MATCH(1240,'Transfer Engine'!$C$2:$C$1960,0)))</f>
        <v/>
      </c>
      <c r="E1249" s="8">
        <f>IF(ISNA(MATCH(1240,'Transfer Engine'!$C$2:$C$1960,0)),"",INDEX('Compliance Database'!$E$2:$E$1960,MATCH(1240,'Transfer Engine'!$C$2:$C$1960,0)))</f>
        <v/>
      </c>
      <c r="F1249" s="8">
        <f>IF(ISNA(MATCH(1240,'Transfer Engine'!$C$2:$C$1960,0)),"",INDEX('Compliance Database'!$F$2:$F$1960,MATCH(1240,'Transfer Engine'!$C$2:$C$1960,0)))</f>
        <v/>
      </c>
      <c r="G1249" s="8">
        <f>IF(ISNA(MATCH(1240,'Transfer Engine'!$C$2:$C$1960,0)),"",INDEX('Compliance Database'!$G$2:$G$1960,MATCH(1240,'Transfer Engine'!$C$2:$C$1960,0)))</f>
        <v/>
      </c>
      <c r="H1249" s="9">
        <f>IF(ISNA(MATCH(1240,'Transfer Engine'!$C$2:$C$1960,0)),"",INDEX('Compliance Database'!$H$2:$H$1960,MATCH(1240,'Transfer Engine'!$C$2:$C$1960,0)))</f>
        <v/>
      </c>
      <c r="I1249" s="9">
        <f>IF(ISNA(MATCH(1240,'Transfer Engine'!$C$2:$C$1960,0)),"",INDEX('Compliance Database'!$I$2:$I$1960,MATCH(1240,'Transfer Engine'!$C$2:$C$1960,0)))</f>
        <v/>
      </c>
      <c r="J1249" s="8">
        <f>IF(ISNA(MATCH(1240,'Transfer Engine'!$C$2:$C$1960,0)),"",INDEX('Compliance Database'!$J$2:$J$1960,MATCH(1240,'Transfer Engine'!$C$2:$C$1960,0)))</f>
        <v/>
      </c>
      <c r="K1249" s="9">
        <f>IF(ISNA(MATCH(1240,'Transfer Engine'!$C$2:$C$1960,0)),"",INDEX('Compliance Database'!$K$2:$K$1960,MATCH(1240,'Transfer Engine'!$C$2:$C$1960,0)))</f>
        <v/>
      </c>
      <c r="L1249" s="9">
        <f>IF(ISNA(MATCH(1240,'Transfer Engine'!$C$2:$C$1960,0)),"",INDEX('Compliance Database'!$L$2:$L$1960,MATCH(1240,'Transfer Engine'!$C$2:$C$1960,0)))</f>
        <v/>
      </c>
      <c r="M1249" s="9">
        <f>IF(ISNA(MATCH(1240,'Transfer Engine'!$C$2:$C$1960,0)),"",INDEX('Compliance Database'!$M$2:$M$1960,MATCH(1240,'Transfer Engine'!$C$2:$C$1960,0)))</f>
        <v/>
      </c>
      <c r="N1249" s="9">
        <f>IF(ISNA(MATCH(1240,'Transfer Engine'!$C$2:$C$1960,0)),"",INDEX('Compliance Database'!$N$2:$N$1960,MATCH(1240,'Transfer Engine'!$C$2:$C$1960,0)))</f>
        <v/>
      </c>
      <c r="O1249" s="9">
        <f>IF(ISNA(MATCH(1240,'Transfer Engine'!$C$2:$C$1960,0)),"",INDEX('Compliance Database'!$O$2:$O$1960,MATCH(1240,'Transfer Engine'!$C$2:$C$1960,0)))</f>
        <v/>
      </c>
      <c r="P1249" s="8">
        <f>IF(ISNA(MATCH(1240,'Transfer Engine'!$C$2:$C$1960,0)),"",HYPERLINK("#Acts!A"&amp;INDEX('Compliance Database'!$P$2:$P$1960,MATCH(1240,'Transfer Engine'!$C$2:$C$1960,0)),"Go to Act"))</f>
        <v/>
      </c>
    </row>
    <row r="1250" ht="158" customHeight="1">
      <c r="A1250" s="8">
        <f>IF(ISNA(MATCH(1241,'Transfer Engine'!$C$2:$C$1960,0)),"",INDEX('Compliance Database'!$A$2:$A$1960,MATCH(1241,'Transfer Engine'!$C$2:$C$1960,0)))</f>
        <v/>
      </c>
      <c r="B1250" s="8">
        <f>IF(ISNA(MATCH(1241,'Transfer Engine'!$C$2:$C$1960,0)),"",INDEX('Compliance Database'!$B$2:$B$1960,MATCH(1241,'Transfer Engine'!$C$2:$C$1960,0)))</f>
        <v/>
      </c>
      <c r="C1250" s="8">
        <f>IF(ISNA(MATCH(1241,'Transfer Engine'!$C$2:$C$1960,0)),"",INDEX('Compliance Database'!$C$2:$C$1960,MATCH(1241,'Transfer Engine'!$C$2:$C$1960,0)))</f>
        <v/>
      </c>
      <c r="D1250" s="9">
        <f>IF(ISNA(MATCH(1241,'Transfer Engine'!$C$2:$C$1960,0)),"",INDEX('Compliance Database'!$D$2:$D$1960,MATCH(1241,'Transfer Engine'!$C$2:$C$1960,0)))</f>
        <v/>
      </c>
      <c r="E1250" s="8">
        <f>IF(ISNA(MATCH(1241,'Transfer Engine'!$C$2:$C$1960,0)),"",INDEX('Compliance Database'!$E$2:$E$1960,MATCH(1241,'Transfer Engine'!$C$2:$C$1960,0)))</f>
        <v/>
      </c>
      <c r="F1250" s="8">
        <f>IF(ISNA(MATCH(1241,'Transfer Engine'!$C$2:$C$1960,0)),"",INDEX('Compliance Database'!$F$2:$F$1960,MATCH(1241,'Transfer Engine'!$C$2:$C$1960,0)))</f>
        <v/>
      </c>
      <c r="G1250" s="8">
        <f>IF(ISNA(MATCH(1241,'Transfer Engine'!$C$2:$C$1960,0)),"",INDEX('Compliance Database'!$G$2:$G$1960,MATCH(1241,'Transfer Engine'!$C$2:$C$1960,0)))</f>
        <v/>
      </c>
      <c r="H1250" s="9">
        <f>IF(ISNA(MATCH(1241,'Transfer Engine'!$C$2:$C$1960,0)),"",INDEX('Compliance Database'!$H$2:$H$1960,MATCH(1241,'Transfer Engine'!$C$2:$C$1960,0)))</f>
        <v/>
      </c>
      <c r="I1250" s="9">
        <f>IF(ISNA(MATCH(1241,'Transfer Engine'!$C$2:$C$1960,0)),"",INDEX('Compliance Database'!$I$2:$I$1960,MATCH(1241,'Transfer Engine'!$C$2:$C$1960,0)))</f>
        <v/>
      </c>
      <c r="J1250" s="8">
        <f>IF(ISNA(MATCH(1241,'Transfer Engine'!$C$2:$C$1960,0)),"",INDEX('Compliance Database'!$J$2:$J$1960,MATCH(1241,'Transfer Engine'!$C$2:$C$1960,0)))</f>
        <v/>
      </c>
      <c r="K1250" s="9">
        <f>IF(ISNA(MATCH(1241,'Transfer Engine'!$C$2:$C$1960,0)),"",INDEX('Compliance Database'!$K$2:$K$1960,MATCH(1241,'Transfer Engine'!$C$2:$C$1960,0)))</f>
        <v/>
      </c>
      <c r="L1250" s="9">
        <f>IF(ISNA(MATCH(1241,'Transfer Engine'!$C$2:$C$1960,0)),"",INDEX('Compliance Database'!$L$2:$L$1960,MATCH(1241,'Transfer Engine'!$C$2:$C$1960,0)))</f>
        <v/>
      </c>
      <c r="M1250" s="9">
        <f>IF(ISNA(MATCH(1241,'Transfer Engine'!$C$2:$C$1960,0)),"",INDEX('Compliance Database'!$M$2:$M$1960,MATCH(1241,'Transfer Engine'!$C$2:$C$1960,0)))</f>
        <v/>
      </c>
      <c r="N1250" s="9">
        <f>IF(ISNA(MATCH(1241,'Transfer Engine'!$C$2:$C$1960,0)),"",INDEX('Compliance Database'!$N$2:$N$1960,MATCH(1241,'Transfer Engine'!$C$2:$C$1960,0)))</f>
        <v/>
      </c>
      <c r="O1250" s="9">
        <f>IF(ISNA(MATCH(1241,'Transfer Engine'!$C$2:$C$1960,0)),"",INDEX('Compliance Database'!$O$2:$O$1960,MATCH(1241,'Transfer Engine'!$C$2:$C$1960,0)))</f>
        <v/>
      </c>
      <c r="P1250" s="8">
        <f>IF(ISNA(MATCH(1241,'Transfer Engine'!$C$2:$C$1960,0)),"",HYPERLINK("#Acts!A"&amp;INDEX('Compliance Database'!$P$2:$P$1960,MATCH(1241,'Transfer Engine'!$C$2:$C$1960,0)),"Go to Act"))</f>
        <v/>
      </c>
    </row>
    <row r="1251" ht="158" customHeight="1">
      <c r="A1251" s="8">
        <f>IF(ISNA(MATCH(1242,'Transfer Engine'!$C$2:$C$1960,0)),"",INDEX('Compliance Database'!$A$2:$A$1960,MATCH(1242,'Transfer Engine'!$C$2:$C$1960,0)))</f>
        <v/>
      </c>
      <c r="B1251" s="8">
        <f>IF(ISNA(MATCH(1242,'Transfer Engine'!$C$2:$C$1960,0)),"",INDEX('Compliance Database'!$B$2:$B$1960,MATCH(1242,'Transfer Engine'!$C$2:$C$1960,0)))</f>
        <v/>
      </c>
      <c r="C1251" s="8">
        <f>IF(ISNA(MATCH(1242,'Transfer Engine'!$C$2:$C$1960,0)),"",INDEX('Compliance Database'!$C$2:$C$1960,MATCH(1242,'Transfer Engine'!$C$2:$C$1960,0)))</f>
        <v/>
      </c>
      <c r="D1251" s="9">
        <f>IF(ISNA(MATCH(1242,'Transfer Engine'!$C$2:$C$1960,0)),"",INDEX('Compliance Database'!$D$2:$D$1960,MATCH(1242,'Transfer Engine'!$C$2:$C$1960,0)))</f>
        <v/>
      </c>
      <c r="E1251" s="8">
        <f>IF(ISNA(MATCH(1242,'Transfer Engine'!$C$2:$C$1960,0)),"",INDEX('Compliance Database'!$E$2:$E$1960,MATCH(1242,'Transfer Engine'!$C$2:$C$1960,0)))</f>
        <v/>
      </c>
      <c r="F1251" s="8">
        <f>IF(ISNA(MATCH(1242,'Transfer Engine'!$C$2:$C$1960,0)),"",INDEX('Compliance Database'!$F$2:$F$1960,MATCH(1242,'Transfer Engine'!$C$2:$C$1960,0)))</f>
        <v/>
      </c>
      <c r="G1251" s="8">
        <f>IF(ISNA(MATCH(1242,'Transfer Engine'!$C$2:$C$1960,0)),"",INDEX('Compliance Database'!$G$2:$G$1960,MATCH(1242,'Transfer Engine'!$C$2:$C$1960,0)))</f>
        <v/>
      </c>
      <c r="H1251" s="9">
        <f>IF(ISNA(MATCH(1242,'Transfer Engine'!$C$2:$C$1960,0)),"",INDEX('Compliance Database'!$H$2:$H$1960,MATCH(1242,'Transfer Engine'!$C$2:$C$1960,0)))</f>
        <v/>
      </c>
      <c r="I1251" s="9">
        <f>IF(ISNA(MATCH(1242,'Transfer Engine'!$C$2:$C$1960,0)),"",INDEX('Compliance Database'!$I$2:$I$1960,MATCH(1242,'Transfer Engine'!$C$2:$C$1960,0)))</f>
        <v/>
      </c>
      <c r="J1251" s="8">
        <f>IF(ISNA(MATCH(1242,'Transfer Engine'!$C$2:$C$1960,0)),"",INDEX('Compliance Database'!$J$2:$J$1960,MATCH(1242,'Transfer Engine'!$C$2:$C$1960,0)))</f>
        <v/>
      </c>
      <c r="K1251" s="9">
        <f>IF(ISNA(MATCH(1242,'Transfer Engine'!$C$2:$C$1960,0)),"",INDEX('Compliance Database'!$K$2:$K$1960,MATCH(1242,'Transfer Engine'!$C$2:$C$1960,0)))</f>
        <v/>
      </c>
      <c r="L1251" s="9">
        <f>IF(ISNA(MATCH(1242,'Transfer Engine'!$C$2:$C$1960,0)),"",INDEX('Compliance Database'!$L$2:$L$1960,MATCH(1242,'Transfer Engine'!$C$2:$C$1960,0)))</f>
        <v/>
      </c>
      <c r="M1251" s="9">
        <f>IF(ISNA(MATCH(1242,'Transfer Engine'!$C$2:$C$1960,0)),"",INDEX('Compliance Database'!$M$2:$M$1960,MATCH(1242,'Transfer Engine'!$C$2:$C$1960,0)))</f>
        <v/>
      </c>
      <c r="N1251" s="9">
        <f>IF(ISNA(MATCH(1242,'Transfer Engine'!$C$2:$C$1960,0)),"",INDEX('Compliance Database'!$N$2:$N$1960,MATCH(1242,'Transfer Engine'!$C$2:$C$1960,0)))</f>
        <v/>
      </c>
      <c r="O1251" s="9">
        <f>IF(ISNA(MATCH(1242,'Transfer Engine'!$C$2:$C$1960,0)),"",INDEX('Compliance Database'!$O$2:$O$1960,MATCH(1242,'Transfer Engine'!$C$2:$C$1960,0)))</f>
        <v/>
      </c>
      <c r="P1251" s="8">
        <f>IF(ISNA(MATCH(1242,'Transfer Engine'!$C$2:$C$1960,0)),"",HYPERLINK("#Acts!A"&amp;INDEX('Compliance Database'!$P$2:$P$1960,MATCH(1242,'Transfer Engine'!$C$2:$C$1960,0)),"Go to Act"))</f>
        <v/>
      </c>
    </row>
    <row r="1252" ht="158" customHeight="1">
      <c r="A1252" s="8">
        <f>IF(ISNA(MATCH(1243,'Transfer Engine'!$C$2:$C$1960,0)),"",INDEX('Compliance Database'!$A$2:$A$1960,MATCH(1243,'Transfer Engine'!$C$2:$C$1960,0)))</f>
        <v/>
      </c>
      <c r="B1252" s="8">
        <f>IF(ISNA(MATCH(1243,'Transfer Engine'!$C$2:$C$1960,0)),"",INDEX('Compliance Database'!$B$2:$B$1960,MATCH(1243,'Transfer Engine'!$C$2:$C$1960,0)))</f>
        <v/>
      </c>
      <c r="C1252" s="8">
        <f>IF(ISNA(MATCH(1243,'Transfer Engine'!$C$2:$C$1960,0)),"",INDEX('Compliance Database'!$C$2:$C$1960,MATCH(1243,'Transfer Engine'!$C$2:$C$1960,0)))</f>
        <v/>
      </c>
      <c r="D1252" s="9">
        <f>IF(ISNA(MATCH(1243,'Transfer Engine'!$C$2:$C$1960,0)),"",INDEX('Compliance Database'!$D$2:$D$1960,MATCH(1243,'Transfer Engine'!$C$2:$C$1960,0)))</f>
        <v/>
      </c>
      <c r="E1252" s="8">
        <f>IF(ISNA(MATCH(1243,'Transfer Engine'!$C$2:$C$1960,0)),"",INDEX('Compliance Database'!$E$2:$E$1960,MATCH(1243,'Transfer Engine'!$C$2:$C$1960,0)))</f>
        <v/>
      </c>
      <c r="F1252" s="8">
        <f>IF(ISNA(MATCH(1243,'Transfer Engine'!$C$2:$C$1960,0)),"",INDEX('Compliance Database'!$F$2:$F$1960,MATCH(1243,'Transfer Engine'!$C$2:$C$1960,0)))</f>
        <v/>
      </c>
      <c r="G1252" s="8">
        <f>IF(ISNA(MATCH(1243,'Transfer Engine'!$C$2:$C$1960,0)),"",INDEX('Compliance Database'!$G$2:$G$1960,MATCH(1243,'Transfer Engine'!$C$2:$C$1960,0)))</f>
        <v/>
      </c>
      <c r="H1252" s="9">
        <f>IF(ISNA(MATCH(1243,'Transfer Engine'!$C$2:$C$1960,0)),"",INDEX('Compliance Database'!$H$2:$H$1960,MATCH(1243,'Transfer Engine'!$C$2:$C$1960,0)))</f>
        <v/>
      </c>
      <c r="I1252" s="9">
        <f>IF(ISNA(MATCH(1243,'Transfer Engine'!$C$2:$C$1960,0)),"",INDEX('Compliance Database'!$I$2:$I$1960,MATCH(1243,'Transfer Engine'!$C$2:$C$1960,0)))</f>
        <v/>
      </c>
      <c r="J1252" s="8">
        <f>IF(ISNA(MATCH(1243,'Transfer Engine'!$C$2:$C$1960,0)),"",INDEX('Compliance Database'!$J$2:$J$1960,MATCH(1243,'Transfer Engine'!$C$2:$C$1960,0)))</f>
        <v/>
      </c>
      <c r="K1252" s="9">
        <f>IF(ISNA(MATCH(1243,'Transfer Engine'!$C$2:$C$1960,0)),"",INDEX('Compliance Database'!$K$2:$K$1960,MATCH(1243,'Transfer Engine'!$C$2:$C$1960,0)))</f>
        <v/>
      </c>
      <c r="L1252" s="9">
        <f>IF(ISNA(MATCH(1243,'Transfer Engine'!$C$2:$C$1960,0)),"",INDEX('Compliance Database'!$L$2:$L$1960,MATCH(1243,'Transfer Engine'!$C$2:$C$1960,0)))</f>
        <v/>
      </c>
      <c r="M1252" s="9">
        <f>IF(ISNA(MATCH(1243,'Transfer Engine'!$C$2:$C$1960,0)),"",INDEX('Compliance Database'!$M$2:$M$1960,MATCH(1243,'Transfer Engine'!$C$2:$C$1960,0)))</f>
        <v/>
      </c>
      <c r="N1252" s="9">
        <f>IF(ISNA(MATCH(1243,'Transfer Engine'!$C$2:$C$1960,0)),"",INDEX('Compliance Database'!$N$2:$N$1960,MATCH(1243,'Transfer Engine'!$C$2:$C$1960,0)))</f>
        <v/>
      </c>
      <c r="O1252" s="9">
        <f>IF(ISNA(MATCH(1243,'Transfer Engine'!$C$2:$C$1960,0)),"",INDEX('Compliance Database'!$O$2:$O$1960,MATCH(1243,'Transfer Engine'!$C$2:$C$1960,0)))</f>
        <v/>
      </c>
      <c r="P1252" s="8">
        <f>IF(ISNA(MATCH(1243,'Transfer Engine'!$C$2:$C$1960,0)),"",HYPERLINK("#Acts!A"&amp;INDEX('Compliance Database'!$P$2:$P$1960,MATCH(1243,'Transfer Engine'!$C$2:$C$1960,0)),"Go to Act"))</f>
        <v/>
      </c>
    </row>
    <row r="1253" ht="158" customHeight="1">
      <c r="A1253" s="8">
        <f>IF(ISNA(MATCH(1244,'Transfer Engine'!$C$2:$C$1960,0)),"",INDEX('Compliance Database'!$A$2:$A$1960,MATCH(1244,'Transfer Engine'!$C$2:$C$1960,0)))</f>
        <v/>
      </c>
      <c r="B1253" s="8">
        <f>IF(ISNA(MATCH(1244,'Transfer Engine'!$C$2:$C$1960,0)),"",INDEX('Compliance Database'!$B$2:$B$1960,MATCH(1244,'Transfer Engine'!$C$2:$C$1960,0)))</f>
        <v/>
      </c>
      <c r="C1253" s="8">
        <f>IF(ISNA(MATCH(1244,'Transfer Engine'!$C$2:$C$1960,0)),"",INDEX('Compliance Database'!$C$2:$C$1960,MATCH(1244,'Transfer Engine'!$C$2:$C$1960,0)))</f>
        <v/>
      </c>
      <c r="D1253" s="9">
        <f>IF(ISNA(MATCH(1244,'Transfer Engine'!$C$2:$C$1960,0)),"",INDEX('Compliance Database'!$D$2:$D$1960,MATCH(1244,'Transfer Engine'!$C$2:$C$1960,0)))</f>
        <v/>
      </c>
      <c r="E1253" s="8">
        <f>IF(ISNA(MATCH(1244,'Transfer Engine'!$C$2:$C$1960,0)),"",INDEX('Compliance Database'!$E$2:$E$1960,MATCH(1244,'Transfer Engine'!$C$2:$C$1960,0)))</f>
        <v/>
      </c>
      <c r="F1253" s="8">
        <f>IF(ISNA(MATCH(1244,'Transfer Engine'!$C$2:$C$1960,0)),"",INDEX('Compliance Database'!$F$2:$F$1960,MATCH(1244,'Transfer Engine'!$C$2:$C$1960,0)))</f>
        <v/>
      </c>
      <c r="G1253" s="8">
        <f>IF(ISNA(MATCH(1244,'Transfer Engine'!$C$2:$C$1960,0)),"",INDEX('Compliance Database'!$G$2:$G$1960,MATCH(1244,'Transfer Engine'!$C$2:$C$1960,0)))</f>
        <v/>
      </c>
      <c r="H1253" s="9">
        <f>IF(ISNA(MATCH(1244,'Transfer Engine'!$C$2:$C$1960,0)),"",INDEX('Compliance Database'!$H$2:$H$1960,MATCH(1244,'Transfer Engine'!$C$2:$C$1960,0)))</f>
        <v/>
      </c>
      <c r="I1253" s="9">
        <f>IF(ISNA(MATCH(1244,'Transfer Engine'!$C$2:$C$1960,0)),"",INDEX('Compliance Database'!$I$2:$I$1960,MATCH(1244,'Transfer Engine'!$C$2:$C$1960,0)))</f>
        <v/>
      </c>
      <c r="J1253" s="8">
        <f>IF(ISNA(MATCH(1244,'Transfer Engine'!$C$2:$C$1960,0)),"",INDEX('Compliance Database'!$J$2:$J$1960,MATCH(1244,'Transfer Engine'!$C$2:$C$1960,0)))</f>
        <v/>
      </c>
      <c r="K1253" s="9">
        <f>IF(ISNA(MATCH(1244,'Transfer Engine'!$C$2:$C$1960,0)),"",INDEX('Compliance Database'!$K$2:$K$1960,MATCH(1244,'Transfer Engine'!$C$2:$C$1960,0)))</f>
        <v/>
      </c>
      <c r="L1253" s="9">
        <f>IF(ISNA(MATCH(1244,'Transfer Engine'!$C$2:$C$1960,0)),"",INDEX('Compliance Database'!$L$2:$L$1960,MATCH(1244,'Transfer Engine'!$C$2:$C$1960,0)))</f>
        <v/>
      </c>
      <c r="M1253" s="9">
        <f>IF(ISNA(MATCH(1244,'Transfer Engine'!$C$2:$C$1960,0)),"",INDEX('Compliance Database'!$M$2:$M$1960,MATCH(1244,'Transfer Engine'!$C$2:$C$1960,0)))</f>
        <v/>
      </c>
      <c r="N1253" s="9">
        <f>IF(ISNA(MATCH(1244,'Transfer Engine'!$C$2:$C$1960,0)),"",INDEX('Compliance Database'!$N$2:$N$1960,MATCH(1244,'Transfer Engine'!$C$2:$C$1960,0)))</f>
        <v/>
      </c>
      <c r="O1253" s="9">
        <f>IF(ISNA(MATCH(1244,'Transfer Engine'!$C$2:$C$1960,0)),"",INDEX('Compliance Database'!$O$2:$O$1960,MATCH(1244,'Transfer Engine'!$C$2:$C$1960,0)))</f>
        <v/>
      </c>
      <c r="P1253" s="8">
        <f>IF(ISNA(MATCH(1244,'Transfer Engine'!$C$2:$C$1960,0)),"",HYPERLINK("#Acts!A"&amp;INDEX('Compliance Database'!$P$2:$P$1960,MATCH(1244,'Transfer Engine'!$C$2:$C$1960,0)),"Go to Act"))</f>
        <v/>
      </c>
    </row>
    <row r="1254" ht="158" customHeight="1">
      <c r="A1254" s="8">
        <f>IF(ISNA(MATCH(1245,'Transfer Engine'!$C$2:$C$1960,0)),"",INDEX('Compliance Database'!$A$2:$A$1960,MATCH(1245,'Transfer Engine'!$C$2:$C$1960,0)))</f>
        <v/>
      </c>
      <c r="B1254" s="8">
        <f>IF(ISNA(MATCH(1245,'Transfer Engine'!$C$2:$C$1960,0)),"",INDEX('Compliance Database'!$B$2:$B$1960,MATCH(1245,'Transfer Engine'!$C$2:$C$1960,0)))</f>
        <v/>
      </c>
      <c r="C1254" s="8">
        <f>IF(ISNA(MATCH(1245,'Transfer Engine'!$C$2:$C$1960,0)),"",INDEX('Compliance Database'!$C$2:$C$1960,MATCH(1245,'Transfer Engine'!$C$2:$C$1960,0)))</f>
        <v/>
      </c>
      <c r="D1254" s="9">
        <f>IF(ISNA(MATCH(1245,'Transfer Engine'!$C$2:$C$1960,0)),"",INDEX('Compliance Database'!$D$2:$D$1960,MATCH(1245,'Transfer Engine'!$C$2:$C$1960,0)))</f>
        <v/>
      </c>
      <c r="E1254" s="8">
        <f>IF(ISNA(MATCH(1245,'Transfer Engine'!$C$2:$C$1960,0)),"",INDEX('Compliance Database'!$E$2:$E$1960,MATCH(1245,'Transfer Engine'!$C$2:$C$1960,0)))</f>
        <v/>
      </c>
      <c r="F1254" s="8">
        <f>IF(ISNA(MATCH(1245,'Transfer Engine'!$C$2:$C$1960,0)),"",INDEX('Compliance Database'!$F$2:$F$1960,MATCH(1245,'Transfer Engine'!$C$2:$C$1960,0)))</f>
        <v/>
      </c>
      <c r="G1254" s="8">
        <f>IF(ISNA(MATCH(1245,'Transfer Engine'!$C$2:$C$1960,0)),"",INDEX('Compliance Database'!$G$2:$G$1960,MATCH(1245,'Transfer Engine'!$C$2:$C$1960,0)))</f>
        <v/>
      </c>
      <c r="H1254" s="9">
        <f>IF(ISNA(MATCH(1245,'Transfer Engine'!$C$2:$C$1960,0)),"",INDEX('Compliance Database'!$H$2:$H$1960,MATCH(1245,'Transfer Engine'!$C$2:$C$1960,0)))</f>
        <v/>
      </c>
      <c r="I1254" s="9">
        <f>IF(ISNA(MATCH(1245,'Transfer Engine'!$C$2:$C$1960,0)),"",INDEX('Compliance Database'!$I$2:$I$1960,MATCH(1245,'Transfer Engine'!$C$2:$C$1960,0)))</f>
        <v/>
      </c>
      <c r="J1254" s="8">
        <f>IF(ISNA(MATCH(1245,'Transfer Engine'!$C$2:$C$1960,0)),"",INDEX('Compliance Database'!$J$2:$J$1960,MATCH(1245,'Transfer Engine'!$C$2:$C$1960,0)))</f>
        <v/>
      </c>
      <c r="K1254" s="9">
        <f>IF(ISNA(MATCH(1245,'Transfer Engine'!$C$2:$C$1960,0)),"",INDEX('Compliance Database'!$K$2:$K$1960,MATCH(1245,'Transfer Engine'!$C$2:$C$1960,0)))</f>
        <v/>
      </c>
      <c r="L1254" s="9">
        <f>IF(ISNA(MATCH(1245,'Transfer Engine'!$C$2:$C$1960,0)),"",INDEX('Compliance Database'!$L$2:$L$1960,MATCH(1245,'Transfer Engine'!$C$2:$C$1960,0)))</f>
        <v/>
      </c>
      <c r="M1254" s="9">
        <f>IF(ISNA(MATCH(1245,'Transfer Engine'!$C$2:$C$1960,0)),"",INDEX('Compliance Database'!$M$2:$M$1960,MATCH(1245,'Transfer Engine'!$C$2:$C$1960,0)))</f>
        <v/>
      </c>
      <c r="N1254" s="9">
        <f>IF(ISNA(MATCH(1245,'Transfer Engine'!$C$2:$C$1960,0)),"",INDEX('Compliance Database'!$N$2:$N$1960,MATCH(1245,'Transfer Engine'!$C$2:$C$1960,0)))</f>
        <v/>
      </c>
      <c r="O1254" s="9">
        <f>IF(ISNA(MATCH(1245,'Transfer Engine'!$C$2:$C$1960,0)),"",INDEX('Compliance Database'!$O$2:$O$1960,MATCH(1245,'Transfer Engine'!$C$2:$C$1960,0)))</f>
        <v/>
      </c>
      <c r="P1254" s="8">
        <f>IF(ISNA(MATCH(1245,'Transfer Engine'!$C$2:$C$1960,0)),"",HYPERLINK("#Acts!A"&amp;INDEX('Compliance Database'!$P$2:$P$1960,MATCH(1245,'Transfer Engine'!$C$2:$C$1960,0)),"Go to Act"))</f>
        <v/>
      </c>
    </row>
    <row r="1255" ht="158" customHeight="1">
      <c r="A1255" s="8">
        <f>IF(ISNA(MATCH(1246,'Transfer Engine'!$C$2:$C$1960,0)),"",INDEX('Compliance Database'!$A$2:$A$1960,MATCH(1246,'Transfer Engine'!$C$2:$C$1960,0)))</f>
        <v/>
      </c>
      <c r="B1255" s="8">
        <f>IF(ISNA(MATCH(1246,'Transfer Engine'!$C$2:$C$1960,0)),"",INDEX('Compliance Database'!$B$2:$B$1960,MATCH(1246,'Transfer Engine'!$C$2:$C$1960,0)))</f>
        <v/>
      </c>
      <c r="C1255" s="8">
        <f>IF(ISNA(MATCH(1246,'Transfer Engine'!$C$2:$C$1960,0)),"",INDEX('Compliance Database'!$C$2:$C$1960,MATCH(1246,'Transfer Engine'!$C$2:$C$1960,0)))</f>
        <v/>
      </c>
      <c r="D1255" s="9">
        <f>IF(ISNA(MATCH(1246,'Transfer Engine'!$C$2:$C$1960,0)),"",INDEX('Compliance Database'!$D$2:$D$1960,MATCH(1246,'Transfer Engine'!$C$2:$C$1960,0)))</f>
        <v/>
      </c>
      <c r="E1255" s="8">
        <f>IF(ISNA(MATCH(1246,'Transfer Engine'!$C$2:$C$1960,0)),"",INDEX('Compliance Database'!$E$2:$E$1960,MATCH(1246,'Transfer Engine'!$C$2:$C$1960,0)))</f>
        <v/>
      </c>
      <c r="F1255" s="8">
        <f>IF(ISNA(MATCH(1246,'Transfer Engine'!$C$2:$C$1960,0)),"",INDEX('Compliance Database'!$F$2:$F$1960,MATCH(1246,'Transfer Engine'!$C$2:$C$1960,0)))</f>
        <v/>
      </c>
      <c r="G1255" s="8">
        <f>IF(ISNA(MATCH(1246,'Transfer Engine'!$C$2:$C$1960,0)),"",INDEX('Compliance Database'!$G$2:$G$1960,MATCH(1246,'Transfer Engine'!$C$2:$C$1960,0)))</f>
        <v/>
      </c>
      <c r="H1255" s="9">
        <f>IF(ISNA(MATCH(1246,'Transfer Engine'!$C$2:$C$1960,0)),"",INDEX('Compliance Database'!$H$2:$H$1960,MATCH(1246,'Transfer Engine'!$C$2:$C$1960,0)))</f>
        <v/>
      </c>
      <c r="I1255" s="9">
        <f>IF(ISNA(MATCH(1246,'Transfer Engine'!$C$2:$C$1960,0)),"",INDEX('Compliance Database'!$I$2:$I$1960,MATCH(1246,'Transfer Engine'!$C$2:$C$1960,0)))</f>
        <v/>
      </c>
      <c r="J1255" s="8">
        <f>IF(ISNA(MATCH(1246,'Transfer Engine'!$C$2:$C$1960,0)),"",INDEX('Compliance Database'!$J$2:$J$1960,MATCH(1246,'Transfer Engine'!$C$2:$C$1960,0)))</f>
        <v/>
      </c>
      <c r="K1255" s="9">
        <f>IF(ISNA(MATCH(1246,'Transfer Engine'!$C$2:$C$1960,0)),"",INDEX('Compliance Database'!$K$2:$K$1960,MATCH(1246,'Transfer Engine'!$C$2:$C$1960,0)))</f>
        <v/>
      </c>
      <c r="L1255" s="9">
        <f>IF(ISNA(MATCH(1246,'Transfer Engine'!$C$2:$C$1960,0)),"",INDEX('Compliance Database'!$L$2:$L$1960,MATCH(1246,'Transfer Engine'!$C$2:$C$1960,0)))</f>
        <v/>
      </c>
      <c r="M1255" s="9">
        <f>IF(ISNA(MATCH(1246,'Transfer Engine'!$C$2:$C$1960,0)),"",INDEX('Compliance Database'!$M$2:$M$1960,MATCH(1246,'Transfer Engine'!$C$2:$C$1960,0)))</f>
        <v/>
      </c>
      <c r="N1255" s="9">
        <f>IF(ISNA(MATCH(1246,'Transfer Engine'!$C$2:$C$1960,0)),"",INDEX('Compliance Database'!$N$2:$N$1960,MATCH(1246,'Transfer Engine'!$C$2:$C$1960,0)))</f>
        <v/>
      </c>
      <c r="O1255" s="9">
        <f>IF(ISNA(MATCH(1246,'Transfer Engine'!$C$2:$C$1960,0)),"",INDEX('Compliance Database'!$O$2:$O$1960,MATCH(1246,'Transfer Engine'!$C$2:$C$1960,0)))</f>
        <v/>
      </c>
      <c r="P1255" s="8">
        <f>IF(ISNA(MATCH(1246,'Transfer Engine'!$C$2:$C$1960,0)),"",HYPERLINK("#Acts!A"&amp;INDEX('Compliance Database'!$P$2:$P$1960,MATCH(1246,'Transfer Engine'!$C$2:$C$1960,0)),"Go to Act"))</f>
        <v/>
      </c>
    </row>
    <row r="1256" ht="158" customHeight="1">
      <c r="A1256" s="8">
        <f>IF(ISNA(MATCH(1247,'Transfer Engine'!$C$2:$C$1960,0)),"",INDEX('Compliance Database'!$A$2:$A$1960,MATCH(1247,'Transfer Engine'!$C$2:$C$1960,0)))</f>
        <v/>
      </c>
      <c r="B1256" s="8">
        <f>IF(ISNA(MATCH(1247,'Transfer Engine'!$C$2:$C$1960,0)),"",INDEX('Compliance Database'!$B$2:$B$1960,MATCH(1247,'Transfer Engine'!$C$2:$C$1960,0)))</f>
        <v/>
      </c>
      <c r="C1256" s="8">
        <f>IF(ISNA(MATCH(1247,'Transfer Engine'!$C$2:$C$1960,0)),"",INDEX('Compliance Database'!$C$2:$C$1960,MATCH(1247,'Transfer Engine'!$C$2:$C$1960,0)))</f>
        <v/>
      </c>
      <c r="D1256" s="9">
        <f>IF(ISNA(MATCH(1247,'Transfer Engine'!$C$2:$C$1960,0)),"",INDEX('Compliance Database'!$D$2:$D$1960,MATCH(1247,'Transfer Engine'!$C$2:$C$1960,0)))</f>
        <v/>
      </c>
      <c r="E1256" s="8">
        <f>IF(ISNA(MATCH(1247,'Transfer Engine'!$C$2:$C$1960,0)),"",INDEX('Compliance Database'!$E$2:$E$1960,MATCH(1247,'Transfer Engine'!$C$2:$C$1960,0)))</f>
        <v/>
      </c>
      <c r="F1256" s="8">
        <f>IF(ISNA(MATCH(1247,'Transfer Engine'!$C$2:$C$1960,0)),"",INDEX('Compliance Database'!$F$2:$F$1960,MATCH(1247,'Transfer Engine'!$C$2:$C$1960,0)))</f>
        <v/>
      </c>
      <c r="G1256" s="8">
        <f>IF(ISNA(MATCH(1247,'Transfer Engine'!$C$2:$C$1960,0)),"",INDEX('Compliance Database'!$G$2:$G$1960,MATCH(1247,'Transfer Engine'!$C$2:$C$1960,0)))</f>
        <v/>
      </c>
      <c r="H1256" s="9">
        <f>IF(ISNA(MATCH(1247,'Transfer Engine'!$C$2:$C$1960,0)),"",INDEX('Compliance Database'!$H$2:$H$1960,MATCH(1247,'Transfer Engine'!$C$2:$C$1960,0)))</f>
        <v/>
      </c>
      <c r="I1256" s="9">
        <f>IF(ISNA(MATCH(1247,'Transfer Engine'!$C$2:$C$1960,0)),"",INDEX('Compliance Database'!$I$2:$I$1960,MATCH(1247,'Transfer Engine'!$C$2:$C$1960,0)))</f>
        <v/>
      </c>
      <c r="J1256" s="8">
        <f>IF(ISNA(MATCH(1247,'Transfer Engine'!$C$2:$C$1960,0)),"",INDEX('Compliance Database'!$J$2:$J$1960,MATCH(1247,'Transfer Engine'!$C$2:$C$1960,0)))</f>
        <v/>
      </c>
      <c r="K1256" s="9">
        <f>IF(ISNA(MATCH(1247,'Transfer Engine'!$C$2:$C$1960,0)),"",INDEX('Compliance Database'!$K$2:$K$1960,MATCH(1247,'Transfer Engine'!$C$2:$C$1960,0)))</f>
        <v/>
      </c>
      <c r="L1256" s="9">
        <f>IF(ISNA(MATCH(1247,'Transfer Engine'!$C$2:$C$1960,0)),"",INDEX('Compliance Database'!$L$2:$L$1960,MATCH(1247,'Transfer Engine'!$C$2:$C$1960,0)))</f>
        <v/>
      </c>
      <c r="M1256" s="9">
        <f>IF(ISNA(MATCH(1247,'Transfer Engine'!$C$2:$C$1960,0)),"",INDEX('Compliance Database'!$M$2:$M$1960,MATCH(1247,'Transfer Engine'!$C$2:$C$1960,0)))</f>
        <v/>
      </c>
      <c r="N1256" s="9">
        <f>IF(ISNA(MATCH(1247,'Transfer Engine'!$C$2:$C$1960,0)),"",INDEX('Compliance Database'!$N$2:$N$1960,MATCH(1247,'Transfer Engine'!$C$2:$C$1960,0)))</f>
        <v/>
      </c>
      <c r="O1256" s="9">
        <f>IF(ISNA(MATCH(1247,'Transfer Engine'!$C$2:$C$1960,0)),"",INDEX('Compliance Database'!$O$2:$O$1960,MATCH(1247,'Transfer Engine'!$C$2:$C$1960,0)))</f>
        <v/>
      </c>
      <c r="P1256" s="8">
        <f>IF(ISNA(MATCH(1247,'Transfer Engine'!$C$2:$C$1960,0)),"",HYPERLINK("#Acts!A"&amp;INDEX('Compliance Database'!$P$2:$P$1960,MATCH(1247,'Transfer Engine'!$C$2:$C$1960,0)),"Go to Act"))</f>
        <v/>
      </c>
    </row>
    <row r="1257" ht="158" customHeight="1">
      <c r="A1257" s="8">
        <f>IF(ISNA(MATCH(1248,'Transfer Engine'!$C$2:$C$1960,0)),"",INDEX('Compliance Database'!$A$2:$A$1960,MATCH(1248,'Transfer Engine'!$C$2:$C$1960,0)))</f>
        <v/>
      </c>
      <c r="B1257" s="8">
        <f>IF(ISNA(MATCH(1248,'Transfer Engine'!$C$2:$C$1960,0)),"",INDEX('Compliance Database'!$B$2:$B$1960,MATCH(1248,'Transfer Engine'!$C$2:$C$1960,0)))</f>
        <v/>
      </c>
      <c r="C1257" s="8">
        <f>IF(ISNA(MATCH(1248,'Transfer Engine'!$C$2:$C$1960,0)),"",INDEX('Compliance Database'!$C$2:$C$1960,MATCH(1248,'Transfer Engine'!$C$2:$C$1960,0)))</f>
        <v/>
      </c>
      <c r="D1257" s="9">
        <f>IF(ISNA(MATCH(1248,'Transfer Engine'!$C$2:$C$1960,0)),"",INDEX('Compliance Database'!$D$2:$D$1960,MATCH(1248,'Transfer Engine'!$C$2:$C$1960,0)))</f>
        <v/>
      </c>
      <c r="E1257" s="8">
        <f>IF(ISNA(MATCH(1248,'Transfer Engine'!$C$2:$C$1960,0)),"",INDEX('Compliance Database'!$E$2:$E$1960,MATCH(1248,'Transfer Engine'!$C$2:$C$1960,0)))</f>
        <v/>
      </c>
      <c r="F1257" s="8">
        <f>IF(ISNA(MATCH(1248,'Transfer Engine'!$C$2:$C$1960,0)),"",INDEX('Compliance Database'!$F$2:$F$1960,MATCH(1248,'Transfer Engine'!$C$2:$C$1960,0)))</f>
        <v/>
      </c>
      <c r="G1257" s="8">
        <f>IF(ISNA(MATCH(1248,'Transfer Engine'!$C$2:$C$1960,0)),"",INDEX('Compliance Database'!$G$2:$G$1960,MATCH(1248,'Transfer Engine'!$C$2:$C$1960,0)))</f>
        <v/>
      </c>
      <c r="H1257" s="9">
        <f>IF(ISNA(MATCH(1248,'Transfer Engine'!$C$2:$C$1960,0)),"",INDEX('Compliance Database'!$H$2:$H$1960,MATCH(1248,'Transfer Engine'!$C$2:$C$1960,0)))</f>
        <v/>
      </c>
      <c r="I1257" s="9">
        <f>IF(ISNA(MATCH(1248,'Transfer Engine'!$C$2:$C$1960,0)),"",INDEX('Compliance Database'!$I$2:$I$1960,MATCH(1248,'Transfer Engine'!$C$2:$C$1960,0)))</f>
        <v/>
      </c>
      <c r="J1257" s="8">
        <f>IF(ISNA(MATCH(1248,'Transfer Engine'!$C$2:$C$1960,0)),"",INDEX('Compliance Database'!$J$2:$J$1960,MATCH(1248,'Transfer Engine'!$C$2:$C$1960,0)))</f>
        <v/>
      </c>
      <c r="K1257" s="9">
        <f>IF(ISNA(MATCH(1248,'Transfer Engine'!$C$2:$C$1960,0)),"",INDEX('Compliance Database'!$K$2:$K$1960,MATCH(1248,'Transfer Engine'!$C$2:$C$1960,0)))</f>
        <v/>
      </c>
      <c r="L1257" s="9">
        <f>IF(ISNA(MATCH(1248,'Transfer Engine'!$C$2:$C$1960,0)),"",INDEX('Compliance Database'!$L$2:$L$1960,MATCH(1248,'Transfer Engine'!$C$2:$C$1960,0)))</f>
        <v/>
      </c>
      <c r="M1257" s="9">
        <f>IF(ISNA(MATCH(1248,'Transfer Engine'!$C$2:$C$1960,0)),"",INDEX('Compliance Database'!$M$2:$M$1960,MATCH(1248,'Transfer Engine'!$C$2:$C$1960,0)))</f>
        <v/>
      </c>
      <c r="N1257" s="9">
        <f>IF(ISNA(MATCH(1248,'Transfer Engine'!$C$2:$C$1960,0)),"",INDEX('Compliance Database'!$N$2:$N$1960,MATCH(1248,'Transfer Engine'!$C$2:$C$1960,0)))</f>
        <v/>
      </c>
      <c r="O1257" s="9">
        <f>IF(ISNA(MATCH(1248,'Transfer Engine'!$C$2:$C$1960,0)),"",INDEX('Compliance Database'!$O$2:$O$1960,MATCH(1248,'Transfer Engine'!$C$2:$C$1960,0)))</f>
        <v/>
      </c>
      <c r="P1257" s="8">
        <f>IF(ISNA(MATCH(1248,'Transfer Engine'!$C$2:$C$1960,0)),"",HYPERLINK("#Acts!A"&amp;INDEX('Compliance Database'!$P$2:$P$1960,MATCH(1248,'Transfer Engine'!$C$2:$C$1960,0)),"Go to Act"))</f>
        <v/>
      </c>
    </row>
    <row r="1258" ht="158" customHeight="1">
      <c r="A1258" s="8">
        <f>IF(ISNA(MATCH(1249,'Transfer Engine'!$C$2:$C$1960,0)),"",INDEX('Compliance Database'!$A$2:$A$1960,MATCH(1249,'Transfer Engine'!$C$2:$C$1960,0)))</f>
        <v/>
      </c>
      <c r="B1258" s="8">
        <f>IF(ISNA(MATCH(1249,'Transfer Engine'!$C$2:$C$1960,0)),"",INDEX('Compliance Database'!$B$2:$B$1960,MATCH(1249,'Transfer Engine'!$C$2:$C$1960,0)))</f>
        <v/>
      </c>
      <c r="C1258" s="8">
        <f>IF(ISNA(MATCH(1249,'Transfer Engine'!$C$2:$C$1960,0)),"",INDEX('Compliance Database'!$C$2:$C$1960,MATCH(1249,'Transfer Engine'!$C$2:$C$1960,0)))</f>
        <v/>
      </c>
      <c r="D1258" s="9">
        <f>IF(ISNA(MATCH(1249,'Transfer Engine'!$C$2:$C$1960,0)),"",INDEX('Compliance Database'!$D$2:$D$1960,MATCH(1249,'Transfer Engine'!$C$2:$C$1960,0)))</f>
        <v/>
      </c>
      <c r="E1258" s="8">
        <f>IF(ISNA(MATCH(1249,'Transfer Engine'!$C$2:$C$1960,0)),"",INDEX('Compliance Database'!$E$2:$E$1960,MATCH(1249,'Transfer Engine'!$C$2:$C$1960,0)))</f>
        <v/>
      </c>
      <c r="F1258" s="8">
        <f>IF(ISNA(MATCH(1249,'Transfer Engine'!$C$2:$C$1960,0)),"",INDEX('Compliance Database'!$F$2:$F$1960,MATCH(1249,'Transfer Engine'!$C$2:$C$1960,0)))</f>
        <v/>
      </c>
      <c r="G1258" s="8">
        <f>IF(ISNA(MATCH(1249,'Transfer Engine'!$C$2:$C$1960,0)),"",INDEX('Compliance Database'!$G$2:$G$1960,MATCH(1249,'Transfer Engine'!$C$2:$C$1960,0)))</f>
        <v/>
      </c>
      <c r="H1258" s="9">
        <f>IF(ISNA(MATCH(1249,'Transfer Engine'!$C$2:$C$1960,0)),"",INDEX('Compliance Database'!$H$2:$H$1960,MATCH(1249,'Transfer Engine'!$C$2:$C$1960,0)))</f>
        <v/>
      </c>
      <c r="I1258" s="9">
        <f>IF(ISNA(MATCH(1249,'Transfer Engine'!$C$2:$C$1960,0)),"",INDEX('Compliance Database'!$I$2:$I$1960,MATCH(1249,'Transfer Engine'!$C$2:$C$1960,0)))</f>
        <v/>
      </c>
      <c r="J1258" s="8">
        <f>IF(ISNA(MATCH(1249,'Transfer Engine'!$C$2:$C$1960,0)),"",INDEX('Compliance Database'!$J$2:$J$1960,MATCH(1249,'Transfer Engine'!$C$2:$C$1960,0)))</f>
        <v/>
      </c>
      <c r="K1258" s="9">
        <f>IF(ISNA(MATCH(1249,'Transfer Engine'!$C$2:$C$1960,0)),"",INDEX('Compliance Database'!$K$2:$K$1960,MATCH(1249,'Transfer Engine'!$C$2:$C$1960,0)))</f>
        <v/>
      </c>
      <c r="L1258" s="9">
        <f>IF(ISNA(MATCH(1249,'Transfer Engine'!$C$2:$C$1960,0)),"",INDEX('Compliance Database'!$L$2:$L$1960,MATCH(1249,'Transfer Engine'!$C$2:$C$1960,0)))</f>
        <v/>
      </c>
      <c r="M1258" s="9">
        <f>IF(ISNA(MATCH(1249,'Transfer Engine'!$C$2:$C$1960,0)),"",INDEX('Compliance Database'!$M$2:$M$1960,MATCH(1249,'Transfer Engine'!$C$2:$C$1960,0)))</f>
        <v/>
      </c>
      <c r="N1258" s="9">
        <f>IF(ISNA(MATCH(1249,'Transfer Engine'!$C$2:$C$1960,0)),"",INDEX('Compliance Database'!$N$2:$N$1960,MATCH(1249,'Transfer Engine'!$C$2:$C$1960,0)))</f>
        <v/>
      </c>
      <c r="O1258" s="9">
        <f>IF(ISNA(MATCH(1249,'Transfer Engine'!$C$2:$C$1960,0)),"",INDEX('Compliance Database'!$O$2:$O$1960,MATCH(1249,'Transfer Engine'!$C$2:$C$1960,0)))</f>
        <v/>
      </c>
      <c r="P1258" s="8">
        <f>IF(ISNA(MATCH(1249,'Transfer Engine'!$C$2:$C$1960,0)),"",HYPERLINK("#Acts!A"&amp;INDEX('Compliance Database'!$P$2:$P$1960,MATCH(1249,'Transfer Engine'!$C$2:$C$1960,0)),"Go to Act"))</f>
        <v/>
      </c>
    </row>
    <row r="1259" ht="158" customHeight="1">
      <c r="A1259" s="8">
        <f>IF(ISNA(MATCH(1250,'Transfer Engine'!$C$2:$C$1960,0)),"",INDEX('Compliance Database'!$A$2:$A$1960,MATCH(1250,'Transfer Engine'!$C$2:$C$1960,0)))</f>
        <v/>
      </c>
      <c r="B1259" s="8">
        <f>IF(ISNA(MATCH(1250,'Transfer Engine'!$C$2:$C$1960,0)),"",INDEX('Compliance Database'!$B$2:$B$1960,MATCH(1250,'Transfer Engine'!$C$2:$C$1960,0)))</f>
        <v/>
      </c>
      <c r="C1259" s="8">
        <f>IF(ISNA(MATCH(1250,'Transfer Engine'!$C$2:$C$1960,0)),"",INDEX('Compliance Database'!$C$2:$C$1960,MATCH(1250,'Transfer Engine'!$C$2:$C$1960,0)))</f>
        <v/>
      </c>
      <c r="D1259" s="9">
        <f>IF(ISNA(MATCH(1250,'Transfer Engine'!$C$2:$C$1960,0)),"",INDEX('Compliance Database'!$D$2:$D$1960,MATCH(1250,'Transfer Engine'!$C$2:$C$1960,0)))</f>
        <v/>
      </c>
      <c r="E1259" s="8">
        <f>IF(ISNA(MATCH(1250,'Transfer Engine'!$C$2:$C$1960,0)),"",INDEX('Compliance Database'!$E$2:$E$1960,MATCH(1250,'Transfer Engine'!$C$2:$C$1960,0)))</f>
        <v/>
      </c>
      <c r="F1259" s="8">
        <f>IF(ISNA(MATCH(1250,'Transfer Engine'!$C$2:$C$1960,0)),"",INDEX('Compliance Database'!$F$2:$F$1960,MATCH(1250,'Transfer Engine'!$C$2:$C$1960,0)))</f>
        <v/>
      </c>
      <c r="G1259" s="8">
        <f>IF(ISNA(MATCH(1250,'Transfer Engine'!$C$2:$C$1960,0)),"",INDEX('Compliance Database'!$G$2:$G$1960,MATCH(1250,'Transfer Engine'!$C$2:$C$1960,0)))</f>
        <v/>
      </c>
      <c r="H1259" s="9">
        <f>IF(ISNA(MATCH(1250,'Transfer Engine'!$C$2:$C$1960,0)),"",INDEX('Compliance Database'!$H$2:$H$1960,MATCH(1250,'Transfer Engine'!$C$2:$C$1960,0)))</f>
        <v/>
      </c>
      <c r="I1259" s="9">
        <f>IF(ISNA(MATCH(1250,'Transfer Engine'!$C$2:$C$1960,0)),"",INDEX('Compliance Database'!$I$2:$I$1960,MATCH(1250,'Transfer Engine'!$C$2:$C$1960,0)))</f>
        <v/>
      </c>
      <c r="J1259" s="8">
        <f>IF(ISNA(MATCH(1250,'Transfer Engine'!$C$2:$C$1960,0)),"",INDEX('Compliance Database'!$J$2:$J$1960,MATCH(1250,'Transfer Engine'!$C$2:$C$1960,0)))</f>
        <v/>
      </c>
      <c r="K1259" s="9">
        <f>IF(ISNA(MATCH(1250,'Transfer Engine'!$C$2:$C$1960,0)),"",INDEX('Compliance Database'!$K$2:$K$1960,MATCH(1250,'Transfer Engine'!$C$2:$C$1960,0)))</f>
        <v/>
      </c>
      <c r="L1259" s="9">
        <f>IF(ISNA(MATCH(1250,'Transfer Engine'!$C$2:$C$1960,0)),"",INDEX('Compliance Database'!$L$2:$L$1960,MATCH(1250,'Transfer Engine'!$C$2:$C$1960,0)))</f>
        <v/>
      </c>
      <c r="M1259" s="9">
        <f>IF(ISNA(MATCH(1250,'Transfer Engine'!$C$2:$C$1960,0)),"",INDEX('Compliance Database'!$M$2:$M$1960,MATCH(1250,'Transfer Engine'!$C$2:$C$1960,0)))</f>
        <v/>
      </c>
      <c r="N1259" s="9">
        <f>IF(ISNA(MATCH(1250,'Transfer Engine'!$C$2:$C$1960,0)),"",INDEX('Compliance Database'!$N$2:$N$1960,MATCH(1250,'Transfer Engine'!$C$2:$C$1960,0)))</f>
        <v/>
      </c>
      <c r="O1259" s="9">
        <f>IF(ISNA(MATCH(1250,'Transfer Engine'!$C$2:$C$1960,0)),"",INDEX('Compliance Database'!$O$2:$O$1960,MATCH(1250,'Transfer Engine'!$C$2:$C$1960,0)))</f>
        <v/>
      </c>
      <c r="P1259" s="8">
        <f>IF(ISNA(MATCH(1250,'Transfer Engine'!$C$2:$C$1960,0)),"",HYPERLINK("#Acts!A"&amp;INDEX('Compliance Database'!$P$2:$P$1960,MATCH(1250,'Transfer Engine'!$C$2:$C$1960,0)),"Go to Act"))</f>
        <v/>
      </c>
    </row>
    <row r="1260" ht="158" customHeight="1">
      <c r="A1260" s="8">
        <f>IF(ISNA(MATCH(1251,'Transfer Engine'!$C$2:$C$1960,0)),"",INDEX('Compliance Database'!$A$2:$A$1960,MATCH(1251,'Transfer Engine'!$C$2:$C$1960,0)))</f>
        <v/>
      </c>
      <c r="B1260" s="8">
        <f>IF(ISNA(MATCH(1251,'Transfer Engine'!$C$2:$C$1960,0)),"",INDEX('Compliance Database'!$B$2:$B$1960,MATCH(1251,'Transfer Engine'!$C$2:$C$1960,0)))</f>
        <v/>
      </c>
      <c r="C1260" s="8">
        <f>IF(ISNA(MATCH(1251,'Transfer Engine'!$C$2:$C$1960,0)),"",INDEX('Compliance Database'!$C$2:$C$1960,MATCH(1251,'Transfer Engine'!$C$2:$C$1960,0)))</f>
        <v/>
      </c>
      <c r="D1260" s="9">
        <f>IF(ISNA(MATCH(1251,'Transfer Engine'!$C$2:$C$1960,0)),"",INDEX('Compliance Database'!$D$2:$D$1960,MATCH(1251,'Transfer Engine'!$C$2:$C$1960,0)))</f>
        <v/>
      </c>
      <c r="E1260" s="8">
        <f>IF(ISNA(MATCH(1251,'Transfer Engine'!$C$2:$C$1960,0)),"",INDEX('Compliance Database'!$E$2:$E$1960,MATCH(1251,'Transfer Engine'!$C$2:$C$1960,0)))</f>
        <v/>
      </c>
      <c r="F1260" s="8">
        <f>IF(ISNA(MATCH(1251,'Transfer Engine'!$C$2:$C$1960,0)),"",INDEX('Compliance Database'!$F$2:$F$1960,MATCH(1251,'Transfer Engine'!$C$2:$C$1960,0)))</f>
        <v/>
      </c>
      <c r="G1260" s="8">
        <f>IF(ISNA(MATCH(1251,'Transfer Engine'!$C$2:$C$1960,0)),"",INDEX('Compliance Database'!$G$2:$G$1960,MATCH(1251,'Transfer Engine'!$C$2:$C$1960,0)))</f>
        <v/>
      </c>
      <c r="H1260" s="9">
        <f>IF(ISNA(MATCH(1251,'Transfer Engine'!$C$2:$C$1960,0)),"",INDEX('Compliance Database'!$H$2:$H$1960,MATCH(1251,'Transfer Engine'!$C$2:$C$1960,0)))</f>
        <v/>
      </c>
      <c r="I1260" s="9">
        <f>IF(ISNA(MATCH(1251,'Transfer Engine'!$C$2:$C$1960,0)),"",INDEX('Compliance Database'!$I$2:$I$1960,MATCH(1251,'Transfer Engine'!$C$2:$C$1960,0)))</f>
        <v/>
      </c>
      <c r="J1260" s="8">
        <f>IF(ISNA(MATCH(1251,'Transfer Engine'!$C$2:$C$1960,0)),"",INDEX('Compliance Database'!$J$2:$J$1960,MATCH(1251,'Transfer Engine'!$C$2:$C$1960,0)))</f>
        <v/>
      </c>
      <c r="K1260" s="9">
        <f>IF(ISNA(MATCH(1251,'Transfer Engine'!$C$2:$C$1960,0)),"",INDEX('Compliance Database'!$K$2:$K$1960,MATCH(1251,'Transfer Engine'!$C$2:$C$1960,0)))</f>
        <v/>
      </c>
      <c r="L1260" s="9">
        <f>IF(ISNA(MATCH(1251,'Transfer Engine'!$C$2:$C$1960,0)),"",INDEX('Compliance Database'!$L$2:$L$1960,MATCH(1251,'Transfer Engine'!$C$2:$C$1960,0)))</f>
        <v/>
      </c>
      <c r="M1260" s="9">
        <f>IF(ISNA(MATCH(1251,'Transfer Engine'!$C$2:$C$1960,0)),"",INDEX('Compliance Database'!$M$2:$M$1960,MATCH(1251,'Transfer Engine'!$C$2:$C$1960,0)))</f>
        <v/>
      </c>
      <c r="N1260" s="9">
        <f>IF(ISNA(MATCH(1251,'Transfer Engine'!$C$2:$C$1960,0)),"",INDEX('Compliance Database'!$N$2:$N$1960,MATCH(1251,'Transfer Engine'!$C$2:$C$1960,0)))</f>
        <v/>
      </c>
      <c r="O1260" s="9">
        <f>IF(ISNA(MATCH(1251,'Transfer Engine'!$C$2:$C$1960,0)),"",INDEX('Compliance Database'!$O$2:$O$1960,MATCH(1251,'Transfer Engine'!$C$2:$C$1960,0)))</f>
        <v/>
      </c>
      <c r="P1260" s="8">
        <f>IF(ISNA(MATCH(1251,'Transfer Engine'!$C$2:$C$1960,0)),"",HYPERLINK("#Acts!A"&amp;INDEX('Compliance Database'!$P$2:$P$1960,MATCH(1251,'Transfer Engine'!$C$2:$C$1960,0)),"Go to Act"))</f>
        <v/>
      </c>
    </row>
    <row r="1261" ht="158" customHeight="1">
      <c r="A1261" s="8">
        <f>IF(ISNA(MATCH(1252,'Transfer Engine'!$C$2:$C$1960,0)),"",INDEX('Compliance Database'!$A$2:$A$1960,MATCH(1252,'Transfer Engine'!$C$2:$C$1960,0)))</f>
        <v/>
      </c>
      <c r="B1261" s="8">
        <f>IF(ISNA(MATCH(1252,'Transfer Engine'!$C$2:$C$1960,0)),"",INDEX('Compliance Database'!$B$2:$B$1960,MATCH(1252,'Transfer Engine'!$C$2:$C$1960,0)))</f>
        <v/>
      </c>
      <c r="C1261" s="8">
        <f>IF(ISNA(MATCH(1252,'Transfer Engine'!$C$2:$C$1960,0)),"",INDEX('Compliance Database'!$C$2:$C$1960,MATCH(1252,'Transfer Engine'!$C$2:$C$1960,0)))</f>
        <v/>
      </c>
      <c r="D1261" s="9">
        <f>IF(ISNA(MATCH(1252,'Transfer Engine'!$C$2:$C$1960,0)),"",INDEX('Compliance Database'!$D$2:$D$1960,MATCH(1252,'Transfer Engine'!$C$2:$C$1960,0)))</f>
        <v/>
      </c>
      <c r="E1261" s="8">
        <f>IF(ISNA(MATCH(1252,'Transfer Engine'!$C$2:$C$1960,0)),"",INDEX('Compliance Database'!$E$2:$E$1960,MATCH(1252,'Transfer Engine'!$C$2:$C$1960,0)))</f>
        <v/>
      </c>
      <c r="F1261" s="8">
        <f>IF(ISNA(MATCH(1252,'Transfer Engine'!$C$2:$C$1960,0)),"",INDEX('Compliance Database'!$F$2:$F$1960,MATCH(1252,'Transfer Engine'!$C$2:$C$1960,0)))</f>
        <v/>
      </c>
      <c r="G1261" s="8">
        <f>IF(ISNA(MATCH(1252,'Transfer Engine'!$C$2:$C$1960,0)),"",INDEX('Compliance Database'!$G$2:$G$1960,MATCH(1252,'Transfer Engine'!$C$2:$C$1960,0)))</f>
        <v/>
      </c>
      <c r="H1261" s="9">
        <f>IF(ISNA(MATCH(1252,'Transfer Engine'!$C$2:$C$1960,0)),"",INDEX('Compliance Database'!$H$2:$H$1960,MATCH(1252,'Transfer Engine'!$C$2:$C$1960,0)))</f>
        <v/>
      </c>
      <c r="I1261" s="9">
        <f>IF(ISNA(MATCH(1252,'Transfer Engine'!$C$2:$C$1960,0)),"",INDEX('Compliance Database'!$I$2:$I$1960,MATCH(1252,'Transfer Engine'!$C$2:$C$1960,0)))</f>
        <v/>
      </c>
      <c r="J1261" s="8">
        <f>IF(ISNA(MATCH(1252,'Transfer Engine'!$C$2:$C$1960,0)),"",INDEX('Compliance Database'!$J$2:$J$1960,MATCH(1252,'Transfer Engine'!$C$2:$C$1960,0)))</f>
        <v/>
      </c>
      <c r="K1261" s="9">
        <f>IF(ISNA(MATCH(1252,'Transfer Engine'!$C$2:$C$1960,0)),"",INDEX('Compliance Database'!$K$2:$K$1960,MATCH(1252,'Transfer Engine'!$C$2:$C$1960,0)))</f>
        <v/>
      </c>
      <c r="L1261" s="9">
        <f>IF(ISNA(MATCH(1252,'Transfer Engine'!$C$2:$C$1960,0)),"",INDEX('Compliance Database'!$L$2:$L$1960,MATCH(1252,'Transfer Engine'!$C$2:$C$1960,0)))</f>
        <v/>
      </c>
      <c r="M1261" s="9">
        <f>IF(ISNA(MATCH(1252,'Transfer Engine'!$C$2:$C$1960,0)),"",INDEX('Compliance Database'!$M$2:$M$1960,MATCH(1252,'Transfer Engine'!$C$2:$C$1960,0)))</f>
        <v/>
      </c>
      <c r="N1261" s="9">
        <f>IF(ISNA(MATCH(1252,'Transfer Engine'!$C$2:$C$1960,0)),"",INDEX('Compliance Database'!$N$2:$N$1960,MATCH(1252,'Transfer Engine'!$C$2:$C$1960,0)))</f>
        <v/>
      </c>
      <c r="O1261" s="9">
        <f>IF(ISNA(MATCH(1252,'Transfer Engine'!$C$2:$C$1960,0)),"",INDEX('Compliance Database'!$O$2:$O$1960,MATCH(1252,'Transfer Engine'!$C$2:$C$1960,0)))</f>
        <v/>
      </c>
      <c r="P1261" s="8">
        <f>IF(ISNA(MATCH(1252,'Transfer Engine'!$C$2:$C$1960,0)),"",HYPERLINK("#Acts!A"&amp;INDEX('Compliance Database'!$P$2:$P$1960,MATCH(1252,'Transfer Engine'!$C$2:$C$1960,0)),"Go to Act"))</f>
        <v/>
      </c>
    </row>
    <row r="1262" ht="158" customHeight="1">
      <c r="A1262" s="8">
        <f>IF(ISNA(MATCH(1253,'Transfer Engine'!$C$2:$C$1960,0)),"",INDEX('Compliance Database'!$A$2:$A$1960,MATCH(1253,'Transfer Engine'!$C$2:$C$1960,0)))</f>
        <v/>
      </c>
      <c r="B1262" s="8">
        <f>IF(ISNA(MATCH(1253,'Transfer Engine'!$C$2:$C$1960,0)),"",INDEX('Compliance Database'!$B$2:$B$1960,MATCH(1253,'Transfer Engine'!$C$2:$C$1960,0)))</f>
        <v/>
      </c>
      <c r="C1262" s="8">
        <f>IF(ISNA(MATCH(1253,'Transfer Engine'!$C$2:$C$1960,0)),"",INDEX('Compliance Database'!$C$2:$C$1960,MATCH(1253,'Transfer Engine'!$C$2:$C$1960,0)))</f>
        <v/>
      </c>
      <c r="D1262" s="9">
        <f>IF(ISNA(MATCH(1253,'Transfer Engine'!$C$2:$C$1960,0)),"",INDEX('Compliance Database'!$D$2:$D$1960,MATCH(1253,'Transfer Engine'!$C$2:$C$1960,0)))</f>
        <v/>
      </c>
      <c r="E1262" s="8">
        <f>IF(ISNA(MATCH(1253,'Transfer Engine'!$C$2:$C$1960,0)),"",INDEX('Compliance Database'!$E$2:$E$1960,MATCH(1253,'Transfer Engine'!$C$2:$C$1960,0)))</f>
        <v/>
      </c>
      <c r="F1262" s="8">
        <f>IF(ISNA(MATCH(1253,'Transfer Engine'!$C$2:$C$1960,0)),"",INDEX('Compliance Database'!$F$2:$F$1960,MATCH(1253,'Transfer Engine'!$C$2:$C$1960,0)))</f>
        <v/>
      </c>
      <c r="G1262" s="8">
        <f>IF(ISNA(MATCH(1253,'Transfer Engine'!$C$2:$C$1960,0)),"",INDEX('Compliance Database'!$G$2:$G$1960,MATCH(1253,'Transfer Engine'!$C$2:$C$1960,0)))</f>
        <v/>
      </c>
      <c r="H1262" s="9">
        <f>IF(ISNA(MATCH(1253,'Transfer Engine'!$C$2:$C$1960,0)),"",INDEX('Compliance Database'!$H$2:$H$1960,MATCH(1253,'Transfer Engine'!$C$2:$C$1960,0)))</f>
        <v/>
      </c>
      <c r="I1262" s="9">
        <f>IF(ISNA(MATCH(1253,'Transfer Engine'!$C$2:$C$1960,0)),"",INDEX('Compliance Database'!$I$2:$I$1960,MATCH(1253,'Transfer Engine'!$C$2:$C$1960,0)))</f>
        <v/>
      </c>
      <c r="J1262" s="8">
        <f>IF(ISNA(MATCH(1253,'Transfer Engine'!$C$2:$C$1960,0)),"",INDEX('Compliance Database'!$J$2:$J$1960,MATCH(1253,'Transfer Engine'!$C$2:$C$1960,0)))</f>
        <v/>
      </c>
      <c r="K1262" s="9">
        <f>IF(ISNA(MATCH(1253,'Transfer Engine'!$C$2:$C$1960,0)),"",INDEX('Compliance Database'!$K$2:$K$1960,MATCH(1253,'Transfer Engine'!$C$2:$C$1960,0)))</f>
        <v/>
      </c>
      <c r="L1262" s="9">
        <f>IF(ISNA(MATCH(1253,'Transfer Engine'!$C$2:$C$1960,0)),"",INDEX('Compliance Database'!$L$2:$L$1960,MATCH(1253,'Transfer Engine'!$C$2:$C$1960,0)))</f>
        <v/>
      </c>
      <c r="M1262" s="9">
        <f>IF(ISNA(MATCH(1253,'Transfer Engine'!$C$2:$C$1960,0)),"",INDEX('Compliance Database'!$M$2:$M$1960,MATCH(1253,'Transfer Engine'!$C$2:$C$1960,0)))</f>
        <v/>
      </c>
      <c r="N1262" s="9">
        <f>IF(ISNA(MATCH(1253,'Transfer Engine'!$C$2:$C$1960,0)),"",INDEX('Compliance Database'!$N$2:$N$1960,MATCH(1253,'Transfer Engine'!$C$2:$C$1960,0)))</f>
        <v/>
      </c>
      <c r="O1262" s="9">
        <f>IF(ISNA(MATCH(1253,'Transfer Engine'!$C$2:$C$1960,0)),"",INDEX('Compliance Database'!$O$2:$O$1960,MATCH(1253,'Transfer Engine'!$C$2:$C$1960,0)))</f>
        <v/>
      </c>
      <c r="P1262" s="8">
        <f>IF(ISNA(MATCH(1253,'Transfer Engine'!$C$2:$C$1960,0)),"",HYPERLINK("#Acts!A"&amp;INDEX('Compliance Database'!$P$2:$P$1960,MATCH(1253,'Transfer Engine'!$C$2:$C$1960,0)),"Go to Act"))</f>
        <v/>
      </c>
    </row>
    <row r="1263" ht="158" customHeight="1">
      <c r="A1263" s="8">
        <f>IF(ISNA(MATCH(1254,'Transfer Engine'!$C$2:$C$1960,0)),"",INDEX('Compliance Database'!$A$2:$A$1960,MATCH(1254,'Transfer Engine'!$C$2:$C$1960,0)))</f>
        <v/>
      </c>
      <c r="B1263" s="8">
        <f>IF(ISNA(MATCH(1254,'Transfer Engine'!$C$2:$C$1960,0)),"",INDEX('Compliance Database'!$B$2:$B$1960,MATCH(1254,'Transfer Engine'!$C$2:$C$1960,0)))</f>
        <v/>
      </c>
      <c r="C1263" s="8">
        <f>IF(ISNA(MATCH(1254,'Transfer Engine'!$C$2:$C$1960,0)),"",INDEX('Compliance Database'!$C$2:$C$1960,MATCH(1254,'Transfer Engine'!$C$2:$C$1960,0)))</f>
        <v/>
      </c>
      <c r="D1263" s="9">
        <f>IF(ISNA(MATCH(1254,'Transfer Engine'!$C$2:$C$1960,0)),"",INDEX('Compliance Database'!$D$2:$D$1960,MATCH(1254,'Transfer Engine'!$C$2:$C$1960,0)))</f>
        <v/>
      </c>
      <c r="E1263" s="8">
        <f>IF(ISNA(MATCH(1254,'Transfer Engine'!$C$2:$C$1960,0)),"",INDEX('Compliance Database'!$E$2:$E$1960,MATCH(1254,'Transfer Engine'!$C$2:$C$1960,0)))</f>
        <v/>
      </c>
      <c r="F1263" s="8">
        <f>IF(ISNA(MATCH(1254,'Transfer Engine'!$C$2:$C$1960,0)),"",INDEX('Compliance Database'!$F$2:$F$1960,MATCH(1254,'Transfer Engine'!$C$2:$C$1960,0)))</f>
        <v/>
      </c>
      <c r="G1263" s="8">
        <f>IF(ISNA(MATCH(1254,'Transfer Engine'!$C$2:$C$1960,0)),"",INDEX('Compliance Database'!$G$2:$G$1960,MATCH(1254,'Transfer Engine'!$C$2:$C$1960,0)))</f>
        <v/>
      </c>
      <c r="H1263" s="9">
        <f>IF(ISNA(MATCH(1254,'Transfer Engine'!$C$2:$C$1960,0)),"",INDEX('Compliance Database'!$H$2:$H$1960,MATCH(1254,'Transfer Engine'!$C$2:$C$1960,0)))</f>
        <v/>
      </c>
      <c r="I1263" s="9">
        <f>IF(ISNA(MATCH(1254,'Transfer Engine'!$C$2:$C$1960,0)),"",INDEX('Compliance Database'!$I$2:$I$1960,MATCH(1254,'Transfer Engine'!$C$2:$C$1960,0)))</f>
        <v/>
      </c>
      <c r="J1263" s="8">
        <f>IF(ISNA(MATCH(1254,'Transfer Engine'!$C$2:$C$1960,0)),"",INDEX('Compliance Database'!$J$2:$J$1960,MATCH(1254,'Transfer Engine'!$C$2:$C$1960,0)))</f>
        <v/>
      </c>
      <c r="K1263" s="9">
        <f>IF(ISNA(MATCH(1254,'Transfer Engine'!$C$2:$C$1960,0)),"",INDEX('Compliance Database'!$K$2:$K$1960,MATCH(1254,'Transfer Engine'!$C$2:$C$1960,0)))</f>
        <v/>
      </c>
      <c r="L1263" s="9">
        <f>IF(ISNA(MATCH(1254,'Transfer Engine'!$C$2:$C$1960,0)),"",INDEX('Compliance Database'!$L$2:$L$1960,MATCH(1254,'Transfer Engine'!$C$2:$C$1960,0)))</f>
        <v/>
      </c>
      <c r="M1263" s="9">
        <f>IF(ISNA(MATCH(1254,'Transfer Engine'!$C$2:$C$1960,0)),"",INDEX('Compliance Database'!$M$2:$M$1960,MATCH(1254,'Transfer Engine'!$C$2:$C$1960,0)))</f>
        <v/>
      </c>
      <c r="N1263" s="9">
        <f>IF(ISNA(MATCH(1254,'Transfer Engine'!$C$2:$C$1960,0)),"",INDEX('Compliance Database'!$N$2:$N$1960,MATCH(1254,'Transfer Engine'!$C$2:$C$1960,0)))</f>
        <v/>
      </c>
      <c r="O1263" s="9">
        <f>IF(ISNA(MATCH(1254,'Transfer Engine'!$C$2:$C$1960,0)),"",INDEX('Compliance Database'!$O$2:$O$1960,MATCH(1254,'Transfer Engine'!$C$2:$C$1960,0)))</f>
        <v/>
      </c>
      <c r="P1263" s="8">
        <f>IF(ISNA(MATCH(1254,'Transfer Engine'!$C$2:$C$1960,0)),"",HYPERLINK("#Acts!A"&amp;INDEX('Compliance Database'!$P$2:$P$1960,MATCH(1254,'Transfer Engine'!$C$2:$C$1960,0)),"Go to Act"))</f>
        <v/>
      </c>
    </row>
    <row r="1264" ht="158" customHeight="1">
      <c r="A1264" s="8">
        <f>IF(ISNA(MATCH(1255,'Transfer Engine'!$C$2:$C$1960,0)),"",INDEX('Compliance Database'!$A$2:$A$1960,MATCH(1255,'Transfer Engine'!$C$2:$C$1960,0)))</f>
        <v/>
      </c>
      <c r="B1264" s="8">
        <f>IF(ISNA(MATCH(1255,'Transfer Engine'!$C$2:$C$1960,0)),"",INDEX('Compliance Database'!$B$2:$B$1960,MATCH(1255,'Transfer Engine'!$C$2:$C$1960,0)))</f>
        <v/>
      </c>
      <c r="C1264" s="8">
        <f>IF(ISNA(MATCH(1255,'Transfer Engine'!$C$2:$C$1960,0)),"",INDEX('Compliance Database'!$C$2:$C$1960,MATCH(1255,'Transfer Engine'!$C$2:$C$1960,0)))</f>
        <v/>
      </c>
      <c r="D1264" s="9">
        <f>IF(ISNA(MATCH(1255,'Transfer Engine'!$C$2:$C$1960,0)),"",INDEX('Compliance Database'!$D$2:$D$1960,MATCH(1255,'Transfer Engine'!$C$2:$C$1960,0)))</f>
        <v/>
      </c>
      <c r="E1264" s="8">
        <f>IF(ISNA(MATCH(1255,'Transfer Engine'!$C$2:$C$1960,0)),"",INDEX('Compliance Database'!$E$2:$E$1960,MATCH(1255,'Transfer Engine'!$C$2:$C$1960,0)))</f>
        <v/>
      </c>
      <c r="F1264" s="8">
        <f>IF(ISNA(MATCH(1255,'Transfer Engine'!$C$2:$C$1960,0)),"",INDEX('Compliance Database'!$F$2:$F$1960,MATCH(1255,'Transfer Engine'!$C$2:$C$1960,0)))</f>
        <v/>
      </c>
      <c r="G1264" s="8">
        <f>IF(ISNA(MATCH(1255,'Transfer Engine'!$C$2:$C$1960,0)),"",INDEX('Compliance Database'!$G$2:$G$1960,MATCH(1255,'Transfer Engine'!$C$2:$C$1960,0)))</f>
        <v/>
      </c>
      <c r="H1264" s="9">
        <f>IF(ISNA(MATCH(1255,'Transfer Engine'!$C$2:$C$1960,0)),"",INDEX('Compliance Database'!$H$2:$H$1960,MATCH(1255,'Transfer Engine'!$C$2:$C$1960,0)))</f>
        <v/>
      </c>
      <c r="I1264" s="9">
        <f>IF(ISNA(MATCH(1255,'Transfer Engine'!$C$2:$C$1960,0)),"",INDEX('Compliance Database'!$I$2:$I$1960,MATCH(1255,'Transfer Engine'!$C$2:$C$1960,0)))</f>
        <v/>
      </c>
      <c r="J1264" s="8">
        <f>IF(ISNA(MATCH(1255,'Transfer Engine'!$C$2:$C$1960,0)),"",INDEX('Compliance Database'!$J$2:$J$1960,MATCH(1255,'Transfer Engine'!$C$2:$C$1960,0)))</f>
        <v/>
      </c>
      <c r="K1264" s="9">
        <f>IF(ISNA(MATCH(1255,'Transfer Engine'!$C$2:$C$1960,0)),"",INDEX('Compliance Database'!$K$2:$K$1960,MATCH(1255,'Transfer Engine'!$C$2:$C$1960,0)))</f>
        <v/>
      </c>
      <c r="L1264" s="9">
        <f>IF(ISNA(MATCH(1255,'Transfer Engine'!$C$2:$C$1960,0)),"",INDEX('Compliance Database'!$L$2:$L$1960,MATCH(1255,'Transfer Engine'!$C$2:$C$1960,0)))</f>
        <v/>
      </c>
      <c r="M1264" s="9">
        <f>IF(ISNA(MATCH(1255,'Transfer Engine'!$C$2:$C$1960,0)),"",INDEX('Compliance Database'!$M$2:$M$1960,MATCH(1255,'Transfer Engine'!$C$2:$C$1960,0)))</f>
        <v/>
      </c>
      <c r="N1264" s="9">
        <f>IF(ISNA(MATCH(1255,'Transfer Engine'!$C$2:$C$1960,0)),"",INDEX('Compliance Database'!$N$2:$N$1960,MATCH(1255,'Transfer Engine'!$C$2:$C$1960,0)))</f>
        <v/>
      </c>
      <c r="O1264" s="9">
        <f>IF(ISNA(MATCH(1255,'Transfer Engine'!$C$2:$C$1960,0)),"",INDEX('Compliance Database'!$O$2:$O$1960,MATCH(1255,'Transfer Engine'!$C$2:$C$1960,0)))</f>
        <v/>
      </c>
      <c r="P1264" s="8">
        <f>IF(ISNA(MATCH(1255,'Transfer Engine'!$C$2:$C$1960,0)),"",HYPERLINK("#Acts!A"&amp;INDEX('Compliance Database'!$P$2:$P$1960,MATCH(1255,'Transfer Engine'!$C$2:$C$1960,0)),"Go to Act"))</f>
        <v/>
      </c>
    </row>
    <row r="1265" ht="158" customHeight="1">
      <c r="A1265" s="8">
        <f>IF(ISNA(MATCH(1256,'Transfer Engine'!$C$2:$C$1960,0)),"",INDEX('Compliance Database'!$A$2:$A$1960,MATCH(1256,'Transfer Engine'!$C$2:$C$1960,0)))</f>
        <v/>
      </c>
      <c r="B1265" s="8">
        <f>IF(ISNA(MATCH(1256,'Transfer Engine'!$C$2:$C$1960,0)),"",INDEX('Compliance Database'!$B$2:$B$1960,MATCH(1256,'Transfer Engine'!$C$2:$C$1960,0)))</f>
        <v/>
      </c>
      <c r="C1265" s="8">
        <f>IF(ISNA(MATCH(1256,'Transfer Engine'!$C$2:$C$1960,0)),"",INDEX('Compliance Database'!$C$2:$C$1960,MATCH(1256,'Transfer Engine'!$C$2:$C$1960,0)))</f>
        <v/>
      </c>
      <c r="D1265" s="9">
        <f>IF(ISNA(MATCH(1256,'Transfer Engine'!$C$2:$C$1960,0)),"",INDEX('Compliance Database'!$D$2:$D$1960,MATCH(1256,'Transfer Engine'!$C$2:$C$1960,0)))</f>
        <v/>
      </c>
      <c r="E1265" s="8">
        <f>IF(ISNA(MATCH(1256,'Transfer Engine'!$C$2:$C$1960,0)),"",INDEX('Compliance Database'!$E$2:$E$1960,MATCH(1256,'Transfer Engine'!$C$2:$C$1960,0)))</f>
        <v/>
      </c>
      <c r="F1265" s="8">
        <f>IF(ISNA(MATCH(1256,'Transfer Engine'!$C$2:$C$1960,0)),"",INDEX('Compliance Database'!$F$2:$F$1960,MATCH(1256,'Transfer Engine'!$C$2:$C$1960,0)))</f>
        <v/>
      </c>
      <c r="G1265" s="8">
        <f>IF(ISNA(MATCH(1256,'Transfer Engine'!$C$2:$C$1960,0)),"",INDEX('Compliance Database'!$G$2:$G$1960,MATCH(1256,'Transfer Engine'!$C$2:$C$1960,0)))</f>
        <v/>
      </c>
      <c r="H1265" s="9">
        <f>IF(ISNA(MATCH(1256,'Transfer Engine'!$C$2:$C$1960,0)),"",INDEX('Compliance Database'!$H$2:$H$1960,MATCH(1256,'Transfer Engine'!$C$2:$C$1960,0)))</f>
        <v/>
      </c>
      <c r="I1265" s="9">
        <f>IF(ISNA(MATCH(1256,'Transfer Engine'!$C$2:$C$1960,0)),"",INDEX('Compliance Database'!$I$2:$I$1960,MATCH(1256,'Transfer Engine'!$C$2:$C$1960,0)))</f>
        <v/>
      </c>
      <c r="J1265" s="8">
        <f>IF(ISNA(MATCH(1256,'Transfer Engine'!$C$2:$C$1960,0)),"",INDEX('Compliance Database'!$J$2:$J$1960,MATCH(1256,'Transfer Engine'!$C$2:$C$1960,0)))</f>
        <v/>
      </c>
      <c r="K1265" s="9">
        <f>IF(ISNA(MATCH(1256,'Transfer Engine'!$C$2:$C$1960,0)),"",INDEX('Compliance Database'!$K$2:$K$1960,MATCH(1256,'Transfer Engine'!$C$2:$C$1960,0)))</f>
        <v/>
      </c>
      <c r="L1265" s="9">
        <f>IF(ISNA(MATCH(1256,'Transfer Engine'!$C$2:$C$1960,0)),"",INDEX('Compliance Database'!$L$2:$L$1960,MATCH(1256,'Transfer Engine'!$C$2:$C$1960,0)))</f>
        <v/>
      </c>
      <c r="M1265" s="9">
        <f>IF(ISNA(MATCH(1256,'Transfer Engine'!$C$2:$C$1960,0)),"",INDEX('Compliance Database'!$M$2:$M$1960,MATCH(1256,'Transfer Engine'!$C$2:$C$1960,0)))</f>
        <v/>
      </c>
      <c r="N1265" s="9">
        <f>IF(ISNA(MATCH(1256,'Transfer Engine'!$C$2:$C$1960,0)),"",INDEX('Compliance Database'!$N$2:$N$1960,MATCH(1256,'Transfer Engine'!$C$2:$C$1960,0)))</f>
        <v/>
      </c>
      <c r="O1265" s="9">
        <f>IF(ISNA(MATCH(1256,'Transfer Engine'!$C$2:$C$1960,0)),"",INDEX('Compliance Database'!$O$2:$O$1960,MATCH(1256,'Transfer Engine'!$C$2:$C$1960,0)))</f>
        <v/>
      </c>
      <c r="P1265" s="8">
        <f>IF(ISNA(MATCH(1256,'Transfer Engine'!$C$2:$C$1960,0)),"",HYPERLINK("#Acts!A"&amp;INDEX('Compliance Database'!$P$2:$P$1960,MATCH(1256,'Transfer Engine'!$C$2:$C$1960,0)),"Go to Act"))</f>
        <v/>
      </c>
    </row>
    <row r="1266" ht="158" customHeight="1">
      <c r="A1266" s="8">
        <f>IF(ISNA(MATCH(1257,'Transfer Engine'!$C$2:$C$1960,0)),"",INDEX('Compliance Database'!$A$2:$A$1960,MATCH(1257,'Transfer Engine'!$C$2:$C$1960,0)))</f>
        <v/>
      </c>
      <c r="B1266" s="8">
        <f>IF(ISNA(MATCH(1257,'Transfer Engine'!$C$2:$C$1960,0)),"",INDEX('Compliance Database'!$B$2:$B$1960,MATCH(1257,'Transfer Engine'!$C$2:$C$1960,0)))</f>
        <v/>
      </c>
      <c r="C1266" s="8">
        <f>IF(ISNA(MATCH(1257,'Transfer Engine'!$C$2:$C$1960,0)),"",INDEX('Compliance Database'!$C$2:$C$1960,MATCH(1257,'Transfer Engine'!$C$2:$C$1960,0)))</f>
        <v/>
      </c>
      <c r="D1266" s="9">
        <f>IF(ISNA(MATCH(1257,'Transfer Engine'!$C$2:$C$1960,0)),"",INDEX('Compliance Database'!$D$2:$D$1960,MATCH(1257,'Transfer Engine'!$C$2:$C$1960,0)))</f>
        <v/>
      </c>
      <c r="E1266" s="8">
        <f>IF(ISNA(MATCH(1257,'Transfer Engine'!$C$2:$C$1960,0)),"",INDEX('Compliance Database'!$E$2:$E$1960,MATCH(1257,'Transfer Engine'!$C$2:$C$1960,0)))</f>
        <v/>
      </c>
      <c r="F1266" s="8">
        <f>IF(ISNA(MATCH(1257,'Transfer Engine'!$C$2:$C$1960,0)),"",INDEX('Compliance Database'!$F$2:$F$1960,MATCH(1257,'Transfer Engine'!$C$2:$C$1960,0)))</f>
        <v/>
      </c>
      <c r="G1266" s="8">
        <f>IF(ISNA(MATCH(1257,'Transfer Engine'!$C$2:$C$1960,0)),"",INDEX('Compliance Database'!$G$2:$G$1960,MATCH(1257,'Transfer Engine'!$C$2:$C$1960,0)))</f>
        <v/>
      </c>
      <c r="H1266" s="9">
        <f>IF(ISNA(MATCH(1257,'Transfer Engine'!$C$2:$C$1960,0)),"",INDEX('Compliance Database'!$H$2:$H$1960,MATCH(1257,'Transfer Engine'!$C$2:$C$1960,0)))</f>
        <v/>
      </c>
      <c r="I1266" s="9">
        <f>IF(ISNA(MATCH(1257,'Transfer Engine'!$C$2:$C$1960,0)),"",INDEX('Compliance Database'!$I$2:$I$1960,MATCH(1257,'Transfer Engine'!$C$2:$C$1960,0)))</f>
        <v/>
      </c>
      <c r="J1266" s="8">
        <f>IF(ISNA(MATCH(1257,'Transfer Engine'!$C$2:$C$1960,0)),"",INDEX('Compliance Database'!$J$2:$J$1960,MATCH(1257,'Transfer Engine'!$C$2:$C$1960,0)))</f>
        <v/>
      </c>
      <c r="K1266" s="9">
        <f>IF(ISNA(MATCH(1257,'Transfer Engine'!$C$2:$C$1960,0)),"",INDEX('Compliance Database'!$K$2:$K$1960,MATCH(1257,'Transfer Engine'!$C$2:$C$1960,0)))</f>
        <v/>
      </c>
      <c r="L1266" s="9">
        <f>IF(ISNA(MATCH(1257,'Transfer Engine'!$C$2:$C$1960,0)),"",INDEX('Compliance Database'!$L$2:$L$1960,MATCH(1257,'Transfer Engine'!$C$2:$C$1960,0)))</f>
        <v/>
      </c>
      <c r="M1266" s="9">
        <f>IF(ISNA(MATCH(1257,'Transfer Engine'!$C$2:$C$1960,0)),"",INDEX('Compliance Database'!$M$2:$M$1960,MATCH(1257,'Transfer Engine'!$C$2:$C$1960,0)))</f>
        <v/>
      </c>
      <c r="N1266" s="9">
        <f>IF(ISNA(MATCH(1257,'Transfer Engine'!$C$2:$C$1960,0)),"",INDEX('Compliance Database'!$N$2:$N$1960,MATCH(1257,'Transfer Engine'!$C$2:$C$1960,0)))</f>
        <v/>
      </c>
      <c r="O1266" s="9">
        <f>IF(ISNA(MATCH(1257,'Transfer Engine'!$C$2:$C$1960,0)),"",INDEX('Compliance Database'!$O$2:$O$1960,MATCH(1257,'Transfer Engine'!$C$2:$C$1960,0)))</f>
        <v/>
      </c>
      <c r="P1266" s="8">
        <f>IF(ISNA(MATCH(1257,'Transfer Engine'!$C$2:$C$1960,0)),"",HYPERLINK("#Acts!A"&amp;INDEX('Compliance Database'!$P$2:$P$1960,MATCH(1257,'Transfer Engine'!$C$2:$C$1960,0)),"Go to Act"))</f>
        <v/>
      </c>
    </row>
    <row r="1267" ht="158" customHeight="1">
      <c r="A1267" s="8">
        <f>IF(ISNA(MATCH(1258,'Transfer Engine'!$C$2:$C$1960,0)),"",INDEX('Compliance Database'!$A$2:$A$1960,MATCH(1258,'Transfer Engine'!$C$2:$C$1960,0)))</f>
        <v/>
      </c>
      <c r="B1267" s="8">
        <f>IF(ISNA(MATCH(1258,'Transfer Engine'!$C$2:$C$1960,0)),"",INDEX('Compliance Database'!$B$2:$B$1960,MATCH(1258,'Transfer Engine'!$C$2:$C$1960,0)))</f>
        <v/>
      </c>
      <c r="C1267" s="8">
        <f>IF(ISNA(MATCH(1258,'Transfer Engine'!$C$2:$C$1960,0)),"",INDEX('Compliance Database'!$C$2:$C$1960,MATCH(1258,'Transfer Engine'!$C$2:$C$1960,0)))</f>
        <v/>
      </c>
      <c r="D1267" s="9">
        <f>IF(ISNA(MATCH(1258,'Transfer Engine'!$C$2:$C$1960,0)),"",INDEX('Compliance Database'!$D$2:$D$1960,MATCH(1258,'Transfer Engine'!$C$2:$C$1960,0)))</f>
        <v/>
      </c>
      <c r="E1267" s="8">
        <f>IF(ISNA(MATCH(1258,'Transfer Engine'!$C$2:$C$1960,0)),"",INDEX('Compliance Database'!$E$2:$E$1960,MATCH(1258,'Transfer Engine'!$C$2:$C$1960,0)))</f>
        <v/>
      </c>
      <c r="F1267" s="8">
        <f>IF(ISNA(MATCH(1258,'Transfer Engine'!$C$2:$C$1960,0)),"",INDEX('Compliance Database'!$F$2:$F$1960,MATCH(1258,'Transfer Engine'!$C$2:$C$1960,0)))</f>
        <v/>
      </c>
      <c r="G1267" s="8">
        <f>IF(ISNA(MATCH(1258,'Transfer Engine'!$C$2:$C$1960,0)),"",INDEX('Compliance Database'!$G$2:$G$1960,MATCH(1258,'Transfer Engine'!$C$2:$C$1960,0)))</f>
        <v/>
      </c>
      <c r="H1267" s="9">
        <f>IF(ISNA(MATCH(1258,'Transfer Engine'!$C$2:$C$1960,0)),"",INDEX('Compliance Database'!$H$2:$H$1960,MATCH(1258,'Transfer Engine'!$C$2:$C$1960,0)))</f>
        <v/>
      </c>
      <c r="I1267" s="9">
        <f>IF(ISNA(MATCH(1258,'Transfer Engine'!$C$2:$C$1960,0)),"",INDEX('Compliance Database'!$I$2:$I$1960,MATCH(1258,'Transfer Engine'!$C$2:$C$1960,0)))</f>
        <v/>
      </c>
      <c r="J1267" s="8">
        <f>IF(ISNA(MATCH(1258,'Transfer Engine'!$C$2:$C$1960,0)),"",INDEX('Compliance Database'!$J$2:$J$1960,MATCH(1258,'Transfer Engine'!$C$2:$C$1960,0)))</f>
        <v/>
      </c>
      <c r="K1267" s="9">
        <f>IF(ISNA(MATCH(1258,'Transfer Engine'!$C$2:$C$1960,0)),"",INDEX('Compliance Database'!$K$2:$K$1960,MATCH(1258,'Transfer Engine'!$C$2:$C$1960,0)))</f>
        <v/>
      </c>
      <c r="L1267" s="9">
        <f>IF(ISNA(MATCH(1258,'Transfer Engine'!$C$2:$C$1960,0)),"",INDEX('Compliance Database'!$L$2:$L$1960,MATCH(1258,'Transfer Engine'!$C$2:$C$1960,0)))</f>
        <v/>
      </c>
      <c r="M1267" s="9">
        <f>IF(ISNA(MATCH(1258,'Transfer Engine'!$C$2:$C$1960,0)),"",INDEX('Compliance Database'!$M$2:$M$1960,MATCH(1258,'Transfer Engine'!$C$2:$C$1960,0)))</f>
        <v/>
      </c>
      <c r="N1267" s="9">
        <f>IF(ISNA(MATCH(1258,'Transfer Engine'!$C$2:$C$1960,0)),"",INDEX('Compliance Database'!$N$2:$N$1960,MATCH(1258,'Transfer Engine'!$C$2:$C$1960,0)))</f>
        <v/>
      </c>
      <c r="O1267" s="9">
        <f>IF(ISNA(MATCH(1258,'Transfer Engine'!$C$2:$C$1960,0)),"",INDEX('Compliance Database'!$O$2:$O$1960,MATCH(1258,'Transfer Engine'!$C$2:$C$1960,0)))</f>
        <v/>
      </c>
      <c r="P1267" s="8">
        <f>IF(ISNA(MATCH(1258,'Transfer Engine'!$C$2:$C$1960,0)),"",HYPERLINK("#Acts!A"&amp;INDEX('Compliance Database'!$P$2:$P$1960,MATCH(1258,'Transfer Engine'!$C$2:$C$1960,0)),"Go to Act"))</f>
        <v/>
      </c>
    </row>
    <row r="1268" ht="158" customHeight="1">
      <c r="A1268" s="8">
        <f>IF(ISNA(MATCH(1259,'Transfer Engine'!$C$2:$C$1960,0)),"",INDEX('Compliance Database'!$A$2:$A$1960,MATCH(1259,'Transfer Engine'!$C$2:$C$1960,0)))</f>
        <v/>
      </c>
      <c r="B1268" s="8">
        <f>IF(ISNA(MATCH(1259,'Transfer Engine'!$C$2:$C$1960,0)),"",INDEX('Compliance Database'!$B$2:$B$1960,MATCH(1259,'Transfer Engine'!$C$2:$C$1960,0)))</f>
        <v/>
      </c>
      <c r="C1268" s="8">
        <f>IF(ISNA(MATCH(1259,'Transfer Engine'!$C$2:$C$1960,0)),"",INDEX('Compliance Database'!$C$2:$C$1960,MATCH(1259,'Transfer Engine'!$C$2:$C$1960,0)))</f>
        <v/>
      </c>
      <c r="D1268" s="9">
        <f>IF(ISNA(MATCH(1259,'Transfer Engine'!$C$2:$C$1960,0)),"",INDEX('Compliance Database'!$D$2:$D$1960,MATCH(1259,'Transfer Engine'!$C$2:$C$1960,0)))</f>
        <v/>
      </c>
      <c r="E1268" s="8">
        <f>IF(ISNA(MATCH(1259,'Transfer Engine'!$C$2:$C$1960,0)),"",INDEX('Compliance Database'!$E$2:$E$1960,MATCH(1259,'Transfer Engine'!$C$2:$C$1960,0)))</f>
        <v/>
      </c>
      <c r="F1268" s="8">
        <f>IF(ISNA(MATCH(1259,'Transfer Engine'!$C$2:$C$1960,0)),"",INDEX('Compliance Database'!$F$2:$F$1960,MATCH(1259,'Transfer Engine'!$C$2:$C$1960,0)))</f>
        <v/>
      </c>
      <c r="G1268" s="8">
        <f>IF(ISNA(MATCH(1259,'Transfer Engine'!$C$2:$C$1960,0)),"",INDEX('Compliance Database'!$G$2:$G$1960,MATCH(1259,'Transfer Engine'!$C$2:$C$1960,0)))</f>
        <v/>
      </c>
      <c r="H1268" s="9">
        <f>IF(ISNA(MATCH(1259,'Transfer Engine'!$C$2:$C$1960,0)),"",INDEX('Compliance Database'!$H$2:$H$1960,MATCH(1259,'Transfer Engine'!$C$2:$C$1960,0)))</f>
        <v/>
      </c>
      <c r="I1268" s="9">
        <f>IF(ISNA(MATCH(1259,'Transfer Engine'!$C$2:$C$1960,0)),"",INDEX('Compliance Database'!$I$2:$I$1960,MATCH(1259,'Transfer Engine'!$C$2:$C$1960,0)))</f>
        <v/>
      </c>
      <c r="J1268" s="8">
        <f>IF(ISNA(MATCH(1259,'Transfer Engine'!$C$2:$C$1960,0)),"",INDEX('Compliance Database'!$J$2:$J$1960,MATCH(1259,'Transfer Engine'!$C$2:$C$1960,0)))</f>
        <v/>
      </c>
      <c r="K1268" s="9">
        <f>IF(ISNA(MATCH(1259,'Transfer Engine'!$C$2:$C$1960,0)),"",INDEX('Compliance Database'!$K$2:$K$1960,MATCH(1259,'Transfer Engine'!$C$2:$C$1960,0)))</f>
        <v/>
      </c>
      <c r="L1268" s="9">
        <f>IF(ISNA(MATCH(1259,'Transfer Engine'!$C$2:$C$1960,0)),"",INDEX('Compliance Database'!$L$2:$L$1960,MATCH(1259,'Transfer Engine'!$C$2:$C$1960,0)))</f>
        <v/>
      </c>
      <c r="M1268" s="9">
        <f>IF(ISNA(MATCH(1259,'Transfer Engine'!$C$2:$C$1960,0)),"",INDEX('Compliance Database'!$M$2:$M$1960,MATCH(1259,'Transfer Engine'!$C$2:$C$1960,0)))</f>
        <v/>
      </c>
      <c r="N1268" s="9">
        <f>IF(ISNA(MATCH(1259,'Transfer Engine'!$C$2:$C$1960,0)),"",INDEX('Compliance Database'!$N$2:$N$1960,MATCH(1259,'Transfer Engine'!$C$2:$C$1960,0)))</f>
        <v/>
      </c>
      <c r="O1268" s="9">
        <f>IF(ISNA(MATCH(1259,'Transfer Engine'!$C$2:$C$1960,0)),"",INDEX('Compliance Database'!$O$2:$O$1960,MATCH(1259,'Transfer Engine'!$C$2:$C$1960,0)))</f>
        <v/>
      </c>
      <c r="P1268" s="8">
        <f>IF(ISNA(MATCH(1259,'Transfer Engine'!$C$2:$C$1960,0)),"",HYPERLINK("#Acts!A"&amp;INDEX('Compliance Database'!$P$2:$P$1960,MATCH(1259,'Transfer Engine'!$C$2:$C$1960,0)),"Go to Act"))</f>
        <v/>
      </c>
    </row>
    <row r="1269" ht="158" customHeight="1">
      <c r="A1269" s="8">
        <f>IF(ISNA(MATCH(1260,'Transfer Engine'!$C$2:$C$1960,0)),"",INDEX('Compliance Database'!$A$2:$A$1960,MATCH(1260,'Transfer Engine'!$C$2:$C$1960,0)))</f>
        <v/>
      </c>
      <c r="B1269" s="8">
        <f>IF(ISNA(MATCH(1260,'Transfer Engine'!$C$2:$C$1960,0)),"",INDEX('Compliance Database'!$B$2:$B$1960,MATCH(1260,'Transfer Engine'!$C$2:$C$1960,0)))</f>
        <v/>
      </c>
      <c r="C1269" s="8">
        <f>IF(ISNA(MATCH(1260,'Transfer Engine'!$C$2:$C$1960,0)),"",INDEX('Compliance Database'!$C$2:$C$1960,MATCH(1260,'Transfer Engine'!$C$2:$C$1960,0)))</f>
        <v/>
      </c>
      <c r="D1269" s="9">
        <f>IF(ISNA(MATCH(1260,'Transfer Engine'!$C$2:$C$1960,0)),"",INDEX('Compliance Database'!$D$2:$D$1960,MATCH(1260,'Transfer Engine'!$C$2:$C$1960,0)))</f>
        <v/>
      </c>
      <c r="E1269" s="8">
        <f>IF(ISNA(MATCH(1260,'Transfer Engine'!$C$2:$C$1960,0)),"",INDEX('Compliance Database'!$E$2:$E$1960,MATCH(1260,'Transfer Engine'!$C$2:$C$1960,0)))</f>
        <v/>
      </c>
      <c r="F1269" s="8">
        <f>IF(ISNA(MATCH(1260,'Transfer Engine'!$C$2:$C$1960,0)),"",INDEX('Compliance Database'!$F$2:$F$1960,MATCH(1260,'Transfer Engine'!$C$2:$C$1960,0)))</f>
        <v/>
      </c>
      <c r="G1269" s="8">
        <f>IF(ISNA(MATCH(1260,'Transfer Engine'!$C$2:$C$1960,0)),"",INDEX('Compliance Database'!$G$2:$G$1960,MATCH(1260,'Transfer Engine'!$C$2:$C$1960,0)))</f>
        <v/>
      </c>
      <c r="H1269" s="9">
        <f>IF(ISNA(MATCH(1260,'Transfer Engine'!$C$2:$C$1960,0)),"",INDEX('Compliance Database'!$H$2:$H$1960,MATCH(1260,'Transfer Engine'!$C$2:$C$1960,0)))</f>
        <v/>
      </c>
      <c r="I1269" s="9">
        <f>IF(ISNA(MATCH(1260,'Transfer Engine'!$C$2:$C$1960,0)),"",INDEX('Compliance Database'!$I$2:$I$1960,MATCH(1260,'Transfer Engine'!$C$2:$C$1960,0)))</f>
        <v/>
      </c>
      <c r="J1269" s="8">
        <f>IF(ISNA(MATCH(1260,'Transfer Engine'!$C$2:$C$1960,0)),"",INDEX('Compliance Database'!$J$2:$J$1960,MATCH(1260,'Transfer Engine'!$C$2:$C$1960,0)))</f>
        <v/>
      </c>
      <c r="K1269" s="9">
        <f>IF(ISNA(MATCH(1260,'Transfer Engine'!$C$2:$C$1960,0)),"",INDEX('Compliance Database'!$K$2:$K$1960,MATCH(1260,'Transfer Engine'!$C$2:$C$1960,0)))</f>
        <v/>
      </c>
      <c r="L1269" s="9">
        <f>IF(ISNA(MATCH(1260,'Transfer Engine'!$C$2:$C$1960,0)),"",INDEX('Compliance Database'!$L$2:$L$1960,MATCH(1260,'Transfer Engine'!$C$2:$C$1960,0)))</f>
        <v/>
      </c>
      <c r="M1269" s="9">
        <f>IF(ISNA(MATCH(1260,'Transfer Engine'!$C$2:$C$1960,0)),"",INDEX('Compliance Database'!$M$2:$M$1960,MATCH(1260,'Transfer Engine'!$C$2:$C$1960,0)))</f>
        <v/>
      </c>
      <c r="N1269" s="9">
        <f>IF(ISNA(MATCH(1260,'Transfer Engine'!$C$2:$C$1960,0)),"",INDEX('Compliance Database'!$N$2:$N$1960,MATCH(1260,'Transfer Engine'!$C$2:$C$1960,0)))</f>
        <v/>
      </c>
      <c r="O1269" s="9">
        <f>IF(ISNA(MATCH(1260,'Transfer Engine'!$C$2:$C$1960,0)),"",INDEX('Compliance Database'!$O$2:$O$1960,MATCH(1260,'Transfer Engine'!$C$2:$C$1960,0)))</f>
        <v/>
      </c>
      <c r="P1269" s="8">
        <f>IF(ISNA(MATCH(1260,'Transfer Engine'!$C$2:$C$1960,0)),"",HYPERLINK("#Acts!A"&amp;INDEX('Compliance Database'!$P$2:$P$1960,MATCH(1260,'Transfer Engine'!$C$2:$C$1960,0)),"Go to Act"))</f>
        <v/>
      </c>
    </row>
    <row r="1270" ht="158" customHeight="1">
      <c r="A1270" s="8">
        <f>IF(ISNA(MATCH(1261,'Transfer Engine'!$C$2:$C$1960,0)),"",INDEX('Compliance Database'!$A$2:$A$1960,MATCH(1261,'Transfer Engine'!$C$2:$C$1960,0)))</f>
        <v/>
      </c>
      <c r="B1270" s="8">
        <f>IF(ISNA(MATCH(1261,'Transfer Engine'!$C$2:$C$1960,0)),"",INDEX('Compliance Database'!$B$2:$B$1960,MATCH(1261,'Transfer Engine'!$C$2:$C$1960,0)))</f>
        <v/>
      </c>
      <c r="C1270" s="8">
        <f>IF(ISNA(MATCH(1261,'Transfer Engine'!$C$2:$C$1960,0)),"",INDEX('Compliance Database'!$C$2:$C$1960,MATCH(1261,'Transfer Engine'!$C$2:$C$1960,0)))</f>
        <v/>
      </c>
      <c r="D1270" s="9">
        <f>IF(ISNA(MATCH(1261,'Transfer Engine'!$C$2:$C$1960,0)),"",INDEX('Compliance Database'!$D$2:$D$1960,MATCH(1261,'Transfer Engine'!$C$2:$C$1960,0)))</f>
        <v/>
      </c>
      <c r="E1270" s="8">
        <f>IF(ISNA(MATCH(1261,'Transfer Engine'!$C$2:$C$1960,0)),"",INDEX('Compliance Database'!$E$2:$E$1960,MATCH(1261,'Transfer Engine'!$C$2:$C$1960,0)))</f>
        <v/>
      </c>
      <c r="F1270" s="8">
        <f>IF(ISNA(MATCH(1261,'Transfer Engine'!$C$2:$C$1960,0)),"",INDEX('Compliance Database'!$F$2:$F$1960,MATCH(1261,'Transfer Engine'!$C$2:$C$1960,0)))</f>
        <v/>
      </c>
      <c r="G1270" s="8">
        <f>IF(ISNA(MATCH(1261,'Transfer Engine'!$C$2:$C$1960,0)),"",INDEX('Compliance Database'!$G$2:$G$1960,MATCH(1261,'Transfer Engine'!$C$2:$C$1960,0)))</f>
        <v/>
      </c>
      <c r="H1270" s="9">
        <f>IF(ISNA(MATCH(1261,'Transfer Engine'!$C$2:$C$1960,0)),"",INDEX('Compliance Database'!$H$2:$H$1960,MATCH(1261,'Transfer Engine'!$C$2:$C$1960,0)))</f>
        <v/>
      </c>
      <c r="I1270" s="9">
        <f>IF(ISNA(MATCH(1261,'Transfer Engine'!$C$2:$C$1960,0)),"",INDEX('Compliance Database'!$I$2:$I$1960,MATCH(1261,'Transfer Engine'!$C$2:$C$1960,0)))</f>
        <v/>
      </c>
      <c r="J1270" s="8">
        <f>IF(ISNA(MATCH(1261,'Transfer Engine'!$C$2:$C$1960,0)),"",INDEX('Compliance Database'!$J$2:$J$1960,MATCH(1261,'Transfer Engine'!$C$2:$C$1960,0)))</f>
        <v/>
      </c>
      <c r="K1270" s="9">
        <f>IF(ISNA(MATCH(1261,'Transfer Engine'!$C$2:$C$1960,0)),"",INDEX('Compliance Database'!$K$2:$K$1960,MATCH(1261,'Transfer Engine'!$C$2:$C$1960,0)))</f>
        <v/>
      </c>
      <c r="L1270" s="9">
        <f>IF(ISNA(MATCH(1261,'Transfer Engine'!$C$2:$C$1960,0)),"",INDEX('Compliance Database'!$L$2:$L$1960,MATCH(1261,'Transfer Engine'!$C$2:$C$1960,0)))</f>
        <v/>
      </c>
      <c r="M1270" s="9">
        <f>IF(ISNA(MATCH(1261,'Transfer Engine'!$C$2:$C$1960,0)),"",INDEX('Compliance Database'!$M$2:$M$1960,MATCH(1261,'Transfer Engine'!$C$2:$C$1960,0)))</f>
        <v/>
      </c>
      <c r="N1270" s="9">
        <f>IF(ISNA(MATCH(1261,'Transfer Engine'!$C$2:$C$1960,0)),"",INDEX('Compliance Database'!$N$2:$N$1960,MATCH(1261,'Transfer Engine'!$C$2:$C$1960,0)))</f>
        <v/>
      </c>
      <c r="O1270" s="9">
        <f>IF(ISNA(MATCH(1261,'Transfer Engine'!$C$2:$C$1960,0)),"",INDEX('Compliance Database'!$O$2:$O$1960,MATCH(1261,'Transfer Engine'!$C$2:$C$1960,0)))</f>
        <v/>
      </c>
      <c r="P1270" s="8">
        <f>IF(ISNA(MATCH(1261,'Transfer Engine'!$C$2:$C$1960,0)),"",HYPERLINK("#Acts!A"&amp;INDEX('Compliance Database'!$P$2:$P$1960,MATCH(1261,'Transfer Engine'!$C$2:$C$1960,0)),"Go to Act"))</f>
        <v/>
      </c>
    </row>
    <row r="1271" ht="158" customHeight="1">
      <c r="A1271" s="8">
        <f>IF(ISNA(MATCH(1262,'Transfer Engine'!$C$2:$C$1960,0)),"",INDEX('Compliance Database'!$A$2:$A$1960,MATCH(1262,'Transfer Engine'!$C$2:$C$1960,0)))</f>
        <v/>
      </c>
      <c r="B1271" s="8">
        <f>IF(ISNA(MATCH(1262,'Transfer Engine'!$C$2:$C$1960,0)),"",INDEX('Compliance Database'!$B$2:$B$1960,MATCH(1262,'Transfer Engine'!$C$2:$C$1960,0)))</f>
        <v/>
      </c>
      <c r="C1271" s="8">
        <f>IF(ISNA(MATCH(1262,'Transfer Engine'!$C$2:$C$1960,0)),"",INDEX('Compliance Database'!$C$2:$C$1960,MATCH(1262,'Transfer Engine'!$C$2:$C$1960,0)))</f>
        <v/>
      </c>
      <c r="D1271" s="9">
        <f>IF(ISNA(MATCH(1262,'Transfer Engine'!$C$2:$C$1960,0)),"",INDEX('Compliance Database'!$D$2:$D$1960,MATCH(1262,'Transfer Engine'!$C$2:$C$1960,0)))</f>
        <v/>
      </c>
      <c r="E1271" s="8">
        <f>IF(ISNA(MATCH(1262,'Transfer Engine'!$C$2:$C$1960,0)),"",INDEX('Compliance Database'!$E$2:$E$1960,MATCH(1262,'Transfer Engine'!$C$2:$C$1960,0)))</f>
        <v/>
      </c>
      <c r="F1271" s="8">
        <f>IF(ISNA(MATCH(1262,'Transfer Engine'!$C$2:$C$1960,0)),"",INDEX('Compliance Database'!$F$2:$F$1960,MATCH(1262,'Transfer Engine'!$C$2:$C$1960,0)))</f>
        <v/>
      </c>
      <c r="G1271" s="8">
        <f>IF(ISNA(MATCH(1262,'Transfer Engine'!$C$2:$C$1960,0)),"",INDEX('Compliance Database'!$G$2:$G$1960,MATCH(1262,'Transfer Engine'!$C$2:$C$1960,0)))</f>
        <v/>
      </c>
      <c r="H1271" s="9">
        <f>IF(ISNA(MATCH(1262,'Transfer Engine'!$C$2:$C$1960,0)),"",INDEX('Compliance Database'!$H$2:$H$1960,MATCH(1262,'Transfer Engine'!$C$2:$C$1960,0)))</f>
        <v/>
      </c>
      <c r="I1271" s="9">
        <f>IF(ISNA(MATCH(1262,'Transfer Engine'!$C$2:$C$1960,0)),"",INDEX('Compliance Database'!$I$2:$I$1960,MATCH(1262,'Transfer Engine'!$C$2:$C$1960,0)))</f>
        <v/>
      </c>
      <c r="J1271" s="8">
        <f>IF(ISNA(MATCH(1262,'Transfer Engine'!$C$2:$C$1960,0)),"",INDEX('Compliance Database'!$J$2:$J$1960,MATCH(1262,'Transfer Engine'!$C$2:$C$1960,0)))</f>
        <v/>
      </c>
      <c r="K1271" s="9">
        <f>IF(ISNA(MATCH(1262,'Transfer Engine'!$C$2:$C$1960,0)),"",INDEX('Compliance Database'!$K$2:$K$1960,MATCH(1262,'Transfer Engine'!$C$2:$C$1960,0)))</f>
        <v/>
      </c>
      <c r="L1271" s="9">
        <f>IF(ISNA(MATCH(1262,'Transfer Engine'!$C$2:$C$1960,0)),"",INDEX('Compliance Database'!$L$2:$L$1960,MATCH(1262,'Transfer Engine'!$C$2:$C$1960,0)))</f>
        <v/>
      </c>
      <c r="M1271" s="9">
        <f>IF(ISNA(MATCH(1262,'Transfer Engine'!$C$2:$C$1960,0)),"",INDEX('Compliance Database'!$M$2:$M$1960,MATCH(1262,'Transfer Engine'!$C$2:$C$1960,0)))</f>
        <v/>
      </c>
      <c r="N1271" s="9">
        <f>IF(ISNA(MATCH(1262,'Transfer Engine'!$C$2:$C$1960,0)),"",INDEX('Compliance Database'!$N$2:$N$1960,MATCH(1262,'Transfer Engine'!$C$2:$C$1960,0)))</f>
        <v/>
      </c>
      <c r="O1271" s="9">
        <f>IF(ISNA(MATCH(1262,'Transfer Engine'!$C$2:$C$1960,0)),"",INDEX('Compliance Database'!$O$2:$O$1960,MATCH(1262,'Transfer Engine'!$C$2:$C$1960,0)))</f>
        <v/>
      </c>
      <c r="P1271" s="8">
        <f>IF(ISNA(MATCH(1262,'Transfer Engine'!$C$2:$C$1960,0)),"",HYPERLINK("#Acts!A"&amp;INDEX('Compliance Database'!$P$2:$P$1960,MATCH(1262,'Transfer Engine'!$C$2:$C$1960,0)),"Go to Act"))</f>
        <v/>
      </c>
    </row>
    <row r="1272" ht="158" customHeight="1">
      <c r="A1272" s="8">
        <f>IF(ISNA(MATCH(1263,'Transfer Engine'!$C$2:$C$1960,0)),"",INDEX('Compliance Database'!$A$2:$A$1960,MATCH(1263,'Transfer Engine'!$C$2:$C$1960,0)))</f>
        <v/>
      </c>
      <c r="B1272" s="8">
        <f>IF(ISNA(MATCH(1263,'Transfer Engine'!$C$2:$C$1960,0)),"",INDEX('Compliance Database'!$B$2:$B$1960,MATCH(1263,'Transfer Engine'!$C$2:$C$1960,0)))</f>
        <v/>
      </c>
      <c r="C1272" s="8">
        <f>IF(ISNA(MATCH(1263,'Transfer Engine'!$C$2:$C$1960,0)),"",INDEX('Compliance Database'!$C$2:$C$1960,MATCH(1263,'Transfer Engine'!$C$2:$C$1960,0)))</f>
        <v/>
      </c>
      <c r="D1272" s="9">
        <f>IF(ISNA(MATCH(1263,'Transfer Engine'!$C$2:$C$1960,0)),"",INDEX('Compliance Database'!$D$2:$D$1960,MATCH(1263,'Transfer Engine'!$C$2:$C$1960,0)))</f>
        <v/>
      </c>
      <c r="E1272" s="8">
        <f>IF(ISNA(MATCH(1263,'Transfer Engine'!$C$2:$C$1960,0)),"",INDEX('Compliance Database'!$E$2:$E$1960,MATCH(1263,'Transfer Engine'!$C$2:$C$1960,0)))</f>
        <v/>
      </c>
      <c r="F1272" s="8">
        <f>IF(ISNA(MATCH(1263,'Transfer Engine'!$C$2:$C$1960,0)),"",INDEX('Compliance Database'!$F$2:$F$1960,MATCH(1263,'Transfer Engine'!$C$2:$C$1960,0)))</f>
        <v/>
      </c>
      <c r="G1272" s="8">
        <f>IF(ISNA(MATCH(1263,'Transfer Engine'!$C$2:$C$1960,0)),"",INDEX('Compliance Database'!$G$2:$G$1960,MATCH(1263,'Transfer Engine'!$C$2:$C$1960,0)))</f>
        <v/>
      </c>
      <c r="H1272" s="9">
        <f>IF(ISNA(MATCH(1263,'Transfer Engine'!$C$2:$C$1960,0)),"",INDEX('Compliance Database'!$H$2:$H$1960,MATCH(1263,'Transfer Engine'!$C$2:$C$1960,0)))</f>
        <v/>
      </c>
      <c r="I1272" s="9">
        <f>IF(ISNA(MATCH(1263,'Transfer Engine'!$C$2:$C$1960,0)),"",INDEX('Compliance Database'!$I$2:$I$1960,MATCH(1263,'Transfer Engine'!$C$2:$C$1960,0)))</f>
        <v/>
      </c>
      <c r="J1272" s="8">
        <f>IF(ISNA(MATCH(1263,'Transfer Engine'!$C$2:$C$1960,0)),"",INDEX('Compliance Database'!$J$2:$J$1960,MATCH(1263,'Transfer Engine'!$C$2:$C$1960,0)))</f>
        <v/>
      </c>
      <c r="K1272" s="9">
        <f>IF(ISNA(MATCH(1263,'Transfer Engine'!$C$2:$C$1960,0)),"",INDEX('Compliance Database'!$K$2:$K$1960,MATCH(1263,'Transfer Engine'!$C$2:$C$1960,0)))</f>
        <v/>
      </c>
      <c r="L1272" s="9">
        <f>IF(ISNA(MATCH(1263,'Transfer Engine'!$C$2:$C$1960,0)),"",INDEX('Compliance Database'!$L$2:$L$1960,MATCH(1263,'Transfer Engine'!$C$2:$C$1960,0)))</f>
        <v/>
      </c>
      <c r="M1272" s="9">
        <f>IF(ISNA(MATCH(1263,'Transfer Engine'!$C$2:$C$1960,0)),"",INDEX('Compliance Database'!$M$2:$M$1960,MATCH(1263,'Transfer Engine'!$C$2:$C$1960,0)))</f>
        <v/>
      </c>
      <c r="N1272" s="9">
        <f>IF(ISNA(MATCH(1263,'Transfer Engine'!$C$2:$C$1960,0)),"",INDEX('Compliance Database'!$N$2:$N$1960,MATCH(1263,'Transfer Engine'!$C$2:$C$1960,0)))</f>
        <v/>
      </c>
      <c r="O1272" s="9">
        <f>IF(ISNA(MATCH(1263,'Transfer Engine'!$C$2:$C$1960,0)),"",INDEX('Compliance Database'!$O$2:$O$1960,MATCH(1263,'Transfer Engine'!$C$2:$C$1960,0)))</f>
        <v/>
      </c>
      <c r="P1272" s="8">
        <f>IF(ISNA(MATCH(1263,'Transfer Engine'!$C$2:$C$1960,0)),"",HYPERLINK("#Acts!A"&amp;INDEX('Compliance Database'!$P$2:$P$1960,MATCH(1263,'Transfer Engine'!$C$2:$C$1960,0)),"Go to Act"))</f>
        <v/>
      </c>
    </row>
    <row r="1273" ht="158" customHeight="1">
      <c r="A1273" s="8">
        <f>IF(ISNA(MATCH(1264,'Transfer Engine'!$C$2:$C$1960,0)),"",INDEX('Compliance Database'!$A$2:$A$1960,MATCH(1264,'Transfer Engine'!$C$2:$C$1960,0)))</f>
        <v/>
      </c>
      <c r="B1273" s="8">
        <f>IF(ISNA(MATCH(1264,'Transfer Engine'!$C$2:$C$1960,0)),"",INDEX('Compliance Database'!$B$2:$B$1960,MATCH(1264,'Transfer Engine'!$C$2:$C$1960,0)))</f>
        <v/>
      </c>
      <c r="C1273" s="8">
        <f>IF(ISNA(MATCH(1264,'Transfer Engine'!$C$2:$C$1960,0)),"",INDEX('Compliance Database'!$C$2:$C$1960,MATCH(1264,'Transfer Engine'!$C$2:$C$1960,0)))</f>
        <v/>
      </c>
      <c r="D1273" s="9">
        <f>IF(ISNA(MATCH(1264,'Transfer Engine'!$C$2:$C$1960,0)),"",INDEX('Compliance Database'!$D$2:$D$1960,MATCH(1264,'Transfer Engine'!$C$2:$C$1960,0)))</f>
        <v/>
      </c>
      <c r="E1273" s="8">
        <f>IF(ISNA(MATCH(1264,'Transfer Engine'!$C$2:$C$1960,0)),"",INDEX('Compliance Database'!$E$2:$E$1960,MATCH(1264,'Transfer Engine'!$C$2:$C$1960,0)))</f>
        <v/>
      </c>
      <c r="F1273" s="8">
        <f>IF(ISNA(MATCH(1264,'Transfer Engine'!$C$2:$C$1960,0)),"",INDEX('Compliance Database'!$F$2:$F$1960,MATCH(1264,'Transfer Engine'!$C$2:$C$1960,0)))</f>
        <v/>
      </c>
      <c r="G1273" s="8">
        <f>IF(ISNA(MATCH(1264,'Transfer Engine'!$C$2:$C$1960,0)),"",INDEX('Compliance Database'!$G$2:$G$1960,MATCH(1264,'Transfer Engine'!$C$2:$C$1960,0)))</f>
        <v/>
      </c>
      <c r="H1273" s="9">
        <f>IF(ISNA(MATCH(1264,'Transfer Engine'!$C$2:$C$1960,0)),"",INDEX('Compliance Database'!$H$2:$H$1960,MATCH(1264,'Transfer Engine'!$C$2:$C$1960,0)))</f>
        <v/>
      </c>
      <c r="I1273" s="9">
        <f>IF(ISNA(MATCH(1264,'Transfer Engine'!$C$2:$C$1960,0)),"",INDEX('Compliance Database'!$I$2:$I$1960,MATCH(1264,'Transfer Engine'!$C$2:$C$1960,0)))</f>
        <v/>
      </c>
      <c r="J1273" s="8">
        <f>IF(ISNA(MATCH(1264,'Transfer Engine'!$C$2:$C$1960,0)),"",INDEX('Compliance Database'!$J$2:$J$1960,MATCH(1264,'Transfer Engine'!$C$2:$C$1960,0)))</f>
        <v/>
      </c>
      <c r="K1273" s="9">
        <f>IF(ISNA(MATCH(1264,'Transfer Engine'!$C$2:$C$1960,0)),"",INDEX('Compliance Database'!$K$2:$K$1960,MATCH(1264,'Transfer Engine'!$C$2:$C$1960,0)))</f>
        <v/>
      </c>
      <c r="L1273" s="9">
        <f>IF(ISNA(MATCH(1264,'Transfer Engine'!$C$2:$C$1960,0)),"",INDEX('Compliance Database'!$L$2:$L$1960,MATCH(1264,'Transfer Engine'!$C$2:$C$1960,0)))</f>
        <v/>
      </c>
      <c r="M1273" s="9">
        <f>IF(ISNA(MATCH(1264,'Transfer Engine'!$C$2:$C$1960,0)),"",INDEX('Compliance Database'!$M$2:$M$1960,MATCH(1264,'Transfer Engine'!$C$2:$C$1960,0)))</f>
        <v/>
      </c>
      <c r="N1273" s="9">
        <f>IF(ISNA(MATCH(1264,'Transfer Engine'!$C$2:$C$1960,0)),"",INDEX('Compliance Database'!$N$2:$N$1960,MATCH(1264,'Transfer Engine'!$C$2:$C$1960,0)))</f>
        <v/>
      </c>
      <c r="O1273" s="9">
        <f>IF(ISNA(MATCH(1264,'Transfer Engine'!$C$2:$C$1960,0)),"",INDEX('Compliance Database'!$O$2:$O$1960,MATCH(1264,'Transfer Engine'!$C$2:$C$1960,0)))</f>
        <v/>
      </c>
      <c r="P1273" s="8">
        <f>IF(ISNA(MATCH(1264,'Transfer Engine'!$C$2:$C$1960,0)),"",HYPERLINK("#Acts!A"&amp;INDEX('Compliance Database'!$P$2:$P$1960,MATCH(1264,'Transfer Engine'!$C$2:$C$1960,0)),"Go to Act"))</f>
        <v/>
      </c>
    </row>
    <row r="1274" ht="158" customHeight="1">
      <c r="A1274" s="8">
        <f>IF(ISNA(MATCH(1265,'Transfer Engine'!$C$2:$C$1960,0)),"",INDEX('Compliance Database'!$A$2:$A$1960,MATCH(1265,'Transfer Engine'!$C$2:$C$1960,0)))</f>
        <v/>
      </c>
      <c r="B1274" s="8">
        <f>IF(ISNA(MATCH(1265,'Transfer Engine'!$C$2:$C$1960,0)),"",INDEX('Compliance Database'!$B$2:$B$1960,MATCH(1265,'Transfer Engine'!$C$2:$C$1960,0)))</f>
        <v/>
      </c>
      <c r="C1274" s="8">
        <f>IF(ISNA(MATCH(1265,'Transfer Engine'!$C$2:$C$1960,0)),"",INDEX('Compliance Database'!$C$2:$C$1960,MATCH(1265,'Transfer Engine'!$C$2:$C$1960,0)))</f>
        <v/>
      </c>
      <c r="D1274" s="9">
        <f>IF(ISNA(MATCH(1265,'Transfer Engine'!$C$2:$C$1960,0)),"",INDEX('Compliance Database'!$D$2:$D$1960,MATCH(1265,'Transfer Engine'!$C$2:$C$1960,0)))</f>
        <v/>
      </c>
      <c r="E1274" s="8">
        <f>IF(ISNA(MATCH(1265,'Transfer Engine'!$C$2:$C$1960,0)),"",INDEX('Compliance Database'!$E$2:$E$1960,MATCH(1265,'Transfer Engine'!$C$2:$C$1960,0)))</f>
        <v/>
      </c>
      <c r="F1274" s="8">
        <f>IF(ISNA(MATCH(1265,'Transfer Engine'!$C$2:$C$1960,0)),"",INDEX('Compliance Database'!$F$2:$F$1960,MATCH(1265,'Transfer Engine'!$C$2:$C$1960,0)))</f>
        <v/>
      </c>
      <c r="G1274" s="8">
        <f>IF(ISNA(MATCH(1265,'Transfer Engine'!$C$2:$C$1960,0)),"",INDEX('Compliance Database'!$G$2:$G$1960,MATCH(1265,'Transfer Engine'!$C$2:$C$1960,0)))</f>
        <v/>
      </c>
      <c r="H1274" s="9">
        <f>IF(ISNA(MATCH(1265,'Transfer Engine'!$C$2:$C$1960,0)),"",INDEX('Compliance Database'!$H$2:$H$1960,MATCH(1265,'Transfer Engine'!$C$2:$C$1960,0)))</f>
        <v/>
      </c>
      <c r="I1274" s="9">
        <f>IF(ISNA(MATCH(1265,'Transfer Engine'!$C$2:$C$1960,0)),"",INDEX('Compliance Database'!$I$2:$I$1960,MATCH(1265,'Transfer Engine'!$C$2:$C$1960,0)))</f>
        <v/>
      </c>
      <c r="J1274" s="8">
        <f>IF(ISNA(MATCH(1265,'Transfer Engine'!$C$2:$C$1960,0)),"",INDEX('Compliance Database'!$J$2:$J$1960,MATCH(1265,'Transfer Engine'!$C$2:$C$1960,0)))</f>
        <v/>
      </c>
      <c r="K1274" s="9">
        <f>IF(ISNA(MATCH(1265,'Transfer Engine'!$C$2:$C$1960,0)),"",INDEX('Compliance Database'!$K$2:$K$1960,MATCH(1265,'Transfer Engine'!$C$2:$C$1960,0)))</f>
        <v/>
      </c>
      <c r="L1274" s="9">
        <f>IF(ISNA(MATCH(1265,'Transfer Engine'!$C$2:$C$1960,0)),"",INDEX('Compliance Database'!$L$2:$L$1960,MATCH(1265,'Transfer Engine'!$C$2:$C$1960,0)))</f>
        <v/>
      </c>
      <c r="M1274" s="9">
        <f>IF(ISNA(MATCH(1265,'Transfer Engine'!$C$2:$C$1960,0)),"",INDEX('Compliance Database'!$M$2:$M$1960,MATCH(1265,'Transfer Engine'!$C$2:$C$1960,0)))</f>
        <v/>
      </c>
      <c r="N1274" s="9">
        <f>IF(ISNA(MATCH(1265,'Transfer Engine'!$C$2:$C$1960,0)),"",INDEX('Compliance Database'!$N$2:$N$1960,MATCH(1265,'Transfer Engine'!$C$2:$C$1960,0)))</f>
        <v/>
      </c>
      <c r="O1274" s="9">
        <f>IF(ISNA(MATCH(1265,'Transfer Engine'!$C$2:$C$1960,0)),"",INDEX('Compliance Database'!$O$2:$O$1960,MATCH(1265,'Transfer Engine'!$C$2:$C$1960,0)))</f>
        <v/>
      </c>
      <c r="P1274" s="8">
        <f>IF(ISNA(MATCH(1265,'Transfer Engine'!$C$2:$C$1960,0)),"",HYPERLINK("#Acts!A"&amp;INDEX('Compliance Database'!$P$2:$P$1960,MATCH(1265,'Transfer Engine'!$C$2:$C$1960,0)),"Go to Act"))</f>
        <v/>
      </c>
    </row>
    <row r="1275" ht="158" customHeight="1">
      <c r="A1275" s="8">
        <f>IF(ISNA(MATCH(1266,'Transfer Engine'!$C$2:$C$1960,0)),"",INDEX('Compliance Database'!$A$2:$A$1960,MATCH(1266,'Transfer Engine'!$C$2:$C$1960,0)))</f>
        <v/>
      </c>
      <c r="B1275" s="8">
        <f>IF(ISNA(MATCH(1266,'Transfer Engine'!$C$2:$C$1960,0)),"",INDEX('Compliance Database'!$B$2:$B$1960,MATCH(1266,'Transfer Engine'!$C$2:$C$1960,0)))</f>
        <v/>
      </c>
      <c r="C1275" s="8">
        <f>IF(ISNA(MATCH(1266,'Transfer Engine'!$C$2:$C$1960,0)),"",INDEX('Compliance Database'!$C$2:$C$1960,MATCH(1266,'Transfer Engine'!$C$2:$C$1960,0)))</f>
        <v/>
      </c>
      <c r="D1275" s="9">
        <f>IF(ISNA(MATCH(1266,'Transfer Engine'!$C$2:$C$1960,0)),"",INDEX('Compliance Database'!$D$2:$D$1960,MATCH(1266,'Transfer Engine'!$C$2:$C$1960,0)))</f>
        <v/>
      </c>
      <c r="E1275" s="8">
        <f>IF(ISNA(MATCH(1266,'Transfer Engine'!$C$2:$C$1960,0)),"",INDEX('Compliance Database'!$E$2:$E$1960,MATCH(1266,'Transfer Engine'!$C$2:$C$1960,0)))</f>
        <v/>
      </c>
      <c r="F1275" s="8">
        <f>IF(ISNA(MATCH(1266,'Transfer Engine'!$C$2:$C$1960,0)),"",INDEX('Compliance Database'!$F$2:$F$1960,MATCH(1266,'Transfer Engine'!$C$2:$C$1960,0)))</f>
        <v/>
      </c>
      <c r="G1275" s="8">
        <f>IF(ISNA(MATCH(1266,'Transfer Engine'!$C$2:$C$1960,0)),"",INDEX('Compliance Database'!$G$2:$G$1960,MATCH(1266,'Transfer Engine'!$C$2:$C$1960,0)))</f>
        <v/>
      </c>
      <c r="H1275" s="9">
        <f>IF(ISNA(MATCH(1266,'Transfer Engine'!$C$2:$C$1960,0)),"",INDEX('Compliance Database'!$H$2:$H$1960,MATCH(1266,'Transfer Engine'!$C$2:$C$1960,0)))</f>
        <v/>
      </c>
      <c r="I1275" s="9">
        <f>IF(ISNA(MATCH(1266,'Transfer Engine'!$C$2:$C$1960,0)),"",INDEX('Compliance Database'!$I$2:$I$1960,MATCH(1266,'Transfer Engine'!$C$2:$C$1960,0)))</f>
        <v/>
      </c>
      <c r="J1275" s="8">
        <f>IF(ISNA(MATCH(1266,'Transfer Engine'!$C$2:$C$1960,0)),"",INDEX('Compliance Database'!$J$2:$J$1960,MATCH(1266,'Transfer Engine'!$C$2:$C$1960,0)))</f>
        <v/>
      </c>
      <c r="K1275" s="9">
        <f>IF(ISNA(MATCH(1266,'Transfer Engine'!$C$2:$C$1960,0)),"",INDEX('Compliance Database'!$K$2:$K$1960,MATCH(1266,'Transfer Engine'!$C$2:$C$1960,0)))</f>
        <v/>
      </c>
      <c r="L1275" s="9">
        <f>IF(ISNA(MATCH(1266,'Transfer Engine'!$C$2:$C$1960,0)),"",INDEX('Compliance Database'!$L$2:$L$1960,MATCH(1266,'Transfer Engine'!$C$2:$C$1960,0)))</f>
        <v/>
      </c>
      <c r="M1275" s="9">
        <f>IF(ISNA(MATCH(1266,'Transfer Engine'!$C$2:$C$1960,0)),"",INDEX('Compliance Database'!$M$2:$M$1960,MATCH(1266,'Transfer Engine'!$C$2:$C$1960,0)))</f>
        <v/>
      </c>
      <c r="N1275" s="9">
        <f>IF(ISNA(MATCH(1266,'Transfer Engine'!$C$2:$C$1960,0)),"",INDEX('Compliance Database'!$N$2:$N$1960,MATCH(1266,'Transfer Engine'!$C$2:$C$1960,0)))</f>
        <v/>
      </c>
      <c r="O1275" s="9">
        <f>IF(ISNA(MATCH(1266,'Transfer Engine'!$C$2:$C$1960,0)),"",INDEX('Compliance Database'!$O$2:$O$1960,MATCH(1266,'Transfer Engine'!$C$2:$C$1960,0)))</f>
        <v/>
      </c>
      <c r="P1275" s="8">
        <f>IF(ISNA(MATCH(1266,'Transfer Engine'!$C$2:$C$1960,0)),"",HYPERLINK("#Acts!A"&amp;INDEX('Compliance Database'!$P$2:$P$1960,MATCH(1266,'Transfer Engine'!$C$2:$C$1960,0)),"Go to Act"))</f>
        <v/>
      </c>
    </row>
    <row r="1276" ht="158" customHeight="1">
      <c r="A1276" s="8">
        <f>IF(ISNA(MATCH(1267,'Transfer Engine'!$C$2:$C$1960,0)),"",INDEX('Compliance Database'!$A$2:$A$1960,MATCH(1267,'Transfer Engine'!$C$2:$C$1960,0)))</f>
        <v/>
      </c>
      <c r="B1276" s="8">
        <f>IF(ISNA(MATCH(1267,'Transfer Engine'!$C$2:$C$1960,0)),"",INDEX('Compliance Database'!$B$2:$B$1960,MATCH(1267,'Transfer Engine'!$C$2:$C$1960,0)))</f>
        <v/>
      </c>
      <c r="C1276" s="8">
        <f>IF(ISNA(MATCH(1267,'Transfer Engine'!$C$2:$C$1960,0)),"",INDEX('Compliance Database'!$C$2:$C$1960,MATCH(1267,'Transfer Engine'!$C$2:$C$1960,0)))</f>
        <v/>
      </c>
      <c r="D1276" s="9">
        <f>IF(ISNA(MATCH(1267,'Transfer Engine'!$C$2:$C$1960,0)),"",INDEX('Compliance Database'!$D$2:$D$1960,MATCH(1267,'Transfer Engine'!$C$2:$C$1960,0)))</f>
        <v/>
      </c>
      <c r="E1276" s="8">
        <f>IF(ISNA(MATCH(1267,'Transfer Engine'!$C$2:$C$1960,0)),"",INDEX('Compliance Database'!$E$2:$E$1960,MATCH(1267,'Transfer Engine'!$C$2:$C$1960,0)))</f>
        <v/>
      </c>
      <c r="F1276" s="8">
        <f>IF(ISNA(MATCH(1267,'Transfer Engine'!$C$2:$C$1960,0)),"",INDEX('Compliance Database'!$F$2:$F$1960,MATCH(1267,'Transfer Engine'!$C$2:$C$1960,0)))</f>
        <v/>
      </c>
      <c r="G1276" s="8">
        <f>IF(ISNA(MATCH(1267,'Transfer Engine'!$C$2:$C$1960,0)),"",INDEX('Compliance Database'!$G$2:$G$1960,MATCH(1267,'Transfer Engine'!$C$2:$C$1960,0)))</f>
        <v/>
      </c>
      <c r="H1276" s="9">
        <f>IF(ISNA(MATCH(1267,'Transfer Engine'!$C$2:$C$1960,0)),"",INDEX('Compliance Database'!$H$2:$H$1960,MATCH(1267,'Transfer Engine'!$C$2:$C$1960,0)))</f>
        <v/>
      </c>
      <c r="I1276" s="9">
        <f>IF(ISNA(MATCH(1267,'Transfer Engine'!$C$2:$C$1960,0)),"",INDEX('Compliance Database'!$I$2:$I$1960,MATCH(1267,'Transfer Engine'!$C$2:$C$1960,0)))</f>
        <v/>
      </c>
      <c r="J1276" s="8">
        <f>IF(ISNA(MATCH(1267,'Transfer Engine'!$C$2:$C$1960,0)),"",INDEX('Compliance Database'!$J$2:$J$1960,MATCH(1267,'Transfer Engine'!$C$2:$C$1960,0)))</f>
        <v/>
      </c>
      <c r="K1276" s="9">
        <f>IF(ISNA(MATCH(1267,'Transfer Engine'!$C$2:$C$1960,0)),"",INDEX('Compliance Database'!$K$2:$K$1960,MATCH(1267,'Transfer Engine'!$C$2:$C$1960,0)))</f>
        <v/>
      </c>
      <c r="L1276" s="9">
        <f>IF(ISNA(MATCH(1267,'Transfer Engine'!$C$2:$C$1960,0)),"",INDEX('Compliance Database'!$L$2:$L$1960,MATCH(1267,'Transfer Engine'!$C$2:$C$1960,0)))</f>
        <v/>
      </c>
      <c r="M1276" s="9">
        <f>IF(ISNA(MATCH(1267,'Transfer Engine'!$C$2:$C$1960,0)),"",INDEX('Compliance Database'!$M$2:$M$1960,MATCH(1267,'Transfer Engine'!$C$2:$C$1960,0)))</f>
        <v/>
      </c>
      <c r="N1276" s="9">
        <f>IF(ISNA(MATCH(1267,'Transfer Engine'!$C$2:$C$1960,0)),"",INDEX('Compliance Database'!$N$2:$N$1960,MATCH(1267,'Transfer Engine'!$C$2:$C$1960,0)))</f>
        <v/>
      </c>
      <c r="O1276" s="9">
        <f>IF(ISNA(MATCH(1267,'Transfer Engine'!$C$2:$C$1960,0)),"",INDEX('Compliance Database'!$O$2:$O$1960,MATCH(1267,'Transfer Engine'!$C$2:$C$1960,0)))</f>
        <v/>
      </c>
      <c r="P1276" s="8">
        <f>IF(ISNA(MATCH(1267,'Transfer Engine'!$C$2:$C$1960,0)),"",HYPERLINK("#Acts!A"&amp;INDEX('Compliance Database'!$P$2:$P$1960,MATCH(1267,'Transfer Engine'!$C$2:$C$1960,0)),"Go to Act"))</f>
        <v/>
      </c>
    </row>
    <row r="1277" ht="158" customHeight="1">
      <c r="A1277" s="8">
        <f>IF(ISNA(MATCH(1268,'Transfer Engine'!$C$2:$C$1960,0)),"",INDEX('Compliance Database'!$A$2:$A$1960,MATCH(1268,'Transfer Engine'!$C$2:$C$1960,0)))</f>
        <v/>
      </c>
      <c r="B1277" s="8">
        <f>IF(ISNA(MATCH(1268,'Transfer Engine'!$C$2:$C$1960,0)),"",INDEX('Compliance Database'!$B$2:$B$1960,MATCH(1268,'Transfer Engine'!$C$2:$C$1960,0)))</f>
        <v/>
      </c>
      <c r="C1277" s="8">
        <f>IF(ISNA(MATCH(1268,'Transfer Engine'!$C$2:$C$1960,0)),"",INDEX('Compliance Database'!$C$2:$C$1960,MATCH(1268,'Transfer Engine'!$C$2:$C$1960,0)))</f>
        <v/>
      </c>
      <c r="D1277" s="9">
        <f>IF(ISNA(MATCH(1268,'Transfer Engine'!$C$2:$C$1960,0)),"",INDEX('Compliance Database'!$D$2:$D$1960,MATCH(1268,'Transfer Engine'!$C$2:$C$1960,0)))</f>
        <v/>
      </c>
      <c r="E1277" s="8">
        <f>IF(ISNA(MATCH(1268,'Transfer Engine'!$C$2:$C$1960,0)),"",INDEX('Compliance Database'!$E$2:$E$1960,MATCH(1268,'Transfer Engine'!$C$2:$C$1960,0)))</f>
        <v/>
      </c>
      <c r="F1277" s="8">
        <f>IF(ISNA(MATCH(1268,'Transfer Engine'!$C$2:$C$1960,0)),"",INDEX('Compliance Database'!$F$2:$F$1960,MATCH(1268,'Transfer Engine'!$C$2:$C$1960,0)))</f>
        <v/>
      </c>
      <c r="G1277" s="8">
        <f>IF(ISNA(MATCH(1268,'Transfer Engine'!$C$2:$C$1960,0)),"",INDEX('Compliance Database'!$G$2:$G$1960,MATCH(1268,'Transfer Engine'!$C$2:$C$1960,0)))</f>
        <v/>
      </c>
      <c r="H1277" s="9">
        <f>IF(ISNA(MATCH(1268,'Transfer Engine'!$C$2:$C$1960,0)),"",INDEX('Compliance Database'!$H$2:$H$1960,MATCH(1268,'Transfer Engine'!$C$2:$C$1960,0)))</f>
        <v/>
      </c>
      <c r="I1277" s="9">
        <f>IF(ISNA(MATCH(1268,'Transfer Engine'!$C$2:$C$1960,0)),"",INDEX('Compliance Database'!$I$2:$I$1960,MATCH(1268,'Transfer Engine'!$C$2:$C$1960,0)))</f>
        <v/>
      </c>
      <c r="J1277" s="8">
        <f>IF(ISNA(MATCH(1268,'Transfer Engine'!$C$2:$C$1960,0)),"",INDEX('Compliance Database'!$J$2:$J$1960,MATCH(1268,'Transfer Engine'!$C$2:$C$1960,0)))</f>
        <v/>
      </c>
      <c r="K1277" s="9">
        <f>IF(ISNA(MATCH(1268,'Transfer Engine'!$C$2:$C$1960,0)),"",INDEX('Compliance Database'!$K$2:$K$1960,MATCH(1268,'Transfer Engine'!$C$2:$C$1960,0)))</f>
        <v/>
      </c>
      <c r="L1277" s="9">
        <f>IF(ISNA(MATCH(1268,'Transfer Engine'!$C$2:$C$1960,0)),"",INDEX('Compliance Database'!$L$2:$L$1960,MATCH(1268,'Transfer Engine'!$C$2:$C$1960,0)))</f>
        <v/>
      </c>
      <c r="M1277" s="9">
        <f>IF(ISNA(MATCH(1268,'Transfer Engine'!$C$2:$C$1960,0)),"",INDEX('Compliance Database'!$M$2:$M$1960,MATCH(1268,'Transfer Engine'!$C$2:$C$1960,0)))</f>
        <v/>
      </c>
      <c r="N1277" s="9">
        <f>IF(ISNA(MATCH(1268,'Transfer Engine'!$C$2:$C$1960,0)),"",INDEX('Compliance Database'!$N$2:$N$1960,MATCH(1268,'Transfer Engine'!$C$2:$C$1960,0)))</f>
        <v/>
      </c>
      <c r="O1277" s="9">
        <f>IF(ISNA(MATCH(1268,'Transfer Engine'!$C$2:$C$1960,0)),"",INDEX('Compliance Database'!$O$2:$O$1960,MATCH(1268,'Transfer Engine'!$C$2:$C$1960,0)))</f>
        <v/>
      </c>
      <c r="P1277" s="8">
        <f>IF(ISNA(MATCH(1268,'Transfer Engine'!$C$2:$C$1960,0)),"",HYPERLINK("#Acts!A"&amp;INDEX('Compliance Database'!$P$2:$P$1960,MATCH(1268,'Transfer Engine'!$C$2:$C$1960,0)),"Go to Act"))</f>
        <v/>
      </c>
    </row>
    <row r="1278" ht="158" customHeight="1">
      <c r="A1278" s="8">
        <f>IF(ISNA(MATCH(1269,'Transfer Engine'!$C$2:$C$1960,0)),"",INDEX('Compliance Database'!$A$2:$A$1960,MATCH(1269,'Transfer Engine'!$C$2:$C$1960,0)))</f>
        <v/>
      </c>
      <c r="B1278" s="8">
        <f>IF(ISNA(MATCH(1269,'Transfer Engine'!$C$2:$C$1960,0)),"",INDEX('Compliance Database'!$B$2:$B$1960,MATCH(1269,'Transfer Engine'!$C$2:$C$1960,0)))</f>
        <v/>
      </c>
      <c r="C1278" s="8">
        <f>IF(ISNA(MATCH(1269,'Transfer Engine'!$C$2:$C$1960,0)),"",INDEX('Compliance Database'!$C$2:$C$1960,MATCH(1269,'Transfer Engine'!$C$2:$C$1960,0)))</f>
        <v/>
      </c>
      <c r="D1278" s="9">
        <f>IF(ISNA(MATCH(1269,'Transfer Engine'!$C$2:$C$1960,0)),"",INDEX('Compliance Database'!$D$2:$D$1960,MATCH(1269,'Transfer Engine'!$C$2:$C$1960,0)))</f>
        <v/>
      </c>
      <c r="E1278" s="8">
        <f>IF(ISNA(MATCH(1269,'Transfer Engine'!$C$2:$C$1960,0)),"",INDEX('Compliance Database'!$E$2:$E$1960,MATCH(1269,'Transfer Engine'!$C$2:$C$1960,0)))</f>
        <v/>
      </c>
      <c r="F1278" s="8">
        <f>IF(ISNA(MATCH(1269,'Transfer Engine'!$C$2:$C$1960,0)),"",INDEX('Compliance Database'!$F$2:$F$1960,MATCH(1269,'Transfer Engine'!$C$2:$C$1960,0)))</f>
        <v/>
      </c>
      <c r="G1278" s="8">
        <f>IF(ISNA(MATCH(1269,'Transfer Engine'!$C$2:$C$1960,0)),"",INDEX('Compliance Database'!$G$2:$G$1960,MATCH(1269,'Transfer Engine'!$C$2:$C$1960,0)))</f>
        <v/>
      </c>
      <c r="H1278" s="9">
        <f>IF(ISNA(MATCH(1269,'Transfer Engine'!$C$2:$C$1960,0)),"",INDEX('Compliance Database'!$H$2:$H$1960,MATCH(1269,'Transfer Engine'!$C$2:$C$1960,0)))</f>
        <v/>
      </c>
      <c r="I1278" s="9">
        <f>IF(ISNA(MATCH(1269,'Transfer Engine'!$C$2:$C$1960,0)),"",INDEX('Compliance Database'!$I$2:$I$1960,MATCH(1269,'Transfer Engine'!$C$2:$C$1960,0)))</f>
        <v/>
      </c>
      <c r="J1278" s="8">
        <f>IF(ISNA(MATCH(1269,'Transfer Engine'!$C$2:$C$1960,0)),"",INDEX('Compliance Database'!$J$2:$J$1960,MATCH(1269,'Transfer Engine'!$C$2:$C$1960,0)))</f>
        <v/>
      </c>
      <c r="K1278" s="9">
        <f>IF(ISNA(MATCH(1269,'Transfer Engine'!$C$2:$C$1960,0)),"",INDEX('Compliance Database'!$K$2:$K$1960,MATCH(1269,'Transfer Engine'!$C$2:$C$1960,0)))</f>
        <v/>
      </c>
      <c r="L1278" s="9">
        <f>IF(ISNA(MATCH(1269,'Transfer Engine'!$C$2:$C$1960,0)),"",INDEX('Compliance Database'!$L$2:$L$1960,MATCH(1269,'Transfer Engine'!$C$2:$C$1960,0)))</f>
        <v/>
      </c>
      <c r="M1278" s="9">
        <f>IF(ISNA(MATCH(1269,'Transfer Engine'!$C$2:$C$1960,0)),"",INDEX('Compliance Database'!$M$2:$M$1960,MATCH(1269,'Transfer Engine'!$C$2:$C$1960,0)))</f>
        <v/>
      </c>
      <c r="N1278" s="9">
        <f>IF(ISNA(MATCH(1269,'Transfer Engine'!$C$2:$C$1960,0)),"",INDEX('Compliance Database'!$N$2:$N$1960,MATCH(1269,'Transfer Engine'!$C$2:$C$1960,0)))</f>
        <v/>
      </c>
      <c r="O1278" s="9">
        <f>IF(ISNA(MATCH(1269,'Transfer Engine'!$C$2:$C$1960,0)),"",INDEX('Compliance Database'!$O$2:$O$1960,MATCH(1269,'Transfer Engine'!$C$2:$C$1960,0)))</f>
        <v/>
      </c>
      <c r="P1278" s="8">
        <f>IF(ISNA(MATCH(1269,'Transfer Engine'!$C$2:$C$1960,0)),"",HYPERLINK("#Acts!A"&amp;INDEX('Compliance Database'!$P$2:$P$1960,MATCH(1269,'Transfer Engine'!$C$2:$C$1960,0)),"Go to Act"))</f>
        <v/>
      </c>
    </row>
    <row r="1279" ht="158" customHeight="1">
      <c r="A1279" s="8">
        <f>IF(ISNA(MATCH(1270,'Transfer Engine'!$C$2:$C$1960,0)),"",INDEX('Compliance Database'!$A$2:$A$1960,MATCH(1270,'Transfer Engine'!$C$2:$C$1960,0)))</f>
        <v/>
      </c>
      <c r="B1279" s="8">
        <f>IF(ISNA(MATCH(1270,'Transfer Engine'!$C$2:$C$1960,0)),"",INDEX('Compliance Database'!$B$2:$B$1960,MATCH(1270,'Transfer Engine'!$C$2:$C$1960,0)))</f>
        <v/>
      </c>
      <c r="C1279" s="8">
        <f>IF(ISNA(MATCH(1270,'Transfer Engine'!$C$2:$C$1960,0)),"",INDEX('Compliance Database'!$C$2:$C$1960,MATCH(1270,'Transfer Engine'!$C$2:$C$1960,0)))</f>
        <v/>
      </c>
      <c r="D1279" s="9">
        <f>IF(ISNA(MATCH(1270,'Transfer Engine'!$C$2:$C$1960,0)),"",INDEX('Compliance Database'!$D$2:$D$1960,MATCH(1270,'Transfer Engine'!$C$2:$C$1960,0)))</f>
        <v/>
      </c>
      <c r="E1279" s="8">
        <f>IF(ISNA(MATCH(1270,'Transfer Engine'!$C$2:$C$1960,0)),"",INDEX('Compliance Database'!$E$2:$E$1960,MATCH(1270,'Transfer Engine'!$C$2:$C$1960,0)))</f>
        <v/>
      </c>
      <c r="F1279" s="8">
        <f>IF(ISNA(MATCH(1270,'Transfer Engine'!$C$2:$C$1960,0)),"",INDEX('Compliance Database'!$F$2:$F$1960,MATCH(1270,'Transfer Engine'!$C$2:$C$1960,0)))</f>
        <v/>
      </c>
      <c r="G1279" s="8">
        <f>IF(ISNA(MATCH(1270,'Transfer Engine'!$C$2:$C$1960,0)),"",INDEX('Compliance Database'!$G$2:$G$1960,MATCH(1270,'Transfer Engine'!$C$2:$C$1960,0)))</f>
        <v/>
      </c>
      <c r="H1279" s="9">
        <f>IF(ISNA(MATCH(1270,'Transfer Engine'!$C$2:$C$1960,0)),"",INDEX('Compliance Database'!$H$2:$H$1960,MATCH(1270,'Transfer Engine'!$C$2:$C$1960,0)))</f>
        <v/>
      </c>
      <c r="I1279" s="9">
        <f>IF(ISNA(MATCH(1270,'Transfer Engine'!$C$2:$C$1960,0)),"",INDEX('Compliance Database'!$I$2:$I$1960,MATCH(1270,'Transfer Engine'!$C$2:$C$1960,0)))</f>
        <v/>
      </c>
      <c r="J1279" s="8">
        <f>IF(ISNA(MATCH(1270,'Transfer Engine'!$C$2:$C$1960,0)),"",INDEX('Compliance Database'!$J$2:$J$1960,MATCH(1270,'Transfer Engine'!$C$2:$C$1960,0)))</f>
        <v/>
      </c>
      <c r="K1279" s="9">
        <f>IF(ISNA(MATCH(1270,'Transfer Engine'!$C$2:$C$1960,0)),"",INDEX('Compliance Database'!$K$2:$K$1960,MATCH(1270,'Transfer Engine'!$C$2:$C$1960,0)))</f>
        <v/>
      </c>
      <c r="L1279" s="9">
        <f>IF(ISNA(MATCH(1270,'Transfer Engine'!$C$2:$C$1960,0)),"",INDEX('Compliance Database'!$L$2:$L$1960,MATCH(1270,'Transfer Engine'!$C$2:$C$1960,0)))</f>
        <v/>
      </c>
      <c r="M1279" s="9">
        <f>IF(ISNA(MATCH(1270,'Transfer Engine'!$C$2:$C$1960,0)),"",INDEX('Compliance Database'!$M$2:$M$1960,MATCH(1270,'Transfer Engine'!$C$2:$C$1960,0)))</f>
        <v/>
      </c>
      <c r="N1279" s="9">
        <f>IF(ISNA(MATCH(1270,'Transfer Engine'!$C$2:$C$1960,0)),"",INDEX('Compliance Database'!$N$2:$N$1960,MATCH(1270,'Transfer Engine'!$C$2:$C$1960,0)))</f>
        <v/>
      </c>
      <c r="O1279" s="9">
        <f>IF(ISNA(MATCH(1270,'Transfer Engine'!$C$2:$C$1960,0)),"",INDEX('Compliance Database'!$O$2:$O$1960,MATCH(1270,'Transfer Engine'!$C$2:$C$1960,0)))</f>
        <v/>
      </c>
      <c r="P1279" s="8">
        <f>IF(ISNA(MATCH(1270,'Transfer Engine'!$C$2:$C$1960,0)),"",HYPERLINK("#Acts!A"&amp;INDEX('Compliance Database'!$P$2:$P$1960,MATCH(1270,'Transfer Engine'!$C$2:$C$1960,0)),"Go to Act"))</f>
        <v/>
      </c>
    </row>
    <row r="1280" ht="158" customHeight="1">
      <c r="A1280" s="8">
        <f>IF(ISNA(MATCH(1271,'Transfer Engine'!$C$2:$C$1960,0)),"",INDEX('Compliance Database'!$A$2:$A$1960,MATCH(1271,'Transfer Engine'!$C$2:$C$1960,0)))</f>
        <v/>
      </c>
      <c r="B1280" s="8">
        <f>IF(ISNA(MATCH(1271,'Transfer Engine'!$C$2:$C$1960,0)),"",INDEX('Compliance Database'!$B$2:$B$1960,MATCH(1271,'Transfer Engine'!$C$2:$C$1960,0)))</f>
        <v/>
      </c>
      <c r="C1280" s="8">
        <f>IF(ISNA(MATCH(1271,'Transfer Engine'!$C$2:$C$1960,0)),"",INDEX('Compliance Database'!$C$2:$C$1960,MATCH(1271,'Transfer Engine'!$C$2:$C$1960,0)))</f>
        <v/>
      </c>
      <c r="D1280" s="9">
        <f>IF(ISNA(MATCH(1271,'Transfer Engine'!$C$2:$C$1960,0)),"",INDEX('Compliance Database'!$D$2:$D$1960,MATCH(1271,'Transfer Engine'!$C$2:$C$1960,0)))</f>
        <v/>
      </c>
      <c r="E1280" s="8">
        <f>IF(ISNA(MATCH(1271,'Transfer Engine'!$C$2:$C$1960,0)),"",INDEX('Compliance Database'!$E$2:$E$1960,MATCH(1271,'Transfer Engine'!$C$2:$C$1960,0)))</f>
        <v/>
      </c>
      <c r="F1280" s="8">
        <f>IF(ISNA(MATCH(1271,'Transfer Engine'!$C$2:$C$1960,0)),"",INDEX('Compliance Database'!$F$2:$F$1960,MATCH(1271,'Transfer Engine'!$C$2:$C$1960,0)))</f>
        <v/>
      </c>
      <c r="G1280" s="8">
        <f>IF(ISNA(MATCH(1271,'Transfer Engine'!$C$2:$C$1960,0)),"",INDEX('Compliance Database'!$G$2:$G$1960,MATCH(1271,'Transfer Engine'!$C$2:$C$1960,0)))</f>
        <v/>
      </c>
      <c r="H1280" s="9">
        <f>IF(ISNA(MATCH(1271,'Transfer Engine'!$C$2:$C$1960,0)),"",INDEX('Compliance Database'!$H$2:$H$1960,MATCH(1271,'Transfer Engine'!$C$2:$C$1960,0)))</f>
        <v/>
      </c>
      <c r="I1280" s="9">
        <f>IF(ISNA(MATCH(1271,'Transfer Engine'!$C$2:$C$1960,0)),"",INDEX('Compliance Database'!$I$2:$I$1960,MATCH(1271,'Transfer Engine'!$C$2:$C$1960,0)))</f>
        <v/>
      </c>
      <c r="J1280" s="8">
        <f>IF(ISNA(MATCH(1271,'Transfer Engine'!$C$2:$C$1960,0)),"",INDEX('Compliance Database'!$J$2:$J$1960,MATCH(1271,'Transfer Engine'!$C$2:$C$1960,0)))</f>
        <v/>
      </c>
      <c r="K1280" s="9">
        <f>IF(ISNA(MATCH(1271,'Transfer Engine'!$C$2:$C$1960,0)),"",INDEX('Compliance Database'!$K$2:$K$1960,MATCH(1271,'Transfer Engine'!$C$2:$C$1960,0)))</f>
        <v/>
      </c>
      <c r="L1280" s="9">
        <f>IF(ISNA(MATCH(1271,'Transfer Engine'!$C$2:$C$1960,0)),"",INDEX('Compliance Database'!$L$2:$L$1960,MATCH(1271,'Transfer Engine'!$C$2:$C$1960,0)))</f>
        <v/>
      </c>
      <c r="M1280" s="9">
        <f>IF(ISNA(MATCH(1271,'Transfer Engine'!$C$2:$C$1960,0)),"",INDEX('Compliance Database'!$M$2:$M$1960,MATCH(1271,'Transfer Engine'!$C$2:$C$1960,0)))</f>
        <v/>
      </c>
      <c r="N1280" s="9">
        <f>IF(ISNA(MATCH(1271,'Transfer Engine'!$C$2:$C$1960,0)),"",INDEX('Compliance Database'!$N$2:$N$1960,MATCH(1271,'Transfer Engine'!$C$2:$C$1960,0)))</f>
        <v/>
      </c>
      <c r="O1280" s="9">
        <f>IF(ISNA(MATCH(1271,'Transfer Engine'!$C$2:$C$1960,0)),"",INDEX('Compliance Database'!$O$2:$O$1960,MATCH(1271,'Transfer Engine'!$C$2:$C$1960,0)))</f>
        <v/>
      </c>
      <c r="P1280" s="8">
        <f>IF(ISNA(MATCH(1271,'Transfer Engine'!$C$2:$C$1960,0)),"",HYPERLINK("#Acts!A"&amp;INDEX('Compliance Database'!$P$2:$P$1960,MATCH(1271,'Transfer Engine'!$C$2:$C$1960,0)),"Go to Act"))</f>
        <v/>
      </c>
    </row>
    <row r="1281" ht="158" customHeight="1">
      <c r="A1281" s="8">
        <f>IF(ISNA(MATCH(1272,'Transfer Engine'!$C$2:$C$1960,0)),"",INDEX('Compliance Database'!$A$2:$A$1960,MATCH(1272,'Transfer Engine'!$C$2:$C$1960,0)))</f>
        <v/>
      </c>
      <c r="B1281" s="8">
        <f>IF(ISNA(MATCH(1272,'Transfer Engine'!$C$2:$C$1960,0)),"",INDEX('Compliance Database'!$B$2:$B$1960,MATCH(1272,'Transfer Engine'!$C$2:$C$1960,0)))</f>
        <v/>
      </c>
      <c r="C1281" s="8">
        <f>IF(ISNA(MATCH(1272,'Transfer Engine'!$C$2:$C$1960,0)),"",INDEX('Compliance Database'!$C$2:$C$1960,MATCH(1272,'Transfer Engine'!$C$2:$C$1960,0)))</f>
        <v/>
      </c>
      <c r="D1281" s="9">
        <f>IF(ISNA(MATCH(1272,'Transfer Engine'!$C$2:$C$1960,0)),"",INDEX('Compliance Database'!$D$2:$D$1960,MATCH(1272,'Transfer Engine'!$C$2:$C$1960,0)))</f>
        <v/>
      </c>
      <c r="E1281" s="8">
        <f>IF(ISNA(MATCH(1272,'Transfer Engine'!$C$2:$C$1960,0)),"",INDEX('Compliance Database'!$E$2:$E$1960,MATCH(1272,'Transfer Engine'!$C$2:$C$1960,0)))</f>
        <v/>
      </c>
      <c r="F1281" s="8">
        <f>IF(ISNA(MATCH(1272,'Transfer Engine'!$C$2:$C$1960,0)),"",INDEX('Compliance Database'!$F$2:$F$1960,MATCH(1272,'Transfer Engine'!$C$2:$C$1960,0)))</f>
        <v/>
      </c>
      <c r="G1281" s="8">
        <f>IF(ISNA(MATCH(1272,'Transfer Engine'!$C$2:$C$1960,0)),"",INDEX('Compliance Database'!$G$2:$G$1960,MATCH(1272,'Transfer Engine'!$C$2:$C$1960,0)))</f>
        <v/>
      </c>
      <c r="H1281" s="9">
        <f>IF(ISNA(MATCH(1272,'Transfer Engine'!$C$2:$C$1960,0)),"",INDEX('Compliance Database'!$H$2:$H$1960,MATCH(1272,'Transfer Engine'!$C$2:$C$1960,0)))</f>
        <v/>
      </c>
      <c r="I1281" s="9">
        <f>IF(ISNA(MATCH(1272,'Transfer Engine'!$C$2:$C$1960,0)),"",INDEX('Compliance Database'!$I$2:$I$1960,MATCH(1272,'Transfer Engine'!$C$2:$C$1960,0)))</f>
        <v/>
      </c>
      <c r="J1281" s="8">
        <f>IF(ISNA(MATCH(1272,'Transfer Engine'!$C$2:$C$1960,0)),"",INDEX('Compliance Database'!$J$2:$J$1960,MATCH(1272,'Transfer Engine'!$C$2:$C$1960,0)))</f>
        <v/>
      </c>
      <c r="K1281" s="9">
        <f>IF(ISNA(MATCH(1272,'Transfer Engine'!$C$2:$C$1960,0)),"",INDEX('Compliance Database'!$K$2:$K$1960,MATCH(1272,'Transfer Engine'!$C$2:$C$1960,0)))</f>
        <v/>
      </c>
      <c r="L1281" s="9">
        <f>IF(ISNA(MATCH(1272,'Transfer Engine'!$C$2:$C$1960,0)),"",INDEX('Compliance Database'!$L$2:$L$1960,MATCH(1272,'Transfer Engine'!$C$2:$C$1960,0)))</f>
        <v/>
      </c>
      <c r="M1281" s="9">
        <f>IF(ISNA(MATCH(1272,'Transfer Engine'!$C$2:$C$1960,0)),"",INDEX('Compliance Database'!$M$2:$M$1960,MATCH(1272,'Transfer Engine'!$C$2:$C$1960,0)))</f>
        <v/>
      </c>
      <c r="N1281" s="9">
        <f>IF(ISNA(MATCH(1272,'Transfer Engine'!$C$2:$C$1960,0)),"",INDEX('Compliance Database'!$N$2:$N$1960,MATCH(1272,'Transfer Engine'!$C$2:$C$1960,0)))</f>
        <v/>
      </c>
      <c r="O1281" s="9">
        <f>IF(ISNA(MATCH(1272,'Transfer Engine'!$C$2:$C$1960,0)),"",INDEX('Compliance Database'!$O$2:$O$1960,MATCH(1272,'Transfer Engine'!$C$2:$C$1960,0)))</f>
        <v/>
      </c>
      <c r="P1281" s="8">
        <f>IF(ISNA(MATCH(1272,'Transfer Engine'!$C$2:$C$1960,0)),"",HYPERLINK("#Acts!A"&amp;INDEX('Compliance Database'!$P$2:$P$1960,MATCH(1272,'Transfer Engine'!$C$2:$C$1960,0)),"Go to Act"))</f>
        <v/>
      </c>
    </row>
    <row r="1282" ht="158" customHeight="1">
      <c r="A1282" s="8">
        <f>IF(ISNA(MATCH(1273,'Transfer Engine'!$C$2:$C$1960,0)),"",INDEX('Compliance Database'!$A$2:$A$1960,MATCH(1273,'Transfer Engine'!$C$2:$C$1960,0)))</f>
        <v/>
      </c>
      <c r="B1282" s="8">
        <f>IF(ISNA(MATCH(1273,'Transfer Engine'!$C$2:$C$1960,0)),"",INDEX('Compliance Database'!$B$2:$B$1960,MATCH(1273,'Transfer Engine'!$C$2:$C$1960,0)))</f>
        <v/>
      </c>
      <c r="C1282" s="8">
        <f>IF(ISNA(MATCH(1273,'Transfer Engine'!$C$2:$C$1960,0)),"",INDEX('Compliance Database'!$C$2:$C$1960,MATCH(1273,'Transfer Engine'!$C$2:$C$1960,0)))</f>
        <v/>
      </c>
      <c r="D1282" s="9">
        <f>IF(ISNA(MATCH(1273,'Transfer Engine'!$C$2:$C$1960,0)),"",INDEX('Compliance Database'!$D$2:$D$1960,MATCH(1273,'Transfer Engine'!$C$2:$C$1960,0)))</f>
        <v/>
      </c>
      <c r="E1282" s="8">
        <f>IF(ISNA(MATCH(1273,'Transfer Engine'!$C$2:$C$1960,0)),"",INDEX('Compliance Database'!$E$2:$E$1960,MATCH(1273,'Transfer Engine'!$C$2:$C$1960,0)))</f>
        <v/>
      </c>
      <c r="F1282" s="8">
        <f>IF(ISNA(MATCH(1273,'Transfer Engine'!$C$2:$C$1960,0)),"",INDEX('Compliance Database'!$F$2:$F$1960,MATCH(1273,'Transfer Engine'!$C$2:$C$1960,0)))</f>
        <v/>
      </c>
      <c r="G1282" s="8">
        <f>IF(ISNA(MATCH(1273,'Transfer Engine'!$C$2:$C$1960,0)),"",INDEX('Compliance Database'!$G$2:$G$1960,MATCH(1273,'Transfer Engine'!$C$2:$C$1960,0)))</f>
        <v/>
      </c>
      <c r="H1282" s="9">
        <f>IF(ISNA(MATCH(1273,'Transfer Engine'!$C$2:$C$1960,0)),"",INDEX('Compliance Database'!$H$2:$H$1960,MATCH(1273,'Transfer Engine'!$C$2:$C$1960,0)))</f>
        <v/>
      </c>
      <c r="I1282" s="9">
        <f>IF(ISNA(MATCH(1273,'Transfer Engine'!$C$2:$C$1960,0)),"",INDEX('Compliance Database'!$I$2:$I$1960,MATCH(1273,'Transfer Engine'!$C$2:$C$1960,0)))</f>
        <v/>
      </c>
      <c r="J1282" s="8">
        <f>IF(ISNA(MATCH(1273,'Transfer Engine'!$C$2:$C$1960,0)),"",INDEX('Compliance Database'!$J$2:$J$1960,MATCH(1273,'Transfer Engine'!$C$2:$C$1960,0)))</f>
        <v/>
      </c>
      <c r="K1282" s="9">
        <f>IF(ISNA(MATCH(1273,'Transfer Engine'!$C$2:$C$1960,0)),"",INDEX('Compliance Database'!$K$2:$K$1960,MATCH(1273,'Transfer Engine'!$C$2:$C$1960,0)))</f>
        <v/>
      </c>
      <c r="L1282" s="9">
        <f>IF(ISNA(MATCH(1273,'Transfer Engine'!$C$2:$C$1960,0)),"",INDEX('Compliance Database'!$L$2:$L$1960,MATCH(1273,'Transfer Engine'!$C$2:$C$1960,0)))</f>
        <v/>
      </c>
      <c r="M1282" s="9">
        <f>IF(ISNA(MATCH(1273,'Transfer Engine'!$C$2:$C$1960,0)),"",INDEX('Compliance Database'!$M$2:$M$1960,MATCH(1273,'Transfer Engine'!$C$2:$C$1960,0)))</f>
        <v/>
      </c>
      <c r="N1282" s="9">
        <f>IF(ISNA(MATCH(1273,'Transfer Engine'!$C$2:$C$1960,0)),"",INDEX('Compliance Database'!$N$2:$N$1960,MATCH(1273,'Transfer Engine'!$C$2:$C$1960,0)))</f>
        <v/>
      </c>
      <c r="O1282" s="9">
        <f>IF(ISNA(MATCH(1273,'Transfer Engine'!$C$2:$C$1960,0)),"",INDEX('Compliance Database'!$O$2:$O$1960,MATCH(1273,'Transfer Engine'!$C$2:$C$1960,0)))</f>
        <v/>
      </c>
      <c r="P1282" s="8">
        <f>IF(ISNA(MATCH(1273,'Transfer Engine'!$C$2:$C$1960,0)),"",HYPERLINK("#Acts!A"&amp;INDEX('Compliance Database'!$P$2:$P$1960,MATCH(1273,'Transfer Engine'!$C$2:$C$1960,0)),"Go to Act"))</f>
        <v/>
      </c>
    </row>
    <row r="1283" ht="158" customHeight="1">
      <c r="A1283" s="8">
        <f>IF(ISNA(MATCH(1274,'Transfer Engine'!$C$2:$C$1960,0)),"",INDEX('Compliance Database'!$A$2:$A$1960,MATCH(1274,'Transfer Engine'!$C$2:$C$1960,0)))</f>
        <v/>
      </c>
      <c r="B1283" s="8">
        <f>IF(ISNA(MATCH(1274,'Transfer Engine'!$C$2:$C$1960,0)),"",INDEX('Compliance Database'!$B$2:$B$1960,MATCH(1274,'Transfer Engine'!$C$2:$C$1960,0)))</f>
        <v/>
      </c>
      <c r="C1283" s="8">
        <f>IF(ISNA(MATCH(1274,'Transfer Engine'!$C$2:$C$1960,0)),"",INDEX('Compliance Database'!$C$2:$C$1960,MATCH(1274,'Transfer Engine'!$C$2:$C$1960,0)))</f>
        <v/>
      </c>
      <c r="D1283" s="9">
        <f>IF(ISNA(MATCH(1274,'Transfer Engine'!$C$2:$C$1960,0)),"",INDEX('Compliance Database'!$D$2:$D$1960,MATCH(1274,'Transfer Engine'!$C$2:$C$1960,0)))</f>
        <v/>
      </c>
      <c r="E1283" s="8">
        <f>IF(ISNA(MATCH(1274,'Transfer Engine'!$C$2:$C$1960,0)),"",INDEX('Compliance Database'!$E$2:$E$1960,MATCH(1274,'Transfer Engine'!$C$2:$C$1960,0)))</f>
        <v/>
      </c>
      <c r="F1283" s="8">
        <f>IF(ISNA(MATCH(1274,'Transfer Engine'!$C$2:$C$1960,0)),"",INDEX('Compliance Database'!$F$2:$F$1960,MATCH(1274,'Transfer Engine'!$C$2:$C$1960,0)))</f>
        <v/>
      </c>
      <c r="G1283" s="8">
        <f>IF(ISNA(MATCH(1274,'Transfer Engine'!$C$2:$C$1960,0)),"",INDEX('Compliance Database'!$G$2:$G$1960,MATCH(1274,'Transfer Engine'!$C$2:$C$1960,0)))</f>
        <v/>
      </c>
      <c r="H1283" s="9">
        <f>IF(ISNA(MATCH(1274,'Transfer Engine'!$C$2:$C$1960,0)),"",INDEX('Compliance Database'!$H$2:$H$1960,MATCH(1274,'Transfer Engine'!$C$2:$C$1960,0)))</f>
        <v/>
      </c>
      <c r="I1283" s="9">
        <f>IF(ISNA(MATCH(1274,'Transfer Engine'!$C$2:$C$1960,0)),"",INDEX('Compliance Database'!$I$2:$I$1960,MATCH(1274,'Transfer Engine'!$C$2:$C$1960,0)))</f>
        <v/>
      </c>
      <c r="J1283" s="8">
        <f>IF(ISNA(MATCH(1274,'Transfer Engine'!$C$2:$C$1960,0)),"",INDEX('Compliance Database'!$J$2:$J$1960,MATCH(1274,'Transfer Engine'!$C$2:$C$1960,0)))</f>
        <v/>
      </c>
      <c r="K1283" s="9">
        <f>IF(ISNA(MATCH(1274,'Transfer Engine'!$C$2:$C$1960,0)),"",INDEX('Compliance Database'!$K$2:$K$1960,MATCH(1274,'Transfer Engine'!$C$2:$C$1960,0)))</f>
        <v/>
      </c>
      <c r="L1283" s="9">
        <f>IF(ISNA(MATCH(1274,'Transfer Engine'!$C$2:$C$1960,0)),"",INDEX('Compliance Database'!$L$2:$L$1960,MATCH(1274,'Transfer Engine'!$C$2:$C$1960,0)))</f>
        <v/>
      </c>
      <c r="M1283" s="9">
        <f>IF(ISNA(MATCH(1274,'Transfer Engine'!$C$2:$C$1960,0)),"",INDEX('Compliance Database'!$M$2:$M$1960,MATCH(1274,'Transfer Engine'!$C$2:$C$1960,0)))</f>
        <v/>
      </c>
      <c r="N1283" s="9">
        <f>IF(ISNA(MATCH(1274,'Transfer Engine'!$C$2:$C$1960,0)),"",INDEX('Compliance Database'!$N$2:$N$1960,MATCH(1274,'Transfer Engine'!$C$2:$C$1960,0)))</f>
        <v/>
      </c>
      <c r="O1283" s="9">
        <f>IF(ISNA(MATCH(1274,'Transfer Engine'!$C$2:$C$1960,0)),"",INDEX('Compliance Database'!$O$2:$O$1960,MATCH(1274,'Transfer Engine'!$C$2:$C$1960,0)))</f>
        <v/>
      </c>
      <c r="P1283" s="8">
        <f>IF(ISNA(MATCH(1274,'Transfer Engine'!$C$2:$C$1960,0)),"",HYPERLINK("#Acts!A"&amp;INDEX('Compliance Database'!$P$2:$P$1960,MATCH(1274,'Transfer Engine'!$C$2:$C$1960,0)),"Go to Act"))</f>
        <v/>
      </c>
    </row>
    <row r="1284" ht="158" customHeight="1">
      <c r="A1284" s="8">
        <f>IF(ISNA(MATCH(1275,'Transfer Engine'!$C$2:$C$1960,0)),"",INDEX('Compliance Database'!$A$2:$A$1960,MATCH(1275,'Transfer Engine'!$C$2:$C$1960,0)))</f>
        <v/>
      </c>
      <c r="B1284" s="8">
        <f>IF(ISNA(MATCH(1275,'Transfer Engine'!$C$2:$C$1960,0)),"",INDEX('Compliance Database'!$B$2:$B$1960,MATCH(1275,'Transfer Engine'!$C$2:$C$1960,0)))</f>
        <v/>
      </c>
      <c r="C1284" s="8">
        <f>IF(ISNA(MATCH(1275,'Transfer Engine'!$C$2:$C$1960,0)),"",INDEX('Compliance Database'!$C$2:$C$1960,MATCH(1275,'Transfer Engine'!$C$2:$C$1960,0)))</f>
        <v/>
      </c>
      <c r="D1284" s="9">
        <f>IF(ISNA(MATCH(1275,'Transfer Engine'!$C$2:$C$1960,0)),"",INDEX('Compliance Database'!$D$2:$D$1960,MATCH(1275,'Transfer Engine'!$C$2:$C$1960,0)))</f>
        <v/>
      </c>
      <c r="E1284" s="8">
        <f>IF(ISNA(MATCH(1275,'Transfer Engine'!$C$2:$C$1960,0)),"",INDEX('Compliance Database'!$E$2:$E$1960,MATCH(1275,'Transfer Engine'!$C$2:$C$1960,0)))</f>
        <v/>
      </c>
      <c r="F1284" s="8">
        <f>IF(ISNA(MATCH(1275,'Transfer Engine'!$C$2:$C$1960,0)),"",INDEX('Compliance Database'!$F$2:$F$1960,MATCH(1275,'Transfer Engine'!$C$2:$C$1960,0)))</f>
        <v/>
      </c>
      <c r="G1284" s="8">
        <f>IF(ISNA(MATCH(1275,'Transfer Engine'!$C$2:$C$1960,0)),"",INDEX('Compliance Database'!$G$2:$G$1960,MATCH(1275,'Transfer Engine'!$C$2:$C$1960,0)))</f>
        <v/>
      </c>
      <c r="H1284" s="9">
        <f>IF(ISNA(MATCH(1275,'Transfer Engine'!$C$2:$C$1960,0)),"",INDEX('Compliance Database'!$H$2:$H$1960,MATCH(1275,'Transfer Engine'!$C$2:$C$1960,0)))</f>
        <v/>
      </c>
      <c r="I1284" s="9">
        <f>IF(ISNA(MATCH(1275,'Transfer Engine'!$C$2:$C$1960,0)),"",INDEX('Compliance Database'!$I$2:$I$1960,MATCH(1275,'Transfer Engine'!$C$2:$C$1960,0)))</f>
        <v/>
      </c>
      <c r="J1284" s="8">
        <f>IF(ISNA(MATCH(1275,'Transfer Engine'!$C$2:$C$1960,0)),"",INDEX('Compliance Database'!$J$2:$J$1960,MATCH(1275,'Transfer Engine'!$C$2:$C$1960,0)))</f>
        <v/>
      </c>
      <c r="K1284" s="9">
        <f>IF(ISNA(MATCH(1275,'Transfer Engine'!$C$2:$C$1960,0)),"",INDEX('Compliance Database'!$K$2:$K$1960,MATCH(1275,'Transfer Engine'!$C$2:$C$1960,0)))</f>
        <v/>
      </c>
      <c r="L1284" s="9">
        <f>IF(ISNA(MATCH(1275,'Transfer Engine'!$C$2:$C$1960,0)),"",INDEX('Compliance Database'!$L$2:$L$1960,MATCH(1275,'Transfer Engine'!$C$2:$C$1960,0)))</f>
        <v/>
      </c>
      <c r="M1284" s="9">
        <f>IF(ISNA(MATCH(1275,'Transfer Engine'!$C$2:$C$1960,0)),"",INDEX('Compliance Database'!$M$2:$M$1960,MATCH(1275,'Transfer Engine'!$C$2:$C$1960,0)))</f>
        <v/>
      </c>
      <c r="N1284" s="9">
        <f>IF(ISNA(MATCH(1275,'Transfer Engine'!$C$2:$C$1960,0)),"",INDEX('Compliance Database'!$N$2:$N$1960,MATCH(1275,'Transfer Engine'!$C$2:$C$1960,0)))</f>
        <v/>
      </c>
      <c r="O1284" s="9">
        <f>IF(ISNA(MATCH(1275,'Transfer Engine'!$C$2:$C$1960,0)),"",INDEX('Compliance Database'!$O$2:$O$1960,MATCH(1275,'Transfer Engine'!$C$2:$C$1960,0)))</f>
        <v/>
      </c>
      <c r="P1284" s="8">
        <f>IF(ISNA(MATCH(1275,'Transfer Engine'!$C$2:$C$1960,0)),"",HYPERLINK("#Acts!A"&amp;INDEX('Compliance Database'!$P$2:$P$1960,MATCH(1275,'Transfer Engine'!$C$2:$C$1960,0)),"Go to Act"))</f>
        <v/>
      </c>
    </row>
    <row r="1285" ht="158" customHeight="1">
      <c r="A1285" s="8">
        <f>IF(ISNA(MATCH(1276,'Transfer Engine'!$C$2:$C$1960,0)),"",INDEX('Compliance Database'!$A$2:$A$1960,MATCH(1276,'Transfer Engine'!$C$2:$C$1960,0)))</f>
        <v/>
      </c>
      <c r="B1285" s="8">
        <f>IF(ISNA(MATCH(1276,'Transfer Engine'!$C$2:$C$1960,0)),"",INDEX('Compliance Database'!$B$2:$B$1960,MATCH(1276,'Transfer Engine'!$C$2:$C$1960,0)))</f>
        <v/>
      </c>
      <c r="C1285" s="8">
        <f>IF(ISNA(MATCH(1276,'Transfer Engine'!$C$2:$C$1960,0)),"",INDEX('Compliance Database'!$C$2:$C$1960,MATCH(1276,'Transfer Engine'!$C$2:$C$1960,0)))</f>
        <v/>
      </c>
      <c r="D1285" s="9">
        <f>IF(ISNA(MATCH(1276,'Transfer Engine'!$C$2:$C$1960,0)),"",INDEX('Compliance Database'!$D$2:$D$1960,MATCH(1276,'Transfer Engine'!$C$2:$C$1960,0)))</f>
        <v/>
      </c>
      <c r="E1285" s="8">
        <f>IF(ISNA(MATCH(1276,'Transfer Engine'!$C$2:$C$1960,0)),"",INDEX('Compliance Database'!$E$2:$E$1960,MATCH(1276,'Transfer Engine'!$C$2:$C$1960,0)))</f>
        <v/>
      </c>
      <c r="F1285" s="8">
        <f>IF(ISNA(MATCH(1276,'Transfer Engine'!$C$2:$C$1960,0)),"",INDEX('Compliance Database'!$F$2:$F$1960,MATCH(1276,'Transfer Engine'!$C$2:$C$1960,0)))</f>
        <v/>
      </c>
      <c r="G1285" s="8">
        <f>IF(ISNA(MATCH(1276,'Transfer Engine'!$C$2:$C$1960,0)),"",INDEX('Compliance Database'!$G$2:$G$1960,MATCH(1276,'Transfer Engine'!$C$2:$C$1960,0)))</f>
        <v/>
      </c>
      <c r="H1285" s="9">
        <f>IF(ISNA(MATCH(1276,'Transfer Engine'!$C$2:$C$1960,0)),"",INDEX('Compliance Database'!$H$2:$H$1960,MATCH(1276,'Transfer Engine'!$C$2:$C$1960,0)))</f>
        <v/>
      </c>
      <c r="I1285" s="9">
        <f>IF(ISNA(MATCH(1276,'Transfer Engine'!$C$2:$C$1960,0)),"",INDEX('Compliance Database'!$I$2:$I$1960,MATCH(1276,'Transfer Engine'!$C$2:$C$1960,0)))</f>
        <v/>
      </c>
      <c r="J1285" s="8">
        <f>IF(ISNA(MATCH(1276,'Transfer Engine'!$C$2:$C$1960,0)),"",INDEX('Compliance Database'!$J$2:$J$1960,MATCH(1276,'Transfer Engine'!$C$2:$C$1960,0)))</f>
        <v/>
      </c>
      <c r="K1285" s="9">
        <f>IF(ISNA(MATCH(1276,'Transfer Engine'!$C$2:$C$1960,0)),"",INDEX('Compliance Database'!$K$2:$K$1960,MATCH(1276,'Transfer Engine'!$C$2:$C$1960,0)))</f>
        <v/>
      </c>
      <c r="L1285" s="9">
        <f>IF(ISNA(MATCH(1276,'Transfer Engine'!$C$2:$C$1960,0)),"",INDEX('Compliance Database'!$L$2:$L$1960,MATCH(1276,'Transfer Engine'!$C$2:$C$1960,0)))</f>
        <v/>
      </c>
      <c r="M1285" s="9">
        <f>IF(ISNA(MATCH(1276,'Transfer Engine'!$C$2:$C$1960,0)),"",INDEX('Compliance Database'!$M$2:$M$1960,MATCH(1276,'Transfer Engine'!$C$2:$C$1960,0)))</f>
        <v/>
      </c>
      <c r="N1285" s="9">
        <f>IF(ISNA(MATCH(1276,'Transfer Engine'!$C$2:$C$1960,0)),"",INDEX('Compliance Database'!$N$2:$N$1960,MATCH(1276,'Transfer Engine'!$C$2:$C$1960,0)))</f>
        <v/>
      </c>
      <c r="O1285" s="9">
        <f>IF(ISNA(MATCH(1276,'Transfer Engine'!$C$2:$C$1960,0)),"",INDEX('Compliance Database'!$O$2:$O$1960,MATCH(1276,'Transfer Engine'!$C$2:$C$1960,0)))</f>
        <v/>
      </c>
      <c r="P1285" s="8">
        <f>IF(ISNA(MATCH(1276,'Transfer Engine'!$C$2:$C$1960,0)),"",HYPERLINK("#Acts!A"&amp;INDEX('Compliance Database'!$P$2:$P$1960,MATCH(1276,'Transfer Engine'!$C$2:$C$1960,0)),"Go to Act"))</f>
        <v/>
      </c>
    </row>
    <row r="1286" ht="158" customHeight="1">
      <c r="A1286" s="8">
        <f>IF(ISNA(MATCH(1277,'Transfer Engine'!$C$2:$C$1960,0)),"",INDEX('Compliance Database'!$A$2:$A$1960,MATCH(1277,'Transfer Engine'!$C$2:$C$1960,0)))</f>
        <v/>
      </c>
      <c r="B1286" s="8">
        <f>IF(ISNA(MATCH(1277,'Transfer Engine'!$C$2:$C$1960,0)),"",INDEX('Compliance Database'!$B$2:$B$1960,MATCH(1277,'Transfer Engine'!$C$2:$C$1960,0)))</f>
        <v/>
      </c>
      <c r="C1286" s="8">
        <f>IF(ISNA(MATCH(1277,'Transfer Engine'!$C$2:$C$1960,0)),"",INDEX('Compliance Database'!$C$2:$C$1960,MATCH(1277,'Transfer Engine'!$C$2:$C$1960,0)))</f>
        <v/>
      </c>
      <c r="D1286" s="9">
        <f>IF(ISNA(MATCH(1277,'Transfer Engine'!$C$2:$C$1960,0)),"",INDEX('Compliance Database'!$D$2:$D$1960,MATCH(1277,'Transfer Engine'!$C$2:$C$1960,0)))</f>
        <v/>
      </c>
      <c r="E1286" s="8">
        <f>IF(ISNA(MATCH(1277,'Transfer Engine'!$C$2:$C$1960,0)),"",INDEX('Compliance Database'!$E$2:$E$1960,MATCH(1277,'Transfer Engine'!$C$2:$C$1960,0)))</f>
        <v/>
      </c>
      <c r="F1286" s="8">
        <f>IF(ISNA(MATCH(1277,'Transfer Engine'!$C$2:$C$1960,0)),"",INDEX('Compliance Database'!$F$2:$F$1960,MATCH(1277,'Transfer Engine'!$C$2:$C$1960,0)))</f>
        <v/>
      </c>
      <c r="G1286" s="8">
        <f>IF(ISNA(MATCH(1277,'Transfer Engine'!$C$2:$C$1960,0)),"",INDEX('Compliance Database'!$G$2:$G$1960,MATCH(1277,'Transfer Engine'!$C$2:$C$1960,0)))</f>
        <v/>
      </c>
      <c r="H1286" s="9">
        <f>IF(ISNA(MATCH(1277,'Transfer Engine'!$C$2:$C$1960,0)),"",INDEX('Compliance Database'!$H$2:$H$1960,MATCH(1277,'Transfer Engine'!$C$2:$C$1960,0)))</f>
        <v/>
      </c>
      <c r="I1286" s="9">
        <f>IF(ISNA(MATCH(1277,'Transfer Engine'!$C$2:$C$1960,0)),"",INDEX('Compliance Database'!$I$2:$I$1960,MATCH(1277,'Transfer Engine'!$C$2:$C$1960,0)))</f>
        <v/>
      </c>
      <c r="J1286" s="8">
        <f>IF(ISNA(MATCH(1277,'Transfer Engine'!$C$2:$C$1960,0)),"",INDEX('Compliance Database'!$J$2:$J$1960,MATCH(1277,'Transfer Engine'!$C$2:$C$1960,0)))</f>
        <v/>
      </c>
      <c r="K1286" s="9">
        <f>IF(ISNA(MATCH(1277,'Transfer Engine'!$C$2:$C$1960,0)),"",INDEX('Compliance Database'!$K$2:$K$1960,MATCH(1277,'Transfer Engine'!$C$2:$C$1960,0)))</f>
        <v/>
      </c>
      <c r="L1286" s="9">
        <f>IF(ISNA(MATCH(1277,'Transfer Engine'!$C$2:$C$1960,0)),"",INDEX('Compliance Database'!$L$2:$L$1960,MATCH(1277,'Transfer Engine'!$C$2:$C$1960,0)))</f>
        <v/>
      </c>
      <c r="M1286" s="9">
        <f>IF(ISNA(MATCH(1277,'Transfer Engine'!$C$2:$C$1960,0)),"",INDEX('Compliance Database'!$M$2:$M$1960,MATCH(1277,'Transfer Engine'!$C$2:$C$1960,0)))</f>
        <v/>
      </c>
      <c r="N1286" s="9">
        <f>IF(ISNA(MATCH(1277,'Transfer Engine'!$C$2:$C$1960,0)),"",INDEX('Compliance Database'!$N$2:$N$1960,MATCH(1277,'Transfer Engine'!$C$2:$C$1960,0)))</f>
        <v/>
      </c>
      <c r="O1286" s="9">
        <f>IF(ISNA(MATCH(1277,'Transfer Engine'!$C$2:$C$1960,0)),"",INDEX('Compliance Database'!$O$2:$O$1960,MATCH(1277,'Transfer Engine'!$C$2:$C$1960,0)))</f>
        <v/>
      </c>
      <c r="P1286" s="8">
        <f>IF(ISNA(MATCH(1277,'Transfer Engine'!$C$2:$C$1960,0)),"",HYPERLINK("#Acts!A"&amp;INDEX('Compliance Database'!$P$2:$P$1960,MATCH(1277,'Transfer Engine'!$C$2:$C$1960,0)),"Go to Act"))</f>
        <v/>
      </c>
    </row>
    <row r="1287" ht="158" customHeight="1">
      <c r="A1287" s="8">
        <f>IF(ISNA(MATCH(1278,'Transfer Engine'!$C$2:$C$1960,0)),"",INDEX('Compliance Database'!$A$2:$A$1960,MATCH(1278,'Transfer Engine'!$C$2:$C$1960,0)))</f>
        <v/>
      </c>
      <c r="B1287" s="8">
        <f>IF(ISNA(MATCH(1278,'Transfer Engine'!$C$2:$C$1960,0)),"",INDEX('Compliance Database'!$B$2:$B$1960,MATCH(1278,'Transfer Engine'!$C$2:$C$1960,0)))</f>
        <v/>
      </c>
      <c r="C1287" s="8">
        <f>IF(ISNA(MATCH(1278,'Transfer Engine'!$C$2:$C$1960,0)),"",INDEX('Compliance Database'!$C$2:$C$1960,MATCH(1278,'Transfer Engine'!$C$2:$C$1960,0)))</f>
        <v/>
      </c>
      <c r="D1287" s="9">
        <f>IF(ISNA(MATCH(1278,'Transfer Engine'!$C$2:$C$1960,0)),"",INDEX('Compliance Database'!$D$2:$D$1960,MATCH(1278,'Transfer Engine'!$C$2:$C$1960,0)))</f>
        <v/>
      </c>
      <c r="E1287" s="8">
        <f>IF(ISNA(MATCH(1278,'Transfer Engine'!$C$2:$C$1960,0)),"",INDEX('Compliance Database'!$E$2:$E$1960,MATCH(1278,'Transfer Engine'!$C$2:$C$1960,0)))</f>
        <v/>
      </c>
      <c r="F1287" s="8">
        <f>IF(ISNA(MATCH(1278,'Transfer Engine'!$C$2:$C$1960,0)),"",INDEX('Compliance Database'!$F$2:$F$1960,MATCH(1278,'Transfer Engine'!$C$2:$C$1960,0)))</f>
        <v/>
      </c>
      <c r="G1287" s="8">
        <f>IF(ISNA(MATCH(1278,'Transfer Engine'!$C$2:$C$1960,0)),"",INDEX('Compliance Database'!$G$2:$G$1960,MATCH(1278,'Transfer Engine'!$C$2:$C$1960,0)))</f>
        <v/>
      </c>
      <c r="H1287" s="9">
        <f>IF(ISNA(MATCH(1278,'Transfer Engine'!$C$2:$C$1960,0)),"",INDEX('Compliance Database'!$H$2:$H$1960,MATCH(1278,'Transfer Engine'!$C$2:$C$1960,0)))</f>
        <v/>
      </c>
      <c r="I1287" s="9">
        <f>IF(ISNA(MATCH(1278,'Transfer Engine'!$C$2:$C$1960,0)),"",INDEX('Compliance Database'!$I$2:$I$1960,MATCH(1278,'Transfer Engine'!$C$2:$C$1960,0)))</f>
        <v/>
      </c>
      <c r="J1287" s="8">
        <f>IF(ISNA(MATCH(1278,'Transfer Engine'!$C$2:$C$1960,0)),"",INDEX('Compliance Database'!$J$2:$J$1960,MATCH(1278,'Transfer Engine'!$C$2:$C$1960,0)))</f>
        <v/>
      </c>
      <c r="K1287" s="9">
        <f>IF(ISNA(MATCH(1278,'Transfer Engine'!$C$2:$C$1960,0)),"",INDEX('Compliance Database'!$K$2:$K$1960,MATCH(1278,'Transfer Engine'!$C$2:$C$1960,0)))</f>
        <v/>
      </c>
      <c r="L1287" s="9">
        <f>IF(ISNA(MATCH(1278,'Transfer Engine'!$C$2:$C$1960,0)),"",INDEX('Compliance Database'!$L$2:$L$1960,MATCH(1278,'Transfer Engine'!$C$2:$C$1960,0)))</f>
        <v/>
      </c>
      <c r="M1287" s="9">
        <f>IF(ISNA(MATCH(1278,'Transfer Engine'!$C$2:$C$1960,0)),"",INDEX('Compliance Database'!$M$2:$M$1960,MATCH(1278,'Transfer Engine'!$C$2:$C$1960,0)))</f>
        <v/>
      </c>
      <c r="N1287" s="9">
        <f>IF(ISNA(MATCH(1278,'Transfer Engine'!$C$2:$C$1960,0)),"",INDEX('Compliance Database'!$N$2:$N$1960,MATCH(1278,'Transfer Engine'!$C$2:$C$1960,0)))</f>
        <v/>
      </c>
      <c r="O1287" s="9">
        <f>IF(ISNA(MATCH(1278,'Transfer Engine'!$C$2:$C$1960,0)),"",INDEX('Compliance Database'!$O$2:$O$1960,MATCH(1278,'Transfer Engine'!$C$2:$C$1960,0)))</f>
        <v/>
      </c>
      <c r="P1287" s="8">
        <f>IF(ISNA(MATCH(1278,'Transfer Engine'!$C$2:$C$1960,0)),"",HYPERLINK("#Acts!A"&amp;INDEX('Compliance Database'!$P$2:$P$1960,MATCH(1278,'Transfer Engine'!$C$2:$C$1960,0)),"Go to Act"))</f>
        <v/>
      </c>
    </row>
    <row r="1288" ht="158" customHeight="1">
      <c r="A1288" s="8">
        <f>IF(ISNA(MATCH(1279,'Transfer Engine'!$C$2:$C$1960,0)),"",INDEX('Compliance Database'!$A$2:$A$1960,MATCH(1279,'Transfer Engine'!$C$2:$C$1960,0)))</f>
        <v/>
      </c>
      <c r="B1288" s="8">
        <f>IF(ISNA(MATCH(1279,'Transfer Engine'!$C$2:$C$1960,0)),"",INDEX('Compliance Database'!$B$2:$B$1960,MATCH(1279,'Transfer Engine'!$C$2:$C$1960,0)))</f>
        <v/>
      </c>
      <c r="C1288" s="8">
        <f>IF(ISNA(MATCH(1279,'Transfer Engine'!$C$2:$C$1960,0)),"",INDEX('Compliance Database'!$C$2:$C$1960,MATCH(1279,'Transfer Engine'!$C$2:$C$1960,0)))</f>
        <v/>
      </c>
      <c r="D1288" s="9">
        <f>IF(ISNA(MATCH(1279,'Transfer Engine'!$C$2:$C$1960,0)),"",INDEX('Compliance Database'!$D$2:$D$1960,MATCH(1279,'Transfer Engine'!$C$2:$C$1960,0)))</f>
        <v/>
      </c>
      <c r="E1288" s="8">
        <f>IF(ISNA(MATCH(1279,'Transfer Engine'!$C$2:$C$1960,0)),"",INDEX('Compliance Database'!$E$2:$E$1960,MATCH(1279,'Transfer Engine'!$C$2:$C$1960,0)))</f>
        <v/>
      </c>
      <c r="F1288" s="8">
        <f>IF(ISNA(MATCH(1279,'Transfer Engine'!$C$2:$C$1960,0)),"",INDEX('Compliance Database'!$F$2:$F$1960,MATCH(1279,'Transfer Engine'!$C$2:$C$1960,0)))</f>
        <v/>
      </c>
      <c r="G1288" s="8">
        <f>IF(ISNA(MATCH(1279,'Transfer Engine'!$C$2:$C$1960,0)),"",INDEX('Compliance Database'!$G$2:$G$1960,MATCH(1279,'Transfer Engine'!$C$2:$C$1960,0)))</f>
        <v/>
      </c>
      <c r="H1288" s="9">
        <f>IF(ISNA(MATCH(1279,'Transfer Engine'!$C$2:$C$1960,0)),"",INDEX('Compliance Database'!$H$2:$H$1960,MATCH(1279,'Transfer Engine'!$C$2:$C$1960,0)))</f>
        <v/>
      </c>
      <c r="I1288" s="9">
        <f>IF(ISNA(MATCH(1279,'Transfer Engine'!$C$2:$C$1960,0)),"",INDEX('Compliance Database'!$I$2:$I$1960,MATCH(1279,'Transfer Engine'!$C$2:$C$1960,0)))</f>
        <v/>
      </c>
      <c r="J1288" s="8">
        <f>IF(ISNA(MATCH(1279,'Transfer Engine'!$C$2:$C$1960,0)),"",INDEX('Compliance Database'!$J$2:$J$1960,MATCH(1279,'Transfer Engine'!$C$2:$C$1960,0)))</f>
        <v/>
      </c>
      <c r="K1288" s="9">
        <f>IF(ISNA(MATCH(1279,'Transfer Engine'!$C$2:$C$1960,0)),"",INDEX('Compliance Database'!$K$2:$K$1960,MATCH(1279,'Transfer Engine'!$C$2:$C$1960,0)))</f>
        <v/>
      </c>
      <c r="L1288" s="9">
        <f>IF(ISNA(MATCH(1279,'Transfer Engine'!$C$2:$C$1960,0)),"",INDEX('Compliance Database'!$L$2:$L$1960,MATCH(1279,'Transfer Engine'!$C$2:$C$1960,0)))</f>
        <v/>
      </c>
      <c r="M1288" s="9">
        <f>IF(ISNA(MATCH(1279,'Transfer Engine'!$C$2:$C$1960,0)),"",INDEX('Compliance Database'!$M$2:$M$1960,MATCH(1279,'Transfer Engine'!$C$2:$C$1960,0)))</f>
        <v/>
      </c>
      <c r="N1288" s="9">
        <f>IF(ISNA(MATCH(1279,'Transfer Engine'!$C$2:$C$1960,0)),"",INDEX('Compliance Database'!$N$2:$N$1960,MATCH(1279,'Transfer Engine'!$C$2:$C$1960,0)))</f>
        <v/>
      </c>
      <c r="O1288" s="9">
        <f>IF(ISNA(MATCH(1279,'Transfer Engine'!$C$2:$C$1960,0)),"",INDEX('Compliance Database'!$O$2:$O$1960,MATCH(1279,'Transfer Engine'!$C$2:$C$1960,0)))</f>
        <v/>
      </c>
      <c r="P1288" s="8">
        <f>IF(ISNA(MATCH(1279,'Transfer Engine'!$C$2:$C$1960,0)),"",HYPERLINK("#Acts!A"&amp;INDEX('Compliance Database'!$P$2:$P$1960,MATCH(1279,'Transfer Engine'!$C$2:$C$1960,0)),"Go to Act"))</f>
        <v/>
      </c>
    </row>
    <row r="1289" ht="158" customHeight="1">
      <c r="A1289" s="8">
        <f>IF(ISNA(MATCH(1280,'Transfer Engine'!$C$2:$C$1960,0)),"",INDEX('Compliance Database'!$A$2:$A$1960,MATCH(1280,'Transfer Engine'!$C$2:$C$1960,0)))</f>
        <v/>
      </c>
      <c r="B1289" s="8">
        <f>IF(ISNA(MATCH(1280,'Transfer Engine'!$C$2:$C$1960,0)),"",INDEX('Compliance Database'!$B$2:$B$1960,MATCH(1280,'Transfer Engine'!$C$2:$C$1960,0)))</f>
        <v/>
      </c>
      <c r="C1289" s="8">
        <f>IF(ISNA(MATCH(1280,'Transfer Engine'!$C$2:$C$1960,0)),"",INDEX('Compliance Database'!$C$2:$C$1960,MATCH(1280,'Transfer Engine'!$C$2:$C$1960,0)))</f>
        <v/>
      </c>
      <c r="D1289" s="9">
        <f>IF(ISNA(MATCH(1280,'Transfer Engine'!$C$2:$C$1960,0)),"",INDEX('Compliance Database'!$D$2:$D$1960,MATCH(1280,'Transfer Engine'!$C$2:$C$1960,0)))</f>
        <v/>
      </c>
      <c r="E1289" s="8">
        <f>IF(ISNA(MATCH(1280,'Transfer Engine'!$C$2:$C$1960,0)),"",INDEX('Compliance Database'!$E$2:$E$1960,MATCH(1280,'Transfer Engine'!$C$2:$C$1960,0)))</f>
        <v/>
      </c>
      <c r="F1289" s="8">
        <f>IF(ISNA(MATCH(1280,'Transfer Engine'!$C$2:$C$1960,0)),"",INDEX('Compliance Database'!$F$2:$F$1960,MATCH(1280,'Transfer Engine'!$C$2:$C$1960,0)))</f>
        <v/>
      </c>
      <c r="G1289" s="8">
        <f>IF(ISNA(MATCH(1280,'Transfer Engine'!$C$2:$C$1960,0)),"",INDEX('Compliance Database'!$G$2:$G$1960,MATCH(1280,'Transfer Engine'!$C$2:$C$1960,0)))</f>
        <v/>
      </c>
      <c r="H1289" s="9">
        <f>IF(ISNA(MATCH(1280,'Transfer Engine'!$C$2:$C$1960,0)),"",INDEX('Compliance Database'!$H$2:$H$1960,MATCH(1280,'Transfer Engine'!$C$2:$C$1960,0)))</f>
        <v/>
      </c>
      <c r="I1289" s="9">
        <f>IF(ISNA(MATCH(1280,'Transfer Engine'!$C$2:$C$1960,0)),"",INDEX('Compliance Database'!$I$2:$I$1960,MATCH(1280,'Transfer Engine'!$C$2:$C$1960,0)))</f>
        <v/>
      </c>
      <c r="J1289" s="8">
        <f>IF(ISNA(MATCH(1280,'Transfer Engine'!$C$2:$C$1960,0)),"",INDEX('Compliance Database'!$J$2:$J$1960,MATCH(1280,'Transfer Engine'!$C$2:$C$1960,0)))</f>
        <v/>
      </c>
      <c r="K1289" s="9">
        <f>IF(ISNA(MATCH(1280,'Transfer Engine'!$C$2:$C$1960,0)),"",INDEX('Compliance Database'!$K$2:$K$1960,MATCH(1280,'Transfer Engine'!$C$2:$C$1960,0)))</f>
        <v/>
      </c>
      <c r="L1289" s="9">
        <f>IF(ISNA(MATCH(1280,'Transfer Engine'!$C$2:$C$1960,0)),"",INDEX('Compliance Database'!$L$2:$L$1960,MATCH(1280,'Transfer Engine'!$C$2:$C$1960,0)))</f>
        <v/>
      </c>
      <c r="M1289" s="9">
        <f>IF(ISNA(MATCH(1280,'Transfer Engine'!$C$2:$C$1960,0)),"",INDEX('Compliance Database'!$M$2:$M$1960,MATCH(1280,'Transfer Engine'!$C$2:$C$1960,0)))</f>
        <v/>
      </c>
      <c r="N1289" s="9">
        <f>IF(ISNA(MATCH(1280,'Transfer Engine'!$C$2:$C$1960,0)),"",INDEX('Compliance Database'!$N$2:$N$1960,MATCH(1280,'Transfer Engine'!$C$2:$C$1960,0)))</f>
        <v/>
      </c>
      <c r="O1289" s="9">
        <f>IF(ISNA(MATCH(1280,'Transfer Engine'!$C$2:$C$1960,0)),"",INDEX('Compliance Database'!$O$2:$O$1960,MATCH(1280,'Transfer Engine'!$C$2:$C$1960,0)))</f>
        <v/>
      </c>
      <c r="P1289" s="8">
        <f>IF(ISNA(MATCH(1280,'Transfer Engine'!$C$2:$C$1960,0)),"",HYPERLINK("#Acts!A"&amp;INDEX('Compliance Database'!$P$2:$P$1960,MATCH(1280,'Transfer Engine'!$C$2:$C$1960,0)),"Go to Act"))</f>
        <v/>
      </c>
    </row>
    <row r="1290" ht="158" customHeight="1">
      <c r="A1290" s="8">
        <f>IF(ISNA(MATCH(1281,'Transfer Engine'!$C$2:$C$1960,0)),"",INDEX('Compliance Database'!$A$2:$A$1960,MATCH(1281,'Transfer Engine'!$C$2:$C$1960,0)))</f>
        <v/>
      </c>
      <c r="B1290" s="8">
        <f>IF(ISNA(MATCH(1281,'Transfer Engine'!$C$2:$C$1960,0)),"",INDEX('Compliance Database'!$B$2:$B$1960,MATCH(1281,'Transfer Engine'!$C$2:$C$1960,0)))</f>
        <v/>
      </c>
      <c r="C1290" s="8">
        <f>IF(ISNA(MATCH(1281,'Transfer Engine'!$C$2:$C$1960,0)),"",INDEX('Compliance Database'!$C$2:$C$1960,MATCH(1281,'Transfer Engine'!$C$2:$C$1960,0)))</f>
        <v/>
      </c>
      <c r="D1290" s="9">
        <f>IF(ISNA(MATCH(1281,'Transfer Engine'!$C$2:$C$1960,0)),"",INDEX('Compliance Database'!$D$2:$D$1960,MATCH(1281,'Transfer Engine'!$C$2:$C$1960,0)))</f>
        <v/>
      </c>
      <c r="E1290" s="8">
        <f>IF(ISNA(MATCH(1281,'Transfer Engine'!$C$2:$C$1960,0)),"",INDEX('Compliance Database'!$E$2:$E$1960,MATCH(1281,'Transfer Engine'!$C$2:$C$1960,0)))</f>
        <v/>
      </c>
      <c r="F1290" s="8">
        <f>IF(ISNA(MATCH(1281,'Transfer Engine'!$C$2:$C$1960,0)),"",INDEX('Compliance Database'!$F$2:$F$1960,MATCH(1281,'Transfer Engine'!$C$2:$C$1960,0)))</f>
        <v/>
      </c>
      <c r="G1290" s="8">
        <f>IF(ISNA(MATCH(1281,'Transfer Engine'!$C$2:$C$1960,0)),"",INDEX('Compliance Database'!$G$2:$G$1960,MATCH(1281,'Transfer Engine'!$C$2:$C$1960,0)))</f>
        <v/>
      </c>
      <c r="H1290" s="9">
        <f>IF(ISNA(MATCH(1281,'Transfer Engine'!$C$2:$C$1960,0)),"",INDEX('Compliance Database'!$H$2:$H$1960,MATCH(1281,'Transfer Engine'!$C$2:$C$1960,0)))</f>
        <v/>
      </c>
      <c r="I1290" s="9">
        <f>IF(ISNA(MATCH(1281,'Transfer Engine'!$C$2:$C$1960,0)),"",INDEX('Compliance Database'!$I$2:$I$1960,MATCH(1281,'Transfer Engine'!$C$2:$C$1960,0)))</f>
        <v/>
      </c>
      <c r="J1290" s="8">
        <f>IF(ISNA(MATCH(1281,'Transfer Engine'!$C$2:$C$1960,0)),"",INDEX('Compliance Database'!$J$2:$J$1960,MATCH(1281,'Transfer Engine'!$C$2:$C$1960,0)))</f>
        <v/>
      </c>
      <c r="K1290" s="9">
        <f>IF(ISNA(MATCH(1281,'Transfer Engine'!$C$2:$C$1960,0)),"",INDEX('Compliance Database'!$K$2:$K$1960,MATCH(1281,'Transfer Engine'!$C$2:$C$1960,0)))</f>
        <v/>
      </c>
      <c r="L1290" s="9">
        <f>IF(ISNA(MATCH(1281,'Transfer Engine'!$C$2:$C$1960,0)),"",INDEX('Compliance Database'!$L$2:$L$1960,MATCH(1281,'Transfer Engine'!$C$2:$C$1960,0)))</f>
        <v/>
      </c>
      <c r="M1290" s="9">
        <f>IF(ISNA(MATCH(1281,'Transfer Engine'!$C$2:$C$1960,0)),"",INDEX('Compliance Database'!$M$2:$M$1960,MATCH(1281,'Transfer Engine'!$C$2:$C$1960,0)))</f>
        <v/>
      </c>
      <c r="N1290" s="9">
        <f>IF(ISNA(MATCH(1281,'Transfer Engine'!$C$2:$C$1960,0)),"",INDEX('Compliance Database'!$N$2:$N$1960,MATCH(1281,'Transfer Engine'!$C$2:$C$1960,0)))</f>
        <v/>
      </c>
      <c r="O1290" s="9">
        <f>IF(ISNA(MATCH(1281,'Transfer Engine'!$C$2:$C$1960,0)),"",INDEX('Compliance Database'!$O$2:$O$1960,MATCH(1281,'Transfer Engine'!$C$2:$C$1960,0)))</f>
        <v/>
      </c>
      <c r="P1290" s="8">
        <f>IF(ISNA(MATCH(1281,'Transfer Engine'!$C$2:$C$1960,0)),"",HYPERLINK("#Acts!A"&amp;INDEX('Compliance Database'!$P$2:$P$1960,MATCH(1281,'Transfer Engine'!$C$2:$C$1960,0)),"Go to Act"))</f>
        <v/>
      </c>
    </row>
    <row r="1291" ht="158" customHeight="1">
      <c r="A1291" s="8">
        <f>IF(ISNA(MATCH(1282,'Transfer Engine'!$C$2:$C$1960,0)),"",INDEX('Compliance Database'!$A$2:$A$1960,MATCH(1282,'Transfer Engine'!$C$2:$C$1960,0)))</f>
        <v/>
      </c>
      <c r="B1291" s="8">
        <f>IF(ISNA(MATCH(1282,'Transfer Engine'!$C$2:$C$1960,0)),"",INDEX('Compliance Database'!$B$2:$B$1960,MATCH(1282,'Transfer Engine'!$C$2:$C$1960,0)))</f>
        <v/>
      </c>
      <c r="C1291" s="8">
        <f>IF(ISNA(MATCH(1282,'Transfer Engine'!$C$2:$C$1960,0)),"",INDEX('Compliance Database'!$C$2:$C$1960,MATCH(1282,'Transfer Engine'!$C$2:$C$1960,0)))</f>
        <v/>
      </c>
      <c r="D1291" s="9">
        <f>IF(ISNA(MATCH(1282,'Transfer Engine'!$C$2:$C$1960,0)),"",INDEX('Compliance Database'!$D$2:$D$1960,MATCH(1282,'Transfer Engine'!$C$2:$C$1960,0)))</f>
        <v/>
      </c>
      <c r="E1291" s="8">
        <f>IF(ISNA(MATCH(1282,'Transfer Engine'!$C$2:$C$1960,0)),"",INDEX('Compliance Database'!$E$2:$E$1960,MATCH(1282,'Transfer Engine'!$C$2:$C$1960,0)))</f>
        <v/>
      </c>
      <c r="F1291" s="8">
        <f>IF(ISNA(MATCH(1282,'Transfer Engine'!$C$2:$C$1960,0)),"",INDEX('Compliance Database'!$F$2:$F$1960,MATCH(1282,'Transfer Engine'!$C$2:$C$1960,0)))</f>
        <v/>
      </c>
      <c r="G1291" s="8">
        <f>IF(ISNA(MATCH(1282,'Transfer Engine'!$C$2:$C$1960,0)),"",INDEX('Compliance Database'!$G$2:$G$1960,MATCH(1282,'Transfer Engine'!$C$2:$C$1960,0)))</f>
        <v/>
      </c>
      <c r="H1291" s="9">
        <f>IF(ISNA(MATCH(1282,'Transfer Engine'!$C$2:$C$1960,0)),"",INDEX('Compliance Database'!$H$2:$H$1960,MATCH(1282,'Transfer Engine'!$C$2:$C$1960,0)))</f>
        <v/>
      </c>
      <c r="I1291" s="9">
        <f>IF(ISNA(MATCH(1282,'Transfer Engine'!$C$2:$C$1960,0)),"",INDEX('Compliance Database'!$I$2:$I$1960,MATCH(1282,'Transfer Engine'!$C$2:$C$1960,0)))</f>
        <v/>
      </c>
      <c r="J1291" s="8">
        <f>IF(ISNA(MATCH(1282,'Transfer Engine'!$C$2:$C$1960,0)),"",INDEX('Compliance Database'!$J$2:$J$1960,MATCH(1282,'Transfer Engine'!$C$2:$C$1960,0)))</f>
        <v/>
      </c>
      <c r="K1291" s="9">
        <f>IF(ISNA(MATCH(1282,'Transfer Engine'!$C$2:$C$1960,0)),"",INDEX('Compliance Database'!$K$2:$K$1960,MATCH(1282,'Transfer Engine'!$C$2:$C$1960,0)))</f>
        <v/>
      </c>
      <c r="L1291" s="9">
        <f>IF(ISNA(MATCH(1282,'Transfer Engine'!$C$2:$C$1960,0)),"",INDEX('Compliance Database'!$L$2:$L$1960,MATCH(1282,'Transfer Engine'!$C$2:$C$1960,0)))</f>
        <v/>
      </c>
      <c r="M1291" s="9">
        <f>IF(ISNA(MATCH(1282,'Transfer Engine'!$C$2:$C$1960,0)),"",INDEX('Compliance Database'!$M$2:$M$1960,MATCH(1282,'Transfer Engine'!$C$2:$C$1960,0)))</f>
        <v/>
      </c>
      <c r="N1291" s="9">
        <f>IF(ISNA(MATCH(1282,'Transfer Engine'!$C$2:$C$1960,0)),"",INDEX('Compliance Database'!$N$2:$N$1960,MATCH(1282,'Transfer Engine'!$C$2:$C$1960,0)))</f>
        <v/>
      </c>
      <c r="O1291" s="9">
        <f>IF(ISNA(MATCH(1282,'Transfer Engine'!$C$2:$C$1960,0)),"",INDEX('Compliance Database'!$O$2:$O$1960,MATCH(1282,'Transfer Engine'!$C$2:$C$1960,0)))</f>
        <v/>
      </c>
      <c r="P1291" s="8">
        <f>IF(ISNA(MATCH(1282,'Transfer Engine'!$C$2:$C$1960,0)),"",HYPERLINK("#Acts!A"&amp;INDEX('Compliance Database'!$P$2:$P$1960,MATCH(1282,'Transfer Engine'!$C$2:$C$1960,0)),"Go to Act"))</f>
        <v/>
      </c>
    </row>
    <row r="1292" ht="158" customHeight="1">
      <c r="A1292" s="8">
        <f>IF(ISNA(MATCH(1283,'Transfer Engine'!$C$2:$C$1960,0)),"",INDEX('Compliance Database'!$A$2:$A$1960,MATCH(1283,'Transfer Engine'!$C$2:$C$1960,0)))</f>
        <v/>
      </c>
      <c r="B1292" s="8">
        <f>IF(ISNA(MATCH(1283,'Transfer Engine'!$C$2:$C$1960,0)),"",INDEX('Compliance Database'!$B$2:$B$1960,MATCH(1283,'Transfer Engine'!$C$2:$C$1960,0)))</f>
        <v/>
      </c>
      <c r="C1292" s="8">
        <f>IF(ISNA(MATCH(1283,'Transfer Engine'!$C$2:$C$1960,0)),"",INDEX('Compliance Database'!$C$2:$C$1960,MATCH(1283,'Transfer Engine'!$C$2:$C$1960,0)))</f>
        <v/>
      </c>
      <c r="D1292" s="9">
        <f>IF(ISNA(MATCH(1283,'Transfer Engine'!$C$2:$C$1960,0)),"",INDEX('Compliance Database'!$D$2:$D$1960,MATCH(1283,'Transfer Engine'!$C$2:$C$1960,0)))</f>
        <v/>
      </c>
      <c r="E1292" s="8">
        <f>IF(ISNA(MATCH(1283,'Transfer Engine'!$C$2:$C$1960,0)),"",INDEX('Compliance Database'!$E$2:$E$1960,MATCH(1283,'Transfer Engine'!$C$2:$C$1960,0)))</f>
        <v/>
      </c>
      <c r="F1292" s="8">
        <f>IF(ISNA(MATCH(1283,'Transfer Engine'!$C$2:$C$1960,0)),"",INDEX('Compliance Database'!$F$2:$F$1960,MATCH(1283,'Transfer Engine'!$C$2:$C$1960,0)))</f>
        <v/>
      </c>
      <c r="G1292" s="8">
        <f>IF(ISNA(MATCH(1283,'Transfer Engine'!$C$2:$C$1960,0)),"",INDEX('Compliance Database'!$G$2:$G$1960,MATCH(1283,'Transfer Engine'!$C$2:$C$1960,0)))</f>
        <v/>
      </c>
      <c r="H1292" s="9">
        <f>IF(ISNA(MATCH(1283,'Transfer Engine'!$C$2:$C$1960,0)),"",INDEX('Compliance Database'!$H$2:$H$1960,MATCH(1283,'Transfer Engine'!$C$2:$C$1960,0)))</f>
        <v/>
      </c>
      <c r="I1292" s="9">
        <f>IF(ISNA(MATCH(1283,'Transfer Engine'!$C$2:$C$1960,0)),"",INDEX('Compliance Database'!$I$2:$I$1960,MATCH(1283,'Transfer Engine'!$C$2:$C$1960,0)))</f>
        <v/>
      </c>
      <c r="J1292" s="8">
        <f>IF(ISNA(MATCH(1283,'Transfer Engine'!$C$2:$C$1960,0)),"",INDEX('Compliance Database'!$J$2:$J$1960,MATCH(1283,'Transfer Engine'!$C$2:$C$1960,0)))</f>
        <v/>
      </c>
      <c r="K1292" s="9">
        <f>IF(ISNA(MATCH(1283,'Transfer Engine'!$C$2:$C$1960,0)),"",INDEX('Compliance Database'!$K$2:$K$1960,MATCH(1283,'Transfer Engine'!$C$2:$C$1960,0)))</f>
        <v/>
      </c>
      <c r="L1292" s="9">
        <f>IF(ISNA(MATCH(1283,'Transfer Engine'!$C$2:$C$1960,0)),"",INDEX('Compliance Database'!$L$2:$L$1960,MATCH(1283,'Transfer Engine'!$C$2:$C$1960,0)))</f>
        <v/>
      </c>
      <c r="M1292" s="9">
        <f>IF(ISNA(MATCH(1283,'Transfer Engine'!$C$2:$C$1960,0)),"",INDEX('Compliance Database'!$M$2:$M$1960,MATCH(1283,'Transfer Engine'!$C$2:$C$1960,0)))</f>
        <v/>
      </c>
      <c r="N1292" s="9">
        <f>IF(ISNA(MATCH(1283,'Transfer Engine'!$C$2:$C$1960,0)),"",INDEX('Compliance Database'!$N$2:$N$1960,MATCH(1283,'Transfer Engine'!$C$2:$C$1960,0)))</f>
        <v/>
      </c>
      <c r="O1292" s="9">
        <f>IF(ISNA(MATCH(1283,'Transfer Engine'!$C$2:$C$1960,0)),"",INDEX('Compliance Database'!$O$2:$O$1960,MATCH(1283,'Transfer Engine'!$C$2:$C$1960,0)))</f>
        <v/>
      </c>
      <c r="P1292" s="8">
        <f>IF(ISNA(MATCH(1283,'Transfer Engine'!$C$2:$C$1960,0)),"",HYPERLINK("#Acts!A"&amp;INDEX('Compliance Database'!$P$2:$P$1960,MATCH(1283,'Transfer Engine'!$C$2:$C$1960,0)),"Go to Act"))</f>
        <v/>
      </c>
    </row>
    <row r="1293" ht="158" customHeight="1">
      <c r="A1293" s="8">
        <f>IF(ISNA(MATCH(1284,'Transfer Engine'!$C$2:$C$1960,0)),"",INDEX('Compliance Database'!$A$2:$A$1960,MATCH(1284,'Transfer Engine'!$C$2:$C$1960,0)))</f>
        <v/>
      </c>
      <c r="B1293" s="8">
        <f>IF(ISNA(MATCH(1284,'Transfer Engine'!$C$2:$C$1960,0)),"",INDEX('Compliance Database'!$B$2:$B$1960,MATCH(1284,'Transfer Engine'!$C$2:$C$1960,0)))</f>
        <v/>
      </c>
      <c r="C1293" s="8">
        <f>IF(ISNA(MATCH(1284,'Transfer Engine'!$C$2:$C$1960,0)),"",INDEX('Compliance Database'!$C$2:$C$1960,MATCH(1284,'Transfer Engine'!$C$2:$C$1960,0)))</f>
        <v/>
      </c>
      <c r="D1293" s="9">
        <f>IF(ISNA(MATCH(1284,'Transfer Engine'!$C$2:$C$1960,0)),"",INDEX('Compliance Database'!$D$2:$D$1960,MATCH(1284,'Transfer Engine'!$C$2:$C$1960,0)))</f>
        <v/>
      </c>
      <c r="E1293" s="8">
        <f>IF(ISNA(MATCH(1284,'Transfer Engine'!$C$2:$C$1960,0)),"",INDEX('Compliance Database'!$E$2:$E$1960,MATCH(1284,'Transfer Engine'!$C$2:$C$1960,0)))</f>
        <v/>
      </c>
      <c r="F1293" s="8">
        <f>IF(ISNA(MATCH(1284,'Transfer Engine'!$C$2:$C$1960,0)),"",INDEX('Compliance Database'!$F$2:$F$1960,MATCH(1284,'Transfer Engine'!$C$2:$C$1960,0)))</f>
        <v/>
      </c>
      <c r="G1293" s="8">
        <f>IF(ISNA(MATCH(1284,'Transfer Engine'!$C$2:$C$1960,0)),"",INDEX('Compliance Database'!$G$2:$G$1960,MATCH(1284,'Transfer Engine'!$C$2:$C$1960,0)))</f>
        <v/>
      </c>
      <c r="H1293" s="9">
        <f>IF(ISNA(MATCH(1284,'Transfer Engine'!$C$2:$C$1960,0)),"",INDEX('Compliance Database'!$H$2:$H$1960,MATCH(1284,'Transfer Engine'!$C$2:$C$1960,0)))</f>
        <v/>
      </c>
      <c r="I1293" s="9">
        <f>IF(ISNA(MATCH(1284,'Transfer Engine'!$C$2:$C$1960,0)),"",INDEX('Compliance Database'!$I$2:$I$1960,MATCH(1284,'Transfer Engine'!$C$2:$C$1960,0)))</f>
        <v/>
      </c>
      <c r="J1293" s="8">
        <f>IF(ISNA(MATCH(1284,'Transfer Engine'!$C$2:$C$1960,0)),"",INDEX('Compliance Database'!$J$2:$J$1960,MATCH(1284,'Transfer Engine'!$C$2:$C$1960,0)))</f>
        <v/>
      </c>
      <c r="K1293" s="9">
        <f>IF(ISNA(MATCH(1284,'Transfer Engine'!$C$2:$C$1960,0)),"",INDEX('Compliance Database'!$K$2:$K$1960,MATCH(1284,'Transfer Engine'!$C$2:$C$1960,0)))</f>
        <v/>
      </c>
      <c r="L1293" s="9">
        <f>IF(ISNA(MATCH(1284,'Transfer Engine'!$C$2:$C$1960,0)),"",INDEX('Compliance Database'!$L$2:$L$1960,MATCH(1284,'Transfer Engine'!$C$2:$C$1960,0)))</f>
        <v/>
      </c>
      <c r="M1293" s="9">
        <f>IF(ISNA(MATCH(1284,'Transfer Engine'!$C$2:$C$1960,0)),"",INDEX('Compliance Database'!$M$2:$M$1960,MATCH(1284,'Transfer Engine'!$C$2:$C$1960,0)))</f>
        <v/>
      </c>
      <c r="N1293" s="9">
        <f>IF(ISNA(MATCH(1284,'Transfer Engine'!$C$2:$C$1960,0)),"",INDEX('Compliance Database'!$N$2:$N$1960,MATCH(1284,'Transfer Engine'!$C$2:$C$1960,0)))</f>
        <v/>
      </c>
      <c r="O1293" s="9">
        <f>IF(ISNA(MATCH(1284,'Transfer Engine'!$C$2:$C$1960,0)),"",INDEX('Compliance Database'!$O$2:$O$1960,MATCH(1284,'Transfer Engine'!$C$2:$C$1960,0)))</f>
        <v/>
      </c>
      <c r="P1293" s="8">
        <f>IF(ISNA(MATCH(1284,'Transfer Engine'!$C$2:$C$1960,0)),"",HYPERLINK("#Acts!A"&amp;INDEX('Compliance Database'!$P$2:$P$1960,MATCH(1284,'Transfer Engine'!$C$2:$C$1960,0)),"Go to Act"))</f>
        <v/>
      </c>
    </row>
    <row r="1294" ht="158" customHeight="1">
      <c r="A1294" s="8">
        <f>IF(ISNA(MATCH(1285,'Transfer Engine'!$C$2:$C$1960,0)),"",INDEX('Compliance Database'!$A$2:$A$1960,MATCH(1285,'Transfer Engine'!$C$2:$C$1960,0)))</f>
        <v/>
      </c>
      <c r="B1294" s="8">
        <f>IF(ISNA(MATCH(1285,'Transfer Engine'!$C$2:$C$1960,0)),"",INDEX('Compliance Database'!$B$2:$B$1960,MATCH(1285,'Transfer Engine'!$C$2:$C$1960,0)))</f>
        <v/>
      </c>
      <c r="C1294" s="8">
        <f>IF(ISNA(MATCH(1285,'Transfer Engine'!$C$2:$C$1960,0)),"",INDEX('Compliance Database'!$C$2:$C$1960,MATCH(1285,'Transfer Engine'!$C$2:$C$1960,0)))</f>
        <v/>
      </c>
      <c r="D1294" s="9">
        <f>IF(ISNA(MATCH(1285,'Transfer Engine'!$C$2:$C$1960,0)),"",INDEX('Compliance Database'!$D$2:$D$1960,MATCH(1285,'Transfer Engine'!$C$2:$C$1960,0)))</f>
        <v/>
      </c>
      <c r="E1294" s="8">
        <f>IF(ISNA(MATCH(1285,'Transfer Engine'!$C$2:$C$1960,0)),"",INDEX('Compliance Database'!$E$2:$E$1960,MATCH(1285,'Transfer Engine'!$C$2:$C$1960,0)))</f>
        <v/>
      </c>
      <c r="F1294" s="8">
        <f>IF(ISNA(MATCH(1285,'Transfer Engine'!$C$2:$C$1960,0)),"",INDEX('Compliance Database'!$F$2:$F$1960,MATCH(1285,'Transfer Engine'!$C$2:$C$1960,0)))</f>
        <v/>
      </c>
      <c r="G1294" s="8">
        <f>IF(ISNA(MATCH(1285,'Transfer Engine'!$C$2:$C$1960,0)),"",INDEX('Compliance Database'!$G$2:$G$1960,MATCH(1285,'Transfer Engine'!$C$2:$C$1960,0)))</f>
        <v/>
      </c>
      <c r="H1294" s="9">
        <f>IF(ISNA(MATCH(1285,'Transfer Engine'!$C$2:$C$1960,0)),"",INDEX('Compliance Database'!$H$2:$H$1960,MATCH(1285,'Transfer Engine'!$C$2:$C$1960,0)))</f>
        <v/>
      </c>
      <c r="I1294" s="9">
        <f>IF(ISNA(MATCH(1285,'Transfer Engine'!$C$2:$C$1960,0)),"",INDEX('Compliance Database'!$I$2:$I$1960,MATCH(1285,'Transfer Engine'!$C$2:$C$1960,0)))</f>
        <v/>
      </c>
      <c r="J1294" s="8">
        <f>IF(ISNA(MATCH(1285,'Transfer Engine'!$C$2:$C$1960,0)),"",INDEX('Compliance Database'!$J$2:$J$1960,MATCH(1285,'Transfer Engine'!$C$2:$C$1960,0)))</f>
        <v/>
      </c>
      <c r="K1294" s="9">
        <f>IF(ISNA(MATCH(1285,'Transfer Engine'!$C$2:$C$1960,0)),"",INDEX('Compliance Database'!$K$2:$K$1960,MATCH(1285,'Transfer Engine'!$C$2:$C$1960,0)))</f>
        <v/>
      </c>
      <c r="L1294" s="9">
        <f>IF(ISNA(MATCH(1285,'Transfer Engine'!$C$2:$C$1960,0)),"",INDEX('Compliance Database'!$L$2:$L$1960,MATCH(1285,'Transfer Engine'!$C$2:$C$1960,0)))</f>
        <v/>
      </c>
      <c r="M1294" s="9">
        <f>IF(ISNA(MATCH(1285,'Transfer Engine'!$C$2:$C$1960,0)),"",INDEX('Compliance Database'!$M$2:$M$1960,MATCH(1285,'Transfer Engine'!$C$2:$C$1960,0)))</f>
        <v/>
      </c>
      <c r="N1294" s="9">
        <f>IF(ISNA(MATCH(1285,'Transfer Engine'!$C$2:$C$1960,0)),"",INDEX('Compliance Database'!$N$2:$N$1960,MATCH(1285,'Transfer Engine'!$C$2:$C$1960,0)))</f>
        <v/>
      </c>
      <c r="O1294" s="9">
        <f>IF(ISNA(MATCH(1285,'Transfer Engine'!$C$2:$C$1960,0)),"",INDEX('Compliance Database'!$O$2:$O$1960,MATCH(1285,'Transfer Engine'!$C$2:$C$1960,0)))</f>
        <v/>
      </c>
      <c r="P1294" s="8">
        <f>IF(ISNA(MATCH(1285,'Transfer Engine'!$C$2:$C$1960,0)),"",HYPERLINK("#Acts!A"&amp;INDEX('Compliance Database'!$P$2:$P$1960,MATCH(1285,'Transfer Engine'!$C$2:$C$1960,0)),"Go to Act"))</f>
        <v/>
      </c>
    </row>
    <row r="1295" ht="158" customHeight="1">
      <c r="A1295" s="8">
        <f>IF(ISNA(MATCH(1286,'Transfer Engine'!$C$2:$C$1960,0)),"",INDEX('Compliance Database'!$A$2:$A$1960,MATCH(1286,'Transfer Engine'!$C$2:$C$1960,0)))</f>
        <v/>
      </c>
      <c r="B1295" s="8">
        <f>IF(ISNA(MATCH(1286,'Transfer Engine'!$C$2:$C$1960,0)),"",INDEX('Compliance Database'!$B$2:$B$1960,MATCH(1286,'Transfer Engine'!$C$2:$C$1960,0)))</f>
        <v/>
      </c>
      <c r="C1295" s="8">
        <f>IF(ISNA(MATCH(1286,'Transfer Engine'!$C$2:$C$1960,0)),"",INDEX('Compliance Database'!$C$2:$C$1960,MATCH(1286,'Transfer Engine'!$C$2:$C$1960,0)))</f>
        <v/>
      </c>
      <c r="D1295" s="9">
        <f>IF(ISNA(MATCH(1286,'Transfer Engine'!$C$2:$C$1960,0)),"",INDEX('Compliance Database'!$D$2:$D$1960,MATCH(1286,'Transfer Engine'!$C$2:$C$1960,0)))</f>
        <v/>
      </c>
      <c r="E1295" s="8">
        <f>IF(ISNA(MATCH(1286,'Transfer Engine'!$C$2:$C$1960,0)),"",INDEX('Compliance Database'!$E$2:$E$1960,MATCH(1286,'Transfer Engine'!$C$2:$C$1960,0)))</f>
        <v/>
      </c>
      <c r="F1295" s="8">
        <f>IF(ISNA(MATCH(1286,'Transfer Engine'!$C$2:$C$1960,0)),"",INDEX('Compliance Database'!$F$2:$F$1960,MATCH(1286,'Transfer Engine'!$C$2:$C$1960,0)))</f>
        <v/>
      </c>
      <c r="G1295" s="8">
        <f>IF(ISNA(MATCH(1286,'Transfer Engine'!$C$2:$C$1960,0)),"",INDEX('Compliance Database'!$G$2:$G$1960,MATCH(1286,'Transfer Engine'!$C$2:$C$1960,0)))</f>
        <v/>
      </c>
      <c r="H1295" s="9">
        <f>IF(ISNA(MATCH(1286,'Transfer Engine'!$C$2:$C$1960,0)),"",INDEX('Compliance Database'!$H$2:$H$1960,MATCH(1286,'Transfer Engine'!$C$2:$C$1960,0)))</f>
        <v/>
      </c>
      <c r="I1295" s="9">
        <f>IF(ISNA(MATCH(1286,'Transfer Engine'!$C$2:$C$1960,0)),"",INDEX('Compliance Database'!$I$2:$I$1960,MATCH(1286,'Transfer Engine'!$C$2:$C$1960,0)))</f>
        <v/>
      </c>
      <c r="J1295" s="8">
        <f>IF(ISNA(MATCH(1286,'Transfer Engine'!$C$2:$C$1960,0)),"",INDEX('Compliance Database'!$J$2:$J$1960,MATCH(1286,'Transfer Engine'!$C$2:$C$1960,0)))</f>
        <v/>
      </c>
      <c r="K1295" s="9">
        <f>IF(ISNA(MATCH(1286,'Transfer Engine'!$C$2:$C$1960,0)),"",INDEX('Compliance Database'!$K$2:$K$1960,MATCH(1286,'Transfer Engine'!$C$2:$C$1960,0)))</f>
        <v/>
      </c>
      <c r="L1295" s="9">
        <f>IF(ISNA(MATCH(1286,'Transfer Engine'!$C$2:$C$1960,0)),"",INDEX('Compliance Database'!$L$2:$L$1960,MATCH(1286,'Transfer Engine'!$C$2:$C$1960,0)))</f>
        <v/>
      </c>
      <c r="M1295" s="9">
        <f>IF(ISNA(MATCH(1286,'Transfer Engine'!$C$2:$C$1960,0)),"",INDEX('Compliance Database'!$M$2:$M$1960,MATCH(1286,'Transfer Engine'!$C$2:$C$1960,0)))</f>
        <v/>
      </c>
      <c r="N1295" s="9">
        <f>IF(ISNA(MATCH(1286,'Transfer Engine'!$C$2:$C$1960,0)),"",INDEX('Compliance Database'!$N$2:$N$1960,MATCH(1286,'Transfer Engine'!$C$2:$C$1960,0)))</f>
        <v/>
      </c>
      <c r="O1295" s="9">
        <f>IF(ISNA(MATCH(1286,'Transfer Engine'!$C$2:$C$1960,0)),"",INDEX('Compliance Database'!$O$2:$O$1960,MATCH(1286,'Transfer Engine'!$C$2:$C$1960,0)))</f>
        <v/>
      </c>
      <c r="P1295" s="8">
        <f>IF(ISNA(MATCH(1286,'Transfer Engine'!$C$2:$C$1960,0)),"",HYPERLINK("#Acts!A"&amp;INDEX('Compliance Database'!$P$2:$P$1960,MATCH(1286,'Transfer Engine'!$C$2:$C$1960,0)),"Go to Act"))</f>
        <v/>
      </c>
    </row>
    <row r="1296" ht="158" customHeight="1">
      <c r="A1296" s="8">
        <f>IF(ISNA(MATCH(1287,'Transfer Engine'!$C$2:$C$1960,0)),"",INDEX('Compliance Database'!$A$2:$A$1960,MATCH(1287,'Transfer Engine'!$C$2:$C$1960,0)))</f>
        <v/>
      </c>
      <c r="B1296" s="8">
        <f>IF(ISNA(MATCH(1287,'Transfer Engine'!$C$2:$C$1960,0)),"",INDEX('Compliance Database'!$B$2:$B$1960,MATCH(1287,'Transfer Engine'!$C$2:$C$1960,0)))</f>
        <v/>
      </c>
      <c r="C1296" s="8">
        <f>IF(ISNA(MATCH(1287,'Transfer Engine'!$C$2:$C$1960,0)),"",INDEX('Compliance Database'!$C$2:$C$1960,MATCH(1287,'Transfer Engine'!$C$2:$C$1960,0)))</f>
        <v/>
      </c>
      <c r="D1296" s="9">
        <f>IF(ISNA(MATCH(1287,'Transfer Engine'!$C$2:$C$1960,0)),"",INDEX('Compliance Database'!$D$2:$D$1960,MATCH(1287,'Transfer Engine'!$C$2:$C$1960,0)))</f>
        <v/>
      </c>
      <c r="E1296" s="8">
        <f>IF(ISNA(MATCH(1287,'Transfer Engine'!$C$2:$C$1960,0)),"",INDEX('Compliance Database'!$E$2:$E$1960,MATCH(1287,'Transfer Engine'!$C$2:$C$1960,0)))</f>
        <v/>
      </c>
      <c r="F1296" s="8">
        <f>IF(ISNA(MATCH(1287,'Transfer Engine'!$C$2:$C$1960,0)),"",INDEX('Compliance Database'!$F$2:$F$1960,MATCH(1287,'Transfer Engine'!$C$2:$C$1960,0)))</f>
        <v/>
      </c>
      <c r="G1296" s="8">
        <f>IF(ISNA(MATCH(1287,'Transfer Engine'!$C$2:$C$1960,0)),"",INDEX('Compliance Database'!$G$2:$G$1960,MATCH(1287,'Transfer Engine'!$C$2:$C$1960,0)))</f>
        <v/>
      </c>
      <c r="H1296" s="9">
        <f>IF(ISNA(MATCH(1287,'Transfer Engine'!$C$2:$C$1960,0)),"",INDEX('Compliance Database'!$H$2:$H$1960,MATCH(1287,'Transfer Engine'!$C$2:$C$1960,0)))</f>
        <v/>
      </c>
      <c r="I1296" s="9">
        <f>IF(ISNA(MATCH(1287,'Transfer Engine'!$C$2:$C$1960,0)),"",INDEX('Compliance Database'!$I$2:$I$1960,MATCH(1287,'Transfer Engine'!$C$2:$C$1960,0)))</f>
        <v/>
      </c>
      <c r="J1296" s="8">
        <f>IF(ISNA(MATCH(1287,'Transfer Engine'!$C$2:$C$1960,0)),"",INDEX('Compliance Database'!$J$2:$J$1960,MATCH(1287,'Transfer Engine'!$C$2:$C$1960,0)))</f>
        <v/>
      </c>
      <c r="K1296" s="9">
        <f>IF(ISNA(MATCH(1287,'Transfer Engine'!$C$2:$C$1960,0)),"",INDEX('Compliance Database'!$K$2:$K$1960,MATCH(1287,'Transfer Engine'!$C$2:$C$1960,0)))</f>
        <v/>
      </c>
      <c r="L1296" s="9">
        <f>IF(ISNA(MATCH(1287,'Transfer Engine'!$C$2:$C$1960,0)),"",INDEX('Compliance Database'!$L$2:$L$1960,MATCH(1287,'Transfer Engine'!$C$2:$C$1960,0)))</f>
        <v/>
      </c>
      <c r="M1296" s="9">
        <f>IF(ISNA(MATCH(1287,'Transfer Engine'!$C$2:$C$1960,0)),"",INDEX('Compliance Database'!$M$2:$M$1960,MATCH(1287,'Transfer Engine'!$C$2:$C$1960,0)))</f>
        <v/>
      </c>
      <c r="N1296" s="9">
        <f>IF(ISNA(MATCH(1287,'Transfer Engine'!$C$2:$C$1960,0)),"",INDEX('Compliance Database'!$N$2:$N$1960,MATCH(1287,'Transfer Engine'!$C$2:$C$1960,0)))</f>
        <v/>
      </c>
      <c r="O1296" s="9">
        <f>IF(ISNA(MATCH(1287,'Transfer Engine'!$C$2:$C$1960,0)),"",INDEX('Compliance Database'!$O$2:$O$1960,MATCH(1287,'Transfer Engine'!$C$2:$C$1960,0)))</f>
        <v/>
      </c>
      <c r="P1296" s="8">
        <f>IF(ISNA(MATCH(1287,'Transfer Engine'!$C$2:$C$1960,0)),"",HYPERLINK("#Acts!A"&amp;INDEX('Compliance Database'!$P$2:$P$1960,MATCH(1287,'Transfer Engine'!$C$2:$C$1960,0)),"Go to Act"))</f>
        <v/>
      </c>
    </row>
    <row r="1297" ht="158" customHeight="1">
      <c r="A1297" s="8">
        <f>IF(ISNA(MATCH(1288,'Transfer Engine'!$C$2:$C$1960,0)),"",INDEX('Compliance Database'!$A$2:$A$1960,MATCH(1288,'Transfer Engine'!$C$2:$C$1960,0)))</f>
        <v/>
      </c>
      <c r="B1297" s="8">
        <f>IF(ISNA(MATCH(1288,'Transfer Engine'!$C$2:$C$1960,0)),"",INDEX('Compliance Database'!$B$2:$B$1960,MATCH(1288,'Transfer Engine'!$C$2:$C$1960,0)))</f>
        <v/>
      </c>
      <c r="C1297" s="8">
        <f>IF(ISNA(MATCH(1288,'Transfer Engine'!$C$2:$C$1960,0)),"",INDEX('Compliance Database'!$C$2:$C$1960,MATCH(1288,'Transfer Engine'!$C$2:$C$1960,0)))</f>
        <v/>
      </c>
      <c r="D1297" s="9">
        <f>IF(ISNA(MATCH(1288,'Transfer Engine'!$C$2:$C$1960,0)),"",INDEX('Compliance Database'!$D$2:$D$1960,MATCH(1288,'Transfer Engine'!$C$2:$C$1960,0)))</f>
        <v/>
      </c>
      <c r="E1297" s="8">
        <f>IF(ISNA(MATCH(1288,'Transfer Engine'!$C$2:$C$1960,0)),"",INDEX('Compliance Database'!$E$2:$E$1960,MATCH(1288,'Transfer Engine'!$C$2:$C$1960,0)))</f>
        <v/>
      </c>
      <c r="F1297" s="8">
        <f>IF(ISNA(MATCH(1288,'Transfer Engine'!$C$2:$C$1960,0)),"",INDEX('Compliance Database'!$F$2:$F$1960,MATCH(1288,'Transfer Engine'!$C$2:$C$1960,0)))</f>
        <v/>
      </c>
      <c r="G1297" s="8">
        <f>IF(ISNA(MATCH(1288,'Transfer Engine'!$C$2:$C$1960,0)),"",INDEX('Compliance Database'!$G$2:$G$1960,MATCH(1288,'Transfer Engine'!$C$2:$C$1960,0)))</f>
        <v/>
      </c>
      <c r="H1297" s="9">
        <f>IF(ISNA(MATCH(1288,'Transfer Engine'!$C$2:$C$1960,0)),"",INDEX('Compliance Database'!$H$2:$H$1960,MATCH(1288,'Transfer Engine'!$C$2:$C$1960,0)))</f>
        <v/>
      </c>
      <c r="I1297" s="9">
        <f>IF(ISNA(MATCH(1288,'Transfer Engine'!$C$2:$C$1960,0)),"",INDEX('Compliance Database'!$I$2:$I$1960,MATCH(1288,'Transfer Engine'!$C$2:$C$1960,0)))</f>
        <v/>
      </c>
      <c r="J1297" s="8">
        <f>IF(ISNA(MATCH(1288,'Transfer Engine'!$C$2:$C$1960,0)),"",INDEX('Compliance Database'!$J$2:$J$1960,MATCH(1288,'Transfer Engine'!$C$2:$C$1960,0)))</f>
        <v/>
      </c>
      <c r="K1297" s="9">
        <f>IF(ISNA(MATCH(1288,'Transfer Engine'!$C$2:$C$1960,0)),"",INDEX('Compliance Database'!$K$2:$K$1960,MATCH(1288,'Transfer Engine'!$C$2:$C$1960,0)))</f>
        <v/>
      </c>
      <c r="L1297" s="9">
        <f>IF(ISNA(MATCH(1288,'Transfer Engine'!$C$2:$C$1960,0)),"",INDEX('Compliance Database'!$L$2:$L$1960,MATCH(1288,'Transfer Engine'!$C$2:$C$1960,0)))</f>
        <v/>
      </c>
      <c r="M1297" s="9">
        <f>IF(ISNA(MATCH(1288,'Transfer Engine'!$C$2:$C$1960,0)),"",INDEX('Compliance Database'!$M$2:$M$1960,MATCH(1288,'Transfer Engine'!$C$2:$C$1960,0)))</f>
        <v/>
      </c>
      <c r="N1297" s="9">
        <f>IF(ISNA(MATCH(1288,'Transfer Engine'!$C$2:$C$1960,0)),"",INDEX('Compliance Database'!$N$2:$N$1960,MATCH(1288,'Transfer Engine'!$C$2:$C$1960,0)))</f>
        <v/>
      </c>
      <c r="O1297" s="9">
        <f>IF(ISNA(MATCH(1288,'Transfer Engine'!$C$2:$C$1960,0)),"",INDEX('Compliance Database'!$O$2:$O$1960,MATCH(1288,'Transfer Engine'!$C$2:$C$1960,0)))</f>
        <v/>
      </c>
      <c r="P1297" s="8">
        <f>IF(ISNA(MATCH(1288,'Transfer Engine'!$C$2:$C$1960,0)),"",HYPERLINK("#Acts!A"&amp;INDEX('Compliance Database'!$P$2:$P$1960,MATCH(1288,'Transfer Engine'!$C$2:$C$1960,0)),"Go to Act"))</f>
        <v/>
      </c>
    </row>
    <row r="1298" ht="158" customHeight="1">
      <c r="A1298" s="8">
        <f>IF(ISNA(MATCH(1289,'Transfer Engine'!$C$2:$C$1960,0)),"",INDEX('Compliance Database'!$A$2:$A$1960,MATCH(1289,'Transfer Engine'!$C$2:$C$1960,0)))</f>
        <v/>
      </c>
      <c r="B1298" s="8">
        <f>IF(ISNA(MATCH(1289,'Transfer Engine'!$C$2:$C$1960,0)),"",INDEX('Compliance Database'!$B$2:$B$1960,MATCH(1289,'Transfer Engine'!$C$2:$C$1960,0)))</f>
        <v/>
      </c>
      <c r="C1298" s="8">
        <f>IF(ISNA(MATCH(1289,'Transfer Engine'!$C$2:$C$1960,0)),"",INDEX('Compliance Database'!$C$2:$C$1960,MATCH(1289,'Transfer Engine'!$C$2:$C$1960,0)))</f>
        <v/>
      </c>
      <c r="D1298" s="9">
        <f>IF(ISNA(MATCH(1289,'Transfer Engine'!$C$2:$C$1960,0)),"",INDEX('Compliance Database'!$D$2:$D$1960,MATCH(1289,'Transfer Engine'!$C$2:$C$1960,0)))</f>
        <v/>
      </c>
      <c r="E1298" s="8">
        <f>IF(ISNA(MATCH(1289,'Transfer Engine'!$C$2:$C$1960,0)),"",INDEX('Compliance Database'!$E$2:$E$1960,MATCH(1289,'Transfer Engine'!$C$2:$C$1960,0)))</f>
        <v/>
      </c>
      <c r="F1298" s="8">
        <f>IF(ISNA(MATCH(1289,'Transfer Engine'!$C$2:$C$1960,0)),"",INDEX('Compliance Database'!$F$2:$F$1960,MATCH(1289,'Transfer Engine'!$C$2:$C$1960,0)))</f>
        <v/>
      </c>
      <c r="G1298" s="8">
        <f>IF(ISNA(MATCH(1289,'Transfer Engine'!$C$2:$C$1960,0)),"",INDEX('Compliance Database'!$G$2:$G$1960,MATCH(1289,'Transfer Engine'!$C$2:$C$1960,0)))</f>
        <v/>
      </c>
      <c r="H1298" s="9">
        <f>IF(ISNA(MATCH(1289,'Transfer Engine'!$C$2:$C$1960,0)),"",INDEX('Compliance Database'!$H$2:$H$1960,MATCH(1289,'Transfer Engine'!$C$2:$C$1960,0)))</f>
        <v/>
      </c>
      <c r="I1298" s="9">
        <f>IF(ISNA(MATCH(1289,'Transfer Engine'!$C$2:$C$1960,0)),"",INDEX('Compliance Database'!$I$2:$I$1960,MATCH(1289,'Transfer Engine'!$C$2:$C$1960,0)))</f>
        <v/>
      </c>
      <c r="J1298" s="8">
        <f>IF(ISNA(MATCH(1289,'Transfer Engine'!$C$2:$C$1960,0)),"",INDEX('Compliance Database'!$J$2:$J$1960,MATCH(1289,'Transfer Engine'!$C$2:$C$1960,0)))</f>
        <v/>
      </c>
      <c r="K1298" s="9">
        <f>IF(ISNA(MATCH(1289,'Transfer Engine'!$C$2:$C$1960,0)),"",INDEX('Compliance Database'!$K$2:$K$1960,MATCH(1289,'Transfer Engine'!$C$2:$C$1960,0)))</f>
        <v/>
      </c>
      <c r="L1298" s="9">
        <f>IF(ISNA(MATCH(1289,'Transfer Engine'!$C$2:$C$1960,0)),"",INDEX('Compliance Database'!$L$2:$L$1960,MATCH(1289,'Transfer Engine'!$C$2:$C$1960,0)))</f>
        <v/>
      </c>
      <c r="M1298" s="9">
        <f>IF(ISNA(MATCH(1289,'Transfer Engine'!$C$2:$C$1960,0)),"",INDEX('Compliance Database'!$M$2:$M$1960,MATCH(1289,'Transfer Engine'!$C$2:$C$1960,0)))</f>
        <v/>
      </c>
      <c r="N1298" s="9">
        <f>IF(ISNA(MATCH(1289,'Transfer Engine'!$C$2:$C$1960,0)),"",INDEX('Compliance Database'!$N$2:$N$1960,MATCH(1289,'Transfer Engine'!$C$2:$C$1960,0)))</f>
        <v/>
      </c>
      <c r="O1298" s="9">
        <f>IF(ISNA(MATCH(1289,'Transfer Engine'!$C$2:$C$1960,0)),"",INDEX('Compliance Database'!$O$2:$O$1960,MATCH(1289,'Transfer Engine'!$C$2:$C$1960,0)))</f>
        <v/>
      </c>
      <c r="P1298" s="8">
        <f>IF(ISNA(MATCH(1289,'Transfer Engine'!$C$2:$C$1960,0)),"",HYPERLINK("#Acts!A"&amp;INDEX('Compliance Database'!$P$2:$P$1960,MATCH(1289,'Transfer Engine'!$C$2:$C$1960,0)),"Go to Act"))</f>
        <v/>
      </c>
    </row>
    <row r="1299" ht="158" customHeight="1">
      <c r="A1299" s="8">
        <f>IF(ISNA(MATCH(1290,'Transfer Engine'!$C$2:$C$1960,0)),"",INDEX('Compliance Database'!$A$2:$A$1960,MATCH(1290,'Transfer Engine'!$C$2:$C$1960,0)))</f>
        <v/>
      </c>
      <c r="B1299" s="8">
        <f>IF(ISNA(MATCH(1290,'Transfer Engine'!$C$2:$C$1960,0)),"",INDEX('Compliance Database'!$B$2:$B$1960,MATCH(1290,'Transfer Engine'!$C$2:$C$1960,0)))</f>
        <v/>
      </c>
      <c r="C1299" s="8">
        <f>IF(ISNA(MATCH(1290,'Transfer Engine'!$C$2:$C$1960,0)),"",INDEX('Compliance Database'!$C$2:$C$1960,MATCH(1290,'Transfer Engine'!$C$2:$C$1960,0)))</f>
        <v/>
      </c>
      <c r="D1299" s="9">
        <f>IF(ISNA(MATCH(1290,'Transfer Engine'!$C$2:$C$1960,0)),"",INDEX('Compliance Database'!$D$2:$D$1960,MATCH(1290,'Transfer Engine'!$C$2:$C$1960,0)))</f>
        <v/>
      </c>
      <c r="E1299" s="8">
        <f>IF(ISNA(MATCH(1290,'Transfer Engine'!$C$2:$C$1960,0)),"",INDEX('Compliance Database'!$E$2:$E$1960,MATCH(1290,'Transfer Engine'!$C$2:$C$1960,0)))</f>
        <v/>
      </c>
      <c r="F1299" s="8">
        <f>IF(ISNA(MATCH(1290,'Transfer Engine'!$C$2:$C$1960,0)),"",INDEX('Compliance Database'!$F$2:$F$1960,MATCH(1290,'Transfer Engine'!$C$2:$C$1960,0)))</f>
        <v/>
      </c>
      <c r="G1299" s="8">
        <f>IF(ISNA(MATCH(1290,'Transfer Engine'!$C$2:$C$1960,0)),"",INDEX('Compliance Database'!$G$2:$G$1960,MATCH(1290,'Transfer Engine'!$C$2:$C$1960,0)))</f>
        <v/>
      </c>
      <c r="H1299" s="9">
        <f>IF(ISNA(MATCH(1290,'Transfer Engine'!$C$2:$C$1960,0)),"",INDEX('Compliance Database'!$H$2:$H$1960,MATCH(1290,'Transfer Engine'!$C$2:$C$1960,0)))</f>
        <v/>
      </c>
      <c r="I1299" s="9">
        <f>IF(ISNA(MATCH(1290,'Transfer Engine'!$C$2:$C$1960,0)),"",INDEX('Compliance Database'!$I$2:$I$1960,MATCH(1290,'Transfer Engine'!$C$2:$C$1960,0)))</f>
        <v/>
      </c>
      <c r="J1299" s="8">
        <f>IF(ISNA(MATCH(1290,'Transfer Engine'!$C$2:$C$1960,0)),"",INDEX('Compliance Database'!$J$2:$J$1960,MATCH(1290,'Transfer Engine'!$C$2:$C$1960,0)))</f>
        <v/>
      </c>
      <c r="K1299" s="9">
        <f>IF(ISNA(MATCH(1290,'Transfer Engine'!$C$2:$C$1960,0)),"",INDEX('Compliance Database'!$K$2:$K$1960,MATCH(1290,'Transfer Engine'!$C$2:$C$1960,0)))</f>
        <v/>
      </c>
      <c r="L1299" s="9">
        <f>IF(ISNA(MATCH(1290,'Transfer Engine'!$C$2:$C$1960,0)),"",INDEX('Compliance Database'!$L$2:$L$1960,MATCH(1290,'Transfer Engine'!$C$2:$C$1960,0)))</f>
        <v/>
      </c>
      <c r="M1299" s="9">
        <f>IF(ISNA(MATCH(1290,'Transfer Engine'!$C$2:$C$1960,0)),"",INDEX('Compliance Database'!$M$2:$M$1960,MATCH(1290,'Transfer Engine'!$C$2:$C$1960,0)))</f>
        <v/>
      </c>
      <c r="N1299" s="9">
        <f>IF(ISNA(MATCH(1290,'Transfer Engine'!$C$2:$C$1960,0)),"",INDEX('Compliance Database'!$N$2:$N$1960,MATCH(1290,'Transfer Engine'!$C$2:$C$1960,0)))</f>
        <v/>
      </c>
      <c r="O1299" s="9">
        <f>IF(ISNA(MATCH(1290,'Transfer Engine'!$C$2:$C$1960,0)),"",INDEX('Compliance Database'!$O$2:$O$1960,MATCH(1290,'Transfer Engine'!$C$2:$C$1960,0)))</f>
        <v/>
      </c>
      <c r="P1299" s="8">
        <f>IF(ISNA(MATCH(1290,'Transfer Engine'!$C$2:$C$1960,0)),"",HYPERLINK("#Acts!A"&amp;INDEX('Compliance Database'!$P$2:$P$1960,MATCH(1290,'Transfer Engine'!$C$2:$C$1960,0)),"Go to Act"))</f>
        <v/>
      </c>
    </row>
    <row r="1300" ht="158" customHeight="1">
      <c r="A1300" s="8">
        <f>IF(ISNA(MATCH(1291,'Transfer Engine'!$C$2:$C$1960,0)),"",INDEX('Compliance Database'!$A$2:$A$1960,MATCH(1291,'Transfer Engine'!$C$2:$C$1960,0)))</f>
        <v/>
      </c>
      <c r="B1300" s="8">
        <f>IF(ISNA(MATCH(1291,'Transfer Engine'!$C$2:$C$1960,0)),"",INDEX('Compliance Database'!$B$2:$B$1960,MATCH(1291,'Transfer Engine'!$C$2:$C$1960,0)))</f>
        <v/>
      </c>
      <c r="C1300" s="8">
        <f>IF(ISNA(MATCH(1291,'Transfer Engine'!$C$2:$C$1960,0)),"",INDEX('Compliance Database'!$C$2:$C$1960,MATCH(1291,'Transfer Engine'!$C$2:$C$1960,0)))</f>
        <v/>
      </c>
      <c r="D1300" s="9">
        <f>IF(ISNA(MATCH(1291,'Transfer Engine'!$C$2:$C$1960,0)),"",INDEX('Compliance Database'!$D$2:$D$1960,MATCH(1291,'Transfer Engine'!$C$2:$C$1960,0)))</f>
        <v/>
      </c>
      <c r="E1300" s="8">
        <f>IF(ISNA(MATCH(1291,'Transfer Engine'!$C$2:$C$1960,0)),"",INDEX('Compliance Database'!$E$2:$E$1960,MATCH(1291,'Transfer Engine'!$C$2:$C$1960,0)))</f>
        <v/>
      </c>
      <c r="F1300" s="8">
        <f>IF(ISNA(MATCH(1291,'Transfer Engine'!$C$2:$C$1960,0)),"",INDEX('Compliance Database'!$F$2:$F$1960,MATCH(1291,'Transfer Engine'!$C$2:$C$1960,0)))</f>
        <v/>
      </c>
      <c r="G1300" s="8">
        <f>IF(ISNA(MATCH(1291,'Transfer Engine'!$C$2:$C$1960,0)),"",INDEX('Compliance Database'!$G$2:$G$1960,MATCH(1291,'Transfer Engine'!$C$2:$C$1960,0)))</f>
        <v/>
      </c>
      <c r="H1300" s="9">
        <f>IF(ISNA(MATCH(1291,'Transfer Engine'!$C$2:$C$1960,0)),"",INDEX('Compliance Database'!$H$2:$H$1960,MATCH(1291,'Transfer Engine'!$C$2:$C$1960,0)))</f>
        <v/>
      </c>
      <c r="I1300" s="9">
        <f>IF(ISNA(MATCH(1291,'Transfer Engine'!$C$2:$C$1960,0)),"",INDEX('Compliance Database'!$I$2:$I$1960,MATCH(1291,'Transfer Engine'!$C$2:$C$1960,0)))</f>
        <v/>
      </c>
      <c r="J1300" s="8">
        <f>IF(ISNA(MATCH(1291,'Transfer Engine'!$C$2:$C$1960,0)),"",INDEX('Compliance Database'!$J$2:$J$1960,MATCH(1291,'Transfer Engine'!$C$2:$C$1960,0)))</f>
        <v/>
      </c>
      <c r="K1300" s="9">
        <f>IF(ISNA(MATCH(1291,'Transfer Engine'!$C$2:$C$1960,0)),"",INDEX('Compliance Database'!$K$2:$K$1960,MATCH(1291,'Transfer Engine'!$C$2:$C$1960,0)))</f>
        <v/>
      </c>
      <c r="L1300" s="9">
        <f>IF(ISNA(MATCH(1291,'Transfer Engine'!$C$2:$C$1960,0)),"",INDEX('Compliance Database'!$L$2:$L$1960,MATCH(1291,'Transfer Engine'!$C$2:$C$1960,0)))</f>
        <v/>
      </c>
      <c r="M1300" s="9">
        <f>IF(ISNA(MATCH(1291,'Transfer Engine'!$C$2:$C$1960,0)),"",INDEX('Compliance Database'!$M$2:$M$1960,MATCH(1291,'Transfer Engine'!$C$2:$C$1960,0)))</f>
        <v/>
      </c>
      <c r="N1300" s="9">
        <f>IF(ISNA(MATCH(1291,'Transfer Engine'!$C$2:$C$1960,0)),"",INDEX('Compliance Database'!$N$2:$N$1960,MATCH(1291,'Transfer Engine'!$C$2:$C$1960,0)))</f>
        <v/>
      </c>
      <c r="O1300" s="9">
        <f>IF(ISNA(MATCH(1291,'Transfer Engine'!$C$2:$C$1960,0)),"",INDEX('Compliance Database'!$O$2:$O$1960,MATCH(1291,'Transfer Engine'!$C$2:$C$1960,0)))</f>
        <v/>
      </c>
      <c r="P1300" s="8">
        <f>IF(ISNA(MATCH(1291,'Transfer Engine'!$C$2:$C$1960,0)),"",HYPERLINK("#Acts!A"&amp;INDEX('Compliance Database'!$P$2:$P$1960,MATCH(1291,'Transfer Engine'!$C$2:$C$1960,0)),"Go to Act"))</f>
        <v/>
      </c>
    </row>
    <row r="1301" ht="158" customHeight="1">
      <c r="A1301" s="8">
        <f>IF(ISNA(MATCH(1292,'Transfer Engine'!$C$2:$C$1960,0)),"",INDEX('Compliance Database'!$A$2:$A$1960,MATCH(1292,'Transfer Engine'!$C$2:$C$1960,0)))</f>
        <v/>
      </c>
      <c r="B1301" s="8">
        <f>IF(ISNA(MATCH(1292,'Transfer Engine'!$C$2:$C$1960,0)),"",INDEX('Compliance Database'!$B$2:$B$1960,MATCH(1292,'Transfer Engine'!$C$2:$C$1960,0)))</f>
        <v/>
      </c>
      <c r="C1301" s="8">
        <f>IF(ISNA(MATCH(1292,'Transfer Engine'!$C$2:$C$1960,0)),"",INDEX('Compliance Database'!$C$2:$C$1960,MATCH(1292,'Transfer Engine'!$C$2:$C$1960,0)))</f>
        <v/>
      </c>
      <c r="D1301" s="9">
        <f>IF(ISNA(MATCH(1292,'Transfer Engine'!$C$2:$C$1960,0)),"",INDEX('Compliance Database'!$D$2:$D$1960,MATCH(1292,'Transfer Engine'!$C$2:$C$1960,0)))</f>
        <v/>
      </c>
      <c r="E1301" s="8">
        <f>IF(ISNA(MATCH(1292,'Transfer Engine'!$C$2:$C$1960,0)),"",INDEX('Compliance Database'!$E$2:$E$1960,MATCH(1292,'Transfer Engine'!$C$2:$C$1960,0)))</f>
        <v/>
      </c>
      <c r="F1301" s="8">
        <f>IF(ISNA(MATCH(1292,'Transfer Engine'!$C$2:$C$1960,0)),"",INDEX('Compliance Database'!$F$2:$F$1960,MATCH(1292,'Transfer Engine'!$C$2:$C$1960,0)))</f>
        <v/>
      </c>
      <c r="G1301" s="8">
        <f>IF(ISNA(MATCH(1292,'Transfer Engine'!$C$2:$C$1960,0)),"",INDEX('Compliance Database'!$G$2:$G$1960,MATCH(1292,'Transfer Engine'!$C$2:$C$1960,0)))</f>
        <v/>
      </c>
      <c r="H1301" s="9">
        <f>IF(ISNA(MATCH(1292,'Transfer Engine'!$C$2:$C$1960,0)),"",INDEX('Compliance Database'!$H$2:$H$1960,MATCH(1292,'Transfer Engine'!$C$2:$C$1960,0)))</f>
        <v/>
      </c>
      <c r="I1301" s="9">
        <f>IF(ISNA(MATCH(1292,'Transfer Engine'!$C$2:$C$1960,0)),"",INDEX('Compliance Database'!$I$2:$I$1960,MATCH(1292,'Transfer Engine'!$C$2:$C$1960,0)))</f>
        <v/>
      </c>
      <c r="J1301" s="8">
        <f>IF(ISNA(MATCH(1292,'Transfer Engine'!$C$2:$C$1960,0)),"",INDEX('Compliance Database'!$J$2:$J$1960,MATCH(1292,'Transfer Engine'!$C$2:$C$1960,0)))</f>
        <v/>
      </c>
      <c r="K1301" s="9">
        <f>IF(ISNA(MATCH(1292,'Transfer Engine'!$C$2:$C$1960,0)),"",INDEX('Compliance Database'!$K$2:$K$1960,MATCH(1292,'Transfer Engine'!$C$2:$C$1960,0)))</f>
        <v/>
      </c>
      <c r="L1301" s="9">
        <f>IF(ISNA(MATCH(1292,'Transfer Engine'!$C$2:$C$1960,0)),"",INDEX('Compliance Database'!$L$2:$L$1960,MATCH(1292,'Transfer Engine'!$C$2:$C$1960,0)))</f>
        <v/>
      </c>
      <c r="M1301" s="9">
        <f>IF(ISNA(MATCH(1292,'Transfer Engine'!$C$2:$C$1960,0)),"",INDEX('Compliance Database'!$M$2:$M$1960,MATCH(1292,'Transfer Engine'!$C$2:$C$1960,0)))</f>
        <v/>
      </c>
      <c r="N1301" s="9">
        <f>IF(ISNA(MATCH(1292,'Transfer Engine'!$C$2:$C$1960,0)),"",INDEX('Compliance Database'!$N$2:$N$1960,MATCH(1292,'Transfer Engine'!$C$2:$C$1960,0)))</f>
        <v/>
      </c>
      <c r="O1301" s="9">
        <f>IF(ISNA(MATCH(1292,'Transfer Engine'!$C$2:$C$1960,0)),"",INDEX('Compliance Database'!$O$2:$O$1960,MATCH(1292,'Transfer Engine'!$C$2:$C$1960,0)))</f>
        <v/>
      </c>
      <c r="P1301" s="8">
        <f>IF(ISNA(MATCH(1292,'Transfer Engine'!$C$2:$C$1960,0)),"",HYPERLINK("#Acts!A"&amp;INDEX('Compliance Database'!$P$2:$P$1960,MATCH(1292,'Transfer Engine'!$C$2:$C$1960,0)),"Go to Act"))</f>
        <v/>
      </c>
    </row>
    <row r="1302" ht="158" customHeight="1">
      <c r="A1302" s="8">
        <f>IF(ISNA(MATCH(1293,'Transfer Engine'!$C$2:$C$1960,0)),"",INDEX('Compliance Database'!$A$2:$A$1960,MATCH(1293,'Transfer Engine'!$C$2:$C$1960,0)))</f>
        <v/>
      </c>
      <c r="B1302" s="8">
        <f>IF(ISNA(MATCH(1293,'Transfer Engine'!$C$2:$C$1960,0)),"",INDEX('Compliance Database'!$B$2:$B$1960,MATCH(1293,'Transfer Engine'!$C$2:$C$1960,0)))</f>
        <v/>
      </c>
      <c r="C1302" s="8">
        <f>IF(ISNA(MATCH(1293,'Transfer Engine'!$C$2:$C$1960,0)),"",INDEX('Compliance Database'!$C$2:$C$1960,MATCH(1293,'Transfer Engine'!$C$2:$C$1960,0)))</f>
        <v/>
      </c>
      <c r="D1302" s="9">
        <f>IF(ISNA(MATCH(1293,'Transfer Engine'!$C$2:$C$1960,0)),"",INDEX('Compliance Database'!$D$2:$D$1960,MATCH(1293,'Transfer Engine'!$C$2:$C$1960,0)))</f>
        <v/>
      </c>
      <c r="E1302" s="8">
        <f>IF(ISNA(MATCH(1293,'Transfer Engine'!$C$2:$C$1960,0)),"",INDEX('Compliance Database'!$E$2:$E$1960,MATCH(1293,'Transfer Engine'!$C$2:$C$1960,0)))</f>
        <v/>
      </c>
      <c r="F1302" s="8">
        <f>IF(ISNA(MATCH(1293,'Transfer Engine'!$C$2:$C$1960,0)),"",INDEX('Compliance Database'!$F$2:$F$1960,MATCH(1293,'Transfer Engine'!$C$2:$C$1960,0)))</f>
        <v/>
      </c>
      <c r="G1302" s="8">
        <f>IF(ISNA(MATCH(1293,'Transfer Engine'!$C$2:$C$1960,0)),"",INDEX('Compliance Database'!$G$2:$G$1960,MATCH(1293,'Transfer Engine'!$C$2:$C$1960,0)))</f>
        <v/>
      </c>
      <c r="H1302" s="9">
        <f>IF(ISNA(MATCH(1293,'Transfer Engine'!$C$2:$C$1960,0)),"",INDEX('Compliance Database'!$H$2:$H$1960,MATCH(1293,'Transfer Engine'!$C$2:$C$1960,0)))</f>
        <v/>
      </c>
      <c r="I1302" s="9">
        <f>IF(ISNA(MATCH(1293,'Transfer Engine'!$C$2:$C$1960,0)),"",INDEX('Compliance Database'!$I$2:$I$1960,MATCH(1293,'Transfer Engine'!$C$2:$C$1960,0)))</f>
        <v/>
      </c>
      <c r="J1302" s="8">
        <f>IF(ISNA(MATCH(1293,'Transfer Engine'!$C$2:$C$1960,0)),"",INDEX('Compliance Database'!$J$2:$J$1960,MATCH(1293,'Transfer Engine'!$C$2:$C$1960,0)))</f>
        <v/>
      </c>
      <c r="K1302" s="9">
        <f>IF(ISNA(MATCH(1293,'Transfer Engine'!$C$2:$C$1960,0)),"",INDEX('Compliance Database'!$K$2:$K$1960,MATCH(1293,'Transfer Engine'!$C$2:$C$1960,0)))</f>
        <v/>
      </c>
      <c r="L1302" s="9">
        <f>IF(ISNA(MATCH(1293,'Transfer Engine'!$C$2:$C$1960,0)),"",INDEX('Compliance Database'!$L$2:$L$1960,MATCH(1293,'Transfer Engine'!$C$2:$C$1960,0)))</f>
        <v/>
      </c>
      <c r="M1302" s="9">
        <f>IF(ISNA(MATCH(1293,'Transfer Engine'!$C$2:$C$1960,0)),"",INDEX('Compliance Database'!$M$2:$M$1960,MATCH(1293,'Transfer Engine'!$C$2:$C$1960,0)))</f>
        <v/>
      </c>
      <c r="N1302" s="9">
        <f>IF(ISNA(MATCH(1293,'Transfer Engine'!$C$2:$C$1960,0)),"",INDEX('Compliance Database'!$N$2:$N$1960,MATCH(1293,'Transfer Engine'!$C$2:$C$1960,0)))</f>
        <v/>
      </c>
      <c r="O1302" s="9">
        <f>IF(ISNA(MATCH(1293,'Transfer Engine'!$C$2:$C$1960,0)),"",INDEX('Compliance Database'!$O$2:$O$1960,MATCH(1293,'Transfer Engine'!$C$2:$C$1960,0)))</f>
        <v/>
      </c>
      <c r="P1302" s="8">
        <f>IF(ISNA(MATCH(1293,'Transfer Engine'!$C$2:$C$1960,0)),"",HYPERLINK("#Acts!A"&amp;INDEX('Compliance Database'!$P$2:$P$1960,MATCH(1293,'Transfer Engine'!$C$2:$C$1960,0)),"Go to Act"))</f>
        <v/>
      </c>
    </row>
    <row r="1303" ht="158" customHeight="1">
      <c r="A1303" s="8">
        <f>IF(ISNA(MATCH(1294,'Transfer Engine'!$C$2:$C$1960,0)),"",INDEX('Compliance Database'!$A$2:$A$1960,MATCH(1294,'Transfer Engine'!$C$2:$C$1960,0)))</f>
        <v/>
      </c>
      <c r="B1303" s="8">
        <f>IF(ISNA(MATCH(1294,'Transfer Engine'!$C$2:$C$1960,0)),"",INDEX('Compliance Database'!$B$2:$B$1960,MATCH(1294,'Transfer Engine'!$C$2:$C$1960,0)))</f>
        <v/>
      </c>
      <c r="C1303" s="8">
        <f>IF(ISNA(MATCH(1294,'Transfer Engine'!$C$2:$C$1960,0)),"",INDEX('Compliance Database'!$C$2:$C$1960,MATCH(1294,'Transfer Engine'!$C$2:$C$1960,0)))</f>
        <v/>
      </c>
      <c r="D1303" s="9">
        <f>IF(ISNA(MATCH(1294,'Transfer Engine'!$C$2:$C$1960,0)),"",INDEX('Compliance Database'!$D$2:$D$1960,MATCH(1294,'Transfer Engine'!$C$2:$C$1960,0)))</f>
        <v/>
      </c>
      <c r="E1303" s="8">
        <f>IF(ISNA(MATCH(1294,'Transfer Engine'!$C$2:$C$1960,0)),"",INDEX('Compliance Database'!$E$2:$E$1960,MATCH(1294,'Transfer Engine'!$C$2:$C$1960,0)))</f>
        <v/>
      </c>
      <c r="F1303" s="8">
        <f>IF(ISNA(MATCH(1294,'Transfer Engine'!$C$2:$C$1960,0)),"",INDEX('Compliance Database'!$F$2:$F$1960,MATCH(1294,'Transfer Engine'!$C$2:$C$1960,0)))</f>
        <v/>
      </c>
      <c r="G1303" s="8">
        <f>IF(ISNA(MATCH(1294,'Transfer Engine'!$C$2:$C$1960,0)),"",INDEX('Compliance Database'!$G$2:$G$1960,MATCH(1294,'Transfer Engine'!$C$2:$C$1960,0)))</f>
        <v/>
      </c>
      <c r="H1303" s="9">
        <f>IF(ISNA(MATCH(1294,'Transfer Engine'!$C$2:$C$1960,0)),"",INDEX('Compliance Database'!$H$2:$H$1960,MATCH(1294,'Transfer Engine'!$C$2:$C$1960,0)))</f>
        <v/>
      </c>
      <c r="I1303" s="9">
        <f>IF(ISNA(MATCH(1294,'Transfer Engine'!$C$2:$C$1960,0)),"",INDEX('Compliance Database'!$I$2:$I$1960,MATCH(1294,'Transfer Engine'!$C$2:$C$1960,0)))</f>
        <v/>
      </c>
      <c r="J1303" s="8">
        <f>IF(ISNA(MATCH(1294,'Transfer Engine'!$C$2:$C$1960,0)),"",INDEX('Compliance Database'!$J$2:$J$1960,MATCH(1294,'Transfer Engine'!$C$2:$C$1960,0)))</f>
        <v/>
      </c>
      <c r="K1303" s="9">
        <f>IF(ISNA(MATCH(1294,'Transfer Engine'!$C$2:$C$1960,0)),"",INDEX('Compliance Database'!$K$2:$K$1960,MATCH(1294,'Transfer Engine'!$C$2:$C$1960,0)))</f>
        <v/>
      </c>
      <c r="L1303" s="9">
        <f>IF(ISNA(MATCH(1294,'Transfer Engine'!$C$2:$C$1960,0)),"",INDEX('Compliance Database'!$L$2:$L$1960,MATCH(1294,'Transfer Engine'!$C$2:$C$1960,0)))</f>
        <v/>
      </c>
      <c r="M1303" s="9">
        <f>IF(ISNA(MATCH(1294,'Transfer Engine'!$C$2:$C$1960,0)),"",INDEX('Compliance Database'!$M$2:$M$1960,MATCH(1294,'Transfer Engine'!$C$2:$C$1960,0)))</f>
        <v/>
      </c>
      <c r="N1303" s="9">
        <f>IF(ISNA(MATCH(1294,'Transfer Engine'!$C$2:$C$1960,0)),"",INDEX('Compliance Database'!$N$2:$N$1960,MATCH(1294,'Transfer Engine'!$C$2:$C$1960,0)))</f>
        <v/>
      </c>
      <c r="O1303" s="9">
        <f>IF(ISNA(MATCH(1294,'Transfer Engine'!$C$2:$C$1960,0)),"",INDEX('Compliance Database'!$O$2:$O$1960,MATCH(1294,'Transfer Engine'!$C$2:$C$1960,0)))</f>
        <v/>
      </c>
      <c r="P1303" s="8">
        <f>IF(ISNA(MATCH(1294,'Transfer Engine'!$C$2:$C$1960,0)),"",HYPERLINK("#Acts!A"&amp;INDEX('Compliance Database'!$P$2:$P$1960,MATCH(1294,'Transfer Engine'!$C$2:$C$1960,0)),"Go to Act"))</f>
        <v/>
      </c>
    </row>
    <row r="1304" ht="158" customHeight="1">
      <c r="A1304" s="8">
        <f>IF(ISNA(MATCH(1295,'Transfer Engine'!$C$2:$C$1960,0)),"",INDEX('Compliance Database'!$A$2:$A$1960,MATCH(1295,'Transfer Engine'!$C$2:$C$1960,0)))</f>
        <v/>
      </c>
      <c r="B1304" s="8">
        <f>IF(ISNA(MATCH(1295,'Transfer Engine'!$C$2:$C$1960,0)),"",INDEX('Compliance Database'!$B$2:$B$1960,MATCH(1295,'Transfer Engine'!$C$2:$C$1960,0)))</f>
        <v/>
      </c>
      <c r="C1304" s="8">
        <f>IF(ISNA(MATCH(1295,'Transfer Engine'!$C$2:$C$1960,0)),"",INDEX('Compliance Database'!$C$2:$C$1960,MATCH(1295,'Transfer Engine'!$C$2:$C$1960,0)))</f>
        <v/>
      </c>
      <c r="D1304" s="9">
        <f>IF(ISNA(MATCH(1295,'Transfer Engine'!$C$2:$C$1960,0)),"",INDEX('Compliance Database'!$D$2:$D$1960,MATCH(1295,'Transfer Engine'!$C$2:$C$1960,0)))</f>
        <v/>
      </c>
      <c r="E1304" s="8">
        <f>IF(ISNA(MATCH(1295,'Transfer Engine'!$C$2:$C$1960,0)),"",INDEX('Compliance Database'!$E$2:$E$1960,MATCH(1295,'Transfer Engine'!$C$2:$C$1960,0)))</f>
        <v/>
      </c>
      <c r="F1304" s="8">
        <f>IF(ISNA(MATCH(1295,'Transfer Engine'!$C$2:$C$1960,0)),"",INDEX('Compliance Database'!$F$2:$F$1960,MATCH(1295,'Transfer Engine'!$C$2:$C$1960,0)))</f>
        <v/>
      </c>
      <c r="G1304" s="8">
        <f>IF(ISNA(MATCH(1295,'Transfer Engine'!$C$2:$C$1960,0)),"",INDEX('Compliance Database'!$G$2:$G$1960,MATCH(1295,'Transfer Engine'!$C$2:$C$1960,0)))</f>
        <v/>
      </c>
      <c r="H1304" s="9">
        <f>IF(ISNA(MATCH(1295,'Transfer Engine'!$C$2:$C$1960,0)),"",INDEX('Compliance Database'!$H$2:$H$1960,MATCH(1295,'Transfer Engine'!$C$2:$C$1960,0)))</f>
        <v/>
      </c>
      <c r="I1304" s="9">
        <f>IF(ISNA(MATCH(1295,'Transfer Engine'!$C$2:$C$1960,0)),"",INDEX('Compliance Database'!$I$2:$I$1960,MATCH(1295,'Transfer Engine'!$C$2:$C$1960,0)))</f>
        <v/>
      </c>
      <c r="J1304" s="8">
        <f>IF(ISNA(MATCH(1295,'Transfer Engine'!$C$2:$C$1960,0)),"",INDEX('Compliance Database'!$J$2:$J$1960,MATCH(1295,'Transfer Engine'!$C$2:$C$1960,0)))</f>
        <v/>
      </c>
      <c r="K1304" s="9">
        <f>IF(ISNA(MATCH(1295,'Transfer Engine'!$C$2:$C$1960,0)),"",INDEX('Compliance Database'!$K$2:$K$1960,MATCH(1295,'Transfer Engine'!$C$2:$C$1960,0)))</f>
        <v/>
      </c>
      <c r="L1304" s="9">
        <f>IF(ISNA(MATCH(1295,'Transfer Engine'!$C$2:$C$1960,0)),"",INDEX('Compliance Database'!$L$2:$L$1960,MATCH(1295,'Transfer Engine'!$C$2:$C$1960,0)))</f>
        <v/>
      </c>
      <c r="M1304" s="9">
        <f>IF(ISNA(MATCH(1295,'Transfer Engine'!$C$2:$C$1960,0)),"",INDEX('Compliance Database'!$M$2:$M$1960,MATCH(1295,'Transfer Engine'!$C$2:$C$1960,0)))</f>
        <v/>
      </c>
      <c r="N1304" s="9">
        <f>IF(ISNA(MATCH(1295,'Transfer Engine'!$C$2:$C$1960,0)),"",INDEX('Compliance Database'!$N$2:$N$1960,MATCH(1295,'Transfer Engine'!$C$2:$C$1960,0)))</f>
        <v/>
      </c>
      <c r="O1304" s="9">
        <f>IF(ISNA(MATCH(1295,'Transfer Engine'!$C$2:$C$1960,0)),"",INDEX('Compliance Database'!$O$2:$O$1960,MATCH(1295,'Transfer Engine'!$C$2:$C$1960,0)))</f>
        <v/>
      </c>
      <c r="P1304" s="8">
        <f>IF(ISNA(MATCH(1295,'Transfer Engine'!$C$2:$C$1960,0)),"",HYPERLINK("#Acts!A"&amp;INDEX('Compliance Database'!$P$2:$P$1960,MATCH(1295,'Transfer Engine'!$C$2:$C$1960,0)),"Go to Act"))</f>
        <v/>
      </c>
    </row>
    <row r="1305" ht="158" customHeight="1">
      <c r="A1305" s="8">
        <f>IF(ISNA(MATCH(1296,'Transfer Engine'!$C$2:$C$1960,0)),"",INDEX('Compliance Database'!$A$2:$A$1960,MATCH(1296,'Transfer Engine'!$C$2:$C$1960,0)))</f>
        <v/>
      </c>
      <c r="B1305" s="8">
        <f>IF(ISNA(MATCH(1296,'Transfer Engine'!$C$2:$C$1960,0)),"",INDEX('Compliance Database'!$B$2:$B$1960,MATCH(1296,'Transfer Engine'!$C$2:$C$1960,0)))</f>
        <v/>
      </c>
      <c r="C1305" s="8">
        <f>IF(ISNA(MATCH(1296,'Transfer Engine'!$C$2:$C$1960,0)),"",INDEX('Compliance Database'!$C$2:$C$1960,MATCH(1296,'Transfer Engine'!$C$2:$C$1960,0)))</f>
        <v/>
      </c>
      <c r="D1305" s="9">
        <f>IF(ISNA(MATCH(1296,'Transfer Engine'!$C$2:$C$1960,0)),"",INDEX('Compliance Database'!$D$2:$D$1960,MATCH(1296,'Transfer Engine'!$C$2:$C$1960,0)))</f>
        <v/>
      </c>
      <c r="E1305" s="8">
        <f>IF(ISNA(MATCH(1296,'Transfer Engine'!$C$2:$C$1960,0)),"",INDEX('Compliance Database'!$E$2:$E$1960,MATCH(1296,'Transfer Engine'!$C$2:$C$1960,0)))</f>
        <v/>
      </c>
      <c r="F1305" s="8">
        <f>IF(ISNA(MATCH(1296,'Transfer Engine'!$C$2:$C$1960,0)),"",INDEX('Compliance Database'!$F$2:$F$1960,MATCH(1296,'Transfer Engine'!$C$2:$C$1960,0)))</f>
        <v/>
      </c>
      <c r="G1305" s="8">
        <f>IF(ISNA(MATCH(1296,'Transfer Engine'!$C$2:$C$1960,0)),"",INDEX('Compliance Database'!$G$2:$G$1960,MATCH(1296,'Transfer Engine'!$C$2:$C$1960,0)))</f>
        <v/>
      </c>
      <c r="H1305" s="9">
        <f>IF(ISNA(MATCH(1296,'Transfer Engine'!$C$2:$C$1960,0)),"",INDEX('Compliance Database'!$H$2:$H$1960,MATCH(1296,'Transfer Engine'!$C$2:$C$1960,0)))</f>
        <v/>
      </c>
      <c r="I1305" s="9">
        <f>IF(ISNA(MATCH(1296,'Transfer Engine'!$C$2:$C$1960,0)),"",INDEX('Compliance Database'!$I$2:$I$1960,MATCH(1296,'Transfer Engine'!$C$2:$C$1960,0)))</f>
        <v/>
      </c>
      <c r="J1305" s="8">
        <f>IF(ISNA(MATCH(1296,'Transfer Engine'!$C$2:$C$1960,0)),"",INDEX('Compliance Database'!$J$2:$J$1960,MATCH(1296,'Transfer Engine'!$C$2:$C$1960,0)))</f>
        <v/>
      </c>
      <c r="K1305" s="9">
        <f>IF(ISNA(MATCH(1296,'Transfer Engine'!$C$2:$C$1960,0)),"",INDEX('Compliance Database'!$K$2:$K$1960,MATCH(1296,'Transfer Engine'!$C$2:$C$1960,0)))</f>
        <v/>
      </c>
      <c r="L1305" s="9">
        <f>IF(ISNA(MATCH(1296,'Transfer Engine'!$C$2:$C$1960,0)),"",INDEX('Compliance Database'!$L$2:$L$1960,MATCH(1296,'Transfer Engine'!$C$2:$C$1960,0)))</f>
        <v/>
      </c>
      <c r="M1305" s="9">
        <f>IF(ISNA(MATCH(1296,'Transfer Engine'!$C$2:$C$1960,0)),"",INDEX('Compliance Database'!$M$2:$M$1960,MATCH(1296,'Transfer Engine'!$C$2:$C$1960,0)))</f>
        <v/>
      </c>
      <c r="N1305" s="9">
        <f>IF(ISNA(MATCH(1296,'Transfer Engine'!$C$2:$C$1960,0)),"",INDEX('Compliance Database'!$N$2:$N$1960,MATCH(1296,'Transfer Engine'!$C$2:$C$1960,0)))</f>
        <v/>
      </c>
      <c r="O1305" s="9">
        <f>IF(ISNA(MATCH(1296,'Transfer Engine'!$C$2:$C$1960,0)),"",INDEX('Compliance Database'!$O$2:$O$1960,MATCH(1296,'Transfer Engine'!$C$2:$C$1960,0)))</f>
        <v/>
      </c>
      <c r="P1305" s="8">
        <f>IF(ISNA(MATCH(1296,'Transfer Engine'!$C$2:$C$1960,0)),"",HYPERLINK("#Acts!A"&amp;INDEX('Compliance Database'!$P$2:$P$1960,MATCH(1296,'Transfer Engine'!$C$2:$C$1960,0)),"Go to Act"))</f>
        <v/>
      </c>
    </row>
    <row r="1306" ht="158" customHeight="1">
      <c r="A1306" s="8">
        <f>IF(ISNA(MATCH(1297,'Transfer Engine'!$C$2:$C$1960,0)),"",INDEX('Compliance Database'!$A$2:$A$1960,MATCH(1297,'Transfer Engine'!$C$2:$C$1960,0)))</f>
        <v/>
      </c>
      <c r="B1306" s="8">
        <f>IF(ISNA(MATCH(1297,'Transfer Engine'!$C$2:$C$1960,0)),"",INDEX('Compliance Database'!$B$2:$B$1960,MATCH(1297,'Transfer Engine'!$C$2:$C$1960,0)))</f>
        <v/>
      </c>
      <c r="C1306" s="8">
        <f>IF(ISNA(MATCH(1297,'Transfer Engine'!$C$2:$C$1960,0)),"",INDEX('Compliance Database'!$C$2:$C$1960,MATCH(1297,'Transfer Engine'!$C$2:$C$1960,0)))</f>
        <v/>
      </c>
      <c r="D1306" s="9">
        <f>IF(ISNA(MATCH(1297,'Transfer Engine'!$C$2:$C$1960,0)),"",INDEX('Compliance Database'!$D$2:$D$1960,MATCH(1297,'Transfer Engine'!$C$2:$C$1960,0)))</f>
        <v/>
      </c>
      <c r="E1306" s="8">
        <f>IF(ISNA(MATCH(1297,'Transfer Engine'!$C$2:$C$1960,0)),"",INDEX('Compliance Database'!$E$2:$E$1960,MATCH(1297,'Transfer Engine'!$C$2:$C$1960,0)))</f>
        <v/>
      </c>
      <c r="F1306" s="8">
        <f>IF(ISNA(MATCH(1297,'Transfer Engine'!$C$2:$C$1960,0)),"",INDEX('Compliance Database'!$F$2:$F$1960,MATCH(1297,'Transfer Engine'!$C$2:$C$1960,0)))</f>
        <v/>
      </c>
      <c r="G1306" s="8">
        <f>IF(ISNA(MATCH(1297,'Transfer Engine'!$C$2:$C$1960,0)),"",INDEX('Compliance Database'!$G$2:$G$1960,MATCH(1297,'Transfer Engine'!$C$2:$C$1960,0)))</f>
        <v/>
      </c>
      <c r="H1306" s="9">
        <f>IF(ISNA(MATCH(1297,'Transfer Engine'!$C$2:$C$1960,0)),"",INDEX('Compliance Database'!$H$2:$H$1960,MATCH(1297,'Transfer Engine'!$C$2:$C$1960,0)))</f>
        <v/>
      </c>
      <c r="I1306" s="9">
        <f>IF(ISNA(MATCH(1297,'Transfer Engine'!$C$2:$C$1960,0)),"",INDEX('Compliance Database'!$I$2:$I$1960,MATCH(1297,'Transfer Engine'!$C$2:$C$1960,0)))</f>
        <v/>
      </c>
      <c r="J1306" s="8">
        <f>IF(ISNA(MATCH(1297,'Transfer Engine'!$C$2:$C$1960,0)),"",INDEX('Compliance Database'!$J$2:$J$1960,MATCH(1297,'Transfer Engine'!$C$2:$C$1960,0)))</f>
        <v/>
      </c>
      <c r="K1306" s="9">
        <f>IF(ISNA(MATCH(1297,'Transfer Engine'!$C$2:$C$1960,0)),"",INDEX('Compliance Database'!$K$2:$K$1960,MATCH(1297,'Transfer Engine'!$C$2:$C$1960,0)))</f>
        <v/>
      </c>
      <c r="L1306" s="9">
        <f>IF(ISNA(MATCH(1297,'Transfer Engine'!$C$2:$C$1960,0)),"",INDEX('Compliance Database'!$L$2:$L$1960,MATCH(1297,'Transfer Engine'!$C$2:$C$1960,0)))</f>
        <v/>
      </c>
      <c r="M1306" s="9">
        <f>IF(ISNA(MATCH(1297,'Transfer Engine'!$C$2:$C$1960,0)),"",INDEX('Compliance Database'!$M$2:$M$1960,MATCH(1297,'Transfer Engine'!$C$2:$C$1960,0)))</f>
        <v/>
      </c>
      <c r="N1306" s="9">
        <f>IF(ISNA(MATCH(1297,'Transfer Engine'!$C$2:$C$1960,0)),"",INDEX('Compliance Database'!$N$2:$N$1960,MATCH(1297,'Transfer Engine'!$C$2:$C$1960,0)))</f>
        <v/>
      </c>
      <c r="O1306" s="9">
        <f>IF(ISNA(MATCH(1297,'Transfer Engine'!$C$2:$C$1960,0)),"",INDEX('Compliance Database'!$O$2:$O$1960,MATCH(1297,'Transfer Engine'!$C$2:$C$1960,0)))</f>
        <v/>
      </c>
      <c r="P1306" s="8">
        <f>IF(ISNA(MATCH(1297,'Transfer Engine'!$C$2:$C$1960,0)),"",HYPERLINK("#Acts!A"&amp;INDEX('Compliance Database'!$P$2:$P$1960,MATCH(1297,'Transfer Engine'!$C$2:$C$1960,0)),"Go to Act"))</f>
        <v/>
      </c>
    </row>
    <row r="1307" ht="158" customHeight="1">
      <c r="A1307" s="8">
        <f>IF(ISNA(MATCH(1298,'Transfer Engine'!$C$2:$C$1960,0)),"",INDEX('Compliance Database'!$A$2:$A$1960,MATCH(1298,'Transfer Engine'!$C$2:$C$1960,0)))</f>
        <v/>
      </c>
      <c r="B1307" s="8">
        <f>IF(ISNA(MATCH(1298,'Transfer Engine'!$C$2:$C$1960,0)),"",INDEX('Compliance Database'!$B$2:$B$1960,MATCH(1298,'Transfer Engine'!$C$2:$C$1960,0)))</f>
        <v/>
      </c>
      <c r="C1307" s="8">
        <f>IF(ISNA(MATCH(1298,'Transfer Engine'!$C$2:$C$1960,0)),"",INDEX('Compliance Database'!$C$2:$C$1960,MATCH(1298,'Transfer Engine'!$C$2:$C$1960,0)))</f>
        <v/>
      </c>
      <c r="D1307" s="9">
        <f>IF(ISNA(MATCH(1298,'Transfer Engine'!$C$2:$C$1960,0)),"",INDEX('Compliance Database'!$D$2:$D$1960,MATCH(1298,'Transfer Engine'!$C$2:$C$1960,0)))</f>
        <v/>
      </c>
      <c r="E1307" s="8">
        <f>IF(ISNA(MATCH(1298,'Transfer Engine'!$C$2:$C$1960,0)),"",INDEX('Compliance Database'!$E$2:$E$1960,MATCH(1298,'Transfer Engine'!$C$2:$C$1960,0)))</f>
        <v/>
      </c>
      <c r="F1307" s="8">
        <f>IF(ISNA(MATCH(1298,'Transfer Engine'!$C$2:$C$1960,0)),"",INDEX('Compliance Database'!$F$2:$F$1960,MATCH(1298,'Transfer Engine'!$C$2:$C$1960,0)))</f>
        <v/>
      </c>
      <c r="G1307" s="8">
        <f>IF(ISNA(MATCH(1298,'Transfer Engine'!$C$2:$C$1960,0)),"",INDEX('Compliance Database'!$G$2:$G$1960,MATCH(1298,'Transfer Engine'!$C$2:$C$1960,0)))</f>
        <v/>
      </c>
      <c r="H1307" s="9">
        <f>IF(ISNA(MATCH(1298,'Transfer Engine'!$C$2:$C$1960,0)),"",INDEX('Compliance Database'!$H$2:$H$1960,MATCH(1298,'Transfer Engine'!$C$2:$C$1960,0)))</f>
        <v/>
      </c>
      <c r="I1307" s="9">
        <f>IF(ISNA(MATCH(1298,'Transfer Engine'!$C$2:$C$1960,0)),"",INDEX('Compliance Database'!$I$2:$I$1960,MATCH(1298,'Transfer Engine'!$C$2:$C$1960,0)))</f>
        <v/>
      </c>
      <c r="J1307" s="8">
        <f>IF(ISNA(MATCH(1298,'Transfer Engine'!$C$2:$C$1960,0)),"",INDEX('Compliance Database'!$J$2:$J$1960,MATCH(1298,'Transfer Engine'!$C$2:$C$1960,0)))</f>
        <v/>
      </c>
      <c r="K1307" s="9">
        <f>IF(ISNA(MATCH(1298,'Transfer Engine'!$C$2:$C$1960,0)),"",INDEX('Compliance Database'!$K$2:$K$1960,MATCH(1298,'Transfer Engine'!$C$2:$C$1960,0)))</f>
        <v/>
      </c>
      <c r="L1307" s="9">
        <f>IF(ISNA(MATCH(1298,'Transfer Engine'!$C$2:$C$1960,0)),"",INDEX('Compliance Database'!$L$2:$L$1960,MATCH(1298,'Transfer Engine'!$C$2:$C$1960,0)))</f>
        <v/>
      </c>
      <c r="M1307" s="9">
        <f>IF(ISNA(MATCH(1298,'Transfer Engine'!$C$2:$C$1960,0)),"",INDEX('Compliance Database'!$M$2:$M$1960,MATCH(1298,'Transfer Engine'!$C$2:$C$1960,0)))</f>
        <v/>
      </c>
      <c r="N1307" s="9">
        <f>IF(ISNA(MATCH(1298,'Transfer Engine'!$C$2:$C$1960,0)),"",INDEX('Compliance Database'!$N$2:$N$1960,MATCH(1298,'Transfer Engine'!$C$2:$C$1960,0)))</f>
        <v/>
      </c>
      <c r="O1307" s="9">
        <f>IF(ISNA(MATCH(1298,'Transfer Engine'!$C$2:$C$1960,0)),"",INDEX('Compliance Database'!$O$2:$O$1960,MATCH(1298,'Transfer Engine'!$C$2:$C$1960,0)))</f>
        <v/>
      </c>
      <c r="P1307" s="8">
        <f>IF(ISNA(MATCH(1298,'Transfer Engine'!$C$2:$C$1960,0)),"",HYPERLINK("#Acts!A"&amp;INDEX('Compliance Database'!$P$2:$P$1960,MATCH(1298,'Transfer Engine'!$C$2:$C$1960,0)),"Go to Act"))</f>
        <v/>
      </c>
    </row>
    <row r="1308" ht="158" customHeight="1">
      <c r="A1308" s="8">
        <f>IF(ISNA(MATCH(1299,'Transfer Engine'!$C$2:$C$1960,0)),"",INDEX('Compliance Database'!$A$2:$A$1960,MATCH(1299,'Transfer Engine'!$C$2:$C$1960,0)))</f>
        <v/>
      </c>
      <c r="B1308" s="8">
        <f>IF(ISNA(MATCH(1299,'Transfer Engine'!$C$2:$C$1960,0)),"",INDEX('Compliance Database'!$B$2:$B$1960,MATCH(1299,'Transfer Engine'!$C$2:$C$1960,0)))</f>
        <v/>
      </c>
      <c r="C1308" s="8">
        <f>IF(ISNA(MATCH(1299,'Transfer Engine'!$C$2:$C$1960,0)),"",INDEX('Compliance Database'!$C$2:$C$1960,MATCH(1299,'Transfer Engine'!$C$2:$C$1960,0)))</f>
        <v/>
      </c>
      <c r="D1308" s="9">
        <f>IF(ISNA(MATCH(1299,'Transfer Engine'!$C$2:$C$1960,0)),"",INDEX('Compliance Database'!$D$2:$D$1960,MATCH(1299,'Transfer Engine'!$C$2:$C$1960,0)))</f>
        <v/>
      </c>
      <c r="E1308" s="8">
        <f>IF(ISNA(MATCH(1299,'Transfer Engine'!$C$2:$C$1960,0)),"",INDEX('Compliance Database'!$E$2:$E$1960,MATCH(1299,'Transfer Engine'!$C$2:$C$1960,0)))</f>
        <v/>
      </c>
      <c r="F1308" s="8">
        <f>IF(ISNA(MATCH(1299,'Transfer Engine'!$C$2:$C$1960,0)),"",INDEX('Compliance Database'!$F$2:$F$1960,MATCH(1299,'Transfer Engine'!$C$2:$C$1960,0)))</f>
        <v/>
      </c>
      <c r="G1308" s="8">
        <f>IF(ISNA(MATCH(1299,'Transfer Engine'!$C$2:$C$1960,0)),"",INDEX('Compliance Database'!$G$2:$G$1960,MATCH(1299,'Transfer Engine'!$C$2:$C$1960,0)))</f>
        <v/>
      </c>
      <c r="H1308" s="9">
        <f>IF(ISNA(MATCH(1299,'Transfer Engine'!$C$2:$C$1960,0)),"",INDEX('Compliance Database'!$H$2:$H$1960,MATCH(1299,'Transfer Engine'!$C$2:$C$1960,0)))</f>
        <v/>
      </c>
      <c r="I1308" s="9">
        <f>IF(ISNA(MATCH(1299,'Transfer Engine'!$C$2:$C$1960,0)),"",INDEX('Compliance Database'!$I$2:$I$1960,MATCH(1299,'Transfer Engine'!$C$2:$C$1960,0)))</f>
        <v/>
      </c>
      <c r="J1308" s="8">
        <f>IF(ISNA(MATCH(1299,'Transfer Engine'!$C$2:$C$1960,0)),"",INDEX('Compliance Database'!$J$2:$J$1960,MATCH(1299,'Transfer Engine'!$C$2:$C$1960,0)))</f>
        <v/>
      </c>
      <c r="K1308" s="9">
        <f>IF(ISNA(MATCH(1299,'Transfer Engine'!$C$2:$C$1960,0)),"",INDEX('Compliance Database'!$K$2:$K$1960,MATCH(1299,'Transfer Engine'!$C$2:$C$1960,0)))</f>
        <v/>
      </c>
      <c r="L1308" s="9">
        <f>IF(ISNA(MATCH(1299,'Transfer Engine'!$C$2:$C$1960,0)),"",INDEX('Compliance Database'!$L$2:$L$1960,MATCH(1299,'Transfer Engine'!$C$2:$C$1960,0)))</f>
        <v/>
      </c>
      <c r="M1308" s="9">
        <f>IF(ISNA(MATCH(1299,'Transfer Engine'!$C$2:$C$1960,0)),"",INDEX('Compliance Database'!$M$2:$M$1960,MATCH(1299,'Transfer Engine'!$C$2:$C$1960,0)))</f>
        <v/>
      </c>
      <c r="N1308" s="9">
        <f>IF(ISNA(MATCH(1299,'Transfer Engine'!$C$2:$C$1960,0)),"",INDEX('Compliance Database'!$N$2:$N$1960,MATCH(1299,'Transfer Engine'!$C$2:$C$1960,0)))</f>
        <v/>
      </c>
      <c r="O1308" s="9">
        <f>IF(ISNA(MATCH(1299,'Transfer Engine'!$C$2:$C$1960,0)),"",INDEX('Compliance Database'!$O$2:$O$1960,MATCH(1299,'Transfer Engine'!$C$2:$C$1960,0)))</f>
        <v/>
      </c>
      <c r="P1308" s="8">
        <f>IF(ISNA(MATCH(1299,'Transfer Engine'!$C$2:$C$1960,0)),"",HYPERLINK("#Acts!A"&amp;INDEX('Compliance Database'!$P$2:$P$1960,MATCH(1299,'Transfer Engine'!$C$2:$C$1960,0)),"Go to Act"))</f>
        <v/>
      </c>
    </row>
    <row r="1309" ht="158" customHeight="1">
      <c r="A1309" s="8">
        <f>IF(ISNA(MATCH(1300,'Transfer Engine'!$C$2:$C$1960,0)),"",INDEX('Compliance Database'!$A$2:$A$1960,MATCH(1300,'Transfer Engine'!$C$2:$C$1960,0)))</f>
        <v/>
      </c>
      <c r="B1309" s="8">
        <f>IF(ISNA(MATCH(1300,'Transfer Engine'!$C$2:$C$1960,0)),"",INDEX('Compliance Database'!$B$2:$B$1960,MATCH(1300,'Transfer Engine'!$C$2:$C$1960,0)))</f>
        <v/>
      </c>
      <c r="C1309" s="8">
        <f>IF(ISNA(MATCH(1300,'Transfer Engine'!$C$2:$C$1960,0)),"",INDEX('Compliance Database'!$C$2:$C$1960,MATCH(1300,'Transfer Engine'!$C$2:$C$1960,0)))</f>
        <v/>
      </c>
      <c r="D1309" s="9">
        <f>IF(ISNA(MATCH(1300,'Transfer Engine'!$C$2:$C$1960,0)),"",INDEX('Compliance Database'!$D$2:$D$1960,MATCH(1300,'Transfer Engine'!$C$2:$C$1960,0)))</f>
        <v/>
      </c>
      <c r="E1309" s="8">
        <f>IF(ISNA(MATCH(1300,'Transfer Engine'!$C$2:$C$1960,0)),"",INDEX('Compliance Database'!$E$2:$E$1960,MATCH(1300,'Transfer Engine'!$C$2:$C$1960,0)))</f>
        <v/>
      </c>
      <c r="F1309" s="8">
        <f>IF(ISNA(MATCH(1300,'Transfer Engine'!$C$2:$C$1960,0)),"",INDEX('Compliance Database'!$F$2:$F$1960,MATCH(1300,'Transfer Engine'!$C$2:$C$1960,0)))</f>
        <v/>
      </c>
      <c r="G1309" s="8">
        <f>IF(ISNA(MATCH(1300,'Transfer Engine'!$C$2:$C$1960,0)),"",INDEX('Compliance Database'!$G$2:$G$1960,MATCH(1300,'Transfer Engine'!$C$2:$C$1960,0)))</f>
        <v/>
      </c>
      <c r="H1309" s="9">
        <f>IF(ISNA(MATCH(1300,'Transfer Engine'!$C$2:$C$1960,0)),"",INDEX('Compliance Database'!$H$2:$H$1960,MATCH(1300,'Transfer Engine'!$C$2:$C$1960,0)))</f>
        <v/>
      </c>
      <c r="I1309" s="9">
        <f>IF(ISNA(MATCH(1300,'Transfer Engine'!$C$2:$C$1960,0)),"",INDEX('Compliance Database'!$I$2:$I$1960,MATCH(1300,'Transfer Engine'!$C$2:$C$1960,0)))</f>
        <v/>
      </c>
      <c r="J1309" s="8">
        <f>IF(ISNA(MATCH(1300,'Transfer Engine'!$C$2:$C$1960,0)),"",INDEX('Compliance Database'!$J$2:$J$1960,MATCH(1300,'Transfer Engine'!$C$2:$C$1960,0)))</f>
        <v/>
      </c>
      <c r="K1309" s="9">
        <f>IF(ISNA(MATCH(1300,'Transfer Engine'!$C$2:$C$1960,0)),"",INDEX('Compliance Database'!$K$2:$K$1960,MATCH(1300,'Transfer Engine'!$C$2:$C$1960,0)))</f>
        <v/>
      </c>
      <c r="L1309" s="9">
        <f>IF(ISNA(MATCH(1300,'Transfer Engine'!$C$2:$C$1960,0)),"",INDEX('Compliance Database'!$L$2:$L$1960,MATCH(1300,'Transfer Engine'!$C$2:$C$1960,0)))</f>
        <v/>
      </c>
      <c r="M1309" s="9">
        <f>IF(ISNA(MATCH(1300,'Transfer Engine'!$C$2:$C$1960,0)),"",INDEX('Compliance Database'!$M$2:$M$1960,MATCH(1300,'Transfer Engine'!$C$2:$C$1960,0)))</f>
        <v/>
      </c>
      <c r="N1309" s="9">
        <f>IF(ISNA(MATCH(1300,'Transfer Engine'!$C$2:$C$1960,0)),"",INDEX('Compliance Database'!$N$2:$N$1960,MATCH(1300,'Transfer Engine'!$C$2:$C$1960,0)))</f>
        <v/>
      </c>
      <c r="O1309" s="9">
        <f>IF(ISNA(MATCH(1300,'Transfer Engine'!$C$2:$C$1960,0)),"",INDEX('Compliance Database'!$O$2:$O$1960,MATCH(1300,'Transfer Engine'!$C$2:$C$1960,0)))</f>
        <v/>
      </c>
      <c r="P1309" s="8">
        <f>IF(ISNA(MATCH(1300,'Transfer Engine'!$C$2:$C$1960,0)),"",HYPERLINK("#Acts!A"&amp;INDEX('Compliance Database'!$P$2:$P$1960,MATCH(1300,'Transfer Engine'!$C$2:$C$1960,0)),"Go to Act"))</f>
        <v/>
      </c>
    </row>
    <row r="1310" ht="158" customHeight="1">
      <c r="A1310" s="8">
        <f>IF(ISNA(MATCH(1301,'Transfer Engine'!$C$2:$C$1960,0)),"",INDEX('Compliance Database'!$A$2:$A$1960,MATCH(1301,'Transfer Engine'!$C$2:$C$1960,0)))</f>
        <v/>
      </c>
      <c r="B1310" s="8">
        <f>IF(ISNA(MATCH(1301,'Transfer Engine'!$C$2:$C$1960,0)),"",INDEX('Compliance Database'!$B$2:$B$1960,MATCH(1301,'Transfer Engine'!$C$2:$C$1960,0)))</f>
        <v/>
      </c>
      <c r="C1310" s="8">
        <f>IF(ISNA(MATCH(1301,'Transfer Engine'!$C$2:$C$1960,0)),"",INDEX('Compliance Database'!$C$2:$C$1960,MATCH(1301,'Transfer Engine'!$C$2:$C$1960,0)))</f>
        <v/>
      </c>
      <c r="D1310" s="9">
        <f>IF(ISNA(MATCH(1301,'Transfer Engine'!$C$2:$C$1960,0)),"",INDEX('Compliance Database'!$D$2:$D$1960,MATCH(1301,'Transfer Engine'!$C$2:$C$1960,0)))</f>
        <v/>
      </c>
      <c r="E1310" s="8">
        <f>IF(ISNA(MATCH(1301,'Transfer Engine'!$C$2:$C$1960,0)),"",INDEX('Compliance Database'!$E$2:$E$1960,MATCH(1301,'Transfer Engine'!$C$2:$C$1960,0)))</f>
        <v/>
      </c>
      <c r="F1310" s="8">
        <f>IF(ISNA(MATCH(1301,'Transfer Engine'!$C$2:$C$1960,0)),"",INDEX('Compliance Database'!$F$2:$F$1960,MATCH(1301,'Transfer Engine'!$C$2:$C$1960,0)))</f>
        <v/>
      </c>
      <c r="G1310" s="8">
        <f>IF(ISNA(MATCH(1301,'Transfer Engine'!$C$2:$C$1960,0)),"",INDEX('Compliance Database'!$G$2:$G$1960,MATCH(1301,'Transfer Engine'!$C$2:$C$1960,0)))</f>
        <v/>
      </c>
      <c r="H1310" s="9">
        <f>IF(ISNA(MATCH(1301,'Transfer Engine'!$C$2:$C$1960,0)),"",INDEX('Compliance Database'!$H$2:$H$1960,MATCH(1301,'Transfer Engine'!$C$2:$C$1960,0)))</f>
        <v/>
      </c>
      <c r="I1310" s="9">
        <f>IF(ISNA(MATCH(1301,'Transfer Engine'!$C$2:$C$1960,0)),"",INDEX('Compliance Database'!$I$2:$I$1960,MATCH(1301,'Transfer Engine'!$C$2:$C$1960,0)))</f>
        <v/>
      </c>
      <c r="J1310" s="8">
        <f>IF(ISNA(MATCH(1301,'Transfer Engine'!$C$2:$C$1960,0)),"",INDEX('Compliance Database'!$J$2:$J$1960,MATCH(1301,'Transfer Engine'!$C$2:$C$1960,0)))</f>
        <v/>
      </c>
      <c r="K1310" s="9">
        <f>IF(ISNA(MATCH(1301,'Transfer Engine'!$C$2:$C$1960,0)),"",INDEX('Compliance Database'!$K$2:$K$1960,MATCH(1301,'Transfer Engine'!$C$2:$C$1960,0)))</f>
        <v/>
      </c>
      <c r="L1310" s="9">
        <f>IF(ISNA(MATCH(1301,'Transfer Engine'!$C$2:$C$1960,0)),"",INDEX('Compliance Database'!$L$2:$L$1960,MATCH(1301,'Transfer Engine'!$C$2:$C$1960,0)))</f>
        <v/>
      </c>
      <c r="M1310" s="9">
        <f>IF(ISNA(MATCH(1301,'Transfer Engine'!$C$2:$C$1960,0)),"",INDEX('Compliance Database'!$M$2:$M$1960,MATCH(1301,'Transfer Engine'!$C$2:$C$1960,0)))</f>
        <v/>
      </c>
      <c r="N1310" s="9">
        <f>IF(ISNA(MATCH(1301,'Transfer Engine'!$C$2:$C$1960,0)),"",INDEX('Compliance Database'!$N$2:$N$1960,MATCH(1301,'Transfer Engine'!$C$2:$C$1960,0)))</f>
        <v/>
      </c>
      <c r="O1310" s="9">
        <f>IF(ISNA(MATCH(1301,'Transfer Engine'!$C$2:$C$1960,0)),"",INDEX('Compliance Database'!$O$2:$O$1960,MATCH(1301,'Transfer Engine'!$C$2:$C$1960,0)))</f>
        <v/>
      </c>
      <c r="P1310" s="8">
        <f>IF(ISNA(MATCH(1301,'Transfer Engine'!$C$2:$C$1960,0)),"",HYPERLINK("#Acts!A"&amp;INDEX('Compliance Database'!$P$2:$P$1960,MATCH(1301,'Transfer Engine'!$C$2:$C$1960,0)),"Go to Act"))</f>
        <v/>
      </c>
    </row>
    <row r="1311" ht="158" customHeight="1">
      <c r="A1311" s="8">
        <f>IF(ISNA(MATCH(1302,'Transfer Engine'!$C$2:$C$1960,0)),"",INDEX('Compliance Database'!$A$2:$A$1960,MATCH(1302,'Transfer Engine'!$C$2:$C$1960,0)))</f>
        <v/>
      </c>
      <c r="B1311" s="8">
        <f>IF(ISNA(MATCH(1302,'Transfer Engine'!$C$2:$C$1960,0)),"",INDEX('Compliance Database'!$B$2:$B$1960,MATCH(1302,'Transfer Engine'!$C$2:$C$1960,0)))</f>
        <v/>
      </c>
      <c r="C1311" s="8">
        <f>IF(ISNA(MATCH(1302,'Transfer Engine'!$C$2:$C$1960,0)),"",INDEX('Compliance Database'!$C$2:$C$1960,MATCH(1302,'Transfer Engine'!$C$2:$C$1960,0)))</f>
        <v/>
      </c>
      <c r="D1311" s="9">
        <f>IF(ISNA(MATCH(1302,'Transfer Engine'!$C$2:$C$1960,0)),"",INDEX('Compliance Database'!$D$2:$D$1960,MATCH(1302,'Transfer Engine'!$C$2:$C$1960,0)))</f>
        <v/>
      </c>
      <c r="E1311" s="8">
        <f>IF(ISNA(MATCH(1302,'Transfer Engine'!$C$2:$C$1960,0)),"",INDEX('Compliance Database'!$E$2:$E$1960,MATCH(1302,'Transfer Engine'!$C$2:$C$1960,0)))</f>
        <v/>
      </c>
      <c r="F1311" s="8">
        <f>IF(ISNA(MATCH(1302,'Transfer Engine'!$C$2:$C$1960,0)),"",INDEX('Compliance Database'!$F$2:$F$1960,MATCH(1302,'Transfer Engine'!$C$2:$C$1960,0)))</f>
        <v/>
      </c>
      <c r="G1311" s="8">
        <f>IF(ISNA(MATCH(1302,'Transfer Engine'!$C$2:$C$1960,0)),"",INDEX('Compliance Database'!$G$2:$G$1960,MATCH(1302,'Transfer Engine'!$C$2:$C$1960,0)))</f>
        <v/>
      </c>
      <c r="H1311" s="9">
        <f>IF(ISNA(MATCH(1302,'Transfer Engine'!$C$2:$C$1960,0)),"",INDEX('Compliance Database'!$H$2:$H$1960,MATCH(1302,'Transfer Engine'!$C$2:$C$1960,0)))</f>
        <v/>
      </c>
      <c r="I1311" s="9">
        <f>IF(ISNA(MATCH(1302,'Transfer Engine'!$C$2:$C$1960,0)),"",INDEX('Compliance Database'!$I$2:$I$1960,MATCH(1302,'Transfer Engine'!$C$2:$C$1960,0)))</f>
        <v/>
      </c>
      <c r="J1311" s="8">
        <f>IF(ISNA(MATCH(1302,'Transfer Engine'!$C$2:$C$1960,0)),"",INDEX('Compliance Database'!$J$2:$J$1960,MATCH(1302,'Transfer Engine'!$C$2:$C$1960,0)))</f>
        <v/>
      </c>
      <c r="K1311" s="9">
        <f>IF(ISNA(MATCH(1302,'Transfer Engine'!$C$2:$C$1960,0)),"",INDEX('Compliance Database'!$K$2:$K$1960,MATCH(1302,'Transfer Engine'!$C$2:$C$1960,0)))</f>
        <v/>
      </c>
      <c r="L1311" s="9">
        <f>IF(ISNA(MATCH(1302,'Transfer Engine'!$C$2:$C$1960,0)),"",INDEX('Compliance Database'!$L$2:$L$1960,MATCH(1302,'Transfer Engine'!$C$2:$C$1960,0)))</f>
        <v/>
      </c>
      <c r="M1311" s="9">
        <f>IF(ISNA(MATCH(1302,'Transfer Engine'!$C$2:$C$1960,0)),"",INDEX('Compliance Database'!$M$2:$M$1960,MATCH(1302,'Transfer Engine'!$C$2:$C$1960,0)))</f>
        <v/>
      </c>
      <c r="N1311" s="9">
        <f>IF(ISNA(MATCH(1302,'Transfer Engine'!$C$2:$C$1960,0)),"",INDEX('Compliance Database'!$N$2:$N$1960,MATCH(1302,'Transfer Engine'!$C$2:$C$1960,0)))</f>
        <v/>
      </c>
      <c r="O1311" s="9">
        <f>IF(ISNA(MATCH(1302,'Transfer Engine'!$C$2:$C$1960,0)),"",INDEX('Compliance Database'!$O$2:$O$1960,MATCH(1302,'Transfer Engine'!$C$2:$C$1960,0)))</f>
        <v/>
      </c>
      <c r="P1311" s="8">
        <f>IF(ISNA(MATCH(1302,'Transfer Engine'!$C$2:$C$1960,0)),"",HYPERLINK("#Acts!A"&amp;INDEX('Compliance Database'!$P$2:$P$1960,MATCH(1302,'Transfer Engine'!$C$2:$C$1960,0)),"Go to Act"))</f>
        <v/>
      </c>
    </row>
    <row r="1312" ht="158" customHeight="1">
      <c r="A1312" s="8">
        <f>IF(ISNA(MATCH(1303,'Transfer Engine'!$C$2:$C$1960,0)),"",INDEX('Compliance Database'!$A$2:$A$1960,MATCH(1303,'Transfer Engine'!$C$2:$C$1960,0)))</f>
        <v/>
      </c>
      <c r="B1312" s="8">
        <f>IF(ISNA(MATCH(1303,'Transfer Engine'!$C$2:$C$1960,0)),"",INDEX('Compliance Database'!$B$2:$B$1960,MATCH(1303,'Transfer Engine'!$C$2:$C$1960,0)))</f>
        <v/>
      </c>
      <c r="C1312" s="8">
        <f>IF(ISNA(MATCH(1303,'Transfer Engine'!$C$2:$C$1960,0)),"",INDEX('Compliance Database'!$C$2:$C$1960,MATCH(1303,'Transfer Engine'!$C$2:$C$1960,0)))</f>
        <v/>
      </c>
      <c r="D1312" s="9">
        <f>IF(ISNA(MATCH(1303,'Transfer Engine'!$C$2:$C$1960,0)),"",INDEX('Compliance Database'!$D$2:$D$1960,MATCH(1303,'Transfer Engine'!$C$2:$C$1960,0)))</f>
        <v/>
      </c>
      <c r="E1312" s="8">
        <f>IF(ISNA(MATCH(1303,'Transfer Engine'!$C$2:$C$1960,0)),"",INDEX('Compliance Database'!$E$2:$E$1960,MATCH(1303,'Transfer Engine'!$C$2:$C$1960,0)))</f>
        <v/>
      </c>
      <c r="F1312" s="8">
        <f>IF(ISNA(MATCH(1303,'Transfer Engine'!$C$2:$C$1960,0)),"",INDEX('Compliance Database'!$F$2:$F$1960,MATCH(1303,'Transfer Engine'!$C$2:$C$1960,0)))</f>
        <v/>
      </c>
      <c r="G1312" s="8">
        <f>IF(ISNA(MATCH(1303,'Transfer Engine'!$C$2:$C$1960,0)),"",INDEX('Compliance Database'!$G$2:$G$1960,MATCH(1303,'Transfer Engine'!$C$2:$C$1960,0)))</f>
        <v/>
      </c>
      <c r="H1312" s="9">
        <f>IF(ISNA(MATCH(1303,'Transfer Engine'!$C$2:$C$1960,0)),"",INDEX('Compliance Database'!$H$2:$H$1960,MATCH(1303,'Transfer Engine'!$C$2:$C$1960,0)))</f>
        <v/>
      </c>
      <c r="I1312" s="9">
        <f>IF(ISNA(MATCH(1303,'Transfer Engine'!$C$2:$C$1960,0)),"",INDEX('Compliance Database'!$I$2:$I$1960,MATCH(1303,'Transfer Engine'!$C$2:$C$1960,0)))</f>
        <v/>
      </c>
      <c r="J1312" s="8">
        <f>IF(ISNA(MATCH(1303,'Transfer Engine'!$C$2:$C$1960,0)),"",INDEX('Compliance Database'!$J$2:$J$1960,MATCH(1303,'Transfer Engine'!$C$2:$C$1960,0)))</f>
        <v/>
      </c>
      <c r="K1312" s="9">
        <f>IF(ISNA(MATCH(1303,'Transfer Engine'!$C$2:$C$1960,0)),"",INDEX('Compliance Database'!$K$2:$K$1960,MATCH(1303,'Transfer Engine'!$C$2:$C$1960,0)))</f>
        <v/>
      </c>
      <c r="L1312" s="9">
        <f>IF(ISNA(MATCH(1303,'Transfer Engine'!$C$2:$C$1960,0)),"",INDEX('Compliance Database'!$L$2:$L$1960,MATCH(1303,'Transfer Engine'!$C$2:$C$1960,0)))</f>
        <v/>
      </c>
      <c r="M1312" s="9">
        <f>IF(ISNA(MATCH(1303,'Transfer Engine'!$C$2:$C$1960,0)),"",INDEX('Compliance Database'!$M$2:$M$1960,MATCH(1303,'Transfer Engine'!$C$2:$C$1960,0)))</f>
        <v/>
      </c>
      <c r="N1312" s="9">
        <f>IF(ISNA(MATCH(1303,'Transfer Engine'!$C$2:$C$1960,0)),"",INDEX('Compliance Database'!$N$2:$N$1960,MATCH(1303,'Transfer Engine'!$C$2:$C$1960,0)))</f>
        <v/>
      </c>
      <c r="O1312" s="9">
        <f>IF(ISNA(MATCH(1303,'Transfer Engine'!$C$2:$C$1960,0)),"",INDEX('Compliance Database'!$O$2:$O$1960,MATCH(1303,'Transfer Engine'!$C$2:$C$1960,0)))</f>
        <v/>
      </c>
      <c r="P1312" s="8">
        <f>IF(ISNA(MATCH(1303,'Transfer Engine'!$C$2:$C$1960,0)),"",HYPERLINK("#Acts!A"&amp;INDEX('Compliance Database'!$P$2:$P$1960,MATCH(1303,'Transfer Engine'!$C$2:$C$1960,0)),"Go to Act"))</f>
        <v/>
      </c>
    </row>
    <row r="1313" ht="158" customHeight="1">
      <c r="A1313" s="8">
        <f>IF(ISNA(MATCH(1304,'Transfer Engine'!$C$2:$C$1960,0)),"",INDEX('Compliance Database'!$A$2:$A$1960,MATCH(1304,'Transfer Engine'!$C$2:$C$1960,0)))</f>
        <v/>
      </c>
      <c r="B1313" s="8">
        <f>IF(ISNA(MATCH(1304,'Transfer Engine'!$C$2:$C$1960,0)),"",INDEX('Compliance Database'!$B$2:$B$1960,MATCH(1304,'Transfer Engine'!$C$2:$C$1960,0)))</f>
        <v/>
      </c>
      <c r="C1313" s="8">
        <f>IF(ISNA(MATCH(1304,'Transfer Engine'!$C$2:$C$1960,0)),"",INDEX('Compliance Database'!$C$2:$C$1960,MATCH(1304,'Transfer Engine'!$C$2:$C$1960,0)))</f>
        <v/>
      </c>
      <c r="D1313" s="9">
        <f>IF(ISNA(MATCH(1304,'Transfer Engine'!$C$2:$C$1960,0)),"",INDEX('Compliance Database'!$D$2:$D$1960,MATCH(1304,'Transfer Engine'!$C$2:$C$1960,0)))</f>
        <v/>
      </c>
      <c r="E1313" s="8">
        <f>IF(ISNA(MATCH(1304,'Transfer Engine'!$C$2:$C$1960,0)),"",INDEX('Compliance Database'!$E$2:$E$1960,MATCH(1304,'Transfer Engine'!$C$2:$C$1960,0)))</f>
        <v/>
      </c>
      <c r="F1313" s="8">
        <f>IF(ISNA(MATCH(1304,'Transfer Engine'!$C$2:$C$1960,0)),"",INDEX('Compliance Database'!$F$2:$F$1960,MATCH(1304,'Transfer Engine'!$C$2:$C$1960,0)))</f>
        <v/>
      </c>
      <c r="G1313" s="8">
        <f>IF(ISNA(MATCH(1304,'Transfer Engine'!$C$2:$C$1960,0)),"",INDEX('Compliance Database'!$G$2:$G$1960,MATCH(1304,'Transfer Engine'!$C$2:$C$1960,0)))</f>
        <v/>
      </c>
      <c r="H1313" s="9">
        <f>IF(ISNA(MATCH(1304,'Transfer Engine'!$C$2:$C$1960,0)),"",INDEX('Compliance Database'!$H$2:$H$1960,MATCH(1304,'Transfer Engine'!$C$2:$C$1960,0)))</f>
        <v/>
      </c>
      <c r="I1313" s="9">
        <f>IF(ISNA(MATCH(1304,'Transfer Engine'!$C$2:$C$1960,0)),"",INDEX('Compliance Database'!$I$2:$I$1960,MATCH(1304,'Transfer Engine'!$C$2:$C$1960,0)))</f>
        <v/>
      </c>
      <c r="J1313" s="8">
        <f>IF(ISNA(MATCH(1304,'Transfer Engine'!$C$2:$C$1960,0)),"",INDEX('Compliance Database'!$J$2:$J$1960,MATCH(1304,'Transfer Engine'!$C$2:$C$1960,0)))</f>
        <v/>
      </c>
      <c r="K1313" s="9">
        <f>IF(ISNA(MATCH(1304,'Transfer Engine'!$C$2:$C$1960,0)),"",INDEX('Compliance Database'!$K$2:$K$1960,MATCH(1304,'Transfer Engine'!$C$2:$C$1960,0)))</f>
        <v/>
      </c>
      <c r="L1313" s="9">
        <f>IF(ISNA(MATCH(1304,'Transfer Engine'!$C$2:$C$1960,0)),"",INDEX('Compliance Database'!$L$2:$L$1960,MATCH(1304,'Transfer Engine'!$C$2:$C$1960,0)))</f>
        <v/>
      </c>
      <c r="M1313" s="9">
        <f>IF(ISNA(MATCH(1304,'Transfer Engine'!$C$2:$C$1960,0)),"",INDEX('Compliance Database'!$M$2:$M$1960,MATCH(1304,'Transfer Engine'!$C$2:$C$1960,0)))</f>
        <v/>
      </c>
      <c r="N1313" s="9">
        <f>IF(ISNA(MATCH(1304,'Transfer Engine'!$C$2:$C$1960,0)),"",INDEX('Compliance Database'!$N$2:$N$1960,MATCH(1304,'Transfer Engine'!$C$2:$C$1960,0)))</f>
        <v/>
      </c>
      <c r="O1313" s="9">
        <f>IF(ISNA(MATCH(1304,'Transfer Engine'!$C$2:$C$1960,0)),"",INDEX('Compliance Database'!$O$2:$O$1960,MATCH(1304,'Transfer Engine'!$C$2:$C$1960,0)))</f>
        <v/>
      </c>
      <c r="P1313" s="8">
        <f>IF(ISNA(MATCH(1304,'Transfer Engine'!$C$2:$C$1960,0)),"",HYPERLINK("#Acts!A"&amp;INDEX('Compliance Database'!$P$2:$P$1960,MATCH(1304,'Transfer Engine'!$C$2:$C$1960,0)),"Go to Act"))</f>
        <v/>
      </c>
    </row>
    <row r="1314" ht="158" customHeight="1">
      <c r="A1314" s="8">
        <f>IF(ISNA(MATCH(1305,'Transfer Engine'!$C$2:$C$1960,0)),"",INDEX('Compliance Database'!$A$2:$A$1960,MATCH(1305,'Transfer Engine'!$C$2:$C$1960,0)))</f>
        <v/>
      </c>
      <c r="B1314" s="8">
        <f>IF(ISNA(MATCH(1305,'Transfer Engine'!$C$2:$C$1960,0)),"",INDEX('Compliance Database'!$B$2:$B$1960,MATCH(1305,'Transfer Engine'!$C$2:$C$1960,0)))</f>
        <v/>
      </c>
      <c r="C1314" s="8">
        <f>IF(ISNA(MATCH(1305,'Transfer Engine'!$C$2:$C$1960,0)),"",INDEX('Compliance Database'!$C$2:$C$1960,MATCH(1305,'Transfer Engine'!$C$2:$C$1960,0)))</f>
        <v/>
      </c>
      <c r="D1314" s="9">
        <f>IF(ISNA(MATCH(1305,'Transfer Engine'!$C$2:$C$1960,0)),"",INDEX('Compliance Database'!$D$2:$D$1960,MATCH(1305,'Transfer Engine'!$C$2:$C$1960,0)))</f>
        <v/>
      </c>
      <c r="E1314" s="8">
        <f>IF(ISNA(MATCH(1305,'Transfer Engine'!$C$2:$C$1960,0)),"",INDEX('Compliance Database'!$E$2:$E$1960,MATCH(1305,'Transfer Engine'!$C$2:$C$1960,0)))</f>
        <v/>
      </c>
      <c r="F1314" s="8">
        <f>IF(ISNA(MATCH(1305,'Transfer Engine'!$C$2:$C$1960,0)),"",INDEX('Compliance Database'!$F$2:$F$1960,MATCH(1305,'Transfer Engine'!$C$2:$C$1960,0)))</f>
        <v/>
      </c>
      <c r="G1314" s="8">
        <f>IF(ISNA(MATCH(1305,'Transfer Engine'!$C$2:$C$1960,0)),"",INDEX('Compliance Database'!$G$2:$G$1960,MATCH(1305,'Transfer Engine'!$C$2:$C$1960,0)))</f>
        <v/>
      </c>
      <c r="H1314" s="9">
        <f>IF(ISNA(MATCH(1305,'Transfer Engine'!$C$2:$C$1960,0)),"",INDEX('Compliance Database'!$H$2:$H$1960,MATCH(1305,'Transfer Engine'!$C$2:$C$1960,0)))</f>
        <v/>
      </c>
      <c r="I1314" s="9">
        <f>IF(ISNA(MATCH(1305,'Transfer Engine'!$C$2:$C$1960,0)),"",INDEX('Compliance Database'!$I$2:$I$1960,MATCH(1305,'Transfer Engine'!$C$2:$C$1960,0)))</f>
        <v/>
      </c>
      <c r="J1314" s="8">
        <f>IF(ISNA(MATCH(1305,'Transfer Engine'!$C$2:$C$1960,0)),"",INDEX('Compliance Database'!$J$2:$J$1960,MATCH(1305,'Transfer Engine'!$C$2:$C$1960,0)))</f>
        <v/>
      </c>
      <c r="K1314" s="9">
        <f>IF(ISNA(MATCH(1305,'Transfer Engine'!$C$2:$C$1960,0)),"",INDEX('Compliance Database'!$K$2:$K$1960,MATCH(1305,'Transfer Engine'!$C$2:$C$1960,0)))</f>
        <v/>
      </c>
      <c r="L1314" s="9">
        <f>IF(ISNA(MATCH(1305,'Transfer Engine'!$C$2:$C$1960,0)),"",INDEX('Compliance Database'!$L$2:$L$1960,MATCH(1305,'Transfer Engine'!$C$2:$C$1960,0)))</f>
        <v/>
      </c>
      <c r="M1314" s="9">
        <f>IF(ISNA(MATCH(1305,'Transfer Engine'!$C$2:$C$1960,0)),"",INDEX('Compliance Database'!$M$2:$M$1960,MATCH(1305,'Transfer Engine'!$C$2:$C$1960,0)))</f>
        <v/>
      </c>
      <c r="N1314" s="9">
        <f>IF(ISNA(MATCH(1305,'Transfer Engine'!$C$2:$C$1960,0)),"",INDEX('Compliance Database'!$N$2:$N$1960,MATCH(1305,'Transfer Engine'!$C$2:$C$1960,0)))</f>
        <v/>
      </c>
      <c r="O1314" s="9">
        <f>IF(ISNA(MATCH(1305,'Transfer Engine'!$C$2:$C$1960,0)),"",INDEX('Compliance Database'!$O$2:$O$1960,MATCH(1305,'Transfer Engine'!$C$2:$C$1960,0)))</f>
        <v/>
      </c>
      <c r="P1314" s="8">
        <f>IF(ISNA(MATCH(1305,'Transfer Engine'!$C$2:$C$1960,0)),"",HYPERLINK("#Acts!A"&amp;INDEX('Compliance Database'!$P$2:$P$1960,MATCH(1305,'Transfer Engine'!$C$2:$C$1960,0)),"Go to Act"))</f>
        <v/>
      </c>
    </row>
    <row r="1315" ht="158" customHeight="1">
      <c r="A1315" s="8">
        <f>IF(ISNA(MATCH(1306,'Transfer Engine'!$C$2:$C$1960,0)),"",INDEX('Compliance Database'!$A$2:$A$1960,MATCH(1306,'Transfer Engine'!$C$2:$C$1960,0)))</f>
        <v/>
      </c>
      <c r="B1315" s="8">
        <f>IF(ISNA(MATCH(1306,'Transfer Engine'!$C$2:$C$1960,0)),"",INDEX('Compliance Database'!$B$2:$B$1960,MATCH(1306,'Transfer Engine'!$C$2:$C$1960,0)))</f>
        <v/>
      </c>
      <c r="C1315" s="8">
        <f>IF(ISNA(MATCH(1306,'Transfer Engine'!$C$2:$C$1960,0)),"",INDEX('Compliance Database'!$C$2:$C$1960,MATCH(1306,'Transfer Engine'!$C$2:$C$1960,0)))</f>
        <v/>
      </c>
      <c r="D1315" s="9">
        <f>IF(ISNA(MATCH(1306,'Transfer Engine'!$C$2:$C$1960,0)),"",INDEX('Compliance Database'!$D$2:$D$1960,MATCH(1306,'Transfer Engine'!$C$2:$C$1960,0)))</f>
        <v/>
      </c>
      <c r="E1315" s="8">
        <f>IF(ISNA(MATCH(1306,'Transfer Engine'!$C$2:$C$1960,0)),"",INDEX('Compliance Database'!$E$2:$E$1960,MATCH(1306,'Transfer Engine'!$C$2:$C$1960,0)))</f>
        <v/>
      </c>
      <c r="F1315" s="8">
        <f>IF(ISNA(MATCH(1306,'Transfer Engine'!$C$2:$C$1960,0)),"",INDEX('Compliance Database'!$F$2:$F$1960,MATCH(1306,'Transfer Engine'!$C$2:$C$1960,0)))</f>
        <v/>
      </c>
      <c r="G1315" s="8">
        <f>IF(ISNA(MATCH(1306,'Transfer Engine'!$C$2:$C$1960,0)),"",INDEX('Compliance Database'!$G$2:$G$1960,MATCH(1306,'Transfer Engine'!$C$2:$C$1960,0)))</f>
        <v/>
      </c>
      <c r="H1315" s="9">
        <f>IF(ISNA(MATCH(1306,'Transfer Engine'!$C$2:$C$1960,0)),"",INDEX('Compliance Database'!$H$2:$H$1960,MATCH(1306,'Transfer Engine'!$C$2:$C$1960,0)))</f>
        <v/>
      </c>
      <c r="I1315" s="9">
        <f>IF(ISNA(MATCH(1306,'Transfer Engine'!$C$2:$C$1960,0)),"",INDEX('Compliance Database'!$I$2:$I$1960,MATCH(1306,'Transfer Engine'!$C$2:$C$1960,0)))</f>
        <v/>
      </c>
      <c r="J1315" s="8">
        <f>IF(ISNA(MATCH(1306,'Transfer Engine'!$C$2:$C$1960,0)),"",INDEX('Compliance Database'!$J$2:$J$1960,MATCH(1306,'Transfer Engine'!$C$2:$C$1960,0)))</f>
        <v/>
      </c>
      <c r="K1315" s="9">
        <f>IF(ISNA(MATCH(1306,'Transfer Engine'!$C$2:$C$1960,0)),"",INDEX('Compliance Database'!$K$2:$K$1960,MATCH(1306,'Transfer Engine'!$C$2:$C$1960,0)))</f>
        <v/>
      </c>
      <c r="L1315" s="9">
        <f>IF(ISNA(MATCH(1306,'Transfer Engine'!$C$2:$C$1960,0)),"",INDEX('Compliance Database'!$L$2:$L$1960,MATCH(1306,'Transfer Engine'!$C$2:$C$1960,0)))</f>
        <v/>
      </c>
      <c r="M1315" s="9">
        <f>IF(ISNA(MATCH(1306,'Transfer Engine'!$C$2:$C$1960,0)),"",INDEX('Compliance Database'!$M$2:$M$1960,MATCH(1306,'Transfer Engine'!$C$2:$C$1960,0)))</f>
        <v/>
      </c>
      <c r="N1315" s="9">
        <f>IF(ISNA(MATCH(1306,'Transfer Engine'!$C$2:$C$1960,0)),"",INDEX('Compliance Database'!$N$2:$N$1960,MATCH(1306,'Transfer Engine'!$C$2:$C$1960,0)))</f>
        <v/>
      </c>
      <c r="O1315" s="9">
        <f>IF(ISNA(MATCH(1306,'Transfer Engine'!$C$2:$C$1960,0)),"",INDEX('Compliance Database'!$O$2:$O$1960,MATCH(1306,'Transfer Engine'!$C$2:$C$1960,0)))</f>
        <v/>
      </c>
      <c r="P1315" s="8">
        <f>IF(ISNA(MATCH(1306,'Transfer Engine'!$C$2:$C$1960,0)),"",HYPERLINK("#Acts!A"&amp;INDEX('Compliance Database'!$P$2:$P$1960,MATCH(1306,'Transfer Engine'!$C$2:$C$1960,0)),"Go to Act"))</f>
        <v/>
      </c>
    </row>
    <row r="1316" ht="158" customHeight="1">
      <c r="A1316" s="8">
        <f>IF(ISNA(MATCH(1307,'Transfer Engine'!$C$2:$C$1960,0)),"",INDEX('Compliance Database'!$A$2:$A$1960,MATCH(1307,'Transfer Engine'!$C$2:$C$1960,0)))</f>
        <v/>
      </c>
      <c r="B1316" s="8">
        <f>IF(ISNA(MATCH(1307,'Transfer Engine'!$C$2:$C$1960,0)),"",INDEX('Compliance Database'!$B$2:$B$1960,MATCH(1307,'Transfer Engine'!$C$2:$C$1960,0)))</f>
        <v/>
      </c>
      <c r="C1316" s="8">
        <f>IF(ISNA(MATCH(1307,'Transfer Engine'!$C$2:$C$1960,0)),"",INDEX('Compliance Database'!$C$2:$C$1960,MATCH(1307,'Transfer Engine'!$C$2:$C$1960,0)))</f>
        <v/>
      </c>
      <c r="D1316" s="9">
        <f>IF(ISNA(MATCH(1307,'Transfer Engine'!$C$2:$C$1960,0)),"",INDEX('Compliance Database'!$D$2:$D$1960,MATCH(1307,'Transfer Engine'!$C$2:$C$1960,0)))</f>
        <v/>
      </c>
      <c r="E1316" s="8">
        <f>IF(ISNA(MATCH(1307,'Transfer Engine'!$C$2:$C$1960,0)),"",INDEX('Compliance Database'!$E$2:$E$1960,MATCH(1307,'Transfer Engine'!$C$2:$C$1960,0)))</f>
        <v/>
      </c>
      <c r="F1316" s="8">
        <f>IF(ISNA(MATCH(1307,'Transfer Engine'!$C$2:$C$1960,0)),"",INDEX('Compliance Database'!$F$2:$F$1960,MATCH(1307,'Transfer Engine'!$C$2:$C$1960,0)))</f>
        <v/>
      </c>
      <c r="G1316" s="8">
        <f>IF(ISNA(MATCH(1307,'Transfer Engine'!$C$2:$C$1960,0)),"",INDEX('Compliance Database'!$G$2:$G$1960,MATCH(1307,'Transfer Engine'!$C$2:$C$1960,0)))</f>
        <v/>
      </c>
      <c r="H1316" s="9">
        <f>IF(ISNA(MATCH(1307,'Transfer Engine'!$C$2:$C$1960,0)),"",INDEX('Compliance Database'!$H$2:$H$1960,MATCH(1307,'Transfer Engine'!$C$2:$C$1960,0)))</f>
        <v/>
      </c>
      <c r="I1316" s="9">
        <f>IF(ISNA(MATCH(1307,'Transfer Engine'!$C$2:$C$1960,0)),"",INDEX('Compliance Database'!$I$2:$I$1960,MATCH(1307,'Transfer Engine'!$C$2:$C$1960,0)))</f>
        <v/>
      </c>
      <c r="J1316" s="8">
        <f>IF(ISNA(MATCH(1307,'Transfer Engine'!$C$2:$C$1960,0)),"",INDEX('Compliance Database'!$J$2:$J$1960,MATCH(1307,'Transfer Engine'!$C$2:$C$1960,0)))</f>
        <v/>
      </c>
      <c r="K1316" s="9">
        <f>IF(ISNA(MATCH(1307,'Transfer Engine'!$C$2:$C$1960,0)),"",INDEX('Compliance Database'!$K$2:$K$1960,MATCH(1307,'Transfer Engine'!$C$2:$C$1960,0)))</f>
        <v/>
      </c>
      <c r="L1316" s="9">
        <f>IF(ISNA(MATCH(1307,'Transfer Engine'!$C$2:$C$1960,0)),"",INDEX('Compliance Database'!$L$2:$L$1960,MATCH(1307,'Transfer Engine'!$C$2:$C$1960,0)))</f>
        <v/>
      </c>
      <c r="M1316" s="9">
        <f>IF(ISNA(MATCH(1307,'Transfer Engine'!$C$2:$C$1960,0)),"",INDEX('Compliance Database'!$M$2:$M$1960,MATCH(1307,'Transfer Engine'!$C$2:$C$1960,0)))</f>
        <v/>
      </c>
      <c r="N1316" s="9">
        <f>IF(ISNA(MATCH(1307,'Transfer Engine'!$C$2:$C$1960,0)),"",INDEX('Compliance Database'!$N$2:$N$1960,MATCH(1307,'Transfer Engine'!$C$2:$C$1960,0)))</f>
        <v/>
      </c>
      <c r="O1316" s="9">
        <f>IF(ISNA(MATCH(1307,'Transfer Engine'!$C$2:$C$1960,0)),"",INDEX('Compliance Database'!$O$2:$O$1960,MATCH(1307,'Transfer Engine'!$C$2:$C$1960,0)))</f>
        <v/>
      </c>
      <c r="P1316" s="8">
        <f>IF(ISNA(MATCH(1307,'Transfer Engine'!$C$2:$C$1960,0)),"",HYPERLINK("#Acts!A"&amp;INDEX('Compliance Database'!$P$2:$P$1960,MATCH(1307,'Transfer Engine'!$C$2:$C$1960,0)),"Go to Act"))</f>
        <v/>
      </c>
    </row>
    <row r="1317" ht="158" customHeight="1">
      <c r="A1317" s="8">
        <f>IF(ISNA(MATCH(1308,'Transfer Engine'!$C$2:$C$1960,0)),"",INDEX('Compliance Database'!$A$2:$A$1960,MATCH(1308,'Transfer Engine'!$C$2:$C$1960,0)))</f>
        <v/>
      </c>
      <c r="B1317" s="8">
        <f>IF(ISNA(MATCH(1308,'Transfer Engine'!$C$2:$C$1960,0)),"",INDEX('Compliance Database'!$B$2:$B$1960,MATCH(1308,'Transfer Engine'!$C$2:$C$1960,0)))</f>
        <v/>
      </c>
      <c r="C1317" s="8">
        <f>IF(ISNA(MATCH(1308,'Transfer Engine'!$C$2:$C$1960,0)),"",INDEX('Compliance Database'!$C$2:$C$1960,MATCH(1308,'Transfer Engine'!$C$2:$C$1960,0)))</f>
        <v/>
      </c>
      <c r="D1317" s="9">
        <f>IF(ISNA(MATCH(1308,'Transfer Engine'!$C$2:$C$1960,0)),"",INDEX('Compliance Database'!$D$2:$D$1960,MATCH(1308,'Transfer Engine'!$C$2:$C$1960,0)))</f>
        <v/>
      </c>
      <c r="E1317" s="8">
        <f>IF(ISNA(MATCH(1308,'Transfer Engine'!$C$2:$C$1960,0)),"",INDEX('Compliance Database'!$E$2:$E$1960,MATCH(1308,'Transfer Engine'!$C$2:$C$1960,0)))</f>
        <v/>
      </c>
      <c r="F1317" s="8">
        <f>IF(ISNA(MATCH(1308,'Transfer Engine'!$C$2:$C$1960,0)),"",INDEX('Compliance Database'!$F$2:$F$1960,MATCH(1308,'Transfer Engine'!$C$2:$C$1960,0)))</f>
        <v/>
      </c>
      <c r="G1317" s="8">
        <f>IF(ISNA(MATCH(1308,'Transfer Engine'!$C$2:$C$1960,0)),"",INDEX('Compliance Database'!$G$2:$G$1960,MATCH(1308,'Transfer Engine'!$C$2:$C$1960,0)))</f>
        <v/>
      </c>
      <c r="H1317" s="9">
        <f>IF(ISNA(MATCH(1308,'Transfer Engine'!$C$2:$C$1960,0)),"",INDEX('Compliance Database'!$H$2:$H$1960,MATCH(1308,'Transfer Engine'!$C$2:$C$1960,0)))</f>
        <v/>
      </c>
      <c r="I1317" s="9">
        <f>IF(ISNA(MATCH(1308,'Transfer Engine'!$C$2:$C$1960,0)),"",INDEX('Compliance Database'!$I$2:$I$1960,MATCH(1308,'Transfer Engine'!$C$2:$C$1960,0)))</f>
        <v/>
      </c>
      <c r="J1317" s="8">
        <f>IF(ISNA(MATCH(1308,'Transfer Engine'!$C$2:$C$1960,0)),"",INDEX('Compliance Database'!$J$2:$J$1960,MATCH(1308,'Transfer Engine'!$C$2:$C$1960,0)))</f>
        <v/>
      </c>
      <c r="K1317" s="9">
        <f>IF(ISNA(MATCH(1308,'Transfer Engine'!$C$2:$C$1960,0)),"",INDEX('Compliance Database'!$K$2:$K$1960,MATCH(1308,'Transfer Engine'!$C$2:$C$1960,0)))</f>
        <v/>
      </c>
      <c r="L1317" s="9">
        <f>IF(ISNA(MATCH(1308,'Transfer Engine'!$C$2:$C$1960,0)),"",INDEX('Compliance Database'!$L$2:$L$1960,MATCH(1308,'Transfer Engine'!$C$2:$C$1960,0)))</f>
        <v/>
      </c>
      <c r="M1317" s="9">
        <f>IF(ISNA(MATCH(1308,'Transfer Engine'!$C$2:$C$1960,0)),"",INDEX('Compliance Database'!$M$2:$M$1960,MATCH(1308,'Transfer Engine'!$C$2:$C$1960,0)))</f>
        <v/>
      </c>
      <c r="N1317" s="9">
        <f>IF(ISNA(MATCH(1308,'Transfer Engine'!$C$2:$C$1960,0)),"",INDEX('Compliance Database'!$N$2:$N$1960,MATCH(1308,'Transfer Engine'!$C$2:$C$1960,0)))</f>
        <v/>
      </c>
      <c r="O1317" s="9">
        <f>IF(ISNA(MATCH(1308,'Transfer Engine'!$C$2:$C$1960,0)),"",INDEX('Compliance Database'!$O$2:$O$1960,MATCH(1308,'Transfer Engine'!$C$2:$C$1960,0)))</f>
        <v/>
      </c>
      <c r="P1317" s="8">
        <f>IF(ISNA(MATCH(1308,'Transfer Engine'!$C$2:$C$1960,0)),"",HYPERLINK("#Acts!A"&amp;INDEX('Compliance Database'!$P$2:$P$1960,MATCH(1308,'Transfer Engine'!$C$2:$C$1960,0)),"Go to Act"))</f>
        <v/>
      </c>
    </row>
    <row r="1318" ht="158" customHeight="1">
      <c r="A1318" s="8">
        <f>IF(ISNA(MATCH(1309,'Transfer Engine'!$C$2:$C$1960,0)),"",INDEX('Compliance Database'!$A$2:$A$1960,MATCH(1309,'Transfer Engine'!$C$2:$C$1960,0)))</f>
        <v/>
      </c>
      <c r="B1318" s="8">
        <f>IF(ISNA(MATCH(1309,'Transfer Engine'!$C$2:$C$1960,0)),"",INDEX('Compliance Database'!$B$2:$B$1960,MATCH(1309,'Transfer Engine'!$C$2:$C$1960,0)))</f>
        <v/>
      </c>
      <c r="C1318" s="8">
        <f>IF(ISNA(MATCH(1309,'Transfer Engine'!$C$2:$C$1960,0)),"",INDEX('Compliance Database'!$C$2:$C$1960,MATCH(1309,'Transfer Engine'!$C$2:$C$1960,0)))</f>
        <v/>
      </c>
      <c r="D1318" s="9">
        <f>IF(ISNA(MATCH(1309,'Transfer Engine'!$C$2:$C$1960,0)),"",INDEX('Compliance Database'!$D$2:$D$1960,MATCH(1309,'Transfer Engine'!$C$2:$C$1960,0)))</f>
        <v/>
      </c>
      <c r="E1318" s="8">
        <f>IF(ISNA(MATCH(1309,'Transfer Engine'!$C$2:$C$1960,0)),"",INDEX('Compliance Database'!$E$2:$E$1960,MATCH(1309,'Transfer Engine'!$C$2:$C$1960,0)))</f>
        <v/>
      </c>
      <c r="F1318" s="8">
        <f>IF(ISNA(MATCH(1309,'Transfer Engine'!$C$2:$C$1960,0)),"",INDEX('Compliance Database'!$F$2:$F$1960,MATCH(1309,'Transfer Engine'!$C$2:$C$1960,0)))</f>
        <v/>
      </c>
      <c r="G1318" s="8">
        <f>IF(ISNA(MATCH(1309,'Transfer Engine'!$C$2:$C$1960,0)),"",INDEX('Compliance Database'!$G$2:$G$1960,MATCH(1309,'Transfer Engine'!$C$2:$C$1960,0)))</f>
        <v/>
      </c>
      <c r="H1318" s="9">
        <f>IF(ISNA(MATCH(1309,'Transfer Engine'!$C$2:$C$1960,0)),"",INDEX('Compliance Database'!$H$2:$H$1960,MATCH(1309,'Transfer Engine'!$C$2:$C$1960,0)))</f>
        <v/>
      </c>
      <c r="I1318" s="9">
        <f>IF(ISNA(MATCH(1309,'Transfer Engine'!$C$2:$C$1960,0)),"",INDEX('Compliance Database'!$I$2:$I$1960,MATCH(1309,'Transfer Engine'!$C$2:$C$1960,0)))</f>
        <v/>
      </c>
      <c r="J1318" s="8">
        <f>IF(ISNA(MATCH(1309,'Transfer Engine'!$C$2:$C$1960,0)),"",INDEX('Compliance Database'!$J$2:$J$1960,MATCH(1309,'Transfer Engine'!$C$2:$C$1960,0)))</f>
        <v/>
      </c>
      <c r="K1318" s="9">
        <f>IF(ISNA(MATCH(1309,'Transfer Engine'!$C$2:$C$1960,0)),"",INDEX('Compliance Database'!$K$2:$K$1960,MATCH(1309,'Transfer Engine'!$C$2:$C$1960,0)))</f>
        <v/>
      </c>
      <c r="L1318" s="9">
        <f>IF(ISNA(MATCH(1309,'Transfer Engine'!$C$2:$C$1960,0)),"",INDEX('Compliance Database'!$L$2:$L$1960,MATCH(1309,'Transfer Engine'!$C$2:$C$1960,0)))</f>
        <v/>
      </c>
      <c r="M1318" s="9">
        <f>IF(ISNA(MATCH(1309,'Transfer Engine'!$C$2:$C$1960,0)),"",INDEX('Compliance Database'!$M$2:$M$1960,MATCH(1309,'Transfer Engine'!$C$2:$C$1960,0)))</f>
        <v/>
      </c>
      <c r="N1318" s="9">
        <f>IF(ISNA(MATCH(1309,'Transfer Engine'!$C$2:$C$1960,0)),"",INDEX('Compliance Database'!$N$2:$N$1960,MATCH(1309,'Transfer Engine'!$C$2:$C$1960,0)))</f>
        <v/>
      </c>
      <c r="O1318" s="9">
        <f>IF(ISNA(MATCH(1309,'Transfer Engine'!$C$2:$C$1960,0)),"",INDEX('Compliance Database'!$O$2:$O$1960,MATCH(1309,'Transfer Engine'!$C$2:$C$1960,0)))</f>
        <v/>
      </c>
      <c r="P1318" s="8">
        <f>IF(ISNA(MATCH(1309,'Transfer Engine'!$C$2:$C$1960,0)),"",HYPERLINK("#Acts!A"&amp;INDEX('Compliance Database'!$P$2:$P$1960,MATCH(1309,'Transfer Engine'!$C$2:$C$1960,0)),"Go to Act"))</f>
        <v/>
      </c>
    </row>
    <row r="1319" ht="158" customHeight="1">
      <c r="A1319" s="8">
        <f>IF(ISNA(MATCH(1310,'Transfer Engine'!$C$2:$C$1960,0)),"",INDEX('Compliance Database'!$A$2:$A$1960,MATCH(1310,'Transfer Engine'!$C$2:$C$1960,0)))</f>
        <v/>
      </c>
      <c r="B1319" s="8">
        <f>IF(ISNA(MATCH(1310,'Transfer Engine'!$C$2:$C$1960,0)),"",INDEX('Compliance Database'!$B$2:$B$1960,MATCH(1310,'Transfer Engine'!$C$2:$C$1960,0)))</f>
        <v/>
      </c>
      <c r="C1319" s="8">
        <f>IF(ISNA(MATCH(1310,'Transfer Engine'!$C$2:$C$1960,0)),"",INDEX('Compliance Database'!$C$2:$C$1960,MATCH(1310,'Transfer Engine'!$C$2:$C$1960,0)))</f>
        <v/>
      </c>
      <c r="D1319" s="9">
        <f>IF(ISNA(MATCH(1310,'Transfer Engine'!$C$2:$C$1960,0)),"",INDEX('Compliance Database'!$D$2:$D$1960,MATCH(1310,'Transfer Engine'!$C$2:$C$1960,0)))</f>
        <v/>
      </c>
      <c r="E1319" s="8">
        <f>IF(ISNA(MATCH(1310,'Transfer Engine'!$C$2:$C$1960,0)),"",INDEX('Compliance Database'!$E$2:$E$1960,MATCH(1310,'Transfer Engine'!$C$2:$C$1960,0)))</f>
        <v/>
      </c>
      <c r="F1319" s="8">
        <f>IF(ISNA(MATCH(1310,'Transfer Engine'!$C$2:$C$1960,0)),"",INDEX('Compliance Database'!$F$2:$F$1960,MATCH(1310,'Transfer Engine'!$C$2:$C$1960,0)))</f>
        <v/>
      </c>
      <c r="G1319" s="8">
        <f>IF(ISNA(MATCH(1310,'Transfer Engine'!$C$2:$C$1960,0)),"",INDEX('Compliance Database'!$G$2:$G$1960,MATCH(1310,'Transfer Engine'!$C$2:$C$1960,0)))</f>
        <v/>
      </c>
      <c r="H1319" s="9">
        <f>IF(ISNA(MATCH(1310,'Transfer Engine'!$C$2:$C$1960,0)),"",INDEX('Compliance Database'!$H$2:$H$1960,MATCH(1310,'Transfer Engine'!$C$2:$C$1960,0)))</f>
        <v/>
      </c>
      <c r="I1319" s="9">
        <f>IF(ISNA(MATCH(1310,'Transfer Engine'!$C$2:$C$1960,0)),"",INDEX('Compliance Database'!$I$2:$I$1960,MATCH(1310,'Transfer Engine'!$C$2:$C$1960,0)))</f>
        <v/>
      </c>
      <c r="J1319" s="8">
        <f>IF(ISNA(MATCH(1310,'Transfer Engine'!$C$2:$C$1960,0)),"",INDEX('Compliance Database'!$J$2:$J$1960,MATCH(1310,'Transfer Engine'!$C$2:$C$1960,0)))</f>
        <v/>
      </c>
      <c r="K1319" s="9">
        <f>IF(ISNA(MATCH(1310,'Transfer Engine'!$C$2:$C$1960,0)),"",INDEX('Compliance Database'!$K$2:$K$1960,MATCH(1310,'Transfer Engine'!$C$2:$C$1960,0)))</f>
        <v/>
      </c>
      <c r="L1319" s="9">
        <f>IF(ISNA(MATCH(1310,'Transfer Engine'!$C$2:$C$1960,0)),"",INDEX('Compliance Database'!$L$2:$L$1960,MATCH(1310,'Transfer Engine'!$C$2:$C$1960,0)))</f>
        <v/>
      </c>
      <c r="M1319" s="9">
        <f>IF(ISNA(MATCH(1310,'Transfer Engine'!$C$2:$C$1960,0)),"",INDEX('Compliance Database'!$M$2:$M$1960,MATCH(1310,'Transfer Engine'!$C$2:$C$1960,0)))</f>
        <v/>
      </c>
      <c r="N1319" s="9">
        <f>IF(ISNA(MATCH(1310,'Transfer Engine'!$C$2:$C$1960,0)),"",INDEX('Compliance Database'!$N$2:$N$1960,MATCH(1310,'Transfer Engine'!$C$2:$C$1960,0)))</f>
        <v/>
      </c>
      <c r="O1319" s="9">
        <f>IF(ISNA(MATCH(1310,'Transfer Engine'!$C$2:$C$1960,0)),"",INDEX('Compliance Database'!$O$2:$O$1960,MATCH(1310,'Transfer Engine'!$C$2:$C$1960,0)))</f>
        <v/>
      </c>
      <c r="P1319" s="8">
        <f>IF(ISNA(MATCH(1310,'Transfer Engine'!$C$2:$C$1960,0)),"",HYPERLINK("#Acts!A"&amp;INDEX('Compliance Database'!$P$2:$P$1960,MATCH(1310,'Transfer Engine'!$C$2:$C$1960,0)),"Go to Act"))</f>
        <v/>
      </c>
    </row>
    <row r="1320" ht="158" customHeight="1">
      <c r="A1320" s="8">
        <f>IF(ISNA(MATCH(1311,'Transfer Engine'!$C$2:$C$1960,0)),"",INDEX('Compliance Database'!$A$2:$A$1960,MATCH(1311,'Transfer Engine'!$C$2:$C$1960,0)))</f>
        <v/>
      </c>
      <c r="B1320" s="8">
        <f>IF(ISNA(MATCH(1311,'Transfer Engine'!$C$2:$C$1960,0)),"",INDEX('Compliance Database'!$B$2:$B$1960,MATCH(1311,'Transfer Engine'!$C$2:$C$1960,0)))</f>
        <v/>
      </c>
      <c r="C1320" s="8">
        <f>IF(ISNA(MATCH(1311,'Transfer Engine'!$C$2:$C$1960,0)),"",INDEX('Compliance Database'!$C$2:$C$1960,MATCH(1311,'Transfer Engine'!$C$2:$C$1960,0)))</f>
        <v/>
      </c>
      <c r="D1320" s="9">
        <f>IF(ISNA(MATCH(1311,'Transfer Engine'!$C$2:$C$1960,0)),"",INDEX('Compliance Database'!$D$2:$D$1960,MATCH(1311,'Transfer Engine'!$C$2:$C$1960,0)))</f>
        <v/>
      </c>
      <c r="E1320" s="8">
        <f>IF(ISNA(MATCH(1311,'Transfer Engine'!$C$2:$C$1960,0)),"",INDEX('Compliance Database'!$E$2:$E$1960,MATCH(1311,'Transfer Engine'!$C$2:$C$1960,0)))</f>
        <v/>
      </c>
      <c r="F1320" s="8">
        <f>IF(ISNA(MATCH(1311,'Transfer Engine'!$C$2:$C$1960,0)),"",INDEX('Compliance Database'!$F$2:$F$1960,MATCH(1311,'Transfer Engine'!$C$2:$C$1960,0)))</f>
        <v/>
      </c>
      <c r="G1320" s="8">
        <f>IF(ISNA(MATCH(1311,'Transfer Engine'!$C$2:$C$1960,0)),"",INDEX('Compliance Database'!$G$2:$G$1960,MATCH(1311,'Transfer Engine'!$C$2:$C$1960,0)))</f>
        <v/>
      </c>
      <c r="H1320" s="9">
        <f>IF(ISNA(MATCH(1311,'Transfer Engine'!$C$2:$C$1960,0)),"",INDEX('Compliance Database'!$H$2:$H$1960,MATCH(1311,'Transfer Engine'!$C$2:$C$1960,0)))</f>
        <v/>
      </c>
      <c r="I1320" s="9">
        <f>IF(ISNA(MATCH(1311,'Transfer Engine'!$C$2:$C$1960,0)),"",INDEX('Compliance Database'!$I$2:$I$1960,MATCH(1311,'Transfer Engine'!$C$2:$C$1960,0)))</f>
        <v/>
      </c>
      <c r="J1320" s="8">
        <f>IF(ISNA(MATCH(1311,'Transfer Engine'!$C$2:$C$1960,0)),"",INDEX('Compliance Database'!$J$2:$J$1960,MATCH(1311,'Transfer Engine'!$C$2:$C$1960,0)))</f>
        <v/>
      </c>
      <c r="K1320" s="9">
        <f>IF(ISNA(MATCH(1311,'Transfer Engine'!$C$2:$C$1960,0)),"",INDEX('Compliance Database'!$K$2:$K$1960,MATCH(1311,'Transfer Engine'!$C$2:$C$1960,0)))</f>
        <v/>
      </c>
      <c r="L1320" s="9">
        <f>IF(ISNA(MATCH(1311,'Transfer Engine'!$C$2:$C$1960,0)),"",INDEX('Compliance Database'!$L$2:$L$1960,MATCH(1311,'Transfer Engine'!$C$2:$C$1960,0)))</f>
        <v/>
      </c>
      <c r="M1320" s="9">
        <f>IF(ISNA(MATCH(1311,'Transfer Engine'!$C$2:$C$1960,0)),"",INDEX('Compliance Database'!$M$2:$M$1960,MATCH(1311,'Transfer Engine'!$C$2:$C$1960,0)))</f>
        <v/>
      </c>
      <c r="N1320" s="9">
        <f>IF(ISNA(MATCH(1311,'Transfer Engine'!$C$2:$C$1960,0)),"",INDEX('Compliance Database'!$N$2:$N$1960,MATCH(1311,'Transfer Engine'!$C$2:$C$1960,0)))</f>
        <v/>
      </c>
      <c r="O1320" s="9">
        <f>IF(ISNA(MATCH(1311,'Transfer Engine'!$C$2:$C$1960,0)),"",INDEX('Compliance Database'!$O$2:$O$1960,MATCH(1311,'Transfer Engine'!$C$2:$C$1960,0)))</f>
        <v/>
      </c>
      <c r="P1320" s="8">
        <f>IF(ISNA(MATCH(1311,'Transfer Engine'!$C$2:$C$1960,0)),"",HYPERLINK("#Acts!A"&amp;INDEX('Compliance Database'!$P$2:$P$1960,MATCH(1311,'Transfer Engine'!$C$2:$C$1960,0)),"Go to Act"))</f>
        <v/>
      </c>
    </row>
    <row r="1321" ht="158" customHeight="1">
      <c r="A1321" s="8">
        <f>IF(ISNA(MATCH(1312,'Transfer Engine'!$C$2:$C$1960,0)),"",INDEX('Compliance Database'!$A$2:$A$1960,MATCH(1312,'Transfer Engine'!$C$2:$C$1960,0)))</f>
        <v/>
      </c>
      <c r="B1321" s="8">
        <f>IF(ISNA(MATCH(1312,'Transfer Engine'!$C$2:$C$1960,0)),"",INDEX('Compliance Database'!$B$2:$B$1960,MATCH(1312,'Transfer Engine'!$C$2:$C$1960,0)))</f>
        <v/>
      </c>
      <c r="C1321" s="8">
        <f>IF(ISNA(MATCH(1312,'Transfer Engine'!$C$2:$C$1960,0)),"",INDEX('Compliance Database'!$C$2:$C$1960,MATCH(1312,'Transfer Engine'!$C$2:$C$1960,0)))</f>
        <v/>
      </c>
      <c r="D1321" s="9">
        <f>IF(ISNA(MATCH(1312,'Transfer Engine'!$C$2:$C$1960,0)),"",INDEX('Compliance Database'!$D$2:$D$1960,MATCH(1312,'Transfer Engine'!$C$2:$C$1960,0)))</f>
        <v/>
      </c>
      <c r="E1321" s="8">
        <f>IF(ISNA(MATCH(1312,'Transfer Engine'!$C$2:$C$1960,0)),"",INDEX('Compliance Database'!$E$2:$E$1960,MATCH(1312,'Transfer Engine'!$C$2:$C$1960,0)))</f>
        <v/>
      </c>
      <c r="F1321" s="8">
        <f>IF(ISNA(MATCH(1312,'Transfer Engine'!$C$2:$C$1960,0)),"",INDEX('Compliance Database'!$F$2:$F$1960,MATCH(1312,'Transfer Engine'!$C$2:$C$1960,0)))</f>
        <v/>
      </c>
      <c r="G1321" s="8">
        <f>IF(ISNA(MATCH(1312,'Transfer Engine'!$C$2:$C$1960,0)),"",INDEX('Compliance Database'!$G$2:$G$1960,MATCH(1312,'Transfer Engine'!$C$2:$C$1960,0)))</f>
        <v/>
      </c>
      <c r="H1321" s="9">
        <f>IF(ISNA(MATCH(1312,'Transfer Engine'!$C$2:$C$1960,0)),"",INDEX('Compliance Database'!$H$2:$H$1960,MATCH(1312,'Transfer Engine'!$C$2:$C$1960,0)))</f>
        <v/>
      </c>
      <c r="I1321" s="9">
        <f>IF(ISNA(MATCH(1312,'Transfer Engine'!$C$2:$C$1960,0)),"",INDEX('Compliance Database'!$I$2:$I$1960,MATCH(1312,'Transfer Engine'!$C$2:$C$1960,0)))</f>
        <v/>
      </c>
      <c r="J1321" s="8">
        <f>IF(ISNA(MATCH(1312,'Transfer Engine'!$C$2:$C$1960,0)),"",INDEX('Compliance Database'!$J$2:$J$1960,MATCH(1312,'Transfer Engine'!$C$2:$C$1960,0)))</f>
        <v/>
      </c>
      <c r="K1321" s="9">
        <f>IF(ISNA(MATCH(1312,'Transfer Engine'!$C$2:$C$1960,0)),"",INDEX('Compliance Database'!$K$2:$K$1960,MATCH(1312,'Transfer Engine'!$C$2:$C$1960,0)))</f>
        <v/>
      </c>
      <c r="L1321" s="9">
        <f>IF(ISNA(MATCH(1312,'Transfer Engine'!$C$2:$C$1960,0)),"",INDEX('Compliance Database'!$L$2:$L$1960,MATCH(1312,'Transfer Engine'!$C$2:$C$1960,0)))</f>
        <v/>
      </c>
      <c r="M1321" s="9">
        <f>IF(ISNA(MATCH(1312,'Transfer Engine'!$C$2:$C$1960,0)),"",INDEX('Compliance Database'!$M$2:$M$1960,MATCH(1312,'Transfer Engine'!$C$2:$C$1960,0)))</f>
        <v/>
      </c>
      <c r="N1321" s="9">
        <f>IF(ISNA(MATCH(1312,'Transfer Engine'!$C$2:$C$1960,0)),"",INDEX('Compliance Database'!$N$2:$N$1960,MATCH(1312,'Transfer Engine'!$C$2:$C$1960,0)))</f>
        <v/>
      </c>
      <c r="O1321" s="9">
        <f>IF(ISNA(MATCH(1312,'Transfer Engine'!$C$2:$C$1960,0)),"",INDEX('Compliance Database'!$O$2:$O$1960,MATCH(1312,'Transfer Engine'!$C$2:$C$1960,0)))</f>
        <v/>
      </c>
      <c r="P1321" s="8">
        <f>IF(ISNA(MATCH(1312,'Transfer Engine'!$C$2:$C$1960,0)),"",HYPERLINK("#Acts!A"&amp;INDEX('Compliance Database'!$P$2:$P$1960,MATCH(1312,'Transfer Engine'!$C$2:$C$1960,0)),"Go to Act"))</f>
        <v/>
      </c>
    </row>
    <row r="1322" ht="158" customHeight="1">
      <c r="A1322" s="8">
        <f>IF(ISNA(MATCH(1313,'Transfer Engine'!$C$2:$C$1960,0)),"",INDEX('Compliance Database'!$A$2:$A$1960,MATCH(1313,'Transfer Engine'!$C$2:$C$1960,0)))</f>
        <v/>
      </c>
      <c r="B1322" s="8">
        <f>IF(ISNA(MATCH(1313,'Transfer Engine'!$C$2:$C$1960,0)),"",INDEX('Compliance Database'!$B$2:$B$1960,MATCH(1313,'Transfer Engine'!$C$2:$C$1960,0)))</f>
        <v/>
      </c>
      <c r="C1322" s="8">
        <f>IF(ISNA(MATCH(1313,'Transfer Engine'!$C$2:$C$1960,0)),"",INDEX('Compliance Database'!$C$2:$C$1960,MATCH(1313,'Transfer Engine'!$C$2:$C$1960,0)))</f>
        <v/>
      </c>
      <c r="D1322" s="9">
        <f>IF(ISNA(MATCH(1313,'Transfer Engine'!$C$2:$C$1960,0)),"",INDEX('Compliance Database'!$D$2:$D$1960,MATCH(1313,'Transfer Engine'!$C$2:$C$1960,0)))</f>
        <v/>
      </c>
      <c r="E1322" s="8">
        <f>IF(ISNA(MATCH(1313,'Transfer Engine'!$C$2:$C$1960,0)),"",INDEX('Compliance Database'!$E$2:$E$1960,MATCH(1313,'Transfer Engine'!$C$2:$C$1960,0)))</f>
        <v/>
      </c>
      <c r="F1322" s="8">
        <f>IF(ISNA(MATCH(1313,'Transfer Engine'!$C$2:$C$1960,0)),"",INDEX('Compliance Database'!$F$2:$F$1960,MATCH(1313,'Transfer Engine'!$C$2:$C$1960,0)))</f>
        <v/>
      </c>
      <c r="G1322" s="8">
        <f>IF(ISNA(MATCH(1313,'Transfer Engine'!$C$2:$C$1960,0)),"",INDEX('Compliance Database'!$G$2:$G$1960,MATCH(1313,'Transfer Engine'!$C$2:$C$1960,0)))</f>
        <v/>
      </c>
      <c r="H1322" s="9">
        <f>IF(ISNA(MATCH(1313,'Transfer Engine'!$C$2:$C$1960,0)),"",INDEX('Compliance Database'!$H$2:$H$1960,MATCH(1313,'Transfer Engine'!$C$2:$C$1960,0)))</f>
        <v/>
      </c>
      <c r="I1322" s="9">
        <f>IF(ISNA(MATCH(1313,'Transfer Engine'!$C$2:$C$1960,0)),"",INDEX('Compliance Database'!$I$2:$I$1960,MATCH(1313,'Transfer Engine'!$C$2:$C$1960,0)))</f>
        <v/>
      </c>
      <c r="J1322" s="8">
        <f>IF(ISNA(MATCH(1313,'Transfer Engine'!$C$2:$C$1960,0)),"",INDEX('Compliance Database'!$J$2:$J$1960,MATCH(1313,'Transfer Engine'!$C$2:$C$1960,0)))</f>
        <v/>
      </c>
      <c r="K1322" s="9">
        <f>IF(ISNA(MATCH(1313,'Transfer Engine'!$C$2:$C$1960,0)),"",INDEX('Compliance Database'!$K$2:$K$1960,MATCH(1313,'Transfer Engine'!$C$2:$C$1960,0)))</f>
        <v/>
      </c>
      <c r="L1322" s="9">
        <f>IF(ISNA(MATCH(1313,'Transfer Engine'!$C$2:$C$1960,0)),"",INDEX('Compliance Database'!$L$2:$L$1960,MATCH(1313,'Transfer Engine'!$C$2:$C$1960,0)))</f>
        <v/>
      </c>
      <c r="M1322" s="9">
        <f>IF(ISNA(MATCH(1313,'Transfer Engine'!$C$2:$C$1960,0)),"",INDEX('Compliance Database'!$M$2:$M$1960,MATCH(1313,'Transfer Engine'!$C$2:$C$1960,0)))</f>
        <v/>
      </c>
      <c r="N1322" s="9">
        <f>IF(ISNA(MATCH(1313,'Transfer Engine'!$C$2:$C$1960,0)),"",INDEX('Compliance Database'!$N$2:$N$1960,MATCH(1313,'Transfer Engine'!$C$2:$C$1960,0)))</f>
        <v/>
      </c>
      <c r="O1322" s="9">
        <f>IF(ISNA(MATCH(1313,'Transfer Engine'!$C$2:$C$1960,0)),"",INDEX('Compliance Database'!$O$2:$O$1960,MATCH(1313,'Transfer Engine'!$C$2:$C$1960,0)))</f>
        <v/>
      </c>
      <c r="P1322" s="8">
        <f>IF(ISNA(MATCH(1313,'Transfer Engine'!$C$2:$C$1960,0)),"",HYPERLINK("#Acts!A"&amp;INDEX('Compliance Database'!$P$2:$P$1960,MATCH(1313,'Transfer Engine'!$C$2:$C$1960,0)),"Go to Act"))</f>
        <v/>
      </c>
    </row>
    <row r="1323" ht="158" customHeight="1">
      <c r="A1323" s="8">
        <f>IF(ISNA(MATCH(1314,'Transfer Engine'!$C$2:$C$1960,0)),"",INDEX('Compliance Database'!$A$2:$A$1960,MATCH(1314,'Transfer Engine'!$C$2:$C$1960,0)))</f>
        <v/>
      </c>
      <c r="B1323" s="8">
        <f>IF(ISNA(MATCH(1314,'Transfer Engine'!$C$2:$C$1960,0)),"",INDEX('Compliance Database'!$B$2:$B$1960,MATCH(1314,'Transfer Engine'!$C$2:$C$1960,0)))</f>
        <v/>
      </c>
      <c r="C1323" s="8">
        <f>IF(ISNA(MATCH(1314,'Transfer Engine'!$C$2:$C$1960,0)),"",INDEX('Compliance Database'!$C$2:$C$1960,MATCH(1314,'Transfer Engine'!$C$2:$C$1960,0)))</f>
        <v/>
      </c>
      <c r="D1323" s="9">
        <f>IF(ISNA(MATCH(1314,'Transfer Engine'!$C$2:$C$1960,0)),"",INDEX('Compliance Database'!$D$2:$D$1960,MATCH(1314,'Transfer Engine'!$C$2:$C$1960,0)))</f>
        <v/>
      </c>
      <c r="E1323" s="8">
        <f>IF(ISNA(MATCH(1314,'Transfer Engine'!$C$2:$C$1960,0)),"",INDEX('Compliance Database'!$E$2:$E$1960,MATCH(1314,'Transfer Engine'!$C$2:$C$1960,0)))</f>
        <v/>
      </c>
      <c r="F1323" s="8">
        <f>IF(ISNA(MATCH(1314,'Transfer Engine'!$C$2:$C$1960,0)),"",INDEX('Compliance Database'!$F$2:$F$1960,MATCH(1314,'Transfer Engine'!$C$2:$C$1960,0)))</f>
        <v/>
      </c>
      <c r="G1323" s="8">
        <f>IF(ISNA(MATCH(1314,'Transfer Engine'!$C$2:$C$1960,0)),"",INDEX('Compliance Database'!$G$2:$G$1960,MATCH(1314,'Transfer Engine'!$C$2:$C$1960,0)))</f>
        <v/>
      </c>
      <c r="H1323" s="9">
        <f>IF(ISNA(MATCH(1314,'Transfer Engine'!$C$2:$C$1960,0)),"",INDEX('Compliance Database'!$H$2:$H$1960,MATCH(1314,'Transfer Engine'!$C$2:$C$1960,0)))</f>
        <v/>
      </c>
      <c r="I1323" s="9">
        <f>IF(ISNA(MATCH(1314,'Transfer Engine'!$C$2:$C$1960,0)),"",INDEX('Compliance Database'!$I$2:$I$1960,MATCH(1314,'Transfer Engine'!$C$2:$C$1960,0)))</f>
        <v/>
      </c>
      <c r="J1323" s="8">
        <f>IF(ISNA(MATCH(1314,'Transfer Engine'!$C$2:$C$1960,0)),"",INDEX('Compliance Database'!$J$2:$J$1960,MATCH(1314,'Transfer Engine'!$C$2:$C$1960,0)))</f>
        <v/>
      </c>
      <c r="K1323" s="9">
        <f>IF(ISNA(MATCH(1314,'Transfer Engine'!$C$2:$C$1960,0)),"",INDEX('Compliance Database'!$K$2:$K$1960,MATCH(1314,'Transfer Engine'!$C$2:$C$1960,0)))</f>
        <v/>
      </c>
      <c r="L1323" s="9">
        <f>IF(ISNA(MATCH(1314,'Transfer Engine'!$C$2:$C$1960,0)),"",INDEX('Compliance Database'!$L$2:$L$1960,MATCH(1314,'Transfer Engine'!$C$2:$C$1960,0)))</f>
        <v/>
      </c>
      <c r="M1323" s="9">
        <f>IF(ISNA(MATCH(1314,'Transfer Engine'!$C$2:$C$1960,0)),"",INDEX('Compliance Database'!$M$2:$M$1960,MATCH(1314,'Transfer Engine'!$C$2:$C$1960,0)))</f>
        <v/>
      </c>
      <c r="N1323" s="9">
        <f>IF(ISNA(MATCH(1314,'Transfer Engine'!$C$2:$C$1960,0)),"",INDEX('Compliance Database'!$N$2:$N$1960,MATCH(1314,'Transfer Engine'!$C$2:$C$1960,0)))</f>
        <v/>
      </c>
      <c r="O1323" s="9">
        <f>IF(ISNA(MATCH(1314,'Transfer Engine'!$C$2:$C$1960,0)),"",INDEX('Compliance Database'!$O$2:$O$1960,MATCH(1314,'Transfer Engine'!$C$2:$C$1960,0)))</f>
        <v/>
      </c>
      <c r="P1323" s="8">
        <f>IF(ISNA(MATCH(1314,'Transfer Engine'!$C$2:$C$1960,0)),"",HYPERLINK("#Acts!A"&amp;INDEX('Compliance Database'!$P$2:$P$1960,MATCH(1314,'Transfer Engine'!$C$2:$C$1960,0)),"Go to Act"))</f>
        <v/>
      </c>
    </row>
    <row r="1324" ht="158" customHeight="1">
      <c r="A1324" s="8">
        <f>IF(ISNA(MATCH(1315,'Transfer Engine'!$C$2:$C$1960,0)),"",INDEX('Compliance Database'!$A$2:$A$1960,MATCH(1315,'Transfer Engine'!$C$2:$C$1960,0)))</f>
        <v/>
      </c>
      <c r="B1324" s="8">
        <f>IF(ISNA(MATCH(1315,'Transfer Engine'!$C$2:$C$1960,0)),"",INDEX('Compliance Database'!$B$2:$B$1960,MATCH(1315,'Transfer Engine'!$C$2:$C$1960,0)))</f>
        <v/>
      </c>
      <c r="C1324" s="8">
        <f>IF(ISNA(MATCH(1315,'Transfer Engine'!$C$2:$C$1960,0)),"",INDEX('Compliance Database'!$C$2:$C$1960,MATCH(1315,'Transfer Engine'!$C$2:$C$1960,0)))</f>
        <v/>
      </c>
      <c r="D1324" s="9">
        <f>IF(ISNA(MATCH(1315,'Transfer Engine'!$C$2:$C$1960,0)),"",INDEX('Compliance Database'!$D$2:$D$1960,MATCH(1315,'Transfer Engine'!$C$2:$C$1960,0)))</f>
        <v/>
      </c>
      <c r="E1324" s="8">
        <f>IF(ISNA(MATCH(1315,'Transfer Engine'!$C$2:$C$1960,0)),"",INDEX('Compliance Database'!$E$2:$E$1960,MATCH(1315,'Transfer Engine'!$C$2:$C$1960,0)))</f>
        <v/>
      </c>
      <c r="F1324" s="8">
        <f>IF(ISNA(MATCH(1315,'Transfer Engine'!$C$2:$C$1960,0)),"",INDEX('Compliance Database'!$F$2:$F$1960,MATCH(1315,'Transfer Engine'!$C$2:$C$1960,0)))</f>
        <v/>
      </c>
      <c r="G1324" s="8">
        <f>IF(ISNA(MATCH(1315,'Transfer Engine'!$C$2:$C$1960,0)),"",INDEX('Compliance Database'!$G$2:$G$1960,MATCH(1315,'Transfer Engine'!$C$2:$C$1960,0)))</f>
        <v/>
      </c>
      <c r="H1324" s="9">
        <f>IF(ISNA(MATCH(1315,'Transfer Engine'!$C$2:$C$1960,0)),"",INDEX('Compliance Database'!$H$2:$H$1960,MATCH(1315,'Transfer Engine'!$C$2:$C$1960,0)))</f>
        <v/>
      </c>
      <c r="I1324" s="9">
        <f>IF(ISNA(MATCH(1315,'Transfer Engine'!$C$2:$C$1960,0)),"",INDEX('Compliance Database'!$I$2:$I$1960,MATCH(1315,'Transfer Engine'!$C$2:$C$1960,0)))</f>
        <v/>
      </c>
      <c r="J1324" s="8">
        <f>IF(ISNA(MATCH(1315,'Transfer Engine'!$C$2:$C$1960,0)),"",INDEX('Compliance Database'!$J$2:$J$1960,MATCH(1315,'Transfer Engine'!$C$2:$C$1960,0)))</f>
        <v/>
      </c>
      <c r="K1324" s="9">
        <f>IF(ISNA(MATCH(1315,'Transfer Engine'!$C$2:$C$1960,0)),"",INDEX('Compliance Database'!$K$2:$K$1960,MATCH(1315,'Transfer Engine'!$C$2:$C$1960,0)))</f>
        <v/>
      </c>
      <c r="L1324" s="9">
        <f>IF(ISNA(MATCH(1315,'Transfer Engine'!$C$2:$C$1960,0)),"",INDEX('Compliance Database'!$L$2:$L$1960,MATCH(1315,'Transfer Engine'!$C$2:$C$1960,0)))</f>
        <v/>
      </c>
      <c r="M1324" s="9">
        <f>IF(ISNA(MATCH(1315,'Transfer Engine'!$C$2:$C$1960,0)),"",INDEX('Compliance Database'!$M$2:$M$1960,MATCH(1315,'Transfer Engine'!$C$2:$C$1960,0)))</f>
        <v/>
      </c>
      <c r="N1324" s="9">
        <f>IF(ISNA(MATCH(1315,'Transfer Engine'!$C$2:$C$1960,0)),"",INDEX('Compliance Database'!$N$2:$N$1960,MATCH(1315,'Transfer Engine'!$C$2:$C$1960,0)))</f>
        <v/>
      </c>
      <c r="O1324" s="9">
        <f>IF(ISNA(MATCH(1315,'Transfer Engine'!$C$2:$C$1960,0)),"",INDEX('Compliance Database'!$O$2:$O$1960,MATCH(1315,'Transfer Engine'!$C$2:$C$1960,0)))</f>
        <v/>
      </c>
      <c r="P1324" s="8">
        <f>IF(ISNA(MATCH(1315,'Transfer Engine'!$C$2:$C$1960,0)),"",HYPERLINK("#Acts!A"&amp;INDEX('Compliance Database'!$P$2:$P$1960,MATCH(1315,'Transfer Engine'!$C$2:$C$1960,0)),"Go to Act"))</f>
        <v/>
      </c>
    </row>
    <row r="1325" ht="158" customHeight="1">
      <c r="A1325" s="8">
        <f>IF(ISNA(MATCH(1316,'Transfer Engine'!$C$2:$C$1960,0)),"",INDEX('Compliance Database'!$A$2:$A$1960,MATCH(1316,'Transfer Engine'!$C$2:$C$1960,0)))</f>
        <v/>
      </c>
      <c r="B1325" s="8">
        <f>IF(ISNA(MATCH(1316,'Transfer Engine'!$C$2:$C$1960,0)),"",INDEX('Compliance Database'!$B$2:$B$1960,MATCH(1316,'Transfer Engine'!$C$2:$C$1960,0)))</f>
        <v/>
      </c>
      <c r="C1325" s="8">
        <f>IF(ISNA(MATCH(1316,'Transfer Engine'!$C$2:$C$1960,0)),"",INDEX('Compliance Database'!$C$2:$C$1960,MATCH(1316,'Transfer Engine'!$C$2:$C$1960,0)))</f>
        <v/>
      </c>
      <c r="D1325" s="9">
        <f>IF(ISNA(MATCH(1316,'Transfer Engine'!$C$2:$C$1960,0)),"",INDEX('Compliance Database'!$D$2:$D$1960,MATCH(1316,'Transfer Engine'!$C$2:$C$1960,0)))</f>
        <v/>
      </c>
      <c r="E1325" s="8">
        <f>IF(ISNA(MATCH(1316,'Transfer Engine'!$C$2:$C$1960,0)),"",INDEX('Compliance Database'!$E$2:$E$1960,MATCH(1316,'Transfer Engine'!$C$2:$C$1960,0)))</f>
        <v/>
      </c>
      <c r="F1325" s="8">
        <f>IF(ISNA(MATCH(1316,'Transfer Engine'!$C$2:$C$1960,0)),"",INDEX('Compliance Database'!$F$2:$F$1960,MATCH(1316,'Transfer Engine'!$C$2:$C$1960,0)))</f>
        <v/>
      </c>
      <c r="G1325" s="8">
        <f>IF(ISNA(MATCH(1316,'Transfer Engine'!$C$2:$C$1960,0)),"",INDEX('Compliance Database'!$G$2:$G$1960,MATCH(1316,'Transfer Engine'!$C$2:$C$1960,0)))</f>
        <v/>
      </c>
      <c r="H1325" s="9">
        <f>IF(ISNA(MATCH(1316,'Transfer Engine'!$C$2:$C$1960,0)),"",INDEX('Compliance Database'!$H$2:$H$1960,MATCH(1316,'Transfer Engine'!$C$2:$C$1960,0)))</f>
        <v/>
      </c>
      <c r="I1325" s="9">
        <f>IF(ISNA(MATCH(1316,'Transfer Engine'!$C$2:$C$1960,0)),"",INDEX('Compliance Database'!$I$2:$I$1960,MATCH(1316,'Transfer Engine'!$C$2:$C$1960,0)))</f>
        <v/>
      </c>
      <c r="J1325" s="8">
        <f>IF(ISNA(MATCH(1316,'Transfer Engine'!$C$2:$C$1960,0)),"",INDEX('Compliance Database'!$J$2:$J$1960,MATCH(1316,'Transfer Engine'!$C$2:$C$1960,0)))</f>
        <v/>
      </c>
      <c r="K1325" s="9">
        <f>IF(ISNA(MATCH(1316,'Transfer Engine'!$C$2:$C$1960,0)),"",INDEX('Compliance Database'!$K$2:$K$1960,MATCH(1316,'Transfer Engine'!$C$2:$C$1960,0)))</f>
        <v/>
      </c>
      <c r="L1325" s="9">
        <f>IF(ISNA(MATCH(1316,'Transfer Engine'!$C$2:$C$1960,0)),"",INDEX('Compliance Database'!$L$2:$L$1960,MATCH(1316,'Transfer Engine'!$C$2:$C$1960,0)))</f>
        <v/>
      </c>
      <c r="M1325" s="9">
        <f>IF(ISNA(MATCH(1316,'Transfer Engine'!$C$2:$C$1960,0)),"",INDEX('Compliance Database'!$M$2:$M$1960,MATCH(1316,'Transfer Engine'!$C$2:$C$1960,0)))</f>
        <v/>
      </c>
      <c r="N1325" s="9">
        <f>IF(ISNA(MATCH(1316,'Transfer Engine'!$C$2:$C$1960,0)),"",INDEX('Compliance Database'!$N$2:$N$1960,MATCH(1316,'Transfer Engine'!$C$2:$C$1960,0)))</f>
        <v/>
      </c>
      <c r="O1325" s="9">
        <f>IF(ISNA(MATCH(1316,'Transfer Engine'!$C$2:$C$1960,0)),"",INDEX('Compliance Database'!$O$2:$O$1960,MATCH(1316,'Transfer Engine'!$C$2:$C$1960,0)))</f>
        <v/>
      </c>
      <c r="P1325" s="8">
        <f>IF(ISNA(MATCH(1316,'Transfer Engine'!$C$2:$C$1960,0)),"",HYPERLINK("#Acts!A"&amp;INDEX('Compliance Database'!$P$2:$P$1960,MATCH(1316,'Transfer Engine'!$C$2:$C$1960,0)),"Go to Act"))</f>
        <v/>
      </c>
    </row>
    <row r="1326" ht="158" customHeight="1">
      <c r="A1326" s="8">
        <f>IF(ISNA(MATCH(1317,'Transfer Engine'!$C$2:$C$1960,0)),"",INDEX('Compliance Database'!$A$2:$A$1960,MATCH(1317,'Transfer Engine'!$C$2:$C$1960,0)))</f>
        <v/>
      </c>
      <c r="B1326" s="8">
        <f>IF(ISNA(MATCH(1317,'Transfer Engine'!$C$2:$C$1960,0)),"",INDEX('Compliance Database'!$B$2:$B$1960,MATCH(1317,'Transfer Engine'!$C$2:$C$1960,0)))</f>
        <v/>
      </c>
      <c r="C1326" s="8">
        <f>IF(ISNA(MATCH(1317,'Transfer Engine'!$C$2:$C$1960,0)),"",INDEX('Compliance Database'!$C$2:$C$1960,MATCH(1317,'Transfer Engine'!$C$2:$C$1960,0)))</f>
        <v/>
      </c>
      <c r="D1326" s="9">
        <f>IF(ISNA(MATCH(1317,'Transfer Engine'!$C$2:$C$1960,0)),"",INDEX('Compliance Database'!$D$2:$D$1960,MATCH(1317,'Transfer Engine'!$C$2:$C$1960,0)))</f>
        <v/>
      </c>
      <c r="E1326" s="8">
        <f>IF(ISNA(MATCH(1317,'Transfer Engine'!$C$2:$C$1960,0)),"",INDEX('Compliance Database'!$E$2:$E$1960,MATCH(1317,'Transfer Engine'!$C$2:$C$1960,0)))</f>
        <v/>
      </c>
      <c r="F1326" s="8">
        <f>IF(ISNA(MATCH(1317,'Transfer Engine'!$C$2:$C$1960,0)),"",INDEX('Compliance Database'!$F$2:$F$1960,MATCH(1317,'Transfer Engine'!$C$2:$C$1960,0)))</f>
        <v/>
      </c>
      <c r="G1326" s="8">
        <f>IF(ISNA(MATCH(1317,'Transfer Engine'!$C$2:$C$1960,0)),"",INDEX('Compliance Database'!$G$2:$G$1960,MATCH(1317,'Transfer Engine'!$C$2:$C$1960,0)))</f>
        <v/>
      </c>
      <c r="H1326" s="9">
        <f>IF(ISNA(MATCH(1317,'Transfer Engine'!$C$2:$C$1960,0)),"",INDEX('Compliance Database'!$H$2:$H$1960,MATCH(1317,'Transfer Engine'!$C$2:$C$1960,0)))</f>
        <v/>
      </c>
      <c r="I1326" s="9">
        <f>IF(ISNA(MATCH(1317,'Transfer Engine'!$C$2:$C$1960,0)),"",INDEX('Compliance Database'!$I$2:$I$1960,MATCH(1317,'Transfer Engine'!$C$2:$C$1960,0)))</f>
        <v/>
      </c>
      <c r="J1326" s="8">
        <f>IF(ISNA(MATCH(1317,'Transfer Engine'!$C$2:$C$1960,0)),"",INDEX('Compliance Database'!$J$2:$J$1960,MATCH(1317,'Transfer Engine'!$C$2:$C$1960,0)))</f>
        <v/>
      </c>
      <c r="K1326" s="9">
        <f>IF(ISNA(MATCH(1317,'Transfer Engine'!$C$2:$C$1960,0)),"",INDEX('Compliance Database'!$K$2:$K$1960,MATCH(1317,'Transfer Engine'!$C$2:$C$1960,0)))</f>
        <v/>
      </c>
      <c r="L1326" s="9">
        <f>IF(ISNA(MATCH(1317,'Transfer Engine'!$C$2:$C$1960,0)),"",INDEX('Compliance Database'!$L$2:$L$1960,MATCH(1317,'Transfer Engine'!$C$2:$C$1960,0)))</f>
        <v/>
      </c>
      <c r="M1326" s="9">
        <f>IF(ISNA(MATCH(1317,'Transfer Engine'!$C$2:$C$1960,0)),"",INDEX('Compliance Database'!$M$2:$M$1960,MATCH(1317,'Transfer Engine'!$C$2:$C$1960,0)))</f>
        <v/>
      </c>
      <c r="N1326" s="9">
        <f>IF(ISNA(MATCH(1317,'Transfer Engine'!$C$2:$C$1960,0)),"",INDEX('Compliance Database'!$N$2:$N$1960,MATCH(1317,'Transfer Engine'!$C$2:$C$1960,0)))</f>
        <v/>
      </c>
      <c r="O1326" s="9">
        <f>IF(ISNA(MATCH(1317,'Transfer Engine'!$C$2:$C$1960,0)),"",INDEX('Compliance Database'!$O$2:$O$1960,MATCH(1317,'Transfer Engine'!$C$2:$C$1960,0)))</f>
        <v/>
      </c>
      <c r="P1326" s="8">
        <f>IF(ISNA(MATCH(1317,'Transfer Engine'!$C$2:$C$1960,0)),"",HYPERLINK("#Acts!A"&amp;INDEX('Compliance Database'!$P$2:$P$1960,MATCH(1317,'Transfer Engine'!$C$2:$C$1960,0)),"Go to Act"))</f>
        <v/>
      </c>
    </row>
    <row r="1327" ht="158" customHeight="1">
      <c r="A1327" s="8">
        <f>IF(ISNA(MATCH(1318,'Transfer Engine'!$C$2:$C$1960,0)),"",INDEX('Compliance Database'!$A$2:$A$1960,MATCH(1318,'Transfer Engine'!$C$2:$C$1960,0)))</f>
        <v/>
      </c>
      <c r="B1327" s="8">
        <f>IF(ISNA(MATCH(1318,'Transfer Engine'!$C$2:$C$1960,0)),"",INDEX('Compliance Database'!$B$2:$B$1960,MATCH(1318,'Transfer Engine'!$C$2:$C$1960,0)))</f>
        <v/>
      </c>
      <c r="C1327" s="8">
        <f>IF(ISNA(MATCH(1318,'Transfer Engine'!$C$2:$C$1960,0)),"",INDEX('Compliance Database'!$C$2:$C$1960,MATCH(1318,'Transfer Engine'!$C$2:$C$1960,0)))</f>
        <v/>
      </c>
      <c r="D1327" s="9">
        <f>IF(ISNA(MATCH(1318,'Transfer Engine'!$C$2:$C$1960,0)),"",INDEX('Compliance Database'!$D$2:$D$1960,MATCH(1318,'Transfer Engine'!$C$2:$C$1960,0)))</f>
        <v/>
      </c>
      <c r="E1327" s="8">
        <f>IF(ISNA(MATCH(1318,'Transfer Engine'!$C$2:$C$1960,0)),"",INDEX('Compliance Database'!$E$2:$E$1960,MATCH(1318,'Transfer Engine'!$C$2:$C$1960,0)))</f>
        <v/>
      </c>
      <c r="F1327" s="8">
        <f>IF(ISNA(MATCH(1318,'Transfer Engine'!$C$2:$C$1960,0)),"",INDEX('Compliance Database'!$F$2:$F$1960,MATCH(1318,'Transfer Engine'!$C$2:$C$1960,0)))</f>
        <v/>
      </c>
      <c r="G1327" s="8">
        <f>IF(ISNA(MATCH(1318,'Transfer Engine'!$C$2:$C$1960,0)),"",INDEX('Compliance Database'!$G$2:$G$1960,MATCH(1318,'Transfer Engine'!$C$2:$C$1960,0)))</f>
        <v/>
      </c>
      <c r="H1327" s="9">
        <f>IF(ISNA(MATCH(1318,'Transfer Engine'!$C$2:$C$1960,0)),"",INDEX('Compliance Database'!$H$2:$H$1960,MATCH(1318,'Transfer Engine'!$C$2:$C$1960,0)))</f>
        <v/>
      </c>
      <c r="I1327" s="9">
        <f>IF(ISNA(MATCH(1318,'Transfer Engine'!$C$2:$C$1960,0)),"",INDEX('Compliance Database'!$I$2:$I$1960,MATCH(1318,'Transfer Engine'!$C$2:$C$1960,0)))</f>
        <v/>
      </c>
      <c r="J1327" s="8">
        <f>IF(ISNA(MATCH(1318,'Transfer Engine'!$C$2:$C$1960,0)),"",INDEX('Compliance Database'!$J$2:$J$1960,MATCH(1318,'Transfer Engine'!$C$2:$C$1960,0)))</f>
        <v/>
      </c>
      <c r="K1327" s="9">
        <f>IF(ISNA(MATCH(1318,'Transfer Engine'!$C$2:$C$1960,0)),"",INDEX('Compliance Database'!$K$2:$K$1960,MATCH(1318,'Transfer Engine'!$C$2:$C$1960,0)))</f>
        <v/>
      </c>
      <c r="L1327" s="9">
        <f>IF(ISNA(MATCH(1318,'Transfer Engine'!$C$2:$C$1960,0)),"",INDEX('Compliance Database'!$L$2:$L$1960,MATCH(1318,'Transfer Engine'!$C$2:$C$1960,0)))</f>
        <v/>
      </c>
      <c r="M1327" s="9">
        <f>IF(ISNA(MATCH(1318,'Transfer Engine'!$C$2:$C$1960,0)),"",INDEX('Compliance Database'!$M$2:$M$1960,MATCH(1318,'Transfer Engine'!$C$2:$C$1960,0)))</f>
        <v/>
      </c>
      <c r="N1327" s="9">
        <f>IF(ISNA(MATCH(1318,'Transfer Engine'!$C$2:$C$1960,0)),"",INDEX('Compliance Database'!$N$2:$N$1960,MATCH(1318,'Transfer Engine'!$C$2:$C$1960,0)))</f>
        <v/>
      </c>
      <c r="O1327" s="9">
        <f>IF(ISNA(MATCH(1318,'Transfer Engine'!$C$2:$C$1960,0)),"",INDEX('Compliance Database'!$O$2:$O$1960,MATCH(1318,'Transfer Engine'!$C$2:$C$1960,0)))</f>
        <v/>
      </c>
      <c r="P1327" s="8">
        <f>IF(ISNA(MATCH(1318,'Transfer Engine'!$C$2:$C$1960,0)),"",HYPERLINK("#Acts!A"&amp;INDEX('Compliance Database'!$P$2:$P$1960,MATCH(1318,'Transfer Engine'!$C$2:$C$1960,0)),"Go to Act"))</f>
        <v/>
      </c>
    </row>
    <row r="1328" ht="158" customHeight="1">
      <c r="A1328" s="8">
        <f>IF(ISNA(MATCH(1319,'Transfer Engine'!$C$2:$C$1960,0)),"",INDEX('Compliance Database'!$A$2:$A$1960,MATCH(1319,'Transfer Engine'!$C$2:$C$1960,0)))</f>
        <v/>
      </c>
      <c r="B1328" s="8">
        <f>IF(ISNA(MATCH(1319,'Transfer Engine'!$C$2:$C$1960,0)),"",INDEX('Compliance Database'!$B$2:$B$1960,MATCH(1319,'Transfer Engine'!$C$2:$C$1960,0)))</f>
        <v/>
      </c>
      <c r="C1328" s="8">
        <f>IF(ISNA(MATCH(1319,'Transfer Engine'!$C$2:$C$1960,0)),"",INDEX('Compliance Database'!$C$2:$C$1960,MATCH(1319,'Transfer Engine'!$C$2:$C$1960,0)))</f>
        <v/>
      </c>
      <c r="D1328" s="9">
        <f>IF(ISNA(MATCH(1319,'Transfer Engine'!$C$2:$C$1960,0)),"",INDEX('Compliance Database'!$D$2:$D$1960,MATCH(1319,'Transfer Engine'!$C$2:$C$1960,0)))</f>
        <v/>
      </c>
      <c r="E1328" s="8">
        <f>IF(ISNA(MATCH(1319,'Transfer Engine'!$C$2:$C$1960,0)),"",INDEX('Compliance Database'!$E$2:$E$1960,MATCH(1319,'Transfer Engine'!$C$2:$C$1960,0)))</f>
        <v/>
      </c>
      <c r="F1328" s="8">
        <f>IF(ISNA(MATCH(1319,'Transfer Engine'!$C$2:$C$1960,0)),"",INDEX('Compliance Database'!$F$2:$F$1960,MATCH(1319,'Transfer Engine'!$C$2:$C$1960,0)))</f>
        <v/>
      </c>
      <c r="G1328" s="8">
        <f>IF(ISNA(MATCH(1319,'Transfer Engine'!$C$2:$C$1960,0)),"",INDEX('Compliance Database'!$G$2:$G$1960,MATCH(1319,'Transfer Engine'!$C$2:$C$1960,0)))</f>
        <v/>
      </c>
      <c r="H1328" s="9">
        <f>IF(ISNA(MATCH(1319,'Transfer Engine'!$C$2:$C$1960,0)),"",INDEX('Compliance Database'!$H$2:$H$1960,MATCH(1319,'Transfer Engine'!$C$2:$C$1960,0)))</f>
        <v/>
      </c>
      <c r="I1328" s="9">
        <f>IF(ISNA(MATCH(1319,'Transfer Engine'!$C$2:$C$1960,0)),"",INDEX('Compliance Database'!$I$2:$I$1960,MATCH(1319,'Transfer Engine'!$C$2:$C$1960,0)))</f>
        <v/>
      </c>
      <c r="J1328" s="8">
        <f>IF(ISNA(MATCH(1319,'Transfer Engine'!$C$2:$C$1960,0)),"",INDEX('Compliance Database'!$J$2:$J$1960,MATCH(1319,'Transfer Engine'!$C$2:$C$1960,0)))</f>
        <v/>
      </c>
      <c r="K1328" s="9">
        <f>IF(ISNA(MATCH(1319,'Transfer Engine'!$C$2:$C$1960,0)),"",INDEX('Compliance Database'!$K$2:$K$1960,MATCH(1319,'Transfer Engine'!$C$2:$C$1960,0)))</f>
        <v/>
      </c>
      <c r="L1328" s="9">
        <f>IF(ISNA(MATCH(1319,'Transfer Engine'!$C$2:$C$1960,0)),"",INDEX('Compliance Database'!$L$2:$L$1960,MATCH(1319,'Transfer Engine'!$C$2:$C$1960,0)))</f>
        <v/>
      </c>
      <c r="M1328" s="9">
        <f>IF(ISNA(MATCH(1319,'Transfer Engine'!$C$2:$C$1960,0)),"",INDEX('Compliance Database'!$M$2:$M$1960,MATCH(1319,'Transfer Engine'!$C$2:$C$1960,0)))</f>
        <v/>
      </c>
      <c r="N1328" s="9">
        <f>IF(ISNA(MATCH(1319,'Transfer Engine'!$C$2:$C$1960,0)),"",INDEX('Compliance Database'!$N$2:$N$1960,MATCH(1319,'Transfer Engine'!$C$2:$C$1960,0)))</f>
        <v/>
      </c>
      <c r="O1328" s="9">
        <f>IF(ISNA(MATCH(1319,'Transfer Engine'!$C$2:$C$1960,0)),"",INDEX('Compliance Database'!$O$2:$O$1960,MATCH(1319,'Transfer Engine'!$C$2:$C$1960,0)))</f>
        <v/>
      </c>
      <c r="P1328" s="8">
        <f>IF(ISNA(MATCH(1319,'Transfer Engine'!$C$2:$C$1960,0)),"",HYPERLINK("#Acts!A"&amp;INDEX('Compliance Database'!$P$2:$P$1960,MATCH(1319,'Transfer Engine'!$C$2:$C$1960,0)),"Go to Act"))</f>
        <v/>
      </c>
    </row>
    <row r="1329" ht="158" customHeight="1">
      <c r="A1329" s="8">
        <f>IF(ISNA(MATCH(1320,'Transfer Engine'!$C$2:$C$1960,0)),"",INDEX('Compliance Database'!$A$2:$A$1960,MATCH(1320,'Transfer Engine'!$C$2:$C$1960,0)))</f>
        <v/>
      </c>
      <c r="B1329" s="8">
        <f>IF(ISNA(MATCH(1320,'Transfer Engine'!$C$2:$C$1960,0)),"",INDEX('Compliance Database'!$B$2:$B$1960,MATCH(1320,'Transfer Engine'!$C$2:$C$1960,0)))</f>
        <v/>
      </c>
      <c r="C1329" s="8">
        <f>IF(ISNA(MATCH(1320,'Transfer Engine'!$C$2:$C$1960,0)),"",INDEX('Compliance Database'!$C$2:$C$1960,MATCH(1320,'Transfer Engine'!$C$2:$C$1960,0)))</f>
        <v/>
      </c>
      <c r="D1329" s="9">
        <f>IF(ISNA(MATCH(1320,'Transfer Engine'!$C$2:$C$1960,0)),"",INDEX('Compliance Database'!$D$2:$D$1960,MATCH(1320,'Transfer Engine'!$C$2:$C$1960,0)))</f>
        <v/>
      </c>
      <c r="E1329" s="8">
        <f>IF(ISNA(MATCH(1320,'Transfer Engine'!$C$2:$C$1960,0)),"",INDEX('Compliance Database'!$E$2:$E$1960,MATCH(1320,'Transfer Engine'!$C$2:$C$1960,0)))</f>
        <v/>
      </c>
      <c r="F1329" s="8">
        <f>IF(ISNA(MATCH(1320,'Transfer Engine'!$C$2:$C$1960,0)),"",INDEX('Compliance Database'!$F$2:$F$1960,MATCH(1320,'Transfer Engine'!$C$2:$C$1960,0)))</f>
        <v/>
      </c>
      <c r="G1329" s="8">
        <f>IF(ISNA(MATCH(1320,'Transfer Engine'!$C$2:$C$1960,0)),"",INDEX('Compliance Database'!$G$2:$G$1960,MATCH(1320,'Transfer Engine'!$C$2:$C$1960,0)))</f>
        <v/>
      </c>
      <c r="H1329" s="9">
        <f>IF(ISNA(MATCH(1320,'Transfer Engine'!$C$2:$C$1960,0)),"",INDEX('Compliance Database'!$H$2:$H$1960,MATCH(1320,'Transfer Engine'!$C$2:$C$1960,0)))</f>
        <v/>
      </c>
      <c r="I1329" s="9">
        <f>IF(ISNA(MATCH(1320,'Transfer Engine'!$C$2:$C$1960,0)),"",INDEX('Compliance Database'!$I$2:$I$1960,MATCH(1320,'Transfer Engine'!$C$2:$C$1960,0)))</f>
        <v/>
      </c>
      <c r="J1329" s="8">
        <f>IF(ISNA(MATCH(1320,'Transfer Engine'!$C$2:$C$1960,0)),"",INDEX('Compliance Database'!$J$2:$J$1960,MATCH(1320,'Transfer Engine'!$C$2:$C$1960,0)))</f>
        <v/>
      </c>
      <c r="K1329" s="9">
        <f>IF(ISNA(MATCH(1320,'Transfer Engine'!$C$2:$C$1960,0)),"",INDEX('Compliance Database'!$K$2:$K$1960,MATCH(1320,'Transfer Engine'!$C$2:$C$1960,0)))</f>
        <v/>
      </c>
      <c r="L1329" s="9">
        <f>IF(ISNA(MATCH(1320,'Transfer Engine'!$C$2:$C$1960,0)),"",INDEX('Compliance Database'!$L$2:$L$1960,MATCH(1320,'Transfer Engine'!$C$2:$C$1960,0)))</f>
        <v/>
      </c>
      <c r="M1329" s="9">
        <f>IF(ISNA(MATCH(1320,'Transfer Engine'!$C$2:$C$1960,0)),"",INDEX('Compliance Database'!$M$2:$M$1960,MATCH(1320,'Transfer Engine'!$C$2:$C$1960,0)))</f>
        <v/>
      </c>
      <c r="N1329" s="9">
        <f>IF(ISNA(MATCH(1320,'Transfer Engine'!$C$2:$C$1960,0)),"",INDEX('Compliance Database'!$N$2:$N$1960,MATCH(1320,'Transfer Engine'!$C$2:$C$1960,0)))</f>
        <v/>
      </c>
      <c r="O1329" s="9">
        <f>IF(ISNA(MATCH(1320,'Transfer Engine'!$C$2:$C$1960,0)),"",INDEX('Compliance Database'!$O$2:$O$1960,MATCH(1320,'Transfer Engine'!$C$2:$C$1960,0)))</f>
        <v/>
      </c>
      <c r="P1329" s="8">
        <f>IF(ISNA(MATCH(1320,'Transfer Engine'!$C$2:$C$1960,0)),"",HYPERLINK("#Acts!A"&amp;INDEX('Compliance Database'!$P$2:$P$1960,MATCH(1320,'Transfer Engine'!$C$2:$C$1960,0)),"Go to Act"))</f>
        <v/>
      </c>
    </row>
    <row r="1330" ht="158" customHeight="1">
      <c r="A1330" s="8">
        <f>IF(ISNA(MATCH(1321,'Transfer Engine'!$C$2:$C$1960,0)),"",INDEX('Compliance Database'!$A$2:$A$1960,MATCH(1321,'Transfer Engine'!$C$2:$C$1960,0)))</f>
        <v/>
      </c>
      <c r="B1330" s="8">
        <f>IF(ISNA(MATCH(1321,'Transfer Engine'!$C$2:$C$1960,0)),"",INDEX('Compliance Database'!$B$2:$B$1960,MATCH(1321,'Transfer Engine'!$C$2:$C$1960,0)))</f>
        <v/>
      </c>
      <c r="C1330" s="8">
        <f>IF(ISNA(MATCH(1321,'Transfer Engine'!$C$2:$C$1960,0)),"",INDEX('Compliance Database'!$C$2:$C$1960,MATCH(1321,'Transfer Engine'!$C$2:$C$1960,0)))</f>
        <v/>
      </c>
      <c r="D1330" s="9">
        <f>IF(ISNA(MATCH(1321,'Transfer Engine'!$C$2:$C$1960,0)),"",INDEX('Compliance Database'!$D$2:$D$1960,MATCH(1321,'Transfer Engine'!$C$2:$C$1960,0)))</f>
        <v/>
      </c>
      <c r="E1330" s="8">
        <f>IF(ISNA(MATCH(1321,'Transfer Engine'!$C$2:$C$1960,0)),"",INDEX('Compliance Database'!$E$2:$E$1960,MATCH(1321,'Transfer Engine'!$C$2:$C$1960,0)))</f>
        <v/>
      </c>
      <c r="F1330" s="8">
        <f>IF(ISNA(MATCH(1321,'Transfer Engine'!$C$2:$C$1960,0)),"",INDEX('Compliance Database'!$F$2:$F$1960,MATCH(1321,'Transfer Engine'!$C$2:$C$1960,0)))</f>
        <v/>
      </c>
      <c r="G1330" s="8">
        <f>IF(ISNA(MATCH(1321,'Transfer Engine'!$C$2:$C$1960,0)),"",INDEX('Compliance Database'!$G$2:$G$1960,MATCH(1321,'Transfer Engine'!$C$2:$C$1960,0)))</f>
        <v/>
      </c>
      <c r="H1330" s="9">
        <f>IF(ISNA(MATCH(1321,'Transfer Engine'!$C$2:$C$1960,0)),"",INDEX('Compliance Database'!$H$2:$H$1960,MATCH(1321,'Transfer Engine'!$C$2:$C$1960,0)))</f>
        <v/>
      </c>
      <c r="I1330" s="9">
        <f>IF(ISNA(MATCH(1321,'Transfer Engine'!$C$2:$C$1960,0)),"",INDEX('Compliance Database'!$I$2:$I$1960,MATCH(1321,'Transfer Engine'!$C$2:$C$1960,0)))</f>
        <v/>
      </c>
      <c r="J1330" s="8">
        <f>IF(ISNA(MATCH(1321,'Transfer Engine'!$C$2:$C$1960,0)),"",INDEX('Compliance Database'!$J$2:$J$1960,MATCH(1321,'Transfer Engine'!$C$2:$C$1960,0)))</f>
        <v/>
      </c>
      <c r="K1330" s="9">
        <f>IF(ISNA(MATCH(1321,'Transfer Engine'!$C$2:$C$1960,0)),"",INDEX('Compliance Database'!$K$2:$K$1960,MATCH(1321,'Transfer Engine'!$C$2:$C$1960,0)))</f>
        <v/>
      </c>
      <c r="L1330" s="9">
        <f>IF(ISNA(MATCH(1321,'Transfer Engine'!$C$2:$C$1960,0)),"",INDEX('Compliance Database'!$L$2:$L$1960,MATCH(1321,'Transfer Engine'!$C$2:$C$1960,0)))</f>
        <v/>
      </c>
      <c r="M1330" s="9">
        <f>IF(ISNA(MATCH(1321,'Transfer Engine'!$C$2:$C$1960,0)),"",INDEX('Compliance Database'!$M$2:$M$1960,MATCH(1321,'Transfer Engine'!$C$2:$C$1960,0)))</f>
        <v/>
      </c>
      <c r="N1330" s="9">
        <f>IF(ISNA(MATCH(1321,'Transfer Engine'!$C$2:$C$1960,0)),"",INDEX('Compliance Database'!$N$2:$N$1960,MATCH(1321,'Transfer Engine'!$C$2:$C$1960,0)))</f>
        <v/>
      </c>
      <c r="O1330" s="9">
        <f>IF(ISNA(MATCH(1321,'Transfer Engine'!$C$2:$C$1960,0)),"",INDEX('Compliance Database'!$O$2:$O$1960,MATCH(1321,'Transfer Engine'!$C$2:$C$1960,0)))</f>
        <v/>
      </c>
      <c r="P1330" s="8">
        <f>IF(ISNA(MATCH(1321,'Transfer Engine'!$C$2:$C$1960,0)),"",HYPERLINK("#Acts!A"&amp;INDEX('Compliance Database'!$P$2:$P$1960,MATCH(1321,'Transfer Engine'!$C$2:$C$1960,0)),"Go to Act"))</f>
        <v/>
      </c>
    </row>
    <row r="1331" ht="158" customHeight="1">
      <c r="A1331" s="8">
        <f>IF(ISNA(MATCH(1322,'Transfer Engine'!$C$2:$C$1960,0)),"",INDEX('Compliance Database'!$A$2:$A$1960,MATCH(1322,'Transfer Engine'!$C$2:$C$1960,0)))</f>
        <v/>
      </c>
      <c r="B1331" s="8">
        <f>IF(ISNA(MATCH(1322,'Transfer Engine'!$C$2:$C$1960,0)),"",INDEX('Compliance Database'!$B$2:$B$1960,MATCH(1322,'Transfer Engine'!$C$2:$C$1960,0)))</f>
        <v/>
      </c>
      <c r="C1331" s="8">
        <f>IF(ISNA(MATCH(1322,'Transfer Engine'!$C$2:$C$1960,0)),"",INDEX('Compliance Database'!$C$2:$C$1960,MATCH(1322,'Transfer Engine'!$C$2:$C$1960,0)))</f>
        <v/>
      </c>
      <c r="D1331" s="9">
        <f>IF(ISNA(MATCH(1322,'Transfer Engine'!$C$2:$C$1960,0)),"",INDEX('Compliance Database'!$D$2:$D$1960,MATCH(1322,'Transfer Engine'!$C$2:$C$1960,0)))</f>
        <v/>
      </c>
      <c r="E1331" s="8">
        <f>IF(ISNA(MATCH(1322,'Transfer Engine'!$C$2:$C$1960,0)),"",INDEX('Compliance Database'!$E$2:$E$1960,MATCH(1322,'Transfer Engine'!$C$2:$C$1960,0)))</f>
        <v/>
      </c>
      <c r="F1331" s="8">
        <f>IF(ISNA(MATCH(1322,'Transfer Engine'!$C$2:$C$1960,0)),"",INDEX('Compliance Database'!$F$2:$F$1960,MATCH(1322,'Transfer Engine'!$C$2:$C$1960,0)))</f>
        <v/>
      </c>
      <c r="G1331" s="8">
        <f>IF(ISNA(MATCH(1322,'Transfer Engine'!$C$2:$C$1960,0)),"",INDEX('Compliance Database'!$G$2:$G$1960,MATCH(1322,'Transfer Engine'!$C$2:$C$1960,0)))</f>
        <v/>
      </c>
      <c r="H1331" s="9">
        <f>IF(ISNA(MATCH(1322,'Transfer Engine'!$C$2:$C$1960,0)),"",INDEX('Compliance Database'!$H$2:$H$1960,MATCH(1322,'Transfer Engine'!$C$2:$C$1960,0)))</f>
        <v/>
      </c>
      <c r="I1331" s="9">
        <f>IF(ISNA(MATCH(1322,'Transfer Engine'!$C$2:$C$1960,0)),"",INDEX('Compliance Database'!$I$2:$I$1960,MATCH(1322,'Transfer Engine'!$C$2:$C$1960,0)))</f>
        <v/>
      </c>
      <c r="J1331" s="8">
        <f>IF(ISNA(MATCH(1322,'Transfer Engine'!$C$2:$C$1960,0)),"",INDEX('Compliance Database'!$J$2:$J$1960,MATCH(1322,'Transfer Engine'!$C$2:$C$1960,0)))</f>
        <v/>
      </c>
      <c r="K1331" s="9">
        <f>IF(ISNA(MATCH(1322,'Transfer Engine'!$C$2:$C$1960,0)),"",INDEX('Compliance Database'!$K$2:$K$1960,MATCH(1322,'Transfer Engine'!$C$2:$C$1960,0)))</f>
        <v/>
      </c>
      <c r="L1331" s="9">
        <f>IF(ISNA(MATCH(1322,'Transfer Engine'!$C$2:$C$1960,0)),"",INDEX('Compliance Database'!$L$2:$L$1960,MATCH(1322,'Transfer Engine'!$C$2:$C$1960,0)))</f>
        <v/>
      </c>
      <c r="M1331" s="9">
        <f>IF(ISNA(MATCH(1322,'Transfer Engine'!$C$2:$C$1960,0)),"",INDEX('Compliance Database'!$M$2:$M$1960,MATCH(1322,'Transfer Engine'!$C$2:$C$1960,0)))</f>
        <v/>
      </c>
      <c r="N1331" s="9">
        <f>IF(ISNA(MATCH(1322,'Transfer Engine'!$C$2:$C$1960,0)),"",INDEX('Compliance Database'!$N$2:$N$1960,MATCH(1322,'Transfer Engine'!$C$2:$C$1960,0)))</f>
        <v/>
      </c>
      <c r="O1331" s="9">
        <f>IF(ISNA(MATCH(1322,'Transfer Engine'!$C$2:$C$1960,0)),"",INDEX('Compliance Database'!$O$2:$O$1960,MATCH(1322,'Transfer Engine'!$C$2:$C$1960,0)))</f>
        <v/>
      </c>
      <c r="P1331" s="8">
        <f>IF(ISNA(MATCH(1322,'Transfer Engine'!$C$2:$C$1960,0)),"",HYPERLINK("#Acts!A"&amp;INDEX('Compliance Database'!$P$2:$P$1960,MATCH(1322,'Transfer Engine'!$C$2:$C$1960,0)),"Go to Act"))</f>
        <v/>
      </c>
    </row>
    <row r="1332" ht="158" customHeight="1">
      <c r="A1332" s="8">
        <f>IF(ISNA(MATCH(1323,'Transfer Engine'!$C$2:$C$1960,0)),"",INDEX('Compliance Database'!$A$2:$A$1960,MATCH(1323,'Transfer Engine'!$C$2:$C$1960,0)))</f>
        <v/>
      </c>
      <c r="B1332" s="8">
        <f>IF(ISNA(MATCH(1323,'Transfer Engine'!$C$2:$C$1960,0)),"",INDEX('Compliance Database'!$B$2:$B$1960,MATCH(1323,'Transfer Engine'!$C$2:$C$1960,0)))</f>
        <v/>
      </c>
      <c r="C1332" s="8">
        <f>IF(ISNA(MATCH(1323,'Transfer Engine'!$C$2:$C$1960,0)),"",INDEX('Compliance Database'!$C$2:$C$1960,MATCH(1323,'Transfer Engine'!$C$2:$C$1960,0)))</f>
        <v/>
      </c>
      <c r="D1332" s="9">
        <f>IF(ISNA(MATCH(1323,'Transfer Engine'!$C$2:$C$1960,0)),"",INDEX('Compliance Database'!$D$2:$D$1960,MATCH(1323,'Transfer Engine'!$C$2:$C$1960,0)))</f>
        <v/>
      </c>
      <c r="E1332" s="8">
        <f>IF(ISNA(MATCH(1323,'Transfer Engine'!$C$2:$C$1960,0)),"",INDEX('Compliance Database'!$E$2:$E$1960,MATCH(1323,'Transfer Engine'!$C$2:$C$1960,0)))</f>
        <v/>
      </c>
      <c r="F1332" s="8">
        <f>IF(ISNA(MATCH(1323,'Transfer Engine'!$C$2:$C$1960,0)),"",INDEX('Compliance Database'!$F$2:$F$1960,MATCH(1323,'Transfer Engine'!$C$2:$C$1960,0)))</f>
        <v/>
      </c>
      <c r="G1332" s="8">
        <f>IF(ISNA(MATCH(1323,'Transfer Engine'!$C$2:$C$1960,0)),"",INDEX('Compliance Database'!$G$2:$G$1960,MATCH(1323,'Transfer Engine'!$C$2:$C$1960,0)))</f>
        <v/>
      </c>
      <c r="H1332" s="9">
        <f>IF(ISNA(MATCH(1323,'Transfer Engine'!$C$2:$C$1960,0)),"",INDEX('Compliance Database'!$H$2:$H$1960,MATCH(1323,'Transfer Engine'!$C$2:$C$1960,0)))</f>
        <v/>
      </c>
      <c r="I1332" s="9">
        <f>IF(ISNA(MATCH(1323,'Transfer Engine'!$C$2:$C$1960,0)),"",INDEX('Compliance Database'!$I$2:$I$1960,MATCH(1323,'Transfer Engine'!$C$2:$C$1960,0)))</f>
        <v/>
      </c>
      <c r="J1332" s="8">
        <f>IF(ISNA(MATCH(1323,'Transfer Engine'!$C$2:$C$1960,0)),"",INDEX('Compliance Database'!$J$2:$J$1960,MATCH(1323,'Transfer Engine'!$C$2:$C$1960,0)))</f>
        <v/>
      </c>
      <c r="K1332" s="9">
        <f>IF(ISNA(MATCH(1323,'Transfer Engine'!$C$2:$C$1960,0)),"",INDEX('Compliance Database'!$K$2:$K$1960,MATCH(1323,'Transfer Engine'!$C$2:$C$1960,0)))</f>
        <v/>
      </c>
      <c r="L1332" s="9">
        <f>IF(ISNA(MATCH(1323,'Transfer Engine'!$C$2:$C$1960,0)),"",INDEX('Compliance Database'!$L$2:$L$1960,MATCH(1323,'Transfer Engine'!$C$2:$C$1960,0)))</f>
        <v/>
      </c>
      <c r="M1332" s="9">
        <f>IF(ISNA(MATCH(1323,'Transfer Engine'!$C$2:$C$1960,0)),"",INDEX('Compliance Database'!$M$2:$M$1960,MATCH(1323,'Transfer Engine'!$C$2:$C$1960,0)))</f>
        <v/>
      </c>
      <c r="N1332" s="9">
        <f>IF(ISNA(MATCH(1323,'Transfer Engine'!$C$2:$C$1960,0)),"",INDEX('Compliance Database'!$N$2:$N$1960,MATCH(1323,'Transfer Engine'!$C$2:$C$1960,0)))</f>
        <v/>
      </c>
      <c r="O1332" s="9">
        <f>IF(ISNA(MATCH(1323,'Transfer Engine'!$C$2:$C$1960,0)),"",INDEX('Compliance Database'!$O$2:$O$1960,MATCH(1323,'Transfer Engine'!$C$2:$C$1960,0)))</f>
        <v/>
      </c>
      <c r="P1332" s="8">
        <f>IF(ISNA(MATCH(1323,'Transfer Engine'!$C$2:$C$1960,0)),"",HYPERLINK("#Acts!A"&amp;INDEX('Compliance Database'!$P$2:$P$1960,MATCH(1323,'Transfer Engine'!$C$2:$C$1960,0)),"Go to Act"))</f>
        <v/>
      </c>
    </row>
    <row r="1333" ht="158" customHeight="1">
      <c r="A1333" s="8">
        <f>IF(ISNA(MATCH(1324,'Transfer Engine'!$C$2:$C$1960,0)),"",INDEX('Compliance Database'!$A$2:$A$1960,MATCH(1324,'Transfer Engine'!$C$2:$C$1960,0)))</f>
        <v/>
      </c>
      <c r="B1333" s="8">
        <f>IF(ISNA(MATCH(1324,'Transfer Engine'!$C$2:$C$1960,0)),"",INDEX('Compliance Database'!$B$2:$B$1960,MATCH(1324,'Transfer Engine'!$C$2:$C$1960,0)))</f>
        <v/>
      </c>
      <c r="C1333" s="8">
        <f>IF(ISNA(MATCH(1324,'Transfer Engine'!$C$2:$C$1960,0)),"",INDEX('Compliance Database'!$C$2:$C$1960,MATCH(1324,'Transfer Engine'!$C$2:$C$1960,0)))</f>
        <v/>
      </c>
      <c r="D1333" s="9">
        <f>IF(ISNA(MATCH(1324,'Transfer Engine'!$C$2:$C$1960,0)),"",INDEX('Compliance Database'!$D$2:$D$1960,MATCH(1324,'Transfer Engine'!$C$2:$C$1960,0)))</f>
        <v/>
      </c>
      <c r="E1333" s="8">
        <f>IF(ISNA(MATCH(1324,'Transfer Engine'!$C$2:$C$1960,0)),"",INDEX('Compliance Database'!$E$2:$E$1960,MATCH(1324,'Transfer Engine'!$C$2:$C$1960,0)))</f>
        <v/>
      </c>
      <c r="F1333" s="8">
        <f>IF(ISNA(MATCH(1324,'Transfer Engine'!$C$2:$C$1960,0)),"",INDEX('Compliance Database'!$F$2:$F$1960,MATCH(1324,'Transfer Engine'!$C$2:$C$1960,0)))</f>
        <v/>
      </c>
      <c r="G1333" s="8">
        <f>IF(ISNA(MATCH(1324,'Transfer Engine'!$C$2:$C$1960,0)),"",INDEX('Compliance Database'!$G$2:$G$1960,MATCH(1324,'Transfer Engine'!$C$2:$C$1960,0)))</f>
        <v/>
      </c>
      <c r="H1333" s="9">
        <f>IF(ISNA(MATCH(1324,'Transfer Engine'!$C$2:$C$1960,0)),"",INDEX('Compliance Database'!$H$2:$H$1960,MATCH(1324,'Transfer Engine'!$C$2:$C$1960,0)))</f>
        <v/>
      </c>
      <c r="I1333" s="9">
        <f>IF(ISNA(MATCH(1324,'Transfer Engine'!$C$2:$C$1960,0)),"",INDEX('Compliance Database'!$I$2:$I$1960,MATCH(1324,'Transfer Engine'!$C$2:$C$1960,0)))</f>
        <v/>
      </c>
      <c r="J1333" s="8">
        <f>IF(ISNA(MATCH(1324,'Transfer Engine'!$C$2:$C$1960,0)),"",INDEX('Compliance Database'!$J$2:$J$1960,MATCH(1324,'Transfer Engine'!$C$2:$C$1960,0)))</f>
        <v/>
      </c>
      <c r="K1333" s="9">
        <f>IF(ISNA(MATCH(1324,'Transfer Engine'!$C$2:$C$1960,0)),"",INDEX('Compliance Database'!$K$2:$K$1960,MATCH(1324,'Transfer Engine'!$C$2:$C$1960,0)))</f>
        <v/>
      </c>
      <c r="L1333" s="9">
        <f>IF(ISNA(MATCH(1324,'Transfer Engine'!$C$2:$C$1960,0)),"",INDEX('Compliance Database'!$L$2:$L$1960,MATCH(1324,'Transfer Engine'!$C$2:$C$1960,0)))</f>
        <v/>
      </c>
      <c r="M1333" s="9">
        <f>IF(ISNA(MATCH(1324,'Transfer Engine'!$C$2:$C$1960,0)),"",INDEX('Compliance Database'!$M$2:$M$1960,MATCH(1324,'Transfer Engine'!$C$2:$C$1960,0)))</f>
        <v/>
      </c>
      <c r="N1333" s="9">
        <f>IF(ISNA(MATCH(1324,'Transfer Engine'!$C$2:$C$1960,0)),"",INDEX('Compliance Database'!$N$2:$N$1960,MATCH(1324,'Transfer Engine'!$C$2:$C$1960,0)))</f>
        <v/>
      </c>
      <c r="O1333" s="9">
        <f>IF(ISNA(MATCH(1324,'Transfer Engine'!$C$2:$C$1960,0)),"",INDEX('Compliance Database'!$O$2:$O$1960,MATCH(1324,'Transfer Engine'!$C$2:$C$1960,0)))</f>
        <v/>
      </c>
      <c r="P1333" s="8">
        <f>IF(ISNA(MATCH(1324,'Transfer Engine'!$C$2:$C$1960,0)),"",HYPERLINK("#Acts!A"&amp;INDEX('Compliance Database'!$P$2:$P$1960,MATCH(1324,'Transfer Engine'!$C$2:$C$1960,0)),"Go to Act"))</f>
        <v/>
      </c>
    </row>
    <row r="1334" ht="158" customHeight="1">
      <c r="A1334" s="8">
        <f>IF(ISNA(MATCH(1325,'Transfer Engine'!$C$2:$C$1960,0)),"",INDEX('Compliance Database'!$A$2:$A$1960,MATCH(1325,'Transfer Engine'!$C$2:$C$1960,0)))</f>
        <v/>
      </c>
      <c r="B1334" s="8">
        <f>IF(ISNA(MATCH(1325,'Transfer Engine'!$C$2:$C$1960,0)),"",INDEX('Compliance Database'!$B$2:$B$1960,MATCH(1325,'Transfer Engine'!$C$2:$C$1960,0)))</f>
        <v/>
      </c>
      <c r="C1334" s="8">
        <f>IF(ISNA(MATCH(1325,'Transfer Engine'!$C$2:$C$1960,0)),"",INDEX('Compliance Database'!$C$2:$C$1960,MATCH(1325,'Transfer Engine'!$C$2:$C$1960,0)))</f>
        <v/>
      </c>
      <c r="D1334" s="9">
        <f>IF(ISNA(MATCH(1325,'Transfer Engine'!$C$2:$C$1960,0)),"",INDEX('Compliance Database'!$D$2:$D$1960,MATCH(1325,'Transfer Engine'!$C$2:$C$1960,0)))</f>
        <v/>
      </c>
      <c r="E1334" s="8">
        <f>IF(ISNA(MATCH(1325,'Transfer Engine'!$C$2:$C$1960,0)),"",INDEX('Compliance Database'!$E$2:$E$1960,MATCH(1325,'Transfer Engine'!$C$2:$C$1960,0)))</f>
        <v/>
      </c>
      <c r="F1334" s="8">
        <f>IF(ISNA(MATCH(1325,'Transfer Engine'!$C$2:$C$1960,0)),"",INDEX('Compliance Database'!$F$2:$F$1960,MATCH(1325,'Transfer Engine'!$C$2:$C$1960,0)))</f>
        <v/>
      </c>
      <c r="G1334" s="8">
        <f>IF(ISNA(MATCH(1325,'Transfer Engine'!$C$2:$C$1960,0)),"",INDEX('Compliance Database'!$G$2:$G$1960,MATCH(1325,'Transfer Engine'!$C$2:$C$1960,0)))</f>
        <v/>
      </c>
      <c r="H1334" s="9">
        <f>IF(ISNA(MATCH(1325,'Transfer Engine'!$C$2:$C$1960,0)),"",INDEX('Compliance Database'!$H$2:$H$1960,MATCH(1325,'Transfer Engine'!$C$2:$C$1960,0)))</f>
        <v/>
      </c>
      <c r="I1334" s="9">
        <f>IF(ISNA(MATCH(1325,'Transfer Engine'!$C$2:$C$1960,0)),"",INDEX('Compliance Database'!$I$2:$I$1960,MATCH(1325,'Transfer Engine'!$C$2:$C$1960,0)))</f>
        <v/>
      </c>
      <c r="J1334" s="8">
        <f>IF(ISNA(MATCH(1325,'Transfer Engine'!$C$2:$C$1960,0)),"",INDEX('Compliance Database'!$J$2:$J$1960,MATCH(1325,'Transfer Engine'!$C$2:$C$1960,0)))</f>
        <v/>
      </c>
      <c r="K1334" s="9">
        <f>IF(ISNA(MATCH(1325,'Transfer Engine'!$C$2:$C$1960,0)),"",INDEX('Compliance Database'!$K$2:$K$1960,MATCH(1325,'Transfer Engine'!$C$2:$C$1960,0)))</f>
        <v/>
      </c>
      <c r="L1334" s="9">
        <f>IF(ISNA(MATCH(1325,'Transfer Engine'!$C$2:$C$1960,0)),"",INDEX('Compliance Database'!$L$2:$L$1960,MATCH(1325,'Transfer Engine'!$C$2:$C$1960,0)))</f>
        <v/>
      </c>
      <c r="M1334" s="9">
        <f>IF(ISNA(MATCH(1325,'Transfer Engine'!$C$2:$C$1960,0)),"",INDEX('Compliance Database'!$M$2:$M$1960,MATCH(1325,'Transfer Engine'!$C$2:$C$1960,0)))</f>
        <v/>
      </c>
      <c r="N1334" s="9">
        <f>IF(ISNA(MATCH(1325,'Transfer Engine'!$C$2:$C$1960,0)),"",INDEX('Compliance Database'!$N$2:$N$1960,MATCH(1325,'Transfer Engine'!$C$2:$C$1960,0)))</f>
        <v/>
      </c>
      <c r="O1334" s="9">
        <f>IF(ISNA(MATCH(1325,'Transfer Engine'!$C$2:$C$1960,0)),"",INDEX('Compliance Database'!$O$2:$O$1960,MATCH(1325,'Transfer Engine'!$C$2:$C$1960,0)))</f>
        <v/>
      </c>
      <c r="P1334" s="8">
        <f>IF(ISNA(MATCH(1325,'Transfer Engine'!$C$2:$C$1960,0)),"",HYPERLINK("#Acts!A"&amp;INDEX('Compliance Database'!$P$2:$P$1960,MATCH(1325,'Transfer Engine'!$C$2:$C$1960,0)),"Go to Act"))</f>
        <v/>
      </c>
    </row>
    <row r="1335" ht="158" customHeight="1">
      <c r="A1335" s="8">
        <f>IF(ISNA(MATCH(1326,'Transfer Engine'!$C$2:$C$1960,0)),"",INDEX('Compliance Database'!$A$2:$A$1960,MATCH(1326,'Transfer Engine'!$C$2:$C$1960,0)))</f>
        <v/>
      </c>
      <c r="B1335" s="8">
        <f>IF(ISNA(MATCH(1326,'Transfer Engine'!$C$2:$C$1960,0)),"",INDEX('Compliance Database'!$B$2:$B$1960,MATCH(1326,'Transfer Engine'!$C$2:$C$1960,0)))</f>
        <v/>
      </c>
      <c r="C1335" s="8">
        <f>IF(ISNA(MATCH(1326,'Transfer Engine'!$C$2:$C$1960,0)),"",INDEX('Compliance Database'!$C$2:$C$1960,MATCH(1326,'Transfer Engine'!$C$2:$C$1960,0)))</f>
        <v/>
      </c>
      <c r="D1335" s="9">
        <f>IF(ISNA(MATCH(1326,'Transfer Engine'!$C$2:$C$1960,0)),"",INDEX('Compliance Database'!$D$2:$D$1960,MATCH(1326,'Transfer Engine'!$C$2:$C$1960,0)))</f>
        <v/>
      </c>
      <c r="E1335" s="8">
        <f>IF(ISNA(MATCH(1326,'Transfer Engine'!$C$2:$C$1960,0)),"",INDEX('Compliance Database'!$E$2:$E$1960,MATCH(1326,'Transfer Engine'!$C$2:$C$1960,0)))</f>
        <v/>
      </c>
      <c r="F1335" s="8">
        <f>IF(ISNA(MATCH(1326,'Transfer Engine'!$C$2:$C$1960,0)),"",INDEX('Compliance Database'!$F$2:$F$1960,MATCH(1326,'Transfer Engine'!$C$2:$C$1960,0)))</f>
        <v/>
      </c>
      <c r="G1335" s="8">
        <f>IF(ISNA(MATCH(1326,'Transfer Engine'!$C$2:$C$1960,0)),"",INDEX('Compliance Database'!$G$2:$G$1960,MATCH(1326,'Transfer Engine'!$C$2:$C$1960,0)))</f>
        <v/>
      </c>
      <c r="H1335" s="9">
        <f>IF(ISNA(MATCH(1326,'Transfer Engine'!$C$2:$C$1960,0)),"",INDEX('Compliance Database'!$H$2:$H$1960,MATCH(1326,'Transfer Engine'!$C$2:$C$1960,0)))</f>
        <v/>
      </c>
      <c r="I1335" s="9">
        <f>IF(ISNA(MATCH(1326,'Transfer Engine'!$C$2:$C$1960,0)),"",INDEX('Compliance Database'!$I$2:$I$1960,MATCH(1326,'Transfer Engine'!$C$2:$C$1960,0)))</f>
        <v/>
      </c>
      <c r="J1335" s="8">
        <f>IF(ISNA(MATCH(1326,'Transfer Engine'!$C$2:$C$1960,0)),"",INDEX('Compliance Database'!$J$2:$J$1960,MATCH(1326,'Transfer Engine'!$C$2:$C$1960,0)))</f>
        <v/>
      </c>
      <c r="K1335" s="9">
        <f>IF(ISNA(MATCH(1326,'Transfer Engine'!$C$2:$C$1960,0)),"",INDEX('Compliance Database'!$K$2:$K$1960,MATCH(1326,'Transfer Engine'!$C$2:$C$1960,0)))</f>
        <v/>
      </c>
      <c r="L1335" s="9">
        <f>IF(ISNA(MATCH(1326,'Transfer Engine'!$C$2:$C$1960,0)),"",INDEX('Compliance Database'!$L$2:$L$1960,MATCH(1326,'Transfer Engine'!$C$2:$C$1960,0)))</f>
        <v/>
      </c>
      <c r="M1335" s="9">
        <f>IF(ISNA(MATCH(1326,'Transfer Engine'!$C$2:$C$1960,0)),"",INDEX('Compliance Database'!$M$2:$M$1960,MATCH(1326,'Transfer Engine'!$C$2:$C$1960,0)))</f>
        <v/>
      </c>
      <c r="N1335" s="9">
        <f>IF(ISNA(MATCH(1326,'Transfer Engine'!$C$2:$C$1960,0)),"",INDEX('Compliance Database'!$N$2:$N$1960,MATCH(1326,'Transfer Engine'!$C$2:$C$1960,0)))</f>
        <v/>
      </c>
      <c r="O1335" s="9">
        <f>IF(ISNA(MATCH(1326,'Transfer Engine'!$C$2:$C$1960,0)),"",INDEX('Compliance Database'!$O$2:$O$1960,MATCH(1326,'Transfer Engine'!$C$2:$C$1960,0)))</f>
        <v/>
      </c>
      <c r="P1335" s="8">
        <f>IF(ISNA(MATCH(1326,'Transfer Engine'!$C$2:$C$1960,0)),"",HYPERLINK("#Acts!A"&amp;INDEX('Compliance Database'!$P$2:$P$1960,MATCH(1326,'Transfer Engine'!$C$2:$C$1960,0)),"Go to Act"))</f>
        <v/>
      </c>
    </row>
    <row r="1336" ht="158" customHeight="1">
      <c r="A1336" s="8">
        <f>IF(ISNA(MATCH(1327,'Transfer Engine'!$C$2:$C$1960,0)),"",INDEX('Compliance Database'!$A$2:$A$1960,MATCH(1327,'Transfer Engine'!$C$2:$C$1960,0)))</f>
        <v/>
      </c>
      <c r="B1336" s="8">
        <f>IF(ISNA(MATCH(1327,'Transfer Engine'!$C$2:$C$1960,0)),"",INDEX('Compliance Database'!$B$2:$B$1960,MATCH(1327,'Transfer Engine'!$C$2:$C$1960,0)))</f>
        <v/>
      </c>
      <c r="C1336" s="8">
        <f>IF(ISNA(MATCH(1327,'Transfer Engine'!$C$2:$C$1960,0)),"",INDEX('Compliance Database'!$C$2:$C$1960,MATCH(1327,'Transfer Engine'!$C$2:$C$1960,0)))</f>
        <v/>
      </c>
      <c r="D1336" s="9">
        <f>IF(ISNA(MATCH(1327,'Transfer Engine'!$C$2:$C$1960,0)),"",INDEX('Compliance Database'!$D$2:$D$1960,MATCH(1327,'Transfer Engine'!$C$2:$C$1960,0)))</f>
        <v/>
      </c>
      <c r="E1336" s="8">
        <f>IF(ISNA(MATCH(1327,'Transfer Engine'!$C$2:$C$1960,0)),"",INDEX('Compliance Database'!$E$2:$E$1960,MATCH(1327,'Transfer Engine'!$C$2:$C$1960,0)))</f>
        <v/>
      </c>
      <c r="F1336" s="8">
        <f>IF(ISNA(MATCH(1327,'Transfer Engine'!$C$2:$C$1960,0)),"",INDEX('Compliance Database'!$F$2:$F$1960,MATCH(1327,'Transfer Engine'!$C$2:$C$1960,0)))</f>
        <v/>
      </c>
      <c r="G1336" s="8">
        <f>IF(ISNA(MATCH(1327,'Transfer Engine'!$C$2:$C$1960,0)),"",INDEX('Compliance Database'!$G$2:$G$1960,MATCH(1327,'Transfer Engine'!$C$2:$C$1960,0)))</f>
        <v/>
      </c>
      <c r="H1336" s="9">
        <f>IF(ISNA(MATCH(1327,'Transfer Engine'!$C$2:$C$1960,0)),"",INDEX('Compliance Database'!$H$2:$H$1960,MATCH(1327,'Transfer Engine'!$C$2:$C$1960,0)))</f>
        <v/>
      </c>
      <c r="I1336" s="9">
        <f>IF(ISNA(MATCH(1327,'Transfer Engine'!$C$2:$C$1960,0)),"",INDEX('Compliance Database'!$I$2:$I$1960,MATCH(1327,'Transfer Engine'!$C$2:$C$1960,0)))</f>
        <v/>
      </c>
      <c r="J1336" s="8">
        <f>IF(ISNA(MATCH(1327,'Transfer Engine'!$C$2:$C$1960,0)),"",INDEX('Compliance Database'!$J$2:$J$1960,MATCH(1327,'Transfer Engine'!$C$2:$C$1960,0)))</f>
        <v/>
      </c>
      <c r="K1336" s="9">
        <f>IF(ISNA(MATCH(1327,'Transfer Engine'!$C$2:$C$1960,0)),"",INDEX('Compliance Database'!$K$2:$K$1960,MATCH(1327,'Transfer Engine'!$C$2:$C$1960,0)))</f>
        <v/>
      </c>
      <c r="L1336" s="9">
        <f>IF(ISNA(MATCH(1327,'Transfer Engine'!$C$2:$C$1960,0)),"",INDEX('Compliance Database'!$L$2:$L$1960,MATCH(1327,'Transfer Engine'!$C$2:$C$1960,0)))</f>
        <v/>
      </c>
      <c r="M1336" s="9">
        <f>IF(ISNA(MATCH(1327,'Transfer Engine'!$C$2:$C$1960,0)),"",INDEX('Compliance Database'!$M$2:$M$1960,MATCH(1327,'Transfer Engine'!$C$2:$C$1960,0)))</f>
        <v/>
      </c>
      <c r="N1336" s="9">
        <f>IF(ISNA(MATCH(1327,'Transfer Engine'!$C$2:$C$1960,0)),"",INDEX('Compliance Database'!$N$2:$N$1960,MATCH(1327,'Transfer Engine'!$C$2:$C$1960,0)))</f>
        <v/>
      </c>
      <c r="O1336" s="9">
        <f>IF(ISNA(MATCH(1327,'Transfer Engine'!$C$2:$C$1960,0)),"",INDEX('Compliance Database'!$O$2:$O$1960,MATCH(1327,'Transfer Engine'!$C$2:$C$1960,0)))</f>
        <v/>
      </c>
      <c r="P1336" s="8">
        <f>IF(ISNA(MATCH(1327,'Transfer Engine'!$C$2:$C$1960,0)),"",HYPERLINK("#Acts!A"&amp;INDEX('Compliance Database'!$P$2:$P$1960,MATCH(1327,'Transfer Engine'!$C$2:$C$1960,0)),"Go to Act"))</f>
        <v/>
      </c>
    </row>
    <row r="1337" ht="158" customHeight="1">
      <c r="A1337" s="8">
        <f>IF(ISNA(MATCH(1328,'Transfer Engine'!$C$2:$C$1960,0)),"",INDEX('Compliance Database'!$A$2:$A$1960,MATCH(1328,'Transfer Engine'!$C$2:$C$1960,0)))</f>
        <v/>
      </c>
      <c r="B1337" s="8">
        <f>IF(ISNA(MATCH(1328,'Transfer Engine'!$C$2:$C$1960,0)),"",INDEX('Compliance Database'!$B$2:$B$1960,MATCH(1328,'Transfer Engine'!$C$2:$C$1960,0)))</f>
        <v/>
      </c>
      <c r="C1337" s="8">
        <f>IF(ISNA(MATCH(1328,'Transfer Engine'!$C$2:$C$1960,0)),"",INDEX('Compliance Database'!$C$2:$C$1960,MATCH(1328,'Transfer Engine'!$C$2:$C$1960,0)))</f>
        <v/>
      </c>
      <c r="D1337" s="9">
        <f>IF(ISNA(MATCH(1328,'Transfer Engine'!$C$2:$C$1960,0)),"",INDEX('Compliance Database'!$D$2:$D$1960,MATCH(1328,'Transfer Engine'!$C$2:$C$1960,0)))</f>
        <v/>
      </c>
      <c r="E1337" s="8">
        <f>IF(ISNA(MATCH(1328,'Transfer Engine'!$C$2:$C$1960,0)),"",INDEX('Compliance Database'!$E$2:$E$1960,MATCH(1328,'Transfer Engine'!$C$2:$C$1960,0)))</f>
        <v/>
      </c>
      <c r="F1337" s="8">
        <f>IF(ISNA(MATCH(1328,'Transfer Engine'!$C$2:$C$1960,0)),"",INDEX('Compliance Database'!$F$2:$F$1960,MATCH(1328,'Transfer Engine'!$C$2:$C$1960,0)))</f>
        <v/>
      </c>
      <c r="G1337" s="8">
        <f>IF(ISNA(MATCH(1328,'Transfer Engine'!$C$2:$C$1960,0)),"",INDEX('Compliance Database'!$G$2:$G$1960,MATCH(1328,'Transfer Engine'!$C$2:$C$1960,0)))</f>
        <v/>
      </c>
      <c r="H1337" s="9">
        <f>IF(ISNA(MATCH(1328,'Transfer Engine'!$C$2:$C$1960,0)),"",INDEX('Compliance Database'!$H$2:$H$1960,MATCH(1328,'Transfer Engine'!$C$2:$C$1960,0)))</f>
        <v/>
      </c>
      <c r="I1337" s="9">
        <f>IF(ISNA(MATCH(1328,'Transfer Engine'!$C$2:$C$1960,0)),"",INDEX('Compliance Database'!$I$2:$I$1960,MATCH(1328,'Transfer Engine'!$C$2:$C$1960,0)))</f>
        <v/>
      </c>
      <c r="J1337" s="8">
        <f>IF(ISNA(MATCH(1328,'Transfer Engine'!$C$2:$C$1960,0)),"",INDEX('Compliance Database'!$J$2:$J$1960,MATCH(1328,'Transfer Engine'!$C$2:$C$1960,0)))</f>
        <v/>
      </c>
      <c r="K1337" s="9">
        <f>IF(ISNA(MATCH(1328,'Transfer Engine'!$C$2:$C$1960,0)),"",INDEX('Compliance Database'!$K$2:$K$1960,MATCH(1328,'Transfer Engine'!$C$2:$C$1960,0)))</f>
        <v/>
      </c>
      <c r="L1337" s="9">
        <f>IF(ISNA(MATCH(1328,'Transfer Engine'!$C$2:$C$1960,0)),"",INDEX('Compliance Database'!$L$2:$L$1960,MATCH(1328,'Transfer Engine'!$C$2:$C$1960,0)))</f>
        <v/>
      </c>
      <c r="M1337" s="9">
        <f>IF(ISNA(MATCH(1328,'Transfer Engine'!$C$2:$C$1960,0)),"",INDEX('Compliance Database'!$M$2:$M$1960,MATCH(1328,'Transfer Engine'!$C$2:$C$1960,0)))</f>
        <v/>
      </c>
      <c r="N1337" s="9">
        <f>IF(ISNA(MATCH(1328,'Transfer Engine'!$C$2:$C$1960,0)),"",INDEX('Compliance Database'!$N$2:$N$1960,MATCH(1328,'Transfer Engine'!$C$2:$C$1960,0)))</f>
        <v/>
      </c>
      <c r="O1337" s="9">
        <f>IF(ISNA(MATCH(1328,'Transfer Engine'!$C$2:$C$1960,0)),"",INDEX('Compliance Database'!$O$2:$O$1960,MATCH(1328,'Transfer Engine'!$C$2:$C$1960,0)))</f>
        <v/>
      </c>
      <c r="P1337" s="8">
        <f>IF(ISNA(MATCH(1328,'Transfer Engine'!$C$2:$C$1960,0)),"",HYPERLINK("#Acts!A"&amp;INDEX('Compliance Database'!$P$2:$P$1960,MATCH(1328,'Transfer Engine'!$C$2:$C$1960,0)),"Go to Act"))</f>
        <v/>
      </c>
    </row>
    <row r="1338" ht="158" customHeight="1">
      <c r="A1338" s="8">
        <f>IF(ISNA(MATCH(1329,'Transfer Engine'!$C$2:$C$1960,0)),"",INDEX('Compliance Database'!$A$2:$A$1960,MATCH(1329,'Transfer Engine'!$C$2:$C$1960,0)))</f>
        <v/>
      </c>
      <c r="B1338" s="8">
        <f>IF(ISNA(MATCH(1329,'Transfer Engine'!$C$2:$C$1960,0)),"",INDEX('Compliance Database'!$B$2:$B$1960,MATCH(1329,'Transfer Engine'!$C$2:$C$1960,0)))</f>
        <v/>
      </c>
      <c r="C1338" s="8">
        <f>IF(ISNA(MATCH(1329,'Transfer Engine'!$C$2:$C$1960,0)),"",INDEX('Compliance Database'!$C$2:$C$1960,MATCH(1329,'Transfer Engine'!$C$2:$C$1960,0)))</f>
        <v/>
      </c>
      <c r="D1338" s="9">
        <f>IF(ISNA(MATCH(1329,'Transfer Engine'!$C$2:$C$1960,0)),"",INDEX('Compliance Database'!$D$2:$D$1960,MATCH(1329,'Transfer Engine'!$C$2:$C$1960,0)))</f>
        <v/>
      </c>
      <c r="E1338" s="8">
        <f>IF(ISNA(MATCH(1329,'Transfer Engine'!$C$2:$C$1960,0)),"",INDEX('Compliance Database'!$E$2:$E$1960,MATCH(1329,'Transfer Engine'!$C$2:$C$1960,0)))</f>
        <v/>
      </c>
      <c r="F1338" s="8">
        <f>IF(ISNA(MATCH(1329,'Transfer Engine'!$C$2:$C$1960,0)),"",INDEX('Compliance Database'!$F$2:$F$1960,MATCH(1329,'Transfer Engine'!$C$2:$C$1960,0)))</f>
        <v/>
      </c>
      <c r="G1338" s="8">
        <f>IF(ISNA(MATCH(1329,'Transfer Engine'!$C$2:$C$1960,0)),"",INDEX('Compliance Database'!$G$2:$G$1960,MATCH(1329,'Transfer Engine'!$C$2:$C$1960,0)))</f>
        <v/>
      </c>
      <c r="H1338" s="9">
        <f>IF(ISNA(MATCH(1329,'Transfer Engine'!$C$2:$C$1960,0)),"",INDEX('Compliance Database'!$H$2:$H$1960,MATCH(1329,'Transfer Engine'!$C$2:$C$1960,0)))</f>
        <v/>
      </c>
      <c r="I1338" s="9">
        <f>IF(ISNA(MATCH(1329,'Transfer Engine'!$C$2:$C$1960,0)),"",INDEX('Compliance Database'!$I$2:$I$1960,MATCH(1329,'Transfer Engine'!$C$2:$C$1960,0)))</f>
        <v/>
      </c>
      <c r="J1338" s="8">
        <f>IF(ISNA(MATCH(1329,'Transfer Engine'!$C$2:$C$1960,0)),"",INDEX('Compliance Database'!$J$2:$J$1960,MATCH(1329,'Transfer Engine'!$C$2:$C$1960,0)))</f>
        <v/>
      </c>
      <c r="K1338" s="9">
        <f>IF(ISNA(MATCH(1329,'Transfer Engine'!$C$2:$C$1960,0)),"",INDEX('Compliance Database'!$K$2:$K$1960,MATCH(1329,'Transfer Engine'!$C$2:$C$1960,0)))</f>
        <v/>
      </c>
      <c r="L1338" s="9">
        <f>IF(ISNA(MATCH(1329,'Transfer Engine'!$C$2:$C$1960,0)),"",INDEX('Compliance Database'!$L$2:$L$1960,MATCH(1329,'Transfer Engine'!$C$2:$C$1960,0)))</f>
        <v/>
      </c>
      <c r="M1338" s="9">
        <f>IF(ISNA(MATCH(1329,'Transfer Engine'!$C$2:$C$1960,0)),"",INDEX('Compliance Database'!$M$2:$M$1960,MATCH(1329,'Transfer Engine'!$C$2:$C$1960,0)))</f>
        <v/>
      </c>
      <c r="N1338" s="9">
        <f>IF(ISNA(MATCH(1329,'Transfer Engine'!$C$2:$C$1960,0)),"",INDEX('Compliance Database'!$N$2:$N$1960,MATCH(1329,'Transfer Engine'!$C$2:$C$1960,0)))</f>
        <v/>
      </c>
      <c r="O1338" s="9">
        <f>IF(ISNA(MATCH(1329,'Transfer Engine'!$C$2:$C$1960,0)),"",INDEX('Compliance Database'!$O$2:$O$1960,MATCH(1329,'Transfer Engine'!$C$2:$C$1960,0)))</f>
        <v/>
      </c>
      <c r="P1338" s="8">
        <f>IF(ISNA(MATCH(1329,'Transfer Engine'!$C$2:$C$1960,0)),"",HYPERLINK("#Acts!A"&amp;INDEX('Compliance Database'!$P$2:$P$1960,MATCH(1329,'Transfer Engine'!$C$2:$C$1960,0)),"Go to Act"))</f>
        <v/>
      </c>
    </row>
    <row r="1339" ht="158" customHeight="1">
      <c r="A1339" s="8">
        <f>IF(ISNA(MATCH(1330,'Transfer Engine'!$C$2:$C$1960,0)),"",INDEX('Compliance Database'!$A$2:$A$1960,MATCH(1330,'Transfer Engine'!$C$2:$C$1960,0)))</f>
        <v/>
      </c>
      <c r="B1339" s="8">
        <f>IF(ISNA(MATCH(1330,'Transfer Engine'!$C$2:$C$1960,0)),"",INDEX('Compliance Database'!$B$2:$B$1960,MATCH(1330,'Transfer Engine'!$C$2:$C$1960,0)))</f>
        <v/>
      </c>
      <c r="C1339" s="8">
        <f>IF(ISNA(MATCH(1330,'Transfer Engine'!$C$2:$C$1960,0)),"",INDEX('Compliance Database'!$C$2:$C$1960,MATCH(1330,'Transfer Engine'!$C$2:$C$1960,0)))</f>
        <v/>
      </c>
      <c r="D1339" s="9">
        <f>IF(ISNA(MATCH(1330,'Transfer Engine'!$C$2:$C$1960,0)),"",INDEX('Compliance Database'!$D$2:$D$1960,MATCH(1330,'Transfer Engine'!$C$2:$C$1960,0)))</f>
        <v/>
      </c>
      <c r="E1339" s="8">
        <f>IF(ISNA(MATCH(1330,'Transfer Engine'!$C$2:$C$1960,0)),"",INDEX('Compliance Database'!$E$2:$E$1960,MATCH(1330,'Transfer Engine'!$C$2:$C$1960,0)))</f>
        <v/>
      </c>
      <c r="F1339" s="8">
        <f>IF(ISNA(MATCH(1330,'Transfer Engine'!$C$2:$C$1960,0)),"",INDEX('Compliance Database'!$F$2:$F$1960,MATCH(1330,'Transfer Engine'!$C$2:$C$1960,0)))</f>
        <v/>
      </c>
      <c r="G1339" s="8">
        <f>IF(ISNA(MATCH(1330,'Transfer Engine'!$C$2:$C$1960,0)),"",INDEX('Compliance Database'!$G$2:$G$1960,MATCH(1330,'Transfer Engine'!$C$2:$C$1960,0)))</f>
        <v/>
      </c>
      <c r="H1339" s="9">
        <f>IF(ISNA(MATCH(1330,'Transfer Engine'!$C$2:$C$1960,0)),"",INDEX('Compliance Database'!$H$2:$H$1960,MATCH(1330,'Transfer Engine'!$C$2:$C$1960,0)))</f>
        <v/>
      </c>
      <c r="I1339" s="9">
        <f>IF(ISNA(MATCH(1330,'Transfer Engine'!$C$2:$C$1960,0)),"",INDEX('Compliance Database'!$I$2:$I$1960,MATCH(1330,'Transfer Engine'!$C$2:$C$1960,0)))</f>
        <v/>
      </c>
      <c r="J1339" s="8">
        <f>IF(ISNA(MATCH(1330,'Transfer Engine'!$C$2:$C$1960,0)),"",INDEX('Compliance Database'!$J$2:$J$1960,MATCH(1330,'Transfer Engine'!$C$2:$C$1960,0)))</f>
        <v/>
      </c>
      <c r="K1339" s="9">
        <f>IF(ISNA(MATCH(1330,'Transfer Engine'!$C$2:$C$1960,0)),"",INDEX('Compliance Database'!$K$2:$K$1960,MATCH(1330,'Transfer Engine'!$C$2:$C$1960,0)))</f>
        <v/>
      </c>
      <c r="L1339" s="9">
        <f>IF(ISNA(MATCH(1330,'Transfer Engine'!$C$2:$C$1960,0)),"",INDEX('Compliance Database'!$L$2:$L$1960,MATCH(1330,'Transfer Engine'!$C$2:$C$1960,0)))</f>
        <v/>
      </c>
      <c r="M1339" s="9">
        <f>IF(ISNA(MATCH(1330,'Transfer Engine'!$C$2:$C$1960,0)),"",INDEX('Compliance Database'!$M$2:$M$1960,MATCH(1330,'Transfer Engine'!$C$2:$C$1960,0)))</f>
        <v/>
      </c>
      <c r="N1339" s="9">
        <f>IF(ISNA(MATCH(1330,'Transfer Engine'!$C$2:$C$1960,0)),"",INDEX('Compliance Database'!$N$2:$N$1960,MATCH(1330,'Transfer Engine'!$C$2:$C$1960,0)))</f>
        <v/>
      </c>
      <c r="O1339" s="9">
        <f>IF(ISNA(MATCH(1330,'Transfer Engine'!$C$2:$C$1960,0)),"",INDEX('Compliance Database'!$O$2:$O$1960,MATCH(1330,'Transfer Engine'!$C$2:$C$1960,0)))</f>
        <v/>
      </c>
      <c r="P1339" s="8">
        <f>IF(ISNA(MATCH(1330,'Transfer Engine'!$C$2:$C$1960,0)),"",HYPERLINK("#Acts!A"&amp;INDEX('Compliance Database'!$P$2:$P$1960,MATCH(1330,'Transfer Engine'!$C$2:$C$1960,0)),"Go to Act"))</f>
        <v/>
      </c>
    </row>
    <row r="1340" ht="158" customHeight="1">
      <c r="A1340" s="8">
        <f>IF(ISNA(MATCH(1331,'Transfer Engine'!$C$2:$C$1960,0)),"",INDEX('Compliance Database'!$A$2:$A$1960,MATCH(1331,'Transfer Engine'!$C$2:$C$1960,0)))</f>
        <v/>
      </c>
      <c r="B1340" s="8">
        <f>IF(ISNA(MATCH(1331,'Transfer Engine'!$C$2:$C$1960,0)),"",INDEX('Compliance Database'!$B$2:$B$1960,MATCH(1331,'Transfer Engine'!$C$2:$C$1960,0)))</f>
        <v/>
      </c>
      <c r="C1340" s="8">
        <f>IF(ISNA(MATCH(1331,'Transfer Engine'!$C$2:$C$1960,0)),"",INDEX('Compliance Database'!$C$2:$C$1960,MATCH(1331,'Transfer Engine'!$C$2:$C$1960,0)))</f>
        <v/>
      </c>
      <c r="D1340" s="9">
        <f>IF(ISNA(MATCH(1331,'Transfer Engine'!$C$2:$C$1960,0)),"",INDEX('Compliance Database'!$D$2:$D$1960,MATCH(1331,'Transfer Engine'!$C$2:$C$1960,0)))</f>
        <v/>
      </c>
      <c r="E1340" s="8">
        <f>IF(ISNA(MATCH(1331,'Transfer Engine'!$C$2:$C$1960,0)),"",INDEX('Compliance Database'!$E$2:$E$1960,MATCH(1331,'Transfer Engine'!$C$2:$C$1960,0)))</f>
        <v/>
      </c>
      <c r="F1340" s="8">
        <f>IF(ISNA(MATCH(1331,'Transfer Engine'!$C$2:$C$1960,0)),"",INDEX('Compliance Database'!$F$2:$F$1960,MATCH(1331,'Transfer Engine'!$C$2:$C$1960,0)))</f>
        <v/>
      </c>
      <c r="G1340" s="8">
        <f>IF(ISNA(MATCH(1331,'Transfer Engine'!$C$2:$C$1960,0)),"",INDEX('Compliance Database'!$G$2:$G$1960,MATCH(1331,'Transfer Engine'!$C$2:$C$1960,0)))</f>
        <v/>
      </c>
      <c r="H1340" s="9">
        <f>IF(ISNA(MATCH(1331,'Transfer Engine'!$C$2:$C$1960,0)),"",INDEX('Compliance Database'!$H$2:$H$1960,MATCH(1331,'Transfer Engine'!$C$2:$C$1960,0)))</f>
        <v/>
      </c>
      <c r="I1340" s="9">
        <f>IF(ISNA(MATCH(1331,'Transfer Engine'!$C$2:$C$1960,0)),"",INDEX('Compliance Database'!$I$2:$I$1960,MATCH(1331,'Transfer Engine'!$C$2:$C$1960,0)))</f>
        <v/>
      </c>
      <c r="J1340" s="8">
        <f>IF(ISNA(MATCH(1331,'Transfer Engine'!$C$2:$C$1960,0)),"",INDEX('Compliance Database'!$J$2:$J$1960,MATCH(1331,'Transfer Engine'!$C$2:$C$1960,0)))</f>
        <v/>
      </c>
      <c r="K1340" s="9">
        <f>IF(ISNA(MATCH(1331,'Transfer Engine'!$C$2:$C$1960,0)),"",INDEX('Compliance Database'!$K$2:$K$1960,MATCH(1331,'Transfer Engine'!$C$2:$C$1960,0)))</f>
        <v/>
      </c>
      <c r="L1340" s="9">
        <f>IF(ISNA(MATCH(1331,'Transfer Engine'!$C$2:$C$1960,0)),"",INDEX('Compliance Database'!$L$2:$L$1960,MATCH(1331,'Transfer Engine'!$C$2:$C$1960,0)))</f>
        <v/>
      </c>
      <c r="M1340" s="9">
        <f>IF(ISNA(MATCH(1331,'Transfer Engine'!$C$2:$C$1960,0)),"",INDEX('Compliance Database'!$M$2:$M$1960,MATCH(1331,'Transfer Engine'!$C$2:$C$1960,0)))</f>
        <v/>
      </c>
      <c r="N1340" s="9">
        <f>IF(ISNA(MATCH(1331,'Transfer Engine'!$C$2:$C$1960,0)),"",INDEX('Compliance Database'!$N$2:$N$1960,MATCH(1331,'Transfer Engine'!$C$2:$C$1960,0)))</f>
        <v/>
      </c>
      <c r="O1340" s="9">
        <f>IF(ISNA(MATCH(1331,'Transfer Engine'!$C$2:$C$1960,0)),"",INDEX('Compliance Database'!$O$2:$O$1960,MATCH(1331,'Transfer Engine'!$C$2:$C$1960,0)))</f>
        <v/>
      </c>
      <c r="P1340" s="8">
        <f>IF(ISNA(MATCH(1331,'Transfer Engine'!$C$2:$C$1960,0)),"",HYPERLINK("#Acts!A"&amp;INDEX('Compliance Database'!$P$2:$P$1960,MATCH(1331,'Transfer Engine'!$C$2:$C$1960,0)),"Go to Act"))</f>
        <v/>
      </c>
    </row>
    <row r="1341" ht="158" customHeight="1">
      <c r="A1341" s="8">
        <f>IF(ISNA(MATCH(1332,'Transfer Engine'!$C$2:$C$1960,0)),"",INDEX('Compliance Database'!$A$2:$A$1960,MATCH(1332,'Transfer Engine'!$C$2:$C$1960,0)))</f>
        <v/>
      </c>
      <c r="B1341" s="8">
        <f>IF(ISNA(MATCH(1332,'Transfer Engine'!$C$2:$C$1960,0)),"",INDEX('Compliance Database'!$B$2:$B$1960,MATCH(1332,'Transfer Engine'!$C$2:$C$1960,0)))</f>
        <v/>
      </c>
      <c r="C1341" s="8">
        <f>IF(ISNA(MATCH(1332,'Transfer Engine'!$C$2:$C$1960,0)),"",INDEX('Compliance Database'!$C$2:$C$1960,MATCH(1332,'Transfer Engine'!$C$2:$C$1960,0)))</f>
        <v/>
      </c>
      <c r="D1341" s="9">
        <f>IF(ISNA(MATCH(1332,'Transfer Engine'!$C$2:$C$1960,0)),"",INDEX('Compliance Database'!$D$2:$D$1960,MATCH(1332,'Transfer Engine'!$C$2:$C$1960,0)))</f>
        <v/>
      </c>
      <c r="E1341" s="8">
        <f>IF(ISNA(MATCH(1332,'Transfer Engine'!$C$2:$C$1960,0)),"",INDEX('Compliance Database'!$E$2:$E$1960,MATCH(1332,'Transfer Engine'!$C$2:$C$1960,0)))</f>
        <v/>
      </c>
      <c r="F1341" s="8">
        <f>IF(ISNA(MATCH(1332,'Transfer Engine'!$C$2:$C$1960,0)),"",INDEX('Compliance Database'!$F$2:$F$1960,MATCH(1332,'Transfer Engine'!$C$2:$C$1960,0)))</f>
        <v/>
      </c>
      <c r="G1341" s="8">
        <f>IF(ISNA(MATCH(1332,'Transfer Engine'!$C$2:$C$1960,0)),"",INDEX('Compliance Database'!$G$2:$G$1960,MATCH(1332,'Transfer Engine'!$C$2:$C$1960,0)))</f>
        <v/>
      </c>
      <c r="H1341" s="9">
        <f>IF(ISNA(MATCH(1332,'Transfer Engine'!$C$2:$C$1960,0)),"",INDEX('Compliance Database'!$H$2:$H$1960,MATCH(1332,'Transfer Engine'!$C$2:$C$1960,0)))</f>
        <v/>
      </c>
      <c r="I1341" s="9">
        <f>IF(ISNA(MATCH(1332,'Transfer Engine'!$C$2:$C$1960,0)),"",INDEX('Compliance Database'!$I$2:$I$1960,MATCH(1332,'Transfer Engine'!$C$2:$C$1960,0)))</f>
        <v/>
      </c>
      <c r="J1341" s="8">
        <f>IF(ISNA(MATCH(1332,'Transfer Engine'!$C$2:$C$1960,0)),"",INDEX('Compliance Database'!$J$2:$J$1960,MATCH(1332,'Transfer Engine'!$C$2:$C$1960,0)))</f>
        <v/>
      </c>
      <c r="K1341" s="9">
        <f>IF(ISNA(MATCH(1332,'Transfer Engine'!$C$2:$C$1960,0)),"",INDEX('Compliance Database'!$K$2:$K$1960,MATCH(1332,'Transfer Engine'!$C$2:$C$1960,0)))</f>
        <v/>
      </c>
      <c r="L1341" s="9">
        <f>IF(ISNA(MATCH(1332,'Transfer Engine'!$C$2:$C$1960,0)),"",INDEX('Compliance Database'!$L$2:$L$1960,MATCH(1332,'Transfer Engine'!$C$2:$C$1960,0)))</f>
        <v/>
      </c>
      <c r="M1341" s="9">
        <f>IF(ISNA(MATCH(1332,'Transfer Engine'!$C$2:$C$1960,0)),"",INDEX('Compliance Database'!$M$2:$M$1960,MATCH(1332,'Transfer Engine'!$C$2:$C$1960,0)))</f>
        <v/>
      </c>
      <c r="N1341" s="9">
        <f>IF(ISNA(MATCH(1332,'Transfer Engine'!$C$2:$C$1960,0)),"",INDEX('Compliance Database'!$N$2:$N$1960,MATCH(1332,'Transfer Engine'!$C$2:$C$1960,0)))</f>
        <v/>
      </c>
      <c r="O1341" s="9">
        <f>IF(ISNA(MATCH(1332,'Transfer Engine'!$C$2:$C$1960,0)),"",INDEX('Compliance Database'!$O$2:$O$1960,MATCH(1332,'Transfer Engine'!$C$2:$C$1960,0)))</f>
        <v/>
      </c>
      <c r="P1341" s="8">
        <f>IF(ISNA(MATCH(1332,'Transfer Engine'!$C$2:$C$1960,0)),"",HYPERLINK("#Acts!A"&amp;INDEX('Compliance Database'!$P$2:$P$1960,MATCH(1332,'Transfer Engine'!$C$2:$C$1960,0)),"Go to Act"))</f>
        <v/>
      </c>
    </row>
    <row r="1342" ht="158" customHeight="1">
      <c r="A1342" s="8">
        <f>IF(ISNA(MATCH(1333,'Transfer Engine'!$C$2:$C$1960,0)),"",INDEX('Compliance Database'!$A$2:$A$1960,MATCH(1333,'Transfer Engine'!$C$2:$C$1960,0)))</f>
        <v/>
      </c>
      <c r="B1342" s="8">
        <f>IF(ISNA(MATCH(1333,'Transfer Engine'!$C$2:$C$1960,0)),"",INDEX('Compliance Database'!$B$2:$B$1960,MATCH(1333,'Transfer Engine'!$C$2:$C$1960,0)))</f>
        <v/>
      </c>
      <c r="C1342" s="8">
        <f>IF(ISNA(MATCH(1333,'Transfer Engine'!$C$2:$C$1960,0)),"",INDEX('Compliance Database'!$C$2:$C$1960,MATCH(1333,'Transfer Engine'!$C$2:$C$1960,0)))</f>
        <v/>
      </c>
      <c r="D1342" s="9">
        <f>IF(ISNA(MATCH(1333,'Transfer Engine'!$C$2:$C$1960,0)),"",INDEX('Compliance Database'!$D$2:$D$1960,MATCH(1333,'Transfer Engine'!$C$2:$C$1960,0)))</f>
        <v/>
      </c>
      <c r="E1342" s="8">
        <f>IF(ISNA(MATCH(1333,'Transfer Engine'!$C$2:$C$1960,0)),"",INDEX('Compliance Database'!$E$2:$E$1960,MATCH(1333,'Transfer Engine'!$C$2:$C$1960,0)))</f>
        <v/>
      </c>
      <c r="F1342" s="8">
        <f>IF(ISNA(MATCH(1333,'Transfer Engine'!$C$2:$C$1960,0)),"",INDEX('Compliance Database'!$F$2:$F$1960,MATCH(1333,'Transfer Engine'!$C$2:$C$1960,0)))</f>
        <v/>
      </c>
      <c r="G1342" s="8">
        <f>IF(ISNA(MATCH(1333,'Transfer Engine'!$C$2:$C$1960,0)),"",INDEX('Compliance Database'!$G$2:$G$1960,MATCH(1333,'Transfer Engine'!$C$2:$C$1960,0)))</f>
        <v/>
      </c>
      <c r="H1342" s="9">
        <f>IF(ISNA(MATCH(1333,'Transfer Engine'!$C$2:$C$1960,0)),"",INDEX('Compliance Database'!$H$2:$H$1960,MATCH(1333,'Transfer Engine'!$C$2:$C$1960,0)))</f>
        <v/>
      </c>
      <c r="I1342" s="9">
        <f>IF(ISNA(MATCH(1333,'Transfer Engine'!$C$2:$C$1960,0)),"",INDEX('Compliance Database'!$I$2:$I$1960,MATCH(1333,'Transfer Engine'!$C$2:$C$1960,0)))</f>
        <v/>
      </c>
      <c r="J1342" s="8">
        <f>IF(ISNA(MATCH(1333,'Transfer Engine'!$C$2:$C$1960,0)),"",INDEX('Compliance Database'!$J$2:$J$1960,MATCH(1333,'Transfer Engine'!$C$2:$C$1960,0)))</f>
        <v/>
      </c>
      <c r="K1342" s="9">
        <f>IF(ISNA(MATCH(1333,'Transfer Engine'!$C$2:$C$1960,0)),"",INDEX('Compliance Database'!$K$2:$K$1960,MATCH(1333,'Transfer Engine'!$C$2:$C$1960,0)))</f>
        <v/>
      </c>
      <c r="L1342" s="9">
        <f>IF(ISNA(MATCH(1333,'Transfer Engine'!$C$2:$C$1960,0)),"",INDEX('Compliance Database'!$L$2:$L$1960,MATCH(1333,'Transfer Engine'!$C$2:$C$1960,0)))</f>
        <v/>
      </c>
      <c r="M1342" s="9">
        <f>IF(ISNA(MATCH(1333,'Transfer Engine'!$C$2:$C$1960,0)),"",INDEX('Compliance Database'!$M$2:$M$1960,MATCH(1333,'Transfer Engine'!$C$2:$C$1960,0)))</f>
        <v/>
      </c>
      <c r="N1342" s="9">
        <f>IF(ISNA(MATCH(1333,'Transfer Engine'!$C$2:$C$1960,0)),"",INDEX('Compliance Database'!$N$2:$N$1960,MATCH(1333,'Transfer Engine'!$C$2:$C$1960,0)))</f>
        <v/>
      </c>
      <c r="O1342" s="9">
        <f>IF(ISNA(MATCH(1333,'Transfer Engine'!$C$2:$C$1960,0)),"",INDEX('Compliance Database'!$O$2:$O$1960,MATCH(1333,'Transfer Engine'!$C$2:$C$1960,0)))</f>
        <v/>
      </c>
      <c r="P1342" s="8">
        <f>IF(ISNA(MATCH(1333,'Transfer Engine'!$C$2:$C$1960,0)),"",HYPERLINK("#Acts!A"&amp;INDEX('Compliance Database'!$P$2:$P$1960,MATCH(1333,'Transfer Engine'!$C$2:$C$1960,0)),"Go to Act"))</f>
        <v/>
      </c>
    </row>
    <row r="1343" ht="158" customHeight="1">
      <c r="A1343" s="8">
        <f>IF(ISNA(MATCH(1334,'Transfer Engine'!$C$2:$C$1960,0)),"",INDEX('Compliance Database'!$A$2:$A$1960,MATCH(1334,'Transfer Engine'!$C$2:$C$1960,0)))</f>
        <v/>
      </c>
      <c r="B1343" s="8">
        <f>IF(ISNA(MATCH(1334,'Transfer Engine'!$C$2:$C$1960,0)),"",INDEX('Compliance Database'!$B$2:$B$1960,MATCH(1334,'Transfer Engine'!$C$2:$C$1960,0)))</f>
        <v/>
      </c>
      <c r="C1343" s="8">
        <f>IF(ISNA(MATCH(1334,'Transfer Engine'!$C$2:$C$1960,0)),"",INDEX('Compliance Database'!$C$2:$C$1960,MATCH(1334,'Transfer Engine'!$C$2:$C$1960,0)))</f>
        <v/>
      </c>
      <c r="D1343" s="9">
        <f>IF(ISNA(MATCH(1334,'Transfer Engine'!$C$2:$C$1960,0)),"",INDEX('Compliance Database'!$D$2:$D$1960,MATCH(1334,'Transfer Engine'!$C$2:$C$1960,0)))</f>
        <v/>
      </c>
      <c r="E1343" s="8">
        <f>IF(ISNA(MATCH(1334,'Transfer Engine'!$C$2:$C$1960,0)),"",INDEX('Compliance Database'!$E$2:$E$1960,MATCH(1334,'Transfer Engine'!$C$2:$C$1960,0)))</f>
        <v/>
      </c>
      <c r="F1343" s="8">
        <f>IF(ISNA(MATCH(1334,'Transfer Engine'!$C$2:$C$1960,0)),"",INDEX('Compliance Database'!$F$2:$F$1960,MATCH(1334,'Transfer Engine'!$C$2:$C$1960,0)))</f>
        <v/>
      </c>
      <c r="G1343" s="8">
        <f>IF(ISNA(MATCH(1334,'Transfer Engine'!$C$2:$C$1960,0)),"",INDEX('Compliance Database'!$G$2:$G$1960,MATCH(1334,'Transfer Engine'!$C$2:$C$1960,0)))</f>
        <v/>
      </c>
      <c r="H1343" s="9">
        <f>IF(ISNA(MATCH(1334,'Transfer Engine'!$C$2:$C$1960,0)),"",INDEX('Compliance Database'!$H$2:$H$1960,MATCH(1334,'Transfer Engine'!$C$2:$C$1960,0)))</f>
        <v/>
      </c>
      <c r="I1343" s="9">
        <f>IF(ISNA(MATCH(1334,'Transfer Engine'!$C$2:$C$1960,0)),"",INDEX('Compliance Database'!$I$2:$I$1960,MATCH(1334,'Transfer Engine'!$C$2:$C$1960,0)))</f>
        <v/>
      </c>
      <c r="J1343" s="8">
        <f>IF(ISNA(MATCH(1334,'Transfer Engine'!$C$2:$C$1960,0)),"",INDEX('Compliance Database'!$J$2:$J$1960,MATCH(1334,'Transfer Engine'!$C$2:$C$1960,0)))</f>
        <v/>
      </c>
      <c r="K1343" s="9">
        <f>IF(ISNA(MATCH(1334,'Transfer Engine'!$C$2:$C$1960,0)),"",INDEX('Compliance Database'!$K$2:$K$1960,MATCH(1334,'Transfer Engine'!$C$2:$C$1960,0)))</f>
        <v/>
      </c>
      <c r="L1343" s="9">
        <f>IF(ISNA(MATCH(1334,'Transfer Engine'!$C$2:$C$1960,0)),"",INDEX('Compliance Database'!$L$2:$L$1960,MATCH(1334,'Transfer Engine'!$C$2:$C$1960,0)))</f>
        <v/>
      </c>
      <c r="M1343" s="9">
        <f>IF(ISNA(MATCH(1334,'Transfer Engine'!$C$2:$C$1960,0)),"",INDEX('Compliance Database'!$M$2:$M$1960,MATCH(1334,'Transfer Engine'!$C$2:$C$1960,0)))</f>
        <v/>
      </c>
      <c r="N1343" s="9">
        <f>IF(ISNA(MATCH(1334,'Transfer Engine'!$C$2:$C$1960,0)),"",INDEX('Compliance Database'!$N$2:$N$1960,MATCH(1334,'Transfer Engine'!$C$2:$C$1960,0)))</f>
        <v/>
      </c>
      <c r="O1343" s="9">
        <f>IF(ISNA(MATCH(1334,'Transfer Engine'!$C$2:$C$1960,0)),"",INDEX('Compliance Database'!$O$2:$O$1960,MATCH(1334,'Transfer Engine'!$C$2:$C$1960,0)))</f>
        <v/>
      </c>
      <c r="P1343" s="8">
        <f>IF(ISNA(MATCH(1334,'Transfer Engine'!$C$2:$C$1960,0)),"",HYPERLINK("#Acts!A"&amp;INDEX('Compliance Database'!$P$2:$P$1960,MATCH(1334,'Transfer Engine'!$C$2:$C$1960,0)),"Go to Act"))</f>
        <v/>
      </c>
    </row>
    <row r="1344" ht="158" customHeight="1">
      <c r="A1344" s="8">
        <f>IF(ISNA(MATCH(1335,'Transfer Engine'!$C$2:$C$1960,0)),"",INDEX('Compliance Database'!$A$2:$A$1960,MATCH(1335,'Transfer Engine'!$C$2:$C$1960,0)))</f>
        <v/>
      </c>
      <c r="B1344" s="8">
        <f>IF(ISNA(MATCH(1335,'Transfer Engine'!$C$2:$C$1960,0)),"",INDEX('Compliance Database'!$B$2:$B$1960,MATCH(1335,'Transfer Engine'!$C$2:$C$1960,0)))</f>
        <v/>
      </c>
      <c r="C1344" s="8">
        <f>IF(ISNA(MATCH(1335,'Transfer Engine'!$C$2:$C$1960,0)),"",INDEX('Compliance Database'!$C$2:$C$1960,MATCH(1335,'Transfer Engine'!$C$2:$C$1960,0)))</f>
        <v/>
      </c>
      <c r="D1344" s="9">
        <f>IF(ISNA(MATCH(1335,'Transfer Engine'!$C$2:$C$1960,0)),"",INDEX('Compliance Database'!$D$2:$D$1960,MATCH(1335,'Transfer Engine'!$C$2:$C$1960,0)))</f>
        <v/>
      </c>
      <c r="E1344" s="8">
        <f>IF(ISNA(MATCH(1335,'Transfer Engine'!$C$2:$C$1960,0)),"",INDEX('Compliance Database'!$E$2:$E$1960,MATCH(1335,'Transfer Engine'!$C$2:$C$1960,0)))</f>
        <v/>
      </c>
      <c r="F1344" s="8">
        <f>IF(ISNA(MATCH(1335,'Transfer Engine'!$C$2:$C$1960,0)),"",INDEX('Compliance Database'!$F$2:$F$1960,MATCH(1335,'Transfer Engine'!$C$2:$C$1960,0)))</f>
        <v/>
      </c>
      <c r="G1344" s="8">
        <f>IF(ISNA(MATCH(1335,'Transfer Engine'!$C$2:$C$1960,0)),"",INDEX('Compliance Database'!$G$2:$G$1960,MATCH(1335,'Transfer Engine'!$C$2:$C$1960,0)))</f>
        <v/>
      </c>
      <c r="H1344" s="9">
        <f>IF(ISNA(MATCH(1335,'Transfer Engine'!$C$2:$C$1960,0)),"",INDEX('Compliance Database'!$H$2:$H$1960,MATCH(1335,'Transfer Engine'!$C$2:$C$1960,0)))</f>
        <v/>
      </c>
      <c r="I1344" s="9">
        <f>IF(ISNA(MATCH(1335,'Transfer Engine'!$C$2:$C$1960,0)),"",INDEX('Compliance Database'!$I$2:$I$1960,MATCH(1335,'Transfer Engine'!$C$2:$C$1960,0)))</f>
        <v/>
      </c>
      <c r="J1344" s="8">
        <f>IF(ISNA(MATCH(1335,'Transfer Engine'!$C$2:$C$1960,0)),"",INDEX('Compliance Database'!$J$2:$J$1960,MATCH(1335,'Transfer Engine'!$C$2:$C$1960,0)))</f>
        <v/>
      </c>
      <c r="K1344" s="9">
        <f>IF(ISNA(MATCH(1335,'Transfer Engine'!$C$2:$C$1960,0)),"",INDEX('Compliance Database'!$K$2:$K$1960,MATCH(1335,'Transfer Engine'!$C$2:$C$1960,0)))</f>
        <v/>
      </c>
      <c r="L1344" s="9">
        <f>IF(ISNA(MATCH(1335,'Transfer Engine'!$C$2:$C$1960,0)),"",INDEX('Compliance Database'!$L$2:$L$1960,MATCH(1335,'Transfer Engine'!$C$2:$C$1960,0)))</f>
        <v/>
      </c>
      <c r="M1344" s="9">
        <f>IF(ISNA(MATCH(1335,'Transfer Engine'!$C$2:$C$1960,0)),"",INDEX('Compliance Database'!$M$2:$M$1960,MATCH(1335,'Transfer Engine'!$C$2:$C$1960,0)))</f>
        <v/>
      </c>
      <c r="N1344" s="9">
        <f>IF(ISNA(MATCH(1335,'Transfer Engine'!$C$2:$C$1960,0)),"",INDEX('Compliance Database'!$N$2:$N$1960,MATCH(1335,'Transfer Engine'!$C$2:$C$1960,0)))</f>
        <v/>
      </c>
      <c r="O1344" s="9">
        <f>IF(ISNA(MATCH(1335,'Transfer Engine'!$C$2:$C$1960,0)),"",INDEX('Compliance Database'!$O$2:$O$1960,MATCH(1335,'Transfer Engine'!$C$2:$C$1960,0)))</f>
        <v/>
      </c>
      <c r="P1344" s="8">
        <f>IF(ISNA(MATCH(1335,'Transfer Engine'!$C$2:$C$1960,0)),"",HYPERLINK("#Acts!A"&amp;INDEX('Compliance Database'!$P$2:$P$1960,MATCH(1335,'Transfer Engine'!$C$2:$C$1960,0)),"Go to Act"))</f>
        <v/>
      </c>
    </row>
    <row r="1345" ht="158" customHeight="1">
      <c r="A1345" s="8">
        <f>IF(ISNA(MATCH(1336,'Transfer Engine'!$C$2:$C$1960,0)),"",INDEX('Compliance Database'!$A$2:$A$1960,MATCH(1336,'Transfer Engine'!$C$2:$C$1960,0)))</f>
        <v/>
      </c>
      <c r="B1345" s="8">
        <f>IF(ISNA(MATCH(1336,'Transfer Engine'!$C$2:$C$1960,0)),"",INDEX('Compliance Database'!$B$2:$B$1960,MATCH(1336,'Transfer Engine'!$C$2:$C$1960,0)))</f>
        <v/>
      </c>
      <c r="C1345" s="8">
        <f>IF(ISNA(MATCH(1336,'Transfer Engine'!$C$2:$C$1960,0)),"",INDEX('Compliance Database'!$C$2:$C$1960,MATCH(1336,'Transfer Engine'!$C$2:$C$1960,0)))</f>
        <v/>
      </c>
      <c r="D1345" s="9">
        <f>IF(ISNA(MATCH(1336,'Transfer Engine'!$C$2:$C$1960,0)),"",INDEX('Compliance Database'!$D$2:$D$1960,MATCH(1336,'Transfer Engine'!$C$2:$C$1960,0)))</f>
        <v/>
      </c>
      <c r="E1345" s="8">
        <f>IF(ISNA(MATCH(1336,'Transfer Engine'!$C$2:$C$1960,0)),"",INDEX('Compliance Database'!$E$2:$E$1960,MATCH(1336,'Transfer Engine'!$C$2:$C$1960,0)))</f>
        <v/>
      </c>
      <c r="F1345" s="8">
        <f>IF(ISNA(MATCH(1336,'Transfer Engine'!$C$2:$C$1960,0)),"",INDEX('Compliance Database'!$F$2:$F$1960,MATCH(1336,'Transfer Engine'!$C$2:$C$1960,0)))</f>
        <v/>
      </c>
      <c r="G1345" s="8">
        <f>IF(ISNA(MATCH(1336,'Transfer Engine'!$C$2:$C$1960,0)),"",INDEX('Compliance Database'!$G$2:$G$1960,MATCH(1336,'Transfer Engine'!$C$2:$C$1960,0)))</f>
        <v/>
      </c>
      <c r="H1345" s="9">
        <f>IF(ISNA(MATCH(1336,'Transfer Engine'!$C$2:$C$1960,0)),"",INDEX('Compliance Database'!$H$2:$H$1960,MATCH(1336,'Transfer Engine'!$C$2:$C$1960,0)))</f>
        <v/>
      </c>
      <c r="I1345" s="9">
        <f>IF(ISNA(MATCH(1336,'Transfer Engine'!$C$2:$C$1960,0)),"",INDEX('Compliance Database'!$I$2:$I$1960,MATCH(1336,'Transfer Engine'!$C$2:$C$1960,0)))</f>
        <v/>
      </c>
      <c r="J1345" s="8">
        <f>IF(ISNA(MATCH(1336,'Transfer Engine'!$C$2:$C$1960,0)),"",INDEX('Compliance Database'!$J$2:$J$1960,MATCH(1336,'Transfer Engine'!$C$2:$C$1960,0)))</f>
        <v/>
      </c>
      <c r="K1345" s="9">
        <f>IF(ISNA(MATCH(1336,'Transfer Engine'!$C$2:$C$1960,0)),"",INDEX('Compliance Database'!$K$2:$K$1960,MATCH(1336,'Transfer Engine'!$C$2:$C$1960,0)))</f>
        <v/>
      </c>
      <c r="L1345" s="9">
        <f>IF(ISNA(MATCH(1336,'Transfer Engine'!$C$2:$C$1960,0)),"",INDEX('Compliance Database'!$L$2:$L$1960,MATCH(1336,'Transfer Engine'!$C$2:$C$1960,0)))</f>
        <v/>
      </c>
      <c r="M1345" s="9">
        <f>IF(ISNA(MATCH(1336,'Transfer Engine'!$C$2:$C$1960,0)),"",INDEX('Compliance Database'!$M$2:$M$1960,MATCH(1336,'Transfer Engine'!$C$2:$C$1960,0)))</f>
        <v/>
      </c>
      <c r="N1345" s="9">
        <f>IF(ISNA(MATCH(1336,'Transfer Engine'!$C$2:$C$1960,0)),"",INDEX('Compliance Database'!$N$2:$N$1960,MATCH(1336,'Transfer Engine'!$C$2:$C$1960,0)))</f>
        <v/>
      </c>
      <c r="O1345" s="9">
        <f>IF(ISNA(MATCH(1336,'Transfer Engine'!$C$2:$C$1960,0)),"",INDEX('Compliance Database'!$O$2:$O$1960,MATCH(1336,'Transfer Engine'!$C$2:$C$1960,0)))</f>
        <v/>
      </c>
      <c r="P1345" s="8">
        <f>IF(ISNA(MATCH(1336,'Transfer Engine'!$C$2:$C$1960,0)),"",HYPERLINK("#Acts!A"&amp;INDEX('Compliance Database'!$P$2:$P$1960,MATCH(1336,'Transfer Engine'!$C$2:$C$1960,0)),"Go to Act"))</f>
        <v/>
      </c>
    </row>
    <row r="1346" ht="158" customHeight="1">
      <c r="A1346" s="8">
        <f>IF(ISNA(MATCH(1337,'Transfer Engine'!$C$2:$C$1960,0)),"",INDEX('Compliance Database'!$A$2:$A$1960,MATCH(1337,'Transfer Engine'!$C$2:$C$1960,0)))</f>
        <v/>
      </c>
      <c r="B1346" s="8">
        <f>IF(ISNA(MATCH(1337,'Transfer Engine'!$C$2:$C$1960,0)),"",INDEX('Compliance Database'!$B$2:$B$1960,MATCH(1337,'Transfer Engine'!$C$2:$C$1960,0)))</f>
        <v/>
      </c>
      <c r="C1346" s="8">
        <f>IF(ISNA(MATCH(1337,'Transfer Engine'!$C$2:$C$1960,0)),"",INDEX('Compliance Database'!$C$2:$C$1960,MATCH(1337,'Transfer Engine'!$C$2:$C$1960,0)))</f>
        <v/>
      </c>
      <c r="D1346" s="9">
        <f>IF(ISNA(MATCH(1337,'Transfer Engine'!$C$2:$C$1960,0)),"",INDEX('Compliance Database'!$D$2:$D$1960,MATCH(1337,'Transfer Engine'!$C$2:$C$1960,0)))</f>
        <v/>
      </c>
      <c r="E1346" s="8">
        <f>IF(ISNA(MATCH(1337,'Transfer Engine'!$C$2:$C$1960,0)),"",INDEX('Compliance Database'!$E$2:$E$1960,MATCH(1337,'Transfer Engine'!$C$2:$C$1960,0)))</f>
        <v/>
      </c>
      <c r="F1346" s="8">
        <f>IF(ISNA(MATCH(1337,'Transfer Engine'!$C$2:$C$1960,0)),"",INDEX('Compliance Database'!$F$2:$F$1960,MATCH(1337,'Transfer Engine'!$C$2:$C$1960,0)))</f>
        <v/>
      </c>
      <c r="G1346" s="8">
        <f>IF(ISNA(MATCH(1337,'Transfer Engine'!$C$2:$C$1960,0)),"",INDEX('Compliance Database'!$G$2:$G$1960,MATCH(1337,'Transfer Engine'!$C$2:$C$1960,0)))</f>
        <v/>
      </c>
      <c r="H1346" s="9">
        <f>IF(ISNA(MATCH(1337,'Transfer Engine'!$C$2:$C$1960,0)),"",INDEX('Compliance Database'!$H$2:$H$1960,MATCH(1337,'Transfer Engine'!$C$2:$C$1960,0)))</f>
        <v/>
      </c>
      <c r="I1346" s="9">
        <f>IF(ISNA(MATCH(1337,'Transfer Engine'!$C$2:$C$1960,0)),"",INDEX('Compliance Database'!$I$2:$I$1960,MATCH(1337,'Transfer Engine'!$C$2:$C$1960,0)))</f>
        <v/>
      </c>
      <c r="J1346" s="8">
        <f>IF(ISNA(MATCH(1337,'Transfer Engine'!$C$2:$C$1960,0)),"",INDEX('Compliance Database'!$J$2:$J$1960,MATCH(1337,'Transfer Engine'!$C$2:$C$1960,0)))</f>
        <v/>
      </c>
      <c r="K1346" s="9">
        <f>IF(ISNA(MATCH(1337,'Transfer Engine'!$C$2:$C$1960,0)),"",INDEX('Compliance Database'!$K$2:$K$1960,MATCH(1337,'Transfer Engine'!$C$2:$C$1960,0)))</f>
        <v/>
      </c>
      <c r="L1346" s="9">
        <f>IF(ISNA(MATCH(1337,'Transfer Engine'!$C$2:$C$1960,0)),"",INDEX('Compliance Database'!$L$2:$L$1960,MATCH(1337,'Transfer Engine'!$C$2:$C$1960,0)))</f>
        <v/>
      </c>
      <c r="M1346" s="9">
        <f>IF(ISNA(MATCH(1337,'Transfer Engine'!$C$2:$C$1960,0)),"",INDEX('Compliance Database'!$M$2:$M$1960,MATCH(1337,'Transfer Engine'!$C$2:$C$1960,0)))</f>
        <v/>
      </c>
      <c r="N1346" s="9">
        <f>IF(ISNA(MATCH(1337,'Transfer Engine'!$C$2:$C$1960,0)),"",INDEX('Compliance Database'!$N$2:$N$1960,MATCH(1337,'Transfer Engine'!$C$2:$C$1960,0)))</f>
        <v/>
      </c>
      <c r="O1346" s="9">
        <f>IF(ISNA(MATCH(1337,'Transfer Engine'!$C$2:$C$1960,0)),"",INDEX('Compliance Database'!$O$2:$O$1960,MATCH(1337,'Transfer Engine'!$C$2:$C$1960,0)))</f>
        <v/>
      </c>
      <c r="P1346" s="8">
        <f>IF(ISNA(MATCH(1337,'Transfer Engine'!$C$2:$C$1960,0)),"",HYPERLINK("#Acts!A"&amp;INDEX('Compliance Database'!$P$2:$P$1960,MATCH(1337,'Transfer Engine'!$C$2:$C$1960,0)),"Go to Act"))</f>
        <v/>
      </c>
    </row>
    <row r="1347" ht="158" customHeight="1">
      <c r="A1347" s="8">
        <f>IF(ISNA(MATCH(1338,'Transfer Engine'!$C$2:$C$1960,0)),"",INDEX('Compliance Database'!$A$2:$A$1960,MATCH(1338,'Transfer Engine'!$C$2:$C$1960,0)))</f>
        <v/>
      </c>
      <c r="B1347" s="8">
        <f>IF(ISNA(MATCH(1338,'Transfer Engine'!$C$2:$C$1960,0)),"",INDEX('Compliance Database'!$B$2:$B$1960,MATCH(1338,'Transfer Engine'!$C$2:$C$1960,0)))</f>
        <v/>
      </c>
      <c r="C1347" s="8">
        <f>IF(ISNA(MATCH(1338,'Transfer Engine'!$C$2:$C$1960,0)),"",INDEX('Compliance Database'!$C$2:$C$1960,MATCH(1338,'Transfer Engine'!$C$2:$C$1960,0)))</f>
        <v/>
      </c>
      <c r="D1347" s="9">
        <f>IF(ISNA(MATCH(1338,'Transfer Engine'!$C$2:$C$1960,0)),"",INDEX('Compliance Database'!$D$2:$D$1960,MATCH(1338,'Transfer Engine'!$C$2:$C$1960,0)))</f>
        <v/>
      </c>
      <c r="E1347" s="8">
        <f>IF(ISNA(MATCH(1338,'Transfer Engine'!$C$2:$C$1960,0)),"",INDEX('Compliance Database'!$E$2:$E$1960,MATCH(1338,'Transfer Engine'!$C$2:$C$1960,0)))</f>
        <v/>
      </c>
      <c r="F1347" s="8">
        <f>IF(ISNA(MATCH(1338,'Transfer Engine'!$C$2:$C$1960,0)),"",INDEX('Compliance Database'!$F$2:$F$1960,MATCH(1338,'Transfer Engine'!$C$2:$C$1960,0)))</f>
        <v/>
      </c>
      <c r="G1347" s="8">
        <f>IF(ISNA(MATCH(1338,'Transfer Engine'!$C$2:$C$1960,0)),"",INDEX('Compliance Database'!$G$2:$G$1960,MATCH(1338,'Transfer Engine'!$C$2:$C$1960,0)))</f>
        <v/>
      </c>
      <c r="H1347" s="9">
        <f>IF(ISNA(MATCH(1338,'Transfer Engine'!$C$2:$C$1960,0)),"",INDEX('Compliance Database'!$H$2:$H$1960,MATCH(1338,'Transfer Engine'!$C$2:$C$1960,0)))</f>
        <v/>
      </c>
      <c r="I1347" s="9">
        <f>IF(ISNA(MATCH(1338,'Transfer Engine'!$C$2:$C$1960,0)),"",INDEX('Compliance Database'!$I$2:$I$1960,MATCH(1338,'Transfer Engine'!$C$2:$C$1960,0)))</f>
        <v/>
      </c>
      <c r="J1347" s="8">
        <f>IF(ISNA(MATCH(1338,'Transfer Engine'!$C$2:$C$1960,0)),"",INDEX('Compliance Database'!$J$2:$J$1960,MATCH(1338,'Transfer Engine'!$C$2:$C$1960,0)))</f>
        <v/>
      </c>
      <c r="K1347" s="9">
        <f>IF(ISNA(MATCH(1338,'Transfer Engine'!$C$2:$C$1960,0)),"",INDEX('Compliance Database'!$K$2:$K$1960,MATCH(1338,'Transfer Engine'!$C$2:$C$1960,0)))</f>
        <v/>
      </c>
      <c r="L1347" s="9">
        <f>IF(ISNA(MATCH(1338,'Transfer Engine'!$C$2:$C$1960,0)),"",INDEX('Compliance Database'!$L$2:$L$1960,MATCH(1338,'Transfer Engine'!$C$2:$C$1960,0)))</f>
        <v/>
      </c>
      <c r="M1347" s="9">
        <f>IF(ISNA(MATCH(1338,'Transfer Engine'!$C$2:$C$1960,0)),"",INDEX('Compliance Database'!$M$2:$M$1960,MATCH(1338,'Transfer Engine'!$C$2:$C$1960,0)))</f>
        <v/>
      </c>
      <c r="N1347" s="9">
        <f>IF(ISNA(MATCH(1338,'Transfer Engine'!$C$2:$C$1960,0)),"",INDEX('Compliance Database'!$N$2:$N$1960,MATCH(1338,'Transfer Engine'!$C$2:$C$1960,0)))</f>
        <v/>
      </c>
      <c r="O1347" s="9">
        <f>IF(ISNA(MATCH(1338,'Transfer Engine'!$C$2:$C$1960,0)),"",INDEX('Compliance Database'!$O$2:$O$1960,MATCH(1338,'Transfer Engine'!$C$2:$C$1960,0)))</f>
        <v/>
      </c>
      <c r="P1347" s="8">
        <f>IF(ISNA(MATCH(1338,'Transfer Engine'!$C$2:$C$1960,0)),"",HYPERLINK("#Acts!A"&amp;INDEX('Compliance Database'!$P$2:$P$1960,MATCH(1338,'Transfer Engine'!$C$2:$C$1960,0)),"Go to Act"))</f>
        <v/>
      </c>
    </row>
    <row r="1348" ht="158" customHeight="1">
      <c r="A1348" s="8">
        <f>IF(ISNA(MATCH(1339,'Transfer Engine'!$C$2:$C$1960,0)),"",INDEX('Compliance Database'!$A$2:$A$1960,MATCH(1339,'Transfer Engine'!$C$2:$C$1960,0)))</f>
        <v/>
      </c>
      <c r="B1348" s="8">
        <f>IF(ISNA(MATCH(1339,'Transfer Engine'!$C$2:$C$1960,0)),"",INDEX('Compliance Database'!$B$2:$B$1960,MATCH(1339,'Transfer Engine'!$C$2:$C$1960,0)))</f>
        <v/>
      </c>
      <c r="C1348" s="8">
        <f>IF(ISNA(MATCH(1339,'Transfer Engine'!$C$2:$C$1960,0)),"",INDEX('Compliance Database'!$C$2:$C$1960,MATCH(1339,'Transfer Engine'!$C$2:$C$1960,0)))</f>
        <v/>
      </c>
      <c r="D1348" s="9">
        <f>IF(ISNA(MATCH(1339,'Transfer Engine'!$C$2:$C$1960,0)),"",INDEX('Compliance Database'!$D$2:$D$1960,MATCH(1339,'Transfer Engine'!$C$2:$C$1960,0)))</f>
        <v/>
      </c>
      <c r="E1348" s="8">
        <f>IF(ISNA(MATCH(1339,'Transfer Engine'!$C$2:$C$1960,0)),"",INDEX('Compliance Database'!$E$2:$E$1960,MATCH(1339,'Transfer Engine'!$C$2:$C$1960,0)))</f>
        <v/>
      </c>
      <c r="F1348" s="8">
        <f>IF(ISNA(MATCH(1339,'Transfer Engine'!$C$2:$C$1960,0)),"",INDEX('Compliance Database'!$F$2:$F$1960,MATCH(1339,'Transfer Engine'!$C$2:$C$1960,0)))</f>
        <v/>
      </c>
      <c r="G1348" s="8">
        <f>IF(ISNA(MATCH(1339,'Transfer Engine'!$C$2:$C$1960,0)),"",INDEX('Compliance Database'!$G$2:$G$1960,MATCH(1339,'Transfer Engine'!$C$2:$C$1960,0)))</f>
        <v/>
      </c>
      <c r="H1348" s="9">
        <f>IF(ISNA(MATCH(1339,'Transfer Engine'!$C$2:$C$1960,0)),"",INDEX('Compliance Database'!$H$2:$H$1960,MATCH(1339,'Transfer Engine'!$C$2:$C$1960,0)))</f>
        <v/>
      </c>
      <c r="I1348" s="9">
        <f>IF(ISNA(MATCH(1339,'Transfer Engine'!$C$2:$C$1960,0)),"",INDEX('Compliance Database'!$I$2:$I$1960,MATCH(1339,'Transfer Engine'!$C$2:$C$1960,0)))</f>
        <v/>
      </c>
      <c r="J1348" s="8">
        <f>IF(ISNA(MATCH(1339,'Transfer Engine'!$C$2:$C$1960,0)),"",INDEX('Compliance Database'!$J$2:$J$1960,MATCH(1339,'Transfer Engine'!$C$2:$C$1960,0)))</f>
        <v/>
      </c>
      <c r="K1348" s="9">
        <f>IF(ISNA(MATCH(1339,'Transfer Engine'!$C$2:$C$1960,0)),"",INDEX('Compliance Database'!$K$2:$K$1960,MATCH(1339,'Transfer Engine'!$C$2:$C$1960,0)))</f>
        <v/>
      </c>
      <c r="L1348" s="9">
        <f>IF(ISNA(MATCH(1339,'Transfer Engine'!$C$2:$C$1960,0)),"",INDEX('Compliance Database'!$L$2:$L$1960,MATCH(1339,'Transfer Engine'!$C$2:$C$1960,0)))</f>
        <v/>
      </c>
      <c r="M1348" s="9">
        <f>IF(ISNA(MATCH(1339,'Transfer Engine'!$C$2:$C$1960,0)),"",INDEX('Compliance Database'!$M$2:$M$1960,MATCH(1339,'Transfer Engine'!$C$2:$C$1960,0)))</f>
        <v/>
      </c>
      <c r="N1348" s="9">
        <f>IF(ISNA(MATCH(1339,'Transfer Engine'!$C$2:$C$1960,0)),"",INDEX('Compliance Database'!$N$2:$N$1960,MATCH(1339,'Transfer Engine'!$C$2:$C$1960,0)))</f>
        <v/>
      </c>
      <c r="O1348" s="9">
        <f>IF(ISNA(MATCH(1339,'Transfer Engine'!$C$2:$C$1960,0)),"",INDEX('Compliance Database'!$O$2:$O$1960,MATCH(1339,'Transfer Engine'!$C$2:$C$1960,0)))</f>
        <v/>
      </c>
      <c r="P1348" s="8">
        <f>IF(ISNA(MATCH(1339,'Transfer Engine'!$C$2:$C$1960,0)),"",HYPERLINK("#Acts!A"&amp;INDEX('Compliance Database'!$P$2:$P$1960,MATCH(1339,'Transfer Engine'!$C$2:$C$1960,0)),"Go to Act"))</f>
        <v/>
      </c>
    </row>
    <row r="1349" ht="158" customHeight="1">
      <c r="A1349" s="8">
        <f>IF(ISNA(MATCH(1340,'Transfer Engine'!$C$2:$C$1960,0)),"",INDEX('Compliance Database'!$A$2:$A$1960,MATCH(1340,'Transfer Engine'!$C$2:$C$1960,0)))</f>
        <v/>
      </c>
      <c r="B1349" s="8">
        <f>IF(ISNA(MATCH(1340,'Transfer Engine'!$C$2:$C$1960,0)),"",INDEX('Compliance Database'!$B$2:$B$1960,MATCH(1340,'Transfer Engine'!$C$2:$C$1960,0)))</f>
        <v/>
      </c>
      <c r="C1349" s="8">
        <f>IF(ISNA(MATCH(1340,'Transfer Engine'!$C$2:$C$1960,0)),"",INDEX('Compliance Database'!$C$2:$C$1960,MATCH(1340,'Transfer Engine'!$C$2:$C$1960,0)))</f>
        <v/>
      </c>
      <c r="D1349" s="9">
        <f>IF(ISNA(MATCH(1340,'Transfer Engine'!$C$2:$C$1960,0)),"",INDEX('Compliance Database'!$D$2:$D$1960,MATCH(1340,'Transfer Engine'!$C$2:$C$1960,0)))</f>
        <v/>
      </c>
      <c r="E1349" s="8">
        <f>IF(ISNA(MATCH(1340,'Transfer Engine'!$C$2:$C$1960,0)),"",INDEX('Compliance Database'!$E$2:$E$1960,MATCH(1340,'Transfer Engine'!$C$2:$C$1960,0)))</f>
        <v/>
      </c>
      <c r="F1349" s="8">
        <f>IF(ISNA(MATCH(1340,'Transfer Engine'!$C$2:$C$1960,0)),"",INDEX('Compliance Database'!$F$2:$F$1960,MATCH(1340,'Transfer Engine'!$C$2:$C$1960,0)))</f>
        <v/>
      </c>
      <c r="G1349" s="8">
        <f>IF(ISNA(MATCH(1340,'Transfer Engine'!$C$2:$C$1960,0)),"",INDEX('Compliance Database'!$G$2:$G$1960,MATCH(1340,'Transfer Engine'!$C$2:$C$1960,0)))</f>
        <v/>
      </c>
      <c r="H1349" s="9">
        <f>IF(ISNA(MATCH(1340,'Transfer Engine'!$C$2:$C$1960,0)),"",INDEX('Compliance Database'!$H$2:$H$1960,MATCH(1340,'Transfer Engine'!$C$2:$C$1960,0)))</f>
        <v/>
      </c>
      <c r="I1349" s="9">
        <f>IF(ISNA(MATCH(1340,'Transfer Engine'!$C$2:$C$1960,0)),"",INDEX('Compliance Database'!$I$2:$I$1960,MATCH(1340,'Transfer Engine'!$C$2:$C$1960,0)))</f>
        <v/>
      </c>
      <c r="J1349" s="8">
        <f>IF(ISNA(MATCH(1340,'Transfer Engine'!$C$2:$C$1960,0)),"",INDEX('Compliance Database'!$J$2:$J$1960,MATCH(1340,'Transfer Engine'!$C$2:$C$1960,0)))</f>
        <v/>
      </c>
      <c r="K1349" s="9">
        <f>IF(ISNA(MATCH(1340,'Transfer Engine'!$C$2:$C$1960,0)),"",INDEX('Compliance Database'!$K$2:$K$1960,MATCH(1340,'Transfer Engine'!$C$2:$C$1960,0)))</f>
        <v/>
      </c>
      <c r="L1349" s="9">
        <f>IF(ISNA(MATCH(1340,'Transfer Engine'!$C$2:$C$1960,0)),"",INDEX('Compliance Database'!$L$2:$L$1960,MATCH(1340,'Transfer Engine'!$C$2:$C$1960,0)))</f>
        <v/>
      </c>
      <c r="M1349" s="9">
        <f>IF(ISNA(MATCH(1340,'Transfer Engine'!$C$2:$C$1960,0)),"",INDEX('Compliance Database'!$M$2:$M$1960,MATCH(1340,'Transfer Engine'!$C$2:$C$1960,0)))</f>
        <v/>
      </c>
      <c r="N1349" s="9">
        <f>IF(ISNA(MATCH(1340,'Transfer Engine'!$C$2:$C$1960,0)),"",INDEX('Compliance Database'!$N$2:$N$1960,MATCH(1340,'Transfer Engine'!$C$2:$C$1960,0)))</f>
        <v/>
      </c>
      <c r="O1349" s="9">
        <f>IF(ISNA(MATCH(1340,'Transfer Engine'!$C$2:$C$1960,0)),"",INDEX('Compliance Database'!$O$2:$O$1960,MATCH(1340,'Transfer Engine'!$C$2:$C$1960,0)))</f>
        <v/>
      </c>
      <c r="P1349" s="8">
        <f>IF(ISNA(MATCH(1340,'Transfer Engine'!$C$2:$C$1960,0)),"",HYPERLINK("#Acts!A"&amp;INDEX('Compliance Database'!$P$2:$P$1960,MATCH(1340,'Transfer Engine'!$C$2:$C$1960,0)),"Go to Act"))</f>
        <v/>
      </c>
    </row>
    <row r="1350" ht="158" customHeight="1">
      <c r="A1350" s="8">
        <f>IF(ISNA(MATCH(1341,'Transfer Engine'!$C$2:$C$1960,0)),"",INDEX('Compliance Database'!$A$2:$A$1960,MATCH(1341,'Transfer Engine'!$C$2:$C$1960,0)))</f>
        <v/>
      </c>
      <c r="B1350" s="8">
        <f>IF(ISNA(MATCH(1341,'Transfer Engine'!$C$2:$C$1960,0)),"",INDEX('Compliance Database'!$B$2:$B$1960,MATCH(1341,'Transfer Engine'!$C$2:$C$1960,0)))</f>
        <v/>
      </c>
      <c r="C1350" s="8">
        <f>IF(ISNA(MATCH(1341,'Transfer Engine'!$C$2:$C$1960,0)),"",INDEX('Compliance Database'!$C$2:$C$1960,MATCH(1341,'Transfer Engine'!$C$2:$C$1960,0)))</f>
        <v/>
      </c>
      <c r="D1350" s="9">
        <f>IF(ISNA(MATCH(1341,'Transfer Engine'!$C$2:$C$1960,0)),"",INDEX('Compliance Database'!$D$2:$D$1960,MATCH(1341,'Transfer Engine'!$C$2:$C$1960,0)))</f>
        <v/>
      </c>
      <c r="E1350" s="8">
        <f>IF(ISNA(MATCH(1341,'Transfer Engine'!$C$2:$C$1960,0)),"",INDEX('Compliance Database'!$E$2:$E$1960,MATCH(1341,'Transfer Engine'!$C$2:$C$1960,0)))</f>
        <v/>
      </c>
      <c r="F1350" s="8">
        <f>IF(ISNA(MATCH(1341,'Transfer Engine'!$C$2:$C$1960,0)),"",INDEX('Compliance Database'!$F$2:$F$1960,MATCH(1341,'Transfer Engine'!$C$2:$C$1960,0)))</f>
        <v/>
      </c>
      <c r="G1350" s="8">
        <f>IF(ISNA(MATCH(1341,'Transfer Engine'!$C$2:$C$1960,0)),"",INDEX('Compliance Database'!$G$2:$G$1960,MATCH(1341,'Transfer Engine'!$C$2:$C$1960,0)))</f>
        <v/>
      </c>
      <c r="H1350" s="9">
        <f>IF(ISNA(MATCH(1341,'Transfer Engine'!$C$2:$C$1960,0)),"",INDEX('Compliance Database'!$H$2:$H$1960,MATCH(1341,'Transfer Engine'!$C$2:$C$1960,0)))</f>
        <v/>
      </c>
      <c r="I1350" s="9">
        <f>IF(ISNA(MATCH(1341,'Transfer Engine'!$C$2:$C$1960,0)),"",INDEX('Compliance Database'!$I$2:$I$1960,MATCH(1341,'Transfer Engine'!$C$2:$C$1960,0)))</f>
        <v/>
      </c>
      <c r="J1350" s="8">
        <f>IF(ISNA(MATCH(1341,'Transfer Engine'!$C$2:$C$1960,0)),"",INDEX('Compliance Database'!$J$2:$J$1960,MATCH(1341,'Transfer Engine'!$C$2:$C$1960,0)))</f>
        <v/>
      </c>
      <c r="K1350" s="9">
        <f>IF(ISNA(MATCH(1341,'Transfer Engine'!$C$2:$C$1960,0)),"",INDEX('Compliance Database'!$K$2:$K$1960,MATCH(1341,'Transfer Engine'!$C$2:$C$1960,0)))</f>
        <v/>
      </c>
      <c r="L1350" s="9">
        <f>IF(ISNA(MATCH(1341,'Transfer Engine'!$C$2:$C$1960,0)),"",INDEX('Compliance Database'!$L$2:$L$1960,MATCH(1341,'Transfer Engine'!$C$2:$C$1960,0)))</f>
        <v/>
      </c>
      <c r="M1350" s="9">
        <f>IF(ISNA(MATCH(1341,'Transfer Engine'!$C$2:$C$1960,0)),"",INDEX('Compliance Database'!$M$2:$M$1960,MATCH(1341,'Transfer Engine'!$C$2:$C$1960,0)))</f>
        <v/>
      </c>
      <c r="N1350" s="9">
        <f>IF(ISNA(MATCH(1341,'Transfer Engine'!$C$2:$C$1960,0)),"",INDEX('Compliance Database'!$N$2:$N$1960,MATCH(1341,'Transfer Engine'!$C$2:$C$1960,0)))</f>
        <v/>
      </c>
      <c r="O1350" s="9">
        <f>IF(ISNA(MATCH(1341,'Transfer Engine'!$C$2:$C$1960,0)),"",INDEX('Compliance Database'!$O$2:$O$1960,MATCH(1341,'Transfer Engine'!$C$2:$C$1960,0)))</f>
        <v/>
      </c>
      <c r="P1350" s="8">
        <f>IF(ISNA(MATCH(1341,'Transfer Engine'!$C$2:$C$1960,0)),"",HYPERLINK("#Acts!A"&amp;INDEX('Compliance Database'!$P$2:$P$1960,MATCH(1341,'Transfer Engine'!$C$2:$C$1960,0)),"Go to Act"))</f>
        <v/>
      </c>
    </row>
    <row r="1351" ht="158" customHeight="1">
      <c r="A1351" s="8">
        <f>IF(ISNA(MATCH(1342,'Transfer Engine'!$C$2:$C$1960,0)),"",INDEX('Compliance Database'!$A$2:$A$1960,MATCH(1342,'Transfer Engine'!$C$2:$C$1960,0)))</f>
        <v/>
      </c>
      <c r="B1351" s="8">
        <f>IF(ISNA(MATCH(1342,'Transfer Engine'!$C$2:$C$1960,0)),"",INDEX('Compliance Database'!$B$2:$B$1960,MATCH(1342,'Transfer Engine'!$C$2:$C$1960,0)))</f>
        <v/>
      </c>
      <c r="C1351" s="8">
        <f>IF(ISNA(MATCH(1342,'Transfer Engine'!$C$2:$C$1960,0)),"",INDEX('Compliance Database'!$C$2:$C$1960,MATCH(1342,'Transfer Engine'!$C$2:$C$1960,0)))</f>
        <v/>
      </c>
      <c r="D1351" s="9">
        <f>IF(ISNA(MATCH(1342,'Transfer Engine'!$C$2:$C$1960,0)),"",INDEX('Compliance Database'!$D$2:$D$1960,MATCH(1342,'Transfer Engine'!$C$2:$C$1960,0)))</f>
        <v/>
      </c>
      <c r="E1351" s="8">
        <f>IF(ISNA(MATCH(1342,'Transfer Engine'!$C$2:$C$1960,0)),"",INDEX('Compliance Database'!$E$2:$E$1960,MATCH(1342,'Transfer Engine'!$C$2:$C$1960,0)))</f>
        <v/>
      </c>
      <c r="F1351" s="8">
        <f>IF(ISNA(MATCH(1342,'Transfer Engine'!$C$2:$C$1960,0)),"",INDEX('Compliance Database'!$F$2:$F$1960,MATCH(1342,'Transfer Engine'!$C$2:$C$1960,0)))</f>
        <v/>
      </c>
      <c r="G1351" s="8">
        <f>IF(ISNA(MATCH(1342,'Transfer Engine'!$C$2:$C$1960,0)),"",INDEX('Compliance Database'!$G$2:$G$1960,MATCH(1342,'Transfer Engine'!$C$2:$C$1960,0)))</f>
        <v/>
      </c>
      <c r="H1351" s="9">
        <f>IF(ISNA(MATCH(1342,'Transfer Engine'!$C$2:$C$1960,0)),"",INDEX('Compliance Database'!$H$2:$H$1960,MATCH(1342,'Transfer Engine'!$C$2:$C$1960,0)))</f>
        <v/>
      </c>
      <c r="I1351" s="9">
        <f>IF(ISNA(MATCH(1342,'Transfer Engine'!$C$2:$C$1960,0)),"",INDEX('Compliance Database'!$I$2:$I$1960,MATCH(1342,'Transfer Engine'!$C$2:$C$1960,0)))</f>
        <v/>
      </c>
      <c r="J1351" s="8">
        <f>IF(ISNA(MATCH(1342,'Transfer Engine'!$C$2:$C$1960,0)),"",INDEX('Compliance Database'!$J$2:$J$1960,MATCH(1342,'Transfer Engine'!$C$2:$C$1960,0)))</f>
        <v/>
      </c>
      <c r="K1351" s="9">
        <f>IF(ISNA(MATCH(1342,'Transfer Engine'!$C$2:$C$1960,0)),"",INDEX('Compliance Database'!$K$2:$K$1960,MATCH(1342,'Transfer Engine'!$C$2:$C$1960,0)))</f>
        <v/>
      </c>
      <c r="L1351" s="9">
        <f>IF(ISNA(MATCH(1342,'Transfer Engine'!$C$2:$C$1960,0)),"",INDEX('Compliance Database'!$L$2:$L$1960,MATCH(1342,'Transfer Engine'!$C$2:$C$1960,0)))</f>
        <v/>
      </c>
      <c r="M1351" s="9">
        <f>IF(ISNA(MATCH(1342,'Transfer Engine'!$C$2:$C$1960,0)),"",INDEX('Compliance Database'!$M$2:$M$1960,MATCH(1342,'Transfer Engine'!$C$2:$C$1960,0)))</f>
        <v/>
      </c>
      <c r="N1351" s="9">
        <f>IF(ISNA(MATCH(1342,'Transfer Engine'!$C$2:$C$1960,0)),"",INDEX('Compliance Database'!$N$2:$N$1960,MATCH(1342,'Transfer Engine'!$C$2:$C$1960,0)))</f>
        <v/>
      </c>
      <c r="O1351" s="9">
        <f>IF(ISNA(MATCH(1342,'Transfer Engine'!$C$2:$C$1960,0)),"",INDEX('Compliance Database'!$O$2:$O$1960,MATCH(1342,'Transfer Engine'!$C$2:$C$1960,0)))</f>
        <v/>
      </c>
      <c r="P1351" s="8">
        <f>IF(ISNA(MATCH(1342,'Transfer Engine'!$C$2:$C$1960,0)),"",HYPERLINK("#Acts!A"&amp;INDEX('Compliance Database'!$P$2:$P$1960,MATCH(1342,'Transfer Engine'!$C$2:$C$1960,0)),"Go to Act"))</f>
        <v/>
      </c>
    </row>
    <row r="1352" ht="158" customHeight="1">
      <c r="A1352" s="8">
        <f>IF(ISNA(MATCH(1343,'Transfer Engine'!$C$2:$C$1960,0)),"",INDEX('Compliance Database'!$A$2:$A$1960,MATCH(1343,'Transfer Engine'!$C$2:$C$1960,0)))</f>
        <v/>
      </c>
      <c r="B1352" s="8">
        <f>IF(ISNA(MATCH(1343,'Transfer Engine'!$C$2:$C$1960,0)),"",INDEX('Compliance Database'!$B$2:$B$1960,MATCH(1343,'Transfer Engine'!$C$2:$C$1960,0)))</f>
        <v/>
      </c>
      <c r="C1352" s="8">
        <f>IF(ISNA(MATCH(1343,'Transfer Engine'!$C$2:$C$1960,0)),"",INDEX('Compliance Database'!$C$2:$C$1960,MATCH(1343,'Transfer Engine'!$C$2:$C$1960,0)))</f>
        <v/>
      </c>
      <c r="D1352" s="9">
        <f>IF(ISNA(MATCH(1343,'Transfer Engine'!$C$2:$C$1960,0)),"",INDEX('Compliance Database'!$D$2:$D$1960,MATCH(1343,'Transfer Engine'!$C$2:$C$1960,0)))</f>
        <v/>
      </c>
      <c r="E1352" s="8">
        <f>IF(ISNA(MATCH(1343,'Transfer Engine'!$C$2:$C$1960,0)),"",INDEX('Compliance Database'!$E$2:$E$1960,MATCH(1343,'Transfer Engine'!$C$2:$C$1960,0)))</f>
        <v/>
      </c>
      <c r="F1352" s="8">
        <f>IF(ISNA(MATCH(1343,'Transfer Engine'!$C$2:$C$1960,0)),"",INDEX('Compliance Database'!$F$2:$F$1960,MATCH(1343,'Transfer Engine'!$C$2:$C$1960,0)))</f>
        <v/>
      </c>
      <c r="G1352" s="8">
        <f>IF(ISNA(MATCH(1343,'Transfer Engine'!$C$2:$C$1960,0)),"",INDEX('Compliance Database'!$G$2:$G$1960,MATCH(1343,'Transfer Engine'!$C$2:$C$1960,0)))</f>
        <v/>
      </c>
      <c r="H1352" s="9">
        <f>IF(ISNA(MATCH(1343,'Transfer Engine'!$C$2:$C$1960,0)),"",INDEX('Compliance Database'!$H$2:$H$1960,MATCH(1343,'Transfer Engine'!$C$2:$C$1960,0)))</f>
        <v/>
      </c>
      <c r="I1352" s="9">
        <f>IF(ISNA(MATCH(1343,'Transfer Engine'!$C$2:$C$1960,0)),"",INDEX('Compliance Database'!$I$2:$I$1960,MATCH(1343,'Transfer Engine'!$C$2:$C$1960,0)))</f>
        <v/>
      </c>
      <c r="J1352" s="8">
        <f>IF(ISNA(MATCH(1343,'Transfer Engine'!$C$2:$C$1960,0)),"",INDEX('Compliance Database'!$J$2:$J$1960,MATCH(1343,'Transfer Engine'!$C$2:$C$1960,0)))</f>
        <v/>
      </c>
      <c r="K1352" s="9">
        <f>IF(ISNA(MATCH(1343,'Transfer Engine'!$C$2:$C$1960,0)),"",INDEX('Compliance Database'!$K$2:$K$1960,MATCH(1343,'Transfer Engine'!$C$2:$C$1960,0)))</f>
        <v/>
      </c>
      <c r="L1352" s="9">
        <f>IF(ISNA(MATCH(1343,'Transfer Engine'!$C$2:$C$1960,0)),"",INDEX('Compliance Database'!$L$2:$L$1960,MATCH(1343,'Transfer Engine'!$C$2:$C$1960,0)))</f>
        <v/>
      </c>
      <c r="M1352" s="9">
        <f>IF(ISNA(MATCH(1343,'Transfer Engine'!$C$2:$C$1960,0)),"",INDEX('Compliance Database'!$M$2:$M$1960,MATCH(1343,'Transfer Engine'!$C$2:$C$1960,0)))</f>
        <v/>
      </c>
      <c r="N1352" s="9">
        <f>IF(ISNA(MATCH(1343,'Transfer Engine'!$C$2:$C$1960,0)),"",INDEX('Compliance Database'!$N$2:$N$1960,MATCH(1343,'Transfer Engine'!$C$2:$C$1960,0)))</f>
        <v/>
      </c>
      <c r="O1352" s="9">
        <f>IF(ISNA(MATCH(1343,'Transfer Engine'!$C$2:$C$1960,0)),"",INDEX('Compliance Database'!$O$2:$O$1960,MATCH(1343,'Transfer Engine'!$C$2:$C$1960,0)))</f>
        <v/>
      </c>
      <c r="P1352" s="8">
        <f>IF(ISNA(MATCH(1343,'Transfer Engine'!$C$2:$C$1960,0)),"",HYPERLINK("#Acts!A"&amp;INDEX('Compliance Database'!$P$2:$P$1960,MATCH(1343,'Transfer Engine'!$C$2:$C$1960,0)),"Go to Act"))</f>
        <v/>
      </c>
    </row>
    <row r="1353" ht="158" customHeight="1">
      <c r="A1353" s="8">
        <f>IF(ISNA(MATCH(1344,'Transfer Engine'!$C$2:$C$1960,0)),"",INDEX('Compliance Database'!$A$2:$A$1960,MATCH(1344,'Transfer Engine'!$C$2:$C$1960,0)))</f>
        <v/>
      </c>
      <c r="B1353" s="8">
        <f>IF(ISNA(MATCH(1344,'Transfer Engine'!$C$2:$C$1960,0)),"",INDEX('Compliance Database'!$B$2:$B$1960,MATCH(1344,'Transfer Engine'!$C$2:$C$1960,0)))</f>
        <v/>
      </c>
      <c r="C1353" s="8">
        <f>IF(ISNA(MATCH(1344,'Transfer Engine'!$C$2:$C$1960,0)),"",INDEX('Compliance Database'!$C$2:$C$1960,MATCH(1344,'Transfer Engine'!$C$2:$C$1960,0)))</f>
        <v/>
      </c>
      <c r="D1353" s="9">
        <f>IF(ISNA(MATCH(1344,'Transfer Engine'!$C$2:$C$1960,0)),"",INDEX('Compliance Database'!$D$2:$D$1960,MATCH(1344,'Transfer Engine'!$C$2:$C$1960,0)))</f>
        <v/>
      </c>
      <c r="E1353" s="8">
        <f>IF(ISNA(MATCH(1344,'Transfer Engine'!$C$2:$C$1960,0)),"",INDEX('Compliance Database'!$E$2:$E$1960,MATCH(1344,'Transfer Engine'!$C$2:$C$1960,0)))</f>
        <v/>
      </c>
      <c r="F1353" s="8">
        <f>IF(ISNA(MATCH(1344,'Transfer Engine'!$C$2:$C$1960,0)),"",INDEX('Compliance Database'!$F$2:$F$1960,MATCH(1344,'Transfer Engine'!$C$2:$C$1960,0)))</f>
        <v/>
      </c>
      <c r="G1353" s="8">
        <f>IF(ISNA(MATCH(1344,'Transfer Engine'!$C$2:$C$1960,0)),"",INDEX('Compliance Database'!$G$2:$G$1960,MATCH(1344,'Transfer Engine'!$C$2:$C$1960,0)))</f>
        <v/>
      </c>
      <c r="H1353" s="9">
        <f>IF(ISNA(MATCH(1344,'Transfer Engine'!$C$2:$C$1960,0)),"",INDEX('Compliance Database'!$H$2:$H$1960,MATCH(1344,'Transfer Engine'!$C$2:$C$1960,0)))</f>
        <v/>
      </c>
      <c r="I1353" s="9">
        <f>IF(ISNA(MATCH(1344,'Transfer Engine'!$C$2:$C$1960,0)),"",INDEX('Compliance Database'!$I$2:$I$1960,MATCH(1344,'Transfer Engine'!$C$2:$C$1960,0)))</f>
        <v/>
      </c>
      <c r="J1353" s="8">
        <f>IF(ISNA(MATCH(1344,'Transfer Engine'!$C$2:$C$1960,0)),"",INDEX('Compliance Database'!$J$2:$J$1960,MATCH(1344,'Transfer Engine'!$C$2:$C$1960,0)))</f>
        <v/>
      </c>
      <c r="K1353" s="9">
        <f>IF(ISNA(MATCH(1344,'Transfer Engine'!$C$2:$C$1960,0)),"",INDEX('Compliance Database'!$K$2:$K$1960,MATCH(1344,'Transfer Engine'!$C$2:$C$1960,0)))</f>
        <v/>
      </c>
      <c r="L1353" s="9">
        <f>IF(ISNA(MATCH(1344,'Transfer Engine'!$C$2:$C$1960,0)),"",INDEX('Compliance Database'!$L$2:$L$1960,MATCH(1344,'Transfer Engine'!$C$2:$C$1960,0)))</f>
        <v/>
      </c>
      <c r="M1353" s="9">
        <f>IF(ISNA(MATCH(1344,'Transfer Engine'!$C$2:$C$1960,0)),"",INDEX('Compliance Database'!$M$2:$M$1960,MATCH(1344,'Transfer Engine'!$C$2:$C$1960,0)))</f>
        <v/>
      </c>
      <c r="N1353" s="9">
        <f>IF(ISNA(MATCH(1344,'Transfer Engine'!$C$2:$C$1960,0)),"",INDEX('Compliance Database'!$N$2:$N$1960,MATCH(1344,'Transfer Engine'!$C$2:$C$1960,0)))</f>
        <v/>
      </c>
      <c r="O1353" s="9">
        <f>IF(ISNA(MATCH(1344,'Transfer Engine'!$C$2:$C$1960,0)),"",INDEX('Compliance Database'!$O$2:$O$1960,MATCH(1344,'Transfer Engine'!$C$2:$C$1960,0)))</f>
        <v/>
      </c>
      <c r="P1353" s="8">
        <f>IF(ISNA(MATCH(1344,'Transfer Engine'!$C$2:$C$1960,0)),"",HYPERLINK("#Acts!A"&amp;INDEX('Compliance Database'!$P$2:$P$1960,MATCH(1344,'Transfer Engine'!$C$2:$C$1960,0)),"Go to Act"))</f>
        <v/>
      </c>
    </row>
    <row r="1354" ht="158" customHeight="1">
      <c r="A1354" s="8">
        <f>IF(ISNA(MATCH(1345,'Transfer Engine'!$C$2:$C$1960,0)),"",INDEX('Compliance Database'!$A$2:$A$1960,MATCH(1345,'Transfer Engine'!$C$2:$C$1960,0)))</f>
        <v/>
      </c>
      <c r="B1354" s="8">
        <f>IF(ISNA(MATCH(1345,'Transfer Engine'!$C$2:$C$1960,0)),"",INDEX('Compliance Database'!$B$2:$B$1960,MATCH(1345,'Transfer Engine'!$C$2:$C$1960,0)))</f>
        <v/>
      </c>
      <c r="C1354" s="8">
        <f>IF(ISNA(MATCH(1345,'Transfer Engine'!$C$2:$C$1960,0)),"",INDEX('Compliance Database'!$C$2:$C$1960,MATCH(1345,'Transfer Engine'!$C$2:$C$1960,0)))</f>
        <v/>
      </c>
      <c r="D1354" s="9">
        <f>IF(ISNA(MATCH(1345,'Transfer Engine'!$C$2:$C$1960,0)),"",INDEX('Compliance Database'!$D$2:$D$1960,MATCH(1345,'Transfer Engine'!$C$2:$C$1960,0)))</f>
        <v/>
      </c>
      <c r="E1354" s="8">
        <f>IF(ISNA(MATCH(1345,'Transfer Engine'!$C$2:$C$1960,0)),"",INDEX('Compliance Database'!$E$2:$E$1960,MATCH(1345,'Transfer Engine'!$C$2:$C$1960,0)))</f>
        <v/>
      </c>
      <c r="F1354" s="8">
        <f>IF(ISNA(MATCH(1345,'Transfer Engine'!$C$2:$C$1960,0)),"",INDEX('Compliance Database'!$F$2:$F$1960,MATCH(1345,'Transfer Engine'!$C$2:$C$1960,0)))</f>
        <v/>
      </c>
      <c r="G1354" s="8">
        <f>IF(ISNA(MATCH(1345,'Transfer Engine'!$C$2:$C$1960,0)),"",INDEX('Compliance Database'!$G$2:$G$1960,MATCH(1345,'Transfer Engine'!$C$2:$C$1960,0)))</f>
        <v/>
      </c>
      <c r="H1354" s="9">
        <f>IF(ISNA(MATCH(1345,'Transfer Engine'!$C$2:$C$1960,0)),"",INDEX('Compliance Database'!$H$2:$H$1960,MATCH(1345,'Transfer Engine'!$C$2:$C$1960,0)))</f>
        <v/>
      </c>
      <c r="I1354" s="9">
        <f>IF(ISNA(MATCH(1345,'Transfer Engine'!$C$2:$C$1960,0)),"",INDEX('Compliance Database'!$I$2:$I$1960,MATCH(1345,'Transfer Engine'!$C$2:$C$1960,0)))</f>
        <v/>
      </c>
      <c r="J1354" s="8">
        <f>IF(ISNA(MATCH(1345,'Transfer Engine'!$C$2:$C$1960,0)),"",INDEX('Compliance Database'!$J$2:$J$1960,MATCH(1345,'Transfer Engine'!$C$2:$C$1960,0)))</f>
        <v/>
      </c>
      <c r="K1354" s="9">
        <f>IF(ISNA(MATCH(1345,'Transfer Engine'!$C$2:$C$1960,0)),"",INDEX('Compliance Database'!$K$2:$K$1960,MATCH(1345,'Transfer Engine'!$C$2:$C$1960,0)))</f>
        <v/>
      </c>
      <c r="L1354" s="9">
        <f>IF(ISNA(MATCH(1345,'Transfer Engine'!$C$2:$C$1960,0)),"",INDEX('Compliance Database'!$L$2:$L$1960,MATCH(1345,'Transfer Engine'!$C$2:$C$1960,0)))</f>
        <v/>
      </c>
      <c r="M1354" s="9">
        <f>IF(ISNA(MATCH(1345,'Transfer Engine'!$C$2:$C$1960,0)),"",INDEX('Compliance Database'!$M$2:$M$1960,MATCH(1345,'Transfer Engine'!$C$2:$C$1960,0)))</f>
        <v/>
      </c>
      <c r="N1354" s="9">
        <f>IF(ISNA(MATCH(1345,'Transfer Engine'!$C$2:$C$1960,0)),"",INDEX('Compliance Database'!$N$2:$N$1960,MATCH(1345,'Transfer Engine'!$C$2:$C$1960,0)))</f>
        <v/>
      </c>
      <c r="O1354" s="9">
        <f>IF(ISNA(MATCH(1345,'Transfer Engine'!$C$2:$C$1960,0)),"",INDEX('Compliance Database'!$O$2:$O$1960,MATCH(1345,'Transfer Engine'!$C$2:$C$1960,0)))</f>
        <v/>
      </c>
      <c r="P1354" s="8">
        <f>IF(ISNA(MATCH(1345,'Transfer Engine'!$C$2:$C$1960,0)),"",HYPERLINK("#Acts!A"&amp;INDEX('Compliance Database'!$P$2:$P$1960,MATCH(1345,'Transfer Engine'!$C$2:$C$1960,0)),"Go to Act"))</f>
        <v/>
      </c>
    </row>
    <row r="1355" ht="158" customHeight="1">
      <c r="A1355" s="8">
        <f>IF(ISNA(MATCH(1346,'Transfer Engine'!$C$2:$C$1960,0)),"",INDEX('Compliance Database'!$A$2:$A$1960,MATCH(1346,'Transfer Engine'!$C$2:$C$1960,0)))</f>
        <v/>
      </c>
      <c r="B1355" s="8">
        <f>IF(ISNA(MATCH(1346,'Transfer Engine'!$C$2:$C$1960,0)),"",INDEX('Compliance Database'!$B$2:$B$1960,MATCH(1346,'Transfer Engine'!$C$2:$C$1960,0)))</f>
        <v/>
      </c>
      <c r="C1355" s="8">
        <f>IF(ISNA(MATCH(1346,'Transfer Engine'!$C$2:$C$1960,0)),"",INDEX('Compliance Database'!$C$2:$C$1960,MATCH(1346,'Transfer Engine'!$C$2:$C$1960,0)))</f>
        <v/>
      </c>
      <c r="D1355" s="9">
        <f>IF(ISNA(MATCH(1346,'Transfer Engine'!$C$2:$C$1960,0)),"",INDEX('Compliance Database'!$D$2:$D$1960,MATCH(1346,'Transfer Engine'!$C$2:$C$1960,0)))</f>
        <v/>
      </c>
      <c r="E1355" s="8">
        <f>IF(ISNA(MATCH(1346,'Transfer Engine'!$C$2:$C$1960,0)),"",INDEX('Compliance Database'!$E$2:$E$1960,MATCH(1346,'Transfer Engine'!$C$2:$C$1960,0)))</f>
        <v/>
      </c>
      <c r="F1355" s="8">
        <f>IF(ISNA(MATCH(1346,'Transfer Engine'!$C$2:$C$1960,0)),"",INDEX('Compliance Database'!$F$2:$F$1960,MATCH(1346,'Transfer Engine'!$C$2:$C$1960,0)))</f>
        <v/>
      </c>
      <c r="G1355" s="8">
        <f>IF(ISNA(MATCH(1346,'Transfer Engine'!$C$2:$C$1960,0)),"",INDEX('Compliance Database'!$G$2:$G$1960,MATCH(1346,'Transfer Engine'!$C$2:$C$1960,0)))</f>
        <v/>
      </c>
      <c r="H1355" s="9">
        <f>IF(ISNA(MATCH(1346,'Transfer Engine'!$C$2:$C$1960,0)),"",INDEX('Compliance Database'!$H$2:$H$1960,MATCH(1346,'Transfer Engine'!$C$2:$C$1960,0)))</f>
        <v/>
      </c>
      <c r="I1355" s="9">
        <f>IF(ISNA(MATCH(1346,'Transfer Engine'!$C$2:$C$1960,0)),"",INDEX('Compliance Database'!$I$2:$I$1960,MATCH(1346,'Transfer Engine'!$C$2:$C$1960,0)))</f>
        <v/>
      </c>
      <c r="J1355" s="8">
        <f>IF(ISNA(MATCH(1346,'Transfer Engine'!$C$2:$C$1960,0)),"",INDEX('Compliance Database'!$J$2:$J$1960,MATCH(1346,'Transfer Engine'!$C$2:$C$1960,0)))</f>
        <v/>
      </c>
      <c r="K1355" s="9">
        <f>IF(ISNA(MATCH(1346,'Transfer Engine'!$C$2:$C$1960,0)),"",INDEX('Compliance Database'!$K$2:$K$1960,MATCH(1346,'Transfer Engine'!$C$2:$C$1960,0)))</f>
        <v/>
      </c>
      <c r="L1355" s="9">
        <f>IF(ISNA(MATCH(1346,'Transfer Engine'!$C$2:$C$1960,0)),"",INDEX('Compliance Database'!$L$2:$L$1960,MATCH(1346,'Transfer Engine'!$C$2:$C$1960,0)))</f>
        <v/>
      </c>
      <c r="M1355" s="9">
        <f>IF(ISNA(MATCH(1346,'Transfer Engine'!$C$2:$C$1960,0)),"",INDEX('Compliance Database'!$M$2:$M$1960,MATCH(1346,'Transfer Engine'!$C$2:$C$1960,0)))</f>
        <v/>
      </c>
      <c r="N1355" s="9">
        <f>IF(ISNA(MATCH(1346,'Transfer Engine'!$C$2:$C$1960,0)),"",INDEX('Compliance Database'!$N$2:$N$1960,MATCH(1346,'Transfer Engine'!$C$2:$C$1960,0)))</f>
        <v/>
      </c>
      <c r="O1355" s="9">
        <f>IF(ISNA(MATCH(1346,'Transfer Engine'!$C$2:$C$1960,0)),"",INDEX('Compliance Database'!$O$2:$O$1960,MATCH(1346,'Transfer Engine'!$C$2:$C$1960,0)))</f>
        <v/>
      </c>
      <c r="P1355" s="8">
        <f>IF(ISNA(MATCH(1346,'Transfer Engine'!$C$2:$C$1960,0)),"",HYPERLINK("#Acts!A"&amp;INDEX('Compliance Database'!$P$2:$P$1960,MATCH(1346,'Transfer Engine'!$C$2:$C$1960,0)),"Go to Act"))</f>
        <v/>
      </c>
    </row>
    <row r="1356" ht="158" customHeight="1">
      <c r="A1356" s="8">
        <f>IF(ISNA(MATCH(1347,'Transfer Engine'!$C$2:$C$1960,0)),"",INDEX('Compliance Database'!$A$2:$A$1960,MATCH(1347,'Transfer Engine'!$C$2:$C$1960,0)))</f>
        <v/>
      </c>
      <c r="B1356" s="8">
        <f>IF(ISNA(MATCH(1347,'Transfer Engine'!$C$2:$C$1960,0)),"",INDEX('Compliance Database'!$B$2:$B$1960,MATCH(1347,'Transfer Engine'!$C$2:$C$1960,0)))</f>
        <v/>
      </c>
      <c r="C1356" s="8">
        <f>IF(ISNA(MATCH(1347,'Transfer Engine'!$C$2:$C$1960,0)),"",INDEX('Compliance Database'!$C$2:$C$1960,MATCH(1347,'Transfer Engine'!$C$2:$C$1960,0)))</f>
        <v/>
      </c>
      <c r="D1356" s="9">
        <f>IF(ISNA(MATCH(1347,'Transfer Engine'!$C$2:$C$1960,0)),"",INDEX('Compliance Database'!$D$2:$D$1960,MATCH(1347,'Transfer Engine'!$C$2:$C$1960,0)))</f>
        <v/>
      </c>
      <c r="E1356" s="8">
        <f>IF(ISNA(MATCH(1347,'Transfer Engine'!$C$2:$C$1960,0)),"",INDEX('Compliance Database'!$E$2:$E$1960,MATCH(1347,'Transfer Engine'!$C$2:$C$1960,0)))</f>
        <v/>
      </c>
      <c r="F1356" s="8">
        <f>IF(ISNA(MATCH(1347,'Transfer Engine'!$C$2:$C$1960,0)),"",INDEX('Compliance Database'!$F$2:$F$1960,MATCH(1347,'Transfer Engine'!$C$2:$C$1960,0)))</f>
        <v/>
      </c>
      <c r="G1356" s="8">
        <f>IF(ISNA(MATCH(1347,'Transfer Engine'!$C$2:$C$1960,0)),"",INDEX('Compliance Database'!$G$2:$G$1960,MATCH(1347,'Transfer Engine'!$C$2:$C$1960,0)))</f>
        <v/>
      </c>
      <c r="H1356" s="9">
        <f>IF(ISNA(MATCH(1347,'Transfer Engine'!$C$2:$C$1960,0)),"",INDEX('Compliance Database'!$H$2:$H$1960,MATCH(1347,'Transfer Engine'!$C$2:$C$1960,0)))</f>
        <v/>
      </c>
      <c r="I1356" s="9">
        <f>IF(ISNA(MATCH(1347,'Transfer Engine'!$C$2:$C$1960,0)),"",INDEX('Compliance Database'!$I$2:$I$1960,MATCH(1347,'Transfer Engine'!$C$2:$C$1960,0)))</f>
        <v/>
      </c>
      <c r="J1356" s="8">
        <f>IF(ISNA(MATCH(1347,'Transfer Engine'!$C$2:$C$1960,0)),"",INDEX('Compliance Database'!$J$2:$J$1960,MATCH(1347,'Transfer Engine'!$C$2:$C$1960,0)))</f>
        <v/>
      </c>
      <c r="K1356" s="9">
        <f>IF(ISNA(MATCH(1347,'Transfer Engine'!$C$2:$C$1960,0)),"",INDEX('Compliance Database'!$K$2:$K$1960,MATCH(1347,'Transfer Engine'!$C$2:$C$1960,0)))</f>
        <v/>
      </c>
      <c r="L1356" s="9">
        <f>IF(ISNA(MATCH(1347,'Transfer Engine'!$C$2:$C$1960,0)),"",INDEX('Compliance Database'!$L$2:$L$1960,MATCH(1347,'Transfer Engine'!$C$2:$C$1960,0)))</f>
        <v/>
      </c>
      <c r="M1356" s="9">
        <f>IF(ISNA(MATCH(1347,'Transfer Engine'!$C$2:$C$1960,0)),"",INDEX('Compliance Database'!$M$2:$M$1960,MATCH(1347,'Transfer Engine'!$C$2:$C$1960,0)))</f>
        <v/>
      </c>
      <c r="N1356" s="9">
        <f>IF(ISNA(MATCH(1347,'Transfer Engine'!$C$2:$C$1960,0)),"",INDEX('Compliance Database'!$N$2:$N$1960,MATCH(1347,'Transfer Engine'!$C$2:$C$1960,0)))</f>
        <v/>
      </c>
      <c r="O1356" s="9">
        <f>IF(ISNA(MATCH(1347,'Transfer Engine'!$C$2:$C$1960,0)),"",INDEX('Compliance Database'!$O$2:$O$1960,MATCH(1347,'Transfer Engine'!$C$2:$C$1960,0)))</f>
        <v/>
      </c>
      <c r="P1356" s="8">
        <f>IF(ISNA(MATCH(1347,'Transfer Engine'!$C$2:$C$1960,0)),"",HYPERLINK("#Acts!A"&amp;INDEX('Compliance Database'!$P$2:$P$1960,MATCH(1347,'Transfer Engine'!$C$2:$C$1960,0)),"Go to Act"))</f>
        <v/>
      </c>
    </row>
    <row r="1357" ht="158" customHeight="1">
      <c r="A1357" s="8">
        <f>IF(ISNA(MATCH(1348,'Transfer Engine'!$C$2:$C$1960,0)),"",INDEX('Compliance Database'!$A$2:$A$1960,MATCH(1348,'Transfer Engine'!$C$2:$C$1960,0)))</f>
        <v/>
      </c>
      <c r="B1357" s="8">
        <f>IF(ISNA(MATCH(1348,'Transfer Engine'!$C$2:$C$1960,0)),"",INDEX('Compliance Database'!$B$2:$B$1960,MATCH(1348,'Transfer Engine'!$C$2:$C$1960,0)))</f>
        <v/>
      </c>
      <c r="C1357" s="8">
        <f>IF(ISNA(MATCH(1348,'Transfer Engine'!$C$2:$C$1960,0)),"",INDEX('Compliance Database'!$C$2:$C$1960,MATCH(1348,'Transfer Engine'!$C$2:$C$1960,0)))</f>
        <v/>
      </c>
      <c r="D1357" s="9">
        <f>IF(ISNA(MATCH(1348,'Transfer Engine'!$C$2:$C$1960,0)),"",INDEX('Compliance Database'!$D$2:$D$1960,MATCH(1348,'Transfer Engine'!$C$2:$C$1960,0)))</f>
        <v/>
      </c>
      <c r="E1357" s="8">
        <f>IF(ISNA(MATCH(1348,'Transfer Engine'!$C$2:$C$1960,0)),"",INDEX('Compliance Database'!$E$2:$E$1960,MATCH(1348,'Transfer Engine'!$C$2:$C$1960,0)))</f>
        <v/>
      </c>
      <c r="F1357" s="8">
        <f>IF(ISNA(MATCH(1348,'Transfer Engine'!$C$2:$C$1960,0)),"",INDEX('Compliance Database'!$F$2:$F$1960,MATCH(1348,'Transfer Engine'!$C$2:$C$1960,0)))</f>
        <v/>
      </c>
      <c r="G1357" s="8">
        <f>IF(ISNA(MATCH(1348,'Transfer Engine'!$C$2:$C$1960,0)),"",INDEX('Compliance Database'!$G$2:$G$1960,MATCH(1348,'Transfer Engine'!$C$2:$C$1960,0)))</f>
        <v/>
      </c>
      <c r="H1357" s="9">
        <f>IF(ISNA(MATCH(1348,'Transfer Engine'!$C$2:$C$1960,0)),"",INDEX('Compliance Database'!$H$2:$H$1960,MATCH(1348,'Transfer Engine'!$C$2:$C$1960,0)))</f>
        <v/>
      </c>
      <c r="I1357" s="9">
        <f>IF(ISNA(MATCH(1348,'Transfer Engine'!$C$2:$C$1960,0)),"",INDEX('Compliance Database'!$I$2:$I$1960,MATCH(1348,'Transfer Engine'!$C$2:$C$1960,0)))</f>
        <v/>
      </c>
      <c r="J1357" s="8">
        <f>IF(ISNA(MATCH(1348,'Transfer Engine'!$C$2:$C$1960,0)),"",INDEX('Compliance Database'!$J$2:$J$1960,MATCH(1348,'Transfer Engine'!$C$2:$C$1960,0)))</f>
        <v/>
      </c>
      <c r="K1357" s="9">
        <f>IF(ISNA(MATCH(1348,'Transfer Engine'!$C$2:$C$1960,0)),"",INDEX('Compliance Database'!$K$2:$K$1960,MATCH(1348,'Transfer Engine'!$C$2:$C$1960,0)))</f>
        <v/>
      </c>
      <c r="L1357" s="9">
        <f>IF(ISNA(MATCH(1348,'Transfer Engine'!$C$2:$C$1960,0)),"",INDEX('Compliance Database'!$L$2:$L$1960,MATCH(1348,'Transfer Engine'!$C$2:$C$1960,0)))</f>
        <v/>
      </c>
      <c r="M1357" s="9">
        <f>IF(ISNA(MATCH(1348,'Transfer Engine'!$C$2:$C$1960,0)),"",INDEX('Compliance Database'!$M$2:$M$1960,MATCH(1348,'Transfer Engine'!$C$2:$C$1960,0)))</f>
        <v/>
      </c>
      <c r="N1357" s="9">
        <f>IF(ISNA(MATCH(1348,'Transfer Engine'!$C$2:$C$1960,0)),"",INDEX('Compliance Database'!$N$2:$N$1960,MATCH(1348,'Transfer Engine'!$C$2:$C$1960,0)))</f>
        <v/>
      </c>
      <c r="O1357" s="9">
        <f>IF(ISNA(MATCH(1348,'Transfer Engine'!$C$2:$C$1960,0)),"",INDEX('Compliance Database'!$O$2:$O$1960,MATCH(1348,'Transfer Engine'!$C$2:$C$1960,0)))</f>
        <v/>
      </c>
      <c r="P1357" s="8">
        <f>IF(ISNA(MATCH(1348,'Transfer Engine'!$C$2:$C$1960,0)),"",HYPERLINK("#Acts!A"&amp;INDEX('Compliance Database'!$P$2:$P$1960,MATCH(1348,'Transfer Engine'!$C$2:$C$1960,0)),"Go to Act"))</f>
        <v/>
      </c>
    </row>
    <row r="1358" ht="158" customHeight="1">
      <c r="A1358" s="8">
        <f>IF(ISNA(MATCH(1349,'Transfer Engine'!$C$2:$C$1960,0)),"",INDEX('Compliance Database'!$A$2:$A$1960,MATCH(1349,'Transfer Engine'!$C$2:$C$1960,0)))</f>
        <v/>
      </c>
      <c r="B1358" s="8">
        <f>IF(ISNA(MATCH(1349,'Transfer Engine'!$C$2:$C$1960,0)),"",INDEX('Compliance Database'!$B$2:$B$1960,MATCH(1349,'Transfer Engine'!$C$2:$C$1960,0)))</f>
        <v/>
      </c>
      <c r="C1358" s="8">
        <f>IF(ISNA(MATCH(1349,'Transfer Engine'!$C$2:$C$1960,0)),"",INDEX('Compliance Database'!$C$2:$C$1960,MATCH(1349,'Transfer Engine'!$C$2:$C$1960,0)))</f>
        <v/>
      </c>
      <c r="D1358" s="9">
        <f>IF(ISNA(MATCH(1349,'Transfer Engine'!$C$2:$C$1960,0)),"",INDEX('Compliance Database'!$D$2:$D$1960,MATCH(1349,'Transfer Engine'!$C$2:$C$1960,0)))</f>
        <v/>
      </c>
      <c r="E1358" s="8">
        <f>IF(ISNA(MATCH(1349,'Transfer Engine'!$C$2:$C$1960,0)),"",INDEX('Compliance Database'!$E$2:$E$1960,MATCH(1349,'Transfer Engine'!$C$2:$C$1960,0)))</f>
        <v/>
      </c>
      <c r="F1358" s="8">
        <f>IF(ISNA(MATCH(1349,'Transfer Engine'!$C$2:$C$1960,0)),"",INDEX('Compliance Database'!$F$2:$F$1960,MATCH(1349,'Transfer Engine'!$C$2:$C$1960,0)))</f>
        <v/>
      </c>
      <c r="G1358" s="8">
        <f>IF(ISNA(MATCH(1349,'Transfer Engine'!$C$2:$C$1960,0)),"",INDEX('Compliance Database'!$G$2:$G$1960,MATCH(1349,'Transfer Engine'!$C$2:$C$1960,0)))</f>
        <v/>
      </c>
      <c r="H1358" s="9">
        <f>IF(ISNA(MATCH(1349,'Transfer Engine'!$C$2:$C$1960,0)),"",INDEX('Compliance Database'!$H$2:$H$1960,MATCH(1349,'Transfer Engine'!$C$2:$C$1960,0)))</f>
        <v/>
      </c>
      <c r="I1358" s="9">
        <f>IF(ISNA(MATCH(1349,'Transfer Engine'!$C$2:$C$1960,0)),"",INDEX('Compliance Database'!$I$2:$I$1960,MATCH(1349,'Transfer Engine'!$C$2:$C$1960,0)))</f>
        <v/>
      </c>
      <c r="J1358" s="8">
        <f>IF(ISNA(MATCH(1349,'Transfer Engine'!$C$2:$C$1960,0)),"",INDEX('Compliance Database'!$J$2:$J$1960,MATCH(1349,'Transfer Engine'!$C$2:$C$1960,0)))</f>
        <v/>
      </c>
      <c r="K1358" s="9">
        <f>IF(ISNA(MATCH(1349,'Transfer Engine'!$C$2:$C$1960,0)),"",INDEX('Compliance Database'!$K$2:$K$1960,MATCH(1349,'Transfer Engine'!$C$2:$C$1960,0)))</f>
        <v/>
      </c>
      <c r="L1358" s="9">
        <f>IF(ISNA(MATCH(1349,'Transfer Engine'!$C$2:$C$1960,0)),"",INDEX('Compliance Database'!$L$2:$L$1960,MATCH(1349,'Transfer Engine'!$C$2:$C$1960,0)))</f>
        <v/>
      </c>
      <c r="M1358" s="9">
        <f>IF(ISNA(MATCH(1349,'Transfer Engine'!$C$2:$C$1960,0)),"",INDEX('Compliance Database'!$M$2:$M$1960,MATCH(1349,'Transfer Engine'!$C$2:$C$1960,0)))</f>
        <v/>
      </c>
      <c r="N1358" s="9">
        <f>IF(ISNA(MATCH(1349,'Transfer Engine'!$C$2:$C$1960,0)),"",INDEX('Compliance Database'!$N$2:$N$1960,MATCH(1349,'Transfer Engine'!$C$2:$C$1960,0)))</f>
        <v/>
      </c>
      <c r="O1358" s="9">
        <f>IF(ISNA(MATCH(1349,'Transfer Engine'!$C$2:$C$1960,0)),"",INDEX('Compliance Database'!$O$2:$O$1960,MATCH(1349,'Transfer Engine'!$C$2:$C$1960,0)))</f>
        <v/>
      </c>
      <c r="P1358" s="8">
        <f>IF(ISNA(MATCH(1349,'Transfer Engine'!$C$2:$C$1960,0)),"",HYPERLINK("#Acts!A"&amp;INDEX('Compliance Database'!$P$2:$P$1960,MATCH(1349,'Transfer Engine'!$C$2:$C$1960,0)),"Go to Act"))</f>
        <v/>
      </c>
    </row>
    <row r="1359" ht="158" customHeight="1">
      <c r="A1359" s="8">
        <f>IF(ISNA(MATCH(1350,'Transfer Engine'!$C$2:$C$1960,0)),"",INDEX('Compliance Database'!$A$2:$A$1960,MATCH(1350,'Transfer Engine'!$C$2:$C$1960,0)))</f>
        <v/>
      </c>
      <c r="B1359" s="8">
        <f>IF(ISNA(MATCH(1350,'Transfer Engine'!$C$2:$C$1960,0)),"",INDEX('Compliance Database'!$B$2:$B$1960,MATCH(1350,'Transfer Engine'!$C$2:$C$1960,0)))</f>
        <v/>
      </c>
      <c r="C1359" s="8">
        <f>IF(ISNA(MATCH(1350,'Transfer Engine'!$C$2:$C$1960,0)),"",INDEX('Compliance Database'!$C$2:$C$1960,MATCH(1350,'Transfer Engine'!$C$2:$C$1960,0)))</f>
        <v/>
      </c>
      <c r="D1359" s="9">
        <f>IF(ISNA(MATCH(1350,'Transfer Engine'!$C$2:$C$1960,0)),"",INDEX('Compliance Database'!$D$2:$D$1960,MATCH(1350,'Transfer Engine'!$C$2:$C$1960,0)))</f>
        <v/>
      </c>
      <c r="E1359" s="8">
        <f>IF(ISNA(MATCH(1350,'Transfer Engine'!$C$2:$C$1960,0)),"",INDEX('Compliance Database'!$E$2:$E$1960,MATCH(1350,'Transfer Engine'!$C$2:$C$1960,0)))</f>
        <v/>
      </c>
      <c r="F1359" s="8">
        <f>IF(ISNA(MATCH(1350,'Transfer Engine'!$C$2:$C$1960,0)),"",INDEX('Compliance Database'!$F$2:$F$1960,MATCH(1350,'Transfer Engine'!$C$2:$C$1960,0)))</f>
        <v/>
      </c>
      <c r="G1359" s="8">
        <f>IF(ISNA(MATCH(1350,'Transfer Engine'!$C$2:$C$1960,0)),"",INDEX('Compliance Database'!$G$2:$G$1960,MATCH(1350,'Transfer Engine'!$C$2:$C$1960,0)))</f>
        <v/>
      </c>
      <c r="H1359" s="9">
        <f>IF(ISNA(MATCH(1350,'Transfer Engine'!$C$2:$C$1960,0)),"",INDEX('Compliance Database'!$H$2:$H$1960,MATCH(1350,'Transfer Engine'!$C$2:$C$1960,0)))</f>
        <v/>
      </c>
      <c r="I1359" s="9">
        <f>IF(ISNA(MATCH(1350,'Transfer Engine'!$C$2:$C$1960,0)),"",INDEX('Compliance Database'!$I$2:$I$1960,MATCH(1350,'Transfer Engine'!$C$2:$C$1960,0)))</f>
        <v/>
      </c>
      <c r="J1359" s="8">
        <f>IF(ISNA(MATCH(1350,'Transfer Engine'!$C$2:$C$1960,0)),"",INDEX('Compliance Database'!$J$2:$J$1960,MATCH(1350,'Transfer Engine'!$C$2:$C$1960,0)))</f>
        <v/>
      </c>
      <c r="K1359" s="9">
        <f>IF(ISNA(MATCH(1350,'Transfer Engine'!$C$2:$C$1960,0)),"",INDEX('Compliance Database'!$K$2:$K$1960,MATCH(1350,'Transfer Engine'!$C$2:$C$1960,0)))</f>
        <v/>
      </c>
      <c r="L1359" s="9">
        <f>IF(ISNA(MATCH(1350,'Transfer Engine'!$C$2:$C$1960,0)),"",INDEX('Compliance Database'!$L$2:$L$1960,MATCH(1350,'Transfer Engine'!$C$2:$C$1960,0)))</f>
        <v/>
      </c>
      <c r="M1359" s="9">
        <f>IF(ISNA(MATCH(1350,'Transfer Engine'!$C$2:$C$1960,0)),"",INDEX('Compliance Database'!$M$2:$M$1960,MATCH(1350,'Transfer Engine'!$C$2:$C$1960,0)))</f>
        <v/>
      </c>
      <c r="N1359" s="9">
        <f>IF(ISNA(MATCH(1350,'Transfer Engine'!$C$2:$C$1960,0)),"",INDEX('Compliance Database'!$N$2:$N$1960,MATCH(1350,'Transfer Engine'!$C$2:$C$1960,0)))</f>
        <v/>
      </c>
      <c r="O1359" s="9">
        <f>IF(ISNA(MATCH(1350,'Transfer Engine'!$C$2:$C$1960,0)),"",INDEX('Compliance Database'!$O$2:$O$1960,MATCH(1350,'Transfer Engine'!$C$2:$C$1960,0)))</f>
        <v/>
      </c>
      <c r="P1359" s="8">
        <f>IF(ISNA(MATCH(1350,'Transfer Engine'!$C$2:$C$1960,0)),"",HYPERLINK("#Acts!A"&amp;INDEX('Compliance Database'!$P$2:$P$1960,MATCH(1350,'Transfer Engine'!$C$2:$C$1960,0)),"Go to Act"))</f>
        <v/>
      </c>
    </row>
    <row r="1360" ht="158" customHeight="1">
      <c r="A1360" s="8">
        <f>IF(ISNA(MATCH(1351,'Transfer Engine'!$C$2:$C$1960,0)),"",INDEX('Compliance Database'!$A$2:$A$1960,MATCH(1351,'Transfer Engine'!$C$2:$C$1960,0)))</f>
        <v/>
      </c>
      <c r="B1360" s="8">
        <f>IF(ISNA(MATCH(1351,'Transfer Engine'!$C$2:$C$1960,0)),"",INDEX('Compliance Database'!$B$2:$B$1960,MATCH(1351,'Transfer Engine'!$C$2:$C$1960,0)))</f>
        <v/>
      </c>
      <c r="C1360" s="8">
        <f>IF(ISNA(MATCH(1351,'Transfer Engine'!$C$2:$C$1960,0)),"",INDEX('Compliance Database'!$C$2:$C$1960,MATCH(1351,'Transfer Engine'!$C$2:$C$1960,0)))</f>
        <v/>
      </c>
      <c r="D1360" s="9">
        <f>IF(ISNA(MATCH(1351,'Transfer Engine'!$C$2:$C$1960,0)),"",INDEX('Compliance Database'!$D$2:$D$1960,MATCH(1351,'Transfer Engine'!$C$2:$C$1960,0)))</f>
        <v/>
      </c>
      <c r="E1360" s="8">
        <f>IF(ISNA(MATCH(1351,'Transfer Engine'!$C$2:$C$1960,0)),"",INDEX('Compliance Database'!$E$2:$E$1960,MATCH(1351,'Transfer Engine'!$C$2:$C$1960,0)))</f>
        <v/>
      </c>
      <c r="F1360" s="8">
        <f>IF(ISNA(MATCH(1351,'Transfer Engine'!$C$2:$C$1960,0)),"",INDEX('Compliance Database'!$F$2:$F$1960,MATCH(1351,'Transfer Engine'!$C$2:$C$1960,0)))</f>
        <v/>
      </c>
      <c r="G1360" s="8">
        <f>IF(ISNA(MATCH(1351,'Transfer Engine'!$C$2:$C$1960,0)),"",INDEX('Compliance Database'!$G$2:$G$1960,MATCH(1351,'Transfer Engine'!$C$2:$C$1960,0)))</f>
        <v/>
      </c>
      <c r="H1360" s="9">
        <f>IF(ISNA(MATCH(1351,'Transfer Engine'!$C$2:$C$1960,0)),"",INDEX('Compliance Database'!$H$2:$H$1960,MATCH(1351,'Transfer Engine'!$C$2:$C$1960,0)))</f>
        <v/>
      </c>
      <c r="I1360" s="9">
        <f>IF(ISNA(MATCH(1351,'Transfer Engine'!$C$2:$C$1960,0)),"",INDEX('Compliance Database'!$I$2:$I$1960,MATCH(1351,'Transfer Engine'!$C$2:$C$1960,0)))</f>
        <v/>
      </c>
      <c r="J1360" s="8">
        <f>IF(ISNA(MATCH(1351,'Transfer Engine'!$C$2:$C$1960,0)),"",INDEX('Compliance Database'!$J$2:$J$1960,MATCH(1351,'Transfer Engine'!$C$2:$C$1960,0)))</f>
        <v/>
      </c>
      <c r="K1360" s="9">
        <f>IF(ISNA(MATCH(1351,'Transfer Engine'!$C$2:$C$1960,0)),"",INDEX('Compliance Database'!$K$2:$K$1960,MATCH(1351,'Transfer Engine'!$C$2:$C$1960,0)))</f>
        <v/>
      </c>
      <c r="L1360" s="9">
        <f>IF(ISNA(MATCH(1351,'Transfer Engine'!$C$2:$C$1960,0)),"",INDEX('Compliance Database'!$L$2:$L$1960,MATCH(1351,'Transfer Engine'!$C$2:$C$1960,0)))</f>
        <v/>
      </c>
      <c r="M1360" s="9">
        <f>IF(ISNA(MATCH(1351,'Transfer Engine'!$C$2:$C$1960,0)),"",INDEX('Compliance Database'!$M$2:$M$1960,MATCH(1351,'Transfer Engine'!$C$2:$C$1960,0)))</f>
        <v/>
      </c>
      <c r="N1360" s="9">
        <f>IF(ISNA(MATCH(1351,'Transfer Engine'!$C$2:$C$1960,0)),"",INDEX('Compliance Database'!$N$2:$N$1960,MATCH(1351,'Transfer Engine'!$C$2:$C$1960,0)))</f>
        <v/>
      </c>
      <c r="O1360" s="9">
        <f>IF(ISNA(MATCH(1351,'Transfer Engine'!$C$2:$C$1960,0)),"",INDEX('Compliance Database'!$O$2:$O$1960,MATCH(1351,'Transfer Engine'!$C$2:$C$1960,0)))</f>
        <v/>
      </c>
      <c r="P1360" s="8">
        <f>IF(ISNA(MATCH(1351,'Transfer Engine'!$C$2:$C$1960,0)),"",HYPERLINK("#Acts!A"&amp;INDEX('Compliance Database'!$P$2:$P$1960,MATCH(1351,'Transfer Engine'!$C$2:$C$1960,0)),"Go to Act"))</f>
        <v/>
      </c>
    </row>
    <row r="1361" ht="158" customHeight="1">
      <c r="A1361" s="8">
        <f>IF(ISNA(MATCH(1352,'Transfer Engine'!$C$2:$C$1960,0)),"",INDEX('Compliance Database'!$A$2:$A$1960,MATCH(1352,'Transfer Engine'!$C$2:$C$1960,0)))</f>
        <v/>
      </c>
      <c r="B1361" s="8">
        <f>IF(ISNA(MATCH(1352,'Transfer Engine'!$C$2:$C$1960,0)),"",INDEX('Compliance Database'!$B$2:$B$1960,MATCH(1352,'Transfer Engine'!$C$2:$C$1960,0)))</f>
        <v/>
      </c>
      <c r="C1361" s="8">
        <f>IF(ISNA(MATCH(1352,'Transfer Engine'!$C$2:$C$1960,0)),"",INDEX('Compliance Database'!$C$2:$C$1960,MATCH(1352,'Transfer Engine'!$C$2:$C$1960,0)))</f>
        <v/>
      </c>
      <c r="D1361" s="9">
        <f>IF(ISNA(MATCH(1352,'Transfer Engine'!$C$2:$C$1960,0)),"",INDEX('Compliance Database'!$D$2:$D$1960,MATCH(1352,'Transfer Engine'!$C$2:$C$1960,0)))</f>
        <v/>
      </c>
      <c r="E1361" s="8">
        <f>IF(ISNA(MATCH(1352,'Transfer Engine'!$C$2:$C$1960,0)),"",INDEX('Compliance Database'!$E$2:$E$1960,MATCH(1352,'Transfer Engine'!$C$2:$C$1960,0)))</f>
        <v/>
      </c>
      <c r="F1361" s="8">
        <f>IF(ISNA(MATCH(1352,'Transfer Engine'!$C$2:$C$1960,0)),"",INDEX('Compliance Database'!$F$2:$F$1960,MATCH(1352,'Transfer Engine'!$C$2:$C$1960,0)))</f>
        <v/>
      </c>
      <c r="G1361" s="8">
        <f>IF(ISNA(MATCH(1352,'Transfer Engine'!$C$2:$C$1960,0)),"",INDEX('Compliance Database'!$G$2:$G$1960,MATCH(1352,'Transfer Engine'!$C$2:$C$1960,0)))</f>
        <v/>
      </c>
      <c r="H1361" s="9">
        <f>IF(ISNA(MATCH(1352,'Transfer Engine'!$C$2:$C$1960,0)),"",INDEX('Compliance Database'!$H$2:$H$1960,MATCH(1352,'Transfer Engine'!$C$2:$C$1960,0)))</f>
        <v/>
      </c>
      <c r="I1361" s="9">
        <f>IF(ISNA(MATCH(1352,'Transfer Engine'!$C$2:$C$1960,0)),"",INDEX('Compliance Database'!$I$2:$I$1960,MATCH(1352,'Transfer Engine'!$C$2:$C$1960,0)))</f>
        <v/>
      </c>
      <c r="J1361" s="8">
        <f>IF(ISNA(MATCH(1352,'Transfer Engine'!$C$2:$C$1960,0)),"",INDEX('Compliance Database'!$J$2:$J$1960,MATCH(1352,'Transfer Engine'!$C$2:$C$1960,0)))</f>
        <v/>
      </c>
      <c r="K1361" s="9">
        <f>IF(ISNA(MATCH(1352,'Transfer Engine'!$C$2:$C$1960,0)),"",INDEX('Compliance Database'!$K$2:$K$1960,MATCH(1352,'Transfer Engine'!$C$2:$C$1960,0)))</f>
        <v/>
      </c>
      <c r="L1361" s="9">
        <f>IF(ISNA(MATCH(1352,'Transfer Engine'!$C$2:$C$1960,0)),"",INDEX('Compliance Database'!$L$2:$L$1960,MATCH(1352,'Transfer Engine'!$C$2:$C$1960,0)))</f>
        <v/>
      </c>
      <c r="M1361" s="9">
        <f>IF(ISNA(MATCH(1352,'Transfer Engine'!$C$2:$C$1960,0)),"",INDEX('Compliance Database'!$M$2:$M$1960,MATCH(1352,'Transfer Engine'!$C$2:$C$1960,0)))</f>
        <v/>
      </c>
      <c r="N1361" s="9">
        <f>IF(ISNA(MATCH(1352,'Transfer Engine'!$C$2:$C$1960,0)),"",INDEX('Compliance Database'!$N$2:$N$1960,MATCH(1352,'Transfer Engine'!$C$2:$C$1960,0)))</f>
        <v/>
      </c>
      <c r="O1361" s="9">
        <f>IF(ISNA(MATCH(1352,'Transfer Engine'!$C$2:$C$1960,0)),"",INDEX('Compliance Database'!$O$2:$O$1960,MATCH(1352,'Transfer Engine'!$C$2:$C$1960,0)))</f>
        <v/>
      </c>
      <c r="P1361" s="8">
        <f>IF(ISNA(MATCH(1352,'Transfer Engine'!$C$2:$C$1960,0)),"",HYPERLINK("#Acts!A"&amp;INDEX('Compliance Database'!$P$2:$P$1960,MATCH(1352,'Transfer Engine'!$C$2:$C$1960,0)),"Go to Act"))</f>
        <v/>
      </c>
    </row>
    <row r="1362" ht="158" customHeight="1">
      <c r="A1362" s="8">
        <f>IF(ISNA(MATCH(1353,'Transfer Engine'!$C$2:$C$1960,0)),"",INDEX('Compliance Database'!$A$2:$A$1960,MATCH(1353,'Transfer Engine'!$C$2:$C$1960,0)))</f>
        <v/>
      </c>
      <c r="B1362" s="8">
        <f>IF(ISNA(MATCH(1353,'Transfer Engine'!$C$2:$C$1960,0)),"",INDEX('Compliance Database'!$B$2:$B$1960,MATCH(1353,'Transfer Engine'!$C$2:$C$1960,0)))</f>
        <v/>
      </c>
      <c r="C1362" s="8">
        <f>IF(ISNA(MATCH(1353,'Transfer Engine'!$C$2:$C$1960,0)),"",INDEX('Compliance Database'!$C$2:$C$1960,MATCH(1353,'Transfer Engine'!$C$2:$C$1960,0)))</f>
        <v/>
      </c>
      <c r="D1362" s="9">
        <f>IF(ISNA(MATCH(1353,'Transfer Engine'!$C$2:$C$1960,0)),"",INDEX('Compliance Database'!$D$2:$D$1960,MATCH(1353,'Transfer Engine'!$C$2:$C$1960,0)))</f>
        <v/>
      </c>
      <c r="E1362" s="8">
        <f>IF(ISNA(MATCH(1353,'Transfer Engine'!$C$2:$C$1960,0)),"",INDEX('Compliance Database'!$E$2:$E$1960,MATCH(1353,'Transfer Engine'!$C$2:$C$1960,0)))</f>
        <v/>
      </c>
      <c r="F1362" s="8">
        <f>IF(ISNA(MATCH(1353,'Transfer Engine'!$C$2:$C$1960,0)),"",INDEX('Compliance Database'!$F$2:$F$1960,MATCH(1353,'Transfer Engine'!$C$2:$C$1960,0)))</f>
        <v/>
      </c>
      <c r="G1362" s="8">
        <f>IF(ISNA(MATCH(1353,'Transfer Engine'!$C$2:$C$1960,0)),"",INDEX('Compliance Database'!$G$2:$G$1960,MATCH(1353,'Transfer Engine'!$C$2:$C$1960,0)))</f>
        <v/>
      </c>
      <c r="H1362" s="9">
        <f>IF(ISNA(MATCH(1353,'Transfer Engine'!$C$2:$C$1960,0)),"",INDEX('Compliance Database'!$H$2:$H$1960,MATCH(1353,'Transfer Engine'!$C$2:$C$1960,0)))</f>
        <v/>
      </c>
      <c r="I1362" s="9">
        <f>IF(ISNA(MATCH(1353,'Transfer Engine'!$C$2:$C$1960,0)),"",INDEX('Compliance Database'!$I$2:$I$1960,MATCH(1353,'Transfer Engine'!$C$2:$C$1960,0)))</f>
        <v/>
      </c>
      <c r="J1362" s="8">
        <f>IF(ISNA(MATCH(1353,'Transfer Engine'!$C$2:$C$1960,0)),"",INDEX('Compliance Database'!$J$2:$J$1960,MATCH(1353,'Transfer Engine'!$C$2:$C$1960,0)))</f>
        <v/>
      </c>
      <c r="K1362" s="9">
        <f>IF(ISNA(MATCH(1353,'Transfer Engine'!$C$2:$C$1960,0)),"",INDEX('Compliance Database'!$K$2:$K$1960,MATCH(1353,'Transfer Engine'!$C$2:$C$1960,0)))</f>
        <v/>
      </c>
      <c r="L1362" s="9">
        <f>IF(ISNA(MATCH(1353,'Transfer Engine'!$C$2:$C$1960,0)),"",INDEX('Compliance Database'!$L$2:$L$1960,MATCH(1353,'Transfer Engine'!$C$2:$C$1960,0)))</f>
        <v/>
      </c>
      <c r="M1362" s="9">
        <f>IF(ISNA(MATCH(1353,'Transfer Engine'!$C$2:$C$1960,0)),"",INDEX('Compliance Database'!$M$2:$M$1960,MATCH(1353,'Transfer Engine'!$C$2:$C$1960,0)))</f>
        <v/>
      </c>
      <c r="N1362" s="9">
        <f>IF(ISNA(MATCH(1353,'Transfer Engine'!$C$2:$C$1960,0)),"",INDEX('Compliance Database'!$N$2:$N$1960,MATCH(1353,'Transfer Engine'!$C$2:$C$1960,0)))</f>
        <v/>
      </c>
      <c r="O1362" s="9">
        <f>IF(ISNA(MATCH(1353,'Transfer Engine'!$C$2:$C$1960,0)),"",INDEX('Compliance Database'!$O$2:$O$1960,MATCH(1353,'Transfer Engine'!$C$2:$C$1960,0)))</f>
        <v/>
      </c>
      <c r="P1362" s="8">
        <f>IF(ISNA(MATCH(1353,'Transfer Engine'!$C$2:$C$1960,0)),"",HYPERLINK("#Acts!A"&amp;INDEX('Compliance Database'!$P$2:$P$1960,MATCH(1353,'Transfer Engine'!$C$2:$C$1960,0)),"Go to Act"))</f>
        <v/>
      </c>
    </row>
    <row r="1363" ht="158" customHeight="1">
      <c r="A1363" s="8">
        <f>IF(ISNA(MATCH(1354,'Transfer Engine'!$C$2:$C$1960,0)),"",INDEX('Compliance Database'!$A$2:$A$1960,MATCH(1354,'Transfer Engine'!$C$2:$C$1960,0)))</f>
        <v/>
      </c>
      <c r="B1363" s="8">
        <f>IF(ISNA(MATCH(1354,'Transfer Engine'!$C$2:$C$1960,0)),"",INDEX('Compliance Database'!$B$2:$B$1960,MATCH(1354,'Transfer Engine'!$C$2:$C$1960,0)))</f>
        <v/>
      </c>
      <c r="C1363" s="8">
        <f>IF(ISNA(MATCH(1354,'Transfer Engine'!$C$2:$C$1960,0)),"",INDEX('Compliance Database'!$C$2:$C$1960,MATCH(1354,'Transfer Engine'!$C$2:$C$1960,0)))</f>
        <v/>
      </c>
      <c r="D1363" s="9">
        <f>IF(ISNA(MATCH(1354,'Transfer Engine'!$C$2:$C$1960,0)),"",INDEX('Compliance Database'!$D$2:$D$1960,MATCH(1354,'Transfer Engine'!$C$2:$C$1960,0)))</f>
        <v/>
      </c>
      <c r="E1363" s="8">
        <f>IF(ISNA(MATCH(1354,'Transfer Engine'!$C$2:$C$1960,0)),"",INDEX('Compliance Database'!$E$2:$E$1960,MATCH(1354,'Transfer Engine'!$C$2:$C$1960,0)))</f>
        <v/>
      </c>
      <c r="F1363" s="8">
        <f>IF(ISNA(MATCH(1354,'Transfer Engine'!$C$2:$C$1960,0)),"",INDEX('Compliance Database'!$F$2:$F$1960,MATCH(1354,'Transfer Engine'!$C$2:$C$1960,0)))</f>
        <v/>
      </c>
      <c r="G1363" s="8">
        <f>IF(ISNA(MATCH(1354,'Transfer Engine'!$C$2:$C$1960,0)),"",INDEX('Compliance Database'!$G$2:$G$1960,MATCH(1354,'Transfer Engine'!$C$2:$C$1960,0)))</f>
        <v/>
      </c>
      <c r="H1363" s="9">
        <f>IF(ISNA(MATCH(1354,'Transfer Engine'!$C$2:$C$1960,0)),"",INDEX('Compliance Database'!$H$2:$H$1960,MATCH(1354,'Transfer Engine'!$C$2:$C$1960,0)))</f>
        <v/>
      </c>
      <c r="I1363" s="9">
        <f>IF(ISNA(MATCH(1354,'Transfer Engine'!$C$2:$C$1960,0)),"",INDEX('Compliance Database'!$I$2:$I$1960,MATCH(1354,'Transfer Engine'!$C$2:$C$1960,0)))</f>
        <v/>
      </c>
      <c r="J1363" s="8">
        <f>IF(ISNA(MATCH(1354,'Transfer Engine'!$C$2:$C$1960,0)),"",INDEX('Compliance Database'!$J$2:$J$1960,MATCH(1354,'Transfer Engine'!$C$2:$C$1960,0)))</f>
        <v/>
      </c>
      <c r="K1363" s="9">
        <f>IF(ISNA(MATCH(1354,'Transfer Engine'!$C$2:$C$1960,0)),"",INDEX('Compliance Database'!$K$2:$K$1960,MATCH(1354,'Transfer Engine'!$C$2:$C$1960,0)))</f>
        <v/>
      </c>
      <c r="L1363" s="9">
        <f>IF(ISNA(MATCH(1354,'Transfer Engine'!$C$2:$C$1960,0)),"",INDEX('Compliance Database'!$L$2:$L$1960,MATCH(1354,'Transfer Engine'!$C$2:$C$1960,0)))</f>
        <v/>
      </c>
      <c r="M1363" s="9">
        <f>IF(ISNA(MATCH(1354,'Transfer Engine'!$C$2:$C$1960,0)),"",INDEX('Compliance Database'!$M$2:$M$1960,MATCH(1354,'Transfer Engine'!$C$2:$C$1960,0)))</f>
        <v/>
      </c>
      <c r="N1363" s="9">
        <f>IF(ISNA(MATCH(1354,'Transfer Engine'!$C$2:$C$1960,0)),"",INDEX('Compliance Database'!$N$2:$N$1960,MATCH(1354,'Transfer Engine'!$C$2:$C$1960,0)))</f>
        <v/>
      </c>
      <c r="O1363" s="9">
        <f>IF(ISNA(MATCH(1354,'Transfer Engine'!$C$2:$C$1960,0)),"",INDEX('Compliance Database'!$O$2:$O$1960,MATCH(1354,'Transfer Engine'!$C$2:$C$1960,0)))</f>
        <v/>
      </c>
      <c r="P1363" s="8">
        <f>IF(ISNA(MATCH(1354,'Transfer Engine'!$C$2:$C$1960,0)),"",HYPERLINK("#Acts!A"&amp;INDEX('Compliance Database'!$P$2:$P$1960,MATCH(1354,'Transfer Engine'!$C$2:$C$1960,0)),"Go to Act"))</f>
        <v/>
      </c>
    </row>
    <row r="1364" ht="158" customHeight="1">
      <c r="A1364" s="8">
        <f>IF(ISNA(MATCH(1355,'Transfer Engine'!$C$2:$C$1960,0)),"",INDEX('Compliance Database'!$A$2:$A$1960,MATCH(1355,'Transfer Engine'!$C$2:$C$1960,0)))</f>
        <v/>
      </c>
      <c r="B1364" s="8">
        <f>IF(ISNA(MATCH(1355,'Transfer Engine'!$C$2:$C$1960,0)),"",INDEX('Compliance Database'!$B$2:$B$1960,MATCH(1355,'Transfer Engine'!$C$2:$C$1960,0)))</f>
        <v/>
      </c>
      <c r="C1364" s="8">
        <f>IF(ISNA(MATCH(1355,'Transfer Engine'!$C$2:$C$1960,0)),"",INDEX('Compliance Database'!$C$2:$C$1960,MATCH(1355,'Transfer Engine'!$C$2:$C$1960,0)))</f>
        <v/>
      </c>
      <c r="D1364" s="9">
        <f>IF(ISNA(MATCH(1355,'Transfer Engine'!$C$2:$C$1960,0)),"",INDEX('Compliance Database'!$D$2:$D$1960,MATCH(1355,'Transfer Engine'!$C$2:$C$1960,0)))</f>
        <v/>
      </c>
      <c r="E1364" s="8">
        <f>IF(ISNA(MATCH(1355,'Transfer Engine'!$C$2:$C$1960,0)),"",INDEX('Compliance Database'!$E$2:$E$1960,MATCH(1355,'Transfer Engine'!$C$2:$C$1960,0)))</f>
        <v/>
      </c>
      <c r="F1364" s="8">
        <f>IF(ISNA(MATCH(1355,'Transfer Engine'!$C$2:$C$1960,0)),"",INDEX('Compliance Database'!$F$2:$F$1960,MATCH(1355,'Transfer Engine'!$C$2:$C$1960,0)))</f>
        <v/>
      </c>
      <c r="G1364" s="8">
        <f>IF(ISNA(MATCH(1355,'Transfer Engine'!$C$2:$C$1960,0)),"",INDEX('Compliance Database'!$G$2:$G$1960,MATCH(1355,'Transfer Engine'!$C$2:$C$1960,0)))</f>
        <v/>
      </c>
      <c r="H1364" s="9">
        <f>IF(ISNA(MATCH(1355,'Transfer Engine'!$C$2:$C$1960,0)),"",INDEX('Compliance Database'!$H$2:$H$1960,MATCH(1355,'Transfer Engine'!$C$2:$C$1960,0)))</f>
        <v/>
      </c>
      <c r="I1364" s="9">
        <f>IF(ISNA(MATCH(1355,'Transfer Engine'!$C$2:$C$1960,0)),"",INDEX('Compliance Database'!$I$2:$I$1960,MATCH(1355,'Transfer Engine'!$C$2:$C$1960,0)))</f>
        <v/>
      </c>
      <c r="J1364" s="8">
        <f>IF(ISNA(MATCH(1355,'Transfer Engine'!$C$2:$C$1960,0)),"",INDEX('Compliance Database'!$J$2:$J$1960,MATCH(1355,'Transfer Engine'!$C$2:$C$1960,0)))</f>
        <v/>
      </c>
      <c r="K1364" s="9">
        <f>IF(ISNA(MATCH(1355,'Transfer Engine'!$C$2:$C$1960,0)),"",INDEX('Compliance Database'!$K$2:$K$1960,MATCH(1355,'Transfer Engine'!$C$2:$C$1960,0)))</f>
        <v/>
      </c>
      <c r="L1364" s="9">
        <f>IF(ISNA(MATCH(1355,'Transfer Engine'!$C$2:$C$1960,0)),"",INDEX('Compliance Database'!$L$2:$L$1960,MATCH(1355,'Transfer Engine'!$C$2:$C$1960,0)))</f>
        <v/>
      </c>
      <c r="M1364" s="9">
        <f>IF(ISNA(MATCH(1355,'Transfer Engine'!$C$2:$C$1960,0)),"",INDEX('Compliance Database'!$M$2:$M$1960,MATCH(1355,'Transfer Engine'!$C$2:$C$1960,0)))</f>
        <v/>
      </c>
      <c r="N1364" s="9">
        <f>IF(ISNA(MATCH(1355,'Transfer Engine'!$C$2:$C$1960,0)),"",INDEX('Compliance Database'!$N$2:$N$1960,MATCH(1355,'Transfer Engine'!$C$2:$C$1960,0)))</f>
        <v/>
      </c>
      <c r="O1364" s="9">
        <f>IF(ISNA(MATCH(1355,'Transfer Engine'!$C$2:$C$1960,0)),"",INDEX('Compliance Database'!$O$2:$O$1960,MATCH(1355,'Transfer Engine'!$C$2:$C$1960,0)))</f>
        <v/>
      </c>
      <c r="P1364" s="8">
        <f>IF(ISNA(MATCH(1355,'Transfer Engine'!$C$2:$C$1960,0)),"",HYPERLINK("#Acts!A"&amp;INDEX('Compliance Database'!$P$2:$P$1960,MATCH(1355,'Transfer Engine'!$C$2:$C$1960,0)),"Go to Act"))</f>
        <v/>
      </c>
    </row>
    <row r="1365" ht="158" customHeight="1">
      <c r="A1365" s="8">
        <f>IF(ISNA(MATCH(1356,'Transfer Engine'!$C$2:$C$1960,0)),"",INDEX('Compliance Database'!$A$2:$A$1960,MATCH(1356,'Transfer Engine'!$C$2:$C$1960,0)))</f>
        <v/>
      </c>
      <c r="B1365" s="8">
        <f>IF(ISNA(MATCH(1356,'Transfer Engine'!$C$2:$C$1960,0)),"",INDEX('Compliance Database'!$B$2:$B$1960,MATCH(1356,'Transfer Engine'!$C$2:$C$1960,0)))</f>
        <v/>
      </c>
      <c r="C1365" s="8">
        <f>IF(ISNA(MATCH(1356,'Transfer Engine'!$C$2:$C$1960,0)),"",INDEX('Compliance Database'!$C$2:$C$1960,MATCH(1356,'Transfer Engine'!$C$2:$C$1960,0)))</f>
        <v/>
      </c>
      <c r="D1365" s="9">
        <f>IF(ISNA(MATCH(1356,'Transfer Engine'!$C$2:$C$1960,0)),"",INDEX('Compliance Database'!$D$2:$D$1960,MATCH(1356,'Transfer Engine'!$C$2:$C$1960,0)))</f>
        <v/>
      </c>
      <c r="E1365" s="8">
        <f>IF(ISNA(MATCH(1356,'Transfer Engine'!$C$2:$C$1960,0)),"",INDEX('Compliance Database'!$E$2:$E$1960,MATCH(1356,'Transfer Engine'!$C$2:$C$1960,0)))</f>
        <v/>
      </c>
      <c r="F1365" s="8">
        <f>IF(ISNA(MATCH(1356,'Transfer Engine'!$C$2:$C$1960,0)),"",INDEX('Compliance Database'!$F$2:$F$1960,MATCH(1356,'Transfer Engine'!$C$2:$C$1960,0)))</f>
        <v/>
      </c>
      <c r="G1365" s="8">
        <f>IF(ISNA(MATCH(1356,'Transfer Engine'!$C$2:$C$1960,0)),"",INDEX('Compliance Database'!$G$2:$G$1960,MATCH(1356,'Transfer Engine'!$C$2:$C$1960,0)))</f>
        <v/>
      </c>
      <c r="H1365" s="9">
        <f>IF(ISNA(MATCH(1356,'Transfer Engine'!$C$2:$C$1960,0)),"",INDEX('Compliance Database'!$H$2:$H$1960,MATCH(1356,'Transfer Engine'!$C$2:$C$1960,0)))</f>
        <v/>
      </c>
      <c r="I1365" s="9">
        <f>IF(ISNA(MATCH(1356,'Transfer Engine'!$C$2:$C$1960,0)),"",INDEX('Compliance Database'!$I$2:$I$1960,MATCH(1356,'Transfer Engine'!$C$2:$C$1960,0)))</f>
        <v/>
      </c>
      <c r="J1365" s="8">
        <f>IF(ISNA(MATCH(1356,'Transfer Engine'!$C$2:$C$1960,0)),"",INDEX('Compliance Database'!$J$2:$J$1960,MATCH(1356,'Transfer Engine'!$C$2:$C$1960,0)))</f>
        <v/>
      </c>
      <c r="K1365" s="9">
        <f>IF(ISNA(MATCH(1356,'Transfer Engine'!$C$2:$C$1960,0)),"",INDEX('Compliance Database'!$K$2:$K$1960,MATCH(1356,'Transfer Engine'!$C$2:$C$1960,0)))</f>
        <v/>
      </c>
      <c r="L1365" s="9">
        <f>IF(ISNA(MATCH(1356,'Transfer Engine'!$C$2:$C$1960,0)),"",INDEX('Compliance Database'!$L$2:$L$1960,MATCH(1356,'Transfer Engine'!$C$2:$C$1960,0)))</f>
        <v/>
      </c>
      <c r="M1365" s="9">
        <f>IF(ISNA(MATCH(1356,'Transfer Engine'!$C$2:$C$1960,0)),"",INDEX('Compliance Database'!$M$2:$M$1960,MATCH(1356,'Transfer Engine'!$C$2:$C$1960,0)))</f>
        <v/>
      </c>
      <c r="N1365" s="9">
        <f>IF(ISNA(MATCH(1356,'Transfer Engine'!$C$2:$C$1960,0)),"",INDEX('Compliance Database'!$N$2:$N$1960,MATCH(1356,'Transfer Engine'!$C$2:$C$1960,0)))</f>
        <v/>
      </c>
      <c r="O1365" s="9">
        <f>IF(ISNA(MATCH(1356,'Transfer Engine'!$C$2:$C$1960,0)),"",INDEX('Compliance Database'!$O$2:$O$1960,MATCH(1356,'Transfer Engine'!$C$2:$C$1960,0)))</f>
        <v/>
      </c>
      <c r="P1365" s="8">
        <f>IF(ISNA(MATCH(1356,'Transfer Engine'!$C$2:$C$1960,0)),"",HYPERLINK("#Acts!A"&amp;INDEX('Compliance Database'!$P$2:$P$1960,MATCH(1356,'Transfer Engine'!$C$2:$C$1960,0)),"Go to Act"))</f>
        <v/>
      </c>
    </row>
    <row r="1366" ht="158" customHeight="1">
      <c r="A1366" s="8">
        <f>IF(ISNA(MATCH(1357,'Transfer Engine'!$C$2:$C$1960,0)),"",INDEX('Compliance Database'!$A$2:$A$1960,MATCH(1357,'Transfer Engine'!$C$2:$C$1960,0)))</f>
        <v/>
      </c>
      <c r="B1366" s="8">
        <f>IF(ISNA(MATCH(1357,'Transfer Engine'!$C$2:$C$1960,0)),"",INDEX('Compliance Database'!$B$2:$B$1960,MATCH(1357,'Transfer Engine'!$C$2:$C$1960,0)))</f>
        <v/>
      </c>
      <c r="C1366" s="8">
        <f>IF(ISNA(MATCH(1357,'Transfer Engine'!$C$2:$C$1960,0)),"",INDEX('Compliance Database'!$C$2:$C$1960,MATCH(1357,'Transfer Engine'!$C$2:$C$1960,0)))</f>
        <v/>
      </c>
      <c r="D1366" s="9">
        <f>IF(ISNA(MATCH(1357,'Transfer Engine'!$C$2:$C$1960,0)),"",INDEX('Compliance Database'!$D$2:$D$1960,MATCH(1357,'Transfer Engine'!$C$2:$C$1960,0)))</f>
        <v/>
      </c>
      <c r="E1366" s="8">
        <f>IF(ISNA(MATCH(1357,'Transfer Engine'!$C$2:$C$1960,0)),"",INDEX('Compliance Database'!$E$2:$E$1960,MATCH(1357,'Transfer Engine'!$C$2:$C$1960,0)))</f>
        <v/>
      </c>
      <c r="F1366" s="8">
        <f>IF(ISNA(MATCH(1357,'Transfer Engine'!$C$2:$C$1960,0)),"",INDEX('Compliance Database'!$F$2:$F$1960,MATCH(1357,'Transfer Engine'!$C$2:$C$1960,0)))</f>
        <v/>
      </c>
      <c r="G1366" s="8">
        <f>IF(ISNA(MATCH(1357,'Transfer Engine'!$C$2:$C$1960,0)),"",INDEX('Compliance Database'!$G$2:$G$1960,MATCH(1357,'Transfer Engine'!$C$2:$C$1960,0)))</f>
        <v/>
      </c>
      <c r="H1366" s="9">
        <f>IF(ISNA(MATCH(1357,'Transfer Engine'!$C$2:$C$1960,0)),"",INDEX('Compliance Database'!$H$2:$H$1960,MATCH(1357,'Transfer Engine'!$C$2:$C$1960,0)))</f>
        <v/>
      </c>
      <c r="I1366" s="9">
        <f>IF(ISNA(MATCH(1357,'Transfer Engine'!$C$2:$C$1960,0)),"",INDEX('Compliance Database'!$I$2:$I$1960,MATCH(1357,'Transfer Engine'!$C$2:$C$1960,0)))</f>
        <v/>
      </c>
      <c r="J1366" s="8">
        <f>IF(ISNA(MATCH(1357,'Transfer Engine'!$C$2:$C$1960,0)),"",INDEX('Compliance Database'!$J$2:$J$1960,MATCH(1357,'Transfer Engine'!$C$2:$C$1960,0)))</f>
        <v/>
      </c>
      <c r="K1366" s="9">
        <f>IF(ISNA(MATCH(1357,'Transfer Engine'!$C$2:$C$1960,0)),"",INDEX('Compliance Database'!$K$2:$K$1960,MATCH(1357,'Transfer Engine'!$C$2:$C$1960,0)))</f>
        <v/>
      </c>
      <c r="L1366" s="9">
        <f>IF(ISNA(MATCH(1357,'Transfer Engine'!$C$2:$C$1960,0)),"",INDEX('Compliance Database'!$L$2:$L$1960,MATCH(1357,'Transfer Engine'!$C$2:$C$1960,0)))</f>
        <v/>
      </c>
      <c r="M1366" s="9">
        <f>IF(ISNA(MATCH(1357,'Transfer Engine'!$C$2:$C$1960,0)),"",INDEX('Compliance Database'!$M$2:$M$1960,MATCH(1357,'Transfer Engine'!$C$2:$C$1960,0)))</f>
        <v/>
      </c>
      <c r="N1366" s="9">
        <f>IF(ISNA(MATCH(1357,'Transfer Engine'!$C$2:$C$1960,0)),"",INDEX('Compliance Database'!$N$2:$N$1960,MATCH(1357,'Transfer Engine'!$C$2:$C$1960,0)))</f>
        <v/>
      </c>
      <c r="O1366" s="9">
        <f>IF(ISNA(MATCH(1357,'Transfer Engine'!$C$2:$C$1960,0)),"",INDEX('Compliance Database'!$O$2:$O$1960,MATCH(1357,'Transfer Engine'!$C$2:$C$1960,0)))</f>
        <v/>
      </c>
      <c r="P1366" s="8">
        <f>IF(ISNA(MATCH(1357,'Transfer Engine'!$C$2:$C$1960,0)),"",HYPERLINK("#Acts!A"&amp;INDEX('Compliance Database'!$P$2:$P$1960,MATCH(1357,'Transfer Engine'!$C$2:$C$1960,0)),"Go to Act"))</f>
        <v/>
      </c>
    </row>
    <row r="1367" ht="158" customHeight="1">
      <c r="A1367" s="8">
        <f>IF(ISNA(MATCH(1358,'Transfer Engine'!$C$2:$C$1960,0)),"",INDEX('Compliance Database'!$A$2:$A$1960,MATCH(1358,'Transfer Engine'!$C$2:$C$1960,0)))</f>
        <v/>
      </c>
      <c r="B1367" s="8">
        <f>IF(ISNA(MATCH(1358,'Transfer Engine'!$C$2:$C$1960,0)),"",INDEX('Compliance Database'!$B$2:$B$1960,MATCH(1358,'Transfer Engine'!$C$2:$C$1960,0)))</f>
        <v/>
      </c>
      <c r="C1367" s="8">
        <f>IF(ISNA(MATCH(1358,'Transfer Engine'!$C$2:$C$1960,0)),"",INDEX('Compliance Database'!$C$2:$C$1960,MATCH(1358,'Transfer Engine'!$C$2:$C$1960,0)))</f>
        <v/>
      </c>
      <c r="D1367" s="9">
        <f>IF(ISNA(MATCH(1358,'Transfer Engine'!$C$2:$C$1960,0)),"",INDEX('Compliance Database'!$D$2:$D$1960,MATCH(1358,'Transfer Engine'!$C$2:$C$1960,0)))</f>
        <v/>
      </c>
      <c r="E1367" s="8">
        <f>IF(ISNA(MATCH(1358,'Transfer Engine'!$C$2:$C$1960,0)),"",INDEX('Compliance Database'!$E$2:$E$1960,MATCH(1358,'Transfer Engine'!$C$2:$C$1960,0)))</f>
        <v/>
      </c>
      <c r="F1367" s="8">
        <f>IF(ISNA(MATCH(1358,'Transfer Engine'!$C$2:$C$1960,0)),"",INDEX('Compliance Database'!$F$2:$F$1960,MATCH(1358,'Transfer Engine'!$C$2:$C$1960,0)))</f>
        <v/>
      </c>
      <c r="G1367" s="8">
        <f>IF(ISNA(MATCH(1358,'Transfer Engine'!$C$2:$C$1960,0)),"",INDEX('Compliance Database'!$G$2:$G$1960,MATCH(1358,'Transfer Engine'!$C$2:$C$1960,0)))</f>
        <v/>
      </c>
      <c r="H1367" s="9">
        <f>IF(ISNA(MATCH(1358,'Transfer Engine'!$C$2:$C$1960,0)),"",INDEX('Compliance Database'!$H$2:$H$1960,MATCH(1358,'Transfer Engine'!$C$2:$C$1960,0)))</f>
        <v/>
      </c>
      <c r="I1367" s="9">
        <f>IF(ISNA(MATCH(1358,'Transfer Engine'!$C$2:$C$1960,0)),"",INDEX('Compliance Database'!$I$2:$I$1960,MATCH(1358,'Transfer Engine'!$C$2:$C$1960,0)))</f>
        <v/>
      </c>
      <c r="J1367" s="8">
        <f>IF(ISNA(MATCH(1358,'Transfer Engine'!$C$2:$C$1960,0)),"",INDEX('Compliance Database'!$J$2:$J$1960,MATCH(1358,'Transfer Engine'!$C$2:$C$1960,0)))</f>
        <v/>
      </c>
      <c r="K1367" s="9">
        <f>IF(ISNA(MATCH(1358,'Transfer Engine'!$C$2:$C$1960,0)),"",INDEX('Compliance Database'!$K$2:$K$1960,MATCH(1358,'Transfer Engine'!$C$2:$C$1960,0)))</f>
        <v/>
      </c>
      <c r="L1367" s="9">
        <f>IF(ISNA(MATCH(1358,'Transfer Engine'!$C$2:$C$1960,0)),"",INDEX('Compliance Database'!$L$2:$L$1960,MATCH(1358,'Transfer Engine'!$C$2:$C$1960,0)))</f>
        <v/>
      </c>
      <c r="M1367" s="9">
        <f>IF(ISNA(MATCH(1358,'Transfer Engine'!$C$2:$C$1960,0)),"",INDEX('Compliance Database'!$M$2:$M$1960,MATCH(1358,'Transfer Engine'!$C$2:$C$1960,0)))</f>
        <v/>
      </c>
      <c r="N1367" s="9">
        <f>IF(ISNA(MATCH(1358,'Transfer Engine'!$C$2:$C$1960,0)),"",INDEX('Compliance Database'!$N$2:$N$1960,MATCH(1358,'Transfer Engine'!$C$2:$C$1960,0)))</f>
        <v/>
      </c>
      <c r="O1367" s="9">
        <f>IF(ISNA(MATCH(1358,'Transfer Engine'!$C$2:$C$1960,0)),"",INDEX('Compliance Database'!$O$2:$O$1960,MATCH(1358,'Transfer Engine'!$C$2:$C$1960,0)))</f>
        <v/>
      </c>
      <c r="P1367" s="8">
        <f>IF(ISNA(MATCH(1358,'Transfer Engine'!$C$2:$C$1960,0)),"",HYPERLINK("#Acts!A"&amp;INDEX('Compliance Database'!$P$2:$P$1960,MATCH(1358,'Transfer Engine'!$C$2:$C$1960,0)),"Go to Act"))</f>
        <v/>
      </c>
    </row>
    <row r="1368" ht="158" customHeight="1">
      <c r="A1368" s="8">
        <f>IF(ISNA(MATCH(1359,'Transfer Engine'!$C$2:$C$1960,0)),"",INDEX('Compliance Database'!$A$2:$A$1960,MATCH(1359,'Transfer Engine'!$C$2:$C$1960,0)))</f>
        <v/>
      </c>
      <c r="B1368" s="8">
        <f>IF(ISNA(MATCH(1359,'Transfer Engine'!$C$2:$C$1960,0)),"",INDEX('Compliance Database'!$B$2:$B$1960,MATCH(1359,'Transfer Engine'!$C$2:$C$1960,0)))</f>
        <v/>
      </c>
      <c r="C1368" s="8">
        <f>IF(ISNA(MATCH(1359,'Transfer Engine'!$C$2:$C$1960,0)),"",INDEX('Compliance Database'!$C$2:$C$1960,MATCH(1359,'Transfer Engine'!$C$2:$C$1960,0)))</f>
        <v/>
      </c>
      <c r="D1368" s="9">
        <f>IF(ISNA(MATCH(1359,'Transfer Engine'!$C$2:$C$1960,0)),"",INDEX('Compliance Database'!$D$2:$D$1960,MATCH(1359,'Transfer Engine'!$C$2:$C$1960,0)))</f>
        <v/>
      </c>
      <c r="E1368" s="8">
        <f>IF(ISNA(MATCH(1359,'Transfer Engine'!$C$2:$C$1960,0)),"",INDEX('Compliance Database'!$E$2:$E$1960,MATCH(1359,'Transfer Engine'!$C$2:$C$1960,0)))</f>
        <v/>
      </c>
      <c r="F1368" s="8">
        <f>IF(ISNA(MATCH(1359,'Transfer Engine'!$C$2:$C$1960,0)),"",INDEX('Compliance Database'!$F$2:$F$1960,MATCH(1359,'Transfer Engine'!$C$2:$C$1960,0)))</f>
        <v/>
      </c>
      <c r="G1368" s="8">
        <f>IF(ISNA(MATCH(1359,'Transfer Engine'!$C$2:$C$1960,0)),"",INDEX('Compliance Database'!$G$2:$G$1960,MATCH(1359,'Transfer Engine'!$C$2:$C$1960,0)))</f>
        <v/>
      </c>
      <c r="H1368" s="9">
        <f>IF(ISNA(MATCH(1359,'Transfer Engine'!$C$2:$C$1960,0)),"",INDEX('Compliance Database'!$H$2:$H$1960,MATCH(1359,'Transfer Engine'!$C$2:$C$1960,0)))</f>
        <v/>
      </c>
      <c r="I1368" s="9">
        <f>IF(ISNA(MATCH(1359,'Transfer Engine'!$C$2:$C$1960,0)),"",INDEX('Compliance Database'!$I$2:$I$1960,MATCH(1359,'Transfer Engine'!$C$2:$C$1960,0)))</f>
        <v/>
      </c>
      <c r="J1368" s="8">
        <f>IF(ISNA(MATCH(1359,'Transfer Engine'!$C$2:$C$1960,0)),"",INDEX('Compliance Database'!$J$2:$J$1960,MATCH(1359,'Transfer Engine'!$C$2:$C$1960,0)))</f>
        <v/>
      </c>
      <c r="K1368" s="9">
        <f>IF(ISNA(MATCH(1359,'Transfer Engine'!$C$2:$C$1960,0)),"",INDEX('Compliance Database'!$K$2:$K$1960,MATCH(1359,'Transfer Engine'!$C$2:$C$1960,0)))</f>
        <v/>
      </c>
      <c r="L1368" s="9">
        <f>IF(ISNA(MATCH(1359,'Transfer Engine'!$C$2:$C$1960,0)),"",INDEX('Compliance Database'!$L$2:$L$1960,MATCH(1359,'Transfer Engine'!$C$2:$C$1960,0)))</f>
        <v/>
      </c>
      <c r="M1368" s="9">
        <f>IF(ISNA(MATCH(1359,'Transfer Engine'!$C$2:$C$1960,0)),"",INDEX('Compliance Database'!$M$2:$M$1960,MATCH(1359,'Transfer Engine'!$C$2:$C$1960,0)))</f>
        <v/>
      </c>
      <c r="N1368" s="9">
        <f>IF(ISNA(MATCH(1359,'Transfer Engine'!$C$2:$C$1960,0)),"",INDEX('Compliance Database'!$N$2:$N$1960,MATCH(1359,'Transfer Engine'!$C$2:$C$1960,0)))</f>
        <v/>
      </c>
      <c r="O1368" s="9">
        <f>IF(ISNA(MATCH(1359,'Transfer Engine'!$C$2:$C$1960,0)),"",INDEX('Compliance Database'!$O$2:$O$1960,MATCH(1359,'Transfer Engine'!$C$2:$C$1960,0)))</f>
        <v/>
      </c>
      <c r="P1368" s="8">
        <f>IF(ISNA(MATCH(1359,'Transfer Engine'!$C$2:$C$1960,0)),"",HYPERLINK("#Acts!A"&amp;INDEX('Compliance Database'!$P$2:$P$1960,MATCH(1359,'Transfer Engine'!$C$2:$C$1960,0)),"Go to Act"))</f>
        <v/>
      </c>
    </row>
    <row r="1369" ht="158" customHeight="1">
      <c r="A1369" s="8">
        <f>IF(ISNA(MATCH(1360,'Transfer Engine'!$C$2:$C$1960,0)),"",INDEX('Compliance Database'!$A$2:$A$1960,MATCH(1360,'Transfer Engine'!$C$2:$C$1960,0)))</f>
        <v/>
      </c>
      <c r="B1369" s="8">
        <f>IF(ISNA(MATCH(1360,'Transfer Engine'!$C$2:$C$1960,0)),"",INDEX('Compliance Database'!$B$2:$B$1960,MATCH(1360,'Transfer Engine'!$C$2:$C$1960,0)))</f>
        <v/>
      </c>
      <c r="C1369" s="8">
        <f>IF(ISNA(MATCH(1360,'Transfer Engine'!$C$2:$C$1960,0)),"",INDEX('Compliance Database'!$C$2:$C$1960,MATCH(1360,'Transfer Engine'!$C$2:$C$1960,0)))</f>
        <v/>
      </c>
      <c r="D1369" s="9">
        <f>IF(ISNA(MATCH(1360,'Transfer Engine'!$C$2:$C$1960,0)),"",INDEX('Compliance Database'!$D$2:$D$1960,MATCH(1360,'Transfer Engine'!$C$2:$C$1960,0)))</f>
        <v/>
      </c>
      <c r="E1369" s="8">
        <f>IF(ISNA(MATCH(1360,'Transfer Engine'!$C$2:$C$1960,0)),"",INDEX('Compliance Database'!$E$2:$E$1960,MATCH(1360,'Transfer Engine'!$C$2:$C$1960,0)))</f>
        <v/>
      </c>
      <c r="F1369" s="8">
        <f>IF(ISNA(MATCH(1360,'Transfer Engine'!$C$2:$C$1960,0)),"",INDEX('Compliance Database'!$F$2:$F$1960,MATCH(1360,'Transfer Engine'!$C$2:$C$1960,0)))</f>
        <v/>
      </c>
      <c r="G1369" s="8">
        <f>IF(ISNA(MATCH(1360,'Transfer Engine'!$C$2:$C$1960,0)),"",INDEX('Compliance Database'!$G$2:$G$1960,MATCH(1360,'Transfer Engine'!$C$2:$C$1960,0)))</f>
        <v/>
      </c>
      <c r="H1369" s="9">
        <f>IF(ISNA(MATCH(1360,'Transfer Engine'!$C$2:$C$1960,0)),"",INDEX('Compliance Database'!$H$2:$H$1960,MATCH(1360,'Transfer Engine'!$C$2:$C$1960,0)))</f>
        <v/>
      </c>
      <c r="I1369" s="9">
        <f>IF(ISNA(MATCH(1360,'Transfer Engine'!$C$2:$C$1960,0)),"",INDEX('Compliance Database'!$I$2:$I$1960,MATCH(1360,'Transfer Engine'!$C$2:$C$1960,0)))</f>
        <v/>
      </c>
      <c r="J1369" s="8">
        <f>IF(ISNA(MATCH(1360,'Transfer Engine'!$C$2:$C$1960,0)),"",INDEX('Compliance Database'!$J$2:$J$1960,MATCH(1360,'Transfer Engine'!$C$2:$C$1960,0)))</f>
        <v/>
      </c>
      <c r="K1369" s="9">
        <f>IF(ISNA(MATCH(1360,'Transfer Engine'!$C$2:$C$1960,0)),"",INDEX('Compliance Database'!$K$2:$K$1960,MATCH(1360,'Transfer Engine'!$C$2:$C$1960,0)))</f>
        <v/>
      </c>
      <c r="L1369" s="9">
        <f>IF(ISNA(MATCH(1360,'Transfer Engine'!$C$2:$C$1960,0)),"",INDEX('Compliance Database'!$L$2:$L$1960,MATCH(1360,'Transfer Engine'!$C$2:$C$1960,0)))</f>
        <v/>
      </c>
      <c r="M1369" s="9">
        <f>IF(ISNA(MATCH(1360,'Transfer Engine'!$C$2:$C$1960,0)),"",INDEX('Compliance Database'!$M$2:$M$1960,MATCH(1360,'Transfer Engine'!$C$2:$C$1960,0)))</f>
        <v/>
      </c>
      <c r="N1369" s="9">
        <f>IF(ISNA(MATCH(1360,'Transfer Engine'!$C$2:$C$1960,0)),"",INDEX('Compliance Database'!$N$2:$N$1960,MATCH(1360,'Transfer Engine'!$C$2:$C$1960,0)))</f>
        <v/>
      </c>
      <c r="O1369" s="9">
        <f>IF(ISNA(MATCH(1360,'Transfer Engine'!$C$2:$C$1960,0)),"",INDEX('Compliance Database'!$O$2:$O$1960,MATCH(1360,'Transfer Engine'!$C$2:$C$1960,0)))</f>
        <v/>
      </c>
      <c r="P1369" s="8">
        <f>IF(ISNA(MATCH(1360,'Transfer Engine'!$C$2:$C$1960,0)),"",HYPERLINK("#Acts!A"&amp;INDEX('Compliance Database'!$P$2:$P$1960,MATCH(1360,'Transfer Engine'!$C$2:$C$1960,0)),"Go to Act"))</f>
        <v/>
      </c>
    </row>
    <row r="1370" ht="158" customHeight="1">
      <c r="A1370" s="8">
        <f>IF(ISNA(MATCH(1361,'Transfer Engine'!$C$2:$C$1960,0)),"",INDEX('Compliance Database'!$A$2:$A$1960,MATCH(1361,'Transfer Engine'!$C$2:$C$1960,0)))</f>
        <v/>
      </c>
      <c r="B1370" s="8">
        <f>IF(ISNA(MATCH(1361,'Transfer Engine'!$C$2:$C$1960,0)),"",INDEX('Compliance Database'!$B$2:$B$1960,MATCH(1361,'Transfer Engine'!$C$2:$C$1960,0)))</f>
        <v/>
      </c>
      <c r="C1370" s="8">
        <f>IF(ISNA(MATCH(1361,'Transfer Engine'!$C$2:$C$1960,0)),"",INDEX('Compliance Database'!$C$2:$C$1960,MATCH(1361,'Transfer Engine'!$C$2:$C$1960,0)))</f>
        <v/>
      </c>
      <c r="D1370" s="9">
        <f>IF(ISNA(MATCH(1361,'Transfer Engine'!$C$2:$C$1960,0)),"",INDEX('Compliance Database'!$D$2:$D$1960,MATCH(1361,'Transfer Engine'!$C$2:$C$1960,0)))</f>
        <v/>
      </c>
      <c r="E1370" s="8">
        <f>IF(ISNA(MATCH(1361,'Transfer Engine'!$C$2:$C$1960,0)),"",INDEX('Compliance Database'!$E$2:$E$1960,MATCH(1361,'Transfer Engine'!$C$2:$C$1960,0)))</f>
        <v/>
      </c>
      <c r="F1370" s="8">
        <f>IF(ISNA(MATCH(1361,'Transfer Engine'!$C$2:$C$1960,0)),"",INDEX('Compliance Database'!$F$2:$F$1960,MATCH(1361,'Transfer Engine'!$C$2:$C$1960,0)))</f>
        <v/>
      </c>
      <c r="G1370" s="8">
        <f>IF(ISNA(MATCH(1361,'Transfer Engine'!$C$2:$C$1960,0)),"",INDEX('Compliance Database'!$G$2:$G$1960,MATCH(1361,'Transfer Engine'!$C$2:$C$1960,0)))</f>
        <v/>
      </c>
      <c r="H1370" s="9">
        <f>IF(ISNA(MATCH(1361,'Transfer Engine'!$C$2:$C$1960,0)),"",INDEX('Compliance Database'!$H$2:$H$1960,MATCH(1361,'Transfer Engine'!$C$2:$C$1960,0)))</f>
        <v/>
      </c>
      <c r="I1370" s="9">
        <f>IF(ISNA(MATCH(1361,'Transfer Engine'!$C$2:$C$1960,0)),"",INDEX('Compliance Database'!$I$2:$I$1960,MATCH(1361,'Transfer Engine'!$C$2:$C$1960,0)))</f>
        <v/>
      </c>
      <c r="J1370" s="8">
        <f>IF(ISNA(MATCH(1361,'Transfer Engine'!$C$2:$C$1960,0)),"",INDEX('Compliance Database'!$J$2:$J$1960,MATCH(1361,'Transfer Engine'!$C$2:$C$1960,0)))</f>
        <v/>
      </c>
      <c r="K1370" s="9">
        <f>IF(ISNA(MATCH(1361,'Transfer Engine'!$C$2:$C$1960,0)),"",INDEX('Compliance Database'!$K$2:$K$1960,MATCH(1361,'Transfer Engine'!$C$2:$C$1960,0)))</f>
        <v/>
      </c>
      <c r="L1370" s="9">
        <f>IF(ISNA(MATCH(1361,'Transfer Engine'!$C$2:$C$1960,0)),"",INDEX('Compliance Database'!$L$2:$L$1960,MATCH(1361,'Transfer Engine'!$C$2:$C$1960,0)))</f>
        <v/>
      </c>
      <c r="M1370" s="9">
        <f>IF(ISNA(MATCH(1361,'Transfer Engine'!$C$2:$C$1960,0)),"",INDEX('Compliance Database'!$M$2:$M$1960,MATCH(1361,'Transfer Engine'!$C$2:$C$1960,0)))</f>
        <v/>
      </c>
      <c r="N1370" s="9">
        <f>IF(ISNA(MATCH(1361,'Transfer Engine'!$C$2:$C$1960,0)),"",INDEX('Compliance Database'!$N$2:$N$1960,MATCH(1361,'Transfer Engine'!$C$2:$C$1960,0)))</f>
        <v/>
      </c>
      <c r="O1370" s="9">
        <f>IF(ISNA(MATCH(1361,'Transfer Engine'!$C$2:$C$1960,0)),"",INDEX('Compliance Database'!$O$2:$O$1960,MATCH(1361,'Transfer Engine'!$C$2:$C$1960,0)))</f>
        <v/>
      </c>
      <c r="P1370" s="8">
        <f>IF(ISNA(MATCH(1361,'Transfer Engine'!$C$2:$C$1960,0)),"",HYPERLINK("#Acts!A"&amp;INDEX('Compliance Database'!$P$2:$P$1960,MATCH(1361,'Transfer Engine'!$C$2:$C$1960,0)),"Go to Act"))</f>
        <v/>
      </c>
    </row>
    <row r="1371" ht="158" customHeight="1">
      <c r="A1371" s="8">
        <f>IF(ISNA(MATCH(1362,'Transfer Engine'!$C$2:$C$1960,0)),"",INDEX('Compliance Database'!$A$2:$A$1960,MATCH(1362,'Transfer Engine'!$C$2:$C$1960,0)))</f>
        <v/>
      </c>
      <c r="B1371" s="8">
        <f>IF(ISNA(MATCH(1362,'Transfer Engine'!$C$2:$C$1960,0)),"",INDEX('Compliance Database'!$B$2:$B$1960,MATCH(1362,'Transfer Engine'!$C$2:$C$1960,0)))</f>
        <v/>
      </c>
      <c r="C1371" s="8">
        <f>IF(ISNA(MATCH(1362,'Transfer Engine'!$C$2:$C$1960,0)),"",INDEX('Compliance Database'!$C$2:$C$1960,MATCH(1362,'Transfer Engine'!$C$2:$C$1960,0)))</f>
        <v/>
      </c>
      <c r="D1371" s="9">
        <f>IF(ISNA(MATCH(1362,'Transfer Engine'!$C$2:$C$1960,0)),"",INDEX('Compliance Database'!$D$2:$D$1960,MATCH(1362,'Transfer Engine'!$C$2:$C$1960,0)))</f>
        <v/>
      </c>
      <c r="E1371" s="8">
        <f>IF(ISNA(MATCH(1362,'Transfer Engine'!$C$2:$C$1960,0)),"",INDEX('Compliance Database'!$E$2:$E$1960,MATCH(1362,'Transfer Engine'!$C$2:$C$1960,0)))</f>
        <v/>
      </c>
      <c r="F1371" s="8">
        <f>IF(ISNA(MATCH(1362,'Transfer Engine'!$C$2:$C$1960,0)),"",INDEX('Compliance Database'!$F$2:$F$1960,MATCH(1362,'Transfer Engine'!$C$2:$C$1960,0)))</f>
        <v/>
      </c>
      <c r="G1371" s="8">
        <f>IF(ISNA(MATCH(1362,'Transfer Engine'!$C$2:$C$1960,0)),"",INDEX('Compliance Database'!$G$2:$G$1960,MATCH(1362,'Transfer Engine'!$C$2:$C$1960,0)))</f>
        <v/>
      </c>
      <c r="H1371" s="9">
        <f>IF(ISNA(MATCH(1362,'Transfer Engine'!$C$2:$C$1960,0)),"",INDEX('Compliance Database'!$H$2:$H$1960,MATCH(1362,'Transfer Engine'!$C$2:$C$1960,0)))</f>
        <v/>
      </c>
      <c r="I1371" s="9">
        <f>IF(ISNA(MATCH(1362,'Transfer Engine'!$C$2:$C$1960,0)),"",INDEX('Compliance Database'!$I$2:$I$1960,MATCH(1362,'Transfer Engine'!$C$2:$C$1960,0)))</f>
        <v/>
      </c>
      <c r="J1371" s="8">
        <f>IF(ISNA(MATCH(1362,'Transfer Engine'!$C$2:$C$1960,0)),"",INDEX('Compliance Database'!$J$2:$J$1960,MATCH(1362,'Transfer Engine'!$C$2:$C$1960,0)))</f>
        <v/>
      </c>
      <c r="K1371" s="9">
        <f>IF(ISNA(MATCH(1362,'Transfer Engine'!$C$2:$C$1960,0)),"",INDEX('Compliance Database'!$K$2:$K$1960,MATCH(1362,'Transfer Engine'!$C$2:$C$1960,0)))</f>
        <v/>
      </c>
      <c r="L1371" s="9">
        <f>IF(ISNA(MATCH(1362,'Transfer Engine'!$C$2:$C$1960,0)),"",INDEX('Compliance Database'!$L$2:$L$1960,MATCH(1362,'Transfer Engine'!$C$2:$C$1960,0)))</f>
        <v/>
      </c>
      <c r="M1371" s="9">
        <f>IF(ISNA(MATCH(1362,'Transfer Engine'!$C$2:$C$1960,0)),"",INDEX('Compliance Database'!$M$2:$M$1960,MATCH(1362,'Transfer Engine'!$C$2:$C$1960,0)))</f>
        <v/>
      </c>
      <c r="N1371" s="9">
        <f>IF(ISNA(MATCH(1362,'Transfer Engine'!$C$2:$C$1960,0)),"",INDEX('Compliance Database'!$N$2:$N$1960,MATCH(1362,'Transfer Engine'!$C$2:$C$1960,0)))</f>
        <v/>
      </c>
      <c r="O1371" s="9">
        <f>IF(ISNA(MATCH(1362,'Transfer Engine'!$C$2:$C$1960,0)),"",INDEX('Compliance Database'!$O$2:$O$1960,MATCH(1362,'Transfer Engine'!$C$2:$C$1960,0)))</f>
        <v/>
      </c>
      <c r="P1371" s="8">
        <f>IF(ISNA(MATCH(1362,'Transfer Engine'!$C$2:$C$1960,0)),"",HYPERLINK("#Acts!A"&amp;INDEX('Compliance Database'!$P$2:$P$1960,MATCH(1362,'Transfer Engine'!$C$2:$C$1960,0)),"Go to Act"))</f>
        <v/>
      </c>
    </row>
    <row r="1372" ht="158" customHeight="1">
      <c r="A1372" s="8">
        <f>IF(ISNA(MATCH(1363,'Transfer Engine'!$C$2:$C$1960,0)),"",INDEX('Compliance Database'!$A$2:$A$1960,MATCH(1363,'Transfer Engine'!$C$2:$C$1960,0)))</f>
        <v/>
      </c>
      <c r="B1372" s="8">
        <f>IF(ISNA(MATCH(1363,'Transfer Engine'!$C$2:$C$1960,0)),"",INDEX('Compliance Database'!$B$2:$B$1960,MATCH(1363,'Transfer Engine'!$C$2:$C$1960,0)))</f>
        <v/>
      </c>
      <c r="C1372" s="8">
        <f>IF(ISNA(MATCH(1363,'Transfer Engine'!$C$2:$C$1960,0)),"",INDEX('Compliance Database'!$C$2:$C$1960,MATCH(1363,'Transfer Engine'!$C$2:$C$1960,0)))</f>
        <v/>
      </c>
      <c r="D1372" s="9">
        <f>IF(ISNA(MATCH(1363,'Transfer Engine'!$C$2:$C$1960,0)),"",INDEX('Compliance Database'!$D$2:$D$1960,MATCH(1363,'Transfer Engine'!$C$2:$C$1960,0)))</f>
        <v/>
      </c>
      <c r="E1372" s="8">
        <f>IF(ISNA(MATCH(1363,'Transfer Engine'!$C$2:$C$1960,0)),"",INDEX('Compliance Database'!$E$2:$E$1960,MATCH(1363,'Transfer Engine'!$C$2:$C$1960,0)))</f>
        <v/>
      </c>
      <c r="F1372" s="8">
        <f>IF(ISNA(MATCH(1363,'Transfer Engine'!$C$2:$C$1960,0)),"",INDEX('Compliance Database'!$F$2:$F$1960,MATCH(1363,'Transfer Engine'!$C$2:$C$1960,0)))</f>
        <v/>
      </c>
      <c r="G1372" s="8">
        <f>IF(ISNA(MATCH(1363,'Transfer Engine'!$C$2:$C$1960,0)),"",INDEX('Compliance Database'!$G$2:$G$1960,MATCH(1363,'Transfer Engine'!$C$2:$C$1960,0)))</f>
        <v/>
      </c>
      <c r="H1372" s="9">
        <f>IF(ISNA(MATCH(1363,'Transfer Engine'!$C$2:$C$1960,0)),"",INDEX('Compliance Database'!$H$2:$H$1960,MATCH(1363,'Transfer Engine'!$C$2:$C$1960,0)))</f>
        <v/>
      </c>
      <c r="I1372" s="9">
        <f>IF(ISNA(MATCH(1363,'Transfer Engine'!$C$2:$C$1960,0)),"",INDEX('Compliance Database'!$I$2:$I$1960,MATCH(1363,'Transfer Engine'!$C$2:$C$1960,0)))</f>
        <v/>
      </c>
      <c r="J1372" s="8">
        <f>IF(ISNA(MATCH(1363,'Transfer Engine'!$C$2:$C$1960,0)),"",INDEX('Compliance Database'!$J$2:$J$1960,MATCH(1363,'Transfer Engine'!$C$2:$C$1960,0)))</f>
        <v/>
      </c>
      <c r="K1372" s="9">
        <f>IF(ISNA(MATCH(1363,'Transfer Engine'!$C$2:$C$1960,0)),"",INDEX('Compliance Database'!$K$2:$K$1960,MATCH(1363,'Transfer Engine'!$C$2:$C$1960,0)))</f>
        <v/>
      </c>
      <c r="L1372" s="9">
        <f>IF(ISNA(MATCH(1363,'Transfer Engine'!$C$2:$C$1960,0)),"",INDEX('Compliance Database'!$L$2:$L$1960,MATCH(1363,'Transfer Engine'!$C$2:$C$1960,0)))</f>
        <v/>
      </c>
      <c r="M1372" s="9">
        <f>IF(ISNA(MATCH(1363,'Transfer Engine'!$C$2:$C$1960,0)),"",INDEX('Compliance Database'!$M$2:$M$1960,MATCH(1363,'Transfer Engine'!$C$2:$C$1960,0)))</f>
        <v/>
      </c>
      <c r="N1372" s="9">
        <f>IF(ISNA(MATCH(1363,'Transfer Engine'!$C$2:$C$1960,0)),"",INDEX('Compliance Database'!$N$2:$N$1960,MATCH(1363,'Transfer Engine'!$C$2:$C$1960,0)))</f>
        <v/>
      </c>
      <c r="O1372" s="9">
        <f>IF(ISNA(MATCH(1363,'Transfer Engine'!$C$2:$C$1960,0)),"",INDEX('Compliance Database'!$O$2:$O$1960,MATCH(1363,'Transfer Engine'!$C$2:$C$1960,0)))</f>
        <v/>
      </c>
      <c r="P1372" s="8">
        <f>IF(ISNA(MATCH(1363,'Transfer Engine'!$C$2:$C$1960,0)),"",HYPERLINK("#Acts!A"&amp;INDEX('Compliance Database'!$P$2:$P$1960,MATCH(1363,'Transfer Engine'!$C$2:$C$1960,0)),"Go to Act"))</f>
        <v/>
      </c>
    </row>
    <row r="1373" ht="158" customHeight="1">
      <c r="A1373" s="8">
        <f>IF(ISNA(MATCH(1364,'Transfer Engine'!$C$2:$C$1960,0)),"",INDEX('Compliance Database'!$A$2:$A$1960,MATCH(1364,'Transfer Engine'!$C$2:$C$1960,0)))</f>
        <v/>
      </c>
      <c r="B1373" s="8">
        <f>IF(ISNA(MATCH(1364,'Transfer Engine'!$C$2:$C$1960,0)),"",INDEX('Compliance Database'!$B$2:$B$1960,MATCH(1364,'Transfer Engine'!$C$2:$C$1960,0)))</f>
        <v/>
      </c>
      <c r="C1373" s="8">
        <f>IF(ISNA(MATCH(1364,'Transfer Engine'!$C$2:$C$1960,0)),"",INDEX('Compliance Database'!$C$2:$C$1960,MATCH(1364,'Transfer Engine'!$C$2:$C$1960,0)))</f>
        <v/>
      </c>
      <c r="D1373" s="9">
        <f>IF(ISNA(MATCH(1364,'Transfer Engine'!$C$2:$C$1960,0)),"",INDEX('Compliance Database'!$D$2:$D$1960,MATCH(1364,'Transfer Engine'!$C$2:$C$1960,0)))</f>
        <v/>
      </c>
      <c r="E1373" s="8">
        <f>IF(ISNA(MATCH(1364,'Transfer Engine'!$C$2:$C$1960,0)),"",INDEX('Compliance Database'!$E$2:$E$1960,MATCH(1364,'Transfer Engine'!$C$2:$C$1960,0)))</f>
        <v/>
      </c>
      <c r="F1373" s="8">
        <f>IF(ISNA(MATCH(1364,'Transfer Engine'!$C$2:$C$1960,0)),"",INDEX('Compliance Database'!$F$2:$F$1960,MATCH(1364,'Transfer Engine'!$C$2:$C$1960,0)))</f>
        <v/>
      </c>
      <c r="G1373" s="8">
        <f>IF(ISNA(MATCH(1364,'Transfer Engine'!$C$2:$C$1960,0)),"",INDEX('Compliance Database'!$G$2:$G$1960,MATCH(1364,'Transfer Engine'!$C$2:$C$1960,0)))</f>
        <v/>
      </c>
      <c r="H1373" s="9">
        <f>IF(ISNA(MATCH(1364,'Transfer Engine'!$C$2:$C$1960,0)),"",INDEX('Compliance Database'!$H$2:$H$1960,MATCH(1364,'Transfer Engine'!$C$2:$C$1960,0)))</f>
        <v/>
      </c>
      <c r="I1373" s="9">
        <f>IF(ISNA(MATCH(1364,'Transfer Engine'!$C$2:$C$1960,0)),"",INDEX('Compliance Database'!$I$2:$I$1960,MATCH(1364,'Transfer Engine'!$C$2:$C$1960,0)))</f>
        <v/>
      </c>
      <c r="J1373" s="8">
        <f>IF(ISNA(MATCH(1364,'Transfer Engine'!$C$2:$C$1960,0)),"",INDEX('Compliance Database'!$J$2:$J$1960,MATCH(1364,'Transfer Engine'!$C$2:$C$1960,0)))</f>
        <v/>
      </c>
      <c r="K1373" s="9">
        <f>IF(ISNA(MATCH(1364,'Transfer Engine'!$C$2:$C$1960,0)),"",INDEX('Compliance Database'!$K$2:$K$1960,MATCH(1364,'Transfer Engine'!$C$2:$C$1960,0)))</f>
        <v/>
      </c>
      <c r="L1373" s="9">
        <f>IF(ISNA(MATCH(1364,'Transfer Engine'!$C$2:$C$1960,0)),"",INDEX('Compliance Database'!$L$2:$L$1960,MATCH(1364,'Transfer Engine'!$C$2:$C$1960,0)))</f>
        <v/>
      </c>
      <c r="M1373" s="9">
        <f>IF(ISNA(MATCH(1364,'Transfer Engine'!$C$2:$C$1960,0)),"",INDEX('Compliance Database'!$M$2:$M$1960,MATCH(1364,'Transfer Engine'!$C$2:$C$1960,0)))</f>
        <v/>
      </c>
      <c r="N1373" s="9">
        <f>IF(ISNA(MATCH(1364,'Transfer Engine'!$C$2:$C$1960,0)),"",INDEX('Compliance Database'!$N$2:$N$1960,MATCH(1364,'Transfer Engine'!$C$2:$C$1960,0)))</f>
        <v/>
      </c>
      <c r="O1373" s="9">
        <f>IF(ISNA(MATCH(1364,'Transfer Engine'!$C$2:$C$1960,0)),"",INDEX('Compliance Database'!$O$2:$O$1960,MATCH(1364,'Transfer Engine'!$C$2:$C$1960,0)))</f>
        <v/>
      </c>
      <c r="P1373" s="8">
        <f>IF(ISNA(MATCH(1364,'Transfer Engine'!$C$2:$C$1960,0)),"",HYPERLINK("#Acts!A"&amp;INDEX('Compliance Database'!$P$2:$P$1960,MATCH(1364,'Transfer Engine'!$C$2:$C$1960,0)),"Go to Act"))</f>
        <v/>
      </c>
    </row>
    <row r="1374" ht="158" customHeight="1">
      <c r="A1374" s="8">
        <f>IF(ISNA(MATCH(1365,'Transfer Engine'!$C$2:$C$1960,0)),"",INDEX('Compliance Database'!$A$2:$A$1960,MATCH(1365,'Transfer Engine'!$C$2:$C$1960,0)))</f>
        <v/>
      </c>
      <c r="B1374" s="8">
        <f>IF(ISNA(MATCH(1365,'Transfer Engine'!$C$2:$C$1960,0)),"",INDEX('Compliance Database'!$B$2:$B$1960,MATCH(1365,'Transfer Engine'!$C$2:$C$1960,0)))</f>
        <v/>
      </c>
      <c r="C1374" s="8">
        <f>IF(ISNA(MATCH(1365,'Transfer Engine'!$C$2:$C$1960,0)),"",INDEX('Compliance Database'!$C$2:$C$1960,MATCH(1365,'Transfer Engine'!$C$2:$C$1960,0)))</f>
        <v/>
      </c>
      <c r="D1374" s="9">
        <f>IF(ISNA(MATCH(1365,'Transfer Engine'!$C$2:$C$1960,0)),"",INDEX('Compliance Database'!$D$2:$D$1960,MATCH(1365,'Transfer Engine'!$C$2:$C$1960,0)))</f>
        <v/>
      </c>
      <c r="E1374" s="8">
        <f>IF(ISNA(MATCH(1365,'Transfer Engine'!$C$2:$C$1960,0)),"",INDEX('Compliance Database'!$E$2:$E$1960,MATCH(1365,'Transfer Engine'!$C$2:$C$1960,0)))</f>
        <v/>
      </c>
      <c r="F1374" s="8">
        <f>IF(ISNA(MATCH(1365,'Transfer Engine'!$C$2:$C$1960,0)),"",INDEX('Compliance Database'!$F$2:$F$1960,MATCH(1365,'Transfer Engine'!$C$2:$C$1960,0)))</f>
        <v/>
      </c>
      <c r="G1374" s="8">
        <f>IF(ISNA(MATCH(1365,'Transfer Engine'!$C$2:$C$1960,0)),"",INDEX('Compliance Database'!$G$2:$G$1960,MATCH(1365,'Transfer Engine'!$C$2:$C$1960,0)))</f>
        <v/>
      </c>
      <c r="H1374" s="9">
        <f>IF(ISNA(MATCH(1365,'Transfer Engine'!$C$2:$C$1960,0)),"",INDEX('Compliance Database'!$H$2:$H$1960,MATCH(1365,'Transfer Engine'!$C$2:$C$1960,0)))</f>
        <v/>
      </c>
      <c r="I1374" s="9">
        <f>IF(ISNA(MATCH(1365,'Transfer Engine'!$C$2:$C$1960,0)),"",INDEX('Compliance Database'!$I$2:$I$1960,MATCH(1365,'Transfer Engine'!$C$2:$C$1960,0)))</f>
        <v/>
      </c>
      <c r="J1374" s="8">
        <f>IF(ISNA(MATCH(1365,'Transfer Engine'!$C$2:$C$1960,0)),"",INDEX('Compliance Database'!$J$2:$J$1960,MATCH(1365,'Transfer Engine'!$C$2:$C$1960,0)))</f>
        <v/>
      </c>
      <c r="K1374" s="9">
        <f>IF(ISNA(MATCH(1365,'Transfer Engine'!$C$2:$C$1960,0)),"",INDEX('Compliance Database'!$K$2:$K$1960,MATCH(1365,'Transfer Engine'!$C$2:$C$1960,0)))</f>
        <v/>
      </c>
      <c r="L1374" s="9">
        <f>IF(ISNA(MATCH(1365,'Transfer Engine'!$C$2:$C$1960,0)),"",INDEX('Compliance Database'!$L$2:$L$1960,MATCH(1365,'Transfer Engine'!$C$2:$C$1960,0)))</f>
        <v/>
      </c>
      <c r="M1374" s="9">
        <f>IF(ISNA(MATCH(1365,'Transfer Engine'!$C$2:$C$1960,0)),"",INDEX('Compliance Database'!$M$2:$M$1960,MATCH(1365,'Transfer Engine'!$C$2:$C$1960,0)))</f>
        <v/>
      </c>
      <c r="N1374" s="9">
        <f>IF(ISNA(MATCH(1365,'Transfer Engine'!$C$2:$C$1960,0)),"",INDEX('Compliance Database'!$N$2:$N$1960,MATCH(1365,'Transfer Engine'!$C$2:$C$1960,0)))</f>
        <v/>
      </c>
      <c r="O1374" s="9">
        <f>IF(ISNA(MATCH(1365,'Transfer Engine'!$C$2:$C$1960,0)),"",INDEX('Compliance Database'!$O$2:$O$1960,MATCH(1365,'Transfer Engine'!$C$2:$C$1960,0)))</f>
        <v/>
      </c>
      <c r="P1374" s="8">
        <f>IF(ISNA(MATCH(1365,'Transfer Engine'!$C$2:$C$1960,0)),"",HYPERLINK("#Acts!A"&amp;INDEX('Compliance Database'!$P$2:$P$1960,MATCH(1365,'Transfer Engine'!$C$2:$C$1960,0)),"Go to Act"))</f>
        <v/>
      </c>
    </row>
    <row r="1375" ht="158" customHeight="1">
      <c r="A1375" s="8">
        <f>IF(ISNA(MATCH(1366,'Transfer Engine'!$C$2:$C$1960,0)),"",INDEX('Compliance Database'!$A$2:$A$1960,MATCH(1366,'Transfer Engine'!$C$2:$C$1960,0)))</f>
        <v/>
      </c>
      <c r="B1375" s="8">
        <f>IF(ISNA(MATCH(1366,'Transfer Engine'!$C$2:$C$1960,0)),"",INDEX('Compliance Database'!$B$2:$B$1960,MATCH(1366,'Transfer Engine'!$C$2:$C$1960,0)))</f>
        <v/>
      </c>
      <c r="C1375" s="8">
        <f>IF(ISNA(MATCH(1366,'Transfer Engine'!$C$2:$C$1960,0)),"",INDEX('Compliance Database'!$C$2:$C$1960,MATCH(1366,'Transfer Engine'!$C$2:$C$1960,0)))</f>
        <v/>
      </c>
      <c r="D1375" s="9">
        <f>IF(ISNA(MATCH(1366,'Transfer Engine'!$C$2:$C$1960,0)),"",INDEX('Compliance Database'!$D$2:$D$1960,MATCH(1366,'Transfer Engine'!$C$2:$C$1960,0)))</f>
        <v/>
      </c>
      <c r="E1375" s="8">
        <f>IF(ISNA(MATCH(1366,'Transfer Engine'!$C$2:$C$1960,0)),"",INDEX('Compliance Database'!$E$2:$E$1960,MATCH(1366,'Transfer Engine'!$C$2:$C$1960,0)))</f>
        <v/>
      </c>
      <c r="F1375" s="8">
        <f>IF(ISNA(MATCH(1366,'Transfer Engine'!$C$2:$C$1960,0)),"",INDEX('Compliance Database'!$F$2:$F$1960,MATCH(1366,'Transfer Engine'!$C$2:$C$1960,0)))</f>
        <v/>
      </c>
      <c r="G1375" s="8">
        <f>IF(ISNA(MATCH(1366,'Transfer Engine'!$C$2:$C$1960,0)),"",INDEX('Compliance Database'!$G$2:$G$1960,MATCH(1366,'Transfer Engine'!$C$2:$C$1960,0)))</f>
        <v/>
      </c>
      <c r="H1375" s="9">
        <f>IF(ISNA(MATCH(1366,'Transfer Engine'!$C$2:$C$1960,0)),"",INDEX('Compliance Database'!$H$2:$H$1960,MATCH(1366,'Transfer Engine'!$C$2:$C$1960,0)))</f>
        <v/>
      </c>
      <c r="I1375" s="9">
        <f>IF(ISNA(MATCH(1366,'Transfer Engine'!$C$2:$C$1960,0)),"",INDEX('Compliance Database'!$I$2:$I$1960,MATCH(1366,'Transfer Engine'!$C$2:$C$1960,0)))</f>
        <v/>
      </c>
      <c r="J1375" s="8">
        <f>IF(ISNA(MATCH(1366,'Transfer Engine'!$C$2:$C$1960,0)),"",INDEX('Compliance Database'!$J$2:$J$1960,MATCH(1366,'Transfer Engine'!$C$2:$C$1960,0)))</f>
        <v/>
      </c>
      <c r="K1375" s="9">
        <f>IF(ISNA(MATCH(1366,'Transfer Engine'!$C$2:$C$1960,0)),"",INDEX('Compliance Database'!$K$2:$K$1960,MATCH(1366,'Transfer Engine'!$C$2:$C$1960,0)))</f>
        <v/>
      </c>
      <c r="L1375" s="9">
        <f>IF(ISNA(MATCH(1366,'Transfer Engine'!$C$2:$C$1960,0)),"",INDEX('Compliance Database'!$L$2:$L$1960,MATCH(1366,'Transfer Engine'!$C$2:$C$1960,0)))</f>
        <v/>
      </c>
      <c r="M1375" s="9">
        <f>IF(ISNA(MATCH(1366,'Transfer Engine'!$C$2:$C$1960,0)),"",INDEX('Compliance Database'!$M$2:$M$1960,MATCH(1366,'Transfer Engine'!$C$2:$C$1960,0)))</f>
        <v/>
      </c>
      <c r="N1375" s="9">
        <f>IF(ISNA(MATCH(1366,'Transfer Engine'!$C$2:$C$1960,0)),"",INDEX('Compliance Database'!$N$2:$N$1960,MATCH(1366,'Transfer Engine'!$C$2:$C$1960,0)))</f>
        <v/>
      </c>
      <c r="O1375" s="9">
        <f>IF(ISNA(MATCH(1366,'Transfer Engine'!$C$2:$C$1960,0)),"",INDEX('Compliance Database'!$O$2:$O$1960,MATCH(1366,'Transfer Engine'!$C$2:$C$1960,0)))</f>
        <v/>
      </c>
      <c r="P1375" s="8">
        <f>IF(ISNA(MATCH(1366,'Transfer Engine'!$C$2:$C$1960,0)),"",HYPERLINK("#Acts!A"&amp;INDEX('Compliance Database'!$P$2:$P$1960,MATCH(1366,'Transfer Engine'!$C$2:$C$1960,0)),"Go to Act"))</f>
        <v/>
      </c>
    </row>
    <row r="1376" ht="158" customHeight="1">
      <c r="A1376" s="8">
        <f>IF(ISNA(MATCH(1367,'Transfer Engine'!$C$2:$C$1960,0)),"",INDEX('Compliance Database'!$A$2:$A$1960,MATCH(1367,'Transfer Engine'!$C$2:$C$1960,0)))</f>
        <v/>
      </c>
      <c r="B1376" s="8">
        <f>IF(ISNA(MATCH(1367,'Transfer Engine'!$C$2:$C$1960,0)),"",INDEX('Compliance Database'!$B$2:$B$1960,MATCH(1367,'Transfer Engine'!$C$2:$C$1960,0)))</f>
        <v/>
      </c>
      <c r="C1376" s="8">
        <f>IF(ISNA(MATCH(1367,'Transfer Engine'!$C$2:$C$1960,0)),"",INDEX('Compliance Database'!$C$2:$C$1960,MATCH(1367,'Transfer Engine'!$C$2:$C$1960,0)))</f>
        <v/>
      </c>
      <c r="D1376" s="9">
        <f>IF(ISNA(MATCH(1367,'Transfer Engine'!$C$2:$C$1960,0)),"",INDEX('Compliance Database'!$D$2:$D$1960,MATCH(1367,'Transfer Engine'!$C$2:$C$1960,0)))</f>
        <v/>
      </c>
      <c r="E1376" s="8">
        <f>IF(ISNA(MATCH(1367,'Transfer Engine'!$C$2:$C$1960,0)),"",INDEX('Compliance Database'!$E$2:$E$1960,MATCH(1367,'Transfer Engine'!$C$2:$C$1960,0)))</f>
        <v/>
      </c>
      <c r="F1376" s="8">
        <f>IF(ISNA(MATCH(1367,'Transfer Engine'!$C$2:$C$1960,0)),"",INDEX('Compliance Database'!$F$2:$F$1960,MATCH(1367,'Transfer Engine'!$C$2:$C$1960,0)))</f>
        <v/>
      </c>
      <c r="G1376" s="8">
        <f>IF(ISNA(MATCH(1367,'Transfer Engine'!$C$2:$C$1960,0)),"",INDEX('Compliance Database'!$G$2:$G$1960,MATCH(1367,'Transfer Engine'!$C$2:$C$1960,0)))</f>
        <v/>
      </c>
      <c r="H1376" s="9">
        <f>IF(ISNA(MATCH(1367,'Transfer Engine'!$C$2:$C$1960,0)),"",INDEX('Compliance Database'!$H$2:$H$1960,MATCH(1367,'Transfer Engine'!$C$2:$C$1960,0)))</f>
        <v/>
      </c>
      <c r="I1376" s="9">
        <f>IF(ISNA(MATCH(1367,'Transfer Engine'!$C$2:$C$1960,0)),"",INDEX('Compliance Database'!$I$2:$I$1960,MATCH(1367,'Transfer Engine'!$C$2:$C$1960,0)))</f>
        <v/>
      </c>
      <c r="J1376" s="8">
        <f>IF(ISNA(MATCH(1367,'Transfer Engine'!$C$2:$C$1960,0)),"",INDEX('Compliance Database'!$J$2:$J$1960,MATCH(1367,'Transfer Engine'!$C$2:$C$1960,0)))</f>
        <v/>
      </c>
      <c r="K1376" s="9">
        <f>IF(ISNA(MATCH(1367,'Transfer Engine'!$C$2:$C$1960,0)),"",INDEX('Compliance Database'!$K$2:$K$1960,MATCH(1367,'Transfer Engine'!$C$2:$C$1960,0)))</f>
        <v/>
      </c>
      <c r="L1376" s="9">
        <f>IF(ISNA(MATCH(1367,'Transfer Engine'!$C$2:$C$1960,0)),"",INDEX('Compliance Database'!$L$2:$L$1960,MATCH(1367,'Transfer Engine'!$C$2:$C$1960,0)))</f>
        <v/>
      </c>
      <c r="M1376" s="9">
        <f>IF(ISNA(MATCH(1367,'Transfer Engine'!$C$2:$C$1960,0)),"",INDEX('Compliance Database'!$M$2:$M$1960,MATCH(1367,'Transfer Engine'!$C$2:$C$1960,0)))</f>
        <v/>
      </c>
      <c r="N1376" s="9">
        <f>IF(ISNA(MATCH(1367,'Transfer Engine'!$C$2:$C$1960,0)),"",INDEX('Compliance Database'!$N$2:$N$1960,MATCH(1367,'Transfer Engine'!$C$2:$C$1960,0)))</f>
        <v/>
      </c>
      <c r="O1376" s="9">
        <f>IF(ISNA(MATCH(1367,'Transfer Engine'!$C$2:$C$1960,0)),"",INDEX('Compliance Database'!$O$2:$O$1960,MATCH(1367,'Transfer Engine'!$C$2:$C$1960,0)))</f>
        <v/>
      </c>
      <c r="P1376" s="8">
        <f>IF(ISNA(MATCH(1367,'Transfer Engine'!$C$2:$C$1960,0)),"",HYPERLINK("#Acts!A"&amp;INDEX('Compliance Database'!$P$2:$P$1960,MATCH(1367,'Transfer Engine'!$C$2:$C$1960,0)),"Go to Act"))</f>
        <v/>
      </c>
    </row>
    <row r="1377" ht="158" customHeight="1">
      <c r="A1377" s="8">
        <f>IF(ISNA(MATCH(1368,'Transfer Engine'!$C$2:$C$1960,0)),"",INDEX('Compliance Database'!$A$2:$A$1960,MATCH(1368,'Transfer Engine'!$C$2:$C$1960,0)))</f>
        <v/>
      </c>
      <c r="B1377" s="8">
        <f>IF(ISNA(MATCH(1368,'Transfer Engine'!$C$2:$C$1960,0)),"",INDEX('Compliance Database'!$B$2:$B$1960,MATCH(1368,'Transfer Engine'!$C$2:$C$1960,0)))</f>
        <v/>
      </c>
      <c r="C1377" s="8">
        <f>IF(ISNA(MATCH(1368,'Transfer Engine'!$C$2:$C$1960,0)),"",INDEX('Compliance Database'!$C$2:$C$1960,MATCH(1368,'Transfer Engine'!$C$2:$C$1960,0)))</f>
        <v/>
      </c>
      <c r="D1377" s="9">
        <f>IF(ISNA(MATCH(1368,'Transfer Engine'!$C$2:$C$1960,0)),"",INDEX('Compliance Database'!$D$2:$D$1960,MATCH(1368,'Transfer Engine'!$C$2:$C$1960,0)))</f>
        <v/>
      </c>
      <c r="E1377" s="8">
        <f>IF(ISNA(MATCH(1368,'Transfer Engine'!$C$2:$C$1960,0)),"",INDEX('Compliance Database'!$E$2:$E$1960,MATCH(1368,'Transfer Engine'!$C$2:$C$1960,0)))</f>
        <v/>
      </c>
      <c r="F1377" s="8">
        <f>IF(ISNA(MATCH(1368,'Transfer Engine'!$C$2:$C$1960,0)),"",INDEX('Compliance Database'!$F$2:$F$1960,MATCH(1368,'Transfer Engine'!$C$2:$C$1960,0)))</f>
        <v/>
      </c>
      <c r="G1377" s="8">
        <f>IF(ISNA(MATCH(1368,'Transfer Engine'!$C$2:$C$1960,0)),"",INDEX('Compliance Database'!$G$2:$G$1960,MATCH(1368,'Transfer Engine'!$C$2:$C$1960,0)))</f>
        <v/>
      </c>
      <c r="H1377" s="9">
        <f>IF(ISNA(MATCH(1368,'Transfer Engine'!$C$2:$C$1960,0)),"",INDEX('Compliance Database'!$H$2:$H$1960,MATCH(1368,'Transfer Engine'!$C$2:$C$1960,0)))</f>
        <v/>
      </c>
      <c r="I1377" s="9">
        <f>IF(ISNA(MATCH(1368,'Transfer Engine'!$C$2:$C$1960,0)),"",INDEX('Compliance Database'!$I$2:$I$1960,MATCH(1368,'Transfer Engine'!$C$2:$C$1960,0)))</f>
        <v/>
      </c>
      <c r="J1377" s="8">
        <f>IF(ISNA(MATCH(1368,'Transfer Engine'!$C$2:$C$1960,0)),"",INDEX('Compliance Database'!$J$2:$J$1960,MATCH(1368,'Transfer Engine'!$C$2:$C$1960,0)))</f>
        <v/>
      </c>
      <c r="K1377" s="9">
        <f>IF(ISNA(MATCH(1368,'Transfer Engine'!$C$2:$C$1960,0)),"",INDEX('Compliance Database'!$K$2:$K$1960,MATCH(1368,'Transfer Engine'!$C$2:$C$1960,0)))</f>
        <v/>
      </c>
      <c r="L1377" s="9">
        <f>IF(ISNA(MATCH(1368,'Transfer Engine'!$C$2:$C$1960,0)),"",INDEX('Compliance Database'!$L$2:$L$1960,MATCH(1368,'Transfer Engine'!$C$2:$C$1960,0)))</f>
        <v/>
      </c>
      <c r="M1377" s="9">
        <f>IF(ISNA(MATCH(1368,'Transfer Engine'!$C$2:$C$1960,0)),"",INDEX('Compliance Database'!$M$2:$M$1960,MATCH(1368,'Transfer Engine'!$C$2:$C$1960,0)))</f>
        <v/>
      </c>
      <c r="N1377" s="9">
        <f>IF(ISNA(MATCH(1368,'Transfer Engine'!$C$2:$C$1960,0)),"",INDEX('Compliance Database'!$N$2:$N$1960,MATCH(1368,'Transfer Engine'!$C$2:$C$1960,0)))</f>
        <v/>
      </c>
      <c r="O1377" s="9">
        <f>IF(ISNA(MATCH(1368,'Transfer Engine'!$C$2:$C$1960,0)),"",INDEX('Compliance Database'!$O$2:$O$1960,MATCH(1368,'Transfer Engine'!$C$2:$C$1960,0)))</f>
        <v/>
      </c>
      <c r="P1377" s="8">
        <f>IF(ISNA(MATCH(1368,'Transfer Engine'!$C$2:$C$1960,0)),"",HYPERLINK("#Acts!A"&amp;INDEX('Compliance Database'!$P$2:$P$1960,MATCH(1368,'Transfer Engine'!$C$2:$C$1960,0)),"Go to Act"))</f>
        <v/>
      </c>
    </row>
    <row r="1378" ht="158" customHeight="1">
      <c r="A1378" s="8">
        <f>IF(ISNA(MATCH(1369,'Transfer Engine'!$C$2:$C$1960,0)),"",INDEX('Compliance Database'!$A$2:$A$1960,MATCH(1369,'Transfer Engine'!$C$2:$C$1960,0)))</f>
        <v/>
      </c>
      <c r="B1378" s="8">
        <f>IF(ISNA(MATCH(1369,'Transfer Engine'!$C$2:$C$1960,0)),"",INDEX('Compliance Database'!$B$2:$B$1960,MATCH(1369,'Transfer Engine'!$C$2:$C$1960,0)))</f>
        <v/>
      </c>
      <c r="C1378" s="8">
        <f>IF(ISNA(MATCH(1369,'Transfer Engine'!$C$2:$C$1960,0)),"",INDEX('Compliance Database'!$C$2:$C$1960,MATCH(1369,'Transfer Engine'!$C$2:$C$1960,0)))</f>
        <v/>
      </c>
      <c r="D1378" s="9">
        <f>IF(ISNA(MATCH(1369,'Transfer Engine'!$C$2:$C$1960,0)),"",INDEX('Compliance Database'!$D$2:$D$1960,MATCH(1369,'Transfer Engine'!$C$2:$C$1960,0)))</f>
        <v/>
      </c>
      <c r="E1378" s="8">
        <f>IF(ISNA(MATCH(1369,'Transfer Engine'!$C$2:$C$1960,0)),"",INDEX('Compliance Database'!$E$2:$E$1960,MATCH(1369,'Transfer Engine'!$C$2:$C$1960,0)))</f>
        <v/>
      </c>
      <c r="F1378" s="8">
        <f>IF(ISNA(MATCH(1369,'Transfer Engine'!$C$2:$C$1960,0)),"",INDEX('Compliance Database'!$F$2:$F$1960,MATCH(1369,'Transfer Engine'!$C$2:$C$1960,0)))</f>
        <v/>
      </c>
      <c r="G1378" s="8">
        <f>IF(ISNA(MATCH(1369,'Transfer Engine'!$C$2:$C$1960,0)),"",INDEX('Compliance Database'!$G$2:$G$1960,MATCH(1369,'Transfer Engine'!$C$2:$C$1960,0)))</f>
        <v/>
      </c>
      <c r="H1378" s="9">
        <f>IF(ISNA(MATCH(1369,'Transfer Engine'!$C$2:$C$1960,0)),"",INDEX('Compliance Database'!$H$2:$H$1960,MATCH(1369,'Transfer Engine'!$C$2:$C$1960,0)))</f>
        <v/>
      </c>
      <c r="I1378" s="9">
        <f>IF(ISNA(MATCH(1369,'Transfer Engine'!$C$2:$C$1960,0)),"",INDEX('Compliance Database'!$I$2:$I$1960,MATCH(1369,'Transfer Engine'!$C$2:$C$1960,0)))</f>
        <v/>
      </c>
      <c r="J1378" s="8">
        <f>IF(ISNA(MATCH(1369,'Transfer Engine'!$C$2:$C$1960,0)),"",INDEX('Compliance Database'!$J$2:$J$1960,MATCH(1369,'Transfer Engine'!$C$2:$C$1960,0)))</f>
        <v/>
      </c>
      <c r="K1378" s="9">
        <f>IF(ISNA(MATCH(1369,'Transfer Engine'!$C$2:$C$1960,0)),"",INDEX('Compliance Database'!$K$2:$K$1960,MATCH(1369,'Transfer Engine'!$C$2:$C$1960,0)))</f>
        <v/>
      </c>
      <c r="L1378" s="9">
        <f>IF(ISNA(MATCH(1369,'Transfer Engine'!$C$2:$C$1960,0)),"",INDEX('Compliance Database'!$L$2:$L$1960,MATCH(1369,'Transfer Engine'!$C$2:$C$1960,0)))</f>
        <v/>
      </c>
      <c r="M1378" s="9">
        <f>IF(ISNA(MATCH(1369,'Transfer Engine'!$C$2:$C$1960,0)),"",INDEX('Compliance Database'!$M$2:$M$1960,MATCH(1369,'Transfer Engine'!$C$2:$C$1960,0)))</f>
        <v/>
      </c>
      <c r="N1378" s="9">
        <f>IF(ISNA(MATCH(1369,'Transfer Engine'!$C$2:$C$1960,0)),"",INDEX('Compliance Database'!$N$2:$N$1960,MATCH(1369,'Transfer Engine'!$C$2:$C$1960,0)))</f>
        <v/>
      </c>
      <c r="O1378" s="9">
        <f>IF(ISNA(MATCH(1369,'Transfer Engine'!$C$2:$C$1960,0)),"",INDEX('Compliance Database'!$O$2:$O$1960,MATCH(1369,'Transfer Engine'!$C$2:$C$1960,0)))</f>
        <v/>
      </c>
      <c r="P1378" s="8">
        <f>IF(ISNA(MATCH(1369,'Transfer Engine'!$C$2:$C$1960,0)),"",HYPERLINK("#Acts!A"&amp;INDEX('Compliance Database'!$P$2:$P$1960,MATCH(1369,'Transfer Engine'!$C$2:$C$1960,0)),"Go to Act"))</f>
        <v/>
      </c>
    </row>
    <row r="1379" ht="158" customHeight="1">
      <c r="A1379" s="8">
        <f>IF(ISNA(MATCH(1370,'Transfer Engine'!$C$2:$C$1960,0)),"",INDEX('Compliance Database'!$A$2:$A$1960,MATCH(1370,'Transfer Engine'!$C$2:$C$1960,0)))</f>
        <v/>
      </c>
      <c r="B1379" s="8">
        <f>IF(ISNA(MATCH(1370,'Transfer Engine'!$C$2:$C$1960,0)),"",INDEX('Compliance Database'!$B$2:$B$1960,MATCH(1370,'Transfer Engine'!$C$2:$C$1960,0)))</f>
        <v/>
      </c>
      <c r="C1379" s="8">
        <f>IF(ISNA(MATCH(1370,'Transfer Engine'!$C$2:$C$1960,0)),"",INDEX('Compliance Database'!$C$2:$C$1960,MATCH(1370,'Transfer Engine'!$C$2:$C$1960,0)))</f>
        <v/>
      </c>
      <c r="D1379" s="9">
        <f>IF(ISNA(MATCH(1370,'Transfer Engine'!$C$2:$C$1960,0)),"",INDEX('Compliance Database'!$D$2:$D$1960,MATCH(1370,'Transfer Engine'!$C$2:$C$1960,0)))</f>
        <v/>
      </c>
      <c r="E1379" s="8">
        <f>IF(ISNA(MATCH(1370,'Transfer Engine'!$C$2:$C$1960,0)),"",INDEX('Compliance Database'!$E$2:$E$1960,MATCH(1370,'Transfer Engine'!$C$2:$C$1960,0)))</f>
        <v/>
      </c>
      <c r="F1379" s="8">
        <f>IF(ISNA(MATCH(1370,'Transfer Engine'!$C$2:$C$1960,0)),"",INDEX('Compliance Database'!$F$2:$F$1960,MATCH(1370,'Transfer Engine'!$C$2:$C$1960,0)))</f>
        <v/>
      </c>
      <c r="G1379" s="8">
        <f>IF(ISNA(MATCH(1370,'Transfer Engine'!$C$2:$C$1960,0)),"",INDEX('Compliance Database'!$G$2:$G$1960,MATCH(1370,'Transfer Engine'!$C$2:$C$1960,0)))</f>
        <v/>
      </c>
      <c r="H1379" s="9">
        <f>IF(ISNA(MATCH(1370,'Transfer Engine'!$C$2:$C$1960,0)),"",INDEX('Compliance Database'!$H$2:$H$1960,MATCH(1370,'Transfer Engine'!$C$2:$C$1960,0)))</f>
        <v/>
      </c>
      <c r="I1379" s="9">
        <f>IF(ISNA(MATCH(1370,'Transfer Engine'!$C$2:$C$1960,0)),"",INDEX('Compliance Database'!$I$2:$I$1960,MATCH(1370,'Transfer Engine'!$C$2:$C$1960,0)))</f>
        <v/>
      </c>
      <c r="J1379" s="8">
        <f>IF(ISNA(MATCH(1370,'Transfer Engine'!$C$2:$C$1960,0)),"",INDEX('Compliance Database'!$J$2:$J$1960,MATCH(1370,'Transfer Engine'!$C$2:$C$1960,0)))</f>
        <v/>
      </c>
      <c r="K1379" s="9">
        <f>IF(ISNA(MATCH(1370,'Transfer Engine'!$C$2:$C$1960,0)),"",INDEX('Compliance Database'!$K$2:$K$1960,MATCH(1370,'Transfer Engine'!$C$2:$C$1960,0)))</f>
        <v/>
      </c>
      <c r="L1379" s="9">
        <f>IF(ISNA(MATCH(1370,'Transfer Engine'!$C$2:$C$1960,0)),"",INDEX('Compliance Database'!$L$2:$L$1960,MATCH(1370,'Transfer Engine'!$C$2:$C$1960,0)))</f>
        <v/>
      </c>
      <c r="M1379" s="9">
        <f>IF(ISNA(MATCH(1370,'Transfer Engine'!$C$2:$C$1960,0)),"",INDEX('Compliance Database'!$M$2:$M$1960,MATCH(1370,'Transfer Engine'!$C$2:$C$1960,0)))</f>
        <v/>
      </c>
      <c r="N1379" s="9">
        <f>IF(ISNA(MATCH(1370,'Transfer Engine'!$C$2:$C$1960,0)),"",INDEX('Compliance Database'!$N$2:$N$1960,MATCH(1370,'Transfer Engine'!$C$2:$C$1960,0)))</f>
        <v/>
      </c>
      <c r="O1379" s="9">
        <f>IF(ISNA(MATCH(1370,'Transfer Engine'!$C$2:$C$1960,0)),"",INDEX('Compliance Database'!$O$2:$O$1960,MATCH(1370,'Transfer Engine'!$C$2:$C$1960,0)))</f>
        <v/>
      </c>
      <c r="P1379" s="8">
        <f>IF(ISNA(MATCH(1370,'Transfer Engine'!$C$2:$C$1960,0)),"",HYPERLINK("#Acts!A"&amp;INDEX('Compliance Database'!$P$2:$P$1960,MATCH(1370,'Transfer Engine'!$C$2:$C$1960,0)),"Go to Act"))</f>
        <v/>
      </c>
    </row>
    <row r="1380" ht="158" customHeight="1">
      <c r="A1380" s="8">
        <f>IF(ISNA(MATCH(1371,'Transfer Engine'!$C$2:$C$1960,0)),"",INDEX('Compliance Database'!$A$2:$A$1960,MATCH(1371,'Transfer Engine'!$C$2:$C$1960,0)))</f>
        <v/>
      </c>
      <c r="B1380" s="8">
        <f>IF(ISNA(MATCH(1371,'Transfer Engine'!$C$2:$C$1960,0)),"",INDEX('Compliance Database'!$B$2:$B$1960,MATCH(1371,'Transfer Engine'!$C$2:$C$1960,0)))</f>
        <v/>
      </c>
      <c r="C1380" s="8">
        <f>IF(ISNA(MATCH(1371,'Transfer Engine'!$C$2:$C$1960,0)),"",INDEX('Compliance Database'!$C$2:$C$1960,MATCH(1371,'Transfer Engine'!$C$2:$C$1960,0)))</f>
        <v/>
      </c>
      <c r="D1380" s="9">
        <f>IF(ISNA(MATCH(1371,'Transfer Engine'!$C$2:$C$1960,0)),"",INDEX('Compliance Database'!$D$2:$D$1960,MATCH(1371,'Transfer Engine'!$C$2:$C$1960,0)))</f>
        <v/>
      </c>
      <c r="E1380" s="8">
        <f>IF(ISNA(MATCH(1371,'Transfer Engine'!$C$2:$C$1960,0)),"",INDEX('Compliance Database'!$E$2:$E$1960,MATCH(1371,'Transfer Engine'!$C$2:$C$1960,0)))</f>
        <v/>
      </c>
      <c r="F1380" s="8">
        <f>IF(ISNA(MATCH(1371,'Transfer Engine'!$C$2:$C$1960,0)),"",INDEX('Compliance Database'!$F$2:$F$1960,MATCH(1371,'Transfer Engine'!$C$2:$C$1960,0)))</f>
        <v/>
      </c>
      <c r="G1380" s="8">
        <f>IF(ISNA(MATCH(1371,'Transfer Engine'!$C$2:$C$1960,0)),"",INDEX('Compliance Database'!$G$2:$G$1960,MATCH(1371,'Transfer Engine'!$C$2:$C$1960,0)))</f>
        <v/>
      </c>
      <c r="H1380" s="9">
        <f>IF(ISNA(MATCH(1371,'Transfer Engine'!$C$2:$C$1960,0)),"",INDEX('Compliance Database'!$H$2:$H$1960,MATCH(1371,'Transfer Engine'!$C$2:$C$1960,0)))</f>
        <v/>
      </c>
      <c r="I1380" s="9">
        <f>IF(ISNA(MATCH(1371,'Transfer Engine'!$C$2:$C$1960,0)),"",INDEX('Compliance Database'!$I$2:$I$1960,MATCH(1371,'Transfer Engine'!$C$2:$C$1960,0)))</f>
        <v/>
      </c>
      <c r="J1380" s="8">
        <f>IF(ISNA(MATCH(1371,'Transfer Engine'!$C$2:$C$1960,0)),"",INDEX('Compliance Database'!$J$2:$J$1960,MATCH(1371,'Transfer Engine'!$C$2:$C$1960,0)))</f>
        <v/>
      </c>
      <c r="K1380" s="9">
        <f>IF(ISNA(MATCH(1371,'Transfer Engine'!$C$2:$C$1960,0)),"",INDEX('Compliance Database'!$K$2:$K$1960,MATCH(1371,'Transfer Engine'!$C$2:$C$1960,0)))</f>
        <v/>
      </c>
      <c r="L1380" s="9">
        <f>IF(ISNA(MATCH(1371,'Transfer Engine'!$C$2:$C$1960,0)),"",INDEX('Compliance Database'!$L$2:$L$1960,MATCH(1371,'Transfer Engine'!$C$2:$C$1960,0)))</f>
        <v/>
      </c>
      <c r="M1380" s="9">
        <f>IF(ISNA(MATCH(1371,'Transfer Engine'!$C$2:$C$1960,0)),"",INDEX('Compliance Database'!$M$2:$M$1960,MATCH(1371,'Transfer Engine'!$C$2:$C$1960,0)))</f>
        <v/>
      </c>
      <c r="N1380" s="9">
        <f>IF(ISNA(MATCH(1371,'Transfer Engine'!$C$2:$C$1960,0)),"",INDEX('Compliance Database'!$N$2:$N$1960,MATCH(1371,'Transfer Engine'!$C$2:$C$1960,0)))</f>
        <v/>
      </c>
      <c r="O1380" s="9">
        <f>IF(ISNA(MATCH(1371,'Transfer Engine'!$C$2:$C$1960,0)),"",INDEX('Compliance Database'!$O$2:$O$1960,MATCH(1371,'Transfer Engine'!$C$2:$C$1960,0)))</f>
        <v/>
      </c>
      <c r="P1380" s="8">
        <f>IF(ISNA(MATCH(1371,'Transfer Engine'!$C$2:$C$1960,0)),"",HYPERLINK("#Acts!A"&amp;INDEX('Compliance Database'!$P$2:$P$1960,MATCH(1371,'Transfer Engine'!$C$2:$C$1960,0)),"Go to Act"))</f>
        <v/>
      </c>
    </row>
    <row r="1381" ht="158" customHeight="1">
      <c r="A1381" s="8">
        <f>IF(ISNA(MATCH(1372,'Transfer Engine'!$C$2:$C$1960,0)),"",INDEX('Compliance Database'!$A$2:$A$1960,MATCH(1372,'Transfer Engine'!$C$2:$C$1960,0)))</f>
        <v/>
      </c>
      <c r="B1381" s="8">
        <f>IF(ISNA(MATCH(1372,'Transfer Engine'!$C$2:$C$1960,0)),"",INDEX('Compliance Database'!$B$2:$B$1960,MATCH(1372,'Transfer Engine'!$C$2:$C$1960,0)))</f>
        <v/>
      </c>
      <c r="C1381" s="8">
        <f>IF(ISNA(MATCH(1372,'Transfer Engine'!$C$2:$C$1960,0)),"",INDEX('Compliance Database'!$C$2:$C$1960,MATCH(1372,'Transfer Engine'!$C$2:$C$1960,0)))</f>
        <v/>
      </c>
      <c r="D1381" s="9">
        <f>IF(ISNA(MATCH(1372,'Transfer Engine'!$C$2:$C$1960,0)),"",INDEX('Compliance Database'!$D$2:$D$1960,MATCH(1372,'Transfer Engine'!$C$2:$C$1960,0)))</f>
        <v/>
      </c>
      <c r="E1381" s="8">
        <f>IF(ISNA(MATCH(1372,'Transfer Engine'!$C$2:$C$1960,0)),"",INDEX('Compliance Database'!$E$2:$E$1960,MATCH(1372,'Transfer Engine'!$C$2:$C$1960,0)))</f>
        <v/>
      </c>
      <c r="F1381" s="8">
        <f>IF(ISNA(MATCH(1372,'Transfer Engine'!$C$2:$C$1960,0)),"",INDEX('Compliance Database'!$F$2:$F$1960,MATCH(1372,'Transfer Engine'!$C$2:$C$1960,0)))</f>
        <v/>
      </c>
      <c r="G1381" s="8">
        <f>IF(ISNA(MATCH(1372,'Transfer Engine'!$C$2:$C$1960,0)),"",INDEX('Compliance Database'!$G$2:$G$1960,MATCH(1372,'Transfer Engine'!$C$2:$C$1960,0)))</f>
        <v/>
      </c>
      <c r="H1381" s="9">
        <f>IF(ISNA(MATCH(1372,'Transfer Engine'!$C$2:$C$1960,0)),"",INDEX('Compliance Database'!$H$2:$H$1960,MATCH(1372,'Transfer Engine'!$C$2:$C$1960,0)))</f>
        <v/>
      </c>
      <c r="I1381" s="9">
        <f>IF(ISNA(MATCH(1372,'Transfer Engine'!$C$2:$C$1960,0)),"",INDEX('Compliance Database'!$I$2:$I$1960,MATCH(1372,'Transfer Engine'!$C$2:$C$1960,0)))</f>
        <v/>
      </c>
      <c r="J1381" s="8">
        <f>IF(ISNA(MATCH(1372,'Transfer Engine'!$C$2:$C$1960,0)),"",INDEX('Compliance Database'!$J$2:$J$1960,MATCH(1372,'Transfer Engine'!$C$2:$C$1960,0)))</f>
        <v/>
      </c>
      <c r="K1381" s="9">
        <f>IF(ISNA(MATCH(1372,'Transfer Engine'!$C$2:$C$1960,0)),"",INDEX('Compliance Database'!$K$2:$K$1960,MATCH(1372,'Transfer Engine'!$C$2:$C$1960,0)))</f>
        <v/>
      </c>
      <c r="L1381" s="9">
        <f>IF(ISNA(MATCH(1372,'Transfer Engine'!$C$2:$C$1960,0)),"",INDEX('Compliance Database'!$L$2:$L$1960,MATCH(1372,'Transfer Engine'!$C$2:$C$1960,0)))</f>
        <v/>
      </c>
      <c r="M1381" s="9">
        <f>IF(ISNA(MATCH(1372,'Transfer Engine'!$C$2:$C$1960,0)),"",INDEX('Compliance Database'!$M$2:$M$1960,MATCH(1372,'Transfer Engine'!$C$2:$C$1960,0)))</f>
        <v/>
      </c>
      <c r="N1381" s="9">
        <f>IF(ISNA(MATCH(1372,'Transfer Engine'!$C$2:$C$1960,0)),"",INDEX('Compliance Database'!$N$2:$N$1960,MATCH(1372,'Transfer Engine'!$C$2:$C$1960,0)))</f>
        <v/>
      </c>
      <c r="O1381" s="9">
        <f>IF(ISNA(MATCH(1372,'Transfer Engine'!$C$2:$C$1960,0)),"",INDEX('Compliance Database'!$O$2:$O$1960,MATCH(1372,'Transfer Engine'!$C$2:$C$1960,0)))</f>
        <v/>
      </c>
      <c r="P1381" s="8">
        <f>IF(ISNA(MATCH(1372,'Transfer Engine'!$C$2:$C$1960,0)),"",HYPERLINK("#Acts!A"&amp;INDEX('Compliance Database'!$P$2:$P$1960,MATCH(1372,'Transfer Engine'!$C$2:$C$1960,0)),"Go to Act"))</f>
        <v/>
      </c>
    </row>
    <row r="1382" ht="158" customHeight="1">
      <c r="A1382" s="8">
        <f>IF(ISNA(MATCH(1373,'Transfer Engine'!$C$2:$C$1960,0)),"",INDEX('Compliance Database'!$A$2:$A$1960,MATCH(1373,'Transfer Engine'!$C$2:$C$1960,0)))</f>
        <v/>
      </c>
      <c r="B1382" s="8">
        <f>IF(ISNA(MATCH(1373,'Transfer Engine'!$C$2:$C$1960,0)),"",INDEX('Compliance Database'!$B$2:$B$1960,MATCH(1373,'Transfer Engine'!$C$2:$C$1960,0)))</f>
        <v/>
      </c>
      <c r="C1382" s="8">
        <f>IF(ISNA(MATCH(1373,'Transfer Engine'!$C$2:$C$1960,0)),"",INDEX('Compliance Database'!$C$2:$C$1960,MATCH(1373,'Transfer Engine'!$C$2:$C$1960,0)))</f>
        <v/>
      </c>
      <c r="D1382" s="9">
        <f>IF(ISNA(MATCH(1373,'Transfer Engine'!$C$2:$C$1960,0)),"",INDEX('Compliance Database'!$D$2:$D$1960,MATCH(1373,'Transfer Engine'!$C$2:$C$1960,0)))</f>
        <v/>
      </c>
      <c r="E1382" s="8">
        <f>IF(ISNA(MATCH(1373,'Transfer Engine'!$C$2:$C$1960,0)),"",INDEX('Compliance Database'!$E$2:$E$1960,MATCH(1373,'Transfer Engine'!$C$2:$C$1960,0)))</f>
        <v/>
      </c>
      <c r="F1382" s="8">
        <f>IF(ISNA(MATCH(1373,'Transfer Engine'!$C$2:$C$1960,0)),"",INDEX('Compliance Database'!$F$2:$F$1960,MATCH(1373,'Transfer Engine'!$C$2:$C$1960,0)))</f>
        <v/>
      </c>
      <c r="G1382" s="8">
        <f>IF(ISNA(MATCH(1373,'Transfer Engine'!$C$2:$C$1960,0)),"",INDEX('Compliance Database'!$G$2:$G$1960,MATCH(1373,'Transfer Engine'!$C$2:$C$1960,0)))</f>
        <v/>
      </c>
      <c r="H1382" s="9">
        <f>IF(ISNA(MATCH(1373,'Transfer Engine'!$C$2:$C$1960,0)),"",INDEX('Compliance Database'!$H$2:$H$1960,MATCH(1373,'Transfer Engine'!$C$2:$C$1960,0)))</f>
        <v/>
      </c>
      <c r="I1382" s="9">
        <f>IF(ISNA(MATCH(1373,'Transfer Engine'!$C$2:$C$1960,0)),"",INDEX('Compliance Database'!$I$2:$I$1960,MATCH(1373,'Transfer Engine'!$C$2:$C$1960,0)))</f>
        <v/>
      </c>
      <c r="J1382" s="8">
        <f>IF(ISNA(MATCH(1373,'Transfer Engine'!$C$2:$C$1960,0)),"",INDEX('Compliance Database'!$J$2:$J$1960,MATCH(1373,'Transfer Engine'!$C$2:$C$1960,0)))</f>
        <v/>
      </c>
      <c r="K1382" s="9">
        <f>IF(ISNA(MATCH(1373,'Transfer Engine'!$C$2:$C$1960,0)),"",INDEX('Compliance Database'!$K$2:$K$1960,MATCH(1373,'Transfer Engine'!$C$2:$C$1960,0)))</f>
        <v/>
      </c>
      <c r="L1382" s="9">
        <f>IF(ISNA(MATCH(1373,'Transfer Engine'!$C$2:$C$1960,0)),"",INDEX('Compliance Database'!$L$2:$L$1960,MATCH(1373,'Transfer Engine'!$C$2:$C$1960,0)))</f>
        <v/>
      </c>
      <c r="M1382" s="9">
        <f>IF(ISNA(MATCH(1373,'Transfer Engine'!$C$2:$C$1960,0)),"",INDEX('Compliance Database'!$M$2:$M$1960,MATCH(1373,'Transfer Engine'!$C$2:$C$1960,0)))</f>
        <v/>
      </c>
      <c r="N1382" s="9">
        <f>IF(ISNA(MATCH(1373,'Transfer Engine'!$C$2:$C$1960,0)),"",INDEX('Compliance Database'!$N$2:$N$1960,MATCH(1373,'Transfer Engine'!$C$2:$C$1960,0)))</f>
        <v/>
      </c>
      <c r="O1382" s="9">
        <f>IF(ISNA(MATCH(1373,'Transfer Engine'!$C$2:$C$1960,0)),"",INDEX('Compliance Database'!$O$2:$O$1960,MATCH(1373,'Transfer Engine'!$C$2:$C$1960,0)))</f>
        <v/>
      </c>
      <c r="P1382" s="8">
        <f>IF(ISNA(MATCH(1373,'Transfer Engine'!$C$2:$C$1960,0)),"",HYPERLINK("#Acts!A"&amp;INDEX('Compliance Database'!$P$2:$P$1960,MATCH(1373,'Transfer Engine'!$C$2:$C$1960,0)),"Go to Act"))</f>
        <v/>
      </c>
    </row>
    <row r="1383" ht="158" customHeight="1">
      <c r="A1383" s="8">
        <f>IF(ISNA(MATCH(1374,'Transfer Engine'!$C$2:$C$1960,0)),"",INDEX('Compliance Database'!$A$2:$A$1960,MATCH(1374,'Transfer Engine'!$C$2:$C$1960,0)))</f>
        <v/>
      </c>
      <c r="B1383" s="8">
        <f>IF(ISNA(MATCH(1374,'Transfer Engine'!$C$2:$C$1960,0)),"",INDEX('Compliance Database'!$B$2:$B$1960,MATCH(1374,'Transfer Engine'!$C$2:$C$1960,0)))</f>
        <v/>
      </c>
      <c r="C1383" s="8">
        <f>IF(ISNA(MATCH(1374,'Transfer Engine'!$C$2:$C$1960,0)),"",INDEX('Compliance Database'!$C$2:$C$1960,MATCH(1374,'Transfer Engine'!$C$2:$C$1960,0)))</f>
        <v/>
      </c>
      <c r="D1383" s="9">
        <f>IF(ISNA(MATCH(1374,'Transfer Engine'!$C$2:$C$1960,0)),"",INDEX('Compliance Database'!$D$2:$D$1960,MATCH(1374,'Transfer Engine'!$C$2:$C$1960,0)))</f>
        <v/>
      </c>
      <c r="E1383" s="8">
        <f>IF(ISNA(MATCH(1374,'Transfer Engine'!$C$2:$C$1960,0)),"",INDEX('Compliance Database'!$E$2:$E$1960,MATCH(1374,'Transfer Engine'!$C$2:$C$1960,0)))</f>
        <v/>
      </c>
      <c r="F1383" s="8">
        <f>IF(ISNA(MATCH(1374,'Transfer Engine'!$C$2:$C$1960,0)),"",INDEX('Compliance Database'!$F$2:$F$1960,MATCH(1374,'Transfer Engine'!$C$2:$C$1960,0)))</f>
        <v/>
      </c>
      <c r="G1383" s="8">
        <f>IF(ISNA(MATCH(1374,'Transfer Engine'!$C$2:$C$1960,0)),"",INDEX('Compliance Database'!$G$2:$G$1960,MATCH(1374,'Transfer Engine'!$C$2:$C$1960,0)))</f>
        <v/>
      </c>
      <c r="H1383" s="9">
        <f>IF(ISNA(MATCH(1374,'Transfer Engine'!$C$2:$C$1960,0)),"",INDEX('Compliance Database'!$H$2:$H$1960,MATCH(1374,'Transfer Engine'!$C$2:$C$1960,0)))</f>
        <v/>
      </c>
      <c r="I1383" s="9">
        <f>IF(ISNA(MATCH(1374,'Transfer Engine'!$C$2:$C$1960,0)),"",INDEX('Compliance Database'!$I$2:$I$1960,MATCH(1374,'Transfer Engine'!$C$2:$C$1960,0)))</f>
        <v/>
      </c>
      <c r="J1383" s="8">
        <f>IF(ISNA(MATCH(1374,'Transfer Engine'!$C$2:$C$1960,0)),"",INDEX('Compliance Database'!$J$2:$J$1960,MATCH(1374,'Transfer Engine'!$C$2:$C$1960,0)))</f>
        <v/>
      </c>
      <c r="K1383" s="9">
        <f>IF(ISNA(MATCH(1374,'Transfer Engine'!$C$2:$C$1960,0)),"",INDEX('Compliance Database'!$K$2:$K$1960,MATCH(1374,'Transfer Engine'!$C$2:$C$1960,0)))</f>
        <v/>
      </c>
      <c r="L1383" s="9">
        <f>IF(ISNA(MATCH(1374,'Transfer Engine'!$C$2:$C$1960,0)),"",INDEX('Compliance Database'!$L$2:$L$1960,MATCH(1374,'Transfer Engine'!$C$2:$C$1960,0)))</f>
        <v/>
      </c>
      <c r="M1383" s="9">
        <f>IF(ISNA(MATCH(1374,'Transfer Engine'!$C$2:$C$1960,0)),"",INDEX('Compliance Database'!$M$2:$M$1960,MATCH(1374,'Transfer Engine'!$C$2:$C$1960,0)))</f>
        <v/>
      </c>
      <c r="N1383" s="9">
        <f>IF(ISNA(MATCH(1374,'Transfer Engine'!$C$2:$C$1960,0)),"",INDEX('Compliance Database'!$N$2:$N$1960,MATCH(1374,'Transfer Engine'!$C$2:$C$1960,0)))</f>
        <v/>
      </c>
      <c r="O1383" s="9">
        <f>IF(ISNA(MATCH(1374,'Transfer Engine'!$C$2:$C$1960,0)),"",INDEX('Compliance Database'!$O$2:$O$1960,MATCH(1374,'Transfer Engine'!$C$2:$C$1960,0)))</f>
        <v/>
      </c>
      <c r="P1383" s="8">
        <f>IF(ISNA(MATCH(1374,'Transfer Engine'!$C$2:$C$1960,0)),"",HYPERLINK("#Acts!A"&amp;INDEX('Compliance Database'!$P$2:$P$1960,MATCH(1374,'Transfer Engine'!$C$2:$C$1960,0)),"Go to Act"))</f>
        <v/>
      </c>
    </row>
    <row r="1384" ht="158" customHeight="1">
      <c r="A1384" s="8">
        <f>IF(ISNA(MATCH(1375,'Transfer Engine'!$C$2:$C$1960,0)),"",INDEX('Compliance Database'!$A$2:$A$1960,MATCH(1375,'Transfer Engine'!$C$2:$C$1960,0)))</f>
        <v/>
      </c>
      <c r="B1384" s="8">
        <f>IF(ISNA(MATCH(1375,'Transfer Engine'!$C$2:$C$1960,0)),"",INDEX('Compliance Database'!$B$2:$B$1960,MATCH(1375,'Transfer Engine'!$C$2:$C$1960,0)))</f>
        <v/>
      </c>
      <c r="C1384" s="8">
        <f>IF(ISNA(MATCH(1375,'Transfer Engine'!$C$2:$C$1960,0)),"",INDEX('Compliance Database'!$C$2:$C$1960,MATCH(1375,'Transfer Engine'!$C$2:$C$1960,0)))</f>
        <v/>
      </c>
      <c r="D1384" s="9">
        <f>IF(ISNA(MATCH(1375,'Transfer Engine'!$C$2:$C$1960,0)),"",INDEX('Compliance Database'!$D$2:$D$1960,MATCH(1375,'Transfer Engine'!$C$2:$C$1960,0)))</f>
        <v/>
      </c>
      <c r="E1384" s="8">
        <f>IF(ISNA(MATCH(1375,'Transfer Engine'!$C$2:$C$1960,0)),"",INDEX('Compliance Database'!$E$2:$E$1960,MATCH(1375,'Transfer Engine'!$C$2:$C$1960,0)))</f>
        <v/>
      </c>
      <c r="F1384" s="8">
        <f>IF(ISNA(MATCH(1375,'Transfer Engine'!$C$2:$C$1960,0)),"",INDEX('Compliance Database'!$F$2:$F$1960,MATCH(1375,'Transfer Engine'!$C$2:$C$1960,0)))</f>
        <v/>
      </c>
      <c r="G1384" s="8">
        <f>IF(ISNA(MATCH(1375,'Transfer Engine'!$C$2:$C$1960,0)),"",INDEX('Compliance Database'!$G$2:$G$1960,MATCH(1375,'Transfer Engine'!$C$2:$C$1960,0)))</f>
        <v/>
      </c>
      <c r="H1384" s="9">
        <f>IF(ISNA(MATCH(1375,'Transfer Engine'!$C$2:$C$1960,0)),"",INDEX('Compliance Database'!$H$2:$H$1960,MATCH(1375,'Transfer Engine'!$C$2:$C$1960,0)))</f>
        <v/>
      </c>
      <c r="I1384" s="9">
        <f>IF(ISNA(MATCH(1375,'Transfer Engine'!$C$2:$C$1960,0)),"",INDEX('Compliance Database'!$I$2:$I$1960,MATCH(1375,'Transfer Engine'!$C$2:$C$1960,0)))</f>
        <v/>
      </c>
      <c r="J1384" s="8">
        <f>IF(ISNA(MATCH(1375,'Transfer Engine'!$C$2:$C$1960,0)),"",INDEX('Compliance Database'!$J$2:$J$1960,MATCH(1375,'Transfer Engine'!$C$2:$C$1960,0)))</f>
        <v/>
      </c>
      <c r="K1384" s="9">
        <f>IF(ISNA(MATCH(1375,'Transfer Engine'!$C$2:$C$1960,0)),"",INDEX('Compliance Database'!$K$2:$K$1960,MATCH(1375,'Transfer Engine'!$C$2:$C$1960,0)))</f>
        <v/>
      </c>
      <c r="L1384" s="9">
        <f>IF(ISNA(MATCH(1375,'Transfer Engine'!$C$2:$C$1960,0)),"",INDEX('Compliance Database'!$L$2:$L$1960,MATCH(1375,'Transfer Engine'!$C$2:$C$1960,0)))</f>
        <v/>
      </c>
      <c r="M1384" s="9">
        <f>IF(ISNA(MATCH(1375,'Transfer Engine'!$C$2:$C$1960,0)),"",INDEX('Compliance Database'!$M$2:$M$1960,MATCH(1375,'Transfer Engine'!$C$2:$C$1960,0)))</f>
        <v/>
      </c>
      <c r="N1384" s="9">
        <f>IF(ISNA(MATCH(1375,'Transfer Engine'!$C$2:$C$1960,0)),"",INDEX('Compliance Database'!$N$2:$N$1960,MATCH(1375,'Transfer Engine'!$C$2:$C$1960,0)))</f>
        <v/>
      </c>
      <c r="O1384" s="9">
        <f>IF(ISNA(MATCH(1375,'Transfer Engine'!$C$2:$C$1960,0)),"",INDEX('Compliance Database'!$O$2:$O$1960,MATCH(1375,'Transfer Engine'!$C$2:$C$1960,0)))</f>
        <v/>
      </c>
      <c r="P1384" s="8">
        <f>IF(ISNA(MATCH(1375,'Transfer Engine'!$C$2:$C$1960,0)),"",HYPERLINK("#Acts!A"&amp;INDEX('Compliance Database'!$P$2:$P$1960,MATCH(1375,'Transfer Engine'!$C$2:$C$1960,0)),"Go to Act"))</f>
        <v/>
      </c>
    </row>
    <row r="1385" ht="158" customHeight="1">
      <c r="A1385" s="8">
        <f>IF(ISNA(MATCH(1376,'Transfer Engine'!$C$2:$C$1960,0)),"",INDEX('Compliance Database'!$A$2:$A$1960,MATCH(1376,'Transfer Engine'!$C$2:$C$1960,0)))</f>
        <v/>
      </c>
      <c r="B1385" s="8">
        <f>IF(ISNA(MATCH(1376,'Transfer Engine'!$C$2:$C$1960,0)),"",INDEX('Compliance Database'!$B$2:$B$1960,MATCH(1376,'Transfer Engine'!$C$2:$C$1960,0)))</f>
        <v/>
      </c>
      <c r="C1385" s="8">
        <f>IF(ISNA(MATCH(1376,'Transfer Engine'!$C$2:$C$1960,0)),"",INDEX('Compliance Database'!$C$2:$C$1960,MATCH(1376,'Transfer Engine'!$C$2:$C$1960,0)))</f>
        <v/>
      </c>
      <c r="D1385" s="9">
        <f>IF(ISNA(MATCH(1376,'Transfer Engine'!$C$2:$C$1960,0)),"",INDEX('Compliance Database'!$D$2:$D$1960,MATCH(1376,'Transfer Engine'!$C$2:$C$1960,0)))</f>
        <v/>
      </c>
      <c r="E1385" s="8">
        <f>IF(ISNA(MATCH(1376,'Transfer Engine'!$C$2:$C$1960,0)),"",INDEX('Compliance Database'!$E$2:$E$1960,MATCH(1376,'Transfer Engine'!$C$2:$C$1960,0)))</f>
        <v/>
      </c>
      <c r="F1385" s="8">
        <f>IF(ISNA(MATCH(1376,'Transfer Engine'!$C$2:$C$1960,0)),"",INDEX('Compliance Database'!$F$2:$F$1960,MATCH(1376,'Transfer Engine'!$C$2:$C$1960,0)))</f>
        <v/>
      </c>
      <c r="G1385" s="8">
        <f>IF(ISNA(MATCH(1376,'Transfer Engine'!$C$2:$C$1960,0)),"",INDEX('Compliance Database'!$G$2:$G$1960,MATCH(1376,'Transfer Engine'!$C$2:$C$1960,0)))</f>
        <v/>
      </c>
      <c r="H1385" s="9">
        <f>IF(ISNA(MATCH(1376,'Transfer Engine'!$C$2:$C$1960,0)),"",INDEX('Compliance Database'!$H$2:$H$1960,MATCH(1376,'Transfer Engine'!$C$2:$C$1960,0)))</f>
        <v/>
      </c>
      <c r="I1385" s="9">
        <f>IF(ISNA(MATCH(1376,'Transfer Engine'!$C$2:$C$1960,0)),"",INDEX('Compliance Database'!$I$2:$I$1960,MATCH(1376,'Transfer Engine'!$C$2:$C$1960,0)))</f>
        <v/>
      </c>
      <c r="J1385" s="8">
        <f>IF(ISNA(MATCH(1376,'Transfer Engine'!$C$2:$C$1960,0)),"",INDEX('Compliance Database'!$J$2:$J$1960,MATCH(1376,'Transfer Engine'!$C$2:$C$1960,0)))</f>
        <v/>
      </c>
      <c r="K1385" s="9">
        <f>IF(ISNA(MATCH(1376,'Transfer Engine'!$C$2:$C$1960,0)),"",INDEX('Compliance Database'!$K$2:$K$1960,MATCH(1376,'Transfer Engine'!$C$2:$C$1960,0)))</f>
        <v/>
      </c>
      <c r="L1385" s="9">
        <f>IF(ISNA(MATCH(1376,'Transfer Engine'!$C$2:$C$1960,0)),"",INDEX('Compliance Database'!$L$2:$L$1960,MATCH(1376,'Transfer Engine'!$C$2:$C$1960,0)))</f>
        <v/>
      </c>
      <c r="M1385" s="9">
        <f>IF(ISNA(MATCH(1376,'Transfer Engine'!$C$2:$C$1960,0)),"",INDEX('Compliance Database'!$M$2:$M$1960,MATCH(1376,'Transfer Engine'!$C$2:$C$1960,0)))</f>
        <v/>
      </c>
      <c r="N1385" s="9">
        <f>IF(ISNA(MATCH(1376,'Transfer Engine'!$C$2:$C$1960,0)),"",INDEX('Compliance Database'!$N$2:$N$1960,MATCH(1376,'Transfer Engine'!$C$2:$C$1960,0)))</f>
        <v/>
      </c>
      <c r="O1385" s="9">
        <f>IF(ISNA(MATCH(1376,'Transfer Engine'!$C$2:$C$1960,0)),"",INDEX('Compliance Database'!$O$2:$O$1960,MATCH(1376,'Transfer Engine'!$C$2:$C$1960,0)))</f>
        <v/>
      </c>
      <c r="P1385" s="8">
        <f>IF(ISNA(MATCH(1376,'Transfer Engine'!$C$2:$C$1960,0)),"",HYPERLINK("#Acts!A"&amp;INDEX('Compliance Database'!$P$2:$P$1960,MATCH(1376,'Transfer Engine'!$C$2:$C$1960,0)),"Go to Act"))</f>
        <v/>
      </c>
    </row>
    <row r="1386" ht="158" customHeight="1">
      <c r="A1386" s="8">
        <f>IF(ISNA(MATCH(1377,'Transfer Engine'!$C$2:$C$1960,0)),"",INDEX('Compliance Database'!$A$2:$A$1960,MATCH(1377,'Transfer Engine'!$C$2:$C$1960,0)))</f>
        <v/>
      </c>
      <c r="B1386" s="8">
        <f>IF(ISNA(MATCH(1377,'Transfer Engine'!$C$2:$C$1960,0)),"",INDEX('Compliance Database'!$B$2:$B$1960,MATCH(1377,'Transfer Engine'!$C$2:$C$1960,0)))</f>
        <v/>
      </c>
      <c r="C1386" s="8">
        <f>IF(ISNA(MATCH(1377,'Transfer Engine'!$C$2:$C$1960,0)),"",INDEX('Compliance Database'!$C$2:$C$1960,MATCH(1377,'Transfer Engine'!$C$2:$C$1960,0)))</f>
        <v/>
      </c>
      <c r="D1386" s="9">
        <f>IF(ISNA(MATCH(1377,'Transfer Engine'!$C$2:$C$1960,0)),"",INDEX('Compliance Database'!$D$2:$D$1960,MATCH(1377,'Transfer Engine'!$C$2:$C$1960,0)))</f>
        <v/>
      </c>
      <c r="E1386" s="8">
        <f>IF(ISNA(MATCH(1377,'Transfer Engine'!$C$2:$C$1960,0)),"",INDEX('Compliance Database'!$E$2:$E$1960,MATCH(1377,'Transfer Engine'!$C$2:$C$1960,0)))</f>
        <v/>
      </c>
      <c r="F1386" s="8">
        <f>IF(ISNA(MATCH(1377,'Transfer Engine'!$C$2:$C$1960,0)),"",INDEX('Compliance Database'!$F$2:$F$1960,MATCH(1377,'Transfer Engine'!$C$2:$C$1960,0)))</f>
        <v/>
      </c>
      <c r="G1386" s="8">
        <f>IF(ISNA(MATCH(1377,'Transfer Engine'!$C$2:$C$1960,0)),"",INDEX('Compliance Database'!$G$2:$G$1960,MATCH(1377,'Transfer Engine'!$C$2:$C$1960,0)))</f>
        <v/>
      </c>
      <c r="H1386" s="9">
        <f>IF(ISNA(MATCH(1377,'Transfer Engine'!$C$2:$C$1960,0)),"",INDEX('Compliance Database'!$H$2:$H$1960,MATCH(1377,'Transfer Engine'!$C$2:$C$1960,0)))</f>
        <v/>
      </c>
      <c r="I1386" s="9">
        <f>IF(ISNA(MATCH(1377,'Transfer Engine'!$C$2:$C$1960,0)),"",INDEX('Compliance Database'!$I$2:$I$1960,MATCH(1377,'Transfer Engine'!$C$2:$C$1960,0)))</f>
        <v/>
      </c>
      <c r="J1386" s="8">
        <f>IF(ISNA(MATCH(1377,'Transfer Engine'!$C$2:$C$1960,0)),"",INDEX('Compliance Database'!$J$2:$J$1960,MATCH(1377,'Transfer Engine'!$C$2:$C$1960,0)))</f>
        <v/>
      </c>
      <c r="K1386" s="9">
        <f>IF(ISNA(MATCH(1377,'Transfer Engine'!$C$2:$C$1960,0)),"",INDEX('Compliance Database'!$K$2:$K$1960,MATCH(1377,'Transfer Engine'!$C$2:$C$1960,0)))</f>
        <v/>
      </c>
      <c r="L1386" s="9">
        <f>IF(ISNA(MATCH(1377,'Transfer Engine'!$C$2:$C$1960,0)),"",INDEX('Compliance Database'!$L$2:$L$1960,MATCH(1377,'Transfer Engine'!$C$2:$C$1960,0)))</f>
        <v/>
      </c>
      <c r="M1386" s="9">
        <f>IF(ISNA(MATCH(1377,'Transfer Engine'!$C$2:$C$1960,0)),"",INDEX('Compliance Database'!$M$2:$M$1960,MATCH(1377,'Transfer Engine'!$C$2:$C$1960,0)))</f>
        <v/>
      </c>
      <c r="N1386" s="9">
        <f>IF(ISNA(MATCH(1377,'Transfer Engine'!$C$2:$C$1960,0)),"",INDEX('Compliance Database'!$N$2:$N$1960,MATCH(1377,'Transfer Engine'!$C$2:$C$1960,0)))</f>
        <v/>
      </c>
      <c r="O1386" s="9">
        <f>IF(ISNA(MATCH(1377,'Transfer Engine'!$C$2:$C$1960,0)),"",INDEX('Compliance Database'!$O$2:$O$1960,MATCH(1377,'Transfer Engine'!$C$2:$C$1960,0)))</f>
        <v/>
      </c>
      <c r="P1386" s="8">
        <f>IF(ISNA(MATCH(1377,'Transfer Engine'!$C$2:$C$1960,0)),"",HYPERLINK("#Acts!A"&amp;INDEX('Compliance Database'!$P$2:$P$1960,MATCH(1377,'Transfer Engine'!$C$2:$C$1960,0)),"Go to Act"))</f>
        <v/>
      </c>
    </row>
    <row r="1387" ht="158" customHeight="1">
      <c r="A1387" s="8">
        <f>IF(ISNA(MATCH(1378,'Transfer Engine'!$C$2:$C$1960,0)),"",INDEX('Compliance Database'!$A$2:$A$1960,MATCH(1378,'Transfer Engine'!$C$2:$C$1960,0)))</f>
        <v/>
      </c>
      <c r="B1387" s="8">
        <f>IF(ISNA(MATCH(1378,'Transfer Engine'!$C$2:$C$1960,0)),"",INDEX('Compliance Database'!$B$2:$B$1960,MATCH(1378,'Transfer Engine'!$C$2:$C$1960,0)))</f>
        <v/>
      </c>
      <c r="C1387" s="8">
        <f>IF(ISNA(MATCH(1378,'Transfer Engine'!$C$2:$C$1960,0)),"",INDEX('Compliance Database'!$C$2:$C$1960,MATCH(1378,'Transfer Engine'!$C$2:$C$1960,0)))</f>
        <v/>
      </c>
      <c r="D1387" s="9">
        <f>IF(ISNA(MATCH(1378,'Transfer Engine'!$C$2:$C$1960,0)),"",INDEX('Compliance Database'!$D$2:$D$1960,MATCH(1378,'Transfer Engine'!$C$2:$C$1960,0)))</f>
        <v/>
      </c>
      <c r="E1387" s="8">
        <f>IF(ISNA(MATCH(1378,'Transfer Engine'!$C$2:$C$1960,0)),"",INDEX('Compliance Database'!$E$2:$E$1960,MATCH(1378,'Transfer Engine'!$C$2:$C$1960,0)))</f>
        <v/>
      </c>
      <c r="F1387" s="8">
        <f>IF(ISNA(MATCH(1378,'Transfer Engine'!$C$2:$C$1960,0)),"",INDEX('Compliance Database'!$F$2:$F$1960,MATCH(1378,'Transfer Engine'!$C$2:$C$1960,0)))</f>
        <v/>
      </c>
      <c r="G1387" s="8">
        <f>IF(ISNA(MATCH(1378,'Transfer Engine'!$C$2:$C$1960,0)),"",INDEX('Compliance Database'!$G$2:$G$1960,MATCH(1378,'Transfer Engine'!$C$2:$C$1960,0)))</f>
        <v/>
      </c>
      <c r="H1387" s="9">
        <f>IF(ISNA(MATCH(1378,'Transfer Engine'!$C$2:$C$1960,0)),"",INDEX('Compliance Database'!$H$2:$H$1960,MATCH(1378,'Transfer Engine'!$C$2:$C$1960,0)))</f>
        <v/>
      </c>
      <c r="I1387" s="9">
        <f>IF(ISNA(MATCH(1378,'Transfer Engine'!$C$2:$C$1960,0)),"",INDEX('Compliance Database'!$I$2:$I$1960,MATCH(1378,'Transfer Engine'!$C$2:$C$1960,0)))</f>
        <v/>
      </c>
      <c r="J1387" s="8">
        <f>IF(ISNA(MATCH(1378,'Transfer Engine'!$C$2:$C$1960,0)),"",INDEX('Compliance Database'!$J$2:$J$1960,MATCH(1378,'Transfer Engine'!$C$2:$C$1960,0)))</f>
        <v/>
      </c>
      <c r="K1387" s="9">
        <f>IF(ISNA(MATCH(1378,'Transfer Engine'!$C$2:$C$1960,0)),"",INDEX('Compliance Database'!$K$2:$K$1960,MATCH(1378,'Transfer Engine'!$C$2:$C$1960,0)))</f>
        <v/>
      </c>
      <c r="L1387" s="9">
        <f>IF(ISNA(MATCH(1378,'Transfer Engine'!$C$2:$C$1960,0)),"",INDEX('Compliance Database'!$L$2:$L$1960,MATCH(1378,'Transfer Engine'!$C$2:$C$1960,0)))</f>
        <v/>
      </c>
      <c r="M1387" s="9">
        <f>IF(ISNA(MATCH(1378,'Transfer Engine'!$C$2:$C$1960,0)),"",INDEX('Compliance Database'!$M$2:$M$1960,MATCH(1378,'Transfer Engine'!$C$2:$C$1960,0)))</f>
        <v/>
      </c>
      <c r="N1387" s="9">
        <f>IF(ISNA(MATCH(1378,'Transfer Engine'!$C$2:$C$1960,0)),"",INDEX('Compliance Database'!$N$2:$N$1960,MATCH(1378,'Transfer Engine'!$C$2:$C$1960,0)))</f>
        <v/>
      </c>
      <c r="O1387" s="9">
        <f>IF(ISNA(MATCH(1378,'Transfer Engine'!$C$2:$C$1960,0)),"",INDEX('Compliance Database'!$O$2:$O$1960,MATCH(1378,'Transfer Engine'!$C$2:$C$1960,0)))</f>
        <v/>
      </c>
      <c r="P1387" s="8">
        <f>IF(ISNA(MATCH(1378,'Transfer Engine'!$C$2:$C$1960,0)),"",HYPERLINK("#Acts!A"&amp;INDEX('Compliance Database'!$P$2:$P$1960,MATCH(1378,'Transfer Engine'!$C$2:$C$1960,0)),"Go to Act"))</f>
        <v/>
      </c>
    </row>
    <row r="1388" ht="158" customHeight="1">
      <c r="A1388" s="8">
        <f>IF(ISNA(MATCH(1379,'Transfer Engine'!$C$2:$C$1960,0)),"",INDEX('Compliance Database'!$A$2:$A$1960,MATCH(1379,'Transfer Engine'!$C$2:$C$1960,0)))</f>
        <v/>
      </c>
      <c r="B1388" s="8">
        <f>IF(ISNA(MATCH(1379,'Transfer Engine'!$C$2:$C$1960,0)),"",INDEX('Compliance Database'!$B$2:$B$1960,MATCH(1379,'Transfer Engine'!$C$2:$C$1960,0)))</f>
        <v/>
      </c>
      <c r="C1388" s="8">
        <f>IF(ISNA(MATCH(1379,'Transfer Engine'!$C$2:$C$1960,0)),"",INDEX('Compliance Database'!$C$2:$C$1960,MATCH(1379,'Transfer Engine'!$C$2:$C$1960,0)))</f>
        <v/>
      </c>
      <c r="D1388" s="9">
        <f>IF(ISNA(MATCH(1379,'Transfer Engine'!$C$2:$C$1960,0)),"",INDEX('Compliance Database'!$D$2:$D$1960,MATCH(1379,'Transfer Engine'!$C$2:$C$1960,0)))</f>
        <v/>
      </c>
      <c r="E1388" s="8">
        <f>IF(ISNA(MATCH(1379,'Transfer Engine'!$C$2:$C$1960,0)),"",INDEX('Compliance Database'!$E$2:$E$1960,MATCH(1379,'Transfer Engine'!$C$2:$C$1960,0)))</f>
        <v/>
      </c>
      <c r="F1388" s="8">
        <f>IF(ISNA(MATCH(1379,'Transfer Engine'!$C$2:$C$1960,0)),"",INDEX('Compliance Database'!$F$2:$F$1960,MATCH(1379,'Transfer Engine'!$C$2:$C$1960,0)))</f>
        <v/>
      </c>
      <c r="G1388" s="8">
        <f>IF(ISNA(MATCH(1379,'Transfer Engine'!$C$2:$C$1960,0)),"",INDEX('Compliance Database'!$G$2:$G$1960,MATCH(1379,'Transfer Engine'!$C$2:$C$1960,0)))</f>
        <v/>
      </c>
      <c r="H1388" s="9">
        <f>IF(ISNA(MATCH(1379,'Transfer Engine'!$C$2:$C$1960,0)),"",INDEX('Compliance Database'!$H$2:$H$1960,MATCH(1379,'Transfer Engine'!$C$2:$C$1960,0)))</f>
        <v/>
      </c>
      <c r="I1388" s="9">
        <f>IF(ISNA(MATCH(1379,'Transfer Engine'!$C$2:$C$1960,0)),"",INDEX('Compliance Database'!$I$2:$I$1960,MATCH(1379,'Transfer Engine'!$C$2:$C$1960,0)))</f>
        <v/>
      </c>
      <c r="J1388" s="8">
        <f>IF(ISNA(MATCH(1379,'Transfer Engine'!$C$2:$C$1960,0)),"",INDEX('Compliance Database'!$J$2:$J$1960,MATCH(1379,'Transfer Engine'!$C$2:$C$1960,0)))</f>
        <v/>
      </c>
      <c r="K1388" s="9">
        <f>IF(ISNA(MATCH(1379,'Transfer Engine'!$C$2:$C$1960,0)),"",INDEX('Compliance Database'!$K$2:$K$1960,MATCH(1379,'Transfer Engine'!$C$2:$C$1960,0)))</f>
        <v/>
      </c>
      <c r="L1388" s="9">
        <f>IF(ISNA(MATCH(1379,'Transfer Engine'!$C$2:$C$1960,0)),"",INDEX('Compliance Database'!$L$2:$L$1960,MATCH(1379,'Transfer Engine'!$C$2:$C$1960,0)))</f>
        <v/>
      </c>
      <c r="M1388" s="9">
        <f>IF(ISNA(MATCH(1379,'Transfer Engine'!$C$2:$C$1960,0)),"",INDEX('Compliance Database'!$M$2:$M$1960,MATCH(1379,'Transfer Engine'!$C$2:$C$1960,0)))</f>
        <v/>
      </c>
      <c r="N1388" s="9">
        <f>IF(ISNA(MATCH(1379,'Transfer Engine'!$C$2:$C$1960,0)),"",INDEX('Compliance Database'!$N$2:$N$1960,MATCH(1379,'Transfer Engine'!$C$2:$C$1960,0)))</f>
        <v/>
      </c>
      <c r="O1388" s="9">
        <f>IF(ISNA(MATCH(1379,'Transfer Engine'!$C$2:$C$1960,0)),"",INDEX('Compliance Database'!$O$2:$O$1960,MATCH(1379,'Transfer Engine'!$C$2:$C$1960,0)))</f>
        <v/>
      </c>
      <c r="P1388" s="8">
        <f>IF(ISNA(MATCH(1379,'Transfer Engine'!$C$2:$C$1960,0)),"",HYPERLINK("#Acts!A"&amp;INDEX('Compliance Database'!$P$2:$P$1960,MATCH(1379,'Transfer Engine'!$C$2:$C$1960,0)),"Go to Act"))</f>
        <v/>
      </c>
    </row>
    <row r="1389" ht="158" customHeight="1">
      <c r="A1389" s="8">
        <f>IF(ISNA(MATCH(1380,'Transfer Engine'!$C$2:$C$1960,0)),"",INDEX('Compliance Database'!$A$2:$A$1960,MATCH(1380,'Transfer Engine'!$C$2:$C$1960,0)))</f>
        <v/>
      </c>
      <c r="B1389" s="8">
        <f>IF(ISNA(MATCH(1380,'Transfer Engine'!$C$2:$C$1960,0)),"",INDEX('Compliance Database'!$B$2:$B$1960,MATCH(1380,'Transfer Engine'!$C$2:$C$1960,0)))</f>
        <v/>
      </c>
      <c r="C1389" s="8">
        <f>IF(ISNA(MATCH(1380,'Transfer Engine'!$C$2:$C$1960,0)),"",INDEX('Compliance Database'!$C$2:$C$1960,MATCH(1380,'Transfer Engine'!$C$2:$C$1960,0)))</f>
        <v/>
      </c>
      <c r="D1389" s="9">
        <f>IF(ISNA(MATCH(1380,'Transfer Engine'!$C$2:$C$1960,0)),"",INDEX('Compliance Database'!$D$2:$D$1960,MATCH(1380,'Transfer Engine'!$C$2:$C$1960,0)))</f>
        <v/>
      </c>
      <c r="E1389" s="8">
        <f>IF(ISNA(MATCH(1380,'Transfer Engine'!$C$2:$C$1960,0)),"",INDEX('Compliance Database'!$E$2:$E$1960,MATCH(1380,'Transfer Engine'!$C$2:$C$1960,0)))</f>
        <v/>
      </c>
      <c r="F1389" s="8">
        <f>IF(ISNA(MATCH(1380,'Transfer Engine'!$C$2:$C$1960,0)),"",INDEX('Compliance Database'!$F$2:$F$1960,MATCH(1380,'Transfer Engine'!$C$2:$C$1960,0)))</f>
        <v/>
      </c>
      <c r="G1389" s="8">
        <f>IF(ISNA(MATCH(1380,'Transfer Engine'!$C$2:$C$1960,0)),"",INDEX('Compliance Database'!$G$2:$G$1960,MATCH(1380,'Transfer Engine'!$C$2:$C$1960,0)))</f>
        <v/>
      </c>
      <c r="H1389" s="9">
        <f>IF(ISNA(MATCH(1380,'Transfer Engine'!$C$2:$C$1960,0)),"",INDEX('Compliance Database'!$H$2:$H$1960,MATCH(1380,'Transfer Engine'!$C$2:$C$1960,0)))</f>
        <v/>
      </c>
      <c r="I1389" s="9">
        <f>IF(ISNA(MATCH(1380,'Transfer Engine'!$C$2:$C$1960,0)),"",INDEX('Compliance Database'!$I$2:$I$1960,MATCH(1380,'Transfer Engine'!$C$2:$C$1960,0)))</f>
        <v/>
      </c>
      <c r="J1389" s="8">
        <f>IF(ISNA(MATCH(1380,'Transfer Engine'!$C$2:$C$1960,0)),"",INDEX('Compliance Database'!$J$2:$J$1960,MATCH(1380,'Transfer Engine'!$C$2:$C$1960,0)))</f>
        <v/>
      </c>
      <c r="K1389" s="9">
        <f>IF(ISNA(MATCH(1380,'Transfer Engine'!$C$2:$C$1960,0)),"",INDEX('Compliance Database'!$K$2:$K$1960,MATCH(1380,'Transfer Engine'!$C$2:$C$1960,0)))</f>
        <v/>
      </c>
      <c r="L1389" s="9">
        <f>IF(ISNA(MATCH(1380,'Transfer Engine'!$C$2:$C$1960,0)),"",INDEX('Compliance Database'!$L$2:$L$1960,MATCH(1380,'Transfer Engine'!$C$2:$C$1960,0)))</f>
        <v/>
      </c>
      <c r="M1389" s="9">
        <f>IF(ISNA(MATCH(1380,'Transfer Engine'!$C$2:$C$1960,0)),"",INDEX('Compliance Database'!$M$2:$M$1960,MATCH(1380,'Transfer Engine'!$C$2:$C$1960,0)))</f>
        <v/>
      </c>
      <c r="N1389" s="9">
        <f>IF(ISNA(MATCH(1380,'Transfer Engine'!$C$2:$C$1960,0)),"",INDEX('Compliance Database'!$N$2:$N$1960,MATCH(1380,'Transfer Engine'!$C$2:$C$1960,0)))</f>
        <v/>
      </c>
      <c r="O1389" s="9">
        <f>IF(ISNA(MATCH(1380,'Transfer Engine'!$C$2:$C$1960,0)),"",INDEX('Compliance Database'!$O$2:$O$1960,MATCH(1380,'Transfer Engine'!$C$2:$C$1960,0)))</f>
        <v/>
      </c>
      <c r="P1389" s="8">
        <f>IF(ISNA(MATCH(1380,'Transfer Engine'!$C$2:$C$1960,0)),"",HYPERLINK("#Acts!A"&amp;INDEX('Compliance Database'!$P$2:$P$1960,MATCH(1380,'Transfer Engine'!$C$2:$C$1960,0)),"Go to Act"))</f>
        <v/>
      </c>
    </row>
    <row r="1390" ht="158" customHeight="1">
      <c r="A1390" s="8">
        <f>IF(ISNA(MATCH(1381,'Transfer Engine'!$C$2:$C$1960,0)),"",INDEX('Compliance Database'!$A$2:$A$1960,MATCH(1381,'Transfer Engine'!$C$2:$C$1960,0)))</f>
        <v/>
      </c>
      <c r="B1390" s="8">
        <f>IF(ISNA(MATCH(1381,'Transfer Engine'!$C$2:$C$1960,0)),"",INDEX('Compliance Database'!$B$2:$B$1960,MATCH(1381,'Transfer Engine'!$C$2:$C$1960,0)))</f>
        <v/>
      </c>
      <c r="C1390" s="8">
        <f>IF(ISNA(MATCH(1381,'Transfer Engine'!$C$2:$C$1960,0)),"",INDEX('Compliance Database'!$C$2:$C$1960,MATCH(1381,'Transfer Engine'!$C$2:$C$1960,0)))</f>
        <v/>
      </c>
      <c r="D1390" s="9">
        <f>IF(ISNA(MATCH(1381,'Transfer Engine'!$C$2:$C$1960,0)),"",INDEX('Compliance Database'!$D$2:$D$1960,MATCH(1381,'Transfer Engine'!$C$2:$C$1960,0)))</f>
        <v/>
      </c>
      <c r="E1390" s="8">
        <f>IF(ISNA(MATCH(1381,'Transfer Engine'!$C$2:$C$1960,0)),"",INDEX('Compliance Database'!$E$2:$E$1960,MATCH(1381,'Transfer Engine'!$C$2:$C$1960,0)))</f>
        <v/>
      </c>
      <c r="F1390" s="8">
        <f>IF(ISNA(MATCH(1381,'Transfer Engine'!$C$2:$C$1960,0)),"",INDEX('Compliance Database'!$F$2:$F$1960,MATCH(1381,'Transfer Engine'!$C$2:$C$1960,0)))</f>
        <v/>
      </c>
      <c r="G1390" s="8">
        <f>IF(ISNA(MATCH(1381,'Transfer Engine'!$C$2:$C$1960,0)),"",INDEX('Compliance Database'!$G$2:$G$1960,MATCH(1381,'Transfer Engine'!$C$2:$C$1960,0)))</f>
        <v/>
      </c>
      <c r="H1390" s="9">
        <f>IF(ISNA(MATCH(1381,'Transfer Engine'!$C$2:$C$1960,0)),"",INDEX('Compliance Database'!$H$2:$H$1960,MATCH(1381,'Transfer Engine'!$C$2:$C$1960,0)))</f>
        <v/>
      </c>
      <c r="I1390" s="9">
        <f>IF(ISNA(MATCH(1381,'Transfer Engine'!$C$2:$C$1960,0)),"",INDEX('Compliance Database'!$I$2:$I$1960,MATCH(1381,'Transfer Engine'!$C$2:$C$1960,0)))</f>
        <v/>
      </c>
      <c r="J1390" s="8">
        <f>IF(ISNA(MATCH(1381,'Transfer Engine'!$C$2:$C$1960,0)),"",INDEX('Compliance Database'!$J$2:$J$1960,MATCH(1381,'Transfer Engine'!$C$2:$C$1960,0)))</f>
        <v/>
      </c>
      <c r="K1390" s="9">
        <f>IF(ISNA(MATCH(1381,'Transfer Engine'!$C$2:$C$1960,0)),"",INDEX('Compliance Database'!$K$2:$K$1960,MATCH(1381,'Transfer Engine'!$C$2:$C$1960,0)))</f>
        <v/>
      </c>
      <c r="L1390" s="9">
        <f>IF(ISNA(MATCH(1381,'Transfer Engine'!$C$2:$C$1960,0)),"",INDEX('Compliance Database'!$L$2:$L$1960,MATCH(1381,'Transfer Engine'!$C$2:$C$1960,0)))</f>
        <v/>
      </c>
      <c r="M1390" s="9">
        <f>IF(ISNA(MATCH(1381,'Transfer Engine'!$C$2:$C$1960,0)),"",INDEX('Compliance Database'!$M$2:$M$1960,MATCH(1381,'Transfer Engine'!$C$2:$C$1960,0)))</f>
        <v/>
      </c>
      <c r="N1390" s="9">
        <f>IF(ISNA(MATCH(1381,'Transfer Engine'!$C$2:$C$1960,0)),"",INDEX('Compliance Database'!$N$2:$N$1960,MATCH(1381,'Transfer Engine'!$C$2:$C$1960,0)))</f>
        <v/>
      </c>
      <c r="O1390" s="9">
        <f>IF(ISNA(MATCH(1381,'Transfer Engine'!$C$2:$C$1960,0)),"",INDEX('Compliance Database'!$O$2:$O$1960,MATCH(1381,'Transfer Engine'!$C$2:$C$1960,0)))</f>
        <v/>
      </c>
      <c r="P1390" s="8">
        <f>IF(ISNA(MATCH(1381,'Transfer Engine'!$C$2:$C$1960,0)),"",HYPERLINK("#Acts!A"&amp;INDEX('Compliance Database'!$P$2:$P$1960,MATCH(1381,'Transfer Engine'!$C$2:$C$1960,0)),"Go to Act"))</f>
        <v/>
      </c>
    </row>
    <row r="1391" ht="158" customHeight="1">
      <c r="A1391" s="8">
        <f>IF(ISNA(MATCH(1382,'Transfer Engine'!$C$2:$C$1960,0)),"",INDEX('Compliance Database'!$A$2:$A$1960,MATCH(1382,'Transfer Engine'!$C$2:$C$1960,0)))</f>
        <v/>
      </c>
      <c r="B1391" s="8">
        <f>IF(ISNA(MATCH(1382,'Transfer Engine'!$C$2:$C$1960,0)),"",INDEX('Compliance Database'!$B$2:$B$1960,MATCH(1382,'Transfer Engine'!$C$2:$C$1960,0)))</f>
        <v/>
      </c>
      <c r="C1391" s="8">
        <f>IF(ISNA(MATCH(1382,'Transfer Engine'!$C$2:$C$1960,0)),"",INDEX('Compliance Database'!$C$2:$C$1960,MATCH(1382,'Transfer Engine'!$C$2:$C$1960,0)))</f>
        <v/>
      </c>
      <c r="D1391" s="9">
        <f>IF(ISNA(MATCH(1382,'Transfer Engine'!$C$2:$C$1960,0)),"",INDEX('Compliance Database'!$D$2:$D$1960,MATCH(1382,'Transfer Engine'!$C$2:$C$1960,0)))</f>
        <v/>
      </c>
      <c r="E1391" s="8">
        <f>IF(ISNA(MATCH(1382,'Transfer Engine'!$C$2:$C$1960,0)),"",INDEX('Compliance Database'!$E$2:$E$1960,MATCH(1382,'Transfer Engine'!$C$2:$C$1960,0)))</f>
        <v/>
      </c>
      <c r="F1391" s="8">
        <f>IF(ISNA(MATCH(1382,'Transfer Engine'!$C$2:$C$1960,0)),"",INDEX('Compliance Database'!$F$2:$F$1960,MATCH(1382,'Transfer Engine'!$C$2:$C$1960,0)))</f>
        <v/>
      </c>
      <c r="G1391" s="8">
        <f>IF(ISNA(MATCH(1382,'Transfer Engine'!$C$2:$C$1960,0)),"",INDEX('Compliance Database'!$G$2:$G$1960,MATCH(1382,'Transfer Engine'!$C$2:$C$1960,0)))</f>
        <v/>
      </c>
      <c r="H1391" s="9">
        <f>IF(ISNA(MATCH(1382,'Transfer Engine'!$C$2:$C$1960,0)),"",INDEX('Compliance Database'!$H$2:$H$1960,MATCH(1382,'Transfer Engine'!$C$2:$C$1960,0)))</f>
        <v/>
      </c>
      <c r="I1391" s="9">
        <f>IF(ISNA(MATCH(1382,'Transfer Engine'!$C$2:$C$1960,0)),"",INDEX('Compliance Database'!$I$2:$I$1960,MATCH(1382,'Transfer Engine'!$C$2:$C$1960,0)))</f>
        <v/>
      </c>
      <c r="J1391" s="8">
        <f>IF(ISNA(MATCH(1382,'Transfer Engine'!$C$2:$C$1960,0)),"",INDEX('Compliance Database'!$J$2:$J$1960,MATCH(1382,'Transfer Engine'!$C$2:$C$1960,0)))</f>
        <v/>
      </c>
      <c r="K1391" s="9">
        <f>IF(ISNA(MATCH(1382,'Transfer Engine'!$C$2:$C$1960,0)),"",INDEX('Compliance Database'!$K$2:$K$1960,MATCH(1382,'Transfer Engine'!$C$2:$C$1960,0)))</f>
        <v/>
      </c>
      <c r="L1391" s="9">
        <f>IF(ISNA(MATCH(1382,'Transfer Engine'!$C$2:$C$1960,0)),"",INDEX('Compliance Database'!$L$2:$L$1960,MATCH(1382,'Transfer Engine'!$C$2:$C$1960,0)))</f>
        <v/>
      </c>
      <c r="M1391" s="9">
        <f>IF(ISNA(MATCH(1382,'Transfer Engine'!$C$2:$C$1960,0)),"",INDEX('Compliance Database'!$M$2:$M$1960,MATCH(1382,'Transfer Engine'!$C$2:$C$1960,0)))</f>
        <v/>
      </c>
      <c r="N1391" s="9">
        <f>IF(ISNA(MATCH(1382,'Transfer Engine'!$C$2:$C$1960,0)),"",INDEX('Compliance Database'!$N$2:$N$1960,MATCH(1382,'Transfer Engine'!$C$2:$C$1960,0)))</f>
        <v/>
      </c>
      <c r="O1391" s="9">
        <f>IF(ISNA(MATCH(1382,'Transfer Engine'!$C$2:$C$1960,0)),"",INDEX('Compliance Database'!$O$2:$O$1960,MATCH(1382,'Transfer Engine'!$C$2:$C$1960,0)))</f>
        <v/>
      </c>
      <c r="P1391" s="8">
        <f>IF(ISNA(MATCH(1382,'Transfer Engine'!$C$2:$C$1960,0)),"",HYPERLINK("#Acts!A"&amp;INDEX('Compliance Database'!$P$2:$P$1960,MATCH(1382,'Transfer Engine'!$C$2:$C$1960,0)),"Go to Act"))</f>
        <v/>
      </c>
    </row>
    <row r="1392" ht="158" customHeight="1">
      <c r="A1392" s="8">
        <f>IF(ISNA(MATCH(1383,'Transfer Engine'!$C$2:$C$1960,0)),"",INDEX('Compliance Database'!$A$2:$A$1960,MATCH(1383,'Transfer Engine'!$C$2:$C$1960,0)))</f>
        <v/>
      </c>
      <c r="B1392" s="8">
        <f>IF(ISNA(MATCH(1383,'Transfer Engine'!$C$2:$C$1960,0)),"",INDEX('Compliance Database'!$B$2:$B$1960,MATCH(1383,'Transfer Engine'!$C$2:$C$1960,0)))</f>
        <v/>
      </c>
      <c r="C1392" s="8">
        <f>IF(ISNA(MATCH(1383,'Transfer Engine'!$C$2:$C$1960,0)),"",INDEX('Compliance Database'!$C$2:$C$1960,MATCH(1383,'Transfer Engine'!$C$2:$C$1960,0)))</f>
        <v/>
      </c>
      <c r="D1392" s="9">
        <f>IF(ISNA(MATCH(1383,'Transfer Engine'!$C$2:$C$1960,0)),"",INDEX('Compliance Database'!$D$2:$D$1960,MATCH(1383,'Transfer Engine'!$C$2:$C$1960,0)))</f>
        <v/>
      </c>
      <c r="E1392" s="8">
        <f>IF(ISNA(MATCH(1383,'Transfer Engine'!$C$2:$C$1960,0)),"",INDEX('Compliance Database'!$E$2:$E$1960,MATCH(1383,'Transfer Engine'!$C$2:$C$1960,0)))</f>
        <v/>
      </c>
      <c r="F1392" s="8">
        <f>IF(ISNA(MATCH(1383,'Transfer Engine'!$C$2:$C$1960,0)),"",INDEX('Compliance Database'!$F$2:$F$1960,MATCH(1383,'Transfer Engine'!$C$2:$C$1960,0)))</f>
        <v/>
      </c>
      <c r="G1392" s="8">
        <f>IF(ISNA(MATCH(1383,'Transfer Engine'!$C$2:$C$1960,0)),"",INDEX('Compliance Database'!$G$2:$G$1960,MATCH(1383,'Transfer Engine'!$C$2:$C$1960,0)))</f>
        <v/>
      </c>
      <c r="H1392" s="9">
        <f>IF(ISNA(MATCH(1383,'Transfer Engine'!$C$2:$C$1960,0)),"",INDEX('Compliance Database'!$H$2:$H$1960,MATCH(1383,'Transfer Engine'!$C$2:$C$1960,0)))</f>
        <v/>
      </c>
      <c r="I1392" s="9">
        <f>IF(ISNA(MATCH(1383,'Transfer Engine'!$C$2:$C$1960,0)),"",INDEX('Compliance Database'!$I$2:$I$1960,MATCH(1383,'Transfer Engine'!$C$2:$C$1960,0)))</f>
        <v/>
      </c>
      <c r="J1392" s="8">
        <f>IF(ISNA(MATCH(1383,'Transfer Engine'!$C$2:$C$1960,0)),"",INDEX('Compliance Database'!$J$2:$J$1960,MATCH(1383,'Transfer Engine'!$C$2:$C$1960,0)))</f>
        <v/>
      </c>
      <c r="K1392" s="9">
        <f>IF(ISNA(MATCH(1383,'Transfer Engine'!$C$2:$C$1960,0)),"",INDEX('Compliance Database'!$K$2:$K$1960,MATCH(1383,'Transfer Engine'!$C$2:$C$1960,0)))</f>
        <v/>
      </c>
      <c r="L1392" s="9">
        <f>IF(ISNA(MATCH(1383,'Transfer Engine'!$C$2:$C$1960,0)),"",INDEX('Compliance Database'!$L$2:$L$1960,MATCH(1383,'Transfer Engine'!$C$2:$C$1960,0)))</f>
        <v/>
      </c>
      <c r="M1392" s="9">
        <f>IF(ISNA(MATCH(1383,'Transfer Engine'!$C$2:$C$1960,0)),"",INDEX('Compliance Database'!$M$2:$M$1960,MATCH(1383,'Transfer Engine'!$C$2:$C$1960,0)))</f>
        <v/>
      </c>
      <c r="N1392" s="9">
        <f>IF(ISNA(MATCH(1383,'Transfer Engine'!$C$2:$C$1960,0)),"",INDEX('Compliance Database'!$N$2:$N$1960,MATCH(1383,'Transfer Engine'!$C$2:$C$1960,0)))</f>
        <v/>
      </c>
      <c r="O1392" s="9">
        <f>IF(ISNA(MATCH(1383,'Transfer Engine'!$C$2:$C$1960,0)),"",INDEX('Compliance Database'!$O$2:$O$1960,MATCH(1383,'Transfer Engine'!$C$2:$C$1960,0)))</f>
        <v/>
      </c>
      <c r="P1392" s="8">
        <f>IF(ISNA(MATCH(1383,'Transfer Engine'!$C$2:$C$1960,0)),"",HYPERLINK("#Acts!A"&amp;INDEX('Compliance Database'!$P$2:$P$1960,MATCH(1383,'Transfer Engine'!$C$2:$C$1960,0)),"Go to Act"))</f>
        <v/>
      </c>
    </row>
    <row r="1393" ht="158" customHeight="1">
      <c r="A1393" s="8">
        <f>IF(ISNA(MATCH(1384,'Transfer Engine'!$C$2:$C$1960,0)),"",INDEX('Compliance Database'!$A$2:$A$1960,MATCH(1384,'Transfer Engine'!$C$2:$C$1960,0)))</f>
        <v/>
      </c>
      <c r="B1393" s="8">
        <f>IF(ISNA(MATCH(1384,'Transfer Engine'!$C$2:$C$1960,0)),"",INDEX('Compliance Database'!$B$2:$B$1960,MATCH(1384,'Transfer Engine'!$C$2:$C$1960,0)))</f>
        <v/>
      </c>
      <c r="C1393" s="8">
        <f>IF(ISNA(MATCH(1384,'Transfer Engine'!$C$2:$C$1960,0)),"",INDEX('Compliance Database'!$C$2:$C$1960,MATCH(1384,'Transfer Engine'!$C$2:$C$1960,0)))</f>
        <v/>
      </c>
      <c r="D1393" s="9">
        <f>IF(ISNA(MATCH(1384,'Transfer Engine'!$C$2:$C$1960,0)),"",INDEX('Compliance Database'!$D$2:$D$1960,MATCH(1384,'Transfer Engine'!$C$2:$C$1960,0)))</f>
        <v/>
      </c>
      <c r="E1393" s="8">
        <f>IF(ISNA(MATCH(1384,'Transfer Engine'!$C$2:$C$1960,0)),"",INDEX('Compliance Database'!$E$2:$E$1960,MATCH(1384,'Transfer Engine'!$C$2:$C$1960,0)))</f>
        <v/>
      </c>
      <c r="F1393" s="8">
        <f>IF(ISNA(MATCH(1384,'Transfer Engine'!$C$2:$C$1960,0)),"",INDEX('Compliance Database'!$F$2:$F$1960,MATCH(1384,'Transfer Engine'!$C$2:$C$1960,0)))</f>
        <v/>
      </c>
      <c r="G1393" s="8">
        <f>IF(ISNA(MATCH(1384,'Transfer Engine'!$C$2:$C$1960,0)),"",INDEX('Compliance Database'!$G$2:$G$1960,MATCH(1384,'Transfer Engine'!$C$2:$C$1960,0)))</f>
        <v/>
      </c>
      <c r="H1393" s="9">
        <f>IF(ISNA(MATCH(1384,'Transfer Engine'!$C$2:$C$1960,0)),"",INDEX('Compliance Database'!$H$2:$H$1960,MATCH(1384,'Transfer Engine'!$C$2:$C$1960,0)))</f>
        <v/>
      </c>
      <c r="I1393" s="9">
        <f>IF(ISNA(MATCH(1384,'Transfer Engine'!$C$2:$C$1960,0)),"",INDEX('Compliance Database'!$I$2:$I$1960,MATCH(1384,'Transfer Engine'!$C$2:$C$1960,0)))</f>
        <v/>
      </c>
      <c r="J1393" s="8">
        <f>IF(ISNA(MATCH(1384,'Transfer Engine'!$C$2:$C$1960,0)),"",INDEX('Compliance Database'!$J$2:$J$1960,MATCH(1384,'Transfer Engine'!$C$2:$C$1960,0)))</f>
        <v/>
      </c>
      <c r="K1393" s="9">
        <f>IF(ISNA(MATCH(1384,'Transfer Engine'!$C$2:$C$1960,0)),"",INDEX('Compliance Database'!$K$2:$K$1960,MATCH(1384,'Transfer Engine'!$C$2:$C$1960,0)))</f>
        <v/>
      </c>
      <c r="L1393" s="9">
        <f>IF(ISNA(MATCH(1384,'Transfer Engine'!$C$2:$C$1960,0)),"",INDEX('Compliance Database'!$L$2:$L$1960,MATCH(1384,'Transfer Engine'!$C$2:$C$1960,0)))</f>
        <v/>
      </c>
      <c r="M1393" s="9">
        <f>IF(ISNA(MATCH(1384,'Transfer Engine'!$C$2:$C$1960,0)),"",INDEX('Compliance Database'!$M$2:$M$1960,MATCH(1384,'Transfer Engine'!$C$2:$C$1960,0)))</f>
        <v/>
      </c>
      <c r="N1393" s="9">
        <f>IF(ISNA(MATCH(1384,'Transfer Engine'!$C$2:$C$1960,0)),"",INDEX('Compliance Database'!$N$2:$N$1960,MATCH(1384,'Transfer Engine'!$C$2:$C$1960,0)))</f>
        <v/>
      </c>
      <c r="O1393" s="9">
        <f>IF(ISNA(MATCH(1384,'Transfer Engine'!$C$2:$C$1960,0)),"",INDEX('Compliance Database'!$O$2:$O$1960,MATCH(1384,'Transfer Engine'!$C$2:$C$1960,0)))</f>
        <v/>
      </c>
      <c r="P1393" s="8">
        <f>IF(ISNA(MATCH(1384,'Transfer Engine'!$C$2:$C$1960,0)),"",HYPERLINK("#Acts!A"&amp;INDEX('Compliance Database'!$P$2:$P$1960,MATCH(1384,'Transfer Engine'!$C$2:$C$1960,0)),"Go to Act"))</f>
        <v/>
      </c>
    </row>
    <row r="1394" ht="158" customHeight="1">
      <c r="A1394" s="8">
        <f>IF(ISNA(MATCH(1385,'Transfer Engine'!$C$2:$C$1960,0)),"",INDEX('Compliance Database'!$A$2:$A$1960,MATCH(1385,'Transfer Engine'!$C$2:$C$1960,0)))</f>
        <v/>
      </c>
      <c r="B1394" s="8">
        <f>IF(ISNA(MATCH(1385,'Transfer Engine'!$C$2:$C$1960,0)),"",INDEX('Compliance Database'!$B$2:$B$1960,MATCH(1385,'Transfer Engine'!$C$2:$C$1960,0)))</f>
        <v/>
      </c>
      <c r="C1394" s="8">
        <f>IF(ISNA(MATCH(1385,'Transfer Engine'!$C$2:$C$1960,0)),"",INDEX('Compliance Database'!$C$2:$C$1960,MATCH(1385,'Transfer Engine'!$C$2:$C$1960,0)))</f>
        <v/>
      </c>
      <c r="D1394" s="9">
        <f>IF(ISNA(MATCH(1385,'Transfer Engine'!$C$2:$C$1960,0)),"",INDEX('Compliance Database'!$D$2:$D$1960,MATCH(1385,'Transfer Engine'!$C$2:$C$1960,0)))</f>
        <v/>
      </c>
      <c r="E1394" s="8">
        <f>IF(ISNA(MATCH(1385,'Transfer Engine'!$C$2:$C$1960,0)),"",INDEX('Compliance Database'!$E$2:$E$1960,MATCH(1385,'Transfer Engine'!$C$2:$C$1960,0)))</f>
        <v/>
      </c>
      <c r="F1394" s="8">
        <f>IF(ISNA(MATCH(1385,'Transfer Engine'!$C$2:$C$1960,0)),"",INDEX('Compliance Database'!$F$2:$F$1960,MATCH(1385,'Transfer Engine'!$C$2:$C$1960,0)))</f>
        <v/>
      </c>
      <c r="G1394" s="8">
        <f>IF(ISNA(MATCH(1385,'Transfer Engine'!$C$2:$C$1960,0)),"",INDEX('Compliance Database'!$G$2:$G$1960,MATCH(1385,'Transfer Engine'!$C$2:$C$1960,0)))</f>
        <v/>
      </c>
      <c r="H1394" s="9">
        <f>IF(ISNA(MATCH(1385,'Transfer Engine'!$C$2:$C$1960,0)),"",INDEX('Compliance Database'!$H$2:$H$1960,MATCH(1385,'Transfer Engine'!$C$2:$C$1960,0)))</f>
        <v/>
      </c>
      <c r="I1394" s="9">
        <f>IF(ISNA(MATCH(1385,'Transfer Engine'!$C$2:$C$1960,0)),"",INDEX('Compliance Database'!$I$2:$I$1960,MATCH(1385,'Transfer Engine'!$C$2:$C$1960,0)))</f>
        <v/>
      </c>
      <c r="J1394" s="8">
        <f>IF(ISNA(MATCH(1385,'Transfer Engine'!$C$2:$C$1960,0)),"",INDEX('Compliance Database'!$J$2:$J$1960,MATCH(1385,'Transfer Engine'!$C$2:$C$1960,0)))</f>
        <v/>
      </c>
      <c r="K1394" s="9">
        <f>IF(ISNA(MATCH(1385,'Transfer Engine'!$C$2:$C$1960,0)),"",INDEX('Compliance Database'!$K$2:$K$1960,MATCH(1385,'Transfer Engine'!$C$2:$C$1960,0)))</f>
        <v/>
      </c>
      <c r="L1394" s="9">
        <f>IF(ISNA(MATCH(1385,'Transfer Engine'!$C$2:$C$1960,0)),"",INDEX('Compliance Database'!$L$2:$L$1960,MATCH(1385,'Transfer Engine'!$C$2:$C$1960,0)))</f>
        <v/>
      </c>
      <c r="M1394" s="9">
        <f>IF(ISNA(MATCH(1385,'Transfer Engine'!$C$2:$C$1960,0)),"",INDEX('Compliance Database'!$M$2:$M$1960,MATCH(1385,'Transfer Engine'!$C$2:$C$1960,0)))</f>
        <v/>
      </c>
      <c r="N1394" s="9">
        <f>IF(ISNA(MATCH(1385,'Transfer Engine'!$C$2:$C$1960,0)),"",INDEX('Compliance Database'!$N$2:$N$1960,MATCH(1385,'Transfer Engine'!$C$2:$C$1960,0)))</f>
        <v/>
      </c>
      <c r="O1394" s="9">
        <f>IF(ISNA(MATCH(1385,'Transfer Engine'!$C$2:$C$1960,0)),"",INDEX('Compliance Database'!$O$2:$O$1960,MATCH(1385,'Transfer Engine'!$C$2:$C$1960,0)))</f>
        <v/>
      </c>
      <c r="P1394" s="8">
        <f>IF(ISNA(MATCH(1385,'Transfer Engine'!$C$2:$C$1960,0)),"",HYPERLINK("#Acts!A"&amp;INDEX('Compliance Database'!$P$2:$P$1960,MATCH(1385,'Transfer Engine'!$C$2:$C$1960,0)),"Go to Act"))</f>
        <v/>
      </c>
    </row>
    <row r="1395" ht="158" customHeight="1">
      <c r="A1395" s="8">
        <f>IF(ISNA(MATCH(1386,'Transfer Engine'!$C$2:$C$1960,0)),"",INDEX('Compliance Database'!$A$2:$A$1960,MATCH(1386,'Transfer Engine'!$C$2:$C$1960,0)))</f>
        <v/>
      </c>
      <c r="B1395" s="8">
        <f>IF(ISNA(MATCH(1386,'Transfer Engine'!$C$2:$C$1960,0)),"",INDEX('Compliance Database'!$B$2:$B$1960,MATCH(1386,'Transfer Engine'!$C$2:$C$1960,0)))</f>
        <v/>
      </c>
      <c r="C1395" s="8">
        <f>IF(ISNA(MATCH(1386,'Transfer Engine'!$C$2:$C$1960,0)),"",INDEX('Compliance Database'!$C$2:$C$1960,MATCH(1386,'Transfer Engine'!$C$2:$C$1960,0)))</f>
        <v/>
      </c>
      <c r="D1395" s="9">
        <f>IF(ISNA(MATCH(1386,'Transfer Engine'!$C$2:$C$1960,0)),"",INDEX('Compliance Database'!$D$2:$D$1960,MATCH(1386,'Transfer Engine'!$C$2:$C$1960,0)))</f>
        <v/>
      </c>
      <c r="E1395" s="8">
        <f>IF(ISNA(MATCH(1386,'Transfer Engine'!$C$2:$C$1960,0)),"",INDEX('Compliance Database'!$E$2:$E$1960,MATCH(1386,'Transfer Engine'!$C$2:$C$1960,0)))</f>
        <v/>
      </c>
      <c r="F1395" s="8">
        <f>IF(ISNA(MATCH(1386,'Transfer Engine'!$C$2:$C$1960,0)),"",INDEX('Compliance Database'!$F$2:$F$1960,MATCH(1386,'Transfer Engine'!$C$2:$C$1960,0)))</f>
        <v/>
      </c>
      <c r="G1395" s="8">
        <f>IF(ISNA(MATCH(1386,'Transfer Engine'!$C$2:$C$1960,0)),"",INDEX('Compliance Database'!$G$2:$G$1960,MATCH(1386,'Transfer Engine'!$C$2:$C$1960,0)))</f>
        <v/>
      </c>
      <c r="H1395" s="9">
        <f>IF(ISNA(MATCH(1386,'Transfer Engine'!$C$2:$C$1960,0)),"",INDEX('Compliance Database'!$H$2:$H$1960,MATCH(1386,'Transfer Engine'!$C$2:$C$1960,0)))</f>
        <v/>
      </c>
      <c r="I1395" s="9">
        <f>IF(ISNA(MATCH(1386,'Transfer Engine'!$C$2:$C$1960,0)),"",INDEX('Compliance Database'!$I$2:$I$1960,MATCH(1386,'Transfer Engine'!$C$2:$C$1960,0)))</f>
        <v/>
      </c>
      <c r="J1395" s="8">
        <f>IF(ISNA(MATCH(1386,'Transfer Engine'!$C$2:$C$1960,0)),"",INDEX('Compliance Database'!$J$2:$J$1960,MATCH(1386,'Transfer Engine'!$C$2:$C$1960,0)))</f>
        <v/>
      </c>
      <c r="K1395" s="9">
        <f>IF(ISNA(MATCH(1386,'Transfer Engine'!$C$2:$C$1960,0)),"",INDEX('Compliance Database'!$K$2:$K$1960,MATCH(1386,'Transfer Engine'!$C$2:$C$1960,0)))</f>
        <v/>
      </c>
      <c r="L1395" s="9">
        <f>IF(ISNA(MATCH(1386,'Transfer Engine'!$C$2:$C$1960,0)),"",INDEX('Compliance Database'!$L$2:$L$1960,MATCH(1386,'Transfer Engine'!$C$2:$C$1960,0)))</f>
        <v/>
      </c>
      <c r="M1395" s="9">
        <f>IF(ISNA(MATCH(1386,'Transfer Engine'!$C$2:$C$1960,0)),"",INDEX('Compliance Database'!$M$2:$M$1960,MATCH(1386,'Transfer Engine'!$C$2:$C$1960,0)))</f>
        <v/>
      </c>
      <c r="N1395" s="9">
        <f>IF(ISNA(MATCH(1386,'Transfer Engine'!$C$2:$C$1960,0)),"",INDEX('Compliance Database'!$N$2:$N$1960,MATCH(1386,'Transfer Engine'!$C$2:$C$1960,0)))</f>
        <v/>
      </c>
      <c r="O1395" s="9">
        <f>IF(ISNA(MATCH(1386,'Transfer Engine'!$C$2:$C$1960,0)),"",INDEX('Compliance Database'!$O$2:$O$1960,MATCH(1386,'Transfer Engine'!$C$2:$C$1960,0)))</f>
        <v/>
      </c>
      <c r="P1395" s="8">
        <f>IF(ISNA(MATCH(1386,'Transfer Engine'!$C$2:$C$1960,0)),"",HYPERLINK("#Acts!A"&amp;INDEX('Compliance Database'!$P$2:$P$1960,MATCH(1386,'Transfer Engine'!$C$2:$C$1960,0)),"Go to Act"))</f>
        <v/>
      </c>
    </row>
    <row r="1396" ht="158" customHeight="1">
      <c r="A1396" s="8">
        <f>IF(ISNA(MATCH(1387,'Transfer Engine'!$C$2:$C$1960,0)),"",INDEX('Compliance Database'!$A$2:$A$1960,MATCH(1387,'Transfer Engine'!$C$2:$C$1960,0)))</f>
        <v/>
      </c>
      <c r="B1396" s="8">
        <f>IF(ISNA(MATCH(1387,'Transfer Engine'!$C$2:$C$1960,0)),"",INDEX('Compliance Database'!$B$2:$B$1960,MATCH(1387,'Transfer Engine'!$C$2:$C$1960,0)))</f>
        <v/>
      </c>
      <c r="C1396" s="8">
        <f>IF(ISNA(MATCH(1387,'Transfer Engine'!$C$2:$C$1960,0)),"",INDEX('Compliance Database'!$C$2:$C$1960,MATCH(1387,'Transfer Engine'!$C$2:$C$1960,0)))</f>
        <v/>
      </c>
      <c r="D1396" s="9">
        <f>IF(ISNA(MATCH(1387,'Transfer Engine'!$C$2:$C$1960,0)),"",INDEX('Compliance Database'!$D$2:$D$1960,MATCH(1387,'Transfer Engine'!$C$2:$C$1960,0)))</f>
        <v/>
      </c>
      <c r="E1396" s="8">
        <f>IF(ISNA(MATCH(1387,'Transfer Engine'!$C$2:$C$1960,0)),"",INDEX('Compliance Database'!$E$2:$E$1960,MATCH(1387,'Transfer Engine'!$C$2:$C$1960,0)))</f>
        <v/>
      </c>
      <c r="F1396" s="8">
        <f>IF(ISNA(MATCH(1387,'Transfer Engine'!$C$2:$C$1960,0)),"",INDEX('Compliance Database'!$F$2:$F$1960,MATCH(1387,'Transfer Engine'!$C$2:$C$1960,0)))</f>
        <v/>
      </c>
      <c r="G1396" s="8">
        <f>IF(ISNA(MATCH(1387,'Transfer Engine'!$C$2:$C$1960,0)),"",INDEX('Compliance Database'!$G$2:$G$1960,MATCH(1387,'Transfer Engine'!$C$2:$C$1960,0)))</f>
        <v/>
      </c>
      <c r="H1396" s="9">
        <f>IF(ISNA(MATCH(1387,'Transfer Engine'!$C$2:$C$1960,0)),"",INDEX('Compliance Database'!$H$2:$H$1960,MATCH(1387,'Transfer Engine'!$C$2:$C$1960,0)))</f>
        <v/>
      </c>
      <c r="I1396" s="9">
        <f>IF(ISNA(MATCH(1387,'Transfer Engine'!$C$2:$C$1960,0)),"",INDEX('Compliance Database'!$I$2:$I$1960,MATCH(1387,'Transfer Engine'!$C$2:$C$1960,0)))</f>
        <v/>
      </c>
      <c r="J1396" s="8">
        <f>IF(ISNA(MATCH(1387,'Transfer Engine'!$C$2:$C$1960,0)),"",INDEX('Compliance Database'!$J$2:$J$1960,MATCH(1387,'Transfer Engine'!$C$2:$C$1960,0)))</f>
        <v/>
      </c>
      <c r="K1396" s="9">
        <f>IF(ISNA(MATCH(1387,'Transfer Engine'!$C$2:$C$1960,0)),"",INDEX('Compliance Database'!$K$2:$K$1960,MATCH(1387,'Transfer Engine'!$C$2:$C$1960,0)))</f>
        <v/>
      </c>
      <c r="L1396" s="9">
        <f>IF(ISNA(MATCH(1387,'Transfer Engine'!$C$2:$C$1960,0)),"",INDEX('Compliance Database'!$L$2:$L$1960,MATCH(1387,'Transfer Engine'!$C$2:$C$1960,0)))</f>
        <v/>
      </c>
      <c r="M1396" s="9">
        <f>IF(ISNA(MATCH(1387,'Transfer Engine'!$C$2:$C$1960,0)),"",INDEX('Compliance Database'!$M$2:$M$1960,MATCH(1387,'Transfer Engine'!$C$2:$C$1960,0)))</f>
        <v/>
      </c>
      <c r="N1396" s="9">
        <f>IF(ISNA(MATCH(1387,'Transfer Engine'!$C$2:$C$1960,0)),"",INDEX('Compliance Database'!$N$2:$N$1960,MATCH(1387,'Transfer Engine'!$C$2:$C$1960,0)))</f>
        <v/>
      </c>
      <c r="O1396" s="9">
        <f>IF(ISNA(MATCH(1387,'Transfer Engine'!$C$2:$C$1960,0)),"",INDEX('Compliance Database'!$O$2:$O$1960,MATCH(1387,'Transfer Engine'!$C$2:$C$1960,0)))</f>
        <v/>
      </c>
      <c r="P1396" s="8">
        <f>IF(ISNA(MATCH(1387,'Transfer Engine'!$C$2:$C$1960,0)),"",HYPERLINK("#Acts!A"&amp;INDEX('Compliance Database'!$P$2:$P$1960,MATCH(1387,'Transfer Engine'!$C$2:$C$1960,0)),"Go to Act"))</f>
        <v/>
      </c>
    </row>
    <row r="1397" ht="158" customHeight="1">
      <c r="A1397" s="8">
        <f>IF(ISNA(MATCH(1388,'Transfer Engine'!$C$2:$C$1960,0)),"",INDEX('Compliance Database'!$A$2:$A$1960,MATCH(1388,'Transfer Engine'!$C$2:$C$1960,0)))</f>
        <v/>
      </c>
      <c r="B1397" s="8">
        <f>IF(ISNA(MATCH(1388,'Transfer Engine'!$C$2:$C$1960,0)),"",INDEX('Compliance Database'!$B$2:$B$1960,MATCH(1388,'Transfer Engine'!$C$2:$C$1960,0)))</f>
        <v/>
      </c>
      <c r="C1397" s="8">
        <f>IF(ISNA(MATCH(1388,'Transfer Engine'!$C$2:$C$1960,0)),"",INDEX('Compliance Database'!$C$2:$C$1960,MATCH(1388,'Transfer Engine'!$C$2:$C$1960,0)))</f>
        <v/>
      </c>
      <c r="D1397" s="9">
        <f>IF(ISNA(MATCH(1388,'Transfer Engine'!$C$2:$C$1960,0)),"",INDEX('Compliance Database'!$D$2:$D$1960,MATCH(1388,'Transfer Engine'!$C$2:$C$1960,0)))</f>
        <v/>
      </c>
      <c r="E1397" s="8">
        <f>IF(ISNA(MATCH(1388,'Transfer Engine'!$C$2:$C$1960,0)),"",INDEX('Compliance Database'!$E$2:$E$1960,MATCH(1388,'Transfer Engine'!$C$2:$C$1960,0)))</f>
        <v/>
      </c>
      <c r="F1397" s="8">
        <f>IF(ISNA(MATCH(1388,'Transfer Engine'!$C$2:$C$1960,0)),"",INDEX('Compliance Database'!$F$2:$F$1960,MATCH(1388,'Transfer Engine'!$C$2:$C$1960,0)))</f>
        <v/>
      </c>
      <c r="G1397" s="8">
        <f>IF(ISNA(MATCH(1388,'Transfer Engine'!$C$2:$C$1960,0)),"",INDEX('Compliance Database'!$G$2:$G$1960,MATCH(1388,'Transfer Engine'!$C$2:$C$1960,0)))</f>
        <v/>
      </c>
      <c r="H1397" s="9">
        <f>IF(ISNA(MATCH(1388,'Transfer Engine'!$C$2:$C$1960,0)),"",INDEX('Compliance Database'!$H$2:$H$1960,MATCH(1388,'Transfer Engine'!$C$2:$C$1960,0)))</f>
        <v/>
      </c>
      <c r="I1397" s="9">
        <f>IF(ISNA(MATCH(1388,'Transfer Engine'!$C$2:$C$1960,0)),"",INDEX('Compliance Database'!$I$2:$I$1960,MATCH(1388,'Transfer Engine'!$C$2:$C$1960,0)))</f>
        <v/>
      </c>
      <c r="J1397" s="8">
        <f>IF(ISNA(MATCH(1388,'Transfer Engine'!$C$2:$C$1960,0)),"",INDEX('Compliance Database'!$J$2:$J$1960,MATCH(1388,'Transfer Engine'!$C$2:$C$1960,0)))</f>
        <v/>
      </c>
      <c r="K1397" s="9">
        <f>IF(ISNA(MATCH(1388,'Transfer Engine'!$C$2:$C$1960,0)),"",INDEX('Compliance Database'!$K$2:$K$1960,MATCH(1388,'Transfer Engine'!$C$2:$C$1960,0)))</f>
        <v/>
      </c>
      <c r="L1397" s="9">
        <f>IF(ISNA(MATCH(1388,'Transfer Engine'!$C$2:$C$1960,0)),"",INDEX('Compliance Database'!$L$2:$L$1960,MATCH(1388,'Transfer Engine'!$C$2:$C$1960,0)))</f>
        <v/>
      </c>
      <c r="M1397" s="9">
        <f>IF(ISNA(MATCH(1388,'Transfer Engine'!$C$2:$C$1960,0)),"",INDEX('Compliance Database'!$M$2:$M$1960,MATCH(1388,'Transfer Engine'!$C$2:$C$1960,0)))</f>
        <v/>
      </c>
      <c r="N1397" s="9">
        <f>IF(ISNA(MATCH(1388,'Transfer Engine'!$C$2:$C$1960,0)),"",INDEX('Compliance Database'!$N$2:$N$1960,MATCH(1388,'Transfer Engine'!$C$2:$C$1960,0)))</f>
        <v/>
      </c>
      <c r="O1397" s="9">
        <f>IF(ISNA(MATCH(1388,'Transfer Engine'!$C$2:$C$1960,0)),"",INDEX('Compliance Database'!$O$2:$O$1960,MATCH(1388,'Transfer Engine'!$C$2:$C$1960,0)))</f>
        <v/>
      </c>
      <c r="P1397" s="8">
        <f>IF(ISNA(MATCH(1388,'Transfer Engine'!$C$2:$C$1960,0)),"",HYPERLINK("#Acts!A"&amp;INDEX('Compliance Database'!$P$2:$P$1960,MATCH(1388,'Transfer Engine'!$C$2:$C$1960,0)),"Go to Act"))</f>
        <v/>
      </c>
    </row>
    <row r="1398" ht="158" customHeight="1">
      <c r="A1398" s="8">
        <f>IF(ISNA(MATCH(1389,'Transfer Engine'!$C$2:$C$1960,0)),"",INDEX('Compliance Database'!$A$2:$A$1960,MATCH(1389,'Transfer Engine'!$C$2:$C$1960,0)))</f>
        <v/>
      </c>
      <c r="B1398" s="8">
        <f>IF(ISNA(MATCH(1389,'Transfer Engine'!$C$2:$C$1960,0)),"",INDEX('Compliance Database'!$B$2:$B$1960,MATCH(1389,'Transfer Engine'!$C$2:$C$1960,0)))</f>
        <v/>
      </c>
      <c r="C1398" s="8">
        <f>IF(ISNA(MATCH(1389,'Transfer Engine'!$C$2:$C$1960,0)),"",INDEX('Compliance Database'!$C$2:$C$1960,MATCH(1389,'Transfer Engine'!$C$2:$C$1960,0)))</f>
        <v/>
      </c>
      <c r="D1398" s="9">
        <f>IF(ISNA(MATCH(1389,'Transfer Engine'!$C$2:$C$1960,0)),"",INDEX('Compliance Database'!$D$2:$D$1960,MATCH(1389,'Transfer Engine'!$C$2:$C$1960,0)))</f>
        <v/>
      </c>
      <c r="E1398" s="8">
        <f>IF(ISNA(MATCH(1389,'Transfer Engine'!$C$2:$C$1960,0)),"",INDEX('Compliance Database'!$E$2:$E$1960,MATCH(1389,'Transfer Engine'!$C$2:$C$1960,0)))</f>
        <v/>
      </c>
      <c r="F1398" s="8">
        <f>IF(ISNA(MATCH(1389,'Transfer Engine'!$C$2:$C$1960,0)),"",INDEX('Compliance Database'!$F$2:$F$1960,MATCH(1389,'Transfer Engine'!$C$2:$C$1960,0)))</f>
        <v/>
      </c>
      <c r="G1398" s="8">
        <f>IF(ISNA(MATCH(1389,'Transfer Engine'!$C$2:$C$1960,0)),"",INDEX('Compliance Database'!$G$2:$G$1960,MATCH(1389,'Transfer Engine'!$C$2:$C$1960,0)))</f>
        <v/>
      </c>
      <c r="H1398" s="9">
        <f>IF(ISNA(MATCH(1389,'Transfer Engine'!$C$2:$C$1960,0)),"",INDEX('Compliance Database'!$H$2:$H$1960,MATCH(1389,'Transfer Engine'!$C$2:$C$1960,0)))</f>
        <v/>
      </c>
      <c r="I1398" s="9">
        <f>IF(ISNA(MATCH(1389,'Transfer Engine'!$C$2:$C$1960,0)),"",INDEX('Compliance Database'!$I$2:$I$1960,MATCH(1389,'Transfer Engine'!$C$2:$C$1960,0)))</f>
        <v/>
      </c>
      <c r="J1398" s="8">
        <f>IF(ISNA(MATCH(1389,'Transfer Engine'!$C$2:$C$1960,0)),"",INDEX('Compliance Database'!$J$2:$J$1960,MATCH(1389,'Transfer Engine'!$C$2:$C$1960,0)))</f>
        <v/>
      </c>
      <c r="K1398" s="9">
        <f>IF(ISNA(MATCH(1389,'Transfer Engine'!$C$2:$C$1960,0)),"",INDEX('Compliance Database'!$K$2:$K$1960,MATCH(1389,'Transfer Engine'!$C$2:$C$1960,0)))</f>
        <v/>
      </c>
      <c r="L1398" s="9">
        <f>IF(ISNA(MATCH(1389,'Transfer Engine'!$C$2:$C$1960,0)),"",INDEX('Compliance Database'!$L$2:$L$1960,MATCH(1389,'Transfer Engine'!$C$2:$C$1960,0)))</f>
        <v/>
      </c>
      <c r="M1398" s="9">
        <f>IF(ISNA(MATCH(1389,'Transfer Engine'!$C$2:$C$1960,0)),"",INDEX('Compliance Database'!$M$2:$M$1960,MATCH(1389,'Transfer Engine'!$C$2:$C$1960,0)))</f>
        <v/>
      </c>
      <c r="N1398" s="9">
        <f>IF(ISNA(MATCH(1389,'Transfer Engine'!$C$2:$C$1960,0)),"",INDEX('Compliance Database'!$N$2:$N$1960,MATCH(1389,'Transfer Engine'!$C$2:$C$1960,0)))</f>
        <v/>
      </c>
      <c r="O1398" s="9">
        <f>IF(ISNA(MATCH(1389,'Transfer Engine'!$C$2:$C$1960,0)),"",INDEX('Compliance Database'!$O$2:$O$1960,MATCH(1389,'Transfer Engine'!$C$2:$C$1960,0)))</f>
        <v/>
      </c>
      <c r="P1398" s="8">
        <f>IF(ISNA(MATCH(1389,'Transfer Engine'!$C$2:$C$1960,0)),"",HYPERLINK("#Acts!A"&amp;INDEX('Compliance Database'!$P$2:$P$1960,MATCH(1389,'Transfer Engine'!$C$2:$C$1960,0)),"Go to Act"))</f>
        <v/>
      </c>
    </row>
    <row r="1399" ht="158" customHeight="1">
      <c r="A1399" s="8">
        <f>IF(ISNA(MATCH(1390,'Transfer Engine'!$C$2:$C$1960,0)),"",INDEX('Compliance Database'!$A$2:$A$1960,MATCH(1390,'Transfer Engine'!$C$2:$C$1960,0)))</f>
        <v/>
      </c>
      <c r="B1399" s="8">
        <f>IF(ISNA(MATCH(1390,'Transfer Engine'!$C$2:$C$1960,0)),"",INDEX('Compliance Database'!$B$2:$B$1960,MATCH(1390,'Transfer Engine'!$C$2:$C$1960,0)))</f>
        <v/>
      </c>
      <c r="C1399" s="8">
        <f>IF(ISNA(MATCH(1390,'Transfer Engine'!$C$2:$C$1960,0)),"",INDEX('Compliance Database'!$C$2:$C$1960,MATCH(1390,'Transfer Engine'!$C$2:$C$1960,0)))</f>
        <v/>
      </c>
      <c r="D1399" s="9">
        <f>IF(ISNA(MATCH(1390,'Transfer Engine'!$C$2:$C$1960,0)),"",INDEX('Compliance Database'!$D$2:$D$1960,MATCH(1390,'Transfer Engine'!$C$2:$C$1960,0)))</f>
        <v/>
      </c>
      <c r="E1399" s="8">
        <f>IF(ISNA(MATCH(1390,'Transfer Engine'!$C$2:$C$1960,0)),"",INDEX('Compliance Database'!$E$2:$E$1960,MATCH(1390,'Transfer Engine'!$C$2:$C$1960,0)))</f>
        <v/>
      </c>
      <c r="F1399" s="8">
        <f>IF(ISNA(MATCH(1390,'Transfer Engine'!$C$2:$C$1960,0)),"",INDEX('Compliance Database'!$F$2:$F$1960,MATCH(1390,'Transfer Engine'!$C$2:$C$1960,0)))</f>
        <v/>
      </c>
      <c r="G1399" s="8">
        <f>IF(ISNA(MATCH(1390,'Transfer Engine'!$C$2:$C$1960,0)),"",INDEX('Compliance Database'!$G$2:$G$1960,MATCH(1390,'Transfer Engine'!$C$2:$C$1960,0)))</f>
        <v/>
      </c>
      <c r="H1399" s="9">
        <f>IF(ISNA(MATCH(1390,'Transfer Engine'!$C$2:$C$1960,0)),"",INDEX('Compliance Database'!$H$2:$H$1960,MATCH(1390,'Transfer Engine'!$C$2:$C$1960,0)))</f>
        <v/>
      </c>
      <c r="I1399" s="9">
        <f>IF(ISNA(MATCH(1390,'Transfer Engine'!$C$2:$C$1960,0)),"",INDEX('Compliance Database'!$I$2:$I$1960,MATCH(1390,'Transfer Engine'!$C$2:$C$1960,0)))</f>
        <v/>
      </c>
      <c r="J1399" s="8">
        <f>IF(ISNA(MATCH(1390,'Transfer Engine'!$C$2:$C$1960,0)),"",INDEX('Compliance Database'!$J$2:$J$1960,MATCH(1390,'Transfer Engine'!$C$2:$C$1960,0)))</f>
        <v/>
      </c>
      <c r="K1399" s="9">
        <f>IF(ISNA(MATCH(1390,'Transfer Engine'!$C$2:$C$1960,0)),"",INDEX('Compliance Database'!$K$2:$K$1960,MATCH(1390,'Transfer Engine'!$C$2:$C$1960,0)))</f>
        <v/>
      </c>
      <c r="L1399" s="9">
        <f>IF(ISNA(MATCH(1390,'Transfer Engine'!$C$2:$C$1960,0)),"",INDEX('Compliance Database'!$L$2:$L$1960,MATCH(1390,'Transfer Engine'!$C$2:$C$1960,0)))</f>
        <v/>
      </c>
      <c r="M1399" s="9">
        <f>IF(ISNA(MATCH(1390,'Transfer Engine'!$C$2:$C$1960,0)),"",INDEX('Compliance Database'!$M$2:$M$1960,MATCH(1390,'Transfer Engine'!$C$2:$C$1960,0)))</f>
        <v/>
      </c>
      <c r="N1399" s="9">
        <f>IF(ISNA(MATCH(1390,'Transfer Engine'!$C$2:$C$1960,0)),"",INDEX('Compliance Database'!$N$2:$N$1960,MATCH(1390,'Transfer Engine'!$C$2:$C$1960,0)))</f>
        <v/>
      </c>
      <c r="O1399" s="9">
        <f>IF(ISNA(MATCH(1390,'Transfer Engine'!$C$2:$C$1960,0)),"",INDEX('Compliance Database'!$O$2:$O$1960,MATCH(1390,'Transfer Engine'!$C$2:$C$1960,0)))</f>
        <v/>
      </c>
      <c r="P1399" s="8">
        <f>IF(ISNA(MATCH(1390,'Transfer Engine'!$C$2:$C$1960,0)),"",HYPERLINK("#Acts!A"&amp;INDEX('Compliance Database'!$P$2:$P$1960,MATCH(1390,'Transfer Engine'!$C$2:$C$1960,0)),"Go to Act"))</f>
        <v/>
      </c>
    </row>
    <row r="1400" ht="158" customHeight="1">
      <c r="A1400" s="8">
        <f>IF(ISNA(MATCH(1391,'Transfer Engine'!$C$2:$C$1960,0)),"",INDEX('Compliance Database'!$A$2:$A$1960,MATCH(1391,'Transfer Engine'!$C$2:$C$1960,0)))</f>
        <v/>
      </c>
      <c r="B1400" s="8">
        <f>IF(ISNA(MATCH(1391,'Transfer Engine'!$C$2:$C$1960,0)),"",INDEX('Compliance Database'!$B$2:$B$1960,MATCH(1391,'Transfer Engine'!$C$2:$C$1960,0)))</f>
        <v/>
      </c>
      <c r="C1400" s="8">
        <f>IF(ISNA(MATCH(1391,'Transfer Engine'!$C$2:$C$1960,0)),"",INDEX('Compliance Database'!$C$2:$C$1960,MATCH(1391,'Transfer Engine'!$C$2:$C$1960,0)))</f>
        <v/>
      </c>
      <c r="D1400" s="9">
        <f>IF(ISNA(MATCH(1391,'Transfer Engine'!$C$2:$C$1960,0)),"",INDEX('Compliance Database'!$D$2:$D$1960,MATCH(1391,'Transfer Engine'!$C$2:$C$1960,0)))</f>
        <v/>
      </c>
      <c r="E1400" s="8">
        <f>IF(ISNA(MATCH(1391,'Transfer Engine'!$C$2:$C$1960,0)),"",INDEX('Compliance Database'!$E$2:$E$1960,MATCH(1391,'Transfer Engine'!$C$2:$C$1960,0)))</f>
        <v/>
      </c>
      <c r="F1400" s="8">
        <f>IF(ISNA(MATCH(1391,'Transfer Engine'!$C$2:$C$1960,0)),"",INDEX('Compliance Database'!$F$2:$F$1960,MATCH(1391,'Transfer Engine'!$C$2:$C$1960,0)))</f>
        <v/>
      </c>
      <c r="G1400" s="8">
        <f>IF(ISNA(MATCH(1391,'Transfer Engine'!$C$2:$C$1960,0)),"",INDEX('Compliance Database'!$G$2:$G$1960,MATCH(1391,'Transfer Engine'!$C$2:$C$1960,0)))</f>
        <v/>
      </c>
      <c r="H1400" s="9">
        <f>IF(ISNA(MATCH(1391,'Transfer Engine'!$C$2:$C$1960,0)),"",INDEX('Compliance Database'!$H$2:$H$1960,MATCH(1391,'Transfer Engine'!$C$2:$C$1960,0)))</f>
        <v/>
      </c>
      <c r="I1400" s="9">
        <f>IF(ISNA(MATCH(1391,'Transfer Engine'!$C$2:$C$1960,0)),"",INDEX('Compliance Database'!$I$2:$I$1960,MATCH(1391,'Transfer Engine'!$C$2:$C$1960,0)))</f>
        <v/>
      </c>
      <c r="J1400" s="8">
        <f>IF(ISNA(MATCH(1391,'Transfer Engine'!$C$2:$C$1960,0)),"",INDEX('Compliance Database'!$J$2:$J$1960,MATCH(1391,'Transfer Engine'!$C$2:$C$1960,0)))</f>
        <v/>
      </c>
      <c r="K1400" s="9">
        <f>IF(ISNA(MATCH(1391,'Transfer Engine'!$C$2:$C$1960,0)),"",INDEX('Compliance Database'!$K$2:$K$1960,MATCH(1391,'Transfer Engine'!$C$2:$C$1960,0)))</f>
        <v/>
      </c>
      <c r="L1400" s="9">
        <f>IF(ISNA(MATCH(1391,'Transfer Engine'!$C$2:$C$1960,0)),"",INDEX('Compliance Database'!$L$2:$L$1960,MATCH(1391,'Transfer Engine'!$C$2:$C$1960,0)))</f>
        <v/>
      </c>
      <c r="M1400" s="9">
        <f>IF(ISNA(MATCH(1391,'Transfer Engine'!$C$2:$C$1960,0)),"",INDEX('Compliance Database'!$M$2:$M$1960,MATCH(1391,'Transfer Engine'!$C$2:$C$1960,0)))</f>
        <v/>
      </c>
      <c r="N1400" s="9">
        <f>IF(ISNA(MATCH(1391,'Transfer Engine'!$C$2:$C$1960,0)),"",INDEX('Compliance Database'!$N$2:$N$1960,MATCH(1391,'Transfer Engine'!$C$2:$C$1960,0)))</f>
        <v/>
      </c>
      <c r="O1400" s="9">
        <f>IF(ISNA(MATCH(1391,'Transfer Engine'!$C$2:$C$1960,0)),"",INDEX('Compliance Database'!$O$2:$O$1960,MATCH(1391,'Transfer Engine'!$C$2:$C$1960,0)))</f>
        <v/>
      </c>
      <c r="P1400" s="8">
        <f>IF(ISNA(MATCH(1391,'Transfer Engine'!$C$2:$C$1960,0)),"",HYPERLINK("#Acts!A"&amp;INDEX('Compliance Database'!$P$2:$P$1960,MATCH(1391,'Transfer Engine'!$C$2:$C$1960,0)),"Go to Act"))</f>
        <v/>
      </c>
    </row>
    <row r="1401" ht="158" customHeight="1">
      <c r="A1401" s="8">
        <f>IF(ISNA(MATCH(1392,'Transfer Engine'!$C$2:$C$1960,0)),"",INDEX('Compliance Database'!$A$2:$A$1960,MATCH(1392,'Transfer Engine'!$C$2:$C$1960,0)))</f>
        <v/>
      </c>
      <c r="B1401" s="8">
        <f>IF(ISNA(MATCH(1392,'Transfer Engine'!$C$2:$C$1960,0)),"",INDEX('Compliance Database'!$B$2:$B$1960,MATCH(1392,'Transfer Engine'!$C$2:$C$1960,0)))</f>
        <v/>
      </c>
      <c r="C1401" s="8">
        <f>IF(ISNA(MATCH(1392,'Transfer Engine'!$C$2:$C$1960,0)),"",INDEX('Compliance Database'!$C$2:$C$1960,MATCH(1392,'Transfer Engine'!$C$2:$C$1960,0)))</f>
        <v/>
      </c>
      <c r="D1401" s="9">
        <f>IF(ISNA(MATCH(1392,'Transfer Engine'!$C$2:$C$1960,0)),"",INDEX('Compliance Database'!$D$2:$D$1960,MATCH(1392,'Transfer Engine'!$C$2:$C$1960,0)))</f>
        <v/>
      </c>
      <c r="E1401" s="8">
        <f>IF(ISNA(MATCH(1392,'Transfer Engine'!$C$2:$C$1960,0)),"",INDEX('Compliance Database'!$E$2:$E$1960,MATCH(1392,'Transfer Engine'!$C$2:$C$1960,0)))</f>
        <v/>
      </c>
      <c r="F1401" s="8">
        <f>IF(ISNA(MATCH(1392,'Transfer Engine'!$C$2:$C$1960,0)),"",INDEX('Compliance Database'!$F$2:$F$1960,MATCH(1392,'Transfer Engine'!$C$2:$C$1960,0)))</f>
        <v/>
      </c>
      <c r="G1401" s="8">
        <f>IF(ISNA(MATCH(1392,'Transfer Engine'!$C$2:$C$1960,0)),"",INDEX('Compliance Database'!$G$2:$G$1960,MATCH(1392,'Transfer Engine'!$C$2:$C$1960,0)))</f>
        <v/>
      </c>
      <c r="H1401" s="9">
        <f>IF(ISNA(MATCH(1392,'Transfer Engine'!$C$2:$C$1960,0)),"",INDEX('Compliance Database'!$H$2:$H$1960,MATCH(1392,'Transfer Engine'!$C$2:$C$1960,0)))</f>
        <v/>
      </c>
      <c r="I1401" s="9">
        <f>IF(ISNA(MATCH(1392,'Transfer Engine'!$C$2:$C$1960,0)),"",INDEX('Compliance Database'!$I$2:$I$1960,MATCH(1392,'Transfer Engine'!$C$2:$C$1960,0)))</f>
        <v/>
      </c>
      <c r="J1401" s="8">
        <f>IF(ISNA(MATCH(1392,'Transfer Engine'!$C$2:$C$1960,0)),"",INDEX('Compliance Database'!$J$2:$J$1960,MATCH(1392,'Transfer Engine'!$C$2:$C$1960,0)))</f>
        <v/>
      </c>
      <c r="K1401" s="9">
        <f>IF(ISNA(MATCH(1392,'Transfer Engine'!$C$2:$C$1960,0)),"",INDEX('Compliance Database'!$K$2:$K$1960,MATCH(1392,'Transfer Engine'!$C$2:$C$1960,0)))</f>
        <v/>
      </c>
      <c r="L1401" s="9">
        <f>IF(ISNA(MATCH(1392,'Transfer Engine'!$C$2:$C$1960,0)),"",INDEX('Compliance Database'!$L$2:$L$1960,MATCH(1392,'Transfer Engine'!$C$2:$C$1960,0)))</f>
        <v/>
      </c>
      <c r="M1401" s="9">
        <f>IF(ISNA(MATCH(1392,'Transfer Engine'!$C$2:$C$1960,0)),"",INDEX('Compliance Database'!$M$2:$M$1960,MATCH(1392,'Transfer Engine'!$C$2:$C$1960,0)))</f>
        <v/>
      </c>
      <c r="N1401" s="9">
        <f>IF(ISNA(MATCH(1392,'Transfer Engine'!$C$2:$C$1960,0)),"",INDEX('Compliance Database'!$N$2:$N$1960,MATCH(1392,'Transfer Engine'!$C$2:$C$1960,0)))</f>
        <v/>
      </c>
      <c r="O1401" s="9">
        <f>IF(ISNA(MATCH(1392,'Transfer Engine'!$C$2:$C$1960,0)),"",INDEX('Compliance Database'!$O$2:$O$1960,MATCH(1392,'Transfer Engine'!$C$2:$C$1960,0)))</f>
        <v/>
      </c>
      <c r="P1401" s="8">
        <f>IF(ISNA(MATCH(1392,'Transfer Engine'!$C$2:$C$1960,0)),"",HYPERLINK("#Acts!A"&amp;INDEX('Compliance Database'!$P$2:$P$1960,MATCH(1392,'Transfer Engine'!$C$2:$C$1960,0)),"Go to Act"))</f>
        <v/>
      </c>
    </row>
    <row r="1402" ht="158" customHeight="1">
      <c r="A1402" s="8">
        <f>IF(ISNA(MATCH(1393,'Transfer Engine'!$C$2:$C$1960,0)),"",INDEX('Compliance Database'!$A$2:$A$1960,MATCH(1393,'Transfer Engine'!$C$2:$C$1960,0)))</f>
        <v/>
      </c>
      <c r="B1402" s="8">
        <f>IF(ISNA(MATCH(1393,'Transfer Engine'!$C$2:$C$1960,0)),"",INDEX('Compliance Database'!$B$2:$B$1960,MATCH(1393,'Transfer Engine'!$C$2:$C$1960,0)))</f>
        <v/>
      </c>
      <c r="C1402" s="8">
        <f>IF(ISNA(MATCH(1393,'Transfer Engine'!$C$2:$C$1960,0)),"",INDEX('Compliance Database'!$C$2:$C$1960,MATCH(1393,'Transfer Engine'!$C$2:$C$1960,0)))</f>
        <v/>
      </c>
      <c r="D1402" s="9">
        <f>IF(ISNA(MATCH(1393,'Transfer Engine'!$C$2:$C$1960,0)),"",INDEX('Compliance Database'!$D$2:$D$1960,MATCH(1393,'Transfer Engine'!$C$2:$C$1960,0)))</f>
        <v/>
      </c>
      <c r="E1402" s="8">
        <f>IF(ISNA(MATCH(1393,'Transfer Engine'!$C$2:$C$1960,0)),"",INDEX('Compliance Database'!$E$2:$E$1960,MATCH(1393,'Transfer Engine'!$C$2:$C$1960,0)))</f>
        <v/>
      </c>
      <c r="F1402" s="8">
        <f>IF(ISNA(MATCH(1393,'Transfer Engine'!$C$2:$C$1960,0)),"",INDEX('Compliance Database'!$F$2:$F$1960,MATCH(1393,'Transfer Engine'!$C$2:$C$1960,0)))</f>
        <v/>
      </c>
      <c r="G1402" s="8">
        <f>IF(ISNA(MATCH(1393,'Transfer Engine'!$C$2:$C$1960,0)),"",INDEX('Compliance Database'!$G$2:$G$1960,MATCH(1393,'Transfer Engine'!$C$2:$C$1960,0)))</f>
        <v/>
      </c>
      <c r="H1402" s="9">
        <f>IF(ISNA(MATCH(1393,'Transfer Engine'!$C$2:$C$1960,0)),"",INDEX('Compliance Database'!$H$2:$H$1960,MATCH(1393,'Transfer Engine'!$C$2:$C$1960,0)))</f>
        <v/>
      </c>
      <c r="I1402" s="9">
        <f>IF(ISNA(MATCH(1393,'Transfer Engine'!$C$2:$C$1960,0)),"",INDEX('Compliance Database'!$I$2:$I$1960,MATCH(1393,'Transfer Engine'!$C$2:$C$1960,0)))</f>
        <v/>
      </c>
      <c r="J1402" s="8">
        <f>IF(ISNA(MATCH(1393,'Transfer Engine'!$C$2:$C$1960,0)),"",INDEX('Compliance Database'!$J$2:$J$1960,MATCH(1393,'Transfer Engine'!$C$2:$C$1960,0)))</f>
        <v/>
      </c>
      <c r="K1402" s="9">
        <f>IF(ISNA(MATCH(1393,'Transfer Engine'!$C$2:$C$1960,0)),"",INDEX('Compliance Database'!$K$2:$K$1960,MATCH(1393,'Transfer Engine'!$C$2:$C$1960,0)))</f>
        <v/>
      </c>
      <c r="L1402" s="9">
        <f>IF(ISNA(MATCH(1393,'Transfer Engine'!$C$2:$C$1960,0)),"",INDEX('Compliance Database'!$L$2:$L$1960,MATCH(1393,'Transfer Engine'!$C$2:$C$1960,0)))</f>
        <v/>
      </c>
      <c r="M1402" s="9">
        <f>IF(ISNA(MATCH(1393,'Transfer Engine'!$C$2:$C$1960,0)),"",INDEX('Compliance Database'!$M$2:$M$1960,MATCH(1393,'Transfer Engine'!$C$2:$C$1960,0)))</f>
        <v/>
      </c>
      <c r="N1402" s="9">
        <f>IF(ISNA(MATCH(1393,'Transfer Engine'!$C$2:$C$1960,0)),"",INDEX('Compliance Database'!$N$2:$N$1960,MATCH(1393,'Transfer Engine'!$C$2:$C$1960,0)))</f>
        <v/>
      </c>
      <c r="O1402" s="9">
        <f>IF(ISNA(MATCH(1393,'Transfer Engine'!$C$2:$C$1960,0)),"",INDEX('Compliance Database'!$O$2:$O$1960,MATCH(1393,'Transfer Engine'!$C$2:$C$1960,0)))</f>
        <v/>
      </c>
      <c r="P1402" s="8">
        <f>IF(ISNA(MATCH(1393,'Transfer Engine'!$C$2:$C$1960,0)),"",HYPERLINK("#Acts!A"&amp;INDEX('Compliance Database'!$P$2:$P$1960,MATCH(1393,'Transfer Engine'!$C$2:$C$1960,0)),"Go to Act"))</f>
        <v/>
      </c>
    </row>
    <row r="1403" ht="158" customHeight="1">
      <c r="A1403" s="8">
        <f>IF(ISNA(MATCH(1394,'Transfer Engine'!$C$2:$C$1960,0)),"",INDEX('Compliance Database'!$A$2:$A$1960,MATCH(1394,'Transfer Engine'!$C$2:$C$1960,0)))</f>
        <v/>
      </c>
      <c r="B1403" s="8">
        <f>IF(ISNA(MATCH(1394,'Transfer Engine'!$C$2:$C$1960,0)),"",INDEX('Compliance Database'!$B$2:$B$1960,MATCH(1394,'Transfer Engine'!$C$2:$C$1960,0)))</f>
        <v/>
      </c>
      <c r="C1403" s="8">
        <f>IF(ISNA(MATCH(1394,'Transfer Engine'!$C$2:$C$1960,0)),"",INDEX('Compliance Database'!$C$2:$C$1960,MATCH(1394,'Transfer Engine'!$C$2:$C$1960,0)))</f>
        <v/>
      </c>
      <c r="D1403" s="9">
        <f>IF(ISNA(MATCH(1394,'Transfer Engine'!$C$2:$C$1960,0)),"",INDEX('Compliance Database'!$D$2:$D$1960,MATCH(1394,'Transfer Engine'!$C$2:$C$1960,0)))</f>
        <v/>
      </c>
      <c r="E1403" s="8">
        <f>IF(ISNA(MATCH(1394,'Transfer Engine'!$C$2:$C$1960,0)),"",INDEX('Compliance Database'!$E$2:$E$1960,MATCH(1394,'Transfer Engine'!$C$2:$C$1960,0)))</f>
        <v/>
      </c>
      <c r="F1403" s="8">
        <f>IF(ISNA(MATCH(1394,'Transfer Engine'!$C$2:$C$1960,0)),"",INDEX('Compliance Database'!$F$2:$F$1960,MATCH(1394,'Transfer Engine'!$C$2:$C$1960,0)))</f>
        <v/>
      </c>
      <c r="G1403" s="8">
        <f>IF(ISNA(MATCH(1394,'Transfer Engine'!$C$2:$C$1960,0)),"",INDEX('Compliance Database'!$G$2:$G$1960,MATCH(1394,'Transfer Engine'!$C$2:$C$1960,0)))</f>
        <v/>
      </c>
      <c r="H1403" s="9">
        <f>IF(ISNA(MATCH(1394,'Transfer Engine'!$C$2:$C$1960,0)),"",INDEX('Compliance Database'!$H$2:$H$1960,MATCH(1394,'Transfer Engine'!$C$2:$C$1960,0)))</f>
        <v/>
      </c>
      <c r="I1403" s="9">
        <f>IF(ISNA(MATCH(1394,'Transfer Engine'!$C$2:$C$1960,0)),"",INDEX('Compliance Database'!$I$2:$I$1960,MATCH(1394,'Transfer Engine'!$C$2:$C$1960,0)))</f>
        <v/>
      </c>
      <c r="J1403" s="8">
        <f>IF(ISNA(MATCH(1394,'Transfer Engine'!$C$2:$C$1960,0)),"",INDEX('Compliance Database'!$J$2:$J$1960,MATCH(1394,'Transfer Engine'!$C$2:$C$1960,0)))</f>
        <v/>
      </c>
      <c r="K1403" s="9">
        <f>IF(ISNA(MATCH(1394,'Transfer Engine'!$C$2:$C$1960,0)),"",INDEX('Compliance Database'!$K$2:$K$1960,MATCH(1394,'Transfer Engine'!$C$2:$C$1960,0)))</f>
        <v/>
      </c>
      <c r="L1403" s="9">
        <f>IF(ISNA(MATCH(1394,'Transfer Engine'!$C$2:$C$1960,0)),"",INDEX('Compliance Database'!$L$2:$L$1960,MATCH(1394,'Transfer Engine'!$C$2:$C$1960,0)))</f>
        <v/>
      </c>
      <c r="M1403" s="9">
        <f>IF(ISNA(MATCH(1394,'Transfer Engine'!$C$2:$C$1960,0)),"",INDEX('Compliance Database'!$M$2:$M$1960,MATCH(1394,'Transfer Engine'!$C$2:$C$1960,0)))</f>
        <v/>
      </c>
      <c r="N1403" s="9">
        <f>IF(ISNA(MATCH(1394,'Transfer Engine'!$C$2:$C$1960,0)),"",INDEX('Compliance Database'!$N$2:$N$1960,MATCH(1394,'Transfer Engine'!$C$2:$C$1960,0)))</f>
        <v/>
      </c>
      <c r="O1403" s="9">
        <f>IF(ISNA(MATCH(1394,'Transfer Engine'!$C$2:$C$1960,0)),"",INDEX('Compliance Database'!$O$2:$O$1960,MATCH(1394,'Transfer Engine'!$C$2:$C$1960,0)))</f>
        <v/>
      </c>
      <c r="P1403" s="8">
        <f>IF(ISNA(MATCH(1394,'Transfer Engine'!$C$2:$C$1960,0)),"",HYPERLINK("#Acts!A"&amp;INDEX('Compliance Database'!$P$2:$P$1960,MATCH(1394,'Transfer Engine'!$C$2:$C$1960,0)),"Go to Act"))</f>
        <v/>
      </c>
    </row>
    <row r="1404" ht="158" customHeight="1">
      <c r="A1404" s="8">
        <f>IF(ISNA(MATCH(1395,'Transfer Engine'!$C$2:$C$1960,0)),"",INDEX('Compliance Database'!$A$2:$A$1960,MATCH(1395,'Transfer Engine'!$C$2:$C$1960,0)))</f>
        <v/>
      </c>
      <c r="B1404" s="8">
        <f>IF(ISNA(MATCH(1395,'Transfer Engine'!$C$2:$C$1960,0)),"",INDEX('Compliance Database'!$B$2:$B$1960,MATCH(1395,'Transfer Engine'!$C$2:$C$1960,0)))</f>
        <v/>
      </c>
      <c r="C1404" s="8">
        <f>IF(ISNA(MATCH(1395,'Transfer Engine'!$C$2:$C$1960,0)),"",INDEX('Compliance Database'!$C$2:$C$1960,MATCH(1395,'Transfer Engine'!$C$2:$C$1960,0)))</f>
        <v/>
      </c>
      <c r="D1404" s="9">
        <f>IF(ISNA(MATCH(1395,'Transfer Engine'!$C$2:$C$1960,0)),"",INDEX('Compliance Database'!$D$2:$D$1960,MATCH(1395,'Transfer Engine'!$C$2:$C$1960,0)))</f>
        <v/>
      </c>
      <c r="E1404" s="8">
        <f>IF(ISNA(MATCH(1395,'Transfer Engine'!$C$2:$C$1960,0)),"",INDEX('Compliance Database'!$E$2:$E$1960,MATCH(1395,'Transfer Engine'!$C$2:$C$1960,0)))</f>
        <v/>
      </c>
      <c r="F1404" s="8">
        <f>IF(ISNA(MATCH(1395,'Transfer Engine'!$C$2:$C$1960,0)),"",INDEX('Compliance Database'!$F$2:$F$1960,MATCH(1395,'Transfer Engine'!$C$2:$C$1960,0)))</f>
        <v/>
      </c>
      <c r="G1404" s="8">
        <f>IF(ISNA(MATCH(1395,'Transfer Engine'!$C$2:$C$1960,0)),"",INDEX('Compliance Database'!$G$2:$G$1960,MATCH(1395,'Transfer Engine'!$C$2:$C$1960,0)))</f>
        <v/>
      </c>
      <c r="H1404" s="9">
        <f>IF(ISNA(MATCH(1395,'Transfer Engine'!$C$2:$C$1960,0)),"",INDEX('Compliance Database'!$H$2:$H$1960,MATCH(1395,'Transfer Engine'!$C$2:$C$1960,0)))</f>
        <v/>
      </c>
      <c r="I1404" s="9">
        <f>IF(ISNA(MATCH(1395,'Transfer Engine'!$C$2:$C$1960,0)),"",INDEX('Compliance Database'!$I$2:$I$1960,MATCH(1395,'Transfer Engine'!$C$2:$C$1960,0)))</f>
        <v/>
      </c>
      <c r="J1404" s="8">
        <f>IF(ISNA(MATCH(1395,'Transfer Engine'!$C$2:$C$1960,0)),"",INDEX('Compliance Database'!$J$2:$J$1960,MATCH(1395,'Transfer Engine'!$C$2:$C$1960,0)))</f>
        <v/>
      </c>
      <c r="K1404" s="9">
        <f>IF(ISNA(MATCH(1395,'Transfer Engine'!$C$2:$C$1960,0)),"",INDEX('Compliance Database'!$K$2:$K$1960,MATCH(1395,'Transfer Engine'!$C$2:$C$1960,0)))</f>
        <v/>
      </c>
      <c r="L1404" s="9">
        <f>IF(ISNA(MATCH(1395,'Transfer Engine'!$C$2:$C$1960,0)),"",INDEX('Compliance Database'!$L$2:$L$1960,MATCH(1395,'Transfer Engine'!$C$2:$C$1960,0)))</f>
        <v/>
      </c>
      <c r="M1404" s="9">
        <f>IF(ISNA(MATCH(1395,'Transfer Engine'!$C$2:$C$1960,0)),"",INDEX('Compliance Database'!$M$2:$M$1960,MATCH(1395,'Transfer Engine'!$C$2:$C$1960,0)))</f>
        <v/>
      </c>
      <c r="N1404" s="9">
        <f>IF(ISNA(MATCH(1395,'Transfer Engine'!$C$2:$C$1960,0)),"",INDEX('Compliance Database'!$N$2:$N$1960,MATCH(1395,'Transfer Engine'!$C$2:$C$1960,0)))</f>
        <v/>
      </c>
      <c r="O1404" s="9">
        <f>IF(ISNA(MATCH(1395,'Transfer Engine'!$C$2:$C$1960,0)),"",INDEX('Compliance Database'!$O$2:$O$1960,MATCH(1395,'Transfer Engine'!$C$2:$C$1960,0)))</f>
        <v/>
      </c>
      <c r="P1404" s="8">
        <f>IF(ISNA(MATCH(1395,'Transfer Engine'!$C$2:$C$1960,0)),"",HYPERLINK("#Acts!A"&amp;INDEX('Compliance Database'!$P$2:$P$1960,MATCH(1395,'Transfer Engine'!$C$2:$C$1960,0)),"Go to Act"))</f>
        <v/>
      </c>
    </row>
    <row r="1405" ht="158" customHeight="1">
      <c r="A1405" s="8">
        <f>IF(ISNA(MATCH(1396,'Transfer Engine'!$C$2:$C$1960,0)),"",INDEX('Compliance Database'!$A$2:$A$1960,MATCH(1396,'Transfer Engine'!$C$2:$C$1960,0)))</f>
        <v/>
      </c>
      <c r="B1405" s="8">
        <f>IF(ISNA(MATCH(1396,'Transfer Engine'!$C$2:$C$1960,0)),"",INDEX('Compliance Database'!$B$2:$B$1960,MATCH(1396,'Transfer Engine'!$C$2:$C$1960,0)))</f>
        <v/>
      </c>
      <c r="C1405" s="8">
        <f>IF(ISNA(MATCH(1396,'Transfer Engine'!$C$2:$C$1960,0)),"",INDEX('Compliance Database'!$C$2:$C$1960,MATCH(1396,'Transfer Engine'!$C$2:$C$1960,0)))</f>
        <v/>
      </c>
      <c r="D1405" s="9">
        <f>IF(ISNA(MATCH(1396,'Transfer Engine'!$C$2:$C$1960,0)),"",INDEX('Compliance Database'!$D$2:$D$1960,MATCH(1396,'Transfer Engine'!$C$2:$C$1960,0)))</f>
        <v/>
      </c>
      <c r="E1405" s="8">
        <f>IF(ISNA(MATCH(1396,'Transfer Engine'!$C$2:$C$1960,0)),"",INDEX('Compliance Database'!$E$2:$E$1960,MATCH(1396,'Transfer Engine'!$C$2:$C$1960,0)))</f>
        <v/>
      </c>
      <c r="F1405" s="8">
        <f>IF(ISNA(MATCH(1396,'Transfer Engine'!$C$2:$C$1960,0)),"",INDEX('Compliance Database'!$F$2:$F$1960,MATCH(1396,'Transfer Engine'!$C$2:$C$1960,0)))</f>
        <v/>
      </c>
      <c r="G1405" s="8">
        <f>IF(ISNA(MATCH(1396,'Transfer Engine'!$C$2:$C$1960,0)),"",INDEX('Compliance Database'!$G$2:$G$1960,MATCH(1396,'Transfer Engine'!$C$2:$C$1960,0)))</f>
        <v/>
      </c>
      <c r="H1405" s="9">
        <f>IF(ISNA(MATCH(1396,'Transfer Engine'!$C$2:$C$1960,0)),"",INDEX('Compliance Database'!$H$2:$H$1960,MATCH(1396,'Transfer Engine'!$C$2:$C$1960,0)))</f>
        <v/>
      </c>
      <c r="I1405" s="9">
        <f>IF(ISNA(MATCH(1396,'Transfer Engine'!$C$2:$C$1960,0)),"",INDEX('Compliance Database'!$I$2:$I$1960,MATCH(1396,'Transfer Engine'!$C$2:$C$1960,0)))</f>
        <v/>
      </c>
      <c r="J1405" s="8">
        <f>IF(ISNA(MATCH(1396,'Transfer Engine'!$C$2:$C$1960,0)),"",INDEX('Compliance Database'!$J$2:$J$1960,MATCH(1396,'Transfer Engine'!$C$2:$C$1960,0)))</f>
        <v/>
      </c>
      <c r="K1405" s="9">
        <f>IF(ISNA(MATCH(1396,'Transfer Engine'!$C$2:$C$1960,0)),"",INDEX('Compliance Database'!$K$2:$K$1960,MATCH(1396,'Transfer Engine'!$C$2:$C$1960,0)))</f>
        <v/>
      </c>
      <c r="L1405" s="9">
        <f>IF(ISNA(MATCH(1396,'Transfer Engine'!$C$2:$C$1960,0)),"",INDEX('Compliance Database'!$L$2:$L$1960,MATCH(1396,'Transfer Engine'!$C$2:$C$1960,0)))</f>
        <v/>
      </c>
      <c r="M1405" s="9">
        <f>IF(ISNA(MATCH(1396,'Transfer Engine'!$C$2:$C$1960,0)),"",INDEX('Compliance Database'!$M$2:$M$1960,MATCH(1396,'Transfer Engine'!$C$2:$C$1960,0)))</f>
        <v/>
      </c>
      <c r="N1405" s="9">
        <f>IF(ISNA(MATCH(1396,'Transfer Engine'!$C$2:$C$1960,0)),"",INDEX('Compliance Database'!$N$2:$N$1960,MATCH(1396,'Transfer Engine'!$C$2:$C$1960,0)))</f>
        <v/>
      </c>
      <c r="O1405" s="9">
        <f>IF(ISNA(MATCH(1396,'Transfer Engine'!$C$2:$C$1960,0)),"",INDEX('Compliance Database'!$O$2:$O$1960,MATCH(1396,'Transfer Engine'!$C$2:$C$1960,0)))</f>
        <v/>
      </c>
      <c r="P1405" s="8">
        <f>IF(ISNA(MATCH(1396,'Transfer Engine'!$C$2:$C$1960,0)),"",HYPERLINK("#Acts!A"&amp;INDEX('Compliance Database'!$P$2:$P$1960,MATCH(1396,'Transfer Engine'!$C$2:$C$1960,0)),"Go to Act"))</f>
        <v/>
      </c>
    </row>
    <row r="1406" ht="158" customHeight="1">
      <c r="A1406" s="8">
        <f>IF(ISNA(MATCH(1397,'Transfer Engine'!$C$2:$C$1960,0)),"",INDEX('Compliance Database'!$A$2:$A$1960,MATCH(1397,'Transfer Engine'!$C$2:$C$1960,0)))</f>
        <v/>
      </c>
      <c r="B1406" s="8">
        <f>IF(ISNA(MATCH(1397,'Transfer Engine'!$C$2:$C$1960,0)),"",INDEX('Compliance Database'!$B$2:$B$1960,MATCH(1397,'Transfer Engine'!$C$2:$C$1960,0)))</f>
        <v/>
      </c>
      <c r="C1406" s="8">
        <f>IF(ISNA(MATCH(1397,'Transfer Engine'!$C$2:$C$1960,0)),"",INDEX('Compliance Database'!$C$2:$C$1960,MATCH(1397,'Transfer Engine'!$C$2:$C$1960,0)))</f>
        <v/>
      </c>
      <c r="D1406" s="9">
        <f>IF(ISNA(MATCH(1397,'Transfer Engine'!$C$2:$C$1960,0)),"",INDEX('Compliance Database'!$D$2:$D$1960,MATCH(1397,'Transfer Engine'!$C$2:$C$1960,0)))</f>
        <v/>
      </c>
      <c r="E1406" s="8">
        <f>IF(ISNA(MATCH(1397,'Transfer Engine'!$C$2:$C$1960,0)),"",INDEX('Compliance Database'!$E$2:$E$1960,MATCH(1397,'Transfer Engine'!$C$2:$C$1960,0)))</f>
        <v/>
      </c>
      <c r="F1406" s="8">
        <f>IF(ISNA(MATCH(1397,'Transfer Engine'!$C$2:$C$1960,0)),"",INDEX('Compliance Database'!$F$2:$F$1960,MATCH(1397,'Transfer Engine'!$C$2:$C$1960,0)))</f>
        <v/>
      </c>
      <c r="G1406" s="8">
        <f>IF(ISNA(MATCH(1397,'Transfer Engine'!$C$2:$C$1960,0)),"",INDEX('Compliance Database'!$G$2:$G$1960,MATCH(1397,'Transfer Engine'!$C$2:$C$1960,0)))</f>
        <v/>
      </c>
      <c r="H1406" s="9">
        <f>IF(ISNA(MATCH(1397,'Transfer Engine'!$C$2:$C$1960,0)),"",INDEX('Compliance Database'!$H$2:$H$1960,MATCH(1397,'Transfer Engine'!$C$2:$C$1960,0)))</f>
        <v/>
      </c>
      <c r="I1406" s="9">
        <f>IF(ISNA(MATCH(1397,'Transfer Engine'!$C$2:$C$1960,0)),"",INDEX('Compliance Database'!$I$2:$I$1960,MATCH(1397,'Transfer Engine'!$C$2:$C$1960,0)))</f>
        <v/>
      </c>
      <c r="J1406" s="8">
        <f>IF(ISNA(MATCH(1397,'Transfer Engine'!$C$2:$C$1960,0)),"",INDEX('Compliance Database'!$J$2:$J$1960,MATCH(1397,'Transfer Engine'!$C$2:$C$1960,0)))</f>
        <v/>
      </c>
      <c r="K1406" s="9">
        <f>IF(ISNA(MATCH(1397,'Transfer Engine'!$C$2:$C$1960,0)),"",INDEX('Compliance Database'!$K$2:$K$1960,MATCH(1397,'Transfer Engine'!$C$2:$C$1960,0)))</f>
        <v/>
      </c>
      <c r="L1406" s="9">
        <f>IF(ISNA(MATCH(1397,'Transfer Engine'!$C$2:$C$1960,0)),"",INDEX('Compliance Database'!$L$2:$L$1960,MATCH(1397,'Transfer Engine'!$C$2:$C$1960,0)))</f>
        <v/>
      </c>
      <c r="M1406" s="9">
        <f>IF(ISNA(MATCH(1397,'Transfer Engine'!$C$2:$C$1960,0)),"",INDEX('Compliance Database'!$M$2:$M$1960,MATCH(1397,'Transfer Engine'!$C$2:$C$1960,0)))</f>
        <v/>
      </c>
      <c r="N1406" s="9">
        <f>IF(ISNA(MATCH(1397,'Transfer Engine'!$C$2:$C$1960,0)),"",INDEX('Compliance Database'!$N$2:$N$1960,MATCH(1397,'Transfer Engine'!$C$2:$C$1960,0)))</f>
        <v/>
      </c>
      <c r="O1406" s="9">
        <f>IF(ISNA(MATCH(1397,'Transfer Engine'!$C$2:$C$1960,0)),"",INDEX('Compliance Database'!$O$2:$O$1960,MATCH(1397,'Transfer Engine'!$C$2:$C$1960,0)))</f>
        <v/>
      </c>
      <c r="P1406" s="8">
        <f>IF(ISNA(MATCH(1397,'Transfer Engine'!$C$2:$C$1960,0)),"",HYPERLINK("#Acts!A"&amp;INDEX('Compliance Database'!$P$2:$P$1960,MATCH(1397,'Transfer Engine'!$C$2:$C$1960,0)),"Go to Act"))</f>
        <v/>
      </c>
    </row>
    <row r="1407" ht="158" customHeight="1">
      <c r="A1407" s="8">
        <f>IF(ISNA(MATCH(1398,'Transfer Engine'!$C$2:$C$1960,0)),"",INDEX('Compliance Database'!$A$2:$A$1960,MATCH(1398,'Transfer Engine'!$C$2:$C$1960,0)))</f>
        <v/>
      </c>
      <c r="B1407" s="8">
        <f>IF(ISNA(MATCH(1398,'Transfer Engine'!$C$2:$C$1960,0)),"",INDEX('Compliance Database'!$B$2:$B$1960,MATCH(1398,'Transfer Engine'!$C$2:$C$1960,0)))</f>
        <v/>
      </c>
      <c r="C1407" s="8">
        <f>IF(ISNA(MATCH(1398,'Transfer Engine'!$C$2:$C$1960,0)),"",INDEX('Compliance Database'!$C$2:$C$1960,MATCH(1398,'Transfer Engine'!$C$2:$C$1960,0)))</f>
        <v/>
      </c>
      <c r="D1407" s="9">
        <f>IF(ISNA(MATCH(1398,'Transfer Engine'!$C$2:$C$1960,0)),"",INDEX('Compliance Database'!$D$2:$D$1960,MATCH(1398,'Transfer Engine'!$C$2:$C$1960,0)))</f>
        <v/>
      </c>
      <c r="E1407" s="8">
        <f>IF(ISNA(MATCH(1398,'Transfer Engine'!$C$2:$C$1960,0)),"",INDEX('Compliance Database'!$E$2:$E$1960,MATCH(1398,'Transfer Engine'!$C$2:$C$1960,0)))</f>
        <v/>
      </c>
      <c r="F1407" s="8">
        <f>IF(ISNA(MATCH(1398,'Transfer Engine'!$C$2:$C$1960,0)),"",INDEX('Compliance Database'!$F$2:$F$1960,MATCH(1398,'Transfer Engine'!$C$2:$C$1960,0)))</f>
        <v/>
      </c>
      <c r="G1407" s="8">
        <f>IF(ISNA(MATCH(1398,'Transfer Engine'!$C$2:$C$1960,0)),"",INDEX('Compliance Database'!$G$2:$G$1960,MATCH(1398,'Transfer Engine'!$C$2:$C$1960,0)))</f>
        <v/>
      </c>
      <c r="H1407" s="9">
        <f>IF(ISNA(MATCH(1398,'Transfer Engine'!$C$2:$C$1960,0)),"",INDEX('Compliance Database'!$H$2:$H$1960,MATCH(1398,'Transfer Engine'!$C$2:$C$1960,0)))</f>
        <v/>
      </c>
      <c r="I1407" s="9">
        <f>IF(ISNA(MATCH(1398,'Transfer Engine'!$C$2:$C$1960,0)),"",INDEX('Compliance Database'!$I$2:$I$1960,MATCH(1398,'Transfer Engine'!$C$2:$C$1960,0)))</f>
        <v/>
      </c>
      <c r="J1407" s="8">
        <f>IF(ISNA(MATCH(1398,'Transfer Engine'!$C$2:$C$1960,0)),"",INDEX('Compliance Database'!$J$2:$J$1960,MATCH(1398,'Transfer Engine'!$C$2:$C$1960,0)))</f>
        <v/>
      </c>
      <c r="K1407" s="9">
        <f>IF(ISNA(MATCH(1398,'Transfer Engine'!$C$2:$C$1960,0)),"",INDEX('Compliance Database'!$K$2:$K$1960,MATCH(1398,'Transfer Engine'!$C$2:$C$1960,0)))</f>
        <v/>
      </c>
      <c r="L1407" s="9">
        <f>IF(ISNA(MATCH(1398,'Transfer Engine'!$C$2:$C$1960,0)),"",INDEX('Compliance Database'!$L$2:$L$1960,MATCH(1398,'Transfer Engine'!$C$2:$C$1960,0)))</f>
        <v/>
      </c>
      <c r="M1407" s="9">
        <f>IF(ISNA(MATCH(1398,'Transfer Engine'!$C$2:$C$1960,0)),"",INDEX('Compliance Database'!$M$2:$M$1960,MATCH(1398,'Transfer Engine'!$C$2:$C$1960,0)))</f>
        <v/>
      </c>
      <c r="N1407" s="9">
        <f>IF(ISNA(MATCH(1398,'Transfer Engine'!$C$2:$C$1960,0)),"",INDEX('Compliance Database'!$N$2:$N$1960,MATCH(1398,'Transfer Engine'!$C$2:$C$1960,0)))</f>
        <v/>
      </c>
      <c r="O1407" s="9">
        <f>IF(ISNA(MATCH(1398,'Transfer Engine'!$C$2:$C$1960,0)),"",INDEX('Compliance Database'!$O$2:$O$1960,MATCH(1398,'Transfer Engine'!$C$2:$C$1960,0)))</f>
        <v/>
      </c>
      <c r="P1407" s="8">
        <f>IF(ISNA(MATCH(1398,'Transfer Engine'!$C$2:$C$1960,0)),"",HYPERLINK("#Acts!A"&amp;INDEX('Compliance Database'!$P$2:$P$1960,MATCH(1398,'Transfer Engine'!$C$2:$C$1960,0)),"Go to Act"))</f>
        <v/>
      </c>
    </row>
    <row r="1408" ht="158" customHeight="1">
      <c r="A1408" s="8">
        <f>IF(ISNA(MATCH(1399,'Transfer Engine'!$C$2:$C$1960,0)),"",INDEX('Compliance Database'!$A$2:$A$1960,MATCH(1399,'Transfer Engine'!$C$2:$C$1960,0)))</f>
        <v/>
      </c>
      <c r="B1408" s="8">
        <f>IF(ISNA(MATCH(1399,'Transfer Engine'!$C$2:$C$1960,0)),"",INDEX('Compliance Database'!$B$2:$B$1960,MATCH(1399,'Transfer Engine'!$C$2:$C$1960,0)))</f>
        <v/>
      </c>
      <c r="C1408" s="8">
        <f>IF(ISNA(MATCH(1399,'Transfer Engine'!$C$2:$C$1960,0)),"",INDEX('Compliance Database'!$C$2:$C$1960,MATCH(1399,'Transfer Engine'!$C$2:$C$1960,0)))</f>
        <v/>
      </c>
      <c r="D1408" s="9">
        <f>IF(ISNA(MATCH(1399,'Transfer Engine'!$C$2:$C$1960,0)),"",INDEX('Compliance Database'!$D$2:$D$1960,MATCH(1399,'Transfer Engine'!$C$2:$C$1960,0)))</f>
        <v/>
      </c>
      <c r="E1408" s="8">
        <f>IF(ISNA(MATCH(1399,'Transfer Engine'!$C$2:$C$1960,0)),"",INDEX('Compliance Database'!$E$2:$E$1960,MATCH(1399,'Transfer Engine'!$C$2:$C$1960,0)))</f>
        <v/>
      </c>
      <c r="F1408" s="8">
        <f>IF(ISNA(MATCH(1399,'Transfer Engine'!$C$2:$C$1960,0)),"",INDEX('Compliance Database'!$F$2:$F$1960,MATCH(1399,'Transfer Engine'!$C$2:$C$1960,0)))</f>
        <v/>
      </c>
      <c r="G1408" s="8">
        <f>IF(ISNA(MATCH(1399,'Transfer Engine'!$C$2:$C$1960,0)),"",INDEX('Compliance Database'!$G$2:$G$1960,MATCH(1399,'Transfer Engine'!$C$2:$C$1960,0)))</f>
        <v/>
      </c>
      <c r="H1408" s="9">
        <f>IF(ISNA(MATCH(1399,'Transfer Engine'!$C$2:$C$1960,0)),"",INDEX('Compliance Database'!$H$2:$H$1960,MATCH(1399,'Transfer Engine'!$C$2:$C$1960,0)))</f>
        <v/>
      </c>
      <c r="I1408" s="9">
        <f>IF(ISNA(MATCH(1399,'Transfer Engine'!$C$2:$C$1960,0)),"",INDEX('Compliance Database'!$I$2:$I$1960,MATCH(1399,'Transfer Engine'!$C$2:$C$1960,0)))</f>
        <v/>
      </c>
      <c r="J1408" s="8">
        <f>IF(ISNA(MATCH(1399,'Transfer Engine'!$C$2:$C$1960,0)),"",INDEX('Compliance Database'!$J$2:$J$1960,MATCH(1399,'Transfer Engine'!$C$2:$C$1960,0)))</f>
        <v/>
      </c>
      <c r="K1408" s="9">
        <f>IF(ISNA(MATCH(1399,'Transfer Engine'!$C$2:$C$1960,0)),"",INDEX('Compliance Database'!$K$2:$K$1960,MATCH(1399,'Transfer Engine'!$C$2:$C$1960,0)))</f>
        <v/>
      </c>
      <c r="L1408" s="9">
        <f>IF(ISNA(MATCH(1399,'Transfer Engine'!$C$2:$C$1960,0)),"",INDEX('Compliance Database'!$L$2:$L$1960,MATCH(1399,'Transfer Engine'!$C$2:$C$1960,0)))</f>
        <v/>
      </c>
      <c r="M1408" s="9">
        <f>IF(ISNA(MATCH(1399,'Transfer Engine'!$C$2:$C$1960,0)),"",INDEX('Compliance Database'!$M$2:$M$1960,MATCH(1399,'Transfer Engine'!$C$2:$C$1960,0)))</f>
        <v/>
      </c>
      <c r="N1408" s="9">
        <f>IF(ISNA(MATCH(1399,'Transfer Engine'!$C$2:$C$1960,0)),"",INDEX('Compliance Database'!$N$2:$N$1960,MATCH(1399,'Transfer Engine'!$C$2:$C$1960,0)))</f>
        <v/>
      </c>
      <c r="O1408" s="9">
        <f>IF(ISNA(MATCH(1399,'Transfer Engine'!$C$2:$C$1960,0)),"",INDEX('Compliance Database'!$O$2:$O$1960,MATCH(1399,'Transfer Engine'!$C$2:$C$1960,0)))</f>
        <v/>
      </c>
      <c r="P1408" s="8">
        <f>IF(ISNA(MATCH(1399,'Transfer Engine'!$C$2:$C$1960,0)),"",HYPERLINK("#Acts!A"&amp;INDEX('Compliance Database'!$P$2:$P$1960,MATCH(1399,'Transfer Engine'!$C$2:$C$1960,0)),"Go to Act"))</f>
        <v/>
      </c>
    </row>
    <row r="1409" ht="158" customHeight="1">
      <c r="A1409" s="8">
        <f>IF(ISNA(MATCH(1400,'Transfer Engine'!$C$2:$C$1960,0)),"",INDEX('Compliance Database'!$A$2:$A$1960,MATCH(1400,'Transfer Engine'!$C$2:$C$1960,0)))</f>
        <v/>
      </c>
      <c r="B1409" s="8">
        <f>IF(ISNA(MATCH(1400,'Transfer Engine'!$C$2:$C$1960,0)),"",INDEX('Compliance Database'!$B$2:$B$1960,MATCH(1400,'Transfer Engine'!$C$2:$C$1960,0)))</f>
        <v/>
      </c>
      <c r="C1409" s="8">
        <f>IF(ISNA(MATCH(1400,'Transfer Engine'!$C$2:$C$1960,0)),"",INDEX('Compliance Database'!$C$2:$C$1960,MATCH(1400,'Transfer Engine'!$C$2:$C$1960,0)))</f>
        <v/>
      </c>
      <c r="D1409" s="9">
        <f>IF(ISNA(MATCH(1400,'Transfer Engine'!$C$2:$C$1960,0)),"",INDEX('Compliance Database'!$D$2:$D$1960,MATCH(1400,'Transfer Engine'!$C$2:$C$1960,0)))</f>
        <v/>
      </c>
      <c r="E1409" s="8">
        <f>IF(ISNA(MATCH(1400,'Transfer Engine'!$C$2:$C$1960,0)),"",INDEX('Compliance Database'!$E$2:$E$1960,MATCH(1400,'Transfer Engine'!$C$2:$C$1960,0)))</f>
        <v/>
      </c>
      <c r="F1409" s="8">
        <f>IF(ISNA(MATCH(1400,'Transfer Engine'!$C$2:$C$1960,0)),"",INDEX('Compliance Database'!$F$2:$F$1960,MATCH(1400,'Transfer Engine'!$C$2:$C$1960,0)))</f>
        <v/>
      </c>
      <c r="G1409" s="8">
        <f>IF(ISNA(MATCH(1400,'Transfer Engine'!$C$2:$C$1960,0)),"",INDEX('Compliance Database'!$G$2:$G$1960,MATCH(1400,'Transfer Engine'!$C$2:$C$1960,0)))</f>
        <v/>
      </c>
      <c r="H1409" s="9">
        <f>IF(ISNA(MATCH(1400,'Transfer Engine'!$C$2:$C$1960,0)),"",INDEX('Compliance Database'!$H$2:$H$1960,MATCH(1400,'Transfer Engine'!$C$2:$C$1960,0)))</f>
        <v/>
      </c>
      <c r="I1409" s="9">
        <f>IF(ISNA(MATCH(1400,'Transfer Engine'!$C$2:$C$1960,0)),"",INDEX('Compliance Database'!$I$2:$I$1960,MATCH(1400,'Transfer Engine'!$C$2:$C$1960,0)))</f>
        <v/>
      </c>
      <c r="J1409" s="8">
        <f>IF(ISNA(MATCH(1400,'Transfer Engine'!$C$2:$C$1960,0)),"",INDEX('Compliance Database'!$J$2:$J$1960,MATCH(1400,'Transfer Engine'!$C$2:$C$1960,0)))</f>
        <v/>
      </c>
      <c r="K1409" s="9">
        <f>IF(ISNA(MATCH(1400,'Transfer Engine'!$C$2:$C$1960,0)),"",INDEX('Compliance Database'!$K$2:$K$1960,MATCH(1400,'Transfer Engine'!$C$2:$C$1960,0)))</f>
        <v/>
      </c>
      <c r="L1409" s="9">
        <f>IF(ISNA(MATCH(1400,'Transfer Engine'!$C$2:$C$1960,0)),"",INDEX('Compliance Database'!$L$2:$L$1960,MATCH(1400,'Transfer Engine'!$C$2:$C$1960,0)))</f>
        <v/>
      </c>
      <c r="M1409" s="9">
        <f>IF(ISNA(MATCH(1400,'Transfer Engine'!$C$2:$C$1960,0)),"",INDEX('Compliance Database'!$M$2:$M$1960,MATCH(1400,'Transfer Engine'!$C$2:$C$1960,0)))</f>
        <v/>
      </c>
      <c r="N1409" s="9">
        <f>IF(ISNA(MATCH(1400,'Transfer Engine'!$C$2:$C$1960,0)),"",INDEX('Compliance Database'!$N$2:$N$1960,MATCH(1400,'Transfer Engine'!$C$2:$C$1960,0)))</f>
        <v/>
      </c>
      <c r="O1409" s="9">
        <f>IF(ISNA(MATCH(1400,'Transfer Engine'!$C$2:$C$1960,0)),"",INDEX('Compliance Database'!$O$2:$O$1960,MATCH(1400,'Transfer Engine'!$C$2:$C$1960,0)))</f>
        <v/>
      </c>
      <c r="P1409" s="8">
        <f>IF(ISNA(MATCH(1400,'Transfer Engine'!$C$2:$C$1960,0)),"",HYPERLINK("#Acts!A"&amp;INDEX('Compliance Database'!$P$2:$P$1960,MATCH(1400,'Transfer Engine'!$C$2:$C$1960,0)),"Go to Act"))</f>
        <v/>
      </c>
    </row>
    <row r="1410" ht="158" customHeight="1">
      <c r="A1410" s="8">
        <f>IF(ISNA(MATCH(1401,'Transfer Engine'!$C$2:$C$1960,0)),"",INDEX('Compliance Database'!$A$2:$A$1960,MATCH(1401,'Transfer Engine'!$C$2:$C$1960,0)))</f>
        <v/>
      </c>
      <c r="B1410" s="8">
        <f>IF(ISNA(MATCH(1401,'Transfer Engine'!$C$2:$C$1960,0)),"",INDEX('Compliance Database'!$B$2:$B$1960,MATCH(1401,'Transfer Engine'!$C$2:$C$1960,0)))</f>
        <v/>
      </c>
      <c r="C1410" s="8">
        <f>IF(ISNA(MATCH(1401,'Transfer Engine'!$C$2:$C$1960,0)),"",INDEX('Compliance Database'!$C$2:$C$1960,MATCH(1401,'Transfer Engine'!$C$2:$C$1960,0)))</f>
        <v/>
      </c>
      <c r="D1410" s="9">
        <f>IF(ISNA(MATCH(1401,'Transfer Engine'!$C$2:$C$1960,0)),"",INDEX('Compliance Database'!$D$2:$D$1960,MATCH(1401,'Transfer Engine'!$C$2:$C$1960,0)))</f>
        <v/>
      </c>
      <c r="E1410" s="8">
        <f>IF(ISNA(MATCH(1401,'Transfer Engine'!$C$2:$C$1960,0)),"",INDEX('Compliance Database'!$E$2:$E$1960,MATCH(1401,'Transfer Engine'!$C$2:$C$1960,0)))</f>
        <v/>
      </c>
      <c r="F1410" s="8">
        <f>IF(ISNA(MATCH(1401,'Transfer Engine'!$C$2:$C$1960,0)),"",INDEX('Compliance Database'!$F$2:$F$1960,MATCH(1401,'Transfer Engine'!$C$2:$C$1960,0)))</f>
        <v/>
      </c>
      <c r="G1410" s="8">
        <f>IF(ISNA(MATCH(1401,'Transfer Engine'!$C$2:$C$1960,0)),"",INDEX('Compliance Database'!$G$2:$G$1960,MATCH(1401,'Transfer Engine'!$C$2:$C$1960,0)))</f>
        <v/>
      </c>
      <c r="H1410" s="9">
        <f>IF(ISNA(MATCH(1401,'Transfer Engine'!$C$2:$C$1960,0)),"",INDEX('Compliance Database'!$H$2:$H$1960,MATCH(1401,'Transfer Engine'!$C$2:$C$1960,0)))</f>
        <v/>
      </c>
      <c r="I1410" s="9">
        <f>IF(ISNA(MATCH(1401,'Transfer Engine'!$C$2:$C$1960,0)),"",INDEX('Compliance Database'!$I$2:$I$1960,MATCH(1401,'Transfer Engine'!$C$2:$C$1960,0)))</f>
        <v/>
      </c>
      <c r="J1410" s="8">
        <f>IF(ISNA(MATCH(1401,'Transfer Engine'!$C$2:$C$1960,0)),"",INDEX('Compliance Database'!$J$2:$J$1960,MATCH(1401,'Transfer Engine'!$C$2:$C$1960,0)))</f>
        <v/>
      </c>
      <c r="K1410" s="9">
        <f>IF(ISNA(MATCH(1401,'Transfer Engine'!$C$2:$C$1960,0)),"",INDEX('Compliance Database'!$K$2:$K$1960,MATCH(1401,'Transfer Engine'!$C$2:$C$1960,0)))</f>
        <v/>
      </c>
      <c r="L1410" s="9">
        <f>IF(ISNA(MATCH(1401,'Transfer Engine'!$C$2:$C$1960,0)),"",INDEX('Compliance Database'!$L$2:$L$1960,MATCH(1401,'Transfer Engine'!$C$2:$C$1960,0)))</f>
        <v/>
      </c>
      <c r="M1410" s="9">
        <f>IF(ISNA(MATCH(1401,'Transfer Engine'!$C$2:$C$1960,0)),"",INDEX('Compliance Database'!$M$2:$M$1960,MATCH(1401,'Transfer Engine'!$C$2:$C$1960,0)))</f>
        <v/>
      </c>
      <c r="N1410" s="9">
        <f>IF(ISNA(MATCH(1401,'Transfer Engine'!$C$2:$C$1960,0)),"",INDEX('Compliance Database'!$N$2:$N$1960,MATCH(1401,'Transfer Engine'!$C$2:$C$1960,0)))</f>
        <v/>
      </c>
      <c r="O1410" s="9">
        <f>IF(ISNA(MATCH(1401,'Transfer Engine'!$C$2:$C$1960,0)),"",INDEX('Compliance Database'!$O$2:$O$1960,MATCH(1401,'Transfer Engine'!$C$2:$C$1960,0)))</f>
        <v/>
      </c>
      <c r="P1410" s="8">
        <f>IF(ISNA(MATCH(1401,'Transfer Engine'!$C$2:$C$1960,0)),"",HYPERLINK("#Acts!A"&amp;INDEX('Compliance Database'!$P$2:$P$1960,MATCH(1401,'Transfer Engine'!$C$2:$C$1960,0)),"Go to Act"))</f>
        <v/>
      </c>
    </row>
    <row r="1411" ht="158" customHeight="1">
      <c r="A1411" s="8">
        <f>IF(ISNA(MATCH(1402,'Transfer Engine'!$C$2:$C$1960,0)),"",INDEX('Compliance Database'!$A$2:$A$1960,MATCH(1402,'Transfer Engine'!$C$2:$C$1960,0)))</f>
        <v/>
      </c>
      <c r="B1411" s="8">
        <f>IF(ISNA(MATCH(1402,'Transfer Engine'!$C$2:$C$1960,0)),"",INDEX('Compliance Database'!$B$2:$B$1960,MATCH(1402,'Transfer Engine'!$C$2:$C$1960,0)))</f>
        <v/>
      </c>
      <c r="C1411" s="8">
        <f>IF(ISNA(MATCH(1402,'Transfer Engine'!$C$2:$C$1960,0)),"",INDEX('Compliance Database'!$C$2:$C$1960,MATCH(1402,'Transfer Engine'!$C$2:$C$1960,0)))</f>
        <v/>
      </c>
      <c r="D1411" s="9">
        <f>IF(ISNA(MATCH(1402,'Transfer Engine'!$C$2:$C$1960,0)),"",INDEX('Compliance Database'!$D$2:$D$1960,MATCH(1402,'Transfer Engine'!$C$2:$C$1960,0)))</f>
        <v/>
      </c>
      <c r="E1411" s="8">
        <f>IF(ISNA(MATCH(1402,'Transfer Engine'!$C$2:$C$1960,0)),"",INDEX('Compliance Database'!$E$2:$E$1960,MATCH(1402,'Transfer Engine'!$C$2:$C$1960,0)))</f>
        <v/>
      </c>
      <c r="F1411" s="8">
        <f>IF(ISNA(MATCH(1402,'Transfer Engine'!$C$2:$C$1960,0)),"",INDEX('Compliance Database'!$F$2:$F$1960,MATCH(1402,'Transfer Engine'!$C$2:$C$1960,0)))</f>
        <v/>
      </c>
      <c r="G1411" s="8">
        <f>IF(ISNA(MATCH(1402,'Transfer Engine'!$C$2:$C$1960,0)),"",INDEX('Compliance Database'!$G$2:$G$1960,MATCH(1402,'Transfer Engine'!$C$2:$C$1960,0)))</f>
        <v/>
      </c>
      <c r="H1411" s="9">
        <f>IF(ISNA(MATCH(1402,'Transfer Engine'!$C$2:$C$1960,0)),"",INDEX('Compliance Database'!$H$2:$H$1960,MATCH(1402,'Transfer Engine'!$C$2:$C$1960,0)))</f>
        <v/>
      </c>
      <c r="I1411" s="9">
        <f>IF(ISNA(MATCH(1402,'Transfer Engine'!$C$2:$C$1960,0)),"",INDEX('Compliance Database'!$I$2:$I$1960,MATCH(1402,'Transfer Engine'!$C$2:$C$1960,0)))</f>
        <v/>
      </c>
      <c r="J1411" s="8">
        <f>IF(ISNA(MATCH(1402,'Transfer Engine'!$C$2:$C$1960,0)),"",INDEX('Compliance Database'!$J$2:$J$1960,MATCH(1402,'Transfer Engine'!$C$2:$C$1960,0)))</f>
        <v/>
      </c>
      <c r="K1411" s="9">
        <f>IF(ISNA(MATCH(1402,'Transfer Engine'!$C$2:$C$1960,0)),"",INDEX('Compliance Database'!$K$2:$K$1960,MATCH(1402,'Transfer Engine'!$C$2:$C$1960,0)))</f>
        <v/>
      </c>
      <c r="L1411" s="9">
        <f>IF(ISNA(MATCH(1402,'Transfer Engine'!$C$2:$C$1960,0)),"",INDEX('Compliance Database'!$L$2:$L$1960,MATCH(1402,'Transfer Engine'!$C$2:$C$1960,0)))</f>
        <v/>
      </c>
      <c r="M1411" s="9">
        <f>IF(ISNA(MATCH(1402,'Transfer Engine'!$C$2:$C$1960,0)),"",INDEX('Compliance Database'!$M$2:$M$1960,MATCH(1402,'Transfer Engine'!$C$2:$C$1960,0)))</f>
        <v/>
      </c>
      <c r="N1411" s="9">
        <f>IF(ISNA(MATCH(1402,'Transfer Engine'!$C$2:$C$1960,0)),"",INDEX('Compliance Database'!$N$2:$N$1960,MATCH(1402,'Transfer Engine'!$C$2:$C$1960,0)))</f>
        <v/>
      </c>
      <c r="O1411" s="9">
        <f>IF(ISNA(MATCH(1402,'Transfer Engine'!$C$2:$C$1960,0)),"",INDEX('Compliance Database'!$O$2:$O$1960,MATCH(1402,'Transfer Engine'!$C$2:$C$1960,0)))</f>
        <v/>
      </c>
      <c r="P1411" s="8">
        <f>IF(ISNA(MATCH(1402,'Transfer Engine'!$C$2:$C$1960,0)),"",HYPERLINK("#Acts!A"&amp;INDEX('Compliance Database'!$P$2:$P$1960,MATCH(1402,'Transfer Engine'!$C$2:$C$1960,0)),"Go to Act"))</f>
        <v/>
      </c>
    </row>
    <row r="1412" ht="158" customHeight="1">
      <c r="A1412" s="8">
        <f>IF(ISNA(MATCH(1403,'Transfer Engine'!$C$2:$C$1960,0)),"",INDEX('Compliance Database'!$A$2:$A$1960,MATCH(1403,'Transfer Engine'!$C$2:$C$1960,0)))</f>
        <v/>
      </c>
      <c r="B1412" s="8">
        <f>IF(ISNA(MATCH(1403,'Transfer Engine'!$C$2:$C$1960,0)),"",INDEX('Compliance Database'!$B$2:$B$1960,MATCH(1403,'Transfer Engine'!$C$2:$C$1960,0)))</f>
        <v/>
      </c>
      <c r="C1412" s="8">
        <f>IF(ISNA(MATCH(1403,'Transfer Engine'!$C$2:$C$1960,0)),"",INDEX('Compliance Database'!$C$2:$C$1960,MATCH(1403,'Transfer Engine'!$C$2:$C$1960,0)))</f>
        <v/>
      </c>
      <c r="D1412" s="9">
        <f>IF(ISNA(MATCH(1403,'Transfer Engine'!$C$2:$C$1960,0)),"",INDEX('Compliance Database'!$D$2:$D$1960,MATCH(1403,'Transfer Engine'!$C$2:$C$1960,0)))</f>
        <v/>
      </c>
      <c r="E1412" s="8">
        <f>IF(ISNA(MATCH(1403,'Transfer Engine'!$C$2:$C$1960,0)),"",INDEX('Compliance Database'!$E$2:$E$1960,MATCH(1403,'Transfer Engine'!$C$2:$C$1960,0)))</f>
        <v/>
      </c>
      <c r="F1412" s="8">
        <f>IF(ISNA(MATCH(1403,'Transfer Engine'!$C$2:$C$1960,0)),"",INDEX('Compliance Database'!$F$2:$F$1960,MATCH(1403,'Transfer Engine'!$C$2:$C$1960,0)))</f>
        <v/>
      </c>
      <c r="G1412" s="8">
        <f>IF(ISNA(MATCH(1403,'Transfer Engine'!$C$2:$C$1960,0)),"",INDEX('Compliance Database'!$G$2:$G$1960,MATCH(1403,'Transfer Engine'!$C$2:$C$1960,0)))</f>
        <v/>
      </c>
      <c r="H1412" s="9">
        <f>IF(ISNA(MATCH(1403,'Transfer Engine'!$C$2:$C$1960,0)),"",INDEX('Compliance Database'!$H$2:$H$1960,MATCH(1403,'Transfer Engine'!$C$2:$C$1960,0)))</f>
        <v/>
      </c>
      <c r="I1412" s="9">
        <f>IF(ISNA(MATCH(1403,'Transfer Engine'!$C$2:$C$1960,0)),"",INDEX('Compliance Database'!$I$2:$I$1960,MATCH(1403,'Transfer Engine'!$C$2:$C$1960,0)))</f>
        <v/>
      </c>
      <c r="J1412" s="8">
        <f>IF(ISNA(MATCH(1403,'Transfer Engine'!$C$2:$C$1960,0)),"",INDEX('Compliance Database'!$J$2:$J$1960,MATCH(1403,'Transfer Engine'!$C$2:$C$1960,0)))</f>
        <v/>
      </c>
      <c r="K1412" s="9">
        <f>IF(ISNA(MATCH(1403,'Transfer Engine'!$C$2:$C$1960,0)),"",INDEX('Compliance Database'!$K$2:$K$1960,MATCH(1403,'Transfer Engine'!$C$2:$C$1960,0)))</f>
        <v/>
      </c>
      <c r="L1412" s="9">
        <f>IF(ISNA(MATCH(1403,'Transfer Engine'!$C$2:$C$1960,0)),"",INDEX('Compliance Database'!$L$2:$L$1960,MATCH(1403,'Transfer Engine'!$C$2:$C$1960,0)))</f>
        <v/>
      </c>
      <c r="M1412" s="9">
        <f>IF(ISNA(MATCH(1403,'Transfer Engine'!$C$2:$C$1960,0)),"",INDEX('Compliance Database'!$M$2:$M$1960,MATCH(1403,'Transfer Engine'!$C$2:$C$1960,0)))</f>
        <v/>
      </c>
      <c r="N1412" s="9">
        <f>IF(ISNA(MATCH(1403,'Transfer Engine'!$C$2:$C$1960,0)),"",INDEX('Compliance Database'!$N$2:$N$1960,MATCH(1403,'Transfer Engine'!$C$2:$C$1960,0)))</f>
        <v/>
      </c>
      <c r="O1412" s="9">
        <f>IF(ISNA(MATCH(1403,'Transfer Engine'!$C$2:$C$1960,0)),"",INDEX('Compliance Database'!$O$2:$O$1960,MATCH(1403,'Transfer Engine'!$C$2:$C$1960,0)))</f>
        <v/>
      </c>
      <c r="P1412" s="8">
        <f>IF(ISNA(MATCH(1403,'Transfer Engine'!$C$2:$C$1960,0)),"",HYPERLINK("#Acts!A"&amp;INDEX('Compliance Database'!$P$2:$P$1960,MATCH(1403,'Transfer Engine'!$C$2:$C$1960,0)),"Go to Act"))</f>
        <v/>
      </c>
    </row>
    <row r="1413" ht="158" customHeight="1">
      <c r="A1413" s="8">
        <f>IF(ISNA(MATCH(1404,'Transfer Engine'!$C$2:$C$1960,0)),"",INDEX('Compliance Database'!$A$2:$A$1960,MATCH(1404,'Transfer Engine'!$C$2:$C$1960,0)))</f>
        <v/>
      </c>
      <c r="B1413" s="8">
        <f>IF(ISNA(MATCH(1404,'Transfer Engine'!$C$2:$C$1960,0)),"",INDEX('Compliance Database'!$B$2:$B$1960,MATCH(1404,'Transfer Engine'!$C$2:$C$1960,0)))</f>
        <v/>
      </c>
      <c r="C1413" s="8">
        <f>IF(ISNA(MATCH(1404,'Transfer Engine'!$C$2:$C$1960,0)),"",INDEX('Compliance Database'!$C$2:$C$1960,MATCH(1404,'Transfer Engine'!$C$2:$C$1960,0)))</f>
        <v/>
      </c>
      <c r="D1413" s="9">
        <f>IF(ISNA(MATCH(1404,'Transfer Engine'!$C$2:$C$1960,0)),"",INDEX('Compliance Database'!$D$2:$D$1960,MATCH(1404,'Transfer Engine'!$C$2:$C$1960,0)))</f>
        <v/>
      </c>
      <c r="E1413" s="8">
        <f>IF(ISNA(MATCH(1404,'Transfer Engine'!$C$2:$C$1960,0)),"",INDEX('Compliance Database'!$E$2:$E$1960,MATCH(1404,'Transfer Engine'!$C$2:$C$1960,0)))</f>
        <v/>
      </c>
      <c r="F1413" s="8">
        <f>IF(ISNA(MATCH(1404,'Transfer Engine'!$C$2:$C$1960,0)),"",INDEX('Compliance Database'!$F$2:$F$1960,MATCH(1404,'Transfer Engine'!$C$2:$C$1960,0)))</f>
        <v/>
      </c>
      <c r="G1413" s="8">
        <f>IF(ISNA(MATCH(1404,'Transfer Engine'!$C$2:$C$1960,0)),"",INDEX('Compliance Database'!$G$2:$G$1960,MATCH(1404,'Transfer Engine'!$C$2:$C$1960,0)))</f>
        <v/>
      </c>
      <c r="H1413" s="9">
        <f>IF(ISNA(MATCH(1404,'Transfer Engine'!$C$2:$C$1960,0)),"",INDEX('Compliance Database'!$H$2:$H$1960,MATCH(1404,'Transfer Engine'!$C$2:$C$1960,0)))</f>
        <v/>
      </c>
      <c r="I1413" s="9">
        <f>IF(ISNA(MATCH(1404,'Transfer Engine'!$C$2:$C$1960,0)),"",INDEX('Compliance Database'!$I$2:$I$1960,MATCH(1404,'Transfer Engine'!$C$2:$C$1960,0)))</f>
        <v/>
      </c>
      <c r="J1413" s="8">
        <f>IF(ISNA(MATCH(1404,'Transfer Engine'!$C$2:$C$1960,0)),"",INDEX('Compliance Database'!$J$2:$J$1960,MATCH(1404,'Transfer Engine'!$C$2:$C$1960,0)))</f>
        <v/>
      </c>
      <c r="K1413" s="9">
        <f>IF(ISNA(MATCH(1404,'Transfer Engine'!$C$2:$C$1960,0)),"",INDEX('Compliance Database'!$K$2:$K$1960,MATCH(1404,'Transfer Engine'!$C$2:$C$1960,0)))</f>
        <v/>
      </c>
      <c r="L1413" s="9">
        <f>IF(ISNA(MATCH(1404,'Transfer Engine'!$C$2:$C$1960,0)),"",INDEX('Compliance Database'!$L$2:$L$1960,MATCH(1404,'Transfer Engine'!$C$2:$C$1960,0)))</f>
        <v/>
      </c>
      <c r="M1413" s="9">
        <f>IF(ISNA(MATCH(1404,'Transfer Engine'!$C$2:$C$1960,0)),"",INDEX('Compliance Database'!$M$2:$M$1960,MATCH(1404,'Transfer Engine'!$C$2:$C$1960,0)))</f>
        <v/>
      </c>
      <c r="N1413" s="9">
        <f>IF(ISNA(MATCH(1404,'Transfer Engine'!$C$2:$C$1960,0)),"",INDEX('Compliance Database'!$N$2:$N$1960,MATCH(1404,'Transfer Engine'!$C$2:$C$1960,0)))</f>
        <v/>
      </c>
      <c r="O1413" s="9">
        <f>IF(ISNA(MATCH(1404,'Transfer Engine'!$C$2:$C$1960,0)),"",INDEX('Compliance Database'!$O$2:$O$1960,MATCH(1404,'Transfer Engine'!$C$2:$C$1960,0)))</f>
        <v/>
      </c>
      <c r="P1413" s="8">
        <f>IF(ISNA(MATCH(1404,'Transfer Engine'!$C$2:$C$1960,0)),"",HYPERLINK("#Acts!A"&amp;INDEX('Compliance Database'!$P$2:$P$1960,MATCH(1404,'Transfer Engine'!$C$2:$C$1960,0)),"Go to Act"))</f>
        <v/>
      </c>
    </row>
    <row r="1414" ht="158" customHeight="1">
      <c r="A1414" s="8">
        <f>IF(ISNA(MATCH(1405,'Transfer Engine'!$C$2:$C$1960,0)),"",INDEX('Compliance Database'!$A$2:$A$1960,MATCH(1405,'Transfer Engine'!$C$2:$C$1960,0)))</f>
        <v/>
      </c>
      <c r="B1414" s="8">
        <f>IF(ISNA(MATCH(1405,'Transfer Engine'!$C$2:$C$1960,0)),"",INDEX('Compliance Database'!$B$2:$B$1960,MATCH(1405,'Transfer Engine'!$C$2:$C$1960,0)))</f>
        <v/>
      </c>
      <c r="C1414" s="8">
        <f>IF(ISNA(MATCH(1405,'Transfer Engine'!$C$2:$C$1960,0)),"",INDEX('Compliance Database'!$C$2:$C$1960,MATCH(1405,'Transfer Engine'!$C$2:$C$1960,0)))</f>
        <v/>
      </c>
      <c r="D1414" s="9">
        <f>IF(ISNA(MATCH(1405,'Transfer Engine'!$C$2:$C$1960,0)),"",INDEX('Compliance Database'!$D$2:$D$1960,MATCH(1405,'Transfer Engine'!$C$2:$C$1960,0)))</f>
        <v/>
      </c>
      <c r="E1414" s="8">
        <f>IF(ISNA(MATCH(1405,'Transfer Engine'!$C$2:$C$1960,0)),"",INDEX('Compliance Database'!$E$2:$E$1960,MATCH(1405,'Transfer Engine'!$C$2:$C$1960,0)))</f>
        <v/>
      </c>
      <c r="F1414" s="8">
        <f>IF(ISNA(MATCH(1405,'Transfer Engine'!$C$2:$C$1960,0)),"",INDEX('Compliance Database'!$F$2:$F$1960,MATCH(1405,'Transfer Engine'!$C$2:$C$1960,0)))</f>
        <v/>
      </c>
      <c r="G1414" s="8">
        <f>IF(ISNA(MATCH(1405,'Transfer Engine'!$C$2:$C$1960,0)),"",INDEX('Compliance Database'!$G$2:$G$1960,MATCH(1405,'Transfer Engine'!$C$2:$C$1960,0)))</f>
        <v/>
      </c>
      <c r="H1414" s="9">
        <f>IF(ISNA(MATCH(1405,'Transfer Engine'!$C$2:$C$1960,0)),"",INDEX('Compliance Database'!$H$2:$H$1960,MATCH(1405,'Transfer Engine'!$C$2:$C$1960,0)))</f>
        <v/>
      </c>
      <c r="I1414" s="9">
        <f>IF(ISNA(MATCH(1405,'Transfer Engine'!$C$2:$C$1960,0)),"",INDEX('Compliance Database'!$I$2:$I$1960,MATCH(1405,'Transfer Engine'!$C$2:$C$1960,0)))</f>
        <v/>
      </c>
      <c r="J1414" s="8">
        <f>IF(ISNA(MATCH(1405,'Transfer Engine'!$C$2:$C$1960,0)),"",INDEX('Compliance Database'!$J$2:$J$1960,MATCH(1405,'Transfer Engine'!$C$2:$C$1960,0)))</f>
        <v/>
      </c>
      <c r="K1414" s="9">
        <f>IF(ISNA(MATCH(1405,'Transfer Engine'!$C$2:$C$1960,0)),"",INDEX('Compliance Database'!$K$2:$K$1960,MATCH(1405,'Transfer Engine'!$C$2:$C$1960,0)))</f>
        <v/>
      </c>
      <c r="L1414" s="9">
        <f>IF(ISNA(MATCH(1405,'Transfer Engine'!$C$2:$C$1960,0)),"",INDEX('Compliance Database'!$L$2:$L$1960,MATCH(1405,'Transfer Engine'!$C$2:$C$1960,0)))</f>
        <v/>
      </c>
      <c r="M1414" s="9">
        <f>IF(ISNA(MATCH(1405,'Transfer Engine'!$C$2:$C$1960,0)),"",INDEX('Compliance Database'!$M$2:$M$1960,MATCH(1405,'Transfer Engine'!$C$2:$C$1960,0)))</f>
        <v/>
      </c>
      <c r="N1414" s="9">
        <f>IF(ISNA(MATCH(1405,'Transfer Engine'!$C$2:$C$1960,0)),"",INDEX('Compliance Database'!$N$2:$N$1960,MATCH(1405,'Transfer Engine'!$C$2:$C$1960,0)))</f>
        <v/>
      </c>
      <c r="O1414" s="9">
        <f>IF(ISNA(MATCH(1405,'Transfer Engine'!$C$2:$C$1960,0)),"",INDEX('Compliance Database'!$O$2:$O$1960,MATCH(1405,'Transfer Engine'!$C$2:$C$1960,0)))</f>
        <v/>
      </c>
      <c r="P1414" s="8">
        <f>IF(ISNA(MATCH(1405,'Transfer Engine'!$C$2:$C$1960,0)),"",HYPERLINK("#Acts!A"&amp;INDEX('Compliance Database'!$P$2:$P$1960,MATCH(1405,'Transfer Engine'!$C$2:$C$1960,0)),"Go to Act"))</f>
        <v/>
      </c>
    </row>
    <row r="1415" ht="158" customHeight="1">
      <c r="A1415" s="8">
        <f>IF(ISNA(MATCH(1406,'Transfer Engine'!$C$2:$C$1960,0)),"",INDEX('Compliance Database'!$A$2:$A$1960,MATCH(1406,'Transfer Engine'!$C$2:$C$1960,0)))</f>
        <v/>
      </c>
      <c r="B1415" s="8">
        <f>IF(ISNA(MATCH(1406,'Transfer Engine'!$C$2:$C$1960,0)),"",INDEX('Compliance Database'!$B$2:$B$1960,MATCH(1406,'Transfer Engine'!$C$2:$C$1960,0)))</f>
        <v/>
      </c>
      <c r="C1415" s="8">
        <f>IF(ISNA(MATCH(1406,'Transfer Engine'!$C$2:$C$1960,0)),"",INDEX('Compliance Database'!$C$2:$C$1960,MATCH(1406,'Transfer Engine'!$C$2:$C$1960,0)))</f>
        <v/>
      </c>
      <c r="D1415" s="9">
        <f>IF(ISNA(MATCH(1406,'Transfer Engine'!$C$2:$C$1960,0)),"",INDEX('Compliance Database'!$D$2:$D$1960,MATCH(1406,'Transfer Engine'!$C$2:$C$1960,0)))</f>
        <v/>
      </c>
      <c r="E1415" s="8">
        <f>IF(ISNA(MATCH(1406,'Transfer Engine'!$C$2:$C$1960,0)),"",INDEX('Compliance Database'!$E$2:$E$1960,MATCH(1406,'Transfer Engine'!$C$2:$C$1960,0)))</f>
        <v/>
      </c>
      <c r="F1415" s="8">
        <f>IF(ISNA(MATCH(1406,'Transfer Engine'!$C$2:$C$1960,0)),"",INDEX('Compliance Database'!$F$2:$F$1960,MATCH(1406,'Transfer Engine'!$C$2:$C$1960,0)))</f>
        <v/>
      </c>
      <c r="G1415" s="8">
        <f>IF(ISNA(MATCH(1406,'Transfer Engine'!$C$2:$C$1960,0)),"",INDEX('Compliance Database'!$G$2:$G$1960,MATCH(1406,'Transfer Engine'!$C$2:$C$1960,0)))</f>
        <v/>
      </c>
      <c r="H1415" s="9">
        <f>IF(ISNA(MATCH(1406,'Transfer Engine'!$C$2:$C$1960,0)),"",INDEX('Compliance Database'!$H$2:$H$1960,MATCH(1406,'Transfer Engine'!$C$2:$C$1960,0)))</f>
        <v/>
      </c>
      <c r="I1415" s="9">
        <f>IF(ISNA(MATCH(1406,'Transfer Engine'!$C$2:$C$1960,0)),"",INDEX('Compliance Database'!$I$2:$I$1960,MATCH(1406,'Transfer Engine'!$C$2:$C$1960,0)))</f>
        <v/>
      </c>
      <c r="J1415" s="8">
        <f>IF(ISNA(MATCH(1406,'Transfer Engine'!$C$2:$C$1960,0)),"",INDEX('Compliance Database'!$J$2:$J$1960,MATCH(1406,'Transfer Engine'!$C$2:$C$1960,0)))</f>
        <v/>
      </c>
      <c r="K1415" s="9">
        <f>IF(ISNA(MATCH(1406,'Transfer Engine'!$C$2:$C$1960,0)),"",INDEX('Compliance Database'!$K$2:$K$1960,MATCH(1406,'Transfer Engine'!$C$2:$C$1960,0)))</f>
        <v/>
      </c>
      <c r="L1415" s="9">
        <f>IF(ISNA(MATCH(1406,'Transfer Engine'!$C$2:$C$1960,0)),"",INDEX('Compliance Database'!$L$2:$L$1960,MATCH(1406,'Transfer Engine'!$C$2:$C$1960,0)))</f>
        <v/>
      </c>
      <c r="M1415" s="9">
        <f>IF(ISNA(MATCH(1406,'Transfer Engine'!$C$2:$C$1960,0)),"",INDEX('Compliance Database'!$M$2:$M$1960,MATCH(1406,'Transfer Engine'!$C$2:$C$1960,0)))</f>
        <v/>
      </c>
      <c r="N1415" s="9">
        <f>IF(ISNA(MATCH(1406,'Transfer Engine'!$C$2:$C$1960,0)),"",INDEX('Compliance Database'!$N$2:$N$1960,MATCH(1406,'Transfer Engine'!$C$2:$C$1960,0)))</f>
        <v/>
      </c>
      <c r="O1415" s="9">
        <f>IF(ISNA(MATCH(1406,'Transfer Engine'!$C$2:$C$1960,0)),"",INDEX('Compliance Database'!$O$2:$O$1960,MATCH(1406,'Transfer Engine'!$C$2:$C$1960,0)))</f>
        <v/>
      </c>
      <c r="P1415" s="8">
        <f>IF(ISNA(MATCH(1406,'Transfer Engine'!$C$2:$C$1960,0)),"",HYPERLINK("#Acts!A"&amp;INDEX('Compliance Database'!$P$2:$P$1960,MATCH(1406,'Transfer Engine'!$C$2:$C$1960,0)),"Go to Act"))</f>
        <v/>
      </c>
    </row>
    <row r="1416" ht="158" customHeight="1">
      <c r="A1416" s="8">
        <f>IF(ISNA(MATCH(1407,'Transfer Engine'!$C$2:$C$1960,0)),"",INDEX('Compliance Database'!$A$2:$A$1960,MATCH(1407,'Transfer Engine'!$C$2:$C$1960,0)))</f>
        <v/>
      </c>
      <c r="B1416" s="8">
        <f>IF(ISNA(MATCH(1407,'Transfer Engine'!$C$2:$C$1960,0)),"",INDEX('Compliance Database'!$B$2:$B$1960,MATCH(1407,'Transfer Engine'!$C$2:$C$1960,0)))</f>
        <v/>
      </c>
      <c r="C1416" s="8">
        <f>IF(ISNA(MATCH(1407,'Transfer Engine'!$C$2:$C$1960,0)),"",INDEX('Compliance Database'!$C$2:$C$1960,MATCH(1407,'Transfer Engine'!$C$2:$C$1960,0)))</f>
        <v/>
      </c>
      <c r="D1416" s="9">
        <f>IF(ISNA(MATCH(1407,'Transfer Engine'!$C$2:$C$1960,0)),"",INDEX('Compliance Database'!$D$2:$D$1960,MATCH(1407,'Transfer Engine'!$C$2:$C$1960,0)))</f>
        <v/>
      </c>
      <c r="E1416" s="8">
        <f>IF(ISNA(MATCH(1407,'Transfer Engine'!$C$2:$C$1960,0)),"",INDEX('Compliance Database'!$E$2:$E$1960,MATCH(1407,'Transfer Engine'!$C$2:$C$1960,0)))</f>
        <v/>
      </c>
      <c r="F1416" s="8">
        <f>IF(ISNA(MATCH(1407,'Transfer Engine'!$C$2:$C$1960,0)),"",INDEX('Compliance Database'!$F$2:$F$1960,MATCH(1407,'Transfer Engine'!$C$2:$C$1960,0)))</f>
        <v/>
      </c>
      <c r="G1416" s="8">
        <f>IF(ISNA(MATCH(1407,'Transfer Engine'!$C$2:$C$1960,0)),"",INDEX('Compliance Database'!$G$2:$G$1960,MATCH(1407,'Transfer Engine'!$C$2:$C$1960,0)))</f>
        <v/>
      </c>
      <c r="H1416" s="9">
        <f>IF(ISNA(MATCH(1407,'Transfer Engine'!$C$2:$C$1960,0)),"",INDEX('Compliance Database'!$H$2:$H$1960,MATCH(1407,'Transfer Engine'!$C$2:$C$1960,0)))</f>
        <v/>
      </c>
      <c r="I1416" s="9">
        <f>IF(ISNA(MATCH(1407,'Transfer Engine'!$C$2:$C$1960,0)),"",INDEX('Compliance Database'!$I$2:$I$1960,MATCH(1407,'Transfer Engine'!$C$2:$C$1960,0)))</f>
        <v/>
      </c>
      <c r="J1416" s="8">
        <f>IF(ISNA(MATCH(1407,'Transfer Engine'!$C$2:$C$1960,0)),"",INDEX('Compliance Database'!$J$2:$J$1960,MATCH(1407,'Transfer Engine'!$C$2:$C$1960,0)))</f>
        <v/>
      </c>
      <c r="K1416" s="9">
        <f>IF(ISNA(MATCH(1407,'Transfer Engine'!$C$2:$C$1960,0)),"",INDEX('Compliance Database'!$K$2:$K$1960,MATCH(1407,'Transfer Engine'!$C$2:$C$1960,0)))</f>
        <v/>
      </c>
      <c r="L1416" s="9">
        <f>IF(ISNA(MATCH(1407,'Transfer Engine'!$C$2:$C$1960,0)),"",INDEX('Compliance Database'!$L$2:$L$1960,MATCH(1407,'Transfer Engine'!$C$2:$C$1960,0)))</f>
        <v/>
      </c>
      <c r="M1416" s="9">
        <f>IF(ISNA(MATCH(1407,'Transfer Engine'!$C$2:$C$1960,0)),"",INDEX('Compliance Database'!$M$2:$M$1960,MATCH(1407,'Transfer Engine'!$C$2:$C$1960,0)))</f>
        <v/>
      </c>
      <c r="N1416" s="9">
        <f>IF(ISNA(MATCH(1407,'Transfer Engine'!$C$2:$C$1960,0)),"",INDEX('Compliance Database'!$N$2:$N$1960,MATCH(1407,'Transfer Engine'!$C$2:$C$1960,0)))</f>
        <v/>
      </c>
      <c r="O1416" s="9">
        <f>IF(ISNA(MATCH(1407,'Transfer Engine'!$C$2:$C$1960,0)),"",INDEX('Compliance Database'!$O$2:$O$1960,MATCH(1407,'Transfer Engine'!$C$2:$C$1960,0)))</f>
        <v/>
      </c>
      <c r="P1416" s="8">
        <f>IF(ISNA(MATCH(1407,'Transfer Engine'!$C$2:$C$1960,0)),"",HYPERLINK("#Acts!A"&amp;INDEX('Compliance Database'!$P$2:$P$1960,MATCH(1407,'Transfer Engine'!$C$2:$C$1960,0)),"Go to Act"))</f>
        <v/>
      </c>
    </row>
    <row r="1417" ht="158" customHeight="1">
      <c r="A1417" s="8">
        <f>IF(ISNA(MATCH(1408,'Transfer Engine'!$C$2:$C$1960,0)),"",INDEX('Compliance Database'!$A$2:$A$1960,MATCH(1408,'Transfer Engine'!$C$2:$C$1960,0)))</f>
        <v/>
      </c>
      <c r="B1417" s="8">
        <f>IF(ISNA(MATCH(1408,'Transfer Engine'!$C$2:$C$1960,0)),"",INDEX('Compliance Database'!$B$2:$B$1960,MATCH(1408,'Transfer Engine'!$C$2:$C$1960,0)))</f>
        <v/>
      </c>
      <c r="C1417" s="8">
        <f>IF(ISNA(MATCH(1408,'Transfer Engine'!$C$2:$C$1960,0)),"",INDEX('Compliance Database'!$C$2:$C$1960,MATCH(1408,'Transfer Engine'!$C$2:$C$1960,0)))</f>
        <v/>
      </c>
      <c r="D1417" s="9">
        <f>IF(ISNA(MATCH(1408,'Transfer Engine'!$C$2:$C$1960,0)),"",INDEX('Compliance Database'!$D$2:$D$1960,MATCH(1408,'Transfer Engine'!$C$2:$C$1960,0)))</f>
        <v/>
      </c>
      <c r="E1417" s="8">
        <f>IF(ISNA(MATCH(1408,'Transfer Engine'!$C$2:$C$1960,0)),"",INDEX('Compliance Database'!$E$2:$E$1960,MATCH(1408,'Transfer Engine'!$C$2:$C$1960,0)))</f>
        <v/>
      </c>
      <c r="F1417" s="8">
        <f>IF(ISNA(MATCH(1408,'Transfer Engine'!$C$2:$C$1960,0)),"",INDEX('Compliance Database'!$F$2:$F$1960,MATCH(1408,'Transfer Engine'!$C$2:$C$1960,0)))</f>
        <v/>
      </c>
      <c r="G1417" s="8">
        <f>IF(ISNA(MATCH(1408,'Transfer Engine'!$C$2:$C$1960,0)),"",INDEX('Compliance Database'!$G$2:$G$1960,MATCH(1408,'Transfer Engine'!$C$2:$C$1960,0)))</f>
        <v/>
      </c>
      <c r="H1417" s="9">
        <f>IF(ISNA(MATCH(1408,'Transfer Engine'!$C$2:$C$1960,0)),"",INDEX('Compliance Database'!$H$2:$H$1960,MATCH(1408,'Transfer Engine'!$C$2:$C$1960,0)))</f>
        <v/>
      </c>
      <c r="I1417" s="9">
        <f>IF(ISNA(MATCH(1408,'Transfer Engine'!$C$2:$C$1960,0)),"",INDEX('Compliance Database'!$I$2:$I$1960,MATCH(1408,'Transfer Engine'!$C$2:$C$1960,0)))</f>
        <v/>
      </c>
      <c r="J1417" s="8">
        <f>IF(ISNA(MATCH(1408,'Transfer Engine'!$C$2:$C$1960,0)),"",INDEX('Compliance Database'!$J$2:$J$1960,MATCH(1408,'Transfer Engine'!$C$2:$C$1960,0)))</f>
        <v/>
      </c>
      <c r="K1417" s="9">
        <f>IF(ISNA(MATCH(1408,'Transfer Engine'!$C$2:$C$1960,0)),"",INDEX('Compliance Database'!$K$2:$K$1960,MATCH(1408,'Transfer Engine'!$C$2:$C$1960,0)))</f>
        <v/>
      </c>
      <c r="L1417" s="9">
        <f>IF(ISNA(MATCH(1408,'Transfer Engine'!$C$2:$C$1960,0)),"",INDEX('Compliance Database'!$L$2:$L$1960,MATCH(1408,'Transfer Engine'!$C$2:$C$1960,0)))</f>
        <v/>
      </c>
      <c r="M1417" s="9">
        <f>IF(ISNA(MATCH(1408,'Transfer Engine'!$C$2:$C$1960,0)),"",INDEX('Compliance Database'!$M$2:$M$1960,MATCH(1408,'Transfer Engine'!$C$2:$C$1960,0)))</f>
        <v/>
      </c>
      <c r="N1417" s="9">
        <f>IF(ISNA(MATCH(1408,'Transfer Engine'!$C$2:$C$1960,0)),"",INDEX('Compliance Database'!$N$2:$N$1960,MATCH(1408,'Transfer Engine'!$C$2:$C$1960,0)))</f>
        <v/>
      </c>
      <c r="O1417" s="9">
        <f>IF(ISNA(MATCH(1408,'Transfer Engine'!$C$2:$C$1960,0)),"",INDEX('Compliance Database'!$O$2:$O$1960,MATCH(1408,'Transfer Engine'!$C$2:$C$1960,0)))</f>
        <v/>
      </c>
      <c r="P1417" s="8">
        <f>IF(ISNA(MATCH(1408,'Transfer Engine'!$C$2:$C$1960,0)),"",HYPERLINK("#Acts!A"&amp;INDEX('Compliance Database'!$P$2:$P$1960,MATCH(1408,'Transfer Engine'!$C$2:$C$1960,0)),"Go to Act"))</f>
        <v/>
      </c>
    </row>
    <row r="1418" ht="158" customHeight="1">
      <c r="A1418" s="8">
        <f>IF(ISNA(MATCH(1409,'Transfer Engine'!$C$2:$C$1960,0)),"",INDEX('Compliance Database'!$A$2:$A$1960,MATCH(1409,'Transfer Engine'!$C$2:$C$1960,0)))</f>
        <v/>
      </c>
      <c r="B1418" s="8">
        <f>IF(ISNA(MATCH(1409,'Transfer Engine'!$C$2:$C$1960,0)),"",INDEX('Compliance Database'!$B$2:$B$1960,MATCH(1409,'Transfer Engine'!$C$2:$C$1960,0)))</f>
        <v/>
      </c>
      <c r="C1418" s="8">
        <f>IF(ISNA(MATCH(1409,'Transfer Engine'!$C$2:$C$1960,0)),"",INDEX('Compliance Database'!$C$2:$C$1960,MATCH(1409,'Transfer Engine'!$C$2:$C$1960,0)))</f>
        <v/>
      </c>
      <c r="D1418" s="9">
        <f>IF(ISNA(MATCH(1409,'Transfer Engine'!$C$2:$C$1960,0)),"",INDEX('Compliance Database'!$D$2:$D$1960,MATCH(1409,'Transfer Engine'!$C$2:$C$1960,0)))</f>
        <v/>
      </c>
      <c r="E1418" s="8">
        <f>IF(ISNA(MATCH(1409,'Transfer Engine'!$C$2:$C$1960,0)),"",INDEX('Compliance Database'!$E$2:$E$1960,MATCH(1409,'Transfer Engine'!$C$2:$C$1960,0)))</f>
        <v/>
      </c>
      <c r="F1418" s="8">
        <f>IF(ISNA(MATCH(1409,'Transfer Engine'!$C$2:$C$1960,0)),"",INDEX('Compliance Database'!$F$2:$F$1960,MATCH(1409,'Transfer Engine'!$C$2:$C$1960,0)))</f>
        <v/>
      </c>
      <c r="G1418" s="8">
        <f>IF(ISNA(MATCH(1409,'Transfer Engine'!$C$2:$C$1960,0)),"",INDEX('Compliance Database'!$G$2:$G$1960,MATCH(1409,'Transfer Engine'!$C$2:$C$1960,0)))</f>
        <v/>
      </c>
      <c r="H1418" s="9">
        <f>IF(ISNA(MATCH(1409,'Transfer Engine'!$C$2:$C$1960,0)),"",INDEX('Compliance Database'!$H$2:$H$1960,MATCH(1409,'Transfer Engine'!$C$2:$C$1960,0)))</f>
        <v/>
      </c>
      <c r="I1418" s="9">
        <f>IF(ISNA(MATCH(1409,'Transfer Engine'!$C$2:$C$1960,0)),"",INDEX('Compliance Database'!$I$2:$I$1960,MATCH(1409,'Transfer Engine'!$C$2:$C$1960,0)))</f>
        <v/>
      </c>
      <c r="J1418" s="8">
        <f>IF(ISNA(MATCH(1409,'Transfer Engine'!$C$2:$C$1960,0)),"",INDEX('Compliance Database'!$J$2:$J$1960,MATCH(1409,'Transfer Engine'!$C$2:$C$1960,0)))</f>
        <v/>
      </c>
      <c r="K1418" s="9">
        <f>IF(ISNA(MATCH(1409,'Transfer Engine'!$C$2:$C$1960,0)),"",INDEX('Compliance Database'!$K$2:$K$1960,MATCH(1409,'Transfer Engine'!$C$2:$C$1960,0)))</f>
        <v/>
      </c>
      <c r="L1418" s="9">
        <f>IF(ISNA(MATCH(1409,'Transfer Engine'!$C$2:$C$1960,0)),"",INDEX('Compliance Database'!$L$2:$L$1960,MATCH(1409,'Transfer Engine'!$C$2:$C$1960,0)))</f>
        <v/>
      </c>
      <c r="M1418" s="9">
        <f>IF(ISNA(MATCH(1409,'Transfer Engine'!$C$2:$C$1960,0)),"",INDEX('Compliance Database'!$M$2:$M$1960,MATCH(1409,'Transfer Engine'!$C$2:$C$1960,0)))</f>
        <v/>
      </c>
      <c r="N1418" s="9">
        <f>IF(ISNA(MATCH(1409,'Transfer Engine'!$C$2:$C$1960,0)),"",INDEX('Compliance Database'!$N$2:$N$1960,MATCH(1409,'Transfer Engine'!$C$2:$C$1960,0)))</f>
        <v/>
      </c>
      <c r="O1418" s="9">
        <f>IF(ISNA(MATCH(1409,'Transfer Engine'!$C$2:$C$1960,0)),"",INDEX('Compliance Database'!$O$2:$O$1960,MATCH(1409,'Transfer Engine'!$C$2:$C$1960,0)))</f>
        <v/>
      </c>
      <c r="P1418" s="8">
        <f>IF(ISNA(MATCH(1409,'Transfer Engine'!$C$2:$C$1960,0)),"",HYPERLINK("#Acts!A"&amp;INDEX('Compliance Database'!$P$2:$P$1960,MATCH(1409,'Transfer Engine'!$C$2:$C$1960,0)),"Go to Act"))</f>
        <v/>
      </c>
    </row>
    <row r="1419" ht="158" customHeight="1">
      <c r="A1419" s="8">
        <f>IF(ISNA(MATCH(1410,'Transfer Engine'!$C$2:$C$1960,0)),"",INDEX('Compliance Database'!$A$2:$A$1960,MATCH(1410,'Transfer Engine'!$C$2:$C$1960,0)))</f>
        <v/>
      </c>
      <c r="B1419" s="8">
        <f>IF(ISNA(MATCH(1410,'Transfer Engine'!$C$2:$C$1960,0)),"",INDEX('Compliance Database'!$B$2:$B$1960,MATCH(1410,'Transfer Engine'!$C$2:$C$1960,0)))</f>
        <v/>
      </c>
      <c r="C1419" s="8">
        <f>IF(ISNA(MATCH(1410,'Transfer Engine'!$C$2:$C$1960,0)),"",INDEX('Compliance Database'!$C$2:$C$1960,MATCH(1410,'Transfer Engine'!$C$2:$C$1960,0)))</f>
        <v/>
      </c>
      <c r="D1419" s="9">
        <f>IF(ISNA(MATCH(1410,'Transfer Engine'!$C$2:$C$1960,0)),"",INDEX('Compliance Database'!$D$2:$D$1960,MATCH(1410,'Transfer Engine'!$C$2:$C$1960,0)))</f>
        <v/>
      </c>
      <c r="E1419" s="8">
        <f>IF(ISNA(MATCH(1410,'Transfer Engine'!$C$2:$C$1960,0)),"",INDEX('Compliance Database'!$E$2:$E$1960,MATCH(1410,'Transfer Engine'!$C$2:$C$1960,0)))</f>
        <v/>
      </c>
      <c r="F1419" s="8">
        <f>IF(ISNA(MATCH(1410,'Transfer Engine'!$C$2:$C$1960,0)),"",INDEX('Compliance Database'!$F$2:$F$1960,MATCH(1410,'Transfer Engine'!$C$2:$C$1960,0)))</f>
        <v/>
      </c>
      <c r="G1419" s="8">
        <f>IF(ISNA(MATCH(1410,'Transfer Engine'!$C$2:$C$1960,0)),"",INDEX('Compliance Database'!$G$2:$G$1960,MATCH(1410,'Transfer Engine'!$C$2:$C$1960,0)))</f>
        <v/>
      </c>
      <c r="H1419" s="9">
        <f>IF(ISNA(MATCH(1410,'Transfer Engine'!$C$2:$C$1960,0)),"",INDEX('Compliance Database'!$H$2:$H$1960,MATCH(1410,'Transfer Engine'!$C$2:$C$1960,0)))</f>
        <v/>
      </c>
      <c r="I1419" s="9">
        <f>IF(ISNA(MATCH(1410,'Transfer Engine'!$C$2:$C$1960,0)),"",INDEX('Compliance Database'!$I$2:$I$1960,MATCH(1410,'Transfer Engine'!$C$2:$C$1960,0)))</f>
        <v/>
      </c>
      <c r="J1419" s="8">
        <f>IF(ISNA(MATCH(1410,'Transfer Engine'!$C$2:$C$1960,0)),"",INDEX('Compliance Database'!$J$2:$J$1960,MATCH(1410,'Transfer Engine'!$C$2:$C$1960,0)))</f>
        <v/>
      </c>
      <c r="K1419" s="9">
        <f>IF(ISNA(MATCH(1410,'Transfer Engine'!$C$2:$C$1960,0)),"",INDEX('Compliance Database'!$K$2:$K$1960,MATCH(1410,'Transfer Engine'!$C$2:$C$1960,0)))</f>
        <v/>
      </c>
      <c r="L1419" s="9">
        <f>IF(ISNA(MATCH(1410,'Transfer Engine'!$C$2:$C$1960,0)),"",INDEX('Compliance Database'!$L$2:$L$1960,MATCH(1410,'Transfer Engine'!$C$2:$C$1960,0)))</f>
        <v/>
      </c>
      <c r="M1419" s="9">
        <f>IF(ISNA(MATCH(1410,'Transfer Engine'!$C$2:$C$1960,0)),"",INDEX('Compliance Database'!$M$2:$M$1960,MATCH(1410,'Transfer Engine'!$C$2:$C$1960,0)))</f>
        <v/>
      </c>
      <c r="N1419" s="9">
        <f>IF(ISNA(MATCH(1410,'Transfer Engine'!$C$2:$C$1960,0)),"",INDEX('Compliance Database'!$N$2:$N$1960,MATCH(1410,'Transfer Engine'!$C$2:$C$1960,0)))</f>
        <v/>
      </c>
      <c r="O1419" s="9">
        <f>IF(ISNA(MATCH(1410,'Transfer Engine'!$C$2:$C$1960,0)),"",INDEX('Compliance Database'!$O$2:$O$1960,MATCH(1410,'Transfer Engine'!$C$2:$C$1960,0)))</f>
        <v/>
      </c>
      <c r="P1419" s="8">
        <f>IF(ISNA(MATCH(1410,'Transfer Engine'!$C$2:$C$1960,0)),"",HYPERLINK("#Acts!A"&amp;INDEX('Compliance Database'!$P$2:$P$1960,MATCH(1410,'Transfer Engine'!$C$2:$C$1960,0)),"Go to Act"))</f>
        <v/>
      </c>
    </row>
    <row r="1420" ht="158" customHeight="1">
      <c r="A1420" s="8">
        <f>IF(ISNA(MATCH(1411,'Transfer Engine'!$C$2:$C$1960,0)),"",INDEX('Compliance Database'!$A$2:$A$1960,MATCH(1411,'Transfer Engine'!$C$2:$C$1960,0)))</f>
        <v/>
      </c>
      <c r="B1420" s="8">
        <f>IF(ISNA(MATCH(1411,'Transfer Engine'!$C$2:$C$1960,0)),"",INDEX('Compliance Database'!$B$2:$B$1960,MATCH(1411,'Transfer Engine'!$C$2:$C$1960,0)))</f>
        <v/>
      </c>
      <c r="C1420" s="8">
        <f>IF(ISNA(MATCH(1411,'Transfer Engine'!$C$2:$C$1960,0)),"",INDEX('Compliance Database'!$C$2:$C$1960,MATCH(1411,'Transfer Engine'!$C$2:$C$1960,0)))</f>
        <v/>
      </c>
      <c r="D1420" s="9">
        <f>IF(ISNA(MATCH(1411,'Transfer Engine'!$C$2:$C$1960,0)),"",INDEX('Compliance Database'!$D$2:$D$1960,MATCH(1411,'Transfer Engine'!$C$2:$C$1960,0)))</f>
        <v/>
      </c>
      <c r="E1420" s="8">
        <f>IF(ISNA(MATCH(1411,'Transfer Engine'!$C$2:$C$1960,0)),"",INDEX('Compliance Database'!$E$2:$E$1960,MATCH(1411,'Transfer Engine'!$C$2:$C$1960,0)))</f>
        <v/>
      </c>
      <c r="F1420" s="8">
        <f>IF(ISNA(MATCH(1411,'Transfer Engine'!$C$2:$C$1960,0)),"",INDEX('Compliance Database'!$F$2:$F$1960,MATCH(1411,'Transfer Engine'!$C$2:$C$1960,0)))</f>
        <v/>
      </c>
      <c r="G1420" s="8">
        <f>IF(ISNA(MATCH(1411,'Transfer Engine'!$C$2:$C$1960,0)),"",INDEX('Compliance Database'!$G$2:$G$1960,MATCH(1411,'Transfer Engine'!$C$2:$C$1960,0)))</f>
        <v/>
      </c>
      <c r="H1420" s="9">
        <f>IF(ISNA(MATCH(1411,'Transfer Engine'!$C$2:$C$1960,0)),"",INDEX('Compliance Database'!$H$2:$H$1960,MATCH(1411,'Transfer Engine'!$C$2:$C$1960,0)))</f>
        <v/>
      </c>
      <c r="I1420" s="9">
        <f>IF(ISNA(MATCH(1411,'Transfer Engine'!$C$2:$C$1960,0)),"",INDEX('Compliance Database'!$I$2:$I$1960,MATCH(1411,'Transfer Engine'!$C$2:$C$1960,0)))</f>
        <v/>
      </c>
      <c r="J1420" s="8">
        <f>IF(ISNA(MATCH(1411,'Transfer Engine'!$C$2:$C$1960,0)),"",INDEX('Compliance Database'!$J$2:$J$1960,MATCH(1411,'Transfer Engine'!$C$2:$C$1960,0)))</f>
        <v/>
      </c>
      <c r="K1420" s="9">
        <f>IF(ISNA(MATCH(1411,'Transfer Engine'!$C$2:$C$1960,0)),"",INDEX('Compliance Database'!$K$2:$K$1960,MATCH(1411,'Transfer Engine'!$C$2:$C$1960,0)))</f>
        <v/>
      </c>
      <c r="L1420" s="9">
        <f>IF(ISNA(MATCH(1411,'Transfer Engine'!$C$2:$C$1960,0)),"",INDEX('Compliance Database'!$L$2:$L$1960,MATCH(1411,'Transfer Engine'!$C$2:$C$1960,0)))</f>
        <v/>
      </c>
      <c r="M1420" s="9">
        <f>IF(ISNA(MATCH(1411,'Transfer Engine'!$C$2:$C$1960,0)),"",INDEX('Compliance Database'!$M$2:$M$1960,MATCH(1411,'Transfer Engine'!$C$2:$C$1960,0)))</f>
        <v/>
      </c>
      <c r="N1420" s="9">
        <f>IF(ISNA(MATCH(1411,'Transfer Engine'!$C$2:$C$1960,0)),"",INDEX('Compliance Database'!$N$2:$N$1960,MATCH(1411,'Transfer Engine'!$C$2:$C$1960,0)))</f>
        <v/>
      </c>
      <c r="O1420" s="9">
        <f>IF(ISNA(MATCH(1411,'Transfer Engine'!$C$2:$C$1960,0)),"",INDEX('Compliance Database'!$O$2:$O$1960,MATCH(1411,'Transfer Engine'!$C$2:$C$1960,0)))</f>
        <v/>
      </c>
      <c r="P1420" s="8">
        <f>IF(ISNA(MATCH(1411,'Transfer Engine'!$C$2:$C$1960,0)),"",HYPERLINK("#Acts!A"&amp;INDEX('Compliance Database'!$P$2:$P$1960,MATCH(1411,'Transfer Engine'!$C$2:$C$1960,0)),"Go to Act"))</f>
        <v/>
      </c>
    </row>
    <row r="1421" ht="158" customHeight="1">
      <c r="A1421" s="8">
        <f>IF(ISNA(MATCH(1412,'Transfer Engine'!$C$2:$C$1960,0)),"",INDEX('Compliance Database'!$A$2:$A$1960,MATCH(1412,'Transfer Engine'!$C$2:$C$1960,0)))</f>
        <v/>
      </c>
      <c r="B1421" s="8">
        <f>IF(ISNA(MATCH(1412,'Transfer Engine'!$C$2:$C$1960,0)),"",INDEX('Compliance Database'!$B$2:$B$1960,MATCH(1412,'Transfer Engine'!$C$2:$C$1960,0)))</f>
        <v/>
      </c>
      <c r="C1421" s="8">
        <f>IF(ISNA(MATCH(1412,'Transfer Engine'!$C$2:$C$1960,0)),"",INDEX('Compliance Database'!$C$2:$C$1960,MATCH(1412,'Transfer Engine'!$C$2:$C$1960,0)))</f>
        <v/>
      </c>
      <c r="D1421" s="9">
        <f>IF(ISNA(MATCH(1412,'Transfer Engine'!$C$2:$C$1960,0)),"",INDEX('Compliance Database'!$D$2:$D$1960,MATCH(1412,'Transfer Engine'!$C$2:$C$1960,0)))</f>
        <v/>
      </c>
      <c r="E1421" s="8">
        <f>IF(ISNA(MATCH(1412,'Transfer Engine'!$C$2:$C$1960,0)),"",INDEX('Compliance Database'!$E$2:$E$1960,MATCH(1412,'Transfer Engine'!$C$2:$C$1960,0)))</f>
        <v/>
      </c>
      <c r="F1421" s="8">
        <f>IF(ISNA(MATCH(1412,'Transfer Engine'!$C$2:$C$1960,0)),"",INDEX('Compliance Database'!$F$2:$F$1960,MATCH(1412,'Transfer Engine'!$C$2:$C$1960,0)))</f>
        <v/>
      </c>
      <c r="G1421" s="8">
        <f>IF(ISNA(MATCH(1412,'Transfer Engine'!$C$2:$C$1960,0)),"",INDEX('Compliance Database'!$G$2:$G$1960,MATCH(1412,'Transfer Engine'!$C$2:$C$1960,0)))</f>
        <v/>
      </c>
      <c r="H1421" s="9">
        <f>IF(ISNA(MATCH(1412,'Transfer Engine'!$C$2:$C$1960,0)),"",INDEX('Compliance Database'!$H$2:$H$1960,MATCH(1412,'Transfer Engine'!$C$2:$C$1960,0)))</f>
        <v/>
      </c>
      <c r="I1421" s="9">
        <f>IF(ISNA(MATCH(1412,'Transfer Engine'!$C$2:$C$1960,0)),"",INDEX('Compliance Database'!$I$2:$I$1960,MATCH(1412,'Transfer Engine'!$C$2:$C$1960,0)))</f>
        <v/>
      </c>
      <c r="J1421" s="8">
        <f>IF(ISNA(MATCH(1412,'Transfer Engine'!$C$2:$C$1960,0)),"",INDEX('Compliance Database'!$J$2:$J$1960,MATCH(1412,'Transfer Engine'!$C$2:$C$1960,0)))</f>
        <v/>
      </c>
      <c r="K1421" s="9">
        <f>IF(ISNA(MATCH(1412,'Transfer Engine'!$C$2:$C$1960,0)),"",INDEX('Compliance Database'!$K$2:$K$1960,MATCH(1412,'Transfer Engine'!$C$2:$C$1960,0)))</f>
        <v/>
      </c>
      <c r="L1421" s="9">
        <f>IF(ISNA(MATCH(1412,'Transfer Engine'!$C$2:$C$1960,0)),"",INDEX('Compliance Database'!$L$2:$L$1960,MATCH(1412,'Transfer Engine'!$C$2:$C$1960,0)))</f>
        <v/>
      </c>
      <c r="M1421" s="9">
        <f>IF(ISNA(MATCH(1412,'Transfer Engine'!$C$2:$C$1960,0)),"",INDEX('Compliance Database'!$M$2:$M$1960,MATCH(1412,'Transfer Engine'!$C$2:$C$1960,0)))</f>
        <v/>
      </c>
      <c r="N1421" s="9">
        <f>IF(ISNA(MATCH(1412,'Transfer Engine'!$C$2:$C$1960,0)),"",INDEX('Compliance Database'!$N$2:$N$1960,MATCH(1412,'Transfer Engine'!$C$2:$C$1960,0)))</f>
        <v/>
      </c>
      <c r="O1421" s="9">
        <f>IF(ISNA(MATCH(1412,'Transfer Engine'!$C$2:$C$1960,0)),"",INDEX('Compliance Database'!$O$2:$O$1960,MATCH(1412,'Transfer Engine'!$C$2:$C$1960,0)))</f>
        <v/>
      </c>
      <c r="P1421" s="8">
        <f>IF(ISNA(MATCH(1412,'Transfer Engine'!$C$2:$C$1960,0)),"",HYPERLINK("#Acts!A"&amp;INDEX('Compliance Database'!$P$2:$P$1960,MATCH(1412,'Transfer Engine'!$C$2:$C$1960,0)),"Go to Act"))</f>
        <v/>
      </c>
    </row>
    <row r="1422" ht="158" customHeight="1">
      <c r="A1422" s="8">
        <f>IF(ISNA(MATCH(1413,'Transfer Engine'!$C$2:$C$1960,0)),"",INDEX('Compliance Database'!$A$2:$A$1960,MATCH(1413,'Transfer Engine'!$C$2:$C$1960,0)))</f>
        <v/>
      </c>
      <c r="B1422" s="8">
        <f>IF(ISNA(MATCH(1413,'Transfer Engine'!$C$2:$C$1960,0)),"",INDEX('Compliance Database'!$B$2:$B$1960,MATCH(1413,'Transfer Engine'!$C$2:$C$1960,0)))</f>
        <v/>
      </c>
      <c r="C1422" s="8">
        <f>IF(ISNA(MATCH(1413,'Transfer Engine'!$C$2:$C$1960,0)),"",INDEX('Compliance Database'!$C$2:$C$1960,MATCH(1413,'Transfer Engine'!$C$2:$C$1960,0)))</f>
        <v/>
      </c>
      <c r="D1422" s="9">
        <f>IF(ISNA(MATCH(1413,'Transfer Engine'!$C$2:$C$1960,0)),"",INDEX('Compliance Database'!$D$2:$D$1960,MATCH(1413,'Transfer Engine'!$C$2:$C$1960,0)))</f>
        <v/>
      </c>
      <c r="E1422" s="8">
        <f>IF(ISNA(MATCH(1413,'Transfer Engine'!$C$2:$C$1960,0)),"",INDEX('Compliance Database'!$E$2:$E$1960,MATCH(1413,'Transfer Engine'!$C$2:$C$1960,0)))</f>
        <v/>
      </c>
      <c r="F1422" s="8">
        <f>IF(ISNA(MATCH(1413,'Transfer Engine'!$C$2:$C$1960,0)),"",INDEX('Compliance Database'!$F$2:$F$1960,MATCH(1413,'Transfer Engine'!$C$2:$C$1960,0)))</f>
        <v/>
      </c>
      <c r="G1422" s="8">
        <f>IF(ISNA(MATCH(1413,'Transfer Engine'!$C$2:$C$1960,0)),"",INDEX('Compliance Database'!$G$2:$G$1960,MATCH(1413,'Transfer Engine'!$C$2:$C$1960,0)))</f>
        <v/>
      </c>
      <c r="H1422" s="9">
        <f>IF(ISNA(MATCH(1413,'Transfer Engine'!$C$2:$C$1960,0)),"",INDEX('Compliance Database'!$H$2:$H$1960,MATCH(1413,'Transfer Engine'!$C$2:$C$1960,0)))</f>
        <v/>
      </c>
      <c r="I1422" s="9">
        <f>IF(ISNA(MATCH(1413,'Transfer Engine'!$C$2:$C$1960,0)),"",INDEX('Compliance Database'!$I$2:$I$1960,MATCH(1413,'Transfer Engine'!$C$2:$C$1960,0)))</f>
        <v/>
      </c>
      <c r="J1422" s="8">
        <f>IF(ISNA(MATCH(1413,'Transfer Engine'!$C$2:$C$1960,0)),"",INDEX('Compliance Database'!$J$2:$J$1960,MATCH(1413,'Transfer Engine'!$C$2:$C$1960,0)))</f>
        <v/>
      </c>
      <c r="K1422" s="9">
        <f>IF(ISNA(MATCH(1413,'Transfer Engine'!$C$2:$C$1960,0)),"",INDEX('Compliance Database'!$K$2:$K$1960,MATCH(1413,'Transfer Engine'!$C$2:$C$1960,0)))</f>
        <v/>
      </c>
      <c r="L1422" s="9">
        <f>IF(ISNA(MATCH(1413,'Transfer Engine'!$C$2:$C$1960,0)),"",INDEX('Compliance Database'!$L$2:$L$1960,MATCH(1413,'Transfer Engine'!$C$2:$C$1960,0)))</f>
        <v/>
      </c>
      <c r="M1422" s="9">
        <f>IF(ISNA(MATCH(1413,'Transfer Engine'!$C$2:$C$1960,0)),"",INDEX('Compliance Database'!$M$2:$M$1960,MATCH(1413,'Transfer Engine'!$C$2:$C$1960,0)))</f>
        <v/>
      </c>
      <c r="N1422" s="9">
        <f>IF(ISNA(MATCH(1413,'Transfer Engine'!$C$2:$C$1960,0)),"",INDEX('Compliance Database'!$N$2:$N$1960,MATCH(1413,'Transfer Engine'!$C$2:$C$1960,0)))</f>
        <v/>
      </c>
      <c r="O1422" s="9">
        <f>IF(ISNA(MATCH(1413,'Transfer Engine'!$C$2:$C$1960,0)),"",INDEX('Compliance Database'!$O$2:$O$1960,MATCH(1413,'Transfer Engine'!$C$2:$C$1960,0)))</f>
        <v/>
      </c>
      <c r="P1422" s="8">
        <f>IF(ISNA(MATCH(1413,'Transfer Engine'!$C$2:$C$1960,0)),"",HYPERLINK("#Acts!A"&amp;INDEX('Compliance Database'!$P$2:$P$1960,MATCH(1413,'Transfer Engine'!$C$2:$C$1960,0)),"Go to Act"))</f>
        <v/>
      </c>
    </row>
    <row r="1423" ht="158" customHeight="1">
      <c r="A1423" s="8">
        <f>IF(ISNA(MATCH(1414,'Transfer Engine'!$C$2:$C$1960,0)),"",INDEX('Compliance Database'!$A$2:$A$1960,MATCH(1414,'Transfer Engine'!$C$2:$C$1960,0)))</f>
        <v/>
      </c>
      <c r="B1423" s="8">
        <f>IF(ISNA(MATCH(1414,'Transfer Engine'!$C$2:$C$1960,0)),"",INDEX('Compliance Database'!$B$2:$B$1960,MATCH(1414,'Transfer Engine'!$C$2:$C$1960,0)))</f>
        <v/>
      </c>
      <c r="C1423" s="8">
        <f>IF(ISNA(MATCH(1414,'Transfer Engine'!$C$2:$C$1960,0)),"",INDEX('Compliance Database'!$C$2:$C$1960,MATCH(1414,'Transfer Engine'!$C$2:$C$1960,0)))</f>
        <v/>
      </c>
      <c r="D1423" s="9">
        <f>IF(ISNA(MATCH(1414,'Transfer Engine'!$C$2:$C$1960,0)),"",INDEX('Compliance Database'!$D$2:$D$1960,MATCH(1414,'Transfer Engine'!$C$2:$C$1960,0)))</f>
        <v/>
      </c>
      <c r="E1423" s="8">
        <f>IF(ISNA(MATCH(1414,'Transfer Engine'!$C$2:$C$1960,0)),"",INDEX('Compliance Database'!$E$2:$E$1960,MATCH(1414,'Transfer Engine'!$C$2:$C$1960,0)))</f>
        <v/>
      </c>
      <c r="F1423" s="8">
        <f>IF(ISNA(MATCH(1414,'Transfer Engine'!$C$2:$C$1960,0)),"",INDEX('Compliance Database'!$F$2:$F$1960,MATCH(1414,'Transfer Engine'!$C$2:$C$1960,0)))</f>
        <v/>
      </c>
      <c r="G1423" s="8">
        <f>IF(ISNA(MATCH(1414,'Transfer Engine'!$C$2:$C$1960,0)),"",INDEX('Compliance Database'!$G$2:$G$1960,MATCH(1414,'Transfer Engine'!$C$2:$C$1960,0)))</f>
        <v/>
      </c>
      <c r="H1423" s="9">
        <f>IF(ISNA(MATCH(1414,'Transfer Engine'!$C$2:$C$1960,0)),"",INDEX('Compliance Database'!$H$2:$H$1960,MATCH(1414,'Transfer Engine'!$C$2:$C$1960,0)))</f>
        <v/>
      </c>
      <c r="I1423" s="9">
        <f>IF(ISNA(MATCH(1414,'Transfer Engine'!$C$2:$C$1960,0)),"",INDEX('Compliance Database'!$I$2:$I$1960,MATCH(1414,'Transfer Engine'!$C$2:$C$1960,0)))</f>
        <v/>
      </c>
      <c r="J1423" s="8">
        <f>IF(ISNA(MATCH(1414,'Transfer Engine'!$C$2:$C$1960,0)),"",INDEX('Compliance Database'!$J$2:$J$1960,MATCH(1414,'Transfer Engine'!$C$2:$C$1960,0)))</f>
        <v/>
      </c>
      <c r="K1423" s="9">
        <f>IF(ISNA(MATCH(1414,'Transfer Engine'!$C$2:$C$1960,0)),"",INDEX('Compliance Database'!$K$2:$K$1960,MATCH(1414,'Transfer Engine'!$C$2:$C$1960,0)))</f>
        <v/>
      </c>
      <c r="L1423" s="9">
        <f>IF(ISNA(MATCH(1414,'Transfer Engine'!$C$2:$C$1960,0)),"",INDEX('Compliance Database'!$L$2:$L$1960,MATCH(1414,'Transfer Engine'!$C$2:$C$1960,0)))</f>
        <v/>
      </c>
      <c r="M1423" s="9">
        <f>IF(ISNA(MATCH(1414,'Transfer Engine'!$C$2:$C$1960,0)),"",INDEX('Compliance Database'!$M$2:$M$1960,MATCH(1414,'Transfer Engine'!$C$2:$C$1960,0)))</f>
        <v/>
      </c>
      <c r="N1423" s="9">
        <f>IF(ISNA(MATCH(1414,'Transfer Engine'!$C$2:$C$1960,0)),"",INDEX('Compliance Database'!$N$2:$N$1960,MATCH(1414,'Transfer Engine'!$C$2:$C$1960,0)))</f>
        <v/>
      </c>
      <c r="O1423" s="9">
        <f>IF(ISNA(MATCH(1414,'Transfer Engine'!$C$2:$C$1960,0)),"",INDEX('Compliance Database'!$O$2:$O$1960,MATCH(1414,'Transfer Engine'!$C$2:$C$1960,0)))</f>
        <v/>
      </c>
      <c r="P1423" s="8">
        <f>IF(ISNA(MATCH(1414,'Transfer Engine'!$C$2:$C$1960,0)),"",HYPERLINK("#Acts!A"&amp;INDEX('Compliance Database'!$P$2:$P$1960,MATCH(1414,'Transfer Engine'!$C$2:$C$1960,0)),"Go to Act"))</f>
        <v/>
      </c>
    </row>
    <row r="1424" ht="158" customHeight="1">
      <c r="A1424" s="8">
        <f>IF(ISNA(MATCH(1415,'Transfer Engine'!$C$2:$C$1960,0)),"",INDEX('Compliance Database'!$A$2:$A$1960,MATCH(1415,'Transfer Engine'!$C$2:$C$1960,0)))</f>
        <v/>
      </c>
      <c r="B1424" s="8">
        <f>IF(ISNA(MATCH(1415,'Transfer Engine'!$C$2:$C$1960,0)),"",INDEX('Compliance Database'!$B$2:$B$1960,MATCH(1415,'Transfer Engine'!$C$2:$C$1960,0)))</f>
        <v/>
      </c>
      <c r="C1424" s="8">
        <f>IF(ISNA(MATCH(1415,'Transfer Engine'!$C$2:$C$1960,0)),"",INDEX('Compliance Database'!$C$2:$C$1960,MATCH(1415,'Transfer Engine'!$C$2:$C$1960,0)))</f>
        <v/>
      </c>
      <c r="D1424" s="9">
        <f>IF(ISNA(MATCH(1415,'Transfer Engine'!$C$2:$C$1960,0)),"",INDEX('Compliance Database'!$D$2:$D$1960,MATCH(1415,'Transfer Engine'!$C$2:$C$1960,0)))</f>
        <v/>
      </c>
      <c r="E1424" s="8">
        <f>IF(ISNA(MATCH(1415,'Transfer Engine'!$C$2:$C$1960,0)),"",INDEX('Compliance Database'!$E$2:$E$1960,MATCH(1415,'Transfer Engine'!$C$2:$C$1960,0)))</f>
        <v/>
      </c>
      <c r="F1424" s="8">
        <f>IF(ISNA(MATCH(1415,'Transfer Engine'!$C$2:$C$1960,0)),"",INDEX('Compliance Database'!$F$2:$F$1960,MATCH(1415,'Transfer Engine'!$C$2:$C$1960,0)))</f>
        <v/>
      </c>
      <c r="G1424" s="8">
        <f>IF(ISNA(MATCH(1415,'Transfer Engine'!$C$2:$C$1960,0)),"",INDEX('Compliance Database'!$G$2:$G$1960,MATCH(1415,'Transfer Engine'!$C$2:$C$1960,0)))</f>
        <v/>
      </c>
      <c r="H1424" s="9">
        <f>IF(ISNA(MATCH(1415,'Transfer Engine'!$C$2:$C$1960,0)),"",INDEX('Compliance Database'!$H$2:$H$1960,MATCH(1415,'Transfer Engine'!$C$2:$C$1960,0)))</f>
        <v/>
      </c>
      <c r="I1424" s="9">
        <f>IF(ISNA(MATCH(1415,'Transfer Engine'!$C$2:$C$1960,0)),"",INDEX('Compliance Database'!$I$2:$I$1960,MATCH(1415,'Transfer Engine'!$C$2:$C$1960,0)))</f>
        <v/>
      </c>
      <c r="J1424" s="8">
        <f>IF(ISNA(MATCH(1415,'Transfer Engine'!$C$2:$C$1960,0)),"",INDEX('Compliance Database'!$J$2:$J$1960,MATCH(1415,'Transfer Engine'!$C$2:$C$1960,0)))</f>
        <v/>
      </c>
      <c r="K1424" s="9">
        <f>IF(ISNA(MATCH(1415,'Transfer Engine'!$C$2:$C$1960,0)),"",INDEX('Compliance Database'!$K$2:$K$1960,MATCH(1415,'Transfer Engine'!$C$2:$C$1960,0)))</f>
        <v/>
      </c>
      <c r="L1424" s="9">
        <f>IF(ISNA(MATCH(1415,'Transfer Engine'!$C$2:$C$1960,0)),"",INDEX('Compliance Database'!$L$2:$L$1960,MATCH(1415,'Transfer Engine'!$C$2:$C$1960,0)))</f>
        <v/>
      </c>
      <c r="M1424" s="9">
        <f>IF(ISNA(MATCH(1415,'Transfer Engine'!$C$2:$C$1960,0)),"",INDEX('Compliance Database'!$M$2:$M$1960,MATCH(1415,'Transfer Engine'!$C$2:$C$1960,0)))</f>
        <v/>
      </c>
      <c r="N1424" s="9">
        <f>IF(ISNA(MATCH(1415,'Transfer Engine'!$C$2:$C$1960,0)),"",INDEX('Compliance Database'!$N$2:$N$1960,MATCH(1415,'Transfer Engine'!$C$2:$C$1960,0)))</f>
        <v/>
      </c>
      <c r="O1424" s="9">
        <f>IF(ISNA(MATCH(1415,'Transfer Engine'!$C$2:$C$1960,0)),"",INDEX('Compliance Database'!$O$2:$O$1960,MATCH(1415,'Transfer Engine'!$C$2:$C$1960,0)))</f>
        <v/>
      </c>
      <c r="P1424" s="8">
        <f>IF(ISNA(MATCH(1415,'Transfer Engine'!$C$2:$C$1960,0)),"",HYPERLINK("#Acts!A"&amp;INDEX('Compliance Database'!$P$2:$P$1960,MATCH(1415,'Transfer Engine'!$C$2:$C$1960,0)),"Go to Act"))</f>
        <v/>
      </c>
    </row>
    <row r="1425" ht="158" customHeight="1">
      <c r="A1425" s="8">
        <f>IF(ISNA(MATCH(1416,'Transfer Engine'!$C$2:$C$1960,0)),"",INDEX('Compliance Database'!$A$2:$A$1960,MATCH(1416,'Transfer Engine'!$C$2:$C$1960,0)))</f>
        <v/>
      </c>
      <c r="B1425" s="8">
        <f>IF(ISNA(MATCH(1416,'Transfer Engine'!$C$2:$C$1960,0)),"",INDEX('Compliance Database'!$B$2:$B$1960,MATCH(1416,'Transfer Engine'!$C$2:$C$1960,0)))</f>
        <v/>
      </c>
      <c r="C1425" s="8">
        <f>IF(ISNA(MATCH(1416,'Transfer Engine'!$C$2:$C$1960,0)),"",INDEX('Compliance Database'!$C$2:$C$1960,MATCH(1416,'Transfer Engine'!$C$2:$C$1960,0)))</f>
        <v/>
      </c>
      <c r="D1425" s="9">
        <f>IF(ISNA(MATCH(1416,'Transfer Engine'!$C$2:$C$1960,0)),"",INDEX('Compliance Database'!$D$2:$D$1960,MATCH(1416,'Transfer Engine'!$C$2:$C$1960,0)))</f>
        <v/>
      </c>
      <c r="E1425" s="8">
        <f>IF(ISNA(MATCH(1416,'Transfer Engine'!$C$2:$C$1960,0)),"",INDEX('Compliance Database'!$E$2:$E$1960,MATCH(1416,'Transfer Engine'!$C$2:$C$1960,0)))</f>
        <v/>
      </c>
      <c r="F1425" s="8">
        <f>IF(ISNA(MATCH(1416,'Transfer Engine'!$C$2:$C$1960,0)),"",INDEX('Compliance Database'!$F$2:$F$1960,MATCH(1416,'Transfer Engine'!$C$2:$C$1960,0)))</f>
        <v/>
      </c>
      <c r="G1425" s="8">
        <f>IF(ISNA(MATCH(1416,'Transfer Engine'!$C$2:$C$1960,0)),"",INDEX('Compliance Database'!$G$2:$G$1960,MATCH(1416,'Transfer Engine'!$C$2:$C$1960,0)))</f>
        <v/>
      </c>
      <c r="H1425" s="9">
        <f>IF(ISNA(MATCH(1416,'Transfer Engine'!$C$2:$C$1960,0)),"",INDEX('Compliance Database'!$H$2:$H$1960,MATCH(1416,'Transfer Engine'!$C$2:$C$1960,0)))</f>
        <v/>
      </c>
      <c r="I1425" s="9">
        <f>IF(ISNA(MATCH(1416,'Transfer Engine'!$C$2:$C$1960,0)),"",INDEX('Compliance Database'!$I$2:$I$1960,MATCH(1416,'Transfer Engine'!$C$2:$C$1960,0)))</f>
        <v/>
      </c>
      <c r="J1425" s="8">
        <f>IF(ISNA(MATCH(1416,'Transfer Engine'!$C$2:$C$1960,0)),"",INDEX('Compliance Database'!$J$2:$J$1960,MATCH(1416,'Transfer Engine'!$C$2:$C$1960,0)))</f>
        <v/>
      </c>
      <c r="K1425" s="9">
        <f>IF(ISNA(MATCH(1416,'Transfer Engine'!$C$2:$C$1960,0)),"",INDEX('Compliance Database'!$K$2:$K$1960,MATCH(1416,'Transfer Engine'!$C$2:$C$1960,0)))</f>
        <v/>
      </c>
      <c r="L1425" s="9">
        <f>IF(ISNA(MATCH(1416,'Transfer Engine'!$C$2:$C$1960,0)),"",INDEX('Compliance Database'!$L$2:$L$1960,MATCH(1416,'Transfer Engine'!$C$2:$C$1960,0)))</f>
        <v/>
      </c>
      <c r="M1425" s="9">
        <f>IF(ISNA(MATCH(1416,'Transfer Engine'!$C$2:$C$1960,0)),"",INDEX('Compliance Database'!$M$2:$M$1960,MATCH(1416,'Transfer Engine'!$C$2:$C$1960,0)))</f>
        <v/>
      </c>
      <c r="N1425" s="9">
        <f>IF(ISNA(MATCH(1416,'Transfer Engine'!$C$2:$C$1960,0)),"",INDEX('Compliance Database'!$N$2:$N$1960,MATCH(1416,'Transfer Engine'!$C$2:$C$1960,0)))</f>
        <v/>
      </c>
      <c r="O1425" s="9">
        <f>IF(ISNA(MATCH(1416,'Transfer Engine'!$C$2:$C$1960,0)),"",INDEX('Compliance Database'!$O$2:$O$1960,MATCH(1416,'Transfer Engine'!$C$2:$C$1960,0)))</f>
        <v/>
      </c>
      <c r="P1425" s="8">
        <f>IF(ISNA(MATCH(1416,'Transfer Engine'!$C$2:$C$1960,0)),"",HYPERLINK("#Acts!A"&amp;INDEX('Compliance Database'!$P$2:$P$1960,MATCH(1416,'Transfer Engine'!$C$2:$C$1960,0)),"Go to Act"))</f>
        <v/>
      </c>
    </row>
    <row r="1426" ht="158" customHeight="1">
      <c r="A1426" s="8">
        <f>IF(ISNA(MATCH(1417,'Transfer Engine'!$C$2:$C$1960,0)),"",INDEX('Compliance Database'!$A$2:$A$1960,MATCH(1417,'Transfer Engine'!$C$2:$C$1960,0)))</f>
        <v/>
      </c>
      <c r="B1426" s="8">
        <f>IF(ISNA(MATCH(1417,'Transfer Engine'!$C$2:$C$1960,0)),"",INDEX('Compliance Database'!$B$2:$B$1960,MATCH(1417,'Transfer Engine'!$C$2:$C$1960,0)))</f>
        <v/>
      </c>
      <c r="C1426" s="8">
        <f>IF(ISNA(MATCH(1417,'Transfer Engine'!$C$2:$C$1960,0)),"",INDEX('Compliance Database'!$C$2:$C$1960,MATCH(1417,'Transfer Engine'!$C$2:$C$1960,0)))</f>
        <v/>
      </c>
      <c r="D1426" s="9">
        <f>IF(ISNA(MATCH(1417,'Transfer Engine'!$C$2:$C$1960,0)),"",INDEX('Compliance Database'!$D$2:$D$1960,MATCH(1417,'Transfer Engine'!$C$2:$C$1960,0)))</f>
        <v/>
      </c>
      <c r="E1426" s="8">
        <f>IF(ISNA(MATCH(1417,'Transfer Engine'!$C$2:$C$1960,0)),"",INDEX('Compliance Database'!$E$2:$E$1960,MATCH(1417,'Transfer Engine'!$C$2:$C$1960,0)))</f>
        <v/>
      </c>
      <c r="F1426" s="8">
        <f>IF(ISNA(MATCH(1417,'Transfer Engine'!$C$2:$C$1960,0)),"",INDEX('Compliance Database'!$F$2:$F$1960,MATCH(1417,'Transfer Engine'!$C$2:$C$1960,0)))</f>
        <v/>
      </c>
      <c r="G1426" s="8">
        <f>IF(ISNA(MATCH(1417,'Transfer Engine'!$C$2:$C$1960,0)),"",INDEX('Compliance Database'!$G$2:$G$1960,MATCH(1417,'Transfer Engine'!$C$2:$C$1960,0)))</f>
        <v/>
      </c>
      <c r="H1426" s="9">
        <f>IF(ISNA(MATCH(1417,'Transfer Engine'!$C$2:$C$1960,0)),"",INDEX('Compliance Database'!$H$2:$H$1960,MATCH(1417,'Transfer Engine'!$C$2:$C$1960,0)))</f>
        <v/>
      </c>
      <c r="I1426" s="9">
        <f>IF(ISNA(MATCH(1417,'Transfer Engine'!$C$2:$C$1960,0)),"",INDEX('Compliance Database'!$I$2:$I$1960,MATCH(1417,'Transfer Engine'!$C$2:$C$1960,0)))</f>
        <v/>
      </c>
      <c r="J1426" s="8">
        <f>IF(ISNA(MATCH(1417,'Transfer Engine'!$C$2:$C$1960,0)),"",INDEX('Compliance Database'!$J$2:$J$1960,MATCH(1417,'Transfer Engine'!$C$2:$C$1960,0)))</f>
        <v/>
      </c>
      <c r="K1426" s="9">
        <f>IF(ISNA(MATCH(1417,'Transfer Engine'!$C$2:$C$1960,0)),"",INDEX('Compliance Database'!$K$2:$K$1960,MATCH(1417,'Transfer Engine'!$C$2:$C$1960,0)))</f>
        <v/>
      </c>
      <c r="L1426" s="9">
        <f>IF(ISNA(MATCH(1417,'Transfer Engine'!$C$2:$C$1960,0)),"",INDEX('Compliance Database'!$L$2:$L$1960,MATCH(1417,'Transfer Engine'!$C$2:$C$1960,0)))</f>
        <v/>
      </c>
      <c r="M1426" s="9">
        <f>IF(ISNA(MATCH(1417,'Transfer Engine'!$C$2:$C$1960,0)),"",INDEX('Compliance Database'!$M$2:$M$1960,MATCH(1417,'Transfer Engine'!$C$2:$C$1960,0)))</f>
        <v/>
      </c>
      <c r="N1426" s="9">
        <f>IF(ISNA(MATCH(1417,'Transfer Engine'!$C$2:$C$1960,0)),"",INDEX('Compliance Database'!$N$2:$N$1960,MATCH(1417,'Transfer Engine'!$C$2:$C$1960,0)))</f>
        <v/>
      </c>
      <c r="O1426" s="9">
        <f>IF(ISNA(MATCH(1417,'Transfer Engine'!$C$2:$C$1960,0)),"",INDEX('Compliance Database'!$O$2:$O$1960,MATCH(1417,'Transfer Engine'!$C$2:$C$1960,0)))</f>
        <v/>
      </c>
      <c r="P1426" s="8">
        <f>IF(ISNA(MATCH(1417,'Transfer Engine'!$C$2:$C$1960,0)),"",HYPERLINK("#Acts!A"&amp;INDEX('Compliance Database'!$P$2:$P$1960,MATCH(1417,'Transfer Engine'!$C$2:$C$1960,0)),"Go to Act"))</f>
        <v/>
      </c>
    </row>
    <row r="1427" ht="158" customHeight="1">
      <c r="A1427" s="8">
        <f>IF(ISNA(MATCH(1418,'Transfer Engine'!$C$2:$C$1960,0)),"",INDEX('Compliance Database'!$A$2:$A$1960,MATCH(1418,'Transfer Engine'!$C$2:$C$1960,0)))</f>
        <v/>
      </c>
      <c r="B1427" s="8">
        <f>IF(ISNA(MATCH(1418,'Transfer Engine'!$C$2:$C$1960,0)),"",INDEX('Compliance Database'!$B$2:$B$1960,MATCH(1418,'Transfer Engine'!$C$2:$C$1960,0)))</f>
        <v/>
      </c>
      <c r="C1427" s="8">
        <f>IF(ISNA(MATCH(1418,'Transfer Engine'!$C$2:$C$1960,0)),"",INDEX('Compliance Database'!$C$2:$C$1960,MATCH(1418,'Transfer Engine'!$C$2:$C$1960,0)))</f>
        <v/>
      </c>
      <c r="D1427" s="9">
        <f>IF(ISNA(MATCH(1418,'Transfer Engine'!$C$2:$C$1960,0)),"",INDEX('Compliance Database'!$D$2:$D$1960,MATCH(1418,'Transfer Engine'!$C$2:$C$1960,0)))</f>
        <v/>
      </c>
      <c r="E1427" s="8">
        <f>IF(ISNA(MATCH(1418,'Transfer Engine'!$C$2:$C$1960,0)),"",INDEX('Compliance Database'!$E$2:$E$1960,MATCH(1418,'Transfer Engine'!$C$2:$C$1960,0)))</f>
        <v/>
      </c>
      <c r="F1427" s="8">
        <f>IF(ISNA(MATCH(1418,'Transfer Engine'!$C$2:$C$1960,0)),"",INDEX('Compliance Database'!$F$2:$F$1960,MATCH(1418,'Transfer Engine'!$C$2:$C$1960,0)))</f>
        <v/>
      </c>
      <c r="G1427" s="8">
        <f>IF(ISNA(MATCH(1418,'Transfer Engine'!$C$2:$C$1960,0)),"",INDEX('Compliance Database'!$G$2:$G$1960,MATCH(1418,'Transfer Engine'!$C$2:$C$1960,0)))</f>
        <v/>
      </c>
      <c r="H1427" s="9">
        <f>IF(ISNA(MATCH(1418,'Transfer Engine'!$C$2:$C$1960,0)),"",INDEX('Compliance Database'!$H$2:$H$1960,MATCH(1418,'Transfer Engine'!$C$2:$C$1960,0)))</f>
        <v/>
      </c>
      <c r="I1427" s="9">
        <f>IF(ISNA(MATCH(1418,'Transfer Engine'!$C$2:$C$1960,0)),"",INDEX('Compliance Database'!$I$2:$I$1960,MATCH(1418,'Transfer Engine'!$C$2:$C$1960,0)))</f>
        <v/>
      </c>
      <c r="J1427" s="8">
        <f>IF(ISNA(MATCH(1418,'Transfer Engine'!$C$2:$C$1960,0)),"",INDEX('Compliance Database'!$J$2:$J$1960,MATCH(1418,'Transfer Engine'!$C$2:$C$1960,0)))</f>
        <v/>
      </c>
      <c r="K1427" s="9">
        <f>IF(ISNA(MATCH(1418,'Transfer Engine'!$C$2:$C$1960,0)),"",INDEX('Compliance Database'!$K$2:$K$1960,MATCH(1418,'Transfer Engine'!$C$2:$C$1960,0)))</f>
        <v/>
      </c>
      <c r="L1427" s="9">
        <f>IF(ISNA(MATCH(1418,'Transfer Engine'!$C$2:$C$1960,0)),"",INDEX('Compliance Database'!$L$2:$L$1960,MATCH(1418,'Transfer Engine'!$C$2:$C$1960,0)))</f>
        <v/>
      </c>
      <c r="M1427" s="9">
        <f>IF(ISNA(MATCH(1418,'Transfer Engine'!$C$2:$C$1960,0)),"",INDEX('Compliance Database'!$M$2:$M$1960,MATCH(1418,'Transfer Engine'!$C$2:$C$1960,0)))</f>
        <v/>
      </c>
      <c r="N1427" s="9">
        <f>IF(ISNA(MATCH(1418,'Transfer Engine'!$C$2:$C$1960,0)),"",INDEX('Compliance Database'!$N$2:$N$1960,MATCH(1418,'Transfer Engine'!$C$2:$C$1960,0)))</f>
        <v/>
      </c>
      <c r="O1427" s="9">
        <f>IF(ISNA(MATCH(1418,'Transfer Engine'!$C$2:$C$1960,0)),"",INDEX('Compliance Database'!$O$2:$O$1960,MATCH(1418,'Transfer Engine'!$C$2:$C$1960,0)))</f>
        <v/>
      </c>
      <c r="P1427" s="8">
        <f>IF(ISNA(MATCH(1418,'Transfer Engine'!$C$2:$C$1960,0)),"",HYPERLINK("#Acts!A"&amp;INDEX('Compliance Database'!$P$2:$P$1960,MATCH(1418,'Transfer Engine'!$C$2:$C$1960,0)),"Go to Act"))</f>
        <v/>
      </c>
    </row>
    <row r="1428" ht="158" customHeight="1">
      <c r="A1428" s="8">
        <f>IF(ISNA(MATCH(1419,'Transfer Engine'!$C$2:$C$1960,0)),"",INDEX('Compliance Database'!$A$2:$A$1960,MATCH(1419,'Transfer Engine'!$C$2:$C$1960,0)))</f>
        <v/>
      </c>
      <c r="B1428" s="8">
        <f>IF(ISNA(MATCH(1419,'Transfer Engine'!$C$2:$C$1960,0)),"",INDEX('Compliance Database'!$B$2:$B$1960,MATCH(1419,'Transfer Engine'!$C$2:$C$1960,0)))</f>
        <v/>
      </c>
      <c r="C1428" s="8">
        <f>IF(ISNA(MATCH(1419,'Transfer Engine'!$C$2:$C$1960,0)),"",INDEX('Compliance Database'!$C$2:$C$1960,MATCH(1419,'Transfer Engine'!$C$2:$C$1960,0)))</f>
        <v/>
      </c>
      <c r="D1428" s="9">
        <f>IF(ISNA(MATCH(1419,'Transfer Engine'!$C$2:$C$1960,0)),"",INDEX('Compliance Database'!$D$2:$D$1960,MATCH(1419,'Transfer Engine'!$C$2:$C$1960,0)))</f>
        <v/>
      </c>
      <c r="E1428" s="8">
        <f>IF(ISNA(MATCH(1419,'Transfer Engine'!$C$2:$C$1960,0)),"",INDEX('Compliance Database'!$E$2:$E$1960,MATCH(1419,'Transfer Engine'!$C$2:$C$1960,0)))</f>
        <v/>
      </c>
      <c r="F1428" s="8">
        <f>IF(ISNA(MATCH(1419,'Transfer Engine'!$C$2:$C$1960,0)),"",INDEX('Compliance Database'!$F$2:$F$1960,MATCH(1419,'Transfer Engine'!$C$2:$C$1960,0)))</f>
        <v/>
      </c>
      <c r="G1428" s="8">
        <f>IF(ISNA(MATCH(1419,'Transfer Engine'!$C$2:$C$1960,0)),"",INDEX('Compliance Database'!$G$2:$G$1960,MATCH(1419,'Transfer Engine'!$C$2:$C$1960,0)))</f>
        <v/>
      </c>
      <c r="H1428" s="9">
        <f>IF(ISNA(MATCH(1419,'Transfer Engine'!$C$2:$C$1960,0)),"",INDEX('Compliance Database'!$H$2:$H$1960,MATCH(1419,'Transfer Engine'!$C$2:$C$1960,0)))</f>
        <v/>
      </c>
      <c r="I1428" s="9">
        <f>IF(ISNA(MATCH(1419,'Transfer Engine'!$C$2:$C$1960,0)),"",INDEX('Compliance Database'!$I$2:$I$1960,MATCH(1419,'Transfer Engine'!$C$2:$C$1960,0)))</f>
        <v/>
      </c>
      <c r="J1428" s="8">
        <f>IF(ISNA(MATCH(1419,'Transfer Engine'!$C$2:$C$1960,0)),"",INDEX('Compliance Database'!$J$2:$J$1960,MATCH(1419,'Transfer Engine'!$C$2:$C$1960,0)))</f>
        <v/>
      </c>
      <c r="K1428" s="9">
        <f>IF(ISNA(MATCH(1419,'Transfer Engine'!$C$2:$C$1960,0)),"",INDEX('Compliance Database'!$K$2:$K$1960,MATCH(1419,'Transfer Engine'!$C$2:$C$1960,0)))</f>
        <v/>
      </c>
      <c r="L1428" s="9">
        <f>IF(ISNA(MATCH(1419,'Transfer Engine'!$C$2:$C$1960,0)),"",INDEX('Compliance Database'!$L$2:$L$1960,MATCH(1419,'Transfer Engine'!$C$2:$C$1960,0)))</f>
        <v/>
      </c>
      <c r="M1428" s="9">
        <f>IF(ISNA(MATCH(1419,'Transfer Engine'!$C$2:$C$1960,0)),"",INDEX('Compliance Database'!$M$2:$M$1960,MATCH(1419,'Transfer Engine'!$C$2:$C$1960,0)))</f>
        <v/>
      </c>
      <c r="N1428" s="9">
        <f>IF(ISNA(MATCH(1419,'Transfer Engine'!$C$2:$C$1960,0)),"",INDEX('Compliance Database'!$N$2:$N$1960,MATCH(1419,'Transfer Engine'!$C$2:$C$1960,0)))</f>
        <v/>
      </c>
      <c r="O1428" s="9">
        <f>IF(ISNA(MATCH(1419,'Transfer Engine'!$C$2:$C$1960,0)),"",INDEX('Compliance Database'!$O$2:$O$1960,MATCH(1419,'Transfer Engine'!$C$2:$C$1960,0)))</f>
        <v/>
      </c>
      <c r="P1428" s="8">
        <f>IF(ISNA(MATCH(1419,'Transfer Engine'!$C$2:$C$1960,0)),"",HYPERLINK("#Acts!A"&amp;INDEX('Compliance Database'!$P$2:$P$1960,MATCH(1419,'Transfer Engine'!$C$2:$C$1960,0)),"Go to Act"))</f>
        <v/>
      </c>
    </row>
    <row r="1429" ht="158" customHeight="1">
      <c r="A1429" s="8">
        <f>IF(ISNA(MATCH(1420,'Transfer Engine'!$C$2:$C$1960,0)),"",INDEX('Compliance Database'!$A$2:$A$1960,MATCH(1420,'Transfer Engine'!$C$2:$C$1960,0)))</f>
        <v/>
      </c>
      <c r="B1429" s="8">
        <f>IF(ISNA(MATCH(1420,'Transfer Engine'!$C$2:$C$1960,0)),"",INDEX('Compliance Database'!$B$2:$B$1960,MATCH(1420,'Transfer Engine'!$C$2:$C$1960,0)))</f>
        <v/>
      </c>
      <c r="C1429" s="8">
        <f>IF(ISNA(MATCH(1420,'Transfer Engine'!$C$2:$C$1960,0)),"",INDEX('Compliance Database'!$C$2:$C$1960,MATCH(1420,'Transfer Engine'!$C$2:$C$1960,0)))</f>
        <v/>
      </c>
      <c r="D1429" s="9">
        <f>IF(ISNA(MATCH(1420,'Transfer Engine'!$C$2:$C$1960,0)),"",INDEX('Compliance Database'!$D$2:$D$1960,MATCH(1420,'Transfer Engine'!$C$2:$C$1960,0)))</f>
        <v/>
      </c>
      <c r="E1429" s="8">
        <f>IF(ISNA(MATCH(1420,'Transfer Engine'!$C$2:$C$1960,0)),"",INDEX('Compliance Database'!$E$2:$E$1960,MATCH(1420,'Transfer Engine'!$C$2:$C$1960,0)))</f>
        <v/>
      </c>
      <c r="F1429" s="8">
        <f>IF(ISNA(MATCH(1420,'Transfer Engine'!$C$2:$C$1960,0)),"",INDEX('Compliance Database'!$F$2:$F$1960,MATCH(1420,'Transfer Engine'!$C$2:$C$1960,0)))</f>
        <v/>
      </c>
      <c r="G1429" s="8">
        <f>IF(ISNA(MATCH(1420,'Transfer Engine'!$C$2:$C$1960,0)),"",INDEX('Compliance Database'!$G$2:$G$1960,MATCH(1420,'Transfer Engine'!$C$2:$C$1960,0)))</f>
        <v/>
      </c>
      <c r="H1429" s="9">
        <f>IF(ISNA(MATCH(1420,'Transfer Engine'!$C$2:$C$1960,0)),"",INDEX('Compliance Database'!$H$2:$H$1960,MATCH(1420,'Transfer Engine'!$C$2:$C$1960,0)))</f>
        <v/>
      </c>
      <c r="I1429" s="9">
        <f>IF(ISNA(MATCH(1420,'Transfer Engine'!$C$2:$C$1960,0)),"",INDEX('Compliance Database'!$I$2:$I$1960,MATCH(1420,'Transfer Engine'!$C$2:$C$1960,0)))</f>
        <v/>
      </c>
      <c r="J1429" s="8">
        <f>IF(ISNA(MATCH(1420,'Transfer Engine'!$C$2:$C$1960,0)),"",INDEX('Compliance Database'!$J$2:$J$1960,MATCH(1420,'Transfer Engine'!$C$2:$C$1960,0)))</f>
        <v/>
      </c>
      <c r="K1429" s="9">
        <f>IF(ISNA(MATCH(1420,'Transfer Engine'!$C$2:$C$1960,0)),"",INDEX('Compliance Database'!$K$2:$K$1960,MATCH(1420,'Transfer Engine'!$C$2:$C$1960,0)))</f>
        <v/>
      </c>
      <c r="L1429" s="9">
        <f>IF(ISNA(MATCH(1420,'Transfer Engine'!$C$2:$C$1960,0)),"",INDEX('Compliance Database'!$L$2:$L$1960,MATCH(1420,'Transfer Engine'!$C$2:$C$1960,0)))</f>
        <v/>
      </c>
      <c r="M1429" s="9">
        <f>IF(ISNA(MATCH(1420,'Transfer Engine'!$C$2:$C$1960,0)),"",INDEX('Compliance Database'!$M$2:$M$1960,MATCH(1420,'Transfer Engine'!$C$2:$C$1960,0)))</f>
        <v/>
      </c>
      <c r="N1429" s="9">
        <f>IF(ISNA(MATCH(1420,'Transfer Engine'!$C$2:$C$1960,0)),"",INDEX('Compliance Database'!$N$2:$N$1960,MATCH(1420,'Transfer Engine'!$C$2:$C$1960,0)))</f>
        <v/>
      </c>
      <c r="O1429" s="9">
        <f>IF(ISNA(MATCH(1420,'Transfer Engine'!$C$2:$C$1960,0)),"",INDEX('Compliance Database'!$O$2:$O$1960,MATCH(1420,'Transfer Engine'!$C$2:$C$1960,0)))</f>
        <v/>
      </c>
      <c r="P1429" s="8">
        <f>IF(ISNA(MATCH(1420,'Transfer Engine'!$C$2:$C$1960,0)),"",HYPERLINK("#Acts!A"&amp;INDEX('Compliance Database'!$P$2:$P$1960,MATCH(1420,'Transfer Engine'!$C$2:$C$1960,0)),"Go to Act"))</f>
        <v/>
      </c>
    </row>
    <row r="1430" ht="158" customHeight="1">
      <c r="A1430" s="8">
        <f>IF(ISNA(MATCH(1421,'Transfer Engine'!$C$2:$C$1960,0)),"",INDEX('Compliance Database'!$A$2:$A$1960,MATCH(1421,'Transfer Engine'!$C$2:$C$1960,0)))</f>
        <v/>
      </c>
      <c r="B1430" s="8">
        <f>IF(ISNA(MATCH(1421,'Transfer Engine'!$C$2:$C$1960,0)),"",INDEX('Compliance Database'!$B$2:$B$1960,MATCH(1421,'Transfer Engine'!$C$2:$C$1960,0)))</f>
        <v/>
      </c>
      <c r="C1430" s="8">
        <f>IF(ISNA(MATCH(1421,'Transfer Engine'!$C$2:$C$1960,0)),"",INDEX('Compliance Database'!$C$2:$C$1960,MATCH(1421,'Transfer Engine'!$C$2:$C$1960,0)))</f>
        <v/>
      </c>
      <c r="D1430" s="9">
        <f>IF(ISNA(MATCH(1421,'Transfer Engine'!$C$2:$C$1960,0)),"",INDEX('Compliance Database'!$D$2:$D$1960,MATCH(1421,'Transfer Engine'!$C$2:$C$1960,0)))</f>
        <v/>
      </c>
      <c r="E1430" s="8">
        <f>IF(ISNA(MATCH(1421,'Transfer Engine'!$C$2:$C$1960,0)),"",INDEX('Compliance Database'!$E$2:$E$1960,MATCH(1421,'Transfer Engine'!$C$2:$C$1960,0)))</f>
        <v/>
      </c>
      <c r="F1430" s="8">
        <f>IF(ISNA(MATCH(1421,'Transfer Engine'!$C$2:$C$1960,0)),"",INDEX('Compliance Database'!$F$2:$F$1960,MATCH(1421,'Transfer Engine'!$C$2:$C$1960,0)))</f>
        <v/>
      </c>
      <c r="G1430" s="8">
        <f>IF(ISNA(MATCH(1421,'Transfer Engine'!$C$2:$C$1960,0)),"",INDEX('Compliance Database'!$G$2:$G$1960,MATCH(1421,'Transfer Engine'!$C$2:$C$1960,0)))</f>
        <v/>
      </c>
      <c r="H1430" s="9">
        <f>IF(ISNA(MATCH(1421,'Transfer Engine'!$C$2:$C$1960,0)),"",INDEX('Compliance Database'!$H$2:$H$1960,MATCH(1421,'Transfer Engine'!$C$2:$C$1960,0)))</f>
        <v/>
      </c>
      <c r="I1430" s="9">
        <f>IF(ISNA(MATCH(1421,'Transfer Engine'!$C$2:$C$1960,0)),"",INDEX('Compliance Database'!$I$2:$I$1960,MATCH(1421,'Transfer Engine'!$C$2:$C$1960,0)))</f>
        <v/>
      </c>
      <c r="J1430" s="8">
        <f>IF(ISNA(MATCH(1421,'Transfer Engine'!$C$2:$C$1960,0)),"",INDEX('Compliance Database'!$J$2:$J$1960,MATCH(1421,'Transfer Engine'!$C$2:$C$1960,0)))</f>
        <v/>
      </c>
      <c r="K1430" s="9">
        <f>IF(ISNA(MATCH(1421,'Transfer Engine'!$C$2:$C$1960,0)),"",INDEX('Compliance Database'!$K$2:$K$1960,MATCH(1421,'Transfer Engine'!$C$2:$C$1960,0)))</f>
        <v/>
      </c>
      <c r="L1430" s="9">
        <f>IF(ISNA(MATCH(1421,'Transfer Engine'!$C$2:$C$1960,0)),"",INDEX('Compliance Database'!$L$2:$L$1960,MATCH(1421,'Transfer Engine'!$C$2:$C$1960,0)))</f>
        <v/>
      </c>
      <c r="M1430" s="9">
        <f>IF(ISNA(MATCH(1421,'Transfer Engine'!$C$2:$C$1960,0)),"",INDEX('Compliance Database'!$M$2:$M$1960,MATCH(1421,'Transfer Engine'!$C$2:$C$1960,0)))</f>
        <v/>
      </c>
      <c r="N1430" s="9">
        <f>IF(ISNA(MATCH(1421,'Transfer Engine'!$C$2:$C$1960,0)),"",INDEX('Compliance Database'!$N$2:$N$1960,MATCH(1421,'Transfer Engine'!$C$2:$C$1960,0)))</f>
        <v/>
      </c>
      <c r="O1430" s="9">
        <f>IF(ISNA(MATCH(1421,'Transfer Engine'!$C$2:$C$1960,0)),"",INDEX('Compliance Database'!$O$2:$O$1960,MATCH(1421,'Transfer Engine'!$C$2:$C$1960,0)))</f>
        <v/>
      </c>
      <c r="P1430" s="8">
        <f>IF(ISNA(MATCH(1421,'Transfer Engine'!$C$2:$C$1960,0)),"",HYPERLINK("#Acts!A"&amp;INDEX('Compliance Database'!$P$2:$P$1960,MATCH(1421,'Transfer Engine'!$C$2:$C$1960,0)),"Go to Act"))</f>
        <v/>
      </c>
    </row>
    <row r="1431" ht="158" customHeight="1">
      <c r="A1431" s="8">
        <f>IF(ISNA(MATCH(1422,'Transfer Engine'!$C$2:$C$1960,0)),"",INDEX('Compliance Database'!$A$2:$A$1960,MATCH(1422,'Transfer Engine'!$C$2:$C$1960,0)))</f>
        <v/>
      </c>
      <c r="B1431" s="8">
        <f>IF(ISNA(MATCH(1422,'Transfer Engine'!$C$2:$C$1960,0)),"",INDEX('Compliance Database'!$B$2:$B$1960,MATCH(1422,'Transfer Engine'!$C$2:$C$1960,0)))</f>
        <v/>
      </c>
      <c r="C1431" s="8">
        <f>IF(ISNA(MATCH(1422,'Transfer Engine'!$C$2:$C$1960,0)),"",INDEX('Compliance Database'!$C$2:$C$1960,MATCH(1422,'Transfer Engine'!$C$2:$C$1960,0)))</f>
        <v/>
      </c>
      <c r="D1431" s="9">
        <f>IF(ISNA(MATCH(1422,'Transfer Engine'!$C$2:$C$1960,0)),"",INDEX('Compliance Database'!$D$2:$D$1960,MATCH(1422,'Transfer Engine'!$C$2:$C$1960,0)))</f>
        <v/>
      </c>
      <c r="E1431" s="8">
        <f>IF(ISNA(MATCH(1422,'Transfer Engine'!$C$2:$C$1960,0)),"",INDEX('Compliance Database'!$E$2:$E$1960,MATCH(1422,'Transfer Engine'!$C$2:$C$1960,0)))</f>
        <v/>
      </c>
      <c r="F1431" s="8">
        <f>IF(ISNA(MATCH(1422,'Transfer Engine'!$C$2:$C$1960,0)),"",INDEX('Compliance Database'!$F$2:$F$1960,MATCH(1422,'Transfer Engine'!$C$2:$C$1960,0)))</f>
        <v/>
      </c>
      <c r="G1431" s="8">
        <f>IF(ISNA(MATCH(1422,'Transfer Engine'!$C$2:$C$1960,0)),"",INDEX('Compliance Database'!$G$2:$G$1960,MATCH(1422,'Transfer Engine'!$C$2:$C$1960,0)))</f>
        <v/>
      </c>
      <c r="H1431" s="9">
        <f>IF(ISNA(MATCH(1422,'Transfer Engine'!$C$2:$C$1960,0)),"",INDEX('Compliance Database'!$H$2:$H$1960,MATCH(1422,'Transfer Engine'!$C$2:$C$1960,0)))</f>
        <v/>
      </c>
      <c r="I1431" s="9">
        <f>IF(ISNA(MATCH(1422,'Transfer Engine'!$C$2:$C$1960,0)),"",INDEX('Compliance Database'!$I$2:$I$1960,MATCH(1422,'Transfer Engine'!$C$2:$C$1960,0)))</f>
        <v/>
      </c>
      <c r="J1431" s="8">
        <f>IF(ISNA(MATCH(1422,'Transfer Engine'!$C$2:$C$1960,0)),"",INDEX('Compliance Database'!$J$2:$J$1960,MATCH(1422,'Transfer Engine'!$C$2:$C$1960,0)))</f>
        <v/>
      </c>
      <c r="K1431" s="9">
        <f>IF(ISNA(MATCH(1422,'Transfer Engine'!$C$2:$C$1960,0)),"",INDEX('Compliance Database'!$K$2:$K$1960,MATCH(1422,'Transfer Engine'!$C$2:$C$1960,0)))</f>
        <v/>
      </c>
      <c r="L1431" s="9">
        <f>IF(ISNA(MATCH(1422,'Transfer Engine'!$C$2:$C$1960,0)),"",INDEX('Compliance Database'!$L$2:$L$1960,MATCH(1422,'Transfer Engine'!$C$2:$C$1960,0)))</f>
        <v/>
      </c>
      <c r="M1431" s="9">
        <f>IF(ISNA(MATCH(1422,'Transfer Engine'!$C$2:$C$1960,0)),"",INDEX('Compliance Database'!$M$2:$M$1960,MATCH(1422,'Transfer Engine'!$C$2:$C$1960,0)))</f>
        <v/>
      </c>
      <c r="N1431" s="9">
        <f>IF(ISNA(MATCH(1422,'Transfer Engine'!$C$2:$C$1960,0)),"",INDEX('Compliance Database'!$N$2:$N$1960,MATCH(1422,'Transfer Engine'!$C$2:$C$1960,0)))</f>
        <v/>
      </c>
      <c r="O1431" s="9">
        <f>IF(ISNA(MATCH(1422,'Transfer Engine'!$C$2:$C$1960,0)),"",INDEX('Compliance Database'!$O$2:$O$1960,MATCH(1422,'Transfer Engine'!$C$2:$C$1960,0)))</f>
        <v/>
      </c>
      <c r="P1431" s="8">
        <f>IF(ISNA(MATCH(1422,'Transfer Engine'!$C$2:$C$1960,0)),"",HYPERLINK("#Acts!A"&amp;INDEX('Compliance Database'!$P$2:$P$1960,MATCH(1422,'Transfer Engine'!$C$2:$C$1960,0)),"Go to Act"))</f>
        <v/>
      </c>
    </row>
    <row r="1432" ht="158" customHeight="1">
      <c r="A1432" s="8">
        <f>IF(ISNA(MATCH(1423,'Transfer Engine'!$C$2:$C$1960,0)),"",INDEX('Compliance Database'!$A$2:$A$1960,MATCH(1423,'Transfer Engine'!$C$2:$C$1960,0)))</f>
        <v/>
      </c>
      <c r="B1432" s="8">
        <f>IF(ISNA(MATCH(1423,'Transfer Engine'!$C$2:$C$1960,0)),"",INDEX('Compliance Database'!$B$2:$B$1960,MATCH(1423,'Transfer Engine'!$C$2:$C$1960,0)))</f>
        <v/>
      </c>
      <c r="C1432" s="8">
        <f>IF(ISNA(MATCH(1423,'Transfer Engine'!$C$2:$C$1960,0)),"",INDEX('Compliance Database'!$C$2:$C$1960,MATCH(1423,'Transfer Engine'!$C$2:$C$1960,0)))</f>
        <v/>
      </c>
      <c r="D1432" s="9">
        <f>IF(ISNA(MATCH(1423,'Transfer Engine'!$C$2:$C$1960,0)),"",INDEX('Compliance Database'!$D$2:$D$1960,MATCH(1423,'Transfer Engine'!$C$2:$C$1960,0)))</f>
        <v/>
      </c>
      <c r="E1432" s="8">
        <f>IF(ISNA(MATCH(1423,'Transfer Engine'!$C$2:$C$1960,0)),"",INDEX('Compliance Database'!$E$2:$E$1960,MATCH(1423,'Transfer Engine'!$C$2:$C$1960,0)))</f>
        <v/>
      </c>
      <c r="F1432" s="8">
        <f>IF(ISNA(MATCH(1423,'Transfer Engine'!$C$2:$C$1960,0)),"",INDEX('Compliance Database'!$F$2:$F$1960,MATCH(1423,'Transfer Engine'!$C$2:$C$1960,0)))</f>
        <v/>
      </c>
      <c r="G1432" s="8">
        <f>IF(ISNA(MATCH(1423,'Transfer Engine'!$C$2:$C$1960,0)),"",INDEX('Compliance Database'!$G$2:$G$1960,MATCH(1423,'Transfer Engine'!$C$2:$C$1960,0)))</f>
        <v/>
      </c>
      <c r="H1432" s="9">
        <f>IF(ISNA(MATCH(1423,'Transfer Engine'!$C$2:$C$1960,0)),"",INDEX('Compliance Database'!$H$2:$H$1960,MATCH(1423,'Transfer Engine'!$C$2:$C$1960,0)))</f>
        <v/>
      </c>
      <c r="I1432" s="9">
        <f>IF(ISNA(MATCH(1423,'Transfer Engine'!$C$2:$C$1960,0)),"",INDEX('Compliance Database'!$I$2:$I$1960,MATCH(1423,'Transfer Engine'!$C$2:$C$1960,0)))</f>
        <v/>
      </c>
      <c r="J1432" s="8">
        <f>IF(ISNA(MATCH(1423,'Transfer Engine'!$C$2:$C$1960,0)),"",INDEX('Compliance Database'!$J$2:$J$1960,MATCH(1423,'Transfer Engine'!$C$2:$C$1960,0)))</f>
        <v/>
      </c>
      <c r="K1432" s="9">
        <f>IF(ISNA(MATCH(1423,'Transfer Engine'!$C$2:$C$1960,0)),"",INDEX('Compliance Database'!$K$2:$K$1960,MATCH(1423,'Transfer Engine'!$C$2:$C$1960,0)))</f>
        <v/>
      </c>
      <c r="L1432" s="9">
        <f>IF(ISNA(MATCH(1423,'Transfer Engine'!$C$2:$C$1960,0)),"",INDEX('Compliance Database'!$L$2:$L$1960,MATCH(1423,'Transfer Engine'!$C$2:$C$1960,0)))</f>
        <v/>
      </c>
      <c r="M1432" s="9">
        <f>IF(ISNA(MATCH(1423,'Transfer Engine'!$C$2:$C$1960,0)),"",INDEX('Compliance Database'!$M$2:$M$1960,MATCH(1423,'Transfer Engine'!$C$2:$C$1960,0)))</f>
        <v/>
      </c>
      <c r="N1432" s="9">
        <f>IF(ISNA(MATCH(1423,'Transfer Engine'!$C$2:$C$1960,0)),"",INDEX('Compliance Database'!$N$2:$N$1960,MATCH(1423,'Transfer Engine'!$C$2:$C$1960,0)))</f>
        <v/>
      </c>
      <c r="O1432" s="9">
        <f>IF(ISNA(MATCH(1423,'Transfer Engine'!$C$2:$C$1960,0)),"",INDEX('Compliance Database'!$O$2:$O$1960,MATCH(1423,'Transfer Engine'!$C$2:$C$1960,0)))</f>
        <v/>
      </c>
      <c r="P1432" s="8">
        <f>IF(ISNA(MATCH(1423,'Transfer Engine'!$C$2:$C$1960,0)),"",HYPERLINK("#Acts!A"&amp;INDEX('Compliance Database'!$P$2:$P$1960,MATCH(1423,'Transfer Engine'!$C$2:$C$1960,0)),"Go to Act"))</f>
        <v/>
      </c>
    </row>
    <row r="1433" ht="158" customHeight="1">
      <c r="A1433" s="8">
        <f>IF(ISNA(MATCH(1424,'Transfer Engine'!$C$2:$C$1960,0)),"",INDEX('Compliance Database'!$A$2:$A$1960,MATCH(1424,'Transfer Engine'!$C$2:$C$1960,0)))</f>
        <v/>
      </c>
      <c r="B1433" s="8">
        <f>IF(ISNA(MATCH(1424,'Transfer Engine'!$C$2:$C$1960,0)),"",INDEX('Compliance Database'!$B$2:$B$1960,MATCH(1424,'Transfer Engine'!$C$2:$C$1960,0)))</f>
        <v/>
      </c>
      <c r="C1433" s="8">
        <f>IF(ISNA(MATCH(1424,'Transfer Engine'!$C$2:$C$1960,0)),"",INDEX('Compliance Database'!$C$2:$C$1960,MATCH(1424,'Transfer Engine'!$C$2:$C$1960,0)))</f>
        <v/>
      </c>
      <c r="D1433" s="9">
        <f>IF(ISNA(MATCH(1424,'Transfer Engine'!$C$2:$C$1960,0)),"",INDEX('Compliance Database'!$D$2:$D$1960,MATCH(1424,'Transfer Engine'!$C$2:$C$1960,0)))</f>
        <v/>
      </c>
      <c r="E1433" s="8">
        <f>IF(ISNA(MATCH(1424,'Transfer Engine'!$C$2:$C$1960,0)),"",INDEX('Compliance Database'!$E$2:$E$1960,MATCH(1424,'Transfer Engine'!$C$2:$C$1960,0)))</f>
        <v/>
      </c>
      <c r="F1433" s="8">
        <f>IF(ISNA(MATCH(1424,'Transfer Engine'!$C$2:$C$1960,0)),"",INDEX('Compliance Database'!$F$2:$F$1960,MATCH(1424,'Transfer Engine'!$C$2:$C$1960,0)))</f>
        <v/>
      </c>
      <c r="G1433" s="8">
        <f>IF(ISNA(MATCH(1424,'Transfer Engine'!$C$2:$C$1960,0)),"",INDEX('Compliance Database'!$G$2:$G$1960,MATCH(1424,'Transfer Engine'!$C$2:$C$1960,0)))</f>
        <v/>
      </c>
      <c r="H1433" s="9">
        <f>IF(ISNA(MATCH(1424,'Transfer Engine'!$C$2:$C$1960,0)),"",INDEX('Compliance Database'!$H$2:$H$1960,MATCH(1424,'Transfer Engine'!$C$2:$C$1960,0)))</f>
        <v/>
      </c>
      <c r="I1433" s="9">
        <f>IF(ISNA(MATCH(1424,'Transfer Engine'!$C$2:$C$1960,0)),"",INDEX('Compliance Database'!$I$2:$I$1960,MATCH(1424,'Transfer Engine'!$C$2:$C$1960,0)))</f>
        <v/>
      </c>
      <c r="J1433" s="8">
        <f>IF(ISNA(MATCH(1424,'Transfer Engine'!$C$2:$C$1960,0)),"",INDEX('Compliance Database'!$J$2:$J$1960,MATCH(1424,'Transfer Engine'!$C$2:$C$1960,0)))</f>
        <v/>
      </c>
      <c r="K1433" s="9">
        <f>IF(ISNA(MATCH(1424,'Transfer Engine'!$C$2:$C$1960,0)),"",INDEX('Compliance Database'!$K$2:$K$1960,MATCH(1424,'Transfer Engine'!$C$2:$C$1960,0)))</f>
        <v/>
      </c>
      <c r="L1433" s="9">
        <f>IF(ISNA(MATCH(1424,'Transfer Engine'!$C$2:$C$1960,0)),"",INDEX('Compliance Database'!$L$2:$L$1960,MATCH(1424,'Transfer Engine'!$C$2:$C$1960,0)))</f>
        <v/>
      </c>
      <c r="M1433" s="9">
        <f>IF(ISNA(MATCH(1424,'Transfer Engine'!$C$2:$C$1960,0)),"",INDEX('Compliance Database'!$M$2:$M$1960,MATCH(1424,'Transfer Engine'!$C$2:$C$1960,0)))</f>
        <v/>
      </c>
      <c r="N1433" s="9">
        <f>IF(ISNA(MATCH(1424,'Transfer Engine'!$C$2:$C$1960,0)),"",INDEX('Compliance Database'!$N$2:$N$1960,MATCH(1424,'Transfer Engine'!$C$2:$C$1960,0)))</f>
        <v/>
      </c>
      <c r="O1433" s="9">
        <f>IF(ISNA(MATCH(1424,'Transfer Engine'!$C$2:$C$1960,0)),"",INDEX('Compliance Database'!$O$2:$O$1960,MATCH(1424,'Transfer Engine'!$C$2:$C$1960,0)))</f>
        <v/>
      </c>
      <c r="P1433" s="8">
        <f>IF(ISNA(MATCH(1424,'Transfer Engine'!$C$2:$C$1960,0)),"",HYPERLINK("#Acts!A"&amp;INDEX('Compliance Database'!$P$2:$P$1960,MATCH(1424,'Transfer Engine'!$C$2:$C$1960,0)),"Go to Act"))</f>
        <v/>
      </c>
    </row>
    <row r="1434" ht="158" customHeight="1">
      <c r="A1434" s="8">
        <f>IF(ISNA(MATCH(1425,'Transfer Engine'!$C$2:$C$1960,0)),"",INDEX('Compliance Database'!$A$2:$A$1960,MATCH(1425,'Transfer Engine'!$C$2:$C$1960,0)))</f>
        <v/>
      </c>
      <c r="B1434" s="8">
        <f>IF(ISNA(MATCH(1425,'Transfer Engine'!$C$2:$C$1960,0)),"",INDEX('Compliance Database'!$B$2:$B$1960,MATCH(1425,'Transfer Engine'!$C$2:$C$1960,0)))</f>
        <v/>
      </c>
      <c r="C1434" s="8">
        <f>IF(ISNA(MATCH(1425,'Transfer Engine'!$C$2:$C$1960,0)),"",INDEX('Compliance Database'!$C$2:$C$1960,MATCH(1425,'Transfer Engine'!$C$2:$C$1960,0)))</f>
        <v/>
      </c>
      <c r="D1434" s="9">
        <f>IF(ISNA(MATCH(1425,'Transfer Engine'!$C$2:$C$1960,0)),"",INDEX('Compliance Database'!$D$2:$D$1960,MATCH(1425,'Transfer Engine'!$C$2:$C$1960,0)))</f>
        <v/>
      </c>
      <c r="E1434" s="8">
        <f>IF(ISNA(MATCH(1425,'Transfer Engine'!$C$2:$C$1960,0)),"",INDEX('Compliance Database'!$E$2:$E$1960,MATCH(1425,'Transfer Engine'!$C$2:$C$1960,0)))</f>
        <v/>
      </c>
      <c r="F1434" s="8">
        <f>IF(ISNA(MATCH(1425,'Transfer Engine'!$C$2:$C$1960,0)),"",INDEX('Compliance Database'!$F$2:$F$1960,MATCH(1425,'Transfer Engine'!$C$2:$C$1960,0)))</f>
        <v/>
      </c>
      <c r="G1434" s="8">
        <f>IF(ISNA(MATCH(1425,'Transfer Engine'!$C$2:$C$1960,0)),"",INDEX('Compliance Database'!$G$2:$G$1960,MATCH(1425,'Transfer Engine'!$C$2:$C$1960,0)))</f>
        <v/>
      </c>
      <c r="H1434" s="9">
        <f>IF(ISNA(MATCH(1425,'Transfer Engine'!$C$2:$C$1960,0)),"",INDEX('Compliance Database'!$H$2:$H$1960,MATCH(1425,'Transfer Engine'!$C$2:$C$1960,0)))</f>
        <v/>
      </c>
      <c r="I1434" s="9">
        <f>IF(ISNA(MATCH(1425,'Transfer Engine'!$C$2:$C$1960,0)),"",INDEX('Compliance Database'!$I$2:$I$1960,MATCH(1425,'Transfer Engine'!$C$2:$C$1960,0)))</f>
        <v/>
      </c>
      <c r="J1434" s="8">
        <f>IF(ISNA(MATCH(1425,'Transfer Engine'!$C$2:$C$1960,0)),"",INDEX('Compliance Database'!$J$2:$J$1960,MATCH(1425,'Transfer Engine'!$C$2:$C$1960,0)))</f>
        <v/>
      </c>
      <c r="K1434" s="9">
        <f>IF(ISNA(MATCH(1425,'Transfer Engine'!$C$2:$C$1960,0)),"",INDEX('Compliance Database'!$K$2:$K$1960,MATCH(1425,'Transfer Engine'!$C$2:$C$1960,0)))</f>
        <v/>
      </c>
      <c r="L1434" s="9">
        <f>IF(ISNA(MATCH(1425,'Transfer Engine'!$C$2:$C$1960,0)),"",INDEX('Compliance Database'!$L$2:$L$1960,MATCH(1425,'Transfer Engine'!$C$2:$C$1960,0)))</f>
        <v/>
      </c>
      <c r="M1434" s="9">
        <f>IF(ISNA(MATCH(1425,'Transfer Engine'!$C$2:$C$1960,0)),"",INDEX('Compliance Database'!$M$2:$M$1960,MATCH(1425,'Transfer Engine'!$C$2:$C$1960,0)))</f>
        <v/>
      </c>
      <c r="N1434" s="9">
        <f>IF(ISNA(MATCH(1425,'Transfer Engine'!$C$2:$C$1960,0)),"",INDEX('Compliance Database'!$N$2:$N$1960,MATCH(1425,'Transfer Engine'!$C$2:$C$1960,0)))</f>
        <v/>
      </c>
      <c r="O1434" s="9">
        <f>IF(ISNA(MATCH(1425,'Transfer Engine'!$C$2:$C$1960,0)),"",INDEX('Compliance Database'!$O$2:$O$1960,MATCH(1425,'Transfer Engine'!$C$2:$C$1960,0)))</f>
        <v/>
      </c>
      <c r="P1434" s="8">
        <f>IF(ISNA(MATCH(1425,'Transfer Engine'!$C$2:$C$1960,0)),"",HYPERLINK("#Acts!A"&amp;INDEX('Compliance Database'!$P$2:$P$1960,MATCH(1425,'Transfer Engine'!$C$2:$C$1960,0)),"Go to Act"))</f>
        <v/>
      </c>
    </row>
    <row r="1435" ht="158" customHeight="1">
      <c r="A1435" s="8">
        <f>IF(ISNA(MATCH(1426,'Transfer Engine'!$C$2:$C$1960,0)),"",INDEX('Compliance Database'!$A$2:$A$1960,MATCH(1426,'Transfer Engine'!$C$2:$C$1960,0)))</f>
        <v/>
      </c>
      <c r="B1435" s="8">
        <f>IF(ISNA(MATCH(1426,'Transfer Engine'!$C$2:$C$1960,0)),"",INDEX('Compliance Database'!$B$2:$B$1960,MATCH(1426,'Transfer Engine'!$C$2:$C$1960,0)))</f>
        <v/>
      </c>
      <c r="C1435" s="8">
        <f>IF(ISNA(MATCH(1426,'Transfer Engine'!$C$2:$C$1960,0)),"",INDEX('Compliance Database'!$C$2:$C$1960,MATCH(1426,'Transfer Engine'!$C$2:$C$1960,0)))</f>
        <v/>
      </c>
      <c r="D1435" s="9">
        <f>IF(ISNA(MATCH(1426,'Transfer Engine'!$C$2:$C$1960,0)),"",INDEX('Compliance Database'!$D$2:$D$1960,MATCH(1426,'Transfer Engine'!$C$2:$C$1960,0)))</f>
        <v/>
      </c>
      <c r="E1435" s="8">
        <f>IF(ISNA(MATCH(1426,'Transfer Engine'!$C$2:$C$1960,0)),"",INDEX('Compliance Database'!$E$2:$E$1960,MATCH(1426,'Transfer Engine'!$C$2:$C$1960,0)))</f>
        <v/>
      </c>
      <c r="F1435" s="8">
        <f>IF(ISNA(MATCH(1426,'Transfer Engine'!$C$2:$C$1960,0)),"",INDEX('Compliance Database'!$F$2:$F$1960,MATCH(1426,'Transfer Engine'!$C$2:$C$1960,0)))</f>
        <v/>
      </c>
      <c r="G1435" s="8">
        <f>IF(ISNA(MATCH(1426,'Transfer Engine'!$C$2:$C$1960,0)),"",INDEX('Compliance Database'!$G$2:$G$1960,MATCH(1426,'Transfer Engine'!$C$2:$C$1960,0)))</f>
        <v/>
      </c>
      <c r="H1435" s="9">
        <f>IF(ISNA(MATCH(1426,'Transfer Engine'!$C$2:$C$1960,0)),"",INDEX('Compliance Database'!$H$2:$H$1960,MATCH(1426,'Transfer Engine'!$C$2:$C$1960,0)))</f>
        <v/>
      </c>
      <c r="I1435" s="9">
        <f>IF(ISNA(MATCH(1426,'Transfer Engine'!$C$2:$C$1960,0)),"",INDEX('Compliance Database'!$I$2:$I$1960,MATCH(1426,'Transfer Engine'!$C$2:$C$1960,0)))</f>
        <v/>
      </c>
      <c r="J1435" s="8">
        <f>IF(ISNA(MATCH(1426,'Transfer Engine'!$C$2:$C$1960,0)),"",INDEX('Compliance Database'!$J$2:$J$1960,MATCH(1426,'Transfer Engine'!$C$2:$C$1960,0)))</f>
        <v/>
      </c>
      <c r="K1435" s="9">
        <f>IF(ISNA(MATCH(1426,'Transfer Engine'!$C$2:$C$1960,0)),"",INDEX('Compliance Database'!$K$2:$K$1960,MATCH(1426,'Transfer Engine'!$C$2:$C$1960,0)))</f>
        <v/>
      </c>
      <c r="L1435" s="9">
        <f>IF(ISNA(MATCH(1426,'Transfer Engine'!$C$2:$C$1960,0)),"",INDEX('Compliance Database'!$L$2:$L$1960,MATCH(1426,'Transfer Engine'!$C$2:$C$1960,0)))</f>
        <v/>
      </c>
      <c r="M1435" s="9">
        <f>IF(ISNA(MATCH(1426,'Transfer Engine'!$C$2:$C$1960,0)),"",INDEX('Compliance Database'!$M$2:$M$1960,MATCH(1426,'Transfer Engine'!$C$2:$C$1960,0)))</f>
        <v/>
      </c>
      <c r="N1435" s="9">
        <f>IF(ISNA(MATCH(1426,'Transfer Engine'!$C$2:$C$1960,0)),"",INDEX('Compliance Database'!$N$2:$N$1960,MATCH(1426,'Transfer Engine'!$C$2:$C$1960,0)))</f>
        <v/>
      </c>
      <c r="O1435" s="9">
        <f>IF(ISNA(MATCH(1426,'Transfer Engine'!$C$2:$C$1960,0)),"",INDEX('Compliance Database'!$O$2:$O$1960,MATCH(1426,'Transfer Engine'!$C$2:$C$1960,0)))</f>
        <v/>
      </c>
      <c r="P1435" s="8">
        <f>IF(ISNA(MATCH(1426,'Transfer Engine'!$C$2:$C$1960,0)),"",HYPERLINK("#Acts!A"&amp;INDEX('Compliance Database'!$P$2:$P$1960,MATCH(1426,'Transfer Engine'!$C$2:$C$1960,0)),"Go to Act"))</f>
        <v/>
      </c>
    </row>
    <row r="1436" ht="158" customHeight="1">
      <c r="A1436" s="8">
        <f>IF(ISNA(MATCH(1427,'Transfer Engine'!$C$2:$C$1960,0)),"",INDEX('Compliance Database'!$A$2:$A$1960,MATCH(1427,'Transfer Engine'!$C$2:$C$1960,0)))</f>
        <v/>
      </c>
      <c r="B1436" s="8">
        <f>IF(ISNA(MATCH(1427,'Transfer Engine'!$C$2:$C$1960,0)),"",INDEX('Compliance Database'!$B$2:$B$1960,MATCH(1427,'Transfer Engine'!$C$2:$C$1960,0)))</f>
        <v/>
      </c>
      <c r="C1436" s="8">
        <f>IF(ISNA(MATCH(1427,'Transfer Engine'!$C$2:$C$1960,0)),"",INDEX('Compliance Database'!$C$2:$C$1960,MATCH(1427,'Transfer Engine'!$C$2:$C$1960,0)))</f>
        <v/>
      </c>
      <c r="D1436" s="9">
        <f>IF(ISNA(MATCH(1427,'Transfer Engine'!$C$2:$C$1960,0)),"",INDEX('Compliance Database'!$D$2:$D$1960,MATCH(1427,'Transfer Engine'!$C$2:$C$1960,0)))</f>
        <v/>
      </c>
      <c r="E1436" s="8">
        <f>IF(ISNA(MATCH(1427,'Transfer Engine'!$C$2:$C$1960,0)),"",INDEX('Compliance Database'!$E$2:$E$1960,MATCH(1427,'Transfer Engine'!$C$2:$C$1960,0)))</f>
        <v/>
      </c>
      <c r="F1436" s="8">
        <f>IF(ISNA(MATCH(1427,'Transfer Engine'!$C$2:$C$1960,0)),"",INDEX('Compliance Database'!$F$2:$F$1960,MATCH(1427,'Transfer Engine'!$C$2:$C$1960,0)))</f>
        <v/>
      </c>
      <c r="G1436" s="8">
        <f>IF(ISNA(MATCH(1427,'Transfer Engine'!$C$2:$C$1960,0)),"",INDEX('Compliance Database'!$G$2:$G$1960,MATCH(1427,'Transfer Engine'!$C$2:$C$1960,0)))</f>
        <v/>
      </c>
      <c r="H1436" s="9">
        <f>IF(ISNA(MATCH(1427,'Transfer Engine'!$C$2:$C$1960,0)),"",INDEX('Compliance Database'!$H$2:$H$1960,MATCH(1427,'Transfer Engine'!$C$2:$C$1960,0)))</f>
        <v/>
      </c>
      <c r="I1436" s="9">
        <f>IF(ISNA(MATCH(1427,'Transfer Engine'!$C$2:$C$1960,0)),"",INDEX('Compliance Database'!$I$2:$I$1960,MATCH(1427,'Transfer Engine'!$C$2:$C$1960,0)))</f>
        <v/>
      </c>
      <c r="J1436" s="8">
        <f>IF(ISNA(MATCH(1427,'Transfer Engine'!$C$2:$C$1960,0)),"",INDEX('Compliance Database'!$J$2:$J$1960,MATCH(1427,'Transfer Engine'!$C$2:$C$1960,0)))</f>
        <v/>
      </c>
      <c r="K1436" s="9">
        <f>IF(ISNA(MATCH(1427,'Transfer Engine'!$C$2:$C$1960,0)),"",INDEX('Compliance Database'!$K$2:$K$1960,MATCH(1427,'Transfer Engine'!$C$2:$C$1960,0)))</f>
        <v/>
      </c>
      <c r="L1436" s="9">
        <f>IF(ISNA(MATCH(1427,'Transfer Engine'!$C$2:$C$1960,0)),"",INDEX('Compliance Database'!$L$2:$L$1960,MATCH(1427,'Transfer Engine'!$C$2:$C$1960,0)))</f>
        <v/>
      </c>
      <c r="M1436" s="9">
        <f>IF(ISNA(MATCH(1427,'Transfer Engine'!$C$2:$C$1960,0)),"",INDEX('Compliance Database'!$M$2:$M$1960,MATCH(1427,'Transfer Engine'!$C$2:$C$1960,0)))</f>
        <v/>
      </c>
      <c r="N1436" s="9">
        <f>IF(ISNA(MATCH(1427,'Transfer Engine'!$C$2:$C$1960,0)),"",INDEX('Compliance Database'!$N$2:$N$1960,MATCH(1427,'Transfer Engine'!$C$2:$C$1960,0)))</f>
        <v/>
      </c>
      <c r="O1436" s="9">
        <f>IF(ISNA(MATCH(1427,'Transfer Engine'!$C$2:$C$1960,0)),"",INDEX('Compliance Database'!$O$2:$O$1960,MATCH(1427,'Transfer Engine'!$C$2:$C$1960,0)))</f>
        <v/>
      </c>
      <c r="P1436" s="8">
        <f>IF(ISNA(MATCH(1427,'Transfer Engine'!$C$2:$C$1960,0)),"",HYPERLINK("#Acts!A"&amp;INDEX('Compliance Database'!$P$2:$P$1960,MATCH(1427,'Transfer Engine'!$C$2:$C$1960,0)),"Go to Act"))</f>
        <v/>
      </c>
    </row>
    <row r="1437" ht="158" customHeight="1">
      <c r="A1437" s="8">
        <f>IF(ISNA(MATCH(1428,'Transfer Engine'!$C$2:$C$1960,0)),"",INDEX('Compliance Database'!$A$2:$A$1960,MATCH(1428,'Transfer Engine'!$C$2:$C$1960,0)))</f>
        <v/>
      </c>
      <c r="B1437" s="8">
        <f>IF(ISNA(MATCH(1428,'Transfer Engine'!$C$2:$C$1960,0)),"",INDEX('Compliance Database'!$B$2:$B$1960,MATCH(1428,'Transfer Engine'!$C$2:$C$1960,0)))</f>
        <v/>
      </c>
      <c r="C1437" s="8">
        <f>IF(ISNA(MATCH(1428,'Transfer Engine'!$C$2:$C$1960,0)),"",INDEX('Compliance Database'!$C$2:$C$1960,MATCH(1428,'Transfer Engine'!$C$2:$C$1960,0)))</f>
        <v/>
      </c>
      <c r="D1437" s="9">
        <f>IF(ISNA(MATCH(1428,'Transfer Engine'!$C$2:$C$1960,0)),"",INDEX('Compliance Database'!$D$2:$D$1960,MATCH(1428,'Transfer Engine'!$C$2:$C$1960,0)))</f>
        <v/>
      </c>
      <c r="E1437" s="8">
        <f>IF(ISNA(MATCH(1428,'Transfer Engine'!$C$2:$C$1960,0)),"",INDEX('Compliance Database'!$E$2:$E$1960,MATCH(1428,'Transfer Engine'!$C$2:$C$1960,0)))</f>
        <v/>
      </c>
      <c r="F1437" s="8">
        <f>IF(ISNA(MATCH(1428,'Transfer Engine'!$C$2:$C$1960,0)),"",INDEX('Compliance Database'!$F$2:$F$1960,MATCH(1428,'Transfer Engine'!$C$2:$C$1960,0)))</f>
        <v/>
      </c>
      <c r="G1437" s="8">
        <f>IF(ISNA(MATCH(1428,'Transfer Engine'!$C$2:$C$1960,0)),"",INDEX('Compliance Database'!$G$2:$G$1960,MATCH(1428,'Transfer Engine'!$C$2:$C$1960,0)))</f>
        <v/>
      </c>
      <c r="H1437" s="9">
        <f>IF(ISNA(MATCH(1428,'Transfer Engine'!$C$2:$C$1960,0)),"",INDEX('Compliance Database'!$H$2:$H$1960,MATCH(1428,'Transfer Engine'!$C$2:$C$1960,0)))</f>
        <v/>
      </c>
      <c r="I1437" s="9">
        <f>IF(ISNA(MATCH(1428,'Transfer Engine'!$C$2:$C$1960,0)),"",INDEX('Compliance Database'!$I$2:$I$1960,MATCH(1428,'Transfer Engine'!$C$2:$C$1960,0)))</f>
        <v/>
      </c>
      <c r="J1437" s="8">
        <f>IF(ISNA(MATCH(1428,'Transfer Engine'!$C$2:$C$1960,0)),"",INDEX('Compliance Database'!$J$2:$J$1960,MATCH(1428,'Transfer Engine'!$C$2:$C$1960,0)))</f>
        <v/>
      </c>
      <c r="K1437" s="9">
        <f>IF(ISNA(MATCH(1428,'Transfer Engine'!$C$2:$C$1960,0)),"",INDEX('Compliance Database'!$K$2:$K$1960,MATCH(1428,'Transfer Engine'!$C$2:$C$1960,0)))</f>
        <v/>
      </c>
      <c r="L1437" s="9">
        <f>IF(ISNA(MATCH(1428,'Transfer Engine'!$C$2:$C$1960,0)),"",INDEX('Compliance Database'!$L$2:$L$1960,MATCH(1428,'Transfer Engine'!$C$2:$C$1960,0)))</f>
        <v/>
      </c>
      <c r="M1437" s="9">
        <f>IF(ISNA(MATCH(1428,'Transfer Engine'!$C$2:$C$1960,0)),"",INDEX('Compliance Database'!$M$2:$M$1960,MATCH(1428,'Transfer Engine'!$C$2:$C$1960,0)))</f>
        <v/>
      </c>
      <c r="N1437" s="9">
        <f>IF(ISNA(MATCH(1428,'Transfer Engine'!$C$2:$C$1960,0)),"",INDEX('Compliance Database'!$N$2:$N$1960,MATCH(1428,'Transfer Engine'!$C$2:$C$1960,0)))</f>
        <v/>
      </c>
      <c r="O1437" s="9">
        <f>IF(ISNA(MATCH(1428,'Transfer Engine'!$C$2:$C$1960,0)),"",INDEX('Compliance Database'!$O$2:$O$1960,MATCH(1428,'Transfer Engine'!$C$2:$C$1960,0)))</f>
        <v/>
      </c>
      <c r="P1437" s="8">
        <f>IF(ISNA(MATCH(1428,'Transfer Engine'!$C$2:$C$1960,0)),"",HYPERLINK("#Acts!A"&amp;INDEX('Compliance Database'!$P$2:$P$1960,MATCH(1428,'Transfer Engine'!$C$2:$C$1960,0)),"Go to Act"))</f>
        <v/>
      </c>
    </row>
    <row r="1438" ht="158" customHeight="1">
      <c r="A1438" s="8">
        <f>IF(ISNA(MATCH(1429,'Transfer Engine'!$C$2:$C$1960,0)),"",INDEX('Compliance Database'!$A$2:$A$1960,MATCH(1429,'Transfer Engine'!$C$2:$C$1960,0)))</f>
        <v/>
      </c>
      <c r="B1438" s="8">
        <f>IF(ISNA(MATCH(1429,'Transfer Engine'!$C$2:$C$1960,0)),"",INDEX('Compliance Database'!$B$2:$B$1960,MATCH(1429,'Transfer Engine'!$C$2:$C$1960,0)))</f>
        <v/>
      </c>
      <c r="C1438" s="8">
        <f>IF(ISNA(MATCH(1429,'Transfer Engine'!$C$2:$C$1960,0)),"",INDEX('Compliance Database'!$C$2:$C$1960,MATCH(1429,'Transfer Engine'!$C$2:$C$1960,0)))</f>
        <v/>
      </c>
      <c r="D1438" s="9">
        <f>IF(ISNA(MATCH(1429,'Transfer Engine'!$C$2:$C$1960,0)),"",INDEX('Compliance Database'!$D$2:$D$1960,MATCH(1429,'Transfer Engine'!$C$2:$C$1960,0)))</f>
        <v/>
      </c>
      <c r="E1438" s="8">
        <f>IF(ISNA(MATCH(1429,'Transfer Engine'!$C$2:$C$1960,0)),"",INDEX('Compliance Database'!$E$2:$E$1960,MATCH(1429,'Transfer Engine'!$C$2:$C$1960,0)))</f>
        <v/>
      </c>
      <c r="F1438" s="8">
        <f>IF(ISNA(MATCH(1429,'Transfer Engine'!$C$2:$C$1960,0)),"",INDEX('Compliance Database'!$F$2:$F$1960,MATCH(1429,'Transfer Engine'!$C$2:$C$1960,0)))</f>
        <v/>
      </c>
      <c r="G1438" s="8">
        <f>IF(ISNA(MATCH(1429,'Transfer Engine'!$C$2:$C$1960,0)),"",INDEX('Compliance Database'!$G$2:$G$1960,MATCH(1429,'Transfer Engine'!$C$2:$C$1960,0)))</f>
        <v/>
      </c>
      <c r="H1438" s="9">
        <f>IF(ISNA(MATCH(1429,'Transfer Engine'!$C$2:$C$1960,0)),"",INDEX('Compliance Database'!$H$2:$H$1960,MATCH(1429,'Transfer Engine'!$C$2:$C$1960,0)))</f>
        <v/>
      </c>
      <c r="I1438" s="9">
        <f>IF(ISNA(MATCH(1429,'Transfer Engine'!$C$2:$C$1960,0)),"",INDEX('Compliance Database'!$I$2:$I$1960,MATCH(1429,'Transfer Engine'!$C$2:$C$1960,0)))</f>
        <v/>
      </c>
      <c r="J1438" s="8">
        <f>IF(ISNA(MATCH(1429,'Transfer Engine'!$C$2:$C$1960,0)),"",INDEX('Compliance Database'!$J$2:$J$1960,MATCH(1429,'Transfer Engine'!$C$2:$C$1960,0)))</f>
        <v/>
      </c>
      <c r="K1438" s="9">
        <f>IF(ISNA(MATCH(1429,'Transfer Engine'!$C$2:$C$1960,0)),"",INDEX('Compliance Database'!$K$2:$K$1960,MATCH(1429,'Transfer Engine'!$C$2:$C$1960,0)))</f>
        <v/>
      </c>
      <c r="L1438" s="9">
        <f>IF(ISNA(MATCH(1429,'Transfer Engine'!$C$2:$C$1960,0)),"",INDEX('Compliance Database'!$L$2:$L$1960,MATCH(1429,'Transfer Engine'!$C$2:$C$1960,0)))</f>
        <v/>
      </c>
      <c r="M1438" s="9">
        <f>IF(ISNA(MATCH(1429,'Transfer Engine'!$C$2:$C$1960,0)),"",INDEX('Compliance Database'!$M$2:$M$1960,MATCH(1429,'Transfer Engine'!$C$2:$C$1960,0)))</f>
        <v/>
      </c>
      <c r="N1438" s="9">
        <f>IF(ISNA(MATCH(1429,'Transfer Engine'!$C$2:$C$1960,0)),"",INDEX('Compliance Database'!$N$2:$N$1960,MATCH(1429,'Transfer Engine'!$C$2:$C$1960,0)))</f>
        <v/>
      </c>
      <c r="O1438" s="9">
        <f>IF(ISNA(MATCH(1429,'Transfer Engine'!$C$2:$C$1960,0)),"",INDEX('Compliance Database'!$O$2:$O$1960,MATCH(1429,'Transfer Engine'!$C$2:$C$1960,0)))</f>
        <v/>
      </c>
      <c r="P1438" s="8">
        <f>IF(ISNA(MATCH(1429,'Transfer Engine'!$C$2:$C$1960,0)),"",HYPERLINK("#Acts!A"&amp;INDEX('Compliance Database'!$P$2:$P$1960,MATCH(1429,'Transfer Engine'!$C$2:$C$1960,0)),"Go to Act"))</f>
        <v/>
      </c>
    </row>
    <row r="1439" ht="158" customHeight="1">
      <c r="A1439" s="8">
        <f>IF(ISNA(MATCH(1430,'Transfer Engine'!$C$2:$C$1960,0)),"",INDEX('Compliance Database'!$A$2:$A$1960,MATCH(1430,'Transfer Engine'!$C$2:$C$1960,0)))</f>
        <v/>
      </c>
      <c r="B1439" s="8">
        <f>IF(ISNA(MATCH(1430,'Transfer Engine'!$C$2:$C$1960,0)),"",INDEX('Compliance Database'!$B$2:$B$1960,MATCH(1430,'Transfer Engine'!$C$2:$C$1960,0)))</f>
        <v/>
      </c>
      <c r="C1439" s="8">
        <f>IF(ISNA(MATCH(1430,'Transfer Engine'!$C$2:$C$1960,0)),"",INDEX('Compliance Database'!$C$2:$C$1960,MATCH(1430,'Transfer Engine'!$C$2:$C$1960,0)))</f>
        <v/>
      </c>
      <c r="D1439" s="9">
        <f>IF(ISNA(MATCH(1430,'Transfer Engine'!$C$2:$C$1960,0)),"",INDEX('Compliance Database'!$D$2:$D$1960,MATCH(1430,'Transfer Engine'!$C$2:$C$1960,0)))</f>
        <v/>
      </c>
      <c r="E1439" s="8">
        <f>IF(ISNA(MATCH(1430,'Transfer Engine'!$C$2:$C$1960,0)),"",INDEX('Compliance Database'!$E$2:$E$1960,MATCH(1430,'Transfer Engine'!$C$2:$C$1960,0)))</f>
        <v/>
      </c>
      <c r="F1439" s="8">
        <f>IF(ISNA(MATCH(1430,'Transfer Engine'!$C$2:$C$1960,0)),"",INDEX('Compliance Database'!$F$2:$F$1960,MATCH(1430,'Transfer Engine'!$C$2:$C$1960,0)))</f>
        <v/>
      </c>
      <c r="G1439" s="8">
        <f>IF(ISNA(MATCH(1430,'Transfer Engine'!$C$2:$C$1960,0)),"",INDEX('Compliance Database'!$G$2:$G$1960,MATCH(1430,'Transfer Engine'!$C$2:$C$1960,0)))</f>
        <v/>
      </c>
      <c r="H1439" s="9">
        <f>IF(ISNA(MATCH(1430,'Transfer Engine'!$C$2:$C$1960,0)),"",INDEX('Compliance Database'!$H$2:$H$1960,MATCH(1430,'Transfer Engine'!$C$2:$C$1960,0)))</f>
        <v/>
      </c>
      <c r="I1439" s="9">
        <f>IF(ISNA(MATCH(1430,'Transfer Engine'!$C$2:$C$1960,0)),"",INDEX('Compliance Database'!$I$2:$I$1960,MATCH(1430,'Transfer Engine'!$C$2:$C$1960,0)))</f>
        <v/>
      </c>
      <c r="J1439" s="8">
        <f>IF(ISNA(MATCH(1430,'Transfer Engine'!$C$2:$C$1960,0)),"",INDEX('Compliance Database'!$J$2:$J$1960,MATCH(1430,'Transfer Engine'!$C$2:$C$1960,0)))</f>
        <v/>
      </c>
      <c r="K1439" s="9">
        <f>IF(ISNA(MATCH(1430,'Transfer Engine'!$C$2:$C$1960,0)),"",INDEX('Compliance Database'!$K$2:$K$1960,MATCH(1430,'Transfer Engine'!$C$2:$C$1960,0)))</f>
        <v/>
      </c>
      <c r="L1439" s="9">
        <f>IF(ISNA(MATCH(1430,'Transfer Engine'!$C$2:$C$1960,0)),"",INDEX('Compliance Database'!$L$2:$L$1960,MATCH(1430,'Transfer Engine'!$C$2:$C$1960,0)))</f>
        <v/>
      </c>
      <c r="M1439" s="9">
        <f>IF(ISNA(MATCH(1430,'Transfer Engine'!$C$2:$C$1960,0)),"",INDEX('Compliance Database'!$M$2:$M$1960,MATCH(1430,'Transfer Engine'!$C$2:$C$1960,0)))</f>
        <v/>
      </c>
      <c r="N1439" s="9">
        <f>IF(ISNA(MATCH(1430,'Transfer Engine'!$C$2:$C$1960,0)),"",INDEX('Compliance Database'!$N$2:$N$1960,MATCH(1430,'Transfer Engine'!$C$2:$C$1960,0)))</f>
        <v/>
      </c>
      <c r="O1439" s="9">
        <f>IF(ISNA(MATCH(1430,'Transfer Engine'!$C$2:$C$1960,0)),"",INDEX('Compliance Database'!$O$2:$O$1960,MATCH(1430,'Transfer Engine'!$C$2:$C$1960,0)))</f>
        <v/>
      </c>
      <c r="P1439" s="8">
        <f>IF(ISNA(MATCH(1430,'Transfer Engine'!$C$2:$C$1960,0)),"",HYPERLINK("#Acts!A"&amp;INDEX('Compliance Database'!$P$2:$P$1960,MATCH(1430,'Transfer Engine'!$C$2:$C$1960,0)),"Go to Act"))</f>
        <v/>
      </c>
    </row>
    <row r="1440" ht="158" customHeight="1">
      <c r="A1440" s="8">
        <f>IF(ISNA(MATCH(1431,'Transfer Engine'!$C$2:$C$1960,0)),"",INDEX('Compliance Database'!$A$2:$A$1960,MATCH(1431,'Transfer Engine'!$C$2:$C$1960,0)))</f>
        <v/>
      </c>
      <c r="B1440" s="8">
        <f>IF(ISNA(MATCH(1431,'Transfer Engine'!$C$2:$C$1960,0)),"",INDEX('Compliance Database'!$B$2:$B$1960,MATCH(1431,'Transfer Engine'!$C$2:$C$1960,0)))</f>
        <v/>
      </c>
      <c r="C1440" s="8">
        <f>IF(ISNA(MATCH(1431,'Transfer Engine'!$C$2:$C$1960,0)),"",INDEX('Compliance Database'!$C$2:$C$1960,MATCH(1431,'Transfer Engine'!$C$2:$C$1960,0)))</f>
        <v/>
      </c>
      <c r="D1440" s="9">
        <f>IF(ISNA(MATCH(1431,'Transfer Engine'!$C$2:$C$1960,0)),"",INDEX('Compliance Database'!$D$2:$D$1960,MATCH(1431,'Transfer Engine'!$C$2:$C$1960,0)))</f>
        <v/>
      </c>
      <c r="E1440" s="8">
        <f>IF(ISNA(MATCH(1431,'Transfer Engine'!$C$2:$C$1960,0)),"",INDEX('Compliance Database'!$E$2:$E$1960,MATCH(1431,'Transfer Engine'!$C$2:$C$1960,0)))</f>
        <v/>
      </c>
      <c r="F1440" s="8">
        <f>IF(ISNA(MATCH(1431,'Transfer Engine'!$C$2:$C$1960,0)),"",INDEX('Compliance Database'!$F$2:$F$1960,MATCH(1431,'Transfer Engine'!$C$2:$C$1960,0)))</f>
        <v/>
      </c>
      <c r="G1440" s="8">
        <f>IF(ISNA(MATCH(1431,'Transfer Engine'!$C$2:$C$1960,0)),"",INDEX('Compliance Database'!$G$2:$G$1960,MATCH(1431,'Transfer Engine'!$C$2:$C$1960,0)))</f>
        <v/>
      </c>
      <c r="H1440" s="9">
        <f>IF(ISNA(MATCH(1431,'Transfer Engine'!$C$2:$C$1960,0)),"",INDEX('Compliance Database'!$H$2:$H$1960,MATCH(1431,'Transfer Engine'!$C$2:$C$1960,0)))</f>
        <v/>
      </c>
      <c r="I1440" s="9">
        <f>IF(ISNA(MATCH(1431,'Transfer Engine'!$C$2:$C$1960,0)),"",INDEX('Compliance Database'!$I$2:$I$1960,MATCH(1431,'Transfer Engine'!$C$2:$C$1960,0)))</f>
        <v/>
      </c>
      <c r="J1440" s="8">
        <f>IF(ISNA(MATCH(1431,'Transfer Engine'!$C$2:$C$1960,0)),"",INDEX('Compliance Database'!$J$2:$J$1960,MATCH(1431,'Transfer Engine'!$C$2:$C$1960,0)))</f>
        <v/>
      </c>
      <c r="K1440" s="9">
        <f>IF(ISNA(MATCH(1431,'Transfer Engine'!$C$2:$C$1960,0)),"",INDEX('Compliance Database'!$K$2:$K$1960,MATCH(1431,'Transfer Engine'!$C$2:$C$1960,0)))</f>
        <v/>
      </c>
      <c r="L1440" s="9">
        <f>IF(ISNA(MATCH(1431,'Transfer Engine'!$C$2:$C$1960,0)),"",INDEX('Compliance Database'!$L$2:$L$1960,MATCH(1431,'Transfer Engine'!$C$2:$C$1960,0)))</f>
        <v/>
      </c>
      <c r="M1440" s="9">
        <f>IF(ISNA(MATCH(1431,'Transfer Engine'!$C$2:$C$1960,0)),"",INDEX('Compliance Database'!$M$2:$M$1960,MATCH(1431,'Transfer Engine'!$C$2:$C$1960,0)))</f>
        <v/>
      </c>
      <c r="N1440" s="9">
        <f>IF(ISNA(MATCH(1431,'Transfer Engine'!$C$2:$C$1960,0)),"",INDEX('Compliance Database'!$N$2:$N$1960,MATCH(1431,'Transfer Engine'!$C$2:$C$1960,0)))</f>
        <v/>
      </c>
      <c r="O1440" s="9">
        <f>IF(ISNA(MATCH(1431,'Transfer Engine'!$C$2:$C$1960,0)),"",INDEX('Compliance Database'!$O$2:$O$1960,MATCH(1431,'Transfer Engine'!$C$2:$C$1960,0)))</f>
        <v/>
      </c>
      <c r="P1440" s="8">
        <f>IF(ISNA(MATCH(1431,'Transfer Engine'!$C$2:$C$1960,0)),"",HYPERLINK("#Acts!A"&amp;INDEX('Compliance Database'!$P$2:$P$1960,MATCH(1431,'Transfer Engine'!$C$2:$C$1960,0)),"Go to Act"))</f>
        <v/>
      </c>
    </row>
    <row r="1441" ht="158" customHeight="1">
      <c r="A1441" s="8">
        <f>IF(ISNA(MATCH(1432,'Transfer Engine'!$C$2:$C$1960,0)),"",INDEX('Compliance Database'!$A$2:$A$1960,MATCH(1432,'Transfer Engine'!$C$2:$C$1960,0)))</f>
        <v/>
      </c>
      <c r="B1441" s="8">
        <f>IF(ISNA(MATCH(1432,'Transfer Engine'!$C$2:$C$1960,0)),"",INDEX('Compliance Database'!$B$2:$B$1960,MATCH(1432,'Transfer Engine'!$C$2:$C$1960,0)))</f>
        <v/>
      </c>
      <c r="C1441" s="8">
        <f>IF(ISNA(MATCH(1432,'Transfer Engine'!$C$2:$C$1960,0)),"",INDEX('Compliance Database'!$C$2:$C$1960,MATCH(1432,'Transfer Engine'!$C$2:$C$1960,0)))</f>
        <v/>
      </c>
      <c r="D1441" s="9">
        <f>IF(ISNA(MATCH(1432,'Transfer Engine'!$C$2:$C$1960,0)),"",INDEX('Compliance Database'!$D$2:$D$1960,MATCH(1432,'Transfer Engine'!$C$2:$C$1960,0)))</f>
        <v/>
      </c>
      <c r="E1441" s="8">
        <f>IF(ISNA(MATCH(1432,'Transfer Engine'!$C$2:$C$1960,0)),"",INDEX('Compliance Database'!$E$2:$E$1960,MATCH(1432,'Transfer Engine'!$C$2:$C$1960,0)))</f>
        <v/>
      </c>
      <c r="F1441" s="8">
        <f>IF(ISNA(MATCH(1432,'Transfer Engine'!$C$2:$C$1960,0)),"",INDEX('Compliance Database'!$F$2:$F$1960,MATCH(1432,'Transfer Engine'!$C$2:$C$1960,0)))</f>
        <v/>
      </c>
      <c r="G1441" s="8">
        <f>IF(ISNA(MATCH(1432,'Transfer Engine'!$C$2:$C$1960,0)),"",INDEX('Compliance Database'!$G$2:$G$1960,MATCH(1432,'Transfer Engine'!$C$2:$C$1960,0)))</f>
        <v/>
      </c>
      <c r="H1441" s="9">
        <f>IF(ISNA(MATCH(1432,'Transfer Engine'!$C$2:$C$1960,0)),"",INDEX('Compliance Database'!$H$2:$H$1960,MATCH(1432,'Transfer Engine'!$C$2:$C$1960,0)))</f>
        <v/>
      </c>
      <c r="I1441" s="9">
        <f>IF(ISNA(MATCH(1432,'Transfer Engine'!$C$2:$C$1960,0)),"",INDEX('Compliance Database'!$I$2:$I$1960,MATCH(1432,'Transfer Engine'!$C$2:$C$1960,0)))</f>
        <v/>
      </c>
      <c r="J1441" s="8">
        <f>IF(ISNA(MATCH(1432,'Transfer Engine'!$C$2:$C$1960,0)),"",INDEX('Compliance Database'!$J$2:$J$1960,MATCH(1432,'Transfer Engine'!$C$2:$C$1960,0)))</f>
        <v/>
      </c>
      <c r="K1441" s="9">
        <f>IF(ISNA(MATCH(1432,'Transfer Engine'!$C$2:$C$1960,0)),"",INDEX('Compliance Database'!$K$2:$K$1960,MATCH(1432,'Transfer Engine'!$C$2:$C$1960,0)))</f>
        <v/>
      </c>
      <c r="L1441" s="9">
        <f>IF(ISNA(MATCH(1432,'Transfer Engine'!$C$2:$C$1960,0)),"",INDEX('Compliance Database'!$L$2:$L$1960,MATCH(1432,'Transfer Engine'!$C$2:$C$1960,0)))</f>
        <v/>
      </c>
      <c r="M1441" s="9">
        <f>IF(ISNA(MATCH(1432,'Transfer Engine'!$C$2:$C$1960,0)),"",INDEX('Compliance Database'!$M$2:$M$1960,MATCH(1432,'Transfer Engine'!$C$2:$C$1960,0)))</f>
        <v/>
      </c>
      <c r="N1441" s="9">
        <f>IF(ISNA(MATCH(1432,'Transfer Engine'!$C$2:$C$1960,0)),"",INDEX('Compliance Database'!$N$2:$N$1960,MATCH(1432,'Transfer Engine'!$C$2:$C$1960,0)))</f>
        <v/>
      </c>
      <c r="O1441" s="9">
        <f>IF(ISNA(MATCH(1432,'Transfer Engine'!$C$2:$C$1960,0)),"",INDEX('Compliance Database'!$O$2:$O$1960,MATCH(1432,'Transfer Engine'!$C$2:$C$1960,0)))</f>
        <v/>
      </c>
      <c r="P1441" s="8">
        <f>IF(ISNA(MATCH(1432,'Transfer Engine'!$C$2:$C$1960,0)),"",HYPERLINK("#Acts!A"&amp;INDEX('Compliance Database'!$P$2:$P$1960,MATCH(1432,'Transfer Engine'!$C$2:$C$1960,0)),"Go to Act"))</f>
        <v/>
      </c>
    </row>
    <row r="1442" ht="158" customHeight="1">
      <c r="A1442" s="8">
        <f>IF(ISNA(MATCH(1433,'Transfer Engine'!$C$2:$C$1960,0)),"",INDEX('Compliance Database'!$A$2:$A$1960,MATCH(1433,'Transfer Engine'!$C$2:$C$1960,0)))</f>
        <v/>
      </c>
      <c r="B1442" s="8">
        <f>IF(ISNA(MATCH(1433,'Transfer Engine'!$C$2:$C$1960,0)),"",INDEX('Compliance Database'!$B$2:$B$1960,MATCH(1433,'Transfer Engine'!$C$2:$C$1960,0)))</f>
        <v/>
      </c>
      <c r="C1442" s="8">
        <f>IF(ISNA(MATCH(1433,'Transfer Engine'!$C$2:$C$1960,0)),"",INDEX('Compliance Database'!$C$2:$C$1960,MATCH(1433,'Transfer Engine'!$C$2:$C$1960,0)))</f>
        <v/>
      </c>
      <c r="D1442" s="9">
        <f>IF(ISNA(MATCH(1433,'Transfer Engine'!$C$2:$C$1960,0)),"",INDEX('Compliance Database'!$D$2:$D$1960,MATCH(1433,'Transfer Engine'!$C$2:$C$1960,0)))</f>
        <v/>
      </c>
      <c r="E1442" s="8">
        <f>IF(ISNA(MATCH(1433,'Transfer Engine'!$C$2:$C$1960,0)),"",INDEX('Compliance Database'!$E$2:$E$1960,MATCH(1433,'Transfer Engine'!$C$2:$C$1960,0)))</f>
        <v/>
      </c>
      <c r="F1442" s="8">
        <f>IF(ISNA(MATCH(1433,'Transfer Engine'!$C$2:$C$1960,0)),"",INDEX('Compliance Database'!$F$2:$F$1960,MATCH(1433,'Transfer Engine'!$C$2:$C$1960,0)))</f>
        <v/>
      </c>
      <c r="G1442" s="8">
        <f>IF(ISNA(MATCH(1433,'Transfer Engine'!$C$2:$C$1960,0)),"",INDEX('Compliance Database'!$G$2:$G$1960,MATCH(1433,'Transfer Engine'!$C$2:$C$1960,0)))</f>
        <v/>
      </c>
      <c r="H1442" s="9">
        <f>IF(ISNA(MATCH(1433,'Transfer Engine'!$C$2:$C$1960,0)),"",INDEX('Compliance Database'!$H$2:$H$1960,MATCH(1433,'Transfer Engine'!$C$2:$C$1960,0)))</f>
        <v/>
      </c>
      <c r="I1442" s="9">
        <f>IF(ISNA(MATCH(1433,'Transfer Engine'!$C$2:$C$1960,0)),"",INDEX('Compliance Database'!$I$2:$I$1960,MATCH(1433,'Transfer Engine'!$C$2:$C$1960,0)))</f>
        <v/>
      </c>
      <c r="J1442" s="8">
        <f>IF(ISNA(MATCH(1433,'Transfer Engine'!$C$2:$C$1960,0)),"",INDEX('Compliance Database'!$J$2:$J$1960,MATCH(1433,'Transfer Engine'!$C$2:$C$1960,0)))</f>
        <v/>
      </c>
      <c r="K1442" s="9">
        <f>IF(ISNA(MATCH(1433,'Transfer Engine'!$C$2:$C$1960,0)),"",INDEX('Compliance Database'!$K$2:$K$1960,MATCH(1433,'Transfer Engine'!$C$2:$C$1960,0)))</f>
        <v/>
      </c>
      <c r="L1442" s="9">
        <f>IF(ISNA(MATCH(1433,'Transfer Engine'!$C$2:$C$1960,0)),"",INDEX('Compliance Database'!$L$2:$L$1960,MATCH(1433,'Transfer Engine'!$C$2:$C$1960,0)))</f>
        <v/>
      </c>
      <c r="M1442" s="9">
        <f>IF(ISNA(MATCH(1433,'Transfer Engine'!$C$2:$C$1960,0)),"",INDEX('Compliance Database'!$M$2:$M$1960,MATCH(1433,'Transfer Engine'!$C$2:$C$1960,0)))</f>
        <v/>
      </c>
      <c r="N1442" s="9">
        <f>IF(ISNA(MATCH(1433,'Transfer Engine'!$C$2:$C$1960,0)),"",INDEX('Compliance Database'!$N$2:$N$1960,MATCH(1433,'Transfer Engine'!$C$2:$C$1960,0)))</f>
        <v/>
      </c>
      <c r="O1442" s="9">
        <f>IF(ISNA(MATCH(1433,'Transfer Engine'!$C$2:$C$1960,0)),"",INDEX('Compliance Database'!$O$2:$O$1960,MATCH(1433,'Transfer Engine'!$C$2:$C$1960,0)))</f>
        <v/>
      </c>
      <c r="P1442" s="8">
        <f>IF(ISNA(MATCH(1433,'Transfer Engine'!$C$2:$C$1960,0)),"",HYPERLINK("#Acts!A"&amp;INDEX('Compliance Database'!$P$2:$P$1960,MATCH(1433,'Transfer Engine'!$C$2:$C$1960,0)),"Go to Act"))</f>
        <v/>
      </c>
    </row>
    <row r="1443" ht="158" customHeight="1">
      <c r="A1443" s="8">
        <f>IF(ISNA(MATCH(1434,'Transfer Engine'!$C$2:$C$1960,0)),"",INDEX('Compliance Database'!$A$2:$A$1960,MATCH(1434,'Transfer Engine'!$C$2:$C$1960,0)))</f>
        <v/>
      </c>
      <c r="B1443" s="8">
        <f>IF(ISNA(MATCH(1434,'Transfer Engine'!$C$2:$C$1960,0)),"",INDEX('Compliance Database'!$B$2:$B$1960,MATCH(1434,'Transfer Engine'!$C$2:$C$1960,0)))</f>
        <v/>
      </c>
      <c r="C1443" s="8">
        <f>IF(ISNA(MATCH(1434,'Transfer Engine'!$C$2:$C$1960,0)),"",INDEX('Compliance Database'!$C$2:$C$1960,MATCH(1434,'Transfer Engine'!$C$2:$C$1960,0)))</f>
        <v/>
      </c>
      <c r="D1443" s="9">
        <f>IF(ISNA(MATCH(1434,'Transfer Engine'!$C$2:$C$1960,0)),"",INDEX('Compliance Database'!$D$2:$D$1960,MATCH(1434,'Transfer Engine'!$C$2:$C$1960,0)))</f>
        <v/>
      </c>
      <c r="E1443" s="8">
        <f>IF(ISNA(MATCH(1434,'Transfer Engine'!$C$2:$C$1960,0)),"",INDEX('Compliance Database'!$E$2:$E$1960,MATCH(1434,'Transfer Engine'!$C$2:$C$1960,0)))</f>
        <v/>
      </c>
      <c r="F1443" s="8">
        <f>IF(ISNA(MATCH(1434,'Transfer Engine'!$C$2:$C$1960,0)),"",INDEX('Compliance Database'!$F$2:$F$1960,MATCH(1434,'Transfer Engine'!$C$2:$C$1960,0)))</f>
        <v/>
      </c>
      <c r="G1443" s="8">
        <f>IF(ISNA(MATCH(1434,'Transfer Engine'!$C$2:$C$1960,0)),"",INDEX('Compliance Database'!$G$2:$G$1960,MATCH(1434,'Transfer Engine'!$C$2:$C$1960,0)))</f>
        <v/>
      </c>
      <c r="H1443" s="9">
        <f>IF(ISNA(MATCH(1434,'Transfer Engine'!$C$2:$C$1960,0)),"",INDEX('Compliance Database'!$H$2:$H$1960,MATCH(1434,'Transfer Engine'!$C$2:$C$1960,0)))</f>
        <v/>
      </c>
      <c r="I1443" s="9">
        <f>IF(ISNA(MATCH(1434,'Transfer Engine'!$C$2:$C$1960,0)),"",INDEX('Compliance Database'!$I$2:$I$1960,MATCH(1434,'Transfer Engine'!$C$2:$C$1960,0)))</f>
        <v/>
      </c>
      <c r="J1443" s="8">
        <f>IF(ISNA(MATCH(1434,'Transfer Engine'!$C$2:$C$1960,0)),"",INDEX('Compliance Database'!$J$2:$J$1960,MATCH(1434,'Transfer Engine'!$C$2:$C$1960,0)))</f>
        <v/>
      </c>
      <c r="K1443" s="9">
        <f>IF(ISNA(MATCH(1434,'Transfer Engine'!$C$2:$C$1960,0)),"",INDEX('Compliance Database'!$K$2:$K$1960,MATCH(1434,'Transfer Engine'!$C$2:$C$1960,0)))</f>
        <v/>
      </c>
      <c r="L1443" s="9">
        <f>IF(ISNA(MATCH(1434,'Transfer Engine'!$C$2:$C$1960,0)),"",INDEX('Compliance Database'!$L$2:$L$1960,MATCH(1434,'Transfer Engine'!$C$2:$C$1960,0)))</f>
        <v/>
      </c>
      <c r="M1443" s="9">
        <f>IF(ISNA(MATCH(1434,'Transfer Engine'!$C$2:$C$1960,0)),"",INDEX('Compliance Database'!$M$2:$M$1960,MATCH(1434,'Transfer Engine'!$C$2:$C$1960,0)))</f>
        <v/>
      </c>
      <c r="N1443" s="9">
        <f>IF(ISNA(MATCH(1434,'Transfer Engine'!$C$2:$C$1960,0)),"",INDEX('Compliance Database'!$N$2:$N$1960,MATCH(1434,'Transfer Engine'!$C$2:$C$1960,0)))</f>
        <v/>
      </c>
      <c r="O1443" s="9">
        <f>IF(ISNA(MATCH(1434,'Transfer Engine'!$C$2:$C$1960,0)),"",INDEX('Compliance Database'!$O$2:$O$1960,MATCH(1434,'Transfer Engine'!$C$2:$C$1960,0)))</f>
        <v/>
      </c>
      <c r="P1443" s="8">
        <f>IF(ISNA(MATCH(1434,'Transfer Engine'!$C$2:$C$1960,0)),"",HYPERLINK("#Acts!A"&amp;INDEX('Compliance Database'!$P$2:$P$1960,MATCH(1434,'Transfer Engine'!$C$2:$C$1960,0)),"Go to Act"))</f>
        <v/>
      </c>
    </row>
    <row r="1444" ht="158" customHeight="1">
      <c r="A1444" s="8">
        <f>IF(ISNA(MATCH(1435,'Transfer Engine'!$C$2:$C$1960,0)),"",INDEX('Compliance Database'!$A$2:$A$1960,MATCH(1435,'Transfer Engine'!$C$2:$C$1960,0)))</f>
        <v/>
      </c>
      <c r="B1444" s="8">
        <f>IF(ISNA(MATCH(1435,'Transfer Engine'!$C$2:$C$1960,0)),"",INDEX('Compliance Database'!$B$2:$B$1960,MATCH(1435,'Transfer Engine'!$C$2:$C$1960,0)))</f>
        <v/>
      </c>
      <c r="C1444" s="8">
        <f>IF(ISNA(MATCH(1435,'Transfer Engine'!$C$2:$C$1960,0)),"",INDEX('Compliance Database'!$C$2:$C$1960,MATCH(1435,'Transfer Engine'!$C$2:$C$1960,0)))</f>
        <v/>
      </c>
      <c r="D1444" s="9">
        <f>IF(ISNA(MATCH(1435,'Transfer Engine'!$C$2:$C$1960,0)),"",INDEX('Compliance Database'!$D$2:$D$1960,MATCH(1435,'Transfer Engine'!$C$2:$C$1960,0)))</f>
        <v/>
      </c>
      <c r="E1444" s="8">
        <f>IF(ISNA(MATCH(1435,'Transfer Engine'!$C$2:$C$1960,0)),"",INDEX('Compliance Database'!$E$2:$E$1960,MATCH(1435,'Transfer Engine'!$C$2:$C$1960,0)))</f>
        <v/>
      </c>
      <c r="F1444" s="8">
        <f>IF(ISNA(MATCH(1435,'Transfer Engine'!$C$2:$C$1960,0)),"",INDEX('Compliance Database'!$F$2:$F$1960,MATCH(1435,'Transfer Engine'!$C$2:$C$1960,0)))</f>
        <v/>
      </c>
      <c r="G1444" s="8">
        <f>IF(ISNA(MATCH(1435,'Transfer Engine'!$C$2:$C$1960,0)),"",INDEX('Compliance Database'!$G$2:$G$1960,MATCH(1435,'Transfer Engine'!$C$2:$C$1960,0)))</f>
        <v/>
      </c>
      <c r="H1444" s="9">
        <f>IF(ISNA(MATCH(1435,'Transfer Engine'!$C$2:$C$1960,0)),"",INDEX('Compliance Database'!$H$2:$H$1960,MATCH(1435,'Transfer Engine'!$C$2:$C$1960,0)))</f>
        <v/>
      </c>
      <c r="I1444" s="9">
        <f>IF(ISNA(MATCH(1435,'Transfer Engine'!$C$2:$C$1960,0)),"",INDEX('Compliance Database'!$I$2:$I$1960,MATCH(1435,'Transfer Engine'!$C$2:$C$1960,0)))</f>
        <v/>
      </c>
      <c r="J1444" s="8">
        <f>IF(ISNA(MATCH(1435,'Transfer Engine'!$C$2:$C$1960,0)),"",INDEX('Compliance Database'!$J$2:$J$1960,MATCH(1435,'Transfer Engine'!$C$2:$C$1960,0)))</f>
        <v/>
      </c>
      <c r="K1444" s="9">
        <f>IF(ISNA(MATCH(1435,'Transfer Engine'!$C$2:$C$1960,0)),"",INDEX('Compliance Database'!$K$2:$K$1960,MATCH(1435,'Transfer Engine'!$C$2:$C$1960,0)))</f>
        <v/>
      </c>
      <c r="L1444" s="9">
        <f>IF(ISNA(MATCH(1435,'Transfer Engine'!$C$2:$C$1960,0)),"",INDEX('Compliance Database'!$L$2:$L$1960,MATCH(1435,'Transfer Engine'!$C$2:$C$1960,0)))</f>
        <v/>
      </c>
      <c r="M1444" s="9">
        <f>IF(ISNA(MATCH(1435,'Transfer Engine'!$C$2:$C$1960,0)),"",INDEX('Compliance Database'!$M$2:$M$1960,MATCH(1435,'Transfer Engine'!$C$2:$C$1960,0)))</f>
        <v/>
      </c>
      <c r="N1444" s="9">
        <f>IF(ISNA(MATCH(1435,'Transfer Engine'!$C$2:$C$1960,0)),"",INDEX('Compliance Database'!$N$2:$N$1960,MATCH(1435,'Transfer Engine'!$C$2:$C$1960,0)))</f>
        <v/>
      </c>
      <c r="O1444" s="9">
        <f>IF(ISNA(MATCH(1435,'Transfer Engine'!$C$2:$C$1960,0)),"",INDEX('Compliance Database'!$O$2:$O$1960,MATCH(1435,'Transfer Engine'!$C$2:$C$1960,0)))</f>
        <v/>
      </c>
      <c r="P1444" s="8">
        <f>IF(ISNA(MATCH(1435,'Transfer Engine'!$C$2:$C$1960,0)),"",HYPERLINK("#Acts!A"&amp;INDEX('Compliance Database'!$P$2:$P$1960,MATCH(1435,'Transfer Engine'!$C$2:$C$1960,0)),"Go to Act"))</f>
        <v/>
      </c>
    </row>
    <row r="1445" ht="158" customHeight="1">
      <c r="A1445" s="8">
        <f>IF(ISNA(MATCH(1436,'Transfer Engine'!$C$2:$C$1960,0)),"",INDEX('Compliance Database'!$A$2:$A$1960,MATCH(1436,'Transfer Engine'!$C$2:$C$1960,0)))</f>
        <v/>
      </c>
      <c r="B1445" s="8">
        <f>IF(ISNA(MATCH(1436,'Transfer Engine'!$C$2:$C$1960,0)),"",INDEX('Compliance Database'!$B$2:$B$1960,MATCH(1436,'Transfer Engine'!$C$2:$C$1960,0)))</f>
        <v/>
      </c>
      <c r="C1445" s="8">
        <f>IF(ISNA(MATCH(1436,'Transfer Engine'!$C$2:$C$1960,0)),"",INDEX('Compliance Database'!$C$2:$C$1960,MATCH(1436,'Transfer Engine'!$C$2:$C$1960,0)))</f>
        <v/>
      </c>
      <c r="D1445" s="9">
        <f>IF(ISNA(MATCH(1436,'Transfer Engine'!$C$2:$C$1960,0)),"",INDEX('Compliance Database'!$D$2:$D$1960,MATCH(1436,'Transfer Engine'!$C$2:$C$1960,0)))</f>
        <v/>
      </c>
      <c r="E1445" s="8">
        <f>IF(ISNA(MATCH(1436,'Transfer Engine'!$C$2:$C$1960,0)),"",INDEX('Compliance Database'!$E$2:$E$1960,MATCH(1436,'Transfer Engine'!$C$2:$C$1960,0)))</f>
        <v/>
      </c>
      <c r="F1445" s="8">
        <f>IF(ISNA(MATCH(1436,'Transfer Engine'!$C$2:$C$1960,0)),"",INDEX('Compliance Database'!$F$2:$F$1960,MATCH(1436,'Transfer Engine'!$C$2:$C$1960,0)))</f>
        <v/>
      </c>
      <c r="G1445" s="8">
        <f>IF(ISNA(MATCH(1436,'Transfer Engine'!$C$2:$C$1960,0)),"",INDEX('Compliance Database'!$G$2:$G$1960,MATCH(1436,'Transfer Engine'!$C$2:$C$1960,0)))</f>
        <v/>
      </c>
      <c r="H1445" s="9">
        <f>IF(ISNA(MATCH(1436,'Transfer Engine'!$C$2:$C$1960,0)),"",INDEX('Compliance Database'!$H$2:$H$1960,MATCH(1436,'Transfer Engine'!$C$2:$C$1960,0)))</f>
        <v/>
      </c>
      <c r="I1445" s="9">
        <f>IF(ISNA(MATCH(1436,'Transfer Engine'!$C$2:$C$1960,0)),"",INDEX('Compliance Database'!$I$2:$I$1960,MATCH(1436,'Transfer Engine'!$C$2:$C$1960,0)))</f>
        <v/>
      </c>
      <c r="J1445" s="8">
        <f>IF(ISNA(MATCH(1436,'Transfer Engine'!$C$2:$C$1960,0)),"",INDEX('Compliance Database'!$J$2:$J$1960,MATCH(1436,'Transfer Engine'!$C$2:$C$1960,0)))</f>
        <v/>
      </c>
      <c r="K1445" s="9">
        <f>IF(ISNA(MATCH(1436,'Transfer Engine'!$C$2:$C$1960,0)),"",INDEX('Compliance Database'!$K$2:$K$1960,MATCH(1436,'Transfer Engine'!$C$2:$C$1960,0)))</f>
        <v/>
      </c>
      <c r="L1445" s="9">
        <f>IF(ISNA(MATCH(1436,'Transfer Engine'!$C$2:$C$1960,0)),"",INDEX('Compliance Database'!$L$2:$L$1960,MATCH(1436,'Transfer Engine'!$C$2:$C$1960,0)))</f>
        <v/>
      </c>
      <c r="M1445" s="9">
        <f>IF(ISNA(MATCH(1436,'Transfer Engine'!$C$2:$C$1960,0)),"",INDEX('Compliance Database'!$M$2:$M$1960,MATCH(1436,'Transfer Engine'!$C$2:$C$1960,0)))</f>
        <v/>
      </c>
      <c r="N1445" s="9">
        <f>IF(ISNA(MATCH(1436,'Transfer Engine'!$C$2:$C$1960,0)),"",INDEX('Compliance Database'!$N$2:$N$1960,MATCH(1436,'Transfer Engine'!$C$2:$C$1960,0)))</f>
        <v/>
      </c>
      <c r="O1445" s="9">
        <f>IF(ISNA(MATCH(1436,'Transfer Engine'!$C$2:$C$1960,0)),"",INDEX('Compliance Database'!$O$2:$O$1960,MATCH(1436,'Transfer Engine'!$C$2:$C$1960,0)))</f>
        <v/>
      </c>
      <c r="P1445" s="8">
        <f>IF(ISNA(MATCH(1436,'Transfer Engine'!$C$2:$C$1960,0)),"",HYPERLINK("#Acts!A"&amp;INDEX('Compliance Database'!$P$2:$P$1960,MATCH(1436,'Transfer Engine'!$C$2:$C$1960,0)),"Go to Act"))</f>
        <v/>
      </c>
    </row>
    <row r="1446" ht="158" customHeight="1">
      <c r="A1446" s="8">
        <f>IF(ISNA(MATCH(1437,'Transfer Engine'!$C$2:$C$1960,0)),"",INDEX('Compliance Database'!$A$2:$A$1960,MATCH(1437,'Transfer Engine'!$C$2:$C$1960,0)))</f>
        <v/>
      </c>
      <c r="B1446" s="8">
        <f>IF(ISNA(MATCH(1437,'Transfer Engine'!$C$2:$C$1960,0)),"",INDEX('Compliance Database'!$B$2:$B$1960,MATCH(1437,'Transfer Engine'!$C$2:$C$1960,0)))</f>
        <v/>
      </c>
      <c r="C1446" s="8">
        <f>IF(ISNA(MATCH(1437,'Transfer Engine'!$C$2:$C$1960,0)),"",INDEX('Compliance Database'!$C$2:$C$1960,MATCH(1437,'Transfer Engine'!$C$2:$C$1960,0)))</f>
        <v/>
      </c>
      <c r="D1446" s="9">
        <f>IF(ISNA(MATCH(1437,'Transfer Engine'!$C$2:$C$1960,0)),"",INDEX('Compliance Database'!$D$2:$D$1960,MATCH(1437,'Transfer Engine'!$C$2:$C$1960,0)))</f>
        <v/>
      </c>
      <c r="E1446" s="8">
        <f>IF(ISNA(MATCH(1437,'Transfer Engine'!$C$2:$C$1960,0)),"",INDEX('Compliance Database'!$E$2:$E$1960,MATCH(1437,'Transfer Engine'!$C$2:$C$1960,0)))</f>
        <v/>
      </c>
      <c r="F1446" s="8">
        <f>IF(ISNA(MATCH(1437,'Transfer Engine'!$C$2:$C$1960,0)),"",INDEX('Compliance Database'!$F$2:$F$1960,MATCH(1437,'Transfer Engine'!$C$2:$C$1960,0)))</f>
        <v/>
      </c>
      <c r="G1446" s="8">
        <f>IF(ISNA(MATCH(1437,'Transfer Engine'!$C$2:$C$1960,0)),"",INDEX('Compliance Database'!$G$2:$G$1960,MATCH(1437,'Transfer Engine'!$C$2:$C$1960,0)))</f>
        <v/>
      </c>
      <c r="H1446" s="9">
        <f>IF(ISNA(MATCH(1437,'Transfer Engine'!$C$2:$C$1960,0)),"",INDEX('Compliance Database'!$H$2:$H$1960,MATCH(1437,'Transfer Engine'!$C$2:$C$1960,0)))</f>
        <v/>
      </c>
      <c r="I1446" s="9">
        <f>IF(ISNA(MATCH(1437,'Transfer Engine'!$C$2:$C$1960,0)),"",INDEX('Compliance Database'!$I$2:$I$1960,MATCH(1437,'Transfer Engine'!$C$2:$C$1960,0)))</f>
        <v/>
      </c>
      <c r="J1446" s="8">
        <f>IF(ISNA(MATCH(1437,'Transfer Engine'!$C$2:$C$1960,0)),"",INDEX('Compliance Database'!$J$2:$J$1960,MATCH(1437,'Transfer Engine'!$C$2:$C$1960,0)))</f>
        <v/>
      </c>
      <c r="K1446" s="9">
        <f>IF(ISNA(MATCH(1437,'Transfer Engine'!$C$2:$C$1960,0)),"",INDEX('Compliance Database'!$K$2:$K$1960,MATCH(1437,'Transfer Engine'!$C$2:$C$1960,0)))</f>
        <v/>
      </c>
      <c r="L1446" s="9">
        <f>IF(ISNA(MATCH(1437,'Transfer Engine'!$C$2:$C$1960,0)),"",INDEX('Compliance Database'!$L$2:$L$1960,MATCH(1437,'Transfer Engine'!$C$2:$C$1960,0)))</f>
        <v/>
      </c>
      <c r="M1446" s="9">
        <f>IF(ISNA(MATCH(1437,'Transfer Engine'!$C$2:$C$1960,0)),"",INDEX('Compliance Database'!$M$2:$M$1960,MATCH(1437,'Transfer Engine'!$C$2:$C$1960,0)))</f>
        <v/>
      </c>
      <c r="N1446" s="9">
        <f>IF(ISNA(MATCH(1437,'Transfer Engine'!$C$2:$C$1960,0)),"",INDEX('Compliance Database'!$N$2:$N$1960,MATCH(1437,'Transfer Engine'!$C$2:$C$1960,0)))</f>
        <v/>
      </c>
      <c r="O1446" s="9">
        <f>IF(ISNA(MATCH(1437,'Transfer Engine'!$C$2:$C$1960,0)),"",INDEX('Compliance Database'!$O$2:$O$1960,MATCH(1437,'Transfer Engine'!$C$2:$C$1960,0)))</f>
        <v/>
      </c>
      <c r="P1446" s="8">
        <f>IF(ISNA(MATCH(1437,'Transfer Engine'!$C$2:$C$1960,0)),"",HYPERLINK("#Acts!A"&amp;INDEX('Compliance Database'!$P$2:$P$1960,MATCH(1437,'Transfer Engine'!$C$2:$C$1960,0)),"Go to Act"))</f>
        <v/>
      </c>
    </row>
    <row r="1447" ht="158" customHeight="1">
      <c r="A1447" s="8">
        <f>IF(ISNA(MATCH(1438,'Transfer Engine'!$C$2:$C$1960,0)),"",INDEX('Compliance Database'!$A$2:$A$1960,MATCH(1438,'Transfer Engine'!$C$2:$C$1960,0)))</f>
        <v/>
      </c>
      <c r="B1447" s="8">
        <f>IF(ISNA(MATCH(1438,'Transfer Engine'!$C$2:$C$1960,0)),"",INDEX('Compliance Database'!$B$2:$B$1960,MATCH(1438,'Transfer Engine'!$C$2:$C$1960,0)))</f>
        <v/>
      </c>
      <c r="C1447" s="8">
        <f>IF(ISNA(MATCH(1438,'Transfer Engine'!$C$2:$C$1960,0)),"",INDEX('Compliance Database'!$C$2:$C$1960,MATCH(1438,'Transfer Engine'!$C$2:$C$1960,0)))</f>
        <v/>
      </c>
      <c r="D1447" s="9">
        <f>IF(ISNA(MATCH(1438,'Transfer Engine'!$C$2:$C$1960,0)),"",INDEX('Compliance Database'!$D$2:$D$1960,MATCH(1438,'Transfer Engine'!$C$2:$C$1960,0)))</f>
        <v/>
      </c>
      <c r="E1447" s="8">
        <f>IF(ISNA(MATCH(1438,'Transfer Engine'!$C$2:$C$1960,0)),"",INDEX('Compliance Database'!$E$2:$E$1960,MATCH(1438,'Transfer Engine'!$C$2:$C$1960,0)))</f>
        <v/>
      </c>
      <c r="F1447" s="8">
        <f>IF(ISNA(MATCH(1438,'Transfer Engine'!$C$2:$C$1960,0)),"",INDEX('Compliance Database'!$F$2:$F$1960,MATCH(1438,'Transfer Engine'!$C$2:$C$1960,0)))</f>
        <v/>
      </c>
      <c r="G1447" s="8">
        <f>IF(ISNA(MATCH(1438,'Transfer Engine'!$C$2:$C$1960,0)),"",INDEX('Compliance Database'!$G$2:$G$1960,MATCH(1438,'Transfer Engine'!$C$2:$C$1960,0)))</f>
        <v/>
      </c>
      <c r="H1447" s="9">
        <f>IF(ISNA(MATCH(1438,'Transfer Engine'!$C$2:$C$1960,0)),"",INDEX('Compliance Database'!$H$2:$H$1960,MATCH(1438,'Transfer Engine'!$C$2:$C$1960,0)))</f>
        <v/>
      </c>
      <c r="I1447" s="9">
        <f>IF(ISNA(MATCH(1438,'Transfer Engine'!$C$2:$C$1960,0)),"",INDEX('Compliance Database'!$I$2:$I$1960,MATCH(1438,'Transfer Engine'!$C$2:$C$1960,0)))</f>
        <v/>
      </c>
      <c r="J1447" s="8">
        <f>IF(ISNA(MATCH(1438,'Transfer Engine'!$C$2:$C$1960,0)),"",INDEX('Compliance Database'!$J$2:$J$1960,MATCH(1438,'Transfer Engine'!$C$2:$C$1960,0)))</f>
        <v/>
      </c>
      <c r="K1447" s="9">
        <f>IF(ISNA(MATCH(1438,'Transfer Engine'!$C$2:$C$1960,0)),"",INDEX('Compliance Database'!$K$2:$K$1960,MATCH(1438,'Transfer Engine'!$C$2:$C$1960,0)))</f>
        <v/>
      </c>
      <c r="L1447" s="9">
        <f>IF(ISNA(MATCH(1438,'Transfer Engine'!$C$2:$C$1960,0)),"",INDEX('Compliance Database'!$L$2:$L$1960,MATCH(1438,'Transfer Engine'!$C$2:$C$1960,0)))</f>
        <v/>
      </c>
      <c r="M1447" s="9">
        <f>IF(ISNA(MATCH(1438,'Transfer Engine'!$C$2:$C$1960,0)),"",INDEX('Compliance Database'!$M$2:$M$1960,MATCH(1438,'Transfer Engine'!$C$2:$C$1960,0)))</f>
        <v/>
      </c>
      <c r="N1447" s="9">
        <f>IF(ISNA(MATCH(1438,'Transfer Engine'!$C$2:$C$1960,0)),"",INDEX('Compliance Database'!$N$2:$N$1960,MATCH(1438,'Transfer Engine'!$C$2:$C$1960,0)))</f>
        <v/>
      </c>
      <c r="O1447" s="9">
        <f>IF(ISNA(MATCH(1438,'Transfer Engine'!$C$2:$C$1960,0)),"",INDEX('Compliance Database'!$O$2:$O$1960,MATCH(1438,'Transfer Engine'!$C$2:$C$1960,0)))</f>
        <v/>
      </c>
      <c r="P1447" s="8">
        <f>IF(ISNA(MATCH(1438,'Transfer Engine'!$C$2:$C$1960,0)),"",HYPERLINK("#Acts!A"&amp;INDEX('Compliance Database'!$P$2:$P$1960,MATCH(1438,'Transfer Engine'!$C$2:$C$1960,0)),"Go to Act"))</f>
        <v/>
      </c>
    </row>
    <row r="1448" ht="158" customHeight="1">
      <c r="A1448" s="8">
        <f>IF(ISNA(MATCH(1439,'Transfer Engine'!$C$2:$C$1960,0)),"",INDEX('Compliance Database'!$A$2:$A$1960,MATCH(1439,'Transfer Engine'!$C$2:$C$1960,0)))</f>
        <v/>
      </c>
      <c r="B1448" s="8">
        <f>IF(ISNA(MATCH(1439,'Transfer Engine'!$C$2:$C$1960,0)),"",INDEX('Compliance Database'!$B$2:$B$1960,MATCH(1439,'Transfer Engine'!$C$2:$C$1960,0)))</f>
        <v/>
      </c>
      <c r="C1448" s="8">
        <f>IF(ISNA(MATCH(1439,'Transfer Engine'!$C$2:$C$1960,0)),"",INDEX('Compliance Database'!$C$2:$C$1960,MATCH(1439,'Transfer Engine'!$C$2:$C$1960,0)))</f>
        <v/>
      </c>
      <c r="D1448" s="9">
        <f>IF(ISNA(MATCH(1439,'Transfer Engine'!$C$2:$C$1960,0)),"",INDEX('Compliance Database'!$D$2:$D$1960,MATCH(1439,'Transfer Engine'!$C$2:$C$1960,0)))</f>
        <v/>
      </c>
      <c r="E1448" s="8">
        <f>IF(ISNA(MATCH(1439,'Transfer Engine'!$C$2:$C$1960,0)),"",INDEX('Compliance Database'!$E$2:$E$1960,MATCH(1439,'Transfer Engine'!$C$2:$C$1960,0)))</f>
        <v/>
      </c>
      <c r="F1448" s="8">
        <f>IF(ISNA(MATCH(1439,'Transfer Engine'!$C$2:$C$1960,0)),"",INDEX('Compliance Database'!$F$2:$F$1960,MATCH(1439,'Transfer Engine'!$C$2:$C$1960,0)))</f>
        <v/>
      </c>
      <c r="G1448" s="8">
        <f>IF(ISNA(MATCH(1439,'Transfer Engine'!$C$2:$C$1960,0)),"",INDEX('Compliance Database'!$G$2:$G$1960,MATCH(1439,'Transfer Engine'!$C$2:$C$1960,0)))</f>
        <v/>
      </c>
      <c r="H1448" s="9">
        <f>IF(ISNA(MATCH(1439,'Transfer Engine'!$C$2:$C$1960,0)),"",INDEX('Compliance Database'!$H$2:$H$1960,MATCH(1439,'Transfer Engine'!$C$2:$C$1960,0)))</f>
        <v/>
      </c>
      <c r="I1448" s="9">
        <f>IF(ISNA(MATCH(1439,'Transfer Engine'!$C$2:$C$1960,0)),"",INDEX('Compliance Database'!$I$2:$I$1960,MATCH(1439,'Transfer Engine'!$C$2:$C$1960,0)))</f>
        <v/>
      </c>
      <c r="J1448" s="8">
        <f>IF(ISNA(MATCH(1439,'Transfer Engine'!$C$2:$C$1960,0)),"",INDEX('Compliance Database'!$J$2:$J$1960,MATCH(1439,'Transfer Engine'!$C$2:$C$1960,0)))</f>
        <v/>
      </c>
      <c r="K1448" s="9">
        <f>IF(ISNA(MATCH(1439,'Transfer Engine'!$C$2:$C$1960,0)),"",INDEX('Compliance Database'!$K$2:$K$1960,MATCH(1439,'Transfer Engine'!$C$2:$C$1960,0)))</f>
        <v/>
      </c>
      <c r="L1448" s="9">
        <f>IF(ISNA(MATCH(1439,'Transfer Engine'!$C$2:$C$1960,0)),"",INDEX('Compliance Database'!$L$2:$L$1960,MATCH(1439,'Transfer Engine'!$C$2:$C$1960,0)))</f>
        <v/>
      </c>
      <c r="M1448" s="9">
        <f>IF(ISNA(MATCH(1439,'Transfer Engine'!$C$2:$C$1960,0)),"",INDEX('Compliance Database'!$M$2:$M$1960,MATCH(1439,'Transfer Engine'!$C$2:$C$1960,0)))</f>
        <v/>
      </c>
      <c r="N1448" s="9">
        <f>IF(ISNA(MATCH(1439,'Transfer Engine'!$C$2:$C$1960,0)),"",INDEX('Compliance Database'!$N$2:$N$1960,MATCH(1439,'Transfer Engine'!$C$2:$C$1960,0)))</f>
        <v/>
      </c>
      <c r="O1448" s="9">
        <f>IF(ISNA(MATCH(1439,'Transfer Engine'!$C$2:$C$1960,0)),"",INDEX('Compliance Database'!$O$2:$O$1960,MATCH(1439,'Transfer Engine'!$C$2:$C$1960,0)))</f>
        <v/>
      </c>
      <c r="P1448" s="8">
        <f>IF(ISNA(MATCH(1439,'Transfer Engine'!$C$2:$C$1960,0)),"",HYPERLINK("#Acts!A"&amp;INDEX('Compliance Database'!$P$2:$P$1960,MATCH(1439,'Transfer Engine'!$C$2:$C$1960,0)),"Go to Act"))</f>
        <v/>
      </c>
    </row>
    <row r="1449" ht="158" customHeight="1">
      <c r="A1449" s="8">
        <f>IF(ISNA(MATCH(1440,'Transfer Engine'!$C$2:$C$1960,0)),"",INDEX('Compliance Database'!$A$2:$A$1960,MATCH(1440,'Transfer Engine'!$C$2:$C$1960,0)))</f>
        <v/>
      </c>
      <c r="B1449" s="8">
        <f>IF(ISNA(MATCH(1440,'Transfer Engine'!$C$2:$C$1960,0)),"",INDEX('Compliance Database'!$B$2:$B$1960,MATCH(1440,'Transfer Engine'!$C$2:$C$1960,0)))</f>
        <v/>
      </c>
      <c r="C1449" s="8">
        <f>IF(ISNA(MATCH(1440,'Transfer Engine'!$C$2:$C$1960,0)),"",INDEX('Compliance Database'!$C$2:$C$1960,MATCH(1440,'Transfer Engine'!$C$2:$C$1960,0)))</f>
        <v/>
      </c>
      <c r="D1449" s="9">
        <f>IF(ISNA(MATCH(1440,'Transfer Engine'!$C$2:$C$1960,0)),"",INDEX('Compliance Database'!$D$2:$D$1960,MATCH(1440,'Transfer Engine'!$C$2:$C$1960,0)))</f>
        <v/>
      </c>
      <c r="E1449" s="8">
        <f>IF(ISNA(MATCH(1440,'Transfer Engine'!$C$2:$C$1960,0)),"",INDEX('Compliance Database'!$E$2:$E$1960,MATCH(1440,'Transfer Engine'!$C$2:$C$1960,0)))</f>
        <v/>
      </c>
      <c r="F1449" s="8">
        <f>IF(ISNA(MATCH(1440,'Transfer Engine'!$C$2:$C$1960,0)),"",INDEX('Compliance Database'!$F$2:$F$1960,MATCH(1440,'Transfer Engine'!$C$2:$C$1960,0)))</f>
        <v/>
      </c>
      <c r="G1449" s="8">
        <f>IF(ISNA(MATCH(1440,'Transfer Engine'!$C$2:$C$1960,0)),"",INDEX('Compliance Database'!$G$2:$G$1960,MATCH(1440,'Transfer Engine'!$C$2:$C$1960,0)))</f>
        <v/>
      </c>
      <c r="H1449" s="9">
        <f>IF(ISNA(MATCH(1440,'Transfer Engine'!$C$2:$C$1960,0)),"",INDEX('Compliance Database'!$H$2:$H$1960,MATCH(1440,'Transfer Engine'!$C$2:$C$1960,0)))</f>
        <v/>
      </c>
      <c r="I1449" s="9">
        <f>IF(ISNA(MATCH(1440,'Transfer Engine'!$C$2:$C$1960,0)),"",INDEX('Compliance Database'!$I$2:$I$1960,MATCH(1440,'Transfer Engine'!$C$2:$C$1960,0)))</f>
        <v/>
      </c>
      <c r="J1449" s="8">
        <f>IF(ISNA(MATCH(1440,'Transfer Engine'!$C$2:$C$1960,0)),"",INDEX('Compliance Database'!$J$2:$J$1960,MATCH(1440,'Transfer Engine'!$C$2:$C$1960,0)))</f>
        <v/>
      </c>
      <c r="K1449" s="9">
        <f>IF(ISNA(MATCH(1440,'Transfer Engine'!$C$2:$C$1960,0)),"",INDEX('Compliance Database'!$K$2:$K$1960,MATCH(1440,'Transfer Engine'!$C$2:$C$1960,0)))</f>
        <v/>
      </c>
      <c r="L1449" s="9">
        <f>IF(ISNA(MATCH(1440,'Transfer Engine'!$C$2:$C$1960,0)),"",INDEX('Compliance Database'!$L$2:$L$1960,MATCH(1440,'Transfer Engine'!$C$2:$C$1960,0)))</f>
        <v/>
      </c>
      <c r="M1449" s="9">
        <f>IF(ISNA(MATCH(1440,'Transfer Engine'!$C$2:$C$1960,0)),"",INDEX('Compliance Database'!$M$2:$M$1960,MATCH(1440,'Transfer Engine'!$C$2:$C$1960,0)))</f>
        <v/>
      </c>
      <c r="N1449" s="9">
        <f>IF(ISNA(MATCH(1440,'Transfer Engine'!$C$2:$C$1960,0)),"",INDEX('Compliance Database'!$N$2:$N$1960,MATCH(1440,'Transfer Engine'!$C$2:$C$1960,0)))</f>
        <v/>
      </c>
      <c r="O1449" s="9">
        <f>IF(ISNA(MATCH(1440,'Transfer Engine'!$C$2:$C$1960,0)),"",INDEX('Compliance Database'!$O$2:$O$1960,MATCH(1440,'Transfer Engine'!$C$2:$C$1960,0)))</f>
        <v/>
      </c>
      <c r="P1449" s="8">
        <f>IF(ISNA(MATCH(1440,'Transfer Engine'!$C$2:$C$1960,0)),"",HYPERLINK("#Acts!A"&amp;INDEX('Compliance Database'!$P$2:$P$1960,MATCH(1440,'Transfer Engine'!$C$2:$C$1960,0)),"Go to Act"))</f>
        <v/>
      </c>
    </row>
    <row r="1450" ht="158" customHeight="1">
      <c r="A1450" s="8">
        <f>IF(ISNA(MATCH(1441,'Transfer Engine'!$C$2:$C$1960,0)),"",INDEX('Compliance Database'!$A$2:$A$1960,MATCH(1441,'Transfer Engine'!$C$2:$C$1960,0)))</f>
        <v/>
      </c>
      <c r="B1450" s="8">
        <f>IF(ISNA(MATCH(1441,'Transfer Engine'!$C$2:$C$1960,0)),"",INDEX('Compliance Database'!$B$2:$B$1960,MATCH(1441,'Transfer Engine'!$C$2:$C$1960,0)))</f>
        <v/>
      </c>
      <c r="C1450" s="8">
        <f>IF(ISNA(MATCH(1441,'Transfer Engine'!$C$2:$C$1960,0)),"",INDEX('Compliance Database'!$C$2:$C$1960,MATCH(1441,'Transfer Engine'!$C$2:$C$1960,0)))</f>
        <v/>
      </c>
      <c r="D1450" s="9">
        <f>IF(ISNA(MATCH(1441,'Transfer Engine'!$C$2:$C$1960,0)),"",INDEX('Compliance Database'!$D$2:$D$1960,MATCH(1441,'Transfer Engine'!$C$2:$C$1960,0)))</f>
        <v/>
      </c>
      <c r="E1450" s="8">
        <f>IF(ISNA(MATCH(1441,'Transfer Engine'!$C$2:$C$1960,0)),"",INDEX('Compliance Database'!$E$2:$E$1960,MATCH(1441,'Transfer Engine'!$C$2:$C$1960,0)))</f>
        <v/>
      </c>
      <c r="F1450" s="8">
        <f>IF(ISNA(MATCH(1441,'Transfer Engine'!$C$2:$C$1960,0)),"",INDEX('Compliance Database'!$F$2:$F$1960,MATCH(1441,'Transfer Engine'!$C$2:$C$1960,0)))</f>
        <v/>
      </c>
      <c r="G1450" s="8">
        <f>IF(ISNA(MATCH(1441,'Transfer Engine'!$C$2:$C$1960,0)),"",INDEX('Compliance Database'!$G$2:$G$1960,MATCH(1441,'Transfer Engine'!$C$2:$C$1960,0)))</f>
        <v/>
      </c>
      <c r="H1450" s="9">
        <f>IF(ISNA(MATCH(1441,'Transfer Engine'!$C$2:$C$1960,0)),"",INDEX('Compliance Database'!$H$2:$H$1960,MATCH(1441,'Transfer Engine'!$C$2:$C$1960,0)))</f>
        <v/>
      </c>
      <c r="I1450" s="9">
        <f>IF(ISNA(MATCH(1441,'Transfer Engine'!$C$2:$C$1960,0)),"",INDEX('Compliance Database'!$I$2:$I$1960,MATCH(1441,'Transfer Engine'!$C$2:$C$1960,0)))</f>
        <v/>
      </c>
      <c r="J1450" s="8">
        <f>IF(ISNA(MATCH(1441,'Transfer Engine'!$C$2:$C$1960,0)),"",INDEX('Compliance Database'!$J$2:$J$1960,MATCH(1441,'Transfer Engine'!$C$2:$C$1960,0)))</f>
        <v/>
      </c>
      <c r="K1450" s="9">
        <f>IF(ISNA(MATCH(1441,'Transfer Engine'!$C$2:$C$1960,0)),"",INDEX('Compliance Database'!$K$2:$K$1960,MATCH(1441,'Transfer Engine'!$C$2:$C$1960,0)))</f>
        <v/>
      </c>
      <c r="L1450" s="9">
        <f>IF(ISNA(MATCH(1441,'Transfer Engine'!$C$2:$C$1960,0)),"",INDEX('Compliance Database'!$L$2:$L$1960,MATCH(1441,'Transfer Engine'!$C$2:$C$1960,0)))</f>
        <v/>
      </c>
      <c r="M1450" s="9">
        <f>IF(ISNA(MATCH(1441,'Transfer Engine'!$C$2:$C$1960,0)),"",INDEX('Compliance Database'!$M$2:$M$1960,MATCH(1441,'Transfer Engine'!$C$2:$C$1960,0)))</f>
        <v/>
      </c>
      <c r="N1450" s="9">
        <f>IF(ISNA(MATCH(1441,'Transfer Engine'!$C$2:$C$1960,0)),"",INDEX('Compliance Database'!$N$2:$N$1960,MATCH(1441,'Transfer Engine'!$C$2:$C$1960,0)))</f>
        <v/>
      </c>
      <c r="O1450" s="9">
        <f>IF(ISNA(MATCH(1441,'Transfer Engine'!$C$2:$C$1960,0)),"",INDEX('Compliance Database'!$O$2:$O$1960,MATCH(1441,'Transfer Engine'!$C$2:$C$1960,0)))</f>
        <v/>
      </c>
      <c r="P1450" s="8">
        <f>IF(ISNA(MATCH(1441,'Transfer Engine'!$C$2:$C$1960,0)),"",HYPERLINK("#Acts!A"&amp;INDEX('Compliance Database'!$P$2:$P$1960,MATCH(1441,'Transfer Engine'!$C$2:$C$1960,0)),"Go to Act"))</f>
        <v/>
      </c>
    </row>
    <row r="1451" ht="158" customHeight="1">
      <c r="A1451" s="8">
        <f>IF(ISNA(MATCH(1442,'Transfer Engine'!$C$2:$C$1960,0)),"",INDEX('Compliance Database'!$A$2:$A$1960,MATCH(1442,'Transfer Engine'!$C$2:$C$1960,0)))</f>
        <v/>
      </c>
      <c r="B1451" s="8">
        <f>IF(ISNA(MATCH(1442,'Transfer Engine'!$C$2:$C$1960,0)),"",INDEX('Compliance Database'!$B$2:$B$1960,MATCH(1442,'Transfer Engine'!$C$2:$C$1960,0)))</f>
        <v/>
      </c>
      <c r="C1451" s="8">
        <f>IF(ISNA(MATCH(1442,'Transfer Engine'!$C$2:$C$1960,0)),"",INDEX('Compliance Database'!$C$2:$C$1960,MATCH(1442,'Transfer Engine'!$C$2:$C$1960,0)))</f>
        <v/>
      </c>
      <c r="D1451" s="9">
        <f>IF(ISNA(MATCH(1442,'Transfer Engine'!$C$2:$C$1960,0)),"",INDEX('Compliance Database'!$D$2:$D$1960,MATCH(1442,'Transfer Engine'!$C$2:$C$1960,0)))</f>
        <v/>
      </c>
      <c r="E1451" s="8">
        <f>IF(ISNA(MATCH(1442,'Transfer Engine'!$C$2:$C$1960,0)),"",INDEX('Compliance Database'!$E$2:$E$1960,MATCH(1442,'Transfer Engine'!$C$2:$C$1960,0)))</f>
        <v/>
      </c>
      <c r="F1451" s="8">
        <f>IF(ISNA(MATCH(1442,'Transfer Engine'!$C$2:$C$1960,0)),"",INDEX('Compliance Database'!$F$2:$F$1960,MATCH(1442,'Transfer Engine'!$C$2:$C$1960,0)))</f>
        <v/>
      </c>
      <c r="G1451" s="8">
        <f>IF(ISNA(MATCH(1442,'Transfer Engine'!$C$2:$C$1960,0)),"",INDEX('Compliance Database'!$G$2:$G$1960,MATCH(1442,'Transfer Engine'!$C$2:$C$1960,0)))</f>
        <v/>
      </c>
      <c r="H1451" s="9">
        <f>IF(ISNA(MATCH(1442,'Transfer Engine'!$C$2:$C$1960,0)),"",INDEX('Compliance Database'!$H$2:$H$1960,MATCH(1442,'Transfer Engine'!$C$2:$C$1960,0)))</f>
        <v/>
      </c>
      <c r="I1451" s="9">
        <f>IF(ISNA(MATCH(1442,'Transfer Engine'!$C$2:$C$1960,0)),"",INDEX('Compliance Database'!$I$2:$I$1960,MATCH(1442,'Transfer Engine'!$C$2:$C$1960,0)))</f>
        <v/>
      </c>
      <c r="J1451" s="8">
        <f>IF(ISNA(MATCH(1442,'Transfer Engine'!$C$2:$C$1960,0)),"",INDEX('Compliance Database'!$J$2:$J$1960,MATCH(1442,'Transfer Engine'!$C$2:$C$1960,0)))</f>
        <v/>
      </c>
      <c r="K1451" s="9">
        <f>IF(ISNA(MATCH(1442,'Transfer Engine'!$C$2:$C$1960,0)),"",INDEX('Compliance Database'!$K$2:$K$1960,MATCH(1442,'Transfer Engine'!$C$2:$C$1960,0)))</f>
        <v/>
      </c>
      <c r="L1451" s="9">
        <f>IF(ISNA(MATCH(1442,'Transfer Engine'!$C$2:$C$1960,0)),"",INDEX('Compliance Database'!$L$2:$L$1960,MATCH(1442,'Transfer Engine'!$C$2:$C$1960,0)))</f>
        <v/>
      </c>
      <c r="M1451" s="9">
        <f>IF(ISNA(MATCH(1442,'Transfer Engine'!$C$2:$C$1960,0)),"",INDEX('Compliance Database'!$M$2:$M$1960,MATCH(1442,'Transfer Engine'!$C$2:$C$1960,0)))</f>
        <v/>
      </c>
      <c r="N1451" s="9">
        <f>IF(ISNA(MATCH(1442,'Transfer Engine'!$C$2:$C$1960,0)),"",INDEX('Compliance Database'!$N$2:$N$1960,MATCH(1442,'Transfer Engine'!$C$2:$C$1960,0)))</f>
        <v/>
      </c>
      <c r="O1451" s="9">
        <f>IF(ISNA(MATCH(1442,'Transfer Engine'!$C$2:$C$1960,0)),"",INDEX('Compliance Database'!$O$2:$O$1960,MATCH(1442,'Transfer Engine'!$C$2:$C$1960,0)))</f>
        <v/>
      </c>
      <c r="P1451" s="8">
        <f>IF(ISNA(MATCH(1442,'Transfer Engine'!$C$2:$C$1960,0)),"",HYPERLINK("#Acts!A"&amp;INDEX('Compliance Database'!$P$2:$P$1960,MATCH(1442,'Transfer Engine'!$C$2:$C$1960,0)),"Go to Act"))</f>
        <v/>
      </c>
    </row>
    <row r="1452" ht="158" customHeight="1">
      <c r="A1452" s="8">
        <f>IF(ISNA(MATCH(1443,'Transfer Engine'!$C$2:$C$1960,0)),"",INDEX('Compliance Database'!$A$2:$A$1960,MATCH(1443,'Transfer Engine'!$C$2:$C$1960,0)))</f>
        <v/>
      </c>
      <c r="B1452" s="8">
        <f>IF(ISNA(MATCH(1443,'Transfer Engine'!$C$2:$C$1960,0)),"",INDEX('Compliance Database'!$B$2:$B$1960,MATCH(1443,'Transfer Engine'!$C$2:$C$1960,0)))</f>
        <v/>
      </c>
      <c r="C1452" s="8">
        <f>IF(ISNA(MATCH(1443,'Transfer Engine'!$C$2:$C$1960,0)),"",INDEX('Compliance Database'!$C$2:$C$1960,MATCH(1443,'Transfer Engine'!$C$2:$C$1960,0)))</f>
        <v/>
      </c>
      <c r="D1452" s="9">
        <f>IF(ISNA(MATCH(1443,'Transfer Engine'!$C$2:$C$1960,0)),"",INDEX('Compliance Database'!$D$2:$D$1960,MATCH(1443,'Transfer Engine'!$C$2:$C$1960,0)))</f>
        <v/>
      </c>
      <c r="E1452" s="8">
        <f>IF(ISNA(MATCH(1443,'Transfer Engine'!$C$2:$C$1960,0)),"",INDEX('Compliance Database'!$E$2:$E$1960,MATCH(1443,'Transfer Engine'!$C$2:$C$1960,0)))</f>
        <v/>
      </c>
      <c r="F1452" s="8">
        <f>IF(ISNA(MATCH(1443,'Transfer Engine'!$C$2:$C$1960,0)),"",INDEX('Compliance Database'!$F$2:$F$1960,MATCH(1443,'Transfer Engine'!$C$2:$C$1960,0)))</f>
        <v/>
      </c>
      <c r="G1452" s="8">
        <f>IF(ISNA(MATCH(1443,'Transfer Engine'!$C$2:$C$1960,0)),"",INDEX('Compliance Database'!$G$2:$G$1960,MATCH(1443,'Transfer Engine'!$C$2:$C$1960,0)))</f>
        <v/>
      </c>
      <c r="H1452" s="9">
        <f>IF(ISNA(MATCH(1443,'Transfer Engine'!$C$2:$C$1960,0)),"",INDEX('Compliance Database'!$H$2:$H$1960,MATCH(1443,'Transfer Engine'!$C$2:$C$1960,0)))</f>
        <v/>
      </c>
      <c r="I1452" s="9">
        <f>IF(ISNA(MATCH(1443,'Transfer Engine'!$C$2:$C$1960,0)),"",INDEX('Compliance Database'!$I$2:$I$1960,MATCH(1443,'Transfer Engine'!$C$2:$C$1960,0)))</f>
        <v/>
      </c>
      <c r="J1452" s="8">
        <f>IF(ISNA(MATCH(1443,'Transfer Engine'!$C$2:$C$1960,0)),"",INDEX('Compliance Database'!$J$2:$J$1960,MATCH(1443,'Transfer Engine'!$C$2:$C$1960,0)))</f>
        <v/>
      </c>
      <c r="K1452" s="9">
        <f>IF(ISNA(MATCH(1443,'Transfer Engine'!$C$2:$C$1960,0)),"",INDEX('Compliance Database'!$K$2:$K$1960,MATCH(1443,'Transfer Engine'!$C$2:$C$1960,0)))</f>
        <v/>
      </c>
      <c r="L1452" s="9">
        <f>IF(ISNA(MATCH(1443,'Transfer Engine'!$C$2:$C$1960,0)),"",INDEX('Compliance Database'!$L$2:$L$1960,MATCH(1443,'Transfer Engine'!$C$2:$C$1960,0)))</f>
        <v/>
      </c>
      <c r="M1452" s="9">
        <f>IF(ISNA(MATCH(1443,'Transfer Engine'!$C$2:$C$1960,0)),"",INDEX('Compliance Database'!$M$2:$M$1960,MATCH(1443,'Transfer Engine'!$C$2:$C$1960,0)))</f>
        <v/>
      </c>
      <c r="N1452" s="9">
        <f>IF(ISNA(MATCH(1443,'Transfer Engine'!$C$2:$C$1960,0)),"",INDEX('Compliance Database'!$N$2:$N$1960,MATCH(1443,'Transfer Engine'!$C$2:$C$1960,0)))</f>
        <v/>
      </c>
      <c r="O1452" s="9">
        <f>IF(ISNA(MATCH(1443,'Transfer Engine'!$C$2:$C$1960,0)),"",INDEX('Compliance Database'!$O$2:$O$1960,MATCH(1443,'Transfer Engine'!$C$2:$C$1960,0)))</f>
        <v/>
      </c>
      <c r="P1452" s="8">
        <f>IF(ISNA(MATCH(1443,'Transfer Engine'!$C$2:$C$1960,0)),"",HYPERLINK("#Acts!A"&amp;INDEX('Compliance Database'!$P$2:$P$1960,MATCH(1443,'Transfer Engine'!$C$2:$C$1960,0)),"Go to Act"))</f>
        <v/>
      </c>
    </row>
    <row r="1453" ht="158" customHeight="1">
      <c r="A1453" s="8">
        <f>IF(ISNA(MATCH(1444,'Transfer Engine'!$C$2:$C$1960,0)),"",INDEX('Compliance Database'!$A$2:$A$1960,MATCH(1444,'Transfer Engine'!$C$2:$C$1960,0)))</f>
        <v/>
      </c>
      <c r="B1453" s="8">
        <f>IF(ISNA(MATCH(1444,'Transfer Engine'!$C$2:$C$1960,0)),"",INDEX('Compliance Database'!$B$2:$B$1960,MATCH(1444,'Transfer Engine'!$C$2:$C$1960,0)))</f>
        <v/>
      </c>
      <c r="C1453" s="8">
        <f>IF(ISNA(MATCH(1444,'Transfer Engine'!$C$2:$C$1960,0)),"",INDEX('Compliance Database'!$C$2:$C$1960,MATCH(1444,'Transfer Engine'!$C$2:$C$1960,0)))</f>
        <v/>
      </c>
      <c r="D1453" s="9">
        <f>IF(ISNA(MATCH(1444,'Transfer Engine'!$C$2:$C$1960,0)),"",INDEX('Compliance Database'!$D$2:$D$1960,MATCH(1444,'Transfer Engine'!$C$2:$C$1960,0)))</f>
        <v/>
      </c>
      <c r="E1453" s="8">
        <f>IF(ISNA(MATCH(1444,'Transfer Engine'!$C$2:$C$1960,0)),"",INDEX('Compliance Database'!$E$2:$E$1960,MATCH(1444,'Transfer Engine'!$C$2:$C$1960,0)))</f>
        <v/>
      </c>
      <c r="F1453" s="8">
        <f>IF(ISNA(MATCH(1444,'Transfer Engine'!$C$2:$C$1960,0)),"",INDEX('Compliance Database'!$F$2:$F$1960,MATCH(1444,'Transfer Engine'!$C$2:$C$1960,0)))</f>
        <v/>
      </c>
      <c r="G1453" s="8">
        <f>IF(ISNA(MATCH(1444,'Transfer Engine'!$C$2:$C$1960,0)),"",INDEX('Compliance Database'!$G$2:$G$1960,MATCH(1444,'Transfer Engine'!$C$2:$C$1960,0)))</f>
        <v/>
      </c>
      <c r="H1453" s="9">
        <f>IF(ISNA(MATCH(1444,'Transfer Engine'!$C$2:$C$1960,0)),"",INDEX('Compliance Database'!$H$2:$H$1960,MATCH(1444,'Transfer Engine'!$C$2:$C$1960,0)))</f>
        <v/>
      </c>
      <c r="I1453" s="9">
        <f>IF(ISNA(MATCH(1444,'Transfer Engine'!$C$2:$C$1960,0)),"",INDEX('Compliance Database'!$I$2:$I$1960,MATCH(1444,'Transfer Engine'!$C$2:$C$1960,0)))</f>
        <v/>
      </c>
      <c r="J1453" s="8">
        <f>IF(ISNA(MATCH(1444,'Transfer Engine'!$C$2:$C$1960,0)),"",INDEX('Compliance Database'!$J$2:$J$1960,MATCH(1444,'Transfer Engine'!$C$2:$C$1960,0)))</f>
        <v/>
      </c>
      <c r="K1453" s="9">
        <f>IF(ISNA(MATCH(1444,'Transfer Engine'!$C$2:$C$1960,0)),"",INDEX('Compliance Database'!$K$2:$K$1960,MATCH(1444,'Transfer Engine'!$C$2:$C$1960,0)))</f>
        <v/>
      </c>
      <c r="L1453" s="9">
        <f>IF(ISNA(MATCH(1444,'Transfer Engine'!$C$2:$C$1960,0)),"",INDEX('Compliance Database'!$L$2:$L$1960,MATCH(1444,'Transfer Engine'!$C$2:$C$1960,0)))</f>
        <v/>
      </c>
      <c r="M1453" s="9">
        <f>IF(ISNA(MATCH(1444,'Transfer Engine'!$C$2:$C$1960,0)),"",INDEX('Compliance Database'!$M$2:$M$1960,MATCH(1444,'Transfer Engine'!$C$2:$C$1960,0)))</f>
        <v/>
      </c>
      <c r="N1453" s="9">
        <f>IF(ISNA(MATCH(1444,'Transfer Engine'!$C$2:$C$1960,0)),"",INDEX('Compliance Database'!$N$2:$N$1960,MATCH(1444,'Transfer Engine'!$C$2:$C$1960,0)))</f>
        <v/>
      </c>
      <c r="O1453" s="9">
        <f>IF(ISNA(MATCH(1444,'Transfer Engine'!$C$2:$C$1960,0)),"",INDEX('Compliance Database'!$O$2:$O$1960,MATCH(1444,'Transfer Engine'!$C$2:$C$1960,0)))</f>
        <v/>
      </c>
      <c r="P1453" s="8">
        <f>IF(ISNA(MATCH(1444,'Transfer Engine'!$C$2:$C$1960,0)),"",HYPERLINK("#Acts!A"&amp;INDEX('Compliance Database'!$P$2:$P$1960,MATCH(1444,'Transfer Engine'!$C$2:$C$1960,0)),"Go to Act"))</f>
        <v/>
      </c>
    </row>
    <row r="1454" ht="158" customHeight="1">
      <c r="A1454" s="8">
        <f>IF(ISNA(MATCH(1445,'Transfer Engine'!$C$2:$C$1960,0)),"",INDEX('Compliance Database'!$A$2:$A$1960,MATCH(1445,'Transfer Engine'!$C$2:$C$1960,0)))</f>
        <v/>
      </c>
      <c r="B1454" s="8">
        <f>IF(ISNA(MATCH(1445,'Transfer Engine'!$C$2:$C$1960,0)),"",INDEX('Compliance Database'!$B$2:$B$1960,MATCH(1445,'Transfer Engine'!$C$2:$C$1960,0)))</f>
        <v/>
      </c>
      <c r="C1454" s="8">
        <f>IF(ISNA(MATCH(1445,'Transfer Engine'!$C$2:$C$1960,0)),"",INDEX('Compliance Database'!$C$2:$C$1960,MATCH(1445,'Transfer Engine'!$C$2:$C$1960,0)))</f>
        <v/>
      </c>
      <c r="D1454" s="9">
        <f>IF(ISNA(MATCH(1445,'Transfer Engine'!$C$2:$C$1960,0)),"",INDEX('Compliance Database'!$D$2:$D$1960,MATCH(1445,'Transfer Engine'!$C$2:$C$1960,0)))</f>
        <v/>
      </c>
      <c r="E1454" s="8">
        <f>IF(ISNA(MATCH(1445,'Transfer Engine'!$C$2:$C$1960,0)),"",INDEX('Compliance Database'!$E$2:$E$1960,MATCH(1445,'Transfer Engine'!$C$2:$C$1960,0)))</f>
        <v/>
      </c>
      <c r="F1454" s="8">
        <f>IF(ISNA(MATCH(1445,'Transfer Engine'!$C$2:$C$1960,0)),"",INDEX('Compliance Database'!$F$2:$F$1960,MATCH(1445,'Transfer Engine'!$C$2:$C$1960,0)))</f>
        <v/>
      </c>
      <c r="G1454" s="8">
        <f>IF(ISNA(MATCH(1445,'Transfer Engine'!$C$2:$C$1960,0)),"",INDEX('Compliance Database'!$G$2:$G$1960,MATCH(1445,'Transfer Engine'!$C$2:$C$1960,0)))</f>
        <v/>
      </c>
      <c r="H1454" s="9">
        <f>IF(ISNA(MATCH(1445,'Transfer Engine'!$C$2:$C$1960,0)),"",INDEX('Compliance Database'!$H$2:$H$1960,MATCH(1445,'Transfer Engine'!$C$2:$C$1960,0)))</f>
        <v/>
      </c>
      <c r="I1454" s="9">
        <f>IF(ISNA(MATCH(1445,'Transfer Engine'!$C$2:$C$1960,0)),"",INDEX('Compliance Database'!$I$2:$I$1960,MATCH(1445,'Transfer Engine'!$C$2:$C$1960,0)))</f>
        <v/>
      </c>
      <c r="J1454" s="8">
        <f>IF(ISNA(MATCH(1445,'Transfer Engine'!$C$2:$C$1960,0)),"",INDEX('Compliance Database'!$J$2:$J$1960,MATCH(1445,'Transfer Engine'!$C$2:$C$1960,0)))</f>
        <v/>
      </c>
      <c r="K1454" s="9">
        <f>IF(ISNA(MATCH(1445,'Transfer Engine'!$C$2:$C$1960,0)),"",INDEX('Compliance Database'!$K$2:$K$1960,MATCH(1445,'Transfer Engine'!$C$2:$C$1960,0)))</f>
        <v/>
      </c>
      <c r="L1454" s="9">
        <f>IF(ISNA(MATCH(1445,'Transfer Engine'!$C$2:$C$1960,0)),"",INDEX('Compliance Database'!$L$2:$L$1960,MATCH(1445,'Transfer Engine'!$C$2:$C$1960,0)))</f>
        <v/>
      </c>
      <c r="M1454" s="9">
        <f>IF(ISNA(MATCH(1445,'Transfer Engine'!$C$2:$C$1960,0)),"",INDEX('Compliance Database'!$M$2:$M$1960,MATCH(1445,'Transfer Engine'!$C$2:$C$1960,0)))</f>
        <v/>
      </c>
      <c r="N1454" s="9">
        <f>IF(ISNA(MATCH(1445,'Transfer Engine'!$C$2:$C$1960,0)),"",INDEX('Compliance Database'!$N$2:$N$1960,MATCH(1445,'Transfer Engine'!$C$2:$C$1960,0)))</f>
        <v/>
      </c>
      <c r="O1454" s="9">
        <f>IF(ISNA(MATCH(1445,'Transfer Engine'!$C$2:$C$1960,0)),"",INDEX('Compliance Database'!$O$2:$O$1960,MATCH(1445,'Transfer Engine'!$C$2:$C$1960,0)))</f>
        <v/>
      </c>
      <c r="P1454" s="8">
        <f>IF(ISNA(MATCH(1445,'Transfer Engine'!$C$2:$C$1960,0)),"",HYPERLINK("#Acts!A"&amp;INDEX('Compliance Database'!$P$2:$P$1960,MATCH(1445,'Transfer Engine'!$C$2:$C$1960,0)),"Go to Act"))</f>
        <v/>
      </c>
    </row>
    <row r="1455" ht="158" customHeight="1">
      <c r="A1455" s="8">
        <f>IF(ISNA(MATCH(1446,'Transfer Engine'!$C$2:$C$1960,0)),"",INDEX('Compliance Database'!$A$2:$A$1960,MATCH(1446,'Transfer Engine'!$C$2:$C$1960,0)))</f>
        <v/>
      </c>
      <c r="B1455" s="8">
        <f>IF(ISNA(MATCH(1446,'Transfer Engine'!$C$2:$C$1960,0)),"",INDEX('Compliance Database'!$B$2:$B$1960,MATCH(1446,'Transfer Engine'!$C$2:$C$1960,0)))</f>
        <v/>
      </c>
      <c r="C1455" s="8">
        <f>IF(ISNA(MATCH(1446,'Transfer Engine'!$C$2:$C$1960,0)),"",INDEX('Compliance Database'!$C$2:$C$1960,MATCH(1446,'Transfer Engine'!$C$2:$C$1960,0)))</f>
        <v/>
      </c>
      <c r="D1455" s="9">
        <f>IF(ISNA(MATCH(1446,'Transfer Engine'!$C$2:$C$1960,0)),"",INDEX('Compliance Database'!$D$2:$D$1960,MATCH(1446,'Transfer Engine'!$C$2:$C$1960,0)))</f>
        <v/>
      </c>
      <c r="E1455" s="8">
        <f>IF(ISNA(MATCH(1446,'Transfer Engine'!$C$2:$C$1960,0)),"",INDEX('Compliance Database'!$E$2:$E$1960,MATCH(1446,'Transfer Engine'!$C$2:$C$1960,0)))</f>
        <v/>
      </c>
      <c r="F1455" s="8">
        <f>IF(ISNA(MATCH(1446,'Transfer Engine'!$C$2:$C$1960,0)),"",INDEX('Compliance Database'!$F$2:$F$1960,MATCH(1446,'Transfer Engine'!$C$2:$C$1960,0)))</f>
        <v/>
      </c>
      <c r="G1455" s="8">
        <f>IF(ISNA(MATCH(1446,'Transfer Engine'!$C$2:$C$1960,0)),"",INDEX('Compliance Database'!$G$2:$G$1960,MATCH(1446,'Transfer Engine'!$C$2:$C$1960,0)))</f>
        <v/>
      </c>
      <c r="H1455" s="9">
        <f>IF(ISNA(MATCH(1446,'Transfer Engine'!$C$2:$C$1960,0)),"",INDEX('Compliance Database'!$H$2:$H$1960,MATCH(1446,'Transfer Engine'!$C$2:$C$1960,0)))</f>
        <v/>
      </c>
      <c r="I1455" s="9">
        <f>IF(ISNA(MATCH(1446,'Transfer Engine'!$C$2:$C$1960,0)),"",INDEX('Compliance Database'!$I$2:$I$1960,MATCH(1446,'Transfer Engine'!$C$2:$C$1960,0)))</f>
        <v/>
      </c>
      <c r="J1455" s="8">
        <f>IF(ISNA(MATCH(1446,'Transfer Engine'!$C$2:$C$1960,0)),"",INDEX('Compliance Database'!$J$2:$J$1960,MATCH(1446,'Transfer Engine'!$C$2:$C$1960,0)))</f>
        <v/>
      </c>
      <c r="K1455" s="9">
        <f>IF(ISNA(MATCH(1446,'Transfer Engine'!$C$2:$C$1960,0)),"",INDEX('Compliance Database'!$K$2:$K$1960,MATCH(1446,'Transfer Engine'!$C$2:$C$1960,0)))</f>
        <v/>
      </c>
      <c r="L1455" s="9">
        <f>IF(ISNA(MATCH(1446,'Transfer Engine'!$C$2:$C$1960,0)),"",INDEX('Compliance Database'!$L$2:$L$1960,MATCH(1446,'Transfer Engine'!$C$2:$C$1960,0)))</f>
        <v/>
      </c>
      <c r="M1455" s="9">
        <f>IF(ISNA(MATCH(1446,'Transfer Engine'!$C$2:$C$1960,0)),"",INDEX('Compliance Database'!$M$2:$M$1960,MATCH(1446,'Transfer Engine'!$C$2:$C$1960,0)))</f>
        <v/>
      </c>
      <c r="N1455" s="9">
        <f>IF(ISNA(MATCH(1446,'Transfer Engine'!$C$2:$C$1960,0)),"",INDEX('Compliance Database'!$N$2:$N$1960,MATCH(1446,'Transfer Engine'!$C$2:$C$1960,0)))</f>
        <v/>
      </c>
      <c r="O1455" s="9">
        <f>IF(ISNA(MATCH(1446,'Transfer Engine'!$C$2:$C$1960,0)),"",INDEX('Compliance Database'!$O$2:$O$1960,MATCH(1446,'Transfer Engine'!$C$2:$C$1960,0)))</f>
        <v/>
      </c>
      <c r="P1455" s="8">
        <f>IF(ISNA(MATCH(1446,'Transfer Engine'!$C$2:$C$1960,0)),"",HYPERLINK("#Acts!A"&amp;INDEX('Compliance Database'!$P$2:$P$1960,MATCH(1446,'Transfer Engine'!$C$2:$C$1960,0)),"Go to Act"))</f>
        <v/>
      </c>
    </row>
    <row r="1456" ht="158" customHeight="1">
      <c r="A1456" s="8">
        <f>IF(ISNA(MATCH(1447,'Transfer Engine'!$C$2:$C$1960,0)),"",INDEX('Compliance Database'!$A$2:$A$1960,MATCH(1447,'Transfer Engine'!$C$2:$C$1960,0)))</f>
        <v/>
      </c>
      <c r="B1456" s="8">
        <f>IF(ISNA(MATCH(1447,'Transfer Engine'!$C$2:$C$1960,0)),"",INDEX('Compliance Database'!$B$2:$B$1960,MATCH(1447,'Transfer Engine'!$C$2:$C$1960,0)))</f>
        <v/>
      </c>
      <c r="C1456" s="8">
        <f>IF(ISNA(MATCH(1447,'Transfer Engine'!$C$2:$C$1960,0)),"",INDEX('Compliance Database'!$C$2:$C$1960,MATCH(1447,'Transfer Engine'!$C$2:$C$1960,0)))</f>
        <v/>
      </c>
      <c r="D1456" s="9">
        <f>IF(ISNA(MATCH(1447,'Transfer Engine'!$C$2:$C$1960,0)),"",INDEX('Compliance Database'!$D$2:$D$1960,MATCH(1447,'Transfer Engine'!$C$2:$C$1960,0)))</f>
        <v/>
      </c>
      <c r="E1456" s="8">
        <f>IF(ISNA(MATCH(1447,'Transfer Engine'!$C$2:$C$1960,0)),"",INDEX('Compliance Database'!$E$2:$E$1960,MATCH(1447,'Transfer Engine'!$C$2:$C$1960,0)))</f>
        <v/>
      </c>
      <c r="F1456" s="8">
        <f>IF(ISNA(MATCH(1447,'Transfer Engine'!$C$2:$C$1960,0)),"",INDEX('Compliance Database'!$F$2:$F$1960,MATCH(1447,'Transfer Engine'!$C$2:$C$1960,0)))</f>
        <v/>
      </c>
      <c r="G1456" s="8">
        <f>IF(ISNA(MATCH(1447,'Transfer Engine'!$C$2:$C$1960,0)),"",INDEX('Compliance Database'!$G$2:$G$1960,MATCH(1447,'Transfer Engine'!$C$2:$C$1960,0)))</f>
        <v/>
      </c>
      <c r="H1456" s="9">
        <f>IF(ISNA(MATCH(1447,'Transfer Engine'!$C$2:$C$1960,0)),"",INDEX('Compliance Database'!$H$2:$H$1960,MATCH(1447,'Transfer Engine'!$C$2:$C$1960,0)))</f>
        <v/>
      </c>
      <c r="I1456" s="9">
        <f>IF(ISNA(MATCH(1447,'Transfer Engine'!$C$2:$C$1960,0)),"",INDEX('Compliance Database'!$I$2:$I$1960,MATCH(1447,'Transfer Engine'!$C$2:$C$1960,0)))</f>
        <v/>
      </c>
      <c r="J1456" s="8">
        <f>IF(ISNA(MATCH(1447,'Transfer Engine'!$C$2:$C$1960,0)),"",INDEX('Compliance Database'!$J$2:$J$1960,MATCH(1447,'Transfer Engine'!$C$2:$C$1960,0)))</f>
        <v/>
      </c>
      <c r="K1456" s="9">
        <f>IF(ISNA(MATCH(1447,'Transfer Engine'!$C$2:$C$1960,0)),"",INDEX('Compliance Database'!$K$2:$K$1960,MATCH(1447,'Transfer Engine'!$C$2:$C$1960,0)))</f>
        <v/>
      </c>
      <c r="L1456" s="9">
        <f>IF(ISNA(MATCH(1447,'Transfer Engine'!$C$2:$C$1960,0)),"",INDEX('Compliance Database'!$L$2:$L$1960,MATCH(1447,'Transfer Engine'!$C$2:$C$1960,0)))</f>
        <v/>
      </c>
      <c r="M1456" s="9">
        <f>IF(ISNA(MATCH(1447,'Transfer Engine'!$C$2:$C$1960,0)),"",INDEX('Compliance Database'!$M$2:$M$1960,MATCH(1447,'Transfer Engine'!$C$2:$C$1960,0)))</f>
        <v/>
      </c>
      <c r="N1456" s="9">
        <f>IF(ISNA(MATCH(1447,'Transfer Engine'!$C$2:$C$1960,0)),"",INDEX('Compliance Database'!$N$2:$N$1960,MATCH(1447,'Transfer Engine'!$C$2:$C$1960,0)))</f>
        <v/>
      </c>
      <c r="O1456" s="9">
        <f>IF(ISNA(MATCH(1447,'Transfer Engine'!$C$2:$C$1960,0)),"",INDEX('Compliance Database'!$O$2:$O$1960,MATCH(1447,'Transfer Engine'!$C$2:$C$1960,0)))</f>
        <v/>
      </c>
      <c r="P1456" s="8">
        <f>IF(ISNA(MATCH(1447,'Transfer Engine'!$C$2:$C$1960,0)),"",HYPERLINK("#Acts!A"&amp;INDEX('Compliance Database'!$P$2:$P$1960,MATCH(1447,'Transfer Engine'!$C$2:$C$1960,0)),"Go to Act"))</f>
        <v/>
      </c>
    </row>
    <row r="1457" ht="158" customHeight="1">
      <c r="A1457" s="8">
        <f>IF(ISNA(MATCH(1448,'Transfer Engine'!$C$2:$C$1960,0)),"",INDEX('Compliance Database'!$A$2:$A$1960,MATCH(1448,'Transfer Engine'!$C$2:$C$1960,0)))</f>
        <v/>
      </c>
      <c r="B1457" s="8">
        <f>IF(ISNA(MATCH(1448,'Transfer Engine'!$C$2:$C$1960,0)),"",INDEX('Compliance Database'!$B$2:$B$1960,MATCH(1448,'Transfer Engine'!$C$2:$C$1960,0)))</f>
        <v/>
      </c>
      <c r="C1457" s="8">
        <f>IF(ISNA(MATCH(1448,'Transfer Engine'!$C$2:$C$1960,0)),"",INDEX('Compliance Database'!$C$2:$C$1960,MATCH(1448,'Transfer Engine'!$C$2:$C$1960,0)))</f>
        <v/>
      </c>
      <c r="D1457" s="9">
        <f>IF(ISNA(MATCH(1448,'Transfer Engine'!$C$2:$C$1960,0)),"",INDEX('Compliance Database'!$D$2:$D$1960,MATCH(1448,'Transfer Engine'!$C$2:$C$1960,0)))</f>
        <v/>
      </c>
      <c r="E1457" s="8">
        <f>IF(ISNA(MATCH(1448,'Transfer Engine'!$C$2:$C$1960,0)),"",INDEX('Compliance Database'!$E$2:$E$1960,MATCH(1448,'Transfer Engine'!$C$2:$C$1960,0)))</f>
        <v/>
      </c>
      <c r="F1457" s="8">
        <f>IF(ISNA(MATCH(1448,'Transfer Engine'!$C$2:$C$1960,0)),"",INDEX('Compliance Database'!$F$2:$F$1960,MATCH(1448,'Transfer Engine'!$C$2:$C$1960,0)))</f>
        <v/>
      </c>
      <c r="G1457" s="8">
        <f>IF(ISNA(MATCH(1448,'Transfer Engine'!$C$2:$C$1960,0)),"",INDEX('Compliance Database'!$G$2:$G$1960,MATCH(1448,'Transfer Engine'!$C$2:$C$1960,0)))</f>
        <v/>
      </c>
      <c r="H1457" s="9">
        <f>IF(ISNA(MATCH(1448,'Transfer Engine'!$C$2:$C$1960,0)),"",INDEX('Compliance Database'!$H$2:$H$1960,MATCH(1448,'Transfer Engine'!$C$2:$C$1960,0)))</f>
        <v/>
      </c>
      <c r="I1457" s="9">
        <f>IF(ISNA(MATCH(1448,'Transfer Engine'!$C$2:$C$1960,0)),"",INDEX('Compliance Database'!$I$2:$I$1960,MATCH(1448,'Transfer Engine'!$C$2:$C$1960,0)))</f>
        <v/>
      </c>
      <c r="J1457" s="8">
        <f>IF(ISNA(MATCH(1448,'Transfer Engine'!$C$2:$C$1960,0)),"",INDEX('Compliance Database'!$J$2:$J$1960,MATCH(1448,'Transfer Engine'!$C$2:$C$1960,0)))</f>
        <v/>
      </c>
      <c r="K1457" s="9">
        <f>IF(ISNA(MATCH(1448,'Transfer Engine'!$C$2:$C$1960,0)),"",INDEX('Compliance Database'!$K$2:$K$1960,MATCH(1448,'Transfer Engine'!$C$2:$C$1960,0)))</f>
        <v/>
      </c>
      <c r="L1457" s="9">
        <f>IF(ISNA(MATCH(1448,'Transfer Engine'!$C$2:$C$1960,0)),"",INDEX('Compliance Database'!$L$2:$L$1960,MATCH(1448,'Transfer Engine'!$C$2:$C$1960,0)))</f>
        <v/>
      </c>
      <c r="M1457" s="9">
        <f>IF(ISNA(MATCH(1448,'Transfer Engine'!$C$2:$C$1960,0)),"",INDEX('Compliance Database'!$M$2:$M$1960,MATCH(1448,'Transfer Engine'!$C$2:$C$1960,0)))</f>
        <v/>
      </c>
      <c r="N1457" s="9">
        <f>IF(ISNA(MATCH(1448,'Transfer Engine'!$C$2:$C$1960,0)),"",INDEX('Compliance Database'!$N$2:$N$1960,MATCH(1448,'Transfer Engine'!$C$2:$C$1960,0)))</f>
        <v/>
      </c>
      <c r="O1457" s="9">
        <f>IF(ISNA(MATCH(1448,'Transfer Engine'!$C$2:$C$1960,0)),"",INDEX('Compliance Database'!$O$2:$O$1960,MATCH(1448,'Transfer Engine'!$C$2:$C$1960,0)))</f>
        <v/>
      </c>
      <c r="P1457" s="8">
        <f>IF(ISNA(MATCH(1448,'Transfer Engine'!$C$2:$C$1960,0)),"",HYPERLINK("#Acts!A"&amp;INDEX('Compliance Database'!$P$2:$P$1960,MATCH(1448,'Transfer Engine'!$C$2:$C$1960,0)),"Go to Act"))</f>
        <v/>
      </c>
    </row>
    <row r="1458" ht="158" customHeight="1">
      <c r="A1458" s="8">
        <f>IF(ISNA(MATCH(1449,'Transfer Engine'!$C$2:$C$1960,0)),"",INDEX('Compliance Database'!$A$2:$A$1960,MATCH(1449,'Transfer Engine'!$C$2:$C$1960,0)))</f>
        <v/>
      </c>
      <c r="B1458" s="8">
        <f>IF(ISNA(MATCH(1449,'Transfer Engine'!$C$2:$C$1960,0)),"",INDEX('Compliance Database'!$B$2:$B$1960,MATCH(1449,'Transfer Engine'!$C$2:$C$1960,0)))</f>
        <v/>
      </c>
      <c r="C1458" s="8">
        <f>IF(ISNA(MATCH(1449,'Transfer Engine'!$C$2:$C$1960,0)),"",INDEX('Compliance Database'!$C$2:$C$1960,MATCH(1449,'Transfer Engine'!$C$2:$C$1960,0)))</f>
        <v/>
      </c>
      <c r="D1458" s="9">
        <f>IF(ISNA(MATCH(1449,'Transfer Engine'!$C$2:$C$1960,0)),"",INDEX('Compliance Database'!$D$2:$D$1960,MATCH(1449,'Transfer Engine'!$C$2:$C$1960,0)))</f>
        <v/>
      </c>
      <c r="E1458" s="8">
        <f>IF(ISNA(MATCH(1449,'Transfer Engine'!$C$2:$C$1960,0)),"",INDEX('Compliance Database'!$E$2:$E$1960,MATCH(1449,'Transfer Engine'!$C$2:$C$1960,0)))</f>
        <v/>
      </c>
      <c r="F1458" s="8">
        <f>IF(ISNA(MATCH(1449,'Transfer Engine'!$C$2:$C$1960,0)),"",INDEX('Compliance Database'!$F$2:$F$1960,MATCH(1449,'Transfer Engine'!$C$2:$C$1960,0)))</f>
        <v/>
      </c>
      <c r="G1458" s="8">
        <f>IF(ISNA(MATCH(1449,'Transfer Engine'!$C$2:$C$1960,0)),"",INDEX('Compliance Database'!$G$2:$G$1960,MATCH(1449,'Transfer Engine'!$C$2:$C$1960,0)))</f>
        <v/>
      </c>
      <c r="H1458" s="9">
        <f>IF(ISNA(MATCH(1449,'Transfer Engine'!$C$2:$C$1960,0)),"",INDEX('Compliance Database'!$H$2:$H$1960,MATCH(1449,'Transfer Engine'!$C$2:$C$1960,0)))</f>
        <v/>
      </c>
      <c r="I1458" s="9">
        <f>IF(ISNA(MATCH(1449,'Transfer Engine'!$C$2:$C$1960,0)),"",INDEX('Compliance Database'!$I$2:$I$1960,MATCH(1449,'Transfer Engine'!$C$2:$C$1960,0)))</f>
        <v/>
      </c>
      <c r="J1458" s="8">
        <f>IF(ISNA(MATCH(1449,'Transfer Engine'!$C$2:$C$1960,0)),"",INDEX('Compliance Database'!$J$2:$J$1960,MATCH(1449,'Transfer Engine'!$C$2:$C$1960,0)))</f>
        <v/>
      </c>
      <c r="K1458" s="9">
        <f>IF(ISNA(MATCH(1449,'Transfer Engine'!$C$2:$C$1960,0)),"",INDEX('Compliance Database'!$K$2:$K$1960,MATCH(1449,'Transfer Engine'!$C$2:$C$1960,0)))</f>
        <v/>
      </c>
      <c r="L1458" s="9">
        <f>IF(ISNA(MATCH(1449,'Transfer Engine'!$C$2:$C$1960,0)),"",INDEX('Compliance Database'!$L$2:$L$1960,MATCH(1449,'Transfer Engine'!$C$2:$C$1960,0)))</f>
        <v/>
      </c>
      <c r="M1458" s="9">
        <f>IF(ISNA(MATCH(1449,'Transfer Engine'!$C$2:$C$1960,0)),"",INDEX('Compliance Database'!$M$2:$M$1960,MATCH(1449,'Transfer Engine'!$C$2:$C$1960,0)))</f>
        <v/>
      </c>
      <c r="N1458" s="9">
        <f>IF(ISNA(MATCH(1449,'Transfer Engine'!$C$2:$C$1960,0)),"",INDEX('Compliance Database'!$N$2:$N$1960,MATCH(1449,'Transfer Engine'!$C$2:$C$1960,0)))</f>
        <v/>
      </c>
      <c r="O1458" s="9">
        <f>IF(ISNA(MATCH(1449,'Transfer Engine'!$C$2:$C$1960,0)),"",INDEX('Compliance Database'!$O$2:$O$1960,MATCH(1449,'Transfer Engine'!$C$2:$C$1960,0)))</f>
        <v/>
      </c>
      <c r="P1458" s="8">
        <f>IF(ISNA(MATCH(1449,'Transfer Engine'!$C$2:$C$1960,0)),"",HYPERLINK("#Acts!A"&amp;INDEX('Compliance Database'!$P$2:$P$1960,MATCH(1449,'Transfer Engine'!$C$2:$C$1960,0)),"Go to Act"))</f>
        <v/>
      </c>
    </row>
    <row r="1459" ht="158" customHeight="1">
      <c r="A1459" s="8">
        <f>IF(ISNA(MATCH(1450,'Transfer Engine'!$C$2:$C$1960,0)),"",INDEX('Compliance Database'!$A$2:$A$1960,MATCH(1450,'Transfer Engine'!$C$2:$C$1960,0)))</f>
        <v/>
      </c>
      <c r="B1459" s="8">
        <f>IF(ISNA(MATCH(1450,'Transfer Engine'!$C$2:$C$1960,0)),"",INDEX('Compliance Database'!$B$2:$B$1960,MATCH(1450,'Transfer Engine'!$C$2:$C$1960,0)))</f>
        <v/>
      </c>
      <c r="C1459" s="8">
        <f>IF(ISNA(MATCH(1450,'Transfer Engine'!$C$2:$C$1960,0)),"",INDEX('Compliance Database'!$C$2:$C$1960,MATCH(1450,'Transfer Engine'!$C$2:$C$1960,0)))</f>
        <v/>
      </c>
      <c r="D1459" s="9">
        <f>IF(ISNA(MATCH(1450,'Transfer Engine'!$C$2:$C$1960,0)),"",INDEX('Compliance Database'!$D$2:$D$1960,MATCH(1450,'Transfer Engine'!$C$2:$C$1960,0)))</f>
        <v/>
      </c>
      <c r="E1459" s="8">
        <f>IF(ISNA(MATCH(1450,'Transfer Engine'!$C$2:$C$1960,0)),"",INDEX('Compliance Database'!$E$2:$E$1960,MATCH(1450,'Transfer Engine'!$C$2:$C$1960,0)))</f>
        <v/>
      </c>
      <c r="F1459" s="8">
        <f>IF(ISNA(MATCH(1450,'Transfer Engine'!$C$2:$C$1960,0)),"",INDEX('Compliance Database'!$F$2:$F$1960,MATCH(1450,'Transfer Engine'!$C$2:$C$1960,0)))</f>
        <v/>
      </c>
      <c r="G1459" s="8">
        <f>IF(ISNA(MATCH(1450,'Transfer Engine'!$C$2:$C$1960,0)),"",INDEX('Compliance Database'!$G$2:$G$1960,MATCH(1450,'Transfer Engine'!$C$2:$C$1960,0)))</f>
        <v/>
      </c>
      <c r="H1459" s="9">
        <f>IF(ISNA(MATCH(1450,'Transfer Engine'!$C$2:$C$1960,0)),"",INDEX('Compliance Database'!$H$2:$H$1960,MATCH(1450,'Transfer Engine'!$C$2:$C$1960,0)))</f>
        <v/>
      </c>
      <c r="I1459" s="9">
        <f>IF(ISNA(MATCH(1450,'Transfer Engine'!$C$2:$C$1960,0)),"",INDEX('Compliance Database'!$I$2:$I$1960,MATCH(1450,'Transfer Engine'!$C$2:$C$1960,0)))</f>
        <v/>
      </c>
      <c r="J1459" s="8">
        <f>IF(ISNA(MATCH(1450,'Transfer Engine'!$C$2:$C$1960,0)),"",INDEX('Compliance Database'!$J$2:$J$1960,MATCH(1450,'Transfer Engine'!$C$2:$C$1960,0)))</f>
        <v/>
      </c>
      <c r="K1459" s="9">
        <f>IF(ISNA(MATCH(1450,'Transfer Engine'!$C$2:$C$1960,0)),"",INDEX('Compliance Database'!$K$2:$K$1960,MATCH(1450,'Transfer Engine'!$C$2:$C$1960,0)))</f>
        <v/>
      </c>
      <c r="L1459" s="9">
        <f>IF(ISNA(MATCH(1450,'Transfer Engine'!$C$2:$C$1960,0)),"",INDEX('Compliance Database'!$L$2:$L$1960,MATCH(1450,'Transfer Engine'!$C$2:$C$1960,0)))</f>
        <v/>
      </c>
      <c r="M1459" s="9">
        <f>IF(ISNA(MATCH(1450,'Transfer Engine'!$C$2:$C$1960,0)),"",INDEX('Compliance Database'!$M$2:$M$1960,MATCH(1450,'Transfer Engine'!$C$2:$C$1960,0)))</f>
        <v/>
      </c>
      <c r="N1459" s="9">
        <f>IF(ISNA(MATCH(1450,'Transfer Engine'!$C$2:$C$1960,0)),"",INDEX('Compliance Database'!$N$2:$N$1960,MATCH(1450,'Transfer Engine'!$C$2:$C$1960,0)))</f>
        <v/>
      </c>
      <c r="O1459" s="9">
        <f>IF(ISNA(MATCH(1450,'Transfer Engine'!$C$2:$C$1960,0)),"",INDEX('Compliance Database'!$O$2:$O$1960,MATCH(1450,'Transfer Engine'!$C$2:$C$1960,0)))</f>
        <v/>
      </c>
      <c r="P1459" s="8">
        <f>IF(ISNA(MATCH(1450,'Transfer Engine'!$C$2:$C$1960,0)),"",HYPERLINK("#Acts!A"&amp;INDEX('Compliance Database'!$P$2:$P$1960,MATCH(1450,'Transfer Engine'!$C$2:$C$1960,0)),"Go to Act"))</f>
        <v/>
      </c>
    </row>
    <row r="1460" ht="158" customHeight="1">
      <c r="A1460" s="8">
        <f>IF(ISNA(MATCH(1451,'Transfer Engine'!$C$2:$C$1960,0)),"",INDEX('Compliance Database'!$A$2:$A$1960,MATCH(1451,'Transfer Engine'!$C$2:$C$1960,0)))</f>
        <v/>
      </c>
      <c r="B1460" s="8">
        <f>IF(ISNA(MATCH(1451,'Transfer Engine'!$C$2:$C$1960,0)),"",INDEX('Compliance Database'!$B$2:$B$1960,MATCH(1451,'Transfer Engine'!$C$2:$C$1960,0)))</f>
        <v/>
      </c>
      <c r="C1460" s="8">
        <f>IF(ISNA(MATCH(1451,'Transfer Engine'!$C$2:$C$1960,0)),"",INDEX('Compliance Database'!$C$2:$C$1960,MATCH(1451,'Transfer Engine'!$C$2:$C$1960,0)))</f>
        <v/>
      </c>
      <c r="D1460" s="9">
        <f>IF(ISNA(MATCH(1451,'Transfer Engine'!$C$2:$C$1960,0)),"",INDEX('Compliance Database'!$D$2:$D$1960,MATCH(1451,'Transfer Engine'!$C$2:$C$1960,0)))</f>
        <v/>
      </c>
      <c r="E1460" s="8">
        <f>IF(ISNA(MATCH(1451,'Transfer Engine'!$C$2:$C$1960,0)),"",INDEX('Compliance Database'!$E$2:$E$1960,MATCH(1451,'Transfer Engine'!$C$2:$C$1960,0)))</f>
        <v/>
      </c>
      <c r="F1460" s="8">
        <f>IF(ISNA(MATCH(1451,'Transfer Engine'!$C$2:$C$1960,0)),"",INDEX('Compliance Database'!$F$2:$F$1960,MATCH(1451,'Transfer Engine'!$C$2:$C$1960,0)))</f>
        <v/>
      </c>
      <c r="G1460" s="8">
        <f>IF(ISNA(MATCH(1451,'Transfer Engine'!$C$2:$C$1960,0)),"",INDEX('Compliance Database'!$G$2:$G$1960,MATCH(1451,'Transfer Engine'!$C$2:$C$1960,0)))</f>
        <v/>
      </c>
      <c r="H1460" s="9">
        <f>IF(ISNA(MATCH(1451,'Transfer Engine'!$C$2:$C$1960,0)),"",INDEX('Compliance Database'!$H$2:$H$1960,MATCH(1451,'Transfer Engine'!$C$2:$C$1960,0)))</f>
        <v/>
      </c>
      <c r="I1460" s="9">
        <f>IF(ISNA(MATCH(1451,'Transfer Engine'!$C$2:$C$1960,0)),"",INDEX('Compliance Database'!$I$2:$I$1960,MATCH(1451,'Transfer Engine'!$C$2:$C$1960,0)))</f>
        <v/>
      </c>
      <c r="J1460" s="8">
        <f>IF(ISNA(MATCH(1451,'Transfer Engine'!$C$2:$C$1960,0)),"",INDEX('Compliance Database'!$J$2:$J$1960,MATCH(1451,'Transfer Engine'!$C$2:$C$1960,0)))</f>
        <v/>
      </c>
      <c r="K1460" s="9">
        <f>IF(ISNA(MATCH(1451,'Transfer Engine'!$C$2:$C$1960,0)),"",INDEX('Compliance Database'!$K$2:$K$1960,MATCH(1451,'Transfer Engine'!$C$2:$C$1960,0)))</f>
        <v/>
      </c>
      <c r="L1460" s="9">
        <f>IF(ISNA(MATCH(1451,'Transfer Engine'!$C$2:$C$1960,0)),"",INDEX('Compliance Database'!$L$2:$L$1960,MATCH(1451,'Transfer Engine'!$C$2:$C$1960,0)))</f>
        <v/>
      </c>
      <c r="M1460" s="9">
        <f>IF(ISNA(MATCH(1451,'Transfer Engine'!$C$2:$C$1960,0)),"",INDEX('Compliance Database'!$M$2:$M$1960,MATCH(1451,'Transfer Engine'!$C$2:$C$1960,0)))</f>
        <v/>
      </c>
      <c r="N1460" s="9">
        <f>IF(ISNA(MATCH(1451,'Transfer Engine'!$C$2:$C$1960,0)),"",INDEX('Compliance Database'!$N$2:$N$1960,MATCH(1451,'Transfer Engine'!$C$2:$C$1960,0)))</f>
        <v/>
      </c>
      <c r="O1460" s="9">
        <f>IF(ISNA(MATCH(1451,'Transfer Engine'!$C$2:$C$1960,0)),"",INDEX('Compliance Database'!$O$2:$O$1960,MATCH(1451,'Transfer Engine'!$C$2:$C$1960,0)))</f>
        <v/>
      </c>
      <c r="P1460" s="8">
        <f>IF(ISNA(MATCH(1451,'Transfer Engine'!$C$2:$C$1960,0)),"",HYPERLINK("#Acts!A"&amp;INDEX('Compliance Database'!$P$2:$P$1960,MATCH(1451,'Transfer Engine'!$C$2:$C$1960,0)),"Go to Act"))</f>
        <v/>
      </c>
    </row>
    <row r="1461" ht="158" customHeight="1">
      <c r="A1461" s="8">
        <f>IF(ISNA(MATCH(1452,'Transfer Engine'!$C$2:$C$1960,0)),"",INDEX('Compliance Database'!$A$2:$A$1960,MATCH(1452,'Transfer Engine'!$C$2:$C$1960,0)))</f>
        <v/>
      </c>
      <c r="B1461" s="8">
        <f>IF(ISNA(MATCH(1452,'Transfer Engine'!$C$2:$C$1960,0)),"",INDEX('Compliance Database'!$B$2:$B$1960,MATCH(1452,'Transfer Engine'!$C$2:$C$1960,0)))</f>
        <v/>
      </c>
      <c r="C1461" s="8">
        <f>IF(ISNA(MATCH(1452,'Transfer Engine'!$C$2:$C$1960,0)),"",INDEX('Compliance Database'!$C$2:$C$1960,MATCH(1452,'Transfer Engine'!$C$2:$C$1960,0)))</f>
        <v/>
      </c>
      <c r="D1461" s="9">
        <f>IF(ISNA(MATCH(1452,'Transfer Engine'!$C$2:$C$1960,0)),"",INDEX('Compliance Database'!$D$2:$D$1960,MATCH(1452,'Transfer Engine'!$C$2:$C$1960,0)))</f>
        <v/>
      </c>
      <c r="E1461" s="8">
        <f>IF(ISNA(MATCH(1452,'Transfer Engine'!$C$2:$C$1960,0)),"",INDEX('Compliance Database'!$E$2:$E$1960,MATCH(1452,'Transfer Engine'!$C$2:$C$1960,0)))</f>
        <v/>
      </c>
      <c r="F1461" s="8">
        <f>IF(ISNA(MATCH(1452,'Transfer Engine'!$C$2:$C$1960,0)),"",INDEX('Compliance Database'!$F$2:$F$1960,MATCH(1452,'Transfer Engine'!$C$2:$C$1960,0)))</f>
        <v/>
      </c>
      <c r="G1461" s="8">
        <f>IF(ISNA(MATCH(1452,'Transfer Engine'!$C$2:$C$1960,0)),"",INDEX('Compliance Database'!$G$2:$G$1960,MATCH(1452,'Transfer Engine'!$C$2:$C$1960,0)))</f>
        <v/>
      </c>
      <c r="H1461" s="9">
        <f>IF(ISNA(MATCH(1452,'Transfer Engine'!$C$2:$C$1960,0)),"",INDEX('Compliance Database'!$H$2:$H$1960,MATCH(1452,'Transfer Engine'!$C$2:$C$1960,0)))</f>
        <v/>
      </c>
      <c r="I1461" s="9">
        <f>IF(ISNA(MATCH(1452,'Transfer Engine'!$C$2:$C$1960,0)),"",INDEX('Compliance Database'!$I$2:$I$1960,MATCH(1452,'Transfer Engine'!$C$2:$C$1960,0)))</f>
        <v/>
      </c>
      <c r="J1461" s="8">
        <f>IF(ISNA(MATCH(1452,'Transfer Engine'!$C$2:$C$1960,0)),"",INDEX('Compliance Database'!$J$2:$J$1960,MATCH(1452,'Transfer Engine'!$C$2:$C$1960,0)))</f>
        <v/>
      </c>
      <c r="K1461" s="9">
        <f>IF(ISNA(MATCH(1452,'Transfer Engine'!$C$2:$C$1960,0)),"",INDEX('Compliance Database'!$K$2:$K$1960,MATCH(1452,'Transfer Engine'!$C$2:$C$1960,0)))</f>
        <v/>
      </c>
      <c r="L1461" s="9">
        <f>IF(ISNA(MATCH(1452,'Transfer Engine'!$C$2:$C$1960,0)),"",INDEX('Compliance Database'!$L$2:$L$1960,MATCH(1452,'Transfer Engine'!$C$2:$C$1960,0)))</f>
        <v/>
      </c>
      <c r="M1461" s="9">
        <f>IF(ISNA(MATCH(1452,'Transfer Engine'!$C$2:$C$1960,0)),"",INDEX('Compliance Database'!$M$2:$M$1960,MATCH(1452,'Transfer Engine'!$C$2:$C$1960,0)))</f>
        <v/>
      </c>
      <c r="N1461" s="9">
        <f>IF(ISNA(MATCH(1452,'Transfer Engine'!$C$2:$C$1960,0)),"",INDEX('Compliance Database'!$N$2:$N$1960,MATCH(1452,'Transfer Engine'!$C$2:$C$1960,0)))</f>
        <v/>
      </c>
      <c r="O1461" s="9">
        <f>IF(ISNA(MATCH(1452,'Transfer Engine'!$C$2:$C$1960,0)),"",INDEX('Compliance Database'!$O$2:$O$1960,MATCH(1452,'Transfer Engine'!$C$2:$C$1960,0)))</f>
        <v/>
      </c>
      <c r="P1461" s="8">
        <f>IF(ISNA(MATCH(1452,'Transfer Engine'!$C$2:$C$1960,0)),"",HYPERLINK("#Acts!A"&amp;INDEX('Compliance Database'!$P$2:$P$1960,MATCH(1452,'Transfer Engine'!$C$2:$C$1960,0)),"Go to Act"))</f>
        <v/>
      </c>
    </row>
    <row r="1462" ht="158" customHeight="1">
      <c r="A1462" s="8">
        <f>IF(ISNA(MATCH(1453,'Transfer Engine'!$C$2:$C$1960,0)),"",INDEX('Compliance Database'!$A$2:$A$1960,MATCH(1453,'Transfer Engine'!$C$2:$C$1960,0)))</f>
        <v/>
      </c>
      <c r="B1462" s="8">
        <f>IF(ISNA(MATCH(1453,'Transfer Engine'!$C$2:$C$1960,0)),"",INDEX('Compliance Database'!$B$2:$B$1960,MATCH(1453,'Transfer Engine'!$C$2:$C$1960,0)))</f>
        <v/>
      </c>
      <c r="C1462" s="8">
        <f>IF(ISNA(MATCH(1453,'Transfer Engine'!$C$2:$C$1960,0)),"",INDEX('Compliance Database'!$C$2:$C$1960,MATCH(1453,'Transfer Engine'!$C$2:$C$1960,0)))</f>
        <v/>
      </c>
      <c r="D1462" s="9">
        <f>IF(ISNA(MATCH(1453,'Transfer Engine'!$C$2:$C$1960,0)),"",INDEX('Compliance Database'!$D$2:$D$1960,MATCH(1453,'Transfer Engine'!$C$2:$C$1960,0)))</f>
        <v/>
      </c>
      <c r="E1462" s="8">
        <f>IF(ISNA(MATCH(1453,'Transfer Engine'!$C$2:$C$1960,0)),"",INDEX('Compliance Database'!$E$2:$E$1960,MATCH(1453,'Transfer Engine'!$C$2:$C$1960,0)))</f>
        <v/>
      </c>
      <c r="F1462" s="8">
        <f>IF(ISNA(MATCH(1453,'Transfer Engine'!$C$2:$C$1960,0)),"",INDEX('Compliance Database'!$F$2:$F$1960,MATCH(1453,'Transfer Engine'!$C$2:$C$1960,0)))</f>
        <v/>
      </c>
      <c r="G1462" s="8">
        <f>IF(ISNA(MATCH(1453,'Transfer Engine'!$C$2:$C$1960,0)),"",INDEX('Compliance Database'!$G$2:$G$1960,MATCH(1453,'Transfer Engine'!$C$2:$C$1960,0)))</f>
        <v/>
      </c>
      <c r="H1462" s="9">
        <f>IF(ISNA(MATCH(1453,'Transfer Engine'!$C$2:$C$1960,0)),"",INDEX('Compliance Database'!$H$2:$H$1960,MATCH(1453,'Transfer Engine'!$C$2:$C$1960,0)))</f>
        <v/>
      </c>
      <c r="I1462" s="9">
        <f>IF(ISNA(MATCH(1453,'Transfer Engine'!$C$2:$C$1960,0)),"",INDEX('Compliance Database'!$I$2:$I$1960,MATCH(1453,'Transfer Engine'!$C$2:$C$1960,0)))</f>
        <v/>
      </c>
      <c r="J1462" s="8">
        <f>IF(ISNA(MATCH(1453,'Transfer Engine'!$C$2:$C$1960,0)),"",INDEX('Compliance Database'!$J$2:$J$1960,MATCH(1453,'Transfer Engine'!$C$2:$C$1960,0)))</f>
        <v/>
      </c>
      <c r="K1462" s="9">
        <f>IF(ISNA(MATCH(1453,'Transfer Engine'!$C$2:$C$1960,0)),"",INDEX('Compliance Database'!$K$2:$K$1960,MATCH(1453,'Transfer Engine'!$C$2:$C$1960,0)))</f>
        <v/>
      </c>
      <c r="L1462" s="9">
        <f>IF(ISNA(MATCH(1453,'Transfer Engine'!$C$2:$C$1960,0)),"",INDEX('Compliance Database'!$L$2:$L$1960,MATCH(1453,'Transfer Engine'!$C$2:$C$1960,0)))</f>
        <v/>
      </c>
      <c r="M1462" s="9">
        <f>IF(ISNA(MATCH(1453,'Transfer Engine'!$C$2:$C$1960,0)),"",INDEX('Compliance Database'!$M$2:$M$1960,MATCH(1453,'Transfer Engine'!$C$2:$C$1960,0)))</f>
        <v/>
      </c>
      <c r="N1462" s="9">
        <f>IF(ISNA(MATCH(1453,'Transfer Engine'!$C$2:$C$1960,0)),"",INDEX('Compliance Database'!$N$2:$N$1960,MATCH(1453,'Transfer Engine'!$C$2:$C$1960,0)))</f>
        <v/>
      </c>
      <c r="O1462" s="9">
        <f>IF(ISNA(MATCH(1453,'Transfer Engine'!$C$2:$C$1960,0)),"",INDEX('Compliance Database'!$O$2:$O$1960,MATCH(1453,'Transfer Engine'!$C$2:$C$1960,0)))</f>
        <v/>
      </c>
      <c r="P1462" s="8">
        <f>IF(ISNA(MATCH(1453,'Transfer Engine'!$C$2:$C$1960,0)),"",HYPERLINK("#Acts!A"&amp;INDEX('Compliance Database'!$P$2:$P$1960,MATCH(1453,'Transfer Engine'!$C$2:$C$1960,0)),"Go to Act"))</f>
        <v/>
      </c>
    </row>
    <row r="1463" ht="158" customHeight="1">
      <c r="A1463" s="8">
        <f>IF(ISNA(MATCH(1454,'Transfer Engine'!$C$2:$C$1960,0)),"",INDEX('Compliance Database'!$A$2:$A$1960,MATCH(1454,'Transfer Engine'!$C$2:$C$1960,0)))</f>
        <v/>
      </c>
      <c r="B1463" s="8">
        <f>IF(ISNA(MATCH(1454,'Transfer Engine'!$C$2:$C$1960,0)),"",INDEX('Compliance Database'!$B$2:$B$1960,MATCH(1454,'Transfer Engine'!$C$2:$C$1960,0)))</f>
        <v/>
      </c>
      <c r="C1463" s="8">
        <f>IF(ISNA(MATCH(1454,'Transfer Engine'!$C$2:$C$1960,0)),"",INDEX('Compliance Database'!$C$2:$C$1960,MATCH(1454,'Transfer Engine'!$C$2:$C$1960,0)))</f>
        <v/>
      </c>
      <c r="D1463" s="9">
        <f>IF(ISNA(MATCH(1454,'Transfer Engine'!$C$2:$C$1960,0)),"",INDEX('Compliance Database'!$D$2:$D$1960,MATCH(1454,'Transfer Engine'!$C$2:$C$1960,0)))</f>
        <v/>
      </c>
      <c r="E1463" s="8">
        <f>IF(ISNA(MATCH(1454,'Transfer Engine'!$C$2:$C$1960,0)),"",INDEX('Compliance Database'!$E$2:$E$1960,MATCH(1454,'Transfer Engine'!$C$2:$C$1960,0)))</f>
        <v/>
      </c>
      <c r="F1463" s="8">
        <f>IF(ISNA(MATCH(1454,'Transfer Engine'!$C$2:$C$1960,0)),"",INDEX('Compliance Database'!$F$2:$F$1960,MATCH(1454,'Transfer Engine'!$C$2:$C$1960,0)))</f>
        <v/>
      </c>
      <c r="G1463" s="8">
        <f>IF(ISNA(MATCH(1454,'Transfer Engine'!$C$2:$C$1960,0)),"",INDEX('Compliance Database'!$G$2:$G$1960,MATCH(1454,'Transfer Engine'!$C$2:$C$1960,0)))</f>
        <v/>
      </c>
      <c r="H1463" s="9">
        <f>IF(ISNA(MATCH(1454,'Transfer Engine'!$C$2:$C$1960,0)),"",INDEX('Compliance Database'!$H$2:$H$1960,MATCH(1454,'Transfer Engine'!$C$2:$C$1960,0)))</f>
        <v/>
      </c>
      <c r="I1463" s="9">
        <f>IF(ISNA(MATCH(1454,'Transfer Engine'!$C$2:$C$1960,0)),"",INDEX('Compliance Database'!$I$2:$I$1960,MATCH(1454,'Transfer Engine'!$C$2:$C$1960,0)))</f>
        <v/>
      </c>
      <c r="J1463" s="8">
        <f>IF(ISNA(MATCH(1454,'Transfer Engine'!$C$2:$C$1960,0)),"",INDEX('Compliance Database'!$J$2:$J$1960,MATCH(1454,'Transfer Engine'!$C$2:$C$1960,0)))</f>
        <v/>
      </c>
      <c r="K1463" s="9">
        <f>IF(ISNA(MATCH(1454,'Transfer Engine'!$C$2:$C$1960,0)),"",INDEX('Compliance Database'!$K$2:$K$1960,MATCH(1454,'Transfer Engine'!$C$2:$C$1960,0)))</f>
        <v/>
      </c>
      <c r="L1463" s="9">
        <f>IF(ISNA(MATCH(1454,'Transfer Engine'!$C$2:$C$1960,0)),"",INDEX('Compliance Database'!$L$2:$L$1960,MATCH(1454,'Transfer Engine'!$C$2:$C$1960,0)))</f>
        <v/>
      </c>
      <c r="M1463" s="9">
        <f>IF(ISNA(MATCH(1454,'Transfer Engine'!$C$2:$C$1960,0)),"",INDEX('Compliance Database'!$M$2:$M$1960,MATCH(1454,'Transfer Engine'!$C$2:$C$1960,0)))</f>
        <v/>
      </c>
      <c r="N1463" s="9">
        <f>IF(ISNA(MATCH(1454,'Transfer Engine'!$C$2:$C$1960,0)),"",INDEX('Compliance Database'!$N$2:$N$1960,MATCH(1454,'Transfer Engine'!$C$2:$C$1960,0)))</f>
        <v/>
      </c>
      <c r="O1463" s="9">
        <f>IF(ISNA(MATCH(1454,'Transfer Engine'!$C$2:$C$1960,0)),"",INDEX('Compliance Database'!$O$2:$O$1960,MATCH(1454,'Transfer Engine'!$C$2:$C$1960,0)))</f>
        <v/>
      </c>
      <c r="P1463" s="8">
        <f>IF(ISNA(MATCH(1454,'Transfer Engine'!$C$2:$C$1960,0)),"",HYPERLINK("#Acts!A"&amp;INDEX('Compliance Database'!$P$2:$P$1960,MATCH(1454,'Transfer Engine'!$C$2:$C$1960,0)),"Go to Act"))</f>
        <v/>
      </c>
    </row>
    <row r="1464" ht="158" customHeight="1">
      <c r="A1464" s="8">
        <f>IF(ISNA(MATCH(1455,'Transfer Engine'!$C$2:$C$1960,0)),"",INDEX('Compliance Database'!$A$2:$A$1960,MATCH(1455,'Transfer Engine'!$C$2:$C$1960,0)))</f>
        <v/>
      </c>
      <c r="B1464" s="8">
        <f>IF(ISNA(MATCH(1455,'Transfer Engine'!$C$2:$C$1960,0)),"",INDEX('Compliance Database'!$B$2:$B$1960,MATCH(1455,'Transfer Engine'!$C$2:$C$1960,0)))</f>
        <v/>
      </c>
      <c r="C1464" s="8">
        <f>IF(ISNA(MATCH(1455,'Transfer Engine'!$C$2:$C$1960,0)),"",INDEX('Compliance Database'!$C$2:$C$1960,MATCH(1455,'Transfer Engine'!$C$2:$C$1960,0)))</f>
        <v/>
      </c>
      <c r="D1464" s="9">
        <f>IF(ISNA(MATCH(1455,'Transfer Engine'!$C$2:$C$1960,0)),"",INDEX('Compliance Database'!$D$2:$D$1960,MATCH(1455,'Transfer Engine'!$C$2:$C$1960,0)))</f>
        <v/>
      </c>
      <c r="E1464" s="8">
        <f>IF(ISNA(MATCH(1455,'Transfer Engine'!$C$2:$C$1960,0)),"",INDEX('Compliance Database'!$E$2:$E$1960,MATCH(1455,'Transfer Engine'!$C$2:$C$1960,0)))</f>
        <v/>
      </c>
      <c r="F1464" s="8">
        <f>IF(ISNA(MATCH(1455,'Transfer Engine'!$C$2:$C$1960,0)),"",INDEX('Compliance Database'!$F$2:$F$1960,MATCH(1455,'Transfer Engine'!$C$2:$C$1960,0)))</f>
        <v/>
      </c>
      <c r="G1464" s="8">
        <f>IF(ISNA(MATCH(1455,'Transfer Engine'!$C$2:$C$1960,0)),"",INDEX('Compliance Database'!$G$2:$G$1960,MATCH(1455,'Transfer Engine'!$C$2:$C$1960,0)))</f>
        <v/>
      </c>
      <c r="H1464" s="9">
        <f>IF(ISNA(MATCH(1455,'Transfer Engine'!$C$2:$C$1960,0)),"",INDEX('Compliance Database'!$H$2:$H$1960,MATCH(1455,'Transfer Engine'!$C$2:$C$1960,0)))</f>
        <v/>
      </c>
      <c r="I1464" s="9">
        <f>IF(ISNA(MATCH(1455,'Transfer Engine'!$C$2:$C$1960,0)),"",INDEX('Compliance Database'!$I$2:$I$1960,MATCH(1455,'Transfer Engine'!$C$2:$C$1960,0)))</f>
        <v/>
      </c>
      <c r="J1464" s="8">
        <f>IF(ISNA(MATCH(1455,'Transfer Engine'!$C$2:$C$1960,0)),"",INDEX('Compliance Database'!$J$2:$J$1960,MATCH(1455,'Transfer Engine'!$C$2:$C$1960,0)))</f>
        <v/>
      </c>
      <c r="K1464" s="9">
        <f>IF(ISNA(MATCH(1455,'Transfer Engine'!$C$2:$C$1960,0)),"",INDEX('Compliance Database'!$K$2:$K$1960,MATCH(1455,'Transfer Engine'!$C$2:$C$1960,0)))</f>
        <v/>
      </c>
      <c r="L1464" s="9">
        <f>IF(ISNA(MATCH(1455,'Transfer Engine'!$C$2:$C$1960,0)),"",INDEX('Compliance Database'!$L$2:$L$1960,MATCH(1455,'Transfer Engine'!$C$2:$C$1960,0)))</f>
        <v/>
      </c>
      <c r="M1464" s="9">
        <f>IF(ISNA(MATCH(1455,'Transfer Engine'!$C$2:$C$1960,0)),"",INDEX('Compliance Database'!$M$2:$M$1960,MATCH(1455,'Transfer Engine'!$C$2:$C$1960,0)))</f>
        <v/>
      </c>
      <c r="N1464" s="9">
        <f>IF(ISNA(MATCH(1455,'Transfer Engine'!$C$2:$C$1960,0)),"",INDEX('Compliance Database'!$N$2:$N$1960,MATCH(1455,'Transfer Engine'!$C$2:$C$1960,0)))</f>
        <v/>
      </c>
      <c r="O1464" s="9">
        <f>IF(ISNA(MATCH(1455,'Transfer Engine'!$C$2:$C$1960,0)),"",INDEX('Compliance Database'!$O$2:$O$1960,MATCH(1455,'Transfer Engine'!$C$2:$C$1960,0)))</f>
        <v/>
      </c>
      <c r="P1464" s="8">
        <f>IF(ISNA(MATCH(1455,'Transfer Engine'!$C$2:$C$1960,0)),"",HYPERLINK("#Acts!A"&amp;INDEX('Compliance Database'!$P$2:$P$1960,MATCH(1455,'Transfer Engine'!$C$2:$C$1960,0)),"Go to Act"))</f>
        <v/>
      </c>
    </row>
    <row r="1465" ht="158" customHeight="1">
      <c r="A1465" s="8">
        <f>IF(ISNA(MATCH(1456,'Transfer Engine'!$C$2:$C$1960,0)),"",INDEX('Compliance Database'!$A$2:$A$1960,MATCH(1456,'Transfer Engine'!$C$2:$C$1960,0)))</f>
        <v/>
      </c>
      <c r="B1465" s="8">
        <f>IF(ISNA(MATCH(1456,'Transfer Engine'!$C$2:$C$1960,0)),"",INDEX('Compliance Database'!$B$2:$B$1960,MATCH(1456,'Transfer Engine'!$C$2:$C$1960,0)))</f>
        <v/>
      </c>
      <c r="C1465" s="8">
        <f>IF(ISNA(MATCH(1456,'Transfer Engine'!$C$2:$C$1960,0)),"",INDEX('Compliance Database'!$C$2:$C$1960,MATCH(1456,'Transfer Engine'!$C$2:$C$1960,0)))</f>
        <v/>
      </c>
      <c r="D1465" s="9">
        <f>IF(ISNA(MATCH(1456,'Transfer Engine'!$C$2:$C$1960,0)),"",INDEX('Compliance Database'!$D$2:$D$1960,MATCH(1456,'Transfer Engine'!$C$2:$C$1960,0)))</f>
        <v/>
      </c>
      <c r="E1465" s="8">
        <f>IF(ISNA(MATCH(1456,'Transfer Engine'!$C$2:$C$1960,0)),"",INDEX('Compliance Database'!$E$2:$E$1960,MATCH(1456,'Transfer Engine'!$C$2:$C$1960,0)))</f>
        <v/>
      </c>
      <c r="F1465" s="8">
        <f>IF(ISNA(MATCH(1456,'Transfer Engine'!$C$2:$C$1960,0)),"",INDEX('Compliance Database'!$F$2:$F$1960,MATCH(1456,'Transfer Engine'!$C$2:$C$1960,0)))</f>
        <v/>
      </c>
      <c r="G1465" s="8">
        <f>IF(ISNA(MATCH(1456,'Transfer Engine'!$C$2:$C$1960,0)),"",INDEX('Compliance Database'!$G$2:$G$1960,MATCH(1456,'Transfer Engine'!$C$2:$C$1960,0)))</f>
        <v/>
      </c>
      <c r="H1465" s="9">
        <f>IF(ISNA(MATCH(1456,'Transfer Engine'!$C$2:$C$1960,0)),"",INDEX('Compliance Database'!$H$2:$H$1960,MATCH(1456,'Transfer Engine'!$C$2:$C$1960,0)))</f>
        <v/>
      </c>
      <c r="I1465" s="9">
        <f>IF(ISNA(MATCH(1456,'Transfer Engine'!$C$2:$C$1960,0)),"",INDEX('Compliance Database'!$I$2:$I$1960,MATCH(1456,'Transfer Engine'!$C$2:$C$1960,0)))</f>
        <v/>
      </c>
      <c r="J1465" s="8">
        <f>IF(ISNA(MATCH(1456,'Transfer Engine'!$C$2:$C$1960,0)),"",INDEX('Compliance Database'!$J$2:$J$1960,MATCH(1456,'Transfer Engine'!$C$2:$C$1960,0)))</f>
        <v/>
      </c>
      <c r="K1465" s="9">
        <f>IF(ISNA(MATCH(1456,'Transfer Engine'!$C$2:$C$1960,0)),"",INDEX('Compliance Database'!$K$2:$K$1960,MATCH(1456,'Transfer Engine'!$C$2:$C$1960,0)))</f>
        <v/>
      </c>
      <c r="L1465" s="9">
        <f>IF(ISNA(MATCH(1456,'Transfer Engine'!$C$2:$C$1960,0)),"",INDEX('Compliance Database'!$L$2:$L$1960,MATCH(1456,'Transfer Engine'!$C$2:$C$1960,0)))</f>
        <v/>
      </c>
      <c r="M1465" s="9">
        <f>IF(ISNA(MATCH(1456,'Transfer Engine'!$C$2:$C$1960,0)),"",INDEX('Compliance Database'!$M$2:$M$1960,MATCH(1456,'Transfer Engine'!$C$2:$C$1960,0)))</f>
        <v/>
      </c>
      <c r="N1465" s="9">
        <f>IF(ISNA(MATCH(1456,'Transfer Engine'!$C$2:$C$1960,0)),"",INDEX('Compliance Database'!$N$2:$N$1960,MATCH(1456,'Transfer Engine'!$C$2:$C$1960,0)))</f>
        <v/>
      </c>
      <c r="O1465" s="9">
        <f>IF(ISNA(MATCH(1456,'Transfer Engine'!$C$2:$C$1960,0)),"",INDEX('Compliance Database'!$O$2:$O$1960,MATCH(1456,'Transfer Engine'!$C$2:$C$1960,0)))</f>
        <v/>
      </c>
      <c r="P1465" s="8">
        <f>IF(ISNA(MATCH(1456,'Transfer Engine'!$C$2:$C$1960,0)),"",HYPERLINK("#Acts!A"&amp;INDEX('Compliance Database'!$P$2:$P$1960,MATCH(1456,'Transfer Engine'!$C$2:$C$1960,0)),"Go to Act"))</f>
        <v/>
      </c>
    </row>
    <row r="1466" ht="158" customHeight="1">
      <c r="A1466" s="8">
        <f>IF(ISNA(MATCH(1457,'Transfer Engine'!$C$2:$C$1960,0)),"",INDEX('Compliance Database'!$A$2:$A$1960,MATCH(1457,'Transfer Engine'!$C$2:$C$1960,0)))</f>
        <v/>
      </c>
      <c r="B1466" s="8">
        <f>IF(ISNA(MATCH(1457,'Transfer Engine'!$C$2:$C$1960,0)),"",INDEX('Compliance Database'!$B$2:$B$1960,MATCH(1457,'Transfer Engine'!$C$2:$C$1960,0)))</f>
        <v/>
      </c>
      <c r="C1466" s="8">
        <f>IF(ISNA(MATCH(1457,'Transfer Engine'!$C$2:$C$1960,0)),"",INDEX('Compliance Database'!$C$2:$C$1960,MATCH(1457,'Transfer Engine'!$C$2:$C$1960,0)))</f>
        <v/>
      </c>
      <c r="D1466" s="9">
        <f>IF(ISNA(MATCH(1457,'Transfer Engine'!$C$2:$C$1960,0)),"",INDEX('Compliance Database'!$D$2:$D$1960,MATCH(1457,'Transfer Engine'!$C$2:$C$1960,0)))</f>
        <v/>
      </c>
      <c r="E1466" s="8">
        <f>IF(ISNA(MATCH(1457,'Transfer Engine'!$C$2:$C$1960,0)),"",INDEX('Compliance Database'!$E$2:$E$1960,MATCH(1457,'Transfer Engine'!$C$2:$C$1960,0)))</f>
        <v/>
      </c>
      <c r="F1466" s="8">
        <f>IF(ISNA(MATCH(1457,'Transfer Engine'!$C$2:$C$1960,0)),"",INDEX('Compliance Database'!$F$2:$F$1960,MATCH(1457,'Transfer Engine'!$C$2:$C$1960,0)))</f>
        <v/>
      </c>
      <c r="G1466" s="8">
        <f>IF(ISNA(MATCH(1457,'Transfer Engine'!$C$2:$C$1960,0)),"",INDEX('Compliance Database'!$G$2:$G$1960,MATCH(1457,'Transfer Engine'!$C$2:$C$1960,0)))</f>
        <v/>
      </c>
      <c r="H1466" s="9">
        <f>IF(ISNA(MATCH(1457,'Transfer Engine'!$C$2:$C$1960,0)),"",INDEX('Compliance Database'!$H$2:$H$1960,MATCH(1457,'Transfer Engine'!$C$2:$C$1960,0)))</f>
        <v/>
      </c>
      <c r="I1466" s="9">
        <f>IF(ISNA(MATCH(1457,'Transfer Engine'!$C$2:$C$1960,0)),"",INDEX('Compliance Database'!$I$2:$I$1960,MATCH(1457,'Transfer Engine'!$C$2:$C$1960,0)))</f>
        <v/>
      </c>
      <c r="J1466" s="8">
        <f>IF(ISNA(MATCH(1457,'Transfer Engine'!$C$2:$C$1960,0)),"",INDEX('Compliance Database'!$J$2:$J$1960,MATCH(1457,'Transfer Engine'!$C$2:$C$1960,0)))</f>
        <v/>
      </c>
      <c r="K1466" s="9">
        <f>IF(ISNA(MATCH(1457,'Transfer Engine'!$C$2:$C$1960,0)),"",INDEX('Compliance Database'!$K$2:$K$1960,MATCH(1457,'Transfer Engine'!$C$2:$C$1960,0)))</f>
        <v/>
      </c>
      <c r="L1466" s="9">
        <f>IF(ISNA(MATCH(1457,'Transfer Engine'!$C$2:$C$1960,0)),"",INDEX('Compliance Database'!$L$2:$L$1960,MATCH(1457,'Transfer Engine'!$C$2:$C$1960,0)))</f>
        <v/>
      </c>
      <c r="M1466" s="9">
        <f>IF(ISNA(MATCH(1457,'Transfer Engine'!$C$2:$C$1960,0)),"",INDEX('Compliance Database'!$M$2:$M$1960,MATCH(1457,'Transfer Engine'!$C$2:$C$1960,0)))</f>
        <v/>
      </c>
      <c r="N1466" s="9">
        <f>IF(ISNA(MATCH(1457,'Transfer Engine'!$C$2:$C$1960,0)),"",INDEX('Compliance Database'!$N$2:$N$1960,MATCH(1457,'Transfer Engine'!$C$2:$C$1960,0)))</f>
        <v/>
      </c>
      <c r="O1466" s="9">
        <f>IF(ISNA(MATCH(1457,'Transfer Engine'!$C$2:$C$1960,0)),"",INDEX('Compliance Database'!$O$2:$O$1960,MATCH(1457,'Transfer Engine'!$C$2:$C$1960,0)))</f>
        <v/>
      </c>
      <c r="P1466" s="8">
        <f>IF(ISNA(MATCH(1457,'Transfer Engine'!$C$2:$C$1960,0)),"",HYPERLINK("#Acts!A"&amp;INDEX('Compliance Database'!$P$2:$P$1960,MATCH(1457,'Transfer Engine'!$C$2:$C$1960,0)),"Go to Act"))</f>
        <v/>
      </c>
    </row>
    <row r="1467" ht="158" customHeight="1">
      <c r="A1467" s="8">
        <f>IF(ISNA(MATCH(1458,'Transfer Engine'!$C$2:$C$1960,0)),"",INDEX('Compliance Database'!$A$2:$A$1960,MATCH(1458,'Transfer Engine'!$C$2:$C$1960,0)))</f>
        <v/>
      </c>
      <c r="B1467" s="8">
        <f>IF(ISNA(MATCH(1458,'Transfer Engine'!$C$2:$C$1960,0)),"",INDEX('Compliance Database'!$B$2:$B$1960,MATCH(1458,'Transfer Engine'!$C$2:$C$1960,0)))</f>
        <v/>
      </c>
      <c r="C1467" s="8">
        <f>IF(ISNA(MATCH(1458,'Transfer Engine'!$C$2:$C$1960,0)),"",INDEX('Compliance Database'!$C$2:$C$1960,MATCH(1458,'Transfer Engine'!$C$2:$C$1960,0)))</f>
        <v/>
      </c>
      <c r="D1467" s="9">
        <f>IF(ISNA(MATCH(1458,'Transfer Engine'!$C$2:$C$1960,0)),"",INDEX('Compliance Database'!$D$2:$D$1960,MATCH(1458,'Transfer Engine'!$C$2:$C$1960,0)))</f>
        <v/>
      </c>
      <c r="E1467" s="8">
        <f>IF(ISNA(MATCH(1458,'Transfer Engine'!$C$2:$C$1960,0)),"",INDEX('Compliance Database'!$E$2:$E$1960,MATCH(1458,'Transfer Engine'!$C$2:$C$1960,0)))</f>
        <v/>
      </c>
      <c r="F1467" s="8">
        <f>IF(ISNA(MATCH(1458,'Transfer Engine'!$C$2:$C$1960,0)),"",INDEX('Compliance Database'!$F$2:$F$1960,MATCH(1458,'Transfer Engine'!$C$2:$C$1960,0)))</f>
        <v/>
      </c>
      <c r="G1467" s="8">
        <f>IF(ISNA(MATCH(1458,'Transfer Engine'!$C$2:$C$1960,0)),"",INDEX('Compliance Database'!$G$2:$G$1960,MATCH(1458,'Transfer Engine'!$C$2:$C$1960,0)))</f>
        <v/>
      </c>
      <c r="H1467" s="9">
        <f>IF(ISNA(MATCH(1458,'Transfer Engine'!$C$2:$C$1960,0)),"",INDEX('Compliance Database'!$H$2:$H$1960,MATCH(1458,'Transfer Engine'!$C$2:$C$1960,0)))</f>
        <v/>
      </c>
      <c r="I1467" s="9">
        <f>IF(ISNA(MATCH(1458,'Transfer Engine'!$C$2:$C$1960,0)),"",INDEX('Compliance Database'!$I$2:$I$1960,MATCH(1458,'Transfer Engine'!$C$2:$C$1960,0)))</f>
        <v/>
      </c>
      <c r="J1467" s="8">
        <f>IF(ISNA(MATCH(1458,'Transfer Engine'!$C$2:$C$1960,0)),"",INDEX('Compliance Database'!$J$2:$J$1960,MATCH(1458,'Transfer Engine'!$C$2:$C$1960,0)))</f>
        <v/>
      </c>
      <c r="K1467" s="9">
        <f>IF(ISNA(MATCH(1458,'Transfer Engine'!$C$2:$C$1960,0)),"",INDEX('Compliance Database'!$K$2:$K$1960,MATCH(1458,'Transfer Engine'!$C$2:$C$1960,0)))</f>
        <v/>
      </c>
      <c r="L1467" s="9">
        <f>IF(ISNA(MATCH(1458,'Transfer Engine'!$C$2:$C$1960,0)),"",INDEX('Compliance Database'!$L$2:$L$1960,MATCH(1458,'Transfer Engine'!$C$2:$C$1960,0)))</f>
        <v/>
      </c>
      <c r="M1467" s="9">
        <f>IF(ISNA(MATCH(1458,'Transfer Engine'!$C$2:$C$1960,0)),"",INDEX('Compliance Database'!$M$2:$M$1960,MATCH(1458,'Transfer Engine'!$C$2:$C$1960,0)))</f>
        <v/>
      </c>
      <c r="N1467" s="9">
        <f>IF(ISNA(MATCH(1458,'Transfer Engine'!$C$2:$C$1960,0)),"",INDEX('Compliance Database'!$N$2:$N$1960,MATCH(1458,'Transfer Engine'!$C$2:$C$1960,0)))</f>
        <v/>
      </c>
      <c r="O1467" s="9">
        <f>IF(ISNA(MATCH(1458,'Transfer Engine'!$C$2:$C$1960,0)),"",INDEX('Compliance Database'!$O$2:$O$1960,MATCH(1458,'Transfer Engine'!$C$2:$C$1960,0)))</f>
        <v/>
      </c>
      <c r="P1467" s="8">
        <f>IF(ISNA(MATCH(1458,'Transfer Engine'!$C$2:$C$1960,0)),"",HYPERLINK("#Acts!A"&amp;INDEX('Compliance Database'!$P$2:$P$1960,MATCH(1458,'Transfer Engine'!$C$2:$C$1960,0)),"Go to Act"))</f>
        <v/>
      </c>
    </row>
    <row r="1468" ht="158" customHeight="1">
      <c r="A1468" s="8">
        <f>IF(ISNA(MATCH(1459,'Transfer Engine'!$C$2:$C$1960,0)),"",INDEX('Compliance Database'!$A$2:$A$1960,MATCH(1459,'Transfer Engine'!$C$2:$C$1960,0)))</f>
        <v/>
      </c>
      <c r="B1468" s="8">
        <f>IF(ISNA(MATCH(1459,'Transfer Engine'!$C$2:$C$1960,0)),"",INDEX('Compliance Database'!$B$2:$B$1960,MATCH(1459,'Transfer Engine'!$C$2:$C$1960,0)))</f>
        <v/>
      </c>
      <c r="C1468" s="8">
        <f>IF(ISNA(MATCH(1459,'Transfer Engine'!$C$2:$C$1960,0)),"",INDEX('Compliance Database'!$C$2:$C$1960,MATCH(1459,'Transfer Engine'!$C$2:$C$1960,0)))</f>
        <v/>
      </c>
      <c r="D1468" s="9">
        <f>IF(ISNA(MATCH(1459,'Transfer Engine'!$C$2:$C$1960,0)),"",INDEX('Compliance Database'!$D$2:$D$1960,MATCH(1459,'Transfer Engine'!$C$2:$C$1960,0)))</f>
        <v/>
      </c>
      <c r="E1468" s="8">
        <f>IF(ISNA(MATCH(1459,'Transfer Engine'!$C$2:$C$1960,0)),"",INDEX('Compliance Database'!$E$2:$E$1960,MATCH(1459,'Transfer Engine'!$C$2:$C$1960,0)))</f>
        <v/>
      </c>
      <c r="F1468" s="8">
        <f>IF(ISNA(MATCH(1459,'Transfer Engine'!$C$2:$C$1960,0)),"",INDEX('Compliance Database'!$F$2:$F$1960,MATCH(1459,'Transfer Engine'!$C$2:$C$1960,0)))</f>
        <v/>
      </c>
      <c r="G1468" s="8">
        <f>IF(ISNA(MATCH(1459,'Transfer Engine'!$C$2:$C$1960,0)),"",INDEX('Compliance Database'!$G$2:$G$1960,MATCH(1459,'Transfer Engine'!$C$2:$C$1960,0)))</f>
        <v/>
      </c>
      <c r="H1468" s="9">
        <f>IF(ISNA(MATCH(1459,'Transfer Engine'!$C$2:$C$1960,0)),"",INDEX('Compliance Database'!$H$2:$H$1960,MATCH(1459,'Transfer Engine'!$C$2:$C$1960,0)))</f>
        <v/>
      </c>
      <c r="I1468" s="9">
        <f>IF(ISNA(MATCH(1459,'Transfer Engine'!$C$2:$C$1960,0)),"",INDEX('Compliance Database'!$I$2:$I$1960,MATCH(1459,'Transfer Engine'!$C$2:$C$1960,0)))</f>
        <v/>
      </c>
      <c r="J1468" s="8">
        <f>IF(ISNA(MATCH(1459,'Transfer Engine'!$C$2:$C$1960,0)),"",INDEX('Compliance Database'!$J$2:$J$1960,MATCH(1459,'Transfer Engine'!$C$2:$C$1960,0)))</f>
        <v/>
      </c>
      <c r="K1468" s="9">
        <f>IF(ISNA(MATCH(1459,'Transfer Engine'!$C$2:$C$1960,0)),"",INDEX('Compliance Database'!$K$2:$K$1960,MATCH(1459,'Transfer Engine'!$C$2:$C$1960,0)))</f>
        <v/>
      </c>
      <c r="L1468" s="9">
        <f>IF(ISNA(MATCH(1459,'Transfer Engine'!$C$2:$C$1960,0)),"",INDEX('Compliance Database'!$L$2:$L$1960,MATCH(1459,'Transfer Engine'!$C$2:$C$1960,0)))</f>
        <v/>
      </c>
      <c r="M1468" s="9">
        <f>IF(ISNA(MATCH(1459,'Transfer Engine'!$C$2:$C$1960,0)),"",INDEX('Compliance Database'!$M$2:$M$1960,MATCH(1459,'Transfer Engine'!$C$2:$C$1960,0)))</f>
        <v/>
      </c>
      <c r="N1468" s="9">
        <f>IF(ISNA(MATCH(1459,'Transfer Engine'!$C$2:$C$1960,0)),"",INDEX('Compliance Database'!$N$2:$N$1960,MATCH(1459,'Transfer Engine'!$C$2:$C$1960,0)))</f>
        <v/>
      </c>
      <c r="O1468" s="9">
        <f>IF(ISNA(MATCH(1459,'Transfer Engine'!$C$2:$C$1960,0)),"",INDEX('Compliance Database'!$O$2:$O$1960,MATCH(1459,'Transfer Engine'!$C$2:$C$1960,0)))</f>
        <v/>
      </c>
      <c r="P1468" s="8">
        <f>IF(ISNA(MATCH(1459,'Transfer Engine'!$C$2:$C$1960,0)),"",HYPERLINK("#Acts!A"&amp;INDEX('Compliance Database'!$P$2:$P$1960,MATCH(1459,'Transfer Engine'!$C$2:$C$1960,0)),"Go to Act"))</f>
        <v/>
      </c>
    </row>
    <row r="1469" ht="158" customHeight="1">
      <c r="A1469" s="8">
        <f>IF(ISNA(MATCH(1460,'Transfer Engine'!$C$2:$C$1960,0)),"",INDEX('Compliance Database'!$A$2:$A$1960,MATCH(1460,'Transfer Engine'!$C$2:$C$1960,0)))</f>
        <v/>
      </c>
      <c r="B1469" s="8">
        <f>IF(ISNA(MATCH(1460,'Transfer Engine'!$C$2:$C$1960,0)),"",INDEX('Compliance Database'!$B$2:$B$1960,MATCH(1460,'Transfer Engine'!$C$2:$C$1960,0)))</f>
        <v/>
      </c>
      <c r="C1469" s="8">
        <f>IF(ISNA(MATCH(1460,'Transfer Engine'!$C$2:$C$1960,0)),"",INDEX('Compliance Database'!$C$2:$C$1960,MATCH(1460,'Transfer Engine'!$C$2:$C$1960,0)))</f>
        <v/>
      </c>
      <c r="D1469" s="9">
        <f>IF(ISNA(MATCH(1460,'Transfer Engine'!$C$2:$C$1960,0)),"",INDEX('Compliance Database'!$D$2:$D$1960,MATCH(1460,'Transfer Engine'!$C$2:$C$1960,0)))</f>
        <v/>
      </c>
      <c r="E1469" s="8">
        <f>IF(ISNA(MATCH(1460,'Transfer Engine'!$C$2:$C$1960,0)),"",INDEX('Compliance Database'!$E$2:$E$1960,MATCH(1460,'Transfer Engine'!$C$2:$C$1960,0)))</f>
        <v/>
      </c>
      <c r="F1469" s="8">
        <f>IF(ISNA(MATCH(1460,'Transfer Engine'!$C$2:$C$1960,0)),"",INDEX('Compliance Database'!$F$2:$F$1960,MATCH(1460,'Transfer Engine'!$C$2:$C$1960,0)))</f>
        <v/>
      </c>
      <c r="G1469" s="8">
        <f>IF(ISNA(MATCH(1460,'Transfer Engine'!$C$2:$C$1960,0)),"",INDEX('Compliance Database'!$G$2:$G$1960,MATCH(1460,'Transfer Engine'!$C$2:$C$1960,0)))</f>
        <v/>
      </c>
      <c r="H1469" s="9">
        <f>IF(ISNA(MATCH(1460,'Transfer Engine'!$C$2:$C$1960,0)),"",INDEX('Compliance Database'!$H$2:$H$1960,MATCH(1460,'Transfer Engine'!$C$2:$C$1960,0)))</f>
        <v/>
      </c>
      <c r="I1469" s="9">
        <f>IF(ISNA(MATCH(1460,'Transfer Engine'!$C$2:$C$1960,0)),"",INDEX('Compliance Database'!$I$2:$I$1960,MATCH(1460,'Transfer Engine'!$C$2:$C$1960,0)))</f>
        <v/>
      </c>
      <c r="J1469" s="8">
        <f>IF(ISNA(MATCH(1460,'Transfer Engine'!$C$2:$C$1960,0)),"",INDEX('Compliance Database'!$J$2:$J$1960,MATCH(1460,'Transfer Engine'!$C$2:$C$1960,0)))</f>
        <v/>
      </c>
      <c r="K1469" s="9">
        <f>IF(ISNA(MATCH(1460,'Transfer Engine'!$C$2:$C$1960,0)),"",INDEX('Compliance Database'!$K$2:$K$1960,MATCH(1460,'Transfer Engine'!$C$2:$C$1960,0)))</f>
        <v/>
      </c>
      <c r="L1469" s="9">
        <f>IF(ISNA(MATCH(1460,'Transfer Engine'!$C$2:$C$1960,0)),"",INDEX('Compliance Database'!$L$2:$L$1960,MATCH(1460,'Transfer Engine'!$C$2:$C$1960,0)))</f>
        <v/>
      </c>
      <c r="M1469" s="9">
        <f>IF(ISNA(MATCH(1460,'Transfer Engine'!$C$2:$C$1960,0)),"",INDEX('Compliance Database'!$M$2:$M$1960,MATCH(1460,'Transfer Engine'!$C$2:$C$1960,0)))</f>
        <v/>
      </c>
      <c r="N1469" s="9">
        <f>IF(ISNA(MATCH(1460,'Transfer Engine'!$C$2:$C$1960,0)),"",INDEX('Compliance Database'!$N$2:$N$1960,MATCH(1460,'Transfer Engine'!$C$2:$C$1960,0)))</f>
        <v/>
      </c>
      <c r="O1469" s="9">
        <f>IF(ISNA(MATCH(1460,'Transfer Engine'!$C$2:$C$1960,0)),"",INDEX('Compliance Database'!$O$2:$O$1960,MATCH(1460,'Transfer Engine'!$C$2:$C$1960,0)))</f>
        <v/>
      </c>
      <c r="P1469" s="8">
        <f>IF(ISNA(MATCH(1460,'Transfer Engine'!$C$2:$C$1960,0)),"",HYPERLINK("#Acts!A"&amp;INDEX('Compliance Database'!$P$2:$P$1960,MATCH(1460,'Transfer Engine'!$C$2:$C$1960,0)),"Go to Act"))</f>
        <v/>
      </c>
    </row>
    <row r="1470" ht="158" customHeight="1">
      <c r="A1470" s="8">
        <f>IF(ISNA(MATCH(1461,'Transfer Engine'!$C$2:$C$1960,0)),"",INDEX('Compliance Database'!$A$2:$A$1960,MATCH(1461,'Transfer Engine'!$C$2:$C$1960,0)))</f>
        <v/>
      </c>
      <c r="B1470" s="8">
        <f>IF(ISNA(MATCH(1461,'Transfer Engine'!$C$2:$C$1960,0)),"",INDEX('Compliance Database'!$B$2:$B$1960,MATCH(1461,'Transfer Engine'!$C$2:$C$1960,0)))</f>
        <v/>
      </c>
      <c r="C1470" s="8">
        <f>IF(ISNA(MATCH(1461,'Transfer Engine'!$C$2:$C$1960,0)),"",INDEX('Compliance Database'!$C$2:$C$1960,MATCH(1461,'Transfer Engine'!$C$2:$C$1960,0)))</f>
        <v/>
      </c>
      <c r="D1470" s="9">
        <f>IF(ISNA(MATCH(1461,'Transfer Engine'!$C$2:$C$1960,0)),"",INDEX('Compliance Database'!$D$2:$D$1960,MATCH(1461,'Transfer Engine'!$C$2:$C$1960,0)))</f>
        <v/>
      </c>
      <c r="E1470" s="8">
        <f>IF(ISNA(MATCH(1461,'Transfer Engine'!$C$2:$C$1960,0)),"",INDEX('Compliance Database'!$E$2:$E$1960,MATCH(1461,'Transfer Engine'!$C$2:$C$1960,0)))</f>
        <v/>
      </c>
      <c r="F1470" s="8">
        <f>IF(ISNA(MATCH(1461,'Transfer Engine'!$C$2:$C$1960,0)),"",INDEX('Compliance Database'!$F$2:$F$1960,MATCH(1461,'Transfer Engine'!$C$2:$C$1960,0)))</f>
        <v/>
      </c>
      <c r="G1470" s="8">
        <f>IF(ISNA(MATCH(1461,'Transfer Engine'!$C$2:$C$1960,0)),"",INDEX('Compliance Database'!$G$2:$G$1960,MATCH(1461,'Transfer Engine'!$C$2:$C$1960,0)))</f>
        <v/>
      </c>
      <c r="H1470" s="9">
        <f>IF(ISNA(MATCH(1461,'Transfer Engine'!$C$2:$C$1960,0)),"",INDEX('Compliance Database'!$H$2:$H$1960,MATCH(1461,'Transfer Engine'!$C$2:$C$1960,0)))</f>
        <v/>
      </c>
      <c r="I1470" s="9">
        <f>IF(ISNA(MATCH(1461,'Transfer Engine'!$C$2:$C$1960,0)),"",INDEX('Compliance Database'!$I$2:$I$1960,MATCH(1461,'Transfer Engine'!$C$2:$C$1960,0)))</f>
        <v/>
      </c>
      <c r="J1470" s="8">
        <f>IF(ISNA(MATCH(1461,'Transfer Engine'!$C$2:$C$1960,0)),"",INDEX('Compliance Database'!$J$2:$J$1960,MATCH(1461,'Transfer Engine'!$C$2:$C$1960,0)))</f>
        <v/>
      </c>
      <c r="K1470" s="9">
        <f>IF(ISNA(MATCH(1461,'Transfer Engine'!$C$2:$C$1960,0)),"",INDEX('Compliance Database'!$K$2:$K$1960,MATCH(1461,'Transfer Engine'!$C$2:$C$1960,0)))</f>
        <v/>
      </c>
      <c r="L1470" s="9">
        <f>IF(ISNA(MATCH(1461,'Transfer Engine'!$C$2:$C$1960,0)),"",INDEX('Compliance Database'!$L$2:$L$1960,MATCH(1461,'Transfer Engine'!$C$2:$C$1960,0)))</f>
        <v/>
      </c>
      <c r="M1470" s="9">
        <f>IF(ISNA(MATCH(1461,'Transfer Engine'!$C$2:$C$1960,0)),"",INDEX('Compliance Database'!$M$2:$M$1960,MATCH(1461,'Transfer Engine'!$C$2:$C$1960,0)))</f>
        <v/>
      </c>
      <c r="N1470" s="9">
        <f>IF(ISNA(MATCH(1461,'Transfer Engine'!$C$2:$C$1960,0)),"",INDEX('Compliance Database'!$N$2:$N$1960,MATCH(1461,'Transfer Engine'!$C$2:$C$1960,0)))</f>
        <v/>
      </c>
      <c r="O1470" s="9">
        <f>IF(ISNA(MATCH(1461,'Transfer Engine'!$C$2:$C$1960,0)),"",INDEX('Compliance Database'!$O$2:$O$1960,MATCH(1461,'Transfer Engine'!$C$2:$C$1960,0)))</f>
        <v/>
      </c>
      <c r="P1470" s="8">
        <f>IF(ISNA(MATCH(1461,'Transfer Engine'!$C$2:$C$1960,0)),"",HYPERLINK("#Acts!A"&amp;INDEX('Compliance Database'!$P$2:$P$1960,MATCH(1461,'Transfer Engine'!$C$2:$C$1960,0)),"Go to Act"))</f>
        <v/>
      </c>
    </row>
    <row r="1471" ht="158" customHeight="1">
      <c r="A1471" s="8">
        <f>IF(ISNA(MATCH(1462,'Transfer Engine'!$C$2:$C$1960,0)),"",INDEX('Compliance Database'!$A$2:$A$1960,MATCH(1462,'Transfer Engine'!$C$2:$C$1960,0)))</f>
        <v/>
      </c>
      <c r="B1471" s="8">
        <f>IF(ISNA(MATCH(1462,'Transfer Engine'!$C$2:$C$1960,0)),"",INDEX('Compliance Database'!$B$2:$B$1960,MATCH(1462,'Transfer Engine'!$C$2:$C$1960,0)))</f>
        <v/>
      </c>
      <c r="C1471" s="8">
        <f>IF(ISNA(MATCH(1462,'Transfer Engine'!$C$2:$C$1960,0)),"",INDEX('Compliance Database'!$C$2:$C$1960,MATCH(1462,'Transfer Engine'!$C$2:$C$1960,0)))</f>
        <v/>
      </c>
      <c r="D1471" s="9">
        <f>IF(ISNA(MATCH(1462,'Transfer Engine'!$C$2:$C$1960,0)),"",INDEX('Compliance Database'!$D$2:$D$1960,MATCH(1462,'Transfer Engine'!$C$2:$C$1960,0)))</f>
        <v/>
      </c>
      <c r="E1471" s="8">
        <f>IF(ISNA(MATCH(1462,'Transfer Engine'!$C$2:$C$1960,0)),"",INDEX('Compliance Database'!$E$2:$E$1960,MATCH(1462,'Transfer Engine'!$C$2:$C$1960,0)))</f>
        <v/>
      </c>
      <c r="F1471" s="8">
        <f>IF(ISNA(MATCH(1462,'Transfer Engine'!$C$2:$C$1960,0)),"",INDEX('Compliance Database'!$F$2:$F$1960,MATCH(1462,'Transfer Engine'!$C$2:$C$1960,0)))</f>
        <v/>
      </c>
      <c r="G1471" s="8">
        <f>IF(ISNA(MATCH(1462,'Transfer Engine'!$C$2:$C$1960,0)),"",INDEX('Compliance Database'!$G$2:$G$1960,MATCH(1462,'Transfer Engine'!$C$2:$C$1960,0)))</f>
        <v/>
      </c>
      <c r="H1471" s="9">
        <f>IF(ISNA(MATCH(1462,'Transfer Engine'!$C$2:$C$1960,0)),"",INDEX('Compliance Database'!$H$2:$H$1960,MATCH(1462,'Transfer Engine'!$C$2:$C$1960,0)))</f>
        <v/>
      </c>
      <c r="I1471" s="9">
        <f>IF(ISNA(MATCH(1462,'Transfer Engine'!$C$2:$C$1960,0)),"",INDEX('Compliance Database'!$I$2:$I$1960,MATCH(1462,'Transfer Engine'!$C$2:$C$1960,0)))</f>
        <v/>
      </c>
      <c r="J1471" s="8">
        <f>IF(ISNA(MATCH(1462,'Transfer Engine'!$C$2:$C$1960,0)),"",INDEX('Compliance Database'!$J$2:$J$1960,MATCH(1462,'Transfer Engine'!$C$2:$C$1960,0)))</f>
        <v/>
      </c>
      <c r="K1471" s="9">
        <f>IF(ISNA(MATCH(1462,'Transfer Engine'!$C$2:$C$1960,0)),"",INDEX('Compliance Database'!$K$2:$K$1960,MATCH(1462,'Transfer Engine'!$C$2:$C$1960,0)))</f>
        <v/>
      </c>
      <c r="L1471" s="9">
        <f>IF(ISNA(MATCH(1462,'Transfer Engine'!$C$2:$C$1960,0)),"",INDEX('Compliance Database'!$L$2:$L$1960,MATCH(1462,'Transfer Engine'!$C$2:$C$1960,0)))</f>
        <v/>
      </c>
      <c r="M1471" s="9">
        <f>IF(ISNA(MATCH(1462,'Transfer Engine'!$C$2:$C$1960,0)),"",INDEX('Compliance Database'!$M$2:$M$1960,MATCH(1462,'Transfer Engine'!$C$2:$C$1960,0)))</f>
        <v/>
      </c>
      <c r="N1471" s="9">
        <f>IF(ISNA(MATCH(1462,'Transfer Engine'!$C$2:$C$1960,0)),"",INDEX('Compliance Database'!$N$2:$N$1960,MATCH(1462,'Transfer Engine'!$C$2:$C$1960,0)))</f>
        <v/>
      </c>
      <c r="O1471" s="9">
        <f>IF(ISNA(MATCH(1462,'Transfer Engine'!$C$2:$C$1960,0)),"",INDEX('Compliance Database'!$O$2:$O$1960,MATCH(1462,'Transfer Engine'!$C$2:$C$1960,0)))</f>
        <v/>
      </c>
      <c r="P1471" s="8">
        <f>IF(ISNA(MATCH(1462,'Transfer Engine'!$C$2:$C$1960,0)),"",HYPERLINK("#Acts!A"&amp;INDEX('Compliance Database'!$P$2:$P$1960,MATCH(1462,'Transfer Engine'!$C$2:$C$1960,0)),"Go to Act"))</f>
        <v/>
      </c>
    </row>
    <row r="1472" ht="158" customHeight="1">
      <c r="A1472" s="8">
        <f>IF(ISNA(MATCH(1463,'Transfer Engine'!$C$2:$C$1960,0)),"",INDEX('Compliance Database'!$A$2:$A$1960,MATCH(1463,'Transfer Engine'!$C$2:$C$1960,0)))</f>
        <v/>
      </c>
      <c r="B1472" s="8">
        <f>IF(ISNA(MATCH(1463,'Transfer Engine'!$C$2:$C$1960,0)),"",INDEX('Compliance Database'!$B$2:$B$1960,MATCH(1463,'Transfer Engine'!$C$2:$C$1960,0)))</f>
        <v/>
      </c>
      <c r="C1472" s="8">
        <f>IF(ISNA(MATCH(1463,'Transfer Engine'!$C$2:$C$1960,0)),"",INDEX('Compliance Database'!$C$2:$C$1960,MATCH(1463,'Transfer Engine'!$C$2:$C$1960,0)))</f>
        <v/>
      </c>
      <c r="D1472" s="9">
        <f>IF(ISNA(MATCH(1463,'Transfer Engine'!$C$2:$C$1960,0)),"",INDEX('Compliance Database'!$D$2:$D$1960,MATCH(1463,'Transfer Engine'!$C$2:$C$1960,0)))</f>
        <v/>
      </c>
      <c r="E1472" s="8">
        <f>IF(ISNA(MATCH(1463,'Transfer Engine'!$C$2:$C$1960,0)),"",INDEX('Compliance Database'!$E$2:$E$1960,MATCH(1463,'Transfer Engine'!$C$2:$C$1960,0)))</f>
        <v/>
      </c>
      <c r="F1472" s="8">
        <f>IF(ISNA(MATCH(1463,'Transfer Engine'!$C$2:$C$1960,0)),"",INDEX('Compliance Database'!$F$2:$F$1960,MATCH(1463,'Transfer Engine'!$C$2:$C$1960,0)))</f>
        <v/>
      </c>
      <c r="G1472" s="8">
        <f>IF(ISNA(MATCH(1463,'Transfer Engine'!$C$2:$C$1960,0)),"",INDEX('Compliance Database'!$G$2:$G$1960,MATCH(1463,'Transfer Engine'!$C$2:$C$1960,0)))</f>
        <v/>
      </c>
      <c r="H1472" s="9">
        <f>IF(ISNA(MATCH(1463,'Transfer Engine'!$C$2:$C$1960,0)),"",INDEX('Compliance Database'!$H$2:$H$1960,MATCH(1463,'Transfer Engine'!$C$2:$C$1960,0)))</f>
        <v/>
      </c>
      <c r="I1472" s="9">
        <f>IF(ISNA(MATCH(1463,'Transfer Engine'!$C$2:$C$1960,0)),"",INDEX('Compliance Database'!$I$2:$I$1960,MATCH(1463,'Transfer Engine'!$C$2:$C$1960,0)))</f>
        <v/>
      </c>
      <c r="J1472" s="8">
        <f>IF(ISNA(MATCH(1463,'Transfer Engine'!$C$2:$C$1960,0)),"",INDEX('Compliance Database'!$J$2:$J$1960,MATCH(1463,'Transfer Engine'!$C$2:$C$1960,0)))</f>
        <v/>
      </c>
      <c r="K1472" s="9">
        <f>IF(ISNA(MATCH(1463,'Transfer Engine'!$C$2:$C$1960,0)),"",INDEX('Compliance Database'!$K$2:$K$1960,MATCH(1463,'Transfer Engine'!$C$2:$C$1960,0)))</f>
        <v/>
      </c>
      <c r="L1472" s="9">
        <f>IF(ISNA(MATCH(1463,'Transfer Engine'!$C$2:$C$1960,0)),"",INDEX('Compliance Database'!$L$2:$L$1960,MATCH(1463,'Transfer Engine'!$C$2:$C$1960,0)))</f>
        <v/>
      </c>
      <c r="M1472" s="9">
        <f>IF(ISNA(MATCH(1463,'Transfer Engine'!$C$2:$C$1960,0)),"",INDEX('Compliance Database'!$M$2:$M$1960,MATCH(1463,'Transfer Engine'!$C$2:$C$1960,0)))</f>
        <v/>
      </c>
      <c r="N1472" s="9">
        <f>IF(ISNA(MATCH(1463,'Transfer Engine'!$C$2:$C$1960,0)),"",INDEX('Compliance Database'!$N$2:$N$1960,MATCH(1463,'Transfer Engine'!$C$2:$C$1960,0)))</f>
        <v/>
      </c>
      <c r="O1472" s="9">
        <f>IF(ISNA(MATCH(1463,'Transfer Engine'!$C$2:$C$1960,0)),"",INDEX('Compliance Database'!$O$2:$O$1960,MATCH(1463,'Transfer Engine'!$C$2:$C$1960,0)))</f>
        <v/>
      </c>
      <c r="P1472" s="8">
        <f>IF(ISNA(MATCH(1463,'Transfer Engine'!$C$2:$C$1960,0)),"",HYPERLINK("#Acts!A"&amp;INDEX('Compliance Database'!$P$2:$P$1960,MATCH(1463,'Transfer Engine'!$C$2:$C$1960,0)),"Go to Act"))</f>
        <v/>
      </c>
    </row>
    <row r="1473" ht="158" customHeight="1">
      <c r="A1473" s="8">
        <f>IF(ISNA(MATCH(1464,'Transfer Engine'!$C$2:$C$1960,0)),"",INDEX('Compliance Database'!$A$2:$A$1960,MATCH(1464,'Transfer Engine'!$C$2:$C$1960,0)))</f>
        <v/>
      </c>
      <c r="B1473" s="8">
        <f>IF(ISNA(MATCH(1464,'Transfer Engine'!$C$2:$C$1960,0)),"",INDEX('Compliance Database'!$B$2:$B$1960,MATCH(1464,'Transfer Engine'!$C$2:$C$1960,0)))</f>
        <v/>
      </c>
      <c r="C1473" s="8">
        <f>IF(ISNA(MATCH(1464,'Transfer Engine'!$C$2:$C$1960,0)),"",INDEX('Compliance Database'!$C$2:$C$1960,MATCH(1464,'Transfer Engine'!$C$2:$C$1960,0)))</f>
        <v/>
      </c>
      <c r="D1473" s="9">
        <f>IF(ISNA(MATCH(1464,'Transfer Engine'!$C$2:$C$1960,0)),"",INDEX('Compliance Database'!$D$2:$D$1960,MATCH(1464,'Transfer Engine'!$C$2:$C$1960,0)))</f>
        <v/>
      </c>
      <c r="E1473" s="8">
        <f>IF(ISNA(MATCH(1464,'Transfer Engine'!$C$2:$C$1960,0)),"",INDEX('Compliance Database'!$E$2:$E$1960,MATCH(1464,'Transfer Engine'!$C$2:$C$1960,0)))</f>
        <v/>
      </c>
      <c r="F1473" s="8">
        <f>IF(ISNA(MATCH(1464,'Transfer Engine'!$C$2:$C$1960,0)),"",INDEX('Compliance Database'!$F$2:$F$1960,MATCH(1464,'Transfer Engine'!$C$2:$C$1960,0)))</f>
        <v/>
      </c>
      <c r="G1473" s="8">
        <f>IF(ISNA(MATCH(1464,'Transfer Engine'!$C$2:$C$1960,0)),"",INDEX('Compliance Database'!$G$2:$G$1960,MATCH(1464,'Transfer Engine'!$C$2:$C$1960,0)))</f>
        <v/>
      </c>
      <c r="H1473" s="9">
        <f>IF(ISNA(MATCH(1464,'Transfer Engine'!$C$2:$C$1960,0)),"",INDEX('Compliance Database'!$H$2:$H$1960,MATCH(1464,'Transfer Engine'!$C$2:$C$1960,0)))</f>
        <v/>
      </c>
      <c r="I1473" s="9">
        <f>IF(ISNA(MATCH(1464,'Transfer Engine'!$C$2:$C$1960,0)),"",INDEX('Compliance Database'!$I$2:$I$1960,MATCH(1464,'Transfer Engine'!$C$2:$C$1960,0)))</f>
        <v/>
      </c>
      <c r="J1473" s="8">
        <f>IF(ISNA(MATCH(1464,'Transfer Engine'!$C$2:$C$1960,0)),"",INDEX('Compliance Database'!$J$2:$J$1960,MATCH(1464,'Transfer Engine'!$C$2:$C$1960,0)))</f>
        <v/>
      </c>
      <c r="K1473" s="9">
        <f>IF(ISNA(MATCH(1464,'Transfer Engine'!$C$2:$C$1960,0)),"",INDEX('Compliance Database'!$K$2:$K$1960,MATCH(1464,'Transfer Engine'!$C$2:$C$1960,0)))</f>
        <v/>
      </c>
      <c r="L1473" s="9">
        <f>IF(ISNA(MATCH(1464,'Transfer Engine'!$C$2:$C$1960,0)),"",INDEX('Compliance Database'!$L$2:$L$1960,MATCH(1464,'Transfer Engine'!$C$2:$C$1960,0)))</f>
        <v/>
      </c>
      <c r="M1473" s="9">
        <f>IF(ISNA(MATCH(1464,'Transfer Engine'!$C$2:$C$1960,0)),"",INDEX('Compliance Database'!$M$2:$M$1960,MATCH(1464,'Transfer Engine'!$C$2:$C$1960,0)))</f>
        <v/>
      </c>
      <c r="N1473" s="9">
        <f>IF(ISNA(MATCH(1464,'Transfer Engine'!$C$2:$C$1960,0)),"",INDEX('Compliance Database'!$N$2:$N$1960,MATCH(1464,'Transfer Engine'!$C$2:$C$1960,0)))</f>
        <v/>
      </c>
      <c r="O1473" s="9">
        <f>IF(ISNA(MATCH(1464,'Transfer Engine'!$C$2:$C$1960,0)),"",INDEX('Compliance Database'!$O$2:$O$1960,MATCH(1464,'Transfer Engine'!$C$2:$C$1960,0)))</f>
        <v/>
      </c>
      <c r="P1473" s="8">
        <f>IF(ISNA(MATCH(1464,'Transfer Engine'!$C$2:$C$1960,0)),"",HYPERLINK("#Acts!A"&amp;INDEX('Compliance Database'!$P$2:$P$1960,MATCH(1464,'Transfer Engine'!$C$2:$C$1960,0)),"Go to Act"))</f>
        <v/>
      </c>
    </row>
    <row r="1474" ht="158" customHeight="1">
      <c r="A1474" s="8">
        <f>IF(ISNA(MATCH(1465,'Transfer Engine'!$C$2:$C$1960,0)),"",INDEX('Compliance Database'!$A$2:$A$1960,MATCH(1465,'Transfer Engine'!$C$2:$C$1960,0)))</f>
        <v/>
      </c>
      <c r="B1474" s="8">
        <f>IF(ISNA(MATCH(1465,'Transfer Engine'!$C$2:$C$1960,0)),"",INDEX('Compliance Database'!$B$2:$B$1960,MATCH(1465,'Transfer Engine'!$C$2:$C$1960,0)))</f>
        <v/>
      </c>
      <c r="C1474" s="8">
        <f>IF(ISNA(MATCH(1465,'Transfer Engine'!$C$2:$C$1960,0)),"",INDEX('Compliance Database'!$C$2:$C$1960,MATCH(1465,'Transfer Engine'!$C$2:$C$1960,0)))</f>
        <v/>
      </c>
      <c r="D1474" s="9">
        <f>IF(ISNA(MATCH(1465,'Transfer Engine'!$C$2:$C$1960,0)),"",INDEX('Compliance Database'!$D$2:$D$1960,MATCH(1465,'Transfer Engine'!$C$2:$C$1960,0)))</f>
        <v/>
      </c>
      <c r="E1474" s="8">
        <f>IF(ISNA(MATCH(1465,'Transfer Engine'!$C$2:$C$1960,0)),"",INDEX('Compliance Database'!$E$2:$E$1960,MATCH(1465,'Transfer Engine'!$C$2:$C$1960,0)))</f>
        <v/>
      </c>
      <c r="F1474" s="8">
        <f>IF(ISNA(MATCH(1465,'Transfer Engine'!$C$2:$C$1960,0)),"",INDEX('Compliance Database'!$F$2:$F$1960,MATCH(1465,'Transfer Engine'!$C$2:$C$1960,0)))</f>
        <v/>
      </c>
      <c r="G1474" s="8">
        <f>IF(ISNA(MATCH(1465,'Transfer Engine'!$C$2:$C$1960,0)),"",INDEX('Compliance Database'!$G$2:$G$1960,MATCH(1465,'Transfer Engine'!$C$2:$C$1960,0)))</f>
        <v/>
      </c>
      <c r="H1474" s="9">
        <f>IF(ISNA(MATCH(1465,'Transfer Engine'!$C$2:$C$1960,0)),"",INDEX('Compliance Database'!$H$2:$H$1960,MATCH(1465,'Transfer Engine'!$C$2:$C$1960,0)))</f>
        <v/>
      </c>
      <c r="I1474" s="9">
        <f>IF(ISNA(MATCH(1465,'Transfer Engine'!$C$2:$C$1960,0)),"",INDEX('Compliance Database'!$I$2:$I$1960,MATCH(1465,'Transfer Engine'!$C$2:$C$1960,0)))</f>
        <v/>
      </c>
      <c r="J1474" s="8">
        <f>IF(ISNA(MATCH(1465,'Transfer Engine'!$C$2:$C$1960,0)),"",INDEX('Compliance Database'!$J$2:$J$1960,MATCH(1465,'Transfer Engine'!$C$2:$C$1960,0)))</f>
        <v/>
      </c>
      <c r="K1474" s="9">
        <f>IF(ISNA(MATCH(1465,'Transfer Engine'!$C$2:$C$1960,0)),"",INDEX('Compliance Database'!$K$2:$K$1960,MATCH(1465,'Transfer Engine'!$C$2:$C$1960,0)))</f>
        <v/>
      </c>
      <c r="L1474" s="9">
        <f>IF(ISNA(MATCH(1465,'Transfer Engine'!$C$2:$C$1960,0)),"",INDEX('Compliance Database'!$L$2:$L$1960,MATCH(1465,'Transfer Engine'!$C$2:$C$1960,0)))</f>
        <v/>
      </c>
      <c r="M1474" s="9">
        <f>IF(ISNA(MATCH(1465,'Transfer Engine'!$C$2:$C$1960,0)),"",INDEX('Compliance Database'!$M$2:$M$1960,MATCH(1465,'Transfer Engine'!$C$2:$C$1960,0)))</f>
        <v/>
      </c>
      <c r="N1474" s="9">
        <f>IF(ISNA(MATCH(1465,'Transfer Engine'!$C$2:$C$1960,0)),"",INDEX('Compliance Database'!$N$2:$N$1960,MATCH(1465,'Transfer Engine'!$C$2:$C$1960,0)))</f>
        <v/>
      </c>
      <c r="O1474" s="9">
        <f>IF(ISNA(MATCH(1465,'Transfer Engine'!$C$2:$C$1960,0)),"",INDEX('Compliance Database'!$O$2:$O$1960,MATCH(1465,'Transfer Engine'!$C$2:$C$1960,0)))</f>
        <v/>
      </c>
      <c r="P1474" s="8">
        <f>IF(ISNA(MATCH(1465,'Transfer Engine'!$C$2:$C$1960,0)),"",HYPERLINK("#Acts!A"&amp;INDEX('Compliance Database'!$P$2:$P$1960,MATCH(1465,'Transfer Engine'!$C$2:$C$1960,0)),"Go to Act"))</f>
        <v/>
      </c>
    </row>
    <row r="1475" ht="158" customHeight="1">
      <c r="A1475" s="8">
        <f>IF(ISNA(MATCH(1466,'Transfer Engine'!$C$2:$C$1960,0)),"",INDEX('Compliance Database'!$A$2:$A$1960,MATCH(1466,'Transfer Engine'!$C$2:$C$1960,0)))</f>
        <v/>
      </c>
      <c r="B1475" s="8">
        <f>IF(ISNA(MATCH(1466,'Transfer Engine'!$C$2:$C$1960,0)),"",INDEX('Compliance Database'!$B$2:$B$1960,MATCH(1466,'Transfer Engine'!$C$2:$C$1960,0)))</f>
        <v/>
      </c>
      <c r="C1475" s="8">
        <f>IF(ISNA(MATCH(1466,'Transfer Engine'!$C$2:$C$1960,0)),"",INDEX('Compliance Database'!$C$2:$C$1960,MATCH(1466,'Transfer Engine'!$C$2:$C$1960,0)))</f>
        <v/>
      </c>
      <c r="D1475" s="9">
        <f>IF(ISNA(MATCH(1466,'Transfer Engine'!$C$2:$C$1960,0)),"",INDEX('Compliance Database'!$D$2:$D$1960,MATCH(1466,'Transfer Engine'!$C$2:$C$1960,0)))</f>
        <v/>
      </c>
      <c r="E1475" s="8">
        <f>IF(ISNA(MATCH(1466,'Transfer Engine'!$C$2:$C$1960,0)),"",INDEX('Compliance Database'!$E$2:$E$1960,MATCH(1466,'Transfer Engine'!$C$2:$C$1960,0)))</f>
        <v/>
      </c>
      <c r="F1475" s="8">
        <f>IF(ISNA(MATCH(1466,'Transfer Engine'!$C$2:$C$1960,0)),"",INDEX('Compliance Database'!$F$2:$F$1960,MATCH(1466,'Transfer Engine'!$C$2:$C$1960,0)))</f>
        <v/>
      </c>
      <c r="G1475" s="8">
        <f>IF(ISNA(MATCH(1466,'Transfer Engine'!$C$2:$C$1960,0)),"",INDEX('Compliance Database'!$G$2:$G$1960,MATCH(1466,'Transfer Engine'!$C$2:$C$1960,0)))</f>
        <v/>
      </c>
      <c r="H1475" s="9">
        <f>IF(ISNA(MATCH(1466,'Transfer Engine'!$C$2:$C$1960,0)),"",INDEX('Compliance Database'!$H$2:$H$1960,MATCH(1466,'Transfer Engine'!$C$2:$C$1960,0)))</f>
        <v/>
      </c>
      <c r="I1475" s="9">
        <f>IF(ISNA(MATCH(1466,'Transfer Engine'!$C$2:$C$1960,0)),"",INDEX('Compliance Database'!$I$2:$I$1960,MATCH(1466,'Transfer Engine'!$C$2:$C$1960,0)))</f>
        <v/>
      </c>
      <c r="J1475" s="8">
        <f>IF(ISNA(MATCH(1466,'Transfer Engine'!$C$2:$C$1960,0)),"",INDEX('Compliance Database'!$J$2:$J$1960,MATCH(1466,'Transfer Engine'!$C$2:$C$1960,0)))</f>
        <v/>
      </c>
      <c r="K1475" s="9">
        <f>IF(ISNA(MATCH(1466,'Transfer Engine'!$C$2:$C$1960,0)),"",INDEX('Compliance Database'!$K$2:$K$1960,MATCH(1466,'Transfer Engine'!$C$2:$C$1960,0)))</f>
        <v/>
      </c>
      <c r="L1475" s="9">
        <f>IF(ISNA(MATCH(1466,'Transfer Engine'!$C$2:$C$1960,0)),"",INDEX('Compliance Database'!$L$2:$L$1960,MATCH(1466,'Transfer Engine'!$C$2:$C$1960,0)))</f>
        <v/>
      </c>
      <c r="M1475" s="9">
        <f>IF(ISNA(MATCH(1466,'Transfer Engine'!$C$2:$C$1960,0)),"",INDEX('Compliance Database'!$M$2:$M$1960,MATCH(1466,'Transfer Engine'!$C$2:$C$1960,0)))</f>
        <v/>
      </c>
      <c r="N1475" s="9">
        <f>IF(ISNA(MATCH(1466,'Transfer Engine'!$C$2:$C$1960,0)),"",INDEX('Compliance Database'!$N$2:$N$1960,MATCH(1466,'Transfer Engine'!$C$2:$C$1960,0)))</f>
        <v/>
      </c>
      <c r="O1475" s="9">
        <f>IF(ISNA(MATCH(1466,'Transfer Engine'!$C$2:$C$1960,0)),"",INDEX('Compliance Database'!$O$2:$O$1960,MATCH(1466,'Transfer Engine'!$C$2:$C$1960,0)))</f>
        <v/>
      </c>
      <c r="P1475" s="8">
        <f>IF(ISNA(MATCH(1466,'Transfer Engine'!$C$2:$C$1960,0)),"",HYPERLINK("#Acts!A"&amp;INDEX('Compliance Database'!$P$2:$P$1960,MATCH(1466,'Transfer Engine'!$C$2:$C$1960,0)),"Go to Act"))</f>
        <v/>
      </c>
    </row>
    <row r="1476" ht="158" customHeight="1">
      <c r="A1476" s="8">
        <f>IF(ISNA(MATCH(1467,'Transfer Engine'!$C$2:$C$1960,0)),"",INDEX('Compliance Database'!$A$2:$A$1960,MATCH(1467,'Transfer Engine'!$C$2:$C$1960,0)))</f>
        <v/>
      </c>
      <c r="B1476" s="8">
        <f>IF(ISNA(MATCH(1467,'Transfer Engine'!$C$2:$C$1960,0)),"",INDEX('Compliance Database'!$B$2:$B$1960,MATCH(1467,'Transfer Engine'!$C$2:$C$1960,0)))</f>
        <v/>
      </c>
      <c r="C1476" s="8">
        <f>IF(ISNA(MATCH(1467,'Transfer Engine'!$C$2:$C$1960,0)),"",INDEX('Compliance Database'!$C$2:$C$1960,MATCH(1467,'Transfer Engine'!$C$2:$C$1960,0)))</f>
        <v/>
      </c>
      <c r="D1476" s="9">
        <f>IF(ISNA(MATCH(1467,'Transfer Engine'!$C$2:$C$1960,0)),"",INDEX('Compliance Database'!$D$2:$D$1960,MATCH(1467,'Transfer Engine'!$C$2:$C$1960,0)))</f>
        <v/>
      </c>
      <c r="E1476" s="8">
        <f>IF(ISNA(MATCH(1467,'Transfer Engine'!$C$2:$C$1960,0)),"",INDEX('Compliance Database'!$E$2:$E$1960,MATCH(1467,'Transfer Engine'!$C$2:$C$1960,0)))</f>
        <v/>
      </c>
      <c r="F1476" s="8">
        <f>IF(ISNA(MATCH(1467,'Transfer Engine'!$C$2:$C$1960,0)),"",INDEX('Compliance Database'!$F$2:$F$1960,MATCH(1467,'Transfer Engine'!$C$2:$C$1960,0)))</f>
        <v/>
      </c>
      <c r="G1476" s="8">
        <f>IF(ISNA(MATCH(1467,'Transfer Engine'!$C$2:$C$1960,0)),"",INDEX('Compliance Database'!$G$2:$G$1960,MATCH(1467,'Transfer Engine'!$C$2:$C$1960,0)))</f>
        <v/>
      </c>
      <c r="H1476" s="9">
        <f>IF(ISNA(MATCH(1467,'Transfer Engine'!$C$2:$C$1960,0)),"",INDEX('Compliance Database'!$H$2:$H$1960,MATCH(1467,'Transfer Engine'!$C$2:$C$1960,0)))</f>
        <v/>
      </c>
      <c r="I1476" s="9">
        <f>IF(ISNA(MATCH(1467,'Transfer Engine'!$C$2:$C$1960,0)),"",INDEX('Compliance Database'!$I$2:$I$1960,MATCH(1467,'Transfer Engine'!$C$2:$C$1960,0)))</f>
        <v/>
      </c>
      <c r="J1476" s="8">
        <f>IF(ISNA(MATCH(1467,'Transfer Engine'!$C$2:$C$1960,0)),"",INDEX('Compliance Database'!$J$2:$J$1960,MATCH(1467,'Transfer Engine'!$C$2:$C$1960,0)))</f>
        <v/>
      </c>
      <c r="K1476" s="9">
        <f>IF(ISNA(MATCH(1467,'Transfer Engine'!$C$2:$C$1960,0)),"",INDEX('Compliance Database'!$K$2:$K$1960,MATCH(1467,'Transfer Engine'!$C$2:$C$1960,0)))</f>
        <v/>
      </c>
      <c r="L1476" s="9">
        <f>IF(ISNA(MATCH(1467,'Transfer Engine'!$C$2:$C$1960,0)),"",INDEX('Compliance Database'!$L$2:$L$1960,MATCH(1467,'Transfer Engine'!$C$2:$C$1960,0)))</f>
        <v/>
      </c>
      <c r="M1476" s="9">
        <f>IF(ISNA(MATCH(1467,'Transfer Engine'!$C$2:$C$1960,0)),"",INDEX('Compliance Database'!$M$2:$M$1960,MATCH(1467,'Transfer Engine'!$C$2:$C$1960,0)))</f>
        <v/>
      </c>
      <c r="N1476" s="9">
        <f>IF(ISNA(MATCH(1467,'Transfer Engine'!$C$2:$C$1960,0)),"",INDEX('Compliance Database'!$N$2:$N$1960,MATCH(1467,'Transfer Engine'!$C$2:$C$1960,0)))</f>
        <v/>
      </c>
      <c r="O1476" s="9">
        <f>IF(ISNA(MATCH(1467,'Transfer Engine'!$C$2:$C$1960,0)),"",INDEX('Compliance Database'!$O$2:$O$1960,MATCH(1467,'Transfer Engine'!$C$2:$C$1960,0)))</f>
        <v/>
      </c>
      <c r="P1476" s="8">
        <f>IF(ISNA(MATCH(1467,'Transfer Engine'!$C$2:$C$1960,0)),"",HYPERLINK("#Acts!A"&amp;INDEX('Compliance Database'!$P$2:$P$1960,MATCH(1467,'Transfer Engine'!$C$2:$C$1960,0)),"Go to Act"))</f>
        <v/>
      </c>
    </row>
    <row r="1477" ht="158" customHeight="1">
      <c r="A1477" s="8">
        <f>IF(ISNA(MATCH(1468,'Transfer Engine'!$C$2:$C$1960,0)),"",INDEX('Compliance Database'!$A$2:$A$1960,MATCH(1468,'Transfer Engine'!$C$2:$C$1960,0)))</f>
        <v/>
      </c>
      <c r="B1477" s="8">
        <f>IF(ISNA(MATCH(1468,'Transfer Engine'!$C$2:$C$1960,0)),"",INDEX('Compliance Database'!$B$2:$B$1960,MATCH(1468,'Transfer Engine'!$C$2:$C$1960,0)))</f>
        <v/>
      </c>
      <c r="C1477" s="8">
        <f>IF(ISNA(MATCH(1468,'Transfer Engine'!$C$2:$C$1960,0)),"",INDEX('Compliance Database'!$C$2:$C$1960,MATCH(1468,'Transfer Engine'!$C$2:$C$1960,0)))</f>
        <v/>
      </c>
      <c r="D1477" s="9">
        <f>IF(ISNA(MATCH(1468,'Transfer Engine'!$C$2:$C$1960,0)),"",INDEX('Compliance Database'!$D$2:$D$1960,MATCH(1468,'Transfer Engine'!$C$2:$C$1960,0)))</f>
        <v/>
      </c>
      <c r="E1477" s="8">
        <f>IF(ISNA(MATCH(1468,'Transfer Engine'!$C$2:$C$1960,0)),"",INDEX('Compliance Database'!$E$2:$E$1960,MATCH(1468,'Transfer Engine'!$C$2:$C$1960,0)))</f>
        <v/>
      </c>
      <c r="F1477" s="8">
        <f>IF(ISNA(MATCH(1468,'Transfer Engine'!$C$2:$C$1960,0)),"",INDEX('Compliance Database'!$F$2:$F$1960,MATCH(1468,'Transfer Engine'!$C$2:$C$1960,0)))</f>
        <v/>
      </c>
      <c r="G1477" s="8">
        <f>IF(ISNA(MATCH(1468,'Transfer Engine'!$C$2:$C$1960,0)),"",INDEX('Compliance Database'!$G$2:$G$1960,MATCH(1468,'Transfer Engine'!$C$2:$C$1960,0)))</f>
        <v/>
      </c>
      <c r="H1477" s="9">
        <f>IF(ISNA(MATCH(1468,'Transfer Engine'!$C$2:$C$1960,0)),"",INDEX('Compliance Database'!$H$2:$H$1960,MATCH(1468,'Transfer Engine'!$C$2:$C$1960,0)))</f>
        <v/>
      </c>
      <c r="I1477" s="9">
        <f>IF(ISNA(MATCH(1468,'Transfer Engine'!$C$2:$C$1960,0)),"",INDEX('Compliance Database'!$I$2:$I$1960,MATCH(1468,'Transfer Engine'!$C$2:$C$1960,0)))</f>
        <v/>
      </c>
      <c r="J1477" s="8">
        <f>IF(ISNA(MATCH(1468,'Transfer Engine'!$C$2:$C$1960,0)),"",INDEX('Compliance Database'!$J$2:$J$1960,MATCH(1468,'Transfer Engine'!$C$2:$C$1960,0)))</f>
        <v/>
      </c>
      <c r="K1477" s="9">
        <f>IF(ISNA(MATCH(1468,'Transfer Engine'!$C$2:$C$1960,0)),"",INDEX('Compliance Database'!$K$2:$K$1960,MATCH(1468,'Transfer Engine'!$C$2:$C$1960,0)))</f>
        <v/>
      </c>
      <c r="L1477" s="9">
        <f>IF(ISNA(MATCH(1468,'Transfer Engine'!$C$2:$C$1960,0)),"",INDEX('Compliance Database'!$L$2:$L$1960,MATCH(1468,'Transfer Engine'!$C$2:$C$1960,0)))</f>
        <v/>
      </c>
      <c r="M1477" s="9">
        <f>IF(ISNA(MATCH(1468,'Transfer Engine'!$C$2:$C$1960,0)),"",INDEX('Compliance Database'!$M$2:$M$1960,MATCH(1468,'Transfer Engine'!$C$2:$C$1960,0)))</f>
        <v/>
      </c>
      <c r="N1477" s="9">
        <f>IF(ISNA(MATCH(1468,'Transfer Engine'!$C$2:$C$1960,0)),"",INDEX('Compliance Database'!$N$2:$N$1960,MATCH(1468,'Transfer Engine'!$C$2:$C$1960,0)))</f>
        <v/>
      </c>
      <c r="O1477" s="9">
        <f>IF(ISNA(MATCH(1468,'Transfer Engine'!$C$2:$C$1960,0)),"",INDEX('Compliance Database'!$O$2:$O$1960,MATCH(1468,'Transfer Engine'!$C$2:$C$1960,0)))</f>
        <v/>
      </c>
      <c r="P1477" s="8">
        <f>IF(ISNA(MATCH(1468,'Transfer Engine'!$C$2:$C$1960,0)),"",HYPERLINK("#Acts!A"&amp;INDEX('Compliance Database'!$P$2:$P$1960,MATCH(1468,'Transfer Engine'!$C$2:$C$1960,0)),"Go to Act"))</f>
        <v/>
      </c>
    </row>
    <row r="1478" ht="158" customHeight="1">
      <c r="A1478" s="8">
        <f>IF(ISNA(MATCH(1469,'Transfer Engine'!$C$2:$C$1960,0)),"",INDEX('Compliance Database'!$A$2:$A$1960,MATCH(1469,'Transfer Engine'!$C$2:$C$1960,0)))</f>
        <v/>
      </c>
      <c r="B1478" s="8">
        <f>IF(ISNA(MATCH(1469,'Transfer Engine'!$C$2:$C$1960,0)),"",INDEX('Compliance Database'!$B$2:$B$1960,MATCH(1469,'Transfer Engine'!$C$2:$C$1960,0)))</f>
        <v/>
      </c>
      <c r="C1478" s="8">
        <f>IF(ISNA(MATCH(1469,'Transfer Engine'!$C$2:$C$1960,0)),"",INDEX('Compliance Database'!$C$2:$C$1960,MATCH(1469,'Transfer Engine'!$C$2:$C$1960,0)))</f>
        <v/>
      </c>
      <c r="D1478" s="9">
        <f>IF(ISNA(MATCH(1469,'Transfer Engine'!$C$2:$C$1960,0)),"",INDEX('Compliance Database'!$D$2:$D$1960,MATCH(1469,'Transfer Engine'!$C$2:$C$1960,0)))</f>
        <v/>
      </c>
      <c r="E1478" s="8">
        <f>IF(ISNA(MATCH(1469,'Transfer Engine'!$C$2:$C$1960,0)),"",INDEX('Compliance Database'!$E$2:$E$1960,MATCH(1469,'Transfer Engine'!$C$2:$C$1960,0)))</f>
        <v/>
      </c>
      <c r="F1478" s="8">
        <f>IF(ISNA(MATCH(1469,'Transfer Engine'!$C$2:$C$1960,0)),"",INDEX('Compliance Database'!$F$2:$F$1960,MATCH(1469,'Transfer Engine'!$C$2:$C$1960,0)))</f>
        <v/>
      </c>
      <c r="G1478" s="8">
        <f>IF(ISNA(MATCH(1469,'Transfer Engine'!$C$2:$C$1960,0)),"",INDEX('Compliance Database'!$G$2:$G$1960,MATCH(1469,'Transfer Engine'!$C$2:$C$1960,0)))</f>
        <v/>
      </c>
      <c r="H1478" s="9">
        <f>IF(ISNA(MATCH(1469,'Transfer Engine'!$C$2:$C$1960,0)),"",INDEX('Compliance Database'!$H$2:$H$1960,MATCH(1469,'Transfer Engine'!$C$2:$C$1960,0)))</f>
        <v/>
      </c>
      <c r="I1478" s="9">
        <f>IF(ISNA(MATCH(1469,'Transfer Engine'!$C$2:$C$1960,0)),"",INDEX('Compliance Database'!$I$2:$I$1960,MATCH(1469,'Transfer Engine'!$C$2:$C$1960,0)))</f>
        <v/>
      </c>
      <c r="J1478" s="8">
        <f>IF(ISNA(MATCH(1469,'Transfer Engine'!$C$2:$C$1960,0)),"",INDEX('Compliance Database'!$J$2:$J$1960,MATCH(1469,'Transfer Engine'!$C$2:$C$1960,0)))</f>
        <v/>
      </c>
      <c r="K1478" s="9">
        <f>IF(ISNA(MATCH(1469,'Transfer Engine'!$C$2:$C$1960,0)),"",INDEX('Compliance Database'!$K$2:$K$1960,MATCH(1469,'Transfer Engine'!$C$2:$C$1960,0)))</f>
        <v/>
      </c>
      <c r="L1478" s="9">
        <f>IF(ISNA(MATCH(1469,'Transfer Engine'!$C$2:$C$1960,0)),"",INDEX('Compliance Database'!$L$2:$L$1960,MATCH(1469,'Transfer Engine'!$C$2:$C$1960,0)))</f>
        <v/>
      </c>
      <c r="M1478" s="9">
        <f>IF(ISNA(MATCH(1469,'Transfer Engine'!$C$2:$C$1960,0)),"",INDEX('Compliance Database'!$M$2:$M$1960,MATCH(1469,'Transfer Engine'!$C$2:$C$1960,0)))</f>
        <v/>
      </c>
      <c r="N1478" s="9">
        <f>IF(ISNA(MATCH(1469,'Transfer Engine'!$C$2:$C$1960,0)),"",INDEX('Compliance Database'!$N$2:$N$1960,MATCH(1469,'Transfer Engine'!$C$2:$C$1960,0)))</f>
        <v/>
      </c>
      <c r="O1478" s="9">
        <f>IF(ISNA(MATCH(1469,'Transfer Engine'!$C$2:$C$1960,0)),"",INDEX('Compliance Database'!$O$2:$O$1960,MATCH(1469,'Transfer Engine'!$C$2:$C$1960,0)))</f>
        <v/>
      </c>
      <c r="P1478" s="8">
        <f>IF(ISNA(MATCH(1469,'Transfer Engine'!$C$2:$C$1960,0)),"",HYPERLINK("#Acts!A"&amp;INDEX('Compliance Database'!$P$2:$P$1960,MATCH(1469,'Transfer Engine'!$C$2:$C$1960,0)),"Go to Act"))</f>
        <v/>
      </c>
    </row>
    <row r="1479" ht="158" customHeight="1">
      <c r="A1479" s="8">
        <f>IF(ISNA(MATCH(1470,'Transfer Engine'!$C$2:$C$1960,0)),"",INDEX('Compliance Database'!$A$2:$A$1960,MATCH(1470,'Transfer Engine'!$C$2:$C$1960,0)))</f>
        <v/>
      </c>
      <c r="B1479" s="8">
        <f>IF(ISNA(MATCH(1470,'Transfer Engine'!$C$2:$C$1960,0)),"",INDEX('Compliance Database'!$B$2:$B$1960,MATCH(1470,'Transfer Engine'!$C$2:$C$1960,0)))</f>
        <v/>
      </c>
      <c r="C1479" s="8">
        <f>IF(ISNA(MATCH(1470,'Transfer Engine'!$C$2:$C$1960,0)),"",INDEX('Compliance Database'!$C$2:$C$1960,MATCH(1470,'Transfer Engine'!$C$2:$C$1960,0)))</f>
        <v/>
      </c>
      <c r="D1479" s="9">
        <f>IF(ISNA(MATCH(1470,'Transfer Engine'!$C$2:$C$1960,0)),"",INDEX('Compliance Database'!$D$2:$D$1960,MATCH(1470,'Transfer Engine'!$C$2:$C$1960,0)))</f>
        <v/>
      </c>
      <c r="E1479" s="8">
        <f>IF(ISNA(MATCH(1470,'Transfer Engine'!$C$2:$C$1960,0)),"",INDEX('Compliance Database'!$E$2:$E$1960,MATCH(1470,'Transfer Engine'!$C$2:$C$1960,0)))</f>
        <v/>
      </c>
      <c r="F1479" s="8">
        <f>IF(ISNA(MATCH(1470,'Transfer Engine'!$C$2:$C$1960,0)),"",INDEX('Compliance Database'!$F$2:$F$1960,MATCH(1470,'Transfer Engine'!$C$2:$C$1960,0)))</f>
        <v/>
      </c>
      <c r="G1479" s="8">
        <f>IF(ISNA(MATCH(1470,'Transfer Engine'!$C$2:$C$1960,0)),"",INDEX('Compliance Database'!$G$2:$G$1960,MATCH(1470,'Transfer Engine'!$C$2:$C$1960,0)))</f>
        <v/>
      </c>
      <c r="H1479" s="9">
        <f>IF(ISNA(MATCH(1470,'Transfer Engine'!$C$2:$C$1960,0)),"",INDEX('Compliance Database'!$H$2:$H$1960,MATCH(1470,'Transfer Engine'!$C$2:$C$1960,0)))</f>
        <v/>
      </c>
      <c r="I1479" s="9">
        <f>IF(ISNA(MATCH(1470,'Transfer Engine'!$C$2:$C$1960,0)),"",INDEX('Compliance Database'!$I$2:$I$1960,MATCH(1470,'Transfer Engine'!$C$2:$C$1960,0)))</f>
        <v/>
      </c>
      <c r="J1479" s="8">
        <f>IF(ISNA(MATCH(1470,'Transfer Engine'!$C$2:$C$1960,0)),"",INDEX('Compliance Database'!$J$2:$J$1960,MATCH(1470,'Transfer Engine'!$C$2:$C$1960,0)))</f>
        <v/>
      </c>
      <c r="K1479" s="9">
        <f>IF(ISNA(MATCH(1470,'Transfer Engine'!$C$2:$C$1960,0)),"",INDEX('Compliance Database'!$K$2:$K$1960,MATCH(1470,'Transfer Engine'!$C$2:$C$1960,0)))</f>
        <v/>
      </c>
      <c r="L1479" s="9">
        <f>IF(ISNA(MATCH(1470,'Transfer Engine'!$C$2:$C$1960,0)),"",INDEX('Compliance Database'!$L$2:$L$1960,MATCH(1470,'Transfer Engine'!$C$2:$C$1960,0)))</f>
        <v/>
      </c>
      <c r="M1479" s="9">
        <f>IF(ISNA(MATCH(1470,'Transfer Engine'!$C$2:$C$1960,0)),"",INDEX('Compliance Database'!$M$2:$M$1960,MATCH(1470,'Transfer Engine'!$C$2:$C$1960,0)))</f>
        <v/>
      </c>
      <c r="N1479" s="9">
        <f>IF(ISNA(MATCH(1470,'Transfer Engine'!$C$2:$C$1960,0)),"",INDEX('Compliance Database'!$N$2:$N$1960,MATCH(1470,'Transfer Engine'!$C$2:$C$1960,0)))</f>
        <v/>
      </c>
      <c r="O1479" s="9">
        <f>IF(ISNA(MATCH(1470,'Transfer Engine'!$C$2:$C$1960,0)),"",INDEX('Compliance Database'!$O$2:$O$1960,MATCH(1470,'Transfer Engine'!$C$2:$C$1960,0)))</f>
        <v/>
      </c>
      <c r="P1479" s="8">
        <f>IF(ISNA(MATCH(1470,'Transfer Engine'!$C$2:$C$1960,0)),"",HYPERLINK("#Acts!A"&amp;INDEX('Compliance Database'!$P$2:$P$1960,MATCH(1470,'Transfer Engine'!$C$2:$C$1960,0)),"Go to Act"))</f>
        <v/>
      </c>
    </row>
    <row r="1480" ht="158" customHeight="1">
      <c r="A1480" s="8">
        <f>IF(ISNA(MATCH(1471,'Transfer Engine'!$C$2:$C$1960,0)),"",INDEX('Compliance Database'!$A$2:$A$1960,MATCH(1471,'Transfer Engine'!$C$2:$C$1960,0)))</f>
        <v/>
      </c>
      <c r="B1480" s="8">
        <f>IF(ISNA(MATCH(1471,'Transfer Engine'!$C$2:$C$1960,0)),"",INDEX('Compliance Database'!$B$2:$B$1960,MATCH(1471,'Transfer Engine'!$C$2:$C$1960,0)))</f>
        <v/>
      </c>
      <c r="C1480" s="8">
        <f>IF(ISNA(MATCH(1471,'Transfer Engine'!$C$2:$C$1960,0)),"",INDEX('Compliance Database'!$C$2:$C$1960,MATCH(1471,'Transfer Engine'!$C$2:$C$1960,0)))</f>
        <v/>
      </c>
      <c r="D1480" s="9">
        <f>IF(ISNA(MATCH(1471,'Transfer Engine'!$C$2:$C$1960,0)),"",INDEX('Compliance Database'!$D$2:$D$1960,MATCH(1471,'Transfer Engine'!$C$2:$C$1960,0)))</f>
        <v/>
      </c>
      <c r="E1480" s="8">
        <f>IF(ISNA(MATCH(1471,'Transfer Engine'!$C$2:$C$1960,0)),"",INDEX('Compliance Database'!$E$2:$E$1960,MATCH(1471,'Transfer Engine'!$C$2:$C$1960,0)))</f>
        <v/>
      </c>
      <c r="F1480" s="8">
        <f>IF(ISNA(MATCH(1471,'Transfer Engine'!$C$2:$C$1960,0)),"",INDEX('Compliance Database'!$F$2:$F$1960,MATCH(1471,'Transfer Engine'!$C$2:$C$1960,0)))</f>
        <v/>
      </c>
      <c r="G1480" s="8">
        <f>IF(ISNA(MATCH(1471,'Transfer Engine'!$C$2:$C$1960,0)),"",INDEX('Compliance Database'!$G$2:$G$1960,MATCH(1471,'Transfer Engine'!$C$2:$C$1960,0)))</f>
        <v/>
      </c>
      <c r="H1480" s="9">
        <f>IF(ISNA(MATCH(1471,'Transfer Engine'!$C$2:$C$1960,0)),"",INDEX('Compliance Database'!$H$2:$H$1960,MATCH(1471,'Transfer Engine'!$C$2:$C$1960,0)))</f>
        <v/>
      </c>
      <c r="I1480" s="9">
        <f>IF(ISNA(MATCH(1471,'Transfer Engine'!$C$2:$C$1960,0)),"",INDEX('Compliance Database'!$I$2:$I$1960,MATCH(1471,'Transfer Engine'!$C$2:$C$1960,0)))</f>
        <v/>
      </c>
      <c r="J1480" s="8">
        <f>IF(ISNA(MATCH(1471,'Transfer Engine'!$C$2:$C$1960,0)),"",INDEX('Compliance Database'!$J$2:$J$1960,MATCH(1471,'Transfer Engine'!$C$2:$C$1960,0)))</f>
        <v/>
      </c>
      <c r="K1480" s="9">
        <f>IF(ISNA(MATCH(1471,'Transfer Engine'!$C$2:$C$1960,0)),"",INDEX('Compliance Database'!$K$2:$K$1960,MATCH(1471,'Transfer Engine'!$C$2:$C$1960,0)))</f>
        <v/>
      </c>
      <c r="L1480" s="9">
        <f>IF(ISNA(MATCH(1471,'Transfer Engine'!$C$2:$C$1960,0)),"",INDEX('Compliance Database'!$L$2:$L$1960,MATCH(1471,'Transfer Engine'!$C$2:$C$1960,0)))</f>
        <v/>
      </c>
      <c r="M1480" s="9">
        <f>IF(ISNA(MATCH(1471,'Transfer Engine'!$C$2:$C$1960,0)),"",INDEX('Compliance Database'!$M$2:$M$1960,MATCH(1471,'Transfer Engine'!$C$2:$C$1960,0)))</f>
        <v/>
      </c>
      <c r="N1480" s="9">
        <f>IF(ISNA(MATCH(1471,'Transfer Engine'!$C$2:$C$1960,0)),"",INDEX('Compliance Database'!$N$2:$N$1960,MATCH(1471,'Transfer Engine'!$C$2:$C$1960,0)))</f>
        <v/>
      </c>
      <c r="O1480" s="9">
        <f>IF(ISNA(MATCH(1471,'Transfer Engine'!$C$2:$C$1960,0)),"",INDEX('Compliance Database'!$O$2:$O$1960,MATCH(1471,'Transfer Engine'!$C$2:$C$1960,0)))</f>
        <v/>
      </c>
      <c r="P1480" s="8">
        <f>IF(ISNA(MATCH(1471,'Transfer Engine'!$C$2:$C$1960,0)),"",HYPERLINK("#Acts!A"&amp;INDEX('Compliance Database'!$P$2:$P$1960,MATCH(1471,'Transfer Engine'!$C$2:$C$1960,0)),"Go to Act"))</f>
        <v/>
      </c>
    </row>
    <row r="1481" ht="158" customHeight="1">
      <c r="A1481" s="8">
        <f>IF(ISNA(MATCH(1472,'Transfer Engine'!$C$2:$C$1960,0)),"",INDEX('Compliance Database'!$A$2:$A$1960,MATCH(1472,'Transfer Engine'!$C$2:$C$1960,0)))</f>
        <v/>
      </c>
      <c r="B1481" s="8">
        <f>IF(ISNA(MATCH(1472,'Transfer Engine'!$C$2:$C$1960,0)),"",INDEX('Compliance Database'!$B$2:$B$1960,MATCH(1472,'Transfer Engine'!$C$2:$C$1960,0)))</f>
        <v/>
      </c>
      <c r="C1481" s="8">
        <f>IF(ISNA(MATCH(1472,'Transfer Engine'!$C$2:$C$1960,0)),"",INDEX('Compliance Database'!$C$2:$C$1960,MATCH(1472,'Transfer Engine'!$C$2:$C$1960,0)))</f>
        <v/>
      </c>
      <c r="D1481" s="9">
        <f>IF(ISNA(MATCH(1472,'Transfer Engine'!$C$2:$C$1960,0)),"",INDEX('Compliance Database'!$D$2:$D$1960,MATCH(1472,'Transfer Engine'!$C$2:$C$1960,0)))</f>
        <v/>
      </c>
      <c r="E1481" s="8">
        <f>IF(ISNA(MATCH(1472,'Transfer Engine'!$C$2:$C$1960,0)),"",INDEX('Compliance Database'!$E$2:$E$1960,MATCH(1472,'Transfer Engine'!$C$2:$C$1960,0)))</f>
        <v/>
      </c>
      <c r="F1481" s="8">
        <f>IF(ISNA(MATCH(1472,'Transfer Engine'!$C$2:$C$1960,0)),"",INDEX('Compliance Database'!$F$2:$F$1960,MATCH(1472,'Transfer Engine'!$C$2:$C$1960,0)))</f>
        <v/>
      </c>
      <c r="G1481" s="8">
        <f>IF(ISNA(MATCH(1472,'Transfer Engine'!$C$2:$C$1960,0)),"",INDEX('Compliance Database'!$G$2:$G$1960,MATCH(1472,'Transfer Engine'!$C$2:$C$1960,0)))</f>
        <v/>
      </c>
      <c r="H1481" s="9">
        <f>IF(ISNA(MATCH(1472,'Transfer Engine'!$C$2:$C$1960,0)),"",INDEX('Compliance Database'!$H$2:$H$1960,MATCH(1472,'Transfer Engine'!$C$2:$C$1960,0)))</f>
        <v/>
      </c>
      <c r="I1481" s="9">
        <f>IF(ISNA(MATCH(1472,'Transfer Engine'!$C$2:$C$1960,0)),"",INDEX('Compliance Database'!$I$2:$I$1960,MATCH(1472,'Transfer Engine'!$C$2:$C$1960,0)))</f>
        <v/>
      </c>
      <c r="J1481" s="8">
        <f>IF(ISNA(MATCH(1472,'Transfer Engine'!$C$2:$C$1960,0)),"",INDEX('Compliance Database'!$J$2:$J$1960,MATCH(1472,'Transfer Engine'!$C$2:$C$1960,0)))</f>
        <v/>
      </c>
      <c r="K1481" s="9">
        <f>IF(ISNA(MATCH(1472,'Transfer Engine'!$C$2:$C$1960,0)),"",INDEX('Compliance Database'!$K$2:$K$1960,MATCH(1472,'Transfer Engine'!$C$2:$C$1960,0)))</f>
        <v/>
      </c>
      <c r="L1481" s="9">
        <f>IF(ISNA(MATCH(1472,'Transfer Engine'!$C$2:$C$1960,0)),"",INDEX('Compliance Database'!$L$2:$L$1960,MATCH(1472,'Transfer Engine'!$C$2:$C$1960,0)))</f>
        <v/>
      </c>
      <c r="M1481" s="9">
        <f>IF(ISNA(MATCH(1472,'Transfer Engine'!$C$2:$C$1960,0)),"",INDEX('Compliance Database'!$M$2:$M$1960,MATCH(1472,'Transfer Engine'!$C$2:$C$1960,0)))</f>
        <v/>
      </c>
      <c r="N1481" s="9">
        <f>IF(ISNA(MATCH(1472,'Transfer Engine'!$C$2:$C$1960,0)),"",INDEX('Compliance Database'!$N$2:$N$1960,MATCH(1472,'Transfer Engine'!$C$2:$C$1960,0)))</f>
        <v/>
      </c>
      <c r="O1481" s="9">
        <f>IF(ISNA(MATCH(1472,'Transfer Engine'!$C$2:$C$1960,0)),"",INDEX('Compliance Database'!$O$2:$O$1960,MATCH(1472,'Transfer Engine'!$C$2:$C$1960,0)))</f>
        <v/>
      </c>
      <c r="P1481" s="8">
        <f>IF(ISNA(MATCH(1472,'Transfer Engine'!$C$2:$C$1960,0)),"",HYPERLINK("#Acts!A"&amp;INDEX('Compliance Database'!$P$2:$P$1960,MATCH(1472,'Transfer Engine'!$C$2:$C$1960,0)),"Go to Act"))</f>
        <v/>
      </c>
    </row>
    <row r="1482" ht="158" customHeight="1">
      <c r="A1482" s="8">
        <f>IF(ISNA(MATCH(1473,'Transfer Engine'!$C$2:$C$1960,0)),"",INDEX('Compliance Database'!$A$2:$A$1960,MATCH(1473,'Transfer Engine'!$C$2:$C$1960,0)))</f>
        <v/>
      </c>
      <c r="B1482" s="8">
        <f>IF(ISNA(MATCH(1473,'Transfer Engine'!$C$2:$C$1960,0)),"",INDEX('Compliance Database'!$B$2:$B$1960,MATCH(1473,'Transfer Engine'!$C$2:$C$1960,0)))</f>
        <v/>
      </c>
      <c r="C1482" s="8">
        <f>IF(ISNA(MATCH(1473,'Transfer Engine'!$C$2:$C$1960,0)),"",INDEX('Compliance Database'!$C$2:$C$1960,MATCH(1473,'Transfer Engine'!$C$2:$C$1960,0)))</f>
        <v/>
      </c>
      <c r="D1482" s="9">
        <f>IF(ISNA(MATCH(1473,'Transfer Engine'!$C$2:$C$1960,0)),"",INDEX('Compliance Database'!$D$2:$D$1960,MATCH(1473,'Transfer Engine'!$C$2:$C$1960,0)))</f>
        <v/>
      </c>
      <c r="E1482" s="8">
        <f>IF(ISNA(MATCH(1473,'Transfer Engine'!$C$2:$C$1960,0)),"",INDEX('Compliance Database'!$E$2:$E$1960,MATCH(1473,'Transfer Engine'!$C$2:$C$1960,0)))</f>
        <v/>
      </c>
      <c r="F1482" s="8">
        <f>IF(ISNA(MATCH(1473,'Transfer Engine'!$C$2:$C$1960,0)),"",INDEX('Compliance Database'!$F$2:$F$1960,MATCH(1473,'Transfer Engine'!$C$2:$C$1960,0)))</f>
        <v/>
      </c>
      <c r="G1482" s="8">
        <f>IF(ISNA(MATCH(1473,'Transfer Engine'!$C$2:$C$1960,0)),"",INDEX('Compliance Database'!$G$2:$G$1960,MATCH(1473,'Transfer Engine'!$C$2:$C$1960,0)))</f>
        <v/>
      </c>
      <c r="H1482" s="9">
        <f>IF(ISNA(MATCH(1473,'Transfer Engine'!$C$2:$C$1960,0)),"",INDEX('Compliance Database'!$H$2:$H$1960,MATCH(1473,'Transfer Engine'!$C$2:$C$1960,0)))</f>
        <v/>
      </c>
      <c r="I1482" s="9">
        <f>IF(ISNA(MATCH(1473,'Transfer Engine'!$C$2:$C$1960,0)),"",INDEX('Compliance Database'!$I$2:$I$1960,MATCH(1473,'Transfer Engine'!$C$2:$C$1960,0)))</f>
        <v/>
      </c>
      <c r="J1482" s="8">
        <f>IF(ISNA(MATCH(1473,'Transfer Engine'!$C$2:$C$1960,0)),"",INDEX('Compliance Database'!$J$2:$J$1960,MATCH(1473,'Transfer Engine'!$C$2:$C$1960,0)))</f>
        <v/>
      </c>
      <c r="K1482" s="9">
        <f>IF(ISNA(MATCH(1473,'Transfer Engine'!$C$2:$C$1960,0)),"",INDEX('Compliance Database'!$K$2:$K$1960,MATCH(1473,'Transfer Engine'!$C$2:$C$1960,0)))</f>
        <v/>
      </c>
      <c r="L1482" s="9">
        <f>IF(ISNA(MATCH(1473,'Transfer Engine'!$C$2:$C$1960,0)),"",INDEX('Compliance Database'!$L$2:$L$1960,MATCH(1473,'Transfer Engine'!$C$2:$C$1960,0)))</f>
        <v/>
      </c>
      <c r="M1482" s="9">
        <f>IF(ISNA(MATCH(1473,'Transfer Engine'!$C$2:$C$1960,0)),"",INDEX('Compliance Database'!$M$2:$M$1960,MATCH(1473,'Transfer Engine'!$C$2:$C$1960,0)))</f>
        <v/>
      </c>
      <c r="N1482" s="9">
        <f>IF(ISNA(MATCH(1473,'Transfer Engine'!$C$2:$C$1960,0)),"",INDEX('Compliance Database'!$N$2:$N$1960,MATCH(1473,'Transfer Engine'!$C$2:$C$1960,0)))</f>
        <v/>
      </c>
      <c r="O1482" s="9">
        <f>IF(ISNA(MATCH(1473,'Transfer Engine'!$C$2:$C$1960,0)),"",INDEX('Compliance Database'!$O$2:$O$1960,MATCH(1473,'Transfer Engine'!$C$2:$C$1960,0)))</f>
        <v/>
      </c>
      <c r="P1482" s="8">
        <f>IF(ISNA(MATCH(1473,'Transfer Engine'!$C$2:$C$1960,0)),"",HYPERLINK("#Acts!A"&amp;INDEX('Compliance Database'!$P$2:$P$1960,MATCH(1473,'Transfer Engine'!$C$2:$C$1960,0)),"Go to Act"))</f>
        <v/>
      </c>
    </row>
    <row r="1483" ht="158" customHeight="1">
      <c r="A1483" s="8">
        <f>IF(ISNA(MATCH(1474,'Transfer Engine'!$C$2:$C$1960,0)),"",INDEX('Compliance Database'!$A$2:$A$1960,MATCH(1474,'Transfer Engine'!$C$2:$C$1960,0)))</f>
        <v/>
      </c>
      <c r="B1483" s="8">
        <f>IF(ISNA(MATCH(1474,'Transfer Engine'!$C$2:$C$1960,0)),"",INDEX('Compliance Database'!$B$2:$B$1960,MATCH(1474,'Transfer Engine'!$C$2:$C$1960,0)))</f>
        <v/>
      </c>
      <c r="C1483" s="8">
        <f>IF(ISNA(MATCH(1474,'Transfer Engine'!$C$2:$C$1960,0)),"",INDEX('Compliance Database'!$C$2:$C$1960,MATCH(1474,'Transfer Engine'!$C$2:$C$1960,0)))</f>
        <v/>
      </c>
      <c r="D1483" s="9">
        <f>IF(ISNA(MATCH(1474,'Transfer Engine'!$C$2:$C$1960,0)),"",INDEX('Compliance Database'!$D$2:$D$1960,MATCH(1474,'Transfer Engine'!$C$2:$C$1960,0)))</f>
        <v/>
      </c>
      <c r="E1483" s="8">
        <f>IF(ISNA(MATCH(1474,'Transfer Engine'!$C$2:$C$1960,0)),"",INDEX('Compliance Database'!$E$2:$E$1960,MATCH(1474,'Transfer Engine'!$C$2:$C$1960,0)))</f>
        <v/>
      </c>
      <c r="F1483" s="8">
        <f>IF(ISNA(MATCH(1474,'Transfer Engine'!$C$2:$C$1960,0)),"",INDEX('Compliance Database'!$F$2:$F$1960,MATCH(1474,'Transfer Engine'!$C$2:$C$1960,0)))</f>
        <v/>
      </c>
      <c r="G1483" s="8">
        <f>IF(ISNA(MATCH(1474,'Transfer Engine'!$C$2:$C$1960,0)),"",INDEX('Compliance Database'!$G$2:$G$1960,MATCH(1474,'Transfer Engine'!$C$2:$C$1960,0)))</f>
        <v/>
      </c>
      <c r="H1483" s="9">
        <f>IF(ISNA(MATCH(1474,'Transfer Engine'!$C$2:$C$1960,0)),"",INDEX('Compliance Database'!$H$2:$H$1960,MATCH(1474,'Transfer Engine'!$C$2:$C$1960,0)))</f>
        <v/>
      </c>
      <c r="I1483" s="9">
        <f>IF(ISNA(MATCH(1474,'Transfer Engine'!$C$2:$C$1960,0)),"",INDEX('Compliance Database'!$I$2:$I$1960,MATCH(1474,'Transfer Engine'!$C$2:$C$1960,0)))</f>
        <v/>
      </c>
      <c r="J1483" s="8">
        <f>IF(ISNA(MATCH(1474,'Transfer Engine'!$C$2:$C$1960,0)),"",INDEX('Compliance Database'!$J$2:$J$1960,MATCH(1474,'Transfer Engine'!$C$2:$C$1960,0)))</f>
        <v/>
      </c>
      <c r="K1483" s="9">
        <f>IF(ISNA(MATCH(1474,'Transfer Engine'!$C$2:$C$1960,0)),"",INDEX('Compliance Database'!$K$2:$K$1960,MATCH(1474,'Transfer Engine'!$C$2:$C$1960,0)))</f>
        <v/>
      </c>
      <c r="L1483" s="9">
        <f>IF(ISNA(MATCH(1474,'Transfer Engine'!$C$2:$C$1960,0)),"",INDEX('Compliance Database'!$L$2:$L$1960,MATCH(1474,'Transfer Engine'!$C$2:$C$1960,0)))</f>
        <v/>
      </c>
      <c r="M1483" s="9">
        <f>IF(ISNA(MATCH(1474,'Transfer Engine'!$C$2:$C$1960,0)),"",INDEX('Compliance Database'!$M$2:$M$1960,MATCH(1474,'Transfer Engine'!$C$2:$C$1960,0)))</f>
        <v/>
      </c>
      <c r="N1483" s="9">
        <f>IF(ISNA(MATCH(1474,'Transfer Engine'!$C$2:$C$1960,0)),"",INDEX('Compliance Database'!$N$2:$N$1960,MATCH(1474,'Transfer Engine'!$C$2:$C$1960,0)))</f>
        <v/>
      </c>
      <c r="O1483" s="9">
        <f>IF(ISNA(MATCH(1474,'Transfer Engine'!$C$2:$C$1960,0)),"",INDEX('Compliance Database'!$O$2:$O$1960,MATCH(1474,'Transfer Engine'!$C$2:$C$1960,0)))</f>
        <v/>
      </c>
      <c r="P1483" s="8">
        <f>IF(ISNA(MATCH(1474,'Transfer Engine'!$C$2:$C$1960,0)),"",HYPERLINK("#Acts!A"&amp;INDEX('Compliance Database'!$P$2:$P$1960,MATCH(1474,'Transfer Engine'!$C$2:$C$1960,0)),"Go to Act"))</f>
        <v/>
      </c>
    </row>
    <row r="1484" ht="158" customHeight="1">
      <c r="A1484" s="8">
        <f>IF(ISNA(MATCH(1475,'Transfer Engine'!$C$2:$C$1960,0)),"",INDEX('Compliance Database'!$A$2:$A$1960,MATCH(1475,'Transfer Engine'!$C$2:$C$1960,0)))</f>
        <v/>
      </c>
      <c r="B1484" s="8">
        <f>IF(ISNA(MATCH(1475,'Transfer Engine'!$C$2:$C$1960,0)),"",INDEX('Compliance Database'!$B$2:$B$1960,MATCH(1475,'Transfer Engine'!$C$2:$C$1960,0)))</f>
        <v/>
      </c>
      <c r="C1484" s="8">
        <f>IF(ISNA(MATCH(1475,'Transfer Engine'!$C$2:$C$1960,0)),"",INDEX('Compliance Database'!$C$2:$C$1960,MATCH(1475,'Transfer Engine'!$C$2:$C$1960,0)))</f>
        <v/>
      </c>
      <c r="D1484" s="9">
        <f>IF(ISNA(MATCH(1475,'Transfer Engine'!$C$2:$C$1960,0)),"",INDEX('Compliance Database'!$D$2:$D$1960,MATCH(1475,'Transfer Engine'!$C$2:$C$1960,0)))</f>
        <v/>
      </c>
      <c r="E1484" s="8">
        <f>IF(ISNA(MATCH(1475,'Transfer Engine'!$C$2:$C$1960,0)),"",INDEX('Compliance Database'!$E$2:$E$1960,MATCH(1475,'Transfer Engine'!$C$2:$C$1960,0)))</f>
        <v/>
      </c>
      <c r="F1484" s="8">
        <f>IF(ISNA(MATCH(1475,'Transfer Engine'!$C$2:$C$1960,0)),"",INDEX('Compliance Database'!$F$2:$F$1960,MATCH(1475,'Transfer Engine'!$C$2:$C$1960,0)))</f>
        <v/>
      </c>
      <c r="G1484" s="8">
        <f>IF(ISNA(MATCH(1475,'Transfer Engine'!$C$2:$C$1960,0)),"",INDEX('Compliance Database'!$G$2:$G$1960,MATCH(1475,'Transfer Engine'!$C$2:$C$1960,0)))</f>
        <v/>
      </c>
      <c r="H1484" s="9">
        <f>IF(ISNA(MATCH(1475,'Transfer Engine'!$C$2:$C$1960,0)),"",INDEX('Compliance Database'!$H$2:$H$1960,MATCH(1475,'Transfer Engine'!$C$2:$C$1960,0)))</f>
        <v/>
      </c>
      <c r="I1484" s="9">
        <f>IF(ISNA(MATCH(1475,'Transfer Engine'!$C$2:$C$1960,0)),"",INDEX('Compliance Database'!$I$2:$I$1960,MATCH(1475,'Transfer Engine'!$C$2:$C$1960,0)))</f>
        <v/>
      </c>
      <c r="J1484" s="8">
        <f>IF(ISNA(MATCH(1475,'Transfer Engine'!$C$2:$C$1960,0)),"",INDEX('Compliance Database'!$J$2:$J$1960,MATCH(1475,'Transfer Engine'!$C$2:$C$1960,0)))</f>
        <v/>
      </c>
      <c r="K1484" s="9">
        <f>IF(ISNA(MATCH(1475,'Transfer Engine'!$C$2:$C$1960,0)),"",INDEX('Compliance Database'!$K$2:$K$1960,MATCH(1475,'Transfer Engine'!$C$2:$C$1960,0)))</f>
        <v/>
      </c>
      <c r="L1484" s="9">
        <f>IF(ISNA(MATCH(1475,'Transfer Engine'!$C$2:$C$1960,0)),"",INDEX('Compliance Database'!$L$2:$L$1960,MATCH(1475,'Transfer Engine'!$C$2:$C$1960,0)))</f>
        <v/>
      </c>
      <c r="M1484" s="9">
        <f>IF(ISNA(MATCH(1475,'Transfer Engine'!$C$2:$C$1960,0)),"",INDEX('Compliance Database'!$M$2:$M$1960,MATCH(1475,'Transfer Engine'!$C$2:$C$1960,0)))</f>
        <v/>
      </c>
      <c r="N1484" s="9">
        <f>IF(ISNA(MATCH(1475,'Transfer Engine'!$C$2:$C$1960,0)),"",INDEX('Compliance Database'!$N$2:$N$1960,MATCH(1475,'Transfer Engine'!$C$2:$C$1960,0)))</f>
        <v/>
      </c>
      <c r="O1484" s="9">
        <f>IF(ISNA(MATCH(1475,'Transfer Engine'!$C$2:$C$1960,0)),"",INDEX('Compliance Database'!$O$2:$O$1960,MATCH(1475,'Transfer Engine'!$C$2:$C$1960,0)))</f>
        <v/>
      </c>
      <c r="P1484" s="8">
        <f>IF(ISNA(MATCH(1475,'Transfer Engine'!$C$2:$C$1960,0)),"",HYPERLINK("#Acts!A"&amp;INDEX('Compliance Database'!$P$2:$P$1960,MATCH(1475,'Transfer Engine'!$C$2:$C$1960,0)),"Go to Act"))</f>
        <v/>
      </c>
    </row>
    <row r="1485" ht="158" customHeight="1">
      <c r="A1485" s="8">
        <f>IF(ISNA(MATCH(1476,'Transfer Engine'!$C$2:$C$1960,0)),"",INDEX('Compliance Database'!$A$2:$A$1960,MATCH(1476,'Transfer Engine'!$C$2:$C$1960,0)))</f>
        <v/>
      </c>
      <c r="B1485" s="8">
        <f>IF(ISNA(MATCH(1476,'Transfer Engine'!$C$2:$C$1960,0)),"",INDEX('Compliance Database'!$B$2:$B$1960,MATCH(1476,'Transfer Engine'!$C$2:$C$1960,0)))</f>
        <v/>
      </c>
      <c r="C1485" s="8">
        <f>IF(ISNA(MATCH(1476,'Transfer Engine'!$C$2:$C$1960,0)),"",INDEX('Compliance Database'!$C$2:$C$1960,MATCH(1476,'Transfer Engine'!$C$2:$C$1960,0)))</f>
        <v/>
      </c>
      <c r="D1485" s="9">
        <f>IF(ISNA(MATCH(1476,'Transfer Engine'!$C$2:$C$1960,0)),"",INDEX('Compliance Database'!$D$2:$D$1960,MATCH(1476,'Transfer Engine'!$C$2:$C$1960,0)))</f>
        <v/>
      </c>
      <c r="E1485" s="8">
        <f>IF(ISNA(MATCH(1476,'Transfer Engine'!$C$2:$C$1960,0)),"",INDEX('Compliance Database'!$E$2:$E$1960,MATCH(1476,'Transfer Engine'!$C$2:$C$1960,0)))</f>
        <v/>
      </c>
      <c r="F1485" s="8">
        <f>IF(ISNA(MATCH(1476,'Transfer Engine'!$C$2:$C$1960,0)),"",INDEX('Compliance Database'!$F$2:$F$1960,MATCH(1476,'Transfer Engine'!$C$2:$C$1960,0)))</f>
        <v/>
      </c>
      <c r="G1485" s="8">
        <f>IF(ISNA(MATCH(1476,'Transfer Engine'!$C$2:$C$1960,0)),"",INDEX('Compliance Database'!$G$2:$G$1960,MATCH(1476,'Transfer Engine'!$C$2:$C$1960,0)))</f>
        <v/>
      </c>
      <c r="H1485" s="9">
        <f>IF(ISNA(MATCH(1476,'Transfer Engine'!$C$2:$C$1960,0)),"",INDEX('Compliance Database'!$H$2:$H$1960,MATCH(1476,'Transfer Engine'!$C$2:$C$1960,0)))</f>
        <v/>
      </c>
      <c r="I1485" s="9">
        <f>IF(ISNA(MATCH(1476,'Transfer Engine'!$C$2:$C$1960,0)),"",INDEX('Compliance Database'!$I$2:$I$1960,MATCH(1476,'Transfer Engine'!$C$2:$C$1960,0)))</f>
        <v/>
      </c>
      <c r="J1485" s="8">
        <f>IF(ISNA(MATCH(1476,'Transfer Engine'!$C$2:$C$1960,0)),"",INDEX('Compliance Database'!$J$2:$J$1960,MATCH(1476,'Transfer Engine'!$C$2:$C$1960,0)))</f>
        <v/>
      </c>
      <c r="K1485" s="9">
        <f>IF(ISNA(MATCH(1476,'Transfer Engine'!$C$2:$C$1960,0)),"",INDEX('Compliance Database'!$K$2:$K$1960,MATCH(1476,'Transfer Engine'!$C$2:$C$1960,0)))</f>
        <v/>
      </c>
      <c r="L1485" s="9">
        <f>IF(ISNA(MATCH(1476,'Transfer Engine'!$C$2:$C$1960,0)),"",INDEX('Compliance Database'!$L$2:$L$1960,MATCH(1476,'Transfer Engine'!$C$2:$C$1960,0)))</f>
        <v/>
      </c>
      <c r="M1485" s="9">
        <f>IF(ISNA(MATCH(1476,'Transfer Engine'!$C$2:$C$1960,0)),"",INDEX('Compliance Database'!$M$2:$M$1960,MATCH(1476,'Transfer Engine'!$C$2:$C$1960,0)))</f>
        <v/>
      </c>
      <c r="N1485" s="9">
        <f>IF(ISNA(MATCH(1476,'Transfer Engine'!$C$2:$C$1960,0)),"",INDEX('Compliance Database'!$N$2:$N$1960,MATCH(1476,'Transfer Engine'!$C$2:$C$1960,0)))</f>
        <v/>
      </c>
      <c r="O1485" s="9">
        <f>IF(ISNA(MATCH(1476,'Transfer Engine'!$C$2:$C$1960,0)),"",INDEX('Compliance Database'!$O$2:$O$1960,MATCH(1476,'Transfer Engine'!$C$2:$C$1960,0)))</f>
        <v/>
      </c>
      <c r="P1485" s="8">
        <f>IF(ISNA(MATCH(1476,'Transfer Engine'!$C$2:$C$1960,0)),"",HYPERLINK("#Acts!A"&amp;INDEX('Compliance Database'!$P$2:$P$1960,MATCH(1476,'Transfer Engine'!$C$2:$C$1960,0)),"Go to Act"))</f>
        <v/>
      </c>
    </row>
    <row r="1486" ht="158" customHeight="1">
      <c r="A1486" s="8">
        <f>IF(ISNA(MATCH(1477,'Transfer Engine'!$C$2:$C$1960,0)),"",INDEX('Compliance Database'!$A$2:$A$1960,MATCH(1477,'Transfer Engine'!$C$2:$C$1960,0)))</f>
        <v/>
      </c>
      <c r="B1486" s="8">
        <f>IF(ISNA(MATCH(1477,'Transfer Engine'!$C$2:$C$1960,0)),"",INDEX('Compliance Database'!$B$2:$B$1960,MATCH(1477,'Transfer Engine'!$C$2:$C$1960,0)))</f>
        <v/>
      </c>
      <c r="C1486" s="8">
        <f>IF(ISNA(MATCH(1477,'Transfer Engine'!$C$2:$C$1960,0)),"",INDEX('Compliance Database'!$C$2:$C$1960,MATCH(1477,'Transfer Engine'!$C$2:$C$1960,0)))</f>
        <v/>
      </c>
      <c r="D1486" s="9">
        <f>IF(ISNA(MATCH(1477,'Transfer Engine'!$C$2:$C$1960,0)),"",INDEX('Compliance Database'!$D$2:$D$1960,MATCH(1477,'Transfer Engine'!$C$2:$C$1960,0)))</f>
        <v/>
      </c>
      <c r="E1486" s="8">
        <f>IF(ISNA(MATCH(1477,'Transfer Engine'!$C$2:$C$1960,0)),"",INDEX('Compliance Database'!$E$2:$E$1960,MATCH(1477,'Transfer Engine'!$C$2:$C$1960,0)))</f>
        <v/>
      </c>
      <c r="F1486" s="8">
        <f>IF(ISNA(MATCH(1477,'Transfer Engine'!$C$2:$C$1960,0)),"",INDEX('Compliance Database'!$F$2:$F$1960,MATCH(1477,'Transfer Engine'!$C$2:$C$1960,0)))</f>
        <v/>
      </c>
      <c r="G1486" s="8">
        <f>IF(ISNA(MATCH(1477,'Transfer Engine'!$C$2:$C$1960,0)),"",INDEX('Compliance Database'!$G$2:$G$1960,MATCH(1477,'Transfer Engine'!$C$2:$C$1960,0)))</f>
        <v/>
      </c>
      <c r="H1486" s="9">
        <f>IF(ISNA(MATCH(1477,'Transfer Engine'!$C$2:$C$1960,0)),"",INDEX('Compliance Database'!$H$2:$H$1960,MATCH(1477,'Transfer Engine'!$C$2:$C$1960,0)))</f>
        <v/>
      </c>
      <c r="I1486" s="9">
        <f>IF(ISNA(MATCH(1477,'Transfer Engine'!$C$2:$C$1960,0)),"",INDEX('Compliance Database'!$I$2:$I$1960,MATCH(1477,'Transfer Engine'!$C$2:$C$1960,0)))</f>
        <v/>
      </c>
      <c r="J1486" s="8">
        <f>IF(ISNA(MATCH(1477,'Transfer Engine'!$C$2:$C$1960,0)),"",INDEX('Compliance Database'!$J$2:$J$1960,MATCH(1477,'Transfer Engine'!$C$2:$C$1960,0)))</f>
        <v/>
      </c>
      <c r="K1486" s="9">
        <f>IF(ISNA(MATCH(1477,'Transfer Engine'!$C$2:$C$1960,0)),"",INDEX('Compliance Database'!$K$2:$K$1960,MATCH(1477,'Transfer Engine'!$C$2:$C$1960,0)))</f>
        <v/>
      </c>
      <c r="L1486" s="9">
        <f>IF(ISNA(MATCH(1477,'Transfer Engine'!$C$2:$C$1960,0)),"",INDEX('Compliance Database'!$L$2:$L$1960,MATCH(1477,'Transfer Engine'!$C$2:$C$1960,0)))</f>
        <v/>
      </c>
      <c r="M1486" s="9">
        <f>IF(ISNA(MATCH(1477,'Transfer Engine'!$C$2:$C$1960,0)),"",INDEX('Compliance Database'!$M$2:$M$1960,MATCH(1477,'Transfer Engine'!$C$2:$C$1960,0)))</f>
        <v/>
      </c>
      <c r="N1486" s="9">
        <f>IF(ISNA(MATCH(1477,'Transfer Engine'!$C$2:$C$1960,0)),"",INDEX('Compliance Database'!$N$2:$N$1960,MATCH(1477,'Transfer Engine'!$C$2:$C$1960,0)))</f>
        <v/>
      </c>
      <c r="O1486" s="9">
        <f>IF(ISNA(MATCH(1477,'Transfer Engine'!$C$2:$C$1960,0)),"",INDEX('Compliance Database'!$O$2:$O$1960,MATCH(1477,'Transfer Engine'!$C$2:$C$1960,0)))</f>
        <v/>
      </c>
      <c r="P1486" s="8">
        <f>IF(ISNA(MATCH(1477,'Transfer Engine'!$C$2:$C$1960,0)),"",HYPERLINK("#Acts!A"&amp;INDEX('Compliance Database'!$P$2:$P$1960,MATCH(1477,'Transfer Engine'!$C$2:$C$1960,0)),"Go to Act"))</f>
        <v/>
      </c>
    </row>
    <row r="1487" ht="158" customHeight="1">
      <c r="A1487" s="8">
        <f>IF(ISNA(MATCH(1478,'Transfer Engine'!$C$2:$C$1960,0)),"",INDEX('Compliance Database'!$A$2:$A$1960,MATCH(1478,'Transfer Engine'!$C$2:$C$1960,0)))</f>
        <v/>
      </c>
      <c r="B1487" s="8">
        <f>IF(ISNA(MATCH(1478,'Transfer Engine'!$C$2:$C$1960,0)),"",INDEX('Compliance Database'!$B$2:$B$1960,MATCH(1478,'Transfer Engine'!$C$2:$C$1960,0)))</f>
        <v/>
      </c>
      <c r="C1487" s="8">
        <f>IF(ISNA(MATCH(1478,'Transfer Engine'!$C$2:$C$1960,0)),"",INDEX('Compliance Database'!$C$2:$C$1960,MATCH(1478,'Transfer Engine'!$C$2:$C$1960,0)))</f>
        <v/>
      </c>
      <c r="D1487" s="9">
        <f>IF(ISNA(MATCH(1478,'Transfer Engine'!$C$2:$C$1960,0)),"",INDEX('Compliance Database'!$D$2:$D$1960,MATCH(1478,'Transfer Engine'!$C$2:$C$1960,0)))</f>
        <v/>
      </c>
      <c r="E1487" s="8">
        <f>IF(ISNA(MATCH(1478,'Transfer Engine'!$C$2:$C$1960,0)),"",INDEX('Compliance Database'!$E$2:$E$1960,MATCH(1478,'Transfer Engine'!$C$2:$C$1960,0)))</f>
        <v/>
      </c>
      <c r="F1487" s="8">
        <f>IF(ISNA(MATCH(1478,'Transfer Engine'!$C$2:$C$1960,0)),"",INDEX('Compliance Database'!$F$2:$F$1960,MATCH(1478,'Transfer Engine'!$C$2:$C$1960,0)))</f>
        <v/>
      </c>
      <c r="G1487" s="8">
        <f>IF(ISNA(MATCH(1478,'Transfer Engine'!$C$2:$C$1960,0)),"",INDEX('Compliance Database'!$G$2:$G$1960,MATCH(1478,'Transfer Engine'!$C$2:$C$1960,0)))</f>
        <v/>
      </c>
      <c r="H1487" s="9">
        <f>IF(ISNA(MATCH(1478,'Transfer Engine'!$C$2:$C$1960,0)),"",INDEX('Compliance Database'!$H$2:$H$1960,MATCH(1478,'Transfer Engine'!$C$2:$C$1960,0)))</f>
        <v/>
      </c>
      <c r="I1487" s="9">
        <f>IF(ISNA(MATCH(1478,'Transfer Engine'!$C$2:$C$1960,0)),"",INDEX('Compliance Database'!$I$2:$I$1960,MATCH(1478,'Transfer Engine'!$C$2:$C$1960,0)))</f>
        <v/>
      </c>
      <c r="J1487" s="8">
        <f>IF(ISNA(MATCH(1478,'Transfer Engine'!$C$2:$C$1960,0)),"",INDEX('Compliance Database'!$J$2:$J$1960,MATCH(1478,'Transfer Engine'!$C$2:$C$1960,0)))</f>
        <v/>
      </c>
      <c r="K1487" s="9">
        <f>IF(ISNA(MATCH(1478,'Transfer Engine'!$C$2:$C$1960,0)),"",INDEX('Compliance Database'!$K$2:$K$1960,MATCH(1478,'Transfer Engine'!$C$2:$C$1960,0)))</f>
        <v/>
      </c>
      <c r="L1487" s="9">
        <f>IF(ISNA(MATCH(1478,'Transfer Engine'!$C$2:$C$1960,0)),"",INDEX('Compliance Database'!$L$2:$L$1960,MATCH(1478,'Transfer Engine'!$C$2:$C$1960,0)))</f>
        <v/>
      </c>
      <c r="M1487" s="9">
        <f>IF(ISNA(MATCH(1478,'Transfer Engine'!$C$2:$C$1960,0)),"",INDEX('Compliance Database'!$M$2:$M$1960,MATCH(1478,'Transfer Engine'!$C$2:$C$1960,0)))</f>
        <v/>
      </c>
      <c r="N1487" s="9">
        <f>IF(ISNA(MATCH(1478,'Transfer Engine'!$C$2:$C$1960,0)),"",INDEX('Compliance Database'!$N$2:$N$1960,MATCH(1478,'Transfer Engine'!$C$2:$C$1960,0)))</f>
        <v/>
      </c>
      <c r="O1487" s="9">
        <f>IF(ISNA(MATCH(1478,'Transfer Engine'!$C$2:$C$1960,0)),"",INDEX('Compliance Database'!$O$2:$O$1960,MATCH(1478,'Transfer Engine'!$C$2:$C$1960,0)))</f>
        <v/>
      </c>
      <c r="P1487" s="8">
        <f>IF(ISNA(MATCH(1478,'Transfer Engine'!$C$2:$C$1960,0)),"",HYPERLINK("#Acts!A"&amp;INDEX('Compliance Database'!$P$2:$P$1960,MATCH(1478,'Transfer Engine'!$C$2:$C$1960,0)),"Go to Act"))</f>
        <v/>
      </c>
    </row>
    <row r="1488" ht="158" customHeight="1">
      <c r="A1488" s="8">
        <f>IF(ISNA(MATCH(1479,'Transfer Engine'!$C$2:$C$1960,0)),"",INDEX('Compliance Database'!$A$2:$A$1960,MATCH(1479,'Transfer Engine'!$C$2:$C$1960,0)))</f>
        <v/>
      </c>
      <c r="B1488" s="8">
        <f>IF(ISNA(MATCH(1479,'Transfer Engine'!$C$2:$C$1960,0)),"",INDEX('Compliance Database'!$B$2:$B$1960,MATCH(1479,'Transfer Engine'!$C$2:$C$1960,0)))</f>
        <v/>
      </c>
      <c r="C1488" s="8">
        <f>IF(ISNA(MATCH(1479,'Transfer Engine'!$C$2:$C$1960,0)),"",INDEX('Compliance Database'!$C$2:$C$1960,MATCH(1479,'Transfer Engine'!$C$2:$C$1960,0)))</f>
        <v/>
      </c>
      <c r="D1488" s="9">
        <f>IF(ISNA(MATCH(1479,'Transfer Engine'!$C$2:$C$1960,0)),"",INDEX('Compliance Database'!$D$2:$D$1960,MATCH(1479,'Transfer Engine'!$C$2:$C$1960,0)))</f>
        <v/>
      </c>
      <c r="E1488" s="8">
        <f>IF(ISNA(MATCH(1479,'Transfer Engine'!$C$2:$C$1960,0)),"",INDEX('Compliance Database'!$E$2:$E$1960,MATCH(1479,'Transfer Engine'!$C$2:$C$1960,0)))</f>
        <v/>
      </c>
      <c r="F1488" s="8">
        <f>IF(ISNA(MATCH(1479,'Transfer Engine'!$C$2:$C$1960,0)),"",INDEX('Compliance Database'!$F$2:$F$1960,MATCH(1479,'Transfer Engine'!$C$2:$C$1960,0)))</f>
        <v/>
      </c>
      <c r="G1488" s="8">
        <f>IF(ISNA(MATCH(1479,'Transfer Engine'!$C$2:$C$1960,0)),"",INDEX('Compliance Database'!$G$2:$G$1960,MATCH(1479,'Transfer Engine'!$C$2:$C$1960,0)))</f>
        <v/>
      </c>
      <c r="H1488" s="9">
        <f>IF(ISNA(MATCH(1479,'Transfer Engine'!$C$2:$C$1960,0)),"",INDEX('Compliance Database'!$H$2:$H$1960,MATCH(1479,'Transfer Engine'!$C$2:$C$1960,0)))</f>
        <v/>
      </c>
      <c r="I1488" s="9">
        <f>IF(ISNA(MATCH(1479,'Transfer Engine'!$C$2:$C$1960,0)),"",INDEX('Compliance Database'!$I$2:$I$1960,MATCH(1479,'Transfer Engine'!$C$2:$C$1960,0)))</f>
        <v/>
      </c>
      <c r="J1488" s="8">
        <f>IF(ISNA(MATCH(1479,'Transfer Engine'!$C$2:$C$1960,0)),"",INDEX('Compliance Database'!$J$2:$J$1960,MATCH(1479,'Transfer Engine'!$C$2:$C$1960,0)))</f>
        <v/>
      </c>
      <c r="K1488" s="9">
        <f>IF(ISNA(MATCH(1479,'Transfer Engine'!$C$2:$C$1960,0)),"",INDEX('Compliance Database'!$K$2:$K$1960,MATCH(1479,'Transfer Engine'!$C$2:$C$1960,0)))</f>
        <v/>
      </c>
      <c r="L1488" s="9">
        <f>IF(ISNA(MATCH(1479,'Transfer Engine'!$C$2:$C$1960,0)),"",INDEX('Compliance Database'!$L$2:$L$1960,MATCH(1479,'Transfer Engine'!$C$2:$C$1960,0)))</f>
        <v/>
      </c>
      <c r="M1488" s="9">
        <f>IF(ISNA(MATCH(1479,'Transfer Engine'!$C$2:$C$1960,0)),"",INDEX('Compliance Database'!$M$2:$M$1960,MATCH(1479,'Transfer Engine'!$C$2:$C$1960,0)))</f>
        <v/>
      </c>
      <c r="N1488" s="9">
        <f>IF(ISNA(MATCH(1479,'Transfer Engine'!$C$2:$C$1960,0)),"",INDEX('Compliance Database'!$N$2:$N$1960,MATCH(1479,'Transfer Engine'!$C$2:$C$1960,0)))</f>
        <v/>
      </c>
      <c r="O1488" s="9">
        <f>IF(ISNA(MATCH(1479,'Transfer Engine'!$C$2:$C$1960,0)),"",INDEX('Compliance Database'!$O$2:$O$1960,MATCH(1479,'Transfer Engine'!$C$2:$C$1960,0)))</f>
        <v/>
      </c>
      <c r="P1488" s="8">
        <f>IF(ISNA(MATCH(1479,'Transfer Engine'!$C$2:$C$1960,0)),"",HYPERLINK("#Acts!A"&amp;INDEX('Compliance Database'!$P$2:$P$1960,MATCH(1479,'Transfer Engine'!$C$2:$C$1960,0)),"Go to Act"))</f>
        <v/>
      </c>
    </row>
    <row r="1489" ht="158" customHeight="1">
      <c r="A1489" s="8">
        <f>IF(ISNA(MATCH(1480,'Transfer Engine'!$C$2:$C$1960,0)),"",INDEX('Compliance Database'!$A$2:$A$1960,MATCH(1480,'Transfer Engine'!$C$2:$C$1960,0)))</f>
        <v/>
      </c>
      <c r="B1489" s="8">
        <f>IF(ISNA(MATCH(1480,'Transfer Engine'!$C$2:$C$1960,0)),"",INDEX('Compliance Database'!$B$2:$B$1960,MATCH(1480,'Transfer Engine'!$C$2:$C$1960,0)))</f>
        <v/>
      </c>
      <c r="C1489" s="8">
        <f>IF(ISNA(MATCH(1480,'Transfer Engine'!$C$2:$C$1960,0)),"",INDEX('Compliance Database'!$C$2:$C$1960,MATCH(1480,'Transfer Engine'!$C$2:$C$1960,0)))</f>
        <v/>
      </c>
      <c r="D1489" s="9">
        <f>IF(ISNA(MATCH(1480,'Transfer Engine'!$C$2:$C$1960,0)),"",INDEX('Compliance Database'!$D$2:$D$1960,MATCH(1480,'Transfer Engine'!$C$2:$C$1960,0)))</f>
        <v/>
      </c>
      <c r="E1489" s="8">
        <f>IF(ISNA(MATCH(1480,'Transfer Engine'!$C$2:$C$1960,0)),"",INDEX('Compliance Database'!$E$2:$E$1960,MATCH(1480,'Transfer Engine'!$C$2:$C$1960,0)))</f>
        <v/>
      </c>
      <c r="F1489" s="8">
        <f>IF(ISNA(MATCH(1480,'Transfer Engine'!$C$2:$C$1960,0)),"",INDEX('Compliance Database'!$F$2:$F$1960,MATCH(1480,'Transfer Engine'!$C$2:$C$1960,0)))</f>
        <v/>
      </c>
      <c r="G1489" s="8">
        <f>IF(ISNA(MATCH(1480,'Transfer Engine'!$C$2:$C$1960,0)),"",INDEX('Compliance Database'!$G$2:$G$1960,MATCH(1480,'Transfer Engine'!$C$2:$C$1960,0)))</f>
        <v/>
      </c>
      <c r="H1489" s="9">
        <f>IF(ISNA(MATCH(1480,'Transfer Engine'!$C$2:$C$1960,0)),"",INDEX('Compliance Database'!$H$2:$H$1960,MATCH(1480,'Transfer Engine'!$C$2:$C$1960,0)))</f>
        <v/>
      </c>
      <c r="I1489" s="9">
        <f>IF(ISNA(MATCH(1480,'Transfer Engine'!$C$2:$C$1960,0)),"",INDEX('Compliance Database'!$I$2:$I$1960,MATCH(1480,'Transfer Engine'!$C$2:$C$1960,0)))</f>
        <v/>
      </c>
      <c r="J1489" s="8">
        <f>IF(ISNA(MATCH(1480,'Transfer Engine'!$C$2:$C$1960,0)),"",INDEX('Compliance Database'!$J$2:$J$1960,MATCH(1480,'Transfer Engine'!$C$2:$C$1960,0)))</f>
        <v/>
      </c>
      <c r="K1489" s="9">
        <f>IF(ISNA(MATCH(1480,'Transfer Engine'!$C$2:$C$1960,0)),"",INDEX('Compliance Database'!$K$2:$K$1960,MATCH(1480,'Transfer Engine'!$C$2:$C$1960,0)))</f>
        <v/>
      </c>
      <c r="L1489" s="9">
        <f>IF(ISNA(MATCH(1480,'Transfer Engine'!$C$2:$C$1960,0)),"",INDEX('Compliance Database'!$L$2:$L$1960,MATCH(1480,'Transfer Engine'!$C$2:$C$1960,0)))</f>
        <v/>
      </c>
      <c r="M1489" s="9">
        <f>IF(ISNA(MATCH(1480,'Transfer Engine'!$C$2:$C$1960,0)),"",INDEX('Compliance Database'!$M$2:$M$1960,MATCH(1480,'Transfer Engine'!$C$2:$C$1960,0)))</f>
        <v/>
      </c>
      <c r="N1489" s="9">
        <f>IF(ISNA(MATCH(1480,'Transfer Engine'!$C$2:$C$1960,0)),"",INDEX('Compliance Database'!$N$2:$N$1960,MATCH(1480,'Transfer Engine'!$C$2:$C$1960,0)))</f>
        <v/>
      </c>
      <c r="O1489" s="9">
        <f>IF(ISNA(MATCH(1480,'Transfer Engine'!$C$2:$C$1960,0)),"",INDEX('Compliance Database'!$O$2:$O$1960,MATCH(1480,'Transfer Engine'!$C$2:$C$1960,0)))</f>
        <v/>
      </c>
      <c r="P1489" s="8">
        <f>IF(ISNA(MATCH(1480,'Transfer Engine'!$C$2:$C$1960,0)),"",HYPERLINK("#Acts!A"&amp;INDEX('Compliance Database'!$P$2:$P$1960,MATCH(1480,'Transfer Engine'!$C$2:$C$1960,0)),"Go to Act"))</f>
        <v/>
      </c>
    </row>
    <row r="1490" ht="158" customHeight="1">
      <c r="A1490" s="8">
        <f>IF(ISNA(MATCH(1481,'Transfer Engine'!$C$2:$C$1960,0)),"",INDEX('Compliance Database'!$A$2:$A$1960,MATCH(1481,'Transfer Engine'!$C$2:$C$1960,0)))</f>
        <v/>
      </c>
      <c r="B1490" s="8">
        <f>IF(ISNA(MATCH(1481,'Transfer Engine'!$C$2:$C$1960,0)),"",INDEX('Compliance Database'!$B$2:$B$1960,MATCH(1481,'Transfer Engine'!$C$2:$C$1960,0)))</f>
        <v/>
      </c>
      <c r="C1490" s="8">
        <f>IF(ISNA(MATCH(1481,'Transfer Engine'!$C$2:$C$1960,0)),"",INDEX('Compliance Database'!$C$2:$C$1960,MATCH(1481,'Transfer Engine'!$C$2:$C$1960,0)))</f>
        <v/>
      </c>
      <c r="D1490" s="9">
        <f>IF(ISNA(MATCH(1481,'Transfer Engine'!$C$2:$C$1960,0)),"",INDEX('Compliance Database'!$D$2:$D$1960,MATCH(1481,'Transfer Engine'!$C$2:$C$1960,0)))</f>
        <v/>
      </c>
      <c r="E1490" s="8">
        <f>IF(ISNA(MATCH(1481,'Transfer Engine'!$C$2:$C$1960,0)),"",INDEX('Compliance Database'!$E$2:$E$1960,MATCH(1481,'Transfer Engine'!$C$2:$C$1960,0)))</f>
        <v/>
      </c>
      <c r="F1490" s="8">
        <f>IF(ISNA(MATCH(1481,'Transfer Engine'!$C$2:$C$1960,0)),"",INDEX('Compliance Database'!$F$2:$F$1960,MATCH(1481,'Transfer Engine'!$C$2:$C$1960,0)))</f>
        <v/>
      </c>
      <c r="G1490" s="8">
        <f>IF(ISNA(MATCH(1481,'Transfer Engine'!$C$2:$C$1960,0)),"",INDEX('Compliance Database'!$G$2:$G$1960,MATCH(1481,'Transfer Engine'!$C$2:$C$1960,0)))</f>
        <v/>
      </c>
      <c r="H1490" s="9">
        <f>IF(ISNA(MATCH(1481,'Transfer Engine'!$C$2:$C$1960,0)),"",INDEX('Compliance Database'!$H$2:$H$1960,MATCH(1481,'Transfer Engine'!$C$2:$C$1960,0)))</f>
        <v/>
      </c>
      <c r="I1490" s="9">
        <f>IF(ISNA(MATCH(1481,'Transfer Engine'!$C$2:$C$1960,0)),"",INDEX('Compliance Database'!$I$2:$I$1960,MATCH(1481,'Transfer Engine'!$C$2:$C$1960,0)))</f>
        <v/>
      </c>
      <c r="J1490" s="8">
        <f>IF(ISNA(MATCH(1481,'Transfer Engine'!$C$2:$C$1960,0)),"",INDEX('Compliance Database'!$J$2:$J$1960,MATCH(1481,'Transfer Engine'!$C$2:$C$1960,0)))</f>
        <v/>
      </c>
      <c r="K1490" s="9">
        <f>IF(ISNA(MATCH(1481,'Transfer Engine'!$C$2:$C$1960,0)),"",INDEX('Compliance Database'!$K$2:$K$1960,MATCH(1481,'Transfer Engine'!$C$2:$C$1960,0)))</f>
        <v/>
      </c>
      <c r="L1490" s="9">
        <f>IF(ISNA(MATCH(1481,'Transfer Engine'!$C$2:$C$1960,0)),"",INDEX('Compliance Database'!$L$2:$L$1960,MATCH(1481,'Transfer Engine'!$C$2:$C$1960,0)))</f>
        <v/>
      </c>
      <c r="M1490" s="9">
        <f>IF(ISNA(MATCH(1481,'Transfer Engine'!$C$2:$C$1960,0)),"",INDEX('Compliance Database'!$M$2:$M$1960,MATCH(1481,'Transfer Engine'!$C$2:$C$1960,0)))</f>
        <v/>
      </c>
      <c r="N1490" s="9">
        <f>IF(ISNA(MATCH(1481,'Transfer Engine'!$C$2:$C$1960,0)),"",INDEX('Compliance Database'!$N$2:$N$1960,MATCH(1481,'Transfer Engine'!$C$2:$C$1960,0)))</f>
        <v/>
      </c>
      <c r="O1490" s="9">
        <f>IF(ISNA(MATCH(1481,'Transfer Engine'!$C$2:$C$1960,0)),"",INDEX('Compliance Database'!$O$2:$O$1960,MATCH(1481,'Transfer Engine'!$C$2:$C$1960,0)))</f>
        <v/>
      </c>
      <c r="P1490" s="8">
        <f>IF(ISNA(MATCH(1481,'Transfer Engine'!$C$2:$C$1960,0)),"",HYPERLINK("#Acts!A"&amp;INDEX('Compliance Database'!$P$2:$P$1960,MATCH(1481,'Transfer Engine'!$C$2:$C$1960,0)),"Go to Act"))</f>
        <v/>
      </c>
    </row>
    <row r="1491" ht="158" customHeight="1">
      <c r="A1491" s="8">
        <f>IF(ISNA(MATCH(1482,'Transfer Engine'!$C$2:$C$1960,0)),"",INDEX('Compliance Database'!$A$2:$A$1960,MATCH(1482,'Transfer Engine'!$C$2:$C$1960,0)))</f>
        <v/>
      </c>
      <c r="B1491" s="8">
        <f>IF(ISNA(MATCH(1482,'Transfer Engine'!$C$2:$C$1960,0)),"",INDEX('Compliance Database'!$B$2:$B$1960,MATCH(1482,'Transfer Engine'!$C$2:$C$1960,0)))</f>
        <v/>
      </c>
      <c r="C1491" s="8">
        <f>IF(ISNA(MATCH(1482,'Transfer Engine'!$C$2:$C$1960,0)),"",INDEX('Compliance Database'!$C$2:$C$1960,MATCH(1482,'Transfer Engine'!$C$2:$C$1960,0)))</f>
        <v/>
      </c>
      <c r="D1491" s="9">
        <f>IF(ISNA(MATCH(1482,'Transfer Engine'!$C$2:$C$1960,0)),"",INDEX('Compliance Database'!$D$2:$D$1960,MATCH(1482,'Transfer Engine'!$C$2:$C$1960,0)))</f>
        <v/>
      </c>
      <c r="E1491" s="8">
        <f>IF(ISNA(MATCH(1482,'Transfer Engine'!$C$2:$C$1960,0)),"",INDEX('Compliance Database'!$E$2:$E$1960,MATCH(1482,'Transfer Engine'!$C$2:$C$1960,0)))</f>
        <v/>
      </c>
      <c r="F1491" s="8">
        <f>IF(ISNA(MATCH(1482,'Transfer Engine'!$C$2:$C$1960,0)),"",INDEX('Compliance Database'!$F$2:$F$1960,MATCH(1482,'Transfer Engine'!$C$2:$C$1960,0)))</f>
        <v/>
      </c>
      <c r="G1491" s="8">
        <f>IF(ISNA(MATCH(1482,'Transfer Engine'!$C$2:$C$1960,0)),"",INDEX('Compliance Database'!$G$2:$G$1960,MATCH(1482,'Transfer Engine'!$C$2:$C$1960,0)))</f>
        <v/>
      </c>
      <c r="H1491" s="9">
        <f>IF(ISNA(MATCH(1482,'Transfer Engine'!$C$2:$C$1960,0)),"",INDEX('Compliance Database'!$H$2:$H$1960,MATCH(1482,'Transfer Engine'!$C$2:$C$1960,0)))</f>
        <v/>
      </c>
      <c r="I1491" s="9">
        <f>IF(ISNA(MATCH(1482,'Transfer Engine'!$C$2:$C$1960,0)),"",INDEX('Compliance Database'!$I$2:$I$1960,MATCH(1482,'Transfer Engine'!$C$2:$C$1960,0)))</f>
        <v/>
      </c>
      <c r="J1491" s="8">
        <f>IF(ISNA(MATCH(1482,'Transfer Engine'!$C$2:$C$1960,0)),"",INDEX('Compliance Database'!$J$2:$J$1960,MATCH(1482,'Transfer Engine'!$C$2:$C$1960,0)))</f>
        <v/>
      </c>
      <c r="K1491" s="9">
        <f>IF(ISNA(MATCH(1482,'Transfer Engine'!$C$2:$C$1960,0)),"",INDEX('Compliance Database'!$K$2:$K$1960,MATCH(1482,'Transfer Engine'!$C$2:$C$1960,0)))</f>
        <v/>
      </c>
      <c r="L1491" s="9">
        <f>IF(ISNA(MATCH(1482,'Transfer Engine'!$C$2:$C$1960,0)),"",INDEX('Compliance Database'!$L$2:$L$1960,MATCH(1482,'Transfer Engine'!$C$2:$C$1960,0)))</f>
        <v/>
      </c>
      <c r="M1491" s="9">
        <f>IF(ISNA(MATCH(1482,'Transfer Engine'!$C$2:$C$1960,0)),"",INDEX('Compliance Database'!$M$2:$M$1960,MATCH(1482,'Transfer Engine'!$C$2:$C$1960,0)))</f>
        <v/>
      </c>
      <c r="N1491" s="9">
        <f>IF(ISNA(MATCH(1482,'Transfer Engine'!$C$2:$C$1960,0)),"",INDEX('Compliance Database'!$N$2:$N$1960,MATCH(1482,'Transfer Engine'!$C$2:$C$1960,0)))</f>
        <v/>
      </c>
      <c r="O1491" s="9">
        <f>IF(ISNA(MATCH(1482,'Transfer Engine'!$C$2:$C$1960,0)),"",INDEX('Compliance Database'!$O$2:$O$1960,MATCH(1482,'Transfer Engine'!$C$2:$C$1960,0)))</f>
        <v/>
      </c>
      <c r="P1491" s="8">
        <f>IF(ISNA(MATCH(1482,'Transfer Engine'!$C$2:$C$1960,0)),"",HYPERLINK("#Acts!A"&amp;INDEX('Compliance Database'!$P$2:$P$1960,MATCH(1482,'Transfer Engine'!$C$2:$C$1960,0)),"Go to Act"))</f>
        <v/>
      </c>
    </row>
    <row r="1492" ht="158" customHeight="1">
      <c r="A1492" s="8">
        <f>IF(ISNA(MATCH(1483,'Transfer Engine'!$C$2:$C$1960,0)),"",INDEX('Compliance Database'!$A$2:$A$1960,MATCH(1483,'Transfer Engine'!$C$2:$C$1960,0)))</f>
        <v/>
      </c>
      <c r="B1492" s="8">
        <f>IF(ISNA(MATCH(1483,'Transfer Engine'!$C$2:$C$1960,0)),"",INDEX('Compliance Database'!$B$2:$B$1960,MATCH(1483,'Transfer Engine'!$C$2:$C$1960,0)))</f>
        <v/>
      </c>
      <c r="C1492" s="8">
        <f>IF(ISNA(MATCH(1483,'Transfer Engine'!$C$2:$C$1960,0)),"",INDEX('Compliance Database'!$C$2:$C$1960,MATCH(1483,'Transfer Engine'!$C$2:$C$1960,0)))</f>
        <v/>
      </c>
      <c r="D1492" s="9">
        <f>IF(ISNA(MATCH(1483,'Transfer Engine'!$C$2:$C$1960,0)),"",INDEX('Compliance Database'!$D$2:$D$1960,MATCH(1483,'Transfer Engine'!$C$2:$C$1960,0)))</f>
        <v/>
      </c>
      <c r="E1492" s="8">
        <f>IF(ISNA(MATCH(1483,'Transfer Engine'!$C$2:$C$1960,0)),"",INDEX('Compliance Database'!$E$2:$E$1960,MATCH(1483,'Transfer Engine'!$C$2:$C$1960,0)))</f>
        <v/>
      </c>
      <c r="F1492" s="8">
        <f>IF(ISNA(MATCH(1483,'Transfer Engine'!$C$2:$C$1960,0)),"",INDEX('Compliance Database'!$F$2:$F$1960,MATCH(1483,'Transfer Engine'!$C$2:$C$1960,0)))</f>
        <v/>
      </c>
      <c r="G1492" s="8">
        <f>IF(ISNA(MATCH(1483,'Transfer Engine'!$C$2:$C$1960,0)),"",INDEX('Compliance Database'!$G$2:$G$1960,MATCH(1483,'Transfer Engine'!$C$2:$C$1960,0)))</f>
        <v/>
      </c>
      <c r="H1492" s="9">
        <f>IF(ISNA(MATCH(1483,'Transfer Engine'!$C$2:$C$1960,0)),"",INDEX('Compliance Database'!$H$2:$H$1960,MATCH(1483,'Transfer Engine'!$C$2:$C$1960,0)))</f>
        <v/>
      </c>
      <c r="I1492" s="9">
        <f>IF(ISNA(MATCH(1483,'Transfer Engine'!$C$2:$C$1960,0)),"",INDEX('Compliance Database'!$I$2:$I$1960,MATCH(1483,'Transfer Engine'!$C$2:$C$1960,0)))</f>
        <v/>
      </c>
      <c r="J1492" s="8">
        <f>IF(ISNA(MATCH(1483,'Transfer Engine'!$C$2:$C$1960,0)),"",INDEX('Compliance Database'!$J$2:$J$1960,MATCH(1483,'Transfer Engine'!$C$2:$C$1960,0)))</f>
        <v/>
      </c>
      <c r="K1492" s="9">
        <f>IF(ISNA(MATCH(1483,'Transfer Engine'!$C$2:$C$1960,0)),"",INDEX('Compliance Database'!$K$2:$K$1960,MATCH(1483,'Transfer Engine'!$C$2:$C$1960,0)))</f>
        <v/>
      </c>
      <c r="L1492" s="9">
        <f>IF(ISNA(MATCH(1483,'Transfer Engine'!$C$2:$C$1960,0)),"",INDEX('Compliance Database'!$L$2:$L$1960,MATCH(1483,'Transfer Engine'!$C$2:$C$1960,0)))</f>
        <v/>
      </c>
      <c r="M1492" s="9">
        <f>IF(ISNA(MATCH(1483,'Transfer Engine'!$C$2:$C$1960,0)),"",INDEX('Compliance Database'!$M$2:$M$1960,MATCH(1483,'Transfer Engine'!$C$2:$C$1960,0)))</f>
        <v/>
      </c>
      <c r="N1492" s="9">
        <f>IF(ISNA(MATCH(1483,'Transfer Engine'!$C$2:$C$1960,0)),"",INDEX('Compliance Database'!$N$2:$N$1960,MATCH(1483,'Transfer Engine'!$C$2:$C$1960,0)))</f>
        <v/>
      </c>
      <c r="O1492" s="9">
        <f>IF(ISNA(MATCH(1483,'Transfer Engine'!$C$2:$C$1960,0)),"",INDEX('Compliance Database'!$O$2:$O$1960,MATCH(1483,'Transfer Engine'!$C$2:$C$1960,0)))</f>
        <v/>
      </c>
      <c r="P1492" s="8">
        <f>IF(ISNA(MATCH(1483,'Transfer Engine'!$C$2:$C$1960,0)),"",HYPERLINK("#Acts!A"&amp;INDEX('Compliance Database'!$P$2:$P$1960,MATCH(1483,'Transfer Engine'!$C$2:$C$1960,0)),"Go to Act"))</f>
        <v/>
      </c>
    </row>
    <row r="1493" ht="158" customHeight="1">
      <c r="A1493" s="8">
        <f>IF(ISNA(MATCH(1484,'Transfer Engine'!$C$2:$C$1960,0)),"",INDEX('Compliance Database'!$A$2:$A$1960,MATCH(1484,'Transfer Engine'!$C$2:$C$1960,0)))</f>
        <v/>
      </c>
      <c r="B1493" s="8">
        <f>IF(ISNA(MATCH(1484,'Transfer Engine'!$C$2:$C$1960,0)),"",INDEX('Compliance Database'!$B$2:$B$1960,MATCH(1484,'Transfer Engine'!$C$2:$C$1960,0)))</f>
        <v/>
      </c>
      <c r="C1493" s="8">
        <f>IF(ISNA(MATCH(1484,'Transfer Engine'!$C$2:$C$1960,0)),"",INDEX('Compliance Database'!$C$2:$C$1960,MATCH(1484,'Transfer Engine'!$C$2:$C$1960,0)))</f>
        <v/>
      </c>
      <c r="D1493" s="9">
        <f>IF(ISNA(MATCH(1484,'Transfer Engine'!$C$2:$C$1960,0)),"",INDEX('Compliance Database'!$D$2:$D$1960,MATCH(1484,'Transfer Engine'!$C$2:$C$1960,0)))</f>
        <v/>
      </c>
      <c r="E1493" s="8">
        <f>IF(ISNA(MATCH(1484,'Transfer Engine'!$C$2:$C$1960,0)),"",INDEX('Compliance Database'!$E$2:$E$1960,MATCH(1484,'Transfer Engine'!$C$2:$C$1960,0)))</f>
        <v/>
      </c>
      <c r="F1493" s="8">
        <f>IF(ISNA(MATCH(1484,'Transfer Engine'!$C$2:$C$1960,0)),"",INDEX('Compliance Database'!$F$2:$F$1960,MATCH(1484,'Transfer Engine'!$C$2:$C$1960,0)))</f>
        <v/>
      </c>
      <c r="G1493" s="8">
        <f>IF(ISNA(MATCH(1484,'Transfer Engine'!$C$2:$C$1960,0)),"",INDEX('Compliance Database'!$G$2:$G$1960,MATCH(1484,'Transfer Engine'!$C$2:$C$1960,0)))</f>
        <v/>
      </c>
      <c r="H1493" s="9">
        <f>IF(ISNA(MATCH(1484,'Transfer Engine'!$C$2:$C$1960,0)),"",INDEX('Compliance Database'!$H$2:$H$1960,MATCH(1484,'Transfer Engine'!$C$2:$C$1960,0)))</f>
        <v/>
      </c>
      <c r="I1493" s="9">
        <f>IF(ISNA(MATCH(1484,'Transfer Engine'!$C$2:$C$1960,0)),"",INDEX('Compliance Database'!$I$2:$I$1960,MATCH(1484,'Transfer Engine'!$C$2:$C$1960,0)))</f>
        <v/>
      </c>
      <c r="J1493" s="8">
        <f>IF(ISNA(MATCH(1484,'Transfer Engine'!$C$2:$C$1960,0)),"",INDEX('Compliance Database'!$J$2:$J$1960,MATCH(1484,'Transfer Engine'!$C$2:$C$1960,0)))</f>
        <v/>
      </c>
      <c r="K1493" s="9">
        <f>IF(ISNA(MATCH(1484,'Transfer Engine'!$C$2:$C$1960,0)),"",INDEX('Compliance Database'!$K$2:$K$1960,MATCH(1484,'Transfer Engine'!$C$2:$C$1960,0)))</f>
        <v/>
      </c>
      <c r="L1493" s="9">
        <f>IF(ISNA(MATCH(1484,'Transfer Engine'!$C$2:$C$1960,0)),"",INDEX('Compliance Database'!$L$2:$L$1960,MATCH(1484,'Transfer Engine'!$C$2:$C$1960,0)))</f>
        <v/>
      </c>
      <c r="M1493" s="9">
        <f>IF(ISNA(MATCH(1484,'Transfer Engine'!$C$2:$C$1960,0)),"",INDEX('Compliance Database'!$M$2:$M$1960,MATCH(1484,'Transfer Engine'!$C$2:$C$1960,0)))</f>
        <v/>
      </c>
      <c r="N1493" s="9">
        <f>IF(ISNA(MATCH(1484,'Transfer Engine'!$C$2:$C$1960,0)),"",INDEX('Compliance Database'!$N$2:$N$1960,MATCH(1484,'Transfer Engine'!$C$2:$C$1960,0)))</f>
        <v/>
      </c>
      <c r="O1493" s="9">
        <f>IF(ISNA(MATCH(1484,'Transfer Engine'!$C$2:$C$1960,0)),"",INDEX('Compliance Database'!$O$2:$O$1960,MATCH(1484,'Transfer Engine'!$C$2:$C$1960,0)))</f>
        <v/>
      </c>
      <c r="P1493" s="8">
        <f>IF(ISNA(MATCH(1484,'Transfer Engine'!$C$2:$C$1960,0)),"",HYPERLINK("#Acts!A"&amp;INDEX('Compliance Database'!$P$2:$P$1960,MATCH(1484,'Transfer Engine'!$C$2:$C$1960,0)),"Go to Act"))</f>
        <v/>
      </c>
    </row>
    <row r="1494" ht="158" customHeight="1">
      <c r="A1494" s="8">
        <f>IF(ISNA(MATCH(1485,'Transfer Engine'!$C$2:$C$1960,0)),"",INDEX('Compliance Database'!$A$2:$A$1960,MATCH(1485,'Transfer Engine'!$C$2:$C$1960,0)))</f>
        <v/>
      </c>
      <c r="B1494" s="8">
        <f>IF(ISNA(MATCH(1485,'Transfer Engine'!$C$2:$C$1960,0)),"",INDEX('Compliance Database'!$B$2:$B$1960,MATCH(1485,'Transfer Engine'!$C$2:$C$1960,0)))</f>
        <v/>
      </c>
      <c r="C1494" s="8">
        <f>IF(ISNA(MATCH(1485,'Transfer Engine'!$C$2:$C$1960,0)),"",INDEX('Compliance Database'!$C$2:$C$1960,MATCH(1485,'Transfer Engine'!$C$2:$C$1960,0)))</f>
        <v/>
      </c>
      <c r="D1494" s="9">
        <f>IF(ISNA(MATCH(1485,'Transfer Engine'!$C$2:$C$1960,0)),"",INDEX('Compliance Database'!$D$2:$D$1960,MATCH(1485,'Transfer Engine'!$C$2:$C$1960,0)))</f>
        <v/>
      </c>
      <c r="E1494" s="8">
        <f>IF(ISNA(MATCH(1485,'Transfer Engine'!$C$2:$C$1960,0)),"",INDEX('Compliance Database'!$E$2:$E$1960,MATCH(1485,'Transfer Engine'!$C$2:$C$1960,0)))</f>
        <v/>
      </c>
      <c r="F1494" s="8">
        <f>IF(ISNA(MATCH(1485,'Transfer Engine'!$C$2:$C$1960,0)),"",INDEX('Compliance Database'!$F$2:$F$1960,MATCH(1485,'Transfer Engine'!$C$2:$C$1960,0)))</f>
        <v/>
      </c>
      <c r="G1494" s="8">
        <f>IF(ISNA(MATCH(1485,'Transfer Engine'!$C$2:$C$1960,0)),"",INDEX('Compliance Database'!$G$2:$G$1960,MATCH(1485,'Transfer Engine'!$C$2:$C$1960,0)))</f>
        <v/>
      </c>
      <c r="H1494" s="9">
        <f>IF(ISNA(MATCH(1485,'Transfer Engine'!$C$2:$C$1960,0)),"",INDEX('Compliance Database'!$H$2:$H$1960,MATCH(1485,'Transfer Engine'!$C$2:$C$1960,0)))</f>
        <v/>
      </c>
      <c r="I1494" s="9">
        <f>IF(ISNA(MATCH(1485,'Transfer Engine'!$C$2:$C$1960,0)),"",INDEX('Compliance Database'!$I$2:$I$1960,MATCH(1485,'Transfer Engine'!$C$2:$C$1960,0)))</f>
        <v/>
      </c>
      <c r="J1494" s="8">
        <f>IF(ISNA(MATCH(1485,'Transfer Engine'!$C$2:$C$1960,0)),"",INDEX('Compliance Database'!$J$2:$J$1960,MATCH(1485,'Transfer Engine'!$C$2:$C$1960,0)))</f>
        <v/>
      </c>
      <c r="K1494" s="9">
        <f>IF(ISNA(MATCH(1485,'Transfer Engine'!$C$2:$C$1960,0)),"",INDEX('Compliance Database'!$K$2:$K$1960,MATCH(1485,'Transfer Engine'!$C$2:$C$1960,0)))</f>
        <v/>
      </c>
      <c r="L1494" s="9">
        <f>IF(ISNA(MATCH(1485,'Transfer Engine'!$C$2:$C$1960,0)),"",INDEX('Compliance Database'!$L$2:$L$1960,MATCH(1485,'Transfer Engine'!$C$2:$C$1960,0)))</f>
        <v/>
      </c>
      <c r="M1494" s="9">
        <f>IF(ISNA(MATCH(1485,'Transfer Engine'!$C$2:$C$1960,0)),"",INDEX('Compliance Database'!$M$2:$M$1960,MATCH(1485,'Transfer Engine'!$C$2:$C$1960,0)))</f>
        <v/>
      </c>
      <c r="N1494" s="9">
        <f>IF(ISNA(MATCH(1485,'Transfer Engine'!$C$2:$C$1960,0)),"",INDEX('Compliance Database'!$N$2:$N$1960,MATCH(1485,'Transfer Engine'!$C$2:$C$1960,0)))</f>
        <v/>
      </c>
      <c r="O1494" s="9">
        <f>IF(ISNA(MATCH(1485,'Transfer Engine'!$C$2:$C$1960,0)),"",INDEX('Compliance Database'!$O$2:$O$1960,MATCH(1485,'Transfer Engine'!$C$2:$C$1960,0)))</f>
        <v/>
      </c>
      <c r="P1494" s="8">
        <f>IF(ISNA(MATCH(1485,'Transfer Engine'!$C$2:$C$1960,0)),"",HYPERLINK("#Acts!A"&amp;INDEX('Compliance Database'!$P$2:$P$1960,MATCH(1485,'Transfer Engine'!$C$2:$C$1960,0)),"Go to Act"))</f>
        <v/>
      </c>
    </row>
    <row r="1495" ht="158" customHeight="1">
      <c r="A1495" s="8">
        <f>IF(ISNA(MATCH(1486,'Transfer Engine'!$C$2:$C$1960,0)),"",INDEX('Compliance Database'!$A$2:$A$1960,MATCH(1486,'Transfer Engine'!$C$2:$C$1960,0)))</f>
        <v/>
      </c>
      <c r="B1495" s="8">
        <f>IF(ISNA(MATCH(1486,'Transfer Engine'!$C$2:$C$1960,0)),"",INDEX('Compliance Database'!$B$2:$B$1960,MATCH(1486,'Transfer Engine'!$C$2:$C$1960,0)))</f>
        <v/>
      </c>
      <c r="C1495" s="8">
        <f>IF(ISNA(MATCH(1486,'Transfer Engine'!$C$2:$C$1960,0)),"",INDEX('Compliance Database'!$C$2:$C$1960,MATCH(1486,'Transfer Engine'!$C$2:$C$1960,0)))</f>
        <v/>
      </c>
      <c r="D1495" s="9">
        <f>IF(ISNA(MATCH(1486,'Transfer Engine'!$C$2:$C$1960,0)),"",INDEX('Compliance Database'!$D$2:$D$1960,MATCH(1486,'Transfer Engine'!$C$2:$C$1960,0)))</f>
        <v/>
      </c>
      <c r="E1495" s="8">
        <f>IF(ISNA(MATCH(1486,'Transfer Engine'!$C$2:$C$1960,0)),"",INDEX('Compliance Database'!$E$2:$E$1960,MATCH(1486,'Transfer Engine'!$C$2:$C$1960,0)))</f>
        <v/>
      </c>
      <c r="F1495" s="8">
        <f>IF(ISNA(MATCH(1486,'Transfer Engine'!$C$2:$C$1960,0)),"",INDEX('Compliance Database'!$F$2:$F$1960,MATCH(1486,'Transfer Engine'!$C$2:$C$1960,0)))</f>
        <v/>
      </c>
      <c r="G1495" s="8">
        <f>IF(ISNA(MATCH(1486,'Transfer Engine'!$C$2:$C$1960,0)),"",INDEX('Compliance Database'!$G$2:$G$1960,MATCH(1486,'Transfer Engine'!$C$2:$C$1960,0)))</f>
        <v/>
      </c>
      <c r="H1495" s="9">
        <f>IF(ISNA(MATCH(1486,'Transfer Engine'!$C$2:$C$1960,0)),"",INDEX('Compliance Database'!$H$2:$H$1960,MATCH(1486,'Transfer Engine'!$C$2:$C$1960,0)))</f>
        <v/>
      </c>
      <c r="I1495" s="9">
        <f>IF(ISNA(MATCH(1486,'Transfer Engine'!$C$2:$C$1960,0)),"",INDEX('Compliance Database'!$I$2:$I$1960,MATCH(1486,'Transfer Engine'!$C$2:$C$1960,0)))</f>
        <v/>
      </c>
      <c r="J1495" s="8">
        <f>IF(ISNA(MATCH(1486,'Transfer Engine'!$C$2:$C$1960,0)),"",INDEX('Compliance Database'!$J$2:$J$1960,MATCH(1486,'Transfer Engine'!$C$2:$C$1960,0)))</f>
        <v/>
      </c>
      <c r="K1495" s="9">
        <f>IF(ISNA(MATCH(1486,'Transfer Engine'!$C$2:$C$1960,0)),"",INDEX('Compliance Database'!$K$2:$K$1960,MATCH(1486,'Transfer Engine'!$C$2:$C$1960,0)))</f>
        <v/>
      </c>
      <c r="L1495" s="9">
        <f>IF(ISNA(MATCH(1486,'Transfer Engine'!$C$2:$C$1960,0)),"",INDEX('Compliance Database'!$L$2:$L$1960,MATCH(1486,'Transfer Engine'!$C$2:$C$1960,0)))</f>
        <v/>
      </c>
      <c r="M1495" s="9">
        <f>IF(ISNA(MATCH(1486,'Transfer Engine'!$C$2:$C$1960,0)),"",INDEX('Compliance Database'!$M$2:$M$1960,MATCH(1486,'Transfer Engine'!$C$2:$C$1960,0)))</f>
        <v/>
      </c>
      <c r="N1495" s="9">
        <f>IF(ISNA(MATCH(1486,'Transfer Engine'!$C$2:$C$1960,0)),"",INDEX('Compliance Database'!$N$2:$N$1960,MATCH(1486,'Transfer Engine'!$C$2:$C$1960,0)))</f>
        <v/>
      </c>
      <c r="O1495" s="9">
        <f>IF(ISNA(MATCH(1486,'Transfer Engine'!$C$2:$C$1960,0)),"",INDEX('Compliance Database'!$O$2:$O$1960,MATCH(1486,'Transfer Engine'!$C$2:$C$1960,0)))</f>
        <v/>
      </c>
      <c r="P1495" s="8">
        <f>IF(ISNA(MATCH(1486,'Transfer Engine'!$C$2:$C$1960,0)),"",HYPERLINK("#Acts!A"&amp;INDEX('Compliance Database'!$P$2:$P$1960,MATCH(1486,'Transfer Engine'!$C$2:$C$1960,0)),"Go to Act"))</f>
        <v/>
      </c>
    </row>
    <row r="1496" ht="158" customHeight="1">
      <c r="A1496" s="8">
        <f>IF(ISNA(MATCH(1487,'Transfer Engine'!$C$2:$C$1960,0)),"",INDEX('Compliance Database'!$A$2:$A$1960,MATCH(1487,'Transfer Engine'!$C$2:$C$1960,0)))</f>
        <v/>
      </c>
      <c r="B1496" s="8">
        <f>IF(ISNA(MATCH(1487,'Transfer Engine'!$C$2:$C$1960,0)),"",INDEX('Compliance Database'!$B$2:$B$1960,MATCH(1487,'Transfer Engine'!$C$2:$C$1960,0)))</f>
        <v/>
      </c>
      <c r="C1496" s="8">
        <f>IF(ISNA(MATCH(1487,'Transfer Engine'!$C$2:$C$1960,0)),"",INDEX('Compliance Database'!$C$2:$C$1960,MATCH(1487,'Transfer Engine'!$C$2:$C$1960,0)))</f>
        <v/>
      </c>
      <c r="D1496" s="9">
        <f>IF(ISNA(MATCH(1487,'Transfer Engine'!$C$2:$C$1960,0)),"",INDEX('Compliance Database'!$D$2:$D$1960,MATCH(1487,'Transfer Engine'!$C$2:$C$1960,0)))</f>
        <v/>
      </c>
      <c r="E1496" s="8">
        <f>IF(ISNA(MATCH(1487,'Transfer Engine'!$C$2:$C$1960,0)),"",INDEX('Compliance Database'!$E$2:$E$1960,MATCH(1487,'Transfer Engine'!$C$2:$C$1960,0)))</f>
        <v/>
      </c>
      <c r="F1496" s="8">
        <f>IF(ISNA(MATCH(1487,'Transfer Engine'!$C$2:$C$1960,0)),"",INDEX('Compliance Database'!$F$2:$F$1960,MATCH(1487,'Transfer Engine'!$C$2:$C$1960,0)))</f>
        <v/>
      </c>
      <c r="G1496" s="8">
        <f>IF(ISNA(MATCH(1487,'Transfer Engine'!$C$2:$C$1960,0)),"",INDEX('Compliance Database'!$G$2:$G$1960,MATCH(1487,'Transfer Engine'!$C$2:$C$1960,0)))</f>
        <v/>
      </c>
      <c r="H1496" s="9">
        <f>IF(ISNA(MATCH(1487,'Transfer Engine'!$C$2:$C$1960,0)),"",INDEX('Compliance Database'!$H$2:$H$1960,MATCH(1487,'Transfer Engine'!$C$2:$C$1960,0)))</f>
        <v/>
      </c>
      <c r="I1496" s="9">
        <f>IF(ISNA(MATCH(1487,'Transfer Engine'!$C$2:$C$1960,0)),"",INDEX('Compliance Database'!$I$2:$I$1960,MATCH(1487,'Transfer Engine'!$C$2:$C$1960,0)))</f>
        <v/>
      </c>
      <c r="J1496" s="8">
        <f>IF(ISNA(MATCH(1487,'Transfer Engine'!$C$2:$C$1960,0)),"",INDEX('Compliance Database'!$J$2:$J$1960,MATCH(1487,'Transfer Engine'!$C$2:$C$1960,0)))</f>
        <v/>
      </c>
      <c r="K1496" s="9">
        <f>IF(ISNA(MATCH(1487,'Transfer Engine'!$C$2:$C$1960,0)),"",INDEX('Compliance Database'!$K$2:$K$1960,MATCH(1487,'Transfer Engine'!$C$2:$C$1960,0)))</f>
        <v/>
      </c>
      <c r="L1496" s="9">
        <f>IF(ISNA(MATCH(1487,'Transfer Engine'!$C$2:$C$1960,0)),"",INDEX('Compliance Database'!$L$2:$L$1960,MATCH(1487,'Transfer Engine'!$C$2:$C$1960,0)))</f>
        <v/>
      </c>
      <c r="M1496" s="9">
        <f>IF(ISNA(MATCH(1487,'Transfer Engine'!$C$2:$C$1960,0)),"",INDEX('Compliance Database'!$M$2:$M$1960,MATCH(1487,'Transfer Engine'!$C$2:$C$1960,0)))</f>
        <v/>
      </c>
      <c r="N1496" s="9">
        <f>IF(ISNA(MATCH(1487,'Transfer Engine'!$C$2:$C$1960,0)),"",INDEX('Compliance Database'!$N$2:$N$1960,MATCH(1487,'Transfer Engine'!$C$2:$C$1960,0)))</f>
        <v/>
      </c>
      <c r="O1496" s="9">
        <f>IF(ISNA(MATCH(1487,'Transfer Engine'!$C$2:$C$1960,0)),"",INDEX('Compliance Database'!$O$2:$O$1960,MATCH(1487,'Transfer Engine'!$C$2:$C$1960,0)))</f>
        <v/>
      </c>
      <c r="P1496" s="8">
        <f>IF(ISNA(MATCH(1487,'Transfer Engine'!$C$2:$C$1960,0)),"",HYPERLINK("#Acts!A"&amp;INDEX('Compliance Database'!$P$2:$P$1960,MATCH(1487,'Transfer Engine'!$C$2:$C$1960,0)),"Go to Act"))</f>
        <v/>
      </c>
    </row>
    <row r="1497" ht="158" customHeight="1">
      <c r="A1497" s="8">
        <f>IF(ISNA(MATCH(1488,'Transfer Engine'!$C$2:$C$1960,0)),"",INDEX('Compliance Database'!$A$2:$A$1960,MATCH(1488,'Transfer Engine'!$C$2:$C$1960,0)))</f>
        <v/>
      </c>
      <c r="B1497" s="8">
        <f>IF(ISNA(MATCH(1488,'Transfer Engine'!$C$2:$C$1960,0)),"",INDEX('Compliance Database'!$B$2:$B$1960,MATCH(1488,'Transfer Engine'!$C$2:$C$1960,0)))</f>
        <v/>
      </c>
      <c r="C1497" s="8">
        <f>IF(ISNA(MATCH(1488,'Transfer Engine'!$C$2:$C$1960,0)),"",INDEX('Compliance Database'!$C$2:$C$1960,MATCH(1488,'Transfer Engine'!$C$2:$C$1960,0)))</f>
        <v/>
      </c>
      <c r="D1497" s="9">
        <f>IF(ISNA(MATCH(1488,'Transfer Engine'!$C$2:$C$1960,0)),"",INDEX('Compliance Database'!$D$2:$D$1960,MATCH(1488,'Transfer Engine'!$C$2:$C$1960,0)))</f>
        <v/>
      </c>
      <c r="E1497" s="8">
        <f>IF(ISNA(MATCH(1488,'Transfer Engine'!$C$2:$C$1960,0)),"",INDEX('Compliance Database'!$E$2:$E$1960,MATCH(1488,'Transfer Engine'!$C$2:$C$1960,0)))</f>
        <v/>
      </c>
      <c r="F1497" s="8">
        <f>IF(ISNA(MATCH(1488,'Transfer Engine'!$C$2:$C$1960,0)),"",INDEX('Compliance Database'!$F$2:$F$1960,MATCH(1488,'Transfer Engine'!$C$2:$C$1960,0)))</f>
        <v/>
      </c>
      <c r="G1497" s="8">
        <f>IF(ISNA(MATCH(1488,'Transfer Engine'!$C$2:$C$1960,0)),"",INDEX('Compliance Database'!$G$2:$G$1960,MATCH(1488,'Transfer Engine'!$C$2:$C$1960,0)))</f>
        <v/>
      </c>
      <c r="H1497" s="9">
        <f>IF(ISNA(MATCH(1488,'Transfer Engine'!$C$2:$C$1960,0)),"",INDEX('Compliance Database'!$H$2:$H$1960,MATCH(1488,'Transfer Engine'!$C$2:$C$1960,0)))</f>
        <v/>
      </c>
      <c r="I1497" s="9">
        <f>IF(ISNA(MATCH(1488,'Transfer Engine'!$C$2:$C$1960,0)),"",INDEX('Compliance Database'!$I$2:$I$1960,MATCH(1488,'Transfer Engine'!$C$2:$C$1960,0)))</f>
        <v/>
      </c>
      <c r="J1497" s="8">
        <f>IF(ISNA(MATCH(1488,'Transfer Engine'!$C$2:$C$1960,0)),"",INDEX('Compliance Database'!$J$2:$J$1960,MATCH(1488,'Transfer Engine'!$C$2:$C$1960,0)))</f>
        <v/>
      </c>
      <c r="K1497" s="9">
        <f>IF(ISNA(MATCH(1488,'Transfer Engine'!$C$2:$C$1960,0)),"",INDEX('Compliance Database'!$K$2:$K$1960,MATCH(1488,'Transfer Engine'!$C$2:$C$1960,0)))</f>
        <v/>
      </c>
      <c r="L1497" s="9">
        <f>IF(ISNA(MATCH(1488,'Transfer Engine'!$C$2:$C$1960,0)),"",INDEX('Compliance Database'!$L$2:$L$1960,MATCH(1488,'Transfer Engine'!$C$2:$C$1960,0)))</f>
        <v/>
      </c>
      <c r="M1497" s="9">
        <f>IF(ISNA(MATCH(1488,'Transfer Engine'!$C$2:$C$1960,0)),"",INDEX('Compliance Database'!$M$2:$M$1960,MATCH(1488,'Transfer Engine'!$C$2:$C$1960,0)))</f>
        <v/>
      </c>
      <c r="N1497" s="9">
        <f>IF(ISNA(MATCH(1488,'Transfer Engine'!$C$2:$C$1960,0)),"",INDEX('Compliance Database'!$N$2:$N$1960,MATCH(1488,'Transfer Engine'!$C$2:$C$1960,0)))</f>
        <v/>
      </c>
      <c r="O1497" s="9">
        <f>IF(ISNA(MATCH(1488,'Transfer Engine'!$C$2:$C$1960,0)),"",INDEX('Compliance Database'!$O$2:$O$1960,MATCH(1488,'Transfer Engine'!$C$2:$C$1960,0)))</f>
        <v/>
      </c>
      <c r="P1497" s="8">
        <f>IF(ISNA(MATCH(1488,'Transfer Engine'!$C$2:$C$1960,0)),"",HYPERLINK("#Acts!A"&amp;INDEX('Compliance Database'!$P$2:$P$1960,MATCH(1488,'Transfer Engine'!$C$2:$C$1960,0)),"Go to Act"))</f>
        <v/>
      </c>
    </row>
    <row r="1498" ht="158" customHeight="1">
      <c r="A1498" s="8">
        <f>IF(ISNA(MATCH(1489,'Transfer Engine'!$C$2:$C$1960,0)),"",INDEX('Compliance Database'!$A$2:$A$1960,MATCH(1489,'Transfer Engine'!$C$2:$C$1960,0)))</f>
        <v/>
      </c>
      <c r="B1498" s="8">
        <f>IF(ISNA(MATCH(1489,'Transfer Engine'!$C$2:$C$1960,0)),"",INDEX('Compliance Database'!$B$2:$B$1960,MATCH(1489,'Transfer Engine'!$C$2:$C$1960,0)))</f>
        <v/>
      </c>
      <c r="C1498" s="8">
        <f>IF(ISNA(MATCH(1489,'Transfer Engine'!$C$2:$C$1960,0)),"",INDEX('Compliance Database'!$C$2:$C$1960,MATCH(1489,'Transfer Engine'!$C$2:$C$1960,0)))</f>
        <v/>
      </c>
      <c r="D1498" s="9">
        <f>IF(ISNA(MATCH(1489,'Transfer Engine'!$C$2:$C$1960,0)),"",INDEX('Compliance Database'!$D$2:$D$1960,MATCH(1489,'Transfer Engine'!$C$2:$C$1960,0)))</f>
        <v/>
      </c>
      <c r="E1498" s="8">
        <f>IF(ISNA(MATCH(1489,'Transfer Engine'!$C$2:$C$1960,0)),"",INDEX('Compliance Database'!$E$2:$E$1960,MATCH(1489,'Transfer Engine'!$C$2:$C$1960,0)))</f>
        <v/>
      </c>
      <c r="F1498" s="8">
        <f>IF(ISNA(MATCH(1489,'Transfer Engine'!$C$2:$C$1960,0)),"",INDEX('Compliance Database'!$F$2:$F$1960,MATCH(1489,'Transfer Engine'!$C$2:$C$1960,0)))</f>
        <v/>
      </c>
      <c r="G1498" s="8">
        <f>IF(ISNA(MATCH(1489,'Transfer Engine'!$C$2:$C$1960,0)),"",INDEX('Compliance Database'!$G$2:$G$1960,MATCH(1489,'Transfer Engine'!$C$2:$C$1960,0)))</f>
        <v/>
      </c>
      <c r="H1498" s="9">
        <f>IF(ISNA(MATCH(1489,'Transfer Engine'!$C$2:$C$1960,0)),"",INDEX('Compliance Database'!$H$2:$H$1960,MATCH(1489,'Transfer Engine'!$C$2:$C$1960,0)))</f>
        <v/>
      </c>
      <c r="I1498" s="9">
        <f>IF(ISNA(MATCH(1489,'Transfer Engine'!$C$2:$C$1960,0)),"",INDEX('Compliance Database'!$I$2:$I$1960,MATCH(1489,'Transfer Engine'!$C$2:$C$1960,0)))</f>
        <v/>
      </c>
      <c r="J1498" s="8">
        <f>IF(ISNA(MATCH(1489,'Transfer Engine'!$C$2:$C$1960,0)),"",INDEX('Compliance Database'!$J$2:$J$1960,MATCH(1489,'Transfer Engine'!$C$2:$C$1960,0)))</f>
        <v/>
      </c>
      <c r="K1498" s="9">
        <f>IF(ISNA(MATCH(1489,'Transfer Engine'!$C$2:$C$1960,0)),"",INDEX('Compliance Database'!$K$2:$K$1960,MATCH(1489,'Transfer Engine'!$C$2:$C$1960,0)))</f>
        <v/>
      </c>
      <c r="L1498" s="9">
        <f>IF(ISNA(MATCH(1489,'Transfer Engine'!$C$2:$C$1960,0)),"",INDEX('Compliance Database'!$L$2:$L$1960,MATCH(1489,'Transfer Engine'!$C$2:$C$1960,0)))</f>
        <v/>
      </c>
      <c r="M1498" s="9">
        <f>IF(ISNA(MATCH(1489,'Transfer Engine'!$C$2:$C$1960,0)),"",INDEX('Compliance Database'!$M$2:$M$1960,MATCH(1489,'Transfer Engine'!$C$2:$C$1960,0)))</f>
        <v/>
      </c>
      <c r="N1498" s="9">
        <f>IF(ISNA(MATCH(1489,'Transfer Engine'!$C$2:$C$1960,0)),"",INDEX('Compliance Database'!$N$2:$N$1960,MATCH(1489,'Transfer Engine'!$C$2:$C$1960,0)))</f>
        <v/>
      </c>
      <c r="O1498" s="9">
        <f>IF(ISNA(MATCH(1489,'Transfer Engine'!$C$2:$C$1960,0)),"",INDEX('Compliance Database'!$O$2:$O$1960,MATCH(1489,'Transfer Engine'!$C$2:$C$1960,0)))</f>
        <v/>
      </c>
      <c r="P1498" s="8">
        <f>IF(ISNA(MATCH(1489,'Transfer Engine'!$C$2:$C$1960,0)),"",HYPERLINK("#Acts!A"&amp;INDEX('Compliance Database'!$P$2:$P$1960,MATCH(1489,'Transfer Engine'!$C$2:$C$1960,0)),"Go to Act"))</f>
        <v/>
      </c>
    </row>
    <row r="1499" ht="158" customHeight="1">
      <c r="A1499" s="8">
        <f>IF(ISNA(MATCH(1490,'Transfer Engine'!$C$2:$C$1960,0)),"",INDEX('Compliance Database'!$A$2:$A$1960,MATCH(1490,'Transfer Engine'!$C$2:$C$1960,0)))</f>
        <v/>
      </c>
      <c r="B1499" s="8">
        <f>IF(ISNA(MATCH(1490,'Transfer Engine'!$C$2:$C$1960,0)),"",INDEX('Compliance Database'!$B$2:$B$1960,MATCH(1490,'Transfer Engine'!$C$2:$C$1960,0)))</f>
        <v/>
      </c>
      <c r="C1499" s="8">
        <f>IF(ISNA(MATCH(1490,'Transfer Engine'!$C$2:$C$1960,0)),"",INDEX('Compliance Database'!$C$2:$C$1960,MATCH(1490,'Transfer Engine'!$C$2:$C$1960,0)))</f>
        <v/>
      </c>
      <c r="D1499" s="9">
        <f>IF(ISNA(MATCH(1490,'Transfer Engine'!$C$2:$C$1960,0)),"",INDEX('Compliance Database'!$D$2:$D$1960,MATCH(1490,'Transfer Engine'!$C$2:$C$1960,0)))</f>
        <v/>
      </c>
      <c r="E1499" s="8">
        <f>IF(ISNA(MATCH(1490,'Transfer Engine'!$C$2:$C$1960,0)),"",INDEX('Compliance Database'!$E$2:$E$1960,MATCH(1490,'Transfer Engine'!$C$2:$C$1960,0)))</f>
        <v/>
      </c>
      <c r="F1499" s="8">
        <f>IF(ISNA(MATCH(1490,'Transfer Engine'!$C$2:$C$1960,0)),"",INDEX('Compliance Database'!$F$2:$F$1960,MATCH(1490,'Transfer Engine'!$C$2:$C$1960,0)))</f>
        <v/>
      </c>
      <c r="G1499" s="8">
        <f>IF(ISNA(MATCH(1490,'Transfer Engine'!$C$2:$C$1960,0)),"",INDEX('Compliance Database'!$G$2:$G$1960,MATCH(1490,'Transfer Engine'!$C$2:$C$1960,0)))</f>
        <v/>
      </c>
      <c r="H1499" s="9">
        <f>IF(ISNA(MATCH(1490,'Transfer Engine'!$C$2:$C$1960,0)),"",INDEX('Compliance Database'!$H$2:$H$1960,MATCH(1490,'Transfer Engine'!$C$2:$C$1960,0)))</f>
        <v/>
      </c>
      <c r="I1499" s="9">
        <f>IF(ISNA(MATCH(1490,'Transfer Engine'!$C$2:$C$1960,0)),"",INDEX('Compliance Database'!$I$2:$I$1960,MATCH(1490,'Transfer Engine'!$C$2:$C$1960,0)))</f>
        <v/>
      </c>
      <c r="J1499" s="8">
        <f>IF(ISNA(MATCH(1490,'Transfer Engine'!$C$2:$C$1960,0)),"",INDEX('Compliance Database'!$J$2:$J$1960,MATCH(1490,'Transfer Engine'!$C$2:$C$1960,0)))</f>
        <v/>
      </c>
      <c r="K1499" s="9">
        <f>IF(ISNA(MATCH(1490,'Transfer Engine'!$C$2:$C$1960,0)),"",INDEX('Compliance Database'!$K$2:$K$1960,MATCH(1490,'Transfer Engine'!$C$2:$C$1960,0)))</f>
        <v/>
      </c>
      <c r="L1499" s="9">
        <f>IF(ISNA(MATCH(1490,'Transfer Engine'!$C$2:$C$1960,0)),"",INDEX('Compliance Database'!$L$2:$L$1960,MATCH(1490,'Transfer Engine'!$C$2:$C$1960,0)))</f>
        <v/>
      </c>
      <c r="M1499" s="9">
        <f>IF(ISNA(MATCH(1490,'Transfer Engine'!$C$2:$C$1960,0)),"",INDEX('Compliance Database'!$M$2:$M$1960,MATCH(1490,'Transfer Engine'!$C$2:$C$1960,0)))</f>
        <v/>
      </c>
      <c r="N1499" s="9">
        <f>IF(ISNA(MATCH(1490,'Transfer Engine'!$C$2:$C$1960,0)),"",INDEX('Compliance Database'!$N$2:$N$1960,MATCH(1490,'Transfer Engine'!$C$2:$C$1960,0)))</f>
        <v/>
      </c>
      <c r="O1499" s="9">
        <f>IF(ISNA(MATCH(1490,'Transfer Engine'!$C$2:$C$1960,0)),"",INDEX('Compliance Database'!$O$2:$O$1960,MATCH(1490,'Transfer Engine'!$C$2:$C$1960,0)))</f>
        <v/>
      </c>
      <c r="P1499" s="8">
        <f>IF(ISNA(MATCH(1490,'Transfer Engine'!$C$2:$C$1960,0)),"",HYPERLINK("#Acts!A"&amp;INDEX('Compliance Database'!$P$2:$P$1960,MATCH(1490,'Transfer Engine'!$C$2:$C$1960,0)),"Go to Act"))</f>
        <v/>
      </c>
    </row>
    <row r="1500" ht="158" customHeight="1">
      <c r="A1500" s="8">
        <f>IF(ISNA(MATCH(1491,'Transfer Engine'!$C$2:$C$1960,0)),"",INDEX('Compliance Database'!$A$2:$A$1960,MATCH(1491,'Transfer Engine'!$C$2:$C$1960,0)))</f>
        <v/>
      </c>
      <c r="B1500" s="8">
        <f>IF(ISNA(MATCH(1491,'Transfer Engine'!$C$2:$C$1960,0)),"",INDEX('Compliance Database'!$B$2:$B$1960,MATCH(1491,'Transfer Engine'!$C$2:$C$1960,0)))</f>
        <v/>
      </c>
      <c r="C1500" s="8">
        <f>IF(ISNA(MATCH(1491,'Transfer Engine'!$C$2:$C$1960,0)),"",INDEX('Compliance Database'!$C$2:$C$1960,MATCH(1491,'Transfer Engine'!$C$2:$C$1960,0)))</f>
        <v/>
      </c>
      <c r="D1500" s="9">
        <f>IF(ISNA(MATCH(1491,'Transfer Engine'!$C$2:$C$1960,0)),"",INDEX('Compliance Database'!$D$2:$D$1960,MATCH(1491,'Transfer Engine'!$C$2:$C$1960,0)))</f>
        <v/>
      </c>
      <c r="E1500" s="8">
        <f>IF(ISNA(MATCH(1491,'Transfer Engine'!$C$2:$C$1960,0)),"",INDEX('Compliance Database'!$E$2:$E$1960,MATCH(1491,'Transfer Engine'!$C$2:$C$1960,0)))</f>
        <v/>
      </c>
      <c r="F1500" s="8">
        <f>IF(ISNA(MATCH(1491,'Transfer Engine'!$C$2:$C$1960,0)),"",INDEX('Compliance Database'!$F$2:$F$1960,MATCH(1491,'Transfer Engine'!$C$2:$C$1960,0)))</f>
        <v/>
      </c>
      <c r="G1500" s="8">
        <f>IF(ISNA(MATCH(1491,'Transfer Engine'!$C$2:$C$1960,0)),"",INDEX('Compliance Database'!$G$2:$G$1960,MATCH(1491,'Transfer Engine'!$C$2:$C$1960,0)))</f>
        <v/>
      </c>
      <c r="H1500" s="9">
        <f>IF(ISNA(MATCH(1491,'Transfer Engine'!$C$2:$C$1960,0)),"",INDEX('Compliance Database'!$H$2:$H$1960,MATCH(1491,'Transfer Engine'!$C$2:$C$1960,0)))</f>
        <v/>
      </c>
      <c r="I1500" s="9">
        <f>IF(ISNA(MATCH(1491,'Transfer Engine'!$C$2:$C$1960,0)),"",INDEX('Compliance Database'!$I$2:$I$1960,MATCH(1491,'Transfer Engine'!$C$2:$C$1960,0)))</f>
        <v/>
      </c>
      <c r="J1500" s="8">
        <f>IF(ISNA(MATCH(1491,'Transfer Engine'!$C$2:$C$1960,0)),"",INDEX('Compliance Database'!$J$2:$J$1960,MATCH(1491,'Transfer Engine'!$C$2:$C$1960,0)))</f>
        <v/>
      </c>
      <c r="K1500" s="9">
        <f>IF(ISNA(MATCH(1491,'Transfer Engine'!$C$2:$C$1960,0)),"",INDEX('Compliance Database'!$K$2:$K$1960,MATCH(1491,'Transfer Engine'!$C$2:$C$1960,0)))</f>
        <v/>
      </c>
      <c r="L1500" s="9">
        <f>IF(ISNA(MATCH(1491,'Transfer Engine'!$C$2:$C$1960,0)),"",INDEX('Compliance Database'!$L$2:$L$1960,MATCH(1491,'Transfer Engine'!$C$2:$C$1960,0)))</f>
        <v/>
      </c>
      <c r="M1500" s="9">
        <f>IF(ISNA(MATCH(1491,'Transfer Engine'!$C$2:$C$1960,0)),"",INDEX('Compliance Database'!$M$2:$M$1960,MATCH(1491,'Transfer Engine'!$C$2:$C$1960,0)))</f>
        <v/>
      </c>
      <c r="N1500" s="9">
        <f>IF(ISNA(MATCH(1491,'Transfer Engine'!$C$2:$C$1960,0)),"",INDEX('Compliance Database'!$N$2:$N$1960,MATCH(1491,'Transfer Engine'!$C$2:$C$1960,0)))</f>
        <v/>
      </c>
      <c r="O1500" s="9">
        <f>IF(ISNA(MATCH(1491,'Transfer Engine'!$C$2:$C$1960,0)),"",INDEX('Compliance Database'!$O$2:$O$1960,MATCH(1491,'Transfer Engine'!$C$2:$C$1960,0)))</f>
        <v/>
      </c>
      <c r="P1500" s="8">
        <f>IF(ISNA(MATCH(1491,'Transfer Engine'!$C$2:$C$1960,0)),"",HYPERLINK("#Acts!A"&amp;INDEX('Compliance Database'!$P$2:$P$1960,MATCH(1491,'Transfer Engine'!$C$2:$C$1960,0)),"Go to Act"))</f>
        <v/>
      </c>
    </row>
    <row r="1501" ht="158" customHeight="1">
      <c r="A1501" s="8">
        <f>IF(ISNA(MATCH(1492,'Transfer Engine'!$C$2:$C$1960,0)),"",INDEX('Compliance Database'!$A$2:$A$1960,MATCH(1492,'Transfer Engine'!$C$2:$C$1960,0)))</f>
        <v/>
      </c>
      <c r="B1501" s="8">
        <f>IF(ISNA(MATCH(1492,'Transfer Engine'!$C$2:$C$1960,0)),"",INDEX('Compliance Database'!$B$2:$B$1960,MATCH(1492,'Transfer Engine'!$C$2:$C$1960,0)))</f>
        <v/>
      </c>
      <c r="C1501" s="8">
        <f>IF(ISNA(MATCH(1492,'Transfer Engine'!$C$2:$C$1960,0)),"",INDEX('Compliance Database'!$C$2:$C$1960,MATCH(1492,'Transfer Engine'!$C$2:$C$1960,0)))</f>
        <v/>
      </c>
      <c r="D1501" s="9">
        <f>IF(ISNA(MATCH(1492,'Transfer Engine'!$C$2:$C$1960,0)),"",INDEX('Compliance Database'!$D$2:$D$1960,MATCH(1492,'Transfer Engine'!$C$2:$C$1960,0)))</f>
        <v/>
      </c>
      <c r="E1501" s="8">
        <f>IF(ISNA(MATCH(1492,'Transfer Engine'!$C$2:$C$1960,0)),"",INDEX('Compliance Database'!$E$2:$E$1960,MATCH(1492,'Transfer Engine'!$C$2:$C$1960,0)))</f>
        <v/>
      </c>
      <c r="F1501" s="8">
        <f>IF(ISNA(MATCH(1492,'Transfer Engine'!$C$2:$C$1960,0)),"",INDEX('Compliance Database'!$F$2:$F$1960,MATCH(1492,'Transfer Engine'!$C$2:$C$1960,0)))</f>
        <v/>
      </c>
      <c r="G1501" s="8">
        <f>IF(ISNA(MATCH(1492,'Transfer Engine'!$C$2:$C$1960,0)),"",INDEX('Compliance Database'!$G$2:$G$1960,MATCH(1492,'Transfer Engine'!$C$2:$C$1960,0)))</f>
        <v/>
      </c>
      <c r="H1501" s="9">
        <f>IF(ISNA(MATCH(1492,'Transfer Engine'!$C$2:$C$1960,0)),"",INDEX('Compliance Database'!$H$2:$H$1960,MATCH(1492,'Transfer Engine'!$C$2:$C$1960,0)))</f>
        <v/>
      </c>
      <c r="I1501" s="9">
        <f>IF(ISNA(MATCH(1492,'Transfer Engine'!$C$2:$C$1960,0)),"",INDEX('Compliance Database'!$I$2:$I$1960,MATCH(1492,'Transfer Engine'!$C$2:$C$1960,0)))</f>
        <v/>
      </c>
      <c r="J1501" s="8">
        <f>IF(ISNA(MATCH(1492,'Transfer Engine'!$C$2:$C$1960,0)),"",INDEX('Compliance Database'!$J$2:$J$1960,MATCH(1492,'Transfer Engine'!$C$2:$C$1960,0)))</f>
        <v/>
      </c>
      <c r="K1501" s="9">
        <f>IF(ISNA(MATCH(1492,'Transfer Engine'!$C$2:$C$1960,0)),"",INDEX('Compliance Database'!$K$2:$K$1960,MATCH(1492,'Transfer Engine'!$C$2:$C$1960,0)))</f>
        <v/>
      </c>
      <c r="L1501" s="9">
        <f>IF(ISNA(MATCH(1492,'Transfer Engine'!$C$2:$C$1960,0)),"",INDEX('Compliance Database'!$L$2:$L$1960,MATCH(1492,'Transfer Engine'!$C$2:$C$1960,0)))</f>
        <v/>
      </c>
      <c r="M1501" s="9">
        <f>IF(ISNA(MATCH(1492,'Transfer Engine'!$C$2:$C$1960,0)),"",INDEX('Compliance Database'!$M$2:$M$1960,MATCH(1492,'Transfer Engine'!$C$2:$C$1960,0)))</f>
        <v/>
      </c>
      <c r="N1501" s="9">
        <f>IF(ISNA(MATCH(1492,'Transfer Engine'!$C$2:$C$1960,0)),"",INDEX('Compliance Database'!$N$2:$N$1960,MATCH(1492,'Transfer Engine'!$C$2:$C$1960,0)))</f>
        <v/>
      </c>
      <c r="O1501" s="9">
        <f>IF(ISNA(MATCH(1492,'Transfer Engine'!$C$2:$C$1960,0)),"",INDEX('Compliance Database'!$O$2:$O$1960,MATCH(1492,'Transfer Engine'!$C$2:$C$1960,0)))</f>
        <v/>
      </c>
      <c r="P1501" s="8">
        <f>IF(ISNA(MATCH(1492,'Transfer Engine'!$C$2:$C$1960,0)),"",HYPERLINK("#Acts!A"&amp;INDEX('Compliance Database'!$P$2:$P$1960,MATCH(1492,'Transfer Engine'!$C$2:$C$1960,0)),"Go to Act"))</f>
        <v/>
      </c>
    </row>
    <row r="1502" ht="158" customHeight="1">
      <c r="A1502" s="8">
        <f>IF(ISNA(MATCH(1493,'Transfer Engine'!$C$2:$C$1960,0)),"",INDEX('Compliance Database'!$A$2:$A$1960,MATCH(1493,'Transfer Engine'!$C$2:$C$1960,0)))</f>
        <v/>
      </c>
      <c r="B1502" s="8">
        <f>IF(ISNA(MATCH(1493,'Transfer Engine'!$C$2:$C$1960,0)),"",INDEX('Compliance Database'!$B$2:$B$1960,MATCH(1493,'Transfer Engine'!$C$2:$C$1960,0)))</f>
        <v/>
      </c>
      <c r="C1502" s="8">
        <f>IF(ISNA(MATCH(1493,'Transfer Engine'!$C$2:$C$1960,0)),"",INDEX('Compliance Database'!$C$2:$C$1960,MATCH(1493,'Transfer Engine'!$C$2:$C$1960,0)))</f>
        <v/>
      </c>
      <c r="D1502" s="9">
        <f>IF(ISNA(MATCH(1493,'Transfer Engine'!$C$2:$C$1960,0)),"",INDEX('Compliance Database'!$D$2:$D$1960,MATCH(1493,'Transfer Engine'!$C$2:$C$1960,0)))</f>
        <v/>
      </c>
      <c r="E1502" s="8">
        <f>IF(ISNA(MATCH(1493,'Transfer Engine'!$C$2:$C$1960,0)),"",INDEX('Compliance Database'!$E$2:$E$1960,MATCH(1493,'Transfer Engine'!$C$2:$C$1960,0)))</f>
        <v/>
      </c>
      <c r="F1502" s="8">
        <f>IF(ISNA(MATCH(1493,'Transfer Engine'!$C$2:$C$1960,0)),"",INDEX('Compliance Database'!$F$2:$F$1960,MATCH(1493,'Transfer Engine'!$C$2:$C$1960,0)))</f>
        <v/>
      </c>
      <c r="G1502" s="8">
        <f>IF(ISNA(MATCH(1493,'Transfer Engine'!$C$2:$C$1960,0)),"",INDEX('Compliance Database'!$G$2:$G$1960,MATCH(1493,'Transfer Engine'!$C$2:$C$1960,0)))</f>
        <v/>
      </c>
      <c r="H1502" s="9">
        <f>IF(ISNA(MATCH(1493,'Transfer Engine'!$C$2:$C$1960,0)),"",INDEX('Compliance Database'!$H$2:$H$1960,MATCH(1493,'Transfer Engine'!$C$2:$C$1960,0)))</f>
        <v/>
      </c>
      <c r="I1502" s="9">
        <f>IF(ISNA(MATCH(1493,'Transfer Engine'!$C$2:$C$1960,0)),"",INDEX('Compliance Database'!$I$2:$I$1960,MATCH(1493,'Transfer Engine'!$C$2:$C$1960,0)))</f>
        <v/>
      </c>
      <c r="J1502" s="8">
        <f>IF(ISNA(MATCH(1493,'Transfer Engine'!$C$2:$C$1960,0)),"",INDEX('Compliance Database'!$J$2:$J$1960,MATCH(1493,'Transfer Engine'!$C$2:$C$1960,0)))</f>
        <v/>
      </c>
      <c r="K1502" s="9">
        <f>IF(ISNA(MATCH(1493,'Transfer Engine'!$C$2:$C$1960,0)),"",INDEX('Compliance Database'!$K$2:$K$1960,MATCH(1493,'Transfer Engine'!$C$2:$C$1960,0)))</f>
        <v/>
      </c>
      <c r="L1502" s="9">
        <f>IF(ISNA(MATCH(1493,'Transfer Engine'!$C$2:$C$1960,0)),"",INDEX('Compliance Database'!$L$2:$L$1960,MATCH(1493,'Transfer Engine'!$C$2:$C$1960,0)))</f>
        <v/>
      </c>
      <c r="M1502" s="9">
        <f>IF(ISNA(MATCH(1493,'Transfer Engine'!$C$2:$C$1960,0)),"",INDEX('Compliance Database'!$M$2:$M$1960,MATCH(1493,'Transfer Engine'!$C$2:$C$1960,0)))</f>
        <v/>
      </c>
      <c r="N1502" s="9">
        <f>IF(ISNA(MATCH(1493,'Transfer Engine'!$C$2:$C$1960,0)),"",INDEX('Compliance Database'!$N$2:$N$1960,MATCH(1493,'Transfer Engine'!$C$2:$C$1960,0)))</f>
        <v/>
      </c>
      <c r="O1502" s="9">
        <f>IF(ISNA(MATCH(1493,'Transfer Engine'!$C$2:$C$1960,0)),"",INDEX('Compliance Database'!$O$2:$O$1960,MATCH(1493,'Transfer Engine'!$C$2:$C$1960,0)))</f>
        <v/>
      </c>
      <c r="P1502" s="8">
        <f>IF(ISNA(MATCH(1493,'Transfer Engine'!$C$2:$C$1960,0)),"",HYPERLINK("#Acts!A"&amp;INDEX('Compliance Database'!$P$2:$P$1960,MATCH(1493,'Transfer Engine'!$C$2:$C$1960,0)),"Go to Act"))</f>
        <v/>
      </c>
    </row>
    <row r="1503" ht="158" customHeight="1">
      <c r="A1503" s="8">
        <f>IF(ISNA(MATCH(1494,'Transfer Engine'!$C$2:$C$1960,0)),"",INDEX('Compliance Database'!$A$2:$A$1960,MATCH(1494,'Transfer Engine'!$C$2:$C$1960,0)))</f>
        <v/>
      </c>
      <c r="B1503" s="8">
        <f>IF(ISNA(MATCH(1494,'Transfer Engine'!$C$2:$C$1960,0)),"",INDEX('Compliance Database'!$B$2:$B$1960,MATCH(1494,'Transfer Engine'!$C$2:$C$1960,0)))</f>
        <v/>
      </c>
      <c r="C1503" s="8">
        <f>IF(ISNA(MATCH(1494,'Transfer Engine'!$C$2:$C$1960,0)),"",INDEX('Compliance Database'!$C$2:$C$1960,MATCH(1494,'Transfer Engine'!$C$2:$C$1960,0)))</f>
        <v/>
      </c>
      <c r="D1503" s="9">
        <f>IF(ISNA(MATCH(1494,'Transfer Engine'!$C$2:$C$1960,0)),"",INDEX('Compliance Database'!$D$2:$D$1960,MATCH(1494,'Transfer Engine'!$C$2:$C$1960,0)))</f>
        <v/>
      </c>
      <c r="E1503" s="8">
        <f>IF(ISNA(MATCH(1494,'Transfer Engine'!$C$2:$C$1960,0)),"",INDEX('Compliance Database'!$E$2:$E$1960,MATCH(1494,'Transfer Engine'!$C$2:$C$1960,0)))</f>
        <v/>
      </c>
      <c r="F1503" s="8">
        <f>IF(ISNA(MATCH(1494,'Transfer Engine'!$C$2:$C$1960,0)),"",INDEX('Compliance Database'!$F$2:$F$1960,MATCH(1494,'Transfer Engine'!$C$2:$C$1960,0)))</f>
        <v/>
      </c>
      <c r="G1503" s="8">
        <f>IF(ISNA(MATCH(1494,'Transfer Engine'!$C$2:$C$1960,0)),"",INDEX('Compliance Database'!$G$2:$G$1960,MATCH(1494,'Transfer Engine'!$C$2:$C$1960,0)))</f>
        <v/>
      </c>
      <c r="H1503" s="9">
        <f>IF(ISNA(MATCH(1494,'Transfer Engine'!$C$2:$C$1960,0)),"",INDEX('Compliance Database'!$H$2:$H$1960,MATCH(1494,'Transfer Engine'!$C$2:$C$1960,0)))</f>
        <v/>
      </c>
      <c r="I1503" s="9">
        <f>IF(ISNA(MATCH(1494,'Transfer Engine'!$C$2:$C$1960,0)),"",INDEX('Compliance Database'!$I$2:$I$1960,MATCH(1494,'Transfer Engine'!$C$2:$C$1960,0)))</f>
        <v/>
      </c>
      <c r="J1503" s="8">
        <f>IF(ISNA(MATCH(1494,'Transfer Engine'!$C$2:$C$1960,0)),"",INDEX('Compliance Database'!$J$2:$J$1960,MATCH(1494,'Transfer Engine'!$C$2:$C$1960,0)))</f>
        <v/>
      </c>
      <c r="K1503" s="9">
        <f>IF(ISNA(MATCH(1494,'Transfer Engine'!$C$2:$C$1960,0)),"",INDEX('Compliance Database'!$K$2:$K$1960,MATCH(1494,'Transfer Engine'!$C$2:$C$1960,0)))</f>
        <v/>
      </c>
      <c r="L1503" s="9">
        <f>IF(ISNA(MATCH(1494,'Transfer Engine'!$C$2:$C$1960,0)),"",INDEX('Compliance Database'!$L$2:$L$1960,MATCH(1494,'Transfer Engine'!$C$2:$C$1960,0)))</f>
        <v/>
      </c>
      <c r="M1503" s="9">
        <f>IF(ISNA(MATCH(1494,'Transfer Engine'!$C$2:$C$1960,0)),"",INDEX('Compliance Database'!$M$2:$M$1960,MATCH(1494,'Transfer Engine'!$C$2:$C$1960,0)))</f>
        <v/>
      </c>
      <c r="N1503" s="9">
        <f>IF(ISNA(MATCH(1494,'Transfer Engine'!$C$2:$C$1960,0)),"",INDEX('Compliance Database'!$N$2:$N$1960,MATCH(1494,'Transfer Engine'!$C$2:$C$1960,0)))</f>
        <v/>
      </c>
      <c r="O1503" s="9">
        <f>IF(ISNA(MATCH(1494,'Transfer Engine'!$C$2:$C$1960,0)),"",INDEX('Compliance Database'!$O$2:$O$1960,MATCH(1494,'Transfer Engine'!$C$2:$C$1960,0)))</f>
        <v/>
      </c>
      <c r="P1503" s="8">
        <f>IF(ISNA(MATCH(1494,'Transfer Engine'!$C$2:$C$1960,0)),"",HYPERLINK("#Acts!A"&amp;INDEX('Compliance Database'!$P$2:$P$1960,MATCH(1494,'Transfer Engine'!$C$2:$C$1960,0)),"Go to Act"))</f>
        <v/>
      </c>
    </row>
    <row r="1504" ht="158" customHeight="1">
      <c r="A1504" s="8">
        <f>IF(ISNA(MATCH(1495,'Transfer Engine'!$C$2:$C$1960,0)),"",INDEX('Compliance Database'!$A$2:$A$1960,MATCH(1495,'Transfer Engine'!$C$2:$C$1960,0)))</f>
        <v/>
      </c>
      <c r="B1504" s="8">
        <f>IF(ISNA(MATCH(1495,'Transfer Engine'!$C$2:$C$1960,0)),"",INDEX('Compliance Database'!$B$2:$B$1960,MATCH(1495,'Transfer Engine'!$C$2:$C$1960,0)))</f>
        <v/>
      </c>
      <c r="C1504" s="8">
        <f>IF(ISNA(MATCH(1495,'Transfer Engine'!$C$2:$C$1960,0)),"",INDEX('Compliance Database'!$C$2:$C$1960,MATCH(1495,'Transfer Engine'!$C$2:$C$1960,0)))</f>
        <v/>
      </c>
      <c r="D1504" s="9">
        <f>IF(ISNA(MATCH(1495,'Transfer Engine'!$C$2:$C$1960,0)),"",INDEX('Compliance Database'!$D$2:$D$1960,MATCH(1495,'Transfer Engine'!$C$2:$C$1960,0)))</f>
        <v/>
      </c>
      <c r="E1504" s="8">
        <f>IF(ISNA(MATCH(1495,'Transfer Engine'!$C$2:$C$1960,0)),"",INDEX('Compliance Database'!$E$2:$E$1960,MATCH(1495,'Transfer Engine'!$C$2:$C$1960,0)))</f>
        <v/>
      </c>
      <c r="F1504" s="8">
        <f>IF(ISNA(MATCH(1495,'Transfer Engine'!$C$2:$C$1960,0)),"",INDEX('Compliance Database'!$F$2:$F$1960,MATCH(1495,'Transfer Engine'!$C$2:$C$1960,0)))</f>
        <v/>
      </c>
      <c r="G1504" s="8">
        <f>IF(ISNA(MATCH(1495,'Transfer Engine'!$C$2:$C$1960,0)),"",INDEX('Compliance Database'!$G$2:$G$1960,MATCH(1495,'Transfer Engine'!$C$2:$C$1960,0)))</f>
        <v/>
      </c>
      <c r="H1504" s="9">
        <f>IF(ISNA(MATCH(1495,'Transfer Engine'!$C$2:$C$1960,0)),"",INDEX('Compliance Database'!$H$2:$H$1960,MATCH(1495,'Transfer Engine'!$C$2:$C$1960,0)))</f>
        <v/>
      </c>
      <c r="I1504" s="9">
        <f>IF(ISNA(MATCH(1495,'Transfer Engine'!$C$2:$C$1960,0)),"",INDEX('Compliance Database'!$I$2:$I$1960,MATCH(1495,'Transfer Engine'!$C$2:$C$1960,0)))</f>
        <v/>
      </c>
      <c r="J1504" s="8">
        <f>IF(ISNA(MATCH(1495,'Transfer Engine'!$C$2:$C$1960,0)),"",INDEX('Compliance Database'!$J$2:$J$1960,MATCH(1495,'Transfer Engine'!$C$2:$C$1960,0)))</f>
        <v/>
      </c>
      <c r="K1504" s="9">
        <f>IF(ISNA(MATCH(1495,'Transfer Engine'!$C$2:$C$1960,0)),"",INDEX('Compliance Database'!$K$2:$K$1960,MATCH(1495,'Transfer Engine'!$C$2:$C$1960,0)))</f>
        <v/>
      </c>
      <c r="L1504" s="9">
        <f>IF(ISNA(MATCH(1495,'Transfer Engine'!$C$2:$C$1960,0)),"",INDEX('Compliance Database'!$L$2:$L$1960,MATCH(1495,'Transfer Engine'!$C$2:$C$1960,0)))</f>
        <v/>
      </c>
      <c r="M1504" s="9">
        <f>IF(ISNA(MATCH(1495,'Transfer Engine'!$C$2:$C$1960,0)),"",INDEX('Compliance Database'!$M$2:$M$1960,MATCH(1495,'Transfer Engine'!$C$2:$C$1960,0)))</f>
        <v/>
      </c>
      <c r="N1504" s="9">
        <f>IF(ISNA(MATCH(1495,'Transfer Engine'!$C$2:$C$1960,0)),"",INDEX('Compliance Database'!$N$2:$N$1960,MATCH(1495,'Transfer Engine'!$C$2:$C$1960,0)))</f>
        <v/>
      </c>
      <c r="O1504" s="9">
        <f>IF(ISNA(MATCH(1495,'Transfer Engine'!$C$2:$C$1960,0)),"",INDEX('Compliance Database'!$O$2:$O$1960,MATCH(1495,'Transfer Engine'!$C$2:$C$1960,0)))</f>
        <v/>
      </c>
      <c r="P1504" s="8">
        <f>IF(ISNA(MATCH(1495,'Transfer Engine'!$C$2:$C$1960,0)),"",HYPERLINK("#Acts!A"&amp;INDEX('Compliance Database'!$P$2:$P$1960,MATCH(1495,'Transfer Engine'!$C$2:$C$1960,0)),"Go to Act"))</f>
        <v/>
      </c>
    </row>
    <row r="1505" ht="158" customHeight="1">
      <c r="A1505" s="8">
        <f>IF(ISNA(MATCH(1496,'Transfer Engine'!$C$2:$C$1960,0)),"",INDEX('Compliance Database'!$A$2:$A$1960,MATCH(1496,'Transfer Engine'!$C$2:$C$1960,0)))</f>
        <v/>
      </c>
      <c r="B1505" s="8">
        <f>IF(ISNA(MATCH(1496,'Transfer Engine'!$C$2:$C$1960,0)),"",INDEX('Compliance Database'!$B$2:$B$1960,MATCH(1496,'Transfer Engine'!$C$2:$C$1960,0)))</f>
        <v/>
      </c>
      <c r="C1505" s="8">
        <f>IF(ISNA(MATCH(1496,'Transfer Engine'!$C$2:$C$1960,0)),"",INDEX('Compliance Database'!$C$2:$C$1960,MATCH(1496,'Transfer Engine'!$C$2:$C$1960,0)))</f>
        <v/>
      </c>
      <c r="D1505" s="9">
        <f>IF(ISNA(MATCH(1496,'Transfer Engine'!$C$2:$C$1960,0)),"",INDEX('Compliance Database'!$D$2:$D$1960,MATCH(1496,'Transfer Engine'!$C$2:$C$1960,0)))</f>
        <v/>
      </c>
      <c r="E1505" s="8">
        <f>IF(ISNA(MATCH(1496,'Transfer Engine'!$C$2:$C$1960,0)),"",INDEX('Compliance Database'!$E$2:$E$1960,MATCH(1496,'Transfer Engine'!$C$2:$C$1960,0)))</f>
        <v/>
      </c>
      <c r="F1505" s="8">
        <f>IF(ISNA(MATCH(1496,'Transfer Engine'!$C$2:$C$1960,0)),"",INDEX('Compliance Database'!$F$2:$F$1960,MATCH(1496,'Transfer Engine'!$C$2:$C$1960,0)))</f>
        <v/>
      </c>
      <c r="G1505" s="8">
        <f>IF(ISNA(MATCH(1496,'Transfer Engine'!$C$2:$C$1960,0)),"",INDEX('Compliance Database'!$G$2:$G$1960,MATCH(1496,'Transfer Engine'!$C$2:$C$1960,0)))</f>
        <v/>
      </c>
      <c r="H1505" s="9">
        <f>IF(ISNA(MATCH(1496,'Transfer Engine'!$C$2:$C$1960,0)),"",INDEX('Compliance Database'!$H$2:$H$1960,MATCH(1496,'Transfer Engine'!$C$2:$C$1960,0)))</f>
        <v/>
      </c>
      <c r="I1505" s="9">
        <f>IF(ISNA(MATCH(1496,'Transfer Engine'!$C$2:$C$1960,0)),"",INDEX('Compliance Database'!$I$2:$I$1960,MATCH(1496,'Transfer Engine'!$C$2:$C$1960,0)))</f>
        <v/>
      </c>
      <c r="J1505" s="8">
        <f>IF(ISNA(MATCH(1496,'Transfer Engine'!$C$2:$C$1960,0)),"",INDEX('Compliance Database'!$J$2:$J$1960,MATCH(1496,'Transfer Engine'!$C$2:$C$1960,0)))</f>
        <v/>
      </c>
      <c r="K1505" s="9">
        <f>IF(ISNA(MATCH(1496,'Transfer Engine'!$C$2:$C$1960,0)),"",INDEX('Compliance Database'!$K$2:$K$1960,MATCH(1496,'Transfer Engine'!$C$2:$C$1960,0)))</f>
        <v/>
      </c>
      <c r="L1505" s="9">
        <f>IF(ISNA(MATCH(1496,'Transfer Engine'!$C$2:$C$1960,0)),"",INDEX('Compliance Database'!$L$2:$L$1960,MATCH(1496,'Transfer Engine'!$C$2:$C$1960,0)))</f>
        <v/>
      </c>
      <c r="M1505" s="9">
        <f>IF(ISNA(MATCH(1496,'Transfer Engine'!$C$2:$C$1960,0)),"",INDEX('Compliance Database'!$M$2:$M$1960,MATCH(1496,'Transfer Engine'!$C$2:$C$1960,0)))</f>
        <v/>
      </c>
      <c r="N1505" s="9">
        <f>IF(ISNA(MATCH(1496,'Transfer Engine'!$C$2:$C$1960,0)),"",INDEX('Compliance Database'!$N$2:$N$1960,MATCH(1496,'Transfer Engine'!$C$2:$C$1960,0)))</f>
        <v/>
      </c>
      <c r="O1505" s="9">
        <f>IF(ISNA(MATCH(1496,'Transfer Engine'!$C$2:$C$1960,0)),"",INDEX('Compliance Database'!$O$2:$O$1960,MATCH(1496,'Transfer Engine'!$C$2:$C$1960,0)))</f>
        <v/>
      </c>
      <c r="P1505" s="8">
        <f>IF(ISNA(MATCH(1496,'Transfer Engine'!$C$2:$C$1960,0)),"",HYPERLINK("#Acts!A"&amp;INDEX('Compliance Database'!$P$2:$P$1960,MATCH(1496,'Transfer Engine'!$C$2:$C$1960,0)),"Go to Act"))</f>
        <v/>
      </c>
    </row>
    <row r="1506" ht="158" customHeight="1">
      <c r="A1506" s="8">
        <f>IF(ISNA(MATCH(1497,'Transfer Engine'!$C$2:$C$1960,0)),"",INDEX('Compliance Database'!$A$2:$A$1960,MATCH(1497,'Transfer Engine'!$C$2:$C$1960,0)))</f>
        <v/>
      </c>
      <c r="B1506" s="8">
        <f>IF(ISNA(MATCH(1497,'Transfer Engine'!$C$2:$C$1960,0)),"",INDEX('Compliance Database'!$B$2:$B$1960,MATCH(1497,'Transfer Engine'!$C$2:$C$1960,0)))</f>
        <v/>
      </c>
      <c r="C1506" s="8">
        <f>IF(ISNA(MATCH(1497,'Transfer Engine'!$C$2:$C$1960,0)),"",INDEX('Compliance Database'!$C$2:$C$1960,MATCH(1497,'Transfer Engine'!$C$2:$C$1960,0)))</f>
        <v/>
      </c>
      <c r="D1506" s="9">
        <f>IF(ISNA(MATCH(1497,'Transfer Engine'!$C$2:$C$1960,0)),"",INDEX('Compliance Database'!$D$2:$D$1960,MATCH(1497,'Transfer Engine'!$C$2:$C$1960,0)))</f>
        <v/>
      </c>
      <c r="E1506" s="8">
        <f>IF(ISNA(MATCH(1497,'Transfer Engine'!$C$2:$C$1960,0)),"",INDEX('Compliance Database'!$E$2:$E$1960,MATCH(1497,'Transfer Engine'!$C$2:$C$1960,0)))</f>
        <v/>
      </c>
      <c r="F1506" s="8">
        <f>IF(ISNA(MATCH(1497,'Transfer Engine'!$C$2:$C$1960,0)),"",INDEX('Compliance Database'!$F$2:$F$1960,MATCH(1497,'Transfer Engine'!$C$2:$C$1960,0)))</f>
        <v/>
      </c>
      <c r="G1506" s="8">
        <f>IF(ISNA(MATCH(1497,'Transfer Engine'!$C$2:$C$1960,0)),"",INDEX('Compliance Database'!$G$2:$G$1960,MATCH(1497,'Transfer Engine'!$C$2:$C$1960,0)))</f>
        <v/>
      </c>
      <c r="H1506" s="9">
        <f>IF(ISNA(MATCH(1497,'Transfer Engine'!$C$2:$C$1960,0)),"",INDEX('Compliance Database'!$H$2:$H$1960,MATCH(1497,'Transfer Engine'!$C$2:$C$1960,0)))</f>
        <v/>
      </c>
      <c r="I1506" s="9">
        <f>IF(ISNA(MATCH(1497,'Transfer Engine'!$C$2:$C$1960,0)),"",INDEX('Compliance Database'!$I$2:$I$1960,MATCH(1497,'Transfer Engine'!$C$2:$C$1960,0)))</f>
        <v/>
      </c>
      <c r="J1506" s="8">
        <f>IF(ISNA(MATCH(1497,'Transfer Engine'!$C$2:$C$1960,0)),"",INDEX('Compliance Database'!$J$2:$J$1960,MATCH(1497,'Transfer Engine'!$C$2:$C$1960,0)))</f>
        <v/>
      </c>
      <c r="K1506" s="9">
        <f>IF(ISNA(MATCH(1497,'Transfer Engine'!$C$2:$C$1960,0)),"",INDEX('Compliance Database'!$K$2:$K$1960,MATCH(1497,'Transfer Engine'!$C$2:$C$1960,0)))</f>
        <v/>
      </c>
      <c r="L1506" s="9">
        <f>IF(ISNA(MATCH(1497,'Transfer Engine'!$C$2:$C$1960,0)),"",INDEX('Compliance Database'!$L$2:$L$1960,MATCH(1497,'Transfer Engine'!$C$2:$C$1960,0)))</f>
        <v/>
      </c>
      <c r="M1506" s="9">
        <f>IF(ISNA(MATCH(1497,'Transfer Engine'!$C$2:$C$1960,0)),"",INDEX('Compliance Database'!$M$2:$M$1960,MATCH(1497,'Transfer Engine'!$C$2:$C$1960,0)))</f>
        <v/>
      </c>
      <c r="N1506" s="9">
        <f>IF(ISNA(MATCH(1497,'Transfer Engine'!$C$2:$C$1960,0)),"",INDEX('Compliance Database'!$N$2:$N$1960,MATCH(1497,'Transfer Engine'!$C$2:$C$1960,0)))</f>
        <v/>
      </c>
      <c r="O1506" s="9">
        <f>IF(ISNA(MATCH(1497,'Transfer Engine'!$C$2:$C$1960,0)),"",INDEX('Compliance Database'!$O$2:$O$1960,MATCH(1497,'Transfer Engine'!$C$2:$C$1960,0)))</f>
        <v/>
      </c>
      <c r="P1506" s="8">
        <f>IF(ISNA(MATCH(1497,'Transfer Engine'!$C$2:$C$1960,0)),"",HYPERLINK("#Acts!A"&amp;INDEX('Compliance Database'!$P$2:$P$1960,MATCH(1497,'Transfer Engine'!$C$2:$C$1960,0)),"Go to Act"))</f>
        <v/>
      </c>
    </row>
    <row r="1507" ht="158" customHeight="1">
      <c r="A1507" s="8">
        <f>IF(ISNA(MATCH(1498,'Transfer Engine'!$C$2:$C$1960,0)),"",INDEX('Compliance Database'!$A$2:$A$1960,MATCH(1498,'Transfer Engine'!$C$2:$C$1960,0)))</f>
        <v/>
      </c>
      <c r="B1507" s="8">
        <f>IF(ISNA(MATCH(1498,'Transfer Engine'!$C$2:$C$1960,0)),"",INDEX('Compliance Database'!$B$2:$B$1960,MATCH(1498,'Transfer Engine'!$C$2:$C$1960,0)))</f>
        <v/>
      </c>
      <c r="C1507" s="8">
        <f>IF(ISNA(MATCH(1498,'Transfer Engine'!$C$2:$C$1960,0)),"",INDEX('Compliance Database'!$C$2:$C$1960,MATCH(1498,'Transfer Engine'!$C$2:$C$1960,0)))</f>
        <v/>
      </c>
      <c r="D1507" s="9">
        <f>IF(ISNA(MATCH(1498,'Transfer Engine'!$C$2:$C$1960,0)),"",INDEX('Compliance Database'!$D$2:$D$1960,MATCH(1498,'Transfer Engine'!$C$2:$C$1960,0)))</f>
        <v/>
      </c>
      <c r="E1507" s="8">
        <f>IF(ISNA(MATCH(1498,'Transfer Engine'!$C$2:$C$1960,0)),"",INDEX('Compliance Database'!$E$2:$E$1960,MATCH(1498,'Transfer Engine'!$C$2:$C$1960,0)))</f>
        <v/>
      </c>
      <c r="F1507" s="8">
        <f>IF(ISNA(MATCH(1498,'Transfer Engine'!$C$2:$C$1960,0)),"",INDEX('Compliance Database'!$F$2:$F$1960,MATCH(1498,'Transfer Engine'!$C$2:$C$1960,0)))</f>
        <v/>
      </c>
      <c r="G1507" s="8">
        <f>IF(ISNA(MATCH(1498,'Transfer Engine'!$C$2:$C$1960,0)),"",INDEX('Compliance Database'!$G$2:$G$1960,MATCH(1498,'Transfer Engine'!$C$2:$C$1960,0)))</f>
        <v/>
      </c>
      <c r="H1507" s="9">
        <f>IF(ISNA(MATCH(1498,'Transfer Engine'!$C$2:$C$1960,0)),"",INDEX('Compliance Database'!$H$2:$H$1960,MATCH(1498,'Transfer Engine'!$C$2:$C$1960,0)))</f>
        <v/>
      </c>
      <c r="I1507" s="9">
        <f>IF(ISNA(MATCH(1498,'Transfer Engine'!$C$2:$C$1960,0)),"",INDEX('Compliance Database'!$I$2:$I$1960,MATCH(1498,'Transfer Engine'!$C$2:$C$1960,0)))</f>
        <v/>
      </c>
      <c r="J1507" s="8">
        <f>IF(ISNA(MATCH(1498,'Transfer Engine'!$C$2:$C$1960,0)),"",INDEX('Compliance Database'!$J$2:$J$1960,MATCH(1498,'Transfer Engine'!$C$2:$C$1960,0)))</f>
        <v/>
      </c>
      <c r="K1507" s="9">
        <f>IF(ISNA(MATCH(1498,'Transfer Engine'!$C$2:$C$1960,0)),"",INDEX('Compliance Database'!$K$2:$K$1960,MATCH(1498,'Transfer Engine'!$C$2:$C$1960,0)))</f>
        <v/>
      </c>
      <c r="L1507" s="9">
        <f>IF(ISNA(MATCH(1498,'Transfer Engine'!$C$2:$C$1960,0)),"",INDEX('Compliance Database'!$L$2:$L$1960,MATCH(1498,'Transfer Engine'!$C$2:$C$1960,0)))</f>
        <v/>
      </c>
      <c r="M1507" s="9">
        <f>IF(ISNA(MATCH(1498,'Transfer Engine'!$C$2:$C$1960,0)),"",INDEX('Compliance Database'!$M$2:$M$1960,MATCH(1498,'Transfer Engine'!$C$2:$C$1960,0)))</f>
        <v/>
      </c>
      <c r="N1507" s="9">
        <f>IF(ISNA(MATCH(1498,'Transfer Engine'!$C$2:$C$1960,0)),"",INDEX('Compliance Database'!$N$2:$N$1960,MATCH(1498,'Transfer Engine'!$C$2:$C$1960,0)))</f>
        <v/>
      </c>
      <c r="O1507" s="9">
        <f>IF(ISNA(MATCH(1498,'Transfer Engine'!$C$2:$C$1960,0)),"",INDEX('Compliance Database'!$O$2:$O$1960,MATCH(1498,'Transfer Engine'!$C$2:$C$1960,0)))</f>
        <v/>
      </c>
      <c r="P1507" s="8">
        <f>IF(ISNA(MATCH(1498,'Transfer Engine'!$C$2:$C$1960,0)),"",HYPERLINK("#Acts!A"&amp;INDEX('Compliance Database'!$P$2:$P$1960,MATCH(1498,'Transfer Engine'!$C$2:$C$1960,0)),"Go to Act"))</f>
        <v/>
      </c>
    </row>
    <row r="1508" ht="158" customHeight="1">
      <c r="A1508" s="8">
        <f>IF(ISNA(MATCH(1499,'Transfer Engine'!$C$2:$C$1960,0)),"",INDEX('Compliance Database'!$A$2:$A$1960,MATCH(1499,'Transfer Engine'!$C$2:$C$1960,0)))</f>
        <v/>
      </c>
      <c r="B1508" s="8">
        <f>IF(ISNA(MATCH(1499,'Transfer Engine'!$C$2:$C$1960,0)),"",INDEX('Compliance Database'!$B$2:$B$1960,MATCH(1499,'Transfer Engine'!$C$2:$C$1960,0)))</f>
        <v/>
      </c>
      <c r="C1508" s="8">
        <f>IF(ISNA(MATCH(1499,'Transfer Engine'!$C$2:$C$1960,0)),"",INDEX('Compliance Database'!$C$2:$C$1960,MATCH(1499,'Transfer Engine'!$C$2:$C$1960,0)))</f>
        <v/>
      </c>
      <c r="D1508" s="9">
        <f>IF(ISNA(MATCH(1499,'Transfer Engine'!$C$2:$C$1960,0)),"",INDEX('Compliance Database'!$D$2:$D$1960,MATCH(1499,'Transfer Engine'!$C$2:$C$1960,0)))</f>
        <v/>
      </c>
      <c r="E1508" s="8">
        <f>IF(ISNA(MATCH(1499,'Transfer Engine'!$C$2:$C$1960,0)),"",INDEX('Compliance Database'!$E$2:$E$1960,MATCH(1499,'Transfer Engine'!$C$2:$C$1960,0)))</f>
        <v/>
      </c>
      <c r="F1508" s="8">
        <f>IF(ISNA(MATCH(1499,'Transfer Engine'!$C$2:$C$1960,0)),"",INDEX('Compliance Database'!$F$2:$F$1960,MATCH(1499,'Transfer Engine'!$C$2:$C$1960,0)))</f>
        <v/>
      </c>
      <c r="G1508" s="8">
        <f>IF(ISNA(MATCH(1499,'Transfer Engine'!$C$2:$C$1960,0)),"",INDEX('Compliance Database'!$G$2:$G$1960,MATCH(1499,'Transfer Engine'!$C$2:$C$1960,0)))</f>
        <v/>
      </c>
      <c r="H1508" s="9">
        <f>IF(ISNA(MATCH(1499,'Transfer Engine'!$C$2:$C$1960,0)),"",INDEX('Compliance Database'!$H$2:$H$1960,MATCH(1499,'Transfer Engine'!$C$2:$C$1960,0)))</f>
        <v/>
      </c>
      <c r="I1508" s="9">
        <f>IF(ISNA(MATCH(1499,'Transfer Engine'!$C$2:$C$1960,0)),"",INDEX('Compliance Database'!$I$2:$I$1960,MATCH(1499,'Transfer Engine'!$C$2:$C$1960,0)))</f>
        <v/>
      </c>
      <c r="J1508" s="8">
        <f>IF(ISNA(MATCH(1499,'Transfer Engine'!$C$2:$C$1960,0)),"",INDEX('Compliance Database'!$J$2:$J$1960,MATCH(1499,'Transfer Engine'!$C$2:$C$1960,0)))</f>
        <v/>
      </c>
      <c r="K1508" s="9">
        <f>IF(ISNA(MATCH(1499,'Transfer Engine'!$C$2:$C$1960,0)),"",INDEX('Compliance Database'!$K$2:$K$1960,MATCH(1499,'Transfer Engine'!$C$2:$C$1960,0)))</f>
        <v/>
      </c>
      <c r="L1508" s="9">
        <f>IF(ISNA(MATCH(1499,'Transfer Engine'!$C$2:$C$1960,0)),"",INDEX('Compliance Database'!$L$2:$L$1960,MATCH(1499,'Transfer Engine'!$C$2:$C$1960,0)))</f>
        <v/>
      </c>
      <c r="M1508" s="9">
        <f>IF(ISNA(MATCH(1499,'Transfer Engine'!$C$2:$C$1960,0)),"",INDEX('Compliance Database'!$M$2:$M$1960,MATCH(1499,'Transfer Engine'!$C$2:$C$1960,0)))</f>
        <v/>
      </c>
      <c r="N1508" s="9">
        <f>IF(ISNA(MATCH(1499,'Transfer Engine'!$C$2:$C$1960,0)),"",INDEX('Compliance Database'!$N$2:$N$1960,MATCH(1499,'Transfer Engine'!$C$2:$C$1960,0)))</f>
        <v/>
      </c>
      <c r="O1508" s="9">
        <f>IF(ISNA(MATCH(1499,'Transfer Engine'!$C$2:$C$1960,0)),"",INDEX('Compliance Database'!$O$2:$O$1960,MATCH(1499,'Transfer Engine'!$C$2:$C$1960,0)))</f>
        <v/>
      </c>
      <c r="P1508" s="8">
        <f>IF(ISNA(MATCH(1499,'Transfer Engine'!$C$2:$C$1960,0)),"",HYPERLINK("#Acts!A"&amp;INDEX('Compliance Database'!$P$2:$P$1960,MATCH(1499,'Transfer Engine'!$C$2:$C$1960,0)),"Go to Act"))</f>
        <v/>
      </c>
    </row>
    <row r="1509" ht="158" customHeight="1">
      <c r="A1509" s="8">
        <f>IF(ISNA(MATCH(1500,'Transfer Engine'!$C$2:$C$1960,0)),"",INDEX('Compliance Database'!$A$2:$A$1960,MATCH(1500,'Transfer Engine'!$C$2:$C$1960,0)))</f>
        <v/>
      </c>
      <c r="B1509" s="8">
        <f>IF(ISNA(MATCH(1500,'Transfer Engine'!$C$2:$C$1960,0)),"",INDEX('Compliance Database'!$B$2:$B$1960,MATCH(1500,'Transfer Engine'!$C$2:$C$1960,0)))</f>
        <v/>
      </c>
      <c r="C1509" s="8">
        <f>IF(ISNA(MATCH(1500,'Transfer Engine'!$C$2:$C$1960,0)),"",INDEX('Compliance Database'!$C$2:$C$1960,MATCH(1500,'Transfer Engine'!$C$2:$C$1960,0)))</f>
        <v/>
      </c>
      <c r="D1509" s="9">
        <f>IF(ISNA(MATCH(1500,'Transfer Engine'!$C$2:$C$1960,0)),"",INDEX('Compliance Database'!$D$2:$D$1960,MATCH(1500,'Transfer Engine'!$C$2:$C$1960,0)))</f>
        <v/>
      </c>
      <c r="E1509" s="8">
        <f>IF(ISNA(MATCH(1500,'Transfer Engine'!$C$2:$C$1960,0)),"",INDEX('Compliance Database'!$E$2:$E$1960,MATCH(1500,'Transfer Engine'!$C$2:$C$1960,0)))</f>
        <v/>
      </c>
      <c r="F1509" s="8">
        <f>IF(ISNA(MATCH(1500,'Transfer Engine'!$C$2:$C$1960,0)),"",INDEX('Compliance Database'!$F$2:$F$1960,MATCH(1500,'Transfer Engine'!$C$2:$C$1960,0)))</f>
        <v/>
      </c>
      <c r="G1509" s="8">
        <f>IF(ISNA(MATCH(1500,'Transfer Engine'!$C$2:$C$1960,0)),"",INDEX('Compliance Database'!$G$2:$G$1960,MATCH(1500,'Transfer Engine'!$C$2:$C$1960,0)))</f>
        <v/>
      </c>
      <c r="H1509" s="9">
        <f>IF(ISNA(MATCH(1500,'Transfer Engine'!$C$2:$C$1960,0)),"",INDEX('Compliance Database'!$H$2:$H$1960,MATCH(1500,'Transfer Engine'!$C$2:$C$1960,0)))</f>
        <v/>
      </c>
      <c r="I1509" s="9">
        <f>IF(ISNA(MATCH(1500,'Transfer Engine'!$C$2:$C$1960,0)),"",INDEX('Compliance Database'!$I$2:$I$1960,MATCH(1500,'Transfer Engine'!$C$2:$C$1960,0)))</f>
        <v/>
      </c>
      <c r="J1509" s="8">
        <f>IF(ISNA(MATCH(1500,'Transfer Engine'!$C$2:$C$1960,0)),"",INDEX('Compliance Database'!$J$2:$J$1960,MATCH(1500,'Transfer Engine'!$C$2:$C$1960,0)))</f>
        <v/>
      </c>
      <c r="K1509" s="9">
        <f>IF(ISNA(MATCH(1500,'Transfer Engine'!$C$2:$C$1960,0)),"",INDEX('Compliance Database'!$K$2:$K$1960,MATCH(1500,'Transfer Engine'!$C$2:$C$1960,0)))</f>
        <v/>
      </c>
      <c r="L1509" s="9">
        <f>IF(ISNA(MATCH(1500,'Transfer Engine'!$C$2:$C$1960,0)),"",INDEX('Compliance Database'!$L$2:$L$1960,MATCH(1500,'Transfer Engine'!$C$2:$C$1960,0)))</f>
        <v/>
      </c>
      <c r="M1509" s="9">
        <f>IF(ISNA(MATCH(1500,'Transfer Engine'!$C$2:$C$1960,0)),"",INDEX('Compliance Database'!$M$2:$M$1960,MATCH(1500,'Transfer Engine'!$C$2:$C$1960,0)))</f>
        <v/>
      </c>
      <c r="N1509" s="9">
        <f>IF(ISNA(MATCH(1500,'Transfer Engine'!$C$2:$C$1960,0)),"",INDEX('Compliance Database'!$N$2:$N$1960,MATCH(1500,'Transfer Engine'!$C$2:$C$1960,0)))</f>
        <v/>
      </c>
      <c r="O1509" s="9">
        <f>IF(ISNA(MATCH(1500,'Transfer Engine'!$C$2:$C$1960,0)),"",INDEX('Compliance Database'!$O$2:$O$1960,MATCH(1500,'Transfer Engine'!$C$2:$C$1960,0)))</f>
        <v/>
      </c>
      <c r="P1509" s="8">
        <f>IF(ISNA(MATCH(1500,'Transfer Engine'!$C$2:$C$1960,0)),"",HYPERLINK("#Acts!A"&amp;INDEX('Compliance Database'!$P$2:$P$1960,MATCH(1500,'Transfer Engine'!$C$2:$C$1960,0)),"Go to Act"))</f>
        <v/>
      </c>
    </row>
    <row r="1510" ht="158" customHeight="1">
      <c r="A1510" s="8">
        <f>IF(ISNA(MATCH(1501,'Transfer Engine'!$C$2:$C$1960,0)),"",INDEX('Compliance Database'!$A$2:$A$1960,MATCH(1501,'Transfer Engine'!$C$2:$C$1960,0)))</f>
        <v/>
      </c>
      <c r="B1510" s="8">
        <f>IF(ISNA(MATCH(1501,'Transfer Engine'!$C$2:$C$1960,0)),"",INDEX('Compliance Database'!$B$2:$B$1960,MATCH(1501,'Transfer Engine'!$C$2:$C$1960,0)))</f>
        <v/>
      </c>
      <c r="C1510" s="8">
        <f>IF(ISNA(MATCH(1501,'Transfer Engine'!$C$2:$C$1960,0)),"",INDEX('Compliance Database'!$C$2:$C$1960,MATCH(1501,'Transfer Engine'!$C$2:$C$1960,0)))</f>
        <v/>
      </c>
      <c r="D1510" s="9">
        <f>IF(ISNA(MATCH(1501,'Transfer Engine'!$C$2:$C$1960,0)),"",INDEX('Compliance Database'!$D$2:$D$1960,MATCH(1501,'Transfer Engine'!$C$2:$C$1960,0)))</f>
        <v/>
      </c>
      <c r="E1510" s="8">
        <f>IF(ISNA(MATCH(1501,'Transfer Engine'!$C$2:$C$1960,0)),"",INDEX('Compliance Database'!$E$2:$E$1960,MATCH(1501,'Transfer Engine'!$C$2:$C$1960,0)))</f>
        <v/>
      </c>
      <c r="F1510" s="8">
        <f>IF(ISNA(MATCH(1501,'Transfer Engine'!$C$2:$C$1960,0)),"",INDEX('Compliance Database'!$F$2:$F$1960,MATCH(1501,'Transfer Engine'!$C$2:$C$1960,0)))</f>
        <v/>
      </c>
      <c r="G1510" s="8">
        <f>IF(ISNA(MATCH(1501,'Transfer Engine'!$C$2:$C$1960,0)),"",INDEX('Compliance Database'!$G$2:$G$1960,MATCH(1501,'Transfer Engine'!$C$2:$C$1960,0)))</f>
        <v/>
      </c>
      <c r="H1510" s="9">
        <f>IF(ISNA(MATCH(1501,'Transfer Engine'!$C$2:$C$1960,0)),"",INDEX('Compliance Database'!$H$2:$H$1960,MATCH(1501,'Transfer Engine'!$C$2:$C$1960,0)))</f>
        <v/>
      </c>
      <c r="I1510" s="9">
        <f>IF(ISNA(MATCH(1501,'Transfer Engine'!$C$2:$C$1960,0)),"",INDEX('Compliance Database'!$I$2:$I$1960,MATCH(1501,'Transfer Engine'!$C$2:$C$1960,0)))</f>
        <v/>
      </c>
      <c r="J1510" s="8">
        <f>IF(ISNA(MATCH(1501,'Transfer Engine'!$C$2:$C$1960,0)),"",INDEX('Compliance Database'!$J$2:$J$1960,MATCH(1501,'Transfer Engine'!$C$2:$C$1960,0)))</f>
        <v/>
      </c>
      <c r="K1510" s="9">
        <f>IF(ISNA(MATCH(1501,'Transfer Engine'!$C$2:$C$1960,0)),"",INDEX('Compliance Database'!$K$2:$K$1960,MATCH(1501,'Transfer Engine'!$C$2:$C$1960,0)))</f>
        <v/>
      </c>
      <c r="L1510" s="9">
        <f>IF(ISNA(MATCH(1501,'Transfer Engine'!$C$2:$C$1960,0)),"",INDEX('Compliance Database'!$L$2:$L$1960,MATCH(1501,'Transfer Engine'!$C$2:$C$1960,0)))</f>
        <v/>
      </c>
      <c r="M1510" s="9">
        <f>IF(ISNA(MATCH(1501,'Transfer Engine'!$C$2:$C$1960,0)),"",INDEX('Compliance Database'!$M$2:$M$1960,MATCH(1501,'Transfer Engine'!$C$2:$C$1960,0)))</f>
        <v/>
      </c>
      <c r="N1510" s="9">
        <f>IF(ISNA(MATCH(1501,'Transfer Engine'!$C$2:$C$1960,0)),"",INDEX('Compliance Database'!$N$2:$N$1960,MATCH(1501,'Transfer Engine'!$C$2:$C$1960,0)))</f>
        <v/>
      </c>
      <c r="O1510" s="9">
        <f>IF(ISNA(MATCH(1501,'Transfer Engine'!$C$2:$C$1960,0)),"",INDEX('Compliance Database'!$O$2:$O$1960,MATCH(1501,'Transfer Engine'!$C$2:$C$1960,0)))</f>
        <v/>
      </c>
      <c r="P1510" s="8">
        <f>IF(ISNA(MATCH(1501,'Transfer Engine'!$C$2:$C$1960,0)),"",HYPERLINK("#Acts!A"&amp;INDEX('Compliance Database'!$P$2:$P$1960,MATCH(1501,'Transfer Engine'!$C$2:$C$1960,0)),"Go to Act"))</f>
        <v/>
      </c>
    </row>
    <row r="1511" ht="158" customHeight="1">
      <c r="A1511" s="8">
        <f>IF(ISNA(MATCH(1502,'Transfer Engine'!$C$2:$C$1960,0)),"",INDEX('Compliance Database'!$A$2:$A$1960,MATCH(1502,'Transfer Engine'!$C$2:$C$1960,0)))</f>
        <v/>
      </c>
      <c r="B1511" s="8">
        <f>IF(ISNA(MATCH(1502,'Transfer Engine'!$C$2:$C$1960,0)),"",INDEX('Compliance Database'!$B$2:$B$1960,MATCH(1502,'Transfer Engine'!$C$2:$C$1960,0)))</f>
        <v/>
      </c>
      <c r="C1511" s="8">
        <f>IF(ISNA(MATCH(1502,'Transfer Engine'!$C$2:$C$1960,0)),"",INDEX('Compliance Database'!$C$2:$C$1960,MATCH(1502,'Transfer Engine'!$C$2:$C$1960,0)))</f>
        <v/>
      </c>
      <c r="D1511" s="9">
        <f>IF(ISNA(MATCH(1502,'Transfer Engine'!$C$2:$C$1960,0)),"",INDEX('Compliance Database'!$D$2:$D$1960,MATCH(1502,'Transfer Engine'!$C$2:$C$1960,0)))</f>
        <v/>
      </c>
      <c r="E1511" s="8">
        <f>IF(ISNA(MATCH(1502,'Transfer Engine'!$C$2:$C$1960,0)),"",INDEX('Compliance Database'!$E$2:$E$1960,MATCH(1502,'Transfer Engine'!$C$2:$C$1960,0)))</f>
        <v/>
      </c>
      <c r="F1511" s="8">
        <f>IF(ISNA(MATCH(1502,'Transfer Engine'!$C$2:$C$1960,0)),"",INDEX('Compliance Database'!$F$2:$F$1960,MATCH(1502,'Transfer Engine'!$C$2:$C$1960,0)))</f>
        <v/>
      </c>
      <c r="G1511" s="8">
        <f>IF(ISNA(MATCH(1502,'Transfer Engine'!$C$2:$C$1960,0)),"",INDEX('Compliance Database'!$G$2:$G$1960,MATCH(1502,'Transfer Engine'!$C$2:$C$1960,0)))</f>
        <v/>
      </c>
      <c r="H1511" s="9">
        <f>IF(ISNA(MATCH(1502,'Transfer Engine'!$C$2:$C$1960,0)),"",INDEX('Compliance Database'!$H$2:$H$1960,MATCH(1502,'Transfer Engine'!$C$2:$C$1960,0)))</f>
        <v/>
      </c>
      <c r="I1511" s="9">
        <f>IF(ISNA(MATCH(1502,'Transfer Engine'!$C$2:$C$1960,0)),"",INDEX('Compliance Database'!$I$2:$I$1960,MATCH(1502,'Transfer Engine'!$C$2:$C$1960,0)))</f>
        <v/>
      </c>
      <c r="J1511" s="8">
        <f>IF(ISNA(MATCH(1502,'Transfer Engine'!$C$2:$C$1960,0)),"",INDEX('Compliance Database'!$J$2:$J$1960,MATCH(1502,'Transfer Engine'!$C$2:$C$1960,0)))</f>
        <v/>
      </c>
      <c r="K1511" s="9">
        <f>IF(ISNA(MATCH(1502,'Transfer Engine'!$C$2:$C$1960,0)),"",INDEX('Compliance Database'!$K$2:$K$1960,MATCH(1502,'Transfer Engine'!$C$2:$C$1960,0)))</f>
        <v/>
      </c>
      <c r="L1511" s="9">
        <f>IF(ISNA(MATCH(1502,'Transfer Engine'!$C$2:$C$1960,0)),"",INDEX('Compliance Database'!$L$2:$L$1960,MATCH(1502,'Transfer Engine'!$C$2:$C$1960,0)))</f>
        <v/>
      </c>
      <c r="M1511" s="9">
        <f>IF(ISNA(MATCH(1502,'Transfer Engine'!$C$2:$C$1960,0)),"",INDEX('Compliance Database'!$M$2:$M$1960,MATCH(1502,'Transfer Engine'!$C$2:$C$1960,0)))</f>
        <v/>
      </c>
      <c r="N1511" s="9">
        <f>IF(ISNA(MATCH(1502,'Transfer Engine'!$C$2:$C$1960,0)),"",INDEX('Compliance Database'!$N$2:$N$1960,MATCH(1502,'Transfer Engine'!$C$2:$C$1960,0)))</f>
        <v/>
      </c>
      <c r="O1511" s="9">
        <f>IF(ISNA(MATCH(1502,'Transfer Engine'!$C$2:$C$1960,0)),"",INDEX('Compliance Database'!$O$2:$O$1960,MATCH(1502,'Transfer Engine'!$C$2:$C$1960,0)))</f>
        <v/>
      </c>
      <c r="P1511" s="8">
        <f>IF(ISNA(MATCH(1502,'Transfer Engine'!$C$2:$C$1960,0)),"",HYPERLINK("#Acts!A"&amp;INDEX('Compliance Database'!$P$2:$P$1960,MATCH(1502,'Transfer Engine'!$C$2:$C$1960,0)),"Go to Act"))</f>
        <v/>
      </c>
    </row>
    <row r="1512" ht="158" customHeight="1">
      <c r="A1512" s="8">
        <f>IF(ISNA(MATCH(1503,'Transfer Engine'!$C$2:$C$1960,0)),"",INDEX('Compliance Database'!$A$2:$A$1960,MATCH(1503,'Transfer Engine'!$C$2:$C$1960,0)))</f>
        <v/>
      </c>
      <c r="B1512" s="8">
        <f>IF(ISNA(MATCH(1503,'Transfer Engine'!$C$2:$C$1960,0)),"",INDEX('Compliance Database'!$B$2:$B$1960,MATCH(1503,'Transfer Engine'!$C$2:$C$1960,0)))</f>
        <v/>
      </c>
      <c r="C1512" s="8">
        <f>IF(ISNA(MATCH(1503,'Transfer Engine'!$C$2:$C$1960,0)),"",INDEX('Compliance Database'!$C$2:$C$1960,MATCH(1503,'Transfer Engine'!$C$2:$C$1960,0)))</f>
        <v/>
      </c>
      <c r="D1512" s="9">
        <f>IF(ISNA(MATCH(1503,'Transfer Engine'!$C$2:$C$1960,0)),"",INDEX('Compliance Database'!$D$2:$D$1960,MATCH(1503,'Transfer Engine'!$C$2:$C$1960,0)))</f>
        <v/>
      </c>
      <c r="E1512" s="8">
        <f>IF(ISNA(MATCH(1503,'Transfer Engine'!$C$2:$C$1960,0)),"",INDEX('Compliance Database'!$E$2:$E$1960,MATCH(1503,'Transfer Engine'!$C$2:$C$1960,0)))</f>
        <v/>
      </c>
      <c r="F1512" s="8">
        <f>IF(ISNA(MATCH(1503,'Transfer Engine'!$C$2:$C$1960,0)),"",INDEX('Compliance Database'!$F$2:$F$1960,MATCH(1503,'Transfer Engine'!$C$2:$C$1960,0)))</f>
        <v/>
      </c>
      <c r="G1512" s="8">
        <f>IF(ISNA(MATCH(1503,'Transfer Engine'!$C$2:$C$1960,0)),"",INDEX('Compliance Database'!$G$2:$G$1960,MATCH(1503,'Transfer Engine'!$C$2:$C$1960,0)))</f>
        <v/>
      </c>
      <c r="H1512" s="9">
        <f>IF(ISNA(MATCH(1503,'Transfer Engine'!$C$2:$C$1960,0)),"",INDEX('Compliance Database'!$H$2:$H$1960,MATCH(1503,'Transfer Engine'!$C$2:$C$1960,0)))</f>
        <v/>
      </c>
      <c r="I1512" s="9">
        <f>IF(ISNA(MATCH(1503,'Transfer Engine'!$C$2:$C$1960,0)),"",INDEX('Compliance Database'!$I$2:$I$1960,MATCH(1503,'Transfer Engine'!$C$2:$C$1960,0)))</f>
        <v/>
      </c>
      <c r="J1512" s="8">
        <f>IF(ISNA(MATCH(1503,'Transfer Engine'!$C$2:$C$1960,0)),"",INDEX('Compliance Database'!$J$2:$J$1960,MATCH(1503,'Transfer Engine'!$C$2:$C$1960,0)))</f>
        <v/>
      </c>
      <c r="K1512" s="9">
        <f>IF(ISNA(MATCH(1503,'Transfer Engine'!$C$2:$C$1960,0)),"",INDEX('Compliance Database'!$K$2:$K$1960,MATCH(1503,'Transfer Engine'!$C$2:$C$1960,0)))</f>
        <v/>
      </c>
      <c r="L1512" s="9">
        <f>IF(ISNA(MATCH(1503,'Transfer Engine'!$C$2:$C$1960,0)),"",INDEX('Compliance Database'!$L$2:$L$1960,MATCH(1503,'Transfer Engine'!$C$2:$C$1960,0)))</f>
        <v/>
      </c>
      <c r="M1512" s="9">
        <f>IF(ISNA(MATCH(1503,'Transfer Engine'!$C$2:$C$1960,0)),"",INDEX('Compliance Database'!$M$2:$M$1960,MATCH(1503,'Transfer Engine'!$C$2:$C$1960,0)))</f>
        <v/>
      </c>
      <c r="N1512" s="9">
        <f>IF(ISNA(MATCH(1503,'Transfer Engine'!$C$2:$C$1960,0)),"",INDEX('Compliance Database'!$N$2:$N$1960,MATCH(1503,'Transfer Engine'!$C$2:$C$1960,0)))</f>
        <v/>
      </c>
      <c r="O1512" s="9">
        <f>IF(ISNA(MATCH(1503,'Transfer Engine'!$C$2:$C$1960,0)),"",INDEX('Compliance Database'!$O$2:$O$1960,MATCH(1503,'Transfer Engine'!$C$2:$C$1960,0)))</f>
        <v/>
      </c>
      <c r="P1512" s="8">
        <f>IF(ISNA(MATCH(1503,'Transfer Engine'!$C$2:$C$1960,0)),"",HYPERLINK("#Acts!A"&amp;INDEX('Compliance Database'!$P$2:$P$1960,MATCH(1503,'Transfer Engine'!$C$2:$C$1960,0)),"Go to Act"))</f>
        <v/>
      </c>
    </row>
    <row r="1513" ht="158" customHeight="1">
      <c r="A1513" s="8">
        <f>IF(ISNA(MATCH(1504,'Transfer Engine'!$C$2:$C$1960,0)),"",INDEX('Compliance Database'!$A$2:$A$1960,MATCH(1504,'Transfer Engine'!$C$2:$C$1960,0)))</f>
        <v/>
      </c>
      <c r="B1513" s="8">
        <f>IF(ISNA(MATCH(1504,'Transfer Engine'!$C$2:$C$1960,0)),"",INDEX('Compliance Database'!$B$2:$B$1960,MATCH(1504,'Transfer Engine'!$C$2:$C$1960,0)))</f>
        <v/>
      </c>
      <c r="C1513" s="8">
        <f>IF(ISNA(MATCH(1504,'Transfer Engine'!$C$2:$C$1960,0)),"",INDEX('Compliance Database'!$C$2:$C$1960,MATCH(1504,'Transfer Engine'!$C$2:$C$1960,0)))</f>
        <v/>
      </c>
      <c r="D1513" s="9">
        <f>IF(ISNA(MATCH(1504,'Transfer Engine'!$C$2:$C$1960,0)),"",INDEX('Compliance Database'!$D$2:$D$1960,MATCH(1504,'Transfer Engine'!$C$2:$C$1960,0)))</f>
        <v/>
      </c>
      <c r="E1513" s="8">
        <f>IF(ISNA(MATCH(1504,'Transfer Engine'!$C$2:$C$1960,0)),"",INDEX('Compliance Database'!$E$2:$E$1960,MATCH(1504,'Transfer Engine'!$C$2:$C$1960,0)))</f>
        <v/>
      </c>
      <c r="F1513" s="8">
        <f>IF(ISNA(MATCH(1504,'Transfer Engine'!$C$2:$C$1960,0)),"",INDEX('Compliance Database'!$F$2:$F$1960,MATCH(1504,'Transfer Engine'!$C$2:$C$1960,0)))</f>
        <v/>
      </c>
      <c r="G1513" s="8">
        <f>IF(ISNA(MATCH(1504,'Transfer Engine'!$C$2:$C$1960,0)),"",INDEX('Compliance Database'!$G$2:$G$1960,MATCH(1504,'Transfer Engine'!$C$2:$C$1960,0)))</f>
        <v/>
      </c>
      <c r="H1513" s="9">
        <f>IF(ISNA(MATCH(1504,'Transfer Engine'!$C$2:$C$1960,0)),"",INDEX('Compliance Database'!$H$2:$H$1960,MATCH(1504,'Transfer Engine'!$C$2:$C$1960,0)))</f>
        <v/>
      </c>
      <c r="I1513" s="9">
        <f>IF(ISNA(MATCH(1504,'Transfer Engine'!$C$2:$C$1960,0)),"",INDEX('Compliance Database'!$I$2:$I$1960,MATCH(1504,'Transfer Engine'!$C$2:$C$1960,0)))</f>
        <v/>
      </c>
      <c r="J1513" s="8">
        <f>IF(ISNA(MATCH(1504,'Transfer Engine'!$C$2:$C$1960,0)),"",INDEX('Compliance Database'!$J$2:$J$1960,MATCH(1504,'Transfer Engine'!$C$2:$C$1960,0)))</f>
        <v/>
      </c>
      <c r="K1513" s="9">
        <f>IF(ISNA(MATCH(1504,'Transfer Engine'!$C$2:$C$1960,0)),"",INDEX('Compliance Database'!$K$2:$K$1960,MATCH(1504,'Transfer Engine'!$C$2:$C$1960,0)))</f>
        <v/>
      </c>
      <c r="L1513" s="9">
        <f>IF(ISNA(MATCH(1504,'Transfer Engine'!$C$2:$C$1960,0)),"",INDEX('Compliance Database'!$L$2:$L$1960,MATCH(1504,'Transfer Engine'!$C$2:$C$1960,0)))</f>
        <v/>
      </c>
      <c r="M1513" s="9">
        <f>IF(ISNA(MATCH(1504,'Transfer Engine'!$C$2:$C$1960,0)),"",INDEX('Compliance Database'!$M$2:$M$1960,MATCH(1504,'Transfer Engine'!$C$2:$C$1960,0)))</f>
        <v/>
      </c>
      <c r="N1513" s="9">
        <f>IF(ISNA(MATCH(1504,'Transfer Engine'!$C$2:$C$1960,0)),"",INDEX('Compliance Database'!$N$2:$N$1960,MATCH(1504,'Transfer Engine'!$C$2:$C$1960,0)))</f>
        <v/>
      </c>
      <c r="O1513" s="9">
        <f>IF(ISNA(MATCH(1504,'Transfer Engine'!$C$2:$C$1960,0)),"",INDEX('Compliance Database'!$O$2:$O$1960,MATCH(1504,'Transfer Engine'!$C$2:$C$1960,0)))</f>
        <v/>
      </c>
      <c r="P1513" s="8">
        <f>IF(ISNA(MATCH(1504,'Transfer Engine'!$C$2:$C$1960,0)),"",HYPERLINK("#Acts!A"&amp;INDEX('Compliance Database'!$P$2:$P$1960,MATCH(1504,'Transfer Engine'!$C$2:$C$1960,0)),"Go to Act"))</f>
        <v/>
      </c>
    </row>
    <row r="1514" ht="158" customHeight="1">
      <c r="A1514" s="8">
        <f>IF(ISNA(MATCH(1505,'Transfer Engine'!$C$2:$C$1960,0)),"",INDEX('Compliance Database'!$A$2:$A$1960,MATCH(1505,'Transfer Engine'!$C$2:$C$1960,0)))</f>
        <v/>
      </c>
      <c r="B1514" s="8">
        <f>IF(ISNA(MATCH(1505,'Transfer Engine'!$C$2:$C$1960,0)),"",INDEX('Compliance Database'!$B$2:$B$1960,MATCH(1505,'Transfer Engine'!$C$2:$C$1960,0)))</f>
        <v/>
      </c>
      <c r="C1514" s="8">
        <f>IF(ISNA(MATCH(1505,'Transfer Engine'!$C$2:$C$1960,0)),"",INDEX('Compliance Database'!$C$2:$C$1960,MATCH(1505,'Transfer Engine'!$C$2:$C$1960,0)))</f>
        <v/>
      </c>
      <c r="D1514" s="9">
        <f>IF(ISNA(MATCH(1505,'Transfer Engine'!$C$2:$C$1960,0)),"",INDEX('Compliance Database'!$D$2:$D$1960,MATCH(1505,'Transfer Engine'!$C$2:$C$1960,0)))</f>
        <v/>
      </c>
      <c r="E1514" s="8">
        <f>IF(ISNA(MATCH(1505,'Transfer Engine'!$C$2:$C$1960,0)),"",INDEX('Compliance Database'!$E$2:$E$1960,MATCH(1505,'Transfer Engine'!$C$2:$C$1960,0)))</f>
        <v/>
      </c>
      <c r="F1514" s="8">
        <f>IF(ISNA(MATCH(1505,'Transfer Engine'!$C$2:$C$1960,0)),"",INDEX('Compliance Database'!$F$2:$F$1960,MATCH(1505,'Transfer Engine'!$C$2:$C$1960,0)))</f>
        <v/>
      </c>
      <c r="G1514" s="8">
        <f>IF(ISNA(MATCH(1505,'Transfer Engine'!$C$2:$C$1960,0)),"",INDEX('Compliance Database'!$G$2:$G$1960,MATCH(1505,'Transfer Engine'!$C$2:$C$1960,0)))</f>
        <v/>
      </c>
      <c r="H1514" s="9">
        <f>IF(ISNA(MATCH(1505,'Transfer Engine'!$C$2:$C$1960,0)),"",INDEX('Compliance Database'!$H$2:$H$1960,MATCH(1505,'Transfer Engine'!$C$2:$C$1960,0)))</f>
        <v/>
      </c>
      <c r="I1514" s="9">
        <f>IF(ISNA(MATCH(1505,'Transfer Engine'!$C$2:$C$1960,0)),"",INDEX('Compliance Database'!$I$2:$I$1960,MATCH(1505,'Transfer Engine'!$C$2:$C$1960,0)))</f>
        <v/>
      </c>
      <c r="J1514" s="8">
        <f>IF(ISNA(MATCH(1505,'Transfer Engine'!$C$2:$C$1960,0)),"",INDEX('Compliance Database'!$J$2:$J$1960,MATCH(1505,'Transfer Engine'!$C$2:$C$1960,0)))</f>
        <v/>
      </c>
      <c r="K1514" s="9">
        <f>IF(ISNA(MATCH(1505,'Transfer Engine'!$C$2:$C$1960,0)),"",INDEX('Compliance Database'!$K$2:$K$1960,MATCH(1505,'Transfer Engine'!$C$2:$C$1960,0)))</f>
        <v/>
      </c>
      <c r="L1514" s="9">
        <f>IF(ISNA(MATCH(1505,'Transfer Engine'!$C$2:$C$1960,0)),"",INDEX('Compliance Database'!$L$2:$L$1960,MATCH(1505,'Transfer Engine'!$C$2:$C$1960,0)))</f>
        <v/>
      </c>
      <c r="M1514" s="9">
        <f>IF(ISNA(MATCH(1505,'Transfer Engine'!$C$2:$C$1960,0)),"",INDEX('Compliance Database'!$M$2:$M$1960,MATCH(1505,'Transfer Engine'!$C$2:$C$1960,0)))</f>
        <v/>
      </c>
      <c r="N1514" s="9">
        <f>IF(ISNA(MATCH(1505,'Transfer Engine'!$C$2:$C$1960,0)),"",INDEX('Compliance Database'!$N$2:$N$1960,MATCH(1505,'Transfer Engine'!$C$2:$C$1960,0)))</f>
        <v/>
      </c>
      <c r="O1514" s="9">
        <f>IF(ISNA(MATCH(1505,'Transfer Engine'!$C$2:$C$1960,0)),"",INDEX('Compliance Database'!$O$2:$O$1960,MATCH(1505,'Transfer Engine'!$C$2:$C$1960,0)))</f>
        <v/>
      </c>
      <c r="P1514" s="8">
        <f>IF(ISNA(MATCH(1505,'Transfer Engine'!$C$2:$C$1960,0)),"",HYPERLINK("#Acts!A"&amp;INDEX('Compliance Database'!$P$2:$P$1960,MATCH(1505,'Transfer Engine'!$C$2:$C$1960,0)),"Go to Act"))</f>
        <v/>
      </c>
    </row>
    <row r="1515" ht="158" customHeight="1">
      <c r="A1515" s="8">
        <f>IF(ISNA(MATCH(1506,'Transfer Engine'!$C$2:$C$1960,0)),"",INDEX('Compliance Database'!$A$2:$A$1960,MATCH(1506,'Transfer Engine'!$C$2:$C$1960,0)))</f>
        <v/>
      </c>
      <c r="B1515" s="8">
        <f>IF(ISNA(MATCH(1506,'Transfer Engine'!$C$2:$C$1960,0)),"",INDEX('Compliance Database'!$B$2:$B$1960,MATCH(1506,'Transfer Engine'!$C$2:$C$1960,0)))</f>
        <v/>
      </c>
      <c r="C1515" s="8">
        <f>IF(ISNA(MATCH(1506,'Transfer Engine'!$C$2:$C$1960,0)),"",INDEX('Compliance Database'!$C$2:$C$1960,MATCH(1506,'Transfer Engine'!$C$2:$C$1960,0)))</f>
        <v/>
      </c>
      <c r="D1515" s="9">
        <f>IF(ISNA(MATCH(1506,'Transfer Engine'!$C$2:$C$1960,0)),"",INDEX('Compliance Database'!$D$2:$D$1960,MATCH(1506,'Transfer Engine'!$C$2:$C$1960,0)))</f>
        <v/>
      </c>
      <c r="E1515" s="8">
        <f>IF(ISNA(MATCH(1506,'Transfer Engine'!$C$2:$C$1960,0)),"",INDEX('Compliance Database'!$E$2:$E$1960,MATCH(1506,'Transfer Engine'!$C$2:$C$1960,0)))</f>
        <v/>
      </c>
      <c r="F1515" s="8">
        <f>IF(ISNA(MATCH(1506,'Transfer Engine'!$C$2:$C$1960,0)),"",INDEX('Compliance Database'!$F$2:$F$1960,MATCH(1506,'Transfer Engine'!$C$2:$C$1960,0)))</f>
        <v/>
      </c>
      <c r="G1515" s="8">
        <f>IF(ISNA(MATCH(1506,'Transfer Engine'!$C$2:$C$1960,0)),"",INDEX('Compliance Database'!$G$2:$G$1960,MATCH(1506,'Transfer Engine'!$C$2:$C$1960,0)))</f>
        <v/>
      </c>
      <c r="H1515" s="9">
        <f>IF(ISNA(MATCH(1506,'Transfer Engine'!$C$2:$C$1960,0)),"",INDEX('Compliance Database'!$H$2:$H$1960,MATCH(1506,'Transfer Engine'!$C$2:$C$1960,0)))</f>
        <v/>
      </c>
      <c r="I1515" s="9">
        <f>IF(ISNA(MATCH(1506,'Transfer Engine'!$C$2:$C$1960,0)),"",INDEX('Compliance Database'!$I$2:$I$1960,MATCH(1506,'Transfer Engine'!$C$2:$C$1960,0)))</f>
        <v/>
      </c>
      <c r="J1515" s="8">
        <f>IF(ISNA(MATCH(1506,'Transfer Engine'!$C$2:$C$1960,0)),"",INDEX('Compliance Database'!$J$2:$J$1960,MATCH(1506,'Transfer Engine'!$C$2:$C$1960,0)))</f>
        <v/>
      </c>
      <c r="K1515" s="9">
        <f>IF(ISNA(MATCH(1506,'Transfer Engine'!$C$2:$C$1960,0)),"",INDEX('Compliance Database'!$K$2:$K$1960,MATCH(1506,'Transfer Engine'!$C$2:$C$1960,0)))</f>
        <v/>
      </c>
      <c r="L1515" s="9">
        <f>IF(ISNA(MATCH(1506,'Transfer Engine'!$C$2:$C$1960,0)),"",INDEX('Compliance Database'!$L$2:$L$1960,MATCH(1506,'Transfer Engine'!$C$2:$C$1960,0)))</f>
        <v/>
      </c>
      <c r="M1515" s="9">
        <f>IF(ISNA(MATCH(1506,'Transfer Engine'!$C$2:$C$1960,0)),"",INDEX('Compliance Database'!$M$2:$M$1960,MATCH(1506,'Transfer Engine'!$C$2:$C$1960,0)))</f>
        <v/>
      </c>
      <c r="N1515" s="9">
        <f>IF(ISNA(MATCH(1506,'Transfer Engine'!$C$2:$C$1960,0)),"",INDEX('Compliance Database'!$N$2:$N$1960,MATCH(1506,'Transfer Engine'!$C$2:$C$1960,0)))</f>
        <v/>
      </c>
      <c r="O1515" s="9">
        <f>IF(ISNA(MATCH(1506,'Transfer Engine'!$C$2:$C$1960,0)),"",INDEX('Compliance Database'!$O$2:$O$1960,MATCH(1506,'Transfer Engine'!$C$2:$C$1960,0)))</f>
        <v/>
      </c>
      <c r="P1515" s="8">
        <f>IF(ISNA(MATCH(1506,'Transfer Engine'!$C$2:$C$1960,0)),"",HYPERLINK("#Acts!A"&amp;INDEX('Compliance Database'!$P$2:$P$1960,MATCH(1506,'Transfer Engine'!$C$2:$C$1960,0)),"Go to Act"))</f>
        <v/>
      </c>
    </row>
    <row r="1516" ht="158" customHeight="1">
      <c r="A1516" s="8">
        <f>IF(ISNA(MATCH(1507,'Transfer Engine'!$C$2:$C$1960,0)),"",INDEX('Compliance Database'!$A$2:$A$1960,MATCH(1507,'Transfer Engine'!$C$2:$C$1960,0)))</f>
        <v/>
      </c>
      <c r="B1516" s="8">
        <f>IF(ISNA(MATCH(1507,'Transfer Engine'!$C$2:$C$1960,0)),"",INDEX('Compliance Database'!$B$2:$B$1960,MATCH(1507,'Transfer Engine'!$C$2:$C$1960,0)))</f>
        <v/>
      </c>
      <c r="C1516" s="8">
        <f>IF(ISNA(MATCH(1507,'Transfer Engine'!$C$2:$C$1960,0)),"",INDEX('Compliance Database'!$C$2:$C$1960,MATCH(1507,'Transfer Engine'!$C$2:$C$1960,0)))</f>
        <v/>
      </c>
      <c r="D1516" s="9">
        <f>IF(ISNA(MATCH(1507,'Transfer Engine'!$C$2:$C$1960,0)),"",INDEX('Compliance Database'!$D$2:$D$1960,MATCH(1507,'Transfer Engine'!$C$2:$C$1960,0)))</f>
        <v/>
      </c>
      <c r="E1516" s="8">
        <f>IF(ISNA(MATCH(1507,'Transfer Engine'!$C$2:$C$1960,0)),"",INDEX('Compliance Database'!$E$2:$E$1960,MATCH(1507,'Transfer Engine'!$C$2:$C$1960,0)))</f>
        <v/>
      </c>
      <c r="F1516" s="8">
        <f>IF(ISNA(MATCH(1507,'Transfer Engine'!$C$2:$C$1960,0)),"",INDEX('Compliance Database'!$F$2:$F$1960,MATCH(1507,'Transfer Engine'!$C$2:$C$1960,0)))</f>
        <v/>
      </c>
      <c r="G1516" s="8">
        <f>IF(ISNA(MATCH(1507,'Transfer Engine'!$C$2:$C$1960,0)),"",INDEX('Compliance Database'!$G$2:$G$1960,MATCH(1507,'Transfer Engine'!$C$2:$C$1960,0)))</f>
        <v/>
      </c>
      <c r="H1516" s="9">
        <f>IF(ISNA(MATCH(1507,'Transfer Engine'!$C$2:$C$1960,0)),"",INDEX('Compliance Database'!$H$2:$H$1960,MATCH(1507,'Transfer Engine'!$C$2:$C$1960,0)))</f>
        <v/>
      </c>
      <c r="I1516" s="9">
        <f>IF(ISNA(MATCH(1507,'Transfer Engine'!$C$2:$C$1960,0)),"",INDEX('Compliance Database'!$I$2:$I$1960,MATCH(1507,'Transfer Engine'!$C$2:$C$1960,0)))</f>
        <v/>
      </c>
      <c r="J1516" s="8">
        <f>IF(ISNA(MATCH(1507,'Transfer Engine'!$C$2:$C$1960,0)),"",INDEX('Compliance Database'!$J$2:$J$1960,MATCH(1507,'Transfer Engine'!$C$2:$C$1960,0)))</f>
        <v/>
      </c>
      <c r="K1516" s="9">
        <f>IF(ISNA(MATCH(1507,'Transfer Engine'!$C$2:$C$1960,0)),"",INDEX('Compliance Database'!$K$2:$K$1960,MATCH(1507,'Transfer Engine'!$C$2:$C$1960,0)))</f>
        <v/>
      </c>
      <c r="L1516" s="9">
        <f>IF(ISNA(MATCH(1507,'Transfer Engine'!$C$2:$C$1960,0)),"",INDEX('Compliance Database'!$L$2:$L$1960,MATCH(1507,'Transfer Engine'!$C$2:$C$1960,0)))</f>
        <v/>
      </c>
      <c r="M1516" s="9">
        <f>IF(ISNA(MATCH(1507,'Transfer Engine'!$C$2:$C$1960,0)),"",INDEX('Compliance Database'!$M$2:$M$1960,MATCH(1507,'Transfer Engine'!$C$2:$C$1960,0)))</f>
        <v/>
      </c>
      <c r="N1516" s="9">
        <f>IF(ISNA(MATCH(1507,'Transfer Engine'!$C$2:$C$1960,0)),"",INDEX('Compliance Database'!$N$2:$N$1960,MATCH(1507,'Transfer Engine'!$C$2:$C$1960,0)))</f>
        <v/>
      </c>
      <c r="O1516" s="9">
        <f>IF(ISNA(MATCH(1507,'Transfer Engine'!$C$2:$C$1960,0)),"",INDEX('Compliance Database'!$O$2:$O$1960,MATCH(1507,'Transfer Engine'!$C$2:$C$1960,0)))</f>
        <v/>
      </c>
      <c r="P1516" s="8">
        <f>IF(ISNA(MATCH(1507,'Transfer Engine'!$C$2:$C$1960,0)),"",HYPERLINK("#Acts!A"&amp;INDEX('Compliance Database'!$P$2:$P$1960,MATCH(1507,'Transfer Engine'!$C$2:$C$1960,0)),"Go to Act"))</f>
        <v/>
      </c>
    </row>
    <row r="1517" ht="158" customHeight="1">
      <c r="A1517" s="8">
        <f>IF(ISNA(MATCH(1508,'Transfer Engine'!$C$2:$C$1960,0)),"",INDEX('Compliance Database'!$A$2:$A$1960,MATCH(1508,'Transfer Engine'!$C$2:$C$1960,0)))</f>
        <v/>
      </c>
      <c r="B1517" s="8">
        <f>IF(ISNA(MATCH(1508,'Transfer Engine'!$C$2:$C$1960,0)),"",INDEX('Compliance Database'!$B$2:$B$1960,MATCH(1508,'Transfer Engine'!$C$2:$C$1960,0)))</f>
        <v/>
      </c>
      <c r="C1517" s="8">
        <f>IF(ISNA(MATCH(1508,'Transfer Engine'!$C$2:$C$1960,0)),"",INDEX('Compliance Database'!$C$2:$C$1960,MATCH(1508,'Transfer Engine'!$C$2:$C$1960,0)))</f>
        <v/>
      </c>
      <c r="D1517" s="9">
        <f>IF(ISNA(MATCH(1508,'Transfer Engine'!$C$2:$C$1960,0)),"",INDEX('Compliance Database'!$D$2:$D$1960,MATCH(1508,'Transfer Engine'!$C$2:$C$1960,0)))</f>
        <v/>
      </c>
      <c r="E1517" s="8">
        <f>IF(ISNA(MATCH(1508,'Transfer Engine'!$C$2:$C$1960,0)),"",INDEX('Compliance Database'!$E$2:$E$1960,MATCH(1508,'Transfer Engine'!$C$2:$C$1960,0)))</f>
        <v/>
      </c>
      <c r="F1517" s="8">
        <f>IF(ISNA(MATCH(1508,'Transfer Engine'!$C$2:$C$1960,0)),"",INDEX('Compliance Database'!$F$2:$F$1960,MATCH(1508,'Transfer Engine'!$C$2:$C$1960,0)))</f>
        <v/>
      </c>
      <c r="G1517" s="8">
        <f>IF(ISNA(MATCH(1508,'Transfer Engine'!$C$2:$C$1960,0)),"",INDEX('Compliance Database'!$G$2:$G$1960,MATCH(1508,'Transfer Engine'!$C$2:$C$1960,0)))</f>
        <v/>
      </c>
      <c r="H1517" s="9">
        <f>IF(ISNA(MATCH(1508,'Transfer Engine'!$C$2:$C$1960,0)),"",INDEX('Compliance Database'!$H$2:$H$1960,MATCH(1508,'Transfer Engine'!$C$2:$C$1960,0)))</f>
        <v/>
      </c>
      <c r="I1517" s="9">
        <f>IF(ISNA(MATCH(1508,'Transfer Engine'!$C$2:$C$1960,0)),"",INDEX('Compliance Database'!$I$2:$I$1960,MATCH(1508,'Transfer Engine'!$C$2:$C$1960,0)))</f>
        <v/>
      </c>
      <c r="J1517" s="8">
        <f>IF(ISNA(MATCH(1508,'Transfer Engine'!$C$2:$C$1960,0)),"",INDEX('Compliance Database'!$J$2:$J$1960,MATCH(1508,'Transfer Engine'!$C$2:$C$1960,0)))</f>
        <v/>
      </c>
      <c r="K1517" s="9">
        <f>IF(ISNA(MATCH(1508,'Transfer Engine'!$C$2:$C$1960,0)),"",INDEX('Compliance Database'!$K$2:$K$1960,MATCH(1508,'Transfer Engine'!$C$2:$C$1960,0)))</f>
        <v/>
      </c>
      <c r="L1517" s="9">
        <f>IF(ISNA(MATCH(1508,'Transfer Engine'!$C$2:$C$1960,0)),"",INDEX('Compliance Database'!$L$2:$L$1960,MATCH(1508,'Transfer Engine'!$C$2:$C$1960,0)))</f>
        <v/>
      </c>
      <c r="M1517" s="9">
        <f>IF(ISNA(MATCH(1508,'Transfer Engine'!$C$2:$C$1960,0)),"",INDEX('Compliance Database'!$M$2:$M$1960,MATCH(1508,'Transfer Engine'!$C$2:$C$1960,0)))</f>
        <v/>
      </c>
      <c r="N1517" s="9">
        <f>IF(ISNA(MATCH(1508,'Transfer Engine'!$C$2:$C$1960,0)),"",INDEX('Compliance Database'!$N$2:$N$1960,MATCH(1508,'Transfer Engine'!$C$2:$C$1960,0)))</f>
        <v/>
      </c>
      <c r="O1517" s="9">
        <f>IF(ISNA(MATCH(1508,'Transfer Engine'!$C$2:$C$1960,0)),"",INDEX('Compliance Database'!$O$2:$O$1960,MATCH(1508,'Transfer Engine'!$C$2:$C$1960,0)))</f>
        <v/>
      </c>
      <c r="P1517" s="8">
        <f>IF(ISNA(MATCH(1508,'Transfer Engine'!$C$2:$C$1960,0)),"",HYPERLINK("#Acts!A"&amp;INDEX('Compliance Database'!$P$2:$P$1960,MATCH(1508,'Transfer Engine'!$C$2:$C$1960,0)),"Go to Act"))</f>
        <v/>
      </c>
    </row>
    <row r="1518" ht="158" customHeight="1">
      <c r="A1518" s="8">
        <f>IF(ISNA(MATCH(1509,'Transfer Engine'!$C$2:$C$1960,0)),"",INDEX('Compliance Database'!$A$2:$A$1960,MATCH(1509,'Transfer Engine'!$C$2:$C$1960,0)))</f>
        <v/>
      </c>
      <c r="B1518" s="8">
        <f>IF(ISNA(MATCH(1509,'Transfer Engine'!$C$2:$C$1960,0)),"",INDEX('Compliance Database'!$B$2:$B$1960,MATCH(1509,'Transfer Engine'!$C$2:$C$1960,0)))</f>
        <v/>
      </c>
      <c r="C1518" s="8">
        <f>IF(ISNA(MATCH(1509,'Transfer Engine'!$C$2:$C$1960,0)),"",INDEX('Compliance Database'!$C$2:$C$1960,MATCH(1509,'Transfer Engine'!$C$2:$C$1960,0)))</f>
        <v/>
      </c>
      <c r="D1518" s="9">
        <f>IF(ISNA(MATCH(1509,'Transfer Engine'!$C$2:$C$1960,0)),"",INDEX('Compliance Database'!$D$2:$D$1960,MATCH(1509,'Transfer Engine'!$C$2:$C$1960,0)))</f>
        <v/>
      </c>
      <c r="E1518" s="8">
        <f>IF(ISNA(MATCH(1509,'Transfer Engine'!$C$2:$C$1960,0)),"",INDEX('Compliance Database'!$E$2:$E$1960,MATCH(1509,'Transfer Engine'!$C$2:$C$1960,0)))</f>
        <v/>
      </c>
      <c r="F1518" s="8">
        <f>IF(ISNA(MATCH(1509,'Transfer Engine'!$C$2:$C$1960,0)),"",INDEX('Compliance Database'!$F$2:$F$1960,MATCH(1509,'Transfer Engine'!$C$2:$C$1960,0)))</f>
        <v/>
      </c>
      <c r="G1518" s="8">
        <f>IF(ISNA(MATCH(1509,'Transfer Engine'!$C$2:$C$1960,0)),"",INDEX('Compliance Database'!$G$2:$G$1960,MATCH(1509,'Transfer Engine'!$C$2:$C$1960,0)))</f>
        <v/>
      </c>
      <c r="H1518" s="9">
        <f>IF(ISNA(MATCH(1509,'Transfer Engine'!$C$2:$C$1960,0)),"",INDEX('Compliance Database'!$H$2:$H$1960,MATCH(1509,'Transfer Engine'!$C$2:$C$1960,0)))</f>
        <v/>
      </c>
      <c r="I1518" s="9">
        <f>IF(ISNA(MATCH(1509,'Transfer Engine'!$C$2:$C$1960,0)),"",INDEX('Compliance Database'!$I$2:$I$1960,MATCH(1509,'Transfer Engine'!$C$2:$C$1960,0)))</f>
        <v/>
      </c>
      <c r="J1518" s="8">
        <f>IF(ISNA(MATCH(1509,'Transfer Engine'!$C$2:$C$1960,0)),"",INDEX('Compliance Database'!$J$2:$J$1960,MATCH(1509,'Transfer Engine'!$C$2:$C$1960,0)))</f>
        <v/>
      </c>
      <c r="K1518" s="9">
        <f>IF(ISNA(MATCH(1509,'Transfer Engine'!$C$2:$C$1960,0)),"",INDEX('Compliance Database'!$K$2:$K$1960,MATCH(1509,'Transfer Engine'!$C$2:$C$1960,0)))</f>
        <v/>
      </c>
      <c r="L1518" s="9">
        <f>IF(ISNA(MATCH(1509,'Transfer Engine'!$C$2:$C$1960,0)),"",INDEX('Compliance Database'!$L$2:$L$1960,MATCH(1509,'Transfer Engine'!$C$2:$C$1960,0)))</f>
        <v/>
      </c>
      <c r="M1518" s="9">
        <f>IF(ISNA(MATCH(1509,'Transfer Engine'!$C$2:$C$1960,0)),"",INDEX('Compliance Database'!$M$2:$M$1960,MATCH(1509,'Transfer Engine'!$C$2:$C$1960,0)))</f>
        <v/>
      </c>
      <c r="N1518" s="9">
        <f>IF(ISNA(MATCH(1509,'Transfer Engine'!$C$2:$C$1960,0)),"",INDEX('Compliance Database'!$N$2:$N$1960,MATCH(1509,'Transfer Engine'!$C$2:$C$1960,0)))</f>
        <v/>
      </c>
      <c r="O1518" s="9">
        <f>IF(ISNA(MATCH(1509,'Transfer Engine'!$C$2:$C$1960,0)),"",INDEX('Compliance Database'!$O$2:$O$1960,MATCH(1509,'Transfer Engine'!$C$2:$C$1960,0)))</f>
        <v/>
      </c>
      <c r="P1518" s="8">
        <f>IF(ISNA(MATCH(1509,'Transfer Engine'!$C$2:$C$1960,0)),"",HYPERLINK("#Acts!A"&amp;INDEX('Compliance Database'!$P$2:$P$1960,MATCH(1509,'Transfer Engine'!$C$2:$C$1960,0)),"Go to Act"))</f>
        <v/>
      </c>
    </row>
    <row r="1519" ht="158" customHeight="1">
      <c r="A1519" s="8">
        <f>IF(ISNA(MATCH(1510,'Transfer Engine'!$C$2:$C$1960,0)),"",INDEX('Compliance Database'!$A$2:$A$1960,MATCH(1510,'Transfer Engine'!$C$2:$C$1960,0)))</f>
        <v/>
      </c>
      <c r="B1519" s="8">
        <f>IF(ISNA(MATCH(1510,'Transfer Engine'!$C$2:$C$1960,0)),"",INDEX('Compliance Database'!$B$2:$B$1960,MATCH(1510,'Transfer Engine'!$C$2:$C$1960,0)))</f>
        <v/>
      </c>
      <c r="C1519" s="8">
        <f>IF(ISNA(MATCH(1510,'Transfer Engine'!$C$2:$C$1960,0)),"",INDEX('Compliance Database'!$C$2:$C$1960,MATCH(1510,'Transfer Engine'!$C$2:$C$1960,0)))</f>
        <v/>
      </c>
      <c r="D1519" s="9">
        <f>IF(ISNA(MATCH(1510,'Transfer Engine'!$C$2:$C$1960,0)),"",INDEX('Compliance Database'!$D$2:$D$1960,MATCH(1510,'Transfer Engine'!$C$2:$C$1960,0)))</f>
        <v/>
      </c>
      <c r="E1519" s="8">
        <f>IF(ISNA(MATCH(1510,'Transfer Engine'!$C$2:$C$1960,0)),"",INDEX('Compliance Database'!$E$2:$E$1960,MATCH(1510,'Transfer Engine'!$C$2:$C$1960,0)))</f>
        <v/>
      </c>
      <c r="F1519" s="8">
        <f>IF(ISNA(MATCH(1510,'Transfer Engine'!$C$2:$C$1960,0)),"",INDEX('Compliance Database'!$F$2:$F$1960,MATCH(1510,'Transfer Engine'!$C$2:$C$1960,0)))</f>
        <v/>
      </c>
      <c r="G1519" s="8">
        <f>IF(ISNA(MATCH(1510,'Transfer Engine'!$C$2:$C$1960,0)),"",INDEX('Compliance Database'!$G$2:$G$1960,MATCH(1510,'Transfer Engine'!$C$2:$C$1960,0)))</f>
        <v/>
      </c>
      <c r="H1519" s="9">
        <f>IF(ISNA(MATCH(1510,'Transfer Engine'!$C$2:$C$1960,0)),"",INDEX('Compliance Database'!$H$2:$H$1960,MATCH(1510,'Transfer Engine'!$C$2:$C$1960,0)))</f>
        <v/>
      </c>
      <c r="I1519" s="9">
        <f>IF(ISNA(MATCH(1510,'Transfer Engine'!$C$2:$C$1960,0)),"",INDEX('Compliance Database'!$I$2:$I$1960,MATCH(1510,'Transfer Engine'!$C$2:$C$1960,0)))</f>
        <v/>
      </c>
      <c r="J1519" s="8">
        <f>IF(ISNA(MATCH(1510,'Transfer Engine'!$C$2:$C$1960,0)),"",INDEX('Compliance Database'!$J$2:$J$1960,MATCH(1510,'Transfer Engine'!$C$2:$C$1960,0)))</f>
        <v/>
      </c>
      <c r="K1519" s="9">
        <f>IF(ISNA(MATCH(1510,'Transfer Engine'!$C$2:$C$1960,0)),"",INDEX('Compliance Database'!$K$2:$K$1960,MATCH(1510,'Transfer Engine'!$C$2:$C$1960,0)))</f>
        <v/>
      </c>
      <c r="L1519" s="9">
        <f>IF(ISNA(MATCH(1510,'Transfer Engine'!$C$2:$C$1960,0)),"",INDEX('Compliance Database'!$L$2:$L$1960,MATCH(1510,'Transfer Engine'!$C$2:$C$1960,0)))</f>
        <v/>
      </c>
      <c r="M1519" s="9">
        <f>IF(ISNA(MATCH(1510,'Transfer Engine'!$C$2:$C$1960,0)),"",INDEX('Compliance Database'!$M$2:$M$1960,MATCH(1510,'Transfer Engine'!$C$2:$C$1960,0)))</f>
        <v/>
      </c>
      <c r="N1519" s="9">
        <f>IF(ISNA(MATCH(1510,'Transfer Engine'!$C$2:$C$1960,0)),"",INDEX('Compliance Database'!$N$2:$N$1960,MATCH(1510,'Transfer Engine'!$C$2:$C$1960,0)))</f>
        <v/>
      </c>
      <c r="O1519" s="9">
        <f>IF(ISNA(MATCH(1510,'Transfer Engine'!$C$2:$C$1960,0)),"",INDEX('Compliance Database'!$O$2:$O$1960,MATCH(1510,'Transfer Engine'!$C$2:$C$1960,0)))</f>
        <v/>
      </c>
      <c r="P1519" s="8">
        <f>IF(ISNA(MATCH(1510,'Transfer Engine'!$C$2:$C$1960,0)),"",HYPERLINK("#Acts!A"&amp;INDEX('Compliance Database'!$P$2:$P$1960,MATCH(1510,'Transfer Engine'!$C$2:$C$1960,0)),"Go to Act"))</f>
        <v/>
      </c>
    </row>
    <row r="1520" ht="158" customHeight="1">
      <c r="A1520" s="8">
        <f>IF(ISNA(MATCH(1511,'Transfer Engine'!$C$2:$C$1960,0)),"",INDEX('Compliance Database'!$A$2:$A$1960,MATCH(1511,'Transfer Engine'!$C$2:$C$1960,0)))</f>
        <v/>
      </c>
      <c r="B1520" s="8">
        <f>IF(ISNA(MATCH(1511,'Transfer Engine'!$C$2:$C$1960,0)),"",INDEX('Compliance Database'!$B$2:$B$1960,MATCH(1511,'Transfer Engine'!$C$2:$C$1960,0)))</f>
        <v/>
      </c>
      <c r="C1520" s="8">
        <f>IF(ISNA(MATCH(1511,'Transfer Engine'!$C$2:$C$1960,0)),"",INDEX('Compliance Database'!$C$2:$C$1960,MATCH(1511,'Transfer Engine'!$C$2:$C$1960,0)))</f>
        <v/>
      </c>
      <c r="D1520" s="9">
        <f>IF(ISNA(MATCH(1511,'Transfer Engine'!$C$2:$C$1960,0)),"",INDEX('Compliance Database'!$D$2:$D$1960,MATCH(1511,'Transfer Engine'!$C$2:$C$1960,0)))</f>
        <v/>
      </c>
      <c r="E1520" s="8">
        <f>IF(ISNA(MATCH(1511,'Transfer Engine'!$C$2:$C$1960,0)),"",INDEX('Compliance Database'!$E$2:$E$1960,MATCH(1511,'Transfer Engine'!$C$2:$C$1960,0)))</f>
        <v/>
      </c>
      <c r="F1520" s="8">
        <f>IF(ISNA(MATCH(1511,'Transfer Engine'!$C$2:$C$1960,0)),"",INDEX('Compliance Database'!$F$2:$F$1960,MATCH(1511,'Transfer Engine'!$C$2:$C$1960,0)))</f>
        <v/>
      </c>
      <c r="G1520" s="8">
        <f>IF(ISNA(MATCH(1511,'Transfer Engine'!$C$2:$C$1960,0)),"",INDEX('Compliance Database'!$G$2:$G$1960,MATCH(1511,'Transfer Engine'!$C$2:$C$1960,0)))</f>
        <v/>
      </c>
      <c r="H1520" s="9">
        <f>IF(ISNA(MATCH(1511,'Transfer Engine'!$C$2:$C$1960,0)),"",INDEX('Compliance Database'!$H$2:$H$1960,MATCH(1511,'Transfer Engine'!$C$2:$C$1960,0)))</f>
        <v/>
      </c>
      <c r="I1520" s="9">
        <f>IF(ISNA(MATCH(1511,'Transfer Engine'!$C$2:$C$1960,0)),"",INDEX('Compliance Database'!$I$2:$I$1960,MATCH(1511,'Transfer Engine'!$C$2:$C$1960,0)))</f>
        <v/>
      </c>
      <c r="J1520" s="8">
        <f>IF(ISNA(MATCH(1511,'Transfer Engine'!$C$2:$C$1960,0)),"",INDEX('Compliance Database'!$J$2:$J$1960,MATCH(1511,'Transfer Engine'!$C$2:$C$1960,0)))</f>
        <v/>
      </c>
      <c r="K1520" s="9">
        <f>IF(ISNA(MATCH(1511,'Transfer Engine'!$C$2:$C$1960,0)),"",INDEX('Compliance Database'!$K$2:$K$1960,MATCH(1511,'Transfer Engine'!$C$2:$C$1960,0)))</f>
        <v/>
      </c>
      <c r="L1520" s="9">
        <f>IF(ISNA(MATCH(1511,'Transfer Engine'!$C$2:$C$1960,0)),"",INDEX('Compliance Database'!$L$2:$L$1960,MATCH(1511,'Transfer Engine'!$C$2:$C$1960,0)))</f>
        <v/>
      </c>
      <c r="M1520" s="9">
        <f>IF(ISNA(MATCH(1511,'Transfer Engine'!$C$2:$C$1960,0)),"",INDEX('Compliance Database'!$M$2:$M$1960,MATCH(1511,'Transfer Engine'!$C$2:$C$1960,0)))</f>
        <v/>
      </c>
      <c r="N1520" s="9">
        <f>IF(ISNA(MATCH(1511,'Transfer Engine'!$C$2:$C$1960,0)),"",INDEX('Compliance Database'!$N$2:$N$1960,MATCH(1511,'Transfer Engine'!$C$2:$C$1960,0)))</f>
        <v/>
      </c>
      <c r="O1520" s="9">
        <f>IF(ISNA(MATCH(1511,'Transfer Engine'!$C$2:$C$1960,0)),"",INDEX('Compliance Database'!$O$2:$O$1960,MATCH(1511,'Transfer Engine'!$C$2:$C$1960,0)))</f>
        <v/>
      </c>
      <c r="P1520" s="8">
        <f>IF(ISNA(MATCH(1511,'Transfer Engine'!$C$2:$C$1960,0)),"",HYPERLINK("#Acts!A"&amp;INDEX('Compliance Database'!$P$2:$P$1960,MATCH(1511,'Transfer Engine'!$C$2:$C$1960,0)),"Go to Act"))</f>
        <v/>
      </c>
    </row>
    <row r="1521" ht="158" customHeight="1">
      <c r="A1521" s="8">
        <f>IF(ISNA(MATCH(1512,'Transfer Engine'!$C$2:$C$1960,0)),"",INDEX('Compliance Database'!$A$2:$A$1960,MATCH(1512,'Transfer Engine'!$C$2:$C$1960,0)))</f>
        <v/>
      </c>
      <c r="B1521" s="8">
        <f>IF(ISNA(MATCH(1512,'Transfer Engine'!$C$2:$C$1960,0)),"",INDEX('Compliance Database'!$B$2:$B$1960,MATCH(1512,'Transfer Engine'!$C$2:$C$1960,0)))</f>
        <v/>
      </c>
      <c r="C1521" s="8">
        <f>IF(ISNA(MATCH(1512,'Transfer Engine'!$C$2:$C$1960,0)),"",INDEX('Compliance Database'!$C$2:$C$1960,MATCH(1512,'Transfer Engine'!$C$2:$C$1960,0)))</f>
        <v/>
      </c>
      <c r="D1521" s="9">
        <f>IF(ISNA(MATCH(1512,'Transfer Engine'!$C$2:$C$1960,0)),"",INDEX('Compliance Database'!$D$2:$D$1960,MATCH(1512,'Transfer Engine'!$C$2:$C$1960,0)))</f>
        <v/>
      </c>
      <c r="E1521" s="8">
        <f>IF(ISNA(MATCH(1512,'Transfer Engine'!$C$2:$C$1960,0)),"",INDEX('Compliance Database'!$E$2:$E$1960,MATCH(1512,'Transfer Engine'!$C$2:$C$1960,0)))</f>
        <v/>
      </c>
      <c r="F1521" s="8">
        <f>IF(ISNA(MATCH(1512,'Transfer Engine'!$C$2:$C$1960,0)),"",INDEX('Compliance Database'!$F$2:$F$1960,MATCH(1512,'Transfer Engine'!$C$2:$C$1960,0)))</f>
        <v/>
      </c>
      <c r="G1521" s="8">
        <f>IF(ISNA(MATCH(1512,'Transfer Engine'!$C$2:$C$1960,0)),"",INDEX('Compliance Database'!$G$2:$G$1960,MATCH(1512,'Transfer Engine'!$C$2:$C$1960,0)))</f>
        <v/>
      </c>
      <c r="H1521" s="9">
        <f>IF(ISNA(MATCH(1512,'Transfer Engine'!$C$2:$C$1960,0)),"",INDEX('Compliance Database'!$H$2:$H$1960,MATCH(1512,'Transfer Engine'!$C$2:$C$1960,0)))</f>
        <v/>
      </c>
      <c r="I1521" s="9">
        <f>IF(ISNA(MATCH(1512,'Transfer Engine'!$C$2:$C$1960,0)),"",INDEX('Compliance Database'!$I$2:$I$1960,MATCH(1512,'Transfer Engine'!$C$2:$C$1960,0)))</f>
        <v/>
      </c>
      <c r="J1521" s="8">
        <f>IF(ISNA(MATCH(1512,'Transfer Engine'!$C$2:$C$1960,0)),"",INDEX('Compliance Database'!$J$2:$J$1960,MATCH(1512,'Transfer Engine'!$C$2:$C$1960,0)))</f>
        <v/>
      </c>
      <c r="K1521" s="9">
        <f>IF(ISNA(MATCH(1512,'Transfer Engine'!$C$2:$C$1960,0)),"",INDEX('Compliance Database'!$K$2:$K$1960,MATCH(1512,'Transfer Engine'!$C$2:$C$1960,0)))</f>
        <v/>
      </c>
      <c r="L1521" s="9">
        <f>IF(ISNA(MATCH(1512,'Transfer Engine'!$C$2:$C$1960,0)),"",INDEX('Compliance Database'!$L$2:$L$1960,MATCH(1512,'Transfer Engine'!$C$2:$C$1960,0)))</f>
        <v/>
      </c>
      <c r="M1521" s="9">
        <f>IF(ISNA(MATCH(1512,'Transfer Engine'!$C$2:$C$1960,0)),"",INDEX('Compliance Database'!$M$2:$M$1960,MATCH(1512,'Transfer Engine'!$C$2:$C$1960,0)))</f>
        <v/>
      </c>
      <c r="N1521" s="9">
        <f>IF(ISNA(MATCH(1512,'Transfer Engine'!$C$2:$C$1960,0)),"",INDEX('Compliance Database'!$N$2:$N$1960,MATCH(1512,'Transfer Engine'!$C$2:$C$1960,0)))</f>
        <v/>
      </c>
      <c r="O1521" s="9">
        <f>IF(ISNA(MATCH(1512,'Transfer Engine'!$C$2:$C$1960,0)),"",INDEX('Compliance Database'!$O$2:$O$1960,MATCH(1512,'Transfer Engine'!$C$2:$C$1960,0)))</f>
        <v/>
      </c>
      <c r="P1521" s="8">
        <f>IF(ISNA(MATCH(1512,'Transfer Engine'!$C$2:$C$1960,0)),"",HYPERLINK("#Acts!A"&amp;INDEX('Compliance Database'!$P$2:$P$1960,MATCH(1512,'Transfer Engine'!$C$2:$C$1960,0)),"Go to Act"))</f>
        <v/>
      </c>
    </row>
    <row r="1522" ht="158" customHeight="1">
      <c r="A1522" s="8">
        <f>IF(ISNA(MATCH(1513,'Transfer Engine'!$C$2:$C$1960,0)),"",INDEX('Compliance Database'!$A$2:$A$1960,MATCH(1513,'Transfer Engine'!$C$2:$C$1960,0)))</f>
        <v/>
      </c>
      <c r="B1522" s="8">
        <f>IF(ISNA(MATCH(1513,'Transfer Engine'!$C$2:$C$1960,0)),"",INDEX('Compliance Database'!$B$2:$B$1960,MATCH(1513,'Transfer Engine'!$C$2:$C$1960,0)))</f>
        <v/>
      </c>
      <c r="C1522" s="8">
        <f>IF(ISNA(MATCH(1513,'Transfer Engine'!$C$2:$C$1960,0)),"",INDEX('Compliance Database'!$C$2:$C$1960,MATCH(1513,'Transfer Engine'!$C$2:$C$1960,0)))</f>
        <v/>
      </c>
      <c r="D1522" s="9">
        <f>IF(ISNA(MATCH(1513,'Transfer Engine'!$C$2:$C$1960,0)),"",INDEX('Compliance Database'!$D$2:$D$1960,MATCH(1513,'Transfer Engine'!$C$2:$C$1960,0)))</f>
        <v/>
      </c>
      <c r="E1522" s="8">
        <f>IF(ISNA(MATCH(1513,'Transfer Engine'!$C$2:$C$1960,0)),"",INDEX('Compliance Database'!$E$2:$E$1960,MATCH(1513,'Transfer Engine'!$C$2:$C$1960,0)))</f>
        <v/>
      </c>
      <c r="F1522" s="8">
        <f>IF(ISNA(MATCH(1513,'Transfer Engine'!$C$2:$C$1960,0)),"",INDEX('Compliance Database'!$F$2:$F$1960,MATCH(1513,'Transfer Engine'!$C$2:$C$1960,0)))</f>
        <v/>
      </c>
      <c r="G1522" s="8">
        <f>IF(ISNA(MATCH(1513,'Transfer Engine'!$C$2:$C$1960,0)),"",INDEX('Compliance Database'!$G$2:$G$1960,MATCH(1513,'Transfer Engine'!$C$2:$C$1960,0)))</f>
        <v/>
      </c>
      <c r="H1522" s="9">
        <f>IF(ISNA(MATCH(1513,'Transfer Engine'!$C$2:$C$1960,0)),"",INDEX('Compliance Database'!$H$2:$H$1960,MATCH(1513,'Transfer Engine'!$C$2:$C$1960,0)))</f>
        <v/>
      </c>
      <c r="I1522" s="9">
        <f>IF(ISNA(MATCH(1513,'Transfer Engine'!$C$2:$C$1960,0)),"",INDEX('Compliance Database'!$I$2:$I$1960,MATCH(1513,'Transfer Engine'!$C$2:$C$1960,0)))</f>
        <v/>
      </c>
      <c r="J1522" s="8">
        <f>IF(ISNA(MATCH(1513,'Transfer Engine'!$C$2:$C$1960,0)),"",INDEX('Compliance Database'!$J$2:$J$1960,MATCH(1513,'Transfer Engine'!$C$2:$C$1960,0)))</f>
        <v/>
      </c>
      <c r="K1522" s="9">
        <f>IF(ISNA(MATCH(1513,'Transfer Engine'!$C$2:$C$1960,0)),"",INDEX('Compliance Database'!$K$2:$K$1960,MATCH(1513,'Transfer Engine'!$C$2:$C$1960,0)))</f>
        <v/>
      </c>
      <c r="L1522" s="9">
        <f>IF(ISNA(MATCH(1513,'Transfer Engine'!$C$2:$C$1960,0)),"",INDEX('Compliance Database'!$L$2:$L$1960,MATCH(1513,'Transfer Engine'!$C$2:$C$1960,0)))</f>
        <v/>
      </c>
      <c r="M1522" s="9">
        <f>IF(ISNA(MATCH(1513,'Transfer Engine'!$C$2:$C$1960,0)),"",INDEX('Compliance Database'!$M$2:$M$1960,MATCH(1513,'Transfer Engine'!$C$2:$C$1960,0)))</f>
        <v/>
      </c>
      <c r="N1522" s="9">
        <f>IF(ISNA(MATCH(1513,'Transfer Engine'!$C$2:$C$1960,0)),"",INDEX('Compliance Database'!$N$2:$N$1960,MATCH(1513,'Transfer Engine'!$C$2:$C$1960,0)))</f>
        <v/>
      </c>
      <c r="O1522" s="9">
        <f>IF(ISNA(MATCH(1513,'Transfer Engine'!$C$2:$C$1960,0)),"",INDEX('Compliance Database'!$O$2:$O$1960,MATCH(1513,'Transfer Engine'!$C$2:$C$1960,0)))</f>
        <v/>
      </c>
      <c r="P1522" s="8">
        <f>IF(ISNA(MATCH(1513,'Transfer Engine'!$C$2:$C$1960,0)),"",HYPERLINK("#Acts!A"&amp;INDEX('Compliance Database'!$P$2:$P$1960,MATCH(1513,'Transfer Engine'!$C$2:$C$1960,0)),"Go to Act"))</f>
        <v/>
      </c>
    </row>
    <row r="1523" ht="158" customHeight="1">
      <c r="A1523" s="8">
        <f>IF(ISNA(MATCH(1514,'Transfer Engine'!$C$2:$C$1960,0)),"",INDEX('Compliance Database'!$A$2:$A$1960,MATCH(1514,'Transfer Engine'!$C$2:$C$1960,0)))</f>
        <v/>
      </c>
      <c r="B1523" s="8">
        <f>IF(ISNA(MATCH(1514,'Transfer Engine'!$C$2:$C$1960,0)),"",INDEX('Compliance Database'!$B$2:$B$1960,MATCH(1514,'Transfer Engine'!$C$2:$C$1960,0)))</f>
        <v/>
      </c>
      <c r="C1523" s="8">
        <f>IF(ISNA(MATCH(1514,'Transfer Engine'!$C$2:$C$1960,0)),"",INDEX('Compliance Database'!$C$2:$C$1960,MATCH(1514,'Transfer Engine'!$C$2:$C$1960,0)))</f>
        <v/>
      </c>
      <c r="D1523" s="9">
        <f>IF(ISNA(MATCH(1514,'Transfer Engine'!$C$2:$C$1960,0)),"",INDEX('Compliance Database'!$D$2:$D$1960,MATCH(1514,'Transfer Engine'!$C$2:$C$1960,0)))</f>
        <v/>
      </c>
      <c r="E1523" s="8">
        <f>IF(ISNA(MATCH(1514,'Transfer Engine'!$C$2:$C$1960,0)),"",INDEX('Compliance Database'!$E$2:$E$1960,MATCH(1514,'Transfer Engine'!$C$2:$C$1960,0)))</f>
        <v/>
      </c>
      <c r="F1523" s="8">
        <f>IF(ISNA(MATCH(1514,'Transfer Engine'!$C$2:$C$1960,0)),"",INDEX('Compliance Database'!$F$2:$F$1960,MATCH(1514,'Transfer Engine'!$C$2:$C$1960,0)))</f>
        <v/>
      </c>
      <c r="G1523" s="8">
        <f>IF(ISNA(MATCH(1514,'Transfer Engine'!$C$2:$C$1960,0)),"",INDEX('Compliance Database'!$G$2:$G$1960,MATCH(1514,'Transfer Engine'!$C$2:$C$1960,0)))</f>
        <v/>
      </c>
      <c r="H1523" s="9">
        <f>IF(ISNA(MATCH(1514,'Transfer Engine'!$C$2:$C$1960,0)),"",INDEX('Compliance Database'!$H$2:$H$1960,MATCH(1514,'Transfer Engine'!$C$2:$C$1960,0)))</f>
        <v/>
      </c>
      <c r="I1523" s="9">
        <f>IF(ISNA(MATCH(1514,'Transfer Engine'!$C$2:$C$1960,0)),"",INDEX('Compliance Database'!$I$2:$I$1960,MATCH(1514,'Transfer Engine'!$C$2:$C$1960,0)))</f>
        <v/>
      </c>
      <c r="J1523" s="8">
        <f>IF(ISNA(MATCH(1514,'Transfer Engine'!$C$2:$C$1960,0)),"",INDEX('Compliance Database'!$J$2:$J$1960,MATCH(1514,'Transfer Engine'!$C$2:$C$1960,0)))</f>
        <v/>
      </c>
      <c r="K1523" s="9">
        <f>IF(ISNA(MATCH(1514,'Transfer Engine'!$C$2:$C$1960,0)),"",INDEX('Compliance Database'!$K$2:$K$1960,MATCH(1514,'Transfer Engine'!$C$2:$C$1960,0)))</f>
        <v/>
      </c>
      <c r="L1523" s="9">
        <f>IF(ISNA(MATCH(1514,'Transfer Engine'!$C$2:$C$1960,0)),"",INDEX('Compliance Database'!$L$2:$L$1960,MATCH(1514,'Transfer Engine'!$C$2:$C$1960,0)))</f>
        <v/>
      </c>
      <c r="M1523" s="9">
        <f>IF(ISNA(MATCH(1514,'Transfer Engine'!$C$2:$C$1960,0)),"",INDEX('Compliance Database'!$M$2:$M$1960,MATCH(1514,'Transfer Engine'!$C$2:$C$1960,0)))</f>
        <v/>
      </c>
      <c r="N1523" s="9">
        <f>IF(ISNA(MATCH(1514,'Transfer Engine'!$C$2:$C$1960,0)),"",INDEX('Compliance Database'!$N$2:$N$1960,MATCH(1514,'Transfer Engine'!$C$2:$C$1960,0)))</f>
        <v/>
      </c>
      <c r="O1523" s="9">
        <f>IF(ISNA(MATCH(1514,'Transfer Engine'!$C$2:$C$1960,0)),"",INDEX('Compliance Database'!$O$2:$O$1960,MATCH(1514,'Transfer Engine'!$C$2:$C$1960,0)))</f>
        <v/>
      </c>
      <c r="P1523" s="8">
        <f>IF(ISNA(MATCH(1514,'Transfer Engine'!$C$2:$C$1960,0)),"",HYPERLINK("#Acts!A"&amp;INDEX('Compliance Database'!$P$2:$P$1960,MATCH(1514,'Transfer Engine'!$C$2:$C$1960,0)),"Go to Act"))</f>
        <v/>
      </c>
    </row>
    <row r="1524" ht="158" customHeight="1">
      <c r="A1524" s="8">
        <f>IF(ISNA(MATCH(1515,'Transfer Engine'!$C$2:$C$1960,0)),"",INDEX('Compliance Database'!$A$2:$A$1960,MATCH(1515,'Transfer Engine'!$C$2:$C$1960,0)))</f>
        <v/>
      </c>
      <c r="B1524" s="8">
        <f>IF(ISNA(MATCH(1515,'Transfer Engine'!$C$2:$C$1960,0)),"",INDEX('Compliance Database'!$B$2:$B$1960,MATCH(1515,'Transfer Engine'!$C$2:$C$1960,0)))</f>
        <v/>
      </c>
      <c r="C1524" s="8">
        <f>IF(ISNA(MATCH(1515,'Transfer Engine'!$C$2:$C$1960,0)),"",INDEX('Compliance Database'!$C$2:$C$1960,MATCH(1515,'Transfer Engine'!$C$2:$C$1960,0)))</f>
        <v/>
      </c>
      <c r="D1524" s="9">
        <f>IF(ISNA(MATCH(1515,'Transfer Engine'!$C$2:$C$1960,0)),"",INDEX('Compliance Database'!$D$2:$D$1960,MATCH(1515,'Transfer Engine'!$C$2:$C$1960,0)))</f>
        <v/>
      </c>
      <c r="E1524" s="8">
        <f>IF(ISNA(MATCH(1515,'Transfer Engine'!$C$2:$C$1960,0)),"",INDEX('Compliance Database'!$E$2:$E$1960,MATCH(1515,'Transfer Engine'!$C$2:$C$1960,0)))</f>
        <v/>
      </c>
      <c r="F1524" s="8">
        <f>IF(ISNA(MATCH(1515,'Transfer Engine'!$C$2:$C$1960,0)),"",INDEX('Compliance Database'!$F$2:$F$1960,MATCH(1515,'Transfer Engine'!$C$2:$C$1960,0)))</f>
        <v/>
      </c>
      <c r="G1524" s="8">
        <f>IF(ISNA(MATCH(1515,'Transfer Engine'!$C$2:$C$1960,0)),"",INDEX('Compliance Database'!$G$2:$G$1960,MATCH(1515,'Transfer Engine'!$C$2:$C$1960,0)))</f>
        <v/>
      </c>
      <c r="H1524" s="9">
        <f>IF(ISNA(MATCH(1515,'Transfer Engine'!$C$2:$C$1960,0)),"",INDEX('Compliance Database'!$H$2:$H$1960,MATCH(1515,'Transfer Engine'!$C$2:$C$1960,0)))</f>
        <v/>
      </c>
      <c r="I1524" s="9">
        <f>IF(ISNA(MATCH(1515,'Transfer Engine'!$C$2:$C$1960,0)),"",INDEX('Compliance Database'!$I$2:$I$1960,MATCH(1515,'Transfer Engine'!$C$2:$C$1960,0)))</f>
        <v/>
      </c>
      <c r="J1524" s="8">
        <f>IF(ISNA(MATCH(1515,'Transfer Engine'!$C$2:$C$1960,0)),"",INDEX('Compliance Database'!$J$2:$J$1960,MATCH(1515,'Transfer Engine'!$C$2:$C$1960,0)))</f>
        <v/>
      </c>
      <c r="K1524" s="9">
        <f>IF(ISNA(MATCH(1515,'Transfer Engine'!$C$2:$C$1960,0)),"",INDEX('Compliance Database'!$K$2:$K$1960,MATCH(1515,'Transfer Engine'!$C$2:$C$1960,0)))</f>
        <v/>
      </c>
      <c r="L1524" s="9">
        <f>IF(ISNA(MATCH(1515,'Transfer Engine'!$C$2:$C$1960,0)),"",INDEX('Compliance Database'!$L$2:$L$1960,MATCH(1515,'Transfer Engine'!$C$2:$C$1960,0)))</f>
        <v/>
      </c>
      <c r="M1524" s="9">
        <f>IF(ISNA(MATCH(1515,'Transfer Engine'!$C$2:$C$1960,0)),"",INDEX('Compliance Database'!$M$2:$M$1960,MATCH(1515,'Transfer Engine'!$C$2:$C$1960,0)))</f>
        <v/>
      </c>
      <c r="N1524" s="9">
        <f>IF(ISNA(MATCH(1515,'Transfer Engine'!$C$2:$C$1960,0)),"",INDEX('Compliance Database'!$N$2:$N$1960,MATCH(1515,'Transfer Engine'!$C$2:$C$1960,0)))</f>
        <v/>
      </c>
      <c r="O1524" s="9">
        <f>IF(ISNA(MATCH(1515,'Transfer Engine'!$C$2:$C$1960,0)),"",INDEX('Compliance Database'!$O$2:$O$1960,MATCH(1515,'Transfer Engine'!$C$2:$C$1960,0)))</f>
        <v/>
      </c>
      <c r="P1524" s="8">
        <f>IF(ISNA(MATCH(1515,'Transfer Engine'!$C$2:$C$1960,0)),"",HYPERLINK("#Acts!A"&amp;INDEX('Compliance Database'!$P$2:$P$1960,MATCH(1515,'Transfer Engine'!$C$2:$C$1960,0)),"Go to Act"))</f>
        <v/>
      </c>
    </row>
    <row r="1525" ht="158" customHeight="1">
      <c r="A1525" s="8">
        <f>IF(ISNA(MATCH(1516,'Transfer Engine'!$C$2:$C$1960,0)),"",INDEX('Compliance Database'!$A$2:$A$1960,MATCH(1516,'Transfer Engine'!$C$2:$C$1960,0)))</f>
        <v/>
      </c>
      <c r="B1525" s="8">
        <f>IF(ISNA(MATCH(1516,'Transfer Engine'!$C$2:$C$1960,0)),"",INDEX('Compliance Database'!$B$2:$B$1960,MATCH(1516,'Transfer Engine'!$C$2:$C$1960,0)))</f>
        <v/>
      </c>
      <c r="C1525" s="8">
        <f>IF(ISNA(MATCH(1516,'Transfer Engine'!$C$2:$C$1960,0)),"",INDEX('Compliance Database'!$C$2:$C$1960,MATCH(1516,'Transfer Engine'!$C$2:$C$1960,0)))</f>
        <v/>
      </c>
      <c r="D1525" s="9">
        <f>IF(ISNA(MATCH(1516,'Transfer Engine'!$C$2:$C$1960,0)),"",INDEX('Compliance Database'!$D$2:$D$1960,MATCH(1516,'Transfer Engine'!$C$2:$C$1960,0)))</f>
        <v/>
      </c>
      <c r="E1525" s="8">
        <f>IF(ISNA(MATCH(1516,'Transfer Engine'!$C$2:$C$1960,0)),"",INDEX('Compliance Database'!$E$2:$E$1960,MATCH(1516,'Transfer Engine'!$C$2:$C$1960,0)))</f>
        <v/>
      </c>
      <c r="F1525" s="8">
        <f>IF(ISNA(MATCH(1516,'Transfer Engine'!$C$2:$C$1960,0)),"",INDEX('Compliance Database'!$F$2:$F$1960,MATCH(1516,'Transfer Engine'!$C$2:$C$1960,0)))</f>
        <v/>
      </c>
      <c r="G1525" s="8">
        <f>IF(ISNA(MATCH(1516,'Transfer Engine'!$C$2:$C$1960,0)),"",INDEX('Compliance Database'!$G$2:$G$1960,MATCH(1516,'Transfer Engine'!$C$2:$C$1960,0)))</f>
        <v/>
      </c>
      <c r="H1525" s="9">
        <f>IF(ISNA(MATCH(1516,'Transfer Engine'!$C$2:$C$1960,0)),"",INDEX('Compliance Database'!$H$2:$H$1960,MATCH(1516,'Transfer Engine'!$C$2:$C$1960,0)))</f>
        <v/>
      </c>
      <c r="I1525" s="9">
        <f>IF(ISNA(MATCH(1516,'Transfer Engine'!$C$2:$C$1960,0)),"",INDEX('Compliance Database'!$I$2:$I$1960,MATCH(1516,'Transfer Engine'!$C$2:$C$1960,0)))</f>
        <v/>
      </c>
      <c r="J1525" s="8">
        <f>IF(ISNA(MATCH(1516,'Transfer Engine'!$C$2:$C$1960,0)),"",INDEX('Compliance Database'!$J$2:$J$1960,MATCH(1516,'Transfer Engine'!$C$2:$C$1960,0)))</f>
        <v/>
      </c>
      <c r="K1525" s="9">
        <f>IF(ISNA(MATCH(1516,'Transfer Engine'!$C$2:$C$1960,0)),"",INDEX('Compliance Database'!$K$2:$K$1960,MATCH(1516,'Transfer Engine'!$C$2:$C$1960,0)))</f>
        <v/>
      </c>
      <c r="L1525" s="9">
        <f>IF(ISNA(MATCH(1516,'Transfer Engine'!$C$2:$C$1960,0)),"",INDEX('Compliance Database'!$L$2:$L$1960,MATCH(1516,'Transfer Engine'!$C$2:$C$1960,0)))</f>
        <v/>
      </c>
      <c r="M1525" s="9">
        <f>IF(ISNA(MATCH(1516,'Transfer Engine'!$C$2:$C$1960,0)),"",INDEX('Compliance Database'!$M$2:$M$1960,MATCH(1516,'Transfer Engine'!$C$2:$C$1960,0)))</f>
        <v/>
      </c>
      <c r="N1525" s="9">
        <f>IF(ISNA(MATCH(1516,'Transfer Engine'!$C$2:$C$1960,0)),"",INDEX('Compliance Database'!$N$2:$N$1960,MATCH(1516,'Transfer Engine'!$C$2:$C$1960,0)))</f>
        <v/>
      </c>
      <c r="O1525" s="9">
        <f>IF(ISNA(MATCH(1516,'Transfer Engine'!$C$2:$C$1960,0)),"",INDEX('Compliance Database'!$O$2:$O$1960,MATCH(1516,'Transfer Engine'!$C$2:$C$1960,0)))</f>
        <v/>
      </c>
      <c r="P1525" s="8">
        <f>IF(ISNA(MATCH(1516,'Transfer Engine'!$C$2:$C$1960,0)),"",HYPERLINK("#Acts!A"&amp;INDEX('Compliance Database'!$P$2:$P$1960,MATCH(1516,'Transfer Engine'!$C$2:$C$1960,0)),"Go to Act"))</f>
        <v/>
      </c>
    </row>
    <row r="1526" ht="158" customHeight="1">
      <c r="A1526" s="8">
        <f>IF(ISNA(MATCH(1517,'Transfer Engine'!$C$2:$C$1960,0)),"",INDEX('Compliance Database'!$A$2:$A$1960,MATCH(1517,'Transfer Engine'!$C$2:$C$1960,0)))</f>
        <v/>
      </c>
      <c r="B1526" s="8">
        <f>IF(ISNA(MATCH(1517,'Transfer Engine'!$C$2:$C$1960,0)),"",INDEX('Compliance Database'!$B$2:$B$1960,MATCH(1517,'Transfer Engine'!$C$2:$C$1960,0)))</f>
        <v/>
      </c>
      <c r="C1526" s="8">
        <f>IF(ISNA(MATCH(1517,'Transfer Engine'!$C$2:$C$1960,0)),"",INDEX('Compliance Database'!$C$2:$C$1960,MATCH(1517,'Transfer Engine'!$C$2:$C$1960,0)))</f>
        <v/>
      </c>
      <c r="D1526" s="9">
        <f>IF(ISNA(MATCH(1517,'Transfer Engine'!$C$2:$C$1960,0)),"",INDEX('Compliance Database'!$D$2:$D$1960,MATCH(1517,'Transfer Engine'!$C$2:$C$1960,0)))</f>
        <v/>
      </c>
      <c r="E1526" s="8">
        <f>IF(ISNA(MATCH(1517,'Transfer Engine'!$C$2:$C$1960,0)),"",INDEX('Compliance Database'!$E$2:$E$1960,MATCH(1517,'Transfer Engine'!$C$2:$C$1960,0)))</f>
        <v/>
      </c>
      <c r="F1526" s="8">
        <f>IF(ISNA(MATCH(1517,'Transfer Engine'!$C$2:$C$1960,0)),"",INDEX('Compliance Database'!$F$2:$F$1960,MATCH(1517,'Transfer Engine'!$C$2:$C$1960,0)))</f>
        <v/>
      </c>
      <c r="G1526" s="8">
        <f>IF(ISNA(MATCH(1517,'Transfer Engine'!$C$2:$C$1960,0)),"",INDEX('Compliance Database'!$G$2:$G$1960,MATCH(1517,'Transfer Engine'!$C$2:$C$1960,0)))</f>
        <v/>
      </c>
      <c r="H1526" s="9">
        <f>IF(ISNA(MATCH(1517,'Transfer Engine'!$C$2:$C$1960,0)),"",INDEX('Compliance Database'!$H$2:$H$1960,MATCH(1517,'Transfer Engine'!$C$2:$C$1960,0)))</f>
        <v/>
      </c>
      <c r="I1526" s="9">
        <f>IF(ISNA(MATCH(1517,'Transfer Engine'!$C$2:$C$1960,0)),"",INDEX('Compliance Database'!$I$2:$I$1960,MATCH(1517,'Transfer Engine'!$C$2:$C$1960,0)))</f>
        <v/>
      </c>
      <c r="J1526" s="8">
        <f>IF(ISNA(MATCH(1517,'Transfer Engine'!$C$2:$C$1960,0)),"",INDEX('Compliance Database'!$J$2:$J$1960,MATCH(1517,'Transfer Engine'!$C$2:$C$1960,0)))</f>
        <v/>
      </c>
      <c r="K1526" s="9">
        <f>IF(ISNA(MATCH(1517,'Transfer Engine'!$C$2:$C$1960,0)),"",INDEX('Compliance Database'!$K$2:$K$1960,MATCH(1517,'Transfer Engine'!$C$2:$C$1960,0)))</f>
        <v/>
      </c>
      <c r="L1526" s="9">
        <f>IF(ISNA(MATCH(1517,'Transfer Engine'!$C$2:$C$1960,0)),"",INDEX('Compliance Database'!$L$2:$L$1960,MATCH(1517,'Transfer Engine'!$C$2:$C$1960,0)))</f>
        <v/>
      </c>
      <c r="M1526" s="9">
        <f>IF(ISNA(MATCH(1517,'Transfer Engine'!$C$2:$C$1960,0)),"",INDEX('Compliance Database'!$M$2:$M$1960,MATCH(1517,'Transfer Engine'!$C$2:$C$1960,0)))</f>
        <v/>
      </c>
      <c r="N1526" s="9">
        <f>IF(ISNA(MATCH(1517,'Transfer Engine'!$C$2:$C$1960,0)),"",INDEX('Compliance Database'!$N$2:$N$1960,MATCH(1517,'Transfer Engine'!$C$2:$C$1960,0)))</f>
        <v/>
      </c>
      <c r="O1526" s="9">
        <f>IF(ISNA(MATCH(1517,'Transfer Engine'!$C$2:$C$1960,0)),"",INDEX('Compliance Database'!$O$2:$O$1960,MATCH(1517,'Transfer Engine'!$C$2:$C$1960,0)))</f>
        <v/>
      </c>
      <c r="P1526" s="8">
        <f>IF(ISNA(MATCH(1517,'Transfer Engine'!$C$2:$C$1960,0)),"",HYPERLINK("#Acts!A"&amp;INDEX('Compliance Database'!$P$2:$P$1960,MATCH(1517,'Transfer Engine'!$C$2:$C$1960,0)),"Go to Act"))</f>
        <v/>
      </c>
    </row>
    <row r="1527" ht="158" customHeight="1">
      <c r="A1527" s="8">
        <f>IF(ISNA(MATCH(1518,'Transfer Engine'!$C$2:$C$1960,0)),"",INDEX('Compliance Database'!$A$2:$A$1960,MATCH(1518,'Transfer Engine'!$C$2:$C$1960,0)))</f>
        <v/>
      </c>
      <c r="B1527" s="8">
        <f>IF(ISNA(MATCH(1518,'Transfer Engine'!$C$2:$C$1960,0)),"",INDEX('Compliance Database'!$B$2:$B$1960,MATCH(1518,'Transfer Engine'!$C$2:$C$1960,0)))</f>
        <v/>
      </c>
      <c r="C1527" s="8">
        <f>IF(ISNA(MATCH(1518,'Transfer Engine'!$C$2:$C$1960,0)),"",INDEX('Compliance Database'!$C$2:$C$1960,MATCH(1518,'Transfer Engine'!$C$2:$C$1960,0)))</f>
        <v/>
      </c>
      <c r="D1527" s="9">
        <f>IF(ISNA(MATCH(1518,'Transfer Engine'!$C$2:$C$1960,0)),"",INDEX('Compliance Database'!$D$2:$D$1960,MATCH(1518,'Transfer Engine'!$C$2:$C$1960,0)))</f>
        <v/>
      </c>
      <c r="E1527" s="8">
        <f>IF(ISNA(MATCH(1518,'Transfer Engine'!$C$2:$C$1960,0)),"",INDEX('Compliance Database'!$E$2:$E$1960,MATCH(1518,'Transfer Engine'!$C$2:$C$1960,0)))</f>
        <v/>
      </c>
      <c r="F1527" s="8">
        <f>IF(ISNA(MATCH(1518,'Transfer Engine'!$C$2:$C$1960,0)),"",INDEX('Compliance Database'!$F$2:$F$1960,MATCH(1518,'Transfer Engine'!$C$2:$C$1960,0)))</f>
        <v/>
      </c>
      <c r="G1527" s="8">
        <f>IF(ISNA(MATCH(1518,'Transfer Engine'!$C$2:$C$1960,0)),"",INDEX('Compliance Database'!$G$2:$G$1960,MATCH(1518,'Transfer Engine'!$C$2:$C$1960,0)))</f>
        <v/>
      </c>
      <c r="H1527" s="9">
        <f>IF(ISNA(MATCH(1518,'Transfer Engine'!$C$2:$C$1960,0)),"",INDEX('Compliance Database'!$H$2:$H$1960,MATCH(1518,'Transfer Engine'!$C$2:$C$1960,0)))</f>
        <v/>
      </c>
      <c r="I1527" s="9">
        <f>IF(ISNA(MATCH(1518,'Transfer Engine'!$C$2:$C$1960,0)),"",INDEX('Compliance Database'!$I$2:$I$1960,MATCH(1518,'Transfer Engine'!$C$2:$C$1960,0)))</f>
        <v/>
      </c>
      <c r="J1527" s="8">
        <f>IF(ISNA(MATCH(1518,'Transfer Engine'!$C$2:$C$1960,0)),"",INDEX('Compliance Database'!$J$2:$J$1960,MATCH(1518,'Transfer Engine'!$C$2:$C$1960,0)))</f>
        <v/>
      </c>
      <c r="K1527" s="9">
        <f>IF(ISNA(MATCH(1518,'Transfer Engine'!$C$2:$C$1960,0)),"",INDEX('Compliance Database'!$K$2:$K$1960,MATCH(1518,'Transfer Engine'!$C$2:$C$1960,0)))</f>
        <v/>
      </c>
      <c r="L1527" s="9">
        <f>IF(ISNA(MATCH(1518,'Transfer Engine'!$C$2:$C$1960,0)),"",INDEX('Compliance Database'!$L$2:$L$1960,MATCH(1518,'Transfer Engine'!$C$2:$C$1960,0)))</f>
        <v/>
      </c>
      <c r="M1527" s="9">
        <f>IF(ISNA(MATCH(1518,'Transfer Engine'!$C$2:$C$1960,0)),"",INDEX('Compliance Database'!$M$2:$M$1960,MATCH(1518,'Transfer Engine'!$C$2:$C$1960,0)))</f>
        <v/>
      </c>
      <c r="N1527" s="9">
        <f>IF(ISNA(MATCH(1518,'Transfer Engine'!$C$2:$C$1960,0)),"",INDEX('Compliance Database'!$N$2:$N$1960,MATCH(1518,'Transfer Engine'!$C$2:$C$1960,0)))</f>
        <v/>
      </c>
      <c r="O1527" s="9">
        <f>IF(ISNA(MATCH(1518,'Transfer Engine'!$C$2:$C$1960,0)),"",INDEX('Compliance Database'!$O$2:$O$1960,MATCH(1518,'Transfer Engine'!$C$2:$C$1960,0)))</f>
        <v/>
      </c>
      <c r="P1527" s="8">
        <f>IF(ISNA(MATCH(1518,'Transfer Engine'!$C$2:$C$1960,0)),"",HYPERLINK("#Acts!A"&amp;INDEX('Compliance Database'!$P$2:$P$1960,MATCH(1518,'Transfer Engine'!$C$2:$C$1960,0)),"Go to Act"))</f>
        <v/>
      </c>
    </row>
    <row r="1528" ht="158" customHeight="1">
      <c r="A1528" s="8">
        <f>IF(ISNA(MATCH(1519,'Transfer Engine'!$C$2:$C$1960,0)),"",INDEX('Compliance Database'!$A$2:$A$1960,MATCH(1519,'Transfer Engine'!$C$2:$C$1960,0)))</f>
        <v/>
      </c>
      <c r="B1528" s="8">
        <f>IF(ISNA(MATCH(1519,'Transfer Engine'!$C$2:$C$1960,0)),"",INDEX('Compliance Database'!$B$2:$B$1960,MATCH(1519,'Transfer Engine'!$C$2:$C$1960,0)))</f>
        <v/>
      </c>
      <c r="C1528" s="8">
        <f>IF(ISNA(MATCH(1519,'Transfer Engine'!$C$2:$C$1960,0)),"",INDEX('Compliance Database'!$C$2:$C$1960,MATCH(1519,'Transfer Engine'!$C$2:$C$1960,0)))</f>
        <v/>
      </c>
      <c r="D1528" s="9">
        <f>IF(ISNA(MATCH(1519,'Transfer Engine'!$C$2:$C$1960,0)),"",INDEX('Compliance Database'!$D$2:$D$1960,MATCH(1519,'Transfer Engine'!$C$2:$C$1960,0)))</f>
        <v/>
      </c>
      <c r="E1528" s="8">
        <f>IF(ISNA(MATCH(1519,'Transfer Engine'!$C$2:$C$1960,0)),"",INDEX('Compliance Database'!$E$2:$E$1960,MATCH(1519,'Transfer Engine'!$C$2:$C$1960,0)))</f>
        <v/>
      </c>
      <c r="F1528" s="8">
        <f>IF(ISNA(MATCH(1519,'Transfer Engine'!$C$2:$C$1960,0)),"",INDEX('Compliance Database'!$F$2:$F$1960,MATCH(1519,'Transfer Engine'!$C$2:$C$1960,0)))</f>
        <v/>
      </c>
      <c r="G1528" s="8">
        <f>IF(ISNA(MATCH(1519,'Transfer Engine'!$C$2:$C$1960,0)),"",INDEX('Compliance Database'!$G$2:$G$1960,MATCH(1519,'Transfer Engine'!$C$2:$C$1960,0)))</f>
        <v/>
      </c>
      <c r="H1528" s="9">
        <f>IF(ISNA(MATCH(1519,'Transfer Engine'!$C$2:$C$1960,0)),"",INDEX('Compliance Database'!$H$2:$H$1960,MATCH(1519,'Transfer Engine'!$C$2:$C$1960,0)))</f>
        <v/>
      </c>
      <c r="I1528" s="9">
        <f>IF(ISNA(MATCH(1519,'Transfer Engine'!$C$2:$C$1960,0)),"",INDEX('Compliance Database'!$I$2:$I$1960,MATCH(1519,'Transfer Engine'!$C$2:$C$1960,0)))</f>
        <v/>
      </c>
      <c r="J1528" s="8">
        <f>IF(ISNA(MATCH(1519,'Transfer Engine'!$C$2:$C$1960,0)),"",INDEX('Compliance Database'!$J$2:$J$1960,MATCH(1519,'Transfer Engine'!$C$2:$C$1960,0)))</f>
        <v/>
      </c>
      <c r="K1528" s="9">
        <f>IF(ISNA(MATCH(1519,'Transfer Engine'!$C$2:$C$1960,0)),"",INDEX('Compliance Database'!$K$2:$K$1960,MATCH(1519,'Transfer Engine'!$C$2:$C$1960,0)))</f>
        <v/>
      </c>
      <c r="L1528" s="9">
        <f>IF(ISNA(MATCH(1519,'Transfer Engine'!$C$2:$C$1960,0)),"",INDEX('Compliance Database'!$L$2:$L$1960,MATCH(1519,'Transfer Engine'!$C$2:$C$1960,0)))</f>
        <v/>
      </c>
      <c r="M1528" s="9">
        <f>IF(ISNA(MATCH(1519,'Transfer Engine'!$C$2:$C$1960,0)),"",INDEX('Compliance Database'!$M$2:$M$1960,MATCH(1519,'Transfer Engine'!$C$2:$C$1960,0)))</f>
        <v/>
      </c>
      <c r="N1528" s="9">
        <f>IF(ISNA(MATCH(1519,'Transfer Engine'!$C$2:$C$1960,0)),"",INDEX('Compliance Database'!$N$2:$N$1960,MATCH(1519,'Transfer Engine'!$C$2:$C$1960,0)))</f>
        <v/>
      </c>
      <c r="O1528" s="9">
        <f>IF(ISNA(MATCH(1519,'Transfer Engine'!$C$2:$C$1960,0)),"",INDEX('Compliance Database'!$O$2:$O$1960,MATCH(1519,'Transfer Engine'!$C$2:$C$1960,0)))</f>
        <v/>
      </c>
      <c r="P1528" s="8">
        <f>IF(ISNA(MATCH(1519,'Transfer Engine'!$C$2:$C$1960,0)),"",HYPERLINK("#Acts!A"&amp;INDEX('Compliance Database'!$P$2:$P$1960,MATCH(1519,'Transfer Engine'!$C$2:$C$1960,0)),"Go to Act"))</f>
        <v/>
      </c>
    </row>
    <row r="1529" ht="158" customHeight="1">
      <c r="A1529" s="8">
        <f>IF(ISNA(MATCH(1520,'Transfer Engine'!$C$2:$C$1960,0)),"",INDEX('Compliance Database'!$A$2:$A$1960,MATCH(1520,'Transfer Engine'!$C$2:$C$1960,0)))</f>
        <v/>
      </c>
      <c r="B1529" s="8">
        <f>IF(ISNA(MATCH(1520,'Transfer Engine'!$C$2:$C$1960,0)),"",INDEX('Compliance Database'!$B$2:$B$1960,MATCH(1520,'Transfer Engine'!$C$2:$C$1960,0)))</f>
        <v/>
      </c>
      <c r="C1529" s="8">
        <f>IF(ISNA(MATCH(1520,'Transfer Engine'!$C$2:$C$1960,0)),"",INDEX('Compliance Database'!$C$2:$C$1960,MATCH(1520,'Transfer Engine'!$C$2:$C$1960,0)))</f>
        <v/>
      </c>
      <c r="D1529" s="9">
        <f>IF(ISNA(MATCH(1520,'Transfer Engine'!$C$2:$C$1960,0)),"",INDEX('Compliance Database'!$D$2:$D$1960,MATCH(1520,'Transfer Engine'!$C$2:$C$1960,0)))</f>
        <v/>
      </c>
      <c r="E1529" s="8">
        <f>IF(ISNA(MATCH(1520,'Transfer Engine'!$C$2:$C$1960,0)),"",INDEX('Compliance Database'!$E$2:$E$1960,MATCH(1520,'Transfer Engine'!$C$2:$C$1960,0)))</f>
        <v/>
      </c>
      <c r="F1529" s="8">
        <f>IF(ISNA(MATCH(1520,'Transfer Engine'!$C$2:$C$1960,0)),"",INDEX('Compliance Database'!$F$2:$F$1960,MATCH(1520,'Transfer Engine'!$C$2:$C$1960,0)))</f>
        <v/>
      </c>
      <c r="G1529" s="8">
        <f>IF(ISNA(MATCH(1520,'Transfer Engine'!$C$2:$C$1960,0)),"",INDEX('Compliance Database'!$G$2:$G$1960,MATCH(1520,'Transfer Engine'!$C$2:$C$1960,0)))</f>
        <v/>
      </c>
      <c r="H1529" s="9">
        <f>IF(ISNA(MATCH(1520,'Transfer Engine'!$C$2:$C$1960,0)),"",INDEX('Compliance Database'!$H$2:$H$1960,MATCH(1520,'Transfer Engine'!$C$2:$C$1960,0)))</f>
        <v/>
      </c>
      <c r="I1529" s="9">
        <f>IF(ISNA(MATCH(1520,'Transfer Engine'!$C$2:$C$1960,0)),"",INDEX('Compliance Database'!$I$2:$I$1960,MATCH(1520,'Transfer Engine'!$C$2:$C$1960,0)))</f>
        <v/>
      </c>
      <c r="J1529" s="8">
        <f>IF(ISNA(MATCH(1520,'Transfer Engine'!$C$2:$C$1960,0)),"",INDEX('Compliance Database'!$J$2:$J$1960,MATCH(1520,'Transfer Engine'!$C$2:$C$1960,0)))</f>
        <v/>
      </c>
      <c r="K1529" s="9">
        <f>IF(ISNA(MATCH(1520,'Transfer Engine'!$C$2:$C$1960,0)),"",INDEX('Compliance Database'!$K$2:$K$1960,MATCH(1520,'Transfer Engine'!$C$2:$C$1960,0)))</f>
        <v/>
      </c>
      <c r="L1529" s="9">
        <f>IF(ISNA(MATCH(1520,'Transfer Engine'!$C$2:$C$1960,0)),"",INDEX('Compliance Database'!$L$2:$L$1960,MATCH(1520,'Transfer Engine'!$C$2:$C$1960,0)))</f>
        <v/>
      </c>
      <c r="M1529" s="9">
        <f>IF(ISNA(MATCH(1520,'Transfer Engine'!$C$2:$C$1960,0)),"",INDEX('Compliance Database'!$M$2:$M$1960,MATCH(1520,'Transfer Engine'!$C$2:$C$1960,0)))</f>
        <v/>
      </c>
      <c r="N1529" s="9">
        <f>IF(ISNA(MATCH(1520,'Transfer Engine'!$C$2:$C$1960,0)),"",INDEX('Compliance Database'!$N$2:$N$1960,MATCH(1520,'Transfer Engine'!$C$2:$C$1960,0)))</f>
        <v/>
      </c>
      <c r="O1529" s="9">
        <f>IF(ISNA(MATCH(1520,'Transfer Engine'!$C$2:$C$1960,0)),"",INDEX('Compliance Database'!$O$2:$O$1960,MATCH(1520,'Transfer Engine'!$C$2:$C$1960,0)))</f>
        <v/>
      </c>
      <c r="P1529" s="8">
        <f>IF(ISNA(MATCH(1520,'Transfer Engine'!$C$2:$C$1960,0)),"",HYPERLINK("#Acts!A"&amp;INDEX('Compliance Database'!$P$2:$P$1960,MATCH(1520,'Transfer Engine'!$C$2:$C$1960,0)),"Go to Act"))</f>
        <v/>
      </c>
    </row>
    <row r="1530" ht="158" customHeight="1">
      <c r="A1530" s="8">
        <f>IF(ISNA(MATCH(1521,'Transfer Engine'!$C$2:$C$1960,0)),"",INDEX('Compliance Database'!$A$2:$A$1960,MATCH(1521,'Transfer Engine'!$C$2:$C$1960,0)))</f>
        <v/>
      </c>
      <c r="B1530" s="8">
        <f>IF(ISNA(MATCH(1521,'Transfer Engine'!$C$2:$C$1960,0)),"",INDEX('Compliance Database'!$B$2:$B$1960,MATCH(1521,'Transfer Engine'!$C$2:$C$1960,0)))</f>
        <v/>
      </c>
      <c r="C1530" s="8">
        <f>IF(ISNA(MATCH(1521,'Transfer Engine'!$C$2:$C$1960,0)),"",INDEX('Compliance Database'!$C$2:$C$1960,MATCH(1521,'Transfer Engine'!$C$2:$C$1960,0)))</f>
        <v/>
      </c>
      <c r="D1530" s="9">
        <f>IF(ISNA(MATCH(1521,'Transfer Engine'!$C$2:$C$1960,0)),"",INDEX('Compliance Database'!$D$2:$D$1960,MATCH(1521,'Transfer Engine'!$C$2:$C$1960,0)))</f>
        <v/>
      </c>
      <c r="E1530" s="8">
        <f>IF(ISNA(MATCH(1521,'Transfer Engine'!$C$2:$C$1960,0)),"",INDEX('Compliance Database'!$E$2:$E$1960,MATCH(1521,'Transfer Engine'!$C$2:$C$1960,0)))</f>
        <v/>
      </c>
      <c r="F1530" s="8">
        <f>IF(ISNA(MATCH(1521,'Transfer Engine'!$C$2:$C$1960,0)),"",INDEX('Compliance Database'!$F$2:$F$1960,MATCH(1521,'Transfer Engine'!$C$2:$C$1960,0)))</f>
        <v/>
      </c>
      <c r="G1530" s="8">
        <f>IF(ISNA(MATCH(1521,'Transfer Engine'!$C$2:$C$1960,0)),"",INDEX('Compliance Database'!$G$2:$G$1960,MATCH(1521,'Transfer Engine'!$C$2:$C$1960,0)))</f>
        <v/>
      </c>
      <c r="H1530" s="9">
        <f>IF(ISNA(MATCH(1521,'Transfer Engine'!$C$2:$C$1960,0)),"",INDEX('Compliance Database'!$H$2:$H$1960,MATCH(1521,'Transfer Engine'!$C$2:$C$1960,0)))</f>
        <v/>
      </c>
      <c r="I1530" s="9">
        <f>IF(ISNA(MATCH(1521,'Transfer Engine'!$C$2:$C$1960,0)),"",INDEX('Compliance Database'!$I$2:$I$1960,MATCH(1521,'Transfer Engine'!$C$2:$C$1960,0)))</f>
        <v/>
      </c>
      <c r="J1530" s="8">
        <f>IF(ISNA(MATCH(1521,'Transfer Engine'!$C$2:$C$1960,0)),"",INDEX('Compliance Database'!$J$2:$J$1960,MATCH(1521,'Transfer Engine'!$C$2:$C$1960,0)))</f>
        <v/>
      </c>
      <c r="K1530" s="9">
        <f>IF(ISNA(MATCH(1521,'Transfer Engine'!$C$2:$C$1960,0)),"",INDEX('Compliance Database'!$K$2:$K$1960,MATCH(1521,'Transfer Engine'!$C$2:$C$1960,0)))</f>
        <v/>
      </c>
      <c r="L1530" s="9">
        <f>IF(ISNA(MATCH(1521,'Transfer Engine'!$C$2:$C$1960,0)),"",INDEX('Compliance Database'!$L$2:$L$1960,MATCH(1521,'Transfer Engine'!$C$2:$C$1960,0)))</f>
        <v/>
      </c>
      <c r="M1530" s="9">
        <f>IF(ISNA(MATCH(1521,'Transfer Engine'!$C$2:$C$1960,0)),"",INDEX('Compliance Database'!$M$2:$M$1960,MATCH(1521,'Transfer Engine'!$C$2:$C$1960,0)))</f>
        <v/>
      </c>
      <c r="N1530" s="9">
        <f>IF(ISNA(MATCH(1521,'Transfer Engine'!$C$2:$C$1960,0)),"",INDEX('Compliance Database'!$N$2:$N$1960,MATCH(1521,'Transfer Engine'!$C$2:$C$1960,0)))</f>
        <v/>
      </c>
      <c r="O1530" s="9">
        <f>IF(ISNA(MATCH(1521,'Transfer Engine'!$C$2:$C$1960,0)),"",INDEX('Compliance Database'!$O$2:$O$1960,MATCH(1521,'Transfer Engine'!$C$2:$C$1960,0)))</f>
        <v/>
      </c>
      <c r="P1530" s="8">
        <f>IF(ISNA(MATCH(1521,'Transfer Engine'!$C$2:$C$1960,0)),"",HYPERLINK("#Acts!A"&amp;INDEX('Compliance Database'!$P$2:$P$1960,MATCH(1521,'Transfer Engine'!$C$2:$C$1960,0)),"Go to Act"))</f>
        <v/>
      </c>
    </row>
    <row r="1531" ht="158" customHeight="1">
      <c r="A1531" s="8">
        <f>IF(ISNA(MATCH(1522,'Transfer Engine'!$C$2:$C$1960,0)),"",INDEX('Compliance Database'!$A$2:$A$1960,MATCH(1522,'Transfer Engine'!$C$2:$C$1960,0)))</f>
        <v/>
      </c>
      <c r="B1531" s="8">
        <f>IF(ISNA(MATCH(1522,'Transfer Engine'!$C$2:$C$1960,0)),"",INDEX('Compliance Database'!$B$2:$B$1960,MATCH(1522,'Transfer Engine'!$C$2:$C$1960,0)))</f>
        <v/>
      </c>
      <c r="C1531" s="8">
        <f>IF(ISNA(MATCH(1522,'Transfer Engine'!$C$2:$C$1960,0)),"",INDEX('Compliance Database'!$C$2:$C$1960,MATCH(1522,'Transfer Engine'!$C$2:$C$1960,0)))</f>
        <v/>
      </c>
      <c r="D1531" s="9">
        <f>IF(ISNA(MATCH(1522,'Transfer Engine'!$C$2:$C$1960,0)),"",INDEX('Compliance Database'!$D$2:$D$1960,MATCH(1522,'Transfer Engine'!$C$2:$C$1960,0)))</f>
        <v/>
      </c>
      <c r="E1531" s="8">
        <f>IF(ISNA(MATCH(1522,'Transfer Engine'!$C$2:$C$1960,0)),"",INDEX('Compliance Database'!$E$2:$E$1960,MATCH(1522,'Transfer Engine'!$C$2:$C$1960,0)))</f>
        <v/>
      </c>
      <c r="F1531" s="8">
        <f>IF(ISNA(MATCH(1522,'Transfer Engine'!$C$2:$C$1960,0)),"",INDEX('Compliance Database'!$F$2:$F$1960,MATCH(1522,'Transfer Engine'!$C$2:$C$1960,0)))</f>
        <v/>
      </c>
      <c r="G1531" s="8">
        <f>IF(ISNA(MATCH(1522,'Transfer Engine'!$C$2:$C$1960,0)),"",INDEX('Compliance Database'!$G$2:$G$1960,MATCH(1522,'Transfer Engine'!$C$2:$C$1960,0)))</f>
        <v/>
      </c>
      <c r="H1531" s="9">
        <f>IF(ISNA(MATCH(1522,'Transfer Engine'!$C$2:$C$1960,0)),"",INDEX('Compliance Database'!$H$2:$H$1960,MATCH(1522,'Transfer Engine'!$C$2:$C$1960,0)))</f>
        <v/>
      </c>
      <c r="I1531" s="9">
        <f>IF(ISNA(MATCH(1522,'Transfer Engine'!$C$2:$C$1960,0)),"",INDEX('Compliance Database'!$I$2:$I$1960,MATCH(1522,'Transfer Engine'!$C$2:$C$1960,0)))</f>
        <v/>
      </c>
      <c r="J1531" s="8">
        <f>IF(ISNA(MATCH(1522,'Transfer Engine'!$C$2:$C$1960,0)),"",INDEX('Compliance Database'!$J$2:$J$1960,MATCH(1522,'Transfer Engine'!$C$2:$C$1960,0)))</f>
        <v/>
      </c>
      <c r="K1531" s="9">
        <f>IF(ISNA(MATCH(1522,'Transfer Engine'!$C$2:$C$1960,0)),"",INDEX('Compliance Database'!$K$2:$K$1960,MATCH(1522,'Transfer Engine'!$C$2:$C$1960,0)))</f>
        <v/>
      </c>
      <c r="L1531" s="9">
        <f>IF(ISNA(MATCH(1522,'Transfer Engine'!$C$2:$C$1960,0)),"",INDEX('Compliance Database'!$L$2:$L$1960,MATCH(1522,'Transfer Engine'!$C$2:$C$1960,0)))</f>
        <v/>
      </c>
      <c r="M1531" s="9">
        <f>IF(ISNA(MATCH(1522,'Transfer Engine'!$C$2:$C$1960,0)),"",INDEX('Compliance Database'!$M$2:$M$1960,MATCH(1522,'Transfer Engine'!$C$2:$C$1960,0)))</f>
        <v/>
      </c>
      <c r="N1531" s="9">
        <f>IF(ISNA(MATCH(1522,'Transfer Engine'!$C$2:$C$1960,0)),"",INDEX('Compliance Database'!$N$2:$N$1960,MATCH(1522,'Transfer Engine'!$C$2:$C$1960,0)))</f>
        <v/>
      </c>
      <c r="O1531" s="9">
        <f>IF(ISNA(MATCH(1522,'Transfer Engine'!$C$2:$C$1960,0)),"",INDEX('Compliance Database'!$O$2:$O$1960,MATCH(1522,'Transfer Engine'!$C$2:$C$1960,0)))</f>
        <v/>
      </c>
      <c r="P1531" s="8">
        <f>IF(ISNA(MATCH(1522,'Transfer Engine'!$C$2:$C$1960,0)),"",HYPERLINK("#Acts!A"&amp;INDEX('Compliance Database'!$P$2:$P$1960,MATCH(1522,'Transfer Engine'!$C$2:$C$1960,0)),"Go to Act"))</f>
        <v/>
      </c>
    </row>
    <row r="1532" ht="158" customHeight="1">
      <c r="A1532" s="8">
        <f>IF(ISNA(MATCH(1523,'Transfer Engine'!$C$2:$C$1960,0)),"",INDEX('Compliance Database'!$A$2:$A$1960,MATCH(1523,'Transfer Engine'!$C$2:$C$1960,0)))</f>
        <v/>
      </c>
      <c r="B1532" s="8">
        <f>IF(ISNA(MATCH(1523,'Transfer Engine'!$C$2:$C$1960,0)),"",INDEX('Compliance Database'!$B$2:$B$1960,MATCH(1523,'Transfer Engine'!$C$2:$C$1960,0)))</f>
        <v/>
      </c>
      <c r="C1532" s="8">
        <f>IF(ISNA(MATCH(1523,'Transfer Engine'!$C$2:$C$1960,0)),"",INDEX('Compliance Database'!$C$2:$C$1960,MATCH(1523,'Transfer Engine'!$C$2:$C$1960,0)))</f>
        <v/>
      </c>
      <c r="D1532" s="9">
        <f>IF(ISNA(MATCH(1523,'Transfer Engine'!$C$2:$C$1960,0)),"",INDEX('Compliance Database'!$D$2:$D$1960,MATCH(1523,'Transfer Engine'!$C$2:$C$1960,0)))</f>
        <v/>
      </c>
      <c r="E1532" s="8">
        <f>IF(ISNA(MATCH(1523,'Transfer Engine'!$C$2:$C$1960,0)),"",INDEX('Compliance Database'!$E$2:$E$1960,MATCH(1523,'Transfer Engine'!$C$2:$C$1960,0)))</f>
        <v/>
      </c>
      <c r="F1532" s="8">
        <f>IF(ISNA(MATCH(1523,'Transfer Engine'!$C$2:$C$1960,0)),"",INDEX('Compliance Database'!$F$2:$F$1960,MATCH(1523,'Transfer Engine'!$C$2:$C$1960,0)))</f>
        <v/>
      </c>
      <c r="G1532" s="8">
        <f>IF(ISNA(MATCH(1523,'Transfer Engine'!$C$2:$C$1960,0)),"",INDEX('Compliance Database'!$G$2:$G$1960,MATCH(1523,'Transfer Engine'!$C$2:$C$1960,0)))</f>
        <v/>
      </c>
      <c r="H1532" s="9">
        <f>IF(ISNA(MATCH(1523,'Transfer Engine'!$C$2:$C$1960,0)),"",INDEX('Compliance Database'!$H$2:$H$1960,MATCH(1523,'Transfer Engine'!$C$2:$C$1960,0)))</f>
        <v/>
      </c>
      <c r="I1532" s="9">
        <f>IF(ISNA(MATCH(1523,'Transfer Engine'!$C$2:$C$1960,0)),"",INDEX('Compliance Database'!$I$2:$I$1960,MATCH(1523,'Transfer Engine'!$C$2:$C$1960,0)))</f>
        <v/>
      </c>
      <c r="J1532" s="8">
        <f>IF(ISNA(MATCH(1523,'Transfer Engine'!$C$2:$C$1960,0)),"",INDEX('Compliance Database'!$J$2:$J$1960,MATCH(1523,'Transfer Engine'!$C$2:$C$1960,0)))</f>
        <v/>
      </c>
      <c r="K1532" s="9">
        <f>IF(ISNA(MATCH(1523,'Transfer Engine'!$C$2:$C$1960,0)),"",INDEX('Compliance Database'!$K$2:$K$1960,MATCH(1523,'Transfer Engine'!$C$2:$C$1960,0)))</f>
        <v/>
      </c>
      <c r="L1532" s="9">
        <f>IF(ISNA(MATCH(1523,'Transfer Engine'!$C$2:$C$1960,0)),"",INDEX('Compliance Database'!$L$2:$L$1960,MATCH(1523,'Transfer Engine'!$C$2:$C$1960,0)))</f>
        <v/>
      </c>
      <c r="M1532" s="9">
        <f>IF(ISNA(MATCH(1523,'Transfer Engine'!$C$2:$C$1960,0)),"",INDEX('Compliance Database'!$M$2:$M$1960,MATCH(1523,'Transfer Engine'!$C$2:$C$1960,0)))</f>
        <v/>
      </c>
      <c r="N1532" s="9">
        <f>IF(ISNA(MATCH(1523,'Transfer Engine'!$C$2:$C$1960,0)),"",INDEX('Compliance Database'!$N$2:$N$1960,MATCH(1523,'Transfer Engine'!$C$2:$C$1960,0)))</f>
        <v/>
      </c>
      <c r="O1532" s="9">
        <f>IF(ISNA(MATCH(1523,'Transfer Engine'!$C$2:$C$1960,0)),"",INDEX('Compliance Database'!$O$2:$O$1960,MATCH(1523,'Transfer Engine'!$C$2:$C$1960,0)))</f>
        <v/>
      </c>
      <c r="P1532" s="8">
        <f>IF(ISNA(MATCH(1523,'Transfer Engine'!$C$2:$C$1960,0)),"",HYPERLINK("#Acts!A"&amp;INDEX('Compliance Database'!$P$2:$P$1960,MATCH(1523,'Transfer Engine'!$C$2:$C$1960,0)),"Go to Act"))</f>
        <v/>
      </c>
    </row>
    <row r="1533" ht="158" customHeight="1">
      <c r="A1533" s="8">
        <f>IF(ISNA(MATCH(1524,'Transfer Engine'!$C$2:$C$1960,0)),"",INDEX('Compliance Database'!$A$2:$A$1960,MATCH(1524,'Transfer Engine'!$C$2:$C$1960,0)))</f>
        <v/>
      </c>
      <c r="B1533" s="8">
        <f>IF(ISNA(MATCH(1524,'Transfer Engine'!$C$2:$C$1960,0)),"",INDEX('Compliance Database'!$B$2:$B$1960,MATCH(1524,'Transfer Engine'!$C$2:$C$1960,0)))</f>
        <v/>
      </c>
      <c r="C1533" s="8">
        <f>IF(ISNA(MATCH(1524,'Transfer Engine'!$C$2:$C$1960,0)),"",INDEX('Compliance Database'!$C$2:$C$1960,MATCH(1524,'Transfer Engine'!$C$2:$C$1960,0)))</f>
        <v/>
      </c>
      <c r="D1533" s="9">
        <f>IF(ISNA(MATCH(1524,'Transfer Engine'!$C$2:$C$1960,0)),"",INDEX('Compliance Database'!$D$2:$D$1960,MATCH(1524,'Transfer Engine'!$C$2:$C$1960,0)))</f>
        <v/>
      </c>
      <c r="E1533" s="8">
        <f>IF(ISNA(MATCH(1524,'Transfer Engine'!$C$2:$C$1960,0)),"",INDEX('Compliance Database'!$E$2:$E$1960,MATCH(1524,'Transfer Engine'!$C$2:$C$1960,0)))</f>
        <v/>
      </c>
      <c r="F1533" s="8">
        <f>IF(ISNA(MATCH(1524,'Transfer Engine'!$C$2:$C$1960,0)),"",INDEX('Compliance Database'!$F$2:$F$1960,MATCH(1524,'Transfer Engine'!$C$2:$C$1960,0)))</f>
        <v/>
      </c>
      <c r="G1533" s="8">
        <f>IF(ISNA(MATCH(1524,'Transfer Engine'!$C$2:$C$1960,0)),"",INDEX('Compliance Database'!$G$2:$G$1960,MATCH(1524,'Transfer Engine'!$C$2:$C$1960,0)))</f>
        <v/>
      </c>
      <c r="H1533" s="9">
        <f>IF(ISNA(MATCH(1524,'Transfer Engine'!$C$2:$C$1960,0)),"",INDEX('Compliance Database'!$H$2:$H$1960,MATCH(1524,'Transfer Engine'!$C$2:$C$1960,0)))</f>
        <v/>
      </c>
      <c r="I1533" s="9">
        <f>IF(ISNA(MATCH(1524,'Transfer Engine'!$C$2:$C$1960,0)),"",INDEX('Compliance Database'!$I$2:$I$1960,MATCH(1524,'Transfer Engine'!$C$2:$C$1960,0)))</f>
        <v/>
      </c>
      <c r="J1533" s="8">
        <f>IF(ISNA(MATCH(1524,'Transfer Engine'!$C$2:$C$1960,0)),"",INDEX('Compliance Database'!$J$2:$J$1960,MATCH(1524,'Transfer Engine'!$C$2:$C$1960,0)))</f>
        <v/>
      </c>
      <c r="K1533" s="9">
        <f>IF(ISNA(MATCH(1524,'Transfer Engine'!$C$2:$C$1960,0)),"",INDEX('Compliance Database'!$K$2:$K$1960,MATCH(1524,'Transfer Engine'!$C$2:$C$1960,0)))</f>
        <v/>
      </c>
      <c r="L1533" s="9">
        <f>IF(ISNA(MATCH(1524,'Transfer Engine'!$C$2:$C$1960,0)),"",INDEX('Compliance Database'!$L$2:$L$1960,MATCH(1524,'Transfer Engine'!$C$2:$C$1960,0)))</f>
        <v/>
      </c>
      <c r="M1533" s="9">
        <f>IF(ISNA(MATCH(1524,'Transfer Engine'!$C$2:$C$1960,0)),"",INDEX('Compliance Database'!$M$2:$M$1960,MATCH(1524,'Transfer Engine'!$C$2:$C$1960,0)))</f>
        <v/>
      </c>
      <c r="N1533" s="9">
        <f>IF(ISNA(MATCH(1524,'Transfer Engine'!$C$2:$C$1960,0)),"",INDEX('Compliance Database'!$N$2:$N$1960,MATCH(1524,'Transfer Engine'!$C$2:$C$1960,0)))</f>
        <v/>
      </c>
      <c r="O1533" s="9">
        <f>IF(ISNA(MATCH(1524,'Transfer Engine'!$C$2:$C$1960,0)),"",INDEX('Compliance Database'!$O$2:$O$1960,MATCH(1524,'Transfer Engine'!$C$2:$C$1960,0)))</f>
        <v/>
      </c>
      <c r="P1533" s="8">
        <f>IF(ISNA(MATCH(1524,'Transfer Engine'!$C$2:$C$1960,0)),"",HYPERLINK("#Acts!A"&amp;INDEX('Compliance Database'!$P$2:$P$1960,MATCH(1524,'Transfer Engine'!$C$2:$C$1960,0)),"Go to Act"))</f>
        <v/>
      </c>
    </row>
    <row r="1534" ht="158" customHeight="1">
      <c r="A1534" s="8">
        <f>IF(ISNA(MATCH(1525,'Transfer Engine'!$C$2:$C$1960,0)),"",INDEX('Compliance Database'!$A$2:$A$1960,MATCH(1525,'Transfer Engine'!$C$2:$C$1960,0)))</f>
        <v/>
      </c>
      <c r="B1534" s="8">
        <f>IF(ISNA(MATCH(1525,'Transfer Engine'!$C$2:$C$1960,0)),"",INDEX('Compliance Database'!$B$2:$B$1960,MATCH(1525,'Transfer Engine'!$C$2:$C$1960,0)))</f>
        <v/>
      </c>
      <c r="C1534" s="8">
        <f>IF(ISNA(MATCH(1525,'Transfer Engine'!$C$2:$C$1960,0)),"",INDEX('Compliance Database'!$C$2:$C$1960,MATCH(1525,'Transfer Engine'!$C$2:$C$1960,0)))</f>
        <v/>
      </c>
      <c r="D1534" s="9">
        <f>IF(ISNA(MATCH(1525,'Transfer Engine'!$C$2:$C$1960,0)),"",INDEX('Compliance Database'!$D$2:$D$1960,MATCH(1525,'Transfer Engine'!$C$2:$C$1960,0)))</f>
        <v/>
      </c>
      <c r="E1534" s="8">
        <f>IF(ISNA(MATCH(1525,'Transfer Engine'!$C$2:$C$1960,0)),"",INDEX('Compliance Database'!$E$2:$E$1960,MATCH(1525,'Transfer Engine'!$C$2:$C$1960,0)))</f>
        <v/>
      </c>
      <c r="F1534" s="8">
        <f>IF(ISNA(MATCH(1525,'Transfer Engine'!$C$2:$C$1960,0)),"",INDEX('Compliance Database'!$F$2:$F$1960,MATCH(1525,'Transfer Engine'!$C$2:$C$1960,0)))</f>
        <v/>
      </c>
      <c r="G1534" s="8">
        <f>IF(ISNA(MATCH(1525,'Transfer Engine'!$C$2:$C$1960,0)),"",INDEX('Compliance Database'!$G$2:$G$1960,MATCH(1525,'Transfer Engine'!$C$2:$C$1960,0)))</f>
        <v/>
      </c>
      <c r="H1534" s="9">
        <f>IF(ISNA(MATCH(1525,'Transfer Engine'!$C$2:$C$1960,0)),"",INDEX('Compliance Database'!$H$2:$H$1960,MATCH(1525,'Transfer Engine'!$C$2:$C$1960,0)))</f>
        <v/>
      </c>
      <c r="I1534" s="9">
        <f>IF(ISNA(MATCH(1525,'Transfer Engine'!$C$2:$C$1960,0)),"",INDEX('Compliance Database'!$I$2:$I$1960,MATCH(1525,'Transfer Engine'!$C$2:$C$1960,0)))</f>
        <v/>
      </c>
      <c r="J1534" s="8">
        <f>IF(ISNA(MATCH(1525,'Transfer Engine'!$C$2:$C$1960,0)),"",INDEX('Compliance Database'!$J$2:$J$1960,MATCH(1525,'Transfer Engine'!$C$2:$C$1960,0)))</f>
        <v/>
      </c>
      <c r="K1534" s="9">
        <f>IF(ISNA(MATCH(1525,'Transfer Engine'!$C$2:$C$1960,0)),"",INDEX('Compliance Database'!$K$2:$K$1960,MATCH(1525,'Transfer Engine'!$C$2:$C$1960,0)))</f>
        <v/>
      </c>
      <c r="L1534" s="9">
        <f>IF(ISNA(MATCH(1525,'Transfer Engine'!$C$2:$C$1960,0)),"",INDEX('Compliance Database'!$L$2:$L$1960,MATCH(1525,'Transfer Engine'!$C$2:$C$1960,0)))</f>
        <v/>
      </c>
      <c r="M1534" s="9">
        <f>IF(ISNA(MATCH(1525,'Transfer Engine'!$C$2:$C$1960,0)),"",INDEX('Compliance Database'!$M$2:$M$1960,MATCH(1525,'Transfer Engine'!$C$2:$C$1960,0)))</f>
        <v/>
      </c>
      <c r="N1534" s="9">
        <f>IF(ISNA(MATCH(1525,'Transfer Engine'!$C$2:$C$1960,0)),"",INDEX('Compliance Database'!$N$2:$N$1960,MATCH(1525,'Transfer Engine'!$C$2:$C$1960,0)))</f>
        <v/>
      </c>
      <c r="O1534" s="9">
        <f>IF(ISNA(MATCH(1525,'Transfer Engine'!$C$2:$C$1960,0)),"",INDEX('Compliance Database'!$O$2:$O$1960,MATCH(1525,'Transfer Engine'!$C$2:$C$1960,0)))</f>
        <v/>
      </c>
      <c r="P1534" s="8">
        <f>IF(ISNA(MATCH(1525,'Transfer Engine'!$C$2:$C$1960,0)),"",HYPERLINK("#Acts!A"&amp;INDEX('Compliance Database'!$P$2:$P$1960,MATCH(1525,'Transfer Engine'!$C$2:$C$1960,0)),"Go to Act"))</f>
        <v/>
      </c>
    </row>
    <row r="1535" ht="158" customHeight="1">
      <c r="A1535" s="8">
        <f>IF(ISNA(MATCH(1526,'Transfer Engine'!$C$2:$C$1960,0)),"",INDEX('Compliance Database'!$A$2:$A$1960,MATCH(1526,'Transfer Engine'!$C$2:$C$1960,0)))</f>
        <v/>
      </c>
      <c r="B1535" s="8">
        <f>IF(ISNA(MATCH(1526,'Transfer Engine'!$C$2:$C$1960,0)),"",INDEX('Compliance Database'!$B$2:$B$1960,MATCH(1526,'Transfer Engine'!$C$2:$C$1960,0)))</f>
        <v/>
      </c>
      <c r="C1535" s="8">
        <f>IF(ISNA(MATCH(1526,'Transfer Engine'!$C$2:$C$1960,0)),"",INDEX('Compliance Database'!$C$2:$C$1960,MATCH(1526,'Transfer Engine'!$C$2:$C$1960,0)))</f>
        <v/>
      </c>
      <c r="D1535" s="9">
        <f>IF(ISNA(MATCH(1526,'Transfer Engine'!$C$2:$C$1960,0)),"",INDEX('Compliance Database'!$D$2:$D$1960,MATCH(1526,'Transfer Engine'!$C$2:$C$1960,0)))</f>
        <v/>
      </c>
      <c r="E1535" s="8">
        <f>IF(ISNA(MATCH(1526,'Transfer Engine'!$C$2:$C$1960,0)),"",INDEX('Compliance Database'!$E$2:$E$1960,MATCH(1526,'Transfer Engine'!$C$2:$C$1960,0)))</f>
        <v/>
      </c>
      <c r="F1535" s="8">
        <f>IF(ISNA(MATCH(1526,'Transfer Engine'!$C$2:$C$1960,0)),"",INDEX('Compliance Database'!$F$2:$F$1960,MATCH(1526,'Transfer Engine'!$C$2:$C$1960,0)))</f>
        <v/>
      </c>
      <c r="G1535" s="8">
        <f>IF(ISNA(MATCH(1526,'Transfer Engine'!$C$2:$C$1960,0)),"",INDEX('Compliance Database'!$G$2:$G$1960,MATCH(1526,'Transfer Engine'!$C$2:$C$1960,0)))</f>
        <v/>
      </c>
      <c r="H1535" s="9">
        <f>IF(ISNA(MATCH(1526,'Transfer Engine'!$C$2:$C$1960,0)),"",INDEX('Compliance Database'!$H$2:$H$1960,MATCH(1526,'Transfer Engine'!$C$2:$C$1960,0)))</f>
        <v/>
      </c>
      <c r="I1535" s="9">
        <f>IF(ISNA(MATCH(1526,'Transfer Engine'!$C$2:$C$1960,0)),"",INDEX('Compliance Database'!$I$2:$I$1960,MATCH(1526,'Transfer Engine'!$C$2:$C$1960,0)))</f>
        <v/>
      </c>
      <c r="J1535" s="8">
        <f>IF(ISNA(MATCH(1526,'Transfer Engine'!$C$2:$C$1960,0)),"",INDEX('Compliance Database'!$J$2:$J$1960,MATCH(1526,'Transfer Engine'!$C$2:$C$1960,0)))</f>
        <v/>
      </c>
      <c r="K1535" s="9">
        <f>IF(ISNA(MATCH(1526,'Transfer Engine'!$C$2:$C$1960,0)),"",INDEX('Compliance Database'!$K$2:$K$1960,MATCH(1526,'Transfer Engine'!$C$2:$C$1960,0)))</f>
        <v/>
      </c>
      <c r="L1535" s="9">
        <f>IF(ISNA(MATCH(1526,'Transfer Engine'!$C$2:$C$1960,0)),"",INDEX('Compliance Database'!$L$2:$L$1960,MATCH(1526,'Transfer Engine'!$C$2:$C$1960,0)))</f>
        <v/>
      </c>
      <c r="M1535" s="9">
        <f>IF(ISNA(MATCH(1526,'Transfer Engine'!$C$2:$C$1960,0)),"",INDEX('Compliance Database'!$M$2:$M$1960,MATCH(1526,'Transfer Engine'!$C$2:$C$1960,0)))</f>
        <v/>
      </c>
      <c r="N1535" s="9">
        <f>IF(ISNA(MATCH(1526,'Transfer Engine'!$C$2:$C$1960,0)),"",INDEX('Compliance Database'!$N$2:$N$1960,MATCH(1526,'Transfer Engine'!$C$2:$C$1960,0)))</f>
        <v/>
      </c>
      <c r="O1535" s="9">
        <f>IF(ISNA(MATCH(1526,'Transfer Engine'!$C$2:$C$1960,0)),"",INDEX('Compliance Database'!$O$2:$O$1960,MATCH(1526,'Transfer Engine'!$C$2:$C$1960,0)))</f>
        <v/>
      </c>
      <c r="P1535" s="8">
        <f>IF(ISNA(MATCH(1526,'Transfer Engine'!$C$2:$C$1960,0)),"",HYPERLINK("#Acts!A"&amp;INDEX('Compliance Database'!$P$2:$P$1960,MATCH(1526,'Transfer Engine'!$C$2:$C$1960,0)),"Go to Act"))</f>
        <v/>
      </c>
    </row>
    <row r="1536" ht="158" customHeight="1">
      <c r="A1536" s="8">
        <f>IF(ISNA(MATCH(1527,'Transfer Engine'!$C$2:$C$1960,0)),"",INDEX('Compliance Database'!$A$2:$A$1960,MATCH(1527,'Transfer Engine'!$C$2:$C$1960,0)))</f>
        <v/>
      </c>
      <c r="B1536" s="8">
        <f>IF(ISNA(MATCH(1527,'Transfer Engine'!$C$2:$C$1960,0)),"",INDEX('Compliance Database'!$B$2:$B$1960,MATCH(1527,'Transfer Engine'!$C$2:$C$1960,0)))</f>
        <v/>
      </c>
      <c r="C1536" s="8">
        <f>IF(ISNA(MATCH(1527,'Transfer Engine'!$C$2:$C$1960,0)),"",INDEX('Compliance Database'!$C$2:$C$1960,MATCH(1527,'Transfer Engine'!$C$2:$C$1960,0)))</f>
        <v/>
      </c>
      <c r="D1536" s="9">
        <f>IF(ISNA(MATCH(1527,'Transfer Engine'!$C$2:$C$1960,0)),"",INDEX('Compliance Database'!$D$2:$D$1960,MATCH(1527,'Transfer Engine'!$C$2:$C$1960,0)))</f>
        <v/>
      </c>
      <c r="E1536" s="8">
        <f>IF(ISNA(MATCH(1527,'Transfer Engine'!$C$2:$C$1960,0)),"",INDEX('Compliance Database'!$E$2:$E$1960,MATCH(1527,'Transfer Engine'!$C$2:$C$1960,0)))</f>
        <v/>
      </c>
      <c r="F1536" s="8">
        <f>IF(ISNA(MATCH(1527,'Transfer Engine'!$C$2:$C$1960,0)),"",INDEX('Compliance Database'!$F$2:$F$1960,MATCH(1527,'Transfer Engine'!$C$2:$C$1960,0)))</f>
        <v/>
      </c>
      <c r="G1536" s="8">
        <f>IF(ISNA(MATCH(1527,'Transfer Engine'!$C$2:$C$1960,0)),"",INDEX('Compliance Database'!$G$2:$G$1960,MATCH(1527,'Transfer Engine'!$C$2:$C$1960,0)))</f>
        <v/>
      </c>
      <c r="H1536" s="9">
        <f>IF(ISNA(MATCH(1527,'Transfer Engine'!$C$2:$C$1960,0)),"",INDEX('Compliance Database'!$H$2:$H$1960,MATCH(1527,'Transfer Engine'!$C$2:$C$1960,0)))</f>
        <v/>
      </c>
      <c r="I1536" s="9">
        <f>IF(ISNA(MATCH(1527,'Transfer Engine'!$C$2:$C$1960,0)),"",INDEX('Compliance Database'!$I$2:$I$1960,MATCH(1527,'Transfer Engine'!$C$2:$C$1960,0)))</f>
        <v/>
      </c>
      <c r="J1536" s="8">
        <f>IF(ISNA(MATCH(1527,'Transfer Engine'!$C$2:$C$1960,0)),"",INDEX('Compliance Database'!$J$2:$J$1960,MATCH(1527,'Transfer Engine'!$C$2:$C$1960,0)))</f>
        <v/>
      </c>
      <c r="K1536" s="9">
        <f>IF(ISNA(MATCH(1527,'Transfer Engine'!$C$2:$C$1960,0)),"",INDEX('Compliance Database'!$K$2:$K$1960,MATCH(1527,'Transfer Engine'!$C$2:$C$1960,0)))</f>
        <v/>
      </c>
      <c r="L1536" s="9">
        <f>IF(ISNA(MATCH(1527,'Transfer Engine'!$C$2:$C$1960,0)),"",INDEX('Compliance Database'!$L$2:$L$1960,MATCH(1527,'Transfer Engine'!$C$2:$C$1960,0)))</f>
        <v/>
      </c>
      <c r="M1536" s="9">
        <f>IF(ISNA(MATCH(1527,'Transfer Engine'!$C$2:$C$1960,0)),"",INDEX('Compliance Database'!$M$2:$M$1960,MATCH(1527,'Transfer Engine'!$C$2:$C$1960,0)))</f>
        <v/>
      </c>
      <c r="N1536" s="9">
        <f>IF(ISNA(MATCH(1527,'Transfer Engine'!$C$2:$C$1960,0)),"",INDEX('Compliance Database'!$N$2:$N$1960,MATCH(1527,'Transfer Engine'!$C$2:$C$1960,0)))</f>
        <v/>
      </c>
      <c r="O1536" s="9">
        <f>IF(ISNA(MATCH(1527,'Transfer Engine'!$C$2:$C$1960,0)),"",INDEX('Compliance Database'!$O$2:$O$1960,MATCH(1527,'Transfer Engine'!$C$2:$C$1960,0)))</f>
        <v/>
      </c>
      <c r="P1536" s="8">
        <f>IF(ISNA(MATCH(1527,'Transfer Engine'!$C$2:$C$1960,0)),"",HYPERLINK("#Acts!A"&amp;INDEX('Compliance Database'!$P$2:$P$1960,MATCH(1527,'Transfer Engine'!$C$2:$C$1960,0)),"Go to Act"))</f>
        <v/>
      </c>
    </row>
    <row r="1537" ht="158" customHeight="1">
      <c r="A1537" s="8">
        <f>IF(ISNA(MATCH(1528,'Transfer Engine'!$C$2:$C$1960,0)),"",INDEX('Compliance Database'!$A$2:$A$1960,MATCH(1528,'Transfer Engine'!$C$2:$C$1960,0)))</f>
        <v/>
      </c>
      <c r="B1537" s="8">
        <f>IF(ISNA(MATCH(1528,'Transfer Engine'!$C$2:$C$1960,0)),"",INDEX('Compliance Database'!$B$2:$B$1960,MATCH(1528,'Transfer Engine'!$C$2:$C$1960,0)))</f>
        <v/>
      </c>
      <c r="C1537" s="8">
        <f>IF(ISNA(MATCH(1528,'Transfer Engine'!$C$2:$C$1960,0)),"",INDEX('Compliance Database'!$C$2:$C$1960,MATCH(1528,'Transfer Engine'!$C$2:$C$1960,0)))</f>
        <v/>
      </c>
      <c r="D1537" s="9">
        <f>IF(ISNA(MATCH(1528,'Transfer Engine'!$C$2:$C$1960,0)),"",INDEX('Compliance Database'!$D$2:$D$1960,MATCH(1528,'Transfer Engine'!$C$2:$C$1960,0)))</f>
        <v/>
      </c>
      <c r="E1537" s="8">
        <f>IF(ISNA(MATCH(1528,'Transfer Engine'!$C$2:$C$1960,0)),"",INDEX('Compliance Database'!$E$2:$E$1960,MATCH(1528,'Transfer Engine'!$C$2:$C$1960,0)))</f>
        <v/>
      </c>
      <c r="F1537" s="8">
        <f>IF(ISNA(MATCH(1528,'Transfer Engine'!$C$2:$C$1960,0)),"",INDEX('Compliance Database'!$F$2:$F$1960,MATCH(1528,'Transfer Engine'!$C$2:$C$1960,0)))</f>
        <v/>
      </c>
      <c r="G1537" s="8">
        <f>IF(ISNA(MATCH(1528,'Transfer Engine'!$C$2:$C$1960,0)),"",INDEX('Compliance Database'!$G$2:$G$1960,MATCH(1528,'Transfer Engine'!$C$2:$C$1960,0)))</f>
        <v/>
      </c>
      <c r="H1537" s="9">
        <f>IF(ISNA(MATCH(1528,'Transfer Engine'!$C$2:$C$1960,0)),"",INDEX('Compliance Database'!$H$2:$H$1960,MATCH(1528,'Transfer Engine'!$C$2:$C$1960,0)))</f>
        <v/>
      </c>
      <c r="I1537" s="9">
        <f>IF(ISNA(MATCH(1528,'Transfer Engine'!$C$2:$C$1960,0)),"",INDEX('Compliance Database'!$I$2:$I$1960,MATCH(1528,'Transfer Engine'!$C$2:$C$1960,0)))</f>
        <v/>
      </c>
      <c r="J1537" s="8">
        <f>IF(ISNA(MATCH(1528,'Transfer Engine'!$C$2:$C$1960,0)),"",INDEX('Compliance Database'!$J$2:$J$1960,MATCH(1528,'Transfer Engine'!$C$2:$C$1960,0)))</f>
        <v/>
      </c>
      <c r="K1537" s="9">
        <f>IF(ISNA(MATCH(1528,'Transfer Engine'!$C$2:$C$1960,0)),"",INDEX('Compliance Database'!$K$2:$K$1960,MATCH(1528,'Transfer Engine'!$C$2:$C$1960,0)))</f>
        <v/>
      </c>
      <c r="L1537" s="9">
        <f>IF(ISNA(MATCH(1528,'Transfer Engine'!$C$2:$C$1960,0)),"",INDEX('Compliance Database'!$L$2:$L$1960,MATCH(1528,'Transfer Engine'!$C$2:$C$1960,0)))</f>
        <v/>
      </c>
      <c r="M1537" s="9">
        <f>IF(ISNA(MATCH(1528,'Transfer Engine'!$C$2:$C$1960,0)),"",INDEX('Compliance Database'!$M$2:$M$1960,MATCH(1528,'Transfer Engine'!$C$2:$C$1960,0)))</f>
        <v/>
      </c>
      <c r="N1537" s="9">
        <f>IF(ISNA(MATCH(1528,'Transfer Engine'!$C$2:$C$1960,0)),"",INDEX('Compliance Database'!$N$2:$N$1960,MATCH(1528,'Transfer Engine'!$C$2:$C$1960,0)))</f>
        <v/>
      </c>
      <c r="O1537" s="9">
        <f>IF(ISNA(MATCH(1528,'Transfer Engine'!$C$2:$C$1960,0)),"",INDEX('Compliance Database'!$O$2:$O$1960,MATCH(1528,'Transfer Engine'!$C$2:$C$1960,0)))</f>
        <v/>
      </c>
      <c r="P1537" s="8">
        <f>IF(ISNA(MATCH(1528,'Transfer Engine'!$C$2:$C$1960,0)),"",HYPERLINK("#Acts!A"&amp;INDEX('Compliance Database'!$P$2:$P$1960,MATCH(1528,'Transfer Engine'!$C$2:$C$1960,0)),"Go to Act"))</f>
        <v/>
      </c>
    </row>
    <row r="1538" ht="158" customHeight="1">
      <c r="A1538" s="8">
        <f>IF(ISNA(MATCH(1529,'Transfer Engine'!$C$2:$C$1960,0)),"",INDEX('Compliance Database'!$A$2:$A$1960,MATCH(1529,'Transfer Engine'!$C$2:$C$1960,0)))</f>
        <v/>
      </c>
      <c r="B1538" s="8">
        <f>IF(ISNA(MATCH(1529,'Transfer Engine'!$C$2:$C$1960,0)),"",INDEX('Compliance Database'!$B$2:$B$1960,MATCH(1529,'Transfer Engine'!$C$2:$C$1960,0)))</f>
        <v/>
      </c>
      <c r="C1538" s="8">
        <f>IF(ISNA(MATCH(1529,'Transfer Engine'!$C$2:$C$1960,0)),"",INDEX('Compliance Database'!$C$2:$C$1960,MATCH(1529,'Transfer Engine'!$C$2:$C$1960,0)))</f>
        <v/>
      </c>
      <c r="D1538" s="9">
        <f>IF(ISNA(MATCH(1529,'Transfer Engine'!$C$2:$C$1960,0)),"",INDEX('Compliance Database'!$D$2:$D$1960,MATCH(1529,'Transfer Engine'!$C$2:$C$1960,0)))</f>
        <v/>
      </c>
      <c r="E1538" s="8">
        <f>IF(ISNA(MATCH(1529,'Transfer Engine'!$C$2:$C$1960,0)),"",INDEX('Compliance Database'!$E$2:$E$1960,MATCH(1529,'Transfer Engine'!$C$2:$C$1960,0)))</f>
        <v/>
      </c>
      <c r="F1538" s="8">
        <f>IF(ISNA(MATCH(1529,'Transfer Engine'!$C$2:$C$1960,0)),"",INDEX('Compliance Database'!$F$2:$F$1960,MATCH(1529,'Transfer Engine'!$C$2:$C$1960,0)))</f>
        <v/>
      </c>
      <c r="G1538" s="8">
        <f>IF(ISNA(MATCH(1529,'Transfer Engine'!$C$2:$C$1960,0)),"",INDEX('Compliance Database'!$G$2:$G$1960,MATCH(1529,'Transfer Engine'!$C$2:$C$1960,0)))</f>
        <v/>
      </c>
      <c r="H1538" s="9">
        <f>IF(ISNA(MATCH(1529,'Transfer Engine'!$C$2:$C$1960,0)),"",INDEX('Compliance Database'!$H$2:$H$1960,MATCH(1529,'Transfer Engine'!$C$2:$C$1960,0)))</f>
        <v/>
      </c>
      <c r="I1538" s="9">
        <f>IF(ISNA(MATCH(1529,'Transfer Engine'!$C$2:$C$1960,0)),"",INDEX('Compliance Database'!$I$2:$I$1960,MATCH(1529,'Transfer Engine'!$C$2:$C$1960,0)))</f>
        <v/>
      </c>
      <c r="J1538" s="8">
        <f>IF(ISNA(MATCH(1529,'Transfer Engine'!$C$2:$C$1960,0)),"",INDEX('Compliance Database'!$J$2:$J$1960,MATCH(1529,'Transfer Engine'!$C$2:$C$1960,0)))</f>
        <v/>
      </c>
      <c r="K1538" s="9">
        <f>IF(ISNA(MATCH(1529,'Transfer Engine'!$C$2:$C$1960,0)),"",INDEX('Compliance Database'!$K$2:$K$1960,MATCH(1529,'Transfer Engine'!$C$2:$C$1960,0)))</f>
        <v/>
      </c>
      <c r="L1538" s="9">
        <f>IF(ISNA(MATCH(1529,'Transfer Engine'!$C$2:$C$1960,0)),"",INDEX('Compliance Database'!$L$2:$L$1960,MATCH(1529,'Transfer Engine'!$C$2:$C$1960,0)))</f>
        <v/>
      </c>
      <c r="M1538" s="9">
        <f>IF(ISNA(MATCH(1529,'Transfer Engine'!$C$2:$C$1960,0)),"",INDEX('Compliance Database'!$M$2:$M$1960,MATCH(1529,'Transfer Engine'!$C$2:$C$1960,0)))</f>
        <v/>
      </c>
      <c r="N1538" s="9">
        <f>IF(ISNA(MATCH(1529,'Transfer Engine'!$C$2:$C$1960,0)),"",INDEX('Compliance Database'!$N$2:$N$1960,MATCH(1529,'Transfer Engine'!$C$2:$C$1960,0)))</f>
        <v/>
      </c>
      <c r="O1538" s="9">
        <f>IF(ISNA(MATCH(1529,'Transfer Engine'!$C$2:$C$1960,0)),"",INDEX('Compliance Database'!$O$2:$O$1960,MATCH(1529,'Transfer Engine'!$C$2:$C$1960,0)))</f>
        <v/>
      </c>
      <c r="P1538" s="8">
        <f>IF(ISNA(MATCH(1529,'Transfer Engine'!$C$2:$C$1960,0)),"",HYPERLINK("#Acts!A"&amp;INDEX('Compliance Database'!$P$2:$P$1960,MATCH(1529,'Transfer Engine'!$C$2:$C$1960,0)),"Go to Act"))</f>
        <v/>
      </c>
    </row>
    <row r="1539" ht="158" customHeight="1">
      <c r="A1539" s="8">
        <f>IF(ISNA(MATCH(1530,'Transfer Engine'!$C$2:$C$1960,0)),"",INDEX('Compliance Database'!$A$2:$A$1960,MATCH(1530,'Transfer Engine'!$C$2:$C$1960,0)))</f>
        <v/>
      </c>
      <c r="B1539" s="8">
        <f>IF(ISNA(MATCH(1530,'Transfer Engine'!$C$2:$C$1960,0)),"",INDEX('Compliance Database'!$B$2:$B$1960,MATCH(1530,'Transfer Engine'!$C$2:$C$1960,0)))</f>
        <v/>
      </c>
      <c r="C1539" s="8">
        <f>IF(ISNA(MATCH(1530,'Transfer Engine'!$C$2:$C$1960,0)),"",INDEX('Compliance Database'!$C$2:$C$1960,MATCH(1530,'Transfer Engine'!$C$2:$C$1960,0)))</f>
        <v/>
      </c>
      <c r="D1539" s="9">
        <f>IF(ISNA(MATCH(1530,'Transfer Engine'!$C$2:$C$1960,0)),"",INDEX('Compliance Database'!$D$2:$D$1960,MATCH(1530,'Transfer Engine'!$C$2:$C$1960,0)))</f>
        <v/>
      </c>
      <c r="E1539" s="8">
        <f>IF(ISNA(MATCH(1530,'Transfer Engine'!$C$2:$C$1960,0)),"",INDEX('Compliance Database'!$E$2:$E$1960,MATCH(1530,'Transfer Engine'!$C$2:$C$1960,0)))</f>
        <v/>
      </c>
      <c r="F1539" s="8">
        <f>IF(ISNA(MATCH(1530,'Transfer Engine'!$C$2:$C$1960,0)),"",INDEX('Compliance Database'!$F$2:$F$1960,MATCH(1530,'Transfer Engine'!$C$2:$C$1960,0)))</f>
        <v/>
      </c>
      <c r="G1539" s="8">
        <f>IF(ISNA(MATCH(1530,'Transfer Engine'!$C$2:$C$1960,0)),"",INDEX('Compliance Database'!$G$2:$G$1960,MATCH(1530,'Transfer Engine'!$C$2:$C$1960,0)))</f>
        <v/>
      </c>
      <c r="H1539" s="9">
        <f>IF(ISNA(MATCH(1530,'Transfer Engine'!$C$2:$C$1960,0)),"",INDEX('Compliance Database'!$H$2:$H$1960,MATCH(1530,'Transfer Engine'!$C$2:$C$1960,0)))</f>
        <v/>
      </c>
      <c r="I1539" s="9">
        <f>IF(ISNA(MATCH(1530,'Transfer Engine'!$C$2:$C$1960,0)),"",INDEX('Compliance Database'!$I$2:$I$1960,MATCH(1530,'Transfer Engine'!$C$2:$C$1960,0)))</f>
        <v/>
      </c>
      <c r="J1539" s="8">
        <f>IF(ISNA(MATCH(1530,'Transfer Engine'!$C$2:$C$1960,0)),"",INDEX('Compliance Database'!$J$2:$J$1960,MATCH(1530,'Transfer Engine'!$C$2:$C$1960,0)))</f>
        <v/>
      </c>
      <c r="K1539" s="9">
        <f>IF(ISNA(MATCH(1530,'Transfer Engine'!$C$2:$C$1960,0)),"",INDEX('Compliance Database'!$K$2:$K$1960,MATCH(1530,'Transfer Engine'!$C$2:$C$1960,0)))</f>
        <v/>
      </c>
      <c r="L1539" s="9">
        <f>IF(ISNA(MATCH(1530,'Transfer Engine'!$C$2:$C$1960,0)),"",INDEX('Compliance Database'!$L$2:$L$1960,MATCH(1530,'Transfer Engine'!$C$2:$C$1960,0)))</f>
        <v/>
      </c>
      <c r="M1539" s="9">
        <f>IF(ISNA(MATCH(1530,'Transfer Engine'!$C$2:$C$1960,0)),"",INDEX('Compliance Database'!$M$2:$M$1960,MATCH(1530,'Transfer Engine'!$C$2:$C$1960,0)))</f>
        <v/>
      </c>
      <c r="N1539" s="9">
        <f>IF(ISNA(MATCH(1530,'Transfer Engine'!$C$2:$C$1960,0)),"",INDEX('Compliance Database'!$N$2:$N$1960,MATCH(1530,'Transfer Engine'!$C$2:$C$1960,0)))</f>
        <v/>
      </c>
      <c r="O1539" s="9">
        <f>IF(ISNA(MATCH(1530,'Transfer Engine'!$C$2:$C$1960,0)),"",INDEX('Compliance Database'!$O$2:$O$1960,MATCH(1530,'Transfer Engine'!$C$2:$C$1960,0)))</f>
        <v/>
      </c>
      <c r="P1539" s="8">
        <f>IF(ISNA(MATCH(1530,'Transfer Engine'!$C$2:$C$1960,0)),"",HYPERLINK("#Acts!A"&amp;INDEX('Compliance Database'!$P$2:$P$1960,MATCH(1530,'Transfer Engine'!$C$2:$C$1960,0)),"Go to Act"))</f>
        <v/>
      </c>
    </row>
    <row r="1540" ht="158" customHeight="1">
      <c r="A1540" s="8">
        <f>IF(ISNA(MATCH(1531,'Transfer Engine'!$C$2:$C$1960,0)),"",INDEX('Compliance Database'!$A$2:$A$1960,MATCH(1531,'Transfer Engine'!$C$2:$C$1960,0)))</f>
        <v/>
      </c>
      <c r="B1540" s="8">
        <f>IF(ISNA(MATCH(1531,'Transfer Engine'!$C$2:$C$1960,0)),"",INDEX('Compliance Database'!$B$2:$B$1960,MATCH(1531,'Transfer Engine'!$C$2:$C$1960,0)))</f>
        <v/>
      </c>
      <c r="C1540" s="8">
        <f>IF(ISNA(MATCH(1531,'Transfer Engine'!$C$2:$C$1960,0)),"",INDEX('Compliance Database'!$C$2:$C$1960,MATCH(1531,'Transfer Engine'!$C$2:$C$1960,0)))</f>
        <v/>
      </c>
      <c r="D1540" s="9">
        <f>IF(ISNA(MATCH(1531,'Transfer Engine'!$C$2:$C$1960,0)),"",INDEX('Compliance Database'!$D$2:$D$1960,MATCH(1531,'Transfer Engine'!$C$2:$C$1960,0)))</f>
        <v/>
      </c>
      <c r="E1540" s="8">
        <f>IF(ISNA(MATCH(1531,'Transfer Engine'!$C$2:$C$1960,0)),"",INDEX('Compliance Database'!$E$2:$E$1960,MATCH(1531,'Transfer Engine'!$C$2:$C$1960,0)))</f>
        <v/>
      </c>
      <c r="F1540" s="8">
        <f>IF(ISNA(MATCH(1531,'Transfer Engine'!$C$2:$C$1960,0)),"",INDEX('Compliance Database'!$F$2:$F$1960,MATCH(1531,'Transfer Engine'!$C$2:$C$1960,0)))</f>
        <v/>
      </c>
      <c r="G1540" s="8">
        <f>IF(ISNA(MATCH(1531,'Transfer Engine'!$C$2:$C$1960,0)),"",INDEX('Compliance Database'!$G$2:$G$1960,MATCH(1531,'Transfer Engine'!$C$2:$C$1960,0)))</f>
        <v/>
      </c>
      <c r="H1540" s="9">
        <f>IF(ISNA(MATCH(1531,'Transfer Engine'!$C$2:$C$1960,0)),"",INDEX('Compliance Database'!$H$2:$H$1960,MATCH(1531,'Transfer Engine'!$C$2:$C$1960,0)))</f>
        <v/>
      </c>
      <c r="I1540" s="9">
        <f>IF(ISNA(MATCH(1531,'Transfer Engine'!$C$2:$C$1960,0)),"",INDEX('Compliance Database'!$I$2:$I$1960,MATCH(1531,'Transfer Engine'!$C$2:$C$1960,0)))</f>
        <v/>
      </c>
      <c r="J1540" s="8">
        <f>IF(ISNA(MATCH(1531,'Transfer Engine'!$C$2:$C$1960,0)),"",INDEX('Compliance Database'!$J$2:$J$1960,MATCH(1531,'Transfer Engine'!$C$2:$C$1960,0)))</f>
        <v/>
      </c>
      <c r="K1540" s="9">
        <f>IF(ISNA(MATCH(1531,'Transfer Engine'!$C$2:$C$1960,0)),"",INDEX('Compliance Database'!$K$2:$K$1960,MATCH(1531,'Transfer Engine'!$C$2:$C$1960,0)))</f>
        <v/>
      </c>
      <c r="L1540" s="9">
        <f>IF(ISNA(MATCH(1531,'Transfer Engine'!$C$2:$C$1960,0)),"",INDEX('Compliance Database'!$L$2:$L$1960,MATCH(1531,'Transfer Engine'!$C$2:$C$1960,0)))</f>
        <v/>
      </c>
      <c r="M1540" s="9">
        <f>IF(ISNA(MATCH(1531,'Transfer Engine'!$C$2:$C$1960,0)),"",INDEX('Compliance Database'!$M$2:$M$1960,MATCH(1531,'Transfer Engine'!$C$2:$C$1960,0)))</f>
        <v/>
      </c>
      <c r="N1540" s="9">
        <f>IF(ISNA(MATCH(1531,'Transfer Engine'!$C$2:$C$1960,0)),"",INDEX('Compliance Database'!$N$2:$N$1960,MATCH(1531,'Transfer Engine'!$C$2:$C$1960,0)))</f>
        <v/>
      </c>
      <c r="O1540" s="9">
        <f>IF(ISNA(MATCH(1531,'Transfer Engine'!$C$2:$C$1960,0)),"",INDEX('Compliance Database'!$O$2:$O$1960,MATCH(1531,'Transfer Engine'!$C$2:$C$1960,0)))</f>
        <v/>
      </c>
      <c r="P1540" s="8">
        <f>IF(ISNA(MATCH(1531,'Transfer Engine'!$C$2:$C$1960,0)),"",HYPERLINK("#Acts!A"&amp;INDEX('Compliance Database'!$P$2:$P$1960,MATCH(1531,'Transfer Engine'!$C$2:$C$1960,0)),"Go to Act"))</f>
        <v/>
      </c>
    </row>
    <row r="1541" ht="158" customHeight="1">
      <c r="A1541" s="8">
        <f>IF(ISNA(MATCH(1532,'Transfer Engine'!$C$2:$C$1960,0)),"",INDEX('Compliance Database'!$A$2:$A$1960,MATCH(1532,'Transfer Engine'!$C$2:$C$1960,0)))</f>
        <v/>
      </c>
      <c r="B1541" s="8">
        <f>IF(ISNA(MATCH(1532,'Transfer Engine'!$C$2:$C$1960,0)),"",INDEX('Compliance Database'!$B$2:$B$1960,MATCH(1532,'Transfer Engine'!$C$2:$C$1960,0)))</f>
        <v/>
      </c>
      <c r="C1541" s="8">
        <f>IF(ISNA(MATCH(1532,'Transfer Engine'!$C$2:$C$1960,0)),"",INDEX('Compliance Database'!$C$2:$C$1960,MATCH(1532,'Transfer Engine'!$C$2:$C$1960,0)))</f>
        <v/>
      </c>
      <c r="D1541" s="9">
        <f>IF(ISNA(MATCH(1532,'Transfer Engine'!$C$2:$C$1960,0)),"",INDEX('Compliance Database'!$D$2:$D$1960,MATCH(1532,'Transfer Engine'!$C$2:$C$1960,0)))</f>
        <v/>
      </c>
      <c r="E1541" s="8">
        <f>IF(ISNA(MATCH(1532,'Transfer Engine'!$C$2:$C$1960,0)),"",INDEX('Compliance Database'!$E$2:$E$1960,MATCH(1532,'Transfer Engine'!$C$2:$C$1960,0)))</f>
        <v/>
      </c>
      <c r="F1541" s="8">
        <f>IF(ISNA(MATCH(1532,'Transfer Engine'!$C$2:$C$1960,0)),"",INDEX('Compliance Database'!$F$2:$F$1960,MATCH(1532,'Transfer Engine'!$C$2:$C$1960,0)))</f>
        <v/>
      </c>
      <c r="G1541" s="8">
        <f>IF(ISNA(MATCH(1532,'Transfer Engine'!$C$2:$C$1960,0)),"",INDEX('Compliance Database'!$G$2:$G$1960,MATCH(1532,'Transfer Engine'!$C$2:$C$1960,0)))</f>
        <v/>
      </c>
      <c r="H1541" s="9">
        <f>IF(ISNA(MATCH(1532,'Transfer Engine'!$C$2:$C$1960,0)),"",INDEX('Compliance Database'!$H$2:$H$1960,MATCH(1532,'Transfer Engine'!$C$2:$C$1960,0)))</f>
        <v/>
      </c>
      <c r="I1541" s="9">
        <f>IF(ISNA(MATCH(1532,'Transfer Engine'!$C$2:$C$1960,0)),"",INDEX('Compliance Database'!$I$2:$I$1960,MATCH(1532,'Transfer Engine'!$C$2:$C$1960,0)))</f>
        <v/>
      </c>
      <c r="J1541" s="8">
        <f>IF(ISNA(MATCH(1532,'Transfer Engine'!$C$2:$C$1960,0)),"",INDEX('Compliance Database'!$J$2:$J$1960,MATCH(1532,'Transfer Engine'!$C$2:$C$1960,0)))</f>
        <v/>
      </c>
      <c r="K1541" s="9">
        <f>IF(ISNA(MATCH(1532,'Transfer Engine'!$C$2:$C$1960,0)),"",INDEX('Compliance Database'!$K$2:$K$1960,MATCH(1532,'Transfer Engine'!$C$2:$C$1960,0)))</f>
        <v/>
      </c>
      <c r="L1541" s="9">
        <f>IF(ISNA(MATCH(1532,'Transfer Engine'!$C$2:$C$1960,0)),"",INDEX('Compliance Database'!$L$2:$L$1960,MATCH(1532,'Transfer Engine'!$C$2:$C$1960,0)))</f>
        <v/>
      </c>
      <c r="M1541" s="9">
        <f>IF(ISNA(MATCH(1532,'Transfer Engine'!$C$2:$C$1960,0)),"",INDEX('Compliance Database'!$M$2:$M$1960,MATCH(1532,'Transfer Engine'!$C$2:$C$1960,0)))</f>
        <v/>
      </c>
      <c r="N1541" s="9">
        <f>IF(ISNA(MATCH(1532,'Transfer Engine'!$C$2:$C$1960,0)),"",INDEX('Compliance Database'!$N$2:$N$1960,MATCH(1532,'Transfer Engine'!$C$2:$C$1960,0)))</f>
        <v/>
      </c>
      <c r="O1541" s="9">
        <f>IF(ISNA(MATCH(1532,'Transfer Engine'!$C$2:$C$1960,0)),"",INDEX('Compliance Database'!$O$2:$O$1960,MATCH(1532,'Transfer Engine'!$C$2:$C$1960,0)))</f>
        <v/>
      </c>
      <c r="P1541" s="8">
        <f>IF(ISNA(MATCH(1532,'Transfer Engine'!$C$2:$C$1960,0)),"",HYPERLINK("#Acts!A"&amp;INDEX('Compliance Database'!$P$2:$P$1960,MATCH(1532,'Transfer Engine'!$C$2:$C$1960,0)),"Go to Act"))</f>
        <v/>
      </c>
    </row>
    <row r="1542" ht="158" customHeight="1">
      <c r="A1542" s="8">
        <f>IF(ISNA(MATCH(1533,'Transfer Engine'!$C$2:$C$1960,0)),"",INDEX('Compliance Database'!$A$2:$A$1960,MATCH(1533,'Transfer Engine'!$C$2:$C$1960,0)))</f>
        <v/>
      </c>
      <c r="B1542" s="8">
        <f>IF(ISNA(MATCH(1533,'Transfer Engine'!$C$2:$C$1960,0)),"",INDEX('Compliance Database'!$B$2:$B$1960,MATCH(1533,'Transfer Engine'!$C$2:$C$1960,0)))</f>
        <v/>
      </c>
      <c r="C1542" s="8">
        <f>IF(ISNA(MATCH(1533,'Transfer Engine'!$C$2:$C$1960,0)),"",INDEX('Compliance Database'!$C$2:$C$1960,MATCH(1533,'Transfer Engine'!$C$2:$C$1960,0)))</f>
        <v/>
      </c>
      <c r="D1542" s="9">
        <f>IF(ISNA(MATCH(1533,'Transfer Engine'!$C$2:$C$1960,0)),"",INDEX('Compliance Database'!$D$2:$D$1960,MATCH(1533,'Transfer Engine'!$C$2:$C$1960,0)))</f>
        <v/>
      </c>
      <c r="E1542" s="8">
        <f>IF(ISNA(MATCH(1533,'Transfer Engine'!$C$2:$C$1960,0)),"",INDEX('Compliance Database'!$E$2:$E$1960,MATCH(1533,'Transfer Engine'!$C$2:$C$1960,0)))</f>
        <v/>
      </c>
      <c r="F1542" s="8">
        <f>IF(ISNA(MATCH(1533,'Transfer Engine'!$C$2:$C$1960,0)),"",INDEX('Compliance Database'!$F$2:$F$1960,MATCH(1533,'Transfer Engine'!$C$2:$C$1960,0)))</f>
        <v/>
      </c>
      <c r="G1542" s="8">
        <f>IF(ISNA(MATCH(1533,'Transfer Engine'!$C$2:$C$1960,0)),"",INDEX('Compliance Database'!$G$2:$G$1960,MATCH(1533,'Transfer Engine'!$C$2:$C$1960,0)))</f>
        <v/>
      </c>
      <c r="H1542" s="9">
        <f>IF(ISNA(MATCH(1533,'Transfer Engine'!$C$2:$C$1960,0)),"",INDEX('Compliance Database'!$H$2:$H$1960,MATCH(1533,'Transfer Engine'!$C$2:$C$1960,0)))</f>
        <v/>
      </c>
      <c r="I1542" s="9">
        <f>IF(ISNA(MATCH(1533,'Transfer Engine'!$C$2:$C$1960,0)),"",INDEX('Compliance Database'!$I$2:$I$1960,MATCH(1533,'Transfer Engine'!$C$2:$C$1960,0)))</f>
        <v/>
      </c>
      <c r="J1542" s="8">
        <f>IF(ISNA(MATCH(1533,'Transfer Engine'!$C$2:$C$1960,0)),"",INDEX('Compliance Database'!$J$2:$J$1960,MATCH(1533,'Transfer Engine'!$C$2:$C$1960,0)))</f>
        <v/>
      </c>
      <c r="K1542" s="9">
        <f>IF(ISNA(MATCH(1533,'Transfer Engine'!$C$2:$C$1960,0)),"",INDEX('Compliance Database'!$K$2:$K$1960,MATCH(1533,'Transfer Engine'!$C$2:$C$1960,0)))</f>
        <v/>
      </c>
      <c r="L1542" s="9">
        <f>IF(ISNA(MATCH(1533,'Transfer Engine'!$C$2:$C$1960,0)),"",INDEX('Compliance Database'!$L$2:$L$1960,MATCH(1533,'Transfer Engine'!$C$2:$C$1960,0)))</f>
        <v/>
      </c>
      <c r="M1542" s="9">
        <f>IF(ISNA(MATCH(1533,'Transfer Engine'!$C$2:$C$1960,0)),"",INDEX('Compliance Database'!$M$2:$M$1960,MATCH(1533,'Transfer Engine'!$C$2:$C$1960,0)))</f>
        <v/>
      </c>
      <c r="N1542" s="9">
        <f>IF(ISNA(MATCH(1533,'Transfer Engine'!$C$2:$C$1960,0)),"",INDEX('Compliance Database'!$N$2:$N$1960,MATCH(1533,'Transfer Engine'!$C$2:$C$1960,0)))</f>
        <v/>
      </c>
      <c r="O1542" s="9">
        <f>IF(ISNA(MATCH(1533,'Transfer Engine'!$C$2:$C$1960,0)),"",INDEX('Compliance Database'!$O$2:$O$1960,MATCH(1533,'Transfer Engine'!$C$2:$C$1960,0)))</f>
        <v/>
      </c>
      <c r="P1542" s="8">
        <f>IF(ISNA(MATCH(1533,'Transfer Engine'!$C$2:$C$1960,0)),"",HYPERLINK("#Acts!A"&amp;INDEX('Compliance Database'!$P$2:$P$1960,MATCH(1533,'Transfer Engine'!$C$2:$C$1960,0)),"Go to Act"))</f>
        <v/>
      </c>
    </row>
    <row r="1543" ht="158" customHeight="1">
      <c r="A1543" s="8">
        <f>IF(ISNA(MATCH(1534,'Transfer Engine'!$C$2:$C$1960,0)),"",INDEX('Compliance Database'!$A$2:$A$1960,MATCH(1534,'Transfer Engine'!$C$2:$C$1960,0)))</f>
        <v/>
      </c>
      <c r="B1543" s="8">
        <f>IF(ISNA(MATCH(1534,'Transfer Engine'!$C$2:$C$1960,0)),"",INDEX('Compliance Database'!$B$2:$B$1960,MATCH(1534,'Transfer Engine'!$C$2:$C$1960,0)))</f>
        <v/>
      </c>
      <c r="C1543" s="8">
        <f>IF(ISNA(MATCH(1534,'Transfer Engine'!$C$2:$C$1960,0)),"",INDEX('Compliance Database'!$C$2:$C$1960,MATCH(1534,'Transfer Engine'!$C$2:$C$1960,0)))</f>
        <v/>
      </c>
      <c r="D1543" s="9">
        <f>IF(ISNA(MATCH(1534,'Transfer Engine'!$C$2:$C$1960,0)),"",INDEX('Compliance Database'!$D$2:$D$1960,MATCH(1534,'Transfer Engine'!$C$2:$C$1960,0)))</f>
        <v/>
      </c>
      <c r="E1543" s="8">
        <f>IF(ISNA(MATCH(1534,'Transfer Engine'!$C$2:$C$1960,0)),"",INDEX('Compliance Database'!$E$2:$E$1960,MATCH(1534,'Transfer Engine'!$C$2:$C$1960,0)))</f>
        <v/>
      </c>
      <c r="F1543" s="8">
        <f>IF(ISNA(MATCH(1534,'Transfer Engine'!$C$2:$C$1960,0)),"",INDEX('Compliance Database'!$F$2:$F$1960,MATCH(1534,'Transfer Engine'!$C$2:$C$1960,0)))</f>
        <v/>
      </c>
      <c r="G1543" s="8">
        <f>IF(ISNA(MATCH(1534,'Transfer Engine'!$C$2:$C$1960,0)),"",INDEX('Compliance Database'!$G$2:$G$1960,MATCH(1534,'Transfer Engine'!$C$2:$C$1960,0)))</f>
        <v/>
      </c>
      <c r="H1543" s="9">
        <f>IF(ISNA(MATCH(1534,'Transfer Engine'!$C$2:$C$1960,0)),"",INDEX('Compliance Database'!$H$2:$H$1960,MATCH(1534,'Transfer Engine'!$C$2:$C$1960,0)))</f>
        <v/>
      </c>
      <c r="I1543" s="9">
        <f>IF(ISNA(MATCH(1534,'Transfer Engine'!$C$2:$C$1960,0)),"",INDEX('Compliance Database'!$I$2:$I$1960,MATCH(1534,'Transfer Engine'!$C$2:$C$1960,0)))</f>
        <v/>
      </c>
      <c r="J1543" s="8">
        <f>IF(ISNA(MATCH(1534,'Transfer Engine'!$C$2:$C$1960,0)),"",INDEX('Compliance Database'!$J$2:$J$1960,MATCH(1534,'Transfer Engine'!$C$2:$C$1960,0)))</f>
        <v/>
      </c>
      <c r="K1543" s="9">
        <f>IF(ISNA(MATCH(1534,'Transfer Engine'!$C$2:$C$1960,0)),"",INDEX('Compliance Database'!$K$2:$K$1960,MATCH(1534,'Transfer Engine'!$C$2:$C$1960,0)))</f>
        <v/>
      </c>
      <c r="L1543" s="9">
        <f>IF(ISNA(MATCH(1534,'Transfer Engine'!$C$2:$C$1960,0)),"",INDEX('Compliance Database'!$L$2:$L$1960,MATCH(1534,'Transfer Engine'!$C$2:$C$1960,0)))</f>
        <v/>
      </c>
      <c r="M1543" s="9">
        <f>IF(ISNA(MATCH(1534,'Transfer Engine'!$C$2:$C$1960,0)),"",INDEX('Compliance Database'!$M$2:$M$1960,MATCH(1534,'Transfer Engine'!$C$2:$C$1960,0)))</f>
        <v/>
      </c>
      <c r="N1543" s="9">
        <f>IF(ISNA(MATCH(1534,'Transfer Engine'!$C$2:$C$1960,0)),"",INDEX('Compliance Database'!$N$2:$N$1960,MATCH(1534,'Transfer Engine'!$C$2:$C$1960,0)))</f>
        <v/>
      </c>
      <c r="O1543" s="9">
        <f>IF(ISNA(MATCH(1534,'Transfer Engine'!$C$2:$C$1960,0)),"",INDEX('Compliance Database'!$O$2:$O$1960,MATCH(1534,'Transfer Engine'!$C$2:$C$1960,0)))</f>
        <v/>
      </c>
      <c r="P1543" s="8">
        <f>IF(ISNA(MATCH(1534,'Transfer Engine'!$C$2:$C$1960,0)),"",HYPERLINK("#Acts!A"&amp;INDEX('Compliance Database'!$P$2:$P$1960,MATCH(1534,'Transfer Engine'!$C$2:$C$1960,0)),"Go to Act"))</f>
        <v/>
      </c>
    </row>
    <row r="1544" ht="158" customHeight="1">
      <c r="A1544" s="8">
        <f>IF(ISNA(MATCH(1535,'Transfer Engine'!$C$2:$C$1960,0)),"",INDEX('Compliance Database'!$A$2:$A$1960,MATCH(1535,'Transfer Engine'!$C$2:$C$1960,0)))</f>
        <v/>
      </c>
      <c r="B1544" s="8">
        <f>IF(ISNA(MATCH(1535,'Transfer Engine'!$C$2:$C$1960,0)),"",INDEX('Compliance Database'!$B$2:$B$1960,MATCH(1535,'Transfer Engine'!$C$2:$C$1960,0)))</f>
        <v/>
      </c>
      <c r="C1544" s="8">
        <f>IF(ISNA(MATCH(1535,'Transfer Engine'!$C$2:$C$1960,0)),"",INDEX('Compliance Database'!$C$2:$C$1960,MATCH(1535,'Transfer Engine'!$C$2:$C$1960,0)))</f>
        <v/>
      </c>
      <c r="D1544" s="9">
        <f>IF(ISNA(MATCH(1535,'Transfer Engine'!$C$2:$C$1960,0)),"",INDEX('Compliance Database'!$D$2:$D$1960,MATCH(1535,'Transfer Engine'!$C$2:$C$1960,0)))</f>
        <v/>
      </c>
      <c r="E1544" s="8">
        <f>IF(ISNA(MATCH(1535,'Transfer Engine'!$C$2:$C$1960,0)),"",INDEX('Compliance Database'!$E$2:$E$1960,MATCH(1535,'Transfer Engine'!$C$2:$C$1960,0)))</f>
        <v/>
      </c>
      <c r="F1544" s="8">
        <f>IF(ISNA(MATCH(1535,'Transfer Engine'!$C$2:$C$1960,0)),"",INDEX('Compliance Database'!$F$2:$F$1960,MATCH(1535,'Transfer Engine'!$C$2:$C$1960,0)))</f>
        <v/>
      </c>
      <c r="G1544" s="8">
        <f>IF(ISNA(MATCH(1535,'Transfer Engine'!$C$2:$C$1960,0)),"",INDEX('Compliance Database'!$G$2:$G$1960,MATCH(1535,'Transfer Engine'!$C$2:$C$1960,0)))</f>
        <v/>
      </c>
      <c r="H1544" s="9">
        <f>IF(ISNA(MATCH(1535,'Transfer Engine'!$C$2:$C$1960,0)),"",INDEX('Compliance Database'!$H$2:$H$1960,MATCH(1535,'Transfer Engine'!$C$2:$C$1960,0)))</f>
        <v/>
      </c>
      <c r="I1544" s="9">
        <f>IF(ISNA(MATCH(1535,'Transfer Engine'!$C$2:$C$1960,0)),"",INDEX('Compliance Database'!$I$2:$I$1960,MATCH(1535,'Transfer Engine'!$C$2:$C$1960,0)))</f>
        <v/>
      </c>
      <c r="J1544" s="8">
        <f>IF(ISNA(MATCH(1535,'Transfer Engine'!$C$2:$C$1960,0)),"",INDEX('Compliance Database'!$J$2:$J$1960,MATCH(1535,'Transfer Engine'!$C$2:$C$1960,0)))</f>
        <v/>
      </c>
      <c r="K1544" s="9">
        <f>IF(ISNA(MATCH(1535,'Transfer Engine'!$C$2:$C$1960,0)),"",INDEX('Compliance Database'!$K$2:$K$1960,MATCH(1535,'Transfer Engine'!$C$2:$C$1960,0)))</f>
        <v/>
      </c>
      <c r="L1544" s="9">
        <f>IF(ISNA(MATCH(1535,'Transfer Engine'!$C$2:$C$1960,0)),"",INDEX('Compliance Database'!$L$2:$L$1960,MATCH(1535,'Transfer Engine'!$C$2:$C$1960,0)))</f>
        <v/>
      </c>
      <c r="M1544" s="9">
        <f>IF(ISNA(MATCH(1535,'Transfer Engine'!$C$2:$C$1960,0)),"",INDEX('Compliance Database'!$M$2:$M$1960,MATCH(1535,'Transfer Engine'!$C$2:$C$1960,0)))</f>
        <v/>
      </c>
      <c r="N1544" s="9">
        <f>IF(ISNA(MATCH(1535,'Transfer Engine'!$C$2:$C$1960,0)),"",INDEX('Compliance Database'!$N$2:$N$1960,MATCH(1535,'Transfer Engine'!$C$2:$C$1960,0)))</f>
        <v/>
      </c>
      <c r="O1544" s="9">
        <f>IF(ISNA(MATCH(1535,'Transfer Engine'!$C$2:$C$1960,0)),"",INDEX('Compliance Database'!$O$2:$O$1960,MATCH(1535,'Transfer Engine'!$C$2:$C$1960,0)))</f>
        <v/>
      </c>
      <c r="P1544" s="8">
        <f>IF(ISNA(MATCH(1535,'Transfer Engine'!$C$2:$C$1960,0)),"",HYPERLINK("#Acts!A"&amp;INDEX('Compliance Database'!$P$2:$P$1960,MATCH(1535,'Transfer Engine'!$C$2:$C$1960,0)),"Go to Act"))</f>
        <v/>
      </c>
    </row>
    <row r="1545" ht="158" customHeight="1">
      <c r="A1545" s="8">
        <f>IF(ISNA(MATCH(1536,'Transfer Engine'!$C$2:$C$1960,0)),"",INDEX('Compliance Database'!$A$2:$A$1960,MATCH(1536,'Transfer Engine'!$C$2:$C$1960,0)))</f>
        <v/>
      </c>
      <c r="B1545" s="8">
        <f>IF(ISNA(MATCH(1536,'Transfer Engine'!$C$2:$C$1960,0)),"",INDEX('Compliance Database'!$B$2:$B$1960,MATCH(1536,'Transfer Engine'!$C$2:$C$1960,0)))</f>
        <v/>
      </c>
      <c r="C1545" s="8">
        <f>IF(ISNA(MATCH(1536,'Transfer Engine'!$C$2:$C$1960,0)),"",INDEX('Compliance Database'!$C$2:$C$1960,MATCH(1536,'Transfer Engine'!$C$2:$C$1960,0)))</f>
        <v/>
      </c>
      <c r="D1545" s="9">
        <f>IF(ISNA(MATCH(1536,'Transfer Engine'!$C$2:$C$1960,0)),"",INDEX('Compliance Database'!$D$2:$D$1960,MATCH(1536,'Transfer Engine'!$C$2:$C$1960,0)))</f>
        <v/>
      </c>
      <c r="E1545" s="8">
        <f>IF(ISNA(MATCH(1536,'Transfer Engine'!$C$2:$C$1960,0)),"",INDEX('Compliance Database'!$E$2:$E$1960,MATCH(1536,'Transfer Engine'!$C$2:$C$1960,0)))</f>
        <v/>
      </c>
      <c r="F1545" s="8">
        <f>IF(ISNA(MATCH(1536,'Transfer Engine'!$C$2:$C$1960,0)),"",INDEX('Compliance Database'!$F$2:$F$1960,MATCH(1536,'Transfer Engine'!$C$2:$C$1960,0)))</f>
        <v/>
      </c>
      <c r="G1545" s="8">
        <f>IF(ISNA(MATCH(1536,'Transfer Engine'!$C$2:$C$1960,0)),"",INDEX('Compliance Database'!$G$2:$G$1960,MATCH(1536,'Transfer Engine'!$C$2:$C$1960,0)))</f>
        <v/>
      </c>
      <c r="H1545" s="9">
        <f>IF(ISNA(MATCH(1536,'Transfer Engine'!$C$2:$C$1960,0)),"",INDEX('Compliance Database'!$H$2:$H$1960,MATCH(1536,'Transfer Engine'!$C$2:$C$1960,0)))</f>
        <v/>
      </c>
      <c r="I1545" s="9">
        <f>IF(ISNA(MATCH(1536,'Transfer Engine'!$C$2:$C$1960,0)),"",INDEX('Compliance Database'!$I$2:$I$1960,MATCH(1536,'Transfer Engine'!$C$2:$C$1960,0)))</f>
        <v/>
      </c>
      <c r="J1545" s="8">
        <f>IF(ISNA(MATCH(1536,'Transfer Engine'!$C$2:$C$1960,0)),"",INDEX('Compliance Database'!$J$2:$J$1960,MATCH(1536,'Transfer Engine'!$C$2:$C$1960,0)))</f>
        <v/>
      </c>
      <c r="K1545" s="9">
        <f>IF(ISNA(MATCH(1536,'Transfer Engine'!$C$2:$C$1960,0)),"",INDEX('Compliance Database'!$K$2:$K$1960,MATCH(1536,'Transfer Engine'!$C$2:$C$1960,0)))</f>
        <v/>
      </c>
      <c r="L1545" s="9">
        <f>IF(ISNA(MATCH(1536,'Transfer Engine'!$C$2:$C$1960,0)),"",INDEX('Compliance Database'!$L$2:$L$1960,MATCH(1536,'Transfer Engine'!$C$2:$C$1960,0)))</f>
        <v/>
      </c>
      <c r="M1545" s="9">
        <f>IF(ISNA(MATCH(1536,'Transfer Engine'!$C$2:$C$1960,0)),"",INDEX('Compliance Database'!$M$2:$M$1960,MATCH(1536,'Transfer Engine'!$C$2:$C$1960,0)))</f>
        <v/>
      </c>
      <c r="N1545" s="9">
        <f>IF(ISNA(MATCH(1536,'Transfer Engine'!$C$2:$C$1960,0)),"",INDEX('Compliance Database'!$N$2:$N$1960,MATCH(1536,'Transfer Engine'!$C$2:$C$1960,0)))</f>
        <v/>
      </c>
      <c r="O1545" s="9">
        <f>IF(ISNA(MATCH(1536,'Transfer Engine'!$C$2:$C$1960,0)),"",INDEX('Compliance Database'!$O$2:$O$1960,MATCH(1536,'Transfer Engine'!$C$2:$C$1960,0)))</f>
        <v/>
      </c>
      <c r="P1545" s="8">
        <f>IF(ISNA(MATCH(1536,'Transfer Engine'!$C$2:$C$1960,0)),"",HYPERLINK("#Acts!A"&amp;INDEX('Compliance Database'!$P$2:$P$1960,MATCH(1536,'Transfer Engine'!$C$2:$C$1960,0)),"Go to Act"))</f>
        <v/>
      </c>
    </row>
    <row r="1546" ht="158" customHeight="1">
      <c r="A1546" s="8">
        <f>IF(ISNA(MATCH(1537,'Transfer Engine'!$C$2:$C$1960,0)),"",INDEX('Compliance Database'!$A$2:$A$1960,MATCH(1537,'Transfer Engine'!$C$2:$C$1960,0)))</f>
        <v/>
      </c>
      <c r="B1546" s="8">
        <f>IF(ISNA(MATCH(1537,'Transfer Engine'!$C$2:$C$1960,0)),"",INDEX('Compliance Database'!$B$2:$B$1960,MATCH(1537,'Transfer Engine'!$C$2:$C$1960,0)))</f>
        <v/>
      </c>
      <c r="C1546" s="8">
        <f>IF(ISNA(MATCH(1537,'Transfer Engine'!$C$2:$C$1960,0)),"",INDEX('Compliance Database'!$C$2:$C$1960,MATCH(1537,'Transfer Engine'!$C$2:$C$1960,0)))</f>
        <v/>
      </c>
      <c r="D1546" s="9">
        <f>IF(ISNA(MATCH(1537,'Transfer Engine'!$C$2:$C$1960,0)),"",INDEX('Compliance Database'!$D$2:$D$1960,MATCH(1537,'Transfer Engine'!$C$2:$C$1960,0)))</f>
        <v/>
      </c>
      <c r="E1546" s="8">
        <f>IF(ISNA(MATCH(1537,'Transfer Engine'!$C$2:$C$1960,0)),"",INDEX('Compliance Database'!$E$2:$E$1960,MATCH(1537,'Transfer Engine'!$C$2:$C$1960,0)))</f>
        <v/>
      </c>
      <c r="F1546" s="8">
        <f>IF(ISNA(MATCH(1537,'Transfer Engine'!$C$2:$C$1960,0)),"",INDEX('Compliance Database'!$F$2:$F$1960,MATCH(1537,'Transfer Engine'!$C$2:$C$1960,0)))</f>
        <v/>
      </c>
      <c r="G1546" s="8">
        <f>IF(ISNA(MATCH(1537,'Transfer Engine'!$C$2:$C$1960,0)),"",INDEX('Compliance Database'!$G$2:$G$1960,MATCH(1537,'Transfer Engine'!$C$2:$C$1960,0)))</f>
        <v/>
      </c>
      <c r="H1546" s="9">
        <f>IF(ISNA(MATCH(1537,'Transfer Engine'!$C$2:$C$1960,0)),"",INDEX('Compliance Database'!$H$2:$H$1960,MATCH(1537,'Transfer Engine'!$C$2:$C$1960,0)))</f>
        <v/>
      </c>
      <c r="I1546" s="9">
        <f>IF(ISNA(MATCH(1537,'Transfer Engine'!$C$2:$C$1960,0)),"",INDEX('Compliance Database'!$I$2:$I$1960,MATCH(1537,'Transfer Engine'!$C$2:$C$1960,0)))</f>
        <v/>
      </c>
      <c r="J1546" s="8">
        <f>IF(ISNA(MATCH(1537,'Transfer Engine'!$C$2:$C$1960,0)),"",INDEX('Compliance Database'!$J$2:$J$1960,MATCH(1537,'Transfer Engine'!$C$2:$C$1960,0)))</f>
        <v/>
      </c>
      <c r="K1546" s="9">
        <f>IF(ISNA(MATCH(1537,'Transfer Engine'!$C$2:$C$1960,0)),"",INDEX('Compliance Database'!$K$2:$K$1960,MATCH(1537,'Transfer Engine'!$C$2:$C$1960,0)))</f>
        <v/>
      </c>
      <c r="L1546" s="9">
        <f>IF(ISNA(MATCH(1537,'Transfer Engine'!$C$2:$C$1960,0)),"",INDEX('Compliance Database'!$L$2:$L$1960,MATCH(1537,'Transfer Engine'!$C$2:$C$1960,0)))</f>
        <v/>
      </c>
      <c r="M1546" s="9">
        <f>IF(ISNA(MATCH(1537,'Transfer Engine'!$C$2:$C$1960,0)),"",INDEX('Compliance Database'!$M$2:$M$1960,MATCH(1537,'Transfer Engine'!$C$2:$C$1960,0)))</f>
        <v/>
      </c>
      <c r="N1546" s="9">
        <f>IF(ISNA(MATCH(1537,'Transfer Engine'!$C$2:$C$1960,0)),"",INDEX('Compliance Database'!$N$2:$N$1960,MATCH(1537,'Transfer Engine'!$C$2:$C$1960,0)))</f>
        <v/>
      </c>
      <c r="O1546" s="9">
        <f>IF(ISNA(MATCH(1537,'Transfer Engine'!$C$2:$C$1960,0)),"",INDEX('Compliance Database'!$O$2:$O$1960,MATCH(1537,'Transfer Engine'!$C$2:$C$1960,0)))</f>
        <v/>
      </c>
      <c r="P1546" s="8">
        <f>IF(ISNA(MATCH(1537,'Transfer Engine'!$C$2:$C$1960,0)),"",HYPERLINK("#Acts!A"&amp;INDEX('Compliance Database'!$P$2:$P$1960,MATCH(1537,'Transfer Engine'!$C$2:$C$1960,0)),"Go to Act"))</f>
        <v/>
      </c>
    </row>
    <row r="1547" ht="158" customHeight="1">
      <c r="A1547" s="8">
        <f>IF(ISNA(MATCH(1538,'Transfer Engine'!$C$2:$C$1960,0)),"",INDEX('Compliance Database'!$A$2:$A$1960,MATCH(1538,'Transfer Engine'!$C$2:$C$1960,0)))</f>
        <v/>
      </c>
      <c r="B1547" s="8">
        <f>IF(ISNA(MATCH(1538,'Transfer Engine'!$C$2:$C$1960,0)),"",INDEX('Compliance Database'!$B$2:$B$1960,MATCH(1538,'Transfer Engine'!$C$2:$C$1960,0)))</f>
        <v/>
      </c>
      <c r="C1547" s="8">
        <f>IF(ISNA(MATCH(1538,'Transfer Engine'!$C$2:$C$1960,0)),"",INDEX('Compliance Database'!$C$2:$C$1960,MATCH(1538,'Transfer Engine'!$C$2:$C$1960,0)))</f>
        <v/>
      </c>
      <c r="D1547" s="9">
        <f>IF(ISNA(MATCH(1538,'Transfer Engine'!$C$2:$C$1960,0)),"",INDEX('Compliance Database'!$D$2:$D$1960,MATCH(1538,'Transfer Engine'!$C$2:$C$1960,0)))</f>
        <v/>
      </c>
      <c r="E1547" s="8">
        <f>IF(ISNA(MATCH(1538,'Transfer Engine'!$C$2:$C$1960,0)),"",INDEX('Compliance Database'!$E$2:$E$1960,MATCH(1538,'Transfer Engine'!$C$2:$C$1960,0)))</f>
        <v/>
      </c>
      <c r="F1547" s="8">
        <f>IF(ISNA(MATCH(1538,'Transfer Engine'!$C$2:$C$1960,0)),"",INDEX('Compliance Database'!$F$2:$F$1960,MATCH(1538,'Transfer Engine'!$C$2:$C$1960,0)))</f>
        <v/>
      </c>
      <c r="G1547" s="8">
        <f>IF(ISNA(MATCH(1538,'Transfer Engine'!$C$2:$C$1960,0)),"",INDEX('Compliance Database'!$G$2:$G$1960,MATCH(1538,'Transfer Engine'!$C$2:$C$1960,0)))</f>
        <v/>
      </c>
      <c r="H1547" s="9">
        <f>IF(ISNA(MATCH(1538,'Transfer Engine'!$C$2:$C$1960,0)),"",INDEX('Compliance Database'!$H$2:$H$1960,MATCH(1538,'Transfer Engine'!$C$2:$C$1960,0)))</f>
        <v/>
      </c>
      <c r="I1547" s="9">
        <f>IF(ISNA(MATCH(1538,'Transfer Engine'!$C$2:$C$1960,0)),"",INDEX('Compliance Database'!$I$2:$I$1960,MATCH(1538,'Transfer Engine'!$C$2:$C$1960,0)))</f>
        <v/>
      </c>
      <c r="J1547" s="8">
        <f>IF(ISNA(MATCH(1538,'Transfer Engine'!$C$2:$C$1960,0)),"",INDEX('Compliance Database'!$J$2:$J$1960,MATCH(1538,'Transfer Engine'!$C$2:$C$1960,0)))</f>
        <v/>
      </c>
      <c r="K1547" s="9">
        <f>IF(ISNA(MATCH(1538,'Transfer Engine'!$C$2:$C$1960,0)),"",INDEX('Compliance Database'!$K$2:$K$1960,MATCH(1538,'Transfer Engine'!$C$2:$C$1960,0)))</f>
        <v/>
      </c>
      <c r="L1547" s="9">
        <f>IF(ISNA(MATCH(1538,'Transfer Engine'!$C$2:$C$1960,0)),"",INDEX('Compliance Database'!$L$2:$L$1960,MATCH(1538,'Transfer Engine'!$C$2:$C$1960,0)))</f>
        <v/>
      </c>
      <c r="M1547" s="9">
        <f>IF(ISNA(MATCH(1538,'Transfer Engine'!$C$2:$C$1960,0)),"",INDEX('Compliance Database'!$M$2:$M$1960,MATCH(1538,'Transfer Engine'!$C$2:$C$1960,0)))</f>
        <v/>
      </c>
      <c r="N1547" s="9">
        <f>IF(ISNA(MATCH(1538,'Transfer Engine'!$C$2:$C$1960,0)),"",INDEX('Compliance Database'!$N$2:$N$1960,MATCH(1538,'Transfer Engine'!$C$2:$C$1960,0)))</f>
        <v/>
      </c>
      <c r="O1547" s="9">
        <f>IF(ISNA(MATCH(1538,'Transfer Engine'!$C$2:$C$1960,0)),"",INDEX('Compliance Database'!$O$2:$O$1960,MATCH(1538,'Transfer Engine'!$C$2:$C$1960,0)))</f>
        <v/>
      </c>
      <c r="P1547" s="8">
        <f>IF(ISNA(MATCH(1538,'Transfer Engine'!$C$2:$C$1960,0)),"",HYPERLINK("#Acts!A"&amp;INDEX('Compliance Database'!$P$2:$P$1960,MATCH(1538,'Transfer Engine'!$C$2:$C$1960,0)),"Go to Act"))</f>
        <v/>
      </c>
    </row>
    <row r="1548" ht="158" customHeight="1">
      <c r="A1548" s="8">
        <f>IF(ISNA(MATCH(1539,'Transfer Engine'!$C$2:$C$1960,0)),"",INDEX('Compliance Database'!$A$2:$A$1960,MATCH(1539,'Transfer Engine'!$C$2:$C$1960,0)))</f>
        <v/>
      </c>
      <c r="B1548" s="8">
        <f>IF(ISNA(MATCH(1539,'Transfer Engine'!$C$2:$C$1960,0)),"",INDEX('Compliance Database'!$B$2:$B$1960,MATCH(1539,'Transfer Engine'!$C$2:$C$1960,0)))</f>
        <v/>
      </c>
      <c r="C1548" s="8">
        <f>IF(ISNA(MATCH(1539,'Transfer Engine'!$C$2:$C$1960,0)),"",INDEX('Compliance Database'!$C$2:$C$1960,MATCH(1539,'Transfer Engine'!$C$2:$C$1960,0)))</f>
        <v/>
      </c>
      <c r="D1548" s="9">
        <f>IF(ISNA(MATCH(1539,'Transfer Engine'!$C$2:$C$1960,0)),"",INDEX('Compliance Database'!$D$2:$D$1960,MATCH(1539,'Transfer Engine'!$C$2:$C$1960,0)))</f>
        <v/>
      </c>
      <c r="E1548" s="8">
        <f>IF(ISNA(MATCH(1539,'Transfer Engine'!$C$2:$C$1960,0)),"",INDEX('Compliance Database'!$E$2:$E$1960,MATCH(1539,'Transfer Engine'!$C$2:$C$1960,0)))</f>
        <v/>
      </c>
      <c r="F1548" s="8">
        <f>IF(ISNA(MATCH(1539,'Transfer Engine'!$C$2:$C$1960,0)),"",INDEX('Compliance Database'!$F$2:$F$1960,MATCH(1539,'Transfer Engine'!$C$2:$C$1960,0)))</f>
        <v/>
      </c>
      <c r="G1548" s="8">
        <f>IF(ISNA(MATCH(1539,'Transfer Engine'!$C$2:$C$1960,0)),"",INDEX('Compliance Database'!$G$2:$G$1960,MATCH(1539,'Transfer Engine'!$C$2:$C$1960,0)))</f>
        <v/>
      </c>
      <c r="H1548" s="9">
        <f>IF(ISNA(MATCH(1539,'Transfer Engine'!$C$2:$C$1960,0)),"",INDEX('Compliance Database'!$H$2:$H$1960,MATCH(1539,'Transfer Engine'!$C$2:$C$1960,0)))</f>
        <v/>
      </c>
      <c r="I1548" s="9">
        <f>IF(ISNA(MATCH(1539,'Transfer Engine'!$C$2:$C$1960,0)),"",INDEX('Compliance Database'!$I$2:$I$1960,MATCH(1539,'Transfer Engine'!$C$2:$C$1960,0)))</f>
        <v/>
      </c>
      <c r="J1548" s="8">
        <f>IF(ISNA(MATCH(1539,'Transfer Engine'!$C$2:$C$1960,0)),"",INDEX('Compliance Database'!$J$2:$J$1960,MATCH(1539,'Transfer Engine'!$C$2:$C$1960,0)))</f>
        <v/>
      </c>
      <c r="K1548" s="9">
        <f>IF(ISNA(MATCH(1539,'Transfer Engine'!$C$2:$C$1960,0)),"",INDEX('Compliance Database'!$K$2:$K$1960,MATCH(1539,'Transfer Engine'!$C$2:$C$1960,0)))</f>
        <v/>
      </c>
      <c r="L1548" s="9">
        <f>IF(ISNA(MATCH(1539,'Transfer Engine'!$C$2:$C$1960,0)),"",INDEX('Compliance Database'!$L$2:$L$1960,MATCH(1539,'Transfer Engine'!$C$2:$C$1960,0)))</f>
        <v/>
      </c>
      <c r="M1548" s="9">
        <f>IF(ISNA(MATCH(1539,'Transfer Engine'!$C$2:$C$1960,0)),"",INDEX('Compliance Database'!$M$2:$M$1960,MATCH(1539,'Transfer Engine'!$C$2:$C$1960,0)))</f>
        <v/>
      </c>
      <c r="N1548" s="9">
        <f>IF(ISNA(MATCH(1539,'Transfer Engine'!$C$2:$C$1960,0)),"",INDEX('Compliance Database'!$N$2:$N$1960,MATCH(1539,'Transfer Engine'!$C$2:$C$1960,0)))</f>
        <v/>
      </c>
      <c r="O1548" s="9">
        <f>IF(ISNA(MATCH(1539,'Transfer Engine'!$C$2:$C$1960,0)),"",INDEX('Compliance Database'!$O$2:$O$1960,MATCH(1539,'Transfer Engine'!$C$2:$C$1960,0)))</f>
        <v/>
      </c>
      <c r="P1548" s="8">
        <f>IF(ISNA(MATCH(1539,'Transfer Engine'!$C$2:$C$1960,0)),"",HYPERLINK("#Acts!A"&amp;INDEX('Compliance Database'!$P$2:$P$1960,MATCH(1539,'Transfer Engine'!$C$2:$C$1960,0)),"Go to Act"))</f>
        <v/>
      </c>
    </row>
    <row r="1549" ht="158" customHeight="1">
      <c r="A1549" s="8">
        <f>IF(ISNA(MATCH(1540,'Transfer Engine'!$C$2:$C$1960,0)),"",INDEX('Compliance Database'!$A$2:$A$1960,MATCH(1540,'Transfer Engine'!$C$2:$C$1960,0)))</f>
        <v/>
      </c>
      <c r="B1549" s="8">
        <f>IF(ISNA(MATCH(1540,'Transfer Engine'!$C$2:$C$1960,0)),"",INDEX('Compliance Database'!$B$2:$B$1960,MATCH(1540,'Transfer Engine'!$C$2:$C$1960,0)))</f>
        <v/>
      </c>
      <c r="C1549" s="8">
        <f>IF(ISNA(MATCH(1540,'Transfer Engine'!$C$2:$C$1960,0)),"",INDEX('Compliance Database'!$C$2:$C$1960,MATCH(1540,'Transfer Engine'!$C$2:$C$1960,0)))</f>
        <v/>
      </c>
      <c r="D1549" s="9">
        <f>IF(ISNA(MATCH(1540,'Transfer Engine'!$C$2:$C$1960,0)),"",INDEX('Compliance Database'!$D$2:$D$1960,MATCH(1540,'Transfer Engine'!$C$2:$C$1960,0)))</f>
        <v/>
      </c>
      <c r="E1549" s="8">
        <f>IF(ISNA(MATCH(1540,'Transfer Engine'!$C$2:$C$1960,0)),"",INDEX('Compliance Database'!$E$2:$E$1960,MATCH(1540,'Transfer Engine'!$C$2:$C$1960,0)))</f>
        <v/>
      </c>
      <c r="F1549" s="8">
        <f>IF(ISNA(MATCH(1540,'Transfer Engine'!$C$2:$C$1960,0)),"",INDEX('Compliance Database'!$F$2:$F$1960,MATCH(1540,'Transfer Engine'!$C$2:$C$1960,0)))</f>
        <v/>
      </c>
      <c r="G1549" s="8">
        <f>IF(ISNA(MATCH(1540,'Transfer Engine'!$C$2:$C$1960,0)),"",INDEX('Compliance Database'!$G$2:$G$1960,MATCH(1540,'Transfer Engine'!$C$2:$C$1960,0)))</f>
        <v/>
      </c>
      <c r="H1549" s="9">
        <f>IF(ISNA(MATCH(1540,'Transfer Engine'!$C$2:$C$1960,0)),"",INDEX('Compliance Database'!$H$2:$H$1960,MATCH(1540,'Transfer Engine'!$C$2:$C$1960,0)))</f>
        <v/>
      </c>
      <c r="I1549" s="9">
        <f>IF(ISNA(MATCH(1540,'Transfer Engine'!$C$2:$C$1960,0)),"",INDEX('Compliance Database'!$I$2:$I$1960,MATCH(1540,'Transfer Engine'!$C$2:$C$1960,0)))</f>
        <v/>
      </c>
      <c r="J1549" s="8">
        <f>IF(ISNA(MATCH(1540,'Transfer Engine'!$C$2:$C$1960,0)),"",INDEX('Compliance Database'!$J$2:$J$1960,MATCH(1540,'Transfer Engine'!$C$2:$C$1960,0)))</f>
        <v/>
      </c>
      <c r="K1549" s="9">
        <f>IF(ISNA(MATCH(1540,'Transfer Engine'!$C$2:$C$1960,0)),"",INDEX('Compliance Database'!$K$2:$K$1960,MATCH(1540,'Transfer Engine'!$C$2:$C$1960,0)))</f>
        <v/>
      </c>
      <c r="L1549" s="9">
        <f>IF(ISNA(MATCH(1540,'Transfer Engine'!$C$2:$C$1960,0)),"",INDEX('Compliance Database'!$L$2:$L$1960,MATCH(1540,'Transfer Engine'!$C$2:$C$1960,0)))</f>
        <v/>
      </c>
      <c r="M1549" s="9">
        <f>IF(ISNA(MATCH(1540,'Transfer Engine'!$C$2:$C$1960,0)),"",INDEX('Compliance Database'!$M$2:$M$1960,MATCH(1540,'Transfer Engine'!$C$2:$C$1960,0)))</f>
        <v/>
      </c>
      <c r="N1549" s="9">
        <f>IF(ISNA(MATCH(1540,'Transfer Engine'!$C$2:$C$1960,0)),"",INDEX('Compliance Database'!$N$2:$N$1960,MATCH(1540,'Transfer Engine'!$C$2:$C$1960,0)))</f>
        <v/>
      </c>
      <c r="O1549" s="9">
        <f>IF(ISNA(MATCH(1540,'Transfer Engine'!$C$2:$C$1960,0)),"",INDEX('Compliance Database'!$O$2:$O$1960,MATCH(1540,'Transfer Engine'!$C$2:$C$1960,0)))</f>
        <v/>
      </c>
      <c r="P1549" s="8">
        <f>IF(ISNA(MATCH(1540,'Transfer Engine'!$C$2:$C$1960,0)),"",HYPERLINK("#Acts!A"&amp;INDEX('Compliance Database'!$P$2:$P$1960,MATCH(1540,'Transfer Engine'!$C$2:$C$1960,0)),"Go to Act"))</f>
        <v/>
      </c>
    </row>
    <row r="1550" ht="158" customHeight="1">
      <c r="A1550" s="8">
        <f>IF(ISNA(MATCH(1541,'Transfer Engine'!$C$2:$C$1960,0)),"",INDEX('Compliance Database'!$A$2:$A$1960,MATCH(1541,'Transfer Engine'!$C$2:$C$1960,0)))</f>
        <v/>
      </c>
      <c r="B1550" s="8">
        <f>IF(ISNA(MATCH(1541,'Transfer Engine'!$C$2:$C$1960,0)),"",INDEX('Compliance Database'!$B$2:$B$1960,MATCH(1541,'Transfer Engine'!$C$2:$C$1960,0)))</f>
        <v/>
      </c>
      <c r="C1550" s="8">
        <f>IF(ISNA(MATCH(1541,'Transfer Engine'!$C$2:$C$1960,0)),"",INDEX('Compliance Database'!$C$2:$C$1960,MATCH(1541,'Transfer Engine'!$C$2:$C$1960,0)))</f>
        <v/>
      </c>
      <c r="D1550" s="9">
        <f>IF(ISNA(MATCH(1541,'Transfer Engine'!$C$2:$C$1960,0)),"",INDEX('Compliance Database'!$D$2:$D$1960,MATCH(1541,'Transfer Engine'!$C$2:$C$1960,0)))</f>
        <v/>
      </c>
      <c r="E1550" s="8">
        <f>IF(ISNA(MATCH(1541,'Transfer Engine'!$C$2:$C$1960,0)),"",INDEX('Compliance Database'!$E$2:$E$1960,MATCH(1541,'Transfer Engine'!$C$2:$C$1960,0)))</f>
        <v/>
      </c>
      <c r="F1550" s="8">
        <f>IF(ISNA(MATCH(1541,'Transfer Engine'!$C$2:$C$1960,0)),"",INDEX('Compliance Database'!$F$2:$F$1960,MATCH(1541,'Transfer Engine'!$C$2:$C$1960,0)))</f>
        <v/>
      </c>
      <c r="G1550" s="8">
        <f>IF(ISNA(MATCH(1541,'Transfer Engine'!$C$2:$C$1960,0)),"",INDEX('Compliance Database'!$G$2:$G$1960,MATCH(1541,'Transfer Engine'!$C$2:$C$1960,0)))</f>
        <v/>
      </c>
      <c r="H1550" s="9">
        <f>IF(ISNA(MATCH(1541,'Transfer Engine'!$C$2:$C$1960,0)),"",INDEX('Compliance Database'!$H$2:$H$1960,MATCH(1541,'Transfer Engine'!$C$2:$C$1960,0)))</f>
        <v/>
      </c>
      <c r="I1550" s="9">
        <f>IF(ISNA(MATCH(1541,'Transfer Engine'!$C$2:$C$1960,0)),"",INDEX('Compliance Database'!$I$2:$I$1960,MATCH(1541,'Transfer Engine'!$C$2:$C$1960,0)))</f>
        <v/>
      </c>
      <c r="J1550" s="8">
        <f>IF(ISNA(MATCH(1541,'Transfer Engine'!$C$2:$C$1960,0)),"",INDEX('Compliance Database'!$J$2:$J$1960,MATCH(1541,'Transfer Engine'!$C$2:$C$1960,0)))</f>
        <v/>
      </c>
      <c r="K1550" s="9">
        <f>IF(ISNA(MATCH(1541,'Transfer Engine'!$C$2:$C$1960,0)),"",INDEX('Compliance Database'!$K$2:$K$1960,MATCH(1541,'Transfer Engine'!$C$2:$C$1960,0)))</f>
        <v/>
      </c>
      <c r="L1550" s="9">
        <f>IF(ISNA(MATCH(1541,'Transfer Engine'!$C$2:$C$1960,0)),"",INDEX('Compliance Database'!$L$2:$L$1960,MATCH(1541,'Transfer Engine'!$C$2:$C$1960,0)))</f>
        <v/>
      </c>
      <c r="M1550" s="9">
        <f>IF(ISNA(MATCH(1541,'Transfer Engine'!$C$2:$C$1960,0)),"",INDEX('Compliance Database'!$M$2:$M$1960,MATCH(1541,'Transfer Engine'!$C$2:$C$1960,0)))</f>
        <v/>
      </c>
      <c r="N1550" s="9">
        <f>IF(ISNA(MATCH(1541,'Transfer Engine'!$C$2:$C$1960,0)),"",INDEX('Compliance Database'!$N$2:$N$1960,MATCH(1541,'Transfer Engine'!$C$2:$C$1960,0)))</f>
        <v/>
      </c>
      <c r="O1550" s="9">
        <f>IF(ISNA(MATCH(1541,'Transfer Engine'!$C$2:$C$1960,0)),"",INDEX('Compliance Database'!$O$2:$O$1960,MATCH(1541,'Transfer Engine'!$C$2:$C$1960,0)))</f>
        <v/>
      </c>
      <c r="P1550" s="8">
        <f>IF(ISNA(MATCH(1541,'Transfer Engine'!$C$2:$C$1960,0)),"",HYPERLINK("#Acts!A"&amp;INDEX('Compliance Database'!$P$2:$P$1960,MATCH(1541,'Transfer Engine'!$C$2:$C$1960,0)),"Go to Act"))</f>
        <v/>
      </c>
    </row>
    <row r="1551" ht="158" customHeight="1">
      <c r="A1551" s="8">
        <f>IF(ISNA(MATCH(1542,'Transfer Engine'!$C$2:$C$1960,0)),"",INDEX('Compliance Database'!$A$2:$A$1960,MATCH(1542,'Transfer Engine'!$C$2:$C$1960,0)))</f>
        <v/>
      </c>
      <c r="B1551" s="8">
        <f>IF(ISNA(MATCH(1542,'Transfer Engine'!$C$2:$C$1960,0)),"",INDEX('Compliance Database'!$B$2:$B$1960,MATCH(1542,'Transfer Engine'!$C$2:$C$1960,0)))</f>
        <v/>
      </c>
      <c r="C1551" s="8">
        <f>IF(ISNA(MATCH(1542,'Transfer Engine'!$C$2:$C$1960,0)),"",INDEX('Compliance Database'!$C$2:$C$1960,MATCH(1542,'Transfer Engine'!$C$2:$C$1960,0)))</f>
        <v/>
      </c>
      <c r="D1551" s="9">
        <f>IF(ISNA(MATCH(1542,'Transfer Engine'!$C$2:$C$1960,0)),"",INDEX('Compliance Database'!$D$2:$D$1960,MATCH(1542,'Transfer Engine'!$C$2:$C$1960,0)))</f>
        <v/>
      </c>
      <c r="E1551" s="8">
        <f>IF(ISNA(MATCH(1542,'Transfer Engine'!$C$2:$C$1960,0)),"",INDEX('Compliance Database'!$E$2:$E$1960,MATCH(1542,'Transfer Engine'!$C$2:$C$1960,0)))</f>
        <v/>
      </c>
      <c r="F1551" s="8">
        <f>IF(ISNA(MATCH(1542,'Transfer Engine'!$C$2:$C$1960,0)),"",INDEX('Compliance Database'!$F$2:$F$1960,MATCH(1542,'Transfer Engine'!$C$2:$C$1960,0)))</f>
        <v/>
      </c>
      <c r="G1551" s="8">
        <f>IF(ISNA(MATCH(1542,'Transfer Engine'!$C$2:$C$1960,0)),"",INDEX('Compliance Database'!$G$2:$G$1960,MATCH(1542,'Transfer Engine'!$C$2:$C$1960,0)))</f>
        <v/>
      </c>
      <c r="H1551" s="9">
        <f>IF(ISNA(MATCH(1542,'Transfer Engine'!$C$2:$C$1960,0)),"",INDEX('Compliance Database'!$H$2:$H$1960,MATCH(1542,'Transfer Engine'!$C$2:$C$1960,0)))</f>
        <v/>
      </c>
      <c r="I1551" s="9">
        <f>IF(ISNA(MATCH(1542,'Transfer Engine'!$C$2:$C$1960,0)),"",INDEX('Compliance Database'!$I$2:$I$1960,MATCH(1542,'Transfer Engine'!$C$2:$C$1960,0)))</f>
        <v/>
      </c>
      <c r="J1551" s="8">
        <f>IF(ISNA(MATCH(1542,'Transfer Engine'!$C$2:$C$1960,0)),"",INDEX('Compliance Database'!$J$2:$J$1960,MATCH(1542,'Transfer Engine'!$C$2:$C$1960,0)))</f>
        <v/>
      </c>
      <c r="K1551" s="9">
        <f>IF(ISNA(MATCH(1542,'Transfer Engine'!$C$2:$C$1960,0)),"",INDEX('Compliance Database'!$K$2:$K$1960,MATCH(1542,'Transfer Engine'!$C$2:$C$1960,0)))</f>
        <v/>
      </c>
      <c r="L1551" s="9">
        <f>IF(ISNA(MATCH(1542,'Transfer Engine'!$C$2:$C$1960,0)),"",INDEX('Compliance Database'!$L$2:$L$1960,MATCH(1542,'Transfer Engine'!$C$2:$C$1960,0)))</f>
        <v/>
      </c>
      <c r="M1551" s="9">
        <f>IF(ISNA(MATCH(1542,'Transfer Engine'!$C$2:$C$1960,0)),"",INDEX('Compliance Database'!$M$2:$M$1960,MATCH(1542,'Transfer Engine'!$C$2:$C$1960,0)))</f>
        <v/>
      </c>
      <c r="N1551" s="9">
        <f>IF(ISNA(MATCH(1542,'Transfer Engine'!$C$2:$C$1960,0)),"",INDEX('Compliance Database'!$N$2:$N$1960,MATCH(1542,'Transfer Engine'!$C$2:$C$1960,0)))</f>
        <v/>
      </c>
      <c r="O1551" s="9">
        <f>IF(ISNA(MATCH(1542,'Transfer Engine'!$C$2:$C$1960,0)),"",INDEX('Compliance Database'!$O$2:$O$1960,MATCH(1542,'Transfer Engine'!$C$2:$C$1960,0)))</f>
        <v/>
      </c>
      <c r="P1551" s="8">
        <f>IF(ISNA(MATCH(1542,'Transfer Engine'!$C$2:$C$1960,0)),"",HYPERLINK("#Acts!A"&amp;INDEX('Compliance Database'!$P$2:$P$1960,MATCH(1542,'Transfer Engine'!$C$2:$C$1960,0)),"Go to Act"))</f>
        <v/>
      </c>
    </row>
    <row r="1552" ht="158" customHeight="1">
      <c r="A1552" s="8">
        <f>IF(ISNA(MATCH(1543,'Transfer Engine'!$C$2:$C$1960,0)),"",INDEX('Compliance Database'!$A$2:$A$1960,MATCH(1543,'Transfer Engine'!$C$2:$C$1960,0)))</f>
        <v/>
      </c>
      <c r="B1552" s="8">
        <f>IF(ISNA(MATCH(1543,'Transfer Engine'!$C$2:$C$1960,0)),"",INDEX('Compliance Database'!$B$2:$B$1960,MATCH(1543,'Transfer Engine'!$C$2:$C$1960,0)))</f>
        <v/>
      </c>
      <c r="C1552" s="8">
        <f>IF(ISNA(MATCH(1543,'Transfer Engine'!$C$2:$C$1960,0)),"",INDEX('Compliance Database'!$C$2:$C$1960,MATCH(1543,'Transfer Engine'!$C$2:$C$1960,0)))</f>
        <v/>
      </c>
      <c r="D1552" s="9">
        <f>IF(ISNA(MATCH(1543,'Transfer Engine'!$C$2:$C$1960,0)),"",INDEX('Compliance Database'!$D$2:$D$1960,MATCH(1543,'Transfer Engine'!$C$2:$C$1960,0)))</f>
        <v/>
      </c>
      <c r="E1552" s="8">
        <f>IF(ISNA(MATCH(1543,'Transfer Engine'!$C$2:$C$1960,0)),"",INDEX('Compliance Database'!$E$2:$E$1960,MATCH(1543,'Transfer Engine'!$C$2:$C$1960,0)))</f>
        <v/>
      </c>
      <c r="F1552" s="8">
        <f>IF(ISNA(MATCH(1543,'Transfer Engine'!$C$2:$C$1960,0)),"",INDEX('Compliance Database'!$F$2:$F$1960,MATCH(1543,'Transfer Engine'!$C$2:$C$1960,0)))</f>
        <v/>
      </c>
      <c r="G1552" s="8">
        <f>IF(ISNA(MATCH(1543,'Transfer Engine'!$C$2:$C$1960,0)),"",INDEX('Compliance Database'!$G$2:$G$1960,MATCH(1543,'Transfer Engine'!$C$2:$C$1960,0)))</f>
        <v/>
      </c>
      <c r="H1552" s="9">
        <f>IF(ISNA(MATCH(1543,'Transfer Engine'!$C$2:$C$1960,0)),"",INDEX('Compliance Database'!$H$2:$H$1960,MATCH(1543,'Transfer Engine'!$C$2:$C$1960,0)))</f>
        <v/>
      </c>
      <c r="I1552" s="9">
        <f>IF(ISNA(MATCH(1543,'Transfer Engine'!$C$2:$C$1960,0)),"",INDEX('Compliance Database'!$I$2:$I$1960,MATCH(1543,'Transfer Engine'!$C$2:$C$1960,0)))</f>
        <v/>
      </c>
      <c r="J1552" s="8">
        <f>IF(ISNA(MATCH(1543,'Transfer Engine'!$C$2:$C$1960,0)),"",INDEX('Compliance Database'!$J$2:$J$1960,MATCH(1543,'Transfer Engine'!$C$2:$C$1960,0)))</f>
        <v/>
      </c>
      <c r="K1552" s="9">
        <f>IF(ISNA(MATCH(1543,'Transfer Engine'!$C$2:$C$1960,0)),"",INDEX('Compliance Database'!$K$2:$K$1960,MATCH(1543,'Transfer Engine'!$C$2:$C$1960,0)))</f>
        <v/>
      </c>
      <c r="L1552" s="9">
        <f>IF(ISNA(MATCH(1543,'Transfer Engine'!$C$2:$C$1960,0)),"",INDEX('Compliance Database'!$L$2:$L$1960,MATCH(1543,'Transfer Engine'!$C$2:$C$1960,0)))</f>
        <v/>
      </c>
      <c r="M1552" s="9">
        <f>IF(ISNA(MATCH(1543,'Transfer Engine'!$C$2:$C$1960,0)),"",INDEX('Compliance Database'!$M$2:$M$1960,MATCH(1543,'Transfer Engine'!$C$2:$C$1960,0)))</f>
        <v/>
      </c>
      <c r="N1552" s="9">
        <f>IF(ISNA(MATCH(1543,'Transfer Engine'!$C$2:$C$1960,0)),"",INDEX('Compliance Database'!$N$2:$N$1960,MATCH(1543,'Transfer Engine'!$C$2:$C$1960,0)))</f>
        <v/>
      </c>
      <c r="O1552" s="9">
        <f>IF(ISNA(MATCH(1543,'Transfer Engine'!$C$2:$C$1960,0)),"",INDEX('Compliance Database'!$O$2:$O$1960,MATCH(1543,'Transfer Engine'!$C$2:$C$1960,0)))</f>
        <v/>
      </c>
      <c r="P1552" s="8">
        <f>IF(ISNA(MATCH(1543,'Transfer Engine'!$C$2:$C$1960,0)),"",HYPERLINK("#Acts!A"&amp;INDEX('Compliance Database'!$P$2:$P$1960,MATCH(1543,'Transfer Engine'!$C$2:$C$1960,0)),"Go to Act"))</f>
        <v/>
      </c>
    </row>
    <row r="1553" ht="158" customHeight="1">
      <c r="A1553" s="8">
        <f>IF(ISNA(MATCH(1544,'Transfer Engine'!$C$2:$C$1960,0)),"",INDEX('Compliance Database'!$A$2:$A$1960,MATCH(1544,'Transfer Engine'!$C$2:$C$1960,0)))</f>
        <v/>
      </c>
      <c r="B1553" s="8">
        <f>IF(ISNA(MATCH(1544,'Transfer Engine'!$C$2:$C$1960,0)),"",INDEX('Compliance Database'!$B$2:$B$1960,MATCH(1544,'Transfer Engine'!$C$2:$C$1960,0)))</f>
        <v/>
      </c>
      <c r="C1553" s="8">
        <f>IF(ISNA(MATCH(1544,'Transfer Engine'!$C$2:$C$1960,0)),"",INDEX('Compliance Database'!$C$2:$C$1960,MATCH(1544,'Transfer Engine'!$C$2:$C$1960,0)))</f>
        <v/>
      </c>
      <c r="D1553" s="9">
        <f>IF(ISNA(MATCH(1544,'Transfer Engine'!$C$2:$C$1960,0)),"",INDEX('Compliance Database'!$D$2:$D$1960,MATCH(1544,'Transfer Engine'!$C$2:$C$1960,0)))</f>
        <v/>
      </c>
      <c r="E1553" s="8">
        <f>IF(ISNA(MATCH(1544,'Transfer Engine'!$C$2:$C$1960,0)),"",INDEX('Compliance Database'!$E$2:$E$1960,MATCH(1544,'Transfer Engine'!$C$2:$C$1960,0)))</f>
        <v/>
      </c>
      <c r="F1553" s="8">
        <f>IF(ISNA(MATCH(1544,'Transfer Engine'!$C$2:$C$1960,0)),"",INDEX('Compliance Database'!$F$2:$F$1960,MATCH(1544,'Transfer Engine'!$C$2:$C$1960,0)))</f>
        <v/>
      </c>
      <c r="G1553" s="8">
        <f>IF(ISNA(MATCH(1544,'Transfer Engine'!$C$2:$C$1960,0)),"",INDEX('Compliance Database'!$G$2:$G$1960,MATCH(1544,'Transfer Engine'!$C$2:$C$1960,0)))</f>
        <v/>
      </c>
      <c r="H1553" s="9">
        <f>IF(ISNA(MATCH(1544,'Transfer Engine'!$C$2:$C$1960,0)),"",INDEX('Compliance Database'!$H$2:$H$1960,MATCH(1544,'Transfer Engine'!$C$2:$C$1960,0)))</f>
        <v/>
      </c>
      <c r="I1553" s="9">
        <f>IF(ISNA(MATCH(1544,'Transfer Engine'!$C$2:$C$1960,0)),"",INDEX('Compliance Database'!$I$2:$I$1960,MATCH(1544,'Transfer Engine'!$C$2:$C$1960,0)))</f>
        <v/>
      </c>
      <c r="J1553" s="8">
        <f>IF(ISNA(MATCH(1544,'Transfer Engine'!$C$2:$C$1960,0)),"",INDEX('Compliance Database'!$J$2:$J$1960,MATCH(1544,'Transfer Engine'!$C$2:$C$1960,0)))</f>
        <v/>
      </c>
      <c r="K1553" s="9">
        <f>IF(ISNA(MATCH(1544,'Transfer Engine'!$C$2:$C$1960,0)),"",INDEX('Compliance Database'!$K$2:$K$1960,MATCH(1544,'Transfer Engine'!$C$2:$C$1960,0)))</f>
        <v/>
      </c>
      <c r="L1553" s="9">
        <f>IF(ISNA(MATCH(1544,'Transfer Engine'!$C$2:$C$1960,0)),"",INDEX('Compliance Database'!$L$2:$L$1960,MATCH(1544,'Transfer Engine'!$C$2:$C$1960,0)))</f>
        <v/>
      </c>
      <c r="M1553" s="9">
        <f>IF(ISNA(MATCH(1544,'Transfer Engine'!$C$2:$C$1960,0)),"",INDEX('Compliance Database'!$M$2:$M$1960,MATCH(1544,'Transfer Engine'!$C$2:$C$1960,0)))</f>
        <v/>
      </c>
      <c r="N1553" s="9">
        <f>IF(ISNA(MATCH(1544,'Transfer Engine'!$C$2:$C$1960,0)),"",INDEX('Compliance Database'!$N$2:$N$1960,MATCH(1544,'Transfer Engine'!$C$2:$C$1960,0)))</f>
        <v/>
      </c>
      <c r="O1553" s="9">
        <f>IF(ISNA(MATCH(1544,'Transfer Engine'!$C$2:$C$1960,0)),"",INDEX('Compliance Database'!$O$2:$O$1960,MATCH(1544,'Transfer Engine'!$C$2:$C$1960,0)))</f>
        <v/>
      </c>
      <c r="P1553" s="8">
        <f>IF(ISNA(MATCH(1544,'Transfer Engine'!$C$2:$C$1960,0)),"",HYPERLINK("#Acts!A"&amp;INDEX('Compliance Database'!$P$2:$P$1960,MATCH(1544,'Transfer Engine'!$C$2:$C$1960,0)),"Go to Act"))</f>
        <v/>
      </c>
    </row>
    <row r="1554" ht="158" customHeight="1">
      <c r="A1554" s="8">
        <f>IF(ISNA(MATCH(1545,'Transfer Engine'!$C$2:$C$1960,0)),"",INDEX('Compliance Database'!$A$2:$A$1960,MATCH(1545,'Transfer Engine'!$C$2:$C$1960,0)))</f>
        <v/>
      </c>
      <c r="B1554" s="8">
        <f>IF(ISNA(MATCH(1545,'Transfer Engine'!$C$2:$C$1960,0)),"",INDEX('Compliance Database'!$B$2:$B$1960,MATCH(1545,'Transfer Engine'!$C$2:$C$1960,0)))</f>
        <v/>
      </c>
      <c r="C1554" s="8">
        <f>IF(ISNA(MATCH(1545,'Transfer Engine'!$C$2:$C$1960,0)),"",INDEX('Compliance Database'!$C$2:$C$1960,MATCH(1545,'Transfer Engine'!$C$2:$C$1960,0)))</f>
        <v/>
      </c>
      <c r="D1554" s="9">
        <f>IF(ISNA(MATCH(1545,'Transfer Engine'!$C$2:$C$1960,0)),"",INDEX('Compliance Database'!$D$2:$D$1960,MATCH(1545,'Transfer Engine'!$C$2:$C$1960,0)))</f>
        <v/>
      </c>
      <c r="E1554" s="8">
        <f>IF(ISNA(MATCH(1545,'Transfer Engine'!$C$2:$C$1960,0)),"",INDEX('Compliance Database'!$E$2:$E$1960,MATCH(1545,'Transfer Engine'!$C$2:$C$1960,0)))</f>
        <v/>
      </c>
      <c r="F1554" s="8">
        <f>IF(ISNA(MATCH(1545,'Transfer Engine'!$C$2:$C$1960,0)),"",INDEX('Compliance Database'!$F$2:$F$1960,MATCH(1545,'Transfer Engine'!$C$2:$C$1960,0)))</f>
        <v/>
      </c>
      <c r="G1554" s="8">
        <f>IF(ISNA(MATCH(1545,'Transfer Engine'!$C$2:$C$1960,0)),"",INDEX('Compliance Database'!$G$2:$G$1960,MATCH(1545,'Transfer Engine'!$C$2:$C$1960,0)))</f>
        <v/>
      </c>
      <c r="H1554" s="9">
        <f>IF(ISNA(MATCH(1545,'Transfer Engine'!$C$2:$C$1960,0)),"",INDEX('Compliance Database'!$H$2:$H$1960,MATCH(1545,'Transfer Engine'!$C$2:$C$1960,0)))</f>
        <v/>
      </c>
      <c r="I1554" s="9">
        <f>IF(ISNA(MATCH(1545,'Transfer Engine'!$C$2:$C$1960,0)),"",INDEX('Compliance Database'!$I$2:$I$1960,MATCH(1545,'Transfer Engine'!$C$2:$C$1960,0)))</f>
        <v/>
      </c>
      <c r="J1554" s="8">
        <f>IF(ISNA(MATCH(1545,'Transfer Engine'!$C$2:$C$1960,0)),"",INDEX('Compliance Database'!$J$2:$J$1960,MATCH(1545,'Transfer Engine'!$C$2:$C$1960,0)))</f>
        <v/>
      </c>
      <c r="K1554" s="9">
        <f>IF(ISNA(MATCH(1545,'Transfer Engine'!$C$2:$C$1960,0)),"",INDEX('Compliance Database'!$K$2:$K$1960,MATCH(1545,'Transfer Engine'!$C$2:$C$1960,0)))</f>
        <v/>
      </c>
      <c r="L1554" s="9">
        <f>IF(ISNA(MATCH(1545,'Transfer Engine'!$C$2:$C$1960,0)),"",INDEX('Compliance Database'!$L$2:$L$1960,MATCH(1545,'Transfer Engine'!$C$2:$C$1960,0)))</f>
        <v/>
      </c>
      <c r="M1554" s="9">
        <f>IF(ISNA(MATCH(1545,'Transfer Engine'!$C$2:$C$1960,0)),"",INDEX('Compliance Database'!$M$2:$M$1960,MATCH(1545,'Transfer Engine'!$C$2:$C$1960,0)))</f>
        <v/>
      </c>
      <c r="N1554" s="9">
        <f>IF(ISNA(MATCH(1545,'Transfer Engine'!$C$2:$C$1960,0)),"",INDEX('Compliance Database'!$N$2:$N$1960,MATCH(1545,'Transfer Engine'!$C$2:$C$1960,0)))</f>
        <v/>
      </c>
      <c r="O1554" s="9">
        <f>IF(ISNA(MATCH(1545,'Transfer Engine'!$C$2:$C$1960,0)),"",INDEX('Compliance Database'!$O$2:$O$1960,MATCH(1545,'Transfer Engine'!$C$2:$C$1960,0)))</f>
        <v/>
      </c>
      <c r="P1554" s="8">
        <f>IF(ISNA(MATCH(1545,'Transfer Engine'!$C$2:$C$1960,0)),"",HYPERLINK("#Acts!A"&amp;INDEX('Compliance Database'!$P$2:$P$1960,MATCH(1545,'Transfer Engine'!$C$2:$C$1960,0)),"Go to Act"))</f>
        <v/>
      </c>
    </row>
    <row r="1555" ht="158" customHeight="1">
      <c r="A1555" s="8">
        <f>IF(ISNA(MATCH(1546,'Transfer Engine'!$C$2:$C$1960,0)),"",INDEX('Compliance Database'!$A$2:$A$1960,MATCH(1546,'Transfer Engine'!$C$2:$C$1960,0)))</f>
        <v/>
      </c>
      <c r="B1555" s="8">
        <f>IF(ISNA(MATCH(1546,'Transfer Engine'!$C$2:$C$1960,0)),"",INDEX('Compliance Database'!$B$2:$B$1960,MATCH(1546,'Transfer Engine'!$C$2:$C$1960,0)))</f>
        <v/>
      </c>
      <c r="C1555" s="8">
        <f>IF(ISNA(MATCH(1546,'Transfer Engine'!$C$2:$C$1960,0)),"",INDEX('Compliance Database'!$C$2:$C$1960,MATCH(1546,'Transfer Engine'!$C$2:$C$1960,0)))</f>
        <v/>
      </c>
      <c r="D1555" s="9">
        <f>IF(ISNA(MATCH(1546,'Transfer Engine'!$C$2:$C$1960,0)),"",INDEX('Compliance Database'!$D$2:$D$1960,MATCH(1546,'Transfer Engine'!$C$2:$C$1960,0)))</f>
        <v/>
      </c>
      <c r="E1555" s="8">
        <f>IF(ISNA(MATCH(1546,'Transfer Engine'!$C$2:$C$1960,0)),"",INDEX('Compliance Database'!$E$2:$E$1960,MATCH(1546,'Transfer Engine'!$C$2:$C$1960,0)))</f>
        <v/>
      </c>
      <c r="F1555" s="8">
        <f>IF(ISNA(MATCH(1546,'Transfer Engine'!$C$2:$C$1960,0)),"",INDEX('Compliance Database'!$F$2:$F$1960,MATCH(1546,'Transfer Engine'!$C$2:$C$1960,0)))</f>
        <v/>
      </c>
      <c r="G1555" s="8">
        <f>IF(ISNA(MATCH(1546,'Transfer Engine'!$C$2:$C$1960,0)),"",INDEX('Compliance Database'!$G$2:$G$1960,MATCH(1546,'Transfer Engine'!$C$2:$C$1960,0)))</f>
        <v/>
      </c>
      <c r="H1555" s="9">
        <f>IF(ISNA(MATCH(1546,'Transfer Engine'!$C$2:$C$1960,0)),"",INDEX('Compliance Database'!$H$2:$H$1960,MATCH(1546,'Transfer Engine'!$C$2:$C$1960,0)))</f>
        <v/>
      </c>
      <c r="I1555" s="9">
        <f>IF(ISNA(MATCH(1546,'Transfer Engine'!$C$2:$C$1960,0)),"",INDEX('Compliance Database'!$I$2:$I$1960,MATCH(1546,'Transfer Engine'!$C$2:$C$1960,0)))</f>
        <v/>
      </c>
      <c r="J1555" s="8">
        <f>IF(ISNA(MATCH(1546,'Transfer Engine'!$C$2:$C$1960,0)),"",INDEX('Compliance Database'!$J$2:$J$1960,MATCH(1546,'Transfer Engine'!$C$2:$C$1960,0)))</f>
        <v/>
      </c>
      <c r="K1555" s="9">
        <f>IF(ISNA(MATCH(1546,'Transfer Engine'!$C$2:$C$1960,0)),"",INDEX('Compliance Database'!$K$2:$K$1960,MATCH(1546,'Transfer Engine'!$C$2:$C$1960,0)))</f>
        <v/>
      </c>
      <c r="L1555" s="9">
        <f>IF(ISNA(MATCH(1546,'Transfer Engine'!$C$2:$C$1960,0)),"",INDEX('Compliance Database'!$L$2:$L$1960,MATCH(1546,'Transfer Engine'!$C$2:$C$1960,0)))</f>
        <v/>
      </c>
      <c r="M1555" s="9">
        <f>IF(ISNA(MATCH(1546,'Transfer Engine'!$C$2:$C$1960,0)),"",INDEX('Compliance Database'!$M$2:$M$1960,MATCH(1546,'Transfer Engine'!$C$2:$C$1960,0)))</f>
        <v/>
      </c>
      <c r="N1555" s="9">
        <f>IF(ISNA(MATCH(1546,'Transfer Engine'!$C$2:$C$1960,0)),"",INDEX('Compliance Database'!$N$2:$N$1960,MATCH(1546,'Transfer Engine'!$C$2:$C$1960,0)))</f>
        <v/>
      </c>
      <c r="O1555" s="9">
        <f>IF(ISNA(MATCH(1546,'Transfer Engine'!$C$2:$C$1960,0)),"",INDEX('Compliance Database'!$O$2:$O$1960,MATCH(1546,'Transfer Engine'!$C$2:$C$1960,0)))</f>
        <v/>
      </c>
      <c r="P1555" s="8">
        <f>IF(ISNA(MATCH(1546,'Transfer Engine'!$C$2:$C$1960,0)),"",HYPERLINK("#Acts!A"&amp;INDEX('Compliance Database'!$P$2:$P$1960,MATCH(1546,'Transfer Engine'!$C$2:$C$1960,0)),"Go to Act"))</f>
        <v/>
      </c>
    </row>
    <row r="1556" ht="158" customHeight="1">
      <c r="A1556" s="8">
        <f>IF(ISNA(MATCH(1547,'Transfer Engine'!$C$2:$C$1960,0)),"",INDEX('Compliance Database'!$A$2:$A$1960,MATCH(1547,'Transfer Engine'!$C$2:$C$1960,0)))</f>
        <v/>
      </c>
      <c r="B1556" s="8">
        <f>IF(ISNA(MATCH(1547,'Transfer Engine'!$C$2:$C$1960,0)),"",INDEX('Compliance Database'!$B$2:$B$1960,MATCH(1547,'Transfer Engine'!$C$2:$C$1960,0)))</f>
        <v/>
      </c>
      <c r="C1556" s="8">
        <f>IF(ISNA(MATCH(1547,'Transfer Engine'!$C$2:$C$1960,0)),"",INDEX('Compliance Database'!$C$2:$C$1960,MATCH(1547,'Transfer Engine'!$C$2:$C$1960,0)))</f>
        <v/>
      </c>
      <c r="D1556" s="9">
        <f>IF(ISNA(MATCH(1547,'Transfer Engine'!$C$2:$C$1960,0)),"",INDEX('Compliance Database'!$D$2:$D$1960,MATCH(1547,'Transfer Engine'!$C$2:$C$1960,0)))</f>
        <v/>
      </c>
      <c r="E1556" s="8">
        <f>IF(ISNA(MATCH(1547,'Transfer Engine'!$C$2:$C$1960,0)),"",INDEX('Compliance Database'!$E$2:$E$1960,MATCH(1547,'Transfer Engine'!$C$2:$C$1960,0)))</f>
        <v/>
      </c>
      <c r="F1556" s="8">
        <f>IF(ISNA(MATCH(1547,'Transfer Engine'!$C$2:$C$1960,0)),"",INDEX('Compliance Database'!$F$2:$F$1960,MATCH(1547,'Transfer Engine'!$C$2:$C$1960,0)))</f>
        <v/>
      </c>
      <c r="G1556" s="8">
        <f>IF(ISNA(MATCH(1547,'Transfer Engine'!$C$2:$C$1960,0)),"",INDEX('Compliance Database'!$G$2:$G$1960,MATCH(1547,'Transfer Engine'!$C$2:$C$1960,0)))</f>
        <v/>
      </c>
      <c r="H1556" s="9">
        <f>IF(ISNA(MATCH(1547,'Transfer Engine'!$C$2:$C$1960,0)),"",INDEX('Compliance Database'!$H$2:$H$1960,MATCH(1547,'Transfer Engine'!$C$2:$C$1960,0)))</f>
        <v/>
      </c>
      <c r="I1556" s="9">
        <f>IF(ISNA(MATCH(1547,'Transfer Engine'!$C$2:$C$1960,0)),"",INDEX('Compliance Database'!$I$2:$I$1960,MATCH(1547,'Transfer Engine'!$C$2:$C$1960,0)))</f>
        <v/>
      </c>
      <c r="J1556" s="8">
        <f>IF(ISNA(MATCH(1547,'Transfer Engine'!$C$2:$C$1960,0)),"",INDEX('Compliance Database'!$J$2:$J$1960,MATCH(1547,'Transfer Engine'!$C$2:$C$1960,0)))</f>
        <v/>
      </c>
      <c r="K1556" s="9">
        <f>IF(ISNA(MATCH(1547,'Transfer Engine'!$C$2:$C$1960,0)),"",INDEX('Compliance Database'!$K$2:$K$1960,MATCH(1547,'Transfer Engine'!$C$2:$C$1960,0)))</f>
        <v/>
      </c>
      <c r="L1556" s="9">
        <f>IF(ISNA(MATCH(1547,'Transfer Engine'!$C$2:$C$1960,0)),"",INDEX('Compliance Database'!$L$2:$L$1960,MATCH(1547,'Transfer Engine'!$C$2:$C$1960,0)))</f>
        <v/>
      </c>
      <c r="M1556" s="9">
        <f>IF(ISNA(MATCH(1547,'Transfer Engine'!$C$2:$C$1960,0)),"",INDEX('Compliance Database'!$M$2:$M$1960,MATCH(1547,'Transfer Engine'!$C$2:$C$1960,0)))</f>
        <v/>
      </c>
      <c r="N1556" s="9">
        <f>IF(ISNA(MATCH(1547,'Transfer Engine'!$C$2:$C$1960,0)),"",INDEX('Compliance Database'!$N$2:$N$1960,MATCH(1547,'Transfer Engine'!$C$2:$C$1960,0)))</f>
        <v/>
      </c>
      <c r="O1556" s="9">
        <f>IF(ISNA(MATCH(1547,'Transfer Engine'!$C$2:$C$1960,0)),"",INDEX('Compliance Database'!$O$2:$O$1960,MATCH(1547,'Transfer Engine'!$C$2:$C$1960,0)))</f>
        <v/>
      </c>
      <c r="P1556" s="8">
        <f>IF(ISNA(MATCH(1547,'Transfer Engine'!$C$2:$C$1960,0)),"",HYPERLINK("#Acts!A"&amp;INDEX('Compliance Database'!$P$2:$P$1960,MATCH(1547,'Transfer Engine'!$C$2:$C$1960,0)),"Go to Act"))</f>
        <v/>
      </c>
    </row>
    <row r="1557" ht="158" customHeight="1">
      <c r="A1557" s="8">
        <f>IF(ISNA(MATCH(1548,'Transfer Engine'!$C$2:$C$1960,0)),"",INDEX('Compliance Database'!$A$2:$A$1960,MATCH(1548,'Transfer Engine'!$C$2:$C$1960,0)))</f>
        <v/>
      </c>
      <c r="B1557" s="8">
        <f>IF(ISNA(MATCH(1548,'Transfer Engine'!$C$2:$C$1960,0)),"",INDEX('Compliance Database'!$B$2:$B$1960,MATCH(1548,'Transfer Engine'!$C$2:$C$1960,0)))</f>
        <v/>
      </c>
      <c r="C1557" s="8">
        <f>IF(ISNA(MATCH(1548,'Transfer Engine'!$C$2:$C$1960,0)),"",INDEX('Compliance Database'!$C$2:$C$1960,MATCH(1548,'Transfer Engine'!$C$2:$C$1960,0)))</f>
        <v/>
      </c>
      <c r="D1557" s="9">
        <f>IF(ISNA(MATCH(1548,'Transfer Engine'!$C$2:$C$1960,0)),"",INDEX('Compliance Database'!$D$2:$D$1960,MATCH(1548,'Transfer Engine'!$C$2:$C$1960,0)))</f>
        <v/>
      </c>
      <c r="E1557" s="8">
        <f>IF(ISNA(MATCH(1548,'Transfer Engine'!$C$2:$C$1960,0)),"",INDEX('Compliance Database'!$E$2:$E$1960,MATCH(1548,'Transfer Engine'!$C$2:$C$1960,0)))</f>
        <v/>
      </c>
      <c r="F1557" s="8">
        <f>IF(ISNA(MATCH(1548,'Transfer Engine'!$C$2:$C$1960,0)),"",INDEX('Compliance Database'!$F$2:$F$1960,MATCH(1548,'Transfer Engine'!$C$2:$C$1960,0)))</f>
        <v/>
      </c>
      <c r="G1557" s="8">
        <f>IF(ISNA(MATCH(1548,'Transfer Engine'!$C$2:$C$1960,0)),"",INDEX('Compliance Database'!$G$2:$G$1960,MATCH(1548,'Transfer Engine'!$C$2:$C$1960,0)))</f>
        <v/>
      </c>
      <c r="H1557" s="9">
        <f>IF(ISNA(MATCH(1548,'Transfer Engine'!$C$2:$C$1960,0)),"",INDEX('Compliance Database'!$H$2:$H$1960,MATCH(1548,'Transfer Engine'!$C$2:$C$1960,0)))</f>
        <v/>
      </c>
      <c r="I1557" s="9">
        <f>IF(ISNA(MATCH(1548,'Transfer Engine'!$C$2:$C$1960,0)),"",INDEX('Compliance Database'!$I$2:$I$1960,MATCH(1548,'Transfer Engine'!$C$2:$C$1960,0)))</f>
        <v/>
      </c>
      <c r="J1557" s="8">
        <f>IF(ISNA(MATCH(1548,'Transfer Engine'!$C$2:$C$1960,0)),"",INDEX('Compliance Database'!$J$2:$J$1960,MATCH(1548,'Transfer Engine'!$C$2:$C$1960,0)))</f>
        <v/>
      </c>
      <c r="K1557" s="9">
        <f>IF(ISNA(MATCH(1548,'Transfer Engine'!$C$2:$C$1960,0)),"",INDEX('Compliance Database'!$K$2:$K$1960,MATCH(1548,'Transfer Engine'!$C$2:$C$1960,0)))</f>
        <v/>
      </c>
      <c r="L1557" s="9">
        <f>IF(ISNA(MATCH(1548,'Transfer Engine'!$C$2:$C$1960,0)),"",INDEX('Compliance Database'!$L$2:$L$1960,MATCH(1548,'Transfer Engine'!$C$2:$C$1960,0)))</f>
        <v/>
      </c>
      <c r="M1557" s="9">
        <f>IF(ISNA(MATCH(1548,'Transfer Engine'!$C$2:$C$1960,0)),"",INDEX('Compliance Database'!$M$2:$M$1960,MATCH(1548,'Transfer Engine'!$C$2:$C$1960,0)))</f>
        <v/>
      </c>
      <c r="N1557" s="9">
        <f>IF(ISNA(MATCH(1548,'Transfer Engine'!$C$2:$C$1960,0)),"",INDEX('Compliance Database'!$N$2:$N$1960,MATCH(1548,'Transfer Engine'!$C$2:$C$1960,0)))</f>
        <v/>
      </c>
      <c r="O1557" s="9">
        <f>IF(ISNA(MATCH(1548,'Transfer Engine'!$C$2:$C$1960,0)),"",INDEX('Compliance Database'!$O$2:$O$1960,MATCH(1548,'Transfer Engine'!$C$2:$C$1960,0)))</f>
        <v/>
      </c>
      <c r="P1557" s="8">
        <f>IF(ISNA(MATCH(1548,'Transfer Engine'!$C$2:$C$1960,0)),"",HYPERLINK("#Acts!A"&amp;INDEX('Compliance Database'!$P$2:$P$1960,MATCH(1548,'Transfer Engine'!$C$2:$C$1960,0)),"Go to Act"))</f>
        <v/>
      </c>
    </row>
    <row r="1558" ht="158" customHeight="1">
      <c r="A1558" s="8">
        <f>IF(ISNA(MATCH(1549,'Transfer Engine'!$C$2:$C$1960,0)),"",INDEX('Compliance Database'!$A$2:$A$1960,MATCH(1549,'Transfer Engine'!$C$2:$C$1960,0)))</f>
        <v/>
      </c>
      <c r="B1558" s="8">
        <f>IF(ISNA(MATCH(1549,'Transfer Engine'!$C$2:$C$1960,0)),"",INDEX('Compliance Database'!$B$2:$B$1960,MATCH(1549,'Transfer Engine'!$C$2:$C$1960,0)))</f>
        <v/>
      </c>
      <c r="C1558" s="8">
        <f>IF(ISNA(MATCH(1549,'Transfer Engine'!$C$2:$C$1960,0)),"",INDEX('Compliance Database'!$C$2:$C$1960,MATCH(1549,'Transfer Engine'!$C$2:$C$1960,0)))</f>
        <v/>
      </c>
      <c r="D1558" s="9">
        <f>IF(ISNA(MATCH(1549,'Transfer Engine'!$C$2:$C$1960,0)),"",INDEX('Compliance Database'!$D$2:$D$1960,MATCH(1549,'Transfer Engine'!$C$2:$C$1960,0)))</f>
        <v/>
      </c>
      <c r="E1558" s="8">
        <f>IF(ISNA(MATCH(1549,'Transfer Engine'!$C$2:$C$1960,0)),"",INDEX('Compliance Database'!$E$2:$E$1960,MATCH(1549,'Transfer Engine'!$C$2:$C$1960,0)))</f>
        <v/>
      </c>
      <c r="F1558" s="8">
        <f>IF(ISNA(MATCH(1549,'Transfer Engine'!$C$2:$C$1960,0)),"",INDEX('Compliance Database'!$F$2:$F$1960,MATCH(1549,'Transfer Engine'!$C$2:$C$1960,0)))</f>
        <v/>
      </c>
      <c r="G1558" s="8">
        <f>IF(ISNA(MATCH(1549,'Transfer Engine'!$C$2:$C$1960,0)),"",INDEX('Compliance Database'!$G$2:$G$1960,MATCH(1549,'Transfer Engine'!$C$2:$C$1960,0)))</f>
        <v/>
      </c>
      <c r="H1558" s="9">
        <f>IF(ISNA(MATCH(1549,'Transfer Engine'!$C$2:$C$1960,0)),"",INDEX('Compliance Database'!$H$2:$H$1960,MATCH(1549,'Transfer Engine'!$C$2:$C$1960,0)))</f>
        <v/>
      </c>
      <c r="I1558" s="9">
        <f>IF(ISNA(MATCH(1549,'Transfer Engine'!$C$2:$C$1960,0)),"",INDEX('Compliance Database'!$I$2:$I$1960,MATCH(1549,'Transfer Engine'!$C$2:$C$1960,0)))</f>
        <v/>
      </c>
      <c r="J1558" s="8">
        <f>IF(ISNA(MATCH(1549,'Transfer Engine'!$C$2:$C$1960,0)),"",INDEX('Compliance Database'!$J$2:$J$1960,MATCH(1549,'Transfer Engine'!$C$2:$C$1960,0)))</f>
        <v/>
      </c>
      <c r="K1558" s="9">
        <f>IF(ISNA(MATCH(1549,'Transfer Engine'!$C$2:$C$1960,0)),"",INDEX('Compliance Database'!$K$2:$K$1960,MATCH(1549,'Transfer Engine'!$C$2:$C$1960,0)))</f>
        <v/>
      </c>
      <c r="L1558" s="9">
        <f>IF(ISNA(MATCH(1549,'Transfer Engine'!$C$2:$C$1960,0)),"",INDEX('Compliance Database'!$L$2:$L$1960,MATCH(1549,'Transfer Engine'!$C$2:$C$1960,0)))</f>
        <v/>
      </c>
      <c r="M1558" s="9">
        <f>IF(ISNA(MATCH(1549,'Transfer Engine'!$C$2:$C$1960,0)),"",INDEX('Compliance Database'!$M$2:$M$1960,MATCH(1549,'Transfer Engine'!$C$2:$C$1960,0)))</f>
        <v/>
      </c>
      <c r="N1558" s="9">
        <f>IF(ISNA(MATCH(1549,'Transfer Engine'!$C$2:$C$1960,0)),"",INDEX('Compliance Database'!$N$2:$N$1960,MATCH(1549,'Transfer Engine'!$C$2:$C$1960,0)))</f>
        <v/>
      </c>
      <c r="O1558" s="9">
        <f>IF(ISNA(MATCH(1549,'Transfer Engine'!$C$2:$C$1960,0)),"",INDEX('Compliance Database'!$O$2:$O$1960,MATCH(1549,'Transfer Engine'!$C$2:$C$1960,0)))</f>
        <v/>
      </c>
      <c r="P1558" s="8">
        <f>IF(ISNA(MATCH(1549,'Transfer Engine'!$C$2:$C$1960,0)),"",HYPERLINK("#Acts!A"&amp;INDEX('Compliance Database'!$P$2:$P$1960,MATCH(1549,'Transfer Engine'!$C$2:$C$1960,0)),"Go to Act"))</f>
        <v/>
      </c>
    </row>
    <row r="1559" ht="158" customHeight="1">
      <c r="A1559" s="8">
        <f>IF(ISNA(MATCH(1550,'Transfer Engine'!$C$2:$C$1960,0)),"",INDEX('Compliance Database'!$A$2:$A$1960,MATCH(1550,'Transfer Engine'!$C$2:$C$1960,0)))</f>
        <v/>
      </c>
      <c r="B1559" s="8">
        <f>IF(ISNA(MATCH(1550,'Transfer Engine'!$C$2:$C$1960,0)),"",INDEX('Compliance Database'!$B$2:$B$1960,MATCH(1550,'Transfer Engine'!$C$2:$C$1960,0)))</f>
        <v/>
      </c>
      <c r="C1559" s="8">
        <f>IF(ISNA(MATCH(1550,'Transfer Engine'!$C$2:$C$1960,0)),"",INDEX('Compliance Database'!$C$2:$C$1960,MATCH(1550,'Transfer Engine'!$C$2:$C$1960,0)))</f>
        <v/>
      </c>
      <c r="D1559" s="9">
        <f>IF(ISNA(MATCH(1550,'Transfer Engine'!$C$2:$C$1960,0)),"",INDEX('Compliance Database'!$D$2:$D$1960,MATCH(1550,'Transfer Engine'!$C$2:$C$1960,0)))</f>
        <v/>
      </c>
      <c r="E1559" s="8">
        <f>IF(ISNA(MATCH(1550,'Transfer Engine'!$C$2:$C$1960,0)),"",INDEX('Compliance Database'!$E$2:$E$1960,MATCH(1550,'Transfer Engine'!$C$2:$C$1960,0)))</f>
        <v/>
      </c>
      <c r="F1559" s="8">
        <f>IF(ISNA(MATCH(1550,'Transfer Engine'!$C$2:$C$1960,0)),"",INDEX('Compliance Database'!$F$2:$F$1960,MATCH(1550,'Transfer Engine'!$C$2:$C$1960,0)))</f>
        <v/>
      </c>
      <c r="G1559" s="8">
        <f>IF(ISNA(MATCH(1550,'Transfer Engine'!$C$2:$C$1960,0)),"",INDEX('Compliance Database'!$G$2:$G$1960,MATCH(1550,'Transfer Engine'!$C$2:$C$1960,0)))</f>
        <v/>
      </c>
      <c r="H1559" s="9">
        <f>IF(ISNA(MATCH(1550,'Transfer Engine'!$C$2:$C$1960,0)),"",INDEX('Compliance Database'!$H$2:$H$1960,MATCH(1550,'Transfer Engine'!$C$2:$C$1960,0)))</f>
        <v/>
      </c>
      <c r="I1559" s="9">
        <f>IF(ISNA(MATCH(1550,'Transfer Engine'!$C$2:$C$1960,0)),"",INDEX('Compliance Database'!$I$2:$I$1960,MATCH(1550,'Transfer Engine'!$C$2:$C$1960,0)))</f>
        <v/>
      </c>
      <c r="J1559" s="8">
        <f>IF(ISNA(MATCH(1550,'Transfer Engine'!$C$2:$C$1960,0)),"",INDEX('Compliance Database'!$J$2:$J$1960,MATCH(1550,'Transfer Engine'!$C$2:$C$1960,0)))</f>
        <v/>
      </c>
      <c r="K1559" s="9">
        <f>IF(ISNA(MATCH(1550,'Transfer Engine'!$C$2:$C$1960,0)),"",INDEX('Compliance Database'!$K$2:$K$1960,MATCH(1550,'Transfer Engine'!$C$2:$C$1960,0)))</f>
        <v/>
      </c>
      <c r="L1559" s="9">
        <f>IF(ISNA(MATCH(1550,'Transfer Engine'!$C$2:$C$1960,0)),"",INDEX('Compliance Database'!$L$2:$L$1960,MATCH(1550,'Transfer Engine'!$C$2:$C$1960,0)))</f>
        <v/>
      </c>
      <c r="M1559" s="9">
        <f>IF(ISNA(MATCH(1550,'Transfer Engine'!$C$2:$C$1960,0)),"",INDEX('Compliance Database'!$M$2:$M$1960,MATCH(1550,'Transfer Engine'!$C$2:$C$1960,0)))</f>
        <v/>
      </c>
      <c r="N1559" s="9">
        <f>IF(ISNA(MATCH(1550,'Transfer Engine'!$C$2:$C$1960,0)),"",INDEX('Compliance Database'!$N$2:$N$1960,MATCH(1550,'Transfer Engine'!$C$2:$C$1960,0)))</f>
        <v/>
      </c>
      <c r="O1559" s="9">
        <f>IF(ISNA(MATCH(1550,'Transfer Engine'!$C$2:$C$1960,0)),"",INDEX('Compliance Database'!$O$2:$O$1960,MATCH(1550,'Transfer Engine'!$C$2:$C$1960,0)))</f>
        <v/>
      </c>
      <c r="P1559" s="8">
        <f>IF(ISNA(MATCH(1550,'Transfer Engine'!$C$2:$C$1960,0)),"",HYPERLINK("#Acts!A"&amp;INDEX('Compliance Database'!$P$2:$P$1960,MATCH(1550,'Transfer Engine'!$C$2:$C$1960,0)),"Go to Act"))</f>
        <v/>
      </c>
    </row>
    <row r="1560" ht="158" customHeight="1">
      <c r="A1560" s="8">
        <f>IF(ISNA(MATCH(1551,'Transfer Engine'!$C$2:$C$1960,0)),"",INDEX('Compliance Database'!$A$2:$A$1960,MATCH(1551,'Transfer Engine'!$C$2:$C$1960,0)))</f>
        <v/>
      </c>
      <c r="B1560" s="8">
        <f>IF(ISNA(MATCH(1551,'Transfer Engine'!$C$2:$C$1960,0)),"",INDEX('Compliance Database'!$B$2:$B$1960,MATCH(1551,'Transfer Engine'!$C$2:$C$1960,0)))</f>
        <v/>
      </c>
      <c r="C1560" s="8">
        <f>IF(ISNA(MATCH(1551,'Transfer Engine'!$C$2:$C$1960,0)),"",INDEX('Compliance Database'!$C$2:$C$1960,MATCH(1551,'Transfer Engine'!$C$2:$C$1960,0)))</f>
        <v/>
      </c>
      <c r="D1560" s="9">
        <f>IF(ISNA(MATCH(1551,'Transfer Engine'!$C$2:$C$1960,0)),"",INDEX('Compliance Database'!$D$2:$D$1960,MATCH(1551,'Transfer Engine'!$C$2:$C$1960,0)))</f>
        <v/>
      </c>
      <c r="E1560" s="8">
        <f>IF(ISNA(MATCH(1551,'Transfer Engine'!$C$2:$C$1960,0)),"",INDEX('Compliance Database'!$E$2:$E$1960,MATCH(1551,'Transfer Engine'!$C$2:$C$1960,0)))</f>
        <v/>
      </c>
      <c r="F1560" s="8">
        <f>IF(ISNA(MATCH(1551,'Transfer Engine'!$C$2:$C$1960,0)),"",INDEX('Compliance Database'!$F$2:$F$1960,MATCH(1551,'Transfer Engine'!$C$2:$C$1960,0)))</f>
        <v/>
      </c>
      <c r="G1560" s="8">
        <f>IF(ISNA(MATCH(1551,'Transfer Engine'!$C$2:$C$1960,0)),"",INDEX('Compliance Database'!$G$2:$G$1960,MATCH(1551,'Transfer Engine'!$C$2:$C$1960,0)))</f>
        <v/>
      </c>
      <c r="H1560" s="9">
        <f>IF(ISNA(MATCH(1551,'Transfer Engine'!$C$2:$C$1960,0)),"",INDEX('Compliance Database'!$H$2:$H$1960,MATCH(1551,'Transfer Engine'!$C$2:$C$1960,0)))</f>
        <v/>
      </c>
      <c r="I1560" s="9">
        <f>IF(ISNA(MATCH(1551,'Transfer Engine'!$C$2:$C$1960,0)),"",INDEX('Compliance Database'!$I$2:$I$1960,MATCH(1551,'Transfer Engine'!$C$2:$C$1960,0)))</f>
        <v/>
      </c>
      <c r="J1560" s="8">
        <f>IF(ISNA(MATCH(1551,'Transfer Engine'!$C$2:$C$1960,0)),"",INDEX('Compliance Database'!$J$2:$J$1960,MATCH(1551,'Transfer Engine'!$C$2:$C$1960,0)))</f>
        <v/>
      </c>
      <c r="K1560" s="9">
        <f>IF(ISNA(MATCH(1551,'Transfer Engine'!$C$2:$C$1960,0)),"",INDEX('Compliance Database'!$K$2:$K$1960,MATCH(1551,'Transfer Engine'!$C$2:$C$1960,0)))</f>
        <v/>
      </c>
      <c r="L1560" s="9">
        <f>IF(ISNA(MATCH(1551,'Transfer Engine'!$C$2:$C$1960,0)),"",INDEX('Compliance Database'!$L$2:$L$1960,MATCH(1551,'Transfer Engine'!$C$2:$C$1960,0)))</f>
        <v/>
      </c>
      <c r="M1560" s="9">
        <f>IF(ISNA(MATCH(1551,'Transfer Engine'!$C$2:$C$1960,0)),"",INDEX('Compliance Database'!$M$2:$M$1960,MATCH(1551,'Transfer Engine'!$C$2:$C$1960,0)))</f>
        <v/>
      </c>
      <c r="N1560" s="9">
        <f>IF(ISNA(MATCH(1551,'Transfer Engine'!$C$2:$C$1960,0)),"",INDEX('Compliance Database'!$N$2:$N$1960,MATCH(1551,'Transfer Engine'!$C$2:$C$1960,0)))</f>
        <v/>
      </c>
      <c r="O1560" s="9">
        <f>IF(ISNA(MATCH(1551,'Transfer Engine'!$C$2:$C$1960,0)),"",INDEX('Compliance Database'!$O$2:$O$1960,MATCH(1551,'Transfer Engine'!$C$2:$C$1960,0)))</f>
        <v/>
      </c>
      <c r="P1560" s="8">
        <f>IF(ISNA(MATCH(1551,'Transfer Engine'!$C$2:$C$1960,0)),"",HYPERLINK("#Acts!A"&amp;INDEX('Compliance Database'!$P$2:$P$1960,MATCH(1551,'Transfer Engine'!$C$2:$C$1960,0)),"Go to Act"))</f>
        <v/>
      </c>
    </row>
    <row r="1561" ht="158" customHeight="1">
      <c r="A1561" s="8">
        <f>IF(ISNA(MATCH(1552,'Transfer Engine'!$C$2:$C$1960,0)),"",INDEX('Compliance Database'!$A$2:$A$1960,MATCH(1552,'Transfer Engine'!$C$2:$C$1960,0)))</f>
        <v/>
      </c>
      <c r="B1561" s="8">
        <f>IF(ISNA(MATCH(1552,'Transfer Engine'!$C$2:$C$1960,0)),"",INDEX('Compliance Database'!$B$2:$B$1960,MATCH(1552,'Transfer Engine'!$C$2:$C$1960,0)))</f>
        <v/>
      </c>
      <c r="C1561" s="8">
        <f>IF(ISNA(MATCH(1552,'Transfer Engine'!$C$2:$C$1960,0)),"",INDEX('Compliance Database'!$C$2:$C$1960,MATCH(1552,'Transfer Engine'!$C$2:$C$1960,0)))</f>
        <v/>
      </c>
      <c r="D1561" s="9">
        <f>IF(ISNA(MATCH(1552,'Transfer Engine'!$C$2:$C$1960,0)),"",INDEX('Compliance Database'!$D$2:$D$1960,MATCH(1552,'Transfer Engine'!$C$2:$C$1960,0)))</f>
        <v/>
      </c>
      <c r="E1561" s="8">
        <f>IF(ISNA(MATCH(1552,'Transfer Engine'!$C$2:$C$1960,0)),"",INDEX('Compliance Database'!$E$2:$E$1960,MATCH(1552,'Transfer Engine'!$C$2:$C$1960,0)))</f>
        <v/>
      </c>
      <c r="F1561" s="8">
        <f>IF(ISNA(MATCH(1552,'Transfer Engine'!$C$2:$C$1960,0)),"",INDEX('Compliance Database'!$F$2:$F$1960,MATCH(1552,'Transfer Engine'!$C$2:$C$1960,0)))</f>
        <v/>
      </c>
      <c r="G1561" s="8">
        <f>IF(ISNA(MATCH(1552,'Transfer Engine'!$C$2:$C$1960,0)),"",INDEX('Compliance Database'!$G$2:$G$1960,MATCH(1552,'Transfer Engine'!$C$2:$C$1960,0)))</f>
        <v/>
      </c>
      <c r="H1561" s="9">
        <f>IF(ISNA(MATCH(1552,'Transfer Engine'!$C$2:$C$1960,0)),"",INDEX('Compliance Database'!$H$2:$H$1960,MATCH(1552,'Transfer Engine'!$C$2:$C$1960,0)))</f>
        <v/>
      </c>
      <c r="I1561" s="9">
        <f>IF(ISNA(MATCH(1552,'Transfer Engine'!$C$2:$C$1960,0)),"",INDEX('Compliance Database'!$I$2:$I$1960,MATCH(1552,'Transfer Engine'!$C$2:$C$1960,0)))</f>
        <v/>
      </c>
      <c r="J1561" s="8">
        <f>IF(ISNA(MATCH(1552,'Transfer Engine'!$C$2:$C$1960,0)),"",INDEX('Compliance Database'!$J$2:$J$1960,MATCH(1552,'Transfer Engine'!$C$2:$C$1960,0)))</f>
        <v/>
      </c>
      <c r="K1561" s="9">
        <f>IF(ISNA(MATCH(1552,'Transfer Engine'!$C$2:$C$1960,0)),"",INDEX('Compliance Database'!$K$2:$K$1960,MATCH(1552,'Transfer Engine'!$C$2:$C$1960,0)))</f>
        <v/>
      </c>
      <c r="L1561" s="9">
        <f>IF(ISNA(MATCH(1552,'Transfer Engine'!$C$2:$C$1960,0)),"",INDEX('Compliance Database'!$L$2:$L$1960,MATCH(1552,'Transfer Engine'!$C$2:$C$1960,0)))</f>
        <v/>
      </c>
      <c r="M1561" s="9">
        <f>IF(ISNA(MATCH(1552,'Transfer Engine'!$C$2:$C$1960,0)),"",INDEX('Compliance Database'!$M$2:$M$1960,MATCH(1552,'Transfer Engine'!$C$2:$C$1960,0)))</f>
        <v/>
      </c>
      <c r="N1561" s="9">
        <f>IF(ISNA(MATCH(1552,'Transfer Engine'!$C$2:$C$1960,0)),"",INDEX('Compliance Database'!$N$2:$N$1960,MATCH(1552,'Transfer Engine'!$C$2:$C$1960,0)))</f>
        <v/>
      </c>
      <c r="O1561" s="9">
        <f>IF(ISNA(MATCH(1552,'Transfer Engine'!$C$2:$C$1960,0)),"",INDEX('Compliance Database'!$O$2:$O$1960,MATCH(1552,'Transfer Engine'!$C$2:$C$1960,0)))</f>
        <v/>
      </c>
      <c r="P1561" s="8">
        <f>IF(ISNA(MATCH(1552,'Transfer Engine'!$C$2:$C$1960,0)),"",HYPERLINK("#Acts!A"&amp;INDEX('Compliance Database'!$P$2:$P$1960,MATCH(1552,'Transfer Engine'!$C$2:$C$1960,0)),"Go to Act"))</f>
        <v/>
      </c>
    </row>
    <row r="1562" ht="158" customHeight="1">
      <c r="A1562" s="8">
        <f>IF(ISNA(MATCH(1553,'Transfer Engine'!$C$2:$C$1960,0)),"",INDEX('Compliance Database'!$A$2:$A$1960,MATCH(1553,'Transfer Engine'!$C$2:$C$1960,0)))</f>
        <v/>
      </c>
      <c r="B1562" s="8">
        <f>IF(ISNA(MATCH(1553,'Transfer Engine'!$C$2:$C$1960,0)),"",INDEX('Compliance Database'!$B$2:$B$1960,MATCH(1553,'Transfer Engine'!$C$2:$C$1960,0)))</f>
        <v/>
      </c>
      <c r="C1562" s="8">
        <f>IF(ISNA(MATCH(1553,'Transfer Engine'!$C$2:$C$1960,0)),"",INDEX('Compliance Database'!$C$2:$C$1960,MATCH(1553,'Transfer Engine'!$C$2:$C$1960,0)))</f>
        <v/>
      </c>
      <c r="D1562" s="9">
        <f>IF(ISNA(MATCH(1553,'Transfer Engine'!$C$2:$C$1960,0)),"",INDEX('Compliance Database'!$D$2:$D$1960,MATCH(1553,'Transfer Engine'!$C$2:$C$1960,0)))</f>
        <v/>
      </c>
      <c r="E1562" s="8">
        <f>IF(ISNA(MATCH(1553,'Transfer Engine'!$C$2:$C$1960,0)),"",INDEX('Compliance Database'!$E$2:$E$1960,MATCH(1553,'Transfer Engine'!$C$2:$C$1960,0)))</f>
        <v/>
      </c>
      <c r="F1562" s="8">
        <f>IF(ISNA(MATCH(1553,'Transfer Engine'!$C$2:$C$1960,0)),"",INDEX('Compliance Database'!$F$2:$F$1960,MATCH(1553,'Transfer Engine'!$C$2:$C$1960,0)))</f>
        <v/>
      </c>
      <c r="G1562" s="8">
        <f>IF(ISNA(MATCH(1553,'Transfer Engine'!$C$2:$C$1960,0)),"",INDEX('Compliance Database'!$G$2:$G$1960,MATCH(1553,'Transfer Engine'!$C$2:$C$1960,0)))</f>
        <v/>
      </c>
      <c r="H1562" s="9">
        <f>IF(ISNA(MATCH(1553,'Transfer Engine'!$C$2:$C$1960,0)),"",INDEX('Compliance Database'!$H$2:$H$1960,MATCH(1553,'Transfer Engine'!$C$2:$C$1960,0)))</f>
        <v/>
      </c>
      <c r="I1562" s="9">
        <f>IF(ISNA(MATCH(1553,'Transfer Engine'!$C$2:$C$1960,0)),"",INDEX('Compliance Database'!$I$2:$I$1960,MATCH(1553,'Transfer Engine'!$C$2:$C$1960,0)))</f>
        <v/>
      </c>
      <c r="J1562" s="8">
        <f>IF(ISNA(MATCH(1553,'Transfer Engine'!$C$2:$C$1960,0)),"",INDEX('Compliance Database'!$J$2:$J$1960,MATCH(1553,'Transfer Engine'!$C$2:$C$1960,0)))</f>
        <v/>
      </c>
      <c r="K1562" s="9">
        <f>IF(ISNA(MATCH(1553,'Transfer Engine'!$C$2:$C$1960,0)),"",INDEX('Compliance Database'!$K$2:$K$1960,MATCH(1553,'Transfer Engine'!$C$2:$C$1960,0)))</f>
        <v/>
      </c>
      <c r="L1562" s="9">
        <f>IF(ISNA(MATCH(1553,'Transfer Engine'!$C$2:$C$1960,0)),"",INDEX('Compliance Database'!$L$2:$L$1960,MATCH(1553,'Transfer Engine'!$C$2:$C$1960,0)))</f>
        <v/>
      </c>
      <c r="M1562" s="9">
        <f>IF(ISNA(MATCH(1553,'Transfer Engine'!$C$2:$C$1960,0)),"",INDEX('Compliance Database'!$M$2:$M$1960,MATCH(1553,'Transfer Engine'!$C$2:$C$1960,0)))</f>
        <v/>
      </c>
      <c r="N1562" s="9">
        <f>IF(ISNA(MATCH(1553,'Transfer Engine'!$C$2:$C$1960,0)),"",INDEX('Compliance Database'!$N$2:$N$1960,MATCH(1553,'Transfer Engine'!$C$2:$C$1960,0)))</f>
        <v/>
      </c>
      <c r="O1562" s="9">
        <f>IF(ISNA(MATCH(1553,'Transfer Engine'!$C$2:$C$1960,0)),"",INDEX('Compliance Database'!$O$2:$O$1960,MATCH(1553,'Transfer Engine'!$C$2:$C$1960,0)))</f>
        <v/>
      </c>
      <c r="P1562" s="8">
        <f>IF(ISNA(MATCH(1553,'Transfer Engine'!$C$2:$C$1960,0)),"",HYPERLINK("#Acts!A"&amp;INDEX('Compliance Database'!$P$2:$P$1960,MATCH(1553,'Transfer Engine'!$C$2:$C$1960,0)),"Go to Act"))</f>
        <v/>
      </c>
    </row>
    <row r="1563" ht="158" customHeight="1">
      <c r="A1563" s="8">
        <f>IF(ISNA(MATCH(1554,'Transfer Engine'!$C$2:$C$1960,0)),"",INDEX('Compliance Database'!$A$2:$A$1960,MATCH(1554,'Transfer Engine'!$C$2:$C$1960,0)))</f>
        <v/>
      </c>
      <c r="B1563" s="8">
        <f>IF(ISNA(MATCH(1554,'Transfer Engine'!$C$2:$C$1960,0)),"",INDEX('Compliance Database'!$B$2:$B$1960,MATCH(1554,'Transfer Engine'!$C$2:$C$1960,0)))</f>
        <v/>
      </c>
      <c r="C1563" s="8">
        <f>IF(ISNA(MATCH(1554,'Transfer Engine'!$C$2:$C$1960,0)),"",INDEX('Compliance Database'!$C$2:$C$1960,MATCH(1554,'Transfer Engine'!$C$2:$C$1960,0)))</f>
        <v/>
      </c>
      <c r="D1563" s="9">
        <f>IF(ISNA(MATCH(1554,'Transfer Engine'!$C$2:$C$1960,0)),"",INDEX('Compliance Database'!$D$2:$D$1960,MATCH(1554,'Transfer Engine'!$C$2:$C$1960,0)))</f>
        <v/>
      </c>
      <c r="E1563" s="8">
        <f>IF(ISNA(MATCH(1554,'Transfer Engine'!$C$2:$C$1960,0)),"",INDEX('Compliance Database'!$E$2:$E$1960,MATCH(1554,'Transfer Engine'!$C$2:$C$1960,0)))</f>
        <v/>
      </c>
      <c r="F1563" s="8">
        <f>IF(ISNA(MATCH(1554,'Transfer Engine'!$C$2:$C$1960,0)),"",INDEX('Compliance Database'!$F$2:$F$1960,MATCH(1554,'Transfer Engine'!$C$2:$C$1960,0)))</f>
        <v/>
      </c>
      <c r="G1563" s="8">
        <f>IF(ISNA(MATCH(1554,'Transfer Engine'!$C$2:$C$1960,0)),"",INDEX('Compliance Database'!$G$2:$G$1960,MATCH(1554,'Transfer Engine'!$C$2:$C$1960,0)))</f>
        <v/>
      </c>
      <c r="H1563" s="9">
        <f>IF(ISNA(MATCH(1554,'Transfer Engine'!$C$2:$C$1960,0)),"",INDEX('Compliance Database'!$H$2:$H$1960,MATCH(1554,'Transfer Engine'!$C$2:$C$1960,0)))</f>
        <v/>
      </c>
      <c r="I1563" s="9">
        <f>IF(ISNA(MATCH(1554,'Transfer Engine'!$C$2:$C$1960,0)),"",INDEX('Compliance Database'!$I$2:$I$1960,MATCH(1554,'Transfer Engine'!$C$2:$C$1960,0)))</f>
        <v/>
      </c>
      <c r="J1563" s="8">
        <f>IF(ISNA(MATCH(1554,'Transfer Engine'!$C$2:$C$1960,0)),"",INDEX('Compliance Database'!$J$2:$J$1960,MATCH(1554,'Transfer Engine'!$C$2:$C$1960,0)))</f>
        <v/>
      </c>
      <c r="K1563" s="9">
        <f>IF(ISNA(MATCH(1554,'Transfer Engine'!$C$2:$C$1960,0)),"",INDEX('Compliance Database'!$K$2:$K$1960,MATCH(1554,'Transfer Engine'!$C$2:$C$1960,0)))</f>
        <v/>
      </c>
      <c r="L1563" s="9">
        <f>IF(ISNA(MATCH(1554,'Transfer Engine'!$C$2:$C$1960,0)),"",INDEX('Compliance Database'!$L$2:$L$1960,MATCH(1554,'Transfer Engine'!$C$2:$C$1960,0)))</f>
        <v/>
      </c>
      <c r="M1563" s="9">
        <f>IF(ISNA(MATCH(1554,'Transfer Engine'!$C$2:$C$1960,0)),"",INDEX('Compliance Database'!$M$2:$M$1960,MATCH(1554,'Transfer Engine'!$C$2:$C$1960,0)))</f>
        <v/>
      </c>
      <c r="N1563" s="9">
        <f>IF(ISNA(MATCH(1554,'Transfer Engine'!$C$2:$C$1960,0)),"",INDEX('Compliance Database'!$N$2:$N$1960,MATCH(1554,'Transfer Engine'!$C$2:$C$1960,0)))</f>
        <v/>
      </c>
      <c r="O1563" s="9">
        <f>IF(ISNA(MATCH(1554,'Transfer Engine'!$C$2:$C$1960,0)),"",INDEX('Compliance Database'!$O$2:$O$1960,MATCH(1554,'Transfer Engine'!$C$2:$C$1960,0)))</f>
        <v/>
      </c>
      <c r="P1563" s="8">
        <f>IF(ISNA(MATCH(1554,'Transfer Engine'!$C$2:$C$1960,0)),"",HYPERLINK("#Acts!A"&amp;INDEX('Compliance Database'!$P$2:$P$1960,MATCH(1554,'Transfer Engine'!$C$2:$C$1960,0)),"Go to Act"))</f>
        <v/>
      </c>
    </row>
    <row r="1564" ht="158" customHeight="1">
      <c r="A1564" s="8">
        <f>IF(ISNA(MATCH(1555,'Transfer Engine'!$C$2:$C$1960,0)),"",INDEX('Compliance Database'!$A$2:$A$1960,MATCH(1555,'Transfer Engine'!$C$2:$C$1960,0)))</f>
        <v/>
      </c>
      <c r="B1564" s="8">
        <f>IF(ISNA(MATCH(1555,'Transfer Engine'!$C$2:$C$1960,0)),"",INDEX('Compliance Database'!$B$2:$B$1960,MATCH(1555,'Transfer Engine'!$C$2:$C$1960,0)))</f>
        <v/>
      </c>
      <c r="C1564" s="8">
        <f>IF(ISNA(MATCH(1555,'Transfer Engine'!$C$2:$C$1960,0)),"",INDEX('Compliance Database'!$C$2:$C$1960,MATCH(1555,'Transfer Engine'!$C$2:$C$1960,0)))</f>
        <v/>
      </c>
      <c r="D1564" s="9">
        <f>IF(ISNA(MATCH(1555,'Transfer Engine'!$C$2:$C$1960,0)),"",INDEX('Compliance Database'!$D$2:$D$1960,MATCH(1555,'Transfer Engine'!$C$2:$C$1960,0)))</f>
        <v/>
      </c>
      <c r="E1564" s="8">
        <f>IF(ISNA(MATCH(1555,'Transfer Engine'!$C$2:$C$1960,0)),"",INDEX('Compliance Database'!$E$2:$E$1960,MATCH(1555,'Transfer Engine'!$C$2:$C$1960,0)))</f>
        <v/>
      </c>
      <c r="F1564" s="8">
        <f>IF(ISNA(MATCH(1555,'Transfer Engine'!$C$2:$C$1960,0)),"",INDEX('Compliance Database'!$F$2:$F$1960,MATCH(1555,'Transfer Engine'!$C$2:$C$1960,0)))</f>
        <v/>
      </c>
      <c r="G1564" s="8">
        <f>IF(ISNA(MATCH(1555,'Transfer Engine'!$C$2:$C$1960,0)),"",INDEX('Compliance Database'!$G$2:$G$1960,MATCH(1555,'Transfer Engine'!$C$2:$C$1960,0)))</f>
        <v/>
      </c>
      <c r="H1564" s="9">
        <f>IF(ISNA(MATCH(1555,'Transfer Engine'!$C$2:$C$1960,0)),"",INDEX('Compliance Database'!$H$2:$H$1960,MATCH(1555,'Transfer Engine'!$C$2:$C$1960,0)))</f>
        <v/>
      </c>
      <c r="I1564" s="9">
        <f>IF(ISNA(MATCH(1555,'Transfer Engine'!$C$2:$C$1960,0)),"",INDEX('Compliance Database'!$I$2:$I$1960,MATCH(1555,'Transfer Engine'!$C$2:$C$1960,0)))</f>
        <v/>
      </c>
      <c r="J1564" s="8">
        <f>IF(ISNA(MATCH(1555,'Transfer Engine'!$C$2:$C$1960,0)),"",INDEX('Compliance Database'!$J$2:$J$1960,MATCH(1555,'Transfer Engine'!$C$2:$C$1960,0)))</f>
        <v/>
      </c>
      <c r="K1564" s="9">
        <f>IF(ISNA(MATCH(1555,'Transfer Engine'!$C$2:$C$1960,0)),"",INDEX('Compliance Database'!$K$2:$K$1960,MATCH(1555,'Transfer Engine'!$C$2:$C$1960,0)))</f>
        <v/>
      </c>
      <c r="L1564" s="9">
        <f>IF(ISNA(MATCH(1555,'Transfer Engine'!$C$2:$C$1960,0)),"",INDEX('Compliance Database'!$L$2:$L$1960,MATCH(1555,'Transfer Engine'!$C$2:$C$1960,0)))</f>
        <v/>
      </c>
      <c r="M1564" s="9">
        <f>IF(ISNA(MATCH(1555,'Transfer Engine'!$C$2:$C$1960,0)),"",INDEX('Compliance Database'!$M$2:$M$1960,MATCH(1555,'Transfer Engine'!$C$2:$C$1960,0)))</f>
        <v/>
      </c>
      <c r="N1564" s="9">
        <f>IF(ISNA(MATCH(1555,'Transfer Engine'!$C$2:$C$1960,0)),"",INDEX('Compliance Database'!$N$2:$N$1960,MATCH(1555,'Transfer Engine'!$C$2:$C$1960,0)))</f>
        <v/>
      </c>
      <c r="O1564" s="9">
        <f>IF(ISNA(MATCH(1555,'Transfer Engine'!$C$2:$C$1960,0)),"",INDEX('Compliance Database'!$O$2:$O$1960,MATCH(1555,'Transfer Engine'!$C$2:$C$1960,0)))</f>
        <v/>
      </c>
      <c r="P1564" s="8">
        <f>IF(ISNA(MATCH(1555,'Transfer Engine'!$C$2:$C$1960,0)),"",HYPERLINK("#Acts!A"&amp;INDEX('Compliance Database'!$P$2:$P$1960,MATCH(1555,'Transfer Engine'!$C$2:$C$1960,0)),"Go to Act"))</f>
        <v/>
      </c>
    </row>
    <row r="1565" ht="158" customHeight="1">
      <c r="A1565" s="8">
        <f>IF(ISNA(MATCH(1556,'Transfer Engine'!$C$2:$C$1960,0)),"",INDEX('Compliance Database'!$A$2:$A$1960,MATCH(1556,'Transfer Engine'!$C$2:$C$1960,0)))</f>
        <v/>
      </c>
      <c r="B1565" s="8">
        <f>IF(ISNA(MATCH(1556,'Transfer Engine'!$C$2:$C$1960,0)),"",INDEX('Compliance Database'!$B$2:$B$1960,MATCH(1556,'Transfer Engine'!$C$2:$C$1960,0)))</f>
        <v/>
      </c>
      <c r="C1565" s="8">
        <f>IF(ISNA(MATCH(1556,'Transfer Engine'!$C$2:$C$1960,0)),"",INDEX('Compliance Database'!$C$2:$C$1960,MATCH(1556,'Transfer Engine'!$C$2:$C$1960,0)))</f>
        <v/>
      </c>
      <c r="D1565" s="9">
        <f>IF(ISNA(MATCH(1556,'Transfer Engine'!$C$2:$C$1960,0)),"",INDEX('Compliance Database'!$D$2:$D$1960,MATCH(1556,'Transfer Engine'!$C$2:$C$1960,0)))</f>
        <v/>
      </c>
      <c r="E1565" s="8">
        <f>IF(ISNA(MATCH(1556,'Transfer Engine'!$C$2:$C$1960,0)),"",INDEX('Compliance Database'!$E$2:$E$1960,MATCH(1556,'Transfer Engine'!$C$2:$C$1960,0)))</f>
        <v/>
      </c>
      <c r="F1565" s="8">
        <f>IF(ISNA(MATCH(1556,'Transfer Engine'!$C$2:$C$1960,0)),"",INDEX('Compliance Database'!$F$2:$F$1960,MATCH(1556,'Transfer Engine'!$C$2:$C$1960,0)))</f>
        <v/>
      </c>
      <c r="G1565" s="8">
        <f>IF(ISNA(MATCH(1556,'Transfer Engine'!$C$2:$C$1960,0)),"",INDEX('Compliance Database'!$G$2:$G$1960,MATCH(1556,'Transfer Engine'!$C$2:$C$1960,0)))</f>
        <v/>
      </c>
      <c r="H1565" s="9">
        <f>IF(ISNA(MATCH(1556,'Transfer Engine'!$C$2:$C$1960,0)),"",INDEX('Compliance Database'!$H$2:$H$1960,MATCH(1556,'Transfer Engine'!$C$2:$C$1960,0)))</f>
        <v/>
      </c>
      <c r="I1565" s="9">
        <f>IF(ISNA(MATCH(1556,'Transfer Engine'!$C$2:$C$1960,0)),"",INDEX('Compliance Database'!$I$2:$I$1960,MATCH(1556,'Transfer Engine'!$C$2:$C$1960,0)))</f>
        <v/>
      </c>
      <c r="J1565" s="8">
        <f>IF(ISNA(MATCH(1556,'Transfer Engine'!$C$2:$C$1960,0)),"",INDEX('Compliance Database'!$J$2:$J$1960,MATCH(1556,'Transfer Engine'!$C$2:$C$1960,0)))</f>
        <v/>
      </c>
      <c r="K1565" s="9">
        <f>IF(ISNA(MATCH(1556,'Transfer Engine'!$C$2:$C$1960,0)),"",INDEX('Compliance Database'!$K$2:$K$1960,MATCH(1556,'Transfer Engine'!$C$2:$C$1960,0)))</f>
        <v/>
      </c>
      <c r="L1565" s="9">
        <f>IF(ISNA(MATCH(1556,'Transfer Engine'!$C$2:$C$1960,0)),"",INDEX('Compliance Database'!$L$2:$L$1960,MATCH(1556,'Transfer Engine'!$C$2:$C$1960,0)))</f>
        <v/>
      </c>
      <c r="M1565" s="9">
        <f>IF(ISNA(MATCH(1556,'Transfer Engine'!$C$2:$C$1960,0)),"",INDEX('Compliance Database'!$M$2:$M$1960,MATCH(1556,'Transfer Engine'!$C$2:$C$1960,0)))</f>
        <v/>
      </c>
      <c r="N1565" s="9">
        <f>IF(ISNA(MATCH(1556,'Transfer Engine'!$C$2:$C$1960,0)),"",INDEX('Compliance Database'!$N$2:$N$1960,MATCH(1556,'Transfer Engine'!$C$2:$C$1960,0)))</f>
        <v/>
      </c>
      <c r="O1565" s="9">
        <f>IF(ISNA(MATCH(1556,'Transfer Engine'!$C$2:$C$1960,0)),"",INDEX('Compliance Database'!$O$2:$O$1960,MATCH(1556,'Transfer Engine'!$C$2:$C$1960,0)))</f>
        <v/>
      </c>
      <c r="P1565" s="8">
        <f>IF(ISNA(MATCH(1556,'Transfer Engine'!$C$2:$C$1960,0)),"",HYPERLINK("#Acts!A"&amp;INDEX('Compliance Database'!$P$2:$P$1960,MATCH(1556,'Transfer Engine'!$C$2:$C$1960,0)),"Go to Act"))</f>
        <v/>
      </c>
    </row>
    <row r="1566" ht="158" customHeight="1">
      <c r="A1566" s="8">
        <f>IF(ISNA(MATCH(1557,'Transfer Engine'!$C$2:$C$1960,0)),"",INDEX('Compliance Database'!$A$2:$A$1960,MATCH(1557,'Transfer Engine'!$C$2:$C$1960,0)))</f>
        <v/>
      </c>
      <c r="B1566" s="8">
        <f>IF(ISNA(MATCH(1557,'Transfer Engine'!$C$2:$C$1960,0)),"",INDEX('Compliance Database'!$B$2:$B$1960,MATCH(1557,'Transfer Engine'!$C$2:$C$1960,0)))</f>
        <v/>
      </c>
      <c r="C1566" s="8">
        <f>IF(ISNA(MATCH(1557,'Transfer Engine'!$C$2:$C$1960,0)),"",INDEX('Compliance Database'!$C$2:$C$1960,MATCH(1557,'Transfer Engine'!$C$2:$C$1960,0)))</f>
        <v/>
      </c>
      <c r="D1566" s="9">
        <f>IF(ISNA(MATCH(1557,'Transfer Engine'!$C$2:$C$1960,0)),"",INDEX('Compliance Database'!$D$2:$D$1960,MATCH(1557,'Transfer Engine'!$C$2:$C$1960,0)))</f>
        <v/>
      </c>
      <c r="E1566" s="8">
        <f>IF(ISNA(MATCH(1557,'Transfer Engine'!$C$2:$C$1960,0)),"",INDEX('Compliance Database'!$E$2:$E$1960,MATCH(1557,'Transfer Engine'!$C$2:$C$1960,0)))</f>
        <v/>
      </c>
      <c r="F1566" s="8">
        <f>IF(ISNA(MATCH(1557,'Transfer Engine'!$C$2:$C$1960,0)),"",INDEX('Compliance Database'!$F$2:$F$1960,MATCH(1557,'Transfer Engine'!$C$2:$C$1960,0)))</f>
        <v/>
      </c>
      <c r="G1566" s="8">
        <f>IF(ISNA(MATCH(1557,'Transfer Engine'!$C$2:$C$1960,0)),"",INDEX('Compliance Database'!$G$2:$G$1960,MATCH(1557,'Transfer Engine'!$C$2:$C$1960,0)))</f>
        <v/>
      </c>
      <c r="H1566" s="9">
        <f>IF(ISNA(MATCH(1557,'Transfer Engine'!$C$2:$C$1960,0)),"",INDEX('Compliance Database'!$H$2:$H$1960,MATCH(1557,'Transfer Engine'!$C$2:$C$1960,0)))</f>
        <v/>
      </c>
      <c r="I1566" s="9">
        <f>IF(ISNA(MATCH(1557,'Transfer Engine'!$C$2:$C$1960,0)),"",INDEX('Compliance Database'!$I$2:$I$1960,MATCH(1557,'Transfer Engine'!$C$2:$C$1960,0)))</f>
        <v/>
      </c>
      <c r="J1566" s="8">
        <f>IF(ISNA(MATCH(1557,'Transfer Engine'!$C$2:$C$1960,0)),"",INDEX('Compliance Database'!$J$2:$J$1960,MATCH(1557,'Transfer Engine'!$C$2:$C$1960,0)))</f>
        <v/>
      </c>
      <c r="K1566" s="9">
        <f>IF(ISNA(MATCH(1557,'Transfer Engine'!$C$2:$C$1960,0)),"",INDEX('Compliance Database'!$K$2:$K$1960,MATCH(1557,'Transfer Engine'!$C$2:$C$1960,0)))</f>
        <v/>
      </c>
      <c r="L1566" s="9">
        <f>IF(ISNA(MATCH(1557,'Transfer Engine'!$C$2:$C$1960,0)),"",INDEX('Compliance Database'!$L$2:$L$1960,MATCH(1557,'Transfer Engine'!$C$2:$C$1960,0)))</f>
        <v/>
      </c>
      <c r="M1566" s="9">
        <f>IF(ISNA(MATCH(1557,'Transfer Engine'!$C$2:$C$1960,0)),"",INDEX('Compliance Database'!$M$2:$M$1960,MATCH(1557,'Transfer Engine'!$C$2:$C$1960,0)))</f>
        <v/>
      </c>
      <c r="N1566" s="9">
        <f>IF(ISNA(MATCH(1557,'Transfer Engine'!$C$2:$C$1960,0)),"",INDEX('Compliance Database'!$N$2:$N$1960,MATCH(1557,'Transfer Engine'!$C$2:$C$1960,0)))</f>
        <v/>
      </c>
      <c r="O1566" s="9">
        <f>IF(ISNA(MATCH(1557,'Transfer Engine'!$C$2:$C$1960,0)),"",INDEX('Compliance Database'!$O$2:$O$1960,MATCH(1557,'Transfer Engine'!$C$2:$C$1960,0)))</f>
        <v/>
      </c>
      <c r="P1566" s="8">
        <f>IF(ISNA(MATCH(1557,'Transfer Engine'!$C$2:$C$1960,0)),"",HYPERLINK("#Acts!A"&amp;INDEX('Compliance Database'!$P$2:$P$1960,MATCH(1557,'Transfer Engine'!$C$2:$C$1960,0)),"Go to Act"))</f>
        <v/>
      </c>
    </row>
    <row r="1567" ht="158" customHeight="1">
      <c r="A1567" s="8">
        <f>IF(ISNA(MATCH(1558,'Transfer Engine'!$C$2:$C$1960,0)),"",INDEX('Compliance Database'!$A$2:$A$1960,MATCH(1558,'Transfer Engine'!$C$2:$C$1960,0)))</f>
        <v/>
      </c>
      <c r="B1567" s="8">
        <f>IF(ISNA(MATCH(1558,'Transfer Engine'!$C$2:$C$1960,0)),"",INDEX('Compliance Database'!$B$2:$B$1960,MATCH(1558,'Transfer Engine'!$C$2:$C$1960,0)))</f>
        <v/>
      </c>
      <c r="C1567" s="8">
        <f>IF(ISNA(MATCH(1558,'Transfer Engine'!$C$2:$C$1960,0)),"",INDEX('Compliance Database'!$C$2:$C$1960,MATCH(1558,'Transfer Engine'!$C$2:$C$1960,0)))</f>
        <v/>
      </c>
      <c r="D1567" s="9">
        <f>IF(ISNA(MATCH(1558,'Transfer Engine'!$C$2:$C$1960,0)),"",INDEX('Compliance Database'!$D$2:$D$1960,MATCH(1558,'Transfer Engine'!$C$2:$C$1960,0)))</f>
        <v/>
      </c>
      <c r="E1567" s="8">
        <f>IF(ISNA(MATCH(1558,'Transfer Engine'!$C$2:$C$1960,0)),"",INDEX('Compliance Database'!$E$2:$E$1960,MATCH(1558,'Transfer Engine'!$C$2:$C$1960,0)))</f>
        <v/>
      </c>
      <c r="F1567" s="8">
        <f>IF(ISNA(MATCH(1558,'Transfer Engine'!$C$2:$C$1960,0)),"",INDEX('Compliance Database'!$F$2:$F$1960,MATCH(1558,'Transfer Engine'!$C$2:$C$1960,0)))</f>
        <v/>
      </c>
      <c r="G1567" s="8">
        <f>IF(ISNA(MATCH(1558,'Transfer Engine'!$C$2:$C$1960,0)),"",INDEX('Compliance Database'!$G$2:$G$1960,MATCH(1558,'Transfer Engine'!$C$2:$C$1960,0)))</f>
        <v/>
      </c>
      <c r="H1567" s="9">
        <f>IF(ISNA(MATCH(1558,'Transfer Engine'!$C$2:$C$1960,0)),"",INDEX('Compliance Database'!$H$2:$H$1960,MATCH(1558,'Transfer Engine'!$C$2:$C$1960,0)))</f>
        <v/>
      </c>
      <c r="I1567" s="9">
        <f>IF(ISNA(MATCH(1558,'Transfer Engine'!$C$2:$C$1960,0)),"",INDEX('Compliance Database'!$I$2:$I$1960,MATCH(1558,'Transfer Engine'!$C$2:$C$1960,0)))</f>
        <v/>
      </c>
      <c r="J1567" s="8">
        <f>IF(ISNA(MATCH(1558,'Transfer Engine'!$C$2:$C$1960,0)),"",INDEX('Compliance Database'!$J$2:$J$1960,MATCH(1558,'Transfer Engine'!$C$2:$C$1960,0)))</f>
        <v/>
      </c>
      <c r="K1567" s="9">
        <f>IF(ISNA(MATCH(1558,'Transfer Engine'!$C$2:$C$1960,0)),"",INDEX('Compliance Database'!$K$2:$K$1960,MATCH(1558,'Transfer Engine'!$C$2:$C$1960,0)))</f>
        <v/>
      </c>
      <c r="L1567" s="9">
        <f>IF(ISNA(MATCH(1558,'Transfer Engine'!$C$2:$C$1960,0)),"",INDEX('Compliance Database'!$L$2:$L$1960,MATCH(1558,'Transfer Engine'!$C$2:$C$1960,0)))</f>
        <v/>
      </c>
      <c r="M1567" s="9">
        <f>IF(ISNA(MATCH(1558,'Transfer Engine'!$C$2:$C$1960,0)),"",INDEX('Compliance Database'!$M$2:$M$1960,MATCH(1558,'Transfer Engine'!$C$2:$C$1960,0)))</f>
        <v/>
      </c>
      <c r="N1567" s="9">
        <f>IF(ISNA(MATCH(1558,'Transfer Engine'!$C$2:$C$1960,0)),"",INDEX('Compliance Database'!$N$2:$N$1960,MATCH(1558,'Transfer Engine'!$C$2:$C$1960,0)))</f>
        <v/>
      </c>
      <c r="O1567" s="9">
        <f>IF(ISNA(MATCH(1558,'Transfer Engine'!$C$2:$C$1960,0)),"",INDEX('Compliance Database'!$O$2:$O$1960,MATCH(1558,'Transfer Engine'!$C$2:$C$1960,0)))</f>
        <v/>
      </c>
      <c r="P1567" s="8">
        <f>IF(ISNA(MATCH(1558,'Transfer Engine'!$C$2:$C$1960,0)),"",HYPERLINK("#Acts!A"&amp;INDEX('Compliance Database'!$P$2:$P$1960,MATCH(1558,'Transfer Engine'!$C$2:$C$1960,0)),"Go to Act"))</f>
        <v/>
      </c>
    </row>
    <row r="1568" ht="158" customHeight="1">
      <c r="A1568" s="8">
        <f>IF(ISNA(MATCH(1559,'Transfer Engine'!$C$2:$C$1960,0)),"",INDEX('Compliance Database'!$A$2:$A$1960,MATCH(1559,'Transfer Engine'!$C$2:$C$1960,0)))</f>
        <v/>
      </c>
      <c r="B1568" s="8">
        <f>IF(ISNA(MATCH(1559,'Transfer Engine'!$C$2:$C$1960,0)),"",INDEX('Compliance Database'!$B$2:$B$1960,MATCH(1559,'Transfer Engine'!$C$2:$C$1960,0)))</f>
        <v/>
      </c>
      <c r="C1568" s="8">
        <f>IF(ISNA(MATCH(1559,'Transfer Engine'!$C$2:$C$1960,0)),"",INDEX('Compliance Database'!$C$2:$C$1960,MATCH(1559,'Transfer Engine'!$C$2:$C$1960,0)))</f>
        <v/>
      </c>
      <c r="D1568" s="9">
        <f>IF(ISNA(MATCH(1559,'Transfer Engine'!$C$2:$C$1960,0)),"",INDEX('Compliance Database'!$D$2:$D$1960,MATCH(1559,'Transfer Engine'!$C$2:$C$1960,0)))</f>
        <v/>
      </c>
      <c r="E1568" s="8">
        <f>IF(ISNA(MATCH(1559,'Transfer Engine'!$C$2:$C$1960,0)),"",INDEX('Compliance Database'!$E$2:$E$1960,MATCH(1559,'Transfer Engine'!$C$2:$C$1960,0)))</f>
        <v/>
      </c>
      <c r="F1568" s="8">
        <f>IF(ISNA(MATCH(1559,'Transfer Engine'!$C$2:$C$1960,0)),"",INDEX('Compliance Database'!$F$2:$F$1960,MATCH(1559,'Transfer Engine'!$C$2:$C$1960,0)))</f>
        <v/>
      </c>
      <c r="G1568" s="8">
        <f>IF(ISNA(MATCH(1559,'Transfer Engine'!$C$2:$C$1960,0)),"",INDEX('Compliance Database'!$G$2:$G$1960,MATCH(1559,'Transfer Engine'!$C$2:$C$1960,0)))</f>
        <v/>
      </c>
      <c r="H1568" s="9">
        <f>IF(ISNA(MATCH(1559,'Transfer Engine'!$C$2:$C$1960,0)),"",INDEX('Compliance Database'!$H$2:$H$1960,MATCH(1559,'Transfer Engine'!$C$2:$C$1960,0)))</f>
        <v/>
      </c>
      <c r="I1568" s="9">
        <f>IF(ISNA(MATCH(1559,'Transfer Engine'!$C$2:$C$1960,0)),"",INDEX('Compliance Database'!$I$2:$I$1960,MATCH(1559,'Transfer Engine'!$C$2:$C$1960,0)))</f>
        <v/>
      </c>
      <c r="J1568" s="8">
        <f>IF(ISNA(MATCH(1559,'Transfer Engine'!$C$2:$C$1960,0)),"",INDEX('Compliance Database'!$J$2:$J$1960,MATCH(1559,'Transfer Engine'!$C$2:$C$1960,0)))</f>
        <v/>
      </c>
      <c r="K1568" s="9">
        <f>IF(ISNA(MATCH(1559,'Transfer Engine'!$C$2:$C$1960,0)),"",INDEX('Compliance Database'!$K$2:$K$1960,MATCH(1559,'Transfer Engine'!$C$2:$C$1960,0)))</f>
        <v/>
      </c>
      <c r="L1568" s="9">
        <f>IF(ISNA(MATCH(1559,'Transfer Engine'!$C$2:$C$1960,0)),"",INDEX('Compliance Database'!$L$2:$L$1960,MATCH(1559,'Transfer Engine'!$C$2:$C$1960,0)))</f>
        <v/>
      </c>
      <c r="M1568" s="9">
        <f>IF(ISNA(MATCH(1559,'Transfer Engine'!$C$2:$C$1960,0)),"",INDEX('Compliance Database'!$M$2:$M$1960,MATCH(1559,'Transfer Engine'!$C$2:$C$1960,0)))</f>
        <v/>
      </c>
      <c r="N1568" s="9">
        <f>IF(ISNA(MATCH(1559,'Transfer Engine'!$C$2:$C$1960,0)),"",INDEX('Compliance Database'!$N$2:$N$1960,MATCH(1559,'Transfer Engine'!$C$2:$C$1960,0)))</f>
        <v/>
      </c>
      <c r="O1568" s="9">
        <f>IF(ISNA(MATCH(1559,'Transfer Engine'!$C$2:$C$1960,0)),"",INDEX('Compliance Database'!$O$2:$O$1960,MATCH(1559,'Transfer Engine'!$C$2:$C$1960,0)))</f>
        <v/>
      </c>
      <c r="P1568" s="8">
        <f>IF(ISNA(MATCH(1559,'Transfer Engine'!$C$2:$C$1960,0)),"",HYPERLINK("#Acts!A"&amp;INDEX('Compliance Database'!$P$2:$P$1960,MATCH(1559,'Transfer Engine'!$C$2:$C$1960,0)),"Go to Act"))</f>
        <v/>
      </c>
    </row>
    <row r="1569" ht="158" customHeight="1">
      <c r="A1569" s="8">
        <f>IF(ISNA(MATCH(1560,'Transfer Engine'!$C$2:$C$1960,0)),"",INDEX('Compliance Database'!$A$2:$A$1960,MATCH(1560,'Transfer Engine'!$C$2:$C$1960,0)))</f>
        <v/>
      </c>
      <c r="B1569" s="8">
        <f>IF(ISNA(MATCH(1560,'Transfer Engine'!$C$2:$C$1960,0)),"",INDEX('Compliance Database'!$B$2:$B$1960,MATCH(1560,'Transfer Engine'!$C$2:$C$1960,0)))</f>
        <v/>
      </c>
      <c r="C1569" s="8">
        <f>IF(ISNA(MATCH(1560,'Transfer Engine'!$C$2:$C$1960,0)),"",INDEX('Compliance Database'!$C$2:$C$1960,MATCH(1560,'Transfer Engine'!$C$2:$C$1960,0)))</f>
        <v/>
      </c>
      <c r="D1569" s="9">
        <f>IF(ISNA(MATCH(1560,'Transfer Engine'!$C$2:$C$1960,0)),"",INDEX('Compliance Database'!$D$2:$D$1960,MATCH(1560,'Transfer Engine'!$C$2:$C$1960,0)))</f>
        <v/>
      </c>
      <c r="E1569" s="8">
        <f>IF(ISNA(MATCH(1560,'Transfer Engine'!$C$2:$C$1960,0)),"",INDEX('Compliance Database'!$E$2:$E$1960,MATCH(1560,'Transfer Engine'!$C$2:$C$1960,0)))</f>
        <v/>
      </c>
      <c r="F1569" s="8">
        <f>IF(ISNA(MATCH(1560,'Transfer Engine'!$C$2:$C$1960,0)),"",INDEX('Compliance Database'!$F$2:$F$1960,MATCH(1560,'Transfer Engine'!$C$2:$C$1960,0)))</f>
        <v/>
      </c>
      <c r="G1569" s="8">
        <f>IF(ISNA(MATCH(1560,'Transfer Engine'!$C$2:$C$1960,0)),"",INDEX('Compliance Database'!$G$2:$G$1960,MATCH(1560,'Transfer Engine'!$C$2:$C$1960,0)))</f>
        <v/>
      </c>
      <c r="H1569" s="9">
        <f>IF(ISNA(MATCH(1560,'Transfer Engine'!$C$2:$C$1960,0)),"",INDEX('Compliance Database'!$H$2:$H$1960,MATCH(1560,'Transfer Engine'!$C$2:$C$1960,0)))</f>
        <v/>
      </c>
      <c r="I1569" s="9">
        <f>IF(ISNA(MATCH(1560,'Transfer Engine'!$C$2:$C$1960,0)),"",INDEX('Compliance Database'!$I$2:$I$1960,MATCH(1560,'Transfer Engine'!$C$2:$C$1960,0)))</f>
        <v/>
      </c>
      <c r="J1569" s="8">
        <f>IF(ISNA(MATCH(1560,'Transfer Engine'!$C$2:$C$1960,0)),"",INDEX('Compliance Database'!$J$2:$J$1960,MATCH(1560,'Transfer Engine'!$C$2:$C$1960,0)))</f>
        <v/>
      </c>
      <c r="K1569" s="9">
        <f>IF(ISNA(MATCH(1560,'Transfer Engine'!$C$2:$C$1960,0)),"",INDEX('Compliance Database'!$K$2:$K$1960,MATCH(1560,'Transfer Engine'!$C$2:$C$1960,0)))</f>
        <v/>
      </c>
      <c r="L1569" s="9">
        <f>IF(ISNA(MATCH(1560,'Transfer Engine'!$C$2:$C$1960,0)),"",INDEX('Compliance Database'!$L$2:$L$1960,MATCH(1560,'Transfer Engine'!$C$2:$C$1960,0)))</f>
        <v/>
      </c>
      <c r="M1569" s="9">
        <f>IF(ISNA(MATCH(1560,'Transfer Engine'!$C$2:$C$1960,0)),"",INDEX('Compliance Database'!$M$2:$M$1960,MATCH(1560,'Transfer Engine'!$C$2:$C$1960,0)))</f>
        <v/>
      </c>
      <c r="N1569" s="9">
        <f>IF(ISNA(MATCH(1560,'Transfer Engine'!$C$2:$C$1960,0)),"",INDEX('Compliance Database'!$N$2:$N$1960,MATCH(1560,'Transfer Engine'!$C$2:$C$1960,0)))</f>
        <v/>
      </c>
      <c r="O1569" s="9">
        <f>IF(ISNA(MATCH(1560,'Transfer Engine'!$C$2:$C$1960,0)),"",INDEX('Compliance Database'!$O$2:$O$1960,MATCH(1560,'Transfer Engine'!$C$2:$C$1960,0)))</f>
        <v/>
      </c>
      <c r="P1569" s="8">
        <f>IF(ISNA(MATCH(1560,'Transfer Engine'!$C$2:$C$1960,0)),"",HYPERLINK("#Acts!A"&amp;INDEX('Compliance Database'!$P$2:$P$1960,MATCH(1560,'Transfer Engine'!$C$2:$C$1960,0)),"Go to Act"))</f>
        <v/>
      </c>
    </row>
    <row r="1570" ht="158" customHeight="1">
      <c r="A1570" s="8">
        <f>IF(ISNA(MATCH(1561,'Transfer Engine'!$C$2:$C$1960,0)),"",INDEX('Compliance Database'!$A$2:$A$1960,MATCH(1561,'Transfer Engine'!$C$2:$C$1960,0)))</f>
        <v/>
      </c>
      <c r="B1570" s="8">
        <f>IF(ISNA(MATCH(1561,'Transfer Engine'!$C$2:$C$1960,0)),"",INDEX('Compliance Database'!$B$2:$B$1960,MATCH(1561,'Transfer Engine'!$C$2:$C$1960,0)))</f>
        <v/>
      </c>
      <c r="C1570" s="8">
        <f>IF(ISNA(MATCH(1561,'Transfer Engine'!$C$2:$C$1960,0)),"",INDEX('Compliance Database'!$C$2:$C$1960,MATCH(1561,'Transfer Engine'!$C$2:$C$1960,0)))</f>
        <v/>
      </c>
      <c r="D1570" s="9">
        <f>IF(ISNA(MATCH(1561,'Transfer Engine'!$C$2:$C$1960,0)),"",INDEX('Compliance Database'!$D$2:$D$1960,MATCH(1561,'Transfer Engine'!$C$2:$C$1960,0)))</f>
        <v/>
      </c>
      <c r="E1570" s="8">
        <f>IF(ISNA(MATCH(1561,'Transfer Engine'!$C$2:$C$1960,0)),"",INDEX('Compliance Database'!$E$2:$E$1960,MATCH(1561,'Transfer Engine'!$C$2:$C$1960,0)))</f>
        <v/>
      </c>
      <c r="F1570" s="8">
        <f>IF(ISNA(MATCH(1561,'Transfer Engine'!$C$2:$C$1960,0)),"",INDEX('Compliance Database'!$F$2:$F$1960,MATCH(1561,'Transfer Engine'!$C$2:$C$1960,0)))</f>
        <v/>
      </c>
      <c r="G1570" s="8">
        <f>IF(ISNA(MATCH(1561,'Transfer Engine'!$C$2:$C$1960,0)),"",INDEX('Compliance Database'!$G$2:$G$1960,MATCH(1561,'Transfer Engine'!$C$2:$C$1960,0)))</f>
        <v/>
      </c>
      <c r="H1570" s="9">
        <f>IF(ISNA(MATCH(1561,'Transfer Engine'!$C$2:$C$1960,0)),"",INDEX('Compliance Database'!$H$2:$H$1960,MATCH(1561,'Transfer Engine'!$C$2:$C$1960,0)))</f>
        <v/>
      </c>
      <c r="I1570" s="9">
        <f>IF(ISNA(MATCH(1561,'Transfer Engine'!$C$2:$C$1960,0)),"",INDEX('Compliance Database'!$I$2:$I$1960,MATCH(1561,'Transfer Engine'!$C$2:$C$1960,0)))</f>
        <v/>
      </c>
      <c r="J1570" s="8">
        <f>IF(ISNA(MATCH(1561,'Transfer Engine'!$C$2:$C$1960,0)),"",INDEX('Compliance Database'!$J$2:$J$1960,MATCH(1561,'Transfer Engine'!$C$2:$C$1960,0)))</f>
        <v/>
      </c>
      <c r="K1570" s="9">
        <f>IF(ISNA(MATCH(1561,'Transfer Engine'!$C$2:$C$1960,0)),"",INDEX('Compliance Database'!$K$2:$K$1960,MATCH(1561,'Transfer Engine'!$C$2:$C$1960,0)))</f>
        <v/>
      </c>
      <c r="L1570" s="9">
        <f>IF(ISNA(MATCH(1561,'Transfer Engine'!$C$2:$C$1960,0)),"",INDEX('Compliance Database'!$L$2:$L$1960,MATCH(1561,'Transfer Engine'!$C$2:$C$1960,0)))</f>
        <v/>
      </c>
      <c r="M1570" s="9">
        <f>IF(ISNA(MATCH(1561,'Transfer Engine'!$C$2:$C$1960,0)),"",INDEX('Compliance Database'!$M$2:$M$1960,MATCH(1561,'Transfer Engine'!$C$2:$C$1960,0)))</f>
        <v/>
      </c>
      <c r="N1570" s="9">
        <f>IF(ISNA(MATCH(1561,'Transfer Engine'!$C$2:$C$1960,0)),"",INDEX('Compliance Database'!$N$2:$N$1960,MATCH(1561,'Transfer Engine'!$C$2:$C$1960,0)))</f>
        <v/>
      </c>
      <c r="O1570" s="9">
        <f>IF(ISNA(MATCH(1561,'Transfer Engine'!$C$2:$C$1960,0)),"",INDEX('Compliance Database'!$O$2:$O$1960,MATCH(1561,'Transfer Engine'!$C$2:$C$1960,0)))</f>
        <v/>
      </c>
      <c r="P1570" s="8">
        <f>IF(ISNA(MATCH(1561,'Transfer Engine'!$C$2:$C$1960,0)),"",HYPERLINK("#Acts!A"&amp;INDEX('Compliance Database'!$P$2:$P$1960,MATCH(1561,'Transfer Engine'!$C$2:$C$1960,0)),"Go to Act"))</f>
        <v/>
      </c>
    </row>
    <row r="1571" ht="158" customHeight="1">
      <c r="A1571" s="8">
        <f>IF(ISNA(MATCH(1562,'Transfer Engine'!$C$2:$C$1960,0)),"",INDEX('Compliance Database'!$A$2:$A$1960,MATCH(1562,'Transfer Engine'!$C$2:$C$1960,0)))</f>
        <v/>
      </c>
      <c r="B1571" s="8">
        <f>IF(ISNA(MATCH(1562,'Transfer Engine'!$C$2:$C$1960,0)),"",INDEX('Compliance Database'!$B$2:$B$1960,MATCH(1562,'Transfer Engine'!$C$2:$C$1960,0)))</f>
        <v/>
      </c>
      <c r="C1571" s="8">
        <f>IF(ISNA(MATCH(1562,'Transfer Engine'!$C$2:$C$1960,0)),"",INDEX('Compliance Database'!$C$2:$C$1960,MATCH(1562,'Transfer Engine'!$C$2:$C$1960,0)))</f>
        <v/>
      </c>
      <c r="D1571" s="9">
        <f>IF(ISNA(MATCH(1562,'Transfer Engine'!$C$2:$C$1960,0)),"",INDEX('Compliance Database'!$D$2:$D$1960,MATCH(1562,'Transfer Engine'!$C$2:$C$1960,0)))</f>
        <v/>
      </c>
      <c r="E1571" s="8">
        <f>IF(ISNA(MATCH(1562,'Transfer Engine'!$C$2:$C$1960,0)),"",INDEX('Compliance Database'!$E$2:$E$1960,MATCH(1562,'Transfer Engine'!$C$2:$C$1960,0)))</f>
        <v/>
      </c>
      <c r="F1571" s="8">
        <f>IF(ISNA(MATCH(1562,'Transfer Engine'!$C$2:$C$1960,0)),"",INDEX('Compliance Database'!$F$2:$F$1960,MATCH(1562,'Transfer Engine'!$C$2:$C$1960,0)))</f>
        <v/>
      </c>
      <c r="G1571" s="8">
        <f>IF(ISNA(MATCH(1562,'Transfer Engine'!$C$2:$C$1960,0)),"",INDEX('Compliance Database'!$G$2:$G$1960,MATCH(1562,'Transfer Engine'!$C$2:$C$1960,0)))</f>
        <v/>
      </c>
      <c r="H1571" s="9">
        <f>IF(ISNA(MATCH(1562,'Transfer Engine'!$C$2:$C$1960,0)),"",INDEX('Compliance Database'!$H$2:$H$1960,MATCH(1562,'Transfer Engine'!$C$2:$C$1960,0)))</f>
        <v/>
      </c>
      <c r="I1571" s="9">
        <f>IF(ISNA(MATCH(1562,'Transfer Engine'!$C$2:$C$1960,0)),"",INDEX('Compliance Database'!$I$2:$I$1960,MATCH(1562,'Transfer Engine'!$C$2:$C$1960,0)))</f>
        <v/>
      </c>
      <c r="J1571" s="8">
        <f>IF(ISNA(MATCH(1562,'Transfer Engine'!$C$2:$C$1960,0)),"",INDEX('Compliance Database'!$J$2:$J$1960,MATCH(1562,'Transfer Engine'!$C$2:$C$1960,0)))</f>
        <v/>
      </c>
      <c r="K1571" s="9">
        <f>IF(ISNA(MATCH(1562,'Transfer Engine'!$C$2:$C$1960,0)),"",INDEX('Compliance Database'!$K$2:$K$1960,MATCH(1562,'Transfer Engine'!$C$2:$C$1960,0)))</f>
        <v/>
      </c>
      <c r="L1571" s="9">
        <f>IF(ISNA(MATCH(1562,'Transfer Engine'!$C$2:$C$1960,0)),"",INDEX('Compliance Database'!$L$2:$L$1960,MATCH(1562,'Transfer Engine'!$C$2:$C$1960,0)))</f>
        <v/>
      </c>
      <c r="M1571" s="9">
        <f>IF(ISNA(MATCH(1562,'Transfer Engine'!$C$2:$C$1960,0)),"",INDEX('Compliance Database'!$M$2:$M$1960,MATCH(1562,'Transfer Engine'!$C$2:$C$1960,0)))</f>
        <v/>
      </c>
      <c r="N1571" s="9">
        <f>IF(ISNA(MATCH(1562,'Transfer Engine'!$C$2:$C$1960,0)),"",INDEX('Compliance Database'!$N$2:$N$1960,MATCH(1562,'Transfer Engine'!$C$2:$C$1960,0)))</f>
        <v/>
      </c>
      <c r="O1571" s="9">
        <f>IF(ISNA(MATCH(1562,'Transfer Engine'!$C$2:$C$1960,0)),"",INDEX('Compliance Database'!$O$2:$O$1960,MATCH(1562,'Transfer Engine'!$C$2:$C$1960,0)))</f>
        <v/>
      </c>
      <c r="P1571" s="8">
        <f>IF(ISNA(MATCH(1562,'Transfer Engine'!$C$2:$C$1960,0)),"",HYPERLINK("#Acts!A"&amp;INDEX('Compliance Database'!$P$2:$P$1960,MATCH(1562,'Transfer Engine'!$C$2:$C$1960,0)),"Go to Act"))</f>
        <v/>
      </c>
    </row>
    <row r="1572" ht="158" customHeight="1">
      <c r="A1572" s="8">
        <f>IF(ISNA(MATCH(1563,'Transfer Engine'!$C$2:$C$1960,0)),"",INDEX('Compliance Database'!$A$2:$A$1960,MATCH(1563,'Transfer Engine'!$C$2:$C$1960,0)))</f>
        <v/>
      </c>
      <c r="B1572" s="8">
        <f>IF(ISNA(MATCH(1563,'Transfer Engine'!$C$2:$C$1960,0)),"",INDEX('Compliance Database'!$B$2:$B$1960,MATCH(1563,'Transfer Engine'!$C$2:$C$1960,0)))</f>
        <v/>
      </c>
      <c r="C1572" s="8">
        <f>IF(ISNA(MATCH(1563,'Transfer Engine'!$C$2:$C$1960,0)),"",INDEX('Compliance Database'!$C$2:$C$1960,MATCH(1563,'Transfer Engine'!$C$2:$C$1960,0)))</f>
        <v/>
      </c>
      <c r="D1572" s="9">
        <f>IF(ISNA(MATCH(1563,'Transfer Engine'!$C$2:$C$1960,0)),"",INDEX('Compliance Database'!$D$2:$D$1960,MATCH(1563,'Transfer Engine'!$C$2:$C$1960,0)))</f>
        <v/>
      </c>
      <c r="E1572" s="8">
        <f>IF(ISNA(MATCH(1563,'Transfer Engine'!$C$2:$C$1960,0)),"",INDEX('Compliance Database'!$E$2:$E$1960,MATCH(1563,'Transfer Engine'!$C$2:$C$1960,0)))</f>
        <v/>
      </c>
      <c r="F1572" s="8">
        <f>IF(ISNA(MATCH(1563,'Transfer Engine'!$C$2:$C$1960,0)),"",INDEX('Compliance Database'!$F$2:$F$1960,MATCH(1563,'Transfer Engine'!$C$2:$C$1960,0)))</f>
        <v/>
      </c>
      <c r="G1572" s="8">
        <f>IF(ISNA(MATCH(1563,'Transfer Engine'!$C$2:$C$1960,0)),"",INDEX('Compliance Database'!$G$2:$G$1960,MATCH(1563,'Transfer Engine'!$C$2:$C$1960,0)))</f>
        <v/>
      </c>
      <c r="H1572" s="9">
        <f>IF(ISNA(MATCH(1563,'Transfer Engine'!$C$2:$C$1960,0)),"",INDEX('Compliance Database'!$H$2:$H$1960,MATCH(1563,'Transfer Engine'!$C$2:$C$1960,0)))</f>
        <v/>
      </c>
      <c r="I1572" s="9">
        <f>IF(ISNA(MATCH(1563,'Transfer Engine'!$C$2:$C$1960,0)),"",INDEX('Compliance Database'!$I$2:$I$1960,MATCH(1563,'Transfer Engine'!$C$2:$C$1960,0)))</f>
        <v/>
      </c>
      <c r="J1572" s="8">
        <f>IF(ISNA(MATCH(1563,'Transfer Engine'!$C$2:$C$1960,0)),"",INDEX('Compliance Database'!$J$2:$J$1960,MATCH(1563,'Transfer Engine'!$C$2:$C$1960,0)))</f>
        <v/>
      </c>
      <c r="K1572" s="9">
        <f>IF(ISNA(MATCH(1563,'Transfer Engine'!$C$2:$C$1960,0)),"",INDEX('Compliance Database'!$K$2:$K$1960,MATCH(1563,'Transfer Engine'!$C$2:$C$1960,0)))</f>
        <v/>
      </c>
      <c r="L1572" s="9">
        <f>IF(ISNA(MATCH(1563,'Transfer Engine'!$C$2:$C$1960,0)),"",INDEX('Compliance Database'!$L$2:$L$1960,MATCH(1563,'Transfer Engine'!$C$2:$C$1960,0)))</f>
        <v/>
      </c>
      <c r="M1572" s="9">
        <f>IF(ISNA(MATCH(1563,'Transfer Engine'!$C$2:$C$1960,0)),"",INDEX('Compliance Database'!$M$2:$M$1960,MATCH(1563,'Transfer Engine'!$C$2:$C$1960,0)))</f>
        <v/>
      </c>
      <c r="N1572" s="9">
        <f>IF(ISNA(MATCH(1563,'Transfer Engine'!$C$2:$C$1960,0)),"",INDEX('Compliance Database'!$N$2:$N$1960,MATCH(1563,'Transfer Engine'!$C$2:$C$1960,0)))</f>
        <v/>
      </c>
      <c r="O1572" s="9">
        <f>IF(ISNA(MATCH(1563,'Transfer Engine'!$C$2:$C$1960,0)),"",INDEX('Compliance Database'!$O$2:$O$1960,MATCH(1563,'Transfer Engine'!$C$2:$C$1960,0)))</f>
        <v/>
      </c>
      <c r="P1572" s="8">
        <f>IF(ISNA(MATCH(1563,'Transfer Engine'!$C$2:$C$1960,0)),"",HYPERLINK("#Acts!A"&amp;INDEX('Compliance Database'!$P$2:$P$1960,MATCH(1563,'Transfer Engine'!$C$2:$C$1960,0)),"Go to Act"))</f>
        <v/>
      </c>
    </row>
    <row r="1573" ht="158" customHeight="1">
      <c r="A1573" s="8">
        <f>IF(ISNA(MATCH(1564,'Transfer Engine'!$C$2:$C$1960,0)),"",INDEX('Compliance Database'!$A$2:$A$1960,MATCH(1564,'Transfer Engine'!$C$2:$C$1960,0)))</f>
        <v/>
      </c>
      <c r="B1573" s="8">
        <f>IF(ISNA(MATCH(1564,'Transfer Engine'!$C$2:$C$1960,0)),"",INDEX('Compliance Database'!$B$2:$B$1960,MATCH(1564,'Transfer Engine'!$C$2:$C$1960,0)))</f>
        <v/>
      </c>
      <c r="C1573" s="8">
        <f>IF(ISNA(MATCH(1564,'Transfer Engine'!$C$2:$C$1960,0)),"",INDEX('Compliance Database'!$C$2:$C$1960,MATCH(1564,'Transfer Engine'!$C$2:$C$1960,0)))</f>
        <v/>
      </c>
      <c r="D1573" s="9">
        <f>IF(ISNA(MATCH(1564,'Transfer Engine'!$C$2:$C$1960,0)),"",INDEX('Compliance Database'!$D$2:$D$1960,MATCH(1564,'Transfer Engine'!$C$2:$C$1960,0)))</f>
        <v/>
      </c>
      <c r="E1573" s="8">
        <f>IF(ISNA(MATCH(1564,'Transfer Engine'!$C$2:$C$1960,0)),"",INDEX('Compliance Database'!$E$2:$E$1960,MATCH(1564,'Transfer Engine'!$C$2:$C$1960,0)))</f>
        <v/>
      </c>
      <c r="F1573" s="8">
        <f>IF(ISNA(MATCH(1564,'Transfer Engine'!$C$2:$C$1960,0)),"",INDEX('Compliance Database'!$F$2:$F$1960,MATCH(1564,'Transfer Engine'!$C$2:$C$1960,0)))</f>
        <v/>
      </c>
      <c r="G1573" s="8">
        <f>IF(ISNA(MATCH(1564,'Transfer Engine'!$C$2:$C$1960,0)),"",INDEX('Compliance Database'!$G$2:$G$1960,MATCH(1564,'Transfer Engine'!$C$2:$C$1960,0)))</f>
        <v/>
      </c>
      <c r="H1573" s="9">
        <f>IF(ISNA(MATCH(1564,'Transfer Engine'!$C$2:$C$1960,0)),"",INDEX('Compliance Database'!$H$2:$H$1960,MATCH(1564,'Transfer Engine'!$C$2:$C$1960,0)))</f>
        <v/>
      </c>
      <c r="I1573" s="9">
        <f>IF(ISNA(MATCH(1564,'Transfer Engine'!$C$2:$C$1960,0)),"",INDEX('Compliance Database'!$I$2:$I$1960,MATCH(1564,'Transfer Engine'!$C$2:$C$1960,0)))</f>
        <v/>
      </c>
      <c r="J1573" s="8">
        <f>IF(ISNA(MATCH(1564,'Transfer Engine'!$C$2:$C$1960,0)),"",INDEX('Compliance Database'!$J$2:$J$1960,MATCH(1564,'Transfer Engine'!$C$2:$C$1960,0)))</f>
        <v/>
      </c>
      <c r="K1573" s="9">
        <f>IF(ISNA(MATCH(1564,'Transfer Engine'!$C$2:$C$1960,0)),"",INDEX('Compliance Database'!$K$2:$K$1960,MATCH(1564,'Transfer Engine'!$C$2:$C$1960,0)))</f>
        <v/>
      </c>
      <c r="L1573" s="9">
        <f>IF(ISNA(MATCH(1564,'Transfer Engine'!$C$2:$C$1960,0)),"",INDEX('Compliance Database'!$L$2:$L$1960,MATCH(1564,'Transfer Engine'!$C$2:$C$1960,0)))</f>
        <v/>
      </c>
      <c r="M1573" s="9">
        <f>IF(ISNA(MATCH(1564,'Transfer Engine'!$C$2:$C$1960,0)),"",INDEX('Compliance Database'!$M$2:$M$1960,MATCH(1564,'Transfer Engine'!$C$2:$C$1960,0)))</f>
        <v/>
      </c>
      <c r="N1573" s="9">
        <f>IF(ISNA(MATCH(1564,'Transfer Engine'!$C$2:$C$1960,0)),"",INDEX('Compliance Database'!$N$2:$N$1960,MATCH(1564,'Transfer Engine'!$C$2:$C$1960,0)))</f>
        <v/>
      </c>
      <c r="O1573" s="9">
        <f>IF(ISNA(MATCH(1564,'Transfer Engine'!$C$2:$C$1960,0)),"",INDEX('Compliance Database'!$O$2:$O$1960,MATCH(1564,'Transfer Engine'!$C$2:$C$1960,0)))</f>
        <v/>
      </c>
      <c r="P1573" s="8">
        <f>IF(ISNA(MATCH(1564,'Transfer Engine'!$C$2:$C$1960,0)),"",HYPERLINK("#Acts!A"&amp;INDEX('Compliance Database'!$P$2:$P$1960,MATCH(1564,'Transfer Engine'!$C$2:$C$1960,0)),"Go to Act"))</f>
        <v/>
      </c>
    </row>
    <row r="1574" ht="158" customHeight="1">
      <c r="A1574" s="8">
        <f>IF(ISNA(MATCH(1565,'Transfer Engine'!$C$2:$C$1960,0)),"",INDEX('Compliance Database'!$A$2:$A$1960,MATCH(1565,'Transfer Engine'!$C$2:$C$1960,0)))</f>
        <v/>
      </c>
      <c r="B1574" s="8">
        <f>IF(ISNA(MATCH(1565,'Transfer Engine'!$C$2:$C$1960,0)),"",INDEX('Compliance Database'!$B$2:$B$1960,MATCH(1565,'Transfer Engine'!$C$2:$C$1960,0)))</f>
        <v/>
      </c>
      <c r="C1574" s="8">
        <f>IF(ISNA(MATCH(1565,'Transfer Engine'!$C$2:$C$1960,0)),"",INDEX('Compliance Database'!$C$2:$C$1960,MATCH(1565,'Transfer Engine'!$C$2:$C$1960,0)))</f>
        <v/>
      </c>
      <c r="D1574" s="9">
        <f>IF(ISNA(MATCH(1565,'Transfer Engine'!$C$2:$C$1960,0)),"",INDEX('Compliance Database'!$D$2:$D$1960,MATCH(1565,'Transfer Engine'!$C$2:$C$1960,0)))</f>
        <v/>
      </c>
      <c r="E1574" s="8">
        <f>IF(ISNA(MATCH(1565,'Transfer Engine'!$C$2:$C$1960,0)),"",INDEX('Compliance Database'!$E$2:$E$1960,MATCH(1565,'Transfer Engine'!$C$2:$C$1960,0)))</f>
        <v/>
      </c>
      <c r="F1574" s="8">
        <f>IF(ISNA(MATCH(1565,'Transfer Engine'!$C$2:$C$1960,0)),"",INDEX('Compliance Database'!$F$2:$F$1960,MATCH(1565,'Transfer Engine'!$C$2:$C$1960,0)))</f>
        <v/>
      </c>
      <c r="G1574" s="8">
        <f>IF(ISNA(MATCH(1565,'Transfer Engine'!$C$2:$C$1960,0)),"",INDEX('Compliance Database'!$G$2:$G$1960,MATCH(1565,'Transfer Engine'!$C$2:$C$1960,0)))</f>
        <v/>
      </c>
      <c r="H1574" s="9">
        <f>IF(ISNA(MATCH(1565,'Transfer Engine'!$C$2:$C$1960,0)),"",INDEX('Compliance Database'!$H$2:$H$1960,MATCH(1565,'Transfer Engine'!$C$2:$C$1960,0)))</f>
        <v/>
      </c>
      <c r="I1574" s="9">
        <f>IF(ISNA(MATCH(1565,'Transfer Engine'!$C$2:$C$1960,0)),"",INDEX('Compliance Database'!$I$2:$I$1960,MATCH(1565,'Transfer Engine'!$C$2:$C$1960,0)))</f>
        <v/>
      </c>
      <c r="J1574" s="8">
        <f>IF(ISNA(MATCH(1565,'Transfer Engine'!$C$2:$C$1960,0)),"",INDEX('Compliance Database'!$J$2:$J$1960,MATCH(1565,'Transfer Engine'!$C$2:$C$1960,0)))</f>
        <v/>
      </c>
      <c r="K1574" s="9">
        <f>IF(ISNA(MATCH(1565,'Transfer Engine'!$C$2:$C$1960,0)),"",INDEX('Compliance Database'!$K$2:$K$1960,MATCH(1565,'Transfer Engine'!$C$2:$C$1960,0)))</f>
        <v/>
      </c>
      <c r="L1574" s="9">
        <f>IF(ISNA(MATCH(1565,'Transfer Engine'!$C$2:$C$1960,0)),"",INDEX('Compliance Database'!$L$2:$L$1960,MATCH(1565,'Transfer Engine'!$C$2:$C$1960,0)))</f>
        <v/>
      </c>
      <c r="M1574" s="9">
        <f>IF(ISNA(MATCH(1565,'Transfer Engine'!$C$2:$C$1960,0)),"",INDEX('Compliance Database'!$M$2:$M$1960,MATCH(1565,'Transfer Engine'!$C$2:$C$1960,0)))</f>
        <v/>
      </c>
      <c r="N1574" s="9">
        <f>IF(ISNA(MATCH(1565,'Transfer Engine'!$C$2:$C$1960,0)),"",INDEX('Compliance Database'!$N$2:$N$1960,MATCH(1565,'Transfer Engine'!$C$2:$C$1960,0)))</f>
        <v/>
      </c>
      <c r="O1574" s="9">
        <f>IF(ISNA(MATCH(1565,'Transfer Engine'!$C$2:$C$1960,0)),"",INDEX('Compliance Database'!$O$2:$O$1960,MATCH(1565,'Transfer Engine'!$C$2:$C$1960,0)))</f>
        <v/>
      </c>
      <c r="P1574" s="8">
        <f>IF(ISNA(MATCH(1565,'Transfer Engine'!$C$2:$C$1960,0)),"",HYPERLINK("#Acts!A"&amp;INDEX('Compliance Database'!$P$2:$P$1960,MATCH(1565,'Transfer Engine'!$C$2:$C$1960,0)),"Go to Act"))</f>
        <v/>
      </c>
    </row>
    <row r="1575" ht="158" customHeight="1">
      <c r="A1575" s="8">
        <f>IF(ISNA(MATCH(1566,'Transfer Engine'!$C$2:$C$1960,0)),"",INDEX('Compliance Database'!$A$2:$A$1960,MATCH(1566,'Transfer Engine'!$C$2:$C$1960,0)))</f>
        <v/>
      </c>
      <c r="B1575" s="8">
        <f>IF(ISNA(MATCH(1566,'Transfer Engine'!$C$2:$C$1960,0)),"",INDEX('Compliance Database'!$B$2:$B$1960,MATCH(1566,'Transfer Engine'!$C$2:$C$1960,0)))</f>
        <v/>
      </c>
      <c r="C1575" s="8">
        <f>IF(ISNA(MATCH(1566,'Transfer Engine'!$C$2:$C$1960,0)),"",INDEX('Compliance Database'!$C$2:$C$1960,MATCH(1566,'Transfer Engine'!$C$2:$C$1960,0)))</f>
        <v/>
      </c>
      <c r="D1575" s="9">
        <f>IF(ISNA(MATCH(1566,'Transfer Engine'!$C$2:$C$1960,0)),"",INDEX('Compliance Database'!$D$2:$D$1960,MATCH(1566,'Transfer Engine'!$C$2:$C$1960,0)))</f>
        <v/>
      </c>
      <c r="E1575" s="8">
        <f>IF(ISNA(MATCH(1566,'Transfer Engine'!$C$2:$C$1960,0)),"",INDEX('Compliance Database'!$E$2:$E$1960,MATCH(1566,'Transfer Engine'!$C$2:$C$1960,0)))</f>
        <v/>
      </c>
      <c r="F1575" s="8">
        <f>IF(ISNA(MATCH(1566,'Transfer Engine'!$C$2:$C$1960,0)),"",INDEX('Compliance Database'!$F$2:$F$1960,MATCH(1566,'Transfer Engine'!$C$2:$C$1960,0)))</f>
        <v/>
      </c>
      <c r="G1575" s="8">
        <f>IF(ISNA(MATCH(1566,'Transfer Engine'!$C$2:$C$1960,0)),"",INDEX('Compliance Database'!$G$2:$G$1960,MATCH(1566,'Transfer Engine'!$C$2:$C$1960,0)))</f>
        <v/>
      </c>
      <c r="H1575" s="9">
        <f>IF(ISNA(MATCH(1566,'Transfer Engine'!$C$2:$C$1960,0)),"",INDEX('Compliance Database'!$H$2:$H$1960,MATCH(1566,'Transfer Engine'!$C$2:$C$1960,0)))</f>
        <v/>
      </c>
      <c r="I1575" s="9">
        <f>IF(ISNA(MATCH(1566,'Transfer Engine'!$C$2:$C$1960,0)),"",INDEX('Compliance Database'!$I$2:$I$1960,MATCH(1566,'Transfer Engine'!$C$2:$C$1960,0)))</f>
        <v/>
      </c>
      <c r="J1575" s="8">
        <f>IF(ISNA(MATCH(1566,'Transfer Engine'!$C$2:$C$1960,0)),"",INDEX('Compliance Database'!$J$2:$J$1960,MATCH(1566,'Transfer Engine'!$C$2:$C$1960,0)))</f>
        <v/>
      </c>
      <c r="K1575" s="9">
        <f>IF(ISNA(MATCH(1566,'Transfer Engine'!$C$2:$C$1960,0)),"",INDEX('Compliance Database'!$K$2:$K$1960,MATCH(1566,'Transfer Engine'!$C$2:$C$1960,0)))</f>
        <v/>
      </c>
      <c r="L1575" s="9">
        <f>IF(ISNA(MATCH(1566,'Transfer Engine'!$C$2:$C$1960,0)),"",INDEX('Compliance Database'!$L$2:$L$1960,MATCH(1566,'Transfer Engine'!$C$2:$C$1960,0)))</f>
        <v/>
      </c>
      <c r="M1575" s="9">
        <f>IF(ISNA(MATCH(1566,'Transfer Engine'!$C$2:$C$1960,0)),"",INDEX('Compliance Database'!$M$2:$M$1960,MATCH(1566,'Transfer Engine'!$C$2:$C$1960,0)))</f>
        <v/>
      </c>
      <c r="N1575" s="9">
        <f>IF(ISNA(MATCH(1566,'Transfer Engine'!$C$2:$C$1960,0)),"",INDEX('Compliance Database'!$N$2:$N$1960,MATCH(1566,'Transfer Engine'!$C$2:$C$1960,0)))</f>
        <v/>
      </c>
      <c r="O1575" s="9">
        <f>IF(ISNA(MATCH(1566,'Transfer Engine'!$C$2:$C$1960,0)),"",INDEX('Compliance Database'!$O$2:$O$1960,MATCH(1566,'Transfer Engine'!$C$2:$C$1960,0)))</f>
        <v/>
      </c>
      <c r="P1575" s="8">
        <f>IF(ISNA(MATCH(1566,'Transfer Engine'!$C$2:$C$1960,0)),"",HYPERLINK("#Acts!A"&amp;INDEX('Compliance Database'!$P$2:$P$1960,MATCH(1566,'Transfer Engine'!$C$2:$C$1960,0)),"Go to Act"))</f>
        <v/>
      </c>
    </row>
    <row r="1576" ht="158" customHeight="1">
      <c r="A1576" s="8">
        <f>IF(ISNA(MATCH(1567,'Transfer Engine'!$C$2:$C$1960,0)),"",INDEX('Compliance Database'!$A$2:$A$1960,MATCH(1567,'Transfer Engine'!$C$2:$C$1960,0)))</f>
        <v/>
      </c>
      <c r="B1576" s="8">
        <f>IF(ISNA(MATCH(1567,'Transfer Engine'!$C$2:$C$1960,0)),"",INDEX('Compliance Database'!$B$2:$B$1960,MATCH(1567,'Transfer Engine'!$C$2:$C$1960,0)))</f>
        <v/>
      </c>
      <c r="C1576" s="8">
        <f>IF(ISNA(MATCH(1567,'Transfer Engine'!$C$2:$C$1960,0)),"",INDEX('Compliance Database'!$C$2:$C$1960,MATCH(1567,'Transfer Engine'!$C$2:$C$1960,0)))</f>
        <v/>
      </c>
      <c r="D1576" s="9">
        <f>IF(ISNA(MATCH(1567,'Transfer Engine'!$C$2:$C$1960,0)),"",INDEX('Compliance Database'!$D$2:$D$1960,MATCH(1567,'Transfer Engine'!$C$2:$C$1960,0)))</f>
        <v/>
      </c>
      <c r="E1576" s="8">
        <f>IF(ISNA(MATCH(1567,'Transfer Engine'!$C$2:$C$1960,0)),"",INDEX('Compliance Database'!$E$2:$E$1960,MATCH(1567,'Transfer Engine'!$C$2:$C$1960,0)))</f>
        <v/>
      </c>
      <c r="F1576" s="8">
        <f>IF(ISNA(MATCH(1567,'Transfer Engine'!$C$2:$C$1960,0)),"",INDEX('Compliance Database'!$F$2:$F$1960,MATCH(1567,'Transfer Engine'!$C$2:$C$1960,0)))</f>
        <v/>
      </c>
      <c r="G1576" s="8">
        <f>IF(ISNA(MATCH(1567,'Transfer Engine'!$C$2:$C$1960,0)),"",INDEX('Compliance Database'!$G$2:$G$1960,MATCH(1567,'Transfer Engine'!$C$2:$C$1960,0)))</f>
        <v/>
      </c>
      <c r="H1576" s="9">
        <f>IF(ISNA(MATCH(1567,'Transfer Engine'!$C$2:$C$1960,0)),"",INDEX('Compliance Database'!$H$2:$H$1960,MATCH(1567,'Transfer Engine'!$C$2:$C$1960,0)))</f>
        <v/>
      </c>
      <c r="I1576" s="9">
        <f>IF(ISNA(MATCH(1567,'Transfer Engine'!$C$2:$C$1960,0)),"",INDEX('Compliance Database'!$I$2:$I$1960,MATCH(1567,'Transfer Engine'!$C$2:$C$1960,0)))</f>
        <v/>
      </c>
      <c r="J1576" s="8">
        <f>IF(ISNA(MATCH(1567,'Transfer Engine'!$C$2:$C$1960,0)),"",INDEX('Compliance Database'!$J$2:$J$1960,MATCH(1567,'Transfer Engine'!$C$2:$C$1960,0)))</f>
        <v/>
      </c>
      <c r="K1576" s="9">
        <f>IF(ISNA(MATCH(1567,'Transfer Engine'!$C$2:$C$1960,0)),"",INDEX('Compliance Database'!$K$2:$K$1960,MATCH(1567,'Transfer Engine'!$C$2:$C$1960,0)))</f>
        <v/>
      </c>
      <c r="L1576" s="9">
        <f>IF(ISNA(MATCH(1567,'Transfer Engine'!$C$2:$C$1960,0)),"",INDEX('Compliance Database'!$L$2:$L$1960,MATCH(1567,'Transfer Engine'!$C$2:$C$1960,0)))</f>
        <v/>
      </c>
      <c r="M1576" s="9">
        <f>IF(ISNA(MATCH(1567,'Transfer Engine'!$C$2:$C$1960,0)),"",INDEX('Compliance Database'!$M$2:$M$1960,MATCH(1567,'Transfer Engine'!$C$2:$C$1960,0)))</f>
        <v/>
      </c>
      <c r="N1576" s="9">
        <f>IF(ISNA(MATCH(1567,'Transfer Engine'!$C$2:$C$1960,0)),"",INDEX('Compliance Database'!$N$2:$N$1960,MATCH(1567,'Transfer Engine'!$C$2:$C$1960,0)))</f>
        <v/>
      </c>
      <c r="O1576" s="9">
        <f>IF(ISNA(MATCH(1567,'Transfer Engine'!$C$2:$C$1960,0)),"",INDEX('Compliance Database'!$O$2:$O$1960,MATCH(1567,'Transfer Engine'!$C$2:$C$1960,0)))</f>
        <v/>
      </c>
      <c r="P1576" s="8">
        <f>IF(ISNA(MATCH(1567,'Transfer Engine'!$C$2:$C$1960,0)),"",HYPERLINK("#Acts!A"&amp;INDEX('Compliance Database'!$P$2:$P$1960,MATCH(1567,'Transfer Engine'!$C$2:$C$1960,0)),"Go to Act"))</f>
        <v/>
      </c>
    </row>
    <row r="1577" ht="158" customHeight="1">
      <c r="A1577" s="8">
        <f>IF(ISNA(MATCH(1568,'Transfer Engine'!$C$2:$C$1960,0)),"",INDEX('Compliance Database'!$A$2:$A$1960,MATCH(1568,'Transfer Engine'!$C$2:$C$1960,0)))</f>
        <v/>
      </c>
      <c r="B1577" s="8">
        <f>IF(ISNA(MATCH(1568,'Transfer Engine'!$C$2:$C$1960,0)),"",INDEX('Compliance Database'!$B$2:$B$1960,MATCH(1568,'Transfer Engine'!$C$2:$C$1960,0)))</f>
        <v/>
      </c>
      <c r="C1577" s="8">
        <f>IF(ISNA(MATCH(1568,'Transfer Engine'!$C$2:$C$1960,0)),"",INDEX('Compliance Database'!$C$2:$C$1960,MATCH(1568,'Transfer Engine'!$C$2:$C$1960,0)))</f>
        <v/>
      </c>
      <c r="D1577" s="9">
        <f>IF(ISNA(MATCH(1568,'Transfer Engine'!$C$2:$C$1960,0)),"",INDEX('Compliance Database'!$D$2:$D$1960,MATCH(1568,'Transfer Engine'!$C$2:$C$1960,0)))</f>
        <v/>
      </c>
      <c r="E1577" s="8">
        <f>IF(ISNA(MATCH(1568,'Transfer Engine'!$C$2:$C$1960,0)),"",INDEX('Compliance Database'!$E$2:$E$1960,MATCH(1568,'Transfer Engine'!$C$2:$C$1960,0)))</f>
        <v/>
      </c>
      <c r="F1577" s="8">
        <f>IF(ISNA(MATCH(1568,'Transfer Engine'!$C$2:$C$1960,0)),"",INDEX('Compliance Database'!$F$2:$F$1960,MATCH(1568,'Transfer Engine'!$C$2:$C$1960,0)))</f>
        <v/>
      </c>
      <c r="G1577" s="8">
        <f>IF(ISNA(MATCH(1568,'Transfer Engine'!$C$2:$C$1960,0)),"",INDEX('Compliance Database'!$G$2:$G$1960,MATCH(1568,'Transfer Engine'!$C$2:$C$1960,0)))</f>
        <v/>
      </c>
      <c r="H1577" s="9">
        <f>IF(ISNA(MATCH(1568,'Transfer Engine'!$C$2:$C$1960,0)),"",INDEX('Compliance Database'!$H$2:$H$1960,MATCH(1568,'Transfer Engine'!$C$2:$C$1960,0)))</f>
        <v/>
      </c>
      <c r="I1577" s="9">
        <f>IF(ISNA(MATCH(1568,'Transfer Engine'!$C$2:$C$1960,0)),"",INDEX('Compliance Database'!$I$2:$I$1960,MATCH(1568,'Transfer Engine'!$C$2:$C$1960,0)))</f>
        <v/>
      </c>
      <c r="J1577" s="8">
        <f>IF(ISNA(MATCH(1568,'Transfer Engine'!$C$2:$C$1960,0)),"",INDEX('Compliance Database'!$J$2:$J$1960,MATCH(1568,'Transfer Engine'!$C$2:$C$1960,0)))</f>
        <v/>
      </c>
      <c r="K1577" s="9">
        <f>IF(ISNA(MATCH(1568,'Transfer Engine'!$C$2:$C$1960,0)),"",INDEX('Compliance Database'!$K$2:$K$1960,MATCH(1568,'Transfer Engine'!$C$2:$C$1960,0)))</f>
        <v/>
      </c>
      <c r="L1577" s="9">
        <f>IF(ISNA(MATCH(1568,'Transfer Engine'!$C$2:$C$1960,0)),"",INDEX('Compliance Database'!$L$2:$L$1960,MATCH(1568,'Transfer Engine'!$C$2:$C$1960,0)))</f>
        <v/>
      </c>
      <c r="M1577" s="9">
        <f>IF(ISNA(MATCH(1568,'Transfer Engine'!$C$2:$C$1960,0)),"",INDEX('Compliance Database'!$M$2:$M$1960,MATCH(1568,'Transfer Engine'!$C$2:$C$1960,0)))</f>
        <v/>
      </c>
      <c r="N1577" s="9">
        <f>IF(ISNA(MATCH(1568,'Transfer Engine'!$C$2:$C$1960,0)),"",INDEX('Compliance Database'!$N$2:$N$1960,MATCH(1568,'Transfer Engine'!$C$2:$C$1960,0)))</f>
        <v/>
      </c>
      <c r="O1577" s="9">
        <f>IF(ISNA(MATCH(1568,'Transfer Engine'!$C$2:$C$1960,0)),"",INDEX('Compliance Database'!$O$2:$O$1960,MATCH(1568,'Transfer Engine'!$C$2:$C$1960,0)))</f>
        <v/>
      </c>
      <c r="P1577" s="8">
        <f>IF(ISNA(MATCH(1568,'Transfer Engine'!$C$2:$C$1960,0)),"",HYPERLINK("#Acts!A"&amp;INDEX('Compliance Database'!$P$2:$P$1960,MATCH(1568,'Transfer Engine'!$C$2:$C$1960,0)),"Go to Act"))</f>
        <v/>
      </c>
    </row>
    <row r="1578" ht="158" customHeight="1">
      <c r="A1578" s="8">
        <f>IF(ISNA(MATCH(1569,'Transfer Engine'!$C$2:$C$1960,0)),"",INDEX('Compliance Database'!$A$2:$A$1960,MATCH(1569,'Transfer Engine'!$C$2:$C$1960,0)))</f>
        <v/>
      </c>
      <c r="B1578" s="8">
        <f>IF(ISNA(MATCH(1569,'Transfer Engine'!$C$2:$C$1960,0)),"",INDEX('Compliance Database'!$B$2:$B$1960,MATCH(1569,'Transfer Engine'!$C$2:$C$1960,0)))</f>
        <v/>
      </c>
      <c r="C1578" s="8">
        <f>IF(ISNA(MATCH(1569,'Transfer Engine'!$C$2:$C$1960,0)),"",INDEX('Compliance Database'!$C$2:$C$1960,MATCH(1569,'Transfer Engine'!$C$2:$C$1960,0)))</f>
        <v/>
      </c>
      <c r="D1578" s="9">
        <f>IF(ISNA(MATCH(1569,'Transfer Engine'!$C$2:$C$1960,0)),"",INDEX('Compliance Database'!$D$2:$D$1960,MATCH(1569,'Transfer Engine'!$C$2:$C$1960,0)))</f>
        <v/>
      </c>
      <c r="E1578" s="8">
        <f>IF(ISNA(MATCH(1569,'Transfer Engine'!$C$2:$C$1960,0)),"",INDEX('Compliance Database'!$E$2:$E$1960,MATCH(1569,'Transfer Engine'!$C$2:$C$1960,0)))</f>
        <v/>
      </c>
      <c r="F1578" s="8">
        <f>IF(ISNA(MATCH(1569,'Transfer Engine'!$C$2:$C$1960,0)),"",INDEX('Compliance Database'!$F$2:$F$1960,MATCH(1569,'Transfer Engine'!$C$2:$C$1960,0)))</f>
        <v/>
      </c>
      <c r="G1578" s="8">
        <f>IF(ISNA(MATCH(1569,'Transfer Engine'!$C$2:$C$1960,0)),"",INDEX('Compliance Database'!$G$2:$G$1960,MATCH(1569,'Transfer Engine'!$C$2:$C$1960,0)))</f>
        <v/>
      </c>
      <c r="H1578" s="9">
        <f>IF(ISNA(MATCH(1569,'Transfer Engine'!$C$2:$C$1960,0)),"",INDEX('Compliance Database'!$H$2:$H$1960,MATCH(1569,'Transfer Engine'!$C$2:$C$1960,0)))</f>
        <v/>
      </c>
      <c r="I1578" s="9">
        <f>IF(ISNA(MATCH(1569,'Transfer Engine'!$C$2:$C$1960,0)),"",INDEX('Compliance Database'!$I$2:$I$1960,MATCH(1569,'Transfer Engine'!$C$2:$C$1960,0)))</f>
        <v/>
      </c>
      <c r="J1578" s="8">
        <f>IF(ISNA(MATCH(1569,'Transfer Engine'!$C$2:$C$1960,0)),"",INDEX('Compliance Database'!$J$2:$J$1960,MATCH(1569,'Transfer Engine'!$C$2:$C$1960,0)))</f>
        <v/>
      </c>
      <c r="K1578" s="9">
        <f>IF(ISNA(MATCH(1569,'Transfer Engine'!$C$2:$C$1960,0)),"",INDEX('Compliance Database'!$K$2:$K$1960,MATCH(1569,'Transfer Engine'!$C$2:$C$1960,0)))</f>
        <v/>
      </c>
      <c r="L1578" s="9">
        <f>IF(ISNA(MATCH(1569,'Transfer Engine'!$C$2:$C$1960,0)),"",INDEX('Compliance Database'!$L$2:$L$1960,MATCH(1569,'Transfer Engine'!$C$2:$C$1960,0)))</f>
        <v/>
      </c>
      <c r="M1578" s="9">
        <f>IF(ISNA(MATCH(1569,'Transfer Engine'!$C$2:$C$1960,0)),"",INDEX('Compliance Database'!$M$2:$M$1960,MATCH(1569,'Transfer Engine'!$C$2:$C$1960,0)))</f>
        <v/>
      </c>
      <c r="N1578" s="9">
        <f>IF(ISNA(MATCH(1569,'Transfer Engine'!$C$2:$C$1960,0)),"",INDEX('Compliance Database'!$N$2:$N$1960,MATCH(1569,'Transfer Engine'!$C$2:$C$1960,0)))</f>
        <v/>
      </c>
      <c r="O1578" s="9">
        <f>IF(ISNA(MATCH(1569,'Transfer Engine'!$C$2:$C$1960,0)),"",INDEX('Compliance Database'!$O$2:$O$1960,MATCH(1569,'Transfer Engine'!$C$2:$C$1960,0)))</f>
        <v/>
      </c>
      <c r="P1578" s="8">
        <f>IF(ISNA(MATCH(1569,'Transfer Engine'!$C$2:$C$1960,0)),"",HYPERLINK("#Acts!A"&amp;INDEX('Compliance Database'!$P$2:$P$1960,MATCH(1569,'Transfer Engine'!$C$2:$C$1960,0)),"Go to Act"))</f>
        <v/>
      </c>
    </row>
    <row r="1579" ht="158" customHeight="1">
      <c r="A1579" s="8">
        <f>IF(ISNA(MATCH(1570,'Transfer Engine'!$C$2:$C$1960,0)),"",INDEX('Compliance Database'!$A$2:$A$1960,MATCH(1570,'Transfer Engine'!$C$2:$C$1960,0)))</f>
        <v/>
      </c>
      <c r="B1579" s="8">
        <f>IF(ISNA(MATCH(1570,'Transfer Engine'!$C$2:$C$1960,0)),"",INDEX('Compliance Database'!$B$2:$B$1960,MATCH(1570,'Transfer Engine'!$C$2:$C$1960,0)))</f>
        <v/>
      </c>
      <c r="C1579" s="8">
        <f>IF(ISNA(MATCH(1570,'Transfer Engine'!$C$2:$C$1960,0)),"",INDEX('Compliance Database'!$C$2:$C$1960,MATCH(1570,'Transfer Engine'!$C$2:$C$1960,0)))</f>
        <v/>
      </c>
      <c r="D1579" s="9">
        <f>IF(ISNA(MATCH(1570,'Transfer Engine'!$C$2:$C$1960,0)),"",INDEX('Compliance Database'!$D$2:$D$1960,MATCH(1570,'Transfer Engine'!$C$2:$C$1960,0)))</f>
        <v/>
      </c>
      <c r="E1579" s="8">
        <f>IF(ISNA(MATCH(1570,'Transfer Engine'!$C$2:$C$1960,0)),"",INDEX('Compliance Database'!$E$2:$E$1960,MATCH(1570,'Transfer Engine'!$C$2:$C$1960,0)))</f>
        <v/>
      </c>
      <c r="F1579" s="8">
        <f>IF(ISNA(MATCH(1570,'Transfer Engine'!$C$2:$C$1960,0)),"",INDEX('Compliance Database'!$F$2:$F$1960,MATCH(1570,'Transfer Engine'!$C$2:$C$1960,0)))</f>
        <v/>
      </c>
      <c r="G1579" s="8">
        <f>IF(ISNA(MATCH(1570,'Transfer Engine'!$C$2:$C$1960,0)),"",INDEX('Compliance Database'!$G$2:$G$1960,MATCH(1570,'Transfer Engine'!$C$2:$C$1960,0)))</f>
        <v/>
      </c>
      <c r="H1579" s="9">
        <f>IF(ISNA(MATCH(1570,'Transfer Engine'!$C$2:$C$1960,0)),"",INDEX('Compliance Database'!$H$2:$H$1960,MATCH(1570,'Transfer Engine'!$C$2:$C$1960,0)))</f>
        <v/>
      </c>
      <c r="I1579" s="9">
        <f>IF(ISNA(MATCH(1570,'Transfer Engine'!$C$2:$C$1960,0)),"",INDEX('Compliance Database'!$I$2:$I$1960,MATCH(1570,'Transfer Engine'!$C$2:$C$1960,0)))</f>
        <v/>
      </c>
      <c r="J1579" s="8">
        <f>IF(ISNA(MATCH(1570,'Transfer Engine'!$C$2:$C$1960,0)),"",INDEX('Compliance Database'!$J$2:$J$1960,MATCH(1570,'Transfer Engine'!$C$2:$C$1960,0)))</f>
        <v/>
      </c>
      <c r="K1579" s="9">
        <f>IF(ISNA(MATCH(1570,'Transfer Engine'!$C$2:$C$1960,0)),"",INDEX('Compliance Database'!$K$2:$K$1960,MATCH(1570,'Transfer Engine'!$C$2:$C$1960,0)))</f>
        <v/>
      </c>
      <c r="L1579" s="9">
        <f>IF(ISNA(MATCH(1570,'Transfer Engine'!$C$2:$C$1960,0)),"",INDEX('Compliance Database'!$L$2:$L$1960,MATCH(1570,'Transfer Engine'!$C$2:$C$1960,0)))</f>
        <v/>
      </c>
      <c r="M1579" s="9">
        <f>IF(ISNA(MATCH(1570,'Transfer Engine'!$C$2:$C$1960,0)),"",INDEX('Compliance Database'!$M$2:$M$1960,MATCH(1570,'Transfer Engine'!$C$2:$C$1960,0)))</f>
        <v/>
      </c>
      <c r="N1579" s="9">
        <f>IF(ISNA(MATCH(1570,'Transfer Engine'!$C$2:$C$1960,0)),"",INDEX('Compliance Database'!$N$2:$N$1960,MATCH(1570,'Transfer Engine'!$C$2:$C$1960,0)))</f>
        <v/>
      </c>
      <c r="O1579" s="9">
        <f>IF(ISNA(MATCH(1570,'Transfer Engine'!$C$2:$C$1960,0)),"",INDEX('Compliance Database'!$O$2:$O$1960,MATCH(1570,'Transfer Engine'!$C$2:$C$1960,0)))</f>
        <v/>
      </c>
      <c r="P1579" s="8">
        <f>IF(ISNA(MATCH(1570,'Transfer Engine'!$C$2:$C$1960,0)),"",HYPERLINK("#Acts!A"&amp;INDEX('Compliance Database'!$P$2:$P$1960,MATCH(1570,'Transfer Engine'!$C$2:$C$1960,0)),"Go to Act"))</f>
        <v/>
      </c>
    </row>
    <row r="1580" ht="158" customHeight="1">
      <c r="A1580" s="8">
        <f>IF(ISNA(MATCH(1571,'Transfer Engine'!$C$2:$C$1960,0)),"",INDEX('Compliance Database'!$A$2:$A$1960,MATCH(1571,'Transfer Engine'!$C$2:$C$1960,0)))</f>
        <v/>
      </c>
      <c r="B1580" s="8">
        <f>IF(ISNA(MATCH(1571,'Transfer Engine'!$C$2:$C$1960,0)),"",INDEX('Compliance Database'!$B$2:$B$1960,MATCH(1571,'Transfer Engine'!$C$2:$C$1960,0)))</f>
        <v/>
      </c>
      <c r="C1580" s="8">
        <f>IF(ISNA(MATCH(1571,'Transfer Engine'!$C$2:$C$1960,0)),"",INDEX('Compliance Database'!$C$2:$C$1960,MATCH(1571,'Transfer Engine'!$C$2:$C$1960,0)))</f>
        <v/>
      </c>
      <c r="D1580" s="9">
        <f>IF(ISNA(MATCH(1571,'Transfer Engine'!$C$2:$C$1960,0)),"",INDEX('Compliance Database'!$D$2:$D$1960,MATCH(1571,'Transfer Engine'!$C$2:$C$1960,0)))</f>
        <v/>
      </c>
      <c r="E1580" s="8">
        <f>IF(ISNA(MATCH(1571,'Transfer Engine'!$C$2:$C$1960,0)),"",INDEX('Compliance Database'!$E$2:$E$1960,MATCH(1571,'Transfer Engine'!$C$2:$C$1960,0)))</f>
        <v/>
      </c>
      <c r="F1580" s="8">
        <f>IF(ISNA(MATCH(1571,'Transfer Engine'!$C$2:$C$1960,0)),"",INDEX('Compliance Database'!$F$2:$F$1960,MATCH(1571,'Transfer Engine'!$C$2:$C$1960,0)))</f>
        <v/>
      </c>
      <c r="G1580" s="8">
        <f>IF(ISNA(MATCH(1571,'Transfer Engine'!$C$2:$C$1960,0)),"",INDEX('Compliance Database'!$G$2:$G$1960,MATCH(1571,'Transfer Engine'!$C$2:$C$1960,0)))</f>
        <v/>
      </c>
      <c r="H1580" s="9">
        <f>IF(ISNA(MATCH(1571,'Transfer Engine'!$C$2:$C$1960,0)),"",INDEX('Compliance Database'!$H$2:$H$1960,MATCH(1571,'Transfer Engine'!$C$2:$C$1960,0)))</f>
        <v/>
      </c>
      <c r="I1580" s="9">
        <f>IF(ISNA(MATCH(1571,'Transfer Engine'!$C$2:$C$1960,0)),"",INDEX('Compliance Database'!$I$2:$I$1960,MATCH(1571,'Transfer Engine'!$C$2:$C$1960,0)))</f>
        <v/>
      </c>
      <c r="J1580" s="8">
        <f>IF(ISNA(MATCH(1571,'Transfer Engine'!$C$2:$C$1960,0)),"",INDEX('Compliance Database'!$J$2:$J$1960,MATCH(1571,'Transfer Engine'!$C$2:$C$1960,0)))</f>
        <v/>
      </c>
      <c r="K1580" s="9">
        <f>IF(ISNA(MATCH(1571,'Transfer Engine'!$C$2:$C$1960,0)),"",INDEX('Compliance Database'!$K$2:$K$1960,MATCH(1571,'Transfer Engine'!$C$2:$C$1960,0)))</f>
        <v/>
      </c>
      <c r="L1580" s="9">
        <f>IF(ISNA(MATCH(1571,'Transfer Engine'!$C$2:$C$1960,0)),"",INDEX('Compliance Database'!$L$2:$L$1960,MATCH(1571,'Transfer Engine'!$C$2:$C$1960,0)))</f>
        <v/>
      </c>
      <c r="M1580" s="9">
        <f>IF(ISNA(MATCH(1571,'Transfer Engine'!$C$2:$C$1960,0)),"",INDEX('Compliance Database'!$M$2:$M$1960,MATCH(1571,'Transfer Engine'!$C$2:$C$1960,0)))</f>
        <v/>
      </c>
      <c r="N1580" s="9">
        <f>IF(ISNA(MATCH(1571,'Transfer Engine'!$C$2:$C$1960,0)),"",INDEX('Compliance Database'!$N$2:$N$1960,MATCH(1571,'Transfer Engine'!$C$2:$C$1960,0)))</f>
        <v/>
      </c>
      <c r="O1580" s="9">
        <f>IF(ISNA(MATCH(1571,'Transfer Engine'!$C$2:$C$1960,0)),"",INDEX('Compliance Database'!$O$2:$O$1960,MATCH(1571,'Transfer Engine'!$C$2:$C$1960,0)))</f>
        <v/>
      </c>
      <c r="P1580" s="8">
        <f>IF(ISNA(MATCH(1571,'Transfer Engine'!$C$2:$C$1960,0)),"",HYPERLINK("#Acts!A"&amp;INDEX('Compliance Database'!$P$2:$P$1960,MATCH(1571,'Transfer Engine'!$C$2:$C$1960,0)),"Go to Act"))</f>
        <v/>
      </c>
    </row>
    <row r="1581" ht="158" customHeight="1">
      <c r="A1581" s="8">
        <f>IF(ISNA(MATCH(1572,'Transfer Engine'!$C$2:$C$1960,0)),"",INDEX('Compliance Database'!$A$2:$A$1960,MATCH(1572,'Transfer Engine'!$C$2:$C$1960,0)))</f>
        <v/>
      </c>
      <c r="B1581" s="8">
        <f>IF(ISNA(MATCH(1572,'Transfer Engine'!$C$2:$C$1960,0)),"",INDEX('Compliance Database'!$B$2:$B$1960,MATCH(1572,'Transfer Engine'!$C$2:$C$1960,0)))</f>
        <v/>
      </c>
      <c r="C1581" s="8">
        <f>IF(ISNA(MATCH(1572,'Transfer Engine'!$C$2:$C$1960,0)),"",INDEX('Compliance Database'!$C$2:$C$1960,MATCH(1572,'Transfer Engine'!$C$2:$C$1960,0)))</f>
        <v/>
      </c>
      <c r="D1581" s="9">
        <f>IF(ISNA(MATCH(1572,'Transfer Engine'!$C$2:$C$1960,0)),"",INDEX('Compliance Database'!$D$2:$D$1960,MATCH(1572,'Transfer Engine'!$C$2:$C$1960,0)))</f>
        <v/>
      </c>
      <c r="E1581" s="8">
        <f>IF(ISNA(MATCH(1572,'Transfer Engine'!$C$2:$C$1960,0)),"",INDEX('Compliance Database'!$E$2:$E$1960,MATCH(1572,'Transfer Engine'!$C$2:$C$1960,0)))</f>
        <v/>
      </c>
      <c r="F1581" s="8">
        <f>IF(ISNA(MATCH(1572,'Transfer Engine'!$C$2:$C$1960,0)),"",INDEX('Compliance Database'!$F$2:$F$1960,MATCH(1572,'Transfer Engine'!$C$2:$C$1960,0)))</f>
        <v/>
      </c>
      <c r="G1581" s="8">
        <f>IF(ISNA(MATCH(1572,'Transfer Engine'!$C$2:$C$1960,0)),"",INDEX('Compliance Database'!$G$2:$G$1960,MATCH(1572,'Transfer Engine'!$C$2:$C$1960,0)))</f>
        <v/>
      </c>
      <c r="H1581" s="9">
        <f>IF(ISNA(MATCH(1572,'Transfer Engine'!$C$2:$C$1960,0)),"",INDEX('Compliance Database'!$H$2:$H$1960,MATCH(1572,'Transfer Engine'!$C$2:$C$1960,0)))</f>
        <v/>
      </c>
      <c r="I1581" s="9">
        <f>IF(ISNA(MATCH(1572,'Transfer Engine'!$C$2:$C$1960,0)),"",INDEX('Compliance Database'!$I$2:$I$1960,MATCH(1572,'Transfer Engine'!$C$2:$C$1960,0)))</f>
        <v/>
      </c>
      <c r="J1581" s="8">
        <f>IF(ISNA(MATCH(1572,'Transfer Engine'!$C$2:$C$1960,0)),"",INDEX('Compliance Database'!$J$2:$J$1960,MATCH(1572,'Transfer Engine'!$C$2:$C$1960,0)))</f>
        <v/>
      </c>
      <c r="K1581" s="9">
        <f>IF(ISNA(MATCH(1572,'Transfer Engine'!$C$2:$C$1960,0)),"",INDEX('Compliance Database'!$K$2:$K$1960,MATCH(1572,'Transfer Engine'!$C$2:$C$1960,0)))</f>
        <v/>
      </c>
      <c r="L1581" s="9">
        <f>IF(ISNA(MATCH(1572,'Transfer Engine'!$C$2:$C$1960,0)),"",INDEX('Compliance Database'!$L$2:$L$1960,MATCH(1572,'Transfer Engine'!$C$2:$C$1960,0)))</f>
        <v/>
      </c>
      <c r="M1581" s="9">
        <f>IF(ISNA(MATCH(1572,'Transfer Engine'!$C$2:$C$1960,0)),"",INDEX('Compliance Database'!$M$2:$M$1960,MATCH(1572,'Transfer Engine'!$C$2:$C$1960,0)))</f>
        <v/>
      </c>
      <c r="N1581" s="9">
        <f>IF(ISNA(MATCH(1572,'Transfer Engine'!$C$2:$C$1960,0)),"",INDEX('Compliance Database'!$N$2:$N$1960,MATCH(1572,'Transfer Engine'!$C$2:$C$1960,0)))</f>
        <v/>
      </c>
      <c r="O1581" s="9">
        <f>IF(ISNA(MATCH(1572,'Transfer Engine'!$C$2:$C$1960,0)),"",INDEX('Compliance Database'!$O$2:$O$1960,MATCH(1572,'Transfer Engine'!$C$2:$C$1960,0)))</f>
        <v/>
      </c>
      <c r="P1581" s="8">
        <f>IF(ISNA(MATCH(1572,'Transfer Engine'!$C$2:$C$1960,0)),"",HYPERLINK("#Acts!A"&amp;INDEX('Compliance Database'!$P$2:$P$1960,MATCH(1572,'Transfer Engine'!$C$2:$C$1960,0)),"Go to Act"))</f>
        <v/>
      </c>
    </row>
    <row r="1582" ht="158" customHeight="1">
      <c r="A1582" s="8">
        <f>IF(ISNA(MATCH(1573,'Transfer Engine'!$C$2:$C$1960,0)),"",INDEX('Compliance Database'!$A$2:$A$1960,MATCH(1573,'Transfer Engine'!$C$2:$C$1960,0)))</f>
        <v/>
      </c>
      <c r="B1582" s="8">
        <f>IF(ISNA(MATCH(1573,'Transfer Engine'!$C$2:$C$1960,0)),"",INDEX('Compliance Database'!$B$2:$B$1960,MATCH(1573,'Transfer Engine'!$C$2:$C$1960,0)))</f>
        <v/>
      </c>
      <c r="C1582" s="8">
        <f>IF(ISNA(MATCH(1573,'Transfer Engine'!$C$2:$C$1960,0)),"",INDEX('Compliance Database'!$C$2:$C$1960,MATCH(1573,'Transfer Engine'!$C$2:$C$1960,0)))</f>
        <v/>
      </c>
      <c r="D1582" s="9">
        <f>IF(ISNA(MATCH(1573,'Transfer Engine'!$C$2:$C$1960,0)),"",INDEX('Compliance Database'!$D$2:$D$1960,MATCH(1573,'Transfer Engine'!$C$2:$C$1960,0)))</f>
        <v/>
      </c>
      <c r="E1582" s="8">
        <f>IF(ISNA(MATCH(1573,'Transfer Engine'!$C$2:$C$1960,0)),"",INDEX('Compliance Database'!$E$2:$E$1960,MATCH(1573,'Transfer Engine'!$C$2:$C$1960,0)))</f>
        <v/>
      </c>
      <c r="F1582" s="8">
        <f>IF(ISNA(MATCH(1573,'Transfer Engine'!$C$2:$C$1960,0)),"",INDEX('Compliance Database'!$F$2:$F$1960,MATCH(1573,'Transfer Engine'!$C$2:$C$1960,0)))</f>
        <v/>
      </c>
      <c r="G1582" s="8">
        <f>IF(ISNA(MATCH(1573,'Transfer Engine'!$C$2:$C$1960,0)),"",INDEX('Compliance Database'!$G$2:$G$1960,MATCH(1573,'Transfer Engine'!$C$2:$C$1960,0)))</f>
        <v/>
      </c>
      <c r="H1582" s="9">
        <f>IF(ISNA(MATCH(1573,'Transfer Engine'!$C$2:$C$1960,0)),"",INDEX('Compliance Database'!$H$2:$H$1960,MATCH(1573,'Transfer Engine'!$C$2:$C$1960,0)))</f>
        <v/>
      </c>
      <c r="I1582" s="9">
        <f>IF(ISNA(MATCH(1573,'Transfer Engine'!$C$2:$C$1960,0)),"",INDEX('Compliance Database'!$I$2:$I$1960,MATCH(1573,'Transfer Engine'!$C$2:$C$1960,0)))</f>
        <v/>
      </c>
      <c r="J1582" s="8">
        <f>IF(ISNA(MATCH(1573,'Transfer Engine'!$C$2:$C$1960,0)),"",INDEX('Compliance Database'!$J$2:$J$1960,MATCH(1573,'Transfer Engine'!$C$2:$C$1960,0)))</f>
        <v/>
      </c>
      <c r="K1582" s="9">
        <f>IF(ISNA(MATCH(1573,'Transfer Engine'!$C$2:$C$1960,0)),"",INDEX('Compliance Database'!$K$2:$K$1960,MATCH(1573,'Transfer Engine'!$C$2:$C$1960,0)))</f>
        <v/>
      </c>
      <c r="L1582" s="9">
        <f>IF(ISNA(MATCH(1573,'Transfer Engine'!$C$2:$C$1960,0)),"",INDEX('Compliance Database'!$L$2:$L$1960,MATCH(1573,'Transfer Engine'!$C$2:$C$1960,0)))</f>
        <v/>
      </c>
      <c r="M1582" s="9">
        <f>IF(ISNA(MATCH(1573,'Transfer Engine'!$C$2:$C$1960,0)),"",INDEX('Compliance Database'!$M$2:$M$1960,MATCH(1573,'Transfer Engine'!$C$2:$C$1960,0)))</f>
        <v/>
      </c>
      <c r="N1582" s="9">
        <f>IF(ISNA(MATCH(1573,'Transfer Engine'!$C$2:$C$1960,0)),"",INDEX('Compliance Database'!$N$2:$N$1960,MATCH(1573,'Transfer Engine'!$C$2:$C$1960,0)))</f>
        <v/>
      </c>
      <c r="O1582" s="9">
        <f>IF(ISNA(MATCH(1573,'Transfer Engine'!$C$2:$C$1960,0)),"",INDEX('Compliance Database'!$O$2:$O$1960,MATCH(1573,'Transfer Engine'!$C$2:$C$1960,0)))</f>
        <v/>
      </c>
      <c r="P1582" s="8">
        <f>IF(ISNA(MATCH(1573,'Transfer Engine'!$C$2:$C$1960,0)),"",HYPERLINK("#Acts!A"&amp;INDEX('Compliance Database'!$P$2:$P$1960,MATCH(1573,'Transfer Engine'!$C$2:$C$1960,0)),"Go to Act"))</f>
        <v/>
      </c>
    </row>
    <row r="1583" ht="158" customHeight="1">
      <c r="A1583" s="8">
        <f>IF(ISNA(MATCH(1574,'Transfer Engine'!$C$2:$C$1960,0)),"",INDEX('Compliance Database'!$A$2:$A$1960,MATCH(1574,'Transfer Engine'!$C$2:$C$1960,0)))</f>
        <v/>
      </c>
      <c r="B1583" s="8">
        <f>IF(ISNA(MATCH(1574,'Transfer Engine'!$C$2:$C$1960,0)),"",INDEX('Compliance Database'!$B$2:$B$1960,MATCH(1574,'Transfer Engine'!$C$2:$C$1960,0)))</f>
        <v/>
      </c>
      <c r="C1583" s="8">
        <f>IF(ISNA(MATCH(1574,'Transfer Engine'!$C$2:$C$1960,0)),"",INDEX('Compliance Database'!$C$2:$C$1960,MATCH(1574,'Transfer Engine'!$C$2:$C$1960,0)))</f>
        <v/>
      </c>
      <c r="D1583" s="9">
        <f>IF(ISNA(MATCH(1574,'Transfer Engine'!$C$2:$C$1960,0)),"",INDEX('Compliance Database'!$D$2:$D$1960,MATCH(1574,'Transfer Engine'!$C$2:$C$1960,0)))</f>
        <v/>
      </c>
      <c r="E1583" s="8">
        <f>IF(ISNA(MATCH(1574,'Transfer Engine'!$C$2:$C$1960,0)),"",INDEX('Compliance Database'!$E$2:$E$1960,MATCH(1574,'Transfer Engine'!$C$2:$C$1960,0)))</f>
        <v/>
      </c>
      <c r="F1583" s="8">
        <f>IF(ISNA(MATCH(1574,'Transfer Engine'!$C$2:$C$1960,0)),"",INDEX('Compliance Database'!$F$2:$F$1960,MATCH(1574,'Transfer Engine'!$C$2:$C$1960,0)))</f>
        <v/>
      </c>
      <c r="G1583" s="8">
        <f>IF(ISNA(MATCH(1574,'Transfer Engine'!$C$2:$C$1960,0)),"",INDEX('Compliance Database'!$G$2:$G$1960,MATCH(1574,'Transfer Engine'!$C$2:$C$1960,0)))</f>
        <v/>
      </c>
      <c r="H1583" s="9">
        <f>IF(ISNA(MATCH(1574,'Transfer Engine'!$C$2:$C$1960,0)),"",INDEX('Compliance Database'!$H$2:$H$1960,MATCH(1574,'Transfer Engine'!$C$2:$C$1960,0)))</f>
        <v/>
      </c>
      <c r="I1583" s="9">
        <f>IF(ISNA(MATCH(1574,'Transfer Engine'!$C$2:$C$1960,0)),"",INDEX('Compliance Database'!$I$2:$I$1960,MATCH(1574,'Transfer Engine'!$C$2:$C$1960,0)))</f>
        <v/>
      </c>
      <c r="J1583" s="8">
        <f>IF(ISNA(MATCH(1574,'Transfer Engine'!$C$2:$C$1960,0)),"",INDEX('Compliance Database'!$J$2:$J$1960,MATCH(1574,'Transfer Engine'!$C$2:$C$1960,0)))</f>
        <v/>
      </c>
      <c r="K1583" s="9">
        <f>IF(ISNA(MATCH(1574,'Transfer Engine'!$C$2:$C$1960,0)),"",INDEX('Compliance Database'!$K$2:$K$1960,MATCH(1574,'Transfer Engine'!$C$2:$C$1960,0)))</f>
        <v/>
      </c>
      <c r="L1583" s="9">
        <f>IF(ISNA(MATCH(1574,'Transfer Engine'!$C$2:$C$1960,0)),"",INDEX('Compliance Database'!$L$2:$L$1960,MATCH(1574,'Transfer Engine'!$C$2:$C$1960,0)))</f>
        <v/>
      </c>
      <c r="M1583" s="9">
        <f>IF(ISNA(MATCH(1574,'Transfer Engine'!$C$2:$C$1960,0)),"",INDEX('Compliance Database'!$M$2:$M$1960,MATCH(1574,'Transfer Engine'!$C$2:$C$1960,0)))</f>
        <v/>
      </c>
      <c r="N1583" s="9">
        <f>IF(ISNA(MATCH(1574,'Transfer Engine'!$C$2:$C$1960,0)),"",INDEX('Compliance Database'!$N$2:$N$1960,MATCH(1574,'Transfer Engine'!$C$2:$C$1960,0)))</f>
        <v/>
      </c>
      <c r="O1583" s="9">
        <f>IF(ISNA(MATCH(1574,'Transfer Engine'!$C$2:$C$1960,0)),"",INDEX('Compliance Database'!$O$2:$O$1960,MATCH(1574,'Transfer Engine'!$C$2:$C$1960,0)))</f>
        <v/>
      </c>
      <c r="P1583" s="8">
        <f>IF(ISNA(MATCH(1574,'Transfer Engine'!$C$2:$C$1960,0)),"",HYPERLINK("#Acts!A"&amp;INDEX('Compliance Database'!$P$2:$P$1960,MATCH(1574,'Transfer Engine'!$C$2:$C$1960,0)),"Go to Act"))</f>
        <v/>
      </c>
    </row>
    <row r="1584" ht="158" customHeight="1">
      <c r="A1584" s="8">
        <f>IF(ISNA(MATCH(1575,'Transfer Engine'!$C$2:$C$1960,0)),"",INDEX('Compliance Database'!$A$2:$A$1960,MATCH(1575,'Transfer Engine'!$C$2:$C$1960,0)))</f>
        <v/>
      </c>
      <c r="B1584" s="8">
        <f>IF(ISNA(MATCH(1575,'Transfer Engine'!$C$2:$C$1960,0)),"",INDEX('Compliance Database'!$B$2:$B$1960,MATCH(1575,'Transfer Engine'!$C$2:$C$1960,0)))</f>
        <v/>
      </c>
      <c r="C1584" s="8">
        <f>IF(ISNA(MATCH(1575,'Transfer Engine'!$C$2:$C$1960,0)),"",INDEX('Compliance Database'!$C$2:$C$1960,MATCH(1575,'Transfer Engine'!$C$2:$C$1960,0)))</f>
        <v/>
      </c>
      <c r="D1584" s="9">
        <f>IF(ISNA(MATCH(1575,'Transfer Engine'!$C$2:$C$1960,0)),"",INDEX('Compliance Database'!$D$2:$D$1960,MATCH(1575,'Transfer Engine'!$C$2:$C$1960,0)))</f>
        <v/>
      </c>
      <c r="E1584" s="8">
        <f>IF(ISNA(MATCH(1575,'Transfer Engine'!$C$2:$C$1960,0)),"",INDEX('Compliance Database'!$E$2:$E$1960,MATCH(1575,'Transfer Engine'!$C$2:$C$1960,0)))</f>
        <v/>
      </c>
      <c r="F1584" s="8">
        <f>IF(ISNA(MATCH(1575,'Transfer Engine'!$C$2:$C$1960,0)),"",INDEX('Compliance Database'!$F$2:$F$1960,MATCH(1575,'Transfer Engine'!$C$2:$C$1960,0)))</f>
        <v/>
      </c>
      <c r="G1584" s="8">
        <f>IF(ISNA(MATCH(1575,'Transfer Engine'!$C$2:$C$1960,0)),"",INDEX('Compliance Database'!$G$2:$G$1960,MATCH(1575,'Transfer Engine'!$C$2:$C$1960,0)))</f>
        <v/>
      </c>
      <c r="H1584" s="9">
        <f>IF(ISNA(MATCH(1575,'Transfer Engine'!$C$2:$C$1960,0)),"",INDEX('Compliance Database'!$H$2:$H$1960,MATCH(1575,'Transfer Engine'!$C$2:$C$1960,0)))</f>
        <v/>
      </c>
      <c r="I1584" s="9">
        <f>IF(ISNA(MATCH(1575,'Transfer Engine'!$C$2:$C$1960,0)),"",INDEX('Compliance Database'!$I$2:$I$1960,MATCH(1575,'Transfer Engine'!$C$2:$C$1960,0)))</f>
        <v/>
      </c>
      <c r="J1584" s="8">
        <f>IF(ISNA(MATCH(1575,'Transfer Engine'!$C$2:$C$1960,0)),"",INDEX('Compliance Database'!$J$2:$J$1960,MATCH(1575,'Transfer Engine'!$C$2:$C$1960,0)))</f>
        <v/>
      </c>
      <c r="K1584" s="9">
        <f>IF(ISNA(MATCH(1575,'Transfer Engine'!$C$2:$C$1960,0)),"",INDEX('Compliance Database'!$K$2:$K$1960,MATCH(1575,'Transfer Engine'!$C$2:$C$1960,0)))</f>
        <v/>
      </c>
      <c r="L1584" s="9">
        <f>IF(ISNA(MATCH(1575,'Transfer Engine'!$C$2:$C$1960,0)),"",INDEX('Compliance Database'!$L$2:$L$1960,MATCH(1575,'Transfer Engine'!$C$2:$C$1960,0)))</f>
        <v/>
      </c>
      <c r="M1584" s="9">
        <f>IF(ISNA(MATCH(1575,'Transfer Engine'!$C$2:$C$1960,0)),"",INDEX('Compliance Database'!$M$2:$M$1960,MATCH(1575,'Transfer Engine'!$C$2:$C$1960,0)))</f>
        <v/>
      </c>
      <c r="N1584" s="9">
        <f>IF(ISNA(MATCH(1575,'Transfer Engine'!$C$2:$C$1960,0)),"",INDEX('Compliance Database'!$N$2:$N$1960,MATCH(1575,'Transfer Engine'!$C$2:$C$1960,0)))</f>
        <v/>
      </c>
      <c r="O1584" s="9">
        <f>IF(ISNA(MATCH(1575,'Transfer Engine'!$C$2:$C$1960,0)),"",INDEX('Compliance Database'!$O$2:$O$1960,MATCH(1575,'Transfer Engine'!$C$2:$C$1960,0)))</f>
        <v/>
      </c>
      <c r="P1584" s="8">
        <f>IF(ISNA(MATCH(1575,'Transfer Engine'!$C$2:$C$1960,0)),"",HYPERLINK("#Acts!A"&amp;INDEX('Compliance Database'!$P$2:$P$1960,MATCH(1575,'Transfer Engine'!$C$2:$C$1960,0)),"Go to Act"))</f>
        <v/>
      </c>
    </row>
    <row r="1585" ht="158" customHeight="1">
      <c r="A1585" s="8">
        <f>IF(ISNA(MATCH(1576,'Transfer Engine'!$C$2:$C$1960,0)),"",INDEX('Compliance Database'!$A$2:$A$1960,MATCH(1576,'Transfer Engine'!$C$2:$C$1960,0)))</f>
        <v/>
      </c>
      <c r="B1585" s="8">
        <f>IF(ISNA(MATCH(1576,'Transfer Engine'!$C$2:$C$1960,0)),"",INDEX('Compliance Database'!$B$2:$B$1960,MATCH(1576,'Transfer Engine'!$C$2:$C$1960,0)))</f>
        <v/>
      </c>
      <c r="C1585" s="8">
        <f>IF(ISNA(MATCH(1576,'Transfer Engine'!$C$2:$C$1960,0)),"",INDEX('Compliance Database'!$C$2:$C$1960,MATCH(1576,'Transfer Engine'!$C$2:$C$1960,0)))</f>
        <v/>
      </c>
      <c r="D1585" s="9">
        <f>IF(ISNA(MATCH(1576,'Transfer Engine'!$C$2:$C$1960,0)),"",INDEX('Compliance Database'!$D$2:$D$1960,MATCH(1576,'Transfer Engine'!$C$2:$C$1960,0)))</f>
        <v/>
      </c>
      <c r="E1585" s="8">
        <f>IF(ISNA(MATCH(1576,'Transfer Engine'!$C$2:$C$1960,0)),"",INDEX('Compliance Database'!$E$2:$E$1960,MATCH(1576,'Transfer Engine'!$C$2:$C$1960,0)))</f>
        <v/>
      </c>
      <c r="F1585" s="8">
        <f>IF(ISNA(MATCH(1576,'Transfer Engine'!$C$2:$C$1960,0)),"",INDEX('Compliance Database'!$F$2:$F$1960,MATCH(1576,'Transfer Engine'!$C$2:$C$1960,0)))</f>
        <v/>
      </c>
      <c r="G1585" s="8">
        <f>IF(ISNA(MATCH(1576,'Transfer Engine'!$C$2:$C$1960,0)),"",INDEX('Compliance Database'!$G$2:$G$1960,MATCH(1576,'Transfer Engine'!$C$2:$C$1960,0)))</f>
        <v/>
      </c>
      <c r="H1585" s="9">
        <f>IF(ISNA(MATCH(1576,'Transfer Engine'!$C$2:$C$1960,0)),"",INDEX('Compliance Database'!$H$2:$H$1960,MATCH(1576,'Transfer Engine'!$C$2:$C$1960,0)))</f>
        <v/>
      </c>
      <c r="I1585" s="9">
        <f>IF(ISNA(MATCH(1576,'Transfer Engine'!$C$2:$C$1960,0)),"",INDEX('Compliance Database'!$I$2:$I$1960,MATCH(1576,'Transfer Engine'!$C$2:$C$1960,0)))</f>
        <v/>
      </c>
      <c r="J1585" s="8">
        <f>IF(ISNA(MATCH(1576,'Transfer Engine'!$C$2:$C$1960,0)),"",INDEX('Compliance Database'!$J$2:$J$1960,MATCH(1576,'Transfer Engine'!$C$2:$C$1960,0)))</f>
        <v/>
      </c>
      <c r="K1585" s="9">
        <f>IF(ISNA(MATCH(1576,'Transfer Engine'!$C$2:$C$1960,0)),"",INDEX('Compliance Database'!$K$2:$K$1960,MATCH(1576,'Transfer Engine'!$C$2:$C$1960,0)))</f>
        <v/>
      </c>
      <c r="L1585" s="9">
        <f>IF(ISNA(MATCH(1576,'Transfer Engine'!$C$2:$C$1960,0)),"",INDEX('Compliance Database'!$L$2:$L$1960,MATCH(1576,'Transfer Engine'!$C$2:$C$1960,0)))</f>
        <v/>
      </c>
      <c r="M1585" s="9">
        <f>IF(ISNA(MATCH(1576,'Transfer Engine'!$C$2:$C$1960,0)),"",INDEX('Compliance Database'!$M$2:$M$1960,MATCH(1576,'Transfer Engine'!$C$2:$C$1960,0)))</f>
        <v/>
      </c>
      <c r="N1585" s="9">
        <f>IF(ISNA(MATCH(1576,'Transfer Engine'!$C$2:$C$1960,0)),"",INDEX('Compliance Database'!$N$2:$N$1960,MATCH(1576,'Transfer Engine'!$C$2:$C$1960,0)))</f>
        <v/>
      </c>
      <c r="O1585" s="9">
        <f>IF(ISNA(MATCH(1576,'Transfer Engine'!$C$2:$C$1960,0)),"",INDEX('Compliance Database'!$O$2:$O$1960,MATCH(1576,'Transfer Engine'!$C$2:$C$1960,0)))</f>
        <v/>
      </c>
      <c r="P1585" s="8">
        <f>IF(ISNA(MATCH(1576,'Transfer Engine'!$C$2:$C$1960,0)),"",HYPERLINK("#Acts!A"&amp;INDEX('Compliance Database'!$P$2:$P$1960,MATCH(1576,'Transfer Engine'!$C$2:$C$1960,0)),"Go to Act"))</f>
        <v/>
      </c>
    </row>
    <row r="1586" ht="158" customHeight="1">
      <c r="A1586" s="8">
        <f>IF(ISNA(MATCH(1577,'Transfer Engine'!$C$2:$C$1960,0)),"",INDEX('Compliance Database'!$A$2:$A$1960,MATCH(1577,'Transfer Engine'!$C$2:$C$1960,0)))</f>
        <v/>
      </c>
      <c r="B1586" s="8">
        <f>IF(ISNA(MATCH(1577,'Transfer Engine'!$C$2:$C$1960,0)),"",INDEX('Compliance Database'!$B$2:$B$1960,MATCH(1577,'Transfer Engine'!$C$2:$C$1960,0)))</f>
        <v/>
      </c>
      <c r="C1586" s="8">
        <f>IF(ISNA(MATCH(1577,'Transfer Engine'!$C$2:$C$1960,0)),"",INDEX('Compliance Database'!$C$2:$C$1960,MATCH(1577,'Transfer Engine'!$C$2:$C$1960,0)))</f>
        <v/>
      </c>
      <c r="D1586" s="9">
        <f>IF(ISNA(MATCH(1577,'Transfer Engine'!$C$2:$C$1960,0)),"",INDEX('Compliance Database'!$D$2:$D$1960,MATCH(1577,'Transfer Engine'!$C$2:$C$1960,0)))</f>
        <v/>
      </c>
      <c r="E1586" s="8">
        <f>IF(ISNA(MATCH(1577,'Transfer Engine'!$C$2:$C$1960,0)),"",INDEX('Compliance Database'!$E$2:$E$1960,MATCH(1577,'Transfer Engine'!$C$2:$C$1960,0)))</f>
        <v/>
      </c>
      <c r="F1586" s="8">
        <f>IF(ISNA(MATCH(1577,'Transfer Engine'!$C$2:$C$1960,0)),"",INDEX('Compliance Database'!$F$2:$F$1960,MATCH(1577,'Transfer Engine'!$C$2:$C$1960,0)))</f>
        <v/>
      </c>
      <c r="G1586" s="8">
        <f>IF(ISNA(MATCH(1577,'Transfer Engine'!$C$2:$C$1960,0)),"",INDEX('Compliance Database'!$G$2:$G$1960,MATCH(1577,'Transfer Engine'!$C$2:$C$1960,0)))</f>
        <v/>
      </c>
      <c r="H1586" s="9">
        <f>IF(ISNA(MATCH(1577,'Transfer Engine'!$C$2:$C$1960,0)),"",INDEX('Compliance Database'!$H$2:$H$1960,MATCH(1577,'Transfer Engine'!$C$2:$C$1960,0)))</f>
        <v/>
      </c>
      <c r="I1586" s="9">
        <f>IF(ISNA(MATCH(1577,'Transfer Engine'!$C$2:$C$1960,0)),"",INDEX('Compliance Database'!$I$2:$I$1960,MATCH(1577,'Transfer Engine'!$C$2:$C$1960,0)))</f>
        <v/>
      </c>
      <c r="J1586" s="8">
        <f>IF(ISNA(MATCH(1577,'Transfer Engine'!$C$2:$C$1960,0)),"",INDEX('Compliance Database'!$J$2:$J$1960,MATCH(1577,'Transfer Engine'!$C$2:$C$1960,0)))</f>
        <v/>
      </c>
      <c r="K1586" s="9">
        <f>IF(ISNA(MATCH(1577,'Transfer Engine'!$C$2:$C$1960,0)),"",INDEX('Compliance Database'!$K$2:$K$1960,MATCH(1577,'Transfer Engine'!$C$2:$C$1960,0)))</f>
        <v/>
      </c>
      <c r="L1586" s="9">
        <f>IF(ISNA(MATCH(1577,'Transfer Engine'!$C$2:$C$1960,0)),"",INDEX('Compliance Database'!$L$2:$L$1960,MATCH(1577,'Transfer Engine'!$C$2:$C$1960,0)))</f>
        <v/>
      </c>
      <c r="M1586" s="9">
        <f>IF(ISNA(MATCH(1577,'Transfer Engine'!$C$2:$C$1960,0)),"",INDEX('Compliance Database'!$M$2:$M$1960,MATCH(1577,'Transfer Engine'!$C$2:$C$1960,0)))</f>
        <v/>
      </c>
      <c r="N1586" s="9">
        <f>IF(ISNA(MATCH(1577,'Transfer Engine'!$C$2:$C$1960,0)),"",INDEX('Compliance Database'!$N$2:$N$1960,MATCH(1577,'Transfer Engine'!$C$2:$C$1960,0)))</f>
        <v/>
      </c>
      <c r="O1586" s="9">
        <f>IF(ISNA(MATCH(1577,'Transfer Engine'!$C$2:$C$1960,0)),"",INDEX('Compliance Database'!$O$2:$O$1960,MATCH(1577,'Transfer Engine'!$C$2:$C$1960,0)))</f>
        <v/>
      </c>
      <c r="P1586" s="8">
        <f>IF(ISNA(MATCH(1577,'Transfer Engine'!$C$2:$C$1960,0)),"",HYPERLINK("#Acts!A"&amp;INDEX('Compliance Database'!$P$2:$P$1960,MATCH(1577,'Transfer Engine'!$C$2:$C$1960,0)),"Go to Act"))</f>
        <v/>
      </c>
    </row>
    <row r="1587" ht="158" customHeight="1">
      <c r="A1587" s="8">
        <f>IF(ISNA(MATCH(1578,'Transfer Engine'!$C$2:$C$1960,0)),"",INDEX('Compliance Database'!$A$2:$A$1960,MATCH(1578,'Transfer Engine'!$C$2:$C$1960,0)))</f>
        <v/>
      </c>
      <c r="B1587" s="8">
        <f>IF(ISNA(MATCH(1578,'Transfer Engine'!$C$2:$C$1960,0)),"",INDEX('Compliance Database'!$B$2:$B$1960,MATCH(1578,'Transfer Engine'!$C$2:$C$1960,0)))</f>
        <v/>
      </c>
      <c r="C1587" s="8">
        <f>IF(ISNA(MATCH(1578,'Transfer Engine'!$C$2:$C$1960,0)),"",INDEX('Compliance Database'!$C$2:$C$1960,MATCH(1578,'Transfer Engine'!$C$2:$C$1960,0)))</f>
        <v/>
      </c>
      <c r="D1587" s="9">
        <f>IF(ISNA(MATCH(1578,'Transfer Engine'!$C$2:$C$1960,0)),"",INDEX('Compliance Database'!$D$2:$D$1960,MATCH(1578,'Transfer Engine'!$C$2:$C$1960,0)))</f>
        <v/>
      </c>
      <c r="E1587" s="8">
        <f>IF(ISNA(MATCH(1578,'Transfer Engine'!$C$2:$C$1960,0)),"",INDEX('Compliance Database'!$E$2:$E$1960,MATCH(1578,'Transfer Engine'!$C$2:$C$1960,0)))</f>
        <v/>
      </c>
      <c r="F1587" s="8">
        <f>IF(ISNA(MATCH(1578,'Transfer Engine'!$C$2:$C$1960,0)),"",INDEX('Compliance Database'!$F$2:$F$1960,MATCH(1578,'Transfer Engine'!$C$2:$C$1960,0)))</f>
        <v/>
      </c>
      <c r="G1587" s="8">
        <f>IF(ISNA(MATCH(1578,'Transfer Engine'!$C$2:$C$1960,0)),"",INDEX('Compliance Database'!$G$2:$G$1960,MATCH(1578,'Transfer Engine'!$C$2:$C$1960,0)))</f>
        <v/>
      </c>
      <c r="H1587" s="9">
        <f>IF(ISNA(MATCH(1578,'Transfer Engine'!$C$2:$C$1960,0)),"",INDEX('Compliance Database'!$H$2:$H$1960,MATCH(1578,'Transfer Engine'!$C$2:$C$1960,0)))</f>
        <v/>
      </c>
      <c r="I1587" s="9">
        <f>IF(ISNA(MATCH(1578,'Transfer Engine'!$C$2:$C$1960,0)),"",INDEX('Compliance Database'!$I$2:$I$1960,MATCH(1578,'Transfer Engine'!$C$2:$C$1960,0)))</f>
        <v/>
      </c>
      <c r="J1587" s="8">
        <f>IF(ISNA(MATCH(1578,'Transfer Engine'!$C$2:$C$1960,0)),"",INDEX('Compliance Database'!$J$2:$J$1960,MATCH(1578,'Transfer Engine'!$C$2:$C$1960,0)))</f>
        <v/>
      </c>
      <c r="K1587" s="9">
        <f>IF(ISNA(MATCH(1578,'Transfer Engine'!$C$2:$C$1960,0)),"",INDEX('Compliance Database'!$K$2:$K$1960,MATCH(1578,'Transfer Engine'!$C$2:$C$1960,0)))</f>
        <v/>
      </c>
      <c r="L1587" s="9">
        <f>IF(ISNA(MATCH(1578,'Transfer Engine'!$C$2:$C$1960,0)),"",INDEX('Compliance Database'!$L$2:$L$1960,MATCH(1578,'Transfer Engine'!$C$2:$C$1960,0)))</f>
        <v/>
      </c>
      <c r="M1587" s="9">
        <f>IF(ISNA(MATCH(1578,'Transfer Engine'!$C$2:$C$1960,0)),"",INDEX('Compliance Database'!$M$2:$M$1960,MATCH(1578,'Transfer Engine'!$C$2:$C$1960,0)))</f>
        <v/>
      </c>
      <c r="N1587" s="9">
        <f>IF(ISNA(MATCH(1578,'Transfer Engine'!$C$2:$C$1960,0)),"",INDEX('Compliance Database'!$N$2:$N$1960,MATCH(1578,'Transfer Engine'!$C$2:$C$1960,0)))</f>
        <v/>
      </c>
      <c r="O1587" s="9">
        <f>IF(ISNA(MATCH(1578,'Transfer Engine'!$C$2:$C$1960,0)),"",INDEX('Compliance Database'!$O$2:$O$1960,MATCH(1578,'Transfer Engine'!$C$2:$C$1960,0)))</f>
        <v/>
      </c>
      <c r="P1587" s="8">
        <f>IF(ISNA(MATCH(1578,'Transfer Engine'!$C$2:$C$1960,0)),"",HYPERLINK("#Acts!A"&amp;INDEX('Compliance Database'!$P$2:$P$1960,MATCH(1578,'Transfer Engine'!$C$2:$C$1960,0)),"Go to Act"))</f>
        <v/>
      </c>
    </row>
    <row r="1588" ht="158" customHeight="1">
      <c r="A1588" s="8">
        <f>IF(ISNA(MATCH(1579,'Transfer Engine'!$C$2:$C$1960,0)),"",INDEX('Compliance Database'!$A$2:$A$1960,MATCH(1579,'Transfer Engine'!$C$2:$C$1960,0)))</f>
        <v/>
      </c>
      <c r="B1588" s="8">
        <f>IF(ISNA(MATCH(1579,'Transfer Engine'!$C$2:$C$1960,0)),"",INDEX('Compliance Database'!$B$2:$B$1960,MATCH(1579,'Transfer Engine'!$C$2:$C$1960,0)))</f>
        <v/>
      </c>
      <c r="C1588" s="8">
        <f>IF(ISNA(MATCH(1579,'Transfer Engine'!$C$2:$C$1960,0)),"",INDEX('Compliance Database'!$C$2:$C$1960,MATCH(1579,'Transfer Engine'!$C$2:$C$1960,0)))</f>
        <v/>
      </c>
      <c r="D1588" s="9">
        <f>IF(ISNA(MATCH(1579,'Transfer Engine'!$C$2:$C$1960,0)),"",INDEX('Compliance Database'!$D$2:$D$1960,MATCH(1579,'Transfer Engine'!$C$2:$C$1960,0)))</f>
        <v/>
      </c>
      <c r="E1588" s="8">
        <f>IF(ISNA(MATCH(1579,'Transfer Engine'!$C$2:$C$1960,0)),"",INDEX('Compliance Database'!$E$2:$E$1960,MATCH(1579,'Transfer Engine'!$C$2:$C$1960,0)))</f>
        <v/>
      </c>
      <c r="F1588" s="8">
        <f>IF(ISNA(MATCH(1579,'Transfer Engine'!$C$2:$C$1960,0)),"",INDEX('Compliance Database'!$F$2:$F$1960,MATCH(1579,'Transfer Engine'!$C$2:$C$1960,0)))</f>
        <v/>
      </c>
      <c r="G1588" s="8">
        <f>IF(ISNA(MATCH(1579,'Transfer Engine'!$C$2:$C$1960,0)),"",INDEX('Compliance Database'!$G$2:$G$1960,MATCH(1579,'Transfer Engine'!$C$2:$C$1960,0)))</f>
        <v/>
      </c>
      <c r="H1588" s="9">
        <f>IF(ISNA(MATCH(1579,'Transfer Engine'!$C$2:$C$1960,0)),"",INDEX('Compliance Database'!$H$2:$H$1960,MATCH(1579,'Transfer Engine'!$C$2:$C$1960,0)))</f>
        <v/>
      </c>
      <c r="I1588" s="9">
        <f>IF(ISNA(MATCH(1579,'Transfer Engine'!$C$2:$C$1960,0)),"",INDEX('Compliance Database'!$I$2:$I$1960,MATCH(1579,'Transfer Engine'!$C$2:$C$1960,0)))</f>
        <v/>
      </c>
      <c r="J1588" s="8">
        <f>IF(ISNA(MATCH(1579,'Transfer Engine'!$C$2:$C$1960,0)),"",INDEX('Compliance Database'!$J$2:$J$1960,MATCH(1579,'Transfer Engine'!$C$2:$C$1960,0)))</f>
        <v/>
      </c>
      <c r="K1588" s="9">
        <f>IF(ISNA(MATCH(1579,'Transfer Engine'!$C$2:$C$1960,0)),"",INDEX('Compliance Database'!$K$2:$K$1960,MATCH(1579,'Transfer Engine'!$C$2:$C$1960,0)))</f>
        <v/>
      </c>
      <c r="L1588" s="9">
        <f>IF(ISNA(MATCH(1579,'Transfer Engine'!$C$2:$C$1960,0)),"",INDEX('Compliance Database'!$L$2:$L$1960,MATCH(1579,'Transfer Engine'!$C$2:$C$1960,0)))</f>
        <v/>
      </c>
      <c r="M1588" s="9">
        <f>IF(ISNA(MATCH(1579,'Transfer Engine'!$C$2:$C$1960,0)),"",INDEX('Compliance Database'!$M$2:$M$1960,MATCH(1579,'Transfer Engine'!$C$2:$C$1960,0)))</f>
        <v/>
      </c>
      <c r="N1588" s="9">
        <f>IF(ISNA(MATCH(1579,'Transfer Engine'!$C$2:$C$1960,0)),"",INDEX('Compliance Database'!$N$2:$N$1960,MATCH(1579,'Transfer Engine'!$C$2:$C$1960,0)))</f>
        <v/>
      </c>
      <c r="O1588" s="9">
        <f>IF(ISNA(MATCH(1579,'Transfer Engine'!$C$2:$C$1960,0)),"",INDEX('Compliance Database'!$O$2:$O$1960,MATCH(1579,'Transfer Engine'!$C$2:$C$1960,0)))</f>
        <v/>
      </c>
      <c r="P1588" s="8">
        <f>IF(ISNA(MATCH(1579,'Transfer Engine'!$C$2:$C$1960,0)),"",HYPERLINK("#Acts!A"&amp;INDEX('Compliance Database'!$P$2:$P$1960,MATCH(1579,'Transfer Engine'!$C$2:$C$1960,0)),"Go to Act"))</f>
        <v/>
      </c>
    </row>
    <row r="1589" ht="158" customHeight="1">
      <c r="A1589" s="8">
        <f>IF(ISNA(MATCH(1580,'Transfer Engine'!$C$2:$C$1960,0)),"",INDEX('Compliance Database'!$A$2:$A$1960,MATCH(1580,'Transfer Engine'!$C$2:$C$1960,0)))</f>
        <v/>
      </c>
      <c r="B1589" s="8">
        <f>IF(ISNA(MATCH(1580,'Transfer Engine'!$C$2:$C$1960,0)),"",INDEX('Compliance Database'!$B$2:$B$1960,MATCH(1580,'Transfer Engine'!$C$2:$C$1960,0)))</f>
        <v/>
      </c>
      <c r="C1589" s="8">
        <f>IF(ISNA(MATCH(1580,'Transfer Engine'!$C$2:$C$1960,0)),"",INDEX('Compliance Database'!$C$2:$C$1960,MATCH(1580,'Transfer Engine'!$C$2:$C$1960,0)))</f>
        <v/>
      </c>
      <c r="D1589" s="9">
        <f>IF(ISNA(MATCH(1580,'Transfer Engine'!$C$2:$C$1960,0)),"",INDEX('Compliance Database'!$D$2:$D$1960,MATCH(1580,'Transfer Engine'!$C$2:$C$1960,0)))</f>
        <v/>
      </c>
      <c r="E1589" s="8">
        <f>IF(ISNA(MATCH(1580,'Transfer Engine'!$C$2:$C$1960,0)),"",INDEX('Compliance Database'!$E$2:$E$1960,MATCH(1580,'Transfer Engine'!$C$2:$C$1960,0)))</f>
        <v/>
      </c>
      <c r="F1589" s="8">
        <f>IF(ISNA(MATCH(1580,'Transfer Engine'!$C$2:$C$1960,0)),"",INDEX('Compliance Database'!$F$2:$F$1960,MATCH(1580,'Transfer Engine'!$C$2:$C$1960,0)))</f>
        <v/>
      </c>
      <c r="G1589" s="8">
        <f>IF(ISNA(MATCH(1580,'Transfer Engine'!$C$2:$C$1960,0)),"",INDEX('Compliance Database'!$G$2:$G$1960,MATCH(1580,'Transfer Engine'!$C$2:$C$1960,0)))</f>
        <v/>
      </c>
      <c r="H1589" s="9">
        <f>IF(ISNA(MATCH(1580,'Transfer Engine'!$C$2:$C$1960,0)),"",INDEX('Compliance Database'!$H$2:$H$1960,MATCH(1580,'Transfer Engine'!$C$2:$C$1960,0)))</f>
        <v/>
      </c>
      <c r="I1589" s="9">
        <f>IF(ISNA(MATCH(1580,'Transfer Engine'!$C$2:$C$1960,0)),"",INDEX('Compliance Database'!$I$2:$I$1960,MATCH(1580,'Transfer Engine'!$C$2:$C$1960,0)))</f>
        <v/>
      </c>
      <c r="J1589" s="8">
        <f>IF(ISNA(MATCH(1580,'Transfer Engine'!$C$2:$C$1960,0)),"",INDEX('Compliance Database'!$J$2:$J$1960,MATCH(1580,'Transfer Engine'!$C$2:$C$1960,0)))</f>
        <v/>
      </c>
      <c r="K1589" s="9">
        <f>IF(ISNA(MATCH(1580,'Transfer Engine'!$C$2:$C$1960,0)),"",INDEX('Compliance Database'!$K$2:$K$1960,MATCH(1580,'Transfer Engine'!$C$2:$C$1960,0)))</f>
        <v/>
      </c>
      <c r="L1589" s="9">
        <f>IF(ISNA(MATCH(1580,'Transfer Engine'!$C$2:$C$1960,0)),"",INDEX('Compliance Database'!$L$2:$L$1960,MATCH(1580,'Transfer Engine'!$C$2:$C$1960,0)))</f>
        <v/>
      </c>
      <c r="M1589" s="9">
        <f>IF(ISNA(MATCH(1580,'Transfer Engine'!$C$2:$C$1960,0)),"",INDEX('Compliance Database'!$M$2:$M$1960,MATCH(1580,'Transfer Engine'!$C$2:$C$1960,0)))</f>
        <v/>
      </c>
      <c r="N1589" s="9">
        <f>IF(ISNA(MATCH(1580,'Transfer Engine'!$C$2:$C$1960,0)),"",INDEX('Compliance Database'!$N$2:$N$1960,MATCH(1580,'Transfer Engine'!$C$2:$C$1960,0)))</f>
        <v/>
      </c>
      <c r="O1589" s="9">
        <f>IF(ISNA(MATCH(1580,'Transfer Engine'!$C$2:$C$1960,0)),"",INDEX('Compliance Database'!$O$2:$O$1960,MATCH(1580,'Transfer Engine'!$C$2:$C$1960,0)))</f>
        <v/>
      </c>
      <c r="P1589" s="8">
        <f>IF(ISNA(MATCH(1580,'Transfer Engine'!$C$2:$C$1960,0)),"",HYPERLINK("#Acts!A"&amp;INDEX('Compliance Database'!$P$2:$P$1960,MATCH(1580,'Transfer Engine'!$C$2:$C$1960,0)),"Go to Act"))</f>
        <v/>
      </c>
    </row>
    <row r="1590" ht="158" customHeight="1">
      <c r="A1590" s="8">
        <f>IF(ISNA(MATCH(1581,'Transfer Engine'!$C$2:$C$1960,0)),"",INDEX('Compliance Database'!$A$2:$A$1960,MATCH(1581,'Transfer Engine'!$C$2:$C$1960,0)))</f>
        <v/>
      </c>
      <c r="B1590" s="8">
        <f>IF(ISNA(MATCH(1581,'Transfer Engine'!$C$2:$C$1960,0)),"",INDEX('Compliance Database'!$B$2:$B$1960,MATCH(1581,'Transfer Engine'!$C$2:$C$1960,0)))</f>
        <v/>
      </c>
      <c r="C1590" s="8">
        <f>IF(ISNA(MATCH(1581,'Transfer Engine'!$C$2:$C$1960,0)),"",INDEX('Compliance Database'!$C$2:$C$1960,MATCH(1581,'Transfer Engine'!$C$2:$C$1960,0)))</f>
        <v/>
      </c>
      <c r="D1590" s="9">
        <f>IF(ISNA(MATCH(1581,'Transfer Engine'!$C$2:$C$1960,0)),"",INDEX('Compliance Database'!$D$2:$D$1960,MATCH(1581,'Transfer Engine'!$C$2:$C$1960,0)))</f>
        <v/>
      </c>
      <c r="E1590" s="8">
        <f>IF(ISNA(MATCH(1581,'Transfer Engine'!$C$2:$C$1960,0)),"",INDEX('Compliance Database'!$E$2:$E$1960,MATCH(1581,'Transfer Engine'!$C$2:$C$1960,0)))</f>
        <v/>
      </c>
      <c r="F1590" s="8">
        <f>IF(ISNA(MATCH(1581,'Transfer Engine'!$C$2:$C$1960,0)),"",INDEX('Compliance Database'!$F$2:$F$1960,MATCH(1581,'Transfer Engine'!$C$2:$C$1960,0)))</f>
        <v/>
      </c>
      <c r="G1590" s="8">
        <f>IF(ISNA(MATCH(1581,'Transfer Engine'!$C$2:$C$1960,0)),"",INDEX('Compliance Database'!$G$2:$G$1960,MATCH(1581,'Transfer Engine'!$C$2:$C$1960,0)))</f>
        <v/>
      </c>
      <c r="H1590" s="9">
        <f>IF(ISNA(MATCH(1581,'Transfer Engine'!$C$2:$C$1960,0)),"",INDEX('Compliance Database'!$H$2:$H$1960,MATCH(1581,'Transfer Engine'!$C$2:$C$1960,0)))</f>
        <v/>
      </c>
      <c r="I1590" s="9">
        <f>IF(ISNA(MATCH(1581,'Transfer Engine'!$C$2:$C$1960,0)),"",INDEX('Compliance Database'!$I$2:$I$1960,MATCH(1581,'Transfer Engine'!$C$2:$C$1960,0)))</f>
        <v/>
      </c>
      <c r="J1590" s="8">
        <f>IF(ISNA(MATCH(1581,'Transfer Engine'!$C$2:$C$1960,0)),"",INDEX('Compliance Database'!$J$2:$J$1960,MATCH(1581,'Transfer Engine'!$C$2:$C$1960,0)))</f>
        <v/>
      </c>
      <c r="K1590" s="9">
        <f>IF(ISNA(MATCH(1581,'Transfer Engine'!$C$2:$C$1960,0)),"",INDEX('Compliance Database'!$K$2:$K$1960,MATCH(1581,'Transfer Engine'!$C$2:$C$1960,0)))</f>
        <v/>
      </c>
      <c r="L1590" s="9">
        <f>IF(ISNA(MATCH(1581,'Transfer Engine'!$C$2:$C$1960,0)),"",INDEX('Compliance Database'!$L$2:$L$1960,MATCH(1581,'Transfer Engine'!$C$2:$C$1960,0)))</f>
        <v/>
      </c>
      <c r="M1590" s="9">
        <f>IF(ISNA(MATCH(1581,'Transfer Engine'!$C$2:$C$1960,0)),"",INDEX('Compliance Database'!$M$2:$M$1960,MATCH(1581,'Transfer Engine'!$C$2:$C$1960,0)))</f>
        <v/>
      </c>
      <c r="N1590" s="9">
        <f>IF(ISNA(MATCH(1581,'Transfer Engine'!$C$2:$C$1960,0)),"",INDEX('Compliance Database'!$N$2:$N$1960,MATCH(1581,'Transfer Engine'!$C$2:$C$1960,0)))</f>
        <v/>
      </c>
      <c r="O1590" s="9">
        <f>IF(ISNA(MATCH(1581,'Transfer Engine'!$C$2:$C$1960,0)),"",INDEX('Compliance Database'!$O$2:$O$1960,MATCH(1581,'Transfer Engine'!$C$2:$C$1960,0)))</f>
        <v/>
      </c>
      <c r="P1590" s="8">
        <f>IF(ISNA(MATCH(1581,'Transfer Engine'!$C$2:$C$1960,0)),"",HYPERLINK("#Acts!A"&amp;INDEX('Compliance Database'!$P$2:$P$1960,MATCH(1581,'Transfer Engine'!$C$2:$C$1960,0)),"Go to Act"))</f>
        <v/>
      </c>
    </row>
    <row r="1591" ht="158" customHeight="1">
      <c r="A1591" s="8">
        <f>IF(ISNA(MATCH(1582,'Transfer Engine'!$C$2:$C$1960,0)),"",INDEX('Compliance Database'!$A$2:$A$1960,MATCH(1582,'Transfer Engine'!$C$2:$C$1960,0)))</f>
        <v/>
      </c>
      <c r="B1591" s="8">
        <f>IF(ISNA(MATCH(1582,'Transfer Engine'!$C$2:$C$1960,0)),"",INDEX('Compliance Database'!$B$2:$B$1960,MATCH(1582,'Transfer Engine'!$C$2:$C$1960,0)))</f>
        <v/>
      </c>
      <c r="C1591" s="8">
        <f>IF(ISNA(MATCH(1582,'Transfer Engine'!$C$2:$C$1960,0)),"",INDEX('Compliance Database'!$C$2:$C$1960,MATCH(1582,'Transfer Engine'!$C$2:$C$1960,0)))</f>
        <v/>
      </c>
      <c r="D1591" s="9">
        <f>IF(ISNA(MATCH(1582,'Transfer Engine'!$C$2:$C$1960,0)),"",INDEX('Compliance Database'!$D$2:$D$1960,MATCH(1582,'Transfer Engine'!$C$2:$C$1960,0)))</f>
        <v/>
      </c>
      <c r="E1591" s="8">
        <f>IF(ISNA(MATCH(1582,'Transfer Engine'!$C$2:$C$1960,0)),"",INDEX('Compliance Database'!$E$2:$E$1960,MATCH(1582,'Transfer Engine'!$C$2:$C$1960,0)))</f>
        <v/>
      </c>
      <c r="F1591" s="8">
        <f>IF(ISNA(MATCH(1582,'Transfer Engine'!$C$2:$C$1960,0)),"",INDEX('Compliance Database'!$F$2:$F$1960,MATCH(1582,'Transfer Engine'!$C$2:$C$1960,0)))</f>
        <v/>
      </c>
      <c r="G1591" s="8">
        <f>IF(ISNA(MATCH(1582,'Transfer Engine'!$C$2:$C$1960,0)),"",INDEX('Compliance Database'!$G$2:$G$1960,MATCH(1582,'Transfer Engine'!$C$2:$C$1960,0)))</f>
        <v/>
      </c>
      <c r="H1591" s="9">
        <f>IF(ISNA(MATCH(1582,'Transfer Engine'!$C$2:$C$1960,0)),"",INDEX('Compliance Database'!$H$2:$H$1960,MATCH(1582,'Transfer Engine'!$C$2:$C$1960,0)))</f>
        <v/>
      </c>
      <c r="I1591" s="9">
        <f>IF(ISNA(MATCH(1582,'Transfer Engine'!$C$2:$C$1960,0)),"",INDEX('Compliance Database'!$I$2:$I$1960,MATCH(1582,'Transfer Engine'!$C$2:$C$1960,0)))</f>
        <v/>
      </c>
      <c r="J1591" s="8">
        <f>IF(ISNA(MATCH(1582,'Transfer Engine'!$C$2:$C$1960,0)),"",INDEX('Compliance Database'!$J$2:$J$1960,MATCH(1582,'Transfer Engine'!$C$2:$C$1960,0)))</f>
        <v/>
      </c>
      <c r="K1591" s="9">
        <f>IF(ISNA(MATCH(1582,'Transfer Engine'!$C$2:$C$1960,0)),"",INDEX('Compliance Database'!$K$2:$K$1960,MATCH(1582,'Transfer Engine'!$C$2:$C$1960,0)))</f>
        <v/>
      </c>
      <c r="L1591" s="9">
        <f>IF(ISNA(MATCH(1582,'Transfer Engine'!$C$2:$C$1960,0)),"",INDEX('Compliance Database'!$L$2:$L$1960,MATCH(1582,'Transfer Engine'!$C$2:$C$1960,0)))</f>
        <v/>
      </c>
      <c r="M1591" s="9">
        <f>IF(ISNA(MATCH(1582,'Transfer Engine'!$C$2:$C$1960,0)),"",INDEX('Compliance Database'!$M$2:$M$1960,MATCH(1582,'Transfer Engine'!$C$2:$C$1960,0)))</f>
        <v/>
      </c>
      <c r="N1591" s="9">
        <f>IF(ISNA(MATCH(1582,'Transfer Engine'!$C$2:$C$1960,0)),"",INDEX('Compliance Database'!$N$2:$N$1960,MATCH(1582,'Transfer Engine'!$C$2:$C$1960,0)))</f>
        <v/>
      </c>
      <c r="O1591" s="9">
        <f>IF(ISNA(MATCH(1582,'Transfer Engine'!$C$2:$C$1960,0)),"",INDEX('Compliance Database'!$O$2:$O$1960,MATCH(1582,'Transfer Engine'!$C$2:$C$1960,0)))</f>
        <v/>
      </c>
      <c r="P1591" s="8">
        <f>IF(ISNA(MATCH(1582,'Transfer Engine'!$C$2:$C$1960,0)),"",HYPERLINK("#Acts!A"&amp;INDEX('Compliance Database'!$P$2:$P$1960,MATCH(1582,'Transfer Engine'!$C$2:$C$1960,0)),"Go to Act"))</f>
        <v/>
      </c>
    </row>
    <row r="1592" ht="158" customHeight="1">
      <c r="A1592" s="8">
        <f>IF(ISNA(MATCH(1583,'Transfer Engine'!$C$2:$C$1960,0)),"",INDEX('Compliance Database'!$A$2:$A$1960,MATCH(1583,'Transfer Engine'!$C$2:$C$1960,0)))</f>
        <v/>
      </c>
      <c r="B1592" s="8">
        <f>IF(ISNA(MATCH(1583,'Transfer Engine'!$C$2:$C$1960,0)),"",INDEX('Compliance Database'!$B$2:$B$1960,MATCH(1583,'Transfer Engine'!$C$2:$C$1960,0)))</f>
        <v/>
      </c>
      <c r="C1592" s="8">
        <f>IF(ISNA(MATCH(1583,'Transfer Engine'!$C$2:$C$1960,0)),"",INDEX('Compliance Database'!$C$2:$C$1960,MATCH(1583,'Transfer Engine'!$C$2:$C$1960,0)))</f>
        <v/>
      </c>
      <c r="D1592" s="9">
        <f>IF(ISNA(MATCH(1583,'Transfer Engine'!$C$2:$C$1960,0)),"",INDEX('Compliance Database'!$D$2:$D$1960,MATCH(1583,'Transfer Engine'!$C$2:$C$1960,0)))</f>
        <v/>
      </c>
      <c r="E1592" s="8">
        <f>IF(ISNA(MATCH(1583,'Transfer Engine'!$C$2:$C$1960,0)),"",INDEX('Compliance Database'!$E$2:$E$1960,MATCH(1583,'Transfer Engine'!$C$2:$C$1960,0)))</f>
        <v/>
      </c>
      <c r="F1592" s="8">
        <f>IF(ISNA(MATCH(1583,'Transfer Engine'!$C$2:$C$1960,0)),"",INDEX('Compliance Database'!$F$2:$F$1960,MATCH(1583,'Transfer Engine'!$C$2:$C$1960,0)))</f>
        <v/>
      </c>
      <c r="G1592" s="8">
        <f>IF(ISNA(MATCH(1583,'Transfer Engine'!$C$2:$C$1960,0)),"",INDEX('Compliance Database'!$G$2:$G$1960,MATCH(1583,'Transfer Engine'!$C$2:$C$1960,0)))</f>
        <v/>
      </c>
      <c r="H1592" s="9">
        <f>IF(ISNA(MATCH(1583,'Transfer Engine'!$C$2:$C$1960,0)),"",INDEX('Compliance Database'!$H$2:$H$1960,MATCH(1583,'Transfer Engine'!$C$2:$C$1960,0)))</f>
        <v/>
      </c>
      <c r="I1592" s="9">
        <f>IF(ISNA(MATCH(1583,'Transfer Engine'!$C$2:$C$1960,0)),"",INDEX('Compliance Database'!$I$2:$I$1960,MATCH(1583,'Transfer Engine'!$C$2:$C$1960,0)))</f>
        <v/>
      </c>
      <c r="J1592" s="8">
        <f>IF(ISNA(MATCH(1583,'Transfer Engine'!$C$2:$C$1960,0)),"",INDEX('Compliance Database'!$J$2:$J$1960,MATCH(1583,'Transfer Engine'!$C$2:$C$1960,0)))</f>
        <v/>
      </c>
      <c r="K1592" s="9">
        <f>IF(ISNA(MATCH(1583,'Transfer Engine'!$C$2:$C$1960,0)),"",INDEX('Compliance Database'!$K$2:$K$1960,MATCH(1583,'Transfer Engine'!$C$2:$C$1960,0)))</f>
        <v/>
      </c>
      <c r="L1592" s="9">
        <f>IF(ISNA(MATCH(1583,'Transfer Engine'!$C$2:$C$1960,0)),"",INDEX('Compliance Database'!$L$2:$L$1960,MATCH(1583,'Transfer Engine'!$C$2:$C$1960,0)))</f>
        <v/>
      </c>
      <c r="M1592" s="9">
        <f>IF(ISNA(MATCH(1583,'Transfer Engine'!$C$2:$C$1960,0)),"",INDEX('Compliance Database'!$M$2:$M$1960,MATCH(1583,'Transfer Engine'!$C$2:$C$1960,0)))</f>
        <v/>
      </c>
      <c r="N1592" s="9">
        <f>IF(ISNA(MATCH(1583,'Transfer Engine'!$C$2:$C$1960,0)),"",INDEX('Compliance Database'!$N$2:$N$1960,MATCH(1583,'Transfer Engine'!$C$2:$C$1960,0)))</f>
        <v/>
      </c>
      <c r="O1592" s="9">
        <f>IF(ISNA(MATCH(1583,'Transfer Engine'!$C$2:$C$1960,0)),"",INDEX('Compliance Database'!$O$2:$O$1960,MATCH(1583,'Transfer Engine'!$C$2:$C$1960,0)))</f>
        <v/>
      </c>
      <c r="P1592" s="8">
        <f>IF(ISNA(MATCH(1583,'Transfer Engine'!$C$2:$C$1960,0)),"",HYPERLINK("#Acts!A"&amp;INDEX('Compliance Database'!$P$2:$P$1960,MATCH(1583,'Transfer Engine'!$C$2:$C$1960,0)),"Go to Act"))</f>
        <v/>
      </c>
    </row>
    <row r="1593" ht="158" customHeight="1">
      <c r="A1593" s="8">
        <f>IF(ISNA(MATCH(1584,'Transfer Engine'!$C$2:$C$1960,0)),"",INDEX('Compliance Database'!$A$2:$A$1960,MATCH(1584,'Transfer Engine'!$C$2:$C$1960,0)))</f>
        <v/>
      </c>
      <c r="B1593" s="8">
        <f>IF(ISNA(MATCH(1584,'Transfer Engine'!$C$2:$C$1960,0)),"",INDEX('Compliance Database'!$B$2:$B$1960,MATCH(1584,'Transfer Engine'!$C$2:$C$1960,0)))</f>
        <v/>
      </c>
      <c r="C1593" s="8">
        <f>IF(ISNA(MATCH(1584,'Transfer Engine'!$C$2:$C$1960,0)),"",INDEX('Compliance Database'!$C$2:$C$1960,MATCH(1584,'Transfer Engine'!$C$2:$C$1960,0)))</f>
        <v/>
      </c>
      <c r="D1593" s="9">
        <f>IF(ISNA(MATCH(1584,'Transfer Engine'!$C$2:$C$1960,0)),"",INDEX('Compliance Database'!$D$2:$D$1960,MATCH(1584,'Transfer Engine'!$C$2:$C$1960,0)))</f>
        <v/>
      </c>
      <c r="E1593" s="8">
        <f>IF(ISNA(MATCH(1584,'Transfer Engine'!$C$2:$C$1960,0)),"",INDEX('Compliance Database'!$E$2:$E$1960,MATCH(1584,'Transfer Engine'!$C$2:$C$1960,0)))</f>
        <v/>
      </c>
      <c r="F1593" s="8">
        <f>IF(ISNA(MATCH(1584,'Transfer Engine'!$C$2:$C$1960,0)),"",INDEX('Compliance Database'!$F$2:$F$1960,MATCH(1584,'Transfer Engine'!$C$2:$C$1960,0)))</f>
        <v/>
      </c>
      <c r="G1593" s="8">
        <f>IF(ISNA(MATCH(1584,'Transfer Engine'!$C$2:$C$1960,0)),"",INDEX('Compliance Database'!$G$2:$G$1960,MATCH(1584,'Transfer Engine'!$C$2:$C$1960,0)))</f>
        <v/>
      </c>
      <c r="H1593" s="9">
        <f>IF(ISNA(MATCH(1584,'Transfer Engine'!$C$2:$C$1960,0)),"",INDEX('Compliance Database'!$H$2:$H$1960,MATCH(1584,'Transfer Engine'!$C$2:$C$1960,0)))</f>
        <v/>
      </c>
      <c r="I1593" s="9">
        <f>IF(ISNA(MATCH(1584,'Transfer Engine'!$C$2:$C$1960,0)),"",INDEX('Compliance Database'!$I$2:$I$1960,MATCH(1584,'Transfer Engine'!$C$2:$C$1960,0)))</f>
        <v/>
      </c>
      <c r="J1593" s="8">
        <f>IF(ISNA(MATCH(1584,'Transfer Engine'!$C$2:$C$1960,0)),"",INDEX('Compliance Database'!$J$2:$J$1960,MATCH(1584,'Transfer Engine'!$C$2:$C$1960,0)))</f>
        <v/>
      </c>
      <c r="K1593" s="9">
        <f>IF(ISNA(MATCH(1584,'Transfer Engine'!$C$2:$C$1960,0)),"",INDEX('Compliance Database'!$K$2:$K$1960,MATCH(1584,'Transfer Engine'!$C$2:$C$1960,0)))</f>
        <v/>
      </c>
      <c r="L1593" s="9">
        <f>IF(ISNA(MATCH(1584,'Transfer Engine'!$C$2:$C$1960,0)),"",INDEX('Compliance Database'!$L$2:$L$1960,MATCH(1584,'Transfer Engine'!$C$2:$C$1960,0)))</f>
        <v/>
      </c>
      <c r="M1593" s="9">
        <f>IF(ISNA(MATCH(1584,'Transfer Engine'!$C$2:$C$1960,0)),"",INDEX('Compliance Database'!$M$2:$M$1960,MATCH(1584,'Transfer Engine'!$C$2:$C$1960,0)))</f>
        <v/>
      </c>
      <c r="N1593" s="9">
        <f>IF(ISNA(MATCH(1584,'Transfer Engine'!$C$2:$C$1960,0)),"",INDEX('Compliance Database'!$N$2:$N$1960,MATCH(1584,'Transfer Engine'!$C$2:$C$1960,0)))</f>
        <v/>
      </c>
      <c r="O1593" s="9">
        <f>IF(ISNA(MATCH(1584,'Transfer Engine'!$C$2:$C$1960,0)),"",INDEX('Compliance Database'!$O$2:$O$1960,MATCH(1584,'Transfer Engine'!$C$2:$C$1960,0)))</f>
        <v/>
      </c>
      <c r="P1593" s="8">
        <f>IF(ISNA(MATCH(1584,'Transfer Engine'!$C$2:$C$1960,0)),"",HYPERLINK("#Acts!A"&amp;INDEX('Compliance Database'!$P$2:$P$1960,MATCH(1584,'Transfer Engine'!$C$2:$C$1960,0)),"Go to Act"))</f>
        <v/>
      </c>
    </row>
    <row r="1594" ht="158" customHeight="1">
      <c r="A1594" s="8">
        <f>IF(ISNA(MATCH(1585,'Transfer Engine'!$C$2:$C$1960,0)),"",INDEX('Compliance Database'!$A$2:$A$1960,MATCH(1585,'Transfer Engine'!$C$2:$C$1960,0)))</f>
        <v/>
      </c>
      <c r="B1594" s="8">
        <f>IF(ISNA(MATCH(1585,'Transfer Engine'!$C$2:$C$1960,0)),"",INDEX('Compliance Database'!$B$2:$B$1960,MATCH(1585,'Transfer Engine'!$C$2:$C$1960,0)))</f>
        <v/>
      </c>
      <c r="C1594" s="8">
        <f>IF(ISNA(MATCH(1585,'Transfer Engine'!$C$2:$C$1960,0)),"",INDEX('Compliance Database'!$C$2:$C$1960,MATCH(1585,'Transfer Engine'!$C$2:$C$1960,0)))</f>
        <v/>
      </c>
      <c r="D1594" s="9">
        <f>IF(ISNA(MATCH(1585,'Transfer Engine'!$C$2:$C$1960,0)),"",INDEX('Compliance Database'!$D$2:$D$1960,MATCH(1585,'Transfer Engine'!$C$2:$C$1960,0)))</f>
        <v/>
      </c>
      <c r="E1594" s="8">
        <f>IF(ISNA(MATCH(1585,'Transfer Engine'!$C$2:$C$1960,0)),"",INDEX('Compliance Database'!$E$2:$E$1960,MATCH(1585,'Transfer Engine'!$C$2:$C$1960,0)))</f>
        <v/>
      </c>
      <c r="F1594" s="8">
        <f>IF(ISNA(MATCH(1585,'Transfer Engine'!$C$2:$C$1960,0)),"",INDEX('Compliance Database'!$F$2:$F$1960,MATCH(1585,'Transfer Engine'!$C$2:$C$1960,0)))</f>
        <v/>
      </c>
      <c r="G1594" s="8">
        <f>IF(ISNA(MATCH(1585,'Transfer Engine'!$C$2:$C$1960,0)),"",INDEX('Compliance Database'!$G$2:$G$1960,MATCH(1585,'Transfer Engine'!$C$2:$C$1960,0)))</f>
        <v/>
      </c>
      <c r="H1594" s="9">
        <f>IF(ISNA(MATCH(1585,'Transfer Engine'!$C$2:$C$1960,0)),"",INDEX('Compliance Database'!$H$2:$H$1960,MATCH(1585,'Transfer Engine'!$C$2:$C$1960,0)))</f>
        <v/>
      </c>
      <c r="I1594" s="9">
        <f>IF(ISNA(MATCH(1585,'Transfer Engine'!$C$2:$C$1960,0)),"",INDEX('Compliance Database'!$I$2:$I$1960,MATCH(1585,'Transfer Engine'!$C$2:$C$1960,0)))</f>
        <v/>
      </c>
      <c r="J1594" s="8">
        <f>IF(ISNA(MATCH(1585,'Transfer Engine'!$C$2:$C$1960,0)),"",INDEX('Compliance Database'!$J$2:$J$1960,MATCH(1585,'Transfer Engine'!$C$2:$C$1960,0)))</f>
        <v/>
      </c>
      <c r="K1594" s="9">
        <f>IF(ISNA(MATCH(1585,'Transfer Engine'!$C$2:$C$1960,0)),"",INDEX('Compliance Database'!$K$2:$K$1960,MATCH(1585,'Transfer Engine'!$C$2:$C$1960,0)))</f>
        <v/>
      </c>
      <c r="L1594" s="9">
        <f>IF(ISNA(MATCH(1585,'Transfer Engine'!$C$2:$C$1960,0)),"",INDEX('Compliance Database'!$L$2:$L$1960,MATCH(1585,'Transfer Engine'!$C$2:$C$1960,0)))</f>
        <v/>
      </c>
      <c r="M1594" s="9">
        <f>IF(ISNA(MATCH(1585,'Transfer Engine'!$C$2:$C$1960,0)),"",INDEX('Compliance Database'!$M$2:$M$1960,MATCH(1585,'Transfer Engine'!$C$2:$C$1960,0)))</f>
        <v/>
      </c>
      <c r="N1594" s="9">
        <f>IF(ISNA(MATCH(1585,'Transfer Engine'!$C$2:$C$1960,0)),"",INDEX('Compliance Database'!$N$2:$N$1960,MATCH(1585,'Transfer Engine'!$C$2:$C$1960,0)))</f>
        <v/>
      </c>
      <c r="O1594" s="9">
        <f>IF(ISNA(MATCH(1585,'Transfer Engine'!$C$2:$C$1960,0)),"",INDEX('Compliance Database'!$O$2:$O$1960,MATCH(1585,'Transfer Engine'!$C$2:$C$1960,0)))</f>
        <v/>
      </c>
      <c r="P1594" s="8">
        <f>IF(ISNA(MATCH(1585,'Transfer Engine'!$C$2:$C$1960,0)),"",HYPERLINK("#Acts!A"&amp;INDEX('Compliance Database'!$P$2:$P$1960,MATCH(1585,'Transfer Engine'!$C$2:$C$1960,0)),"Go to Act"))</f>
        <v/>
      </c>
    </row>
    <row r="1595" ht="158" customHeight="1">
      <c r="A1595" s="8">
        <f>IF(ISNA(MATCH(1586,'Transfer Engine'!$C$2:$C$1960,0)),"",INDEX('Compliance Database'!$A$2:$A$1960,MATCH(1586,'Transfer Engine'!$C$2:$C$1960,0)))</f>
        <v/>
      </c>
      <c r="B1595" s="8">
        <f>IF(ISNA(MATCH(1586,'Transfer Engine'!$C$2:$C$1960,0)),"",INDEX('Compliance Database'!$B$2:$B$1960,MATCH(1586,'Transfer Engine'!$C$2:$C$1960,0)))</f>
        <v/>
      </c>
      <c r="C1595" s="8">
        <f>IF(ISNA(MATCH(1586,'Transfer Engine'!$C$2:$C$1960,0)),"",INDEX('Compliance Database'!$C$2:$C$1960,MATCH(1586,'Transfer Engine'!$C$2:$C$1960,0)))</f>
        <v/>
      </c>
      <c r="D1595" s="9">
        <f>IF(ISNA(MATCH(1586,'Transfer Engine'!$C$2:$C$1960,0)),"",INDEX('Compliance Database'!$D$2:$D$1960,MATCH(1586,'Transfer Engine'!$C$2:$C$1960,0)))</f>
        <v/>
      </c>
      <c r="E1595" s="8">
        <f>IF(ISNA(MATCH(1586,'Transfer Engine'!$C$2:$C$1960,0)),"",INDEX('Compliance Database'!$E$2:$E$1960,MATCH(1586,'Transfer Engine'!$C$2:$C$1960,0)))</f>
        <v/>
      </c>
      <c r="F1595" s="8">
        <f>IF(ISNA(MATCH(1586,'Transfer Engine'!$C$2:$C$1960,0)),"",INDEX('Compliance Database'!$F$2:$F$1960,MATCH(1586,'Transfer Engine'!$C$2:$C$1960,0)))</f>
        <v/>
      </c>
      <c r="G1595" s="8">
        <f>IF(ISNA(MATCH(1586,'Transfer Engine'!$C$2:$C$1960,0)),"",INDEX('Compliance Database'!$G$2:$G$1960,MATCH(1586,'Transfer Engine'!$C$2:$C$1960,0)))</f>
        <v/>
      </c>
      <c r="H1595" s="9">
        <f>IF(ISNA(MATCH(1586,'Transfer Engine'!$C$2:$C$1960,0)),"",INDEX('Compliance Database'!$H$2:$H$1960,MATCH(1586,'Transfer Engine'!$C$2:$C$1960,0)))</f>
        <v/>
      </c>
      <c r="I1595" s="9">
        <f>IF(ISNA(MATCH(1586,'Transfer Engine'!$C$2:$C$1960,0)),"",INDEX('Compliance Database'!$I$2:$I$1960,MATCH(1586,'Transfer Engine'!$C$2:$C$1960,0)))</f>
        <v/>
      </c>
      <c r="J1595" s="8">
        <f>IF(ISNA(MATCH(1586,'Transfer Engine'!$C$2:$C$1960,0)),"",INDEX('Compliance Database'!$J$2:$J$1960,MATCH(1586,'Transfer Engine'!$C$2:$C$1960,0)))</f>
        <v/>
      </c>
      <c r="K1595" s="9">
        <f>IF(ISNA(MATCH(1586,'Transfer Engine'!$C$2:$C$1960,0)),"",INDEX('Compliance Database'!$K$2:$K$1960,MATCH(1586,'Transfer Engine'!$C$2:$C$1960,0)))</f>
        <v/>
      </c>
      <c r="L1595" s="9">
        <f>IF(ISNA(MATCH(1586,'Transfer Engine'!$C$2:$C$1960,0)),"",INDEX('Compliance Database'!$L$2:$L$1960,MATCH(1586,'Transfer Engine'!$C$2:$C$1960,0)))</f>
        <v/>
      </c>
      <c r="M1595" s="9">
        <f>IF(ISNA(MATCH(1586,'Transfer Engine'!$C$2:$C$1960,0)),"",INDEX('Compliance Database'!$M$2:$M$1960,MATCH(1586,'Transfer Engine'!$C$2:$C$1960,0)))</f>
        <v/>
      </c>
      <c r="N1595" s="9">
        <f>IF(ISNA(MATCH(1586,'Transfer Engine'!$C$2:$C$1960,0)),"",INDEX('Compliance Database'!$N$2:$N$1960,MATCH(1586,'Transfer Engine'!$C$2:$C$1960,0)))</f>
        <v/>
      </c>
      <c r="O1595" s="9">
        <f>IF(ISNA(MATCH(1586,'Transfer Engine'!$C$2:$C$1960,0)),"",INDEX('Compliance Database'!$O$2:$O$1960,MATCH(1586,'Transfer Engine'!$C$2:$C$1960,0)))</f>
        <v/>
      </c>
      <c r="P1595" s="8">
        <f>IF(ISNA(MATCH(1586,'Transfer Engine'!$C$2:$C$1960,0)),"",HYPERLINK("#Acts!A"&amp;INDEX('Compliance Database'!$P$2:$P$1960,MATCH(1586,'Transfer Engine'!$C$2:$C$1960,0)),"Go to Act"))</f>
        <v/>
      </c>
    </row>
    <row r="1596" ht="158" customHeight="1">
      <c r="A1596" s="8">
        <f>IF(ISNA(MATCH(1587,'Transfer Engine'!$C$2:$C$1960,0)),"",INDEX('Compliance Database'!$A$2:$A$1960,MATCH(1587,'Transfer Engine'!$C$2:$C$1960,0)))</f>
        <v/>
      </c>
      <c r="B1596" s="8">
        <f>IF(ISNA(MATCH(1587,'Transfer Engine'!$C$2:$C$1960,0)),"",INDEX('Compliance Database'!$B$2:$B$1960,MATCH(1587,'Transfer Engine'!$C$2:$C$1960,0)))</f>
        <v/>
      </c>
      <c r="C1596" s="8">
        <f>IF(ISNA(MATCH(1587,'Transfer Engine'!$C$2:$C$1960,0)),"",INDEX('Compliance Database'!$C$2:$C$1960,MATCH(1587,'Transfer Engine'!$C$2:$C$1960,0)))</f>
        <v/>
      </c>
      <c r="D1596" s="9">
        <f>IF(ISNA(MATCH(1587,'Transfer Engine'!$C$2:$C$1960,0)),"",INDEX('Compliance Database'!$D$2:$D$1960,MATCH(1587,'Transfer Engine'!$C$2:$C$1960,0)))</f>
        <v/>
      </c>
      <c r="E1596" s="8">
        <f>IF(ISNA(MATCH(1587,'Transfer Engine'!$C$2:$C$1960,0)),"",INDEX('Compliance Database'!$E$2:$E$1960,MATCH(1587,'Transfer Engine'!$C$2:$C$1960,0)))</f>
        <v/>
      </c>
      <c r="F1596" s="8">
        <f>IF(ISNA(MATCH(1587,'Transfer Engine'!$C$2:$C$1960,0)),"",INDEX('Compliance Database'!$F$2:$F$1960,MATCH(1587,'Transfer Engine'!$C$2:$C$1960,0)))</f>
        <v/>
      </c>
      <c r="G1596" s="8">
        <f>IF(ISNA(MATCH(1587,'Transfer Engine'!$C$2:$C$1960,0)),"",INDEX('Compliance Database'!$G$2:$G$1960,MATCH(1587,'Transfer Engine'!$C$2:$C$1960,0)))</f>
        <v/>
      </c>
      <c r="H1596" s="9">
        <f>IF(ISNA(MATCH(1587,'Transfer Engine'!$C$2:$C$1960,0)),"",INDEX('Compliance Database'!$H$2:$H$1960,MATCH(1587,'Transfer Engine'!$C$2:$C$1960,0)))</f>
        <v/>
      </c>
      <c r="I1596" s="9">
        <f>IF(ISNA(MATCH(1587,'Transfer Engine'!$C$2:$C$1960,0)),"",INDEX('Compliance Database'!$I$2:$I$1960,MATCH(1587,'Transfer Engine'!$C$2:$C$1960,0)))</f>
        <v/>
      </c>
      <c r="J1596" s="8">
        <f>IF(ISNA(MATCH(1587,'Transfer Engine'!$C$2:$C$1960,0)),"",INDEX('Compliance Database'!$J$2:$J$1960,MATCH(1587,'Transfer Engine'!$C$2:$C$1960,0)))</f>
        <v/>
      </c>
      <c r="K1596" s="9">
        <f>IF(ISNA(MATCH(1587,'Transfer Engine'!$C$2:$C$1960,0)),"",INDEX('Compliance Database'!$K$2:$K$1960,MATCH(1587,'Transfer Engine'!$C$2:$C$1960,0)))</f>
        <v/>
      </c>
      <c r="L1596" s="9">
        <f>IF(ISNA(MATCH(1587,'Transfer Engine'!$C$2:$C$1960,0)),"",INDEX('Compliance Database'!$L$2:$L$1960,MATCH(1587,'Transfer Engine'!$C$2:$C$1960,0)))</f>
        <v/>
      </c>
      <c r="M1596" s="9">
        <f>IF(ISNA(MATCH(1587,'Transfer Engine'!$C$2:$C$1960,0)),"",INDEX('Compliance Database'!$M$2:$M$1960,MATCH(1587,'Transfer Engine'!$C$2:$C$1960,0)))</f>
        <v/>
      </c>
      <c r="N1596" s="9">
        <f>IF(ISNA(MATCH(1587,'Transfer Engine'!$C$2:$C$1960,0)),"",INDEX('Compliance Database'!$N$2:$N$1960,MATCH(1587,'Transfer Engine'!$C$2:$C$1960,0)))</f>
        <v/>
      </c>
      <c r="O1596" s="9">
        <f>IF(ISNA(MATCH(1587,'Transfer Engine'!$C$2:$C$1960,0)),"",INDEX('Compliance Database'!$O$2:$O$1960,MATCH(1587,'Transfer Engine'!$C$2:$C$1960,0)))</f>
        <v/>
      </c>
      <c r="P1596" s="8">
        <f>IF(ISNA(MATCH(1587,'Transfer Engine'!$C$2:$C$1960,0)),"",HYPERLINK("#Acts!A"&amp;INDEX('Compliance Database'!$P$2:$P$1960,MATCH(1587,'Transfer Engine'!$C$2:$C$1960,0)),"Go to Act"))</f>
        <v/>
      </c>
    </row>
    <row r="1597" ht="158" customHeight="1">
      <c r="A1597" s="8">
        <f>IF(ISNA(MATCH(1588,'Transfer Engine'!$C$2:$C$1960,0)),"",INDEX('Compliance Database'!$A$2:$A$1960,MATCH(1588,'Transfer Engine'!$C$2:$C$1960,0)))</f>
        <v/>
      </c>
      <c r="B1597" s="8">
        <f>IF(ISNA(MATCH(1588,'Transfer Engine'!$C$2:$C$1960,0)),"",INDEX('Compliance Database'!$B$2:$B$1960,MATCH(1588,'Transfer Engine'!$C$2:$C$1960,0)))</f>
        <v/>
      </c>
      <c r="C1597" s="8">
        <f>IF(ISNA(MATCH(1588,'Transfer Engine'!$C$2:$C$1960,0)),"",INDEX('Compliance Database'!$C$2:$C$1960,MATCH(1588,'Transfer Engine'!$C$2:$C$1960,0)))</f>
        <v/>
      </c>
      <c r="D1597" s="9">
        <f>IF(ISNA(MATCH(1588,'Transfer Engine'!$C$2:$C$1960,0)),"",INDEX('Compliance Database'!$D$2:$D$1960,MATCH(1588,'Transfer Engine'!$C$2:$C$1960,0)))</f>
        <v/>
      </c>
      <c r="E1597" s="8">
        <f>IF(ISNA(MATCH(1588,'Transfer Engine'!$C$2:$C$1960,0)),"",INDEX('Compliance Database'!$E$2:$E$1960,MATCH(1588,'Transfer Engine'!$C$2:$C$1960,0)))</f>
        <v/>
      </c>
      <c r="F1597" s="8">
        <f>IF(ISNA(MATCH(1588,'Transfer Engine'!$C$2:$C$1960,0)),"",INDEX('Compliance Database'!$F$2:$F$1960,MATCH(1588,'Transfer Engine'!$C$2:$C$1960,0)))</f>
        <v/>
      </c>
      <c r="G1597" s="8">
        <f>IF(ISNA(MATCH(1588,'Transfer Engine'!$C$2:$C$1960,0)),"",INDEX('Compliance Database'!$G$2:$G$1960,MATCH(1588,'Transfer Engine'!$C$2:$C$1960,0)))</f>
        <v/>
      </c>
      <c r="H1597" s="9">
        <f>IF(ISNA(MATCH(1588,'Transfer Engine'!$C$2:$C$1960,0)),"",INDEX('Compliance Database'!$H$2:$H$1960,MATCH(1588,'Transfer Engine'!$C$2:$C$1960,0)))</f>
        <v/>
      </c>
      <c r="I1597" s="9">
        <f>IF(ISNA(MATCH(1588,'Transfer Engine'!$C$2:$C$1960,0)),"",INDEX('Compliance Database'!$I$2:$I$1960,MATCH(1588,'Transfer Engine'!$C$2:$C$1960,0)))</f>
        <v/>
      </c>
      <c r="J1597" s="8">
        <f>IF(ISNA(MATCH(1588,'Transfer Engine'!$C$2:$C$1960,0)),"",INDEX('Compliance Database'!$J$2:$J$1960,MATCH(1588,'Transfer Engine'!$C$2:$C$1960,0)))</f>
        <v/>
      </c>
      <c r="K1597" s="9">
        <f>IF(ISNA(MATCH(1588,'Transfer Engine'!$C$2:$C$1960,0)),"",INDEX('Compliance Database'!$K$2:$K$1960,MATCH(1588,'Transfer Engine'!$C$2:$C$1960,0)))</f>
        <v/>
      </c>
      <c r="L1597" s="9">
        <f>IF(ISNA(MATCH(1588,'Transfer Engine'!$C$2:$C$1960,0)),"",INDEX('Compliance Database'!$L$2:$L$1960,MATCH(1588,'Transfer Engine'!$C$2:$C$1960,0)))</f>
        <v/>
      </c>
      <c r="M1597" s="9">
        <f>IF(ISNA(MATCH(1588,'Transfer Engine'!$C$2:$C$1960,0)),"",INDEX('Compliance Database'!$M$2:$M$1960,MATCH(1588,'Transfer Engine'!$C$2:$C$1960,0)))</f>
        <v/>
      </c>
      <c r="N1597" s="9">
        <f>IF(ISNA(MATCH(1588,'Transfer Engine'!$C$2:$C$1960,0)),"",INDEX('Compliance Database'!$N$2:$N$1960,MATCH(1588,'Transfer Engine'!$C$2:$C$1960,0)))</f>
        <v/>
      </c>
      <c r="O1597" s="9">
        <f>IF(ISNA(MATCH(1588,'Transfer Engine'!$C$2:$C$1960,0)),"",INDEX('Compliance Database'!$O$2:$O$1960,MATCH(1588,'Transfer Engine'!$C$2:$C$1960,0)))</f>
        <v/>
      </c>
      <c r="P1597" s="8">
        <f>IF(ISNA(MATCH(1588,'Transfer Engine'!$C$2:$C$1960,0)),"",HYPERLINK("#Acts!A"&amp;INDEX('Compliance Database'!$P$2:$P$1960,MATCH(1588,'Transfer Engine'!$C$2:$C$1960,0)),"Go to Act"))</f>
        <v/>
      </c>
    </row>
    <row r="1598" ht="158" customHeight="1">
      <c r="A1598" s="8">
        <f>IF(ISNA(MATCH(1589,'Transfer Engine'!$C$2:$C$1960,0)),"",INDEX('Compliance Database'!$A$2:$A$1960,MATCH(1589,'Transfer Engine'!$C$2:$C$1960,0)))</f>
        <v/>
      </c>
      <c r="B1598" s="8">
        <f>IF(ISNA(MATCH(1589,'Transfer Engine'!$C$2:$C$1960,0)),"",INDEX('Compliance Database'!$B$2:$B$1960,MATCH(1589,'Transfer Engine'!$C$2:$C$1960,0)))</f>
        <v/>
      </c>
      <c r="C1598" s="8">
        <f>IF(ISNA(MATCH(1589,'Transfer Engine'!$C$2:$C$1960,0)),"",INDEX('Compliance Database'!$C$2:$C$1960,MATCH(1589,'Transfer Engine'!$C$2:$C$1960,0)))</f>
        <v/>
      </c>
      <c r="D1598" s="9">
        <f>IF(ISNA(MATCH(1589,'Transfer Engine'!$C$2:$C$1960,0)),"",INDEX('Compliance Database'!$D$2:$D$1960,MATCH(1589,'Transfer Engine'!$C$2:$C$1960,0)))</f>
        <v/>
      </c>
      <c r="E1598" s="8">
        <f>IF(ISNA(MATCH(1589,'Transfer Engine'!$C$2:$C$1960,0)),"",INDEX('Compliance Database'!$E$2:$E$1960,MATCH(1589,'Transfer Engine'!$C$2:$C$1960,0)))</f>
        <v/>
      </c>
      <c r="F1598" s="8">
        <f>IF(ISNA(MATCH(1589,'Transfer Engine'!$C$2:$C$1960,0)),"",INDEX('Compliance Database'!$F$2:$F$1960,MATCH(1589,'Transfer Engine'!$C$2:$C$1960,0)))</f>
        <v/>
      </c>
      <c r="G1598" s="8">
        <f>IF(ISNA(MATCH(1589,'Transfer Engine'!$C$2:$C$1960,0)),"",INDEX('Compliance Database'!$G$2:$G$1960,MATCH(1589,'Transfer Engine'!$C$2:$C$1960,0)))</f>
        <v/>
      </c>
      <c r="H1598" s="9">
        <f>IF(ISNA(MATCH(1589,'Transfer Engine'!$C$2:$C$1960,0)),"",INDEX('Compliance Database'!$H$2:$H$1960,MATCH(1589,'Transfer Engine'!$C$2:$C$1960,0)))</f>
        <v/>
      </c>
      <c r="I1598" s="9">
        <f>IF(ISNA(MATCH(1589,'Transfer Engine'!$C$2:$C$1960,0)),"",INDEX('Compliance Database'!$I$2:$I$1960,MATCH(1589,'Transfer Engine'!$C$2:$C$1960,0)))</f>
        <v/>
      </c>
      <c r="J1598" s="8">
        <f>IF(ISNA(MATCH(1589,'Transfer Engine'!$C$2:$C$1960,0)),"",INDEX('Compliance Database'!$J$2:$J$1960,MATCH(1589,'Transfer Engine'!$C$2:$C$1960,0)))</f>
        <v/>
      </c>
      <c r="K1598" s="9">
        <f>IF(ISNA(MATCH(1589,'Transfer Engine'!$C$2:$C$1960,0)),"",INDEX('Compliance Database'!$K$2:$K$1960,MATCH(1589,'Transfer Engine'!$C$2:$C$1960,0)))</f>
        <v/>
      </c>
      <c r="L1598" s="9">
        <f>IF(ISNA(MATCH(1589,'Transfer Engine'!$C$2:$C$1960,0)),"",INDEX('Compliance Database'!$L$2:$L$1960,MATCH(1589,'Transfer Engine'!$C$2:$C$1960,0)))</f>
        <v/>
      </c>
      <c r="M1598" s="9">
        <f>IF(ISNA(MATCH(1589,'Transfer Engine'!$C$2:$C$1960,0)),"",INDEX('Compliance Database'!$M$2:$M$1960,MATCH(1589,'Transfer Engine'!$C$2:$C$1960,0)))</f>
        <v/>
      </c>
      <c r="N1598" s="9">
        <f>IF(ISNA(MATCH(1589,'Transfer Engine'!$C$2:$C$1960,0)),"",INDEX('Compliance Database'!$N$2:$N$1960,MATCH(1589,'Transfer Engine'!$C$2:$C$1960,0)))</f>
        <v/>
      </c>
      <c r="O1598" s="9">
        <f>IF(ISNA(MATCH(1589,'Transfer Engine'!$C$2:$C$1960,0)),"",INDEX('Compliance Database'!$O$2:$O$1960,MATCH(1589,'Transfer Engine'!$C$2:$C$1960,0)))</f>
        <v/>
      </c>
      <c r="P1598" s="8">
        <f>IF(ISNA(MATCH(1589,'Transfer Engine'!$C$2:$C$1960,0)),"",HYPERLINK("#Acts!A"&amp;INDEX('Compliance Database'!$P$2:$P$1960,MATCH(1589,'Transfer Engine'!$C$2:$C$1960,0)),"Go to Act"))</f>
        <v/>
      </c>
    </row>
    <row r="1599" ht="158" customHeight="1">
      <c r="A1599" s="8">
        <f>IF(ISNA(MATCH(1590,'Transfer Engine'!$C$2:$C$1960,0)),"",INDEX('Compliance Database'!$A$2:$A$1960,MATCH(1590,'Transfer Engine'!$C$2:$C$1960,0)))</f>
        <v/>
      </c>
      <c r="B1599" s="8">
        <f>IF(ISNA(MATCH(1590,'Transfer Engine'!$C$2:$C$1960,0)),"",INDEX('Compliance Database'!$B$2:$B$1960,MATCH(1590,'Transfer Engine'!$C$2:$C$1960,0)))</f>
        <v/>
      </c>
      <c r="C1599" s="8">
        <f>IF(ISNA(MATCH(1590,'Transfer Engine'!$C$2:$C$1960,0)),"",INDEX('Compliance Database'!$C$2:$C$1960,MATCH(1590,'Transfer Engine'!$C$2:$C$1960,0)))</f>
        <v/>
      </c>
      <c r="D1599" s="9">
        <f>IF(ISNA(MATCH(1590,'Transfer Engine'!$C$2:$C$1960,0)),"",INDEX('Compliance Database'!$D$2:$D$1960,MATCH(1590,'Transfer Engine'!$C$2:$C$1960,0)))</f>
        <v/>
      </c>
      <c r="E1599" s="8">
        <f>IF(ISNA(MATCH(1590,'Transfer Engine'!$C$2:$C$1960,0)),"",INDEX('Compliance Database'!$E$2:$E$1960,MATCH(1590,'Transfer Engine'!$C$2:$C$1960,0)))</f>
        <v/>
      </c>
      <c r="F1599" s="8">
        <f>IF(ISNA(MATCH(1590,'Transfer Engine'!$C$2:$C$1960,0)),"",INDEX('Compliance Database'!$F$2:$F$1960,MATCH(1590,'Transfer Engine'!$C$2:$C$1960,0)))</f>
        <v/>
      </c>
      <c r="G1599" s="8">
        <f>IF(ISNA(MATCH(1590,'Transfer Engine'!$C$2:$C$1960,0)),"",INDEX('Compliance Database'!$G$2:$G$1960,MATCH(1590,'Transfer Engine'!$C$2:$C$1960,0)))</f>
        <v/>
      </c>
      <c r="H1599" s="9">
        <f>IF(ISNA(MATCH(1590,'Transfer Engine'!$C$2:$C$1960,0)),"",INDEX('Compliance Database'!$H$2:$H$1960,MATCH(1590,'Transfer Engine'!$C$2:$C$1960,0)))</f>
        <v/>
      </c>
      <c r="I1599" s="9">
        <f>IF(ISNA(MATCH(1590,'Transfer Engine'!$C$2:$C$1960,0)),"",INDEX('Compliance Database'!$I$2:$I$1960,MATCH(1590,'Transfer Engine'!$C$2:$C$1960,0)))</f>
        <v/>
      </c>
      <c r="J1599" s="8">
        <f>IF(ISNA(MATCH(1590,'Transfer Engine'!$C$2:$C$1960,0)),"",INDEX('Compliance Database'!$J$2:$J$1960,MATCH(1590,'Transfer Engine'!$C$2:$C$1960,0)))</f>
        <v/>
      </c>
      <c r="K1599" s="9">
        <f>IF(ISNA(MATCH(1590,'Transfer Engine'!$C$2:$C$1960,0)),"",INDEX('Compliance Database'!$K$2:$K$1960,MATCH(1590,'Transfer Engine'!$C$2:$C$1960,0)))</f>
        <v/>
      </c>
      <c r="L1599" s="9">
        <f>IF(ISNA(MATCH(1590,'Transfer Engine'!$C$2:$C$1960,0)),"",INDEX('Compliance Database'!$L$2:$L$1960,MATCH(1590,'Transfer Engine'!$C$2:$C$1960,0)))</f>
        <v/>
      </c>
      <c r="M1599" s="9">
        <f>IF(ISNA(MATCH(1590,'Transfer Engine'!$C$2:$C$1960,0)),"",INDEX('Compliance Database'!$M$2:$M$1960,MATCH(1590,'Transfer Engine'!$C$2:$C$1960,0)))</f>
        <v/>
      </c>
      <c r="N1599" s="9">
        <f>IF(ISNA(MATCH(1590,'Transfer Engine'!$C$2:$C$1960,0)),"",INDEX('Compliance Database'!$N$2:$N$1960,MATCH(1590,'Transfer Engine'!$C$2:$C$1960,0)))</f>
        <v/>
      </c>
      <c r="O1599" s="9">
        <f>IF(ISNA(MATCH(1590,'Transfer Engine'!$C$2:$C$1960,0)),"",INDEX('Compliance Database'!$O$2:$O$1960,MATCH(1590,'Transfer Engine'!$C$2:$C$1960,0)))</f>
        <v/>
      </c>
      <c r="P1599" s="8">
        <f>IF(ISNA(MATCH(1590,'Transfer Engine'!$C$2:$C$1960,0)),"",HYPERLINK("#Acts!A"&amp;INDEX('Compliance Database'!$P$2:$P$1960,MATCH(1590,'Transfer Engine'!$C$2:$C$1960,0)),"Go to Act"))</f>
        <v/>
      </c>
    </row>
    <row r="1600" ht="158" customHeight="1">
      <c r="A1600" s="8">
        <f>IF(ISNA(MATCH(1591,'Transfer Engine'!$C$2:$C$1960,0)),"",INDEX('Compliance Database'!$A$2:$A$1960,MATCH(1591,'Transfer Engine'!$C$2:$C$1960,0)))</f>
        <v/>
      </c>
      <c r="B1600" s="8">
        <f>IF(ISNA(MATCH(1591,'Transfer Engine'!$C$2:$C$1960,0)),"",INDEX('Compliance Database'!$B$2:$B$1960,MATCH(1591,'Transfer Engine'!$C$2:$C$1960,0)))</f>
        <v/>
      </c>
      <c r="C1600" s="8">
        <f>IF(ISNA(MATCH(1591,'Transfer Engine'!$C$2:$C$1960,0)),"",INDEX('Compliance Database'!$C$2:$C$1960,MATCH(1591,'Transfer Engine'!$C$2:$C$1960,0)))</f>
        <v/>
      </c>
      <c r="D1600" s="9">
        <f>IF(ISNA(MATCH(1591,'Transfer Engine'!$C$2:$C$1960,0)),"",INDEX('Compliance Database'!$D$2:$D$1960,MATCH(1591,'Transfer Engine'!$C$2:$C$1960,0)))</f>
        <v/>
      </c>
      <c r="E1600" s="8">
        <f>IF(ISNA(MATCH(1591,'Transfer Engine'!$C$2:$C$1960,0)),"",INDEX('Compliance Database'!$E$2:$E$1960,MATCH(1591,'Transfer Engine'!$C$2:$C$1960,0)))</f>
        <v/>
      </c>
      <c r="F1600" s="8">
        <f>IF(ISNA(MATCH(1591,'Transfer Engine'!$C$2:$C$1960,0)),"",INDEX('Compliance Database'!$F$2:$F$1960,MATCH(1591,'Transfer Engine'!$C$2:$C$1960,0)))</f>
        <v/>
      </c>
      <c r="G1600" s="8">
        <f>IF(ISNA(MATCH(1591,'Transfer Engine'!$C$2:$C$1960,0)),"",INDEX('Compliance Database'!$G$2:$G$1960,MATCH(1591,'Transfer Engine'!$C$2:$C$1960,0)))</f>
        <v/>
      </c>
      <c r="H1600" s="9">
        <f>IF(ISNA(MATCH(1591,'Transfer Engine'!$C$2:$C$1960,0)),"",INDEX('Compliance Database'!$H$2:$H$1960,MATCH(1591,'Transfer Engine'!$C$2:$C$1960,0)))</f>
        <v/>
      </c>
      <c r="I1600" s="9">
        <f>IF(ISNA(MATCH(1591,'Transfer Engine'!$C$2:$C$1960,0)),"",INDEX('Compliance Database'!$I$2:$I$1960,MATCH(1591,'Transfer Engine'!$C$2:$C$1960,0)))</f>
        <v/>
      </c>
      <c r="J1600" s="8">
        <f>IF(ISNA(MATCH(1591,'Transfer Engine'!$C$2:$C$1960,0)),"",INDEX('Compliance Database'!$J$2:$J$1960,MATCH(1591,'Transfer Engine'!$C$2:$C$1960,0)))</f>
        <v/>
      </c>
      <c r="K1600" s="9">
        <f>IF(ISNA(MATCH(1591,'Transfer Engine'!$C$2:$C$1960,0)),"",INDEX('Compliance Database'!$K$2:$K$1960,MATCH(1591,'Transfer Engine'!$C$2:$C$1960,0)))</f>
        <v/>
      </c>
      <c r="L1600" s="9">
        <f>IF(ISNA(MATCH(1591,'Transfer Engine'!$C$2:$C$1960,0)),"",INDEX('Compliance Database'!$L$2:$L$1960,MATCH(1591,'Transfer Engine'!$C$2:$C$1960,0)))</f>
        <v/>
      </c>
      <c r="M1600" s="9">
        <f>IF(ISNA(MATCH(1591,'Transfer Engine'!$C$2:$C$1960,0)),"",INDEX('Compliance Database'!$M$2:$M$1960,MATCH(1591,'Transfer Engine'!$C$2:$C$1960,0)))</f>
        <v/>
      </c>
      <c r="N1600" s="9">
        <f>IF(ISNA(MATCH(1591,'Transfer Engine'!$C$2:$C$1960,0)),"",INDEX('Compliance Database'!$N$2:$N$1960,MATCH(1591,'Transfer Engine'!$C$2:$C$1960,0)))</f>
        <v/>
      </c>
      <c r="O1600" s="9">
        <f>IF(ISNA(MATCH(1591,'Transfer Engine'!$C$2:$C$1960,0)),"",INDEX('Compliance Database'!$O$2:$O$1960,MATCH(1591,'Transfer Engine'!$C$2:$C$1960,0)))</f>
        <v/>
      </c>
      <c r="P1600" s="8">
        <f>IF(ISNA(MATCH(1591,'Transfer Engine'!$C$2:$C$1960,0)),"",HYPERLINK("#Acts!A"&amp;INDEX('Compliance Database'!$P$2:$P$1960,MATCH(1591,'Transfer Engine'!$C$2:$C$1960,0)),"Go to Act"))</f>
        <v/>
      </c>
    </row>
    <row r="1601" ht="158" customHeight="1">
      <c r="A1601" s="8">
        <f>IF(ISNA(MATCH(1592,'Transfer Engine'!$C$2:$C$1960,0)),"",INDEX('Compliance Database'!$A$2:$A$1960,MATCH(1592,'Transfer Engine'!$C$2:$C$1960,0)))</f>
        <v/>
      </c>
      <c r="B1601" s="8">
        <f>IF(ISNA(MATCH(1592,'Transfer Engine'!$C$2:$C$1960,0)),"",INDEX('Compliance Database'!$B$2:$B$1960,MATCH(1592,'Transfer Engine'!$C$2:$C$1960,0)))</f>
        <v/>
      </c>
      <c r="C1601" s="8">
        <f>IF(ISNA(MATCH(1592,'Transfer Engine'!$C$2:$C$1960,0)),"",INDEX('Compliance Database'!$C$2:$C$1960,MATCH(1592,'Transfer Engine'!$C$2:$C$1960,0)))</f>
        <v/>
      </c>
      <c r="D1601" s="9">
        <f>IF(ISNA(MATCH(1592,'Transfer Engine'!$C$2:$C$1960,0)),"",INDEX('Compliance Database'!$D$2:$D$1960,MATCH(1592,'Transfer Engine'!$C$2:$C$1960,0)))</f>
        <v/>
      </c>
      <c r="E1601" s="8">
        <f>IF(ISNA(MATCH(1592,'Transfer Engine'!$C$2:$C$1960,0)),"",INDEX('Compliance Database'!$E$2:$E$1960,MATCH(1592,'Transfer Engine'!$C$2:$C$1960,0)))</f>
        <v/>
      </c>
      <c r="F1601" s="8">
        <f>IF(ISNA(MATCH(1592,'Transfer Engine'!$C$2:$C$1960,0)),"",INDEX('Compliance Database'!$F$2:$F$1960,MATCH(1592,'Transfer Engine'!$C$2:$C$1960,0)))</f>
        <v/>
      </c>
      <c r="G1601" s="8">
        <f>IF(ISNA(MATCH(1592,'Transfer Engine'!$C$2:$C$1960,0)),"",INDEX('Compliance Database'!$G$2:$G$1960,MATCH(1592,'Transfer Engine'!$C$2:$C$1960,0)))</f>
        <v/>
      </c>
      <c r="H1601" s="9">
        <f>IF(ISNA(MATCH(1592,'Transfer Engine'!$C$2:$C$1960,0)),"",INDEX('Compliance Database'!$H$2:$H$1960,MATCH(1592,'Transfer Engine'!$C$2:$C$1960,0)))</f>
        <v/>
      </c>
      <c r="I1601" s="9">
        <f>IF(ISNA(MATCH(1592,'Transfer Engine'!$C$2:$C$1960,0)),"",INDEX('Compliance Database'!$I$2:$I$1960,MATCH(1592,'Transfer Engine'!$C$2:$C$1960,0)))</f>
        <v/>
      </c>
      <c r="J1601" s="8">
        <f>IF(ISNA(MATCH(1592,'Transfer Engine'!$C$2:$C$1960,0)),"",INDEX('Compliance Database'!$J$2:$J$1960,MATCH(1592,'Transfer Engine'!$C$2:$C$1960,0)))</f>
        <v/>
      </c>
      <c r="K1601" s="9">
        <f>IF(ISNA(MATCH(1592,'Transfer Engine'!$C$2:$C$1960,0)),"",INDEX('Compliance Database'!$K$2:$K$1960,MATCH(1592,'Transfer Engine'!$C$2:$C$1960,0)))</f>
        <v/>
      </c>
      <c r="L1601" s="9">
        <f>IF(ISNA(MATCH(1592,'Transfer Engine'!$C$2:$C$1960,0)),"",INDEX('Compliance Database'!$L$2:$L$1960,MATCH(1592,'Transfer Engine'!$C$2:$C$1960,0)))</f>
        <v/>
      </c>
      <c r="M1601" s="9">
        <f>IF(ISNA(MATCH(1592,'Transfer Engine'!$C$2:$C$1960,0)),"",INDEX('Compliance Database'!$M$2:$M$1960,MATCH(1592,'Transfer Engine'!$C$2:$C$1960,0)))</f>
        <v/>
      </c>
      <c r="N1601" s="9">
        <f>IF(ISNA(MATCH(1592,'Transfer Engine'!$C$2:$C$1960,0)),"",INDEX('Compliance Database'!$N$2:$N$1960,MATCH(1592,'Transfer Engine'!$C$2:$C$1960,0)))</f>
        <v/>
      </c>
      <c r="O1601" s="9">
        <f>IF(ISNA(MATCH(1592,'Transfer Engine'!$C$2:$C$1960,0)),"",INDEX('Compliance Database'!$O$2:$O$1960,MATCH(1592,'Transfer Engine'!$C$2:$C$1960,0)))</f>
        <v/>
      </c>
      <c r="P1601" s="8">
        <f>IF(ISNA(MATCH(1592,'Transfer Engine'!$C$2:$C$1960,0)),"",HYPERLINK("#Acts!A"&amp;INDEX('Compliance Database'!$P$2:$P$1960,MATCH(1592,'Transfer Engine'!$C$2:$C$1960,0)),"Go to Act"))</f>
        <v/>
      </c>
    </row>
    <row r="1602" ht="158" customHeight="1">
      <c r="A1602" s="8">
        <f>IF(ISNA(MATCH(1593,'Transfer Engine'!$C$2:$C$1960,0)),"",INDEX('Compliance Database'!$A$2:$A$1960,MATCH(1593,'Transfer Engine'!$C$2:$C$1960,0)))</f>
        <v/>
      </c>
      <c r="B1602" s="8">
        <f>IF(ISNA(MATCH(1593,'Transfer Engine'!$C$2:$C$1960,0)),"",INDEX('Compliance Database'!$B$2:$B$1960,MATCH(1593,'Transfer Engine'!$C$2:$C$1960,0)))</f>
        <v/>
      </c>
      <c r="C1602" s="8">
        <f>IF(ISNA(MATCH(1593,'Transfer Engine'!$C$2:$C$1960,0)),"",INDEX('Compliance Database'!$C$2:$C$1960,MATCH(1593,'Transfer Engine'!$C$2:$C$1960,0)))</f>
        <v/>
      </c>
      <c r="D1602" s="9">
        <f>IF(ISNA(MATCH(1593,'Transfer Engine'!$C$2:$C$1960,0)),"",INDEX('Compliance Database'!$D$2:$D$1960,MATCH(1593,'Transfer Engine'!$C$2:$C$1960,0)))</f>
        <v/>
      </c>
      <c r="E1602" s="8">
        <f>IF(ISNA(MATCH(1593,'Transfer Engine'!$C$2:$C$1960,0)),"",INDEX('Compliance Database'!$E$2:$E$1960,MATCH(1593,'Transfer Engine'!$C$2:$C$1960,0)))</f>
        <v/>
      </c>
      <c r="F1602" s="8">
        <f>IF(ISNA(MATCH(1593,'Transfer Engine'!$C$2:$C$1960,0)),"",INDEX('Compliance Database'!$F$2:$F$1960,MATCH(1593,'Transfer Engine'!$C$2:$C$1960,0)))</f>
        <v/>
      </c>
      <c r="G1602" s="8">
        <f>IF(ISNA(MATCH(1593,'Transfer Engine'!$C$2:$C$1960,0)),"",INDEX('Compliance Database'!$G$2:$G$1960,MATCH(1593,'Transfer Engine'!$C$2:$C$1960,0)))</f>
        <v/>
      </c>
      <c r="H1602" s="9">
        <f>IF(ISNA(MATCH(1593,'Transfer Engine'!$C$2:$C$1960,0)),"",INDEX('Compliance Database'!$H$2:$H$1960,MATCH(1593,'Transfer Engine'!$C$2:$C$1960,0)))</f>
        <v/>
      </c>
      <c r="I1602" s="9">
        <f>IF(ISNA(MATCH(1593,'Transfer Engine'!$C$2:$C$1960,0)),"",INDEX('Compliance Database'!$I$2:$I$1960,MATCH(1593,'Transfer Engine'!$C$2:$C$1960,0)))</f>
        <v/>
      </c>
      <c r="J1602" s="8">
        <f>IF(ISNA(MATCH(1593,'Transfer Engine'!$C$2:$C$1960,0)),"",INDEX('Compliance Database'!$J$2:$J$1960,MATCH(1593,'Transfer Engine'!$C$2:$C$1960,0)))</f>
        <v/>
      </c>
      <c r="K1602" s="9">
        <f>IF(ISNA(MATCH(1593,'Transfer Engine'!$C$2:$C$1960,0)),"",INDEX('Compliance Database'!$K$2:$K$1960,MATCH(1593,'Transfer Engine'!$C$2:$C$1960,0)))</f>
        <v/>
      </c>
      <c r="L1602" s="9">
        <f>IF(ISNA(MATCH(1593,'Transfer Engine'!$C$2:$C$1960,0)),"",INDEX('Compliance Database'!$L$2:$L$1960,MATCH(1593,'Transfer Engine'!$C$2:$C$1960,0)))</f>
        <v/>
      </c>
      <c r="M1602" s="9">
        <f>IF(ISNA(MATCH(1593,'Transfer Engine'!$C$2:$C$1960,0)),"",INDEX('Compliance Database'!$M$2:$M$1960,MATCH(1593,'Transfer Engine'!$C$2:$C$1960,0)))</f>
        <v/>
      </c>
      <c r="N1602" s="9">
        <f>IF(ISNA(MATCH(1593,'Transfer Engine'!$C$2:$C$1960,0)),"",INDEX('Compliance Database'!$N$2:$N$1960,MATCH(1593,'Transfer Engine'!$C$2:$C$1960,0)))</f>
        <v/>
      </c>
      <c r="O1602" s="9">
        <f>IF(ISNA(MATCH(1593,'Transfer Engine'!$C$2:$C$1960,0)),"",INDEX('Compliance Database'!$O$2:$O$1960,MATCH(1593,'Transfer Engine'!$C$2:$C$1960,0)))</f>
        <v/>
      </c>
      <c r="P1602" s="8">
        <f>IF(ISNA(MATCH(1593,'Transfer Engine'!$C$2:$C$1960,0)),"",HYPERLINK("#Acts!A"&amp;INDEX('Compliance Database'!$P$2:$P$1960,MATCH(1593,'Transfer Engine'!$C$2:$C$1960,0)),"Go to Act"))</f>
        <v/>
      </c>
    </row>
    <row r="1603" ht="158" customHeight="1">
      <c r="A1603" s="8">
        <f>IF(ISNA(MATCH(1594,'Transfer Engine'!$C$2:$C$1960,0)),"",INDEX('Compliance Database'!$A$2:$A$1960,MATCH(1594,'Transfer Engine'!$C$2:$C$1960,0)))</f>
        <v/>
      </c>
      <c r="B1603" s="8">
        <f>IF(ISNA(MATCH(1594,'Transfer Engine'!$C$2:$C$1960,0)),"",INDEX('Compliance Database'!$B$2:$B$1960,MATCH(1594,'Transfer Engine'!$C$2:$C$1960,0)))</f>
        <v/>
      </c>
      <c r="C1603" s="8">
        <f>IF(ISNA(MATCH(1594,'Transfer Engine'!$C$2:$C$1960,0)),"",INDEX('Compliance Database'!$C$2:$C$1960,MATCH(1594,'Transfer Engine'!$C$2:$C$1960,0)))</f>
        <v/>
      </c>
      <c r="D1603" s="9">
        <f>IF(ISNA(MATCH(1594,'Transfer Engine'!$C$2:$C$1960,0)),"",INDEX('Compliance Database'!$D$2:$D$1960,MATCH(1594,'Transfer Engine'!$C$2:$C$1960,0)))</f>
        <v/>
      </c>
      <c r="E1603" s="8">
        <f>IF(ISNA(MATCH(1594,'Transfer Engine'!$C$2:$C$1960,0)),"",INDEX('Compliance Database'!$E$2:$E$1960,MATCH(1594,'Transfer Engine'!$C$2:$C$1960,0)))</f>
        <v/>
      </c>
      <c r="F1603" s="8">
        <f>IF(ISNA(MATCH(1594,'Transfer Engine'!$C$2:$C$1960,0)),"",INDEX('Compliance Database'!$F$2:$F$1960,MATCH(1594,'Transfer Engine'!$C$2:$C$1960,0)))</f>
        <v/>
      </c>
      <c r="G1603" s="8">
        <f>IF(ISNA(MATCH(1594,'Transfer Engine'!$C$2:$C$1960,0)),"",INDEX('Compliance Database'!$G$2:$G$1960,MATCH(1594,'Transfer Engine'!$C$2:$C$1960,0)))</f>
        <v/>
      </c>
      <c r="H1603" s="9">
        <f>IF(ISNA(MATCH(1594,'Transfer Engine'!$C$2:$C$1960,0)),"",INDEX('Compliance Database'!$H$2:$H$1960,MATCH(1594,'Transfer Engine'!$C$2:$C$1960,0)))</f>
        <v/>
      </c>
      <c r="I1603" s="9">
        <f>IF(ISNA(MATCH(1594,'Transfer Engine'!$C$2:$C$1960,0)),"",INDEX('Compliance Database'!$I$2:$I$1960,MATCH(1594,'Transfer Engine'!$C$2:$C$1960,0)))</f>
        <v/>
      </c>
      <c r="J1603" s="8">
        <f>IF(ISNA(MATCH(1594,'Transfer Engine'!$C$2:$C$1960,0)),"",INDEX('Compliance Database'!$J$2:$J$1960,MATCH(1594,'Transfer Engine'!$C$2:$C$1960,0)))</f>
        <v/>
      </c>
      <c r="K1603" s="9">
        <f>IF(ISNA(MATCH(1594,'Transfer Engine'!$C$2:$C$1960,0)),"",INDEX('Compliance Database'!$K$2:$K$1960,MATCH(1594,'Transfer Engine'!$C$2:$C$1960,0)))</f>
        <v/>
      </c>
      <c r="L1603" s="9">
        <f>IF(ISNA(MATCH(1594,'Transfer Engine'!$C$2:$C$1960,0)),"",INDEX('Compliance Database'!$L$2:$L$1960,MATCH(1594,'Transfer Engine'!$C$2:$C$1960,0)))</f>
        <v/>
      </c>
      <c r="M1603" s="9">
        <f>IF(ISNA(MATCH(1594,'Transfer Engine'!$C$2:$C$1960,0)),"",INDEX('Compliance Database'!$M$2:$M$1960,MATCH(1594,'Transfer Engine'!$C$2:$C$1960,0)))</f>
        <v/>
      </c>
      <c r="N1603" s="9">
        <f>IF(ISNA(MATCH(1594,'Transfer Engine'!$C$2:$C$1960,0)),"",INDEX('Compliance Database'!$N$2:$N$1960,MATCH(1594,'Transfer Engine'!$C$2:$C$1960,0)))</f>
        <v/>
      </c>
      <c r="O1603" s="9">
        <f>IF(ISNA(MATCH(1594,'Transfer Engine'!$C$2:$C$1960,0)),"",INDEX('Compliance Database'!$O$2:$O$1960,MATCH(1594,'Transfer Engine'!$C$2:$C$1960,0)))</f>
        <v/>
      </c>
      <c r="P1603" s="8">
        <f>IF(ISNA(MATCH(1594,'Transfer Engine'!$C$2:$C$1960,0)),"",HYPERLINK("#Acts!A"&amp;INDEX('Compliance Database'!$P$2:$P$1960,MATCH(1594,'Transfer Engine'!$C$2:$C$1960,0)),"Go to Act"))</f>
        <v/>
      </c>
    </row>
    <row r="1604" ht="158" customHeight="1">
      <c r="A1604" s="8">
        <f>IF(ISNA(MATCH(1595,'Transfer Engine'!$C$2:$C$1960,0)),"",INDEX('Compliance Database'!$A$2:$A$1960,MATCH(1595,'Transfer Engine'!$C$2:$C$1960,0)))</f>
        <v/>
      </c>
      <c r="B1604" s="8">
        <f>IF(ISNA(MATCH(1595,'Transfer Engine'!$C$2:$C$1960,0)),"",INDEX('Compliance Database'!$B$2:$B$1960,MATCH(1595,'Transfer Engine'!$C$2:$C$1960,0)))</f>
        <v/>
      </c>
      <c r="C1604" s="8">
        <f>IF(ISNA(MATCH(1595,'Transfer Engine'!$C$2:$C$1960,0)),"",INDEX('Compliance Database'!$C$2:$C$1960,MATCH(1595,'Transfer Engine'!$C$2:$C$1960,0)))</f>
        <v/>
      </c>
      <c r="D1604" s="9">
        <f>IF(ISNA(MATCH(1595,'Transfer Engine'!$C$2:$C$1960,0)),"",INDEX('Compliance Database'!$D$2:$D$1960,MATCH(1595,'Transfer Engine'!$C$2:$C$1960,0)))</f>
        <v/>
      </c>
      <c r="E1604" s="8">
        <f>IF(ISNA(MATCH(1595,'Transfer Engine'!$C$2:$C$1960,0)),"",INDEX('Compliance Database'!$E$2:$E$1960,MATCH(1595,'Transfer Engine'!$C$2:$C$1960,0)))</f>
        <v/>
      </c>
      <c r="F1604" s="8">
        <f>IF(ISNA(MATCH(1595,'Transfer Engine'!$C$2:$C$1960,0)),"",INDEX('Compliance Database'!$F$2:$F$1960,MATCH(1595,'Transfer Engine'!$C$2:$C$1960,0)))</f>
        <v/>
      </c>
      <c r="G1604" s="8">
        <f>IF(ISNA(MATCH(1595,'Transfer Engine'!$C$2:$C$1960,0)),"",INDEX('Compliance Database'!$G$2:$G$1960,MATCH(1595,'Transfer Engine'!$C$2:$C$1960,0)))</f>
        <v/>
      </c>
      <c r="H1604" s="9">
        <f>IF(ISNA(MATCH(1595,'Transfer Engine'!$C$2:$C$1960,0)),"",INDEX('Compliance Database'!$H$2:$H$1960,MATCH(1595,'Transfer Engine'!$C$2:$C$1960,0)))</f>
        <v/>
      </c>
      <c r="I1604" s="9">
        <f>IF(ISNA(MATCH(1595,'Transfer Engine'!$C$2:$C$1960,0)),"",INDEX('Compliance Database'!$I$2:$I$1960,MATCH(1595,'Transfer Engine'!$C$2:$C$1960,0)))</f>
        <v/>
      </c>
      <c r="J1604" s="8">
        <f>IF(ISNA(MATCH(1595,'Transfer Engine'!$C$2:$C$1960,0)),"",INDEX('Compliance Database'!$J$2:$J$1960,MATCH(1595,'Transfer Engine'!$C$2:$C$1960,0)))</f>
        <v/>
      </c>
      <c r="K1604" s="9">
        <f>IF(ISNA(MATCH(1595,'Transfer Engine'!$C$2:$C$1960,0)),"",INDEX('Compliance Database'!$K$2:$K$1960,MATCH(1595,'Transfer Engine'!$C$2:$C$1960,0)))</f>
        <v/>
      </c>
      <c r="L1604" s="9">
        <f>IF(ISNA(MATCH(1595,'Transfer Engine'!$C$2:$C$1960,0)),"",INDEX('Compliance Database'!$L$2:$L$1960,MATCH(1595,'Transfer Engine'!$C$2:$C$1960,0)))</f>
        <v/>
      </c>
      <c r="M1604" s="9">
        <f>IF(ISNA(MATCH(1595,'Transfer Engine'!$C$2:$C$1960,0)),"",INDEX('Compliance Database'!$M$2:$M$1960,MATCH(1595,'Transfer Engine'!$C$2:$C$1960,0)))</f>
        <v/>
      </c>
      <c r="N1604" s="9">
        <f>IF(ISNA(MATCH(1595,'Transfer Engine'!$C$2:$C$1960,0)),"",INDEX('Compliance Database'!$N$2:$N$1960,MATCH(1595,'Transfer Engine'!$C$2:$C$1960,0)))</f>
        <v/>
      </c>
      <c r="O1604" s="9">
        <f>IF(ISNA(MATCH(1595,'Transfer Engine'!$C$2:$C$1960,0)),"",INDEX('Compliance Database'!$O$2:$O$1960,MATCH(1595,'Transfer Engine'!$C$2:$C$1960,0)))</f>
        <v/>
      </c>
      <c r="P1604" s="8">
        <f>IF(ISNA(MATCH(1595,'Transfer Engine'!$C$2:$C$1960,0)),"",HYPERLINK("#Acts!A"&amp;INDEX('Compliance Database'!$P$2:$P$1960,MATCH(1595,'Transfer Engine'!$C$2:$C$1960,0)),"Go to Act"))</f>
        <v/>
      </c>
    </row>
    <row r="1605" ht="158" customHeight="1">
      <c r="A1605" s="8">
        <f>IF(ISNA(MATCH(1596,'Transfer Engine'!$C$2:$C$1960,0)),"",INDEX('Compliance Database'!$A$2:$A$1960,MATCH(1596,'Transfer Engine'!$C$2:$C$1960,0)))</f>
        <v/>
      </c>
      <c r="B1605" s="8">
        <f>IF(ISNA(MATCH(1596,'Transfer Engine'!$C$2:$C$1960,0)),"",INDEX('Compliance Database'!$B$2:$B$1960,MATCH(1596,'Transfer Engine'!$C$2:$C$1960,0)))</f>
        <v/>
      </c>
      <c r="C1605" s="8">
        <f>IF(ISNA(MATCH(1596,'Transfer Engine'!$C$2:$C$1960,0)),"",INDEX('Compliance Database'!$C$2:$C$1960,MATCH(1596,'Transfer Engine'!$C$2:$C$1960,0)))</f>
        <v/>
      </c>
      <c r="D1605" s="9">
        <f>IF(ISNA(MATCH(1596,'Transfer Engine'!$C$2:$C$1960,0)),"",INDEX('Compliance Database'!$D$2:$D$1960,MATCH(1596,'Transfer Engine'!$C$2:$C$1960,0)))</f>
        <v/>
      </c>
      <c r="E1605" s="8">
        <f>IF(ISNA(MATCH(1596,'Transfer Engine'!$C$2:$C$1960,0)),"",INDEX('Compliance Database'!$E$2:$E$1960,MATCH(1596,'Transfer Engine'!$C$2:$C$1960,0)))</f>
        <v/>
      </c>
      <c r="F1605" s="8">
        <f>IF(ISNA(MATCH(1596,'Transfer Engine'!$C$2:$C$1960,0)),"",INDEX('Compliance Database'!$F$2:$F$1960,MATCH(1596,'Transfer Engine'!$C$2:$C$1960,0)))</f>
        <v/>
      </c>
      <c r="G1605" s="8">
        <f>IF(ISNA(MATCH(1596,'Transfer Engine'!$C$2:$C$1960,0)),"",INDEX('Compliance Database'!$G$2:$G$1960,MATCH(1596,'Transfer Engine'!$C$2:$C$1960,0)))</f>
        <v/>
      </c>
      <c r="H1605" s="9">
        <f>IF(ISNA(MATCH(1596,'Transfer Engine'!$C$2:$C$1960,0)),"",INDEX('Compliance Database'!$H$2:$H$1960,MATCH(1596,'Transfer Engine'!$C$2:$C$1960,0)))</f>
        <v/>
      </c>
      <c r="I1605" s="9">
        <f>IF(ISNA(MATCH(1596,'Transfer Engine'!$C$2:$C$1960,0)),"",INDEX('Compliance Database'!$I$2:$I$1960,MATCH(1596,'Transfer Engine'!$C$2:$C$1960,0)))</f>
        <v/>
      </c>
      <c r="J1605" s="8">
        <f>IF(ISNA(MATCH(1596,'Transfer Engine'!$C$2:$C$1960,0)),"",INDEX('Compliance Database'!$J$2:$J$1960,MATCH(1596,'Transfer Engine'!$C$2:$C$1960,0)))</f>
        <v/>
      </c>
      <c r="K1605" s="9">
        <f>IF(ISNA(MATCH(1596,'Transfer Engine'!$C$2:$C$1960,0)),"",INDEX('Compliance Database'!$K$2:$K$1960,MATCH(1596,'Transfer Engine'!$C$2:$C$1960,0)))</f>
        <v/>
      </c>
      <c r="L1605" s="9">
        <f>IF(ISNA(MATCH(1596,'Transfer Engine'!$C$2:$C$1960,0)),"",INDEX('Compliance Database'!$L$2:$L$1960,MATCH(1596,'Transfer Engine'!$C$2:$C$1960,0)))</f>
        <v/>
      </c>
      <c r="M1605" s="9">
        <f>IF(ISNA(MATCH(1596,'Transfer Engine'!$C$2:$C$1960,0)),"",INDEX('Compliance Database'!$M$2:$M$1960,MATCH(1596,'Transfer Engine'!$C$2:$C$1960,0)))</f>
        <v/>
      </c>
      <c r="N1605" s="9">
        <f>IF(ISNA(MATCH(1596,'Transfer Engine'!$C$2:$C$1960,0)),"",INDEX('Compliance Database'!$N$2:$N$1960,MATCH(1596,'Transfer Engine'!$C$2:$C$1960,0)))</f>
        <v/>
      </c>
      <c r="O1605" s="9">
        <f>IF(ISNA(MATCH(1596,'Transfer Engine'!$C$2:$C$1960,0)),"",INDEX('Compliance Database'!$O$2:$O$1960,MATCH(1596,'Transfer Engine'!$C$2:$C$1960,0)))</f>
        <v/>
      </c>
      <c r="P1605" s="8">
        <f>IF(ISNA(MATCH(1596,'Transfer Engine'!$C$2:$C$1960,0)),"",HYPERLINK("#Acts!A"&amp;INDEX('Compliance Database'!$P$2:$P$1960,MATCH(1596,'Transfer Engine'!$C$2:$C$1960,0)),"Go to Act"))</f>
        <v/>
      </c>
    </row>
    <row r="1606" ht="158" customHeight="1">
      <c r="A1606" s="8">
        <f>IF(ISNA(MATCH(1597,'Transfer Engine'!$C$2:$C$1960,0)),"",INDEX('Compliance Database'!$A$2:$A$1960,MATCH(1597,'Transfer Engine'!$C$2:$C$1960,0)))</f>
        <v/>
      </c>
      <c r="B1606" s="8">
        <f>IF(ISNA(MATCH(1597,'Transfer Engine'!$C$2:$C$1960,0)),"",INDEX('Compliance Database'!$B$2:$B$1960,MATCH(1597,'Transfer Engine'!$C$2:$C$1960,0)))</f>
        <v/>
      </c>
      <c r="C1606" s="8">
        <f>IF(ISNA(MATCH(1597,'Transfer Engine'!$C$2:$C$1960,0)),"",INDEX('Compliance Database'!$C$2:$C$1960,MATCH(1597,'Transfer Engine'!$C$2:$C$1960,0)))</f>
        <v/>
      </c>
      <c r="D1606" s="9">
        <f>IF(ISNA(MATCH(1597,'Transfer Engine'!$C$2:$C$1960,0)),"",INDEX('Compliance Database'!$D$2:$D$1960,MATCH(1597,'Transfer Engine'!$C$2:$C$1960,0)))</f>
        <v/>
      </c>
      <c r="E1606" s="8">
        <f>IF(ISNA(MATCH(1597,'Transfer Engine'!$C$2:$C$1960,0)),"",INDEX('Compliance Database'!$E$2:$E$1960,MATCH(1597,'Transfer Engine'!$C$2:$C$1960,0)))</f>
        <v/>
      </c>
      <c r="F1606" s="8">
        <f>IF(ISNA(MATCH(1597,'Transfer Engine'!$C$2:$C$1960,0)),"",INDEX('Compliance Database'!$F$2:$F$1960,MATCH(1597,'Transfer Engine'!$C$2:$C$1960,0)))</f>
        <v/>
      </c>
      <c r="G1606" s="8">
        <f>IF(ISNA(MATCH(1597,'Transfer Engine'!$C$2:$C$1960,0)),"",INDEX('Compliance Database'!$G$2:$G$1960,MATCH(1597,'Transfer Engine'!$C$2:$C$1960,0)))</f>
        <v/>
      </c>
      <c r="H1606" s="9">
        <f>IF(ISNA(MATCH(1597,'Transfer Engine'!$C$2:$C$1960,0)),"",INDEX('Compliance Database'!$H$2:$H$1960,MATCH(1597,'Transfer Engine'!$C$2:$C$1960,0)))</f>
        <v/>
      </c>
      <c r="I1606" s="9">
        <f>IF(ISNA(MATCH(1597,'Transfer Engine'!$C$2:$C$1960,0)),"",INDEX('Compliance Database'!$I$2:$I$1960,MATCH(1597,'Transfer Engine'!$C$2:$C$1960,0)))</f>
        <v/>
      </c>
      <c r="J1606" s="8">
        <f>IF(ISNA(MATCH(1597,'Transfer Engine'!$C$2:$C$1960,0)),"",INDEX('Compliance Database'!$J$2:$J$1960,MATCH(1597,'Transfer Engine'!$C$2:$C$1960,0)))</f>
        <v/>
      </c>
      <c r="K1606" s="9">
        <f>IF(ISNA(MATCH(1597,'Transfer Engine'!$C$2:$C$1960,0)),"",INDEX('Compliance Database'!$K$2:$K$1960,MATCH(1597,'Transfer Engine'!$C$2:$C$1960,0)))</f>
        <v/>
      </c>
      <c r="L1606" s="9">
        <f>IF(ISNA(MATCH(1597,'Transfer Engine'!$C$2:$C$1960,0)),"",INDEX('Compliance Database'!$L$2:$L$1960,MATCH(1597,'Transfer Engine'!$C$2:$C$1960,0)))</f>
        <v/>
      </c>
      <c r="M1606" s="9">
        <f>IF(ISNA(MATCH(1597,'Transfer Engine'!$C$2:$C$1960,0)),"",INDEX('Compliance Database'!$M$2:$M$1960,MATCH(1597,'Transfer Engine'!$C$2:$C$1960,0)))</f>
        <v/>
      </c>
      <c r="N1606" s="9">
        <f>IF(ISNA(MATCH(1597,'Transfer Engine'!$C$2:$C$1960,0)),"",INDEX('Compliance Database'!$N$2:$N$1960,MATCH(1597,'Transfer Engine'!$C$2:$C$1960,0)))</f>
        <v/>
      </c>
      <c r="O1606" s="9">
        <f>IF(ISNA(MATCH(1597,'Transfer Engine'!$C$2:$C$1960,0)),"",INDEX('Compliance Database'!$O$2:$O$1960,MATCH(1597,'Transfer Engine'!$C$2:$C$1960,0)))</f>
        <v/>
      </c>
      <c r="P1606" s="8">
        <f>IF(ISNA(MATCH(1597,'Transfer Engine'!$C$2:$C$1960,0)),"",HYPERLINK("#Acts!A"&amp;INDEX('Compliance Database'!$P$2:$P$1960,MATCH(1597,'Transfer Engine'!$C$2:$C$1960,0)),"Go to Act"))</f>
        <v/>
      </c>
    </row>
    <row r="1607" ht="158" customHeight="1">
      <c r="A1607" s="8">
        <f>IF(ISNA(MATCH(1598,'Transfer Engine'!$C$2:$C$1960,0)),"",INDEX('Compliance Database'!$A$2:$A$1960,MATCH(1598,'Transfer Engine'!$C$2:$C$1960,0)))</f>
        <v/>
      </c>
      <c r="B1607" s="8">
        <f>IF(ISNA(MATCH(1598,'Transfer Engine'!$C$2:$C$1960,0)),"",INDEX('Compliance Database'!$B$2:$B$1960,MATCH(1598,'Transfer Engine'!$C$2:$C$1960,0)))</f>
        <v/>
      </c>
      <c r="C1607" s="8">
        <f>IF(ISNA(MATCH(1598,'Transfer Engine'!$C$2:$C$1960,0)),"",INDEX('Compliance Database'!$C$2:$C$1960,MATCH(1598,'Transfer Engine'!$C$2:$C$1960,0)))</f>
        <v/>
      </c>
      <c r="D1607" s="9">
        <f>IF(ISNA(MATCH(1598,'Transfer Engine'!$C$2:$C$1960,0)),"",INDEX('Compliance Database'!$D$2:$D$1960,MATCH(1598,'Transfer Engine'!$C$2:$C$1960,0)))</f>
        <v/>
      </c>
      <c r="E1607" s="8">
        <f>IF(ISNA(MATCH(1598,'Transfer Engine'!$C$2:$C$1960,0)),"",INDEX('Compliance Database'!$E$2:$E$1960,MATCH(1598,'Transfer Engine'!$C$2:$C$1960,0)))</f>
        <v/>
      </c>
      <c r="F1607" s="8">
        <f>IF(ISNA(MATCH(1598,'Transfer Engine'!$C$2:$C$1960,0)),"",INDEX('Compliance Database'!$F$2:$F$1960,MATCH(1598,'Transfer Engine'!$C$2:$C$1960,0)))</f>
        <v/>
      </c>
      <c r="G1607" s="8">
        <f>IF(ISNA(MATCH(1598,'Transfer Engine'!$C$2:$C$1960,0)),"",INDEX('Compliance Database'!$G$2:$G$1960,MATCH(1598,'Transfer Engine'!$C$2:$C$1960,0)))</f>
        <v/>
      </c>
      <c r="H1607" s="9">
        <f>IF(ISNA(MATCH(1598,'Transfer Engine'!$C$2:$C$1960,0)),"",INDEX('Compliance Database'!$H$2:$H$1960,MATCH(1598,'Transfer Engine'!$C$2:$C$1960,0)))</f>
        <v/>
      </c>
      <c r="I1607" s="9">
        <f>IF(ISNA(MATCH(1598,'Transfer Engine'!$C$2:$C$1960,0)),"",INDEX('Compliance Database'!$I$2:$I$1960,MATCH(1598,'Transfer Engine'!$C$2:$C$1960,0)))</f>
        <v/>
      </c>
      <c r="J1607" s="8">
        <f>IF(ISNA(MATCH(1598,'Transfer Engine'!$C$2:$C$1960,0)),"",INDEX('Compliance Database'!$J$2:$J$1960,MATCH(1598,'Transfer Engine'!$C$2:$C$1960,0)))</f>
        <v/>
      </c>
      <c r="K1607" s="9">
        <f>IF(ISNA(MATCH(1598,'Transfer Engine'!$C$2:$C$1960,0)),"",INDEX('Compliance Database'!$K$2:$K$1960,MATCH(1598,'Transfer Engine'!$C$2:$C$1960,0)))</f>
        <v/>
      </c>
      <c r="L1607" s="9">
        <f>IF(ISNA(MATCH(1598,'Transfer Engine'!$C$2:$C$1960,0)),"",INDEX('Compliance Database'!$L$2:$L$1960,MATCH(1598,'Transfer Engine'!$C$2:$C$1960,0)))</f>
        <v/>
      </c>
      <c r="M1607" s="9">
        <f>IF(ISNA(MATCH(1598,'Transfer Engine'!$C$2:$C$1960,0)),"",INDEX('Compliance Database'!$M$2:$M$1960,MATCH(1598,'Transfer Engine'!$C$2:$C$1960,0)))</f>
        <v/>
      </c>
      <c r="N1607" s="9">
        <f>IF(ISNA(MATCH(1598,'Transfer Engine'!$C$2:$C$1960,0)),"",INDEX('Compliance Database'!$N$2:$N$1960,MATCH(1598,'Transfer Engine'!$C$2:$C$1960,0)))</f>
        <v/>
      </c>
      <c r="O1607" s="9">
        <f>IF(ISNA(MATCH(1598,'Transfer Engine'!$C$2:$C$1960,0)),"",INDEX('Compliance Database'!$O$2:$O$1960,MATCH(1598,'Transfer Engine'!$C$2:$C$1960,0)))</f>
        <v/>
      </c>
      <c r="P1607" s="8">
        <f>IF(ISNA(MATCH(1598,'Transfer Engine'!$C$2:$C$1960,0)),"",HYPERLINK("#Acts!A"&amp;INDEX('Compliance Database'!$P$2:$P$1960,MATCH(1598,'Transfer Engine'!$C$2:$C$1960,0)),"Go to Act"))</f>
        <v/>
      </c>
    </row>
    <row r="1608" ht="158" customHeight="1">
      <c r="A1608" s="8">
        <f>IF(ISNA(MATCH(1599,'Transfer Engine'!$C$2:$C$1960,0)),"",INDEX('Compliance Database'!$A$2:$A$1960,MATCH(1599,'Transfer Engine'!$C$2:$C$1960,0)))</f>
        <v/>
      </c>
      <c r="B1608" s="8">
        <f>IF(ISNA(MATCH(1599,'Transfer Engine'!$C$2:$C$1960,0)),"",INDEX('Compliance Database'!$B$2:$B$1960,MATCH(1599,'Transfer Engine'!$C$2:$C$1960,0)))</f>
        <v/>
      </c>
      <c r="C1608" s="8">
        <f>IF(ISNA(MATCH(1599,'Transfer Engine'!$C$2:$C$1960,0)),"",INDEX('Compliance Database'!$C$2:$C$1960,MATCH(1599,'Transfer Engine'!$C$2:$C$1960,0)))</f>
        <v/>
      </c>
      <c r="D1608" s="9">
        <f>IF(ISNA(MATCH(1599,'Transfer Engine'!$C$2:$C$1960,0)),"",INDEX('Compliance Database'!$D$2:$D$1960,MATCH(1599,'Transfer Engine'!$C$2:$C$1960,0)))</f>
        <v/>
      </c>
      <c r="E1608" s="8">
        <f>IF(ISNA(MATCH(1599,'Transfer Engine'!$C$2:$C$1960,0)),"",INDEX('Compliance Database'!$E$2:$E$1960,MATCH(1599,'Transfer Engine'!$C$2:$C$1960,0)))</f>
        <v/>
      </c>
      <c r="F1608" s="8">
        <f>IF(ISNA(MATCH(1599,'Transfer Engine'!$C$2:$C$1960,0)),"",INDEX('Compliance Database'!$F$2:$F$1960,MATCH(1599,'Transfer Engine'!$C$2:$C$1960,0)))</f>
        <v/>
      </c>
      <c r="G1608" s="8">
        <f>IF(ISNA(MATCH(1599,'Transfer Engine'!$C$2:$C$1960,0)),"",INDEX('Compliance Database'!$G$2:$G$1960,MATCH(1599,'Transfer Engine'!$C$2:$C$1960,0)))</f>
        <v/>
      </c>
      <c r="H1608" s="9">
        <f>IF(ISNA(MATCH(1599,'Transfer Engine'!$C$2:$C$1960,0)),"",INDEX('Compliance Database'!$H$2:$H$1960,MATCH(1599,'Transfer Engine'!$C$2:$C$1960,0)))</f>
        <v/>
      </c>
      <c r="I1608" s="9">
        <f>IF(ISNA(MATCH(1599,'Transfer Engine'!$C$2:$C$1960,0)),"",INDEX('Compliance Database'!$I$2:$I$1960,MATCH(1599,'Transfer Engine'!$C$2:$C$1960,0)))</f>
        <v/>
      </c>
      <c r="J1608" s="8">
        <f>IF(ISNA(MATCH(1599,'Transfer Engine'!$C$2:$C$1960,0)),"",INDEX('Compliance Database'!$J$2:$J$1960,MATCH(1599,'Transfer Engine'!$C$2:$C$1960,0)))</f>
        <v/>
      </c>
      <c r="K1608" s="9">
        <f>IF(ISNA(MATCH(1599,'Transfer Engine'!$C$2:$C$1960,0)),"",INDEX('Compliance Database'!$K$2:$K$1960,MATCH(1599,'Transfer Engine'!$C$2:$C$1960,0)))</f>
        <v/>
      </c>
      <c r="L1608" s="9">
        <f>IF(ISNA(MATCH(1599,'Transfer Engine'!$C$2:$C$1960,0)),"",INDEX('Compliance Database'!$L$2:$L$1960,MATCH(1599,'Transfer Engine'!$C$2:$C$1960,0)))</f>
        <v/>
      </c>
      <c r="M1608" s="9">
        <f>IF(ISNA(MATCH(1599,'Transfer Engine'!$C$2:$C$1960,0)),"",INDEX('Compliance Database'!$M$2:$M$1960,MATCH(1599,'Transfer Engine'!$C$2:$C$1960,0)))</f>
        <v/>
      </c>
      <c r="N1608" s="9">
        <f>IF(ISNA(MATCH(1599,'Transfer Engine'!$C$2:$C$1960,0)),"",INDEX('Compliance Database'!$N$2:$N$1960,MATCH(1599,'Transfer Engine'!$C$2:$C$1960,0)))</f>
        <v/>
      </c>
      <c r="O1608" s="9">
        <f>IF(ISNA(MATCH(1599,'Transfer Engine'!$C$2:$C$1960,0)),"",INDEX('Compliance Database'!$O$2:$O$1960,MATCH(1599,'Transfer Engine'!$C$2:$C$1960,0)))</f>
        <v/>
      </c>
      <c r="P1608" s="8">
        <f>IF(ISNA(MATCH(1599,'Transfer Engine'!$C$2:$C$1960,0)),"",HYPERLINK("#Acts!A"&amp;INDEX('Compliance Database'!$P$2:$P$1960,MATCH(1599,'Transfer Engine'!$C$2:$C$1960,0)),"Go to Act"))</f>
        <v/>
      </c>
    </row>
    <row r="1609" ht="158" customHeight="1">
      <c r="A1609" s="8">
        <f>IF(ISNA(MATCH(1600,'Transfer Engine'!$C$2:$C$1960,0)),"",INDEX('Compliance Database'!$A$2:$A$1960,MATCH(1600,'Transfer Engine'!$C$2:$C$1960,0)))</f>
        <v/>
      </c>
      <c r="B1609" s="8">
        <f>IF(ISNA(MATCH(1600,'Transfer Engine'!$C$2:$C$1960,0)),"",INDEX('Compliance Database'!$B$2:$B$1960,MATCH(1600,'Transfer Engine'!$C$2:$C$1960,0)))</f>
        <v/>
      </c>
      <c r="C1609" s="8">
        <f>IF(ISNA(MATCH(1600,'Transfer Engine'!$C$2:$C$1960,0)),"",INDEX('Compliance Database'!$C$2:$C$1960,MATCH(1600,'Transfer Engine'!$C$2:$C$1960,0)))</f>
        <v/>
      </c>
      <c r="D1609" s="9">
        <f>IF(ISNA(MATCH(1600,'Transfer Engine'!$C$2:$C$1960,0)),"",INDEX('Compliance Database'!$D$2:$D$1960,MATCH(1600,'Transfer Engine'!$C$2:$C$1960,0)))</f>
        <v/>
      </c>
      <c r="E1609" s="8">
        <f>IF(ISNA(MATCH(1600,'Transfer Engine'!$C$2:$C$1960,0)),"",INDEX('Compliance Database'!$E$2:$E$1960,MATCH(1600,'Transfer Engine'!$C$2:$C$1960,0)))</f>
        <v/>
      </c>
      <c r="F1609" s="8">
        <f>IF(ISNA(MATCH(1600,'Transfer Engine'!$C$2:$C$1960,0)),"",INDEX('Compliance Database'!$F$2:$F$1960,MATCH(1600,'Transfer Engine'!$C$2:$C$1960,0)))</f>
        <v/>
      </c>
      <c r="G1609" s="8">
        <f>IF(ISNA(MATCH(1600,'Transfer Engine'!$C$2:$C$1960,0)),"",INDEX('Compliance Database'!$G$2:$G$1960,MATCH(1600,'Transfer Engine'!$C$2:$C$1960,0)))</f>
        <v/>
      </c>
      <c r="H1609" s="9">
        <f>IF(ISNA(MATCH(1600,'Transfer Engine'!$C$2:$C$1960,0)),"",INDEX('Compliance Database'!$H$2:$H$1960,MATCH(1600,'Transfer Engine'!$C$2:$C$1960,0)))</f>
        <v/>
      </c>
      <c r="I1609" s="9">
        <f>IF(ISNA(MATCH(1600,'Transfer Engine'!$C$2:$C$1960,0)),"",INDEX('Compliance Database'!$I$2:$I$1960,MATCH(1600,'Transfer Engine'!$C$2:$C$1960,0)))</f>
        <v/>
      </c>
      <c r="J1609" s="8">
        <f>IF(ISNA(MATCH(1600,'Transfer Engine'!$C$2:$C$1960,0)),"",INDEX('Compliance Database'!$J$2:$J$1960,MATCH(1600,'Transfer Engine'!$C$2:$C$1960,0)))</f>
        <v/>
      </c>
      <c r="K1609" s="9">
        <f>IF(ISNA(MATCH(1600,'Transfer Engine'!$C$2:$C$1960,0)),"",INDEX('Compliance Database'!$K$2:$K$1960,MATCH(1600,'Transfer Engine'!$C$2:$C$1960,0)))</f>
        <v/>
      </c>
      <c r="L1609" s="9">
        <f>IF(ISNA(MATCH(1600,'Transfer Engine'!$C$2:$C$1960,0)),"",INDEX('Compliance Database'!$L$2:$L$1960,MATCH(1600,'Transfer Engine'!$C$2:$C$1960,0)))</f>
        <v/>
      </c>
      <c r="M1609" s="9">
        <f>IF(ISNA(MATCH(1600,'Transfer Engine'!$C$2:$C$1960,0)),"",INDEX('Compliance Database'!$M$2:$M$1960,MATCH(1600,'Transfer Engine'!$C$2:$C$1960,0)))</f>
        <v/>
      </c>
      <c r="N1609" s="9">
        <f>IF(ISNA(MATCH(1600,'Transfer Engine'!$C$2:$C$1960,0)),"",INDEX('Compliance Database'!$N$2:$N$1960,MATCH(1600,'Transfer Engine'!$C$2:$C$1960,0)))</f>
        <v/>
      </c>
      <c r="O1609" s="9">
        <f>IF(ISNA(MATCH(1600,'Transfer Engine'!$C$2:$C$1960,0)),"",INDEX('Compliance Database'!$O$2:$O$1960,MATCH(1600,'Transfer Engine'!$C$2:$C$1960,0)))</f>
        <v/>
      </c>
      <c r="P1609" s="8">
        <f>IF(ISNA(MATCH(1600,'Transfer Engine'!$C$2:$C$1960,0)),"",HYPERLINK("#Acts!A"&amp;INDEX('Compliance Database'!$P$2:$P$1960,MATCH(1600,'Transfer Engine'!$C$2:$C$1960,0)),"Go to Act"))</f>
        <v/>
      </c>
    </row>
    <row r="1610" ht="158" customHeight="1">
      <c r="A1610" s="8">
        <f>IF(ISNA(MATCH(1601,'Transfer Engine'!$C$2:$C$1960,0)),"",INDEX('Compliance Database'!$A$2:$A$1960,MATCH(1601,'Transfer Engine'!$C$2:$C$1960,0)))</f>
        <v/>
      </c>
      <c r="B1610" s="8">
        <f>IF(ISNA(MATCH(1601,'Transfer Engine'!$C$2:$C$1960,0)),"",INDEX('Compliance Database'!$B$2:$B$1960,MATCH(1601,'Transfer Engine'!$C$2:$C$1960,0)))</f>
        <v/>
      </c>
      <c r="C1610" s="8">
        <f>IF(ISNA(MATCH(1601,'Transfer Engine'!$C$2:$C$1960,0)),"",INDEX('Compliance Database'!$C$2:$C$1960,MATCH(1601,'Transfer Engine'!$C$2:$C$1960,0)))</f>
        <v/>
      </c>
      <c r="D1610" s="9">
        <f>IF(ISNA(MATCH(1601,'Transfer Engine'!$C$2:$C$1960,0)),"",INDEX('Compliance Database'!$D$2:$D$1960,MATCH(1601,'Transfer Engine'!$C$2:$C$1960,0)))</f>
        <v/>
      </c>
      <c r="E1610" s="8">
        <f>IF(ISNA(MATCH(1601,'Transfer Engine'!$C$2:$C$1960,0)),"",INDEX('Compliance Database'!$E$2:$E$1960,MATCH(1601,'Transfer Engine'!$C$2:$C$1960,0)))</f>
        <v/>
      </c>
      <c r="F1610" s="8">
        <f>IF(ISNA(MATCH(1601,'Transfer Engine'!$C$2:$C$1960,0)),"",INDEX('Compliance Database'!$F$2:$F$1960,MATCH(1601,'Transfer Engine'!$C$2:$C$1960,0)))</f>
        <v/>
      </c>
      <c r="G1610" s="8">
        <f>IF(ISNA(MATCH(1601,'Transfer Engine'!$C$2:$C$1960,0)),"",INDEX('Compliance Database'!$G$2:$G$1960,MATCH(1601,'Transfer Engine'!$C$2:$C$1960,0)))</f>
        <v/>
      </c>
      <c r="H1610" s="9">
        <f>IF(ISNA(MATCH(1601,'Transfer Engine'!$C$2:$C$1960,0)),"",INDEX('Compliance Database'!$H$2:$H$1960,MATCH(1601,'Transfer Engine'!$C$2:$C$1960,0)))</f>
        <v/>
      </c>
      <c r="I1610" s="9">
        <f>IF(ISNA(MATCH(1601,'Transfer Engine'!$C$2:$C$1960,0)),"",INDEX('Compliance Database'!$I$2:$I$1960,MATCH(1601,'Transfer Engine'!$C$2:$C$1960,0)))</f>
        <v/>
      </c>
      <c r="J1610" s="8">
        <f>IF(ISNA(MATCH(1601,'Transfer Engine'!$C$2:$C$1960,0)),"",INDEX('Compliance Database'!$J$2:$J$1960,MATCH(1601,'Transfer Engine'!$C$2:$C$1960,0)))</f>
        <v/>
      </c>
      <c r="K1610" s="9">
        <f>IF(ISNA(MATCH(1601,'Transfer Engine'!$C$2:$C$1960,0)),"",INDEX('Compliance Database'!$K$2:$K$1960,MATCH(1601,'Transfer Engine'!$C$2:$C$1960,0)))</f>
        <v/>
      </c>
      <c r="L1610" s="9">
        <f>IF(ISNA(MATCH(1601,'Transfer Engine'!$C$2:$C$1960,0)),"",INDEX('Compliance Database'!$L$2:$L$1960,MATCH(1601,'Transfer Engine'!$C$2:$C$1960,0)))</f>
        <v/>
      </c>
      <c r="M1610" s="9">
        <f>IF(ISNA(MATCH(1601,'Transfer Engine'!$C$2:$C$1960,0)),"",INDEX('Compliance Database'!$M$2:$M$1960,MATCH(1601,'Transfer Engine'!$C$2:$C$1960,0)))</f>
        <v/>
      </c>
      <c r="N1610" s="9">
        <f>IF(ISNA(MATCH(1601,'Transfer Engine'!$C$2:$C$1960,0)),"",INDEX('Compliance Database'!$N$2:$N$1960,MATCH(1601,'Transfer Engine'!$C$2:$C$1960,0)))</f>
        <v/>
      </c>
      <c r="O1610" s="9">
        <f>IF(ISNA(MATCH(1601,'Transfer Engine'!$C$2:$C$1960,0)),"",INDEX('Compliance Database'!$O$2:$O$1960,MATCH(1601,'Transfer Engine'!$C$2:$C$1960,0)))</f>
        <v/>
      </c>
      <c r="P1610" s="8">
        <f>IF(ISNA(MATCH(1601,'Transfer Engine'!$C$2:$C$1960,0)),"",HYPERLINK("#Acts!A"&amp;INDEX('Compliance Database'!$P$2:$P$1960,MATCH(1601,'Transfer Engine'!$C$2:$C$1960,0)),"Go to Act"))</f>
        <v/>
      </c>
    </row>
    <row r="1611" ht="158" customHeight="1">
      <c r="A1611" s="8">
        <f>IF(ISNA(MATCH(1602,'Transfer Engine'!$C$2:$C$1960,0)),"",INDEX('Compliance Database'!$A$2:$A$1960,MATCH(1602,'Transfer Engine'!$C$2:$C$1960,0)))</f>
        <v/>
      </c>
      <c r="B1611" s="8">
        <f>IF(ISNA(MATCH(1602,'Transfer Engine'!$C$2:$C$1960,0)),"",INDEX('Compliance Database'!$B$2:$B$1960,MATCH(1602,'Transfer Engine'!$C$2:$C$1960,0)))</f>
        <v/>
      </c>
      <c r="C1611" s="8">
        <f>IF(ISNA(MATCH(1602,'Transfer Engine'!$C$2:$C$1960,0)),"",INDEX('Compliance Database'!$C$2:$C$1960,MATCH(1602,'Transfer Engine'!$C$2:$C$1960,0)))</f>
        <v/>
      </c>
      <c r="D1611" s="9">
        <f>IF(ISNA(MATCH(1602,'Transfer Engine'!$C$2:$C$1960,0)),"",INDEX('Compliance Database'!$D$2:$D$1960,MATCH(1602,'Transfer Engine'!$C$2:$C$1960,0)))</f>
        <v/>
      </c>
      <c r="E1611" s="8">
        <f>IF(ISNA(MATCH(1602,'Transfer Engine'!$C$2:$C$1960,0)),"",INDEX('Compliance Database'!$E$2:$E$1960,MATCH(1602,'Transfer Engine'!$C$2:$C$1960,0)))</f>
        <v/>
      </c>
      <c r="F1611" s="8">
        <f>IF(ISNA(MATCH(1602,'Transfer Engine'!$C$2:$C$1960,0)),"",INDEX('Compliance Database'!$F$2:$F$1960,MATCH(1602,'Transfer Engine'!$C$2:$C$1960,0)))</f>
        <v/>
      </c>
      <c r="G1611" s="8">
        <f>IF(ISNA(MATCH(1602,'Transfer Engine'!$C$2:$C$1960,0)),"",INDEX('Compliance Database'!$G$2:$G$1960,MATCH(1602,'Transfer Engine'!$C$2:$C$1960,0)))</f>
        <v/>
      </c>
      <c r="H1611" s="9">
        <f>IF(ISNA(MATCH(1602,'Transfer Engine'!$C$2:$C$1960,0)),"",INDEX('Compliance Database'!$H$2:$H$1960,MATCH(1602,'Transfer Engine'!$C$2:$C$1960,0)))</f>
        <v/>
      </c>
      <c r="I1611" s="9">
        <f>IF(ISNA(MATCH(1602,'Transfer Engine'!$C$2:$C$1960,0)),"",INDEX('Compliance Database'!$I$2:$I$1960,MATCH(1602,'Transfer Engine'!$C$2:$C$1960,0)))</f>
        <v/>
      </c>
      <c r="J1611" s="8">
        <f>IF(ISNA(MATCH(1602,'Transfer Engine'!$C$2:$C$1960,0)),"",INDEX('Compliance Database'!$J$2:$J$1960,MATCH(1602,'Transfer Engine'!$C$2:$C$1960,0)))</f>
        <v/>
      </c>
      <c r="K1611" s="9">
        <f>IF(ISNA(MATCH(1602,'Transfer Engine'!$C$2:$C$1960,0)),"",INDEX('Compliance Database'!$K$2:$K$1960,MATCH(1602,'Transfer Engine'!$C$2:$C$1960,0)))</f>
        <v/>
      </c>
      <c r="L1611" s="9">
        <f>IF(ISNA(MATCH(1602,'Transfer Engine'!$C$2:$C$1960,0)),"",INDEX('Compliance Database'!$L$2:$L$1960,MATCH(1602,'Transfer Engine'!$C$2:$C$1960,0)))</f>
        <v/>
      </c>
      <c r="M1611" s="9">
        <f>IF(ISNA(MATCH(1602,'Transfer Engine'!$C$2:$C$1960,0)),"",INDEX('Compliance Database'!$M$2:$M$1960,MATCH(1602,'Transfer Engine'!$C$2:$C$1960,0)))</f>
        <v/>
      </c>
      <c r="N1611" s="9">
        <f>IF(ISNA(MATCH(1602,'Transfer Engine'!$C$2:$C$1960,0)),"",INDEX('Compliance Database'!$N$2:$N$1960,MATCH(1602,'Transfer Engine'!$C$2:$C$1960,0)))</f>
        <v/>
      </c>
      <c r="O1611" s="9">
        <f>IF(ISNA(MATCH(1602,'Transfer Engine'!$C$2:$C$1960,0)),"",INDEX('Compliance Database'!$O$2:$O$1960,MATCH(1602,'Transfer Engine'!$C$2:$C$1960,0)))</f>
        <v/>
      </c>
      <c r="P1611" s="8">
        <f>IF(ISNA(MATCH(1602,'Transfer Engine'!$C$2:$C$1960,0)),"",HYPERLINK("#Acts!A"&amp;INDEX('Compliance Database'!$P$2:$P$1960,MATCH(1602,'Transfer Engine'!$C$2:$C$1960,0)),"Go to Act"))</f>
        <v/>
      </c>
    </row>
    <row r="1612" ht="158" customHeight="1">
      <c r="A1612" s="8">
        <f>IF(ISNA(MATCH(1603,'Transfer Engine'!$C$2:$C$1960,0)),"",INDEX('Compliance Database'!$A$2:$A$1960,MATCH(1603,'Transfer Engine'!$C$2:$C$1960,0)))</f>
        <v/>
      </c>
      <c r="B1612" s="8">
        <f>IF(ISNA(MATCH(1603,'Transfer Engine'!$C$2:$C$1960,0)),"",INDEX('Compliance Database'!$B$2:$B$1960,MATCH(1603,'Transfer Engine'!$C$2:$C$1960,0)))</f>
        <v/>
      </c>
      <c r="C1612" s="8">
        <f>IF(ISNA(MATCH(1603,'Transfer Engine'!$C$2:$C$1960,0)),"",INDEX('Compliance Database'!$C$2:$C$1960,MATCH(1603,'Transfer Engine'!$C$2:$C$1960,0)))</f>
        <v/>
      </c>
      <c r="D1612" s="9">
        <f>IF(ISNA(MATCH(1603,'Transfer Engine'!$C$2:$C$1960,0)),"",INDEX('Compliance Database'!$D$2:$D$1960,MATCH(1603,'Transfer Engine'!$C$2:$C$1960,0)))</f>
        <v/>
      </c>
      <c r="E1612" s="8">
        <f>IF(ISNA(MATCH(1603,'Transfer Engine'!$C$2:$C$1960,0)),"",INDEX('Compliance Database'!$E$2:$E$1960,MATCH(1603,'Transfer Engine'!$C$2:$C$1960,0)))</f>
        <v/>
      </c>
      <c r="F1612" s="8">
        <f>IF(ISNA(MATCH(1603,'Transfer Engine'!$C$2:$C$1960,0)),"",INDEX('Compliance Database'!$F$2:$F$1960,MATCH(1603,'Transfer Engine'!$C$2:$C$1960,0)))</f>
        <v/>
      </c>
      <c r="G1612" s="8">
        <f>IF(ISNA(MATCH(1603,'Transfer Engine'!$C$2:$C$1960,0)),"",INDEX('Compliance Database'!$G$2:$G$1960,MATCH(1603,'Transfer Engine'!$C$2:$C$1960,0)))</f>
        <v/>
      </c>
      <c r="H1612" s="9">
        <f>IF(ISNA(MATCH(1603,'Transfer Engine'!$C$2:$C$1960,0)),"",INDEX('Compliance Database'!$H$2:$H$1960,MATCH(1603,'Transfer Engine'!$C$2:$C$1960,0)))</f>
        <v/>
      </c>
      <c r="I1612" s="9">
        <f>IF(ISNA(MATCH(1603,'Transfer Engine'!$C$2:$C$1960,0)),"",INDEX('Compliance Database'!$I$2:$I$1960,MATCH(1603,'Transfer Engine'!$C$2:$C$1960,0)))</f>
        <v/>
      </c>
      <c r="J1612" s="8">
        <f>IF(ISNA(MATCH(1603,'Transfer Engine'!$C$2:$C$1960,0)),"",INDEX('Compliance Database'!$J$2:$J$1960,MATCH(1603,'Transfer Engine'!$C$2:$C$1960,0)))</f>
        <v/>
      </c>
      <c r="K1612" s="9">
        <f>IF(ISNA(MATCH(1603,'Transfer Engine'!$C$2:$C$1960,0)),"",INDEX('Compliance Database'!$K$2:$K$1960,MATCH(1603,'Transfer Engine'!$C$2:$C$1960,0)))</f>
        <v/>
      </c>
      <c r="L1612" s="9">
        <f>IF(ISNA(MATCH(1603,'Transfer Engine'!$C$2:$C$1960,0)),"",INDEX('Compliance Database'!$L$2:$L$1960,MATCH(1603,'Transfer Engine'!$C$2:$C$1960,0)))</f>
        <v/>
      </c>
      <c r="M1612" s="9">
        <f>IF(ISNA(MATCH(1603,'Transfer Engine'!$C$2:$C$1960,0)),"",INDEX('Compliance Database'!$M$2:$M$1960,MATCH(1603,'Transfer Engine'!$C$2:$C$1960,0)))</f>
        <v/>
      </c>
      <c r="N1612" s="9">
        <f>IF(ISNA(MATCH(1603,'Transfer Engine'!$C$2:$C$1960,0)),"",INDEX('Compliance Database'!$N$2:$N$1960,MATCH(1603,'Transfer Engine'!$C$2:$C$1960,0)))</f>
        <v/>
      </c>
      <c r="O1612" s="9">
        <f>IF(ISNA(MATCH(1603,'Transfer Engine'!$C$2:$C$1960,0)),"",INDEX('Compliance Database'!$O$2:$O$1960,MATCH(1603,'Transfer Engine'!$C$2:$C$1960,0)))</f>
        <v/>
      </c>
      <c r="P1612" s="8">
        <f>IF(ISNA(MATCH(1603,'Transfer Engine'!$C$2:$C$1960,0)),"",HYPERLINK("#Acts!A"&amp;INDEX('Compliance Database'!$P$2:$P$1960,MATCH(1603,'Transfer Engine'!$C$2:$C$1960,0)),"Go to Act"))</f>
        <v/>
      </c>
    </row>
    <row r="1613" ht="158" customHeight="1">
      <c r="A1613" s="8">
        <f>IF(ISNA(MATCH(1604,'Transfer Engine'!$C$2:$C$1960,0)),"",INDEX('Compliance Database'!$A$2:$A$1960,MATCH(1604,'Transfer Engine'!$C$2:$C$1960,0)))</f>
        <v/>
      </c>
      <c r="B1613" s="8">
        <f>IF(ISNA(MATCH(1604,'Transfer Engine'!$C$2:$C$1960,0)),"",INDEX('Compliance Database'!$B$2:$B$1960,MATCH(1604,'Transfer Engine'!$C$2:$C$1960,0)))</f>
        <v/>
      </c>
      <c r="C1613" s="8">
        <f>IF(ISNA(MATCH(1604,'Transfer Engine'!$C$2:$C$1960,0)),"",INDEX('Compliance Database'!$C$2:$C$1960,MATCH(1604,'Transfer Engine'!$C$2:$C$1960,0)))</f>
        <v/>
      </c>
      <c r="D1613" s="9">
        <f>IF(ISNA(MATCH(1604,'Transfer Engine'!$C$2:$C$1960,0)),"",INDEX('Compliance Database'!$D$2:$D$1960,MATCH(1604,'Transfer Engine'!$C$2:$C$1960,0)))</f>
        <v/>
      </c>
      <c r="E1613" s="8">
        <f>IF(ISNA(MATCH(1604,'Transfer Engine'!$C$2:$C$1960,0)),"",INDEX('Compliance Database'!$E$2:$E$1960,MATCH(1604,'Transfer Engine'!$C$2:$C$1960,0)))</f>
        <v/>
      </c>
      <c r="F1613" s="8">
        <f>IF(ISNA(MATCH(1604,'Transfer Engine'!$C$2:$C$1960,0)),"",INDEX('Compliance Database'!$F$2:$F$1960,MATCH(1604,'Transfer Engine'!$C$2:$C$1960,0)))</f>
        <v/>
      </c>
      <c r="G1613" s="8">
        <f>IF(ISNA(MATCH(1604,'Transfer Engine'!$C$2:$C$1960,0)),"",INDEX('Compliance Database'!$G$2:$G$1960,MATCH(1604,'Transfer Engine'!$C$2:$C$1960,0)))</f>
        <v/>
      </c>
      <c r="H1613" s="9">
        <f>IF(ISNA(MATCH(1604,'Transfer Engine'!$C$2:$C$1960,0)),"",INDEX('Compliance Database'!$H$2:$H$1960,MATCH(1604,'Transfer Engine'!$C$2:$C$1960,0)))</f>
        <v/>
      </c>
      <c r="I1613" s="9">
        <f>IF(ISNA(MATCH(1604,'Transfer Engine'!$C$2:$C$1960,0)),"",INDEX('Compliance Database'!$I$2:$I$1960,MATCH(1604,'Transfer Engine'!$C$2:$C$1960,0)))</f>
        <v/>
      </c>
      <c r="J1613" s="8">
        <f>IF(ISNA(MATCH(1604,'Transfer Engine'!$C$2:$C$1960,0)),"",INDEX('Compliance Database'!$J$2:$J$1960,MATCH(1604,'Transfer Engine'!$C$2:$C$1960,0)))</f>
        <v/>
      </c>
      <c r="K1613" s="9">
        <f>IF(ISNA(MATCH(1604,'Transfer Engine'!$C$2:$C$1960,0)),"",INDEX('Compliance Database'!$K$2:$K$1960,MATCH(1604,'Transfer Engine'!$C$2:$C$1960,0)))</f>
        <v/>
      </c>
      <c r="L1613" s="9">
        <f>IF(ISNA(MATCH(1604,'Transfer Engine'!$C$2:$C$1960,0)),"",INDEX('Compliance Database'!$L$2:$L$1960,MATCH(1604,'Transfer Engine'!$C$2:$C$1960,0)))</f>
        <v/>
      </c>
      <c r="M1613" s="9">
        <f>IF(ISNA(MATCH(1604,'Transfer Engine'!$C$2:$C$1960,0)),"",INDEX('Compliance Database'!$M$2:$M$1960,MATCH(1604,'Transfer Engine'!$C$2:$C$1960,0)))</f>
        <v/>
      </c>
      <c r="N1613" s="9">
        <f>IF(ISNA(MATCH(1604,'Transfer Engine'!$C$2:$C$1960,0)),"",INDEX('Compliance Database'!$N$2:$N$1960,MATCH(1604,'Transfer Engine'!$C$2:$C$1960,0)))</f>
        <v/>
      </c>
      <c r="O1613" s="9">
        <f>IF(ISNA(MATCH(1604,'Transfer Engine'!$C$2:$C$1960,0)),"",INDEX('Compliance Database'!$O$2:$O$1960,MATCH(1604,'Transfer Engine'!$C$2:$C$1960,0)))</f>
        <v/>
      </c>
      <c r="P1613" s="8">
        <f>IF(ISNA(MATCH(1604,'Transfer Engine'!$C$2:$C$1960,0)),"",HYPERLINK("#Acts!A"&amp;INDEX('Compliance Database'!$P$2:$P$1960,MATCH(1604,'Transfer Engine'!$C$2:$C$1960,0)),"Go to Act"))</f>
        <v/>
      </c>
    </row>
    <row r="1614" ht="158" customHeight="1">
      <c r="A1614" s="8">
        <f>IF(ISNA(MATCH(1605,'Transfer Engine'!$C$2:$C$1960,0)),"",INDEX('Compliance Database'!$A$2:$A$1960,MATCH(1605,'Transfer Engine'!$C$2:$C$1960,0)))</f>
        <v/>
      </c>
      <c r="B1614" s="8">
        <f>IF(ISNA(MATCH(1605,'Transfer Engine'!$C$2:$C$1960,0)),"",INDEX('Compliance Database'!$B$2:$B$1960,MATCH(1605,'Transfer Engine'!$C$2:$C$1960,0)))</f>
        <v/>
      </c>
      <c r="C1614" s="8">
        <f>IF(ISNA(MATCH(1605,'Transfer Engine'!$C$2:$C$1960,0)),"",INDEX('Compliance Database'!$C$2:$C$1960,MATCH(1605,'Transfer Engine'!$C$2:$C$1960,0)))</f>
        <v/>
      </c>
      <c r="D1614" s="9">
        <f>IF(ISNA(MATCH(1605,'Transfer Engine'!$C$2:$C$1960,0)),"",INDEX('Compliance Database'!$D$2:$D$1960,MATCH(1605,'Transfer Engine'!$C$2:$C$1960,0)))</f>
        <v/>
      </c>
      <c r="E1614" s="8">
        <f>IF(ISNA(MATCH(1605,'Transfer Engine'!$C$2:$C$1960,0)),"",INDEX('Compliance Database'!$E$2:$E$1960,MATCH(1605,'Transfer Engine'!$C$2:$C$1960,0)))</f>
        <v/>
      </c>
      <c r="F1614" s="8">
        <f>IF(ISNA(MATCH(1605,'Transfer Engine'!$C$2:$C$1960,0)),"",INDEX('Compliance Database'!$F$2:$F$1960,MATCH(1605,'Transfer Engine'!$C$2:$C$1960,0)))</f>
        <v/>
      </c>
      <c r="G1614" s="8">
        <f>IF(ISNA(MATCH(1605,'Transfer Engine'!$C$2:$C$1960,0)),"",INDEX('Compliance Database'!$G$2:$G$1960,MATCH(1605,'Transfer Engine'!$C$2:$C$1960,0)))</f>
        <v/>
      </c>
      <c r="H1614" s="9">
        <f>IF(ISNA(MATCH(1605,'Transfer Engine'!$C$2:$C$1960,0)),"",INDEX('Compliance Database'!$H$2:$H$1960,MATCH(1605,'Transfer Engine'!$C$2:$C$1960,0)))</f>
        <v/>
      </c>
      <c r="I1614" s="9">
        <f>IF(ISNA(MATCH(1605,'Transfer Engine'!$C$2:$C$1960,0)),"",INDEX('Compliance Database'!$I$2:$I$1960,MATCH(1605,'Transfer Engine'!$C$2:$C$1960,0)))</f>
        <v/>
      </c>
      <c r="J1614" s="8">
        <f>IF(ISNA(MATCH(1605,'Transfer Engine'!$C$2:$C$1960,0)),"",INDEX('Compliance Database'!$J$2:$J$1960,MATCH(1605,'Transfer Engine'!$C$2:$C$1960,0)))</f>
        <v/>
      </c>
      <c r="K1614" s="9">
        <f>IF(ISNA(MATCH(1605,'Transfer Engine'!$C$2:$C$1960,0)),"",INDEX('Compliance Database'!$K$2:$K$1960,MATCH(1605,'Transfer Engine'!$C$2:$C$1960,0)))</f>
        <v/>
      </c>
      <c r="L1614" s="9">
        <f>IF(ISNA(MATCH(1605,'Transfer Engine'!$C$2:$C$1960,0)),"",INDEX('Compliance Database'!$L$2:$L$1960,MATCH(1605,'Transfer Engine'!$C$2:$C$1960,0)))</f>
        <v/>
      </c>
      <c r="M1614" s="9">
        <f>IF(ISNA(MATCH(1605,'Transfer Engine'!$C$2:$C$1960,0)),"",INDEX('Compliance Database'!$M$2:$M$1960,MATCH(1605,'Transfer Engine'!$C$2:$C$1960,0)))</f>
        <v/>
      </c>
      <c r="N1614" s="9">
        <f>IF(ISNA(MATCH(1605,'Transfer Engine'!$C$2:$C$1960,0)),"",INDEX('Compliance Database'!$N$2:$N$1960,MATCH(1605,'Transfer Engine'!$C$2:$C$1960,0)))</f>
        <v/>
      </c>
      <c r="O1614" s="9">
        <f>IF(ISNA(MATCH(1605,'Transfer Engine'!$C$2:$C$1960,0)),"",INDEX('Compliance Database'!$O$2:$O$1960,MATCH(1605,'Transfer Engine'!$C$2:$C$1960,0)))</f>
        <v/>
      </c>
      <c r="P1614" s="8">
        <f>IF(ISNA(MATCH(1605,'Transfer Engine'!$C$2:$C$1960,0)),"",HYPERLINK("#Acts!A"&amp;INDEX('Compliance Database'!$P$2:$P$1960,MATCH(1605,'Transfer Engine'!$C$2:$C$1960,0)),"Go to Act"))</f>
        <v/>
      </c>
    </row>
    <row r="1615" ht="158" customHeight="1">
      <c r="A1615" s="8">
        <f>IF(ISNA(MATCH(1606,'Transfer Engine'!$C$2:$C$1960,0)),"",INDEX('Compliance Database'!$A$2:$A$1960,MATCH(1606,'Transfer Engine'!$C$2:$C$1960,0)))</f>
        <v/>
      </c>
      <c r="B1615" s="8">
        <f>IF(ISNA(MATCH(1606,'Transfer Engine'!$C$2:$C$1960,0)),"",INDEX('Compliance Database'!$B$2:$B$1960,MATCH(1606,'Transfer Engine'!$C$2:$C$1960,0)))</f>
        <v/>
      </c>
      <c r="C1615" s="8">
        <f>IF(ISNA(MATCH(1606,'Transfer Engine'!$C$2:$C$1960,0)),"",INDEX('Compliance Database'!$C$2:$C$1960,MATCH(1606,'Transfer Engine'!$C$2:$C$1960,0)))</f>
        <v/>
      </c>
      <c r="D1615" s="9">
        <f>IF(ISNA(MATCH(1606,'Transfer Engine'!$C$2:$C$1960,0)),"",INDEX('Compliance Database'!$D$2:$D$1960,MATCH(1606,'Transfer Engine'!$C$2:$C$1960,0)))</f>
        <v/>
      </c>
      <c r="E1615" s="8">
        <f>IF(ISNA(MATCH(1606,'Transfer Engine'!$C$2:$C$1960,0)),"",INDEX('Compliance Database'!$E$2:$E$1960,MATCH(1606,'Transfer Engine'!$C$2:$C$1960,0)))</f>
        <v/>
      </c>
      <c r="F1615" s="8">
        <f>IF(ISNA(MATCH(1606,'Transfer Engine'!$C$2:$C$1960,0)),"",INDEX('Compliance Database'!$F$2:$F$1960,MATCH(1606,'Transfer Engine'!$C$2:$C$1960,0)))</f>
        <v/>
      </c>
      <c r="G1615" s="8">
        <f>IF(ISNA(MATCH(1606,'Transfer Engine'!$C$2:$C$1960,0)),"",INDEX('Compliance Database'!$G$2:$G$1960,MATCH(1606,'Transfer Engine'!$C$2:$C$1960,0)))</f>
        <v/>
      </c>
      <c r="H1615" s="9">
        <f>IF(ISNA(MATCH(1606,'Transfer Engine'!$C$2:$C$1960,0)),"",INDEX('Compliance Database'!$H$2:$H$1960,MATCH(1606,'Transfer Engine'!$C$2:$C$1960,0)))</f>
        <v/>
      </c>
      <c r="I1615" s="9">
        <f>IF(ISNA(MATCH(1606,'Transfer Engine'!$C$2:$C$1960,0)),"",INDEX('Compliance Database'!$I$2:$I$1960,MATCH(1606,'Transfer Engine'!$C$2:$C$1960,0)))</f>
        <v/>
      </c>
      <c r="J1615" s="8">
        <f>IF(ISNA(MATCH(1606,'Transfer Engine'!$C$2:$C$1960,0)),"",INDEX('Compliance Database'!$J$2:$J$1960,MATCH(1606,'Transfer Engine'!$C$2:$C$1960,0)))</f>
        <v/>
      </c>
      <c r="K1615" s="9">
        <f>IF(ISNA(MATCH(1606,'Transfer Engine'!$C$2:$C$1960,0)),"",INDEX('Compliance Database'!$K$2:$K$1960,MATCH(1606,'Transfer Engine'!$C$2:$C$1960,0)))</f>
        <v/>
      </c>
      <c r="L1615" s="9">
        <f>IF(ISNA(MATCH(1606,'Transfer Engine'!$C$2:$C$1960,0)),"",INDEX('Compliance Database'!$L$2:$L$1960,MATCH(1606,'Transfer Engine'!$C$2:$C$1960,0)))</f>
        <v/>
      </c>
      <c r="M1615" s="9">
        <f>IF(ISNA(MATCH(1606,'Transfer Engine'!$C$2:$C$1960,0)),"",INDEX('Compliance Database'!$M$2:$M$1960,MATCH(1606,'Transfer Engine'!$C$2:$C$1960,0)))</f>
        <v/>
      </c>
      <c r="N1615" s="9">
        <f>IF(ISNA(MATCH(1606,'Transfer Engine'!$C$2:$C$1960,0)),"",INDEX('Compliance Database'!$N$2:$N$1960,MATCH(1606,'Transfer Engine'!$C$2:$C$1960,0)))</f>
        <v/>
      </c>
      <c r="O1615" s="9">
        <f>IF(ISNA(MATCH(1606,'Transfer Engine'!$C$2:$C$1960,0)),"",INDEX('Compliance Database'!$O$2:$O$1960,MATCH(1606,'Transfer Engine'!$C$2:$C$1960,0)))</f>
        <v/>
      </c>
      <c r="P1615" s="8">
        <f>IF(ISNA(MATCH(1606,'Transfer Engine'!$C$2:$C$1960,0)),"",HYPERLINK("#Acts!A"&amp;INDEX('Compliance Database'!$P$2:$P$1960,MATCH(1606,'Transfer Engine'!$C$2:$C$1960,0)),"Go to Act"))</f>
        <v/>
      </c>
    </row>
    <row r="1616" ht="158" customHeight="1">
      <c r="A1616" s="8">
        <f>IF(ISNA(MATCH(1607,'Transfer Engine'!$C$2:$C$1960,0)),"",INDEX('Compliance Database'!$A$2:$A$1960,MATCH(1607,'Transfer Engine'!$C$2:$C$1960,0)))</f>
        <v/>
      </c>
      <c r="B1616" s="8">
        <f>IF(ISNA(MATCH(1607,'Transfer Engine'!$C$2:$C$1960,0)),"",INDEX('Compliance Database'!$B$2:$B$1960,MATCH(1607,'Transfer Engine'!$C$2:$C$1960,0)))</f>
        <v/>
      </c>
      <c r="C1616" s="8">
        <f>IF(ISNA(MATCH(1607,'Transfer Engine'!$C$2:$C$1960,0)),"",INDEX('Compliance Database'!$C$2:$C$1960,MATCH(1607,'Transfer Engine'!$C$2:$C$1960,0)))</f>
        <v/>
      </c>
      <c r="D1616" s="9">
        <f>IF(ISNA(MATCH(1607,'Transfer Engine'!$C$2:$C$1960,0)),"",INDEX('Compliance Database'!$D$2:$D$1960,MATCH(1607,'Transfer Engine'!$C$2:$C$1960,0)))</f>
        <v/>
      </c>
      <c r="E1616" s="8">
        <f>IF(ISNA(MATCH(1607,'Transfer Engine'!$C$2:$C$1960,0)),"",INDEX('Compliance Database'!$E$2:$E$1960,MATCH(1607,'Transfer Engine'!$C$2:$C$1960,0)))</f>
        <v/>
      </c>
      <c r="F1616" s="8">
        <f>IF(ISNA(MATCH(1607,'Transfer Engine'!$C$2:$C$1960,0)),"",INDEX('Compliance Database'!$F$2:$F$1960,MATCH(1607,'Transfer Engine'!$C$2:$C$1960,0)))</f>
        <v/>
      </c>
      <c r="G1616" s="8">
        <f>IF(ISNA(MATCH(1607,'Transfer Engine'!$C$2:$C$1960,0)),"",INDEX('Compliance Database'!$G$2:$G$1960,MATCH(1607,'Transfer Engine'!$C$2:$C$1960,0)))</f>
        <v/>
      </c>
      <c r="H1616" s="9">
        <f>IF(ISNA(MATCH(1607,'Transfer Engine'!$C$2:$C$1960,0)),"",INDEX('Compliance Database'!$H$2:$H$1960,MATCH(1607,'Transfer Engine'!$C$2:$C$1960,0)))</f>
        <v/>
      </c>
      <c r="I1616" s="9">
        <f>IF(ISNA(MATCH(1607,'Transfer Engine'!$C$2:$C$1960,0)),"",INDEX('Compliance Database'!$I$2:$I$1960,MATCH(1607,'Transfer Engine'!$C$2:$C$1960,0)))</f>
        <v/>
      </c>
      <c r="J1616" s="8">
        <f>IF(ISNA(MATCH(1607,'Transfer Engine'!$C$2:$C$1960,0)),"",INDEX('Compliance Database'!$J$2:$J$1960,MATCH(1607,'Transfer Engine'!$C$2:$C$1960,0)))</f>
        <v/>
      </c>
      <c r="K1616" s="9">
        <f>IF(ISNA(MATCH(1607,'Transfer Engine'!$C$2:$C$1960,0)),"",INDEX('Compliance Database'!$K$2:$K$1960,MATCH(1607,'Transfer Engine'!$C$2:$C$1960,0)))</f>
        <v/>
      </c>
      <c r="L1616" s="9">
        <f>IF(ISNA(MATCH(1607,'Transfer Engine'!$C$2:$C$1960,0)),"",INDEX('Compliance Database'!$L$2:$L$1960,MATCH(1607,'Transfer Engine'!$C$2:$C$1960,0)))</f>
        <v/>
      </c>
      <c r="M1616" s="9">
        <f>IF(ISNA(MATCH(1607,'Transfer Engine'!$C$2:$C$1960,0)),"",INDEX('Compliance Database'!$M$2:$M$1960,MATCH(1607,'Transfer Engine'!$C$2:$C$1960,0)))</f>
        <v/>
      </c>
      <c r="N1616" s="9">
        <f>IF(ISNA(MATCH(1607,'Transfer Engine'!$C$2:$C$1960,0)),"",INDEX('Compliance Database'!$N$2:$N$1960,MATCH(1607,'Transfer Engine'!$C$2:$C$1960,0)))</f>
        <v/>
      </c>
      <c r="O1616" s="9">
        <f>IF(ISNA(MATCH(1607,'Transfer Engine'!$C$2:$C$1960,0)),"",INDEX('Compliance Database'!$O$2:$O$1960,MATCH(1607,'Transfer Engine'!$C$2:$C$1960,0)))</f>
        <v/>
      </c>
      <c r="P1616" s="8">
        <f>IF(ISNA(MATCH(1607,'Transfer Engine'!$C$2:$C$1960,0)),"",HYPERLINK("#Acts!A"&amp;INDEX('Compliance Database'!$P$2:$P$1960,MATCH(1607,'Transfer Engine'!$C$2:$C$1960,0)),"Go to Act"))</f>
        <v/>
      </c>
    </row>
    <row r="1617" ht="158" customHeight="1">
      <c r="A1617" s="8">
        <f>IF(ISNA(MATCH(1608,'Transfer Engine'!$C$2:$C$1960,0)),"",INDEX('Compliance Database'!$A$2:$A$1960,MATCH(1608,'Transfer Engine'!$C$2:$C$1960,0)))</f>
        <v/>
      </c>
      <c r="B1617" s="8">
        <f>IF(ISNA(MATCH(1608,'Transfer Engine'!$C$2:$C$1960,0)),"",INDEX('Compliance Database'!$B$2:$B$1960,MATCH(1608,'Transfer Engine'!$C$2:$C$1960,0)))</f>
        <v/>
      </c>
      <c r="C1617" s="8">
        <f>IF(ISNA(MATCH(1608,'Transfer Engine'!$C$2:$C$1960,0)),"",INDEX('Compliance Database'!$C$2:$C$1960,MATCH(1608,'Transfer Engine'!$C$2:$C$1960,0)))</f>
        <v/>
      </c>
      <c r="D1617" s="9">
        <f>IF(ISNA(MATCH(1608,'Transfer Engine'!$C$2:$C$1960,0)),"",INDEX('Compliance Database'!$D$2:$D$1960,MATCH(1608,'Transfer Engine'!$C$2:$C$1960,0)))</f>
        <v/>
      </c>
      <c r="E1617" s="8">
        <f>IF(ISNA(MATCH(1608,'Transfer Engine'!$C$2:$C$1960,0)),"",INDEX('Compliance Database'!$E$2:$E$1960,MATCH(1608,'Transfer Engine'!$C$2:$C$1960,0)))</f>
        <v/>
      </c>
      <c r="F1617" s="8">
        <f>IF(ISNA(MATCH(1608,'Transfer Engine'!$C$2:$C$1960,0)),"",INDEX('Compliance Database'!$F$2:$F$1960,MATCH(1608,'Transfer Engine'!$C$2:$C$1960,0)))</f>
        <v/>
      </c>
      <c r="G1617" s="8">
        <f>IF(ISNA(MATCH(1608,'Transfer Engine'!$C$2:$C$1960,0)),"",INDEX('Compliance Database'!$G$2:$G$1960,MATCH(1608,'Transfer Engine'!$C$2:$C$1960,0)))</f>
        <v/>
      </c>
      <c r="H1617" s="9">
        <f>IF(ISNA(MATCH(1608,'Transfer Engine'!$C$2:$C$1960,0)),"",INDEX('Compliance Database'!$H$2:$H$1960,MATCH(1608,'Transfer Engine'!$C$2:$C$1960,0)))</f>
        <v/>
      </c>
      <c r="I1617" s="9">
        <f>IF(ISNA(MATCH(1608,'Transfer Engine'!$C$2:$C$1960,0)),"",INDEX('Compliance Database'!$I$2:$I$1960,MATCH(1608,'Transfer Engine'!$C$2:$C$1960,0)))</f>
        <v/>
      </c>
      <c r="J1617" s="8">
        <f>IF(ISNA(MATCH(1608,'Transfer Engine'!$C$2:$C$1960,0)),"",INDEX('Compliance Database'!$J$2:$J$1960,MATCH(1608,'Transfer Engine'!$C$2:$C$1960,0)))</f>
        <v/>
      </c>
      <c r="K1617" s="9">
        <f>IF(ISNA(MATCH(1608,'Transfer Engine'!$C$2:$C$1960,0)),"",INDEX('Compliance Database'!$K$2:$K$1960,MATCH(1608,'Transfer Engine'!$C$2:$C$1960,0)))</f>
        <v/>
      </c>
      <c r="L1617" s="9">
        <f>IF(ISNA(MATCH(1608,'Transfer Engine'!$C$2:$C$1960,0)),"",INDEX('Compliance Database'!$L$2:$L$1960,MATCH(1608,'Transfer Engine'!$C$2:$C$1960,0)))</f>
        <v/>
      </c>
      <c r="M1617" s="9">
        <f>IF(ISNA(MATCH(1608,'Transfer Engine'!$C$2:$C$1960,0)),"",INDEX('Compliance Database'!$M$2:$M$1960,MATCH(1608,'Transfer Engine'!$C$2:$C$1960,0)))</f>
        <v/>
      </c>
      <c r="N1617" s="9">
        <f>IF(ISNA(MATCH(1608,'Transfer Engine'!$C$2:$C$1960,0)),"",INDEX('Compliance Database'!$N$2:$N$1960,MATCH(1608,'Transfer Engine'!$C$2:$C$1960,0)))</f>
        <v/>
      </c>
      <c r="O1617" s="9">
        <f>IF(ISNA(MATCH(1608,'Transfer Engine'!$C$2:$C$1960,0)),"",INDEX('Compliance Database'!$O$2:$O$1960,MATCH(1608,'Transfer Engine'!$C$2:$C$1960,0)))</f>
        <v/>
      </c>
      <c r="P1617" s="8">
        <f>IF(ISNA(MATCH(1608,'Transfer Engine'!$C$2:$C$1960,0)),"",HYPERLINK("#Acts!A"&amp;INDEX('Compliance Database'!$P$2:$P$1960,MATCH(1608,'Transfer Engine'!$C$2:$C$1960,0)),"Go to Act"))</f>
        <v/>
      </c>
    </row>
    <row r="1618" ht="158" customHeight="1">
      <c r="A1618" s="8">
        <f>IF(ISNA(MATCH(1609,'Transfer Engine'!$C$2:$C$1960,0)),"",INDEX('Compliance Database'!$A$2:$A$1960,MATCH(1609,'Transfer Engine'!$C$2:$C$1960,0)))</f>
        <v/>
      </c>
      <c r="B1618" s="8">
        <f>IF(ISNA(MATCH(1609,'Transfer Engine'!$C$2:$C$1960,0)),"",INDEX('Compliance Database'!$B$2:$B$1960,MATCH(1609,'Transfer Engine'!$C$2:$C$1960,0)))</f>
        <v/>
      </c>
      <c r="C1618" s="8">
        <f>IF(ISNA(MATCH(1609,'Transfer Engine'!$C$2:$C$1960,0)),"",INDEX('Compliance Database'!$C$2:$C$1960,MATCH(1609,'Transfer Engine'!$C$2:$C$1960,0)))</f>
        <v/>
      </c>
      <c r="D1618" s="9">
        <f>IF(ISNA(MATCH(1609,'Transfer Engine'!$C$2:$C$1960,0)),"",INDEX('Compliance Database'!$D$2:$D$1960,MATCH(1609,'Transfer Engine'!$C$2:$C$1960,0)))</f>
        <v/>
      </c>
      <c r="E1618" s="8">
        <f>IF(ISNA(MATCH(1609,'Transfer Engine'!$C$2:$C$1960,0)),"",INDEX('Compliance Database'!$E$2:$E$1960,MATCH(1609,'Transfer Engine'!$C$2:$C$1960,0)))</f>
        <v/>
      </c>
      <c r="F1618" s="8">
        <f>IF(ISNA(MATCH(1609,'Transfer Engine'!$C$2:$C$1960,0)),"",INDEX('Compliance Database'!$F$2:$F$1960,MATCH(1609,'Transfer Engine'!$C$2:$C$1960,0)))</f>
        <v/>
      </c>
      <c r="G1618" s="8">
        <f>IF(ISNA(MATCH(1609,'Transfer Engine'!$C$2:$C$1960,0)),"",INDEX('Compliance Database'!$G$2:$G$1960,MATCH(1609,'Transfer Engine'!$C$2:$C$1960,0)))</f>
        <v/>
      </c>
      <c r="H1618" s="9">
        <f>IF(ISNA(MATCH(1609,'Transfer Engine'!$C$2:$C$1960,0)),"",INDEX('Compliance Database'!$H$2:$H$1960,MATCH(1609,'Transfer Engine'!$C$2:$C$1960,0)))</f>
        <v/>
      </c>
      <c r="I1618" s="9">
        <f>IF(ISNA(MATCH(1609,'Transfer Engine'!$C$2:$C$1960,0)),"",INDEX('Compliance Database'!$I$2:$I$1960,MATCH(1609,'Transfer Engine'!$C$2:$C$1960,0)))</f>
        <v/>
      </c>
      <c r="J1618" s="8">
        <f>IF(ISNA(MATCH(1609,'Transfer Engine'!$C$2:$C$1960,0)),"",INDEX('Compliance Database'!$J$2:$J$1960,MATCH(1609,'Transfer Engine'!$C$2:$C$1960,0)))</f>
        <v/>
      </c>
      <c r="K1618" s="9">
        <f>IF(ISNA(MATCH(1609,'Transfer Engine'!$C$2:$C$1960,0)),"",INDEX('Compliance Database'!$K$2:$K$1960,MATCH(1609,'Transfer Engine'!$C$2:$C$1960,0)))</f>
        <v/>
      </c>
      <c r="L1618" s="9">
        <f>IF(ISNA(MATCH(1609,'Transfer Engine'!$C$2:$C$1960,0)),"",INDEX('Compliance Database'!$L$2:$L$1960,MATCH(1609,'Transfer Engine'!$C$2:$C$1960,0)))</f>
        <v/>
      </c>
      <c r="M1618" s="9">
        <f>IF(ISNA(MATCH(1609,'Transfer Engine'!$C$2:$C$1960,0)),"",INDEX('Compliance Database'!$M$2:$M$1960,MATCH(1609,'Transfer Engine'!$C$2:$C$1960,0)))</f>
        <v/>
      </c>
      <c r="N1618" s="9">
        <f>IF(ISNA(MATCH(1609,'Transfer Engine'!$C$2:$C$1960,0)),"",INDEX('Compliance Database'!$N$2:$N$1960,MATCH(1609,'Transfer Engine'!$C$2:$C$1960,0)))</f>
        <v/>
      </c>
      <c r="O1618" s="9">
        <f>IF(ISNA(MATCH(1609,'Transfer Engine'!$C$2:$C$1960,0)),"",INDEX('Compliance Database'!$O$2:$O$1960,MATCH(1609,'Transfer Engine'!$C$2:$C$1960,0)))</f>
        <v/>
      </c>
      <c r="P1618" s="8">
        <f>IF(ISNA(MATCH(1609,'Transfer Engine'!$C$2:$C$1960,0)),"",HYPERLINK("#Acts!A"&amp;INDEX('Compliance Database'!$P$2:$P$1960,MATCH(1609,'Transfer Engine'!$C$2:$C$1960,0)),"Go to Act"))</f>
        <v/>
      </c>
    </row>
    <row r="1619" ht="158" customHeight="1">
      <c r="A1619" s="8">
        <f>IF(ISNA(MATCH(1610,'Transfer Engine'!$C$2:$C$1960,0)),"",INDEX('Compliance Database'!$A$2:$A$1960,MATCH(1610,'Transfer Engine'!$C$2:$C$1960,0)))</f>
        <v/>
      </c>
      <c r="B1619" s="8">
        <f>IF(ISNA(MATCH(1610,'Transfer Engine'!$C$2:$C$1960,0)),"",INDEX('Compliance Database'!$B$2:$B$1960,MATCH(1610,'Transfer Engine'!$C$2:$C$1960,0)))</f>
        <v/>
      </c>
      <c r="C1619" s="8">
        <f>IF(ISNA(MATCH(1610,'Transfer Engine'!$C$2:$C$1960,0)),"",INDEX('Compliance Database'!$C$2:$C$1960,MATCH(1610,'Transfer Engine'!$C$2:$C$1960,0)))</f>
        <v/>
      </c>
      <c r="D1619" s="9">
        <f>IF(ISNA(MATCH(1610,'Transfer Engine'!$C$2:$C$1960,0)),"",INDEX('Compliance Database'!$D$2:$D$1960,MATCH(1610,'Transfer Engine'!$C$2:$C$1960,0)))</f>
        <v/>
      </c>
      <c r="E1619" s="8">
        <f>IF(ISNA(MATCH(1610,'Transfer Engine'!$C$2:$C$1960,0)),"",INDEX('Compliance Database'!$E$2:$E$1960,MATCH(1610,'Transfer Engine'!$C$2:$C$1960,0)))</f>
        <v/>
      </c>
      <c r="F1619" s="8">
        <f>IF(ISNA(MATCH(1610,'Transfer Engine'!$C$2:$C$1960,0)),"",INDEX('Compliance Database'!$F$2:$F$1960,MATCH(1610,'Transfer Engine'!$C$2:$C$1960,0)))</f>
        <v/>
      </c>
      <c r="G1619" s="8">
        <f>IF(ISNA(MATCH(1610,'Transfer Engine'!$C$2:$C$1960,0)),"",INDEX('Compliance Database'!$G$2:$G$1960,MATCH(1610,'Transfer Engine'!$C$2:$C$1960,0)))</f>
        <v/>
      </c>
      <c r="H1619" s="9">
        <f>IF(ISNA(MATCH(1610,'Transfer Engine'!$C$2:$C$1960,0)),"",INDEX('Compliance Database'!$H$2:$H$1960,MATCH(1610,'Transfer Engine'!$C$2:$C$1960,0)))</f>
        <v/>
      </c>
      <c r="I1619" s="9">
        <f>IF(ISNA(MATCH(1610,'Transfer Engine'!$C$2:$C$1960,0)),"",INDEX('Compliance Database'!$I$2:$I$1960,MATCH(1610,'Transfer Engine'!$C$2:$C$1960,0)))</f>
        <v/>
      </c>
      <c r="J1619" s="8">
        <f>IF(ISNA(MATCH(1610,'Transfer Engine'!$C$2:$C$1960,0)),"",INDEX('Compliance Database'!$J$2:$J$1960,MATCH(1610,'Transfer Engine'!$C$2:$C$1960,0)))</f>
        <v/>
      </c>
      <c r="K1619" s="9">
        <f>IF(ISNA(MATCH(1610,'Transfer Engine'!$C$2:$C$1960,0)),"",INDEX('Compliance Database'!$K$2:$K$1960,MATCH(1610,'Transfer Engine'!$C$2:$C$1960,0)))</f>
        <v/>
      </c>
      <c r="L1619" s="9">
        <f>IF(ISNA(MATCH(1610,'Transfer Engine'!$C$2:$C$1960,0)),"",INDEX('Compliance Database'!$L$2:$L$1960,MATCH(1610,'Transfer Engine'!$C$2:$C$1960,0)))</f>
        <v/>
      </c>
      <c r="M1619" s="9">
        <f>IF(ISNA(MATCH(1610,'Transfer Engine'!$C$2:$C$1960,0)),"",INDEX('Compliance Database'!$M$2:$M$1960,MATCH(1610,'Transfer Engine'!$C$2:$C$1960,0)))</f>
        <v/>
      </c>
      <c r="N1619" s="9">
        <f>IF(ISNA(MATCH(1610,'Transfer Engine'!$C$2:$C$1960,0)),"",INDEX('Compliance Database'!$N$2:$N$1960,MATCH(1610,'Transfer Engine'!$C$2:$C$1960,0)))</f>
        <v/>
      </c>
      <c r="O1619" s="9">
        <f>IF(ISNA(MATCH(1610,'Transfer Engine'!$C$2:$C$1960,0)),"",INDEX('Compliance Database'!$O$2:$O$1960,MATCH(1610,'Transfer Engine'!$C$2:$C$1960,0)))</f>
        <v/>
      </c>
      <c r="P1619" s="8">
        <f>IF(ISNA(MATCH(1610,'Transfer Engine'!$C$2:$C$1960,0)),"",HYPERLINK("#Acts!A"&amp;INDEX('Compliance Database'!$P$2:$P$1960,MATCH(1610,'Transfer Engine'!$C$2:$C$1960,0)),"Go to Act"))</f>
        <v/>
      </c>
    </row>
    <row r="1620" ht="158" customHeight="1">
      <c r="A1620" s="8">
        <f>IF(ISNA(MATCH(1611,'Transfer Engine'!$C$2:$C$1960,0)),"",INDEX('Compliance Database'!$A$2:$A$1960,MATCH(1611,'Transfer Engine'!$C$2:$C$1960,0)))</f>
        <v/>
      </c>
      <c r="B1620" s="8">
        <f>IF(ISNA(MATCH(1611,'Transfer Engine'!$C$2:$C$1960,0)),"",INDEX('Compliance Database'!$B$2:$B$1960,MATCH(1611,'Transfer Engine'!$C$2:$C$1960,0)))</f>
        <v/>
      </c>
      <c r="C1620" s="8">
        <f>IF(ISNA(MATCH(1611,'Transfer Engine'!$C$2:$C$1960,0)),"",INDEX('Compliance Database'!$C$2:$C$1960,MATCH(1611,'Transfer Engine'!$C$2:$C$1960,0)))</f>
        <v/>
      </c>
      <c r="D1620" s="9">
        <f>IF(ISNA(MATCH(1611,'Transfer Engine'!$C$2:$C$1960,0)),"",INDEX('Compliance Database'!$D$2:$D$1960,MATCH(1611,'Transfer Engine'!$C$2:$C$1960,0)))</f>
        <v/>
      </c>
      <c r="E1620" s="8">
        <f>IF(ISNA(MATCH(1611,'Transfer Engine'!$C$2:$C$1960,0)),"",INDEX('Compliance Database'!$E$2:$E$1960,MATCH(1611,'Transfer Engine'!$C$2:$C$1960,0)))</f>
        <v/>
      </c>
      <c r="F1620" s="8">
        <f>IF(ISNA(MATCH(1611,'Transfer Engine'!$C$2:$C$1960,0)),"",INDEX('Compliance Database'!$F$2:$F$1960,MATCH(1611,'Transfer Engine'!$C$2:$C$1960,0)))</f>
        <v/>
      </c>
      <c r="G1620" s="8">
        <f>IF(ISNA(MATCH(1611,'Transfer Engine'!$C$2:$C$1960,0)),"",INDEX('Compliance Database'!$G$2:$G$1960,MATCH(1611,'Transfer Engine'!$C$2:$C$1960,0)))</f>
        <v/>
      </c>
      <c r="H1620" s="9">
        <f>IF(ISNA(MATCH(1611,'Transfer Engine'!$C$2:$C$1960,0)),"",INDEX('Compliance Database'!$H$2:$H$1960,MATCH(1611,'Transfer Engine'!$C$2:$C$1960,0)))</f>
        <v/>
      </c>
      <c r="I1620" s="9">
        <f>IF(ISNA(MATCH(1611,'Transfer Engine'!$C$2:$C$1960,0)),"",INDEX('Compliance Database'!$I$2:$I$1960,MATCH(1611,'Transfer Engine'!$C$2:$C$1960,0)))</f>
        <v/>
      </c>
      <c r="J1620" s="8">
        <f>IF(ISNA(MATCH(1611,'Transfer Engine'!$C$2:$C$1960,0)),"",INDEX('Compliance Database'!$J$2:$J$1960,MATCH(1611,'Transfer Engine'!$C$2:$C$1960,0)))</f>
        <v/>
      </c>
      <c r="K1620" s="9">
        <f>IF(ISNA(MATCH(1611,'Transfer Engine'!$C$2:$C$1960,0)),"",INDEX('Compliance Database'!$K$2:$K$1960,MATCH(1611,'Transfer Engine'!$C$2:$C$1960,0)))</f>
        <v/>
      </c>
      <c r="L1620" s="9">
        <f>IF(ISNA(MATCH(1611,'Transfer Engine'!$C$2:$C$1960,0)),"",INDEX('Compliance Database'!$L$2:$L$1960,MATCH(1611,'Transfer Engine'!$C$2:$C$1960,0)))</f>
        <v/>
      </c>
      <c r="M1620" s="9">
        <f>IF(ISNA(MATCH(1611,'Transfer Engine'!$C$2:$C$1960,0)),"",INDEX('Compliance Database'!$M$2:$M$1960,MATCH(1611,'Transfer Engine'!$C$2:$C$1960,0)))</f>
        <v/>
      </c>
      <c r="N1620" s="9">
        <f>IF(ISNA(MATCH(1611,'Transfer Engine'!$C$2:$C$1960,0)),"",INDEX('Compliance Database'!$N$2:$N$1960,MATCH(1611,'Transfer Engine'!$C$2:$C$1960,0)))</f>
        <v/>
      </c>
      <c r="O1620" s="9">
        <f>IF(ISNA(MATCH(1611,'Transfer Engine'!$C$2:$C$1960,0)),"",INDEX('Compliance Database'!$O$2:$O$1960,MATCH(1611,'Transfer Engine'!$C$2:$C$1960,0)))</f>
        <v/>
      </c>
      <c r="P1620" s="8">
        <f>IF(ISNA(MATCH(1611,'Transfer Engine'!$C$2:$C$1960,0)),"",HYPERLINK("#Acts!A"&amp;INDEX('Compliance Database'!$P$2:$P$1960,MATCH(1611,'Transfer Engine'!$C$2:$C$1960,0)),"Go to Act"))</f>
        <v/>
      </c>
    </row>
    <row r="1621" ht="158" customHeight="1">
      <c r="A1621" s="8">
        <f>IF(ISNA(MATCH(1612,'Transfer Engine'!$C$2:$C$1960,0)),"",INDEX('Compliance Database'!$A$2:$A$1960,MATCH(1612,'Transfer Engine'!$C$2:$C$1960,0)))</f>
        <v/>
      </c>
      <c r="B1621" s="8">
        <f>IF(ISNA(MATCH(1612,'Transfer Engine'!$C$2:$C$1960,0)),"",INDEX('Compliance Database'!$B$2:$B$1960,MATCH(1612,'Transfer Engine'!$C$2:$C$1960,0)))</f>
        <v/>
      </c>
      <c r="C1621" s="8">
        <f>IF(ISNA(MATCH(1612,'Transfer Engine'!$C$2:$C$1960,0)),"",INDEX('Compliance Database'!$C$2:$C$1960,MATCH(1612,'Transfer Engine'!$C$2:$C$1960,0)))</f>
        <v/>
      </c>
      <c r="D1621" s="9">
        <f>IF(ISNA(MATCH(1612,'Transfer Engine'!$C$2:$C$1960,0)),"",INDEX('Compliance Database'!$D$2:$D$1960,MATCH(1612,'Transfer Engine'!$C$2:$C$1960,0)))</f>
        <v/>
      </c>
      <c r="E1621" s="8">
        <f>IF(ISNA(MATCH(1612,'Transfer Engine'!$C$2:$C$1960,0)),"",INDEX('Compliance Database'!$E$2:$E$1960,MATCH(1612,'Transfer Engine'!$C$2:$C$1960,0)))</f>
        <v/>
      </c>
      <c r="F1621" s="8">
        <f>IF(ISNA(MATCH(1612,'Transfer Engine'!$C$2:$C$1960,0)),"",INDEX('Compliance Database'!$F$2:$F$1960,MATCH(1612,'Transfer Engine'!$C$2:$C$1960,0)))</f>
        <v/>
      </c>
      <c r="G1621" s="8">
        <f>IF(ISNA(MATCH(1612,'Transfer Engine'!$C$2:$C$1960,0)),"",INDEX('Compliance Database'!$G$2:$G$1960,MATCH(1612,'Transfer Engine'!$C$2:$C$1960,0)))</f>
        <v/>
      </c>
      <c r="H1621" s="9">
        <f>IF(ISNA(MATCH(1612,'Transfer Engine'!$C$2:$C$1960,0)),"",INDEX('Compliance Database'!$H$2:$H$1960,MATCH(1612,'Transfer Engine'!$C$2:$C$1960,0)))</f>
        <v/>
      </c>
      <c r="I1621" s="9">
        <f>IF(ISNA(MATCH(1612,'Transfer Engine'!$C$2:$C$1960,0)),"",INDEX('Compliance Database'!$I$2:$I$1960,MATCH(1612,'Transfer Engine'!$C$2:$C$1960,0)))</f>
        <v/>
      </c>
      <c r="J1621" s="8">
        <f>IF(ISNA(MATCH(1612,'Transfer Engine'!$C$2:$C$1960,0)),"",INDEX('Compliance Database'!$J$2:$J$1960,MATCH(1612,'Transfer Engine'!$C$2:$C$1960,0)))</f>
        <v/>
      </c>
      <c r="K1621" s="9">
        <f>IF(ISNA(MATCH(1612,'Transfer Engine'!$C$2:$C$1960,0)),"",INDEX('Compliance Database'!$K$2:$K$1960,MATCH(1612,'Transfer Engine'!$C$2:$C$1960,0)))</f>
        <v/>
      </c>
      <c r="L1621" s="9">
        <f>IF(ISNA(MATCH(1612,'Transfer Engine'!$C$2:$C$1960,0)),"",INDEX('Compliance Database'!$L$2:$L$1960,MATCH(1612,'Transfer Engine'!$C$2:$C$1960,0)))</f>
        <v/>
      </c>
      <c r="M1621" s="9">
        <f>IF(ISNA(MATCH(1612,'Transfer Engine'!$C$2:$C$1960,0)),"",INDEX('Compliance Database'!$M$2:$M$1960,MATCH(1612,'Transfer Engine'!$C$2:$C$1960,0)))</f>
        <v/>
      </c>
      <c r="N1621" s="9">
        <f>IF(ISNA(MATCH(1612,'Transfer Engine'!$C$2:$C$1960,0)),"",INDEX('Compliance Database'!$N$2:$N$1960,MATCH(1612,'Transfer Engine'!$C$2:$C$1960,0)))</f>
        <v/>
      </c>
      <c r="O1621" s="9">
        <f>IF(ISNA(MATCH(1612,'Transfer Engine'!$C$2:$C$1960,0)),"",INDEX('Compliance Database'!$O$2:$O$1960,MATCH(1612,'Transfer Engine'!$C$2:$C$1960,0)))</f>
        <v/>
      </c>
      <c r="P1621" s="8">
        <f>IF(ISNA(MATCH(1612,'Transfer Engine'!$C$2:$C$1960,0)),"",HYPERLINK("#Acts!A"&amp;INDEX('Compliance Database'!$P$2:$P$1960,MATCH(1612,'Transfer Engine'!$C$2:$C$1960,0)),"Go to Act"))</f>
        <v/>
      </c>
    </row>
    <row r="1622" ht="158" customHeight="1">
      <c r="A1622" s="8">
        <f>IF(ISNA(MATCH(1613,'Transfer Engine'!$C$2:$C$1960,0)),"",INDEX('Compliance Database'!$A$2:$A$1960,MATCH(1613,'Transfer Engine'!$C$2:$C$1960,0)))</f>
        <v/>
      </c>
      <c r="B1622" s="8">
        <f>IF(ISNA(MATCH(1613,'Transfer Engine'!$C$2:$C$1960,0)),"",INDEX('Compliance Database'!$B$2:$B$1960,MATCH(1613,'Transfer Engine'!$C$2:$C$1960,0)))</f>
        <v/>
      </c>
      <c r="C1622" s="8">
        <f>IF(ISNA(MATCH(1613,'Transfer Engine'!$C$2:$C$1960,0)),"",INDEX('Compliance Database'!$C$2:$C$1960,MATCH(1613,'Transfer Engine'!$C$2:$C$1960,0)))</f>
        <v/>
      </c>
      <c r="D1622" s="9">
        <f>IF(ISNA(MATCH(1613,'Transfer Engine'!$C$2:$C$1960,0)),"",INDEX('Compliance Database'!$D$2:$D$1960,MATCH(1613,'Transfer Engine'!$C$2:$C$1960,0)))</f>
        <v/>
      </c>
      <c r="E1622" s="8">
        <f>IF(ISNA(MATCH(1613,'Transfer Engine'!$C$2:$C$1960,0)),"",INDEX('Compliance Database'!$E$2:$E$1960,MATCH(1613,'Transfer Engine'!$C$2:$C$1960,0)))</f>
        <v/>
      </c>
      <c r="F1622" s="8">
        <f>IF(ISNA(MATCH(1613,'Transfer Engine'!$C$2:$C$1960,0)),"",INDEX('Compliance Database'!$F$2:$F$1960,MATCH(1613,'Transfer Engine'!$C$2:$C$1960,0)))</f>
        <v/>
      </c>
      <c r="G1622" s="8">
        <f>IF(ISNA(MATCH(1613,'Transfer Engine'!$C$2:$C$1960,0)),"",INDEX('Compliance Database'!$G$2:$G$1960,MATCH(1613,'Transfer Engine'!$C$2:$C$1960,0)))</f>
        <v/>
      </c>
      <c r="H1622" s="9">
        <f>IF(ISNA(MATCH(1613,'Transfer Engine'!$C$2:$C$1960,0)),"",INDEX('Compliance Database'!$H$2:$H$1960,MATCH(1613,'Transfer Engine'!$C$2:$C$1960,0)))</f>
        <v/>
      </c>
      <c r="I1622" s="9">
        <f>IF(ISNA(MATCH(1613,'Transfer Engine'!$C$2:$C$1960,0)),"",INDEX('Compliance Database'!$I$2:$I$1960,MATCH(1613,'Transfer Engine'!$C$2:$C$1960,0)))</f>
        <v/>
      </c>
      <c r="J1622" s="8">
        <f>IF(ISNA(MATCH(1613,'Transfer Engine'!$C$2:$C$1960,0)),"",INDEX('Compliance Database'!$J$2:$J$1960,MATCH(1613,'Transfer Engine'!$C$2:$C$1960,0)))</f>
        <v/>
      </c>
      <c r="K1622" s="9">
        <f>IF(ISNA(MATCH(1613,'Transfer Engine'!$C$2:$C$1960,0)),"",INDEX('Compliance Database'!$K$2:$K$1960,MATCH(1613,'Transfer Engine'!$C$2:$C$1960,0)))</f>
        <v/>
      </c>
      <c r="L1622" s="9">
        <f>IF(ISNA(MATCH(1613,'Transfer Engine'!$C$2:$C$1960,0)),"",INDEX('Compliance Database'!$L$2:$L$1960,MATCH(1613,'Transfer Engine'!$C$2:$C$1960,0)))</f>
        <v/>
      </c>
      <c r="M1622" s="9">
        <f>IF(ISNA(MATCH(1613,'Transfer Engine'!$C$2:$C$1960,0)),"",INDEX('Compliance Database'!$M$2:$M$1960,MATCH(1613,'Transfer Engine'!$C$2:$C$1960,0)))</f>
        <v/>
      </c>
      <c r="N1622" s="9">
        <f>IF(ISNA(MATCH(1613,'Transfer Engine'!$C$2:$C$1960,0)),"",INDEX('Compliance Database'!$N$2:$N$1960,MATCH(1613,'Transfer Engine'!$C$2:$C$1960,0)))</f>
        <v/>
      </c>
      <c r="O1622" s="9">
        <f>IF(ISNA(MATCH(1613,'Transfer Engine'!$C$2:$C$1960,0)),"",INDEX('Compliance Database'!$O$2:$O$1960,MATCH(1613,'Transfer Engine'!$C$2:$C$1960,0)))</f>
        <v/>
      </c>
      <c r="P1622" s="8">
        <f>IF(ISNA(MATCH(1613,'Transfer Engine'!$C$2:$C$1960,0)),"",HYPERLINK("#Acts!A"&amp;INDEX('Compliance Database'!$P$2:$P$1960,MATCH(1613,'Transfer Engine'!$C$2:$C$1960,0)),"Go to Act"))</f>
        <v/>
      </c>
    </row>
    <row r="1623" ht="158" customHeight="1">
      <c r="A1623" s="8">
        <f>IF(ISNA(MATCH(1614,'Transfer Engine'!$C$2:$C$1960,0)),"",INDEX('Compliance Database'!$A$2:$A$1960,MATCH(1614,'Transfer Engine'!$C$2:$C$1960,0)))</f>
        <v/>
      </c>
      <c r="B1623" s="8">
        <f>IF(ISNA(MATCH(1614,'Transfer Engine'!$C$2:$C$1960,0)),"",INDEX('Compliance Database'!$B$2:$B$1960,MATCH(1614,'Transfer Engine'!$C$2:$C$1960,0)))</f>
        <v/>
      </c>
      <c r="C1623" s="8">
        <f>IF(ISNA(MATCH(1614,'Transfer Engine'!$C$2:$C$1960,0)),"",INDEX('Compliance Database'!$C$2:$C$1960,MATCH(1614,'Transfer Engine'!$C$2:$C$1960,0)))</f>
        <v/>
      </c>
      <c r="D1623" s="9">
        <f>IF(ISNA(MATCH(1614,'Transfer Engine'!$C$2:$C$1960,0)),"",INDEX('Compliance Database'!$D$2:$D$1960,MATCH(1614,'Transfer Engine'!$C$2:$C$1960,0)))</f>
        <v/>
      </c>
      <c r="E1623" s="8">
        <f>IF(ISNA(MATCH(1614,'Transfer Engine'!$C$2:$C$1960,0)),"",INDEX('Compliance Database'!$E$2:$E$1960,MATCH(1614,'Transfer Engine'!$C$2:$C$1960,0)))</f>
        <v/>
      </c>
      <c r="F1623" s="8">
        <f>IF(ISNA(MATCH(1614,'Transfer Engine'!$C$2:$C$1960,0)),"",INDEX('Compliance Database'!$F$2:$F$1960,MATCH(1614,'Transfer Engine'!$C$2:$C$1960,0)))</f>
        <v/>
      </c>
      <c r="G1623" s="8">
        <f>IF(ISNA(MATCH(1614,'Transfer Engine'!$C$2:$C$1960,0)),"",INDEX('Compliance Database'!$G$2:$G$1960,MATCH(1614,'Transfer Engine'!$C$2:$C$1960,0)))</f>
        <v/>
      </c>
      <c r="H1623" s="9">
        <f>IF(ISNA(MATCH(1614,'Transfer Engine'!$C$2:$C$1960,0)),"",INDEX('Compliance Database'!$H$2:$H$1960,MATCH(1614,'Transfer Engine'!$C$2:$C$1960,0)))</f>
        <v/>
      </c>
      <c r="I1623" s="9">
        <f>IF(ISNA(MATCH(1614,'Transfer Engine'!$C$2:$C$1960,0)),"",INDEX('Compliance Database'!$I$2:$I$1960,MATCH(1614,'Transfer Engine'!$C$2:$C$1960,0)))</f>
        <v/>
      </c>
      <c r="J1623" s="8">
        <f>IF(ISNA(MATCH(1614,'Transfer Engine'!$C$2:$C$1960,0)),"",INDEX('Compliance Database'!$J$2:$J$1960,MATCH(1614,'Transfer Engine'!$C$2:$C$1960,0)))</f>
        <v/>
      </c>
      <c r="K1623" s="9">
        <f>IF(ISNA(MATCH(1614,'Transfer Engine'!$C$2:$C$1960,0)),"",INDEX('Compliance Database'!$K$2:$K$1960,MATCH(1614,'Transfer Engine'!$C$2:$C$1960,0)))</f>
        <v/>
      </c>
      <c r="L1623" s="9">
        <f>IF(ISNA(MATCH(1614,'Transfer Engine'!$C$2:$C$1960,0)),"",INDEX('Compliance Database'!$L$2:$L$1960,MATCH(1614,'Transfer Engine'!$C$2:$C$1960,0)))</f>
        <v/>
      </c>
      <c r="M1623" s="9">
        <f>IF(ISNA(MATCH(1614,'Transfer Engine'!$C$2:$C$1960,0)),"",INDEX('Compliance Database'!$M$2:$M$1960,MATCH(1614,'Transfer Engine'!$C$2:$C$1960,0)))</f>
        <v/>
      </c>
      <c r="N1623" s="9">
        <f>IF(ISNA(MATCH(1614,'Transfer Engine'!$C$2:$C$1960,0)),"",INDEX('Compliance Database'!$N$2:$N$1960,MATCH(1614,'Transfer Engine'!$C$2:$C$1960,0)))</f>
        <v/>
      </c>
      <c r="O1623" s="9">
        <f>IF(ISNA(MATCH(1614,'Transfer Engine'!$C$2:$C$1960,0)),"",INDEX('Compliance Database'!$O$2:$O$1960,MATCH(1614,'Transfer Engine'!$C$2:$C$1960,0)))</f>
        <v/>
      </c>
      <c r="P1623" s="8">
        <f>IF(ISNA(MATCH(1614,'Transfer Engine'!$C$2:$C$1960,0)),"",HYPERLINK("#Acts!A"&amp;INDEX('Compliance Database'!$P$2:$P$1960,MATCH(1614,'Transfer Engine'!$C$2:$C$1960,0)),"Go to Act"))</f>
        <v/>
      </c>
    </row>
    <row r="1624" ht="158" customHeight="1">
      <c r="A1624" s="8">
        <f>IF(ISNA(MATCH(1615,'Transfer Engine'!$C$2:$C$1960,0)),"",INDEX('Compliance Database'!$A$2:$A$1960,MATCH(1615,'Transfer Engine'!$C$2:$C$1960,0)))</f>
        <v/>
      </c>
      <c r="B1624" s="8">
        <f>IF(ISNA(MATCH(1615,'Transfer Engine'!$C$2:$C$1960,0)),"",INDEX('Compliance Database'!$B$2:$B$1960,MATCH(1615,'Transfer Engine'!$C$2:$C$1960,0)))</f>
        <v/>
      </c>
      <c r="C1624" s="8">
        <f>IF(ISNA(MATCH(1615,'Transfer Engine'!$C$2:$C$1960,0)),"",INDEX('Compliance Database'!$C$2:$C$1960,MATCH(1615,'Transfer Engine'!$C$2:$C$1960,0)))</f>
        <v/>
      </c>
      <c r="D1624" s="9">
        <f>IF(ISNA(MATCH(1615,'Transfer Engine'!$C$2:$C$1960,0)),"",INDEX('Compliance Database'!$D$2:$D$1960,MATCH(1615,'Transfer Engine'!$C$2:$C$1960,0)))</f>
        <v/>
      </c>
      <c r="E1624" s="8">
        <f>IF(ISNA(MATCH(1615,'Transfer Engine'!$C$2:$C$1960,0)),"",INDEX('Compliance Database'!$E$2:$E$1960,MATCH(1615,'Transfer Engine'!$C$2:$C$1960,0)))</f>
        <v/>
      </c>
      <c r="F1624" s="8">
        <f>IF(ISNA(MATCH(1615,'Transfer Engine'!$C$2:$C$1960,0)),"",INDEX('Compliance Database'!$F$2:$F$1960,MATCH(1615,'Transfer Engine'!$C$2:$C$1960,0)))</f>
        <v/>
      </c>
      <c r="G1624" s="8">
        <f>IF(ISNA(MATCH(1615,'Transfer Engine'!$C$2:$C$1960,0)),"",INDEX('Compliance Database'!$G$2:$G$1960,MATCH(1615,'Transfer Engine'!$C$2:$C$1960,0)))</f>
        <v/>
      </c>
      <c r="H1624" s="9">
        <f>IF(ISNA(MATCH(1615,'Transfer Engine'!$C$2:$C$1960,0)),"",INDEX('Compliance Database'!$H$2:$H$1960,MATCH(1615,'Transfer Engine'!$C$2:$C$1960,0)))</f>
        <v/>
      </c>
      <c r="I1624" s="9">
        <f>IF(ISNA(MATCH(1615,'Transfer Engine'!$C$2:$C$1960,0)),"",INDEX('Compliance Database'!$I$2:$I$1960,MATCH(1615,'Transfer Engine'!$C$2:$C$1960,0)))</f>
        <v/>
      </c>
      <c r="J1624" s="8">
        <f>IF(ISNA(MATCH(1615,'Transfer Engine'!$C$2:$C$1960,0)),"",INDEX('Compliance Database'!$J$2:$J$1960,MATCH(1615,'Transfer Engine'!$C$2:$C$1960,0)))</f>
        <v/>
      </c>
      <c r="K1624" s="9">
        <f>IF(ISNA(MATCH(1615,'Transfer Engine'!$C$2:$C$1960,0)),"",INDEX('Compliance Database'!$K$2:$K$1960,MATCH(1615,'Transfer Engine'!$C$2:$C$1960,0)))</f>
        <v/>
      </c>
      <c r="L1624" s="9">
        <f>IF(ISNA(MATCH(1615,'Transfer Engine'!$C$2:$C$1960,0)),"",INDEX('Compliance Database'!$L$2:$L$1960,MATCH(1615,'Transfer Engine'!$C$2:$C$1960,0)))</f>
        <v/>
      </c>
      <c r="M1624" s="9">
        <f>IF(ISNA(MATCH(1615,'Transfer Engine'!$C$2:$C$1960,0)),"",INDEX('Compliance Database'!$M$2:$M$1960,MATCH(1615,'Transfer Engine'!$C$2:$C$1960,0)))</f>
        <v/>
      </c>
      <c r="N1624" s="9">
        <f>IF(ISNA(MATCH(1615,'Transfer Engine'!$C$2:$C$1960,0)),"",INDEX('Compliance Database'!$N$2:$N$1960,MATCH(1615,'Transfer Engine'!$C$2:$C$1960,0)))</f>
        <v/>
      </c>
      <c r="O1624" s="9">
        <f>IF(ISNA(MATCH(1615,'Transfer Engine'!$C$2:$C$1960,0)),"",INDEX('Compliance Database'!$O$2:$O$1960,MATCH(1615,'Transfer Engine'!$C$2:$C$1960,0)))</f>
        <v/>
      </c>
      <c r="P1624" s="8">
        <f>IF(ISNA(MATCH(1615,'Transfer Engine'!$C$2:$C$1960,0)),"",HYPERLINK("#Acts!A"&amp;INDEX('Compliance Database'!$P$2:$P$1960,MATCH(1615,'Transfer Engine'!$C$2:$C$1960,0)),"Go to Act"))</f>
        <v/>
      </c>
    </row>
    <row r="1625" ht="158" customHeight="1">
      <c r="A1625" s="8">
        <f>IF(ISNA(MATCH(1616,'Transfer Engine'!$C$2:$C$1960,0)),"",INDEX('Compliance Database'!$A$2:$A$1960,MATCH(1616,'Transfer Engine'!$C$2:$C$1960,0)))</f>
        <v/>
      </c>
      <c r="B1625" s="8">
        <f>IF(ISNA(MATCH(1616,'Transfer Engine'!$C$2:$C$1960,0)),"",INDEX('Compliance Database'!$B$2:$B$1960,MATCH(1616,'Transfer Engine'!$C$2:$C$1960,0)))</f>
        <v/>
      </c>
      <c r="C1625" s="8">
        <f>IF(ISNA(MATCH(1616,'Transfer Engine'!$C$2:$C$1960,0)),"",INDEX('Compliance Database'!$C$2:$C$1960,MATCH(1616,'Transfer Engine'!$C$2:$C$1960,0)))</f>
        <v/>
      </c>
      <c r="D1625" s="9">
        <f>IF(ISNA(MATCH(1616,'Transfer Engine'!$C$2:$C$1960,0)),"",INDEX('Compliance Database'!$D$2:$D$1960,MATCH(1616,'Transfer Engine'!$C$2:$C$1960,0)))</f>
        <v/>
      </c>
      <c r="E1625" s="8">
        <f>IF(ISNA(MATCH(1616,'Transfer Engine'!$C$2:$C$1960,0)),"",INDEX('Compliance Database'!$E$2:$E$1960,MATCH(1616,'Transfer Engine'!$C$2:$C$1960,0)))</f>
        <v/>
      </c>
      <c r="F1625" s="8">
        <f>IF(ISNA(MATCH(1616,'Transfer Engine'!$C$2:$C$1960,0)),"",INDEX('Compliance Database'!$F$2:$F$1960,MATCH(1616,'Transfer Engine'!$C$2:$C$1960,0)))</f>
        <v/>
      </c>
      <c r="G1625" s="8">
        <f>IF(ISNA(MATCH(1616,'Transfer Engine'!$C$2:$C$1960,0)),"",INDEX('Compliance Database'!$G$2:$G$1960,MATCH(1616,'Transfer Engine'!$C$2:$C$1960,0)))</f>
        <v/>
      </c>
      <c r="H1625" s="9">
        <f>IF(ISNA(MATCH(1616,'Transfer Engine'!$C$2:$C$1960,0)),"",INDEX('Compliance Database'!$H$2:$H$1960,MATCH(1616,'Transfer Engine'!$C$2:$C$1960,0)))</f>
        <v/>
      </c>
      <c r="I1625" s="9">
        <f>IF(ISNA(MATCH(1616,'Transfer Engine'!$C$2:$C$1960,0)),"",INDEX('Compliance Database'!$I$2:$I$1960,MATCH(1616,'Transfer Engine'!$C$2:$C$1960,0)))</f>
        <v/>
      </c>
      <c r="J1625" s="8">
        <f>IF(ISNA(MATCH(1616,'Transfer Engine'!$C$2:$C$1960,0)),"",INDEX('Compliance Database'!$J$2:$J$1960,MATCH(1616,'Transfer Engine'!$C$2:$C$1960,0)))</f>
        <v/>
      </c>
      <c r="K1625" s="9">
        <f>IF(ISNA(MATCH(1616,'Transfer Engine'!$C$2:$C$1960,0)),"",INDEX('Compliance Database'!$K$2:$K$1960,MATCH(1616,'Transfer Engine'!$C$2:$C$1960,0)))</f>
        <v/>
      </c>
      <c r="L1625" s="9">
        <f>IF(ISNA(MATCH(1616,'Transfer Engine'!$C$2:$C$1960,0)),"",INDEX('Compliance Database'!$L$2:$L$1960,MATCH(1616,'Transfer Engine'!$C$2:$C$1960,0)))</f>
        <v/>
      </c>
      <c r="M1625" s="9">
        <f>IF(ISNA(MATCH(1616,'Transfer Engine'!$C$2:$C$1960,0)),"",INDEX('Compliance Database'!$M$2:$M$1960,MATCH(1616,'Transfer Engine'!$C$2:$C$1960,0)))</f>
        <v/>
      </c>
      <c r="N1625" s="9">
        <f>IF(ISNA(MATCH(1616,'Transfer Engine'!$C$2:$C$1960,0)),"",INDEX('Compliance Database'!$N$2:$N$1960,MATCH(1616,'Transfer Engine'!$C$2:$C$1960,0)))</f>
        <v/>
      </c>
      <c r="O1625" s="9">
        <f>IF(ISNA(MATCH(1616,'Transfer Engine'!$C$2:$C$1960,0)),"",INDEX('Compliance Database'!$O$2:$O$1960,MATCH(1616,'Transfer Engine'!$C$2:$C$1960,0)))</f>
        <v/>
      </c>
      <c r="P1625" s="8">
        <f>IF(ISNA(MATCH(1616,'Transfer Engine'!$C$2:$C$1960,0)),"",HYPERLINK("#Acts!A"&amp;INDEX('Compliance Database'!$P$2:$P$1960,MATCH(1616,'Transfer Engine'!$C$2:$C$1960,0)),"Go to Act"))</f>
        <v/>
      </c>
    </row>
    <row r="1626" ht="158" customHeight="1">
      <c r="A1626" s="8">
        <f>IF(ISNA(MATCH(1617,'Transfer Engine'!$C$2:$C$1960,0)),"",INDEX('Compliance Database'!$A$2:$A$1960,MATCH(1617,'Transfer Engine'!$C$2:$C$1960,0)))</f>
        <v/>
      </c>
      <c r="B1626" s="8">
        <f>IF(ISNA(MATCH(1617,'Transfer Engine'!$C$2:$C$1960,0)),"",INDEX('Compliance Database'!$B$2:$B$1960,MATCH(1617,'Transfer Engine'!$C$2:$C$1960,0)))</f>
        <v/>
      </c>
      <c r="C1626" s="8">
        <f>IF(ISNA(MATCH(1617,'Transfer Engine'!$C$2:$C$1960,0)),"",INDEX('Compliance Database'!$C$2:$C$1960,MATCH(1617,'Transfer Engine'!$C$2:$C$1960,0)))</f>
        <v/>
      </c>
      <c r="D1626" s="9">
        <f>IF(ISNA(MATCH(1617,'Transfer Engine'!$C$2:$C$1960,0)),"",INDEX('Compliance Database'!$D$2:$D$1960,MATCH(1617,'Transfer Engine'!$C$2:$C$1960,0)))</f>
        <v/>
      </c>
      <c r="E1626" s="8">
        <f>IF(ISNA(MATCH(1617,'Transfer Engine'!$C$2:$C$1960,0)),"",INDEX('Compliance Database'!$E$2:$E$1960,MATCH(1617,'Transfer Engine'!$C$2:$C$1960,0)))</f>
        <v/>
      </c>
      <c r="F1626" s="8">
        <f>IF(ISNA(MATCH(1617,'Transfer Engine'!$C$2:$C$1960,0)),"",INDEX('Compliance Database'!$F$2:$F$1960,MATCH(1617,'Transfer Engine'!$C$2:$C$1960,0)))</f>
        <v/>
      </c>
      <c r="G1626" s="8">
        <f>IF(ISNA(MATCH(1617,'Transfer Engine'!$C$2:$C$1960,0)),"",INDEX('Compliance Database'!$G$2:$G$1960,MATCH(1617,'Transfer Engine'!$C$2:$C$1960,0)))</f>
        <v/>
      </c>
      <c r="H1626" s="9">
        <f>IF(ISNA(MATCH(1617,'Transfer Engine'!$C$2:$C$1960,0)),"",INDEX('Compliance Database'!$H$2:$H$1960,MATCH(1617,'Transfer Engine'!$C$2:$C$1960,0)))</f>
        <v/>
      </c>
      <c r="I1626" s="9">
        <f>IF(ISNA(MATCH(1617,'Transfer Engine'!$C$2:$C$1960,0)),"",INDEX('Compliance Database'!$I$2:$I$1960,MATCH(1617,'Transfer Engine'!$C$2:$C$1960,0)))</f>
        <v/>
      </c>
      <c r="J1626" s="8">
        <f>IF(ISNA(MATCH(1617,'Transfer Engine'!$C$2:$C$1960,0)),"",INDEX('Compliance Database'!$J$2:$J$1960,MATCH(1617,'Transfer Engine'!$C$2:$C$1960,0)))</f>
        <v/>
      </c>
      <c r="K1626" s="9">
        <f>IF(ISNA(MATCH(1617,'Transfer Engine'!$C$2:$C$1960,0)),"",INDEX('Compliance Database'!$K$2:$K$1960,MATCH(1617,'Transfer Engine'!$C$2:$C$1960,0)))</f>
        <v/>
      </c>
      <c r="L1626" s="9">
        <f>IF(ISNA(MATCH(1617,'Transfer Engine'!$C$2:$C$1960,0)),"",INDEX('Compliance Database'!$L$2:$L$1960,MATCH(1617,'Transfer Engine'!$C$2:$C$1960,0)))</f>
        <v/>
      </c>
      <c r="M1626" s="9">
        <f>IF(ISNA(MATCH(1617,'Transfer Engine'!$C$2:$C$1960,0)),"",INDEX('Compliance Database'!$M$2:$M$1960,MATCH(1617,'Transfer Engine'!$C$2:$C$1960,0)))</f>
        <v/>
      </c>
      <c r="N1626" s="9">
        <f>IF(ISNA(MATCH(1617,'Transfer Engine'!$C$2:$C$1960,0)),"",INDEX('Compliance Database'!$N$2:$N$1960,MATCH(1617,'Transfer Engine'!$C$2:$C$1960,0)))</f>
        <v/>
      </c>
      <c r="O1626" s="9">
        <f>IF(ISNA(MATCH(1617,'Transfer Engine'!$C$2:$C$1960,0)),"",INDEX('Compliance Database'!$O$2:$O$1960,MATCH(1617,'Transfer Engine'!$C$2:$C$1960,0)))</f>
        <v/>
      </c>
      <c r="P1626" s="8">
        <f>IF(ISNA(MATCH(1617,'Transfer Engine'!$C$2:$C$1960,0)),"",HYPERLINK("#Acts!A"&amp;INDEX('Compliance Database'!$P$2:$P$1960,MATCH(1617,'Transfer Engine'!$C$2:$C$1960,0)),"Go to Act"))</f>
        <v/>
      </c>
    </row>
    <row r="1627" ht="158" customHeight="1">
      <c r="A1627" s="8">
        <f>IF(ISNA(MATCH(1618,'Transfer Engine'!$C$2:$C$1960,0)),"",INDEX('Compliance Database'!$A$2:$A$1960,MATCH(1618,'Transfer Engine'!$C$2:$C$1960,0)))</f>
        <v/>
      </c>
      <c r="B1627" s="8">
        <f>IF(ISNA(MATCH(1618,'Transfer Engine'!$C$2:$C$1960,0)),"",INDEX('Compliance Database'!$B$2:$B$1960,MATCH(1618,'Transfer Engine'!$C$2:$C$1960,0)))</f>
        <v/>
      </c>
      <c r="C1627" s="8">
        <f>IF(ISNA(MATCH(1618,'Transfer Engine'!$C$2:$C$1960,0)),"",INDEX('Compliance Database'!$C$2:$C$1960,MATCH(1618,'Transfer Engine'!$C$2:$C$1960,0)))</f>
        <v/>
      </c>
      <c r="D1627" s="9">
        <f>IF(ISNA(MATCH(1618,'Transfer Engine'!$C$2:$C$1960,0)),"",INDEX('Compliance Database'!$D$2:$D$1960,MATCH(1618,'Transfer Engine'!$C$2:$C$1960,0)))</f>
        <v/>
      </c>
      <c r="E1627" s="8">
        <f>IF(ISNA(MATCH(1618,'Transfer Engine'!$C$2:$C$1960,0)),"",INDEX('Compliance Database'!$E$2:$E$1960,MATCH(1618,'Transfer Engine'!$C$2:$C$1960,0)))</f>
        <v/>
      </c>
      <c r="F1627" s="8">
        <f>IF(ISNA(MATCH(1618,'Transfer Engine'!$C$2:$C$1960,0)),"",INDEX('Compliance Database'!$F$2:$F$1960,MATCH(1618,'Transfer Engine'!$C$2:$C$1960,0)))</f>
        <v/>
      </c>
      <c r="G1627" s="8">
        <f>IF(ISNA(MATCH(1618,'Transfer Engine'!$C$2:$C$1960,0)),"",INDEX('Compliance Database'!$G$2:$G$1960,MATCH(1618,'Transfer Engine'!$C$2:$C$1960,0)))</f>
        <v/>
      </c>
      <c r="H1627" s="9">
        <f>IF(ISNA(MATCH(1618,'Transfer Engine'!$C$2:$C$1960,0)),"",INDEX('Compliance Database'!$H$2:$H$1960,MATCH(1618,'Transfer Engine'!$C$2:$C$1960,0)))</f>
        <v/>
      </c>
      <c r="I1627" s="9">
        <f>IF(ISNA(MATCH(1618,'Transfer Engine'!$C$2:$C$1960,0)),"",INDEX('Compliance Database'!$I$2:$I$1960,MATCH(1618,'Transfer Engine'!$C$2:$C$1960,0)))</f>
        <v/>
      </c>
      <c r="J1627" s="8">
        <f>IF(ISNA(MATCH(1618,'Transfer Engine'!$C$2:$C$1960,0)),"",INDEX('Compliance Database'!$J$2:$J$1960,MATCH(1618,'Transfer Engine'!$C$2:$C$1960,0)))</f>
        <v/>
      </c>
      <c r="K1627" s="9">
        <f>IF(ISNA(MATCH(1618,'Transfer Engine'!$C$2:$C$1960,0)),"",INDEX('Compliance Database'!$K$2:$K$1960,MATCH(1618,'Transfer Engine'!$C$2:$C$1960,0)))</f>
        <v/>
      </c>
      <c r="L1627" s="9">
        <f>IF(ISNA(MATCH(1618,'Transfer Engine'!$C$2:$C$1960,0)),"",INDEX('Compliance Database'!$L$2:$L$1960,MATCH(1618,'Transfer Engine'!$C$2:$C$1960,0)))</f>
        <v/>
      </c>
      <c r="M1627" s="9">
        <f>IF(ISNA(MATCH(1618,'Transfer Engine'!$C$2:$C$1960,0)),"",INDEX('Compliance Database'!$M$2:$M$1960,MATCH(1618,'Transfer Engine'!$C$2:$C$1960,0)))</f>
        <v/>
      </c>
      <c r="N1627" s="9">
        <f>IF(ISNA(MATCH(1618,'Transfer Engine'!$C$2:$C$1960,0)),"",INDEX('Compliance Database'!$N$2:$N$1960,MATCH(1618,'Transfer Engine'!$C$2:$C$1960,0)))</f>
        <v/>
      </c>
      <c r="O1627" s="9">
        <f>IF(ISNA(MATCH(1618,'Transfer Engine'!$C$2:$C$1960,0)),"",INDEX('Compliance Database'!$O$2:$O$1960,MATCH(1618,'Transfer Engine'!$C$2:$C$1960,0)))</f>
        <v/>
      </c>
      <c r="P1627" s="8">
        <f>IF(ISNA(MATCH(1618,'Transfer Engine'!$C$2:$C$1960,0)),"",HYPERLINK("#Acts!A"&amp;INDEX('Compliance Database'!$P$2:$P$1960,MATCH(1618,'Transfer Engine'!$C$2:$C$1960,0)),"Go to Act"))</f>
        <v/>
      </c>
    </row>
    <row r="1628" ht="158" customHeight="1">
      <c r="A1628" s="8">
        <f>IF(ISNA(MATCH(1619,'Transfer Engine'!$C$2:$C$1960,0)),"",INDEX('Compliance Database'!$A$2:$A$1960,MATCH(1619,'Transfer Engine'!$C$2:$C$1960,0)))</f>
        <v/>
      </c>
      <c r="B1628" s="8">
        <f>IF(ISNA(MATCH(1619,'Transfer Engine'!$C$2:$C$1960,0)),"",INDEX('Compliance Database'!$B$2:$B$1960,MATCH(1619,'Transfer Engine'!$C$2:$C$1960,0)))</f>
        <v/>
      </c>
      <c r="C1628" s="8">
        <f>IF(ISNA(MATCH(1619,'Transfer Engine'!$C$2:$C$1960,0)),"",INDEX('Compliance Database'!$C$2:$C$1960,MATCH(1619,'Transfer Engine'!$C$2:$C$1960,0)))</f>
        <v/>
      </c>
      <c r="D1628" s="9">
        <f>IF(ISNA(MATCH(1619,'Transfer Engine'!$C$2:$C$1960,0)),"",INDEX('Compliance Database'!$D$2:$D$1960,MATCH(1619,'Transfer Engine'!$C$2:$C$1960,0)))</f>
        <v/>
      </c>
      <c r="E1628" s="8">
        <f>IF(ISNA(MATCH(1619,'Transfer Engine'!$C$2:$C$1960,0)),"",INDEX('Compliance Database'!$E$2:$E$1960,MATCH(1619,'Transfer Engine'!$C$2:$C$1960,0)))</f>
        <v/>
      </c>
      <c r="F1628" s="8">
        <f>IF(ISNA(MATCH(1619,'Transfer Engine'!$C$2:$C$1960,0)),"",INDEX('Compliance Database'!$F$2:$F$1960,MATCH(1619,'Transfer Engine'!$C$2:$C$1960,0)))</f>
        <v/>
      </c>
      <c r="G1628" s="8">
        <f>IF(ISNA(MATCH(1619,'Transfer Engine'!$C$2:$C$1960,0)),"",INDEX('Compliance Database'!$G$2:$G$1960,MATCH(1619,'Transfer Engine'!$C$2:$C$1960,0)))</f>
        <v/>
      </c>
      <c r="H1628" s="9">
        <f>IF(ISNA(MATCH(1619,'Transfer Engine'!$C$2:$C$1960,0)),"",INDEX('Compliance Database'!$H$2:$H$1960,MATCH(1619,'Transfer Engine'!$C$2:$C$1960,0)))</f>
        <v/>
      </c>
      <c r="I1628" s="9">
        <f>IF(ISNA(MATCH(1619,'Transfer Engine'!$C$2:$C$1960,0)),"",INDEX('Compliance Database'!$I$2:$I$1960,MATCH(1619,'Transfer Engine'!$C$2:$C$1960,0)))</f>
        <v/>
      </c>
      <c r="J1628" s="8">
        <f>IF(ISNA(MATCH(1619,'Transfer Engine'!$C$2:$C$1960,0)),"",INDEX('Compliance Database'!$J$2:$J$1960,MATCH(1619,'Transfer Engine'!$C$2:$C$1960,0)))</f>
        <v/>
      </c>
      <c r="K1628" s="9">
        <f>IF(ISNA(MATCH(1619,'Transfer Engine'!$C$2:$C$1960,0)),"",INDEX('Compliance Database'!$K$2:$K$1960,MATCH(1619,'Transfer Engine'!$C$2:$C$1960,0)))</f>
        <v/>
      </c>
      <c r="L1628" s="9">
        <f>IF(ISNA(MATCH(1619,'Transfer Engine'!$C$2:$C$1960,0)),"",INDEX('Compliance Database'!$L$2:$L$1960,MATCH(1619,'Transfer Engine'!$C$2:$C$1960,0)))</f>
        <v/>
      </c>
      <c r="M1628" s="9">
        <f>IF(ISNA(MATCH(1619,'Transfer Engine'!$C$2:$C$1960,0)),"",INDEX('Compliance Database'!$M$2:$M$1960,MATCH(1619,'Transfer Engine'!$C$2:$C$1960,0)))</f>
        <v/>
      </c>
      <c r="N1628" s="9">
        <f>IF(ISNA(MATCH(1619,'Transfer Engine'!$C$2:$C$1960,0)),"",INDEX('Compliance Database'!$N$2:$N$1960,MATCH(1619,'Transfer Engine'!$C$2:$C$1960,0)))</f>
        <v/>
      </c>
      <c r="O1628" s="9">
        <f>IF(ISNA(MATCH(1619,'Transfer Engine'!$C$2:$C$1960,0)),"",INDEX('Compliance Database'!$O$2:$O$1960,MATCH(1619,'Transfer Engine'!$C$2:$C$1960,0)))</f>
        <v/>
      </c>
      <c r="P1628" s="8">
        <f>IF(ISNA(MATCH(1619,'Transfer Engine'!$C$2:$C$1960,0)),"",HYPERLINK("#Acts!A"&amp;INDEX('Compliance Database'!$P$2:$P$1960,MATCH(1619,'Transfer Engine'!$C$2:$C$1960,0)),"Go to Act"))</f>
        <v/>
      </c>
    </row>
    <row r="1629" ht="158" customHeight="1">
      <c r="A1629" s="8">
        <f>IF(ISNA(MATCH(1620,'Transfer Engine'!$C$2:$C$1960,0)),"",INDEX('Compliance Database'!$A$2:$A$1960,MATCH(1620,'Transfer Engine'!$C$2:$C$1960,0)))</f>
        <v/>
      </c>
      <c r="B1629" s="8">
        <f>IF(ISNA(MATCH(1620,'Transfer Engine'!$C$2:$C$1960,0)),"",INDEX('Compliance Database'!$B$2:$B$1960,MATCH(1620,'Transfer Engine'!$C$2:$C$1960,0)))</f>
        <v/>
      </c>
      <c r="C1629" s="8">
        <f>IF(ISNA(MATCH(1620,'Transfer Engine'!$C$2:$C$1960,0)),"",INDEX('Compliance Database'!$C$2:$C$1960,MATCH(1620,'Transfer Engine'!$C$2:$C$1960,0)))</f>
        <v/>
      </c>
      <c r="D1629" s="9">
        <f>IF(ISNA(MATCH(1620,'Transfer Engine'!$C$2:$C$1960,0)),"",INDEX('Compliance Database'!$D$2:$D$1960,MATCH(1620,'Transfer Engine'!$C$2:$C$1960,0)))</f>
        <v/>
      </c>
      <c r="E1629" s="8">
        <f>IF(ISNA(MATCH(1620,'Transfer Engine'!$C$2:$C$1960,0)),"",INDEX('Compliance Database'!$E$2:$E$1960,MATCH(1620,'Transfer Engine'!$C$2:$C$1960,0)))</f>
        <v/>
      </c>
      <c r="F1629" s="8">
        <f>IF(ISNA(MATCH(1620,'Transfer Engine'!$C$2:$C$1960,0)),"",INDEX('Compliance Database'!$F$2:$F$1960,MATCH(1620,'Transfer Engine'!$C$2:$C$1960,0)))</f>
        <v/>
      </c>
      <c r="G1629" s="8">
        <f>IF(ISNA(MATCH(1620,'Transfer Engine'!$C$2:$C$1960,0)),"",INDEX('Compliance Database'!$G$2:$G$1960,MATCH(1620,'Transfer Engine'!$C$2:$C$1960,0)))</f>
        <v/>
      </c>
      <c r="H1629" s="9">
        <f>IF(ISNA(MATCH(1620,'Transfer Engine'!$C$2:$C$1960,0)),"",INDEX('Compliance Database'!$H$2:$H$1960,MATCH(1620,'Transfer Engine'!$C$2:$C$1960,0)))</f>
        <v/>
      </c>
      <c r="I1629" s="9">
        <f>IF(ISNA(MATCH(1620,'Transfer Engine'!$C$2:$C$1960,0)),"",INDEX('Compliance Database'!$I$2:$I$1960,MATCH(1620,'Transfer Engine'!$C$2:$C$1960,0)))</f>
        <v/>
      </c>
      <c r="J1629" s="8">
        <f>IF(ISNA(MATCH(1620,'Transfer Engine'!$C$2:$C$1960,0)),"",INDEX('Compliance Database'!$J$2:$J$1960,MATCH(1620,'Transfer Engine'!$C$2:$C$1960,0)))</f>
        <v/>
      </c>
      <c r="K1629" s="9">
        <f>IF(ISNA(MATCH(1620,'Transfer Engine'!$C$2:$C$1960,0)),"",INDEX('Compliance Database'!$K$2:$K$1960,MATCH(1620,'Transfer Engine'!$C$2:$C$1960,0)))</f>
        <v/>
      </c>
      <c r="L1629" s="9">
        <f>IF(ISNA(MATCH(1620,'Transfer Engine'!$C$2:$C$1960,0)),"",INDEX('Compliance Database'!$L$2:$L$1960,MATCH(1620,'Transfer Engine'!$C$2:$C$1960,0)))</f>
        <v/>
      </c>
      <c r="M1629" s="9">
        <f>IF(ISNA(MATCH(1620,'Transfer Engine'!$C$2:$C$1960,0)),"",INDEX('Compliance Database'!$M$2:$M$1960,MATCH(1620,'Transfer Engine'!$C$2:$C$1960,0)))</f>
        <v/>
      </c>
      <c r="N1629" s="9">
        <f>IF(ISNA(MATCH(1620,'Transfer Engine'!$C$2:$C$1960,0)),"",INDEX('Compliance Database'!$N$2:$N$1960,MATCH(1620,'Transfer Engine'!$C$2:$C$1960,0)))</f>
        <v/>
      </c>
      <c r="O1629" s="9">
        <f>IF(ISNA(MATCH(1620,'Transfer Engine'!$C$2:$C$1960,0)),"",INDEX('Compliance Database'!$O$2:$O$1960,MATCH(1620,'Transfer Engine'!$C$2:$C$1960,0)))</f>
        <v/>
      </c>
      <c r="P1629" s="8">
        <f>IF(ISNA(MATCH(1620,'Transfer Engine'!$C$2:$C$1960,0)),"",HYPERLINK("#Acts!A"&amp;INDEX('Compliance Database'!$P$2:$P$1960,MATCH(1620,'Transfer Engine'!$C$2:$C$1960,0)),"Go to Act"))</f>
        <v/>
      </c>
    </row>
    <row r="1630" ht="158" customHeight="1">
      <c r="A1630" s="8">
        <f>IF(ISNA(MATCH(1621,'Transfer Engine'!$C$2:$C$1960,0)),"",INDEX('Compliance Database'!$A$2:$A$1960,MATCH(1621,'Transfer Engine'!$C$2:$C$1960,0)))</f>
        <v/>
      </c>
      <c r="B1630" s="8">
        <f>IF(ISNA(MATCH(1621,'Transfer Engine'!$C$2:$C$1960,0)),"",INDEX('Compliance Database'!$B$2:$B$1960,MATCH(1621,'Transfer Engine'!$C$2:$C$1960,0)))</f>
        <v/>
      </c>
      <c r="C1630" s="8">
        <f>IF(ISNA(MATCH(1621,'Transfer Engine'!$C$2:$C$1960,0)),"",INDEX('Compliance Database'!$C$2:$C$1960,MATCH(1621,'Transfer Engine'!$C$2:$C$1960,0)))</f>
        <v/>
      </c>
      <c r="D1630" s="9">
        <f>IF(ISNA(MATCH(1621,'Transfer Engine'!$C$2:$C$1960,0)),"",INDEX('Compliance Database'!$D$2:$D$1960,MATCH(1621,'Transfer Engine'!$C$2:$C$1960,0)))</f>
        <v/>
      </c>
      <c r="E1630" s="8">
        <f>IF(ISNA(MATCH(1621,'Transfer Engine'!$C$2:$C$1960,0)),"",INDEX('Compliance Database'!$E$2:$E$1960,MATCH(1621,'Transfer Engine'!$C$2:$C$1960,0)))</f>
        <v/>
      </c>
      <c r="F1630" s="8">
        <f>IF(ISNA(MATCH(1621,'Transfer Engine'!$C$2:$C$1960,0)),"",INDEX('Compliance Database'!$F$2:$F$1960,MATCH(1621,'Transfer Engine'!$C$2:$C$1960,0)))</f>
        <v/>
      </c>
      <c r="G1630" s="8">
        <f>IF(ISNA(MATCH(1621,'Transfer Engine'!$C$2:$C$1960,0)),"",INDEX('Compliance Database'!$G$2:$G$1960,MATCH(1621,'Transfer Engine'!$C$2:$C$1960,0)))</f>
        <v/>
      </c>
      <c r="H1630" s="9">
        <f>IF(ISNA(MATCH(1621,'Transfer Engine'!$C$2:$C$1960,0)),"",INDEX('Compliance Database'!$H$2:$H$1960,MATCH(1621,'Transfer Engine'!$C$2:$C$1960,0)))</f>
        <v/>
      </c>
      <c r="I1630" s="9">
        <f>IF(ISNA(MATCH(1621,'Transfer Engine'!$C$2:$C$1960,0)),"",INDEX('Compliance Database'!$I$2:$I$1960,MATCH(1621,'Transfer Engine'!$C$2:$C$1960,0)))</f>
        <v/>
      </c>
      <c r="J1630" s="8">
        <f>IF(ISNA(MATCH(1621,'Transfer Engine'!$C$2:$C$1960,0)),"",INDEX('Compliance Database'!$J$2:$J$1960,MATCH(1621,'Transfer Engine'!$C$2:$C$1960,0)))</f>
        <v/>
      </c>
      <c r="K1630" s="9">
        <f>IF(ISNA(MATCH(1621,'Transfer Engine'!$C$2:$C$1960,0)),"",INDEX('Compliance Database'!$K$2:$K$1960,MATCH(1621,'Transfer Engine'!$C$2:$C$1960,0)))</f>
        <v/>
      </c>
      <c r="L1630" s="9">
        <f>IF(ISNA(MATCH(1621,'Transfer Engine'!$C$2:$C$1960,0)),"",INDEX('Compliance Database'!$L$2:$L$1960,MATCH(1621,'Transfer Engine'!$C$2:$C$1960,0)))</f>
        <v/>
      </c>
      <c r="M1630" s="9">
        <f>IF(ISNA(MATCH(1621,'Transfer Engine'!$C$2:$C$1960,0)),"",INDEX('Compliance Database'!$M$2:$M$1960,MATCH(1621,'Transfer Engine'!$C$2:$C$1960,0)))</f>
        <v/>
      </c>
      <c r="N1630" s="9">
        <f>IF(ISNA(MATCH(1621,'Transfer Engine'!$C$2:$C$1960,0)),"",INDEX('Compliance Database'!$N$2:$N$1960,MATCH(1621,'Transfer Engine'!$C$2:$C$1960,0)))</f>
        <v/>
      </c>
      <c r="O1630" s="9">
        <f>IF(ISNA(MATCH(1621,'Transfer Engine'!$C$2:$C$1960,0)),"",INDEX('Compliance Database'!$O$2:$O$1960,MATCH(1621,'Transfer Engine'!$C$2:$C$1960,0)))</f>
        <v/>
      </c>
      <c r="P1630" s="8">
        <f>IF(ISNA(MATCH(1621,'Transfer Engine'!$C$2:$C$1960,0)),"",HYPERLINK("#Acts!A"&amp;INDEX('Compliance Database'!$P$2:$P$1960,MATCH(1621,'Transfer Engine'!$C$2:$C$1960,0)),"Go to Act"))</f>
        <v/>
      </c>
    </row>
    <row r="1631" ht="158" customHeight="1">
      <c r="A1631" s="8">
        <f>IF(ISNA(MATCH(1622,'Transfer Engine'!$C$2:$C$1960,0)),"",INDEX('Compliance Database'!$A$2:$A$1960,MATCH(1622,'Transfer Engine'!$C$2:$C$1960,0)))</f>
        <v/>
      </c>
      <c r="B1631" s="8">
        <f>IF(ISNA(MATCH(1622,'Transfer Engine'!$C$2:$C$1960,0)),"",INDEX('Compliance Database'!$B$2:$B$1960,MATCH(1622,'Transfer Engine'!$C$2:$C$1960,0)))</f>
        <v/>
      </c>
      <c r="C1631" s="8">
        <f>IF(ISNA(MATCH(1622,'Transfer Engine'!$C$2:$C$1960,0)),"",INDEX('Compliance Database'!$C$2:$C$1960,MATCH(1622,'Transfer Engine'!$C$2:$C$1960,0)))</f>
        <v/>
      </c>
      <c r="D1631" s="9">
        <f>IF(ISNA(MATCH(1622,'Transfer Engine'!$C$2:$C$1960,0)),"",INDEX('Compliance Database'!$D$2:$D$1960,MATCH(1622,'Transfer Engine'!$C$2:$C$1960,0)))</f>
        <v/>
      </c>
      <c r="E1631" s="8">
        <f>IF(ISNA(MATCH(1622,'Transfer Engine'!$C$2:$C$1960,0)),"",INDEX('Compliance Database'!$E$2:$E$1960,MATCH(1622,'Transfer Engine'!$C$2:$C$1960,0)))</f>
        <v/>
      </c>
      <c r="F1631" s="8">
        <f>IF(ISNA(MATCH(1622,'Transfer Engine'!$C$2:$C$1960,0)),"",INDEX('Compliance Database'!$F$2:$F$1960,MATCH(1622,'Transfer Engine'!$C$2:$C$1960,0)))</f>
        <v/>
      </c>
      <c r="G1631" s="8">
        <f>IF(ISNA(MATCH(1622,'Transfer Engine'!$C$2:$C$1960,0)),"",INDEX('Compliance Database'!$G$2:$G$1960,MATCH(1622,'Transfer Engine'!$C$2:$C$1960,0)))</f>
        <v/>
      </c>
      <c r="H1631" s="9">
        <f>IF(ISNA(MATCH(1622,'Transfer Engine'!$C$2:$C$1960,0)),"",INDEX('Compliance Database'!$H$2:$H$1960,MATCH(1622,'Transfer Engine'!$C$2:$C$1960,0)))</f>
        <v/>
      </c>
      <c r="I1631" s="9">
        <f>IF(ISNA(MATCH(1622,'Transfer Engine'!$C$2:$C$1960,0)),"",INDEX('Compliance Database'!$I$2:$I$1960,MATCH(1622,'Transfer Engine'!$C$2:$C$1960,0)))</f>
        <v/>
      </c>
      <c r="J1631" s="8">
        <f>IF(ISNA(MATCH(1622,'Transfer Engine'!$C$2:$C$1960,0)),"",INDEX('Compliance Database'!$J$2:$J$1960,MATCH(1622,'Transfer Engine'!$C$2:$C$1960,0)))</f>
        <v/>
      </c>
      <c r="K1631" s="9">
        <f>IF(ISNA(MATCH(1622,'Transfer Engine'!$C$2:$C$1960,0)),"",INDEX('Compliance Database'!$K$2:$K$1960,MATCH(1622,'Transfer Engine'!$C$2:$C$1960,0)))</f>
        <v/>
      </c>
      <c r="L1631" s="9">
        <f>IF(ISNA(MATCH(1622,'Transfer Engine'!$C$2:$C$1960,0)),"",INDEX('Compliance Database'!$L$2:$L$1960,MATCH(1622,'Transfer Engine'!$C$2:$C$1960,0)))</f>
        <v/>
      </c>
      <c r="M1631" s="9">
        <f>IF(ISNA(MATCH(1622,'Transfer Engine'!$C$2:$C$1960,0)),"",INDEX('Compliance Database'!$M$2:$M$1960,MATCH(1622,'Transfer Engine'!$C$2:$C$1960,0)))</f>
        <v/>
      </c>
      <c r="N1631" s="9">
        <f>IF(ISNA(MATCH(1622,'Transfer Engine'!$C$2:$C$1960,0)),"",INDEX('Compliance Database'!$N$2:$N$1960,MATCH(1622,'Transfer Engine'!$C$2:$C$1960,0)))</f>
        <v/>
      </c>
      <c r="O1631" s="9">
        <f>IF(ISNA(MATCH(1622,'Transfer Engine'!$C$2:$C$1960,0)),"",INDEX('Compliance Database'!$O$2:$O$1960,MATCH(1622,'Transfer Engine'!$C$2:$C$1960,0)))</f>
        <v/>
      </c>
      <c r="P1631" s="8">
        <f>IF(ISNA(MATCH(1622,'Transfer Engine'!$C$2:$C$1960,0)),"",HYPERLINK("#Acts!A"&amp;INDEX('Compliance Database'!$P$2:$P$1960,MATCH(1622,'Transfer Engine'!$C$2:$C$1960,0)),"Go to Act"))</f>
        <v/>
      </c>
    </row>
    <row r="1632" ht="158" customHeight="1">
      <c r="A1632" s="8">
        <f>IF(ISNA(MATCH(1623,'Transfer Engine'!$C$2:$C$1960,0)),"",INDEX('Compliance Database'!$A$2:$A$1960,MATCH(1623,'Transfer Engine'!$C$2:$C$1960,0)))</f>
        <v/>
      </c>
      <c r="B1632" s="8">
        <f>IF(ISNA(MATCH(1623,'Transfer Engine'!$C$2:$C$1960,0)),"",INDEX('Compliance Database'!$B$2:$B$1960,MATCH(1623,'Transfer Engine'!$C$2:$C$1960,0)))</f>
        <v/>
      </c>
      <c r="C1632" s="8">
        <f>IF(ISNA(MATCH(1623,'Transfer Engine'!$C$2:$C$1960,0)),"",INDEX('Compliance Database'!$C$2:$C$1960,MATCH(1623,'Transfer Engine'!$C$2:$C$1960,0)))</f>
        <v/>
      </c>
      <c r="D1632" s="9">
        <f>IF(ISNA(MATCH(1623,'Transfer Engine'!$C$2:$C$1960,0)),"",INDEX('Compliance Database'!$D$2:$D$1960,MATCH(1623,'Transfer Engine'!$C$2:$C$1960,0)))</f>
        <v/>
      </c>
      <c r="E1632" s="8">
        <f>IF(ISNA(MATCH(1623,'Transfer Engine'!$C$2:$C$1960,0)),"",INDEX('Compliance Database'!$E$2:$E$1960,MATCH(1623,'Transfer Engine'!$C$2:$C$1960,0)))</f>
        <v/>
      </c>
      <c r="F1632" s="8">
        <f>IF(ISNA(MATCH(1623,'Transfer Engine'!$C$2:$C$1960,0)),"",INDEX('Compliance Database'!$F$2:$F$1960,MATCH(1623,'Transfer Engine'!$C$2:$C$1960,0)))</f>
        <v/>
      </c>
      <c r="G1632" s="8">
        <f>IF(ISNA(MATCH(1623,'Transfer Engine'!$C$2:$C$1960,0)),"",INDEX('Compliance Database'!$G$2:$G$1960,MATCH(1623,'Transfer Engine'!$C$2:$C$1960,0)))</f>
        <v/>
      </c>
      <c r="H1632" s="9">
        <f>IF(ISNA(MATCH(1623,'Transfer Engine'!$C$2:$C$1960,0)),"",INDEX('Compliance Database'!$H$2:$H$1960,MATCH(1623,'Transfer Engine'!$C$2:$C$1960,0)))</f>
        <v/>
      </c>
      <c r="I1632" s="9">
        <f>IF(ISNA(MATCH(1623,'Transfer Engine'!$C$2:$C$1960,0)),"",INDEX('Compliance Database'!$I$2:$I$1960,MATCH(1623,'Transfer Engine'!$C$2:$C$1960,0)))</f>
        <v/>
      </c>
      <c r="J1632" s="8">
        <f>IF(ISNA(MATCH(1623,'Transfer Engine'!$C$2:$C$1960,0)),"",INDEX('Compliance Database'!$J$2:$J$1960,MATCH(1623,'Transfer Engine'!$C$2:$C$1960,0)))</f>
        <v/>
      </c>
      <c r="K1632" s="9">
        <f>IF(ISNA(MATCH(1623,'Transfer Engine'!$C$2:$C$1960,0)),"",INDEX('Compliance Database'!$K$2:$K$1960,MATCH(1623,'Transfer Engine'!$C$2:$C$1960,0)))</f>
        <v/>
      </c>
      <c r="L1632" s="9">
        <f>IF(ISNA(MATCH(1623,'Transfer Engine'!$C$2:$C$1960,0)),"",INDEX('Compliance Database'!$L$2:$L$1960,MATCH(1623,'Transfer Engine'!$C$2:$C$1960,0)))</f>
        <v/>
      </c>
      <c r="M1632" s="9">
        <f>IF(ISNA(MATCH(1623,'Transfer Engine'!$C$2:$C$1960,0)),"",INDEX('Compliance Database'!$M$2:$M$1960,MATCH(1623,'Transfer Engine'!$C$2:$C$1960,0)))</f>
        <v/>
      </c>
      <c r="N1632" s="9">
        <f>IF(ISNA(MATCH(1623,'Transfer Engine'!$C$2:$C$1960,0)),"",INDEX('Compliance Database'!$N$2:$N$1960,MATCH(1623,'Transfer Engine'!$C$2:$C$1960,0)))</f>
        <v/>
      </c>
      <c r="O1632" s="9">
        <f>IF(ISNA(MATCH(1623,'Transfer Engine'!$C$2:$C$1960,0)),"",INDEX('Compliance Database'!$O$2:$O$1960,MATCH(1623,'Transfer Engine'!$C$2:$C$1960,0)))</f>
        <v/>
      </c>
      <c r="P1632" s="8">
        <f>IF(ISNA(MATCH(1623,'Transfer Engine'!$C$2:$C$1960,0)),"",HYPERLINK("#Acts!A"&amp;INDEX('Compliance Database'!$P$2:$P$1960,MATCH(1623,'Transfer Engine'!$C$2:$C$1960,0)),"Go to Act"))</f>
        <v/>
      </c>
    </row>
    <row r="1633" ht="158" customHeight="1">
      <c r="A1633" s="8">
        <f>IF(ISNA(MATCH(1624,'Transfer Engine'!$C$2:$C$1960,0)),"",INDEX('Compliance Database'!$A$2:$A$1960,MATCH(1624,'Transfer Engine'!$C$2:$C$1960,0)))</f>
        <v/>
      </c>
      <c r="B1633" s="8">
        <f>IF(ISNA(MATCH(1624,'Transfer Engine'!$C$2:$C$1960,0)),"",INDEX('Compliance Database'!$B$2:$B$1960,MATCH(1624,'Transfer Engine'!$C$2:$C$1960,0)))</f>
        <v/>
      </c>
      <c r="C1633" s="8">
        <f>IF(ISNA(MATCH(1624,'Transfer Engine'!$C$2:$C$1960,0)),"",INDEX('Compliance Database'!$C$2:$C$1960,MATCH(1624,'Transfer Engine'!$C$2:$C$1960,0)))</f>
        <v/>
      </c>
      <c r="D1633" s="9">
        <f>IF(ISNA(MATCH(1624,'Transfer Engine'!$C$2:$C$1960,0)),"",INDEX('Compliance Database'!$D$2:$D$1960,MATCH(1624,'Transfer Engine'!$C$2:$C$1960,0)))</f>
        <v/>
      </c>
      <c r="E1633" s="8">
        <f>IF(ISNA(MATCH(1624,'Transfer Engine'!$C$2:$C$1960,0)),"",INDEX('Compliance Database'!$E$2:$E$1960,MATCH(1624,'Transfer Engine'!$C$2:$C$1960,0)))</f>
        <v/>
      </c>
      <c r="F1633" s="8">
        <f>IF(ISNA(MATCH(1624,'Transfer Engine'!$C$2:$C$1960,0)),"",INDEX('Compliance Database'!$F$2:$F$1960,MATCH(1624,'Transfer Engine'!$C$2:$C$1960,0)))</f>
        <v/>
      </c>
      <c r="G1633" s="8">
        <f>IF(ISNA(MATCH(1624,'Transfer Engine'!$C$2:$C$1960,0)),"",INDEX('Compliance Database'!$G$2:$G$1960,MATCH(1624,'Transfer Engine'!$C$2:$C$1960,0)))</f>
        <v/>
      </c>
      <c r="H1633" s="9">
        <f>IF(ISNA(MATCH(1624,'Transfer Engine'!$C$2:$C$1960,0)),"",INDEX('Compliance Database'!$H$2:$H$1960,MATCH(1624,'Transfer Engine'!$C$2:$C$1960,0)))</f>
        <v/>
      </c>
      <c r="I1633" s="9">
        <f>IF(ISNA(MATCH(1624,'Transfer Engine'!$C$2:$C$1960,0)),"",INDEX('Compliance Database'!$I$2:$I$1960,MATCH(1624,'Transfer Engine'!$C$2:$C$1960,0)))</f>
        <v/>
      </c>
      <c r="J1633" s="8">
        <f>IF(ISNA(MATCH(1624,'Transfer Engine'!$C$2:$C$1960,0)),"",INDEX('Compliance Database'!$J$2:$J$1960,MATCH(1624,'Transfer Engine'!$C$2:$C$1960,0)))</f>
        <v/>
      </c>
      <c r="K1633" s="9">
        <f>IF(ISNA(MATCH(1624,'Transfer Engine'!$C$2:$C$1960,0)),"",INDEX('Compliance Database'!$K$2:$K$1960,MATCH(1624,'Transfer Engine'!$C$2:$C$1960,0)))</f>
        <v/>
      </c>
      <c r="L1633" s="9">
        <f>IF(ISNA(MATCH(1624,'Transfer Engine'!$C$2:$C$1960,0)),"",INDEX('Compliance Database'!$L$2:$L$1960,MATCH(1624,'Transfer Engine'!$C$2:$C$1960,0)))</f>
        <v/>
      </c>
      <c r="M1633" s="9">
        <f>IF(ISNA(MATCH(1624,'Transfer Engine'!$C$2:$C$1960,0)),"",INDEX('Compliance Database'!$M$2:$M$1960,MATCH(1624,'Transfer Engine'!$C$2:$C$1960,0)))</f>
        <v/>
      </c>
      <c r="N1633" s="9">
        <f>IF(ISNA(MATCH(1624,'Transfer Engine'!$C$2:$C$1960,0)),"",INDEX('Compliance Database'!$N$2:$N$1960,MATCH(1624,'Transfer Engine'!$C$2:$C$1960,0)))</f>
        <v/>
      </c>
      <c r="O1633" s="9">
        <f>IF(ISNA(MATCH(1624,'Transfer Engine'!$C$2:$C$1960,0)),"",INDEX('Compliance Database'!$O$2:$O$1960,MATCH(1624,'Transfer Engine'!$C$2:$C$1960,0)))</f>
        <v/>
      </c>
      <c r="P1633" s="8">
        <f>IF(ISNA(MATCH(1624,'Transfer Engine'!$C$2:$C$1960,0)),"",HYPERLINK("#Acts!A"&amp;INDEX('Compliance Database'!$P$2:$P$1960,MATCH(1624,'Transfer Engine'!$C$2:$C$1960,0)),"Go to Act"))</f>
        <v/>
      </c>
    </row>
    <row r="1634" ht="158" customHeight="1">
      <c r="A1634" s="8">
        <f>IF(ISNA(MATCH(1625,'Transfer Engine'!$C$2:$C$1960,0)),"",INDEX('Compliance Database'!$A$2:$A$1960,MATCH(1625,'Transfer Engine'!$C$2:$C$1960,0)))</f>
        <v/>
      </c>
      <c r="B1634" s="8">
        <f>IF(ISNA(MATCH(1625,'Transfer Engine'!$C$2:$C$1960,0)),"",INDEX('Compliance Database'!$B$2:$B$1960,MATCH(1625,'Transfer Engine'!$C$2:$C$1960,0)))</f>
        <v/>
      </c>
      <c r="C1634" s="8">
        <f>IF(ISNA(MATCH(1625,'Transfer Engine'!$C$2:$C$1960,0)),"",INDEX('Compliance Database'!$C$2:$C$1960,MATCH(1625,'Transfer Engine'!$C$2:$C$1960,0)))</f>
        <v/>
      </c>
      <c r="D1634" s="9">
        <f>IF(ISNA(MATCH(1625,'Transfer Engine'!$C$2:$C$1960,0)),"",INDEX('Compliance Database'!$D$2:$D$1960,MATCH(1625,'Transfer Engine'!$C$2:$C$1960,0)))</f>
        <v/>
      </c>
      <c r="E1634" s="8">
        <f>IF(ISNA(MATCH(1625,'Transfer Engine'!$C$2:$C$1960,0)),"",INDEX('Compliance Database'!$E$2:$E$1960,MATCH(1625,'Transfer Engine'!$C$2:$C$1960,0)))</f>
        <v/>
      </c>
      <c r="F1634" s="8">
        <f>IF(ISNA(MATCH(1625,'Transfer Engine'!$C$2:$C$1960,0)),"",INDEX('Compliance Database'!$F$2:$F$1960,MATCH(1625,'Transfer Engine'!$C$2:$C$1960,0)))</f>
        <v/>
      </c>
      <c r="G1634" s="8">
        <f>IF(ISNA(MATCH(1625,'Transfer Engine'!$C$2:$C$1960,0)),"",INDEX('Compliance Database'!$G$2:$G$1960,MATCH(1625,'Transfer Engine'!$C$2:$C$1960,0)))</f>
        <v/>
      </c>
      <c r="H1634" s="9">
        <f>IF(ISNA(MATCH(1625,'Transfer Engine'!$C$2:$C$1960,0)),"",INDEX('Compliance Database'!$H$2:$H$1960,MATCH(1625,'Transfer Engine'!$C$2:$C$1960,0)))</f>
        <v/>
      </c>
      <c r="I1634" s="9">
        <f>IF(ISNA(MATCH(1625,'Transfer Engine'!$C$2:$C$1960,0)),"",INDEX('Compliance Database'!$I$2:$I$1960,MATCH(1625,'Transfer Engine'!$C$2:$C$1960,0)))</f>
        <v/>
      </c>
      <c r="J1634" s="8">
        <f>IF(ISNA(MATCH(1625,'Transfer Engine'!$C$2:$C$1960,0)),"",INDEX('Compliance Database'!$J$2:$J$1960,MATCH(1625,'Transfer Engine'!$C$2:$C$1960,0)))</f>
        <v/>
      </c>
      <c r="K1634" s="9">
        <f>IF(ISNA(MATCH(1625,'Transfer Engine'!$C$2:$C$1960,0)),"",INDEX('Compliance Database'!$K$2:$K$1960,MATCH(1625,'Transfer Engine'!$C$2:$C$1960,0)))</f>
        <v/>
      </c>
      <c r="L1634" s="9">
        <f>IF(ISNA(MATCH(1625,'Transfer Engine'!$C$2:$C$1960,0)),"",INDEX('Compliance Database'!$L$2:$L$1960,MATCH(1625,'Transfer Engine'!$C$2:$C$1960,0)))</f>
        <v/>
      </c>
      <c r="M1634" s="9">
        <f>IF(ISNA(MATCH(1625,'Transfer Engine'!$C$2:$C$1960,0)),"",INDEX('Compliance Database'!$M$2:$M$1960,MATCH(1625,'Transfer Engine'!$C$2:$C$1960,0)))</f>
        <v/>
      </c>
      <c r="N1634" s="9">
        <f>IF(ISNA(MATCH(1625,'Transfer Engine'!$C$2:$C$1960,0)),"",INDEX('Compliance Database'!$N$2:$N$1960,MATCH(1625,'Transfer Engine'!$C$2:$C$1960,0)))</f>
        <v/>
      </c>
      <c r="O1634" s="9">
        <f>IF(ISNA(MATCH(1625,'Transfer Engine'!$C$2:$C$1960,0)),"",INDEX('Compliance Database'!$O$2:$O$1960,MATCH(1625,'Transfer Engine'!$C$2:$C$1960,0)))</f>
        <v/>
      </c>
      <c r="P1634" s="8">
        <f>IF(ISNA(MATCH(1625,'Transfer Engine'!$C$2:$C$1960,0)),"",HYPERLINK("#Acts!A"&amp;INDEX('Compliance Database'!$P$2:$P$1960,MATCH(1625,'Transfer Engine'!$C$2:$C$1960,0)),"Go to Act"))</f>
        <v/>
      </c>
    </row>
    <row r="1635" ht="158" customHeight="1">
      <c r="A1635" s="8">
        <f>IF(ISNA(MATCH(1626,'Transfer Engine'!$C$2:$C$1960,0)),"",INDEX('Compliance Database'!$A$2:$A$1960,MATCH(1626,'Transfer Engine'!$C$2:$C$1960,0)))</f>
        <v/>
      </c>
      <c r="B1635" s="8">
        <f>IF(ISNA(MATCH(1626,'Transfer Engine'!$C$2:$C$1960,0)),"",INDEX('Compliance Database'!$B$2:$B$1960,MATCH(1626,'Transfer Engine'!$C$2:$C$1960,0)))</f>
        <v/>
      </c>
      <c r="C1635" s="8">
        <f>IF(ISNA(MATCH(1626,'Transfer Engine'!$C$2:$C$1960,0)),"",INDEX('Compliance Database'!$C$2:$C$1960,MATCH(1626,'Transfer Engine'!$C$2:$C$1960,0)))</f>
        <v/>
      </c>
      <c r="D1635" s="9">
        <f>IF(ISNA(MATCH(1626,'Transfer Engine'!$C$2:$C$1960,0)),"",INDEX('Compliance Database'!$D$2:$D$1960,MATCH(1626,'Transfer Engine'!$C$2:$C$1960,0)))</f>
        <v/>
      </c>
      <c r="E1635" s="8">
        <f>IF(ISNA(MATCH(1626,'Transfer Engine'!$C$2:$C$1960,0)),"",INDEX('Compliance Database'!$E$2:$E$1960,MATCH(1626,'Transfer Engine'!$C$2:$C$1960,0)))</f>
        <v/>
      </c>
      <c r="F1635" s="8">
        <f>IF(ISNA(MATCH(1626,'Transfer Engine'!$C$2:$C$1960,0)),"",INDEX('Compliance Database'!$F$2:$F$1960,MATCH(1626,'Transfer Engine'!$C$2:$C$1960,0)))</f>
        <v/>
      </c>
      <c r="G1635" s="8">
        <f>IF(ISNA(MATCH(1626,'Transfer Engine'!$C$2:$C$1960,0)),"",INDEX('Compliance Database'!$G$2:$G$1960,MATCH(1626,'Transfer Engine'!$C$2:$C$1960,0)))</f>
        <v/>
      </c>
      <c r="H1635" s="9">
        <f>IF(ISNA(MATCH(1626,'Transfer Engine'!$C$2:$C$1960,0)),"",INDEX('Compliance Database'!$H$2:$H$1960,MATCH(1626,'Transfer Engine'!$C$2:$C$1960,0)))</f>
        <v/>
      </c>
      <c r="I1635" s="9">
        <f>IF(ISNA(MATCH(1626,'Transfer Engine'!$C$2:$C$1960,0)),"",INDEX('Compliance Database'!$I$2:$I$1960,MATCH(1626,'Transfer Engine'!$C$2:$C$1960,0)))</f>
        <v/>
      </c>
      <c r="J1635" s="8">
        <f>IF(ISNA(MATCH(1626,'Transfer Engine'!$C$2:$C$1960,0)),"",INDEX('Compliance Database'!$J$2:$J$1960,MATCH(1626,'Transfer Engine'!$C$2:$C$1960,0)))</f>
        <v/>
      </c>
      <c r="K1635" s="9">
        <f>IF(ISNA(MATCH(1626,'Transfer Engine'!$C$2:$C$1960,0)),"",INDEX('Compliance Database'!$K$2:$K$1960,MATCH(1626,'Transfer Engine'!$C$2:$C$1960,0)))</f>
        <v/>
      </c>
      <c r="L1635" s="9">
        <f>IF(ISNA(MATCH(1626,'Transfer Engine'!$C$2:$C$1960,0)),"",INDEX('Compliance Database'!$L$2:$L$1960,MATCH(1626,'Transfer Engine'!$C$2:$C$1960,0)))</f>
        <v/>
      </c>
      <c r="M1635" s="9">
        <f>IF(ISNA(MATCH(1626,'Transfer Engine'!$C$2:$C$1960,0)),"",INDEX('Compliance Database'!$M$2:$M$1960,MATCH(1626,'Transfer Engine'!$C$2:$C$1960,0)))</f>
        <v/>
      </c>
      <c r="N1635" s="9">
        <f>IF(ISNA(MATCH(1626,'Transfer Engine'!$C$2:$C$1960,0)),"",INDEX('Compliance Database'!$N$2:$N$1960,MATCH(1626,'Transfer Engine'!$C$2:$C$1960,0)))</f>
        <v/>
      </c>
      <c r="O1635" s="9">
        <f>IF(ISNA(MATCH(1626,'Transfer Engine'!$C$2:$C$1960,0)),"",INDEX('Compliance Database'!$O$2:$O$1960,MATCH(1626,'Transfer Engine'!$C$2:$C$1960,0)))</f>
        <v/>
      </c>
      <c r="P1635" s="8">
        <f>IF(ISNA(MATCH(1626,'Transfer Engine'!$C$2:$C$1960,0)),"",HYPERLINK("#Acts!A"&amp;INDEX('Compliance Database'!$P$2:$P$1960,MATCH(1626,'Transfer Engine'!$C$2:$C$1960,0)),"Go to Act"))</f>
        <v/>
      </c>
    </row>
    <row r="1636" ht="158" customHeight="1">
      <c r="A1636" s="8">
        <f>IF(ISNA(MATCH(1627,'Transfer Engine'!$C$2:$C$1960,0)),"",INDEX('Compliance Database'!$A$2:$A$1960,MATCH(1627,'Transfer Engine'!$C$2:$C$1960,0)))</f>
        <v/>
      </c>
      <c r="B1636" s="8">
        <f>IF(ISNA(MATCH(1627,'Transfer Engine'!$C$2:$C$1960,0)),"",INDEX('Compliance Database'!$B$2:$B$1960,MATCH(1627,'Transfer Engine'!$C$2:$C$1960,0)))</f>
        <v/>
      </c>
      <c r="C1636" s="8">
        <f>IF(ISNA(MATCH(1627,'Transfer Engine'!$C$2:$C$1960,0)),"",INDEX('Compliance Database'!$C$2:$C$1960,MATCH(1627,'Transfer Engine'!$C$2:$C$1960,0)))</f>
        <v/>
      </c>
      <c r="D1636" s="9">
        <f>IF(ISNA(MATCH(1627,'Transfer Engine'!$C$2:$C$1960,0)),"",INDEX('Compliance Database'!$D$2:$D$1960,MATCH(1627,'Transfer Engine'!$C$2:$C$1960,0)))</f>
        <v/>
      </c>
      <c r="E1636" s="8">
        <f>IF(ISNA(MATCH(1627,'Transfer Engine'!$C$2:$C$1960,0)),"",INDEX('Compliance Database'!$E$2:$E$1960,MATCH(1627,'Transfer Engine'!$C$2:$C$1960,0)))</f>
        <v/>
      </c>
      <c r="F1636" s="8">
        <f>IF(ISNA(MATCH(1627,'Transfer Engine'!$C$2:$C$1960,0)),"",INDEX('Compliance Database'!$F$2:$F$1960,MATCH(1627,'Transfer Engine'!$C$2:$C$1960,0)))</f>
        <v/>
      </c>
      <c r="G1636" s="8">
        <f>IF(ISNA(MATCH(1627,'Transfer Engine'!$C$2:$C$1960,0)),"",INDEX('Compliance Database'!$G$2:$G$1960,MATCH(1627,'Transfer Engine'!$C$2:$C$1960,0)))</f>
        <v/>
      </c>
      <c r="H1636" s="9">
        <f>IF(ISNA(MATCH(1627,'Transfer Engine'!$C$2:$C$1960,0)),"",INDEX('Compliance Database'!$H$2:$H$1960,MATCH(1627,'Transfer Engine'!$C$2:$C$1960,0)))</f>
        <v/>
      </c>
      <c r="I1636" s="9">
        <f>IF(ISNA(MATCH(1627,'Transfer Engine'!$C$2:$C$1960,0)),"",INDEX('Compliance Database'!$I$2:$I$1960,MATCH(1627,'Transfer Engine'!$C$2:$C$1960,0)))</f>
        <v/>
      </c>
      <c r="J1636" s="8">
        <f>IF(ISNA(MATCH(1627,'Transfer Engine'!$C$2:$C$1960,0)),"",INDEX('Compliance Database'!$J$2:$J$1960,MATCH(1627,'Transfer Engine'!$C$2:$C$1960,0)))</f>
        <v/>
      </c>
      <c r="K1636" s="9">
        <f>IF(ISNA(MATCH(1627,'Transfer Engine'!$C$2:$C$1960,0)),"",INDEX('Compliance Database'!$K$2:$K$1960,MATCH(1627,'Transfer Engine'!$C$2:$C$1960,0)))</f>
        <v/>
      </c>
      <c r="L1636" s="9">
        <f>IF(ISNA(MATCH(1627,'Transfer Engine'!$C$2:$C$1960,0)),"",INDEX('Compliance Database'!$L$2:$L$1960,MATCH(1627,'Transfer Engine'!$C$2:$C$1960,0)))</f>
        <v/>
      </c>
      <c r="M1636" s="9">
        <f>IF(ISNA(MATCH(1627,'Transfer Engine'!$C$2:$C$1960,0)),"",INDEX('Compliance Database'!$M$2:$M$1960,MATCH(1627,'Transfer Engine'!$C$2:$C$1960,0)))</f>
        <v/>
      </c>
      <c r="N1636" s="9">
        <f>IF(ISNA(MATCH(1627,'Transfer Engine'!$C$2:$C$1960,0)),"",INDEX('Compliance Database'!$N$2:$N$1960,MATCH(1627,'Transfer Engine'!$C$2:$C$1960,0)))</f>
        <v/>
      </c>
      <c r="O1636" s="9">
        <f>IF(ISNA(MATCH(1627,'Transfer Engine'!$C$2:$C$1960,0)),"",INDEX('Compliance Database'!$O$2:$O$1960,MATCH(1627,'Transfer Engine'!$C$2:$C$1960,0)))</f>
        <v/>
      </c>
      <c r="P1636" s="8">
        <f>IF(ISNA(MATCH(1627,'Transfer Engine'!$C$2:$C$1960,0)),"",HYPERLINK("#Acts!A"&amp;INDEX('Compliance Database'!$P$2:$P$1960,MATCH(1627,'Transfer Engine'!$C$2:$C$1960,0)),"Go to Act"))</f>
        <v/>
      </c>
    </row>
    <row r="1637" ht="158" customHeight="1">
      <c r="A1637" s="8">
        <f>IF(ISNA(MATCH(1628,'Transfer Engine'!$C$2:$C$1960,0)),"",INDEX('Compliance Database'!$A$2:$A$1960,MATCH(1628,'Transfer Engine'!$C$2:$C$1960,0)))</f>
        <v/>
      </c>
      <c r="B1637" s="8">
        <f>IF(ISNA(MATCH(1628,'Transfer Engine'!$C$2:$C$1960,0)),"",INDEX('Compliance Database'!$B$2:$B$1960,MATCH(1628,'Transfer Engine'!$C$2:$C$1960,0)))</f>
        <v/>
      </c>
      <c r="C1637" s="8">
        <f>IF(ISNA(MATCH(1628,'Transfer Engine'!$C$2:$C$1960,0)),"",INDEX('Compliance Database'!$C$2:$C$1960,MATCH(1628,'Transfer Engine'!$C$2:$C$1960,0)))</f>
        <v/>
      </c>
      <c r="D1637" s="9">
        <f>IF(ISNA(MATCH(1628,'Transfer Engine'!$C$2:$C$1960,0)),"",INDEX('Compliance Database'!$D$2:$D$1960,MATCH(1628,'Transfer Engine'!$C$2:$C$1960,0)))</f>
        <v/>
      </c>
      <c r="E1637" s="8">
        <f>IF(ISNA(MATCH(1628,'Transfer Engine'!$C$2:$C$1960,0)),"",INDEX('Compliance Database'!$E$2:$E$1960,MATCH(1628,'Transfer Engine'!$C$2:$C$1960,0)))</f>
        <v/>
      </c>
      <c r="F1637" s="8">
        <f>IF(ISNA(MATCH(1628,'Transfer Engine'!$C$2:$C$1960,0)),"",INDEX('Compliance Database'!$F$2:$F$1960,MATCH(1628,'Transfer Engine'!$C$2:$C$1960,0)))</f>
        <v/>
      </c>
      <c r="G1637" s="8">
        <f>IF(ISNA(MATCH(1628,'Transfer Engine'!$C$2:$C$1960,0)),"",INDEX('Compliance Database'!$G$2:$G$1960,MATCH(1628,'Transfer Engine'!$C$2:$C$1960,0)))</f>
        <v/>
      </c>
      <c r="H1637" s="9">
        <f>IF(ISNA(MATCH(1628,'Transfer Engine'!$C$2:$C$1960,0)),"",INDEX('Compliance Database'!$H$2:$H$1960,MATCH(1628,'Transfer Engine'!$C$2:$C$1960,0)))</f>
        <v/>
      </c>
      <c r="I1637" s="9">
        <f>IF(ISNA(MATCH(1628,'Transfer Engine'!$C$2:$C$1960,0)),"",INDEX('Compliance Database'!$I$2:$I$1960,MATCH(1628,'Transfer Engine'!$C$2:$C$1960,0)))</f>
        <v/>
      </c>
      <c r="J1637" s="8">
        <f>IF(ISNA(MATCH(1628,'Transfer Engine'!$C$2:$C$1960,0)),"",INDEX('Compliance Database'!$J$2:$J$1960,MATCH(1628,'Transfer Engine'!$C$2:$C$1960,0)))</f>
        <v/>
      </c>
      <c r="K1637" s="9">
        <f>IF(ISNA(MATCH(1628,'Transfer Engine'!$C$2:$C$1960,0)),"",INDEX('Compliance Database'!$K$2:$K$1960,MATCH(1628,'Transfer Engine'!$C$2:$C$1960,0)))</f>
        <v/>
      </c>
      <c r="L1637" s="9">
        <f>IF(ISNA(MATCH(1628,'Transfer Engine'!$C$2:$C$1960,0)),"",INDEX('Compliance Database'!$L$2:$L$1960,MATCH(1628,'Transfer Engine'!$C$2:$C$1960,0)))</f>
        <v/>
      </c>
      <c r="M1637" s="9">
        <f>IF(ISNA(MATCH(1628,'Transfer Engine'!$C$2:$C$1960,0)),"",INDEX('Compliance Database'!$M$2:$M$1960,MATCH(1628,'Transfer Engine'!$C$2:$C$1960,0)))</f>
        <v/>
      </c>
      <c r="N1637" s="9">
        <f>IF(ISNA(MATCH(1628,'Transfer Engine'!$C$2:$C$1960,0)),"",INDEX('Compliance Database'!$N$2:$N$1960,MATCH(1628,'Transfer Engine'!$C$2:$C$1960,0)))</f>
        <v/>
      </c>
      <c r="O1637" s="9">
        <f>IF(ISNA(MATCH(1628,'Transfer Engine'!$C$2:$C$1960,0)),"",INDEX('Compliance Database'!$O$2:$O$1960,MATCH(1628,'Transfer Engine'!$C$2:$C$1960,0)))</f>
        <v/>
      </c>
      <c r="P1637" s="8">
        <f>IF(ISNA(MATCH(1628,'Transfer Engine'!$C$2:$C$1960,0)),"",HYPERLINK("#Acts!A"&amp;INDEX('Compliance Database'!$P$2:$P$1960,MATCH(1628,'Transfer Engine'!$C$2:$C$1960,0)),"Go to Act"))</f>
        <v/>
      </c>
    </row>
    <row r="1638" ht="158" customHeight="1">
      <c r="A1638" s="8">
        <f>IF(ISNA(MATCH(1629,'Transfer Engine'!$C$2:$C$1960,0)),"",INDEX('Compliance Database'!$A$2:$A$1960,MATCH(1629,'Transfer Engine'!$C$2:$C$1960,0)))</f>
        <v/>
      </c>
      <c r="B1638" s="8">
        <f>IF(ISNA(MATCH(1629,'Transfer Engine'!$C$2:$C$1960,0)),"",INDEX('Compliance Database'!$B$2:$B$1960,MATCH(1629,'Transfer Engine'!$C$2:$C$1960,0)))</f>
        <v/>
      </c>
      <c r="C1638" s="8">
        <f>IF(ISNA(MATCH(1629,'Transfer Engine'!$C$2:$C$1960,0)),"",INDEX('Compliance Database'!$C$2:$C$1960,MATCH(1629,'Transfer Engine'!$C$2:$C$1960,0)))</f>
        <v/>
      </c>
      <c r="D1638" s="9">
        <f>IF(ISNA(MATCH(1629,'Transfer Engine'!$C$2:$C$1960,0)),"",INDEX('Compliance Database'!$D$2:$D$1960,MATCH(1629,'Transfer Engine'!$C$2:$C$1960,0)))</f>
        <v/>
      </c>
      <c r="E1638" s="8">
        <f>IF(ISNA(MATCH(1629,'Transfer Engine'!$C$2:$C$1960,0)),"",INDEX('Compliance Database'!$E$2:$E$1960,MATCH(1629,'Transfer Engine'!$C$2:$C$1960,0)))</f>
        <v/>
      </c>
      <c r="F1638" s="8">
        <f>IF(ISNA(MATCH(1629,'Transfer Engine'!$C$2:$C$1960,0)),"",INDEX('Compliance Database'!$F$2:$F$1960,MATCH(1629,'Transfer Engine'!$C$2:$C$1960,0)))</f>
        <v/>
      </c>
      <c r="G1638" s="8">
        <f>IF(ISNA(MATCH(1629,'Transfer Engine'!$C$2:$C$1960,0)),"",INDEX('Compliance Database'!$G$2:$G$1960,MATCH(1629,'Transfer Engine'!$C$2:$C$1960,0)))</f>
        <v/>
      </c>
      <c r="H1638" s="9">
        <f>IF(ISNA(MATCH(1629,'Transfer Engine'!$C$2:$C$1960,0)),"",INDEX('Compliance Database'!$H$2:$H$1960,MATCH(1629,'Transfer Engine'!$C$2:$C$1960,0)))</f>
        <v/>
      </c>
      <c r="I1638" s="9">
        <f>IF(ISNA(MATCH(1629,'Transfer Engine'!$C$2:$C$1960,0)),"",INDEX('Compliance Database'!$I$2:$I$1960,MATCH(1629,'Transfer Engine'!$C$2:$C$1960,0)))</f>
        <v/>
      </c>
      <c r="J1638" s="8">
        <f>IF(ISNA(MATCH(1629,'Transfer Engine'!$C$2:$C$1960,0)),"",INDEX('Compliance Database'!$J$2:$J$1960,MATCH(1629,'Transfer Engine'!$C$2:$C$1960,0)))</f>
        <v/>
      </c>
      <c r="K1638" s="9">
        <f>IF(ISNA(MATCH(1629,'Transfer Engine'!$C$2:$C$1960,0)),"",INDEX('Compliance Database'!$K$2:$K$1960,MATCH(1629,'Transfer Engine'!$C$2:$C$1960,0)))</f>
        <v/>
      </c>
      <c r="L1638" s="9">
        <f>IF(ISNA(MATCH(1629,'Transfer Engine'!$C$2:$C$1960,0)),"",INDEX('Compliance Database'!$L$2:$L$1960,MATCH(1629,'Transfer Engine'!$C$2:$C$1960,0)))</f>
        <v/>
      </c>
      <c r="M1638" s="9">
        <f>IF(ISNA(MATCH(1629,'Transfer Engine'!$C$2:$C$1960,0)),"",INDEX('Compliance Database'!$M$2:$M$1960,MATCH(1629,'Transfer Engine'!$C$2:$C$1960,0)))</f>
        <v/>
      </c>
      <c r="N1638" s="9">
        <f>IF(ISNA(MATCH(1629,'Transfer Engine'!$C$2:$C$1960,0)),"",INDEX('Compliance Database'!$N$2:$N$1960,MATCH(1629,'Transfer Engine'!$C$2:$C$1960,0)))</f>
        <v/>
      </c>
      <c r="O1638" s="9">
        <f>IF(ISNA(MATCH(1629,'Transfer Engine'!$C$2:$C$1960,0)),"",INDEX('Compliance Database'!$O$2:$O$1960,MATCH(1629,'Transfer Engine'!$C$2:$C$1960,0)))</f>
        <v/>
      </c>
      <c r="P1638" s="8">
        <f>IF(ISNA(MATCH(1629,'Transfer Engine'!$C$2:$C$1960,0)),"",HYPERLINK("#Acts!A"&amp;INDEX('Compliance Database'!$P$2:$P$1960,MATCH(1629,'Transfer Engine'!$C$2:$C$1960,0)),"Go to Act"))</f>
        <v/>
      </c>
    </row>
    <row r="1639" ht="158" customHeight="1">
      <c r="A1639" s="8">
        <f>IF(ISNA(MATCH(1630,'Transfer Engine'!$C$2:$C$1960,0)),"",INDEX('Compliance Database'!$A$2:$A$1960,MATCH(1630,'Transfer Engine'!$C$2:$C$1960,0)))</f>
        <v/>
      </c>
      <c r="B1639" s="8">
        <f>IF(ISNA(MATCH(1630,'Transfer Engine'!$C$2:$C$1960,0)),"",INDEX('Compliance Database'!$B$2:$B$1960,MATCH(1630,'Transfer Engine'!$C$2:$C$1960,0)))</f>
        <v/>
      </c>
      <c r="C1639" s="8">
        <f>IF(ISNA(MATCH(1630,'Transfer Engine'!$C$2:$C$1960,0)),"",INDEX('Compliance Database'!$C$2:$C$1960,MATCH(1630,'Transfer Engine'!$C$2:$C$1960,0)))</f>
        <v/>
      </c>
      <c r="D1639" s="9">
        <f>IF(ISNA(MATCH(1630,'Transfer Engine'!$C$2:$C$1960,0)),"",INDEX('Compliance Database'!$D$2:$D$1960,MATCH(1630,'Transfer Engine'!$C$2:$C$1960,0)))</f>
        <v/>
      </c>
      <c r="E1639" s="8">
        <f>IF(ISNA(MATCH(1630,'Transfer Engine'!$C$2:$C$1960,0)),"",INDEX('Compliance Database'!$E$2:$E$1960,MATCH(1630,'Transfer Engine'!$C$2:$C$1960,0)))</f>
        <v/>
      </c>
      <c r="F1639" s="8">
        <f>IF(ISNA(MATCH(1630,'Transfer Engine'!$C$2:$C$1960,0)),"",INDEX('Compliance Database'!$F$2:$F$1960,MATCH(1630,'Transfer Engine'!$C$2:$C$1960,0)))</f>
        <v/>
      </c>
      <c r="G1639" s="8">
        <f>IF(ISNA(MATCH(1630,'Transfer Engine'!$C$2:$C$1960,0)),"",INDEX('Compliance Database'!$G$2:$G$1960,MATCH(1630,'Transfer Engine'!$C$2:$C$1960,0)))</f>
        <v/>
      </c>
      <c r="H1639" s="9">
        <f>IF(ISNA(MATCH(1630,'Transfer Engine'!$C$2:$C$1960,0)),"",INDEX('Compliance Database'!$H$2:$H$1960,MATCH(1630,'Transfer Engine'!$C$2:$C$1960,0)))</f>
        <v/>
      </c>
      <c r="I1639" s="9">
        <f>IF(ISNA(MATCH(1630,'Transfer Engine'!$C$2:$C$1960,0)),"",INDEX('Compliance Database'!$I$2:$I$1960,MATCH(1630,'Transfer Engine'!$C$2:$C$1960,0)))</f>
        <v/>
      </c>
      <c r="J1639" s="8">
        <f>IF(ISNA(MATCH(1630,'Transfer Engine'!$C$2:$C$1960,0)),"",INDEX('Compliance Database'!$J$2:$J$1960,MATCH(1630,'Transfer Engine'!$C$2:$C$1960,0)))</f>
        <v/>
      </c>
      <c r="K1639" s="9">
        <f>IF(ISNA(MATCH(1630,'Transfer Engine'!$C$2:$C$1960,0)),"",INDEX('Compliance Database'!$K$2:$K$1960,MATCH(1630,'Transfer Engine'!$C$2:$C$1960,0)))</f>
        <v/>
      </c>
      <c r="L1639" s="9">
        <f>IF(ISNA(MATCH(1630,'Transfer Engine'!$C$2:$C$1960,0)),"",INDEX('Compliance Database'!$L$2:$L$1960,MATCH(1630,'Transfer Engine'!$C$2:$C$1960,0)))</f>
        <v/>
      </c>
      <c r="M1639" s="9">
        <f>IF(ISNA(MATCH(1630,'Transfer Engine'!$C$2:$C$1960,0)),"",INDEX('Compliance Database'!$M$2:$M$1960,MATCH(1630,'Transfer Engine'!$C$2:$C$1960,0)))</f>
        <v/>
      </c>
      <c r="N1639" s="9">
        <f>IF(ISNA(MATCH(1630,'Transfer Engine'!$C$2:$C$1960,0)),"",INDEX('Compliance Database'!$N$2:$N$1960,MATCH(1630,'Transfer Engine'!$C$2:$C$1960,0)))</f>
        <v/>
      </c>
      <c r="O1639" s="9">
        <f>IF(ISNA(MATCH(1630,'Transfer Engine'!$C$2:$C$1960,0)),"",INDEX('Compliance Database'!$O$2:$O$1960,MATCH(1630,'Transfer Engine'!$C$2:$C$1960,0)))</f>
        <v/>
      </c>
      <c r="P1639" s="8">
        <f>IF(ISNA(MATCH(1630,'Transfer Engine'!$C$2:$C$1960,0)),"",HYPERLINK("#Acts!A"&amp;INDEX('Compliance Database'!$P$2:$P$1960,MATCH(1630,'Transfer Engine'!$C$2:$C$1960,0)),"Go to Act"))</f>
        <v/>
      </c>
    </row>
    <row r="1640" ht="158" customHeight="1">
      <c r="A1640" s="8">
        <f>IF(ISNA(MATCH(1631,'Transfer Engine'!$C$2:$C$1960,0)),"",INDEX('Compliance Database'!$A$2:$A$1960,MATCH(1631,'Transfer Engine'!$C$2:$C$1960,0)))</f>
        <v/>
      </c>
      <c r="B1640" s="8">
        <f>IF(ISNA(MATCH(1631,'Transfer Engine'!$C$2:$C$1960,0)),"",INDEX('Compliance Database'!$B$2:$B$1960,MATCH(1631,'Transfer Engine'!$C$2:$C$1960,0)))</f>
        <v/>
      </c>
      <c r="C1640" s="8">
        <f>IF(ISNA(MATCH(1631,'Transfer Engine'!$C$2:$C$1960,0)),"",INDEX('Compliance Database'!$C$2:$C$1960,MATCH(1631,'Transfer Engine'!$C$2:$C$1960,0)))</f>
        <v/>
      </c>
      <c r="D1640" s="9">
        <f>IF(ISNA(MATCH(1631,'Transfer Engine'!$C$2:$C$1960,0)),"",INDEX('Compliance Database'!$D$2:$D$1960,MATCH(1631,'Transfer Engine'!$C$2:$C$1960,0)))</f>
        <v/>
      </c>
      <c r="E1640" s="8">
        <f>IF(ISNA(MATCH(1631,'Transfer Engine'!$C$2:$C$1960,0)),"",INDEX('Compliance Database'!$E$2:$E$1960,MATCH(1631,'Transfer Engine'!$C$2:$C$1960,0)))</f>
        <v/>
      </c>
      <c r="F1640" s="8">
        <f>IF(ISNA(MATCH(1631,'Transfer Engine'!$C$2:$C$1960,0)),"",INDEX('Compliance Database'!$F$2:$F$1960,MATCH(1631,'Transfer Engine'!$C$2:$C$1960,0)))</f>
        <v/>
      </c>
      <c r="G1640" s="8">
        <f>IF(ISNA(MATCH(1631,'Transfer Engine'!$C$2:$C$1960,0)),"",INDEX('Compliance Database'!$G$2:$G$1960,MATCH(1631,'Transfer Engine'!$C$2:$C$1960,0)))</f>
        <v/>
      </c>
      <c r="H1640" s="9">
        <f>IF(ISNA(MATCH(1631,'Transfer Engine'!$C$2:$C$1960,0)),"",INDEX('Compliance Database'!$H$2:$H$1960,MATCH(1631,'Transfer Engine'!$C$2:$C$1960,0)))</f>
        <v/>
      </c>
      <c r="I1640" s="9">
        <f>IF(ISNA(MATCH(1631,'Transfer Engine'!$C$2:$C$1960,0)),"",INDEX('Compliance Database'!$I$2:$I$1960,MATCH(1631,'Transfer Engine'!$C$2:$C$1960,0)))</f>
        <v/>
      </c>
      <c r="J1640" s="8">
        <f>IF(ISNA(MATCH(1631,'Transfer Engine'!$C$2:$C$1960,0)),"",INDEX('Compliance Database'!$J$2:$J$1960,MATCH(1631,'Transfer Engine'!$C$2:$C$1960,0)))</f>
        <v/>
      </c>
      <c r="K1640" s="9">
        <f>IF(ISNA(MATCH(1631,'Transfer Engine'!$C$2:$C$1960,0)),"",INDEX('Compliance Database'!$K$2:$K$1960,MATCH(1631,'Transfer Engine'!$C$2:$C$1960,0)))</f>
        <v/>
      </c>
      <c r="L1640" s="9">
        <f>IF(ISNA(MATCH(1631,'Transfer Engine'!$C$2:$C$1960,0)),"",INDEX('Compliance Database'!$L$2:$L$1960,MATCH(1631,'Transfer Engine'!$C$2:$C$1960,0)))</f>
        <v/>
      </c>
      <c r="M1640" s="9">
        <f>IF(ISNA(MATCH(1631,'Transfer Engine'!$C$2:$C$1960,0)),"",INDEX('Compliance Database'!$M$2:$M$1960,MATCH(1631,'Transfer Engine'!$C$2:$C$1960,0)))</f>
        <v/>
      </c>
      <c r="N1640" s="9">
        <f>IF(ISNA(MATCH(1631,'Transfer Engine'!$C$2:$C$1960,0)),"",INDEX('Compliance Database'!$N$2:$N$1960,MATCH(1631,'Transfer Engine'!$C$2:$C$1960,0)))</f>
        <v/>
      </c>
      <c r="O1640" s="9">
        <f>IF(ISNA(MATCH(1631,'Transfer Engine'!$C$2:$C$1960,0)),"",INDEX('Compliance Database'!$O$2:$O$1960,MATCH(1631,'Transfer Engine'!$C$2:$C$1960,0)))</f>
        <v/>
      </c>
      <c r="P1640" s="8">
        <f>IF(ISNA(MATCH(1631,'Transfer Engine'!$C$2:$C$1960,0)),"",HYPERLINK("#Acts!A"&amp;INDEX('Compliance Database'!$P$2:$P$1960,MATCH(1631,'Transfer Engine'!$C$2:$C$1960,0)),"Go to Act"))</f>
        <v/>
      </c>
    </row>
    <row r="1641" ht="158" customHeight="1">
      <c r="A1641" s="8">
        <f>IF(ISNA(MATCH(1632,'Transfer Engine'!$C$2:$C$1960,0)),"",INDEX('Compliance Database'!$A$2:$A$1960,MATCH(1632,'Transfer Engine'!$C$2:$C$1960,0)))</f>
        <v/>
      </c>
      <c r="B1641" s="8">
        <f>IF(ISNA(MATCH(1632,'Transfer Engine'!$C$2:$C$1960,0)),"",INDEX('Compliance Database'!$B$2:$B$1960,MATCH(1632,'Transfer Engine'!$C$2:$C$1960,0)))</f>
        <v/>
      </c>
      <c r="C1641" s="8">
        <f>IF(ISNA(MATCH(1632,'Transfer Engine'!$C$2:$C$1960,0)),"",INDEX('Compliance Database'!$C$2:$C$1960,MATCH(1632,'Transfer Engine'!$C$2:$C$1960,0)))</f>
        <v/>
      </c>
      <c r="D1641" s="9">
        <f>IF(ISNA(MATCH(1632,'Transfer Engine'!$C$2:$C$1960,0)),"",INDEX('Compliance Database'!$D$2:$D$1960,MATCH(1632,'Transfer Engine'!$C$2:$C$1960,0)))</f>
        <v/>
      </c>
      <c r="E1641" s="8">
        <f>IF(ISNA(MATCH(1632,'Transfer Engine'!$C$2:$C$1960,0)),"",INDEX('Compliance Database'!$E$2:$E$1960,MATCH(1632,'Transfer Engine'!$C$2:$C$1960,0)))</f>
        <v/>
      </c>
      <c r="F1641" s="8">
        <f>IF(ISNA(MATCH(1632,'Transfer Engine'!$C$2:$C$1960,0)),"",INDEX('Compliance Database'!$F$2:$F$1960,MATCH(1632,'Transfer Engine'!$C$2:$C$1960,0)))</f>
        <v/>
      </c>
      <c r="G1641" s="8">
        <f>IF(ISNA(MATCH(1632,'Transfer Engine'!$C$2:$C$1960,0)),"",INDEX('Compliance Database'!$G$2:$G$1960,MATCH(1632,'Transfer Engine'!$C$2:$C$1960,0)))</f>
        <v/>
      </c>
      <c r="H1641" s="9">
        <f>IF(ISNA(MATCH(1632,'Transfer Engine'!$C$2:$C$1960,0)),"",INDEX('Compliance Database'!$H$2:$H$1960,MATCH(1632,'Transfer Engine'!$C$2:$C$1960,0)))</f>
        <v/>
      </c>
      <c r="I1641" s="9">
        <f>IF(ISNA(MATCH(1632,'Transfer Engine'!$C$2:$C$1960,0)),"",INDEX('Compliance Database'!$I$2:$I$1960,MATCH(1632,'Transfer Engine'!$C$2:$C$1960,0)))</f>
        <v/>
      </c>
      <c r="J1641" s="8">
        <f>IF(ISNA(MATCH(1632,'Transfer Engine'!$C$2:$C$1960,0)),"",INDEX('Compliance Database'!$J$2:$J$1960,MATCH(1632,'Transfer Engine'!$C$2:$C$1960,0)))</f>
        <v/>
      </c>
      <c r="K1641" s="9">
        <f>IF(ISNA(MATCH(1632,'Transfer Engine'!$C$2:$C$1960,0)),"",INDEX('Compliance Database'!$K$2:$K$1960,MATCH(1632,'Transfer Engine'!$C$2:$C$1960,0)))</f>
        <v/>
      </c>
      <c r="L1641" s="9">
        <f>IF(ISNA(MATCH(1632,'Transfer Engine'!$C$2:$C$1960,0)),"",INDEX('Compliance Database'!$L$2:$L$1960,MATCH(1632,'Transfer Engine'!$C$2:$C$1960,0)))</f>
        <v/>
      </c>
      <c r="M1641" s="9">
        <f>IF(ISNA(MATCH(1632,'Transfer Engine'!$C$2:$C$1960,0)),"",INDEX('Compliance Database'!$M$2:$M$1960,MATCH(1632,'Transfer Engine'!$C$2:$C$1960,0)))</f>
        <v/>
      </c>
      <c r="N1641" s="9">
        <f>IF(ISNA(MATCH(1632,'Transfer Engine'!$C$2:$C$1960,0)),"",INDEX('Compliance Database'!$N$2:$N$1960,MATCH(1632,'Transfer Engine'!$C$2:$C$1960,0)))</f>
        <v/>
      </c>
      <c r="O1641" s="9">
        <f>IF(ISNA(MATCH(1632,'Transfer Engine'!$C$2:$C$1960,0)),"",INDEX('Compliance Database'!$O$2:$O$1960,MATCH(1632,'Transfer Engine'!$C$2:$C$1960,0)))</f>
        <v/>
      </c>
      <c r="P1641" s="8">
        <f>IF(ISNA(MATCH(1632,'Transfer Engine'!$C$2:$C$1960,0)),"",HYPERLINK("#Acts!A"&amp;INDEX('Compliance Database'!$P$2:$P$1960,MATCH(1632,'Transfer Engine'!$C$2:$C$1960,0)),"Go to Act"))</f>
        <v/>
      </c>
    </row>
    <row r="1642" ht="158" customHeight="1">
      <c r="A1642" s="8">
        <f>IF(ISNA(MATCH(1633,'Transfer Engine'!$C$2:$C$1960,0)),"",INDEX('Compliance Database'!$A$2:$A$1960,MATCH(1633,'Transfer Engine'!$C$2:$C$1960,0)))</f>
        <v/>
      </c>
      <c r="B1642" s="8">
        <f>IF(ISNA(MATCH(1633,'Transfer Engine'!$C$2:$C$1960,0)),"",INDEX('Compliance Database'!$B$2:$B$1960,MATCH(1633,'Transfer Engine'!$C$2:$C$1960,0)))</f>
        <v/>
      </c>
      <c r="C1642" s="8">
        <f>IF(ISNA(MATCH(1633,'Transfer Engine'!$C$2:$C$1960,0)),"",INDEX('Compliance Database'!$C$2:$C$1960,MATCH(1633,'Transfer Engine'!$C$2:$C$1960,0)))</f>
        <v/>
      </c>
      <c r="D1642" s="9">
        <f>IF(ISNA(MATCH(1633,'Transfer Engine'!$C$2:$C$1960,0)),"",INDEX('Compliance Database'!$D$2:$D$1960,MATCH(1633,'Transfer Engine'!$C$2:$C$1960,0)))</f>
        <v/>
      </c>
      <c r="E1642" s="8">
        <f>IF(ISNA(MATCH(1633,'Transfer Engine'!$C$2:$C$1960,0)),"",INDEX('Compliance Database'!$E$2:$E$1960,MATCH(1633,'Transfer Engine'!$C$2:$C$1960,0)))</f>
        <v/>
      </c>
      <c r="F1642" s="8">
        <f>IF(ISNA(MATCH(1633,'Transfer Engine'!$C$2:$C$1960,0)),"",INDEX('Compliance Database'!$F$2:$F$1960,MATCH(1633,'Transfer Engine'!$C$2:$C$1960,0)))</f>
        <v/>
      </c>
      <c r="G1642" s="8">
        <f>IF(ISNA(MATCH(1633,'Transfer Engine'!$C$2:$C$1960,0)),"",INDEX('Compliance Database'!$G$2:$G$1960,MATCH(1633,'Transfer Engine'!$C$2:$C$1960,0)))</f>
        <v/>
      </c>
      <c r="H1642" s="9">
        <f>IF(ISNA(MATCH(1633,'Transfer Engine'!$C$2:$C$1960,0)),"",INDEX('Compliance Database'!$H$2:$H$1960,MATCH(1633,'Transfer Engine'!$C$2:$C$1960,0)))</f>
        <v/>
      </c>
      <c r="I1642" s="9">
        <f>IF(ISNA(MATCH(1633,'Transfer Engine'!$C$2:$C$1960,0)),"",INDEX('Compliance Database'!$I$2:$I$1960,MATCH(1633,'Transfer Engine'!$C$2:$C$1960,0)))</f>
        <v/>
      </c>
      <c r="J1642" s="8">
        <f>IF(ISNA(MATCH(1633,'Transfer Engine'!$C$2:$C$1960,0)),"",INDEX('Compliance Database'!$J$2:$J$1960,MATCH(1633,'Transfer Engine'!$C$2:$C$1960,0)))</f>
        <v/>
      </c>
      <c r="K1642" s="9">
        <f>IF(ISNA(MATCH(1633,'Transfer Engine'!$C$2:$C$1960,0)),"",INDEX('Compliance Database'!$K$2:$K$1960,MATCH(1633,'Transfer Engine'!$C$2:$C$1960,0)))</f>
        <v/>
      </c>
      <c r="L1642" s="9">
        <f>IF(ISNA(MATCH(1633,'Transfer Engine'!$C$2:$C$1960,0)),"",INDEX('Compliance Database'!$L$2:$L$1960,MATCH(1633,'Transfer Engine'!$C$2:$C$1960,0)))</f>
        <v/>
      </c>
      <c r="M1642" s="9">
        <f>IF(ISNA(MATCH(1633,'Transfer Engine'!$C$2:$C$1960,0)),"",INDEX('Compliance Database'!$M$2:$M$1960,MATCH(1633,'Transfer Engine'!$C$2:$C$1960,0)))</f>
        <v/>
      </c>
      <c r="N1642" s="9">
        <f>IF(ISNA(MATCH(1633,'Transfer Engine'!$C$2:$C$1960,0)),"",INDEX('Compliance Database'!$N$2:$N$1960,MATCH(1633,'Transfer Engine'!$C$2:$C$1960,0)))</f>
        <v/>
      </c>
      <c r="O1642" s="9">
        <f>IF(ISNA(MATCH(1633,'Transfer Engine'!$C$2:$C$1960,0)),"",INDEX('Compliance Database'!$O$2:$O$1960,MATCH(1633,'Transfer Engine'!$C$2:$C$1960,0)))</f>
        <v/>
      </c>
      <c r="P1642" s="8">
        <f>IF(ISNA(MATCH(1633,'Transfer Engine'!$C$2:$C$1960,0)),"",HYPERLINK("#Acts!A"&amp;INDEX('Compliance Database'!$P$2:$P$1960,MATCH(1633,'Transfer Engine'!$C$2:$C$1960,0)),"Go to Act"))</f>
        <v/>
      </c>
    </row>
    <row r="1643" ht="158" customHeight="1">
      <c r="A1643" s="8">
        <f>IF(ISNA(MATCH(1634,'Transfer Engine'!$C$2:$C$1960,0)),"",INDEX('Compliance Database'!$A$2:$A$1960,MATCH(1634,'Transfer Engine'!$C$2:$C$1960,0)))</f>
        <v/>
      </c>
      <c r="B1643" s="8">
        <f>IF(ISNA(MATCH(1634,'Transfer Engine'!$C$2:$C$1960,0)),"",INDEX('Compliance Database'!$B$2:$B$1960,MATCH(1634,'Transfer Engine'!$C$2:$C$1960,0)))</f>
        <v/>
      </c>
      <c r="C1643" s="8">
        <f>IF(ISNA(MATCH(1634,'Transfer Engine'!$C$2:$C$1960,0)),"",INDEX('Compliance Database'!$C$2:$C$1960,MATCH(1634,'Transfer Engine'!$C$2:$C$1960,0)))</f>
        <v/>
      </c>
      <c r="D1643" s="9">
        <f>IF(ISNA(MATCH(1634,'Transfer Engine'!$C$2:$C$1960,0)),"",INDEX('Compliance Database'!$D$2:$D$1960,MATCH(1634,'Transfer Engine'!$C$2:$C$1960,0)))</f>
        <v/>
      </c>
      <c r="E1643" s="8">
        <f>IF(ISNA(MATCH(1634,'Transfer Engine'!$C$2:$C$1960,0)),"",INDEX('Compliance Database'!$E$2:$E$1960,MATCH(1634,'Transfer Engine'!$C$2:$C$1960,0)))</f>
        <v/>
      </c>
      <c r="F1643" s="8">
        <f>IF(ISNA(MATCH(1634,'Transfer Engine'!$C$2:$C$1960,0)),"",INDEX('Compliance Database'!$F$2:$F$1960,MATCH(1634,'Transfer Engine'!$C$2:$C$1960,0)))</f>
        <v/>
      </c>
      <c r="G1643" s="8">
        <f>IF(ISNA(MATCH(1634,'Transfer Engine'!$C$2:$C$1960,0)),"",INDEX('Compliance Database'!$G$2:$G$1960,MATCH(1634,'Transfer Engine'!$C$2:$C$1960,0)))</f>
        <v/>
      </c>
      <c r="H1643" s="9">
        <f>IF(ISNA(MATCH(1634,'Transfer Engine'!$C$2:$C$1960,0)),"",INDEX('Compliance Database'!$H$2:$H$1960,MATCH(1634,'Transfer Engine'!$C$2:$C$1960,0)))</f>
        <v/>
      </c>
      <c r="I1643" s="9">
        <f>IF(ISNA(MATCH(1634,'Transfer Engine'!$C$2:$C$1960,0)),"",INDEX('Compliance Database'!$I$2:$I$1960,MATCH(1634,'Transfer Engine'!$C$2:$C$1960,0)))</f>
        <v/>
      </c>
      <c r="J1643" s="8">
        <f>IF(ISNA(MATCH(1634,'Transfer Engine'!$C$2:$C$1960,0)),"",INDEX('Compliance Database'!$J$2:$J$1960,MATCH(1634,'Transfer Engine'!$C$2:$C$1960,0)))</f>
        <v/>
      </c>
      <c r="K1643" s="9">
        <f>IF(ISNA(MATCH(1634,'Transfer Engine'!$C$2:$C$1960,0)),"",INDEX('Compliance Database'!$K$2:$K$1960,MATCH(1634,'Transfer Engine'!$C$2:$C$1960,0)))</f>
        <v/>
      </c>
      <c r="L1643" s="9">
        <f>IF(ISNA(MATCH(1634,'Transfer Engine'!$C$2:$C$1960,0)),"",INDEX('Compliance Database'!$L$2:$L$1960,MATCH(1634,'Transfer Engine'!$C$2:$C$1960,0)))</f>
        <v/>
      </c>
      <c r="M1643" s="9">
        <f>IF(ISNA(MATCH(1634,'Transfer Engine'!$C$2:$C$1960,0)),"",INDEX('Compliance Database'!$M$2:$M$1960,MATCH(1634,'Transfer Engine'!$C$2:$C$1960,0)))</f>
        <v/>
      </c>
      <c r="N1643" s="9">
        <f>IF(ISNA(MATCH(1634,'Transfer Engine'!$C$2:$C$1960,0)),"",INDEX('Compliance Database'!$N$2:$N$1960,MATCH(1634,'Transfer Engine'!$C$2:$C$1960,0)))</f>
        <v/>
      </c>
      <c r="O1643" s="9">
        <f>IF(ISNA(MATCH(1634,'Transfer Engine'!$C$2:$C$1960,0)),"",INDEX('Compliance Database'!$O$2:$O$1960,MATCH(1634,'Transfer Engine'!$C$2:$C$1960,0)))</f>
        <v/>
      </c>
      <c r="P1643" s="8">
        <f>IF(ISNA(MATCH(1634,'Transfer Engine'!$C$2:$C$1960,0)),"",HYPERLINK("#Acts!A"&amp;INDEX('Compliance Database'!$P$2:$P$1960,MATCH(1634,'Transfer Engine'!$C$2:$C$1960,0)),"Go to Act"))</f>
        <v/>
      </c>
    </row>
    <row r="1644" ht="158" customHeight="1">
      <c r="A1644" s="8">
        <f>IF(ISNA(MATCH(1635,'Transfer Engine'!$C$2:$C$1960,0)),"",INDEX('Compliance Database'!$A$2:$A$1960,MATCH(1635,'Transfer Engine'!$C$2:$C$1960,0)))</f>
        <v/>
      </c>
      <c r="B1644" s="8">
        <f>IF(ISNA(MATCH(1635,'Transfer Engine'!$C$2:$C$1960,0)),"",INDEX('Compliance Database'!$B$2:$B$1960,MATCH(1635,'Transfer Engine'!$C$2:$C$1960,0)))</f>
        <v/>
      </c>
      <c r="C1644" s="8">
        <f>IF(ISNA(MATCH(1635,'Transfer Engine'!$C$2:$C$1960,0)),"",INDEX('Compliance Database'!$C$2:$C$1960,MATCH(1635,'Transfer Engine'!$C$2:$C$1960,0)))</f>
        <v/>
      </c>
      <c r="D1644" s="9">
        <f>IF(ISNA(MATCH(1635,'Transfer Engine'!$C$2:$C$1960,0)),"",INDEX('Compliance Database'!$D$2:$D$1960,MATCH(1635,'Transfer Engine'!$C$2:$C$1960,0)))</f>
        <v/>
      </c>
      <c r="E1644" s="8">
        <f>IF(ISNA(MATCH(1635,'Transfer Engine'!$C$2:$C$1960,0)),"",INDEX('Compliance Database'!$E$2:$E$1960,MATCH(1635,'Transfer Engine'!$C$2:$C$1960,0)))</f>
        <v/>
      </c>
      <c r="F1644" s="8">
        <f>IF(ISNA(MATCH(1635,'Transfer Engine'!$C$2:$C$1960,0)),"",INDEX('Compliance Database'!$F$2:$F$1960,MATCH(1635,'Transfer Engine'!$C$2:$C$1960,0)))</f>
        <v/>
      </c>
      <c r="G1644" s="8">
        <f>IF(ISNA(MATCH(1635,'Transfer Engine'!$C$2:$C$1960,0)),"",INDEX('Compliance Database'!$G$2:$G$1960,MATCH(1635,'Transfer Engine'!$C$2:$C$1960,0)))</f>
        <v/>
      </c>
      <c r="H1644" s="9">
        <f>IF(ISNA(MATCH(1635,'Transfer Engine'!$C$2:$C$1960,0)),"",INDEX('Compliance Database'!$H$2:$H$1960,MATCH(1635,'Transfer Engine'!$C$2:$C$1960,0)))</f>
        <v/>
      </c>
      <c r="I1644" s="9">
        <f>IF(ISNA(MATCH(1635,'Transfer Engine'!$C$2:$C$1960,0)),"",INDEX('Compliance Database'!$I$2:$I$1960,MATCH(1635,'Transfer Engine'!$C$2:$C$1960,0)))</f>
        <v/>
      </c>
      <c r="J1644" s="8">
        <f>IF(ISNA(MATCH(1635,'Transfer Engine'!$C$2:$C$1960,0)),"",INDEX('Compliance Database'!$J$2:$J$1960,MATCH(1635,'Transfer Engine'!$C$2:$C$1960,0)))</f>
        <v/>
      </c>
      <c r="K1644" s="9">
        <f>IF(ISNA(MATCH(1635,'Transfer Engine'!$C$2:$C$1960,0)),"",INDEX('Compliance Database'!$K$2:$K$1960,MATCH(1635,'Transfer Engine'!$C$2:$C$1960,0)))</f>
        <v/>
      </c>
      <c r="L1644" s="9">
        <f>IF(ISNA(MATCH(1635,'Transfer Engine'!$C$2:$C$1960,0)),"",INDEX('Compliance Database'!$L$2:$L$1960,MATCH(1635,'Transfer Engine'!$C$2:$C$1960,0)))</f>
        <v/>
      </c>
      <c r="M1644" s="9">
        <f>IF(ISNA(MATCH(1635,'Transfer Engine'!$C$2:$C$1960,0)),"",INDEX('Compliance Database'!$M$2:$M$1960,MATCH(1635,'Transfer Engine'!$C$2:$C$1960,0)))</f>
        <v/>
      </c>
      <c r="N1644" s="9">
        <f>IF(ISNA(MATCH(1635,'Transfer Engine'!$C$2:$C$1960,0)),"",INDEX('Compliance Database'!$N$2:$N$1960,MATCH(1635,'Transfer Engine'!$C$2:$C$1960,0)))</f>
        <v/>
      </c>
      <c r="O1644" s="9">
        <f>IF(ISNA(MATCH(1635,'Transfer Engine'!$C$2:$C$1960,0)),"",INDEX('Compliance Database'!$O$2:$O$1960,MATCH(1635,'Transfer Engine'!$C$2:$C$1960,0)))</f>
        <v/>
      </c>
      <c r="P1644" s="8">
        <f>IF(ISNA(MATCH(1635,'Transfer Engine'!$C$2:$C$1960,0)),"",HYPERLINK("#Acts!A"&amp;INDEX('Compliance Database'!$P$2:$P$1960,MATCH(1635,'Transfer Engine'!$C$2:$C$1960,0)),"Go to Act"))</f>
        <v/>
      </c>
    </row>
    <row r="1645" ht="158" customHeight="1">
      <c r="A1645" s="8">
        <f>IF(ISNA(MATCH(1636,'Transfer Engine'!$C$2:$C$1960,0)),"",INDEX('Compliance Database'!$A$2:$A$1960,MATCH(1636,'Transfer Engine'!$C$2:$C$1960,0)))</f>
        <v/>
      </c>
      <c r="B1645" s="8">
        <f>IF(ISNA(MATCH(1636,'Transfer Engine'!$C$2:$C$1960,0)),"",INDEX('Compliance Database'!$B$2:$B$1960,MATCH(1636,'Transfer Engine'!$C$2:$C$1960,0)))</f>
        <v/>
      </c>
      <c r="C1645" s="8">
        <f>IF(ISNA(MATCH(1636,'Transfer Engine'!$C$2:$C$1960,0)),"",INDEX('Compliance Database'!$C$2:$C$1960,MATCH(1636,'Transfer Engine'!$C$2:$C$1960,0)))</f>
        <v/>
      </c>
      <c r="D1645" s="9">
        <f>IF(ISNA(MATCH(1636,'Transfer Engine'!$C$2:$C$1960,0)),"",INDEX('Compliance Database'!$D$2:$D$1960,MATCH(1636,'Transfer Engine'!$C$2:$C$1960,0)))</f>
        <v/>
      </c>
      <c r="E1645" s="8">
        <f>IF(ISNA(MATCH(1636,'Transfer Engine'!$C$2:$C$1960,0)),"",INDEX('Compliance Database'!$E$2:$E$1960,MATCH(1636,'Transfer Engine'!$C$2:$C$1960,0)))</f>
        <v/>
      </c>
      <c r="F1645" s="8">
        <f>IF(ISNA(MATCH(1636,'Transfer Engine'!$C$2:$C$1960,0)),"",INDEX('Compliance Database'!$F$2:$F$1960,MATCH(1636,'Transfer Engine'!$C$2:$C$1960,0)))</f>
        <v/>
      </c>
      <c r="G1645" s="8">
        <f>IF(ISNA(MATCH(1636,'Transfer Engine'!$C$2:$C$1960,0)),"",INDEX('Compliance Database'!$G$2:$G$1960,MATCH(1636,'Transfer Engine'!$C$2:$C$1960,0)))</f>
        <v/>
      </c>
      <c r="H1645" s="9">
        <f>IF(ISNA(MATCH(1636,'Transfer Engine'!$C$2:$C$1960,0)),"",INDEX('Compliance Database'!$H$2:$H$1960,MATCH(1636,'Transfer Engine'!$C$2:$C$1960,0)))</f>
        <v/>
      </c>
      <c r="I1645" s="9">
        <f>IF(ISNA(MATCH(1636,'Transfer Engine'!$C$2:$C$1960,0)),"",INDEX('Compliance Database'!$I$2:$I$1960,MATCH(1636,'Transfer Engine'!$C$2:$C$1960,0)))</f>
        <v/>
      </c>
      <c r="J1645" s="8">
        <f>IF(ISNA(MATCH(1636,'Transfer Engine'!$C$2:$C$1960,0)),"",INDEX('Compliance Database'!$J$2:$J$1960,MATCH(1636,'Transfer Engine'!$C$2:$C$1960,0)))</f>
        <v/>
      </c>
      <c r="K1645" s="9">
        <f>IF(ISNA(MATCH(1636,'Transfer Engine'!$C$2:$C$1960,0)),"",INDEX('Compliance Database'!$K$2:$K$1960,MATCH(1636,'Transfer Engine'!$C$2:$C$1960,0)))</f>
        <v/>
      </c>
      <c r="L1645" s="9">
        <f>IF(ISNA(MATCH(1636,'Transfer Engine'!$C$2:$C$1960,0)),"",INDEX('Compliance Database'!$L$2:$L$1960,MATCH(1636,'Transfer Engine'!$C$2:$C$1960,0)))</f>
        <v/>
      </c>
      <c r="M1645" s="9">
        <f>IF(ISNA(MATCH(1636,'Transfer Engine'!$C$2:$C$1960,0)),"",INDEX('Compliance Database'!$M$2:$M$1960,MATCH(1636,'Transfer Engine'!$C$2:$C$1960,0)))</f>
        <v/>
      </c>
      <c r="N1645" s="9">
        <f>IF(ISNA(MATCH(1636,'Transfer Engine'!$C$2:$C$1960,0)),"",INDEX('Compliance Database'!$N$2:$N$1960,MATCH(1636,'Transfer Engine'!$C$2:$C$1960,0)))</f>
        <v/>
      </c>
      <c r="O1645" s="9">
        <f>IF(ISNA(MATCH(1636,'Transfer Engine'!$C$2:$C$1960,0)),"",INDEX('Compliance Database'!$O$2:$O$1960,MATCH(1636,'Transfer Engine'!$C$2:$C$1960,0)))</f>
        <v/>
      </c>
      <c r="P1645" s="8">
        <f>IF(ISNA(MATCH(1636,'Transfer Engine'!$C$2:$C$1960,0)),"",HYPERLINK("#Acts!A"&amp;INDEX('Compliance Database'!$P$2:$P$1960,MATCH(1636,'Transfer Engine'!$C$2:$C$1960,0)),"Go to Act"))</f>
        <v/>
      </c>
    </row>
    <row r="1646" ht="158" customHeight="1">
      <c r="A1646" s="8">
        <f>IF(ISNA(MATCH(1637,'Transfer Engine'!$C$2:$C$1960,0)),"",INDEX('Compliance Database'!$A$2:$A$1960,MATCH(1637,'Transfer Engine'!$C$2:$C$1960,0)))</f>
        <v/>
      </c>
      <c r="B1646" s="8">
        <f>IF(ISNA(MATCH(1637,'Transfer Engine'!$C$2:$C$1960,0)),"",INDEX('Compliance Database'!$B$2:$B$1960,MATCH(1637,'Transfer Engine'!$C$2:$C$1960,0)))</f>
        <v/>
      </c>
      <c r="C1646" s="8">
        <f>IF(ISNA(MATCH(1637,'Transfer Engine'!$C$2:$C$1960,0)),"",INDEX('Compliance Database'!$C$2:$C$1960,MATCH(1637,'Transfer Engine'!$C$2:$C$1960,0)))</f>
        <v/>
      </c>
      <c r="D1646" s="9">
        <f>IF(ISNA(MATCH(1637,'Transfer Engine'!$C$2:$C$1960,0)),"",INDEX('Compliance Database'!$D$2:$D$1960,MATCH(1637,'Transfer Engine'!$C$2:$C$1960,0)))</f>
        <v/>
      </c>
      <c r="E1646" s="8">
        <f>IF(ISNA(MATCH(1637,'Transfer Engine'!$C$2:$C$1960,0)),"",INDEX('Compliance Database'!$E$2:$E$1960,MATCH(1637,'Transfer Engine'!$C$2:$C$1960,0)))</f>
        <v/>
      </c>
      <c r="F1646" s="8">
        <f>IF(ISNA(MATCH(1637,'Transfer Engine'!$C$2:$C$1960,0)),"",INDEX('Compliance Database'!$F$2:$F$1960,MATCH(1637,'Transfer Engine'!$C$2:$C$1960,0)))</f>
        <v/>
      </c>
      <c r="G1646" s="8">
        <f>IF(ISNA(MATCH(1637,'Transfer Engine'!$C$2:$C$1960,0)),"",INDEX('Compliance Database'!$G$2:$G$1960,MATCH(1637,'Transfer Engine'!$C$2:$C$1960,0)))</f>
        <v/>
      </c>
      <c r="H1646" s="9">
        <f>IF(ISNA(MATCH(1637,'Transfer Engine'!$C$2:$C$1960,0)),"",INDEX('Compliance Database'!$H$2:$H$1960,MATCH(1637,'Transfer Engine'!$C$2:$C$1960,0)))</f>
        <v/>
      </c>
      <c r="I1646" s="9">
        <f>IF(ISNA(MATCH(1637,'Transfer Engine'!$C$2:$C$1960,0)),"",INDEX('Compliance Database'!$I$2:$I$1960,MATCH(1637,'Transfer Engine'!$C$2:$C$1960,0)))</f>
        <v/>
      </c>
      <c r="J1646" s="8">
        <f>IF(ISNA(MATCH(1637,'Transfer Engine'!$C$2:$C$1960,0)),"",INDEX('Compliance Database'!$J$2:$J$1960,MATCH(1637,'Transfer Engine'!$C$2:$C$1960,0)))</f>
        <v/>
      </c>
      <c r="K1646" s="9">
        <f>IF(ISNA(MATCH(1637,'Transfer Engine'!$C$2:$C$1960,0)),"",INDEX('Compliance Database'!$K$2:$K$1960,MATCH(1637,'Transfer Engine'!$C$2:$C$1960,0)))</f>
        <v/>
      </c>
      <c r="L1646" s="9">
        <f>IF(ISNA(MATCH(1637,'Transfer Engine'!$C$2:$C$1960,0)),"",INDEX('Compliance Database'!$L$2:$L$1960,MATCH(1637,'Transfer Engine'!$C$2:$C$1960,0)))</f>
        <v/>
      </c>
      <c r="M1646" s="9">
        <f>IF(ISNA(MATCH(1637,'Transfer Engine'!$C$2:$C$1960,0)),"",INDEX('Compliance Database'!$M$2:$M$1960,MATCH(1637,'Transfer Engine'!$C$2:$C$1960,0)))</f>
        <v/>
      </c>
      <c r="N1646" s="9">
        <f>IF(ISNA(MATCH(1637,'Transfer Engine'!$C$2:$C$1960,0)),"",INDEX('Compliance Database'!$N$2:$N$1960,MATCH(1637,'Transfer Engine'!$C$2:$C$1960,0)))</f>
        <v/>
      </c>
      <c r="O1646" s="9">
        <f>IF(ISNA(MATCH(1637,'Transfer Engine'!$C$2:$C$1960,0)),"",INDEX('Compliance Database'!$O$2:$O$1960,MATCH(1637,'Transfer Engine'!$C$2:$C$1960,0)))</f>
        <v/>
      </c>
      <c r="P1646" s="8">
        <f>IF(ISNA(MATCH(1637,'Transfer Engine'!$C$2:$C$1960,0)),"",HYPERLINK("#Acts!A"&amp;INDEX('Compliance Database'!$P$2:$P$1960,MATCH(1637,'Transfer Engine'!$C$2:$C$1960,0)),"Go to Act"))</f>
        <v/>
      </c>
    </row>
    <row r="1647" ht="158" customHeight="1">
      <c r="A1647" s="8">
        <f>IF(ISNA(MATCH(1638,'Transfer Engine'!$C$2:$C$1960,0)),"",INDEX('Compliance Database'!$A$2:$A$1960,MATCH(1638,'Transfer Engine'!$C$2:$C$1960,0)))</f>
        <v/>
      </c>
      <c r="B1647" s="8">
        <f>IF(ISNA(MATCH(1638,'Transfer Engine'!$C$2:$C$1960,0)),"",INDEX('Compliance Database'!$B$2:$B$1960,MATCH(1638,'Transfer Engine'!$C$2:$C$1960,0)))</f>
        <v/>
      </c>
      <c r="C1647" s="8">
        <f>IF(ISNA(MATCH(1638,'Transfer Engine'!$C$2:$C$1960,0)),"",INDEX('Compliance Database'!$C$2:$C$1960,MATCH(1638,'Transfer Engine'!$C$2:$C$1960,0)))</f>
        <v/>
      </c>
      <c r="D1647" s="9">
        <f>IF(ISNA(MATCH(1638,'Transfer Engine'!$C$2:$C$1960,0)),"",INDEX('Compliance Database'!$D$2:$D$1960,MATCH(1638,'Transfer Engine'!$C$2:$C$1960,0)))</f>
        <v/>
      </c>
      <c r="E1647" s="8">
        <f>IF(ISNA(MATCH(1638,'Transfer Engine'!$C$2:$C$1960,0)),"",INDEX('Compliance Database'!$E$2:$E$1960,MATCH(1638,'Transfer Engine'!$C$2:$C$1960,0)))</f>
        <v/>
      </c>
      <c r="F1647" s="8">
        <f>IF(ISNA(MATCH(1638,'Transfer Engine'!$C$2:$C$1960,0)),"",INDEX('Compliance Database'!$F$2:$F$1960,MATCH(1638,'Transfer Engine'!$C$2:$C$1960,0)))</f>
        <v/>
      </c>
      <c r="G1647" s="8">
        <f>IF(ISNA(MATCH(1638,'Transfer Engine'!$C$2:$C$1960,0)),"",INDEX('Compliance Database'!$G$2:$G$1960,MATCH(1638,'Transfer Engine'!$C$2:$C$1960,0)))</f>
        <v/>
      </c>
      <c r="H1647" s="9">
        <f>IF(ISNA(MATCH(1638,'Transfer Engine'!$C$2:$C$1960,0)),"",INDEX('Compliance Database'!$H$2:$H$1960,MATCH(1638,'Transfer Engine'!$C$2:$C$1960,0)))</f>
        <v/>
      </c>
      <c r="I1647" s="9">
        <f>IF(ISNA(MATCH(1638,'Transfer Engine'!$C$2:$C$1960,0)),"",INDEX('Compliance Database'!$I$2:$I$1960,MATCH(1638,'Transfer Engine'!$C$2:$C$1960,0)))</f>
        <v/>
      </c>
      <c r="J1647" s="8">
        <f>IF(ISNA(MATCH(1638,'Transfer Engine'!$C$2:$C$1960,0)),"",INDEX('Compliance Database'!$J$2:$J$1960,MATCH(1638,'Transfer Engine'!$C$2:$C$1960,0)))</f>
        <v/>
      </c>
      <c r="K1647" s="9">
        <f>IF(ISNA(MATCH(1638,'Transfer Engine'!$C$2:$C$1960,0)),"",INDEX('Compliance Database'!$K$2:$K$1960,MATCH(1638,'Transfer Engine'!$C$2:$C$1960,0)))</f>
        <v/>
      </c>
      <c r="L1647" s="9">
        <f>IF(ISNA(MATCH(1638,'Transfer Engine'!$C$2:$C$1960,0)),"",INDEX('Compliance Database'!$L$2:$L$1960,MATCH(1638,'Transfer Engine'!$C$2:$C$1960,0)))</f>
        <v/>
      </c>
      <c r="M1647" s="9">
        <f>IF(ISNA(MATCH(1638,'Transfer Engine'!$C$2:$C$1960,0)),"",INDEX('Compliance Database'!$M$2:$M$1960,MATCH(1638,'Transfer Engine'!$C$2:$C$1960,0)))</f>
        <v/>
      </c>
      <c r="N1647" s="9">
        <f>IF(ISNA(MATCH(1638,'Transfer Engine'!$C$2:$C$1960,0)),"",INDEX('Compliance Database'!$N$2:$N$1960,MATCH(1638,'Transfer Engine'!$C$2:$C$1960,0)))</f>
        <v/>
      </c>
      <c r="O1647" s="9">
        <f>IF(ISNA(MATCH(1638,'Transfer Engine'!$C$2:$C$1960,0)),"",INDEX('Compliance Database'!$O$2:$O$1960,MATCH(1638,'Transfer Engine'!$C$2:$C$1960,0)))</f>
        <v/>
      </c>
      <c r="P1647" s="8">
        <f>IF(ISNA(MATCH(1638,'Transfer Engine'!$C$2:$C$1960,0)),"",HYPERLINK("#Acts!A"&amp;INDEX('Compliance Database'!$P$2:$P$1960,MATCH(1638,'Transfer Engine'!$C$2:$C$1960,0)),"Go to Act"))</f>
        <v/>
      </c>
    </row>
    <row r="1648" ht="158" customHeight="1">
      <c r="A1648" s="8">
        <f>IF(ISNA(MATCH(1639,'Transfer Engine'!$C$2:$C$1960,0)),"",INDEX('Compliance Database'!$A$2:$A$1960,MATCH(1639,'Transfer Engine'!$C$2:$C$1960,0)))</f>
        <v/>
      </c>
      <c r="B1648" s="8">
        <f>IF(ISNA(MATCH(1639,'Transfer Engine'!$C$2:$C$1960,0)),"",INDEX('Compliance Database'!$B$2:$B$1960,MATCH(1639,'Transfer Engine'!$C$2:$C$1960,0)))</f>
        <v/>
      </c>
      <c r="C1648" s="8">
        <f>IF(ISNA(MATCH(1639,'Transfer Engine'!$C$2:$C$1960,0)),"",INDEX('Compliance Database'!$C$2:$C$1960,MATCH(1639,'Transfer Engine'!$C$2:$C$1960,0)))</f>
        <v/>
      </c>
      <c r="D1648" s="9">
        <f>IF(ISNA(MATCH(1639,'Transfer Engine'!$C$2:$C$1960,0)),"",INDEX('Compliance Database'!$D$2:$D$1960,MATCH(1639,'Transfer Engine'!$C$2:$C$1960,0)))</f>
        <v/>
      </c>
      <c r="E1648" s="8">
        <f>IF(ISNA(MATCH(1639,'Transfer Engine'!$C$2:$C$1960,0)),"",INDEX('Compliance Database'!$E$2:$E$1960,MATCH(1639,'Transfer Engine'!$C$2:$C$1960,0)))</f>
        <v/>
      </c>
      <c r="F1648" s="8">
        <f>IF(ISNA(MATCH(1639,'Transfer Engine'!$C$2:$C$1960,0)),"",INDEX('Compliance Database'!$F$2:$F$1960,MATCH(1639,'Transfer Engine'!$C$2:$C$1960,0)))</f>
        <v/>
      </c>
      <c r="G1648" s="8">
        <f>IF(ISNA(MATCH(1639,'Transfer Engine'!$C$2:$C$1960,0)),"",INDEX('Compliance Database'!$G$2:$G$1960,MATCH(1639,'Transfer Engine'!$C$2:$C$1960,0)))</f>
        <v/>
      </c>
      <c r="H1648" s="9">
        <f>IF(ISNA(MATCH(1639,'Transfer Engine'!$C$2:$C$1960,0)),"",INDEX('Compliance Database'!$H$2:$H$1960,MATCH(1639,'Transfer Engine'!$C$2:$C$1960,0)))</f>
        <v/>
      </c>
      <c r="I1648" s="9">
        <f>IF(ISNA(MATCH(1639,'Transfer Engine'!$C$2:$C$1960,0)),"",INDEX('Compliance Database'!$I$2:$I$1960,MATCH(1639,'Transfer Engine'!$C$2:$C$1960,0)))</f>
        <v/>
      </c>
      <c r="J1648" s="8">
        <f>IF(ISNA(MATCH(1639,'Transfer Engine'!$C$2:$C$1960,0)),"",INDEX('Compliance Database'!$J$2:$J$1960,MATCH(1639,'Transfer Engine'!$C$2:$C$1960,0)))</f>
        <v/>
      </c>
      <c r="K1648" s="9">
        <f>IF(ISNA(MATCH(1639,'Transfer Engine'!$C$2:$C$1960,0)),"",INDEX('Compliance Database'!$K$2:$K$1960,MATCH(1639,'Transfer Engine'!$C$2:$C$1960,0)))</f>
        <v/>
      </c>
      <c r="L1648" s="9">
        <f>IF(ISNA(MATCH(1639,'Transfer Engine'!$C$2:$C$1960,0)),"",INDEX('Compliance Database'!$L$2:$L$1960,MATCH(1639,'Transfer Engine'!$C$2:$C$1960,0)))</f>
        <v/>
      </c>
      <c r="M1648" s="9">
        <f>IF(ISNA(MATCH(1639,'Transfer Engine'!$C$2:$C$1960,0)),"",INDEX('Compliance Database'!$M$2:$M$1960,MATCH(1639,'Transfer Engine'!$C$2:$C$1960,0)))</f>
        <v/>
      </c>
      <c r="N1648" s="9">
        <f>IF(ISNA(MATCH(1639,'Transfer Engine'!$C$2:$C$1960,0)),"",INDEX('Compliance Database'!$N$2:$N$1960,MATCH(1639,'Transfer Engine'!$C$2:$C$1960,0)))</f>
        <v/>
      </c>
      <c r="O1648" s="9">
        <f>IF(ISNA(MATCH(1639,'Transfer Engine'!$C$2:$C$1960,0)),"",INDEX('Compliance Database'!$O$2:$O$1960,MATCH(1639,'Transfer Engine'!$C$2:$C$1960,0)))</f>
        <v/>
      </c>
      <c r="P1648" s="8">
        <f>IF(ISNA(MATCH(1639,'Transfer Engine'!$C$2:$C$1960,0)),"",HYPERLINK("#Acts!A"&amp;INDEX('Compliance Database'!$P$2:$P$1960,MATCH(1639,'Transfer Engine'!$C$2:$C$1960,0)),"Go to Act"))</f>
        <v/>
      </c>
    </row>
    <row r="1649" ht="158" customHeight="1">
      <c r="A1649" s="8">
        <f>IF(ISNA(MATCH(1640,'Transfer Engine'!$C$2:$C$1960,0)),"",INDEX('Compliance Database'!$A$2:$A$1960,MATCH(1640,'Transfer Engine'!$C$2:$C$1960,0)))</f>
        <v/>
      </c>
      <c r="B1649" s="8">
        <f>IF(ISNA(MATCH(1640,'Transfer Engine'!$C$2:$C$1960,0)),"",INDEX('Compliance Database'!$B$2:$B$1960,MATCH(1640,'Transfer Engine'!$C$2:$C$1960,0)))</f>
        <v/>
      </c>
      <c r="C1649" s="8">
        <f>IF(ISNA(MATCH(1640,'Transfer Engine'!$C$2:$C$1960,0)),"",INDEX('Compliance Database'!$C$2:$C$1960,MATCH(1640,'Transfer Engine'!$C$2:$C$1960,0)))</f>
        <v/>
      </c>
      <c r="D1649" s="9">
        <f>IF(ISNA(MATCH(1640,'Transfer Engine'!$C$2:$C$1960,0)),"",INDEX('Compliance Database'!$D$2:$D$1960,MATCH(1640,'Transfer Engine'!$C$2:$C$1960,0)))</f>
        <v/>
      </c>
      <c r="E1649" s="8">
        <f>IF(ISNA(MATCH(1640,'Transfer Engine'!$C$2:$C$1960,0)),"",INDEX('Compliance Database'!$E$2:$E$1960,MATCH(1640,'Transfer Engine'!$C$2:$C$1960,0)))</f>
        <v/>
      </c>
      <c r="F1649" s="8">
        <f>IF(ISNA(MATCH(1640,'Transfer Engine'!$C$2:$C$1960,0)),"",INDEX('Compliance Database'!$F$2:$F$1960,MATCH(1640,'Transfer Engine'!$C$2:$C$1960,0)))</f>
        <v/>
      </c>
      <c r="G1649" s="8">
        <f>IF(ISNA(MATCH(1640,'Transfer Engine'!$C$2:$C$1960,0)),"",INDEX('Compliance Database'!$G$2:$G$1960,MATCH(1640,'Transfer Engine'!$C$2:$C$1960,0)))</f>
        <v/>
      </c>
      <c r="H1649" s="9">
        <f>IF(ISNA(MATCH(1640,'Transfer Engine'!$C$2:$C$1960,0)),"",INDEX('Compliance Database'!$H$2:$H$1960,MATCH(1640,'Transfer Engine'!$C$2:$C$1960,0)))</f>
        <v/>
      </c>
      <c r="I1649" s="9">
        <f>IF(ISNA(MATCH(1640,'Transfer Engine'!$C$2:$C$1960,0)),"",INDEX('Compliance Database'!$I$2:$I$1960,MATCH(1640,'Transfer Engine'!$C$2:$C$1960,0)))</f>
        <v/>
      </c>
      <c r="J1649" s="8">
        <f>IF(ISNA(MATCH(1640,'Transfer Engine'!$C$2:$C$1960,0)),"",INDEX('Compliance Database'!$J$2:$J$1960,MATCH(1640,'Transfer Engine'!$C$2:$C$1960,0)))</f>
        <v/>
      </c>
      <c r="K1649" s="9">
        <f>IF(ISNA(MATCH(1640,'Transfer Engine'!$C$2:$C$1960,0)),"",INDEX('Compliance Database'!$K$2:$K$1960,MATCH(1640,'Transfer Engine'!$C$2:$C$1960,0)))</f>
        <v/>
      </c>
      <c r="L1649" s="9">
        <f>IF(ISNA(MATCH(1640,'Transfer Engine'!$C$2:$C$1960,0)),"",INDEX('Compliance Database'!$L$2:$L$1960,MATCH(1640,'Transfer Engine'!$C$2:$C$1960,0)))</f>
        <v/>
      </c>
      <c r="M1649" s="9">
        <f>IF(ISNA(MATCH(1640,'Transfer Engine'!$C$2:$C$1960,0)),"",INDEX('Compliance Database'!$M$2:$M$1960,MATCH(1640,'Transfer Engine'!$C$2:$C$1960,0)))</f>
        <v/>
      </c>
      <c r="N1649" s="9">
        <f>IF(ISNA(MATCH(1640,'Transfer Engine'!$C$2:$C$1960,0)),"",INDEX('Compliance Database'!$N$2:$N$1960,MATCH(1640,'Transfer Engine'!$C$2:$C$1960,0)))</f>
        <v/>
      </c>
      <c r="O1649" s="9">
        <f>IF(ISNA(MATCH(1640,'Transfer Engine'!$C$2:$C$1960,0)),"",INDEX('Compliance Database'!$O$2:$O$1960,MATCH(1640,'Transfer Engine'!$C$2:$C$1960,0)))</f>
        <v/>
      </c>
      <c r="P1649" s="8">
        <f>IF(ISNA(MATCH(1640,'Transfer Engine'!$C$2:$C$1960,0)),"",HYPERLINK("#Acts!A"&amp;INDEX('Compliance Database'!$P$2:$P$1960,MATCH(1640,'Transfer Engine'!$C$2:$C$1960,0)),"Go to Act"))</f>
        <v/>
      </c>
    </row>
    <row r="1650" ht="158" customHeight="1">
      <c r="A1650" s="8">
        <f>IF(ISNA(MATCH(1641,'Transfer Engine'!$C$2:$C$1960,0)),"",INDEX('Compliance Database'!$A$2:$A$1960,MATCH(1641,'Transfer Engine'!$C$2:$C$1960,0)))</f>
        <v/>
      </c>
      <c r="B1650" s="8">
        <f>IF(ISNA(MATCH(1641,'Transfer Engine'!$C$2:$C$1960,0)),"",INDEX('Compliance Database'!$B$2:$B$1960,MATCH(1641,'Transfer Engine'!$C$2:$C$1960,0)))</f>
        <v/>
      </c>
      <c r="C1650" s="8">
        <f>IF(ISNA(MATCH(1641,'Transfer Engine'!$C$2:$C$1960,0)),"",INDEX('Compliance Database'!$C$2:$C$1960,MATCH(1641,'Transfer Engine'!$C$2:$C$1960,0)))</f>
        <v/>
      </c>
      <c r="D1650" s="9">
        <f>IF(ISNA(MATCH(1641,'Transfer Engine'!$C$2:$C$1960,0)),"",INDEX('Compliance Database'!$D$2:$D$1960,MATCH(1641,'Transfer Engine'!$C$2:$C$1960,0)))</f>
        <v/>
      </c>
      <c r="E1650" s="8">
        <f>IF(ISNA(MATCH(1641,'Transfer Engine'!$C$2:$C$1960,0)),"",INDEX('Compliance Database'!$E$2:$E$1960,MATCH(1641,'Transfer Engine'!$C$2:$C$1960,0)))</f>
        <v/>
      </c>
      <c r="F1650" s="8">
        <f>IF(ISNA(MATCH(1641,'Transfer Engine'!$C$2:$C$1960,0)),"",INDEX('Compliance Database'!$F$2:$F$1960,MATCH(1641,'Transfer Engine'!$C$2:$C$1960,0)))</f>
        <v/>
      </c>
      <c r="G1650" s="8">
        <f>IF(ISNA(MATCH(1641,'Transfer Engine'!$C$2:$C$1960,0)),"",INDEX('Compliance Database'!$G$2:$G$1960,MATCH(1641,'Transfer Engine'!$C$2:$C$1960,0)))</f>
        <v/>
      </c>
      <c r="H1650" s="9">
        <f>IF(ISNA(MATCH(1641,'Transfer Engine'!$C$2:$C$1960,0)),"",INDEX('Compliance Database'!$H$2:$H$1960,MATCH(1641,'Transfer Engine'!$C$2:$C$1960,0)))</f>
        <v/>
      </c>
      <c r="I1650" s="9">
        <f>IF(ISNA(MATCH(1641,'Transfer Engine'!$C$2:$C$1960,0)),"",INDEX('Compliance Database'!$I$2:$I$1960,MATCH(1641,'Transfer Engine'!$C$2:$C$1960,0)))</f>
        <v/>
      </c>
      <c r="J1650" s="8">
        <f>IF(ISNA(MATCH(1641,'Transfer Engine'!$C$2:$C$1960,0)),"",INDEX('Compliance Database'!$J$2:$J$1960,MATCH(1641,'Transfer Engine'!$C$2:$C$1960,0)))</f>
        <v/>
      </c>
      <c r="K1650" s="9">
        <f>IF(ISNA(MATCH(1641,'Transfer Engine'!$C$2:$C$1960,0)),"",INDEX('Compliance Database'!$K$2:$K$1960,MATCH(1641,'Transfer Engine'!$C$2:$C$1960,0)))</f>
        <v/>
      </c>
      <c r="L1650" s="9">
        <f>IF(ISNA(MATCH(1641,'Transfer Engine'!$C$2:$C$1960,0)),"",INDEX('Compliance Database'!$L$2:$L$1960,MATCH(1641,'Transfer Engine'!$C$2:$C$1960,0)))</f>
        <v/>
      </c>
      <c r="M1650" s="9">
        <f>IF(ISNA(MATCH(1641,'Transfer Engine'!$C$2:$C$1960,0)),"",INDEX('Compliance Database'!$M$2:$M$1960,MATCH(1641,'Transfer Engine'!$C$2:$C$1960,0)))</f>
        <v/>
      </c>
      <c r="N1650" s="9">
        <f>IF(ISNA(MATCH(1641,'Transfer Engine'!$C$2:$C$1960,0)),"",INDEX('Compliance Database'!$N$2:$N$1960,MATCH(1641,'Transfer Engine'!$C$2:$C$1960,0)))</f>
        <v/>
      </c>
      <c r="O1650" s="9">
        <f>IF(ISNA(MATCH(1641,'Transfer Engine'!$C$2:$C$1960,0)),"",INDEX('Compliance Database'!$O$2:$O$1960,MATCH(1641,'Transfer Engine'!$C$2:$C$1960,0)))</f>
        <v/>
      </c>
      <c r="P1650" s="8">
        <f>IF(ISNA(MATCH(1641,'Transfer Engine'!$C$2:$C$1960,0)),"",HYPERLINK("#Acts!A"&amp;INDEX('Compliance Database'!$P$2:$P$1960,MATCH(1641,'Transfer Engine'!$C$2:$C$1960,0)),"Go to Act"))</f>
        <v/>
      </c>
    </row>
    <row r="1651" ht="158" customHeight="1">
      <c r="A1651" s="8">
        <f>IF(ISNA(MATCH(1642,'Transfer Engine'!$C$2:$C$1960,0)),"",INDEX('Compliance Database'!$A$2:$A$1960,MATCH(1642,'Transfer Engine'!$C$2:$C$1960,0)))</f>
        <v/>
      </c>
      <c r="B1651" s="8">
        <f>IF(ISNA(MATCH(1642,'Transfer Engine'!$C$2:$C$1960,0)),"",INDEX('Compliance Database'!$B$2:$B$1960,MATCH(1642,'Transfer Engine'!$C$2:$C$1960,0)))</f>
        <v/>
      </c>
      <c r="C1651" s="8">
        <f>IF(ISNA(MATCH(1642,'Transfer Engine'!$C$2:$C$1960,0)),"",INDEX('Compliance Database'!$C$2:$C$1960,MATCH(1642,'Transfer Engine'!$C$2:$C$1960,0)))</f>
        <v/>
      </c>
      <c r="D1651" s="9">
        <f>IF(ISNA(MATCH(1642,'Transfer Engine'!$C$2:$C$1960,0)),"",INDEX('Compliance Database'!$D$2:$D$1960,MATCH(1642,'Transfer Engine'!$C$2:$C$1960,0)))</f>
        <v/>
      </c>
      <c r="E1651" s="8">
        <f>IF(ISNA(MATCH(1642,'Transfer Engine'!$C$2:$C$1960,0)),"",INDEX('Compliance Database'!$E$2:$E$1960,MATCH(1642,'Transfer Engine'!$C$2:$C$1960,0)))</f>
        <v/>
      </c>
      <c r="F1651" s="8">
        <f>IF(ISNA(MATCH(1642,'Transfer Engine'!$C$2:$C$1960,0)),"",INDEX('Compliance Database'!$F$2:$F$1960,MATCH(1642,'Transfer Engine'!$C$2:$C$1960,0)))</f>
        <v/>
      </c>
      <c r="G1651" s="8">
        <f>IF(ISNA(MATCH(1642,'Transfer Engine'!$C$2:$C$1960,0)),"",INDEX('Compliance Database'!$G$2:$G$1960,MATCH(1642,'Transfer Engine'!$C$2:$C$1960,0)))</f>
        <v/>
      </c>
      <c r="H1651" s="9">
        <f>IF(ISNA(MATCH(1642,'Transfer Engine'!$C$2:$C$1960,0)),"",INDEX('Compliance Database'!$H$2:$H$1960,MATCH(1642,'Transfer Engine'!$C$2:$C$1960,0)))</f>
        <v/>
      </c>
      <c r="I1651" s="9">
        <f>IF(ISNA(MATCH(1642,'Transfer Engine'!$C$2:$C$1960,0)),"",INDEX('Compliance Database'!$I$2:$I$1960,MATCH(1642,'Transfer Engine'!$C$2:$C$1960,0)))</f>
        <v/>
      </c>
      <c r="J1651" s="8">
        <f>IF(ISNA(MATCH(1642,'Transfer Engine'!$C$2:$C$1960,0)),"",INDEX('Compliance Database'!$J$2:$J$1960,MATCH(1642,'Transfer Engine'!$C$2:$C$1960,0)))</f>
        <v/>
      </c>
      <c r="K1651" s="9">
        <f>IF(ISNA(MATCH(1642,'Transfer Engine'!$C$2:$C$1960,0)),"",INDEX('Compliance Database'!$K$2:$K$1960,MATCH(1642,'Transfer Engine'!$C$2:$C$1960,0)))</f>
        <v/>
      </c>
      <c r="L1651" s="9">
        <f>IF(ISNA(MATCH(1642,'Transfer Engine'!$C$2:$C$1960,0)),"",INDEX('Compliance Database'!$L$2:$L$1960,MATCH(1642,'Transfer Engine'!$C$2:$C$1960,0)))</f>
        <v/>
      </c>
      <c r="M1651" s="9">
        <f>IF(ISNA(MATCH(1642,'Transfer Engine'!$C$2:$C$1960,0)),"",INDEX('Compliance Database'!$M$2:$M$1960,MATCH(1642,'Transfer Engine'!$C$2:$C$1960,0)))</f>
        <v/>
      </c>
      <c r="N1651" s="9">
        <f>IF(ISNA(MATCH(1642,'Transfer Engine'!$C$2:$C$1960,0)),"",INDEX('Compliance Database'!$N$2:$N$1960,MATCH(1642,'Transfer Engine'!$C$2:$C$1960,0)))</f>
        <v/>
      </c>
      <c r="O1651" s="9">
        <f>IF(ISNA(MATCH(1642,'Transfer Engine'!$C$2:$C$1960,0)),"",INDEX('Compliance Database'!$O$2:$O$1960,MATCH(1642,'Transfer Engine'!$C$2:$C$1960,0)))</f>
        <v/>
      </c>
      <c r="P1651" s="8">
        <f>IF(ISNA(MATCH(1642,'Transfer Engine'!$C$2:$C$1960,0)),"",HYPERLINK("#Acts!A"&amp;INDEX('Compliance Database'!$P$2:$P$1960,MATCH(1642,'Transfer Engine'!$C$2:$C$1960,0)),"Go to Act"))</f>
        <v/>
      </c>
    </row>
    <row r="1652" ht="158" customHeight="1">
      <c r="A1652" s="8">
        <f>IF(ISNA(MATCH(1643,'Transfer Engine'!$C$2:$C$1960,0)),"",INDEX('Compliance Database'!$A$2:$A$1960,MATCH(1643,'Transfer Engine'!$C$2:$C$1960,0)))</f>
        <v/>
      </c>
      <c r="B1652" s="8">
        <f>IF(ISNA(MATCH(1643,'Transfer Engine'!$C$2:$C$1960,0)),"",INDEX('Compliance Database'!$B$2:$B$1960,MATCH(1643,'Transfer Engine'!$C$2:$C$1960,0)))</f>
        <v/>
      </c>
      <c r="C1652" s="8">
        <f>IF(ISNA(MATCH(1643,'Transfer Engine'!$C$2:$C$1960,0)),"",INDEX('Compliance Database'!$C$2:$C$1960,MATCH(1643,'Transfer Engine'!$C$2:$C$1960,0)))</f>
        <v/>
      </c>
      <c r="D1652" s="9">
        <f>IF(ISNA(MATCH(1643,'Transfer Engine'!$C$2:$C$1960,0)),"",INDEX('Compliance Database'!$D$2:$D$1960,MATCH(1643,'Transfer Engine'!$C$2:$C$1960,0)))</f>
        <v/>
      </c>
      <c r="E1652" s="8">
        <f>IF(ISNA(MATCH(1643,'Transfer Engine'!$C$2:$C$1960,0)),"",INDEX('Compliance Database'!$E$2:$E$1960,MATCH(1643,'Transfer Engine'!$C$2:$C$1960,0)))</f>
        <v/>
      </c>
      <c r="F1652" s="8">
        <f>IF(ISNA(MATCH(1643,'Transfer Engine'!$C$2:$C$1960,0)),"",INDEX('Compliance Database'!$F$2:$F$1960,MATCH(1643,'Transfer Engine'!$C$2:$C$1960,0)))</f>
        <v/>
      </c>
      <c r="G1652" s="8">
        <f>IF(ISNA(MATCH(1643,'Transfer Engine'!$C$2:$C$1960,0)),"",INDEX('Compliance Database'!$G$2:$G$1960,MATCH(1643,'Transfer Engine'!$C$2:$C$1960,0)))</f>
        <v/>
      </c>
      <c r="H1652" s="9">
        <f>IF(ISNA(MATCH(1643,'Transfer Engine'!$C$2:$C$1960,0)),"",INDEX('Compliance Database'!$H$2:$H$1960,MATCH(1643,'Transfer Engine'!$C$2:$C$1960,0)))</f>
        <v/>
      </c>
      <c r="I1652" s="9">
        <f>IF(ISNA(MATCH(1643,'Transfer Engine'!$C$2:$C$1960,0)),"",INDEX('Compliance Database'!$I$2:$I$1960,MATCH(1643,'Transfer Engine'!$C$2:$C$1960,0)))</f>
        <v/>
      </c>
      <c r="J1652" s="8">
        <f>IF(ISNA(MATCH(1643,'Transfer Engine'!$C$2:$C$1960,0)),"",INDEX('Compliance Database'!$J$2:$J$1960,MATCH(1643,'Transfer Engine'!$C$2:$C$1960,0)))</f>
        <v/>
      </c>
      <c r="K1652" s="9">
        <f>IF(ISNA(MATCH(1643,'Transfer Engine'!$C$2:$C$1960,0)),"",INDEX('Compliance Database'!$K$2:$K$1960,MATCH(1643,'Transfer Engine'!$C$2:$C$1960,0)))</f>
        <v/>
      </c>
      <c r="L1652" s="9">
        <f>IF(ISNA(MATCH(1643,'Transfer Engine'!$C$2:$C$1960,0)),"",INDEX('Compliance Database'!$L$2:$L$1960,MATCH(1643,'Transfer Engine'!$C$2:$C$1960,0)))</f>
        <v/>
      </c>
      <c r="M1652" s="9">
        <f>IF(ISNA(MATCH(1643,'Transfer Engine'!$C$2:$C$1960,0)),"",INDEX('Compliance Database'!$M$2:$M$1960,MATCH(1643,'Transfer Engine'!$C$2:$C$1960,0)))</f>
        <v/>
      </c>
      <c r="N1652" s="9">
        <f>IF(ISNA(MATCH(1643,'Transfer Engine'!$C$2:$C$1960,0)),"",INDEX('Compliance Database'!$N$2:$N$1960,MATCH(1643,'Transfer Engine'!$C$2:$C$1960,0)))</f>
        <v/>
      </c>
      <c r="O1652" s="9">
        <f>IF(ISNA(MATCH(1643,'Transfer Engine'!$C$2:$C$1960,0)),"",INDEX('Compliance Database'!$O$2:$O$1960,MATCH(1643,'Transfer Engine'!$C$2:$C$1960,0)))</f>
        <v/>
      </c>
      <c r="P1652" s="8">
        <f>IF(ISNA(MATCH(1643,'Transfer Engine'!$C$2:$C$1960,0)),"",HYPERLINK("#Acts!A"&amp;INDEX('Compliance Database'!$P$2:$P$1960,MATCH(1643,'Transfer Engine'!$C$2:$C$1960,0)),"Go to Act"))</f>
        <v/>
      </c>
    </row>
    <row r="1653" ht="158" customHeight="1">
      <c r="A1653" s="8">
        <f>IF(ISNA(MATCH(1644,'Transfer Engine'!$C$2:$C$1960,0)),"",INDEX('Compliance Database'!$A$2:$A$1960,MATCH(1644,'Transfer Engine'!$C$2:$C$1960,0)))</f>
        <v/>
      </c>
      <c r="B1653" s="8">
        <f>IF(ISNA(MATCH(1644,'Transfer Engine'!$C$2:$C$1960,0)),"",INDEX('Compliance Database'!$B$2:$B$1960,MATCH(1644,'Transfer Engine'!$C$2:$C$1960,0)))</f>
        <v/>
      </c>
      <c r="C1653" s="8">
        <f>IF(ISNA(MATCH(1644,'Transfer Engine'!$C$2:$C$1960,0)),"",INDEX('Compliance Database'!$C$2:$C$1960,MATCH(1644,'Transfer Engine'!$C$2:$C$1960,0)))</f>
        <v/>
      </c>
      <c r="D1653" s="9">
        <f>IF(ISNA(MATCH(1644,'Transfer Engine'!$C$2:$C$1960,0)),"",INDEX('Compliance Database'!$D$2:$D$1960,MATCH(1644,'Transfer Engine'!$C$2:$C$1960,0)))</f>
        <v/>
      </c>
      <c r="E1653" s="8">
        <f>IF(ISNA(MATCH(1644,'Transfer Engine'!$C$2:$C$1960,0)),"",INDEX('Compliance Database'!$E$2:$E$1960,MATCH(1644,'Transfer Engine'!$C$2:$C$1960,0)))</f>
        <v/>
      </c>
      <c r="F1653" s="8">
        <f>IF(ISNA(MATCH(1644,'Transfer Engine'!$C$2:$C$1960,0)),"",INDEX('Compliance Database'!$F$2:$F$1960,MATCH(1644,'Transfer Engine'!$C$2:$C$1960,0)))</f>
        <v/>
      </c>
      <c r="G1653" s="8">
        <f>IF(ISNA(MATCH(1644,'Transfer Engine'!$C$2:$C$1960,0)),"",INDEX('Compliance Database'!$G$2:$G$1960,MATCH(1644,'Transfer Engine'!$C$2:$C$1960,0)))</f>
        <v/>
      </c>
      <c r="H1653" s="9">
        <f>IF(ISNA(MATCH(1644,'Transfer Engine'!$C$2:$C$1960,0)),"",INDEX('Compliance Database'!$H$2:$H$1960,MATCH(1644,'Transfer Engine'!$C$2:$C$1960,0)))</f>
        <v/>
      </c>
      <c r="I1653" s="9">
        <f>IF(ISNA(MATCH(1644,'Transfer Engine'!$C$2:$C$1960,0)),"",INDEX('Compliance Database'!$I$2:$I$1960,MATCH(1644,'Transfer Engine'!$C$2:$C$1960,0)))</f>
        <v/>
      </c>
      <c r="J1653" s="8">
        <f>IF(ISNA(MATCH(1644,'Transfer Engine'!$C$2:$C$1960,0)),"",INDEX('Compliance Database'!$J$2:$J$1960,MATCH(1644,'Transfer Engine'!$C$2:$C$1960,0)))</f>
        <v/>
      </c>
      <c r="K1653" s="9">
        <f>IF(ISNA(MATCH(1644,'Transfer Engine'!$C$2:$C$1960,0)),"",INDEX('Compliance Database'!$K$2:$K$1960,MATCH(1644,'Transfer Engine'!$C$2:$C$1960,0)))</f>
        <v/>
      </c>
      <c r="L1653" s="9">
        <f>IF(ISNA(MATCH(1644,'Transfer Engine'!$C$2:$C$1960,0)),"",INDEX('Compliance Database'!$L$2:$L$1960,MATCH(1644,'Transfer Engine'!$C$2:$C$1960,0)))</f>
        <v/>
      </c>
      <c r="M1653" s="9">
        <f>IF(ISNA(MATCH(1644,'Transfer Engine'!$C$2:$C$1960,0)),"",INDEX('Compliance Database'!$M$2:$M$1960,MATCH(1644,'Transfer Engine'!$C$2:$C$1960,0)))</f>
        <v/>
      </c>
      <c r="N1653" s="9">
        <f>IF(ISNA(MATCH(1644,'Transfer Engine'!$C$2:$C$1960,0)),"",INDEX('Compliance Database'!$N$2:$N$1960,MATCH(1644,'Transfer Engine'!$C$2:$C$1960,0)))</f>
        <v/>
      </c>
      <c r="O1653" s="9">
        <f>IF(ISNA(MATCH(1644,'Transfer Engine'!$C$2:$C$1960,0)),"",INDEX('Compliance Database'!$O$2:$O$1960,MATCH(1644,'Transfer Engine'!$C$2:$C$1960,0)))</f>
        <v/>
      </c>
      <c r="P1653" s="8">
        <f>IF(ISNA(MATCH(1644,'Transfer Engine'!$C$2:$C$1960,0)),"",HYPERLINK("#Acts!A"&amp;INDEX('Compliance Database'!$P$2:$P$1960,MATCH(1644,'Transfer Engine'!$C$2:$C$1960,0)),"Go to Act"))</f>
        <v/>
      </c>
    </row>
    <row r="1654" ht="158" customHeight="1">
      <c r="A1654" s="8">
        <f>IF(ISNA(MATCH(1645,'Transfer Engine'!$C$2:$C$1960,0)),"",INDEX('Compliance Database'!$A$2:$A$1960,MATCH(1645,'Transfer Engine'!$C$2:$C$1960,0)))</f>
        <v/>
      </c>
      <c r="B1654" s="8">
        <f>IF(ISNA(MATCH(1645,'Transfer Engine'!$C$2:$C$1960,0)),"",INDEX('Compliance Database'!$B$2:$B$1960,MATCH(1645,'Transfer Engine'!$C$2:$C$1960,0)))</f>
        <v/>
      </c>
      <c r="C1654" s="8">
        <f>IF(ISNA(MATCH(1645,'Transfer Engine'!$C$2:$C$1960,0)),"",INDEX('Compliance Database'!$C$2:$C$1960,MATCH(1645,'Transfer Engine'!$C$2:$C$1960,0)))</f>
        <v/>
      </c>
      <c r="D1654" s="9">
        <f>IF(ISNA(MATCH(1645,'Transfer Engine'!$C$2:$C$1960,0)),"",INDEX('Compliance Database'!$D$2:$D$1960,MATCH(1645,'Transfer Engine'!$C$2:$C$1960,0)))</f>
        <v/>
      </c>
      <c r="E1654" s="8">
        <f>IF(ISNA(MATCH(1645,'Transfer Engine'!$C$2:$C$1960,0)),"",INDEX('Compliance Database'!$E$2:$E$1960,MATCH(1645,'Transfer Engine'!$C$2:$C$1960,0)))</f>
        <v/>
      </c>
      <c r="F1654" s="8">
        <f>IF(ISNA(MATCH(1645,'Transfer Engine'!$C$2:$C$1960,0)),"",INDEX('Compliance Database'!$F$2:$F$1960,MATCH(1645,'Transfer Engine'!$C$2:$C$1960,0)))</f>
        <v/>
      </c>
      <c r="G1654" s="8">
        <f>IF(ISNA(MATCH(1645,'Transfer Engine'!$C$2:$C$1960,0)),"",INDEX('Compliance Database'!$G$2:$G$1960,MATCH(1645,'Transfer Engine'!$C$2:$C$1960,0)))</f>
        <v/>
      </c>
      <c r="H1654" s="9">
        <f>IF(ISNA(MATCH(1645,'Transfer Engine'!$C$2:$C$1960,0)),"",INDEX('Compliance Database'!$H$2:$H$1960,MATCH(1645,'Transfer Engine'!$C$2:$C$1960,0)))</f>
        <v/>
      </c>
      <c r="I1654" s="9">
        <f>IF(ISNA(MATCH(1645,'Transfer Engine'!$C$2:$C$1960,0)),"",INDEX('Compliance Database'!$I$2:$I$1960,MATCH(1645,'Transfer Engine'!$C$2:$C$1960,0)))</f>
        <v/>
      </c>
      <c r="J1654" s="8">
        <f>IF(ISNA(MATCH(1645,'Transfer Engine'!$C$2:$C$1960,0)),"",INDEX('Compliance Database'!$J$2:$J$1960,MATCH(1645,'Transfer Engine'!$C$2:$C$1960,0)))</f>
        <v/>
      </c>
      <c r="K1654" s="9">
        <f>IF(ISNA(MATCH(1645,'Transfer Engine'!$C$2:$C$1960,0)),"",INDEX('Compliance Database'!$K$2:$K$1960,MATCH(1645,'Transfer Engine'!$C$2:$C$1960,0)))</f>
        <v/>
      </c>
      <c r="L1654" s="9">
        <f>IF(ISNA(MATCH(1645,'Transfer Engine'!$C$2:$C$1960,0)),"",INDEX('Compliance Database'!$L$2:$L$1960,MATCH(1645,'Transfer Engine'!$C$2:$C$1960,0)))</f>
        <v/>
      </c>
      <c r="M1654" s="9">
        <f>IF(ISNA(MATCH(1645,'Transfer Engine'!$C$2:$C$1960,0)),"",INDEX('Compliance Database'!$M$2:$M$1960,MATCH(1645,'Transfer Engine'!$C$2:$C$1960,0)))</f>
        <v/>
      </c>
      <c r="N1654" s="9">
        <f>IF(ISNA(MATCH(1645,'Transfer Engine'!$C$2:$C$1960,0)),"",INDEX('Compliance Database'!$N$2:$N$1960,MATCH(1645,'Transfer Engine'!$C$2:$C$1960,0)))</f>
        <v/>
      </c>
      <c r="O1654" s="9">
        <f>IF(ISNA(MATCH(1645,'Transfer Engine'!$C$2:$C$1960,0)),"",INDEX('Compliance Database'!$O$2:$O$1960,MATCH(1645,'Transfer Engine'!$C$2:$C$1960,0)))</f>
        <v/>
      </c>
      <c r="P1654" s="8">
        <f>IF(ISNA(MATCH(1645,'Transfer Engine'!$C$2:$C$1960,0)),"",HYPERLINK("#Acts!A"&amp;INDEX('Compliance Database'!$P$2:$P$1960,MATCH(1645,'Transfer Engine'!$C$2:$C$1960,0)),"Go to Act"))</f>
        <v/>
      </c>
    </row>
    <row r="1655" ht="158" customHeight="1">
      <c r="A1655" s="8">
        <f>IF(ISNA(MATCH(1646,'Transfer Engine'!$C$2:$C$1960,0)),"",INDEX('Compliance Database'!$A$2:$A$1960,MATCH(1646,'Transfer Engine'!$C$2:$C$1960,0)))</f>
        <v/>
      </c>
      <c r="B1655" s="8">
        <f>IF(ISNA(MATCH(1646,'Transfer Engine'!$C$2:$C$1960,0)),"",INDEX('Compliance Database'!$B$2:$B$1960,MATCH(1646,'Transfer Engine'!$C$2:$C$1960,0)))</f>
        <v/>
      </c>
      <c r="C1655" s="8">
        <f>IF(ISNA(MATCH(1646,'Transfer Engine'!$C$2:$C$1960,0)),"",INDEX('Compliance Database'!$C$2:$C$1960,MATCH(1646,'Transfer Engine'!$C$2:$C$1960,0)))</f>
        <v/>
      </c>
      <c r="D1655" s="9">
        <f>IF(ISNA(MATCH(1646,'Transfer Engine'!$C$2:$C$1960,0)),"",INDEX('Compliance Database'!$D$2:$D$1960,MATCH(1646,'Transfer Engine'!$C$2:$C$1960,0)))</f>
        <v/>
      </c>
      <c r="E1655" s="8">
        <f>IF(ISNA(MATCH(1646,'Transfer Engine'!$C$2:$C$1960,0)),"",INDEX('Compliance Database'!$E$2:$E$1960,MATCH(1646,'Transfer Engine'!$C$2:$C$1960,0)))</f>
        <v/>
      </c>
      <c r="F1655" s="8">
        <f>IF(ISNA(MATCH(1646,'Transfer Engine'!$C$2:$C$1960,0)),"",INDEX('Compliance Database'!$F$2:$F$1960,MATCH(1646,'Transfer Engine'!$C$2:$C$1960,0)))</f>
        <v/>
      </c>
      <c r="G1655" s="8">
        <f>IF(ISNA(MATCH(1646,'Transfer Engine'!$C$2:$C$1960,0)),"",INDEX('Compliance Database'!$G$2:$G$1960,MATCH(1646,'Transfer Engine'!$C$2:$C$1960,0)))</f>
        <v/>
      </c>
      <c r="H1655" s="9">
        <f>IF(ISNA(MATCH(1646,'Transfer Engine'!$C$2:$C$1960,0)),"",INDEX('Compliance Database'!$H$2:$H$1960,MATCH(1646,'Transfer Engine'!$C$2:$C$1960,0)))</f>
        <v/>
      </c>
      <c r="I1655" s="9">
        <f>IF(ISNA(MATCH(1646,'Transfer Engine'!$C$2:$C$1960,0)),"",INDEX('Compliance Database'!$I$2:$I$1960,MATCH(1646,'Transfer Engine'!$C$2:$C$1960,0)))</f>
        <v/>
      </c>
      <c r="J1655" s="8">
        <f>IF(ISNA(MATCH(1646,'Transfer Engine'!$C$2:$C$1960,0)),"",INDEX('Compliance Database'!$J$2:$J$1960,MATCH(1646,'Transfer Engine'!$C$2:$C$1960,0)))</f>
        <v/>
      </c>
      <c r="K1655" s="9">
        <f>IF(ISNA(MATCH(1646,'Transfer Engine'!$C$2:$C$1960,0)),"",INDEX('Compliance Database'!$K$2:$K$1960,MATCH(1646,'Transfer Engine'!$C$2:$C$1960,0)))</f>
        <v/>
      </c>
      <c r="L1655" s="9">
        <f>IF(ISNA(MATCH(1646,'Transfer Engine'!$C$2:$C$1960,0)),"",INDEX('Compliance Database'!$L$2:$L$1960,MATCH(1646,'Transfer Engine'!$C$2:$C$1960,0)))</f>
        <v/>
      </c>
      <c r="M1655" s="9">
        <f>IF(ISNA(MATCH(1646,'Transfer Engine'!$C$2:$C$1960,0)),"",INDEX('Compliance Database'!$M$2:$M$1960,MATCH(1646,'Transfer Engine'!$C$2:$C$1960,0)))</f>
        <v/>
      </c>
      <c r="N1655" s="9">
        <f>IF(ISNA(MATCH(1646,'Transfer Engine'!$C$2:$C$1960,0)),"",INDEX('Compliance Database'!$N$2:$N$1960,MATCH(1646,'Transfer Engine'!$C$2:$C$1960,0)))</f>
        <v/>
      </c>
      <c r="O1655" s="9">
        <f>IF(ISNA(MATCH(1646,'Transfer Engine'!$C$2:$C$1960,0)),"",INDEX('Compliance Database'!$O$2:$O$1960,MATCH(1646,'Transfer Engine'!$C$2:$C$1960,0)))</f>
        <v/>
      </c>
      <c r="P1655" s="8">
        <f>IF(ISNA(MATCH(1646,'Transfer Engine'!$C$2:$C$1960,0)),"",HYPERLINK("#Acts!A"&amp;INDEX('Compliance Database'!$P$2:$P$1960,MATCH(1646,'Transfer Engine'!$C$2:$C$1960,0)),"Go to Act"))</f>
        <v/>
      </c>
    </row>
    <row r="1656" ht="158" customHeight="1">
      <c r="A1656" s="8">
        <f>IF(ISNA(MATCH(1647,'Transfer Engine'!$C$2:$C$1960,0)),"",INDEX('Compliance Database'!$A$2:$A$1960,MATCH(1647,'Transfer Engine'!$C$2:$C$1960,0)))</f>
        <v/>
      </c>
      <c r="B1656" s="8">
        <f>IF(ISNA(MATCH(1647,'Transfer Engine'!$C$2:$C$1960,0)),"",INDEX('Compliance Database'!$B$2:$B$1960,MATCH(1647,'Transfer Engine'!$C$2:$C$1960,0)))</f>
        <v/>
      </c>
      <c r="C1656" s="8">
        <f>IF(ISNA(MATCH(1647,'Transfer Engine'!$C$2:$C$1960,0)),"",INDEX('Compliance Database'!$C$2:$C$1960,MATCH(1647,'Transfer Engine'!$C$2:$C$1960,0)))</f>
        <v/>
      </c>
      <c r="D1656" s="9">
        <f>IF(ISNA(MATCH(1647,'Transfer Engine'!$C$2:$C$1960,0)),"",INDEX('Compliance Database'!$D$2:$D$1960,MATCH(1647,'Transfer Engine'!$C$2:$C$1960,0)))</f>
        <v/>
      </c>
      <c r="E1656" s="8">
        <f>IF(ISNA(MATCH(1647,'Transfer Engine'!$C$2:$C$1960,0)),"",INDEX('Compliance Database'!$E$2:$E$1960,MATCH(1647,'Transfer Engine'!$C$2:$C$1960,0)))</f>
        <v/>
      </c>
      <c r="F1656" s="8">
        <f>IF(ISNA(MATCH(1647,'Transfer Engine'!$C$2:$C$1960,0)),"",INDEX('Compliance Database'!$F$2:$F$1960,MATCH(1647,'Transfer Engine'!$C$2:$C$1960,0)))</f>
        <v/>
      </c>
      <c r="G1656" s="8">
        <f>IF(ISNA(MATCH(1647,'Transfer Engine'!$C$2:$C$1960,0)),"",INDEX('Compliance Database'!$G$2:$G$1960,MATCH(1647,'Transfer Engine'!$C$2:$C$1960,0)))</f>
        <v/>
      </c>
      <c r="H1656" s="9">
        <f>IF(ISNA(MATCH(1647,'Transfer Engine'!$C$2:$C$1960,0)),"",INDEX('Compliance Database'!$H$2:$H$1960,MATCH(1647,'Transfer Engine'!$C$2:$C$1960,0)))</f>
        <v/>
      </c>
      <c r="I1656" s="9">
        <f>IF(ISNA(MATCH(1647,'Transfer Engine'!$C$2:$C$1960,0)),"",INDEX('Compliance Database'!$I$2:$I$1960,MATCH(1647,'Transfer Engine'!$C$2:$C$1960,0)))</f>
        <v/>
      </c>
      <c r="J1656" s="8">
        <f>IF(ISNA(MATCH(1647,'Transfer Engine'!$C$2:$C$1960,0)),"",INDEX('Compliance Database'!$J$2:$J$1960,MATCH(1647,'Transfer Engine'!$C$2:$C$1960,0)))</f>
        <v/>
      </c>
      <c r="K1656" s="9">
        <f>IF(ISNA(MATCH(1647,'Transfer Engine'!$C$2:$C$1960,0)),"",INDEX('Compliance Database'!$K$2:$K$1960,MATCH(1647,'Transfer Engine'!$C$2:$C$1960,0)))</f>
        <v/>
      </c>
      <c r="L1656" s="9">
        <f>IF(ISNA(MATCH(1647,'Transfer Engine'!$C$2:$C$1960,0)),"",INDEX('Compliance Database'!$L$2:$L$1960,MATCH(1647,'Transfer Engine'!$C$2:$C$1960,0)))</f>
        <v/>
      </c>
      <c r="M1656" s="9">
        <f>IF(ISNA(MATCH(1647,'Transfer Engine'!$C$2:$C$1960,0)),"",INDEX('Compliance Database'!$M$2:$M$1960,MATCH(1647,'Transfer Engine'!$C$2:$C$1960,0)))</f>
        <v/>
      </c>
      <c r="N1656" s="9">
        <f>IF(ISNA(MATCH(1647,'Transfer Engine'!$C$2:$C$1960,0)),"",INDEX('Compliance Database'!$N$2:$N$1960,MATCH(1647,'Transfer Engine'!$C$2:$C$1960,0)))</f>
        <v/>
      </c>
      <c r="O1656" s="9">
        <f>IF(ISNA(MATCH(1647,'Transfer Engine'!$C$2:$C$1960,0)),"",INDEX('Compliance Database'!$O$2:$O$1960,MATCH(1647,'Transfer Engine'!$C$2:$C$1960,0)))</f>
        <v/>
      </c>
      <c r="P1656" s="8">
        <f>IF(ISNA(MATCH(1647,'Transfer Engine'!$C$2:$C$1960,0)),"",HYPERLINK("#Acts!A"&amp;INDEX('Compliance Database'!$P$2:$P$1960,MATCH(1647,'Transfer Engine'!$C$2:$C$1960,0)),"Go to Act"))</f>
        <v/>
      </c>
    </row>
    <row r="1657" ht="158" customHeight="1">
      <c r="A1657" s="8">
        <f>IF(ISNA(MATCH(1648,'Transfer Engine'!$C$2:$C$1960,0)),"",INDEX('Compliance Database'!$A$2:$A$1960,MATCH(1648,'Transfer Engine'!$C$2:$C$1960,0)))</f>
        <v/>
      </c>
      <c r="B1657" s="8">
        <f>IF(ISNA(MATCH(1648,'Transfer Engine'!$C$2:$C$1960,0)),"",INDEX('Compliance Database'!$B$2:$B$1960,MATCH(1648,'Transfer Engine'!$C$2:$C$1960,0)))</f>
        <v/>
      </c>
      <c r="C1657" s="8">
        <f>IF(ISNA(MATCH(1648,'Transfer Engine'!$C$2:$C$1960,0)),"",INDEX('Compliance Database'!$C$2:$C$1960,MATCH(1648,'Transfer Engine'!$C$2:$C$1960,0)))</f>
        <v/>
      </c>
      <c r="D1657" s="9">
        <f>IF(ISNA(MATCH(1648,'Transfer Engine'!$C$2:$C$1960,0)),"",INDEX('Compliance Database'!$D$2:$D$1960,MATCH(1648,'Transfer Engine'!$C$2:$C$1960,0)))</f>
        <v/>
      </c>
      <c r="E1657" s="8">
        <f>IF(ISNA(MATCH(1648,'Transfer Engine'!$C$2:$C$1960,0)),"",INDEX('Compliance Database'!$E$2:$E$1960,MATCH(1648,'Transfer Engine'!$C$2:$C$1960,0)))</f>
        <v/>
      </c>
      <c r="F1657" s="8">
        <f>IF(ISNA(MATCH(1648,'Transfer Engine'!$C$2:$C$1960,0)),"",INDEX('Compliance Database'!$F$2:$F$1960,MATCH(1648,'Transfer Engine'!$C$2:$C$1960,0)))</f>
        <v/>
      </c>
      <c r="G1657" s="8">
        <f>IF(ISNA(MATCH(1648,'Transfer Engine'!$C$2:$C$1960,0)),"",INDEX('Compliance Database'!$G$2:$G$1960,MATCH(1648,'Transfer Engine'!$C$2:$C$1960,0)))</f>
        <v/>
      </c>
      <c r="H1657" s="9">
        <f>IF(ISNA(MATCH(1648,'Transfer Engine'!$C$2:$C$1960,0)),"",INDEX('Compliance Database'!$H$2:$H$1960,MATCH(1648,'Transfer Engine'!$C$2:$C$1960,0)))</f>
        <v/>
      </c>
      <c r="I1657" s="9">
        <f>IF(ISNA(MATCH(1648,'Transfer Engine'!$C$2:$C$1960,0)),"",INDEX('Compliance Database'!$I$2:$I$1960,MATCH(1648,'Transfer Engine'!$C$2:$C$1960,0)))</f>
        <v/>
      </c>
      <c r="J1657" s="8">
        <f>IF(ISNA(MATCH(1648,'Transfer Engine'!$C$2:$C$1960,0)),"",INDEX('Compliance Database'!$J$2:$J$1960,MATCH(1648,'Transfer Engine'!$C$2:$C$1960,0)))</f>
        <v/>
      </c>
      <c r="K1657" s="9">
        <f>IF(ISNA(MATCH(1648,'Transfer Engine'!$C$2:$C$1960,0)),"",INDEX('Compliance Database'!$K$2:$K$1960,MATCH(1648,'Transfer Engine'!$C$2:$C$1960,0)))</f>
        <v/>
      </c>
      <c r="L1657" s="9">
        <f>IF(ISNA(MATCH(1648,'Transfer Engine'!$C$2:$C$1960,0)),"",INDEX('Compliance Database'!$L$2:$L$1960,MATCH(1648,'Transfer Engine'!$C$2:$C$1960,0)))</f>
        <v/>
      </c>
      <c r="M1657" s="9">
        <f>IF(ISNA(MATCH(1648,'Transfer Engine'!$C$2:$C$1960,0)),"",INDEX('Compliance Database'!$M$2:$M$1960,MATCH(1648,'Transfer Engine'!$C$2:$C$1960,0)))</f>
        <v/>
      </c>
      <c r="N1657" s="9">
        <f>IF(ISNA(MATCH(1648,'Transfer Engine'!$C$2:$C$1960,0)),"",INDEX('Compliance Database'!$N$2:$N$1960,MATCH(1648,'Transfer Engine'!$C$2:$C$1960,0)))</f>
        <v/>
      </c>
      <c r="O1657" s="9">
        <f>IF(ISNA(MATCH(1648,'Transfer Engine'!$C$2:$C$1960,0)),"",INDEX('Compliance Database'!$O$2:$O$1960,MATCH(1648,'Transfer Engine'!$C$2:$C$1960,0)))</f>
        <v/>
      </c>
      <c r="P1657" s="8">
        <f>IF(ISNA(MATCH(1648,'Transfer Engine'!$C$2:$C$1960,0)),"",HYPERLINK("#Acts!A"&amp;INDEX('Compliance Database'!$P$2:$P$1960,MATCH(1648,'Transfer Engine'!$C$2:$C$1960,0)),"Go to Act"))</f>
        <v/>
      </c>
    </row>
    <row r="1658" ht="158" customHeight="1">
      <c r="A1658" s="8">
        <f>IF(ISNA(MATCH(1649,'Transfer Engine'!$C$2:$C$1960,0)),"",INDEX('Compliance Database'!$A$2:$A$1960,MATCH(1649,'Transfer Engine'!$C$2:$C$1960,0)))</f>
        <v/>
      </c>
      <c r="B1658" s="8">
        <f>IF(ISNA(MATCH(1649,'Transfer Engine'!$C$2:$C$1960,0)),"",INDEX('Compliance Database'!$B$2:$B$1960,MATCH(1649,'Transfer Engine'!$C$2:$C$1960,0)))</f>
        <v/>
      </c>
      <c r="C1658" s="8">
        <f>IF(ISNA(MATCH(1649,'Transfer Engine'!$C$2:$C$1960,0)),"",INDEX('Compliance Database'!$C$2:$C$1960,MATCH(1649,'Transfer Engine'!$C$2:$C$1960,0)))</f>
        <v/>
      </c>
      <c r="D1658" s="9">
        <f>IF(ISNA(MATCH(1649,'Transfer Engine'!$C$2:$C$1960,0)),"",INDEX('Compliance Database'!$D$2:$D$1960,MATCH(1649,'Transfer Engine'!$C$2:$C$1960,0)))</f>
        <v/>
      </c>
      <c r="E1658" s="8">
        <f>IF(ISNA(MATCH(1649,'Transfer Engine'!$C$2:$C$1960,0)),"",INDEX('Compliance Database'!$E$2:$E$1960,MATCH(1649,'Transfer Engine'!$C$2:$C$1960,0)))</f>
        <v/>
      </c>
      <c r="F1658" s="8">
        <f>IF(ISNA(MATCH(1649,'Transfer Engine'!$C$2:$C$1960,0)),"",INDEX('Compliance Database'!$F$2:$F$1960,MATCH(1649,'Transfer Engine'!$C$2:$C$1960,0)))</f>
        <v/>
      </c>
      <c r="G1658" s="8">
        <f>IF(ISNA(MATCH(1649,'Transfer Engine'!$C$2:$C$1960,0)),"",INDEX('Compliance Database'!$G$2:$G$1960,MATCH(1649,'Transfer Engine'!$C$2:$C$1960,0)))</f>
        <v/>
      </c>
      <c r="H1658" s="9">
        <f>IF(ISNA(MATCH(1649,'Transfer Engine'!$C$2:$C$1960,0)),"",INDEX('Compliance Database'!$H$2:$H$1960,MATCH(1649,'Transfer Engine'!$C$2:$C$1960,0)))</f>
        <v/>
      </c>
      <c r="I1658" s="9">
        <f>IF(ISNA(MATCH(1649,'Transfer Engine'!$C$2:$C$1960,0)),"",INDEX('Compliance Database'!$I$2:$I$1960,MATCH(1649,'Transfer Engine'!$C$2:$C$1960,0)))</f>
        <v/>
      </c>
      <c r="J1658" s="8">
        <f>IF(ISNA(MATCH(1649,'Transfer Engine'!$C$2:$C$1960,0)),"",INDEX('Compliance Database'!$J$2:$J$1960,MATCH(1649,'Transfer Engine'!$C$2:$C$1960,0)))</f>
        <v/>
      </c>
      <c r="K1658" s="9">
        <f>IF(ISNA(MATCH(1649,'Transfer Engine'!$C$2:$C$1960,0)),"",INDEX('Compliance Database'!$K$2:$K$1960,MATCH(1649,'Transfer Engine'!$C$2:$C$1960,0)))</f>
        <v/>
      </c>
      <c r="L1658" s="9">
        <f>IF(ISNA(MATCH(1649,'Transfer Engine'!$C$2:$C$1960,0)),"",INDEX('Compliance Database'!$L$2:$L$1960,MATCH(1649,'Transfer Engine'!$C$2:$C$1960,0)))</f>
        <v/>
      </c>
      <c r="M1658" s="9">
        <f>IF(ISNA(MATCH(1649,'Transfer Engine'!$C$2:$C$1960,0)),"",INDEX('Compliance Database'!$M$2:$M$1960,MATCH(1649,'Transfer Engine'!$C$2:$C$1960,0)))</f>
        <v/>
      </c>
      <c r="N1658" s="9">
        <f>IF(ISNA(MATCH(1649,'Transfer Engine'!$C$2:$C$1960,0)),"",INDEX('Compliance Database'!$N$2:$N$1960,MATCH(1649,'Transfer Engine'!$C$2:$C$1960,0)))</f>
        <v/>
      </c>
      <c r="O1658" s="9">
        <f>IF(ISNA(MATCH(1649,'Transfer Engine'!$C$2:$C$1960,0)),"",INDEX('Compliance Database'!$O$2:$O$1960,MATCH(1649,'Transfer Engine'!$C$2:$C$1960,0)))</f>
        <v/>
      </c>
      <c r="P1658" s="8">
        <f>IF(ISNA(MATCH(1649,'Transfer Engine'!$C$2:$C$1960,0)),"",HYPERLINK("#Acts!A"&amp;INDEX('Compliance Database'!$P$2:$P$1960,MATCH(1649,'Transfer Engine'!$C$2:$C$1960,0)),"Go to Act"))</f>
        <v/>
      </c>
    </row>
    <row r="1659" ht="158" customHeight="1">
      <c r="A1659" s="8">
        <f>IF(ISNA(MATCH(1650,'Transfer Engine'!$C$2:$C$1960,0)),"",INDEX('Compliance Database'!$A$2:$A$1960,MATCH(1650,'Transfer Engine'!$C$2:$C$1960,0)))</f>
        <v/>
      </c>
      <c r="B1659" s="8">
        <f>IF(ISNA(MATCH(1650,'Transfer Engine'!$C$2:$C$1960,0)),"",INDEX('Compliance Database'!$B$2:$B$1960,MATCH(1650,'Transfer Engine'!$C$2:$C$1960,0)))</f>
        <v/>
      </c>
      <c r="C1659" s="8">
        <f>IF(ISNA(MATCH(1650,'Transfer Engine'!$C$2:$C$1960,0)),"",INDEX('Compliance Database'!$C$2:$C$1960,MATCH(1650,'Transfer Engine'!$C$2:$C$1960,0)))</f>
        <v/>
      </c>
      <c r="D1659" s="9">
        <f>IF(ISNA(MATCH(1650,'Transfer Engine'!$C$2:$C$1960,0)),"",INDEX('Compliance Database'!$D$2:$D$1960,MATCH(1650,'Transfer Engine'!$C$2:$C$1960,0)))</f>
        <v/>
      </c>
      <c r="E1659" s="8">
        <f>IF(ISNA(MATCH(1650,'Transfer Engine'!$C$2:$C$1960,0)),"",INDEX('Compliance Database'!$E$2:$E$1960,MATCH(1650,'Transfer Engine'!$C$2:$C$1960,0)))</f>
        <v/>
      </c>
      <c r="F1659" s="8">
        <f>IF(ISNA(MATCH(1650,'Transfer Engine'!$C$2:$C$1960,0)),"",INDEX('Compliance Database'!$F$2:$F$1960,MATCH(1650,'Transfer Engine'!$C$2:$C$1960,0)))</f>
        <v/>
      </c>
      <c r="G1659" s="8">
        <f>IF(ISNA(MATCH(1650,'Transfer Engine'!$C$2:$C$1960,0)),"",INDEX('Compliance Database'!$G$2:$G$1960,MATCH(1650,'Transfer Engine'!$C$2:$C$1960,0)))</f>
        <v/>
      </c>
      <c r="H1659" s="9">
        <f>IF(ISNA(MATCH(1650,'Transfer Engine'!$C$2:$C$1960,0)),"",INDEX('Compliance Database'!$H$2:$H$1960,MATCH(1650,'Transfer Engine'!$C$2:$C$1960,0)))</f>
        <v/>
      </c>
      <c r="I1659" s="9">
        <f>IF(ISNA(MATCH(1650,'Transfer Engine'!$C$2:$C$1960,0)),"",INDEX('Compliance Database'!$I$2:$I$1960,MATCH(1650,'Transfer Engine'!$C$2:$C$1960,0)))</f>
        <v/>
      </c>
      <c r="J1659" s="8">
        <f>IF(ISNA(MATCH(1650,'Transfer Engine'!$C$2:$C$1960,0)),"",INDEX('Compliance Database'!$J$2:$J$1960,MATCH(1650,'Transfer Engine'!$C$2:$C$1960,0)))</f>
        <v/>
      </c>
      <c r="K1659" s="9">
        <f>IF(ISNA(MATCH(1650,'Transfer Engine'!$C$2:$C$1960,0)),"",INDEX('Compliance Database'!$K$2:$K$1960,MATCH(1650,'Transfer Engine'!$C$2:$C$1960,0)))</f>
        <v/>
      </c>
      <c r="L1659" s="9">
        <f>IF(ISNA(MATCH(1650,'Transfer Engine'!$C$2:$C$1960,0)),"",INDEX('Compliance Database'!$L$2:$L$1960,MATCH(1650,'Transfer Engine'!$C$2:$C$1960,0)))</f>
        <v/>
      </c>
      <c r="M1659" s="9">
        <f>IF(ISNA(MATCH(1650,'Transfer Engine'!$C$2:$C$1960,0)),"",INDEX('Compliance Database'!$M$2:$M$1960,MATCH(1650,'Transfer Engine'!$C$2:$C$1960,0)))</f>
        <v/>
      </c>
      <c r="N1659" s="9">
        <f>IF(ISNA(MATCH(1650,'Transfer Engine'!$C$2:$C$1960,0)),"",INDEX('Compliance Database'!$N$2:$N$1960,MATCH(1650,'Transfer Engine'!$C$2:$C$1960,0)))</f>
        <v/>
      </c>
      <c r="O1659" s="9">
        <f>IF(ISNA(MATCH(1650,'Transfer Engine'!$C$2:$C$1960,0)),"",INDEX('Compliance Database'!$O$2:$O$1960,MATCH(1650,'Transfer Engine'!$C$2:$C$1960,0)))</f>
        <v/>
      </c>
      <c r="P1659" s="8">
        <f>IF(ISNA(MATCH(1650,'Transfer Engine'!$C$2:$C$1960,0)),"",HYPERLINK("#Acts!A"&amp;INDEX('Compliance Database'!$P$2:$P$1960,MATCH(1650,'Transfer Engine'!$C$2:$C$1960,0)),"Go to Act"))</f>
        <v/>
      </c>
    </row>
    <row r="1660" ht="158" customHeight="1">
      <c r="A1660" s="8">
        <f>IF(ISNA(MATCH(1651,'Transfer Engine'!$C$2:$C$1960,0)),"",INDEX('Compliance Database'!$A$2:$A$1960,MATCH(1651,'Transfer Engine'!$C$2:$C$1960,0)))</f>
        <v/>
      </c>
      <c r="B1660" s="8">
        <f>IF(ISNA(MATCH(1651,'Transfer Engine'!$C$2:$C$1960,0)),"",INDEX('Compliance Database'!$B$2:$B$1960,MATCH(1651,'Transfer Engine'!$C$2:$C$1960,0)))</f>
        <v/>
      </c>
      <c r="C1660" s="8">
        <f>IF(ISNA(MATCH(1651,'Transfer Engine'!$C$2:$C$1960,0)),"",INDEX('Compliance Database'!$C$2:$C$1960,MATCH(1651,'Transfer Engine'!$C$2:$C$1960,0)))</f>
        <v/>
      </c>
      <c r="D1660" s="9">
        <f>IF(ISNA(MATCH(1651,'Transfer Engine'!$C$2:$C$1960,0)),"",INDEX('Compliance Database'!$D$2:$D$1960,MATCH(1651,'Transfer Engine'!$C$2:$C$1960,0)))</f>
        <v/>
      </c>
      <c r="E1660" s="8">
        <f>IF(ISNA(MATCH(1651,'Transfer Engine'!$C$2:$C$1960,0)),"",INDEX('Compliance Database'!$E$2:$E$1960,MATCH(1651,'Transfer Engine'!$C$2:$C$1960,0)))</f>
        <v/>
      </c>
      <c r="F1660" s="8">
        <f>IF(ISNA(MATCH(1651,'Transfer Engine'!$C$2:$C$1960,0)),"",INDEX('Compliance Database'!$F$2:$F$1960,MATCH(1651,'Transfer Engine'!$C$2:$C$1960,0)))</f>
        <v/>
      </c>
      <c r="G1660" s="8">
        <f>IF(ISNA(MATCH(1651,'Transfer Engine'!$C$2:$C$1960,0)),"",INDEX('Compliance Database'!$G$2:$G$1960,MATCH(1651,'Transfer Engine'!$C$2:$C$1960,0)))</f>
        <v/>
      </c>
      <c r="H1660" s="9">
        <f>IF(ISNA(MATCH(1651,'Transfer Engine'!$C$2:$C$1960,0)),"",INDEX('Compliance Database'!$H$2:$H$1960,MATCH(1651,'Transfer Engine'!$C$2:$C$1960,0)))</f>
        <v/>
      </c>
      <c r="I1660" s="9">
        <f>IF(ISNA(MATCH(1651,'Transfer Engine'!$C$2:$C$1960,0)),"",INDEX('Compliance Database'!$I$2:$I$1960,MATCH(1651,'Transfer Engine'!$C$2:$C$1960,0)))</f>
        <v/>
      </c>
      <c r="J1660" s="8">
        <f>IF(ISNA(MATCH(1651,'Transfer Engine'!$C$2:$C$1960,0)),"",INDEX('Compliance Database'!$J$2:$J$1960,MATCH(1651,'Transfer Engine'!$C$2:$C$1960,0)))</f>
        <v/>
      </c>
      <c r="K1660" s="9">
        <f>IF(ISNA(MATCH(1651,'Transfer Engine'!$C$2:$C$1960,0)),"",INDEX('Compliance Database'!$K$2:$K$1960,MATCH(1651,'Transfer Engine'!$C$2:$C$1960,0)))</f>
        <v/>
      </c>
      <c r="L1660" s="9">
        <f>IF(ISNA(MATCH(1651,'Transfer Engine'!$C$2:$C$1960,0)),"",INDEX('Compliance Database'!$L$2:$L$1960,MATCH(1651,'Transfer Engine'!$C$2:$C$1960,0)))</f>
        <v/>
      </c>
      <c r="M1660" s="9">
        <f>IF(ISNA(MATCH(1651,'Transfer Engine'!$C$2:$C$1960,0)),"",INDEX('Compliance Database'!$M$2:$M$1960,MATCH(1651,'Transfer Engine'!$C$2:$C$1960,0)))</f>
        <v/>
      </c>
      <c r="N1660" s="9">
        <f>IF(ISNA(MATCH(1651,'Transfer Engine'!$C$2:$C$1960,0)),"",INDEX('Compliance Database'!$N$2:$N$1960,MATCH(1651,'Transfer Engine'!$C$2:$C$1960,0)))</f>
        <v/>
      </c>
      <c r="O1660" s="9">
        <f>IF(ISNA(MATCH(1651,'Transfer Engine'!$C$2:$C$1960,0)),"",INDEX('Compliance Database'!$O$2:$O$1960,MATCH(1651,'Transfer Engine'!$C$2:$C$1960,0)))</f>
        <v/>
      </c>
      <c r="P1660" s="8">
        <f>IF(ISNA(MATCH(1651,'Transfer Engine'!$C$2:$C$1960,0)),"",HYPERLINK("#Acts!A"&amp;INDEX('Compliance Database'!$P$2:$P$1960,MATCH(1651,'Transfer Engine'!$C$2:$C$1960,0)),"Go to Act"))</f>
        <v/>
      </c>
    </row>
    <row r="1661" ht="158" customHeight="1">
      <c r="A1661" s="8">
        <f>IF(ISNA(MATCH(1652,'Transfer Engine'!$C$2:$C$1960,0)),"",INDEX('Compliance Database'!$A$2:$A$1960,MATCH(1652,'Transfer Engine'!$C$2:$C$1960,0)))</f>
        <v/>
      </c>
      <c r="B1661" s="8">
        <f>IF(ISNA(MATCH(1652,'Transfer Engine'!$C$2:$C$1960,0)),"",INDEX('Compliance Database'!$B$2:$B$1960,MATCH(1652,'Transfer Engine'!$C$2:$C$1960,0)))</f>
        <v/>
      </c>
      <c r="C1661" s="8">
        <f>IF(ISNA(MATCH(1652,'Transfer Engine'!$C$2:$C$1960,0)),"",INDEX('Compliance Database'!$C$2:$C$1960,MATCH(1652,'Transfer Engine'!$C$2:$C$1960,0)))</f>
        <v/>
      </c>
      <c r="D1661" s="9">
        <f>IF(ISNA(MATCH(1652,'Transfer Engine'!$C$2:$C$1960,0)),"",INDEX('Compliance Database'!$D$2:$D$1960,MATCH(1652,'Transfer Engine'!$C$2:$C$1960,0)))</f>
        <v/>
      </c>
      <c r="E1661" s="8">
        <f>IF(ISNA(MATCH(1652,'Transfer Engine'!$C$2:$C$1960,0)),"",INDEX('Compliance Database'!$E$2:$E$1960,MATCH(1652,'Transfer Engine'!$C$2:$C$1960,0)))</f>
        <v/>
      </c>
      <c r="F1661" s="8">
        <f>IF(ISNA(MATCH(1652,'Transfer Engine'!$C$2:$C$1960,0)),"",INDEX('Compliance Database'!$F$2:$F$1960,MATCH(1652,'Transfer Engine'!$C$2:$C$1960,0)))</f>
        <v/>
      </c>
      <c r="G1661" s="8">
        <f>IF(ISNA(MATCH(1652,'Transfer Engine'!$C$2:$C$1960,0)),"",INDEX('Compliance Database'!$G$2:$G$1960,MATCH(1652,'Transfer Engine'!$C$2:$C$1960,0)))</f>
        <v/>
      </c>
      <c r="H1661" s="9">
        <f>IF(ISNA(MATCH(1652,'Transfer Engine'!$C$2:$C$1960,0)),"",INDEX('Compliance Database'!$H$2:$H$1960,MATCH(1652,'Transfer Engine'!$C$2:$C$1960,0)))</f>
        <v/>
      </c>
      <c r="I1661" s="9">
        <f>IF(ISNA(MATCH(1652,'Transfer Engine'!$C$2:$C$1960,0)),"",INDEX('Compliance Database'!$I$2:$I$1960,MATCH(1652,'Transfer Engine'!$C$2:$C$1960,0)))</f>
        <v/>
      </c>
      <c r="J1661" s="8">
        <f>IF(ISNA(MATCH(1652,'Transfer Engine'!$C$2:$C$1960,0)),"",INDEX('Compliance Database'!$J$2:$J$1960,MATCH(1652,'Transfer Engine'!$C$2:$C$1960,0)))</f>
        <v/>
      </c>
      <c r="K1661" s="9">
        <f>IF(ISNA(MATCH(1652,'Transfer Engine'!$C$2:$C$1960,0)),"",INDEX('Compliance Database'!$K$2:$K$1960,MATCH(1652,'Transfer Engine'!$C$2:$C$1960,0)))</f>
        <v/>
      </c>
      <c r="L1661" s="9">
        <f>IF(ISNA(MATCH(1652,'Transfer Engine'!$C$2:$C$1960,0)),"",INDEX('Compliance Database'!$L$2:$L$1960,MATCH(1652,'Transfer Engine'!$C$2:$C$1960,0)))</f>
        <v/>
      </c>
      <c r="M1661" s="9">
        <f>IF(ISNA(MATCH(1652,'Transfer Engine'!$C$2:$C$1960,0)),"",INDEX('Compliance Database'!$M$2:$M$1960,MATCH(1652,'Transfer Engine'!$C$2:$C$1960,0)))</f>
        <v/>
      </c>
      <c r="N1661" s="9">
        <f>IF(ISNA(MATCH(1652,'Transfer Engine'!$C$2:$C$1960,0)),"",INDEX('Compliance Database'!$N$2:$N$1960,MATCH(1652,'Transfer Engine'!$C$2:$C$1960,0)))</f>
        <v/>
      </c>
      <c r="O1661" s="9">
        <f>IF(ISNA(MATCH(1652,'Transfer Engine'!$C$2:$C$1960,0)),"",INDEX('Compliance Database'!$O$2:$O$1960,MATCH(1652,'Transfer Engine'!$C$2:$C$1960,0)))</f>
        <v/>
      </c>
      <c r="P1661" s="8">
        <f>IF(ISNA(MATCH(1652,'Transfer Engine'!$C$2:$C$1960,0)),"",HYPERLINK("#Acts!A"&amp;INDEX('Compliance Database'!$P$2:$P$1960,MATCH(1652,'Transfer Engine'!$C$2:$C$1960,0)),"Go to Act"))</f>
        <v/>
      </c>
    </row>
    <row r="1662" ht="158" customHeight="1">
      <c r="A1662" s="8">
        <f>IF(ISNA(MATCH(1653,'Transfer Engine'!$C$2:$C$1960,0)),"",INDEX('Compliance Database'!$A$2:$A$1960,MATCH(1653,'Transfer Engine'!$C$2:$C$1960,0)))</f>
        <v/>
      </c>
      <c r="B1662" s="8">
        <f>IF(ISNA(MATCH(1653,'Transfer Engine'!$C$2:$C$1960,0)),"",INDEX('Compliance Database'!$B$2:$B$1960,MATCH(1653,'Transfer Engine'!$C$2:$C$1960,0)))</f>
        <v/>
      </c>
      <c r="C1662" s="8">
        <f>IF(ISNA(MATCH(1653,'Transfer Engine'!$C$2:$C$1960,0)),"",INDEX('Compliance Database'!$C$2:$C$1960,MATCH(1653,'Transfer Engine'!$C$2:$C$1960,0)))</f>
        <v/>
      </c>
      <c r="D1662" s="9">
        <f>IF(ISNA(MATCH(1653,'Transfer Engine'!$C$2:$C$1960,0)),"",INDEX('Compliance Database'!$D$2:$D$1960,MATCH(1653,'Transfer Engine'!$C$2:$C$1960,0)))</f>
        <v/>
      </c>
      <c r="E1662" s="8">
        <f>IF(ISNA(MATCH(1653,'Transfer Engine'!$C$2:$C$1960,0)),"",INDEX('Compliance Database'!$E$2:$E$1960,MATCH(1653,'Transfer Engine'!$C$2:$C$1960,0)))</f>
        <v/>
      </c>
      <c r="F1662" s="8">
        <f>IF(ISNA(MATCH(1653,'Transfer Engine'!$C$2:$C$1960,0)),"",INDEX('Compliance Database'!$F$2:$F$1960,MATCH(1653,'Transfer Engine'!$C$2:$C$1960,0)))</f>
        <v/>
      </c>
      <c r="G1662" s="8">
        <f>IF(ISNA(MATCH(1653,'Transfer Engine'!$C$2:$C$1960,0)),"",INDEX('Compliance Database'!$G$2:$G$1960,MATCH(1653,'Transfer Engine'!$C$2:$C$1960,0)))</f>
        <v/>
      </c>
      <c r="H1662" s="9">
        <f>IF(ISNA(MATCH(1653,'Transfer Engine'!$C$2:$C$1960,0)),"",INDEX('Compliance Database'!$H$2:$H$1960,MATCH(1653,'Transfer Engine'!$C$2:$C$1960,0)))</f>
        <v/>
      </c>
      <c r="I1662" s="9">
        <f>IF(ISNA(MATCH(1653,'Transfer Engine'!$C$2:$C$1960,0)),"",INDEX('Compliance Database'!$I$2:$I$1960,MATCH(1653,'Transfer Engine'!$C$2:$C$1960,0)))</f>
        <v/>
      </c>
      <c r="J1662" s="8">
        <f>IF(ISNA(MATCH(1653,'Transfer Engine'!$C$2:$C$1960,0)),"",INDEX('Compliance Database'!$J$2:$J$1960,MATCH(1653,'Transfer Engine'!$C$2:$C$1960,0)))</f>
        <v/>
      </c>
      <c r="K1662" s="9">
        <f>IF(ISNA(MATCH(1653,'Transfer Engine'!$C$2:$C$1960,0)),"",INDEX('Compliance Database'!$K$2:$K$1960,MATCH(1653,'Transfer Engine'!$C$2:$C$1960,0)))</f>
        <v/>
      </c>
      <c r="L1662" s="9">
        <f>IF(ISNA(MATCH(1653,'Transfer Engine'!$C$2:$C$1960,0)),"",INDEX('Compliance Database'!$L$2:$L$1960,MATCH(1653,'Transfer Engine'!$C$2:$C$1960,0)))</f>
        <v/>
      </c>
      <c r="M1662" s="9">
        <f>IF(ISNA(MATCH(1653,'Transfer Engine'!$C$2:$C$1960,0)),"",INDEX('Compliance Database'!$M$2:$M$1960,MATCH(1653,'Transfer Engine'!$C$2:$C$1960,0)))</f>
        <v/>
      </c>
      <c r="N1662" s="9">
        <f>IF(ISNA(MATCH(1653,'Transfer Engine'!$C$2:$C$1960,0)),"",INDEX('Compliance Database'!$N$2:$N$1960,MATCH(1653,'Transfer Engine'!$C$2:$C$1960,0)))</f>
        <v/>
      </c>
      <c r="O1662" s="9">
        <f>IF(ISNA(MATCH(1653,'Transfer Engine'!$C$2:$C$1960,0)),"",INDEX('Compliance Database'!$O$2:$O$1960,MATCH(1653,'Transfer Engine'!$C$2:$C$1960,0)))</f>
        <v/>
      </c>
      <c r="P1662" s="8">
        <f>IF(ISNA(MATCH(1653,'Transfer Engine'!$C$2:$C$1960,0)),"",HYPERLINK("#Acts!A"&amp;INDEX('Compliance Database'!$P$2:$P$1960,MATCH(1653,'Transfer Engine'!$C$2:$C$1960,0)),"Go to Act"))</f>
        <v/>
      </c>
    </row>
    <row r="1663" ht="158" customHeight="1">
      <c r="A1663" s="8">
        <f>IF(ISNA(MATCH(1654,'Transfer Engine'!$C$2:$C$1960,0)),"",INDEX('Compliance Database'!$A$2:$A$1960,MATCH(1654,'Transfer Engine'!$C$2:$C$1960,0)))</f>
        <v/>
      </c>
      <c r="B1663" s="8">
        <f>IF(ISNA(MATCH(1654,'Transfer Engine'!$C$2:$C$1960,0)),"",INDEX('Compliance Database'!$B$2:$B$1960,MATCH(1654,'Transfer Engine'!$C$2:$C$1960,0)))</f>
        <v/>
      </c>
      <c r="C1663" s="8">
        <f>IF(ISNA(MATCH(1654,'Transfer Engine'!$C$2:$C$1960,0)),"",INDEX('Compliance Database'!$C$2:$C$1960,MATCH(1654,'Transfer Engine'!$C$2:$C$1960,0)))</f>
        <v/>
      </c>
      <c r="D1663" s="9">
        <f>IF(ISNA(MATCH(1654,'Transfer Engine'!$C$2:$C$1960,0)),"",INDEX('Compliance Database'!$D$2:$D$1960,MATCH(1654,'Transfer Engine'!$C$2:$C$1960,0)))</f>
        <v/>
      </c>
      <c r="E1663" s="8">
        <f>IF(ISNA(MATCH(1654,'Transfer Engine'!$C$2:$C$1960,0)),"",INDEX('Compliance Database'!$E$2:$E$1960,MATCH(1654,'Transfer Engine'!$C$2:$C$1960,0)))</f>
        <v/>
      </c>
      <c r="F1663" s="8">
        <f>IF(ISNA(MATCH(1654,'Transfer Engine'!$C$2:$C$1960,0)),"",INDEX('Compliance Database'!$F$2:$F$1960,MATCH(1654,'Transfer Engine'!$C$2:$C$1960,0)))</f>
        <v/>
      </c>
      <c r="G1663" s="8">
        <f>IF(ISNA(MATCH(1654,'Transfer Engine'!$C$2:$C$1960,0)),"",INDEX('Compliance Database'!$G$2:$G$1960,MATCH(1654,'Transfer Engine'!$C$2:$C$1960,0)))</f>
        <v/>
      </c>
      <c r="H1663" s="9">
        <f>IF(ISNA(MATCH(1654,'Transfer Engine'!$C$2:$C$1960,0)),"",INDEX('Compliance Database'!$H$2:$H$1960,MATCH(1654,'Transfer Engine'!$C$2:$C$1960,0)))</f>
        <v/>
      </c>
      <c r="I1663" s="9">
        <f>IF(ISNA(MATCH(1654,'Transfer Engine'!$C$2:$C$1960,0)),"",INDEX('Compliance Database'!$I$2:$I$1960,MATCH(1654,'Transfer Engine'!$C$2:$C$1960,0)))</f>
        <v/>
      </c>
      <c r="J1663" s="8">
        <f>IF(ISNA(MATCH(1654,'Transfer Engine'!$C$2:$C$1960,0)),"",INDEX('Compliance Database'!$J$2:$J$1960,MATCH(1654,'Transfer Engine'!$C$2:$C$1960,0)))</f>
        <v/>
      </c>
      <c r="K1663" s="9">
        <f>IF(ISNA(MATCH(1654,'Transfer Engine'!$C$2:$C$1960,0)),"",INDEX('Compliance Database'!$K$2:$K$1960,MATCH(1654,'Transfer Engine'!$C$2:$C$1960,0)))</f>
        <v/>
      </c>
      <c r="L1663" s="9">
        <f>IF(ISNA(MATCH(1654,'Transfer Engine'!$C$2:$C$1960,0)),"",INDEX('Compliance Database'!$L$2:$L$1960,MATCH(1654,'Transfer Engine'!$C$2:$C$1960,0)))</f>
        <v/>
      </c>
      <c r="M1663" s="9">
        <f>IF(ISNA(MATCH(1654,'Transfer Engine'!$C$2:$C$1960,0)),"",INDEX('Compliance Database'!$M$2:$M$1960,MATCH(1654,'Transfer Engine'!$C$2:$C$1960,0)))</f>
        <v/>
      </c>
      <c r="N1663" s="9">
        <f>IF(ISNA(MATCH(1654,'Transfer Engine'!$C$2:$C$1960,0)),"",INDEX('Compliance Database'!$N$2:$N$1960,MATCH(1654,'Transfer Engine'!$C$2:$C$1960,0)))</f>
        <v/>
      </c>
      <c r="O1663" s="9">
        <f>IF(ISNA(MATCH(1654,'Transfer Engine'!$C$2:$C$1960,0)),"",INDEX('Compliance Database'!$O$2:$O$1960,MATCH(1654,'Transfer Engine'!$C$2:$C$1960,0)))</f>
        <v/>
      </c>
      <c r="P1663" s="8">
        <f>IF(ISNA(MATCH(1654,'Transfer Engine'!$C$2:$C$1960,0)),"",HYPERLINK("#Acts!A"&amp;INDEX('Compliance Database'!$P$2:$P$1960,MATCH(1654,'Transfer Engine'!$C$2:$C$1960,0)),"Go to Act"))</f>
        <v/>
      </c>
    </row>
    <row r="1664" ht="158" customHeight="1">
      <c r="A1664" s="8">
        <f>IF(ISNA(MATCH(1655,'Transfer Engine'!$C$2:$C$1960,0)),"",INDEX('Compliance Database'!$A$2:$A$1960,MATCH(1655,'Transfer Engine'!$C$2:$C$1960,0)))</f>
        <v/>
      </c>
      <c r="B1664" s="8">
        <f>IF(ISNA(MATCH(1655,'Transfer Engine'!$C$2:$C$1960,0)),"",INDEX('Compliance Database'!$B$2:$B$1960,MATCH(1655,'Transfer Engine'!$C$2:$C$1960,0)))</f>
        <v/>
      </c>
      <c r="C1664" s="8">
        <f>IF(ISNA(MATCH(1655,'Transfer Engine'!$C$2:$C$1960,0)),"",INDEX('Compliance Database'!$C$2:$C$1960,MATCH(1655,'Transfer Engine'!$C$2:$C$1960,0)))</f>
        <v/>
      </c>
      <c r="D1664" s="9">
        <f>IF(ISNA(MATCH(1655,'Transfer Engine'!$C$2:$C$1960,0)),"",INDEX('Compliance Database'!$D$2:$D$1960,MATCH(1655,'Transfer Engine'!$C$2:$C$1960,0)))</f>
        <v/>
      </c>
      <c r="E1664" s="8">
        <f>IF(ISNA(MATCH(1655,'Transfer Engine'!$C$2:$C$1960,0)),"",INDEX('Compliance Database'!$E$2:$E$1960,MATCH(1655,'Transfer Engine'!$C$2:$C$1960,0)))</f>
        <v/>
      </c>
      <c r="F1664" s="8">
        <f>IF(ISNA(MATCH(1655,'Transfer Engine'!$C$2:$C$1960,0)),"",INDEX('Compliance Database'!$F$2:$F$1960,MATCH(1655,'Transfer Engine'!$C$2:$C$1960,0)))</f>
        <v/>
      </c>
      <c r="G1664" s="8">
        <f>IF(ISNA(MATCH(1655,'Transfer Engine'!$C$2:$C$1960,0)),"",INDEX('Compliance Database'!$G$2:$G$1960,MATCH(1655,'Transfer Engine'!$C$2:$C$1960,0)))</f>
        <v/>
      </c>
      <c r="H1664" s="9">
        <f>IF(ISNA(MATCH(1655,'Transfer Engine'!$C$2:$C$1960,0)),"",INDEX('Compliance Database'!$H$2:$H$1960,MATCH(1655,'Transfer Engine'!$C$2:$C$1960,0)))</f>
        <v/>
      </c>
      <c r="I1664" s="9">
        <f>IF(ISNA(MATCH(1655,'Transfer Engine'!$C$2:$C$1960,0)),"",INDEX('Compliance Database'!$I$2:$I$1960,MATCH(1655,'Transfer Engine'!$C$2:$C$1960,0)))</f>
        <v/>
      </c>
      <c r="J1664" s="8">
        <f>IF(ISNA(MATCH(1655,'Transfer Engine'!$C$2:$C$1960,0)),"",INDEX('Compliance Database'!$J$2:$J$1960,MATCH(1655,'Transfer Engine'!$C$2:$C$1960,0)))</f>
        <v/>
      </c>
      <c r="K1664" s="9">
        <f>IF(ISNA(MATCH(1655,'Transfer Engine'!$C$2:$C$1960,0)),"",INDEX('Compliance Database'!$K$2:$K$1960,MATCH(1655,'Transfer Engine'!$C$2:$C$1960,0)))</f>
        <v/>
      </c>
      <c r="L1664" s="9">
        <f>IF(ISNA(MATCH(1655,'Transfer Engine'!$C$2:$C$1960,0)),"",INDEX('Compliance Database'!$L$2:$L$1960,MATCH(1655,'Transfer Engine'!$C$2:$C$1960,0)))</f>
        <v/>
      </c>
      <c r="M1664" s="9">
        <f>IF(ISNA(MATCH(1655,'Transfer Engine'!$C$2:$C$1960,0)),"",INDEX('Compliance Database'!$M$2:$M$1960,MATCH(1655,'Transfer Engine'!$C$2:$C$1960,0)))</f>
        <v/>
      </c>
      <c r="N1664" s="9">
        <f>IF(ISNA(MATCH(1655,'Transfer Engine'!$C$2:$C$1960,0)),"",INDEX('Compliance Database'!$N$2:$N$1960,MATCH(1655,'Transfer Engine'!$C$2:$C$1960,0)))</f>
        <v/>
      </c>
      <c r="O1664" s="9">
        <f>IF(ISNA(MATCH(1655,'Transfer Engine'!$C$2:$C$1960,0)),"",INDEX('Compliance Database'!$O$2:$O$1960,MATCH(1655,'Transfer Engine'!$C$2:$C$1960,0)))</f>
        <v/>
      </c>
      <c r="P1664" s="8">
        <f>IF(ISNA(MATCH(1655,'Transfer Engine'!$C$2:$C$1960,0)),"",HYPERLINK("#Acts!A"&amp;INDEX('Compliance Database'!$P$2:$P$1960,MATCH(1655,'Transfer Engine'!$C$2:$C$1960,0)),"Go to Act"))</f>
        <v/>
      </c>
    </row>
    <row r="1665" ht="158" customHeight="1">
      <c r="A1665" s="8">
        <f>IF(ISNA(MATCH(1656,'Transfer Engine'!$C$2:$C$1960,0)),"",INDEX('Compliance Database'!$A$2:$A$1960,MATCH(1656,'Transfer Engine'!$C$2:$C$1960,0)))</f>
        <v/>
      </c>
      <c r="B1665" s="8">
        <f>IF(ISNA(MATCH(1656,'Transfer Engine'!$C$2:$C$1960,0)),"",INDEX('Compliance Database'!$B$2:$B$1960,MATCH(1656,'Transfer Engine'!$C$2:$C$1960,0)))</f>
        <v/>
      </c>
      <c r="C1665" s="8">
        <f>IF(ISNA(MATCH(1656,'Transfer Engine'!$C$2:$C$1960,0)),"",INDEX('Compliance Database'!$C$2:$C$1960,MATCH(1656,'Transfer Engine'!$C$2:$C$1960,0)))</f>
        <v/>
      </c>
      <c r="D1665" s="9">
        <f>IF(ISNA(MATCH(1656,'Transfer Engine'!$C$2:$C$1960,0)),"",INDEX('Compliance Database'!$D$2:$D$1960,MATCH(1656,'Transfer Engine'!$C$2:$C$1960,0)))</f>
        <v/>
      </c>
      <c r="E1665" s="8">
        <f>IF(ISNA(MATCH(1656,'Transfer Engine'!$C$2:$C$1960,0)),"",INDEX('Compliance Database'!$E$2:$E$1960,MATCH(1656,'Transfer Engine'!$C$2:$C$1960,0)))</f>
        <v/>
      </c>
      <c r="F1665" s="8">
        <f>IF(ISNA(MATCH(1656,'Transfer Engine'!$C$2:$C$1960,0)),"",INDEX('Compliance Database'!$F$2:$F$1960,MATCH(1656,'Transfer Engine'!$C$2:$C$1960,0)))</f>
        <v/>
      </c>
      <c r="G1665" s="8">
        <f>IF(ISNA(MATCH(1656,'Transfer Engine'!$C$2:$C$1960,0)),"",INDEX('Compliance Database'!$G$2:$G$1960,MATCH(1656,'Transfer Engine'!$C$2:$C$1960,0)))</f>
        <v/>
      </c>
      <c r="H1665" s="9">
        <f>IF(ISNA(MATCH(1656,'Transfer Engine'!$C$2:$C$1960,0)),"",INDEX('Compliance Database'!$H$2:$H$1960,MATCH(1656,'Transfer Engine'!$C$2:$C$1960,0)))</f>
        <v/>
      </c>
      <c r="I1665" s="9">
        <f>IF(ISNA(MATCH(1656,'Transfer Engine'!$C$2:$C$1960,0)),"",INDEX('Compliance Database'!$I$2:$I$1960,MATCH(1656,'Transfer Engine'!$C$2:$C$1960,0)))</f>
        <v/>
      </c>
      <c r="J1665" s="8">
        <f>IF(ISNA(MATCH(1656,'Transfer Engine'!$C$2:$C$1960,0)),"",INDEX('Compliance Database'!$J$2:$J$1960,MATCH(1656,'Transfer Engine'!$C$2:$C$1960,0)))</f>
        <v/>
      </c>
      <c r="K1665" s="9">
        <f>IF(ISNA(MATCH(1656,'Transfer Engine'!$C$2:$C$1960,0)),"",INDEX('Compliance Database'!$K$2:$K$1960,MATCH(1656,'Transfer Engine'!$C$2:$C$1960,0)))</f>
        <v/>
      </c>
      <c r="L1665" s="9">
        <f>IF(ISNA(MATCH(1656,'Transfer Engine'!$C$2:$C$1960,0)),"",INDEX('Compliance Database'!$L$2:$L$1960,MATCH(1656,'Transfer Engine'!$C$2:$C$1960,0)))</f>
        <v/>
      </c>
      <c r="M1665" s="9">
        <f>IF(ISNA(MATCH(1656,'Transfer Engine'!$C$2:$C$1960,0)),"",INDEX('Compliance Database'!$M$2:$M$1960,MATCH(1656,'Transfer Engine'!$C$2:$C$1960,0)))</f>
        <v/>
      </c>
      <c r="N1665" s="9">
        <f>IF(ISNA(MATCH(1656,'Transfer Engine'!$C$2:$C$1960,0)),"",INDEX('Compliance Database'!$N$2:$N$1960,MATCH(1656,'Transfer Engine'!$C$2:$C$1960,0)))</f>
        <v/>
      </c>
      <c r="O1665" s="9">
        <f>IF(ISNA(MATCH(1656,'Transfer Engine'!$C$2:$C$1960,0)),"",INDEX('Compliance Database'!$O$2:$O$1960,MATCH(1656,'Transfer Engine'!$C$2:$C$1960,0)))</f>
        <v/>
      </c>
      <c r="P1665" s="8">
        <f>IF(ISNA(MATCH(1656,'Transfer Engine'!$C$2:$C$1960,0)),"",HYPERLINK("#Acts!A"&amp;INDEX('Compliance Database'!$P$2:$P$1960,MATCH(1656,'Transfer Engine'!$C$2:$C$1960,0)),"Go to Act"))</f>
        <v/>
      </c>
    </row>
    <row r="1666" ht="158" customHeight="1">
      <c r="A1666" s="8">
        <f>IF(ISNA(MATCH(1657,'Transfer Engine'!$C$2:$C$1960,0)),"",INDEX('Compliance Database'!$A$2:$A$1960,MATCH(1657,'Transfer Engine'!$C$2:$C$1960,0)))</f>
        <v/>
      </c>
      <c r="B1666" s="8">
        <f>IF(ISNA(MATCH(1657,'Transfer Engine'!$C$2:$C$1960,0)),"",INDEX('Compliance Database'!$B$2:$B$1960,MATCH(1657,'Transfer Engine'!$C$2:$C$1960,0)))</f>
        <v/>
      </c>
      <c r="C1666" s="8">
        <f>IF(ISNA(MATCH(1657,'Transfer Engine'!$C$2:$C$1960,0)),"",INDEX('Compliance Database'!$C$2:$C$1960,MATCH(1657,'Transfer Engine'!$C$2:$C$1960,0)))</f>
        <v/>
      </c>
      <c r="D1666" s="9">
        <f>IF(ISNA(MATCH(1657,'Transfer Engine'!$C$2:$C$1960,0)),"",INDEX('Compliance Database'!$D$2:$D$1960,MATCH(1657,'Transfer Engine'!$C$2:$C$1960,0)))</f>
        <v/>
      </c>
      <c r="E1666" s="8">
        <f>IF(ISNA(MATCH(1657,'Transfer Engine'!$C$2:$C$1960,0)),"",INDEX('Compliance Database'!$E$2:$E$1960,MATCH(1657,'Transfer Engine'!$C$2:$C$1960,0)))</f>
        <v/>
      </c>
      <c r="F1666" s="8">
        <f>IF(ISNA(MATCH(1657,'Transfer Engine'!$C$2:$C$1960,0)),"",INDEX('Compliance Database'!$F$2:$F$1960,MATCH(1657,'Transfer Engine'!$C$2:$C$1960,0)))</f>
        <v/>
      </c>
      <c r="G1666" s="8">
        <f>IF(ISNA(MATCH(1657,'Transfer Engine'!$C$2:$C$1960,0)),"",INDEX('Compliance Database'!$G$2:$G$1960,MATCH(1657,'Transfer Engine'!$C$2:$C$1960,0)))</f>
        <v/>
      </c>
      <c r="H1666" s="9">
        <f>IF(ISNA(MATCH(1657,'Transfer Engine'!$C$2:$C$1960,0)),"",INDEX('Compliance Database'!$H$2:$H$1960,MATCH(1657,'Transfer Engine'!$C$2:$C$1960,0)))</f>
        <v/>
      </c>
      <c r="I1666" s="9">
        <f>IF(ISNA(MATCH(1657,'Transfer Engine'!$C$2:$C$1960,0)),"",INDEX('Compliance Database'!$I$2:$I$1960,MATCH(1657,'Transfer Engine'!$C$2:$C$1960,0)))</f>
        <v/>
      </c>
      <c r="J1666" s="8">
        <f>IF(ISNA(MATCH(1657,'Transfer Engine'!$C$2:$C$1960,0)),"",INDEX('Compliance Database'!$J$2:$J$1960,MATCH(1657,'Transfer Engine'!$C$2:$C$1960,0)))</f>
        <v/>
      </c>
      <c r="K1666" s="9">
        <f>IF(ISNA(MATCH(1657,'Transfer Engine'!$C$2:$C$1960,0)),"",INDEX('Compliance Database'!$K$2:$K$1960,MATCH(1657,'Transfer Engine'!$C$2:$C$1960,0)))</f>
        <v/>
      </c>
      <c r="L1666" s="9">
        <f>IF(ISNA(MATCH(1657,'Transfer Engine'!$C$2:$C$1960,0)),"",INDEX('Compliance Database'!$L$2:$L$1960,MATCH(1657,'Transfer Engine'!$C$2:$C$1960,0)))</f>
        <v/>
      </c>
      <c r="M1666" s="9">
        <f>IF(ISNA(MATCH(1657,'Transfer Engine'!$C$2:$C$1960,0)),"",INDEX('Compliance Database'!$M$2:$M$1960,MATCH(1657,'Transfer Engine'!$C$2:$C$1960,0)))</f>
        <v/>
      </c>
      <c r="N1666" s="9">
        <f>IF(ISNA(MATCH(1657,'Transfer Engine'!$C$2:$C$1960,0)),"",INDEX('Compliance Database'!$N$2:$N$1960,MATCH(1657,'Transfer Engine'!$C$2:$C$1960,0)))</f>
        <v/>
      </c>
      <c r="O1666" s="9">
        <f>IF(ISNA(MATCH(1657,'Transfer Engine'!$C$2:$C$1960,0)),"",INDEX('Compliance Database'!$O$2:$O$1960,MATCH(1657,'Transfer Engine'!$C$2:$C$1960,0)))</f>
        <v/>
      </c>
      <c r="P1666" s="8">
        <f>IF(ISNA(MATCH(1657,'Transfer Engine'!$C$2:$C$1960,0)),"",HYPERLINK("#Acts!A"&amp;INDEX('Compliance Database'!$P$2:$P$1960,MATCH(1657,'Transfer Engine'!$C$2:$C$1960,0)),"Go to Act"))</f>
        <v/>
      </c>
    </row>
    <row r="1667" ht="158" customHeight="1">
      <c r="A1667" s="8">
        <f>IF(ISNA(MATCH(1658,'Transfer Engine'!$C$2:$C$1960,0)),"",INDEX('Compliance Database'!$A$2:$A$1960,MATCH(1658,'Transfer Engine'!$C$2:$C$1960,0)))</f>
        <v/>
      </c>
      <c r="B1667" s="8">
        <f>IF(ISNA(MATCH(1658,'Transfer Engine'!$C$2:$C$1960,0)),"",INDEX('Compliance Database'!$B$2:$B$1960,MATCH(1658,'Transfer Engine'!$C$2:$C$1960,0)))</f>
        <v/>
      </c>
      <c r="C1667" s="8">
        <f>IF(ISNA(MATCH(1658,'Transfer Engine'!$C$2:$C$1960,0)),"",INDEX('Compliance Database'!$C$2:$C$1960,MATCH(1658,'Transfer Engine'!$C$2:$C$1960,0)))</f>
        <v/>
      </c>
      <c r="D1667" s="9">
        <f>IF(ISNA(MATCH(1658,'Transfer Engine'!$C$2:$C$1960,0)),"",INDEX('Compliance Database'!$D$2:$D$1960,MATCH(1658,'Transfer Engine'!$C$2:$C$1960,0)))</f>
        <v/>
      </c>
      <c r="E1667" s="8">
        <f>IF(ISNA(MATCH(1658,'Transfer Engine'!$C$2:$C$1960,0)),"",INDEX('Compliance Database'!$E$2:$E$1960,MATCH(1658,'Transfer Engine'!$C$2:$C$1960,0)))</f>
        <v/>
      </c>
      <c r="F1667" s="8">
        <f>IF(ISNA(MATCH(1658,'Transfer Engine'!$C$2:$C$1960,0)),"",INDEX('Compliance Database'!$F$2:$F$1960,MATCH(1658,'Transfer Engine'!$C$2:$C$1960,0)))</f>
        <v/>
      </c>
      <c r="G1667" s="8">
        <f>IF(ISNA(MATCH(1658,'Transfer Engine'!$C$2:$C$1960,0)),"",INDEX('Compliance Database'!$G$2:$G$1960,MATCH(1658,'Transfer Engine'!$C$2:$C$1960,0)))</f>
        <v/>
      </c>
      <c r="H1667" s="9">
        <f>IF(ISNA(MATCH(1658,'Transfer Engine'!$C$2:$C$1960,0)),"",INDEX('Compliance Database'!$H$2:$H$1960,MATCH(1658,'Transfer Engine'!$C$2:$C$1960,0)))</f>
        <v/>
      </c>
      <c r="I1667" s="9">
        <f>IF(ISNA(MATCH(1658,'Transfer Engine'!$C$2:$C$1960,0)),"",INDEX('Compliance Database'!$I$2:$I$1960,MATCH(1658,'Transfer Engine'!$C$2:$C$1960,0)))</f>
        <v/>
      </c>
      <c r="J1667" s="8">
        <f>IF(ISNA(MATCH(1658,'Transfer Engine'!$C$2:$C$1960,0)),"",INDEX('Compliance Database'!$J$2:$J$1960,MATCH(1658,'Transfer Engine'!$C$2:$C$1960,0)))</f>
        <v/>
      </c>
      <c r="K1667" s="9">
        <f>IF(ISNA(MATCH(1658,'Transfer Engine'!$C$2:$C$1960,0)),"",INDEX('Compliance Database'!$K$2:$K$1960,MATCH(1658,'Transfer Engine'!$C$2:$C$1960,0)))</f>
        <v/>
      </c>
      <c r="L1667" s="9">
        <f>IF(ISNA(MATCH(1658,'Transfer Engine'!$C$2:$C$1960,0)),"",INDEX('Compliance Database'!$L$2:$L$1960,MATCH(1658,'Transfer Engine'!$C$2:$C$1960,0)))</f>
        <v/>
      </c>
      <c r="M1667" s="9">
        <f>IF(ISNA(MATCH(1658,'Transfer Engine'!$C$2:$C$1960,0)),"",INDEX('Compliance Database'!$M$2:$M$1960,MATCH(1658,'Transfer Engine'!$C$2:$C$1960,0)))</f>
        <v/>
      </c>
      <c r="N1667" s="9">
        <f>IF(ISNA(MATCH(1658,'Transfer Engine'!$C$2:$C$1960,0)),"",INDEX('Compliance Database'!$N$2:$N$1960,MATCH(1658,'Transfer Engine'!$C$2:$C$1960,0)))</f>
        <v/>
      </c>
      <c r="O1667" s="9">
        <f>IF(ISNA(MATCH(1658,'Transfer Engine'!$C$2:$C$1960,0)),"",INDEX('Compliance Database'!$O$2:$O$1960,MATCH(1658,'Transfer Engine'!$C$2:$C$1960,0)))</f>
        <v/>
      </c>
      <c r="P1667" s="8">
        <f>IF(ISNA(MATCH(1658,'Transfer Engine'!$C$2:$C$1960,0)),"",HYPERLINK("#Acts!A"&amp;INDEX('Compliance Database'!$P$2:$P$1960,MATCH(1658,'Transfer Engine'!$C$2:$C$1960,0)),"Go to Act"))</f>
        <v/>
      </c>
    </row>
    <row r="1668" ht="158" customHeight="1">
      <c r="A1668" s="8">
        <f>IF(ISNA(MATCH(1659,'Transfer Engine'!$C$2:$C$1960,0)),"",INDEX('Compliance Database'!$A$2:$A$1960,MATCH(1659,'Transfer Engine'!$C$2:$C$1960,0)))</f>
        <v/>
      </c>
      <c r="B1668" s="8">
        <f>IF(ISNA(MATCH(1659,'Transfer Engine'!$C$2:$C$1960,0)),"",INDEX('Compliance Database'!$B$2:$B$1960,MATCH(1659,'Transfer Engine'!$C$2:$C$1960,0)))</f>
        <v/>
      </c>
      <c r="C1668" s="8">
        <f>IF(ISNA(MATCH(1659,'Transfer Engine'!$C$2:$C$1960,0)),"",INDEX('Compliance Database'!$C$2:$C$1960,MATCH(1659,'Transfer Engine'!$C$2:$C$1960,0)))</f>
        <v/>
      </c>
      <c r="D1668" s="9">
        <f>IF(ISNA(MATCH(1659,'Transfer Engine'!$C$2:$C$1960,0)),"",INDEX('Compliance Database'!$D$2:$D$1960,MATCH(1659,'Transfer Engine'!$C$2:$C$1960,0)))</f>
        <v/>
      </c>
      <c r="E1668" s="8">
        <f>IF(ISNA(MATCH(1659,'Transfer Engine'!$C$2:$C$1960,0)),"",INDEX('Compliance Database'!$E$2:$E$1960,MATCH(1659,'Transfer Engine'!$C$2:$C$1960,0)))</f>
        <v/>
      </c>
      <c r="F1668" s="8">
        <f>IF(ISNA(MATCH(1659,'Transfer Engine'!$C$2:$C$1960,0)),"",INDEX('Compliance Database'!$F$2:$F$1960,MATCH(1659,'Transfer Engine'!$C$2:$C$1960,0)))</f>
        <v/>
      </c>
      <c r="G1668" s="8">
        <f>IF(ISNA(MATCH(1659,'Transfer Engine'!$C$2:$C$1960,0)),"",INDEX('Compliance Database'!$G$2:$G$1960,MATCH(1659,'Transfer Engine'!$C$2:$C$1960,0)))</f>
        <v/>
      </c>
      <c r="H1668" s="9">
        <f>IF(ISNA(MATCH(1659,'Transfer Engine'!$C$2:$C$1960,0)),"",INDEX('Compliance Database'!$H$2:$H$1960,MATCH(1659,'Transfer Engine'!$C$2:$C$1960,0)))</f>
        <v/>
      </c>
      <c r="I1668" s="9">
        <f>IF(ISNA(MATCH(1659,'Transfer Engine'!$C$2:$C$1960,0)),"",INDEX('Compliance Database'!$I$2:$I$1960,MATCH(1659,'Transfer Engine'!$C$2:$C$1960,0)))</f>
        <v/>
      </c>
      <c r="J1668" s="8">
        <f>IF(ISNA(MATCH(1659,'Transfer Engine'!$C$2:$C$1960,0)),"",INDEX('Compliance Database'!$J$2:$J$1960,MATCH(1659,'Transfer Engine'!$C$2:$C$1960,0)))</f>
        <v/>
      </c>
      <c r="K1668" s="9">
        <f>IF(ISNA(MATCH(1659,'Transfer Engine'!$C$2:$C$1960,0)),"",INDEX('Compliance Database'!$K$2:$K$1960,MATCH(1659,'Transfer Engine'!$C$2:$C$1960,0)))</f>
        <v/>
      </c>
      <c r="L1668" s="9">
        <f>IF(ISNA(MATCH(1659,'Transfer Engine'!$C$2:$C$1960,0)),"",INDEX('Compliance Database'!$L$2:$L$1960,MATCH(1659,'Transfer Engine'!$C$2:$C$1960,0)))</f>
        <v/>
      </c>
      <c r="M1668" s="9">
        <f>IF(ISNA(MATCH(1659,'Transfer Engine'!$C$2:$C$1960,0)),"",INDEX('Compliance Database'!$M$2:$M$1960,MATCH(1659,'Transfer Engine'!$C$2:$C$1960,0)))</f>
        <v/>
      </c>
      <c r="N1668" s="9">
        <f>IF(ISNA(MATCH(1659,'Transfer Engine'!$C$2:$C$1960,0)),"",INDEX('Compliance Database'!$N$2:$N$1960,MATCH(1659,'Transfer Engine'!$C$2:$C$1960,0)))</f>
        <v/>
      </c>
      <c r="O1668" s="9">
        <f>IF(ISNA(MATCH(1659,'Transfer Engine'!$C$2:$C$1960,0)),"",INDEX('Compliance Database'!$O$2:$O$1960,MATCH(1659,'Transfer Engine'!$C$2:$C$1960,0)))</f>
        <v/>
      </c>
      <c r="P1668" s="8">
        <f>IF(ISNA(MATCH(1659,'Transfer Engine'!$C$2:$C$1960,0)),"",HYPERLINK("#Acts!A"&amp;INDEX('Compliance Database'!$P$2:$P$1960,MATCH(1659,'Transfer Engine'!$C$2:$C$1960,0)),"Go to Act"))</f>
        <v/>
      </c>
    </row>
    <row r="1669" ht="158" customHeight="1">
      <c r="A1669" s="8">
        <f>IF(ISNA(MATCH(1660,'Transfer Engine'!$C$2:$C$1960,0)),"",INDEX('Compliance Database'!$A$2:$A$1960,MATCH(1660,'Transfer Engine'!$C$2:$C$1960,0)))</f>
        <v/>
      </c>
      <c r="B1669" s="8">
        <f>IF(ISNA(MATCH(1660,'Transfer Engine'!$C$2:$C$1960,0)),"",INDEX('Compliance Database'!$B$2:$B$1960,MATCH(1660,'Transfer Engine'!$C$2:$C$1960,0)))</f>
        <v/>
      </c>
      <c r="C1669" s="8">
        <f>IF(ISNA(MATCH(1660,'Transfer Engine'!$C$2:$C$1960,0)),"",INDEX('Compliance Database'!$C$2:$C$1960,MATCH(1660,'Transfer Engine'!$C$2:$C$1960,0)))</f>
        <v/>
      </c>
      <c r="D1669" s="9">
        <f>IF(ISNA(MATCH(1660,'Transfer Engine'!$C$2:$C$1960,0)),"",INDEX('Compliance Database'!$D$2:$D$1960,MATCH(1660,'Transfer Engine'!$C$2:$C$1960,0)))</f>
        <v/>
      </c>
      <c r="E1669" s="8">
        <f>IF(ISNA(MATCH(1660,'Transfer Engine'!$C$2:$C$1960,0)),"",INDEX('Compliance Database'!$E$2:$E$1960,MATCH(1660,'Transfer Engine'!$C$2:$C$1960,0)))</f>
        <v/>
      </c>
      <c r="F1669" s="8">
        <f>IF(ISNA(MATCH(1660,'Transfer Engine'!$C$2:$C$1960,0)),"",INDEX('Compliance Database'!$F$2:$F$1960,MATCH(1660,'Transfer Engine'!$C$2:$C$1960,0)))</f>
        <v/>
      </c>
      <c r="G1669" s="8">
        <f>IF(ISNA(MATCH(1660,'Transfer Engine'!$C$2:$C$1960,0)),"",INDEX('Compliance Database'!$G$2:$G$1960,MATCH(1660,'Transfer Engine'!$C$2:$C$1960,0)))</f>
        <v/>
      </c>
      <c r="H1669" s="9">
        <f>IF(ISNA(MATCH(1660,'Transfer Engine'!$C$2:$C$1960,0)),"",INDEX('Compliance Database'!$H$2:$H$1960,MATCH(1660,'Transfer Engine'!$C$2:$C$1960,0)))</f>
        <v/>
      </c>
      <c r="I1669" s="9">
        <f>IF(ISNA(MATCH(1660,'Transfer Engine'!$C$2:$C$1960,0)),"",INDEX('Compliance Database'!$I$2:$I$1960,MATCH(1660,'Transfer Engine'!$C$2:$C$1960,0)))</f>
        <v/>
      </c>
      <c r="J1669" s="8">
        <f>IF(ISNA(MATCH(1660,'Transfer Engine'!$C$2:$C$1960,0)),"",INDEX('Compliance Database'!$J$2:$J$1960,MATCH(1660,'Transfer Engine'!$C$2:$C$1960,0)))</f>
        <v/>
      </c>
      <c r="K1669" s="9">
        <f>IF(ISNA(MATCH(1660,'Transfer Engine'!$C$2:$C$1960,0)),"",INDEX('Compliance Database'!$K$2:$K$1960,MATCH(1660,'Transfer Engine'!$C$2:$C$1960,0)))</f>
        <v/>
      </c>
      <c r="L1669" s="9">
        <f>IF(ISNA(MATCH(1660,'Transfer Engine'!$C$2:$C$1960,0)),"",INDEX('Compliance Database'!$L$2:$L$1960,MATCH(1660,'Transfer Engine'!$C$2:$C$1960,0)))</f>
        <v/>
      </c>
      <c r="M1669" s="9">
        <f>IF(ISNA(MATCH(1660,'Transfer Engine'!$C$2:$C$1960,0)),"",INDEX('Compliance Database'!$M$2:$M$1960,MATCH(1660,'Transfer Engine'!$C$2:$C$1960,0)))</f>
        <v/>
      </c>
      <c r="N1669" s="9">
        <f>IF(ISNA(MATCH(1660,'Transfer Engine'!$C$2:$C$1960,0)),"",INDEX('Compliance Database'!$N$2:$N$1960,MATCH(1660,'Transfer Engine'!$C$2:$C$1960,0)))</f>
        <v/>
      </c>
      <c r="O1669" s="9">
        <f>IF(ISNA(MATCH(1660,'Transfer Engine'!$C$2:$C$1960,0)),"",INDEX('Compliance Database'!$O$2:$O$1960,MATCH(1660,'Transfer Engine'!$C$2:$C$1960,0)))</f>
        <v/>
      </c>
      <c r="P1669" s="8">
        <f>IF(ISNA(MATCH(1660,'Transfer Engine'!$C$2:$C$1960,0)),"",HYPERLINK("#Acts!A"&amp;INDEX('Compliance Database'!$P$2:$P$1960,MATCH(1660,'Transfer Engine'!$C$2:$C$1960,0)),"Go to Act"))</f>
        <v/>
      </c>
    </row>
    <row r="1670" ht="158" customHeight="1">
      <c r="A1670" s="8">
        <f>IF(ISNA(MATCH(1661,'Transfer Engine'!$C$2:$C$1960,0)),"",INDEX('Compliance Database'!$A$2:$A$1960,MATCH(1661,'Transfer Engine'!$C$2:$C$1960,0)))</f>
        <v/>
      </c>
      <c r="B1670" s="8">
        <f>IF(ISNA(MATCH(1661,'Transfer Engine'!$C$2:$C$1960,0)),"",INDEX('Compliance Database'!$B$2:$B$1960,MATCH(1661,'Transfer Engine'!$C$2:$C$1960,0)))</f>
        <v/>
      </c>
      <c r="C1670" s="8">
        <f>IF(ISNA(MATCH(1661,'Transfer Engine'!$C$2:$C$1960,0)),"",INDEX('Compliance Database'!$C$2:$C$1960,MATCH(1661,'Transfer Engine'!$C$2:$C$1960,0)))</f>
        <v/>
      </c>
      <c r="D1670" s="9">
        <f>IF(ISNA(MATCH(1661,'Transfer Engine'!$C$2:$C$1960,0)),"",INDEX('Compliance Database'!$D$2:$D$1960,MATCH(1661,'Transfer Engine'!$C$2:$C$1960,0)))</f>
        <v/>
      </c>
      <c r="E1670" s="8">
        <f>IF(ISNA(MATCH(1661,'Transfer Engine'!$C$2:$C$1960,0)),"",INDEX('Compliance Database'!$E$2:$E$1960,MATCH(1661,'Transfer Engine'!$C$2:$C$1960,0)))</f>
        <v/>
      </c>
      <c r="F1670" s="8">
        <f>IF(ISNA(MATCH(1661,'Transfer Engine'!$C$2:$C$1960,0)),"",INDEX('Compliance Database'!$F$2:$F$1960,MATCH(1661,'Transfer Engine'!$C$2:$C$1960,0)))</f>
        <v/>
      </c>
      <c r="G1670" s="8">
        <f>IF(ISNA(MATCH(1661,'Transfer Engine'!$C$2:$C$1960,0)),"",INDEX('Compliance Database'!$G$2:$G$1960,MATCH(1661,'Transfer Engine'!$C$2:$C$1960,0)))</f>
        <v/>
      </c>
      <c r="H1670" s="9">
        <f>IF(ISNA(MATCH(1661,'Transfer Engine'!$C$2:$C$1960,0)),"",INDEX('Compliance Database'!$H$2:$H$1960,MATCH(1661,'Transfer Engine'!$C$2:$C$1960,0)))</f>
        <v/>
      </c>
      <c r="I1670" s="9">
        <f>IF(ISNA(MATCH(1661,'Transfer Engine'!$C$2:$C$1960,0)),"",INDEX('Compliance Database'!$I$2:$I$1960,MATCH(1661,'Transfer Engine'!$C$2:$C$1960,0)))</f>
        <v/>
      </c>
      <c r="J1670" s="8">
        <f>IF(ISNA(MATCH(1661,'Transfer Engine'!$C$2:$C$1960,0)),"",INDEX('Compliance Database'!$J$2:$J$1960,MATCH(1661,'Transfer Engine'!$C$2:$C$1960,0)))</f>
        <v/>
      </c>
      <c r="K1670" s="9">
        <f>IF(ISNA(MATCH(1661,'Transfer Engine'!$C$2:$C$1960,0)),"",INDEX('Compliance Database'!$K$2:$K$1960,MATCH(1661,'Transfer Engine'!$C$2:$C$1960,0)))</f>
        <v/>
      </c>
      <c r="L1670" s="9">
        <f>IF(ISNA(MATCH(1661,'Transfer Engine'!$C$2:$C$1960,0)),"",INDEX('Compliance Database'!$L$2:$L$1960,MATCH(1661,'Transfer Engine'!$C$2:$C$1960,0)))</f>
        <v/>
      </c>
      <c r="M1670" s="9">
        <f>IF(ISNA(MATCH(1661,'Transfer Engine'!$C$2:$C$1960,0)),"",INDEX('Compliance Database'!$M$2:$M$1960,MATCH(1661,'Transfer Engine'!$C$2:$C$1960,0)))</f>
        <v/>
      </c>
      <c r="N1670" s="9">
        <f>IF(ISNA(MATCH(1661,'Transfer Engine'!$C$2:$C$1960,0)),"",INDEX('Compliance Database'!$N$2:$N$1960,MATCH(1661,'Transfer Engine'!$C$2:$C$1960,0)))</f>
        <v/>
      </c>
      <c r="O1670" s="9">
        <f>IF(ISNA(MATCH(1661,'Transfer Engine'!$C$2:$C$1960,0)),"",INDEX('Compliance Database'!$O$2:$O$1960,MATCH(1661,'Transfer Engine'!$C$2:$C$1960,0)))</f>
        <v/>
      </c>
      <c r="P1670" s="8">
        <f>IF(ISNA(MATCH(1661,'Transfer Engine'!$C$2:$C$1960,0)),"",HYPERLINK("#Acts!A"&amp;INDEX('Compliance Database'!$P$2:$P$1960,MATCH(1661,'Transfer Engine'!$C$2:$C$1960,0)),"Go to Act"))</f>
        <v/>
      </c>
    </row>
    <row r="1671" ht="158" customHeight="1">
      <c r="A1671" s="8">
        <f>IF(ISNA(MATCH(1662,'Transfer Engine'!$C$2:$C$1960,0)),"",INDEX('Compliance Database'!$A$2:$A$1960,MATCH(1662,'Transfer Engine'!$C$2:$C$1960,0)))</f>
        <v/>
      </c>
      <c r="B1671" s="8">
        <f>IF(ISNA(MATCH(1662,'Transfer Engine'!$C$2:$C$1960,0)),"",INDEX('Compliance Database'!$B$2:$B$1960,MATCH(1662,'Transfer Engine'!$C$2:$C$1960,0)))</f>
        <v/>
      </c>
      <c r="C1671" s="8">
        <f>IF(ISNA(MATCH(1662,'Transfer Engine'!$C$2:$C$1960,0)),"",INDEX('Compliance Database'!$C$2:$C$1960,MATCH(1662,'Transfer Engine'!$C$2:$C$1960,0)))</f>
        <v/>
      </c>
      <c r="D1671" s="9">
        <f>IF(ISNA(MATCH(1662,'Transfer Engine'!$C$2:$C$1960,0)),"",INDEX('Compliance Database'!$D$2:$D$1960,MATCH(1662,'Transfer Engine'!$C$2:$C$1960,0)))</f>
        <v/>
      </c>
      <c r="E1671" s="8">
        <f>IF(ISNA(MATCH(1662,'Transfer Engine'!$C$2:$C$1960,0)),"",INDEX('Compliance Database'!$E$2:$E$1960,MATCH(1662,'Transfer Engine'!$C$2:$C$1960,0)))</f>
        <v/>
      </c>
      <c r="F1671" s="8">
        <f>IF(ISNA(MATCH(1662,'Transfer Engine'!$C$2:$C$1960,0)),"",INDEX('Compliance Database'!$F$2:$F$1960,MATCH(1662,'Transfer Engine'!$C$2:$C$1960,0)))</f>
        <v/>
      </c>
      <c r="G1671" s="8">
        <f>IF(ISNA(MATCH(1662,'Transfer Engine'!$C$2:$C$1960,0)),"",INDEX('Compliance Database'!$G$2:$G$1960,MATCH(1662,'Transfer Engine'!$C$2:$C$1960,0)))</f>
        <v/>
      </c>
      <c r="H1671" s="9">
        <f>IF(ISNA(MATCH(1662,'Transfer Engine'!$C$2:$C$1960,0)),"",INDEX('Compliance Database'!$H$2:$H$1960,MATCH(1662,'Transfer Engine'!$C$2:$C$1960,0)))</f>
        <v/>
      </c>
      <c r="I1671" s="9">
        <f>IF(ISNA(MATCH(1662,'Transfer Engine'!$C$2:$C$1960,0)),"",INDEX('Compliance Database'!$I$2:$I$1960,MATCH(1662,'Transfer Engine'!$C$2:$C$1960,0)))</f>
        <v/>
      </c>
      <c r="J1671" s="8">
        <f>IF(ISNA(MATCH(1662,'Transfer Engine'!$C$2:$C$1960,0)),"",INDEX('Compliance Database'!$J$2:$J$1960,MATCH(1662,'Transfer Engine'!$C$2:$C$1960,0)))</f>
        <v/>
      </c>
      <c r="K1671" s="9">
        <f>IF(ISNA(MATCH(1662,'Transfer Engine'!$C$2:$C$1960,0)),"",INDEX('Compliance Database'!$K$2:$K$1960,MATCH(1662,'Transfer Engine'!$C$2:$C$1960,0)))</f>
        <v/>
      </c>
      <c r="L1671" s="9">
        <f>IF(ISNA(MATCH(1662,'Transfer Engine'!$C$2:$C$1960,0)),"",INDEX('Compliance Database'!$L$2:$L$1960,MATCH(1662,'Transfer Engine'!$C$2:$C$1960,0)))</f>
        <v/>
      </c>
      <c r="M1671" s="9">
        <f>IF(ISNA(MATCH(1662,'Transfer Engine'!$C$2:$C$1960,0)),"",INDEX('Compliance Database'!$M$2:$M$1960,MATCH(1662,'Transfer Engine'!$C$2:$C$1960,0)))</f>
        <v/>
      </c>
      <c r="N1671" s="9">
        <f>IF(ISNA(MATCH(1662,'Transfer Engine'!$C$2:$C$1960,0)),"",INDEX('Compliance Database'!$N$2:$N$1960,MATCH(1662,'Transfer Engine'!$C$2:$C$1960,0)))</f>
        <v/>
      </c>
      <c r="O1671" s="9">
        <f>IF(ISNA(MATCH(1662,'Transfer Engine'!$C$2:$C$1960,0)),"",INDEX('Compliance Database'!$O$2:$O$1960,MATCH(1662,'Transfer Engine'!$C$2:$C$1960,0)))</f>
        <v/>
      </c>
      <c r="P1671" s="8">
        <f>IF(ISNA(MATCH(1662,'Transfer Engine'!$C$2:$C$1960,0)),"",HYPERLINK("#Acts!A"&amp;INDEX('Compliance Database'!$P$2:$P$1960,MATCH(1662,'Transfer Engine'!$C$2:$C$1960,0)),"Go to Act"))</f>
        <v/>
      </c>
    </row>
    <row r="1672" ht="158" customHeight="1">
      <c r="A1672" s="8">
        <f>IF(ISNA(MATCH(1663,'Transfer Engine'!$C$2:$C$1960,0)),"",INDEX('Compliance Database'!$A$2:$A$1960,MATCH(1663,'Transfer Engine'!$C$2:$C$1960,0)))</f>
        <v/>
      </c>
      <c r="B1672" s="8">
        <f>IF(ISNA(MATCH(1663,'Transfer Engine'!$C$2:$C$1960,0)),"",INDEX('Compliance Database'!$B$2:$B$1960,MATCH(1663,'Transfer Engine'!$C$2:$C$1960,0)))</f>
        <v/>
      </c>
      <c r="C1672" s="8">
        <f>IF(ISNA(MATCH(1663,'Transfer Engine'!$C$2:$C$1960,0)),"",INDEX('Compliance Database'!$C$2:$C$1960,MATCH(1663,'Transfer Engine'!$C$2:$C$1960,0)))</f>
        <v/>
      </c>
      <c r="D1672" s="9">
        <f>IF(ISNA(MATCH(1663,'Transfer Engine'!$C$2:$C$1960,0)),"",INDEX('Compliance Database'!$D$2:$D$1960,MATCH(1663,'Transfer Engine'!$C$2:$C$1960,0)))</f>
        <v/>
      </c>
      <c r="E1672" s="8">
        <f>IF(ISNA(MATCH(1663,'Transfer Engine'!$C$2:$C$1960,0)),"",INDEX('Compliance Database'!$E$2:$E$1960,MATCH(1663,'Transfer Engine'!$C$2:$C$1960,0)))</f>
        <v/>
      </c>
      <c r="F1672" s="8">
        <f>IF(ISNA(MATCH(1663,'Transfer Engine'!$C$2:$C$1960,0)),"",INDEX('Compliance Database'!$F$2:$F$1960,MATCH(1663,'Transfer Engine'!$C$2:$C$1960,0)))</f>
        <v/>
      </c>
      <c r="G1672" s="8">
        <f>IF(ISNA(MATCH(1663,'Transfer Engine'!$C$2:$C$1960,0)),"",INDEX('Compliance Database'!$G$2:$G$1960,MATCH(1663,'Transfer Engine'!$C$2:$C$1960,0)))</f>
        <v/>
      </c>
      <c r="H1672" s="9">
        <f>IF(ISNA(MATCH(1663,'Transfer Engine'!$C$2:$C$1960,0)),"",INDEX('Compliance Database'!$H$2:$H$1960,MATCH(1663,'Transfer Engine'!$C$2:$C$1960,0)))</f>
        <v/>
      </c>
      <c r="I1672" s="9">
        <f>IF(ISNA(MATCH(1663,'Transfer Engine'!$C$2:$C$1960,0)),"",INDEX('Compliance Database'!$I$2:$I$1960,MATCH(1663,'Transfer Engine'!$C$2:$C$1960,0)))</f>
        <v/>
      </c>
      <c r="J1672" s="8">
        <f>IF(ISNA(MATCH(1663,'Transfer Engine'!$C$2:$C$1960,0)),"",INDEX('Compliance Database'!$J$2:$J$1960,MATCH(1663,'Transfer Engine'!$C$2:$C$1960,0)))</f>
        <v/>
      </c>
      <c r="K1672" s="9">
        <f>IF(ISNA(MATCH(1663,'Transfer Engine'!$C$2:$C$1960,0)),"",INDEX('Compliance Database'!$K$2:$K$1960,MATCH(1663,'Transfer Engine'!$C$2:$C$1960,0)))</f>
        <v/>
      </c>
      <c r="L1672" s="9">
        <f>IF(ISNA(MATCH(1663,'Transfer Engine'!$C$2:$C$1960,0)),"",INDEX('Compliance Database'!$L$2:$L$1960,MATCH(1663,'Transfer Engine'!$C$2:$C$1960,0)))</f>
        <v/>
      </c>
      <c r="M1672" s="9">
        <f>IF(ISNA(MATCH(1663,'Transfer Engine'!$C$2:$C$1960,0)),"",INDEX('Compliance Database'!$M$2:$M$1960,MATCH(1663,'Transfer Engine'!$C$2:$C$1960,0)))</f>
        <v/>
      </c>
      <c r="N1672" s="9">
        <f>IF(ISNA(MATCH(1663,'Transfer Engine'!$C$2:$C$1960,0)),"",INDEX('Compliance Database'!$N$2:$N$1960,MATCH(1663,'Transfer Engine'!$C$2:$C$1960,0)))</f>
        <v/>
      </c>
      <c r="O1672" s="9">
        <f>IF(ISNA(MATCH(1663,'Transfer Engine'!$C$2:$C$1960,0)),"",INDEX('Compliance Database'!$O$2:$O$1960,MATCH(1663,'Transfer Engine'!$C$2:$C$1960,0)))</f>
        <v/>
      </c>
      <c r="P1672" s="8">
        <f>IF(ISNA(MATCH(1663,'Transfer Engine'!$C$2:$C$1960,0)),"",HYPERLINK("#Acts!A"&amp;INDEX('Compliance Database'!$P$2:$P$1960,MATCH(1663,'Transfer Engine'!$C$2:$C$1960,0)),"Go to Act"))</f>
        <v/>
      </c>
    </row>
    <row r="1673" ht="158" customHeight="1">
      <c r="A1673" s="8">
        <f>IF(ISNA(MATCH(1664,'Transfer Engine'!$C$2:$C$1960,0)),"",INDEX('Compliance Database'!$A$2:$A$1960,MATCH(1664,'Transfer Engine'!$C$2:$C$1960,0)))</f>
        <v/>
      </c>
      <c r="B1673" s="8">
        <f>IF(ISNA(MATCH(1664,'Transfer Engine'!$C$2:$C$1960,0)),"",INDEX('Compliance Database'!$B$2:$B$1960,MATCH(1664,'Transfer Engine'!$C$2:$C$1960,0)))</f>
        <v/>
      </c>
      <c r="C1673" s="8">
        <f>IF(ISNA(MATCH(1664,'Transfer Engine'!$C$2:$C$1960,0)),"",INDEX('Compliance Database'!$C$2:$C$1960,MATCH(1664,'Transfer Engine'!$C$2:$C$1960,0)))</f>
        <v/>
      </c>
      <c r="D1673" s="9">
        <f>IF(ISNA(MATCH(1664,'Transfer Engine'!$C$2:$C$1960,0)),"",INDEX('Compliance Database'!$D$2:$D$1960,MATCH(1664,'Transfer Engine'!$C$2:$C$1960,0)))</f>
        <v/>
      </c>
      <c r="E1673" s="8">
        <f>IF(ISNA(MATCH(1664,'Transfer Engine'!$C$2:$C$1960,0)),"",INDEX('Compliance Database'!$E$2:$E$1960,MATCH(1664,'Transfer Engine'!$C$2:$C$1960,0)))</f>
        <v/>
      </c>
      <c r="F1673" s="8">
        <f>IF(ISNA(MATCH(1664,'Transfer Engine'!$C$2:$C$1960,0)),"",INDEX('Compliance Database'!$F$2:$F$1960,MATCH(1664,'Transfer Engine'!$C$2:$C$1960,0)))</f>
        <v/>
      </c>
      <c r="G1673" s="8">
        <f>IF(ISNA(MATCH(1664,'Transfer Engine'!$C$2:$C$1960,0)),"",INDEX('Compliance Database'!$G$2:$G$1960,MATCH(1664,'Transfer Engine'!$C$2:$C$1960,0)))</f>
        <v/>
      </c>
      <c r="H1673" s="9">
        <f>IF(ISNA(MATCH(1664,'Transfer Engine'!$C$2:$C$1960,0)),"",INDEX('Compliance Database'!$H$2:$H$1960,MATCH(1664,'Transfer Engine'!$C$2:$C$1960,0)))</f>
        <v/>
      </c>
      <c r="I1673" s="9">
        <f>IF(ISNA(MATCH(1664,'Transfer Engine'!$C$2:$C$1960,0)),"",INDEX('Compliance Database'!$I$2:$I$1960,MATCH(1664,'Transfer Engine'!$C$2:$C$1960,0)))</f>
        <v/>
      </c>
      <c r="J1673" s="8">
        <f>IF(ISNA(MATCH(1664,'Transfer Engine'!$C$2:$C$1960,0)),"",INDEX('Compliance Database'!$J$2:$J$1960,MATCH(1664,'Transfer Engine'!$C$2:$C$1960,0)))</f>
        <v/>
      </c>
      <c r="K1673" s="9">
        <f>IF(ISNA(MATCH(1664,'Transfer Engine'!$C$2:$C$1960,0)),"",INDEX('Compliance Database'!$K$2:$K$1960,MATCH(1664,'Transfer Engine'!$C$2:$C$1960,0)))</f>
        <v/>
      </c>
      <c r="L1673" s="9">
        <f>IF(ISNA(MATCH(1664,'Transfer Engine'!$C$2:$C$1960,0)),"",INDEX('Compliance Database'!$L$2:$L$1960,MATCH(1664,'Transfer Engine'!$C$2:$C$1960,0)))</f>
        <v/>
      </c>
      <c r="M1673" s="9">
        <f>IF(ISNA(MATCH(1664,'Transfer Engine'!$C$2:$C$1960,0)),"",INDEX('Compliance Database'!$M$2:$M$1960,MATCH(1664,'Transfer Engine'!$C$2:$C$1960,0)))</f>
        <v/>
      </c>
      <c r="N1673" s="9">
        <f>IF(ISNA(MATCH(1664,'Transfer Engine'!$C$2:$C$1960,0)),"",INDEX('Compliance Database'!$N$2:$N$1960,MATCH(1664,'Transfer Engine'!$C$2:$C$1960,0)))</f>
        <v/>
      </c>
      <c r="O1673" s="9">
        <f>IF(ISNA(MATCH(1664,'Transfer Engine'!$C$2:$C$1960,0)),"",INDEX('Compliance Database'!$O$2:$O$1960,MATCH(1664,'Transfer Engine'!$C$2:$C$1960,0)))</f>
        <v/>
      </c>
      <c r="P1673" s="8">
        <f>IF(ISNA(MATCH(1664,'Transfer Engine'!$C$2:$C$1960,0)),"",HYPERLINK("#Acts!A"&amp;INDEX('Compliance Database'!$P$2:$P$1960,MATCH(1664,'Transfer Engine'!$C$2:$C$1960,0)),"Go to Act"))</f>
        <v/>
      </c>
    </row>
    <row r="1674" ht="158" customHeight="1">
      <c r="A1674" s="8">
        <f>IF(ISNA(MATCH(1665,'Transfer Engine'!$C$2:$C$1960,0)),"",INDEX('Compliance Database'!$A$2:$A$1960,MATCH(1665,'Transfer Engine'!$C$2:$C$1960,0)))</f>
        <v/>
      </c>
      <c r="B1674" s="8">
        <f>IF(ISNA(MATCH(1665,'Transfer Engine'!$C$2:$C$1960,0)),"",INDEX('Compliance Database'!$B$2:$B$1960,MATCH(1665,'Transfer Engine'!$C$2:$C$1960,0)))</f>
        <v/>
      </c>
      <c r="C1674" s="8">
        <f>IF(ISNA(MATCH(1665,'Transfer Engine'!$C$2:$C$1960,0)),"",INDEX('Compliance Database'!$C$2:$C$1960,MATCH(1665,'Transfer Engine'!$C$2:$C$1960,0)))</f>
        <v/>
      </c>
      <c r="D1674" s="9">
        <f>IF(ISNA(MATCH(1665,'Transfer Engine'!$C$2:$C$1960,0)),"",INDEX('Compliance Database'!$D$2:$D$1960,MATCH(1665,'Transfer Engine'!$C$2:$C$1960,0)))</f>
        <v/>
      </c>
      <c r="E1674" s="8">
        <f>IF(ISNA(MATCH(1665,'Transfer Engine'!$C$2:$C$1960,0)),"",INDEX('Compliance Database'!$E$2:$E$1960,MATCH(1665,'Transfer Engine'!$C$2:$C$1960,0)))</f>
        <v/>
      </c>
      <c r="F1674" s="8">
        <f>IF(ISNA(MATCH(1665,'Transfer Engine'!$C$2:$C$1960,0)),"",INDEX('Compliance Database'!$F$2:$F$1960,MATCH(1665,'Transfer Engine'!$C$2:$C$1960,0)))</f>
        <v/>
      </c>
      <c r="G1674" s="8">
        <f>IF(ISNA(MATCH(1665,'Transfer Engine'!$C$2:$C$1960,0)),"",INDEX('Compliance Database'!$G$2:$G$1960,MATCH(1665,'Transfer Engine'!$C$2:$C$1960,0)))</f>
        <v/>
      </c>
      <c r="H1674" s="9">
        <f>IF(ISNA(MATCH(1665,'Transfer Engine'!$C$2:$C$1960,0)),"",INDEX('Compliance Database'!$H$2:$H$1960,MATCH(1665,'Transfer Engine'!$C$2:$C$1960,0)))</f>
        <v/>
      </c>
      <c r="I1674" s="9">
        <f>IF(ISNA(MATCH(1665,'Transfer Engine'!$C$2:$C$1960,0)),"",INDEX('Compliance Database'!$I$2:$I$1960,MATCH(1665,'Transfer Engine'!$C$2:$C$1960,0)))</f>
        <v/>
      </c>
      <c r="J1674" s="8">
        <f>IF(ISNA(MATCH(1665,'Transfer Engine'!$C$2:$C$1960,0)),"",INDEX('Compliance Database'!$J$2:$J$1960,MATCH(1665,'Transfer Engine'!$C$2:$C$1960,0)))</f>
        <v/>
      </c>
      <c r="K1674" s="9">
        <f>IF(ISNA(MATCH(1665,'Transfer Engine'!$C$2:$C$1960,0)),"",INDEX('Compliance Database'!$K$2:$K$1960,MATCH(1665,'Transfer Engine'!$C$2:$C$1960,0)))</f>
        <v/>
      </c>
      <c r="L1674" s="9">
        <f>IF(ISNA(MATCH(1665,'Transfer Engine'!$C$2:$C$1960,0)),"",INDEX('Compliance Database'!$L$2:$L$1960,MATCH(1665,'Transfer Engine'!$C$2:$C$1960,0)))</f>
        <v/>
      </c>
      <c r="M1674" s="9">
        <f>IF(ISNA(MATCH(1665,'Transfer Engine'!$C$2:$C$1960,0)),"",INDEX('Compliance Database'!$M$2:$M$1960,MATCH(1665,'Transfer Engine'!$C$2:$C$1960,0)))</f>
        <v/>
      </c>
      <c r="N1674" s="9">
        <f>IF(ISNA(MATCH(1665,'Transfer Engine'!$C$2:$C$1960,0)),"",INDEX('Compliance Database'!$N$2:$N$1960,MATCH(1665,'Transfer Engine'!$C$2:$C$1960,0)))</f>
        <v/>
      </c>
      <c r="O1674" s="9">
        <f>IF(ISNA(MATCH(1665,'Transfer Engine'!$C$2:$C$1960,0)),"",INDEX('Compliance Database'!$O$2:$O$1960,MATCH(1665,'Transfer Engine'!$C$2:$C$1960,0)))</f>
        <v/>
      </c>
      <c r="P1674" s="8">
        <f>IF(ISNA(MATCH(1665,'Transfer Engine'!$C$2:$C$1960,0)),"",HYPERLINK("#Acts!A"&amp;INDEX('Compliance Database'!$P$2:$P$1960,MATCH(1665,'Transfer Engine'!$C$2:$C$1960,0)),"Go to Act"))</f>
        <v/>
      </c>
    </row>
    <row r="1675" ht="158" customHeight="1">
      <c r="A1675" s="8">
        <f>IF(ISNA(MATCH(1666,'Transfer Engine'!$C$2:$C$1960,0)),"",INDEX('Compliance Database'!$A$2:$A$1960,MATCH(1666,'Transfer Engine'!$C$2:$C$1960,0)))</f>
        <v/>
      </c>
      <c r="B1675" s="8">
        <f>IF(ISNA(MATCH(1666,'Transfer Engine'!$C$2:$C$1960,0)),"",INDEX('Compliance Database'!$B$2:$B$1960,MATCH(1666,'Transfer Engine'!$C$2:$C$1960,0)))</f>
        <v/>
      </c>
      <c r="C1675" s="8">
        <f>IF(ISNA(MATCH(1666,'Transfer Engine'!$C$2:$C$1960,0)),"",INDEX('Compliance Database'!$C$2:$C$1960,MATCH(1666,'Transfer Engine'!$C$2:$C$1960,0)))</f>
        <v/>
      </c>
      <c r="D1675" s="9">
        <f>IF(ISNA(MATCH(1666,'Transfer Engine'!$C$2:$C$1960,0)),"",INDEX('Compliance Database'!$D$2:$D$1960,MATCH(1666,'Transfer Engine'!$C$2:$C$1960,0)))</f>
        <v/>
      </c>
      <c r="E1675" s="8">
        <f>IF(ISNA(MATCH(1666,'Transfer Engine'!$C$2:$C$1960,0)),"",INDEX('Compliance Database'!$E$2:$E$1960,MATCH(1666,'Transfer Engine'!$C$2:$C$1960,0)))</f>
        <v/>
      </c>
      <c r="F1675" s="8">
        <f>IF(ISNA(MATCH(1666,'Transfer Engine'!$C$2:$C$1960,0)),"",INDEX('Compliance Database'!$F$2:$F$1960,MATCH(1666,'Transfer Engine'!$C$2:$C$1960,0)))</f>
        <v/>
      </c>
      <c r="G1675" s="8">
        <f>IF(ISNA(MATCH(1666,'Transfer Engine'!$C$2:$C$1960,0)),"",INDEX('Compliance Database'!$G$2:$G$1960,MATCH(1666,'Transfer Engine'!$C$2:$C$1960,0)))</f>
        <v/>
      </c>
      <c r="H1675" s="9">
        <f>IF(ISNA(MATCH(1666,'Transfer Engine'!$C$2:$C$1960,0)),"",INDEX('Compliance Database'!$H$2:$H$1960,MATCH(1666,'Transfer Engine'!$C$2:$C$1960,0)))</f>
        <v/>
      </c>
      <c r="I1675" s="9">
        <f>IF(ISNA(MATCH(1666,'Transfer Engine'!$C$2:$C$1960,0)),"",INDEX('Compliance Database'!$I$2:$I$1960,MATCH(1666,'Transfer Engine'!$C$2:$C$1960,0)))</f>
        <v/>
      </c>
      <c r="J1675" s="8">
        <f>IF(ISNA(MATCH(1666,'Transfer Engine'!$C$2:$C$1960,0)),"",INDEX('Compliance Database'!$J$2:$J$1960,MATCH(1666,'Transfer Engine'!$C$2:$C$1960,0)))</f>
        <v/>
      </c>
      <c r="K1675" s="9">
        <f>IF(ISNA(MATCH(1666,'Transfer Engine'!$C$2:$C$1960,0)),"",INDEX('Compliance Database'!$K$2:$K$1960,MATCH(1666,'Transfer Engine'!$C$2:$C$1960,0)))</f>
        <v/>
      </c>
      <c r="L1675" s="9">
        <f>IF(ISNA(MATCH(1666,'Transfer Engine'!$C$2:$C$1960,0)),"",INDEX('Compliance Database'!$L$2:$L$1960,MATCH(1666,'Transfer Engine'!$C$2:$C$1960,0)))</f>
        <v/>
      </c>
      <c r="M1675" s="9">
        <f>IF(ISNA(MATCH(1666,'Transfer Engine'!$C$2:$C$1960,0)),"",INDEX('Compliance Database'!$M$2:$M$1960,MATCH(1666,'Transfer Engine'!$C$2:$C$1960,0)))</f>
        <v/>
      </c>
      <c r="N1675" s="9">
        <f>IF(ISNA(MATCH(1666,'Transfer Engine'!$C$2:$C$1960,0)),"",INDEX('Compliance Database'!$N$2:$N$1960,MATCH(1666,'Transfer Engine'!$C$2:$C$1960,0)))</f>
        <v/>
      </c>
      <c r="O1675" s="9">
        <f>IF(ISNA(MATCH(1666,'Transfer Engine'!$C$2:$C$1960,0)),"",INDEX('Compliance Database'!$O$2:$O$1960,MATCH(1666,'Transfer Engine'!$C$2:$C$1960,0)))</f>
        <v/>
      </c>
      <c r="P1675" s="8">
        <f>IF(ISNA(MATCH(1666,'Transfer Engine'!$C$2:$C$1960,0)),"",HYPERLINK("#Acts!A"&amp;INDEX('Compliance Database'!$P$2:$P$1960,MATCH(1666,'Transfer Engine'!$C$2:$C$1960,0)),"Go to Act"))</f>
        <v/>
      </c>
    </row>
    <row r="1676" ht="158" customHeight="1">
      <c r="A1676" s="8">
        <f>IF(ISNA(MATCH(1667,'Transfer Engine'!$C$2:$C$1960,0)),"",INDEX('Compliance Database'!$A$2:$A$1960,MATCH(1667,'Transfer Engine'!$C$2:$C$1960,0)))</f>
        <v/>
      </c>
      <c r="B1676" s="8">
        <f>IF(ISNA(MATCH(1667,'Transfer Engine'!$C$2:$C$1960,0)),"",INDEX('Compliance Database'!$B$2:$B$1960,MATCH(1667,'Transfer Engine'!$C$2:$C$1960,0)))</f>
        <v/>
      </c>
      <c r="C1676" s="8">
        <f>IF(ISNA(MATCH(1667,'Transfer Engine'!$C$2:$C$1960,0)),"",INDEX('Compliance Database'!$C$2:$C$1960,MATCH(1667,'Transfer Engine'!$C$2:$C$1960,0)))</f>
        <v/>
      </c>
      <c r="D1676" s="9">
        <f>IF(ISNA(MATCH(1667,'Transfer Engine'!$C$2:$C$1960,0)),"",INDEX('Compliance Database'!$D$2:$D$1960,MATCH(1667,'Transfer Engine'!$C$2:$C$1960,0)))</f>
        <v/>
      </c>
      <c r="E1676" s="8">
        <f>IF(ISNA(MATCH(1667,'Transfer Engine'!$C$2:$C$1960,0)),"",INDEX('Compliance Database'!$E$2:$E$1960,MATCH(1667,'Transfer Engine'!$C$2:$C$1960,0)))</f>
        <v/>
      </c>
      <c r="F1676" s="8">
        <f>IF(ISNA(MATCH(1667,'Transfer Engine'!$C$2:$C$1960,0)),"",INDEX('Compliance Database'!$F$2:$F$1960,MATCH(1667,'Transfer Engine'!$C$2:$C$1960,0)))</f>
        <v/>
      </c>
      <c r="G1676" s="8">
        <f>IF(ISNA(MATCH(1667,'Transfer Engine'!$C$2:$C$1960,0)),"",INDEX('Compliance Database'!$G$2:$G$1960,MATCH(1667,'Transfer Engine'!$C$2:$C$1960,0)))</f>
        <v/>
      </c>
      <c r="H1676" s="9">
        <f>IF(ISNA(MATCH(1667,'Transfer Engine'!$C$2:$C$1960,0)),"",INDEX('Compliance Database'!$H$2:$H$1960,MATCH(1667,'Transfer Engine'!$C$2:$C$1960,0)))</f>
        <v/>
      </c>
      <c r="I1676" s="9">
        <f>IF(ISNA(MATCH(1667,'Transfer Engine'!$C$2:$C$1960,0)),"",INDEX('Compliance Database'!$I$2:$I$1960,MATCH(1667,'Transfer Engine'!$C$2:$C$1960,0)))</f>
        <v/>
      </c>
      <c r="J1676" s="8">
        <f>IF(ISNA(MATCH(1667,'Transfer Engine'!$C$2:$C$1960,0)),"",INDEX('Compliance Database'!$J$2:$J$1960,MATCH(1667,'Transfer Engine'!$C$2:$C$1960,0)))</f>
        <v/>
      </c>
      <c r="K1676" s="9">
        <f>IF(ISNA(MATCH(1667,'Transfer Engine'!$C$2:$C$1960,0)),"",INDEX('Compliance Database'!$K$2:$K$1960,MATCH(1667,'Transfer Engine'!$C$2:$C$1960,0)))</f>
        <v/>
      </c>
      <c r="L1676" s="9">
        <f>IF(ISNA(MATCH(1667,'Transfer Engine'!$C$2:$C$1960,0)),"",INDEX('Compliance Database'!$L$2:$L$1960,MATCH(1667,'Transfer Engine'!$C$2:$C$1960,0)))</f>
        <v/>
      </c>
      <c r="M1676" s="9">
        <f>IF(ISNA(MATCH(1667,'Transfer Engine'!$C$2:$C$1960,0)),"",INDEX('Compliance Database'!$M$2:$M$1960,MATCH(1667,'Transfer Engine'!$C$2:$C$1960,0)))</f>
        <v/>
      </c>
      <c r="N1676" s="9">
        <f>IF(ISNA(MATCH(1667,'Transfer Engine'!$C$2:$C$1960,0)),"",INDEX('Compliance Database'!$N$2:$N$1960,MATCH(1667,'Transfer Engine'!$C$2:$C$1960,0)))</f>
        <v/>
      </c>
      <c r="O1676" s="9">
        <f>IF(ISNA(MATCH(1667,'Transfer Engine'!$C$2:$C$1960,0)),"",INDEX('Compliance Database'!$O$2:$O$1960,MATCH(1667,'Transfer Engine'!$C$2:$C$1960,0)))</f>
        <v/>
      </c>
      <c r="P1676" s="8">
        <f>IF(ISNA(MATCH(1667,'Transfer Engine'!$C$2:$C$1960,0)),"",HYPERLINK("#Acts!A"&amp;INDEX('Compliance Database'!$P$2:$P$1960,MATCH(1667,'Transfer Engine'!$C$2:$C$1960,0)),"Go to Act"))</f>
        <v/>
      </c>
    </row>
    <row r="1677" ht="158" customHeight="1">
      <c r="A1677" s="8">
        <f>IF(ISNA(MATCH(1668,'Transfer Engine'!$C$2:$C$1960,0)),"",INDEX('Compliance Database'!$A$2:$A$1960,MATCH(1668,'Transfer Engine'!$C$2:$C$1960,0)))</f>
        <v/>
      </c>
      <c r="B1677" s="8">
        <f>IF(ISNA(MATCH(1668,'Transfer Engine'!$C$2:$C$1960,0)),"",INDEX('Compliance Database'!$B$2:$B$1960,MATCH(1668,'Transfer Engine'!$C$2:$C$1960,0)))</f>
        <v/>
      </c>
      <c r="C1677" s="8">
        <f>IF(ISNA(MATCH(1668,'Transfer Engine'!$C$2:$C$1960,0)),"",INDEX('Compliance Database'!$C$2:$C$1960,MATCH(1668,'Transfer Engine'!$C$2:$C$1960,0)))</f>
        <v/>
      </c>
      <c r="D1677" s="9">
        <f>IF(ISNA(MATCH(1668,'Transfer Engine'!$C$2:$C$1960,0)),"",INDEX('Compliance Database'!$D$2:$D$1960,MATCH(1668,'Transfer Engine'!$C$2:$C$1960,0)))</f>
        <v/>
      </c>
      <c r="E1677" s="8">
        <f>IF(ISNA(MATCH(1668,'Transfer Engine'!$C$2:$C$1960,0)),"",INDEX('Compliance Database'!$E$2:$E$1960,MATCH(1668,'Transfer Engine'!$C$2:$C$1960,0)))</f>
        <v/>
      </c>
      <c r="F1677" s="8">
        <f>IF(ISNA(MATCH(1668,'Transfer Engine'!$C$2:$C$1960,0)),"",INDEX('Compliance Database'!$F$2:$F$1960,MATCH(1668,'Transfer Engine'!$C$2:$C$1960,0)))</f>
        <v/>
      </c>
      <c r="G1677" s="8">
        <f>IF(ISNA(MATCH(1668,'Transfer Engine'!$C$2:$C$1960,0)),"",INDEX('Compliance Database'!$G$2:$G$1960,MATCH(1668,'Transfer Engine'!$C$2:$C$1960,0)))</f>
        <v/>
      </c>
      <c r="H1677" s="9">
        <f>IF(ISNA(MATCH(1668,'Transfer Engine'!$C$2:$C$1960,0)),"",INDEX('Compliance Database'!$H$2:$H$1960,MATCH(1668,'Transfer Engine'!$C$2:$C$1960,0)))</f>
        <v/>
      </c>
      <c r="I1677" s="9">
        <f>IF(ISNA(MATCH(1668,'Transfer Engine'!$C$2:$C$1960,0)),"",INDEX('Compliance Database'!$I$2:$I$1960,MATCH(1668,'Transfer Engine'!$C$2:$C$1960,0)))</f>
        <v/>
      </c>
      <c r="J1677" s="8">
        <f>IF(ISNA(MATCH(1668,'Transfer Engine'!$C$2:$C$1960,0)),"",INDEX('Compliance Database'!$J$2:$J$1960,MATCH(1668,'Transfer Engine'!$C$2:$C$1960,0)))</f>
        <v/>
      </c>
      <c r="K1677" s="9">
        <f>IF(ISNA(MATCH(1668,'Transfer Engine'!$C$2:$C$1960,0)),"",INDEX('Compliance Database'!$K$2:$K$1960,MATCH(1668,'Transfer Engine'!$C$2:$C$1960,0)))</f>
        <v/>
      </c>
      <c r="L1677" s="9">
        <f>IF(ISNA(MATCH(1668,'Transfer Engine'!$C$2:$C$1960,0)),"",INDEX('Compliance Database'!$L$2:$L$1960,MATCH(1668,'Transfer Engine'!$C$2:$C$1960,0)))</f>
        <v/>
      </c>
      <c r="M1677" s="9">
        <f>IF(ISNA(MATCH(1668,'Transfer Engine'!$C$2:$C$1960,0)),"",INDEX('Compliance Database'!$M$2:$M$1960,MATCH(1668,'Transfer Engine'!$C$2:$C$1960,0)))</f>
        <v/>
      </c>
      <c r="N1677" s="9">
        <f>IF(ISNA(MATCH(1668,'Transfer Engine'!$C$2:$C$1960,0)),"",INDEX('Compliance Database'!$N$2:$N$1960,MATCH(1668,'Transfer Engine'!$C$2:$C$1960,0)))</f>
        <v/>
      </c>
      <c r="O1677" s="9">
        <f>IF(ISNA(MATCH(1668,'Transfer Engine'!$C$2:$C$1960,0)),"",INDEX('Compliance Database'!$O$2:$O$1960,MATCH(1668,'Transfer Engine'!$C$2:$C$1960,0)))</f>
        <v/>
      </c>
      <c r="P1677" s="8">
        <f>IF(ISNA(MATCH(1668,'Transfer Engine'!$C$2:$C$1960,0)),"",HYPERLINK("#Acts!A"&amp;INDEX('Compliance Database'!$P$2:$P$1960,MATCH(1668,'Transfer Engine'!$C$2:$C$1960,0)),"Go to Act"))</f>
        <v/>
      </c>
    </row>
    <row r="1678" ht="158" customHeight="1">
      <c r="A1678" s="8">
        <f>IF(ISNA(MATCH(1669,'Transfer Engine'!$C$2:$C$1960,0)),"",INDEX('Compliance Database'!$A$2:$A$1960,MATCH(1669,'Transfer Engine'!$C$2:$C$1960,0)))</f>
        <v/>
      </c>
      <c r="B1678" s="8">
        <f>IF(ISNA(MATCH(1669,'Transfer Engine'!$C$2:$C$1960,0)),"",INDEX('Compliance Database'!$B$2:$B$1960,MATCH(1669,'Transfer Engine'!$C$2:$C$1960,0)))</f>
        <v/>
      </c>
      <c r="C1678" s="8">
        <f>IF(ISNA(MATCH(1669,'Transfer Engine'!$C$2:$C$1960,0)),"",INDEX('Compliance Database'!$C$2:$C$1960,MATCH(1669,'Transfer Engine'!$C$2:$C$1960,0)))</f>
        <v/>
      </c>
      <c r="D1678" s="9">
        <f>IF(ISNA(MATCH(1669,'Transfer Engine'!$C$2:$C$1960,0)),"",INDEX('Compliance Database'!$D$2:$D$1960,MATCH(1669,'Transfer Engine'!$C$2:$C$1960,0)))</f>
        <v/>
      </c>
      <c r="E1678" s="8">
        <f>IF(ISNA(MATCH(1669,'Transfer Engine'!$C$2:$C$1960,0)),"",INDEX('Compliance Database'!$E$2:$E$1960,MATCH(1669,'Transfer Engine'!$C$2:$C$1960,0)))</f>
        <v/>
      </c>
      <c r="F1678" s="8">
        <f>IF(ISNA(MATCH(1669,'Transfer Engine'!$C$2:$C$1960,0)),"",INDEX('Compliance Database'!$F$2:$F$1960,MATCH(1669,'Transfer Engine'!$C$2:$C$1960,0)))</f>
        <v/>
      </c>
      <c r="G1678" s="8">
        <f>IF(ISNA(MATCH(1669,'Transfer Engine'!$C$2:$C$1960,0)),"",INDEX('Compliance Database'!$G$2:$G$1960,MATCH(1669,'Transfer Engine'!$C$2:$C$1960,0)))</f>
        <v/>
      </c>
      <c r="H1678" s="9">
        <f>IF(ISNA(MATCH(1669,'Transfer Engine'!$C$2:$C$1960,0)),"",INDEX('Compliance Database'!$H$2:$H$1960,MATCH(1669,'Transfer Engine'!$C$2:$C$1960,0)))</f>
        <v/>
      </c>
      <c r="I1678" s="9">
        <f>IF(ISNA(MATCH(1669,'Transfer Engine'!$C$2:$C$1960,0)),"",INDEX('Compliance Database'!$I$2:$I$1960,MATCH(1669,'Transfer Engine'!$C$2:$C$1960,0)))</f>
        <v/>
      </c>
      <c r="J1678" s="8">
        <f>IF(ISNA(MATCH(1669,'Transfer Engine'!$C$2:$C$1960,0)),"",INDEX('Compliance Database'!$J$2:$J$1960,MATCH(1669,'Transfer Engine'!$C$2:$C$1960,0)))</f>
        <v/>
      </c>
      <c r="K1678" s="9">
        <f>IF(ISNA(MATCH(1669,'Transfer Engine'!$C$2:$C$1960,0)),"",INDEX('Compliance Database'!$K$2:$K$1960,MATCH(1669,'Transfer Engine'!$C$2:$C$1960,0)))</f>
        <v/>
      </c>
      <c r="L1678" s="9">
        <f>IF(ISNA(MATCH(1669,'Transfer Engine'!$C$2:$C$1960,0)),"",INDEX('Compliance Database'!$L$2:$L$1960,MATCH(1669,'Transfer Engine'!$C$2:$C$1960,0)))</f>
        <v/>
      </c>
      <c r="M1678" s="9">
        <f>IF(ISNA(MATCH(1669,'Transfer Engine'!$C$2:$C$1960,0)),"",INDEX('Compliance Database'!$M$2:$M$1960,MATCH(1669,'Transfer Engine'!$C$2:$C$1960,0)))</f>
        <v/>
      </c>
      <c r="N1678" s="9">
        <f>IF(ISNA(MATCH(1669,'Transfer Engine'!$C$2:$C$1960,0)),"",INDEX('Compliance Database'!$N$2:$N$1960,MATCH(1669,'Transfer Engine'!$C$2:$C$1960,0)))</f>
        <v/>
      </c>
      <c r="O1678" s="9">
        <f>IF(ISNA(MATCH(1669,'Transfer Engine'!$C$2:$C$1960,0)),"",INDEX('Compliance Database'!$O$2:$O$1960,MATCH(1669,'Transfer Engine'!$C$2:$C$1960,0)))</f>
        <v/>
      </c>
      <c r="P1678" s="8">
        <f>IF(ISNA(MATCH(1669,'Transfer Engine'!$C$2:$C$1960,0)),"",HYPERLINK("#Acts!A"&amp;INDEX('Compliance Database'!$P$2:$P$1960,MATCH(1669,'Transfer Engine'!$C$2:$C$1960,0)),"Go to Act"))</f>
        <v/>
      </c>
    </row>
    <row r="1679" ht="158" customHeight="1">
      <c r="A1679" s="8">
        <f>IF(ISNA(MATCH(1670,'Transfer Engine'!$C$2:$C$1960,0)),"",INDEX('Compliance Database'!$A$2:$A$1960,MATCH(1670,'Transfer Engine'!$C$2:$C$1960,0)))</f>
        <v/>
      </c>
      <c r="B1679" s="8">
        <f>IF(ISNA(MATCH(1670,'Transfer Engine'!$C$2:$C$1960,0)),"",INDEX('Compliance Database'!$B$2:$B$1960,MATCH(1670,'Transfer Engine'!$C$2:$C$1960,0)))</f>
        <v/>
      </c>
      <c r="C1679" s="8">
        <f>IF(ISNA(MATCH(1670,'Transfer Engine'!$C$2:$C$1960,0)),"",INDEX('Compliance Database'!$C$2:$C$1960,MATCH(1670,'Transfer Engine'!$C$2:$C$1960,0)))</f>
        <v/>
      </c>
      <c r="D1679" s="9">
        <f>IF(ISNA(MATCH(1670,'Transfer Engine'!$C$2:$C$1960,0)),"",INDEX('Compliance Database'!$D$2:$D$1960,MATCH(1670,'Transfer Engine'!$C$2:$C$1960,0)))</f>
        <v/>
      </c>
      <c r="E1679" s="8">
        <f>IF(ISNA(MATCH(1670,'Transfer Engine'!$C$2:$C$1960,0)),"",INDEX('Compliance Database'!$E$2:$E$1960,MATCH(1670,'Transfer Engine'!$C$2:$C$1960,0)))</f>
        <v/>
      </c>
      <c r="F1679" s="8">
        <f>IF(ISNA(MATCH(1670,'Transfer Engine'!$C$2:$C$1960,0)),"",INDEX('Compliance Database'!$F$2:$F$1960,MATCH(1670,'Transfer Engine'!$C$2:$C$1960,0)))</f>
        <v/>
      </c>
      <c r="G1679" s="8">
        <f>IF(ISNA(MATCH(1670,'Transfer Engine'!$C$2:$C$1960,0)),"",INDEX('Compliance Database'!$G$2:$G$1960,MATCH(1670,'Transfer Engine'!$C$2:$C$1960,0)))</f>
        <v/>
      </c>
      <c r="H1679" s="9">
        <f>IF(ISNA(MATCH(1670,'Transfer Engine'!$C$2:$C$1960,0)),"",INDEX('Compliance Database'!$H$2:$H$1960,MATCH(1670,'Transfer Engine'!$C$2:$C$1960,0)))</f>
        <v/>
      </c>
      <c r="I1679" s="9">
        <f>IF(ISNA(MATCH(1670,'Transfer Engine'!$C$2:$C$1960,0)),"",INDEX('Compliance Database'!$I$2:$I$1960,MATCH(1670,'Transfer Engine'!$C$2:$C$1960,0)))</f>
        <v/>
      </c>
      <c r="J1679" s="8">
        <f>IF(ISNA(MATCH(1670,'Transfer Engine'!$C$2:$C$1960,0)),"",INDEX('Compliance Database'!$J$2:$J$1960,MATCH(1670,'Transfer Engine'!$C$2:$C$1960,0)))</f>
        <v/>
      </c>
      <c r="K1679" s="9">
        <f>IF(ISNA(MATCH(1670,'Transfer Engine'!$C$2:$C$1960,0)),"",INDEX('Compliance Database'!$K$2:$K$1960,MATCH(1670,'Transfer Engine'!$C$2:$C$1960,0)))</f>
        <v/>
      </c>
      <c r="L1679" s="9">
        <f>IF(ISNA(MATCH(1670,'Transfer Engine'!$C$2:$C$1960,0)),"",INDEX('Compliance Database'!$L$2:$L$1960,MATCH(1670,'Transfer Engine'!$C$2:$C$1960,0)))</f>
        <v/>
      </c>
      <c r="M1679" s="9">
        <f>IF(ISNA(MATCH(1670,'Transfer Engine'!$C$2:$C$1960,0)),"",INDEX('Compliance Database'!$M$2:$M$1960,MATCH(1670,'Transfer Engine'!$C$2:$C$1960,0)))</f>
        <v/>
      </c>
      <c r="N1679" s="9">
        <f>IF(ISNA(MATCH(1670,'Transfer Engine'!$C$2:$C$1960,0)),"",INDEX('Compliance Database'!$N$2:$N$1960,MATCH(1670,'Transfer Engine'!$C$2:$C$1960,0)))</f>
        <v/>
      </c>
      <c r="O1679" s="9">
        <f>IF(ISNA(MATCH(1670,'Transfer Engine'!$C$2:$C$1960,0)),"",INDEX('Compliance Database'!$O$2:$O$1960,MATCH(1670,'Transfer Engine'!$C$2:$C$1960,0)))</f>
        <v/>
      </c>
      <c r="P1679" s="8">
        <f>IF(ISNA(MATCH(1670,'Transfer Engine'!$C$2:$C$1960,0)),"",HYPERLINK("#Acts!A"&amp;INDEX('Compliance Database'!$P$2:$P$1960,MATCH(1670,'Transfer Engine'!$C$2:$C$1960,0)),"Go to Act"))</f>
        <v/>
      </c>
    </row>
    <row r="1680" ht="158" customHeight="1">
      <c r="A1680" s="8">
        <f>IF(ISNA(MATCH(1671,'Transfer Engine'!$C$2:$C$1960,0)),"",INDEX('Compliance Database'!$A$2:$A$1960,MATCH(1671,'Transfer Engine'!$C$2:$C$1960,0)))</f>
        <v/>
      </c>
      <c r="B1680" s="8">
        <f>IF(ISNA(MATCH(1671,'Transfer Engine'!$C$2:$C$1960,0)),"",INDEX('Compliance Database'!$B$2:$B$1960,MATCH(1671,'Transfer Engine'!$C$2:$C$1960,0)))</f>
        <v/>
      </c>
      <c r="C1680" s="8">
        <f>IF(ISNA(MATCH(1671,'Transfer Engine'!$C$2:$C$1960,0)),"",INDEX('Compliance Database'!$C$2:$C$1960,MATCH(1671,'Transfer Engine'!$C$2:$C$1960,0)))</f>
        <v/>
      </c>
      <c r="D1680" s="9">
        <f>IF(ISNA(MATCH(1671,'Transfer Engine'!$C$2:$C$1960,0)),"",INDEX('Compliance Database'!$D$2:$D$1960,MATCH(1671,'Transfer Engine'!$C$2:$C$1960,0)))</f>
        <v/>
      </c>
      <c r="E1680" s="8">
        <f>IF(ISNA(MATCH(1671,'Transfer Engine'!$C$2:$C$1960,0)),"",INDEX('Compliance Database'!$E$2:$E$1960,MATCH(1671,'Transfer Engine'!$C$2:$C$1960,0)))</f>
        <v/>
      </c>
      <c r="F1680" s="8">
        <f>IF(ISNA(MATCH(1671,'Transfer Engine'!$C$2:$C$1960,0)),"",INDEX('Compliance Database'!$F$2:$F$1960,MATCH(1671,'Transfer Engine'!$C$2:$C$1960,0)))</f>
        <v/>
      </c>
      <c r="G1680" s="8">
        <f>IF(ISNA(MATCH(1671,'Transfer Engine'!$C$2:$C$1960,0)),"",INDEX('Compliance Database'!$G$2:$G$1960,MATCH(1671,'Transfer Engine'!$C$2:$C$1960,0)))</f>
        <v/>
      </c>
      <c r="H1680" s="9">
        <f>IF(ISNA(MATCH(1671,'Transfer Engine'!$C$2:$C$1960,0)),"",INDEX('Compliance Database'!$H$2:$H$1960,MATCH(1671,'Transfer Engine'!$C$2:$C$1960,0)))</f>
        <v/>
      </c>
      <c r="I1680" s="9">
        <f>IF(ISNA(MATCH(1671,'Transfer Engine'!$C$2:$C$1960,0)),"",INDEX('Compliance Database'!$I$2:$I$1960,MATCH(1671,'Transfer Engine'!$C$2:$C$1960,0)))</f>
        <v/>
      </c>
      <c r="J1680" s="8">
        <f>IF(ISNA(MATCH(1671,'Transfer Engine'!$C$2:$C$1960,0)),"",INDEX('Compliance Database'!$J$2:$J$1960,MATCH(1671,'Transfer Engine'!$C$2:$C$1960,0)))</f>
        <v/>
      </c>
      <c r="K1680" s="9">
        <f>IF(ISNA(MATCH(1671,'Transfer Engine'!$C$2:$C$1960,0)),"",INDEX('Compliance Database'!$K$2:$K$1960,MATCH(1671,'Transfer Engine'!$C$2:$C$1960,0)))</f>
        <v/>
      </c>
      <c r="L1680" s="9">
        <f>IF(ISNA(MATCH(1671,'Transfer Engine'!$C$2:$C$1960,0)),"",INDEX('Compliance Database'!$L$2:$L$1960,MATCH(1671,'Transfer Engine'!$C$2:$C$1960,0)))</f>
        <v/>
      </c>
      <c r="M1680" s="9">
        <f>IF(ISNA(MATCH(1671,'Transfer Engine'!$C$2:$C$1960,0)),"",INDEX('Compliance Database'!$M$2:$M$1960,MATCH(1671,'Transfer Engine'!$C$2:$C$1960,0)))</f>
        <v/>
      </c>
      <c r="N1680" s="9">
        <f>IF(ISNA(MATCH(1671,'Transfer Engine'!$C$2:$C$1960,0)),"",INDEX('Compliance Database'!$N$2:$N$1960,MATCH(1671,'Transfer Engine'!$C$2:$C$1960,0)))</f>
        <v/>
      </c>
      <c r="O1680" s="9">
        <f>IF(ISNA(MATCH(1671,'Transfer Engine'!$C$2:$C$1960,0)),"",INDEX('Compliance Database'!$O$2:$O$1960,MATCH(1671,'Transfer Engine'!$C$2:$C$1960,0)))</f>
        <v/>
      </c>
      <c r="P1680" s="8">
        <f>IF(ISNA(MATCH(1671,'Transfer Engine'!$C$2:$C$1960,0)),"",HYPERLINK("#Acts!A"&amp;INDEX('Compliance Database'!$P$2:$P$1960,MATCH(1671,'Transfer Engine'!$C$2:$C$1960,0)),"Go to Act"))</f>
        <v/>
      </c>
    </row>
    <row r="1681" ht="158" customHeight="1">
      <c r="A1681" s="8">
        <f>IF(ISNA(MATCH(1672,'Transfer Engine'!$C$2:$C$1960,0)),"",INDEX('Compliance Database'!$A$2:$A$1960,MATCH(1672,'Transfer Engine'!$C$2:$C$1960,0)))</f>
        <v/>
      </c>
      <c r="B1681" s="8">
        <f>IF(ISNA(MATCH(1672,'Transfer Engine'!$C$2:$C$1960,0)),"",INDEX('Compliance Database'!$B$2:$B$1960,MATCH(1672,'Transfer Engine'!$C$2:$C$1960,0)))</f>
        <v/>
      </c>
      <c r="C1681" s="8">
        <f>IF(ISNA(MATCH(1672,'Transfer Engine'!$C$2:$C$1960,0)),"",INDEX('Compliance Database'!$C$2:$C$1960,MATCH(1672,'Transfer Engine'!$C$2:$C$1960,0)))</f>
        <v/>
      </c>
      <c r="D1681" s="9">
        <f>IF(ISNA(MATCH(1672,'Transfer Engine'!$C$2:$C$1960,0)),"",INDEX('Compliance Database'!$D$2:$D$1960,MATCH(1672,'Transfer Engine'!$C$2:$C$1960,0)))</f>
        <v/>
      </c>
      <c r="E1681" s="8">
        <f>IF(ISNA(MATCH(1672,'Transfer Engine'!$C$2:$C$1960,0)),"",INDEX('Compliance Database'!$E$2:$E$1960,MATCH(1672,'Transfer Engine'!$C$2:$C$1960,0)))</f>
        <v/>
      </c>
      <c r="F1681" s="8">
        <f>IF(ISNA(MATCH(1672,'Transfer Engine'!$C$2:$C$1960,0)),"",INDEX('Compliance Database'!$F$2:$F$1960,MATCH(1672,'Transfer Engine'!$C$2:$C$1960,0)))</f>
        <v/>
      </c>
      <c r="G1681" s="8">
        <f>IF(ISNA(MATCH(1672,'Transfer Engine'!$C$2:$C$1960,0)),"",INDEX('Compliance Database'!$G$2:$G$1960,MATCH(1672,'Transfer Engine'!$C$2:$C$1960,0)))</f>
        <v/>
      </c>
      <c r="H1681" s="9">
        <f>IF(ISNA(MATCH(1672,'Transfer Engine'!$C$2:$C$1960,0)),"",INDEX('Compliance Database'!$H$2:$H$1960,MATCH(1672,'Transfer Engine'!$C$2:$C$1960,0)))</f>
        <v/>
      </c>
      <c r="I1681" s="9">
        <f>IF(ISNA(MATCH(1672,'Transfer Engine'!$C$2:$C$1960,0)),"",INDEX('Compliance Database'!$I$2:$I$1960,MATCH(1672,'Transfer Engine'!$C$2:$C$1960,0)))</f>
        <v/>
      </c>
      <c r="J1681" s="8">
        <f>IF(ISNA(MATCH(1672,'Transfer Engine'!$C$2:$C$1960,0)),"",INDEX('Compliance Database'!$J$2:$J$1960,MATCH(1672,'Transfer Engine'!$C$2:$C$1960,0)))</f>
        <v/>
      </c>
      <c r="K1681" s="9">
        <f>IF(ISNA(MATCH(1672,'Transfer Engine'!$C$2:$C$1960,0)),"",INDEX('Compliance Database'!$K$2:$K$1960,MATCH(1672,'Transfer Engine'!$C$2:$C$1960,0)))</f>
        <v/>
      </c>
      <c r="L1681" s="9">
        <f>IF(ISNA(MATCH(1672,'Transfer Engine'!$C$2:$C$1960,0)),"",INDEX('Compliance Database'!$L$2:$L$1960,MATCH(1672,'Transfer Engine'!$C$2:$C$1960,0)))</f>
        <v/>
      </c>
      <c r="M1681" s="9">
        <f>IF(ISNA(MATCH(1672,'Transfer Engine'!$C$2:$C$1960,0)),"",INDEX('Compliance Database'!$M$2:$M$1960,MATCH(1672,'Transfer Engine'!$C$2:$C$1960,0)))</f>
        <v/>
      </c>
      <c r="N1681" s="9">
        <f>IF(ISNA(MATCH(1672,'Transfer Engine'!$C$2:$C$1960,0)),"",INDEX('Compliance Database'!$N$2:$N$1960,MATCH(1672,'Transfer Engine'!$C$2:$C$1960,0)))</f>
        <v/>
      </c>
      <c r="O1681" s="9">
        <f>IF(ISNA(MATCH(1672,'Transfer Engine'!$C$2:$C$1960,0)),"",INDEX('Compliance Database'!$O$2:$O$1960,MATCH(1672,'Transfer Engine'!$C$2:$C$1960,0)))</f>
        <v/>
      </c>
      <c r="P1681" s="8">
        <f>IF(ISNA(MATCH(1672,'Transfer Engine'!$C$2:$C$1960,0)),"",HYPERLINK("#Acts!A"&amp;INDEX('Compliance Database'!$P$2:$P$1960,MATCH(1672,'Transfer Engine'!$C$2:$C$1960,0)),"Go to Act"))</f>
        <v/>
      </c>
    </row>
    <row r="1682" ht="158" customHeight="1">
      <c r="A1682" s="8">
        <f>IF(ISNA(MATCH(1673,'Transfer Engine'!$C$2:$C$1960,0)),"",INDEX('Compliance Database'!$A$2:$A$1960,MATCH(1673,'Transfer Engine'!$C$2:$C$1960,0)))</f>
        <v/>
      </c>
      <c r="B1682" s="8">
        <f>IF(ISNA(MATCH(1673,'Transfer Engine'!$C$2:$C$1960,0)),"",INDEX('Compliance Database'!$B$2:$B$1960,MATCH(1673,'Transfer Engine'!$C$2:$C$1960,0)))</f>
        <v/>
      </c>
      <c r="C1682" s="8">
        <f>IF(ISNA(MATCH(1673,'Transfer Engine'!$C$2:$C$1960,0)),"",INDEX('Compliance Database'!$C$2:$C$1960,MATCH(1673,'Transfer Engine'!$C$2:$C$1960,0)))</f>
        <v/>
      </c>
      <c r="D1682" s="9">
        <f>IF(ISNA(MATCH(1673,'Transfer Engine'!$C$2:$C$1960,0)),"",INDEX('Compliance Database'!$D$2:$D$1960,MATCH(1673,'Transfer Engine'!$C$2:$C$1960,0)))</f>
        <v/>
      </c>
      <c r="E1682" s="8">
        <f>IF(ISNA(MATCH(1673,'Transfer Engine'!$C$2:$C$1960,0)),"",INDEX('Compliance Database'!$E$2:$E$1960,MATCH(1673,'Transfer Engine'!$C$2:$C$1960,0)))</f>
        <v/>
      </c>
      <c r="F1682" s="8">
        <f>IF(ISNA(MATCH(1673,'Transfer Engine'!$C$2:$C$1960,0)),"",INDEX('Compliance Database'!$F$2:$F$1960,MATCH(1673,'Transfer Engine'!$C$2:$C$1960,0)))</f>
        <v/>
      </c>
      <c r="G1682" s="8">
        <f>IF(ISNA(MATCH(1673,'Transfer Engine'!$C$2:$C$1960,0)),"",INDEX('Compliance Database'!$G$2:$G$1960,MATCH(1673,'Transfer Engine'!$C$2:$C$1960,0)))</f>
        <v/>
      </c>
      <c r="H1682" s="9">
        <f>IF(ISNA(MATCH(1673,'Transfer Engine'!$C$2:$C$1960,0)),"",INDEX('Compliance Database'!$H$2:$H$1960,MATCH(1673,'Transfer Engine'!$C$2:$C$1960,0)))</f>
        <v/>
      </c>
      <c r="I1682" s="9">
        <f>IF(ISNA(MATCH(1673,'Transfer Engine'!$C$2:$C$1960,0)),"",INDEX('Compliance Database'!$I$2:$I$1960,MATCH(1673,'Transfer Engine'!$C$2:$C$1960,0)))</f>
        <v/>
      </c>
      <c r="J1682" s="8">
        <f>IF(ISNA(MATCH(1673,'Transfer Engine'!$C$2:$C$1960,0)),"",INDEX('Compliance Database'!$J$2:$J$1960,MATCH(1673,'Transfer Engine'!$C$2:$C$1960,0)))</f>
        <v/>
      </c>
      <c r="K1682" s="9">
        <f>IF(ISNA(MATCH(1673,'Transfer Engine'!$C$2:$C$1960,0)),"",INDEX('Compliance Database'!$K$2:$K$1960,MATCH(1673,'Transfer Engine'!$C$2:$C$1960,0)))</f>
        <v/>
      </c>
      <c r="L1682" s="9">
        <f>IF(ISNA(MATCH(1673,'Transfer Engine'!$C$2:$C$1960,0)),"",INDEX('Compliance Database'!$L$2:$L$1960,MATCH(1673,'Transfer Engine'!$C$2:$C$1960,0)))</f>
        <v/>
      </c>
      <c r="M1682" s="9">
        <f>IF(ISNA(MATCH(1673,'Transfer Engine'!$C$2:$C$1960,0)),"",INDEX('Compliance Database'!$M$2:$M$1960,MATCH(1673,'Transfer Engine'!$C$2:$C$1960,0)))</f>
        <v/>
      </c>
      <c r="N1682" s="9">
        <f>IF(ISNA(MATCH(1673,'Transfer Engine'!$C$2:$C$1960,0)),"",INDEX('Compliance Database'!$N$2:$N$1960,MATCH(1673,'Transfer Engine'!$C$2:$C$1960,0)))</f>
        <v/>
      </c>
      <c r="O1682" s="9">
        <f>IF(ISNA(MATCH(1673,'Transfer Engine'!$C$2:$C$1960,0)),"",INDEX('Compliance Database'!$O$2:$O$1960,MATCH(1673,'Transfer Engine'!$C$2:$C$1960,0)))</f>
        <v/>
      </c>
      <c r="P1682" s="8">
        <f>IF(ISNA(MATCH(1673,'Transfer Engine'!$C$2:$C$1960,0)),"",HYPERLINK("#Acts!A"&amp;INDEX('Compliance Database'!$P$2:$P$1960,MATCH(1673,'Transfer Engine'!$C$2:$C$1960,0)),"Go to Act"))</f>
        <v/>
      </c>
    </row>
    <row r="1683" ht="158" customHeight="1">
      <c r="A1683" s="8">
        <f>IF(ISNA(MATCH(1674,'Transfer Engine'!$C$2:$C$1960,0)),"",INDEX('Compliance Database'!$A$2:$A$1960,MATCH(1674,'Transfer Engine'!$C$2:$C$1960,0)))</f>
        <v/>
      </c>
      <c r="B1683" s="8">
        <f>IF(ISNA(MATCH(1674,'Transfer Engine'!$C$2:$C$1960,0)),"",INDEX('Compliance Database'!$B$2:$B$1960,MATCH(1674,'Transfer Engine'!$C$2:$C$1960,0)))</f>
        <v/>
      </c>
      <c r="C1683" s="8">
        <f>IF(ISNA(MATCH(1674,'Transfer Engine'!$C$2:$C$1960,0)),"",INDEX('Compliance Database'!$C$2:$C$1960,MATCH(1674,'Transfer Engine'!$C$2:$C$1960,0)))</f>
        <v/>
      </c>
      <c r="D1683" s="9">
        <f>IF(ISNA(MATCH(1674,'Transfer Engine'!$C$2:$C$1960,0)),"",INDEX('Compliance Database'!$D$2:$D$1960,MATCH(1674,'Transfer Engine'!$C$2:$C$1960,0)))</f>
        <v/>
      </c>
      <c r="E1683" s="8">
        <f>IF(ISNA(MATCH(1674,'Transfer Engine'!$C$2:$C$1960,0)),"",INDEX('Compliance Database'!$E$2:$E$1960,MATCH(1674,'Transfer Engine'!$C$2:$C$1960,0)))</f>
        <v/>
      </c>
      <c r="F1683" s="8">
        <f>IF(ISNA(MATCH(1674,'Transfer Engine'!$C$2:$C$1960,0)),"",INDEX('Compliance Database'!$F$2:$F$1960,MATCH(1674,'Transfer Engine'!$C$2:$C$1960,0)))</f>
        <v/>
      </c>
      <c r="G1683" s="8">
        <f>IF(ISNA(MATCH(1674,'Transfer Engine'!$C$2:$C$1960,0)),"",INDEX('Compliance Database'!$G$2:$G$1960,MATCH(1674,'Transfer Engine'!$C$2:$C$1960,0)))</f>
        <v/>
      </c>
      <c r="H1683" s="9">
        <f>IF(ISNA(MATCH(1674,'Transfer Engine'!$C$2:$C$1960,0)),"",INDEX('Compliance Database'!$H$2:$H$1960,MATCH(1674,'Transfer Engine'!$C$2:$C$1960,0)))</f>
        <v/>
      </c>
      <c r="I1683" s="9">
        <f>IF(ISNA(MATCH(1674,'Transfer Engine'!$C$2:$C$1960,0)),"",INDEX('Compliance Database'!$I$2:$I$1960,MATCH(1674,'Transfer Engine'!$C$2:$C$1960,0)))</f>
        <v/>
      </c>
      <c r="J1683" s="8">
        <f>IF(ISNA(MATCH(1674,'Transfer Engine'!$C$2:$C$1960,0)),"",INDEX('Compliance Database'!$J$2:$J$1960,MATCH(1674,'Transfer Engine'!$C$2:$C$1960,0)))</f>
        <v/>
      </c>
      <c r="K1683" s="9">
        <f>IF(ISNA(MATCH(1674,'Transfer Engine'!$C$2:$C$1960,0)),"",INDEX('Compliance Database'!$K$2:$K$1960,MATCH(1674,'Transfer Engine'!$C$2:$C$1960,0)))</f>
        <v/>
      </c>
      <c r="L1683" s="9">
        <f>IF(ISNA(MATCH(1674,'Transfer Engine'!$C$2:$C$1960,0)),"",INDEX('Compliance Database'!$L$2:$L$1960,MATCH(1674,'Transfer Engine'!$C$2:$C$1960,0)))</f>
        <v/>
      </c>
      <c r="M1683" s="9">
        <f>IF(ISNA(MATCH(1674,'Transfer Engine'!$C$2:$C$1960,0)),"",INDEX('Compliance Database'!$M$2:$M$1960,MATCH(1674,'Transfer Engine'!$C$2:$C$1960,0)))</f>
        <v/>
      </c>
      <c r="N1683" s="9">
        <f>IF(ISNA(MATCH(1674,'Transfer Engine'!$C$2:$C$1960,0)),"",INDEX('Compliance Database'!$N$2:$N$1960,MATCH(1674,'Transfer Engine'!$C$2:$C$1960,0)))</f>
        <v/>
      </c>
      <c r="O1683" s="9">
        <f>IF(ISNA(MATCH(1674,'Transfer Engine'!$C$2:$C$1960,0)),"",INDEX('Compliance Database'!$O$2:$O$1960,MATCH(1674,'Transfer Engine'!$C$2:$C$1960,0)))</f>
        <v/>
      </c>
      <c r="P1683" s="8">
        <f>IF(ISNA(MATCH(1674,'Transfer Engine'!$C$2:$C$1960,0)),"",HYPERLINK("#Acts!A"&amp;INDEX('Compliance Database'!$P$2:$P$1960,MATCH(1674,'Transfer Engine'!$C$2:$C$1960,0)),"Go to Act"))</f>
        <v/>
      </c>
    </row>
    <row r="1684" ht="158" customHeight="1">
      <c r="A1684" s="8">
        <f>IF(ISNA(MATCH(1675,'Transfer Engine'!$C$2:$C$1960,0)),"",INDEX('Compliance Database'!$A$2:$A$1960,MATCH(1675,'Transfer Engine'!$C$2:$C$1960,0)))</f>
        <v/>
      </c>
      <c r="B1684" s="8">
        <f>IF(ISNA(MATCH(1675,'Transfer Engine'!$C$2:$C$1960,0)),"",INDEX('Compliance Database'!$B$2:$B$1960,MATCH(1675,'Transfer Engine'!$C$2:$C$1960,0)))</f>
        <v/>
      </c>
      <c r="C1684" s="8">
        <f>IF(ISNA(MATCH(1675,'Transfer Engine'!$C$2:$C$1960,0)),"",INDEX('Compliance Database'!$C$2:$C$1960,MATCH(1675,'Transfer Engine'!$C$2:$C$1960,0)))</f>
        <v/>
      </c>
      <c r="D1684" s="9">
        <f>IF(ISNA(MATCH(1675,'Transfer Engine'!$C$2:$C$1960,0)),"",INDEX('Compliance Database'!$D$2:$D$1960,MATCH(1675,'Transfer Engine'!$C$2:$C$1960,0)))</f>
        <v/>
      </c>
      <c r="E1684" s="8">
        <f>IF(ISNA(MATCH(1675,'Transfer Engine'!$C$2:$C$1960,0)),"",INDEX('Compliance Database'!$E$2:$E$1960,MATCH(1675,'Transfer Engine'!$C$2:$C$1960,0)))</f>
        <v/>
      </c>
      <c r="F1684" s="8">
        <f>IF(ISNA(MATCH(1675,'Transfer Engine'!$C$2:$C$1960,0)),"",INDEX('Compliance Database'!$F$2:$F$1960,MATCH(1675,'Transfer Engine'!$C$2:$C$1960,0)))</f>
        <v/>
      </c>
      <c r="G1684" s="8">
        <f>IF(ISNA(MATCH(1675,'Transfer Engine'!$C$2:$C$1960,0)),"",INDEX('Compliance Database'!$G$2:$G$1960,MATCH(1675,'Transfer Engine'!$C$2:$C$1960,0)))</f>
        <v/>
      </c>
      <c r="H1684" s="9">
        <f>IF(ISNA(MATCH(1675,'Transfer Engine'!$C$2:$C$1960,0)),"",INDEX('Compliance Database'!$H$2:$H$1960,MATCH(1675,'Transfer Engine'!$C$2:$C$1960,0)))</f>
        <v/>
      </c>
      <c r="I1684" s="9">
        <f>IF(ISNA(MATCH(1675,'Transfer Engine'!$C$2:$C$1960,0)),"",INDEX('Compliance Database'!$I$2:$I$1960,MATCH(1675,'Transfer Engine'!$C$2:$C$1960,0)))</f>
        <v/>
      </c>
      <c r="J1684" s="8">
        <f>IF(ISNA(MATCH(1675,'Transfer Engine'!$C$2:$C$1960,0)),"",INDEX('Compliance Database'!$J$2:$J$1960,MATCH(1675,'Transfer Engine'!$C$2:$C$1960,0)))</f>
        <v/>
      </c>
      <c r="K1684" s="9">
        <f>IF(ISNA(MATCH(1675,'Transfer Engine'!$C$2:$C$1960,0)),"",INDEX('Compliance Database'!$K$2:$K$1960,MATCH(1675,'Transfer Engine'!$C$2:$C$1960,0)))</f>
        <v/>
      </c>
      <c r="L1684" s="9">
        <f>IF(ISNA(MATCH(1675,'Transfer Engine'!$C$2:$C$1960,0)),"",INDEX('Compliance Database'!$L$2:$L$1960,MATCH(1675,'Transfer Engine'!$C$2:$C$1960,0)))</f>
        <v/>
      </c>
      <c r="M1684" s="9">
        <f>IF(ISNA(MATCH(1675,'Transfer Engine'!$C$2:$C$1960,0)),"",INDEX('Compliance Database'!$M$2:$M$1960,MATCH(1675,'Transfer Engine'!$C$2:$C$1960,0)))</f>
        <v/>
      </c>
      <c r="N1684" s="9">
        <f>IF(ISNA(MATCH(1675,'Transfer Engine'!$C$2:$C$1960,0)),"",INDEX('Compliance Database'!$N$2:$N$1960,MATCH(1675,'Transfer Engine'!$C$2:$C$1960,0)))</f>
        <v/>
      </c>
      <c r="O1684" s="9">
        <f>IF(ISNA(MATCH(1675,'Transfer Engine'!$C$2:$C$1960,0)),"",INDEX('Compliance Database'!$O$2:$O$1960,MATCH(1675,'Transfer Engine'!$C$2:$C$1960,0)))</f>
        <v/>
      </c>
      <c r="P1684" s="8">
        <f>IF(ISNA(MATCH(1675,'Transfer Engine'!$C$2:$C$1960,0)),"",HYPERLINK("#Acts!A"&amp;INDEX('Compliance Database'!$P$2:$P$1960,MATCH(1675,'Transfer Engine'!$C$2:$C$1960,0)),"Go to Act"))</f>
        <v/>
      </c>
    </row>
    <row r="1685" ht="158" customHeight="1">
      <c r="A1685" s="8">
        <f>IF(ISNA(MATCH(1676,'Transfer Engine'!$C$2:$C$1960,0)),"",INDEX('Compliance Database'!$A$2:$A$1960,MATCH(1676,'Transfer Engine'!$C$2:$C$1960,0)))</f>
        <v/>
      </c>
      <c r="B1685" s="8">
        <f>IF(ISNA(MATCH(1676,'Transfer Engine'!$C$2:$C$1960,0)),"",INDEX('Compliance Database'!$B$2:$B$1960,MATCH(1676,'Transfer Engine'!$C$2:$C$1960,0)))</f>
        <v/>
      </c>
      <c r="C1685" s="8">
        <f>IF(ISNA(MATCH(1676,'Transfer Engine'!$C$2:$C$1960,0)),"",INDEX('Compliance Database'!$C$2:$C$1960,MATCH(1676,'Transfer Engine'!$C$2:$C$1960,0)))</f>
        <v/>
      </c>
      <c r="D1685" s="9">
        <f>IF(ISNA(MATCH(1676,'Transfer Engine'!$C$2:$C$1960,0)),"",INDEX('Compliance Database'!$D$2:$D$1960,MATCH(1676,'Transfer Engine'!$C$2:$C$1960,0)))</f>
        <v/>
      </c>
      <c r="E1685" s="8">
        <f>IF(ISNA(MATCH(1676,'Transfer Engine'!$C$2:$C$1960,0)),"",INDEX('Compliance Database'!$E$2:$E$1960,MATCH(1676,'Transfer Engine'!$C$2:$C$1960,0)))</f>
        <v/>
      </c>
      <c r="F1685" s="8">
        <f>IF(ISNA(MATCH(1676,'Transfer Engine'!$C$2:$C$1960,0)),"",INDEX('Compliance Database'!$F$2:$F$1960,MATCH(1676,'Transfer Engine'!$C$2:$C$1960,0)))</f>
        <v/>
      </c>
      <c r="G1685" s="8">
        <f>IF(ISNA(MATCH(1676,'Transfer Engine'!$C$2:$C$1960,0)),"",INDEX('Compliance Database'!$G$2:$G$1960,MATCH(1676,'Transfer Engine'!$C$2:$C$1960,0)))</f>
        <v/>
      </c>
      <c r="H1685" s="9">
        <f>IF(ISNA(MATCH(1676,'Transfer Engine'!$C$2:$C$1960,0)),"",INDEX('Compliance Database'!$H$2:$H$1960,MATCH(1676,'Transfer Engine'!$C$2:$C$1960,0)))</f>
        <v/>
      </c>
      <c r="I1685" s="9">
        <f>IF(ISNA(MATCH(1676,'Transfer Engine'!$C$2:$C$1960,0)),"",INDEX('Compliance Database'!$I$2:$I$1960,MATCH(1676,'Transfer Engine'!$C$2:$C$1960,0)))</f>
        <v/>
      </c>
      <c r="J1685" s="8">
        <f>IF(ISNA(MATCH(1676,'Transfer Engine'!$C$2:$C$1960,0)),"",INDEX('Compliance Database'!$J$2:$J$1960,MATCH(1676,'Transfer Engine'!$C$2:$C$1960,0)))</f>
        <v/>
      </c>
      <c r="K1685" s="9">
        <f>IF(ISNA(MATCH(1676,'Transfer Engine'!$C$2:$C$1960,0)),"",INDEX('Compliance Database'!$K$2:$K$1960,MATCH(1676,'Transfer Engine'!$C$2:$C$1960,0)))</f>
        <v/>
      </c>
      <c r="L1685" s="9">
        <f>IF(ISNA(MATCH(1676,'Transfer Engine'!$C$2:$C$1960,0)),"",INDEX('Compliance Database'!$L$2:$L$1960,MATCH(1676,'Transfer Engine'!$C$2:$C$1960,0)))</f>
        <v/>
      </c>
      <c r="M1685" s="9">
        <f>IF(ISNA(MATCH(1676,'Transfer Engine'!$C$2:$C$1960,0)),"",INDEX('Compliance Database'!$M$2:$M$1960,MATCH(1676,'Transfer Engine'!$C$2:$C$1960,0)))</f>
        <v/>
      </c>
      <c r="N1685" s="9">
        <f>IF(ISNA(MATCH(1676,'Transfer Engine'!$C$2:$C$1960,0)),"",INDEX('Compliance Database'!$N$2:$N$1960,MATCH(1676,'Transfer Engine'!$C$2:$C$1960,0)))</f>
        <v/>
      </c>
      <c r="O1685" s="9">
        <f>IF(ISNA(MATCH(1676,'Transfer Engine'!$C$2:$C$1960,0)),"",INDEX('Compliance Database'!$O$2:$O$1960,MATCH(1676,'Transfer Engine'!$C$2:$C$1960,0)))</f>
        <v/>
      </c>
      <c r="P1685" s="8">
        <f>IF(ISNA(MATCH(1676,'Transfer Engine'!$C$2:$C$1960,0)),"",HYPERLINK("#Acts!A"&amp;INDEX('Compliance Database'!$P$2:$P$1960,MATCH(1676,'Transfer Engine'!$C$2:$C$1960,0)),"Go to Act"))</f>
        <v/>
      </c>
    </row>
    <row r="1686" ht="158" customHeight="1">
      <c r="A1686" s="8">
        <f>IF(ISNA(MATCH(1677,'Transfer Engine'!$C$2:$C$1960,0)),"",INDEX('Compliance Database'!$A$2:$A$1960,MATCH(1677,'Transfer Engine'!$C$2:$C$1960,0)))</f>
        <v/>
      </c>
      <c r="B1686" s="8">
        <f>IF(ISNA(MATCH(1677,'Transfer Engine'!$C$2:$C$1960,0)),"",INDEX('Compliance Database'!$B$2:$B$1960,MATCH(1677,'Transfer Engine'!$C$2:$C$1960,0)))</f>
        <v/>
      </c>
      <c r="C1686" s="8">
        <f>IF(ISNA(MATCH(1677,'Transfer Engine'!$C$2:$C$1960,0)),"",INDEX('Compliance Database'!$C$2:$C$1960,MATCH(1677,'Transfer Engine'!$C$2:$C$1960,0)))</f>
        <v/>
      </c>
      <c r="D1686" s="9">
        <f>IF(ISNA(MATCH(1677,'Transfer Engine'!$C$2:$C$1960,0)),"",INDEX('Compliance Database'!$D$2:$D$1960,MATCH(1677,'Transfer Engine'!$C$2:$C$1960,0)))</f>
        <v/>
      </c>
      <c r="E1686" s="8">
        <f>IF(ISNA(MATCH(1677,'Transfer Engine'!$C$2:$C$1960,0)),"",INDEX('Compliance Database'!$E$2:$E$1960,MATCH(1677,'Transfer Engine'!$C$2:$C$1960,0)))</f>
        <v/>
      </c>
      <c r="F1686" s="8">
        <f>IF(ISNA(MATCH(1677,'Transfer Engine'!$C$2:$C$1960,0)),"",INDEX('Compliance Database'!$F$2:$F$1960,MATCH(1677,'Transfer Engine'!$C$2:$C$1960,0)))</f>
        <v/>
      </c>
      <c r="G1686" s="8">
        <f>IF(ISNA(MATCH(1677,'Transfer Engine'!$C$2:$C$1960,0)),"",INDEX('Compliance Database'!$G$2:$G$1960,MATCH(1677,'Transfer Engine'!$C$2:$C$1960,0)))</f>
        <v/>
      </c>
      <c r="H1686" s="9">
        <f>IF(ISNA(MATCH(1677,'Transfer Engine'!$C$2:$C$1960,0)),"",INDEX('Compliance Database'!$H$2:$H$1960,MATCH(1677,'Transfer Engine'!$C$2:$C$1960,0)))</f>
        <v/>
      </c>
      <c r="I1686" s="9">
        <f>IF(ISNA(MATCH(1677,'Transfer Engine'!$C$2:$C$1960,0)),"",INDEX('Compliance Database'!$I$2:$I$1960,MATCH(1677,'Transfer Engine'!$C$2:$C$1960,0)))</f>
        <v/>
      </c>
      <c r="J1686" s="8">
        <f>IF(ISNA(MATCH(1677,'Transfer Engine'!$C$2:$C$1960,0)),"",INDEX('Compliance Database'!$J$2:$J$1960,MATCH(1677,'Transfer Engine'!$C$2:$C$1960,0)))</f>
        <v/>
      </c>
      <c r="K1686" s="9">
        <f>IF(ISNA(MATCH(1677,'Transfer Engine'!$C$2:$C$1960,0)),"",INDEX('Compliance Database'!$K$2:$K$1960,MATCH(1677,'Transfer Engine'!$C$2:$C$1960,0)))</f>
        <v/>
      </c>
      <c r="L1686" s="9">
        <f>IF(ISNA(MATCH(1677,'Transfer Engine'!$C$2:$C$1960,0)),"",INDEX('Compliance Database'!$L$2:$L$1960,MATCH(1677,'Transfer Engine'!$C$2:$C$1960,0)))</f>
        <v/>
      </c>
      <c r="M1686" s="9">
        <f>IF(ISNA(MATCH(1677,'Transfer Engine'!$C$2:$C$1960,0)),"",INDEX('Compliance Database'!$M$2:$M$1960,MATCH(1677,'Transfer Engine'!$C$2:$C$1960,0)))</f>
        <v/>
      </c>
      <c r="N1686" s="9">
        <f>IF(ISNA(MATCH(1677,'Transfer Engine'!$C$2:$C$1960,0)),"",INDEX('Compliance Database'!$N$2:$N$1960,MATCH(1677,'Transfer Engine'!$C$2:$C$1960,0)))</f>
        <v/>
      </c>
      <c r="O1686" s="9">
        <f>IF(ISNA(MATCH(1677,'Transfer Engine'!$C$2:$C$1960,0)),"",INDEX('Compliance Database'!$O$2:$O$1960,MATCH(1677,'Transfer Engine'!$C$2:$C$1960,0)))</f>
        <v/>
      </c>
      <c r="P1686" s="8">
        <f>IF(ISNA(MATCH(1677,'Transfer Engine'!$C$2:$C$1960,0)),"",HYPERLINK("#Acts!A"&amp;INDEX('Compliance Database'!$P$2:$P$1960,MATCH(1677,'Transfer Engine'!$C$2:$C$1960,0)),"Go to Act"))</f>
        <v/>
      </c>
    </row>
    <row r="1687" ht="158" customHeight="1">
      <c r="A1687" s="8">
        <f>IF(ISNA(MATCH(1678,'Transfer Engine'!$C$2:$C$1960,0)),"",INDEX('Compliance Database'!$A$2:$A$1960,MATCH(1678,'Transfer Engine'!$C$2:$C$1960,0)))</f>
        <v/>
      </c>
      <c r="B1687" s="8">
        <f>IF(ISNA(MATCH(1678,'Transfer Engine'!$C$2:$C$1960,0)),"",INDEX('Compliance Database'!$B$2:$B$1960,MATCH(1678,'Transfer Engine'!$C$2:$C$1960,0)))</f>
        <v/>
      </c>
      <c r="C1687" s="8">
        <f>IF(ISNA(MATCH(1678,'Transfer Engine'!$C$2:$C$1960,0)),"",INDEX('Compliance Database'!$C$2:$C$1960,MATCH(1678,'Transfer Engine'!$C$2:$C$1960,0)))</f>
        <v/>
      </c>
      <c r="D1687" s="9">
        <f>IF(ISNA(MATCH(1678,'Transfer Engine'!$C$2:$C$1960,0)),"",INDEX('Compliance Database'!$D$2:$D$1960,MATCH(1678,'Transfer Engine'!$C$2:$C$1960,0)))</f>
        <v/>
      </c>
      <c r="E1687" s="8">
        <f>IF(ISNA(MATCH(1678,'Transfer Engine'!$C$2:$C$1960,0)),"",INDEX('Compliance Database'!$E$2:$E$1960,MATCH(1678,'Transfer Engine'!$C$2:$C$1960,0)))</f>
        <v/>
      </c>
      <c r="F1687" s="8">
        <f>IF(ISNA(MATCH(1678,'Transfer Engine'!$C$2:$C$1960,0)),"",INDEX('Compliance Database'!$F$2:$F$1960,MATCH(1678,'Transfer Engine'!$C$2:$C$1960,0)))</f>
        <v/>
      </c>
      <c r="G1687" s="8">
        <f>IF(ISNA(MATCH(1678,'Transfer Engine'!$C$2:$C$1960,0)),"",INDEX('Compliance Database'!$G$2:$G$1960,MATCH(1678,'Transfer Engine'!$C$2:$C$1960,0)))</f>
        <v/>
      </c>
      <c r="H1687" s="9">
        <f>IF(ISNA(MATCH(1678,'Transfer Engine'!$C$2:$C$1960,0)),"",INDEX('Compliance Database'!$H$2:$H$1960,MATCH(1678,'Transfer Engine'!$C$2:$C$1960,0)))</f>
        <v/>
      </c>
      <c r="I1687" s="9">
        <f>IF(ISNA(MATCH(1678,'Transfer Engine'!$C$2:$C$1960,0)),"",INDEX('Compliance Database'!$I$2:$I$1960,MATCH(1678,'Transfer Engine'!$C$2:$C$1960,0)))</f>
        <v/>
      </c>
      <c r="J1687" s="8">
        <f>IF(ISNA(MATCH(1678,'Transfer Engine'!$C$2:$C$1960,0)),"",INDEX('Compliance Database'!$J$2:$J$1960,MATCH(1678,'Transfer Engine'!$C$2:$C$1960,0)))</f>
        <v/>
      </c>
      <c r="K1687" s="9">
        <f>IF(ISNA(MATCH(1678,'Transfer Engine'!$C$2:$C$1960,0)),"",INDEX('Compliance Database'!$K$2:$K$1960,MATCH(1678,'Transfer Engine'!$C$2:$C$1960,0)))</f>
        <v/>
      </c>
      <c r="L1687" s="9">
        <f>IF(ISNA(MATCH(1678,'Transfer Engine'!$C$2:$C$1960,0)),"",INDEX('Compliance Database'!$L$2:$L$1960,MATCH(1678,'Transfer Engine'!$C$2:$C$1960,0)))</f>
        <v/>
      </c>
      <c r="M1687" s="9">
        <f>IF(ISNA(MATCH(1678,'Transfer Engine'!$C$2:$C$1960,0)),"",INDEX('Compliance Database'!$M$2:$M$1960,MATCH(1678,'Transfer Engine'!$C$2:$C$1960,0)))</f>
        <v/>
      </c>
      <c r="N1687" s="9">
        <f>IF(ISNA(MATCH(1678,'Transfer Engine'!$C$2:$C$1960,0)),"",INDEX('Compliance Database'!$N$2:$N$1960,MATCH(1678,'Transfer Engine'!$C$2:$C$1960,0)))</f>
        <v/>
      </c>
      <c r="O1687" s="9">
        <f>IF(ISNA(MATCH(1678,'Transfer Engine'!$C$2:$C$1960,0)),"",INDEX('Compliance Database'!$O$2:$O$1960,MATCH(1678,'Transfer Engine'!$C$2:$C$1960,0)))</f>
        <v/>
      </c>
      <c r="P1687" s="8">
        <f>IF(ISNA(MATCH(1678,'Transfer Engine'!$C$2:$C$1960,0)),"",HYPERLINK("#Acts!A"&amp;INDEX('Compliance Database'!$P$2:$P$1960,MATCH(1678,'Transfer Engine'!$C$2:$C$1960,0)),"Go to Act"))</f>
        <v/>
      </c>
    </row>
    <row r="1688" ht="158" customHeight="1">
      <c r="A1688" s="8">
        <f>IF(ISNA(MATCH(1679,'Transfer Engine'!$C$2:$C$1960,0)),"",INDEX('Compliance Database'!$A$2:$A$1960,MATCH(1679,'Transfer Engine'!$C$2:$C$1960,0)))</f>
        <v/>
      </c>
      <c r="B1688" s="8">
        <f>IF(ISNA(MATCH(1679,'Transfer Engine'!$C$2:$C$1960,0)),"",INDEX('Compliance Database'!$B$2:$B$1960,MATCH(1679,'Transfer Engine'!$C$2:$C$1960,0)))</f>
        <v/>
      </c>
      <c r="C1688" s="8">
        <f>IF(ISNA(MATCH(1679,'Transfer Engine'!$C$2:$C$1960,0)),"",INDEX('Compliance Database'!$C$2:$C$1960,MATCH(1679,'Transfer Engine'!$C$2:$C$1960,0)))</f>
        <v/>
      </c>
      <c r="D1688" s="9">
        <f>IF(ISNA(MATCH(1679,'Transfer Engine'!$C$2:$C$1960,0)),"",INDEX('Compliance Database'!$D$2:$D$1960,MATCH(1679,'Transfer Engine'!$C$2:$C$1960,0)))</f>
        <v/>
      </c>
      <c r="E1688" s="8">
        <f>IF(ISNA(MATCH(1679,'Transfer Engine'!$C$2:$C$1960,0)),"",INDEX('Compliance Database'!$E$2:$E$1960,MATCH(1679,'Transfer Engine'!$C$2:$C$1960,0)))</f>
        <v/>
      </c>
      <c r="F1688" s="8">
        <f>IF(ISNA(MATCH(1679,'Transfer Engine'!$C$2:$C$1960,0)),"",INDEX('Compliance Database'!$F$2:$F$1960,MATCH(1679,'Transfer Engine'!$C$2:$C$1960,0)))</f>
        <v/>
      </c>
      <c r="G1688" s="8">
        <f>IF(ISNA(MATCH(1679,'Transfer Engine'!$C$2:$C$1960,0)),"",INDEX('Compliance Database'!$G$2:$G$1960,MATCH(1679,'Transfer Engine'!$C$2:$C$1960,0)))</f>
        <v/>
      </c>
      <c r="H1688" s="9">
        <f>IF(ISNA(MATCH(1679,'Transfer Engine'!$C$2:$C$1960,0)),"",INDEX('Compliance Database'!$H$2:$H$1960,MATCH(1679,'Transfer Engine'!$C$2:$C$1960,0)))</f>
        <v/>
      </c>
      <c r="I1688" s="9">
        <f>IF(ISNA(MATCH(1679,'Transfer Engine'!$C$2:$C$1960,0)),"",INDEX('Compliance Database'!$I$2:$I$1960,MATCH(1679,'Transfer Engine'!$C$2:$C$1960,0)))</f>
        <v/>
      </c>
      <c r="J1688" s="8">
        <f>IF(ISNA(MATCH(1679,'Transfer Engine'!$C$2:$C$1960,0)),"",INDEX('Compliance Database'!$J$2:$J$1960,MATCH(1679,'Transfer Engine'!$C$2:$C$1960,0)))</f>
        <v/>
      </c>
      <c r="K1688" s="9">
        <f>IF(ISNA(MATCH(1679,'Transfer Engine'!$C$2:$C$1960,0)),"",INDEX('Compliance Database'!$K$2:$K$1960,MATCH(1679,'Transfer Engine'!$C$2:$C$1960,0)))</f>
        <v/>
      </c>
      <c r="L1688" s="9">
        <f>IF(ISNA(MATCH(1679,'Transfer Engine'!$C$2:$C$1960,0)),"",INDEX('Compliance Database'!$L$2:$L$1960,MATCH(1679,'Transfer Engine'!$C$2:$C$1960,0)))</f>
        <v/>
      </c>
      <c r="M1688" s="9">
        <f>IF(ISNA(MATCH(1679,'Transfer Engine'!$C$2:$C$1960,0)),"",INDEX('Compliance Database'!$M$2:$M$1960,MATCH(1679,'Transfer Engine'!$C$2:$C$1960,0)))</f>
        <v/>
      </c>
      <c r="N1688" s="9">
        <f>IF(ISNA(MATCH(1679,'Transfer Engine'!$C$2:$C$1960,0)),"",INDEX('Compliance Database'!$N$2:$N$1960,MATCH(1679,'Transfer Engine'!$C$2:$C$1960,0)))</f>
        <v/>
      </c>
      <c r="O1688" s="9">
        <f>IF(ISNA(MATCH(1679,'Transfer Engine'!$C$2:$C$1960,0)),"",INDEX('Compliance Database'!$O$2:$O$1960,MATCH(1679,'Transfer Engine'!$C$2:$C$1960,0)))</f>
        <v/>
      </c>
      <c r="P1688" s="8">
        <f>IF(ISNA(MATCH(1679,'Transfer Engine'!$C$2:$C$1960,0)),"",HYPERLINK("#Acts!A"&amp;INDEX('Compliance Database'!$P$2:$P$1960,MATCH(1679,'Transfer Engine'!$C$2:$C$1960,0)),"Go to Act"))</f>
        <v/>
      </c>
    </row>
    <row r="1689" ht="158" customHeight="1">
      <c r="A1689" s="8">
        <f>IF(ISNA(MATCH(1680,'Transfer Engine'!$C$2:$C$1960,0)),"",INDEX('Compliance Database'!$A$2:$A$1960,MATCH(1680,'Transfer Engine'!$C$2:$C$1960,0)))</f>
        <v/>
      </c>
      <c r="B1689" s="8">
        <f>IF(ISNA(MATCH(1680,'Transfer Engine'!$C$2:$C$1960,0)),"",INDEX('Compliance Database'!$B$2:$B$1960,MATCH(1680,'Transfer Engine'!$C$2:$C$1960,0)))</f>
        <v/>
      </c>
      <c r="C1689" s="8">
        <f>IF(ISNA(MATCH(1680,'Transfer Engine'!$C$2:$C$1960,0)),"",INDEX('Compliance Database'!$C$2:$C$1960,MATCH(1680,'Transfer Engine'!$C$2:$C$1960,0)))</f>
        <v/>
      </c>
      <c r="D1689" s="9">
        <f>IF(ISNA(MATCH(1680,'Transfer Engine'!$C$2:$C$1960,0)),"",INDEX('Compliance Database'!$D$2:$D$1960,MATCH(1680,'Transfer Engine'!$C$2:$C$1960,0)))</f>
        <v/>
      </c>
      <c r="E1689" s="8">
        <f>IF(ISNA(MATCH(1680,'Transfer Engine'!$C$2:$C$1960,0)),"",INDEX('Compliance Database'!$E$2:$E$1960,MATCH(1680,'Transfer Engine'!$C$2:$C$1960,0)))</f>
        <v/>
      </c>
      <c r="F1689" s="8">
        <f>IF(ISNA(MATCH(1680,'Transfer Engine'!$C$2:$C$1960,0)),"",INDEX('Compliance Database'!$F$2:$F$1960,MATCH(1680,'Transfer Engine'!$C$2:$C$1960,0)))</f>
        <v/>
      </c>
      <c r="G1689" s="8">
        <f>IF(ISNA(MATCH(1680,'Transfer Engine'!$C$2:$C$1960,0)),"",INDEX('Compliance Database'!$G$2:$G$1960,MATCH(1680,'Transfer Engine'!$C$2:$C$1960,0)))</f>
        <v/>
      </c>
      <c r="H1689" s="9">
        <f>IF(ISNA(MATCH(1680,'Transfer Engine'!$C$2:$C$1960,0)),"",INDEX('Compliance Database'!$H$2:$H$1960,MATCH(1680,'Transfer Engine'!$C$2:$C$1960,0)))</f>
        <v/>
      </c>
      <c r="I1689" s="9">
        <f>IF(ISNA(MATCH(1680,'Transfer Engine'!$C$2:$C$1960,0)),"",INDEX('Compliance Database'!$I$2:$I$1960,MATCH(1680,'Transfer Engine'!$C$2:$C$1960,0)))</f>
        <v/>
      </c>
      <c r="J1689" s="8">
        <f>IF(ISNA(MATCH(1680,'Transfer Engine'!$C$2:$C$1960,0)),"",INDEX('Compliance Database'!$J$2:$J$1960,MATCH(1680,'Transfer Engine'!$C$2:$C$1960,0)))</f>
        <v/>
      </c>
      <c r="K1689" s="9">
        <f>IF(ISNA(MATCH(1680,'Transfer Engine'!$C$2:$C$1960,0)),"",INDEX('Compliance Database'!$K$2:$K$1960,MATCH(1680,'Transfer Engine'!$C$2:$C$1960,0)))</f>
        <v/>
      </c>
      <c r="L1689" s="9">
        <f>IF(ISNA(MATCH(1680,'Transfer Engine'!$C$2:$C$1960,0)),"",INDEX('Compliance Database'!$L$2:$L$1960,MATCH(1680,'Transfer Engine'!$C$2:$C$1960,0)))</f>
        <v/>
      </c>
      <c r="M1689" s="9">
        <f>IF(ISNA(MATCH(1680,'Transfer Engine'!$C$2:$C$1960,0)),"",INDEX('Compliance Database'!$M$2:$M$1960,MATCH(1680,'Transfer Engine'!$C$2:$C$1960,0)))</f>
        <v/>
      </c>
      <c r="N1689" s="9">
        <f>IF(ISNA(MATCH(1680,'Transfer Engine'!$C$2:$C$1960,0)),"",INDEX('Compliance Database'!$N$2:$N$1960,MATCH(1680,'Transfer Engine'!$C$2:$C$1960,0)))</f>
        <v/>
      </c>
      <c r="O1689" s="9">
        <f>IF(ISNA(MATCH(1680,'Transfer Engine'!$C$2:$C$1960,0)),"",INDEX('Compliance Database'!$O$2:$O$1960,MATCH(1680,'Transfer Engine'!$C$2:$C$1960,0)))</f>
        <v/>
      </c>
      <c r="P1689" s="8">
        <f>IF(ISNA(MATCH(1680,'Transfer Engine'!$C$2:$C$1960,0)),"",HYPERLINK("#Acts!A"&amp;INDEX('Compliance Database'!$P$2:$P$1960,MATCH(1680,'Transfer Engine'!$C$2:$C$1960,0)),"Go to Act"))</f>
        <v/>
      </c>
    </row>
    <row r="1690" ht="158" customHeight="1">
      <c r="A1690" s="8">
        <f>IF(ISNA(MATCH(1681,'Transfer Engine'!$C$2:$C$1960,0)),"",INDEX('Compliance Database'!$A$2:$A$1960,MATCH(1681,'Transfer Engine'!$C$2:$C$1960,0)))</f>
        <v/>
      </c>
      <c r="B1690" s="8">
        <f>IF(ISNA(MATCH(1681,'Transfer Engine'!$C$2:$C$1960,0)),"",INDEX('Compliance Database'!$B$2:$B$1960,MATCH(1681,'Transfer Engine'!$C$2:$C$1960,0)))</f>
        <v/>
      </c>
      <c r="C1690" s="8">
        <f>IF(ISNA(MATCH(1681,'Transfer Engine'!$C$2:$C$1960,0)),"",INDEX('Compliance Database'!$C$2:$C$1960,MATCH(1681,'Transfer Engine'!$C$2:$C$1960,0)))</f>
        <v/>
      </c>
      <c r="D1690" s="9">
        <f>IF(ISNA(MATCH(1681,'Transfer Engine'!$C$2:$C$1960,0)),"",INDEX('Compliance Database'!$D$2:$D$1960,MATCH(1681,'Transfer Engine'!$C$2:$C$1960,0)))</f>
        <v/>
      </c>
      <c r="E1690" s="8">
        <f>IF(ISNA(MATCH(1681,'Transfer Engine'!$C$2:$C$1960,0)),"",INDEX('Compliance Database'!$E$2:$E$1960,MATCH(1681,'Transfer Engine'!$C$2:$C$1960,0)))</f>
        <v/>
      </c>
      <c r="F1690" s="8">
        <f>IF(ISNA(MATCH(1681,'Transfer Engine'!$C$2:$C$1960,0)),"",INDEX('Compliance Database'!$F$2:$F$1960,MATCH(1681,'Transfer Engine'!$C$2:$C$1960,0)))</f>
        <v/>
      </c>
      <c r="G1690" s="8">
        <f>IF(ISNA(MATCH(1681,'Transfer Engine'!$C$2:$C$1960,0)),"",INDEX('Compliance Database'!$G$2:$G$1960,MATCH(1681,'Transfer Engine'!$C$2:$C$1960,0)))</f>
        <v/>
      </c>
      <c r="H1690" s="9">
        <f>IF(ISNA(MATCH(1681,'Transfer Engine'!$C$2:$C$1960,0)),"",INDEX('Compliance Database'!$H$2:$H$1960,MATCH(1681,'Transfer Engine'!$C$2:$C$1960,0)))</f>
        <v/>
      </c>
      <c r="I1690" s="9">
        <f>IF(ISNA(MATCH(1681,'Transfer Engine'!$C$2:$C$1960,0)),"",INDEX('Compliance Database'!$I$2:$I$1960,MATCH(1681,'Transfer Engine'!$C$2:$C$1960,0)))</f>
        <v/>
      </c>
      <c r="J1690" s="8">
        <f>IF(ISNA(MATCH(1681,'Transfer Engine'!$C$2:$C$1960,0)),"",INDEX('Compliance Database'!$J$2:$J$1960,MATCH(1681,'Transfer Engine'!$C$2:$C$1960,0)))</f>
        <v/>
      </c>
      <c r="K1690" s="9">
        <f>IF(ISNA(MATCH(1681,'Transfer Engine'!$C$2:$C$1960,0)),"",INDEX('Compliance Database'!$K$2:$K$1960,MATCH(1681,'Transfer Engine'!$C$2:$C$1960,0)))</f>
        <v/>
      </c>
      <c r="L1690" s="9">
        <f>IF(ISNA(MATCH(1681,'Transfer Engine'!$C$2:$C$1960,0)),"",INDEX('Compliance Database'!$L$2:$L$1960,MATCH(1681,'Transfer Engine'!$C$2:$C$1960,0)))</f>
        <v/>
      </c>
      <c r="M1690" s="9">
        <f>IF(ISNA(MATCH(1681,'Transfer Engine'!$C$2:$C$1960,0)),"",INDEX('Compliance Database'!$M$2:$M$1960,MATCH(1681,'Transfer Engine'!$C$2:$C$1960,0)))</f>
        <v/>
      </c>
      <c r="N1690" s="9">
        <f>IF(ISNA(MATCH(1681,'Transfer Engine'!$C$2:$C$1960,0)),"",INDEX('Compliance Database'!$N$2:$N$1960,MATCH(1681,'Transfer Engine'!$C$2:$C$1960,0)))</f>
        <v/>
      </c>
      <c r="O1690" s="9">
        <f>IF(ISNA(MATCH(1681,'Transfer Engine'!$C$2:$C$1960,0)),"",INDEX('Compliance Database'!$O$2:$O$1960,MATCH(1681,'Transfer Engine'!$C$2:$C$1960,0)))</f>
        <v/>
      </c>
      <c r="P1690" s="8">
        <f>IF(ISNA(MATCH(1681,'Transfer Engine'!$C$2:$C$1960,0)),"",HYPERLINK("#Acts!A"&amp;INDEX('Compliance Database'!$P$2:$P$1960,MATCH(1681,'Transfer Engine'!$C$2:$C$1960,0)),"Go to Act"))</f>
        <v/>
      </c>
    </row>
    <row r="1691" ht="158" customHeight="1">
      <c r="A1691" s="8">
        <f>IF(ISNA(MATCH(1682,'Transfer Engine'!$C$2:$C$1960,0)),"",INDEX('Compliance Database'!$A$2:$A$1960,MATCH(1682,'Transfer Engine'!$C$2:$C$1960,0)))</f>
        <v/>
      </c>
      <c r="B1691" s="8">
        <f>IF(ISNA(MATCH(1682,'Transfer Engine'!$C$2:$C$1960,0)),"",INDEX('Compliance Database'!$B$2:$B$1960,MATCH(1682,'Transfer Engine'!$C$2:$C$1960,0)))</f>
        <v/>
      </c>
      <c r="C1691" s="8">
        <f>IF(ISNA(MATCH(1682,'Transfer Engine'!$C$2:$C$1960,0)),"",INDEX('Compliance Database'!$C$2:$C$1960,MATCH(1682,'Transfer Engine'!$C$2:$C$1960,0)))</f>
        <v/>
      </c>
      <c r="D1691" s="9">
        <f>IF(ISNA(MATCH(1682,'Transfer Engine'!$C$2:$C$1960,0)),"",INDEX('Compliance Database'!$D$2:$D$1960,MATCH(1682,'Transfer Engine'!$C$2:$C$1960,0)))</f>
        <v/>
      </c>
      <c r="E1691" s="8">
        <f>IF(ISNA(MATCH(1682,'Transfer Engine'!$C$2:$C$1960,0)),"",INDEX('Compliance Database'!$E$2:$E$1960,MATCH(1682,'Transfer Engine'!$C$2:$C$1960,0)))</f>
        <v/>
      </c>
      <c r="F1691" s="8">
        <f>IF(ISNA(MATCH(1682,'Transfer Engine'!$C$2:$C$1960,0)),"",INDEX('Compliance Database'!$F$2:$F$1960,MATCH(1682,'Transfer Engine'!$C$2:$C$1960,0)))</f>
        <v/>
      </c>
      <c r="G1691" s="8">
        <f>IF(ISNA(MATCH(1682,'Transfer Engine'!$C$2:$C$1960,0)),"",INDEX('Compliance Database'!$G$2:$G$1960,MATCH(1682,'Transfer Engine'!$C$2:$C$1960,0)))</f>
        <v/>
      </c>
      <c r="H1691" s="9">
        <f>IF(ISNA(MATCH(1682,'Transfer Engine'!$C$2:$C$1960,0)),"",INDEX('Compliance Database'!$H$2:$H$1960,MATCH(1682,'Transfer Engine'!$C$2:$C$1960,0)))</f>
        <v/>
      </c>
      <c r="I1691" s="9">
        <f>IF(ISNA(MATCH(1682,'Transfer Engine'!$C$2:$C$1960,0)),"",INDEX('Compliance Database'!$I$2:$I$1960,MATCH(1682,'Transfer Engine'!$C$2:$C$1960,0)))</f>
        <v/>
      </c>
      <c r="J1691" s="8">
        <f>IF(ISNA(MATCH(1682,'Transfer Engine'!$C$2:$C$1960,0)),"",INDEX('Compliance Database'!$J$2:$J$1960,MATCH(1682,'Transfer Engine'!$C$2:$C$1960,0)))</f>
        <v/>
      </c>
      <c r="K1691" s="9">
        <f>IF(ISNA(MATCH(1682,'Transfer Engine'!$C$2:$C$1960,0)),"",INDEX('Compliance Database'!$K$2:$K$1960,MATCH(1682,'Transfer Engine'!$C$2:$C$1960,0)))</f>
        <v/>
      </c>
      <c r="L1691" s="9">
        <f>IF(ISNA(MATCH(1682,'Transfer Engine'!$C$2:$C$1960,0)),"",INDEX('Compliance Database'!$L$2:$L$1960,MATCH(1682,'Transfer Engine'!$C$2:$C$1960,0)))</f>
        <v/>
      </c>
      <c r="M1691" s="9">
        <f>IF(ISNA(MATCH(1682,'Transfer Engine'!$C$2:$C$1960,0)),"",INDEX('Compliance Database'!$M$2:$M$1960,MATCH(1682,'Transfer Engine'!$C$2:$C$1960,0)))</f>
        <v/>
      </c>
      <c r="N1691" s="9">
        <f>IF(ISNA(MATCH(1682,'Transfer Engine'!$C$2:$C$1960,0)),"",INDEX('Compliance Database'!$N$2:$N$1960,MATCH(1682,'Transfer Engine'!$C$2:$C$1960,0)))</f>
        <v/>
      </c>
      <c r="O1691" s="9">
        <f>IF(ISNA(MATCH(1682,'Transfer Engine'!$C$2:$C$1960,0)),"",INDEX('Compliance Database'!$O$2:$O$1960,MATCH(1682,'Transfer Engine'!$C$2:$C$1960,0)))</f>
        <v/>
      </c>
      <c r="P1691" s="8">
        <f>IF(ISNA(MATCH(1682,'Transfer Engine'!$C$2:$C$1960,0)),"",HYPERLINK("#Acts!A"&amp;INDEX('Compliance Database'!$P$2:$P$1960,MATCH(1682,'Transfer Engine'!$C$2:$C$1960,0)),"Go to Act"))</f>
        <v/>
      </c>
    </row>
    <row r="1692" ht="158" customHeight="1">
      <c r="A1692" s="8">
        <f>IF(ISNA(MATCH(1683,'Transfer Engine'!$C$2:$C$1960,0)),"",INDEX('Compliance Database'!$A$2:$A$1960,MATCH(1683,'Transfer Engine'!$C$2:$C$1960,0)))</f>
        <v/>
      </c>
      <c r="B1692" s="8">
        <f>IF(ISNA(MATCH(1683,'Transfer Engine'!$C$2:$C$1960,0)),"",INDEX('Compliance Database'!$B$2:$B$1960,MATCH(1683,'Transfer Engine'!$C$2:$C$1960,0)))</f>
        <v/>
      </c>
      <c r="C1692" s="8">
        <f>IF(ISNA(MATCH(1683,'Transfer Engine'!$C$2:$C$1960,0)),"",INDEX('Compliance Database'!$C$2:$C$1960,MATCH(1683,'Transfer Engine'!$C$2:$C$1960,0)))</f>
        <v/>
      </c>
      <c r="D1692" s="9">
        <f>IF(ISNA(MATCH(1683,'Transfer Engine'!$C$2:$C$1960,0)),"",INDEX('Compliance Database'!$D$2:$D$1960,MATCH(1683,'Transfer Engine'!$C$2:$C$1960,0)))</f>
        <v/>
      </c>
      <c r="E1692" s="8">
        <f>IF(ISNA(MATCH(1683,'Transfer Engine'!$C$2:$C$1960,0)),"",INDEX('Compliance Database'!$E$2:$E$1960,MATCH(1683,'Transfer Engine'!$C$2:$C$1960,0)))</f>
        <v/>
      </c>
      <c r="F1692" s="8">
        <f>IF(ISNA(MATCH(1683,'Transfer Engine'!$C$2:$C$1960,0)),"",INDEX('Compliance Database'!$F$2:$F$1960,MATCH(1683,'Transfer Engine'!$C$2:$C$1960,0)))</f>
        <v/>
      </c>
      <c r="G1692" s="8">
        <f>IF(ISNA(MATCH(1683,'Transfer Engine'!$C$2:$C$1960,0)),"",INDEX('Compliance Database'!$G$2:$G$1960,MATCH(1683,'Transfer Engine'!$C$2:$C$1960,0)))</f>
        <v/>
      </c>
      <c r="H1692" s="9">
        <f>IF(ISNA(MATCH(1683,'Transfer Engine'!$C$2:$C$1960,0)),"",INDEX('Compliance Database'!$H$2:$H$1960,MATCH(1683,'Transfer Engine'!$C$2:$C$1960,0)))</f>
        <v/>
      </c>
      <c r="I1692" s="9">
        <f>IF(ISNA(MATCH(1683,'Transfer Engine'!$C$2:$C$1960,0)),"",INDEX('Compliance Database'!$I$2:$I$1960,MATCH(1683,'Transfer Engine'!$C$2:$C$1960,0)))</f>
        <v/>
      </c>
      <c r="J1692" s="8">
        <f>IF(ISNA(MATCH(1683,'Transfer Engine'!$C$2:$C$1960,0)),"",INDEX('Compliance Database'!$J$2:$J$1960,MATCH(1683,'Transfer Engine'!$C$2:$C$1960,0)))</f>
        <v/>
      </c>
      <c r="K1692" s="9">
        <f>IF(ISNA(MATCH(1683,'Transfer Engine'!$C$2:$C$1960,0)),"",INDEX('Compliance Database'!$K$2:$K$1960,MATCH(1683,'Transfer Engine'!$C$2:$C$1960,0)))</f>
        <v/>
      </c>
      <c r="L1692" s="9">
        <f>IF(ISNA(MATCH(1683,'Transfer Engine'!$C$2:$C$1960,0)),"",INDEX('Compliance Database'!$L$2:$L$1960,MATCH(1683,'Transfer Engine'!$C$2:$C$1960,0)))</f>
        <v/>
      </c>
      <c r="M1692" s="9">
        <f>IF(ISNA(MATCH(1683,'Transfer Engine'!$C$2:$C$1960,0)),"",INDEX('Compliance Database'!$M$2:$M$1960,MATCH(1683,'Transfer Engine'!$C$2:$C$1960,0)))</f>
        <v/>
      </c>
      <c r="N1692" s="9">
        <f>IF(ISNA(MATCH(1683,'Transfer Engine'!$C$2:$C$1960,0)),"",INDEX('Compliance Database'!$N$2:$N$1960,MATCH(1683,'Transfer Engine'!$C$2:$C$1960,0)))</f>
        <v/>
      </c>
      <c r="O1692" s="9">
        <f>IF(ISNA(MATCH(1683,'Transfer Engine'!$C$2:$C$1960,0)),"",INDEX('Compliance Database'!$O$2:$O$1960,MATCH(1683,'Transfer Engine'!$C$2:$C$1960,0)))</f>
        <v/>
      </c>
      <c r="P1692" s="8">
        <f>IF(ISNA(MATCH(1683,'Transfer Engine'!$C$2:$C$1960,0)),"",HYPERLINK("#Acts!A"&amp;INDEX('Compliance Database'!$P$2:$P$1960,MATCH(1683,'Transfer Engine'!$C$2:$C$1960,0)),"Go to Act"))</f>
        <v/>
      </c>
    </row>
    <row r="1693" ht="158" customHeight="1">
      <c r="A1693" s="8">
        <f>IF(ISNA(MATCH(1684,'Transfer Engine'!$C$2:$C$1960,0)),"",INDEX('Compliance Database'!$A$2:$A$1960,MATCH(1684,'Transfer Engine'!$C$2:$C$1960,0)))</f>
        <v/>
      </c>
      <c r="B1693" s="8">
        <f>IF(ISNA(MATCH(1684,'Transfer Engine'!$C$2:$C$1960,0)),"",INDEX('Compliance Database'!$B$2:$B$1960,MATCH(1684,'Transfer Engine'!$C$2:$C$1960,0)))</f>
        <v/>
      </c>
      <c r="C1693" s="8">
        <f>IF(ISNA(MATCH(1684,'Transfer Engine'!$C$2:$C$1960,0)),"",INDEX('Compliance Database'!$C$2:$C$1960,MATCH(1684,'Transfer Engine'!$C$2:$C$1960,0)))</f>
        <v/>
      </c>
      <c r="D1693" s="9">
        <f>IF(ISNA(MATCH(1684,'Transfer Engine'!$C$2:$C$1960,0)),"",INDEX('Compliance Database'!$D$2:$D$1960,MATCH(1684,'Transfer Engine'!$C$2:$C$1960,0)))</f>
        <v/>
      </c>
      <c r="E1693" s="8">
        <f>IF(ISNA(MATCH(1684,'Transfer Engine'!$C$2:$C$1960,0)),"",INDEX('Compliance Database'!$E$2:$E$1960,MATCH(1684,'Transfer Engine'!$C$2:$C$1960,0)))</f>
        <v/>
      </c>
      <c r="F1693" s="8">
        <f>IF(ISNA(MATCH(1684,'Transfer Engine'!$C$2:$C$1960,0)),"",INDEX('Compliance Database'!$F$2:$F$1960,MATCH(1684,'Transfer Engine'!$C$2:$C$1960,0)))</f>
        <v/>
      </c>
      <c r="G1693" s="8">
        <f>IF(ISNA(MATCH(1684,'Transfer Engine'!$C$2:$C$1960,0)),"",INDEX('Compliance Database'!$G$2:$G$1960,MATCH(1684,'Transfer Engine'!$C$2:$C$1960,0)))</f>
        <v/>
      </c>
      <c r="H1693" s="9">
        <f>IF(ISNA(MATCH(1684,'Transfer Engine'!$C$2:$C$1960,0)),"",INDEX('Compliance Database'!$H$2:$H$1960,MATCH(1684,'Transfer Engine'!$C$2:$C$1960,0)))</f>
        <v/>
      </c>
      <c r="I1693" s="9">
        <f>IF(ISNA(MATCH(1684,'Transfer Engine'!$C$2:$C$1960,0)),"",INDEX('Compliance Database'!$I$2:$I$1960,MATCH(1684,'Transfer Engine'!$C$2:$C$1960,0)))</f>
        <v/>
      </c>
      <c r="J1693" s="8">
        <f>IF(ISNA(MATCH(1684,'Transfer Engine'!$C$2:$C$1960,0)),"",INDEX('Compliance Database'!$J$2:$J$1960,MATCH(1684,'Transfer Engine'!$C$2:$C$1960,0)))</f>
        <v/>
      </c>
      <c r="K1693" s="9">
        <f>IF(ISNA(MATCH(1684,'Transfer Engine'!$C$2:$C$1960,0)),"",INDEX('Compliance Database'!$K$2:$K$1960,MATCH(1684,'Transfer Engine'!$C$2:$C$1960,0)))</f>
        <v/>
      </c>
      <c r="L1693" s="9">
        <f>IF(ISNA(MATCH(1684,'Transfer Engine'!$C$2:$C$1960,0)),"",INDEX('Compliance Database'!$L$2:$L$1960,MATCH(1684,'Transfer Engine'!$C$2:$C$1960,0)))</f>
        <v/>
      </c>
      <c r="M1693" s="9">
        <f>IF(ISNA(MATCH(1684,'Transfer Engine'!$C$2:$C$1960,0)),"",INDEX('Compliance Database'!$M$2:$M$1960,MATCH(1684,'Transfer Engine'!$C$2:$C$1960,0)))</f>
        <v/>
      </c>
      <c r="N1693" s="9">
        <f>IF(ISNA(MATCH(1684,'Transfer Engine'!$C$2:$C$1960,0)),"",INDEX('Compliance Database'!$N$2:$N$1960,MATCH(1684,'Transfer Engine'!$C$2:$C$1960,0)))</f>
        <v/>
      </c>
      <c r="O1693" s="9">
        <f>IF(ISNA(MATCH(1684,'Transfer Engine'!$C$2:$C$1960,0)),"",INDEX('Compliance Database'!$O$2:$O$1960,MATCH(1684,'Transfer Engine'!$C$2:$C$1960,0)))</f>
        <v/>
      </c>
      <c r="P1693" s="8">
        <f>IF(ISNA(MATCH(1684,'Transfer Engine'!$C$2:$C$1960,0)),"",HYPERLINK("#Acts!A"&amp;INDEX('Compliance Database'!$P$2:$P$1960,MATCH(1684,'Transfer Engine'!$C$2:$C$1960,0)),"Go to Act"))</f>
        <v/>
      </c>
    </row>
    <row r="1694" ht="158" customHeight="1">
      <c r="A1694" s="8">
        <f>IF(ISNA(MATCH(1685,'Transfer Engine'!$C$2:$C$1960,0)),"",INDEX('Compliance Database'!$A$2:$A$1960,MATCH(1685,'Transfer Engine'!$C$2:$C$1960,0)))</f>
        <v/>
      </c>
      <c r="B1694" s="8">
        <f>IF(ISNA(MATCH(1685,'Transfer Engine'!$C$2:$C$1960,0)),"",INDEX('Compliance Database'!$B$2:$B$1960,MATCH(1685,'Transfer Engine'!$C$2:$C$1960,0)))</f>
        <v/>
      </c>
      <c r="C1694" s="8">
        <f>IF(ISNA(MATCH(1685,'Transfer Engine'!$C$2:$C$1960,0)),"",INDEX('Compliance Database'!$C$2:$C$1960,MATCH(1685,'Transfer Engine'!$C$2:$C$1960,0)))</f>
        <v/>
      </c>
      <c r="D1694" s="9">
        <f>IF(ISNA(MATCH(1685,'Transfer Engine'!$C$2:$C$1960,0)),"",INDEX('Compliance Database'!$D$2:$D$1960,MATCH(1685,'Transfer Engine'!$C$2:$C$1960,0)))</f>
        <v/>
      </c>
      <c r="E1694" s="8">
        <f>IF(ISNA(MATCH(1685,'Transfer Engine'!$C$2:$C$1960,0)),"",INDEX('Compliance Database'!$E$2:$E$1960,MATCH(1685,'Transfer Engine'!$C$2:$C$1960,0)))</f>
        <v/>
      </c>
      <c r="F1694" s="8">
        <f>IF(ISNA(MATCH(1685,'Transfer Engine'!$C$2:$C$1960,0)),"",INDEX('Compliance Database'!$F$2:$F$1960,MATCH(1685,'Transfer Engine'!$C$2:$C$1960,0)))</f>
        <v/>
      </c>
      <c r="G1694" s="8">
        <f>IF(ISNA(MATCH(1685,'Transfer Engine'!$C$2:$C$1960,0)),"",INDEX('Compliance Database'!$G$2:$G$1960,MATCH(1685,'Transfer Engine'!$C$2:$C$1960,0)))</f>
        <v/>
      </c>
      <c r="H1694" s="9">
        <f>IF(ISNA(MATCH(1685,'Transfer Engine'!$C$2:$C$1960,0)),"",INDEX('Compliance Database'!$H$2:$H$1960,MATCH(1685,'Transfer Engine'!$C$2:$C$1960,0)))</f>
        <v/>
      </c>
      <c r="I1694" s="9">
        <f>IF(ISNA(MATCH(1685,'Transfer Engine'!$C$2:$C$1960,0)),"",INDEX('Compliance Database'!$I$2:$I$1960,MATCH(1685,'Transfer Engine'!$C$2:$C$1960,0)))</f>
        <v/>
      </c>
      <c r="J1694" s="8">
        <f>IF(ISNA(MATCH(1685,'Transfer Engine'!$C$2:$C$1960,0)),"",INDEX('Compliance Database'!$J$2:$J$1960,MATCH(1685,'Transfer Engine'!$C$2:$C$1960,0)))</f>
        <v/>
      </c>
      <c r="K1694" s="9">
        <f>IF(ISNA(MATCH(1685,'Transfer Engine'!$C$2:$C$1960,0)),"",INDEX('Compliance Database'!$K$2:$K$1960,MATCH(1685,'Transfer Engine'!$C$2:$C$1960,0)))</f>
        <v/>
      </c>
      <c r="L1694" s="9">
        <f>IF(ISNA(MATCH(1685,'Transfer Engine'!$C$2:$C$1960,0)),"",INDEX('Compliance Database'!$L$2:$L$1960,MATCH(1685,'Transfer Engine'!$C$2:$C$1960,0)))</f>
        <v/>
      </c>
      <c r="M1694" s="9">
        <f>IF(ISNA(MATCH(1685,'Transfer Engine'!$C$2:$C$1960,0)),"",INDEX('Compliance Database'!$M$2:$M$1960,MATCH(1685,'Transfer Engine'!$C$2:$C$1960,0)))</f>
        <v/>
      </c>
      <c r="N1694" s="9">
        <f>IF(ISNA(MATCH(1685,'Transfer Engine'!$C$2:$C$1960,0)),"",INDEX('Compliance Database'!$N$2:$N$1960,MATCH(1685,'Transfer Engine'!$C$2:$C$1960,0)))</f>
        <v/>
      </c>
      <c r="O1694" s="9">
        <f>IF(ISNA(MATCH(1685,'Transfer Engine'!$C$2:$C$1960,0)),"",INDEX('Compliance Database'!$O$2:$O$1960,MATCH(1685,'Transfer Engine'!$C$2:$C$1960,0)))</f>
        <v/>
      </c>
      <c r="P1694" s="8">
        <f>IF(ISNA(MATCH(1685,'Transfer Engine'!$C$2:$C$1960,0)),"",HYPERLINK("#Acts!A"&amp;INDEX('Compliance Database'!$P$2:$P$1960,MATCH(1685,'Transfer Engine'!$C$2:$C$1960,0)),"Go to Act"))</f>
        <v/>
      </c>
    </row>
    <row r="1695" ht="158" customHeight="1">
      <c r="A1695" s="8">
        <f>IF(ISNA(MATCH(1686,'Transfer Engine'!$C$2:$C$1960,0)),"",INDEX('Compliance Database'!$A$2:$A$1960,MATCH(1686,'Transfer Engine'!$C$2:$C$1960,0)))</f>
        <v/>
      </c>
      <c r="B1695" s="8">
        <f>IF(ISNA(MATCH(1686,'Transfer Engine'!$C$2:$C$1960,0)),"",INDEX('Compliance Database'!$B$2:$B$1960,MATCH(1686,'Transfer Engine'!$C$2:$C$1960,0)))</f>
        <v/>
      </c>
      <c r="C1695" s="8">
        <f>IF(ISNA(MATCH(1686,'Transfer Engine'!$C$2:$C$1960,0)),"",INDEX('Compliance Database'!$C$2:$C$1960,MATCH(1686,'Transfer Engine'!$C$2:$C$1960,0)))</f>
        <v/>
      </c>
      <c r="D1695" s="9">
        <f>IF(ISNA(MATCH(1686,'Transfer Engine'!$C$2:$C$1960,0)),"",INDEX('Compliance Database'!$D$2:$D$1960,MATCH(1686,'Transfer Engine'!$C$2:$C$1960,0)))</f>
        <v/>
      </c>
      <c r="E1695" s="8">
        <f>IF(ISNA(MATCH(1686,'Transfer Engine'!$C$2:$C$1960,0)),"",INDEX('Compliance Database'!$E$2:$E$1960,MATCH(1686,'Transfer Engine'!$C$2:$C$1960,0)))</f>
        <v/>
      </c>
      <c r="F1695" s="8">
        <f>IF(ISNA(MATCH(1686,'Transfer Engine'!$C$2:$C$1960,0)),"",INDEX('Compliance Database'!$F$2:$F$1960,MATCH(1686,'Transfer Engine'!$C$2:$C$1960,0)))</f>
        <v/>
      </c>
      <c r="G1695" s="8">
        <f>IF(ISNA(MATCH(1686,'Transfer Engine'!$C$2:$C$1960,0)),"",INDEX('Compliance Database'!$G$2:$G$1960,MATCH(1686,'Transfer Engine'!$C$2:$C$1960,0)))</f>
        <v/>
      </c>
      <c r="H1695" s="9">
        <f>IF(ISNA(MATCH(1686,'Transfer Engine'!$C$2:$C$1960,0)),"",INDEX('Compliance Database'!$H$2:$H$1960,MATCH(1686,'Transfer Engine'!$C$2:$C$1960,0)))</f>
        <v/>
      </c>
      <c r="I1695" s="9">
        <f>IF(ISNA(MATCH(1686,'Transfer Engine'!$C$2:$C$1960,0)),"",INDEX('Compliance Database'!$I$2:$I$1960,MATCH(1686,'Transfer Engine'!$C$2:$C$1960,0)))</f>
        <v/>
      </c>
      <c r="J1695" s="8">
        <f>IF(ISNA(MATCH(1686,'Transfer Engine'!$C$2:$C$1960,0)),"",INDEX('Compliance Database'!$J$2:$J$1960,MATCH(1686,'Transfer Engine'!$C$2:$C$1960,0)))</f>
        <v/>
      </c>
      <c r="K1695" s="9">
        <f>IF(ISNA(MATCH(1686,'Transfer Engine'!$C$2:$C$1960,0)),"",INDEX('Compliance Database'!$K$2:$K$1960,MATCH(1686,'Transfer Engine'!$C$2:$C$1960,0)))</f>
        <v/>
      </c>
      <c r="L1695" s="9">
        <f>IF(ISNA(MATCH(1686,'Transfer Engine'!$C$2:$C$1960,0)),"",INDEX('Compliance Database'!$L$2:$L$1960,MATCH(1686,'Transfer Engine'!$C$2:$C$1960,0)))</f>
        <v/>
      </c>
      <c r="M1695" s="9">
        <f>IF(ISNA(MATCH(1686,'Transfer Engine'!$C$2:$C$1960,0)),"",INDEX('Compliance Database'!$M$2:$M$1960,MATCH(1686,'Transfer Engine'!$C$2:$C$1960,0)))</f>
        <v/>
      </c>
      <c r="N1695" s="9">
        <f>IF(ISNA(MATCH(1686,'Transfer Engine'!$C$2:$C$1960,0)),"",INDEX('Compliance Database'!$N$2:$N$1960,MATCH(1686,'Transfer Engine'!$C$2:$C$1960,0)))</f>
        <v/>
      </c>
      <c r="O1695" s="9">
        <f>IF(ISNA(MATCH(1686,'Transfer Engine'!$C$2:$C$1960,0)),"",INDEX('Compliance Database'!$O$2:$O$1960,MATCH(1686,'Transfer Engine'!$C$2:$C$1960,0)))</f>
        <v/>
      </c>
      <c r="P1695" s="8">
        <f>IF(ISNA(MATCH(1686,'Transfer Engine'!$C$2:$C$1960,0)),"",HYPERLINK("#Acts!A"&amp;INDEX('Compliance Database'!$P$2:$P$1960,MATCH(1686,'Transfer Engine'!$C$2:$C$1960,0)),"Go to Act"))</f>
        <v/>
      </c>
    </row>
    <row r="1696" ht="158" customHeight="1">
      <c r="A1696" s="8">
        <f>IF(ISNA(MATCH(1687,'Transfer Engine'!$C$2:$C$1960,0)),"",INDEX('Compliance Database'!$A$2:$A$1960,MATCH(1687,'Transfer Engine'!$C$2:$C$1960,0)))</f>
        <v/>
      </c>
      <c r="B1696" s="8">
        <f>IF(ISNA(MATCH(1687,'Transfer Engine'!$C$2:$C$1960,0)),"",INDEX('Compliance Database'!$B$2:$B$1960,MATCH(1687,'Transfer Engine'!$C$2:$C$1960,0)))</f>
        <v/>
      </c>
      <c r="C1696" s="8">
        <f>IF(ISNA(MATCH(1687,'Transfer Engine'!$C$2:$C$1960,0)),"",INDEX('Compliance Database'!$C$2:$C$1960,MATCH(1687,'Transfer Engine'!$C$2:$C$1960,0)))</f>
        <v/>
      </c>
      <c r="D1696" s="9">
        <f>IF(ISNA(MATCH(1687,'Transfer Engine'!$C$2:$C$1960,0)),"",INDEX('Compliance Database'!$D$2:$D$1960,MATCH(1687,'Transfer Engine'!$C$2:$C$1960,0)))</f>
        <v/>
      </c>
      <c r="E1696" s="8">
        <f>IF(ISNA(MATCH(1687,'Transfer Engine'!$C$2:$C$1960,0)),"",INDEX('Compliance Database'!$E$2:$E$1960,MATCH(1687,'Transfer Engine'!$C$2:$C$1960,0)))</f>
        <v/>
      </c>
      <c r="F1696" s="8">
        <f>IF(ISNA(MATCH(1687,'Transfer Engine'!$C$2:$C$1960,0)),"",INDEX('Compliance Database'!$F$2:$F$1960,MATCH(1687,'Transfer Engine'!$C$2:$C$1960,0)))</f>
        <v/>
      </c>
      <c r="G1696" s="8">
        <f>IF(ISNA(MATCH(1687,'Transfer Engine'!$C$2:$C$1960,0)),"",INDEX('Compliance Database'!$G$2:$G$1960,MATCH(1687,'Transfer Engine'!$C$2:$C$1960,0)))</f>
        <v/>
      </c>
      <c r="H1696" s="9">
        <f>IF(ISNA(MATCH(1687,'Transfer Engine'!$C$2:$C$1960,0)),"",INDEX('Compliance Database'!$H$2:$H$1960,MATCH(1687,'Transfer Engine'!$C$2:$C$1960,0)))</f>
        <v/>
      </c>
      <c r="I1696" s="9">
        <f>IF(ISNA(MATCH(1687,'Transfer Engine'!$C$2:$C$1960,0)),"",INDEX('Compliance Database'!$I$2:$I$1960,MATCH(1687,'Transfer Engine'!$C$2:$C$1960,0)))</f>
        <v/>
      </c>
      <c r="J1696" s="8">
        <f>IF(ISNA(MATCH(1687,'Transfer Engine'!$C$2:$C$1960,0)),"",INDEX('Compliance Database'!$J$2:$J$1960,MATCH(1687,'Transfer Engine'!$C$2:$C$1960,0)))</f>
        <v/>
      </c>
      <c r="K1696" s="9">
        <f>IF(ISNA(MATCH(1687,'Transfer Engine'!$C$2:$C$1960,0)),"",INDEX('Compliance Database'!$K$2:$K$1960,MATCH(1687,'Transfer Engine'!$C$2:$C$1960,0)))</f>
        <v/>
      </c>
      <c r="L1696" s="9">
        <f>IF(ISNA(MATCH(1687,'Transfer Engine'!$C$2:$C$1960,0)),"",INDEX('Compliance Database'!$L$2:$L$1960,MATCH(1687,'Transfer Engine'!$C$2:$C$1960,0)))</f>
        <v/>
      </c>
      <c r="M1696" s="9">
        <f>IF(ISNA(MATCH(1687,'Transfer Engine'!$C$2:$C$1960,0)),"",INDEX('Compliance Database'!$M$2:$M$1960,MATCH(1687,'Transfer Engine'!$C$2:$C$1960,0)))</f>
        <v/>
      </c>
      <c r="N1696" s="9">
        <f>IF(ISNA(MATCH(1687,'Transfer Engine'!$C$2:$C$1960,0)),"",INDEX('Compliance Database'!$N$2:$N$1960,MATCH(1687,'Transfer Engine'!$C$2:$C$1960,0)))</f>
        <v/>
      </c>
      <c r="O1696" s="9">
        <f>IF(ISNA(MATCH(1687,'Transfer Engine'!$C$2:$C$1960,0)),"",INDEX('Compliance Database'!$O$2:$O$1960,MATCH(1687,'Transfer Engine'!$C$2:$C$1960,0)))</f>
        <v/>
      </c>
      <c r="P1696" s="8">
        <f>IF(ISNA(MATCH(1687,'Transfer Engine'!$C$2:$C$1960,0)),"",HYPERLINK("#Acts!A"&amp;INDEX('Compliance Database'!$P$2:$P$1960,MATCH(1687,'Transfer Engine'!$C$2:$C$1960,0)),"Go to Act"))</f>
        <v/>
      </c>
    </row>
    <row r="1697" ht="158" customHeight="1">
      <c r="A1697" s="8">
        <f>IF(ISNA(MATCH(1688,'Transfer Engine'!$C$2:$C$1960,0)),"",INDEX('Compliance Database'!$A$2:$A$1960,MATCH(1688,'Transfer Engine'!$C$2:$C$1960,0)))</f>
        <v/>
      </c>
      <c r="B1697" s="8">
        <f>IF(ISNA(MATCH(1688,'Transfer Engine'!$C$2:$C$1960,0)),"",INDEX('Compliance Database'!$B$2:$B$1960,MATCH(1688,'Transfer Engine'!$C$2:$C$1960,0)))</f>
        <v/>
      </c>
      <c r="C1697" s="8">
        <f>IF(ISNA(MATCH(1688,'Transfer Engine'!$C$2:$C$1960,0)),"",INDEX('Compliance Database'!$C$2:$C$1960,MATCH(1688,'Transfer Engine'!$C$2:$C$1960,0)))</f>
        <v/>
      </c>
      <c r="D1697" s="9">
        <f>IF(ISNA(MATCH(1688,'Transfer Engine'!$C$2:$C$1960,0)),"",INDEX('Compliance Database'!$D$2:$D$1960,MATCH(1688,'Transfer Engine'!$C$2:$C$1960,0)))</f>
        <v/>
      </c>
      <c r="E1697" s="8">
        <f>IF(ISNA(MATCH(1688,'Transfer Engine'!$C$2:$C$1960,0)),"",INDEX('Compliance Database'!$E$2:$E$1960,MATCH(1688,'Transfer Engine'!$C$2:$C$1960,0)))</f>
        <v/>
      </c>
      <c r="F1697" s="8">
        <f>IF(ISNA(MATCH(1688,'Transfer Engine'!$C$2:$C$1960,0)),"",INDEX('Compliance Database'!$F$2:$F$1960,MATCH(1688,'Transfer Engine'!$C$2:$C$1960,0)))</f>
        <v/>
      </c>
      <c r="G1697" s="8">
        <f>IF(ISNA(MATCH(1688,'Transfer Engine'!$C$2:$C$1960,0)),"",INDEX('Compliance Database'!$G$2:$G$1960,MATCH(1688,'Transfer Engine'!$C$2:$C$1960,0)))</f>
        <v/>
      </c>
      <c r="H1697" s="9">
        <f>IF(ISNA(MATCH(1688,'Transfer Engine'!$C$2:$C$1960,0)),"",INDEX('Compliance Database'!$H$2:$H$1960,MATCH(1688,'Transfer Engine'!$C$2:$C$1960,0)))</f>
        <v/>
      </c>
      <c r="I1697" s="9">
        <f>IF(ISNA(MATCH(1688,'Transfer Engine'!$C$2:$C$1960,0)),"",INDEX('Compliance Database'!$I$2:$I$1960,MATCH(1688,'Transfer Engine'!$C$2:$C$1960,0)))</f>
        <v/>
      </c>
      <c r="J1697" s="8">
        <f>IF(ISNA(MATCH(1688,'Transfer Engine'!$C$2:$C$1960,0)),"",INDEX('Compliance Database'!$J$2:$J$1960,MATCH(1688,'Transfer Engine'!$C$2:$C$1960,0)))</f>
        <v/>
      </c>
      <c r="K1697" s="9">
        <f>IF(ISNA(MATCH(1688,'Transfer Engine'!$C$2:$C$1960,0)),"",INDEX('Compliance Database'!$K$2:$K$1960,MATCH(1688,'Transfer Engine'!$C$2:$C$1960,0)))</f>
        <v/>
      </c>
      <c r="L1697" s="9">
        <f>IF(ISNA(MATCH(1688,'Transfer Engine'!$C$2:$C$1960,0)),"",INDEX('Compliance Database'!$L$2:$L$1960,MATCH(1688,'Transfer Engine'!$C$2:$C$1960,0)))</f>
        <v/>
      </c>
      <c r="M1697" s="9">
        <f>IF(ISNA(MATCH(1688,'Transfer Engine'!$C$2:$C$1960,0)),"",INDEX('Compliance Database'!$M$2:$M$1960,MATCH(1688,'Transfer Engine'!$C$2:$C$1960,0)))</f>
        <v/>
      </c>
      <c r="N1697" s="9">
        <f>IF(ISNA(MATCH(1688,'Transfer Engine'!$C$2:$C$1960,0)),"",INDEX('Compliance Database'!$N$2:$N$1960,MATCH(1688,'Transfer Engine'!$C$2:$C$1960,0)))</f>
        <v/>
      </c>
      <c r="O1697" s="9">
        <f>IF(ISNA(MATCH(1688,'Transfer Engine'!$C$2:$C$1960,0)),"",INDEX('Compliance Database'!$O$2:$O$1960,MATCH(1688,'Transfer Engine'!$C$2:$C$1960,0)))</f>
        <v/>
      </c>
      <c r="P1697" s="8">
        <f>IF(ISNA(MATCH(1688,'Transfer Engine'!$C$2:$C$1960,0)),"",HYPERLINK("#Acts!A"&amp;INDEX('Compliance Database'!$P$2:$P$1960,MATCH(1688,'Transfer Engine'!$C$2:$C$1960,0)),"Go to Act"))</f>
        <v/>
      </c>
    </row>
    <row r="1698" ht="158" customHeight="1">
      <c r="A1698" s="8">
        <f>IF(ISNA(MATCH(1689,'Transfer Engine'!$C$2:$C$1960,0)),"",INDEX('Compliance Database'!$A$2:$A$1960,MATCH(1689,'Transfer Engine'!$C$2:$C$1960,0)))</f>
        <v/>
      </c>
      <c r="B1698" s="8">
        <f>IF(ISNA(MATCH(1689,'Transfer Engine'!$C$2:$C$1960,0)),"",INDEX('Compliance Database'!$B$2:$B$1960,MATCH(1689,'Transfer Engine'!$C$2:$C$1960,0)))</f>
        <v/>
      </c>
      <c r="C1698" s="8">
        <f>IF(ISNA(MATCH(1689,'Transfer Engine'!$C$2:$C$1960,0)),"",INDEX('Compliance Database'!$C$2:$C$1960,MATCH(1689,'Transfer Engine'!$C$2:$C$1960,0)))</f>
        <v/>
      </c>
      <c r="D1698" s="9">
        <f>IF(ISNA(MATCH(1689,'Transfer Engine'!$C$2:$C$1960,0)),"",INDEX('Compliance Database'!$D$2:$D$1960,MATCH(1689,'Transfer Engine'!$C$2:$C$1960,0)))</f>
        <v/>
      </c>
      <c r="E1698" s="8">
        <f>IF(ISNA(MATCH(1689,'Transfer Engine'!$C$2:$C$1960,0)),"",INDEX('Compliance Database'!$E$2:$E$1960,MATCH(1689,'Transfer Engine'!$C$2:$C$1960,0)))</f>
        <v/>
      </c>
      <c r="F1698" s="8">
        <f>IF(ISNA(MATCH(1689,'Transfer Engine'!$C$2:$C$1960,0)),"",INDEX('Compliance Database'!$F$2:$F$1960,MATCH(1689,'Transfer Engine'!$C$2:$C$1960,0)))</f>
        <v/>
      </c>
      <c r="G1698" s="8">
        <f>IF(ISNA(MATCH(1689,'Transfer Engine'!$C$2:$C$1960,0)),"",INDEX('Compliance Database'!$G$2:$G$1960,MATCH(1689,'Transfer Engine'!$C$2:$C$1960,0)))</f>
        <v/>
      </c>
      <c r="H1698" s="9">
        <f>IF(ISNA(MATCH(1689,'Transfer Engine'!$C$2:$C$1960,0)),"",INDEX('Compliance Database'!$H$2:$H$1960,MATCH(1689,'Transfer Engine'!$C$2:$C$1960,0)))</f>
        <v/>
      </c>
      <c r="I1698" s="9">
        <f>IF(ISNA(MATCH(1689,'Transfer Engine'!$C$2:$C$1960,0)),"",INDEX('Compliance Database'!$I$2:$I$1960,MATCH(1689,'Transfer Engine'!$C$2:$C$1960,0)))</f>
        <v/>
      </c>
      <c r="J1698" s="8">
        <f>IF(ISNA(MATCH(1689,'Transfer Engine'!$C$2:$C$1960,0)),"",INDEX('Compliance Database'!$J$2:$J$1960,MATCH(1689,'Transfer Engine'!$C$2:$C$1960,0)))</f>
        <v/>
      </c>
      <c r="K1698" s="9">
        <f>IF(ISNA(MATCH(1689,'Transfer Engine'!$C$2:$C$1960,0)),"",INDEX('Compliance Database'!$K$2:$K$1960,MATCH(1689,'Transfer Engine'!$C$2:$C$1960,0)))</f>
        <v/>
      </c>
      <c r="L1698" s="9">
        <f>IF(ISNA(MATCH(1689,'Transfer Engine'!$C$2:$C$1960,0)),"",INDEX('Compliance Database'!$L$2:$L$1960,MATCH(1689,'Transfer Engine'!$C$2:$C$1960,0)))</f>
        <v/>
      </c>
      <c r="M1698" s="9">
        <f>IF(ISNA(MATCH(1689,'Transfer Engine'!$C$2:$C$1960,0)),"",INDEX('Compliance Database'!$M$2:$M$1960,MATCH(1689,'Transfer Engine'!$C$2:$C$1960,0)))</f>
        <v/>
      </c>
      <c r="N1698" s="9">
        <f>IF(ISNA(MATCH(1689,'Transfer Engine'!$C$2:$C$1960,0)),"",INDEX('Compliance Database'!$N$2:$N$1960,MATCH(1689,'Transfer Engine'!$C$2:$C$1960,0)))</f>
        <v/>
      </c>
      <c r="O1698" s="9">
        <f>IF(ISNA(MATCH(1689,'Transfer Engine'!$C$2:$C$1960,0)),"",INDEX('Compliance Database'!$O$2:$O$1960,MATCH(1689,'Transfer Engine'!$C$2:$C$1960,0)))</f>
        <v/>
      </c>
      <c r="P1698" s="8">
        <f>IF(ISNA(MATCH(1689,'Transfer Engine'!$C$2:$C$1960,0)),"",HYPERLINK("#Acts!A"&amp;INDEX('Compliance Database'!$P$2:$P$1960,MATCH(1689,'Transfer Engine'!$C$2:$C$1960,0)),"Go to Act"))</f>
        <v/>
      </c>
    </row>
    <row r="1699" ht="158" customHeight="1">
      <c r="A1699" s="8">
        <f>IF(ISNA(MATCH(1690,'Transfer Engine'!$C$2:$C$1960,0)),"",INDEX('Compliance Database'!$A$2:$A$1960,MATCH(1690,'Transfer Engine'!$C$2:$C$1960,0)))</f>
        <v/>
      </c>
      <c r="B1699" s="8">
        <f>IF(ISNA(MATCH(1690,'Transfer Engine'!$C$2:$C$1960,0)),"",INDEX('Compliance Database'!$B$2:$B$1960,MATCH(1690,'Transfer Engine'!$C$2:$C$1960,0)))</f>
        <v/>
      </c>
      <c r="C1699" s="8">
        <f>IF(ISNA(MATCH(1690,'Transfer Engine'!$C$2:$C$1960,0)),"",INDEX('Compliance Database'!$C$2:$C$1960,MATCH(1690,'Transfer Engine'!$C$2:$C$1960,0)))</f>
        <v/>
      </c>
      <c r="D1699" s="9">
        <f>IF(ISNA(MATCH(1690,'Transfer Engine'!$C$2:$C$1960,0)),"",INDEX('Compliance Database'!$D$2:$D$1960,MATCH(1690,'Transfer Engine'!$C$2:$C$1960,0)))</f>
        <v/>
      </c>
      <c r="E1699" s="8">
        <f>IF(ISNA(MATCH(1690,'Transfer Engine'!$C$2:$C$1960,0)),"",INDEX('Compliance Database'!$E$2:$E$1960,MATCH(1690,'Transfer Engine'!$C$2:$C$1960,0)))</f>
        <v/>
      </c>
      <c r="F1699" s="8">
        <f>IF(ISNA(MATCH(1690,'Transfer Engine'!$C$2:$C$1960,0)),"",INDEX('Compliance Database'!$F$2:$F$1960,MATCH(1690,'Transfer Engine'!$C$2:$C$1960,0)))</f>
        <v/>
      </c>
      <c r="G1699" s="8">
        <f>IF(ISNA(MATCH(1690,'Transfer Engine'!$C$2:$C$1960,0)),"",INDEX('Compliance Database'!$G$2:$G$1960,MATCH(1690,'Transfer Engine'!$C$2:$C$1960,0)))</f>
        <v/>
      </c>
      <c r="H1699" s="9">
        <f>IF(ISNA(MATCH(1690,'Transfer Engine'!$C$2:$C$1960,0)),"",INDEX('Compliance Database'!$H$2:$H$1960,MATCH(1690,'Transfer Engine'!$C$2:$C$1960,0)))</f>
        <v/>
      </c>
      <c r="I1699" s="9">
        <f>IF(ISNA(MATCH(1690,'Transfer Engine'!$C$2:$C$1960,0)),"",INDEX('Compliance Database'!$I$2:$I$1960,MATCH(1690,'Transfer Engine'!$C$2:$C$1960,0)))</f>
        <v/>
      </c>
      <c r="J1699" s="8">
        <f>IF(ISNA(MATCH(1690,'Transfer Engine'!$C$2:$C$1960,0)),"",INDEX('Compliance Database'!$J$2:$J$1960,MATCH(1690,'Transfer Engine'!$C$2:$C$1960,0)))</f>
        <v/>
      </c>
      <c r="K1699" s="9">
        <f>IF(ISNA(MATCH(1690,'Transfer Engine'!$C$2:$C$1960,0)),"",INDEX('Compliance Database'!$K$2:$K$1960,MATCH(1690,'Transfer Engine'!$C$2:$C$1960,0)))</f>
        <v/>
      </c>
      <c r="L1699" s="9">
        <f>IF(ISNA(MATCH(1690,'Transfer Engine'!$C$2:$C$1960,0)),"",INDEX('Compliance Database'!$L$2:$L$1960,MATCH(1690,'Transfer Engine'!$C$2:$C$1960,0)))</f>
        <v/>
      </c>
      <c r="M1699" s="9">
        <f>IF(ISNA(MATCH(1690,'Transfer Engine'!$C$2:$C$1960,0)),"",INDEX('Compliance Database'!$M$2:$M$1960,MATCH(1690,'Transfer Engine'!$C$2:$C$1960,0)))</f>
        <v/>
      </c>
      <c r="N1699" s="9">
        <f>IF(ISNA(MATCH(1690,'Transfer Engine'!$C$2:$C$1960,0)),"",INDEX('Compliance Database'!$N$2:$N$1960,MATCH(1690,'Transfer Engine'!$C$2:$C$1960,0)))</f>
        <v/>
      </c>
      <c r="O1699" s="9">
        <f>IF(ISNA(MATCH(1690,'Transfer Engine'!$C$2:$C$1960,0)),"",INDEX('Compliance Database'!$O$2:$O$1960,MATCH(1690,'Transfer Engine'!$C$2:$C$1960,0)))</f>
        <v/>
      </c>
      <c r="P1699" s="8">
        <f>IF(ISNA(MATCH(1690,'Transfer Engine'!$C$2:$C$1960,0)),"",HYPERLINK("#Acts!A"&amp;INDEX('Compliance Database'!$P$2:$P$1960,MATCH(1690,'Transfer Engine'!$C$2:$C$1960,0)),"Go to Act"))</f>
        <v/>
      </c>
    </row>
    <row r="1700" ht="158" customHeight="1">
      <c r="A1700" s="8">
        <f>IF(ISNA(MATCH(1691,'Transfer Engine'!$C$2:$C$1960,0)),"",INDEX('Compliance Database'!$A$2:$A$1960,MATCH(1691,'Transfer Engine'!$C$2:$C$1960,0)))</f>
        <v/>
      </c>
      <c r="B1700" s="8">
        <f>IF(ISNA(MATCH(1691,'Transfer Engine'!$C$2:$C$1960,0)),"",INDEX('Compliance Database'!$B$2:$B$1960,MATCH(1691,'Transfer Engine'!$C$2:$C$1960,0)))</f>
        <v/>
      </c>
      <c r="C1700" s="8">
        <f>IF(ISNA(MATCH(1691,'Transfer Engine'!$C$2:$C$1960,0)),"",INDEX('Compliance Database'!$C$2:$C$1960,MATCH(1691,'Transfer Engine'!$C$2:$C$1960,0)))</f>
        <v/>
      </c>
      <c r="D1700" s="9">
        <f>IF(ISNA(MATCH(1691,'Transfer Engine'!$C$2:$C$1960,0)),"",INDEX('Compliance Database'!$D$2:$D$1960,MATCH(1691,'Transfer Engine'!$C$2:$C$1960,0)))</f>
        <v/>
      </c>
      <c r="E1700" s="8">
        <f>IF(ISNA(MATCH(1691,'Transfer Engine'!$C$2:$C$1960,0)),"",INDEX('Compliance Database'!$E$2:$E$1960,MATCH(1691,'Transfer Engine'!$C$2:$C$1960,0)))</f>
        <v/>
      </c>
      <c r="F1700" s="8">
        <f>IF(ISNA(MATCH(1691,'Transfer Engine'!$C$2:$C$1960,0)),"",INDEX('Compliance Database'!$F$2:$F$1960,MATCH(1691,'Transfer Engine'!$C$2:$C$1960,0)))</f>
        <v/>
      </c>
      <c r="G1700" s="8">
        <f>IF(ISNA(MATCH(1691,'Transfer Engine'!$C$2:$C$1960,0)),"",INDEX('Compliance Database'!$G$2:$G$1960,MATCH(1691,'Transfer Engine'!$C$2:$C$1960,0)))</f>
        <v/>
      </c>
      <c r="H1700" s="9">
        <f>IF(ISNA(MATCH(1691,'Transfer Engine'!$C$2:$C$1960,0)),"",INDEX('Compliance Database'!$H$2:$H$1960,MATCH(1691,'Transfer Engine'!$C$2:$C$1960,0)))</f>
        <v/>
      </c>
      <c r="I1700" s="9">
        <f>IF(ISNA(MATCH(1691,'Transfer Engine'!$C$2:$C$1960,0)),"",INDEX('Compliance Database'!$I$2:$I$1960,MATCH(1691,'Transfer Engine'!$C$2:$C$1960,0)))</f>
        <v/>
      </c>
      <c r="J1700" s="8">
        <f>IF(ISNA(MATCH(1691,'Transfer Engine'!$C$2:$C$1960,0)),"",INDEX('Compliance Database'!$J$2:$J$1960,MATCH(1691,'Transfer Engine'!$C$2:$C$1960,0)))</f>
        <v/>
      </c>
      <c r="K1700" s="9">
        <f>IF(ISNA(MATCH(1691,'Transfer Engine'!$C$2:$C$1960,0)),"",INDEX('Compliance Database'!$K$2:$K$1960,MATCH(1691,'Transfer Engine'!$C$2:$C$1960,0)))</f>
        <v/>
      </c>
      <c r="L1700" s="9">
        <f>IF(ISNA(MATCH(1691,'Transfer Engine'!$C$2:$C$1960,0)),"",INDEX('Compliance Database'!$L$2:$L$1960,MATCH(1691,'Transfer Engine'!$C$2:$C$1960,0)))</f>
        <v/>
      </c>
      <c r="M1700" s="9">
        <f>IF(ISNA(MATCH(1691,'Transfer Engine'!$C$2:$C$1960,0)),"",INDEX('Compliance Database'!$M$2:$M$1960,MATCH(1691,'Transfer Engine'!$C$2:$C$1960,0)))</f>
        <v/>
      </c>
      <c r="N1700" s="9">
        <f>IF(ISNA(MATCH(1691,'Transfer Engine'!$C$2:$C$1960,0)),"",INDEX('Compliance Database'!$N$2:$N$1960,MATCH(1691,'Transfer Engine'!$C$2:$C$1960,0)))</f>
        <v/>
      </c>
      <c r="O1700" s="9">
        <f>IF(ISNA(MATCH(1691,'Transfer Engine'!$C$2:$C$1960,0)),"",INDEX('Compliance Database'!$O$2:$O$1960,MATCH(1691,'Transfer Engine'!$C$2:$C$1960,0)))</f>
        <v/>
      </c>
      <c r="P1700" s="8">
        <f>IF(ISNA(MATCH(1691,'Transfer Engine'!$C$2:$C$1960,0)),"",HYPERLINK("#Acts!A"&amp;INDEX('Compliance Database'!$P$2:$P$1960,MATCH(1691,'Transfer Engine'!$C$2:$C$1960,0)),"Go to Act"))</f>
        <v/>
      </c>
    </row>
    <row r="1701" ht="158" customHeight="1">
      <c r="A1701" s="8">
        <f>IF(ISNA(MATCH(1692,'Transfer Engine'!$C$2:$C$1960,0)),"",INDEX('Compliance Database'!$A$2:$A$1960,MATCH(1692,'Transfer Engine'!$C$2:$C$1960,0)))</f>
        <v/>
      </c>
      <c r="B1701" s="8">
        <f>IF(ISNA(MATCH(1692,'Transfer Engine'!$C$2:$C$1960,0)),"",INDEX('Compliance Database'!$B$2:$B$1960,MATCH(1692,'Transfer Engine'!$C$2:$C$1960,0)))</f>
        <v/>
      </c>
      <c r="C1701" s="8">
        <f>IF(ISNA(MATCH(1692,'Transfer Engine'!$C$2:$C$1960,0)),"",INDEX('Compliance Database'!$C$2:$C$1960,MATCH(1692,'Transfer Engine'!$C$2:$C$1960,0)))</f>
        <v/>
      </c>
      <c r="D1701" s="9">
        <f>IF(ISNA(MATCH(1692,'Transfer Engine'!$C$2:$C$1960,0)),"",INDEX('Compliance Database'!$D$2:$D$1960,MATCH(1692,'Transfer Engine'!$C$2:$C$1960,0)))</f>
        <v/>
      </c>
      <c r="E1701" s="8">
        <f>IF(ISNA(MATCH(1692,'Transfer Engine'!$C$2:$C$1960,0)),"",INDEX('Compliance Database'!$E$2:$E$1960,MATCH(1692,'Transfer Engine'!$C$2:$C$1960,0)))</f>
        <v/>
      </c>
      <c r="F1701" s="8">
        <f>IF(ISNA(MATCH(1692,'Transfer Engine'!$C$2:$C$1960,0)),"",INDEX('Compliance Database'!$F$2:$F$1960,MATCH(1692,'Transfer Engine'!$C$2:$C$1960,0)))</f>
        <v/>
      </c>
      <c r="G1701" s="8">
        <f>IF(ISNA(MATCH(1692,'Transfer Engine'!$C$2:$C$1960,0)),"",INDEX('Compliance Database'!$G$2:$G$1960,MATCH(1692,'Transfer Engine'!$C$2:$C$1960,0)))</f>
        <v/>
      </c>
      <c r="H1701" s="9">
        <f>IF(ISNA(MATCH(1692,'Transfer Engine'!$C$2:$C$1960,0)),"",INDEX('Compliance Database'!$H$2:$H$1960,MATCH(1692,'Transfer Engine'!$C$2:$C$1960,0)))</f>
        <v/>
      </c>
      <c r="I1701" s="9">
        <f>IF(ISNA(MATCH(1692,'Transfer Engine'!$C$2:$C$1960,0)),"",INDEX('Compliance Database'!$I$2:$I$1960,MATCH(1692,'Transfer Engine'!$C$2:$C$1960,0)))</f>
        <v/>
      </c>
      <c r="J1701" s="8">
        <f>IF(ISNA(MATCH(1692,'Transfer Engine'!$C$2:$C$1960,0)),"",INDEX('Compliance Database'!$J$2:$J$1960,MATCH(1692,'Transfer Engine'!$C$2:$C$1960,0)))</f>
        <v/>
      </c>
      <c r="K1701" s="9">
        <f>IF(ISNA(MATCH(1692,'Transfer Engine'!$C$2:$C$1960,0)),"",INDEX('Compliance Database'!$K$2:$K$1960,MATCH(1692,'Transfer Engine'!$C$2:$C$1960,0)))</f>
        <v/>
      </c>
      <c r="L1701" s="9">
        <f>IF(ISNA(MATCH(1692,'Transfer Engine'!$C$2:$C$1960,0)),"",INDEX('Compliance Database'!$L$2:$L$1960,MATCH(1692,'Transfer Engine'!$C$2:$C$1960,0)))</f>
        <v/>
      </c>
      <c r="M1701" s="9">
        <f>IF(ISNA(MATCH(1692,'Transfer Engine'!$C$2:$C$1960,0)),"",INDEX('Compliance Database'!$M$2:$M$1960,MATCH(1692,'Transfer Engine'!$C$2:$C$1960,0)))</f>
        <v/>
      </c>
      <c r="N1701" s="9">
        <f>IF(ISNA(MATCH(1692,'Transfer Engine'!$C$2:$C$1960,0)),"",INDEX('Compliance Database'!$N$2:$N$1960,MATCH(1692,'Transfer Engine'!$C$2:$C$1960,0)))</f>
        <v/>
      </c>
      <c r="O1701" s="9">
        <f>IF(ISNA(MATCH(1692,'Transfer Engine'!$C$2:$C$1960,0)),"",INDEX('Compliance Database'!$O$2:$O$1960,MATCH(1692,'Transfer Engine'!$C$2:$C$1960,0)))</f>
        <v/>
      </c>
      <c r="P1701" s="8">
        <f>IF(ISNA(MATCH(1692,'Transfer Engine'!$C$2:$C$1960,0)),"",HYPERLINK("#Acts!A"&amp;INDEX('Compliance Database'!$P$2:$P$1960,MATCH(1692,'Transfer Engine'!$C$2:$C$1960,0)),"Go to Act"))</f>
        <v/>
      </c>
    </row>
    <row r="1702" ht="158" customHeight="1">
      <c r="A1702" s="8">
        <f>IF(ISNA(MATCH(1693,'Transfer Engine'!$C$2:$C$1960,0)),"",INDEX('Compliance Database'!$A$2:$A$1960,MATCH(1693,'Transfer Engine'!$C$2:$C$1960,0)))</f>
        <v/>
      </c>
      <c r="B1702" s="8">
        <f>IF(ISNA(MATCH(1693,'Transfer Engine'!$C$2:$C$1960,0)),"",INDEX('Compliance Database'!$B$2:$B$1960,MATCH(1693,'Transfer Engine'!$C$2:$C$1960,0)))</f>
        <v/>
      </c>
      <c r="C1702" s="8">
        <f>IF(ISNA(MATCH(1693,'Transfer Engine'!$C$2:$C$1960,0)),"",INDEX('Compliance Database'!$C$2:$C$1960,MATCH(1693,'Transfer Engine'!$C$2:$C$1960,0)))</f>
        <v/>
      </c>
      <c r="D1702" s="9">
        <f>IF(ISNA(MATCH(1693,'Transfer Engine'!$C$2:$C$1960,0)),"",INDEX('Compliance Database'!$D$2:$D$1960,MATCH(1693,'Transfer Engine'!$C$2:$C$1960,0)))</f>
        <v/>
      </c>
      <c r="E1702" s="8">
        <f>IF(ISNA(MATCH(1693,'Transfer Engine'!$C$2:$C$1960,0)),"",INDEX('Compliance Database'!$E$2:$E$1960,MATCH(1693,'Transfer Engine'!$C$2:$C$1960,0)))</f>
        <v/>
      </c>
      <c r="F1702" s="8">
        <f>IF(ISNA(MATCH(1693,'Transfer Engine'!$C$2:$C$1960,0)),"",INDEX('Compliance Database'!$F$2:$F$1960,MATCH(1693,'Transfer Engine'!$C$2:$C$1960,0)))</f>
        <v/>
      </c>
      <c r="G1702" s="8">
        <f>IF(ISNA(MATCH(1693,'Transfer Engine'!$C$2:$C$1960,0)),"",INDEX('Compliance Database'!$G$2:$G$1960,MATCH(1693,'Transfer Engine'!$C$2:$C$1960,0)))</f>
        <v/>
      </c>
      <c r="H1702" s="9">
        <f>IF(ISNA(MATCH(1693,'Transfer Engine'!$C$2:$C$1960,0)),"",INDEX('Compliance Database'!$H$2:$H$1960,MATCH(1693,'Transfer Engine'!$C$2:$C$1960,0)))</f>
        <v/>
      </c>
      <c r="I1702" s="9">
        <f>IF(ISNA(MATCH(1693,'Transfer Engine'!$C$2:$C$1960,0)),"",INDEX('Compliance Database'!$I$2:$I$1960,MATCH(1693,'Transfer Engine'!$C$2:$C$1960,0)))</f>
        <v/>
      </c>
      <c r="J1702" s="8">
        <f>IF(ISNA(MATCH(1693,'Transfer Engine'!$C$2:$C$1960,0)),"",INDEX('Compliance Database'!$J$2:$J$1960,MATCH(1693,'Transfer Engine'!$C$2:$C$1960,0)))</f>
        <v/>
      </c>
      <c r="K1702" s="9">
        <f>IF(ISNA(MATCH(1693,'Transfer Engine'!$C$2:$C$1960,0)),"",INDEX('Compliance Database'!$K$2:$K$1960,MATCH(1693,'Transfer Engine'!$C$2:$C$1960,0)))</f>
        <v/>
      </c>
      <c r="L1702" s="9">
        <f>IF(ISNA(MATCH(1693,'Transfer Engine'!$C$2:$C$1960,0)),"",INDEX('Compliance Database'!$L$2:$L$1960,MATCH(1693,'Transfer Engine'!$C$2:$C$1960,0)))</f>
        <v/>
      </c>
      <c r="M1702" s="9">
        <f>IF(ISNA(MATCH(1693,'Transfer Engine'!$C$2:$C$1960,0)),"",INDEX('Compliance Database'!$M$2:$M$1960,MATCH(1693,'Transfer Engine'!$C$2:$C$1960,0)))</f>
        <v/>
      </c>
      <c r="N1702" s="9">
        <f>IF(ISNA(MATCH(1693,'Transfer Engine'!$C$2:$C$1960,0)),"",INDEX('Compliance Database'!$N$2:$N$1960,MATCH(1693,'Transfer Engine'!$C$2:$C$1960,0)))</f>
        <v/>
      </c>
      <c r="O1702" s="9">
        <f>IF(ISNA(MATCH(1693,'Transfer Engine'!$C$2:$C$1960,0)),"",INDEX('Compliance Database'!$O$2:$O$1960,MATCH(1693,'Transfer Engine'!$C$2:$C$1960,0)))</f>
        <v/>
      </c>
      <c r="P1702" s="8">
        <f>IF(ISNA(MATCH(1693,'Transfer Engine'!$C$2:$C$1960,0)),"",HYPERLINK("#Acts!A"&amp;INDEX('Compliance Database'!$P$2:$P$1960,MATCH(1693,'Transfer Engine'!$C$2:$C$1960,0)),"Go to Act"))</f>
        <v/>
      </c>
    </row>
    <row r="1703" ht="158" customHeight="1">
      <c r="A1703" s="8">
        <f>IF(ISNA(MATCH(1694,'Transfer Engine'!$C$2:$C$1960,0)),"",INDEX('Compliance Database'!$A$2:$A$1960,MATCH(1694,'Transfer Engine'!$C$2:$C$1960,0)))</f>
        <v/>
      </c>
      <c r="B1703" s="8">
        <f>IF(ISNA(MATCH(1694,'Transfer Engine'!$C$2:$C$1960,0)),"",INDEX('Compliance Database'!$B$2:$B$1960,MATCH(1694,'Transfer Engine'!$C$2:$C$1960,0)))</f>
        <v/>
      </c>
      <c r="C1703" s="8">
        <f>IF(ISNA(MATCH(1694,'Transfer Engine'!$C$2:$C$1960,0)),"",INDEX('Compliance Database'!$C$2:$C$1960,MATCH(1694,'Transfer Engine'!$C$2:$C$1960,0)))</f>
        <v/>
      </c>
      <c r="D1703" s="9">
        <f>IF(ISNA(MATCH(1694,'Transfer Engine'!$C$2:$C$1960,0)),"",INDEX('Compliance Database'!$D$2:$D$1960,MATCH(1694,'Transfer Engine'!$C$2:$C$1960,0)))</f>
        <v/>
      </c>
      <c r="E1703" s="8">
        <f>IF(ISNA(MATCH(1694,'Transfer Engine'!$C$2:$C$1960,0)),"",INDEX('Compliance Database'!$E$2:$E$1960,MATCH(1694,'Transfer Engine'!$C$2:$C$1960,0)))</f>
        <v/>
      </c>
      <c r="F1703" s="8">
        <f>IF(ISNA(MATCH(1694,'Transfer Engine'!$C$2:$C$1960,0)),"",INDEX('Compliance Database'!$F$2:$F$1960,MATCH(1694,'Transfer Engine'!$C$2:$C$1960,0)))</f>
        <v/>
      </c>
      <c r="G1703" s="8">
        <f>IF(ISNA(MATCH(1694,'Transfer Engine'!$C$2:$C$1960,0)),"",INDEX('Compliance Database'!$G$2:$G$1960,MATCH(1694,'Transfer Engine'!$C$2:$C$1960,0)))</f>
        <v/>
      </c>
      <c r="H1703" s="9">
        <f>IF(ISNA(MATCH(1694,'Transfer Engine'!$C$2:$C$1960,0)),"",INDEX('Compliance Database'!$H$2:$H$1960,MATCH(1694,'Transfer Engine'!$C$2:$C$1960,0)))</f>
        <v/>
      </c>
      <c r="I1703" s="9">
        <f>IF(ISNA(MATCH(1694,'Transfer Engine'!$C$2:$C$1960,0)),"",INDEX('Compliance Database'!$I$2:$I$1960,MATCH(1694,'Transfer Engine'!$C$2:$C$1960,0)))</f>
        <v/>
      </c>
      <c r="J1703" s="8">
        <f>IF(ISNA(MATCH(1694,'Transfer Engine'!$C$2:$C$1960,0)),"",INDEX('Compliance Database'!$J$2:$J$1960,MATCH(1694,'Transfer Engine'!$C$2:$C$1960,0)))</f>
        <v/>
      </c>
      <c r="K1703" s="9">
        <f>IF(ISNA(MATCH(1694,'Transfer Engine'!$C$2:$C$1960,0)),"",INDEX('Compliance Database'!$K$2:$K$1960,MATCH(1694,'Transfer Engine'!$C$2:$C$1960,0)))</f>
        <v/>
      </c>
      <c r="L1703" s="9">
        <f>IF(ISNA(MATCH(1694,'Transfer Engine'!$C$2:$C$1960,0)),"",INDEX('Compliance Database'!$L$2:$L$1960,MATCH(1694,'Transfer Engine'!$C$2:$C$1960,0)))</f>
        <v/>
      </c>
      <c r="M1703" s="9">
        <f>IF(ISNA(MATCH(1694,'Transfer Engine'!$C$2:$C$1960,0)),"",INDEX('Compliance Database'!$M$2:$M$1960,MATCH(1694,'Transfer Engine'!$C$2:$C$1960,0)))</f>
        <v/>
      </c>
      <c r="N1703" s="9">
        <f>IF(ISNA(MATCH(1694,'Transfer Engine'!$C$2:$C$1960,0)),"",INDEX('Compliance Database'!$N$2:$N$1960,MATCH(1694,'Transfer Engine'!$C$2:$C$1960,0)))</f>
        <v/>
      </c>
      <c r="O1703" s="9">
        <f>IF(ISNA(MATCH(1694,'Transfer Engine'!$C$2:$C$1960,0)),"",INDEX('Compliance Database'!$O$2:$O$1960,MATCH(1694,'Transfer Engine'!$C$2:$C$1960,0)))</f>
        <v/>
      </c>
      <c r="P1703" s="8">
        <f>IF(ISNA(MATCH(1694,'Transfer Engine'!$C$2:$C$1960,0)),"",HYPERLINK("#Acts!A"&amp;INDEX('Compliance Database'!$P$2:$P$1960,MATCH(1694,'Transfer Engine'!$C$2:$C$1960,0)),"Go to Act"))</f>
        <v/>
      </c>
    </row>
    <row r="1704" ht="158" customHeight="1">
      <c r="A1704" s="8">
        <f>IF(ISNA(MATCH(1695,'Transfer Engine'!$C$2:$C$1960,0)),"",INDEX('Compliance Database'!$A$2:$A$1960,MATCH(1695,'Transfer Engine'!$C$2:$C$1960,0)))</f>
        <v/>
      </c>
      <c r="B1704" s="8">
        <f>IF(ISNA(MATCH(1695,'Transfer Engine'!$C$2:$C$1960,0)),"",INDEX('Compliance Database'!$B$2:$B$1960,MATCH(1695,'Transfer Engine'!$C$2:$C$1960,0)))</f>
        <v/>
      </c>
      <c r="C1704" s="8">
        <f>IF(ISNA(MATCH(1695,'Transfer Engine'!$C$2:$C$1960,0)),"",INDEX('Compliance Database'!$C$2:$C$1960,MATCH(1695,'Transfer Engine'!$C$2:$C$1960,0)))</f>
        <v/>
      </c>
      <c r="D1704" s="9">
        <f>IF(ISNA(MATCH(1695,'Transfer Engine'!$C$2:$C$1960,0)),"",INDEX('Compliance Database'!$D$2:$D$1960,MATCH(1695,'Transfer Engine'!$C$2:$C$1960,0)))</f>
        <v/>
      </c>
      <c r="E1704" s="8">
        <f>IF(ISNA(MATCH(1695,'Transfer Engine'!$C$2:$C$1960,0)),"",INDEX('Compliance Database'!$E$2:$E$1960,MATCH(1695,'Transfer Engine'!$C$2:$C$1960,0)))</f>
        <v/>
      </c>
      <c r="F1704" s="8">
        <f>IF(ISNA(MATCH(1695,'Transfer Engine'!$C$2:$C$1960,0)),"",INDEX('Compliance Database'!$F$2:$F$1960,MATCH(1695,'Transfer Engine'!$C$2:$C$1960,0)))</f>
        <v/>
      </c>
      <c r="G1704" s="8">
        <f>IF(ISNA(MATCH(1695,'Transfer Engine'!$C$2:$C$1960,0)),"",INDEX('Compliance Database'!$G$2:$G$1960,MATCH(1695,'Transfer Engine'!$C$2:$C$1960,0)))</f>
        <v/>
      </c>
      <c r="H1704" s="9">
        <f>IF(ISNA(MATCH(1695,'Transfer Engine'!$C$2:$C$1960,0)),"",INDEX('Compliance Database'!$H$2:$H$1960,MATCH(1695,'Transfer Engine'!$C$2:$C$1960,0)))</f>
        <v/>
      </c>
      <c r="I1704" s="9">
        <f>IF(ISNA(MATCH(1695,'Transfer Engine'!$C$2:$C$1960,0)),"",INDEX('Compliance Database'!$I$2:$I$1960,MATCH(1695,'Transfer Engine'!$C$2:$C$1960,0)))</f>
        <v/>
      </c>
      <c r="J1704" s="8">
        <f>IF(ISNA(MATCH(1695,'Transfer Engine'!$C$2:$C$1960,0)),"",INDEX('Compliance Database'!$J$2:$J$1960,MATCH(1695,'Transfer Engine'!$C$2:$C$1960,0)))</f>
        <v/>
      </c>
      <c r="K1704" s="9">
        <f>IF(ISNA(MATCH(1695,'Transfer Engine'!$C$2:$C$1960,0)),"",INDEX('Compliance Database'!$K$2:$K$1960,MATCH(1695,'Transfer Engine'!$C$2:$C$1960,0)))</f>
        <v/>
      </c>
      <c r="L1704" s="9">
        <f>IF(ISNA(MATCH(1695,'Transfer Engine'!$C$2:$C$1960,0)),"",INDEX('Compliance Database'!$L$2:$L$1960,MATCH(1695,'Transfer Engine'!$C$2:$C$1960,0)))</f>
        <v/>
      </c>
      <c r="M1704" s="9">
        <f>IF(ISNA(MATCH(1695,'Transfer Engine'!$C$2:$C$1960,0)),"",INDEX('Compliance Database'!$M$2:$M$1960,MATCH(1695,'Transfer Engine'!$C$2:$C$1960,0)))</f>
        <v/>
      </c>
      <c r="N1704" s="9">
        <f>IF(ISNA(MATCH(1695,'Transfer Engine'!$C$2:$C$1960,0)),"",INDEX('Compliance Database'!$N$2:$N$1960,MATCH(1695,'Transfer Engine'!$C$2:$C$1960,0)))</f>
        <v/>
      </c>
      <c r="O1704" s="9">
        <f>IF(ISNA(MATCH(1695,'Transfer Engine'!$C$2:$C$1960,0)),"",INDEX('Compliance Database'!$O$2:$O$1960,MATCH(1695,'Transfer Engine'!$C$2:$C$1960,0)))</f>
        <v/>
      </c>
      <c r="P1704" s="8">
        <f>IF(ISNA(MATCH(1695,'Transfer Engine'!$C$2:$C$1960,0)),"",HYPERLINK("#Acts!A"&amp;INDEX('Compliance Database'!$P$2:$P$1960,MATCH(1695,'Transfer Engine'!$C$2:$C$1960,0)),"Go to Act"))</f>
        <v/>
      </c>
    </row>
    <row r="1705" ht="158" customHeight="1">
      <c r="A1705" s="8">
        <f>IF(ISNA(MATCH(1696,'Transfer Engine'!$C$2:$C$1960,0)),"",INDEX('Compliance Database'!$A$2:$A$1960,MATCH(1696,'Transfer Engine'!$C$2:$C$1960,0)))</f>
        <v/>
      </c>
      <c r="B1705" s="8">
        <f>IF(ISNA(MATCH(1696,'Transfer Engine'!$C$2:$C$1960,0)),"",INDEX('Compliance Database'!$B$2:$B$1960,MATCH(1696,'Transfer Engine'!$C$2:$C$1960,0)))</f>
        <v/>
      </c>
      <c r="C1705" s="8">
        <f>IF(ISNA(MATCH(1696,'Transfer Engine'!$C$2:$C$1960,0)),"",INDEX('Compliance Database'!$C$2:$C$1960,MATCH(1696,'Transfer Engine'!$C$2:$C$1960,0)))</f>
        <v/>
      </c>
      <c r="D1705" s="9">
        <f>IF(ISNA(MATCH(1696,'Transfer Engine'!$C$2:$C$1960,0)),"",INDEX('Compliance Database'!$D$2:$D$1960,MATCH(1696,'Transfer Engine'!$C$2:$C$1960,0)))</f>
        <v/>
      </c>
      <c r="E1705" s="8">
        <f>IF(ISNA(MATCH(1696,'Transfer Engine'!$C$2:$C$1960,0)),"",INDEX('Compliance Database'!$E$2:$E$1960,MATCH(1696,'Transfer Engine'!$C$2:$C$1960,0)))</f>
        <v/>
      </c>
      <c r="F1705" s="8">
        <f>IF(ISNA(MATCH(1696,'Transfer Engine'!$C$2:$C$1960,0)),"",INDEX('Compliance Database'!$F$2:$F$1960,MATCH(1696,'Transfer Engine'!$C$2:$C$1960,0)))</f>
        <v/>
      </c>
      <c r="G1705" s="8">
        <f>IF(ISNA(MATCH(1696,'Transfer Engine'!$C$2:$C$1960,0)),"",INDEX('Compliance Database'!$G$2:$G$1960,MATCH(1696,'Transfer Engine'!$C$2:$C$1960,0)))</f>
        <v/>
      </c>
      <c r="H1705" s="9">
        <f>IF(ISNA(MATCH(1696,'Transfer Engine'!$C$2:$C$1960,0)),"",INDEX('Compliance Database'!$H$2:$H$1960,MATCH(1696,'Transfer Engine'!$C$2:$C$1960,0)))</f>
        <v/>
      </c>
      <c r="I1705" s="9">
        <f>IF(ISNA(MATCH(1696,'Transfer Engine'!$C$2:$C$1960,0)),"",INDEX('Compliance Database'!$I$2:$I$1960,MATCH(1696,'Transfer Engine'!$C$2:$C$1960,0)))</f>
        <v/>
      </c>
      <c r="J1705" s="8">
        <f>IF(ISNA(MATCH(1696,'Transfer Engine'!$C$2:$C$1960,0)),"",INDEX('Compliance Database'!$J$2:$J$1960,MATCH(1696,'Transfer Engine'!$C$2:$C$1960,0)))</f>
        <v/>
      </c>
      <c r="K1705" s="9">
        <f>IF(ISNA(MATCH(1696,'Transfer Engine'!$C$2:$C$1960,0)),"",INDEX('Compliance Database'!$K$2:$K$1960,MATCH(1696,'Transfer Engine'!$C$2:$C$1960,0)))</f>
        <v/>
      </c>
      <c r="L1705" s="9">
        <f>IF(ISNA(MATCH(1696,'Transfer Engine'!$C$2:$C$1960,0)),"",INDEX('Compliance Database'!$L$2:$L$1960,MATCH(1696,'Transfer Engine'!$C$2:$C$1960,0)))</f>
        <v/>
      </c>
      <c r="M1705" s="9">
        <f>IF(ISNA(MATCH(1696,'Transfer Engine'!$C$2:$C$1960,0)),"",INDEX('Compliance Database'!$M$2:$M$1960,MATCH(1696,'Transfer Engine'!$C$2:$C$1960,0)))</f>
        <v/>
      </c>
      <c r="N1705" s="9">
        <f>IF(ISNA(MATCH(1696,'Transfer Engine'!$C$2:$C$1960,0)),"",INDEX('Compliance Database'!$N$2:$N$1960,MATCH(1696,'Transfer Engine'!$C$2:$C$1960,0)))</f>
        <v/>
      </c>
      <c r="O1705" s="9">
        <f>IF(ISNA(MATCH(1696,'Transfer Engine'!$C$2:$C$1960,0)),"",INDEX('Compliance Database'!$O$2:$O$1960,MATCH(1696,'Transfer Engine'!$C$2:$C$1960,0)))</f>
        <v/>
      </c>
      <c r="P1705" s="8">
        <f>IF(ISNA(MATCH(1696,'Transfer Engine'!$C$2:$C$1960,0)),"",HYPERLINK("#Acts!A"&amp;INDEX('Compliance Database'!$P$2:$P$1960,MATCH(1696,'Transfer Engine'!$C$2:$C$1960,0)),"Go to Act"))</f>
        <v/>
      </c>
    </row>
    <row r="1706" ht="158" customHeight="1">
      <c r="A1706" s="8">
        <f>IF(ISNA(MATCH(1697,'Transfer Engine'!$C$2:$C$1960,0)),"",INDEX('Compliance Database'!$A$2:$A$1960,MATCH(1697,'Transfer Engine'!$C$2:$C$1960,0)))</f>
        <v/>
      </c>
      <c r="B1706" s="8">
        <f>IF(ISNA(MATCH(1697,'Transfer Engine'!$C$2:$C$1960,0)),"",INDEX('Compliance Database'!$B$2:$B$1960,MATCH(1697,'Transfer Engine'!$C$2:$C$1960,0)))</f>
        <v/>
      </c>
      <c r="C1706" s="8">
        <f>IF(ISNA(MATCH(1697,'Transfer Engine'!$C$2:$C$1960,0)),"",INDEX('Compliance Database'!$C$2:$C$1960,MATCH(1697,'Transfer Engine'!$C$2:$C$1960,0)))</f>
        <v/>
      </c>
      <c r="D1706" s="9">
        <f>IF(ISNA(MATCH(1697,'Transfer Engine'!$C$2:$C$1960,0)),"",INDEX('Compliance Database'!$D$2:$D$1960,MATCH(1697,'Transfer Engine'!$C$2:$C$1960,0)))</f>
        <v/>
      </c>
      <c r="E1706" s="8">
        <f>IF(ISNA(MATCH(1697,'Transfer Engine'!$C$2:$C$1960,0)),"",INDEX('Compliance Database'!$E$2:$E$1960,MATCH(1697,'Transfer Engine'!$C$2:$C$1960,0)))</f>
        <v/>
      </c>
      <c r="F1706" s="8">
        <f>IF(ISNA(MATCH(1697,'Transfer Engine'!$C$2:$C$1960,0)),"",INDEX('Compliance Database'!$F$2:$F$1960,MATCH(1697,'Transfer Engine'!$C$2:$C$1960,0)))</f>
        <v/>
      </c>
      <c r="G1706" s="8">
        <f>IF(ISNA(MATCH(1697,'Transfer Engine'!$C$2:$C$1960,0)),"",INDEX('Compliance Database'!$G$2:$G$1960,MATCH(1697,'Transfer Engine'!$C$2:$C$1960,0)))</f>
        <v/>
      </c>
      <c r="H1706" s="9">
        <f>IF(ISNA(MATCH(1697,'Transfer Engine'!$C$2:$C$1960,0)),"",INDEX('Compliance Database'!$H$2:$H$1960,MATCH(1697,'Transfer Engine'!$C$2:$C$1960,0)))</f>
        <v/>
      </c>
      <c r="I1706" s="9">
        <f>IF(ISNA(MATCH(1697,'Transfer Engine'!$C$2:$C$1960,0)),"",INDEX('Compliance Database'!$I$2:$I$1960,MATCH(1697,'Transfer Engine'!$C$2:$C$1960,0)))</f>
        <v/>
      </c>
      <c r="J1706" s="8">
        <f>IF(ISNA(MATCH(1697,'Transfer Engine'!$C$2:$C$1960,0)),"",INDEX('Compliance Database'!$J$2:$J$1960,MATCH(1697,'Transfer Engine'!$C$2:$C$1960,0)))</f>
        <v/>
      </c>
      <c r="K1706" s="9">
        <f>IF(ISNA(MATCH(1697,'Transfer Engine'!$C$2:$C$1960,0)),"",INDEX('Compliance Database'!$K$2:$K$1960,MATCH(1697,'Transfer Engine'!$C$2:$C$1960,0)))</f>
        <v/>
      </c>
      <c r="L1706" s="9">
        <f>IF(ISNA(MATCH(1697,'Transfer Engine'!$C$2:$C$1960,0)),"",INDEX('Compliance Database'!$L$2:$L$1960,MATCH(1697,'Transfer Engine'!$C$2:$C$1960,0)))</f>
        <v/>
      </c>
      <c r="M1706" s="9">
        <f>IF(ISNA(MATCH(1697,'Transfer Engine'!$C$2:$C$1960,0)),"",INDEX('Compliance Database'!$M$2:$M$1960,MATCH(1697,'Transfer Engine'!$C$2:$C$1960,0)))</f>
        <v/>
      </c>
      <c r="N1706" s="9">
        <f>IF(ISNA(MATCH(1697,'Transfer Engine'!$C$2:$C$1960,0)),"",INDEX('Compliance Database'!$N$2:$N$1960,MATCH(1697,'Transfer Engine'!$C$2:$C$1960,0)))</f>
        <v/>
      </c>
      <c r="O1706" s="9">
        <f>IF(ISNA(MATCH(1697,'Transfer Engine'!$C$2:$C$1960,0)),"",INDEX('Compliance Database'!$O$2:$O$1960,MATCH(1697,'Transfer Engine'!$C$2:$C$1960,0)))</f>
        <v/>
      </c>
      <c r="P1706" s="8">
        <f>IF(ISNA(MATCH(1697,'Transfer Engine'!$C$2:$C$1960,0)),"",HYPERLINK("#Acts!A"&amp;INDEX('Compliance Database'!$P$2:$P$1960,MATCH(1697,'Transfer Engine'!$C$2:$C$1960,0)),"Go to Act"))</f>
        <v/>
      </c>
    </row>
    <row r="1707" ht="158" customHeight="1">
      <c r="A1707" s="8">
        <f>IF(ISNA(MATCH(1698,'Transfer Engine'!$C$2:$C$1960,0)),"",INDEX('Compliance Database'!$A$2:$A$1960,MATCH(1698,'Transfer Engine'!$C$2:$C$1960,0)))</f>
        <v/>
      </c>
      <c r="B1707" s="8">
        <f>IF(ISNA(MATCH(1698,'Transfer Engine'!$C$2:$C$1960,0)),"",INDEX('Compliance Database'!$B$2:$B$1960,MATCH(1698,'Transfer Engine'!$C$2:$C$1960,0)))</f>
        <v/>
      </c>
      <c r="C1707" s="8">
        <f>IF(ISNA(MATCH(1698,'Transfer Engine'!$C$2:$C$1960,0)),"",INDEX('Compliance Database'!$C$2:$C$1960,MATCH(1698,'Transfer Engine'!$C$2:$C$1960,0)))</f>
        <v/>
      </c>
      <c r="D1707" s="9">
        <f>IF(ISNA(MATCH(1698,'Transfer Engine'!$C$2:$C$1960,0)),"",INDEX('Compliance Database'!$D$2:$D$1960,MATCH(1698,'Transfer Engine'!$C$2:$C$1960,0)))</f>
        <v/>
      </c>
      <c r="E1707" s="8">
        <f>IF(ISNA(MATCH(1698,'Transfer Engine'!$C$2:$C$1960,0)),"",INDEX('Compliance Database'!$E$2:$E$1960,MATCH(1698,'Transfer Engine'!$C$2:$C$1960,0)))</f>
        <v/>
      </c>
      <c r="F1707" s="8">
        <f>IF(ISNA(MATCH(1698,'Transfer Engine'!$C$2:$C$1960,0)),"",INDEX('Compliance Database'!$F$2:$F$1960,MATCH(1698,'Transfer Engine'!$C$2:$C$1960,0)))</f>
        <v/>
      </c>
      <c r="G1707" s="8">
        <f>IF(ISNA(MATCH(1698,'Transfer Engine'!$C$2:$C$1960,0)),"",INDEX('Compliance Database'!$G$2:$G$1960,MATCH(1698,'Transfer Engine'!$C$2:$C$1960,0)))</f>
        <v/>
      </c>
      <c r="H1707" s="9">
        <f>IF(ISNA(MATCH(1698,'Transfer Engine'!$C$2:$C$1960,0)),"",INDEX('Compliance Database'!$H$2:$H$1960,MATCH(1698,'Transfer Engine'!$C$2:$C$1960,0)))</f>
        <v/>
      </c>
      <c r="I1707" s="9">
        <f>IF(ISNA(MATCH(1698,'Transfer Engine'!$C$2:$C$1960,0)),"",INDEX('Compliance Database'!$I$2:$I$1960,MATCH(1698,'Transfer Engine'!$C$2:$C$1960,0)))</f>
        <v/>
      </c>
      <c r="J1707" s="8">
        <f>IF(ISNA(MATCH(1698,'Transfer Engine'!$C$2:$C$1960,0)),"",INDEX('Compliance Database'!$J$2:$J$1960,MATCH(1698,'Transfer Engine'!$C$2:$C$1960,0)))</f>
        <v/>
      </c>
      <c r="K1707" s="9">
        <f>IF(ISNA(MATCH(1698,'Transfer Engine'!$C$2:$C$1960,0)),"",INDEX('Compliance Database'!$K$2:$K$1960,MATCH(1698,'Transfer Engine'!$C$2:$C$1960,0)))</f>
        <v/>
      </c>
      <c r="L1707" s="9">
        <f>IF(ISNA(MATCH(1698,'Transfer Engine'!$C$2:$C$1960,0)),"",INDEX('Compliance Database'!$L$2:$L$1960,MATCH(1698,'Transfer Engine'!$C$2:$C$1960,0)))</f>
        <v/>
      </c>
      <c r="M1707" s="9">
        <f>IF(ISNA(MATCH(1698,'Transfer Engine'!$C$2:$C$1960,0)),"",INDEX('Compliance Database'!$M$2:$M$1960,MATCH(1698,'Transfer Engine'!$C$2:$C$1960,0)))</f>
        <v/>
      </c>
      <c r="N1707" s="9">
        <f>IF(ISNA(MATCH(1698,'Transfer Engine'!$C$2:$C$1960,0)),"",INDEX('Compliance Database'!$N$2:$N$1960,MATCH(1698,'Transfer Engine'!$C$2:$C$1960,0)))</f>
        <v/>
      </c>
      <c r="O1707" s="9">
        <f>IF(ISNA(MATCH(1698,'Transfer Engine'!$C$2:$C$1960,0)),"",INDEX('Compliance Database'!$O$2:$O$1960,MATCH(1698,'Transfer Engine'!$C$2:$C$1960,0)))</f>
        <v/>
      </c>
      <c r="P1707" s="8">
        <f>IF(ISNA(MATCH(1698,'Transfer Engine'!$C$2:$C$1960,0)),"",HYPERLINK("#Acts!A"&amp;INDEX('Compliance Database'!$P$2:$P$1960,MATCH(1698,'Transfer Engine'!$C$2:$C$1960,0)),"Go to Act"))</f>
        <v/>
      </c>
    </row>
    <row r="1708" ht="158" customHeight="1">
      <c r="A1708" s="8">
        <f>IF(ISNA(MATCH(1699,'Transfer Engine'!$C$2:$C$1960,0)),"",INDEX('Compliance Database'!$A$2:$A$1960,MATCH(1699,'Transfer Engine'!$C$2:$C$1960,0)))</f>
        <v/>
      </c>
      <c r="B1708" s="8">
        <f>IF(ISNA(MATCH(1699,'Transfer Engine'!$C$2:$C$1960,0)),"",INDEX('Compliance Database'!$B$2:$B$1960,MATCH(1699,'Transfer Engine'!$C$2:$C$1960,0)))</f>
        <v/>
      </c>
      <c r="C1708" s="8">
        <f>IF(ISNA(MATCH(1699,'Transfer Engine'!$C$2:$C$1960,0)),"",INDEX('Compliance Database'!$C$2:$C$1960,MATCH(1699,'Transfer Engine'!$C$2:$C$1960,0)))</f>
        <v/>
      </c>
      <c r="D1708" s="9">
        <f>IF(ISNA(MATCH(1699,'Transfer Engine'!$C$2:$C$1960,0)),"",INDEX('Compliance Database'!$D$2:$D$1960,MATCH(1699,'Transfer Engine'!$C$2:$C$1960,0)))</f>
        <v/>
      </c>
      <c r="E1708" s="8">
        <f>IF(ISNA(MATCH(1699,'Transfer Engine'!$C$2:$C$1960,0)),"",INDEX('Compliance Database'!$E$2:$E$1960,MATCH(1699,'Transfer Engine'!$C$2:$C$1960,0)))</f>
        <v/>
      </c>
      <c r="F1708" s="8">
        <f>IF(ISNA(MATCH(1699,'Transfer Engine'!$C$2:$C$1960,0)),"",INDEX('Compliance Database'!$F$2:$F$1960,MATCH(1699,'Transfer Engine'!$C$2:$C$1960,0)))</f>
        <v/>
      </c>
      <c r="G1708" s="8">
        <f>IF(ISNA(MATCH(1699,'Transfer Engine'!$C$2:$C$1960,0)),"",INDEX('Compliance Database'!$G$2:$G$1960,MATCH(1699,'Transfer Engine'!$C$2:$C$1960,0)))</f>
        <v/>
      </c>
      <c r="H1708" s="9">
        <f>IF(ISNA(MATCH(1699,'Transfer Engine'!$C$2:$C$1960,0)),"",INDEX('Compliance Database'!$H$2:$H$1960,MATCH(1699,'Transfer Engine'!$C$2:$C$1960,0)))</f>
        <v/>
      </c>
      <c r="I1708" s="9">
        <f>IF(ISNA(MATCH(1699,'Transfer Engine'!$C$2:$C$1960,0)),"",INDEX('Compliance Database'!$I$2:$I$1960,MATCH(1699,'Transfer Engine'!$C$2:$C$1960,0)))</f>
        <v/>
      </c>
      <c r="J1708" s="8">
        <f>IF(ISNA(MATCH(1699,'Transfer Engine'!$C$2:$C$1960,0)),"",INDEX('Compliance Database'!$J$2:$J$1960,MATCH(1699,'Transfer Engine'!$C$2:$C$1960,0)))</f>
        <v/>
      </c>
      <c r="K1708" s="9">
        <f>IF(ISNA(MATCH(1699,'Transfer Engine'!$C$2:$C$1960,0)),"",INDEX('Compliance Database'!$K$2:$K$1960,MATCH(1699,'Transfer Engine'!$C$2:$C$1960,0)))</f>
        <v/>
      </c>
      <c r="L1708" s="9">
        <f>IF(ISNA(MATCH(1699,'Transfer Engine'!$C$2:$C$1960,0)),"",INDEX('Compliance Database'!$L$2:$L$1960,MATCH(1699,'Transfer Engine'!$C$2:$C$1960,0)))</f>
        <v/>
      </c>
      <c r="M1708" s="9">
        <f>IF(ISNA(MATCH(1699,'Transfer Engine'!$C$2:$C$1960,0)),"",INDEX('Compliance Database'!$M$2:$M$1960,MATCH(1699,'Transfer Engine'!$C$2:$C$1960,0)))</f>
        <v/>
      </c>
      <c r="N1708" s="9">
        <f>IF(ISNA(MATCH(1699,'Transfer Engine'!$C$2:$C$1960,0)),"",INDEX('Compliance Database'!$N$2:$N$1960,MATCH(1699,'Transfer Engine'!$C$2:$C$1960,0)))</f>
        <v/>
      </c>
      <c r="O1708" s="9">
        <f>IF(ISNA(MATCH(1699,'Transfer Engine'!$C$2:$C$1960,0)),"",INDEX('Compliance Database'!$O$2:$O$1960,MATCH(1699,'Transfer Engine'!$C$2:$C$1960,0)))</f>
        <v/>
      </c>
      <c r="P1708" s="8">
        <f>IF(ISNA(MATCH(1699,'Transfer Engine'!$C$2:$C$1960,0)),"",HYPERLINK("#Acts!A"&amp;INDEX('Compliance Database'!$P$2:$P$1960,MATCH(1699,'Transfer Engine'!$C$2:$C$1960,0)),"Go to Act"))</f>
        <v/>
      </c>
    </row>
    <row r="1709" ht="158" customHeight="1">
      <c r="A1709" s="8">
        <f>IF(ISNA(MATCH(1700,'Transfer Engine'!$C$2:$C$1960,0)),"",INDEX('Compliance Database'!$A$2:$A$1960,MATCH(1700,'Transfer Engine'!$C$2:$C$1960,0)))</f>
        <v/>
      </c>
      <c r="B1709" s="8">
        <f>IF(ISNA(MATCH(1700,'Transfer Engine'!$C$2:$C$1960,0)),"",INDEX('Compliance Database'!$B$2:$B$1960,MATCH(1700,'Transfer Engine'!$C$2:$C$1960,0)))</f>
        <v/>
      </c>
      <c r="C1709" s="8">
        <f>IF(ISNA(MATCH(1700,'Transfer Engine'!$C$2:$C$1960,0)),"",INDEX('Compliance Database'!$C$2:$C$1960,MATCH(1700,'Transfer Engine'!$C$2:$C$1960,0)))</f>
        <v/>
      </c>
      <c r="D1709" s="9">
        <f>IF(ISNA(MATCH(1700,'Transfer Engine'!$C$2:$C$1960,0)),"",INDEX('Compliance Database'!$D$2:$D$1960,MATCH(1700,'Transfer Engine'!$C$2:$C$1960,0)))</f>
        <v/>
      </c>
      <c r="E1709" s="8">
        <f>IF(ISNA(MATCH(1700,'Transfer Engine'!$C$2:$C$1960,0)),"",INDEX('Compliance Database'!$E$2:$E$1960,MATCH(1700,'Transfer Engine'!$C$2:$C$1960,0)))</f>
        <v/>
      </c>
      <c r="F1709" s="8">
        <f>IF(ISNA(MATCH(1700,'Transfer Engine'!$C$2:$C$1960,0)),"",INDEX('Compliance Database'!$F$2:$F$1960,MATCH(1700,'Transfer Engine'!$C$2:$C$1960,0)))</f>
        <v/>
      </c>
      <c r="G1709" s="8">
        <f>IF(ISNA(MATCH(1700,'Transfer Engine'!$C$2:$C$1960,0)),"",INDEX('Compliance Database'!$G$2:$G$1960,MATCH(1700,'Transfer Engine'!$C$2:$C$1960,0)))</f>
        <v/>
      </c>
      <c r="H1709" s="9">
        <f>IF(ISNA(MATCH(1700,'Transfer Engine'!$C$2:$C$1960,0)),"",INDEX('Compliance Database'!$H$2:$H$1960,MATCH(1700,'Transfer Engine'!$C$2:$C$1960,0)))</f>
        <v/>
      </c>
      <c r="I1709" s="9">
        <f>IF(ISNA(MATCH(1700,'Transfer Engine'!$C$2:$C$1960,0)),"",INDEX('Compliance Database'!$I$2:$I$1960,MATCH(1700,'Transfer Engine'!$C$2:$C$1960,0)))</f>
        <v/>
      </c>
      <c r="J1709" s="8">
        <f>IF(ISNA(MATCH(1700,'Transfer Engine'!$C$2:$C$1960,0)),"",INDEX('Compliance Database'!$J$2:$J$1960,MATCH(1700,'Transfer Engine'!$C$2:$C$1960,0)))</f>
        <v/>
      </c>
      <c r="K1709" s="9">
        <f>IF(ISNA(MATCH(1700,'Transfer Engine'!$C$2:$C$1960,0)),"",INDEX('Compliance Database'!$K$2:$K$1960,MATCH(1700,'Transfer Engine'!$C$2:$C$1960,0)))</f>
        <v/>
      </c>
      <c r="L1709" s="9">
        <f>IF(ISNA(MATCH(1700,'Transfer Engine'!$C$2:$C$1960,0)),"",INDEX('Compliance Database'!$L$2:$L$1960,MATCH(1700,'Transfer Engine'!$C$2:$C$1960,0)))</f>
        <v/>
      </c>
      <c r="M1709" s="9">
        <f>IF(ISNA(MATCH(1700,'Transfer Engine'!$C$2:$C$1960,0)),"",INDEX('Compliance Database'!$M$2:$M$1960,MATCH(1700,'Transfer Engine'!$C$2:$C$1960,0)))</f>
        <v/>
      </c>
      <c r="N1709" s="9">
        <f>IF(ISNA(MATCH(1700,'Transfer Engine'!$C$2:$C$1960,0)),"",INDEX('Compliance Database'!$N$2:$N$1960,MATCH(1700,'Transfer Engine'!$C$2:$C$1960,0)))</f>
        <v/>
      </c>
      <c r="O1709" s="9">
        <f>IF(ISNA(MATCH(1700,'Transfer Engine'!$C$2:$C$1960,0)),"",INDEX('Compliance Database'!$O$2:$O$1960,MATCH(1700,'Transfer Engine'!$C$2:$C$1960,0)))</f>
        <v/>
      </c>
      <c r="P1709" s="8">
        <f>IF(ISNA(MATCH(1700,'Transfer Engine'!$C$2:$C$1960,0)),"",HYPERLINK("#Acts!A"&amp;INDEX('Compliance Database'!$P$2:$P$1960,MATCH(1700,'Transfer Engine'!$C$2:$C$1960,0)),"Go to Act"))</f>
        <v/>
      </c>
    </row>
    <row r="1710" ht="158" customHeight="1">
      <c r="A1710" s="8">
        <f>IF(ISNA(MATCH(1701,'Transfer Engine'!$C$2:$C$1960,0)),"",INDEX('Compliance Database'!$A$2:$A$1960,MATCH(1701,'Transfer Engine'!$C$2:$C$1960,0)))</f>
        <v/>
      </c>
      <c r="B1710" s="8">
        <f>IF(ISNA(MATCH(1701,'Transfer Engine'!$C$2:$C$1960,0)),"",INDEX('Compliance Database'!$B$2:$B$1960,MATCH(1701,'Transfer Engine'!$C$2:$C$1960,0)))</f>
        <v/>
      </c>
      <c r="C1710" s="8">
        <f>IF(ISNA(MATCH(1701,'Transfer Engine'!$C$2:$C$1960,0)),"",INDEX('Compliance Database'!$C$2:$C$1960,MATCH(1701,'Transfer Engine'!$C$2:$C$1960,0)))</f>
        <v/>
      </c>
      <c r="D1710" s="9">
        <f>IF(ISNA(MATCH(1701,'Transfer Engine'!$C$2:$C$1960,0)),"",INDEX('Compliance Database'!$D$2:$D$1960,MATCH(1701,'Transfer Engine'!$C$2:$C$1960,0)))</f>
        <v/>
      </c>
      <c r="E1710" s="8">
        <f>IF(ISNA(MATCH(1701,'Transfer Engine'!$C$2:$C$1960,0)),"",INDEX('Compliance Database'!$E$2:$E$1960,MATCH(1701,'Transfer Engine'!$C$2:$C$1960,0)))</f>
        <v/>
      </c>
      <c r="F1710" s="8">
        <f>IF(ISNA(MATCH(1701,'Transfer Engine'!$C$2:$C$1960,0)),"",INDEX('Compliance Database'!$F$2:$F$1960,MATCH(1701,'Transfer Engine'!$C$2:$C$1960,0)))</f>
        <v/>
      </c>
      <c r="G1710" s="8">
        <f>IF(ISNA(MATCH(1701,'Transfer Engine'!$C$2:$C$1960,0)),"",INDEX('Compliance Database'!$G$2:$G$1960,MATCH(1701,'Transfer Engine'!$C$2:$C$1960,0)))</f>
        <v/>
      </c>
      <c r="H1710" s="9">
        <f>IF(ISNA(MATCH(1701,'Transfer Engine'!$C$2:$C$1960,0)),"",INDEX('Compliance Database'!$H$2:$H$1960,MATCH(1701,'Transfer Engine'!$C$2:$C$1960,0)))</f>
        <v/>
      </c>
      <c r="I1710" s="9">
        <f>IF(ISNA(MATCH(1701,'Transfer Engine'!$C$2:$C$1960,0)),"",INDEX('Compliance Database'!$I$2:$I$1960,MATCH(1701,'Transfer Engine'!$C$2:$C$1960,0)))</f>
        <v/>
      </c>
      <c r="J1710" s="8">
        <f>IF(ISNA(MATCH(1701,'Transfer Engine'!$C$2:$C$1960,0)),"",INDEX('Compliance Database'!$J$2:$J$1960,MATCH(1701,'Transfer Engine'!$C$2:$C$1960,0)))</f>
        <v/>
      </c>
      <c r="K1710" s="9">
        <f>IF(ISNA(MATCH(1701,'Transfer Engine'!$C$2:$C$1960,0)),"",INDEX('Compliance Database'!$K$2:$K$1960,MATCH(1701,'Transfer Engine'!$C$2:$C$1960,0)))</f>
        <v/>
      </c>
      <c r="L1710" s="9">
        <f>IF(ISNA(MATCH(1701,'Transfer Engine'!$C$2:$C$1960,0)),"",INDEX('Compliance Database'!$L$2:$L$1960,MATCH(1701,'Transfer Engine'!$C$2:$C$1960,0)))</f>
        <v/>
      </c>
      <c r="M1710" s="9">
        <f>IF(ISNA(MATCH(1701,'Transfer Engine'!$C$2:$C$1960,0)),"",INDEX('Compliance Database'!$M$2:$M$1960,MATCH(1701,'Transfer Engine'!$C$2:$C$1960,0)))</f>
        <v/>
      </c>
      <c r="N1710" s="9">
        <f>IF(ISNA(MATCH(1701,'Transfer Engine'!$C$2:$C$1960,0)),"",INDEX('Compliance Database'!$N$2:$N$1960,MATCH(1701,'Transfer Engine'!$C$2:$C$1960,0)))</f>
        <v/>
      </c>
      <c r="O1710" s="9">
        <f>IF(ISNA(MATCH(1701,'Transfer Engine'!$C$2:$C$1960,0)),"",INDEX('Compliance Database'!$O$2:$O$1960,MATCH(1701,'Transfer Engine'!$C$2:$C$1960,0)))</f>
        <v/>
      </c>
      <c r="P1710" s="8">
        <f>IF(ISNA(MATCH(1701,'Transfer Engine'!$C$2:$C$1960,0)),"",HYPERLINK("#Acts!A"&amp;INDEX('Compliance Database'!$P$2:$P$1960,MATCH(1701,'Transfer Engine'!$C$2:$C$1960,0)),"Go to Act"))</f>
        <v/>
      </c>
    </row>
    <row r="1711" ht="158" customHeight="1">
      <c r="A1711" s="8">
        <f>IF(ISNA(MATCH(1702,'Transfer Engine'!$C$2:$C$1960,0)),"",INDEX('Compliance Database'!$A$2:$A$1960,MATCH(1702,'Transfer Engine'!$C$2:$C$1960,0)))</f>
        <v/>
      </c>
      <c r="B1711" s="8">
        <f>IF(ISNA(MATCH(1702,'Transfer Engine'!$C$2:$C$1960,0)),"",INDEX('Compliance Database'!$B$2:$B$1960,MATCH(1702,'Transfer Engine'!$C$2:$C$1960,0)))</f>
        <v/>
      </c>
      <c r="C1711" s="8">
        <f>IF(ISNA(MATCH(1702,'Transfer Engine'!$C$2:$C$1960,0)),"",INDEX('Compliance Database'!$C$2:$C$1960,MATCH(1702,'Transfer Engine'!$C$2:$C$1960,0)))</f>
        <v/>
      </c>
      <c r="D1711" s="9">
        <f>IF(ISNA(MATCH(1702,'Transfer Engine'!$C$2:$C$1960,0)),"",INDEX('Compliance Database'!$D$2:$D$1960,MATCH(1702,'Transfer Engine'!$C$2:$C$1960,0)))</f>
        <v/>
      </c>
      <c r="E1711" s="8">
        <f>IF(ISNA(MATCH(1702,'Transfer Engine'!$C$2:$C$1960,0)),"",INDEX('Compliance Database'!$E$2:$E$1960,MATCH(1702,'Transfer Engine'!$C$2:$C$1960,0)))</f>
        <v/>
      </c>
      <c r="F1711" s="8">
        <f>IF(ISNA(MATCH(1702,'Transfer Engine'!$C$2:$C$1960,0)),"",INDEX('Compliance Database'!$F$2:$F$1960,MATCH(1702,'Transfer Engine'!$C$2:$C$1960,0)))</f>
        <v/>
      </c>
      <c r="G1711" s="8">
        <f>IF(ISNA(MATCH(1702,'Transfer Engine'!$C$2:$C$1960,0)),"",INDEX('Compliance Database'!$G$2:$G$1960,MATCH(1702,'Transfer Engine'!$C$2:$C$1960,0)))</f>
        <v/>
      </c>
      <c r="H1711" s="9">
        <f>IF(ISNA(MATCH(1702,'Transfer Engine'!$C$2:$C$1960,0)),"",INDEX('Compliance Database'!$H$2:$H$1960,MATCH(1702,'Transfer Engine'!$C$2:$C$1960,0)))</f>
        <v/>
      </c>
      <c r="I1711" s="9">
        <f>IF(ISNA(MATCH(1702,'Transfer Engine'!$C$2:$C$1960,0)),"",INDEX('Compliance Database'!$I$2:$I$1960,MATCH(1702,'Transfer Engine'!$C$2:$C$1960,0)))</f>
        <v/>
      </c>
      <c r="J1711" s="8">
        <f>IF(ISNA(MATCH(1702,'Transfer Engine'!$C$2:$C$1960,0)),"",INDEX('Compliance Database'!$J$2:$J$1960,MATCH(1702,'Transfer Engine'!$C$2:$C$1960,0)))</f>
        <v/>
      </c>
      <c r="K1711" s="9">
        <f>IF(ISNA(MATCH(1702,'Transfer Engine'!$C$2:$C$1960,0)),"",INDEX('Compliance Database'!$K$2:$K$1960,MATCH(1702,'Transfer Engine'!$C$2:$C$1960,0)))</f>
        <v/>
      </c>
      <c r="L1711" s="9">
        <f>IF(ISNA(MATCH(1702,'Transfer Engine'!$C$2:$C$1960,0)),"",INDEX('Compliance Database'!$L$2:$L$1960,MATCH(1702,'Transfer Engine'!$C$2:$C$1960,0)))</f>
        <v/>
      </c>
      <c r="M1711" s="9">
        <f>IF(ISNA(MATCH(1702,'Transfer Engine'!$C$2:$C$1960,0)),"",INDEX('Compliance Database'!$M$2:$M$1960,MATCH(1702,'Transfer Engine'!$C$2:$C$1960,0)))</f>
        <v/>
      </c>
      <c r="N1711" s="9">
        <f>IF(ISNA(MATCH(1702,'Transfer Engine'!$C$2:$C$1960,0)),"",INDEX('Compliance Database'!$N$2:$N$1960,MATCH(1702,'Transfer Engine'!$C$2:$C$1960,0)))</f>
        <v/>
      </c>
      <c r="O1711" s="9">
        <f>IF(ISNA(MATCH(1702,'Transfer Engine'!$C$2:$C$1960,0)),"",INDEX('Compliance Database'!$O$2:$O$1960,MATCH(1702,'Transfer Engine'!$C$2:$C$1960,0)))</f>
        <v/>
      </c>
      <c r="P1711" s="8">
        <f>IF(ISNA(MATCH(1702,'Transfer Engine'!$C$2:$C$1960,0)),"",HYPERLINK("#Acts!A"&amp;INDEX('Compliance Database'!$P$2:$P$1960,MATCH(1702,'Transfer Engine'!$C$2:$C$1960,0)),"Go to Act"))</f>
        <v/>
      </c>
    </row>
    <row r="1712" ht="158" customHeight="1">
      <c r="A1712" s="8">
        <f>IF(ISNA(MATCH(1703,'Transfer Engine'!$C$2:$C$1960,0)),"",INDEX('Compliance Database'!$A$2:$A$1960,MATCH(1703,'Transfer Engine'!$C$2:$C$1960,0)))</f>
        <v/>
      </c>
      <c r="B1712" s="8">
        <f>IF(ISNA(MATCH(1703,'Transfer Engine'!$C$2:$C$1960,0)),"",INDEX('Compliance Database'!$B$2:$B$1960,MATCH(1703,'Transfer Engine'!$C$2:$C$1960,0)))</f>
        <v/>
      </c>
      <c r="C1712" s="8">
        <f>IF(ISNA(MATCH(1703,'Transfer Engine'!$C$2:$C$1960,0)),"",INDEX('Compliance Database'!$C$2:$C$1960,MATCH(1703,'Transfer Engine'!$C$2:$C$1960,0)))</f>
        <v/>
      </c>
      <c r="D1712" s="9">
        <f>IF(ISNA(MATCH(1703,'Transfer Engine'!$C$2:$C$1960,0)),"",INDEX('Compliance Database'!$D$2:$D$1960,MATCH(1703,'Transfer Engine'!$C$2:$C$1960,0)))</f>
        <v/>
      </c>
      <c r="E1712" s="8">
        <f>IF(ISNA(MATCH(1703,'Transfer Engine'!$C$2:$C$1960,0)),"",INDEX('Compliance Database'!$E$2:$E$1960,MATCH(1703,'Transfer Engine'!$C$2:$C$1960,0)))</f>
        <v/>
      </c>
      <c r="F1712" s="8">
        <f>IF(ISNA(MATCH(1703,'Transfer Engine'!$C$2:$C$1960,0)),"",INDEX('Compliance Database'!$F$2:$F$1960,MATCH(1703,'Transfer Engine'!$C$2:$C$1960,0)))</f>
        <v/>
      </c>
      <c r="G1712" s="8">
        <f>IF(ISNA(MATCH(1703,'Transfer Engine'!$C$2:$C$1960,0)),"",INDEX('Compliance Database'!$G$2:$G$1960,MATCH(1703,'Transfer Engine'!$C$2:$C$1960,0)))</f>
        <v/>
      </c>
      <c r="H1712" s="9">
        <f>IF(ISNA(MATCH(1703,'Transfer Engine'!$C$2:$C$1960,0)),"",INDEX('Compliance Database'!$H$2:$H$1960,MATCH(1703,'Transfer Engine'!$C$2:$C$1960,0)))</f>
        <v/>
      </c>
      <c r="I1712" s="9">
        <f>IF(ISNA(MATCH(1703,'Transfer Engine'!$C$2:$C$1960,0)),"",INDEX('Compliance Database'!$I$2:$I$1960,MATCH(1703,'Transfer Engine'!$C$2:$C$1960,0)))</f>
        <v/>
      </c>
      <c r="J1712" s="8">
        <f>IF(ISNA(MATCH(1703,'Transfer Engine'!$C$2:$C$1960,0)),"",INDEX('Compliance Database'!$J$2:$J$1960,MATCH(1703,'Transfer Engine'!$C$2:$C$1960,0)))</f>
        <v/>
      </c>
      <c r="K1712" s="9">
        <f>IF(ISNA(MATCH(1703,'Transfer Engine'!$C$2:$C$1960,0)),"",INDEX('Compliance Database'!$K$2:$K$1960,MATCH(1703,'Transfer Engine'!$C$2:$C$1960,0)))</f>
        <v/>
      </c>
      <c r="L1712" s="9">
        <f>IF(ISNA(MATCH(1703,'Transfer Engine'!$C$2:$C$1960,0)),"",INDEX('Compliance Database'!$L$2:$L$1960,MATCH(1703,'Transfer Engine'!$C$2:$C$1960,0)))</f>
        <v/>
      </c>
      <c r="M1712" s="9">
        <f>IF(ISNA(MATCH(1703,'Transfer Engine'!$C$2:$C$1960,0)),"",INDEX('Compliance Database'!$M$2:$M$1960,MATCH(1703,'Transfer Engine'!$C$2:$C$1960,0)))</f>
        <v/>
      </c>
      <c r="N1712" s="9">
        <f>IF(ISNA(MATCH(1703,'Transfer Engine'!$C$2:$C$1960,0)),"",INDEX('Compliance Database'!$N$2:$N$1960,MATCH(1703,'Transfer Engine'!$C$2:$C$1960,0)))</f>
        <v/>
      </c>
      <c r="O1712" s="9">
        <f>IF(ISNA(MATCH(1703,'Transfer Engine'!$C$2:$C$1960,0)),"",INDEX('Compliance Database'!$O$2:$O$1960,MATCH(1703,'Transfer Engine'!$C$2:$C$1960,0)))</f>
        <v/>
      </c>
      <c r="P1712" s="8">
        <f>IF(ISNA(MATCH(1703,'Transfer Engine'!$C$2:$C$1960,0)),"",HYPERLINK("#Acts!A"&amp;INDEX('Compliance Database'!$P$2:$P$1960,MATCH(1703,'Transfer Engine'!$C$2:$C$1960,0)),"Go to Act"))</f>
        <v/>
      </c>
    </row>
    <row r="1713" ht="158" customHeight="1">
      <c r="A1713" s="8">
        <f>IF(ISNA(MATCH(1704,'Transfer Engine'!$C$2:$C$1960,0)),"",INDEX('Compliance Database'!$A$2:$A$1960,MATCH(1704,'Transfer Engine'!$C$2:$C$1960,0)))</f>
        <v/>
      </c>
      <c r="B1713" s="8">
        <f>IF(ISNA(MATCH(1704,'Transfer Engine'!$C$2:$C$1960,0)),"",INDEX('Compliance Database'!$B$2:$B$1960,MATCH(1704,'Transfer Engine'!$C$2:$C$1960,0)))</f>
        <v/>
      </c>
      <c r="C1713" s="8">
        <f>IF(ISNA(MATCH(1704,'Transfer Engine'!$C$2:$C$1960,0)),"",INDEX('Compliance Database'!$C$2:$C$1960,MATCH(1704,'Transfer Engine'!$C$2:$C$1960,0)))</f>
        <v/>
      </c>
      <c r="D1713" s="9">
        <f>IF(ISNA(MATCH(1704,'Transfer Engine'!$C$2:$C$1960,0)),"",INDEX('Compliance Database'!$D$2:$D$1960,MATCH(1704,'Transfer Engine'!$C$2:$C$1960,0)))</f>
        <v/>
      </c>
      <c r="E1713" s="8">
        <f>IF(ISNA(MATCH(1704,'Transfer Engine'!$C$2:$C$1960,0)),"",INDEX('Compliance Database'!$E$2:$E$1960,MATCH(1704,'Transfer Engine'!$C$2:$C$1960,0)))</f>
        <v/>
      </c>
      <c r="F1713" s="8">
        <f>IF(ISNA(MATCH(1704,'Transfer Engine'!$C$2:$C$1960,0)),"",INDEX('Compliance Database'!$F$2:$F$1960,MATCH(1704,'Transfer Engine'!$C$2:$C$1960,0)))</f>
        <v/>
      </c>
      <c r="G1713" s="8">
        <f>IF(ISNA(MATCH(1704,'Transfer Engine'!$C$2:$C$1960,0)),"",INDEX('Compliance Database'!$G$2:$G$1960,MATCH(1704,'Transfer Engine'!$C$2:$C$1960,0)))</f>
        <v/>
      </c>
      <c r="H1713" s="9">
        <f>IF(ISNA(MATCH(1704,'Transfer Engine'!$C$2:$C$1960,0)),"",INDEX('Compliance Database'!$H$2:$H$1960,MATCH(1704,'Transfer Engine'!$C$2:$C$1960,0)))</f>
        <v/>
      </c>
      <c r="I1713" s="9">
        <f>IF(ISNA(MATCH(1704,'Transfer Engine'!$C$2:$C$1960,0)),"",INDEX('Compliance Database'!$I$2:$I$1960,MATCH(1704,'Transfer Engine'!$C$2:$C$1960,0)))</f>
        <v/>
      </c>
      <c r="J1713" s="8">
        <f>IF(ISNA(MATCH(1704,'Transfer Engine'!$C$2:$C$1960,0)),"",INDEX('Compliance Database'!$J$2:$J$1960,MATCH(1704,'Transfer Engine'!$C$2:$C$1960,0)))</f>
        <v/>
      </c>
      <c r="K1713" s="9">
        <f>IF(ISNA(MATCH(1704,'Transfer Engine'!$C$2:$C$1960,0)),"",INDEX('Compliance Database'!$K$2:$K$1960,MATCH(1704,'Transfer Engine'!$C$2:$C$1960,0)))</f>
        <v/>
      </c>
      <c r="L1713" s="9">
        <f>IF(ISNA(MATCH(1704,'Transfer Engine'!$C$2:$C$1960,0)),"",INDEX('Compliance Database'!$L$2:$L$1960,MATCH(1704,'Transfer Engine'!$C$2:$C$1960,0)))</f>
        <v/>
      </c>
      <c r="M1713" s="9">
        <f>IF(ISNA(MATCH(1704,'Transfer Engine'!$C$2:$C$1960,0)),"",INDEX('Compliance Database'!$M$2:$M$1960,MATCH(1704,'Transfer Engine'!$C$2:$C$1960,0)))</f>
        <v/>
      </c>
      <c r="N1713" s="9">
        <f>IF(ISNA(MATCH(1704,'Transfer Engine'!$C$2:$C$1960,0)),"",INDEX('Compliance Database'!$N$2:$N$1960,MATCH(1704,'Transfer Engine'!$C$2:$C$1960,0)))</f>
        <v/>
      </c>
      <c r="O1713" s="9">
        <f>IF(ISNA(MATCH(1704,'Transfer Engine'!$C$2:$C$1960,0)),"",INDEX('Compliance Database'!$O$2:$O$1960,MATCH(1704,'Transfer Engine'!$C$2:$C$1960,0)))</f>
        <v/>
      </c>
      <c r="P1713" s="8">
        <f>IF(ISNA(MATCH(1704,'Transfer Engine'!$C$2:$C$1960,0)),"",HYPERLINK("#Acts!A"&amp;INDEX('Compliance Database'!$P$2:$P$1960,MATCH(1704,'Transfer Engine'!$C$2:$C$1960,0)),"Go to Act"))</f>
        <v/>
      </c>
    </row>
    <row r="1714" ht="158" customHeight="1">
      <c r="A1714" s="8">
        <f>IF(ISNA(MATCH(1705,'Transfer Engine'!$C$2:$C$1960,0)),"",INDEX('Compliance Database'!$A$2:$A$1960,MATCH(1705,'Transfer Engine'!$C$2:$C$1960,0)))</f>
        <v/>
      </c>
      <c r="B1714" s="8">
        <f>IF(ISNA(MATCH(1705,'Transfer Engine'!$C$2:$C$1960,0)),"",INDEX('Compliance Database'!$B$2:$B$1960,MATCH(1705,'Transfer Engine'!$C$2:$C$1960,0)))</f>
        <v/>
      </c>
      <c r="C1714" s="8">
        <f>IF(ISNA(MATCH(1705,'Transfer Engine'!$C$2:$C$1960,0)),"",INDEX('Compliance Database'!$C$2:$C$1960,MATCH(1705,'Transfer Engine'!$C$2:$C$1960,0)))</f>
        <v/>
      </c>
      <c r="D1714" s="9">
        <f>IF(ISNA(MATCH(1705,'Transfer Engine'!$C$2:$C$1960,0)),"",INDEX('Compliance Database'!$D$2:$D$1960,MATCH(1705,'Transfer Engine'!$C$2:$C$1960,0)))</f>
        <v/>
      </c>
      <c r="E1714" s="8">
        <f>IF(ISNA(MATCH(1705,'Transfer Engine'!$C$2:$C$1960,0)),"",INDEX('Compliance Database'!$E$2:$E$1960,MATCH(1705,'Transfer Engine'!$C$2:$C$1960,0)))</f>
        <v/>
      </c>
      <c r="F1714" s="8">
        <f>IF(ISNA(MATCH(1705,'Transfer Engine'!$C$2:$C$1960,0)),"",INDEX('Compliance Database'!$F$2:$F$1960,MATCH(1705,'Transfer Engine'!$C$2:$C$1960,0)))</f>
        <v/>
      </c>
      <c r="G1714" s="8">
        <f>IF(ISNA(MATCH(1705,'Transfer Engine'!$C$2:$C$1960,0)),"",INDEX('Compliance Database'!$G$2:$G$1960,MATCH(1705,'Transfer Engine'!$C$2:$C$1960,0)))</f>
        <v/>
      </c>
      <c r="H1714" s="9">
        <f>IF(ISNA(MATCH(1705,'Transfer Engine'!$C$2:$C$1960,0)),"",INDEX('Compliance Database'!$H$2:$H$1960,MATCH(1705,'Transfer Engine'!$C$2:$C$1960,0)))</f>
        <v/>
      </c>
      <c r="I1714" s="9">
        <f>IF(ISNA(MATCH(1705,'Transfer Engine'!$C$2:$C$1960,0)),"",INDEX('Compliance Database'!$I$2:$I$1960,MATCH(1705,'Transfer Engine'!$C$2:$C$1960,0)))</f>
        <v/>
      </c>
      <c r="J1714" s="8">
        <f>IF(ISNA(MATCH(1705,'Transfer Engine'!$C$2:$C$1960,0)),"",INDEX('Compliance Database'!$J$2:$J$1960,MATCH(1705,'Transfer Engine'!$C$2:$C$1960,0)))</f>
        <v/>
      </c>
      <c r="K1714" s="9">
        <f>IF(ISNA(MATCH(1705,'Transfer Engine'!$C$2:$C$1960,0)),"",INDEX('Compliance Database'!$K$2:$K$1960,MATCH(1705,'Transfer Engine'!$C$2:$C$1960,0)))</f>
        <v/>
      </c>
      <c r="L1714" s="9">
        <f>IF(ISNA(MATCH(1705,'Transfer Engine'!$C$2:$C$1960,0)),"",INDEX('Compliance Database'!$L$2:$L$1960,MATCH(1705,'Transfer Engine'!$C$2:$C$1960,0)))</f>
        <v/>
      </c>
      <c r="M1714" s="9">
        <f>IF(ISNA(MATCH(1705,'Transfer Engine'!$C$2:$C$1960,0)),"",INDEX('Compliance Database'!$M$2:$M$1960,MATCH(1705,'Transfer Engine'!$C$2:$C$1960,0)))</f>
        <v/>
      </c>
      <c r="N1714" s="9">
        <f>IF(ISNA(MATCH(1705,'Transfer Engine'!$C$2:$C$1960,0)),"",INDEX('Compliance Database'!$N$2:$N$1960,MATCH(1705,'Transfer Engine'!$C$2:$C$1960,0)))</f>
        <v/>
      </c>
      <c r="O1714" s="9">
        <f>IF(ISNA(MATCH(1705,'Transfer Engine'!$C$2:$C$1960,0)),"",INDEX('Compliance Database'!$O$2:$O$1960,MATCH(1705,'Transfer Engine'!$C$2:$C$1960,0)))</f>
        <v/>
      </c>
      <c r="P1714" s="8">
        <f>IF(ISNA(MATCH(1705,'Transfer Engine'!$C$2:$C$1960,0)),"",HYPERLINK("#Acts!A"&amp;INDEX('Compliance Database'!$P$2:$P$1960,MATCH(1705,'Transfer Engine'!$C$2:$C$1960,0)),"Go to Act"))</f>
        <v/>
      </c>
    </row>
    <row r="1715" ht="158" customHeight="1">
      <c r="A1715" s="8">
        <f>IF(ISNA(MATCH(1706,'Transfer Engine'!$C$2:$C$1960,0)),"",INDEX('Compliance Database'!$A$2:$A$1960,MATCH(1706,'Transfer Engine'!$C$2:$C$1960,0)))</f>
        <v/>
      </c>
      <c r="B1715" s="8">
        <f>IF(ISNA(MATCH(1706,'Transfer Engine'!$C$2:$C$1960,0)),"",INDEX('Compliance Database'!$B$2:$B$1960,MATCH(1706,'Transfer Engine'!$C$2:$C$1960,0)))</f>
        <v/>
      </c>
      <c r="C1715" s="8">
        <f>IF(ISNA(MATCH(1706,'Transfer Engine'!$C$2:$C$1960,0)),"",INDEX('Compliance Database'!$C$2:$C$1960,MATCH(1706,'Transfer Engine'!$C$2:$C$1960,0)))</f>
        <v/>
      </c>
      <c r="D1715" s="9">
        <f>IF(ISNA(MATCH(1706,'Transfer Engine'!$C$2:$C$1960,0)),"",INDEX('Compliance Database'!$D$2:$D$1960,MATCH(1706,'Transfer Engine'!$C$2:$C$1960,0)))</f>
        <v/>
      </c>
      <c r="E1715" s="8">
        <f>IF(ISNA(MATCH(1706,'Transfer Engine'!$C$2:$C$1960,0)),"",INDEX('Compliance Database'!$E$2:$E$1960,MATCH(1706,'Transfer Engine'!$C$2:$C$1960,0)))</f>
        <v/>
      </c>
      <c r="F1715" s="8">
        <f>IF(ISNA(MATCH(1706,'Transfer Engine'!$C$2:$C$1960,0)),"",INDEX('Compliance Database'!$F$2:$F$1960,MATCH(1706,'Transfer Engine'!$C$2:$C$1960,0)))</f>
        <v/>
      </c>
      <c r="G1715" s="8">
        <f>IF(ISNA(MATCH(1706,'Transfer Engine'!$C$2:$C$1960,0)),"",INDEX('Compliance Database'!$G$2:$G$1960,MATCH(1706,'Transfer Engine'!$C$2:$C$1960,0)))</f>
        <v/>
      </c>
      <c r="H1715" s="9">
        <f>IF(ISNA(MATCH(1706,'Transfer Engine'!$C$2:$C$1960,0)),"",INDEX('Compliance Database'!$H$2:$H$1960,MATCH(1706,'Transfer Engine'!$C$2:$C$1960,0)))</f>
        <v/>
      </c>
      <c r="I1715" s="9">
        <f>IF(ISNA(MATCH(1706,'Transfer Engine'!$C$2:$C$1960,0)),"",INDEX('Compliance Database'!$I$2:$I$1960,MATCH(1706,'Transfer Engine'!$C$2:$C$1960,0)))</f>
        <v/>
      </c>
      <c r="J1715" s="8">
        <f>IF(ISNA(MATCH(1706,'Transfer Engine'!$C$2:$C$1960,0)),"",INDEX('Compliance Database'!$J$2:$J$1960,MATCH(1706,'Transfer Engine'!$C$2:$C$1960,0)))</f>
        <v/>
      </c>
      <c r="K1715" s="9">
        <f>IF(ISNA(MATCH(1706,'Transfer Engine'!$C$2:$C$1960,0)),"",INDEX('Compliance Database'!$K$2:$K$1960,MATCH(1706,'Transfer Engine'!$C$2:$C$1960,0)))</f>
        <v/>
      </c>
      <c r="L1715" s="9">
        <f>IF(ISNA(MATCH(1706,'Transfer Engine'!$C$2:$C$1960,0)),"",INDEX('Compliance Database'!$L$2:$L$1960,MATCH(1706,'Transfer Engine'!$C$2:$C$1960,0)))</f>
        <v/>
      </c>
      <c r="M1715" s="9">
        <f>IF(ISNA(MATCH(1706,'Transfer Engine'!$C$2:$C$1960,0)),"",INDEX('Compliance Database'!$M$2:$M$1960,MATCH(1706,'Transfer Engine'!$C$2:$C$1960,0)))</f>
        <v/>
      </c>
      <c r="N1715" s="9">
        <f>IF(ISNA(MATCH(1706,'Transfer Engine'!$C$2:$C$1960,0)),"",INDEX('Compliance Database'!$N$2:$N$1960,MATCH(1706,'Transfer Engine'!$C$2:$C$1960,0)))</f>
        <v/>
      </c>
      <c r="O1715" s="9">
        <f>IF(ISNA(MATCH(1706,'Transfer Engine'!$C$2:$C$1960,0)),"",INDEX('Compliance Database'!$O$2:$O$1960,MATCH(1706,'Transfer Engine'!$C$2:$C$1960,0)))</f>
        <v/>
      </c>
      <c r="P1715" s="8">
        <f>IF(ISNA(MATCH(1706,'Transfer Engine'!$C$2:$C$1960,0)),"",HYPERLINK("#Acts!A"&amp;INDEX('Compliance Database'!$P$2:$P$1960,MATCH(1706,'Transfer Engine'!$C$2:$C$1960,0)),"Go to Act"))</f>
        <v/>
      </c>
    </row>
    <row r="1716" ht="158" customHeight="1">
      <c r="A1716" s="8">
        <f>IF(ISNA(MATCH(1707,'Transfer Engine'!$C$2:$C$1960,0)),"",INDEX('Compliance Database'!$A$2:$A$1960,MATCH(1707,'Transfer Engine'!$C$2:$C$1960,0)))</f>
        <v/>
      </c>
      <c r="B1716" s="8">
        <f>IF(ISNA(MATCH(1707,'Transfer Engine'!$C$2:$C$1960,0)),"",INDEX('Compliance Database'!$B$2:$B$1960,MATCH(1707,'Transfer Engine'!$C$2:$C$1960,0)))</f>
        <v/>
      </c>
      <c r="C1716" s="8">
        <f>IF(ISNA(MATCH(1707,'Transfer Engine'!$C$2:$C$1960,0)),"",INDEX('Compliance Database'!$C$2:$C$1960,MATCH(1707,'Transfer Engine'!$C$2:$C$1960,0)))</f>
        <v/>
      </c>
      <c r="D1716" s="9">
        <f>IF(ISNA(MATCH(1707,'Transfer Engine'!$C$2:$C$1960,0)),"",INDEX('Compliance Database'!$D$2:$D$1960,MATCH(1707,'Transfer Engine'!$C$2:$C$1960,0)))</f>
        <v/>
      </c>
      <c r="E1716" s="8">
        <f>IF(ISNA(MATCH(1707,'Transfer Engine'!$C$2:$C$1960,0)),"",INDEX('Compliance Database'!$E$2:$E$1960,MATCH(1707,'Transfer Engine'!$C$2:$C$1960,0)))</f>
        <v/>
      </c>
      <c r="F1716" s="8">
        <f>IF(ISNA(MATCH(1707,'Transfer Engine'!$C$2:$C$1960,0)),"",INDEX('Compliance Database'!$F$2:$F$1960,MATCH(1707,'Transfer Engine'!$C$2:$C$1960,0)))</f>
        <v/>
      </c>
      <c r="G1716" s="8">
        <f>IF(ISNA(MATCH(1707,'Transfer Engine'!$C$2:$C$1960,0)),"",INDEX('Compliance Database'!$G$2:$G$1960,MATCH(1707,'Transfer Engine'!$C$2:$C$1960,0)))</f>
        <v/>
      </c>
      <c r="H1716" s="9">
        <f>IF(ISNA(MATCH(1707,'Transfer Engine'!$C$2:$C$1960,0)),"",INDEX('Compliance Database'!$H$2:$H$1960,MATCH(1707,'Transfer Engine'!$C$2:$C$1960,0)))</f>
        <v/>
      </c>
      <c r="I1716" s="9">
        <f>IF(ISNA(MATCH(1707,'Transfer Engine'!$C$2:$C$1960,0)),"",INDEX('Compliance Database'!$I$2:$I$1960,MATCH(1707,'Transfer Engine'!$C$2:$C$1960,0)))</f>
        <v/>
      </c>
      <c r="J1716" s="8">
        <f>IF(ISNA(MATCH(1707,'Transfer Engine'!$C$2:$C$1960,0)),"",INDEX('Compliance Database'!$J$2:$J$1960,MATCH(1707,'Transfer Engine'!$C$2:$C$1960,0)))</f>
        <v/>
      </c>
      <c r="K1716" s="9">
        <f>IF(ISNA(MATCH(1707,'Transfer Engine'!$C$2:$C$1960,0)),"",INDEX('Compliance Database'!$K$2:$K$1960,MATCH(1707,'Transfer Engine'!$C$2:$C$1960,0)))</f>
        <v/>
      </c>
      <c r="L1716" s="9">
        <f>IF(ISNA(MATCH(1707,'Transfer Engine'!$C$2:$C$1960,0)),"",INDEX('Compliance Database'!$L$2:$L$1960,MATCH(1707,'Transfer Engine'!$C$2:$C$1960,0)))</f>
        <v/>
      </c>
      <c r="M1716" s="9">
        <f>IF(ISNA(MATCH(1707,'Transfer Engine'!$C$2:$C$1960,0)),"",INDEX('Compliance Database'!$M$2:$M$1960,MATCH(1707,'Transfer Engine'!$C$2:$C$1960,0)))</f>
        <v/>
      </c>
      <c r="N1716" s="9">
        <f>IF(ISNA(MATCH(1707,'Transfer Engine'!$C$2:$C$1960,0)),"",INDEX('Compliance Database'!$N$2:$N$1960,MATCH(1707,'Transfer Engine'!$C$2:$C$1960,0)))</f>
        <v/>
      </c>
      <c r="O1716" s="9">
        <f>IF(ISNA(MATCH(1707,'Transfer Engine'!$C$2:$C$1960,0)),"",INDEX('Compliance Database'!$O$2:$O$1960,MATCH(1707,'Transfer Engine'!$C$2:$C$1960,0)))</f>
        <v/>
      </c>
      <c r="P1716" s="8">
        <f>IF(ISNA(MATCH(1707,'Transfer Engine'!$C$2:$C$1960,0)),"",HYPERLINK("#Acts!A"&amp;INDEX('Compliance Database'!$P$2:$P$1960,MATCH(1707,'Transfer Engine'!$C$2:$C$1960,0)),"Go to Act"))</f>
        <v/>
      </c>
    </row>
    <row r="1717" ht="158" customHeight="1">
      <c r="A1717" s="8">
        <f>IF(ISNA(MATCH(1708,'Transfer Engine'!$C$2:$C$1960,0)),"",INDEX('Compliance Database'!$A$2:$A$1960,MATCH(1708,'Transfer Engine'!$C$2:$C$1960,0)))</f>
        <v/>
      </c>
      <c r="B1717" s="8">
        <f>IF(ISNA(MATCH(1708,'Transfer Engine'!$C$2:$C$1960,0)),"",INDEX('Compliance Database'!$B$2:$B$1960,MATCH(1708,'Transfer Engine'!$C$2:$C$1960,0)))</f>
        <v/>
      </c>
      <c r="C1717" s="8">
        <f>IF(ISNA(MATCH(1708,'Transfer Engine'!$C$2:$C$1960,0)),"",INDEX('Compliance Database'!$C$2:$C$1960,MATCH(1708,'Transfer Engine'!$C$2:$C$1960,0)))</f>
        <v/>
      </c>
      <c r="D1717" s="9">
        <f>IF(ISNA(MATCH(1708,'Transfer Engine'!$C$2:$C$1960,0)),"",INDEX('Compliance Database'!$D$2:$D$1960,MATCH(1708,'Transfer Engine'!$C$2:$C$1960,0)))</f>
        <v/>
      </c>
      <c r="E1717" s="8">
        <f>IF(ISNA(MATCH(1708,'Transfer Engine'!$C$2:$C$1960,0)),"",INDEX('Compliance Database'!$E$2:$E$1960,MATCH(1708,'Transfer Engine'!$C$2:$C$1960,0)))</f>
        <v/>
      </c>
      <c r="F1717" s="8">
        <f>IF(ISNA(MATCH(1708,'Transfer Engine'!$C$2:$C$1960,0)),"",INDEX('Compliance Database'!$F$2:$F$1960,MATCH(1708,'Transfer Engine'!$C$2:$C$1960,0)))</f>
        <v/>
      </c>
      <c r="G1717" s="8">
        <f>IF(ISNA(MATCH(1708,'Transfer Engine'!$C$2:$C$1960,0)),"",INDEX('Compliance Database'!$G$2:$G$1960,MATCH(1708,'Transfer Engine'!$C$2:$C$1960,0)))</f>
        <v/>
      </c>
      <c r="H1717" s="9">
        <f>IF(ISNA(MATCH(1708,'Transfer Engine'!$C$2:$C$1960,0)),"",INDEX('Compliance Database'!$H$2:$H$1960,MATCH(1708,'Transfer Engine'!$C$2:$C$1960,0)))</f>
        <v/>
      </c>
      <c r="I1717" s="9">
        <f>IF(ISNA(MATCH(1708,'Transfer Engine'!$C$2:$C$1960,0)),"",INDEX('Compliance Database'!$I$2:$I$1960,MATCH(1708,'Transfer Engine'!$C$2:$C$1960,0)))</f>
        <v/>
      </c>
      <c r="J1717" s="8">
        <f>IF(ISNA(MATCH(1708,'Transfer Engine'!$C$2:$C$1960,0)),"",INDEX('Compliance Database'!$J$2:$J$1960,MATCH(1708,'Transfer Engine'!$C$2:$C$1960,0)))</f>
        <v/>
      </c>
      <c r="K1717" s="9">
        <f>IF(ISNA(MATCH(1708,'Transfer Engine'!$C$2:$C$1960,0)),"",INDEX('Compliance Database'!$K$2:$K$1960,MATCH(1708,'Transfer Engine'!$C$2:$C$1960,0)))</f>
        <v/>
      </c>
      <c r="L1717" s="9">
        <f>IF(ISNA(MATCH(1708,'Transfer Engine'!$C$2:$C$1960,0)),"",INDEX('Compliance Database'!$L$2:$L$1960,MATCH(1708,'Transfer Engine'!$C$2:$C$1960,0)))</f>
        <v/>
      </c>
      <c r="M1717" s="9">
        <f>IF(ISNA(MATCH(1708,'Transfer Engine'!$C$2:$C$1960,0)),"",INDEX('Compliance Database'!$M$2:$M$1960,MATCH(1708,'Transfer Engine'!$C$2:$C$1960,0)))</f>
        <v/>
      </c>
      <c r="N1717" s="9">
        <f>IF(ISNA(MATCH(1708,'Transfer Engine'!$C$2:$C$1960,0)),"",INDEX('Compliance Database'!$N$2:$N$1960,MATCH(1708,'Transfer Engine'!$C$2:$C$1960,0)))</f>
        <v/>
      </c>
      <c r="O1717" s="9">
        <f>IF(ISNA(MATCH(1708,'Transfer Engine'!$C$2:$C$1960,0)),"",INDEX('Compliance Database'!$O$2:$O$1960,MATCH(1708,'Transfer Engine'!$C$2:$C$1960,0)))</f>
        <v/>
      </c>
      <c r="P1717" s="8">
        <f>IF(ISNA(MATCH(1708,'Transfer Engine'!$C$2:$C$1960,0)),"",HYPERLINK("#Acts!A"&amp;INDEX('Compliance Database'!$P$2:$P$1960,MATCH(1708,'Transfer Engine'!$C$2:$C$1960,0)),"Go to Act"))</f>
        <v/>
      </c>
    </row>
    <row r="1718" ht="158" customHeight="1">
      <c r="A1718" s="8">
        <f>IF(ISNA(MATCH(1709,'Transfer Engine'!$C$2:$C$1960,0)),"",INDEX('Compliance Database'!$A$2:$A$1960,MATCH(1709,'Transfer Engine'!$C$2:$C$1960,0)))</f>
        <v/>
      </c>
      <c r="B1718" s="8">
        <f>IF(ISNA(MATCH(1709,'Transfer Engine'!$C$2:$C$1960,0)),"",INDEX('Compliance Database'!$B$2:$B$1960,MATCH(1709,'Transfer Engine'!$C$2:$C$1960,0)))</f>
        <v/>
      </c>
      <c r="C1718" s="8">
        <f>IF(ISNA(MATCH(1709,'Transfer Engine'!$C$2:$C$1960,0)),"",INDEX('Compliance Database'!$C$2:$C$1960,MATCH(1709,'Transfer Engine'!$C$2:$C$1960,0)))</f>
        <v/>
      </c>
      <c r="D1718" s="9">
        <f>IF(ISNA(MATCH(1709,'Transfer Engine'!$C$2:$C$1960,0)),"",INDEX('Compliance Database'!$D$2:$D$1960,MATCH(1709,'Transfer Engine'!$C$2:$C$1960,0)))</f>
        <v/>
      </c>
      <c r="E1718" s="8">
        <f>IF(ISNA(MATCH(1709,'Transfer Engine'!$C$2:$C$1960,0)),"",INDEX('Compliance Database'!$E$2:$E$1960,MATCH(1709,'Transfer Engine'!$C$2:$C$1960,0)))</f>
        <v/>
      </c>
      <c r="F1718" s="8">
        <f>IF(ISNA(MATCH(1709,'Transfer Engine'!$C$2:$C$1960,0)),"",INDEX('Compliance Database'!$F$2:$F$1960,MATCH(1709,'Transfer Engine'!$C$2:$C$1960,0)))</f>
        <v/>
      </c>
      <c r="G1718" s="8">
        <f>IF(ISNA(MATCH(1709,'Transfer Engine'!$C$2:$C$1960,0)),"",INDEX('Compliance Database'!$G$2:$G$1960,MATCH(1709,'Transfer Engine'!$C$2:$C$1960,0)))</f>
        <v/>
      </c>
      <c r="H1718" s="9">
        <f>IF(ISNA(MATCH(1709,'Transfer Engine'!$C$2:$C$1960,0)),"",INDEX('Compliance Database'!$H$2:$H$1960,MATCH(1709,'Transfer Engine'!$C$2:$C$1960,0)))</f>
        <v/>
      </c>
      <c r="I1718" s="9">
        <f>IF(ISNA(MATCH(1709,'Transfer Engine'!$C$2:$C$1960,0)),"",INDEX('Compliance Database'!$I$2:$I$1960,MATCH(1709,'Transfer Engine'!$C$2:$C$1960,0)))</f>
        <v/>
      </c>
      <c r="J1718" s="8">
        <f>IF(ISNA(MATCH(1709,'Transfer Engine'!$C$2:$C$1960,0)),"",INDEX('Compliance Database'!$J$2:$J$1960,MATCH(1709,'Transfer Engine'!$C$2:$C$1960,0)))</f>
        <v/>
      </c>
      <c r="K1718" s="9">
        <f>IF(ISNA(MATCH(1709,'Transfer Engine'!$C$2:$C$1960,0)),"",INDEX('Compliance Database'!$K$2:$K$1960,MATCH(1709,'Transfer Engine'!$C$2:$C$1960,0)))</f>
        <v/>
      </c>
      <c r="L1718" s="9">
        <f>IF(ISNA(MATCH(1709,'Transfer Engine'!$C$2:$C$1960,0)),"",INDEX('Compliance Database'!$L$2:$L$1960,MATCH(1709,'Transfer Engine'!$C$2:$C$1960,0)))</f>
        <v/>
      </c>
      <c r="M1718" s="9">
        <f>IF(ISNA(MATCH(1709,'Transfer Engine'!$C$2:$C$1960,0)),"",INDEX('Compliance Database'!$M$2:$M$1960,MATCH(1709,'Transfer Engine'!$C$2:$C$1960,0)))</f>
        <v/>
      </c>
      <c r="N1718" s="9">
        <f>IF(ISNA(MATCH(1709,'Transfer Engine'!$C$2:$C$1960,0)),"",INDEX('Compliance Database'!$N$2:$N$1960,MATCH(1709,'Transfer Engine'!$C$2:$C$1960,0)))</f>
        <v/>
      </c>
      <c r="O1718" s="9">
        <f>IF(ISNA(MATCH(1709,'Transfer Engine'!$C$2:$C$1960,0)),"",INDEX('Compliance Database'!$O$2:$O$1960,MATCH(1709,'Transfer Engine'!$C$2:$C$1960,0)))</f>
        <v/>
      </c>
      <c r="P1718" s="8">
        <f>IF(ISNA(MATCH(1709,'Transfer Engine'!$C$2:$C$1960,0)),"",HYPERLINK("#Acts!A"&amp;INDEX('Compliance Database'!$P$2:$P$1960,MATCH(1709,'Transfer Engine'!$C$2:$C$1960,0)),"Go to Act"))</f>
        <v/>
      </c>
    </row>
    <row r="1719" ht="158" customHeight="1">
      <c r="A1719" s="8">
        <f>IF(ISNA(MATCH(1710,'Transfer Engine'!$C$2:$C$1960,0)),"",INDEX('Compliance Database'!$A$2:$A$1960,MATCH(1710,'Transfer Engine'!$C$2:$C$1960,0)))</f>
        <v/>
      </c>
      <c r="B1719" s="8">
        <f>IF(ISNA(MATCH(1710,'Transfer Engine'!$C$2:$C$1960,0)),"",INDEX('Compliance Database'!$B$2:$B$1960,MATCH(1710,'Transfer Engine'!$C$2:$C$1960,0)))</f>
        <v/>
      </c>
      <c r="C1719" s="8">
        <f>IF(ISNA(MATCH(1710,'Transfer Engine'!$C$2:$C$1960,0)),"",INDEX('Compliance Database'!$C$2:$C$1960,MATCH(1710,'Transfer Engine'!$C$2:$C$1960,0)))</f>
        <v/>
      </c>
      <c r="D1719" s="9">
        <f>IF(ISNA(MATCH(1710,'Transfer Engine'!$C$2:$C$1960,0)),"",INDEX('Compliance Database'!$D$2:$D$1960,MATCH(1710,'Transfer Engine'!$C$2:$C$1960,0)))</f>
        <v/>
      </c>
      <c r="E1719" s="8">
        <f>IF(ISNA(MATCH(1710,'Transfer Engine'!$C$2:$C$1960,0)),"",INDEX('Compliance Database'!$E$2:$E$1960,MATCH(1710,'Transfer Engine'!$C$2:$C$1960,0)))</f>
        <v/>
      </c>
      <c r="F1719" s="8">
        <f>IF(ISNA(MATCH(1710,'Transfer Engine'!$C$2:$C$1960,0)),"",INDEX('Compliance Database'!$F$2:$F$1960,MATCH(1710,'Transfer Engine'!$C$2:$C$1960,0)))</f>
        <v/>
      </c>
      <c r="G1719" s="8">
        <f>IF(ISNA(MATCH(1710,'Transfer Engine'!$C$2:$C$1960,0)),"",INDEX('Compliance Database'!$G$2:$G$1960,MATCH(1710,'Transfer Engine'!$C$2:$C$1960,0)))</f>
        <v/>
      </c>
      <c r="H1719" s="9">
        <f>IF(ISNA(MATCH(1710,'Transfer Engine'!$C$2:$C$1960,0)),"",INDEX('Compliance Database'!$H$2:$H$1960,MATCH(1710,'Transfer Engine'!$C$2:$C$1960,0)))</f>
        <v/>
      </c>
      <c r="I1719" s="9">
        <f>IF(ISNA(MATCH(1710,'Transfer Engine'!$C$2:$C$1960,0)),"",INDEX('Compliance Database'!$I$2:$I$1960,MATCH(1710,'Transfer Engine'!$C$2:$C$1960,0)))</f>
        <v/>
      </c>
      <c r="J1719" s="8">
        <f>IF(ISNA(MATCH(1710,'Transfer Engine'!$C$2:$C$1960,0)),"",INDEX('Compliance Database'!$J$2:$J$1960,MATCH(1710,'Transfer Engine'!$C$2:$C$1960,0)))</f>
        <v/>
      </c>
      <c r="K1719" s="9">
        <f>IF(ISNA(MATCH(1710,'Transfer Engine'!$C$2:$C$1960,0)),"",INDEX('Compliance Database'!$K$2:$K$1960,MATCH(1710,'Transfer Engine'!$C$2:$C$1960,0)))</f>
        <v/>
      </c>
      <c r="L1719" s="9">
        <f>IF(ISNA(MATCH(1710,'Transfer Engine'!$C$2:$C$1960,0)),"",INDEX('Compliance Database'!$L$2:$L$1960,MATCH(1710,'Transfer Engine'!$C$2:$C$1960,0)))</f>
        <v/>
      </c>
      <c r="M1719" s="9">
        <f>IF(ISNA(MATCH(1710,'Transfer Engine'!$C$2:$C$1960,0)),"",INDEX('Compliance Database'!$M$2:$M$1960,MATCH(1710,'Transfer Engine'!$C$2:$C$1960,0)))</f>
        <v/>
      </c>
      <c r="N1719" s="9">
        <f>IF(ISNA(MATCH(1710,'Transfer Engine'!$C$2:$C$1960,0)),"",INDEX('Compliance Database'!$N$2:$N$1960,MATCH(1710,'Transfer Engine'!$C$2:$C$1960,0)))</f>
        <v/>
      </c>
      <c r="O1719" s="9">
        <f>IF(ISNA(MATCH(1710,'Transfer Engine'!$C$2:$C$1960,0)),"",INDEX('Compliance Database'!$O$2:$O$1960,MATCH(1710,'Transfer Engine'!$C$2:$C$1960,0)))</f>
        <v/>
      </c>
      <c r="P1719" s="8">
        <f>IF(ISNA(MATCH(1710,'Transfer Engine'!$C$2:$C$1960,0)),"",HYPERLINK("#Acts!A"&amp;INDEX('Compliance Database'!$P$2:$P$1960,MATCH(1710,'Transfer Engine'!$C$2:$C$1960,0)),"Go to Act"))</f>
        <v/>
      </c>
    </row>
    <row r="1720" ht="158" customHeight="1">
      <c r="A1720" s="8">
        <f>IF(ISNA(MATCH(1711,'Transfer Engine'!$C$2:$C$1960,0)),"",INDEX('Compliance Database'!$A$2:$A$1960,MATCH(1711,'Transfer Engine'!$C$2:$C$1960,0)))</f>
        <v/>
      </c>
      <c r="B1720" s="8">
        <f>IF(ISNA(MATCH(1711,'Transfer Engine'!$C$2:$C$1960,0)),"",INDEX('Compliance Database'!$B$2:$B$1960,MATCH(1711,'Transfer Engine'!$C$2:$C$1960,0)))</f>
        <v/>
      </c>
      <c r="C1720" s="8">
        <f>IF(ISNA(MATCH(1711,'Transfer Engine'!$C$2:$C$1960,0)),"",INDEX('Compliance Database'!$C$2:$C$1960,MATCH(1711,'Transfer Engine'!$C$2:$C$1960,0)))</f>
        <v/>
      </c>
      <c r="D1720" s="9">
        <f>IF(ISNA(MATCH(1711,'Transfer Engine'!$C$2:$C$1960,0)),"",INDEX('Compliance Database'!$D$2:$D$1960,MATCH(1711,'Transfer Engine'!$C$2:$C$1960,0)))</f>
        <v/>
      </c>
      <c r="E1720" s="8">
        <f>IF(ISNA(MATCH(1711,'Transfer Engine'!$C$2:$C$1960,0)),"",INDEX('Compliance Database'!$E$2:$E$1960,MATCH(1711,'Transfer Engine'!$C$2:$C$1960,0)))</f>
        <v/>
      </c>
      <c r="F1720" s="8">
        <f>IF(ISNA(MATCH(1711,'Transfer Engine'!$C$2:$C$1960,0)),"",INDEX('Compliance Database'!$F$2:$F$1960,MATCH(1711,'Transfer Engine'!$C$2:$C$1960,0)))</f>
        <v/>
      </c>
      <c r="G1720" s="8">
        <f>IF(ISNA(MATCH(1711,'Transfer Engine'!$C$2:$C$1960,0)),"",INDEX('Compliance Database'!$G$2:$G$1960,MATCH(1711,'Transfer Engine'!$C$2:$C$1960,0)))</f>
        <v/>
      </c>
      <c r="H1720" s="9">
        <f>IF(ISNA(MATCH(1711,'Transfer Engine'!$C$2:$C$1960,0)),"",INDEX('Compliance Database'!$H$2:$H$1960,MATCH(1711,'Transfer Engine'!$C$2:$C$1960,0)))</f>
        <v/>
      </c>
      <c r="I1720" s="9">
        <f>IF(ISNA(MATCH(1711,'Transfer Engine'!$C$2:$C$1960,0)),"",INDEX('Compliance Database'!$I$2:$I$1960,MATCH(1711,'Transfer Engine'!$C$2:$C$1960,0)))</f>
        <v/>
      </c>
      <c r="J1720" s="8">
        <f>IF(ISNA(MATCH(1711,'Transfer Engine'!$C$2:$C$1960,0)),"",INDEX('Compliance Database'!$J$2:$J$1960,MATCH(1711,'Transfer Engine'!$C$2:$C$1960,0)))</f>
        <v/>
      </c>
      <c r="K1720" s="9">
        <f>IF(ISNA(MATCH(1711,'Transfer Engine'!$C$2:$C$1960,0)),"",INDEX('Compliance Database'!$K$2:$K$1960,MATCH(1711,'Transfer Engine'!$C$2:$C$1960,0)))</f>
        <v/>
      </c>
      <c r="L1720" s="9">
        <f>IF(ISNA(MATCH(1711,'Transfer Engine'!$C$2:$C$1960,0)),"",INDEX('Compliance Database'!$L$2:$L$1960,MATCH(1711,'Transfer Engine'!$C$2:$C$1960,0)))</f>
        <v/>
      </c>
      <c r="M1720" s="9">
        <f>IF(ISNA(MATCH(1711,'Transfer Engine'!$C$2:$C$1960,0)),"",INDEX('Compliance Database'!$M$2:$M$1960,MATCH(1711,'Transfer Engine'!$C$2:$C$1960,0)))</f>
        <v/>
      </c>
      <c r="N1720" s="9">
        <f>IF(ISNA(MATCH(1711,'Transfer Engine'!$C$2:$C$1960,0)),"",INDEX('Compliance Database'!$N$2:$N$1960,MATCH(1711,'Transfer Engine'!$C$2:$C$1960,0)))</f>
        <v/>
      </c>
      <c r="O1720" s="9">
        <f>IF(ISNA(MATCH(1711,'Transfer Engine'!$C$2:$C$1960,0)),"",INDEX('Compliance Database'!$O$2:$O$1960,MATCH(1711,'Transfer Engine'!$C$2:$C$1960,0)))</f>
        <v/>
      </c>
      <c r="P1720" s="8">
        <f>IF(ISNA(MATCH(1711,'Transfer Engine'!$C$2:$C$1960,0)),"",HYPERLINK("#Acts!A"&amp;INDEX('Compliance Database'!$P$2:$P$1960,MATCH(1711,'Transfer Engine'!$C$2:$C$1960,0)),"Go to Act"))</f>
        <v/>
      </c>
    </row>
    <row r="1721" ht="158" customHeight="1">
      <c r="A1721" s="8">
        <f>IF(ISNA(MATCH(1712,'Transfer Engine'!$C$2:$C$1960,0)),"",INDEX('Compliance Database'!$A$2:$A$1960,MATCH(1712,'Transfer Engine'!$C$2:$C$1960,0)))</f>
        <v/>
      </c>
      <c r="B1721" s="8">
        <f>IF(ISNA(MATCH(1712,'Transfer Engine'!$C$2:$C$1960,0)),"",INDEX('Compliance Database'!$B$2:$B$1960,MATCH(1712,'Transfer Engine'!$C$2:$C$1960,0)))</f>
        <v/>
      </c>
      <c r="C1721" s="8">
        <f>IF(ISNA(MATCH(1712,'Transfer Engine'!$C$2:$C$1960,0)),"",INDEX('Compliance Database'!$C$2:$C$1960,MATCH(1712,'Transfer Engine'!$C$2:$C$1960,0)))</f>
        <v/>
      </c>
      <c r="D1721" s="9">
        <f>IF(ISNA(MATCH(1712,'Transfer Engine'!$C$2:$C$1960,0)),"",INDEX('Compliance Database'!$D$2:$D$1960,MATCH(1712,'Transfer Engine'!$C$2:$C$1960,0)))</f>
        <v/>
      </c>
      <c r="E1721" s="8">
        <f>IF(ISNA(MATCH(1712,'Transfer Engine'!$C$2:$C$1960,0)),"",INDEX('Compliance Database'!$E$2:$E$1960,MATCH(1712,'Transfer Engine'!$C$2:$C$1960,0)))</f>
        <v/>
      </c>
      <c r="F1721" s="8">
        <f>IF(ISNA(MATCH(1712,'Transfer Engine'!$C$2:$C$1960,0)),"",INDEX('Compliance Database'!$F$2:$F$1960,MATCH(1712,'Transfer Engine'!$C$2:$C$1960,0)))</f>
        <v/>
      </c>
      <c r="G1721" s="8">
        <f>IF(ISNA(MATCH(1712,'Transfer Engine'!$C$2:$C$1960,0)),"",INDEX('Compliance Database'!$G$2:$G$1960,MATCH(1712,'Transfer Engine'!$C$2:$C$1960,0)))</f>
        <v/>
      </c>
      <c r="H1721" s="9">
        <f>IF(ISNA(MATCH(1712,'Transfer Engine'!$C$2:$C$1960,0)),"",INDEX('Compliance Database'!$H$2:$H$1960,MATCH(1712,'Transfer Engine'!$C$2:$C$1960,0)))</f>
        <v/>
      </c>
      <c r="I1721" s="9">
        <f>IF(ISNA(MATCH(1712,'Transfer Engine'!$C$2:$C$1960,0)),"",INDEX('Compliance Database'!$I$2:$I$1960,MATCH(1712,'Transfer Engine'!$C$2:$C$1960,0)))</f>
        <v/>
      </c>
      <c r="J1721" s="8">
        <f>IF(ISNA(MATCH(1712,'Transfer Engine'!$C$2:$C$1960,0)),"",INDEX('Compliance Database'!$J$2:$J$1960,MATCH(1712,'Transfer Engine'!$C$2:$C$1960,0)))</f>
        <v/>
      </c>
      <c r="K1721" s="9">
        <f>IF(ISNA(MATCH(1712,'Transfer Engine'!$C$2:$C$1960,0)),"",INDEX('Compliance Database'!$K$2:$K$1960,MATCH(1712,'Transfer Engine'!$C$2:$C$1960,0)))</f>
        <v/>
      </c>
      <c r="L1721" s="9">
        <f>IF(ISNA(MATCH(1712,'Transfer Engine'!$C$2:$C$1960,0)),"",INDEX('Compliance Database'!$L$2:$L$1960,MATCH(1712,'Transfer Engine'!$C$2:$C$1960,0)))</f>
        <v/>
      </c>
      <c r="M1721" s="9">
        <f>IF(ISNA(MATCH(1712,'Transfer Engine'!$C$2:$C$1960,0)),"",INDEX('Compliance Database'!$M$2:$M$1960,MATCH(1712,'Transfer Engine'!$C$2:$C$1960,0)))</f>
        <v/>
      </c>
      <c r="N1721" s="9">
        <f>IF(ISNA(MATCH(1712,'Transfer Engine'!$C$2:$C$1960,0)),"",INDEX('Compliance Database'!$N$2:$N$1960,MATCH(1712,'Transfer Engine'!$C$2:$C$1960,0)))</f>
        <v/>
      </c>
      <c r="O1721" s="9">
        <f>IF(ISNA(MATCH(1712,'Transfer Engine'!$C$2:$C$1960,0)),"",INDEX('Compliance Database'!$O$2:$O$1960,MATCH(1712,'Transfer Engine'!$C$2:$C$1960,0)))</f>
        <v/>
      </c>
      <c r="P1721" s="8">
        <f>IF(ISNA(MATCH(1712,'Transfer Engine'!$C$2:$C$1960,0)),"",HYPERLINK("#Acts!A"&amp;INDEX('Compliance Database'!$P$2:$P$1960,MATCH(1712,'Transfer Engine'!$C$2:$C$1960,0)),"Go to Act"))</f>
        <v/>
      </c>
    </row>
    <row r="1722" ht="158" customHeight="1">
      <c r="A1722" s="8">
        <f>IF(ISNA(MATCH(1713,'Transfer Engine'!$C$2:$C$1960,0)),"",INDEX('Compliance Database'!$A$2:$A$1960,MATCH(1713,'Transfer Engine'!$C$2:$C$1960,0)))</f>
        <v/>
      </c>
      <c r="B1722" s="8">
        <f>IF(ISNA(MATCH(1713,'Transfer Engine'!$C$2:$C$1960,0)),"",INDEX('Compliance Database'!$B$2:$B$1960,MATCH(1713,'Transfer Engine'!$C$2:$C$1960,0)))</f>
        <v/>
      </c>
      <c r="C1722" s="8">
        <f>IF(ISNA(MATCH(1713,'Transfer Engine'!$C$2:$C$1960,0)),"",INDEX('Compliance Database'!$C$2:$C$1960,MATCH(1713,'Transfer Engine'!$C$2:$C$1960,0)))</f>
        <v/>
      </c>
      <c r="D1722" s="9">
        <f>IF(ISNA(MATCH(1713,'Transfer Engine'!$C$2:$C$1960,0)),"",INDEX('Compliance Database'!$D$2:$D$1960,MATCH(1713,'Transfer Engine'!$C$2:$C$1960,0)))</f>
        <v/>
      </c>
      <c r="E1722" s="8">
        <f>IF(ISNA(MATCH(1713,'Transfer Engine'!$C$2:$C$1960,0)),"",INDEX('Compliance Database'!$E$2:$E$1960,MATCH(1713,'Transfer Engine'!$C$2:$C$1960,0)))</f>
        <v/>
      </c>
      <c r="F1722" s="8">
        <f>IF(ISNA(MATCH(1713,'Transfer Engine'!$C$2:$C$1960,0)),"",INDEX('Compliance Database'!$F$2:$F$1960,MATCH(1713,'Transfer Engine'!$C$2:$C$1960,0)))</f>
        <v/>
      </c>
      <c r="G1722" s="8">
        <f>IF(ISNA(MATCH(1713,'Transfer Engine'!$C$2:$C$1960,0)),"",INDEX('Compliance Database'!$G$2:$G$1960,MATCH(1713,'Transfer Engine'!$C$2:$C$1960,0)))</f>
        <v/>
      </c>
      <c r="H1722" s="9">
        <f>IF(ISNA(MATCH(1713,'Transfer Engine'!$C$2:$C$1960,0)),"",INDEX('Compliance Database'!$H$2:$H$1960,MATCH(1713,'Transfer Engine'!$C$2:$C$1960,0)))</f>
        <v/>
      </c>
      <c r="I1722" s="9">
        <f>IF(ISNA(MATCH(1713,'Transfer Engine'!$C$2:$C$1960,0)),"",INDEX('Compliance Database'!$I$2:$I$1960,MATCH(1713,'Transfer Engine'!$C$2:$C$1960,0)))</f>
        <v/>
      </c>
      <c r="J1722" s="8">
        <f>IF(ISNA(MATCH(1713,'Transfer Engine'!$C$2:$C$1960,0)),"",INDEX('Compliance Database'!$J$2:$J$1960,MATCH(1713,'Transfer Engine'!$C$2:$C$1960,0)))</f>
        <v/>
      </c>
      <c r="K1722" s="9">
        <f>IF(ISNA(MATCH(1713,'Transfer Engine'!$C$2:$C$1960,0)),"",INDEX('Compliance Database'!$K$2:$K$1960,MATCH(1713,'Transfer Engine'!$C$2:$C$1960,0)))</f>
        <v/>
      </c>
      <c r="L1722" s="9">
        <f>IF(ISNA(MATCH(1713,'Transfer Engine'!$C$2:$C$1960,0)),"",INDEX('Compliance Database'!$L$2:$L$1960,MATCH(1713,'Transfer Engine'!$C$2:$C$1960,0)))</f>
        <v/>
      </c>
      <c r="M1722" s="9">
        <f>IF(ISNA(MATCH(1713,'Transfer Engine'!$C$2:$C$1960,0)),"",INDEX('Compliance Database'!$M$2:$M$1960,MATCH(1713,'Transfer Engine'!$C$2:$C$1960,0)))</f>
        <v/>
      </c>
      <c r="N1722" s="9">
        <f>IF(ISNA(MATCH(1713,'Transfer Engine'!$C$2:$C$1960,0)),"",INDEX('Compliance Database'!$N$2:$N$1960,MATCH(1713,'Transfer Engine'!$C$2:$C$1960,0)))</f>
        <v/>
      </c>
      <c r="O1722" s="9">
        <f>IF(ISNA(MATCH(1713,'Transfer Engine'!$C$2:$C$1960,0)),"",INDEX('Compliance Database'!$O$2:$O$1960,MATCH(1713,'Transfer Engine'!$C$2:$C$1960,0)))</f>
        <v/>
      </c>
      <c r="P1722" s="8">
        <f>IF(ISNA(MATCH(1713,'Transfer Engine'!$C$2:$C$1960,0)),"",HYPERLINK("#Acts!A"&amp;INDEX('Compliance Database'!$P$2:$P$1960,MATCH(1713,'Transfer Engine'!$C$2:$C$1960,0)),"Go to Act"))</f>
        <v/>
      </c>
    </row>
    <row r="1723" ht="158" customHeight="1">
      <c r="A1723" s="8">
        <f>IF(ISNA(MATCH(1714,'Transfer Engine'!$C$2:$C$1960,0)),"",INDEX('Compliance Database'!$A$2:$A$1960,MATCH(1714,'Transfer Engine'!$C$2:$C$1960,0)))</f>
        <v/>
      </c>
      <c r="B1723" s="8">
        <f>IF(ISNA(MATCH(1714,'Transfer Engine'!$C$2:$C$1960,0)),"",INDEX('Compliance Database'!$B$2:$B$1960,MATCH(1714,'Transfer Engine'!$C$2:$C$1960,0)))</f>
        <v/>
      </c>
      <c r="C1723" s="8">
        <f>IF(ISNA(MATCH(1714,'Transfer Engine'!$C$2:$C$1960,0)),"",INDEX('Compliance Database'!$C$2:$C$1960,MATCH(1714,'Transfer Engine'!$C$2:$C$1960,0)))</f>
        <v/>
      </c>
      <c r="D1723" s="9">
        <f>IF(ISNA(MATCH(1714,'Transfer Engine'!$C$2:$C$1960,0)),"",INDEX('Compliance Database'!$D$2:$D$1960,MATCH(1714,'Transfer Engine'!$C$2:$C$1960,0)))</f>
        <v/>
      </c>
      <c r="E1723" s="8">
        <f>IF(ISNA(MATCH(1714,'Transfer Engine'!$C$2:$C$1960,0)),"",INDEX('Compliance Database'!$E$2:$E$1960,MATCH(1714,'Transfer Engine'!$C$2:$C$1960,0)))</f>
        <v/>
      </c>
      <c r="F1723" s="8">
        <f>IF(ISNA(MATCH(1714,'Transfer Engine'!$C$2:$C$1960,0)),"",INDEX('Compliance Database'!$F$2:$F$1960,MATCH(1714,'Transfer Engine'!$C$2:$C$1960,0)))</f>
        <v/>
      </c>
      <c r="G1723" s="8">
        <f>IF(ISNA(MATCH(1714,'Transfer Engine'!$C$2:$C$1960,0)),"",INDEX('Compliance Database'!$G$2:$G$1960,MATCH(1714,'Transfer Engine'!$C$2:$C$1960,0)))</f>
        <v/>
      </c>
      <c r="H1723" s="9">
        <f>IF(ISNA(MATCH(1714,'Transfer Engine'!$C$2:$C$1960,0)),"",INDEX('Compliance Database'!$H$2:$H$1960,MATCH(1714,'Transfer Engine'!$C$2:$C$1960,0)))</f>
        <v/>
      </c>
      <c r="I1723" s="9">
        <f>IF(ISNA(MATCH(1714,'Transfer Engine'!$C$2:$C$1960,0)),"",INDEX('Compliance Database'!$I$2:$I$1960,MATCH(1714,'Transfer Engine'!$C$2:$C$1960,0)))</f>
        <v/>
      </c>
      <c r="J1723" s="8">
        <f>IF(ISNA(MATCH(1714,'Transfer Engine'!$C$2:$C$1960,0)),"",INDEX('Compliance Database'!$J$2:$J$1960,MATCH(1714,'Transfer Engine'!$C$2:$C$1960,0)))</f>
        <v/>
      </c>
      <c r="K1723" s="9">
        <f>IF(ISNA(MATCH(1714,'Transfer Engine'!$C$2:$C$1960,0)),"",INDEX('Compliance Database'!$K$2:$K$1960,MATCH(1714,'Transfer Engine'!$C$2:$C$1960,0)))</f>
        <v/>
      </c>
      <c r="L1723" s="9">
        <f>IF(ISNA(MATCH(1714,'Transfer Engine'!$C$2:$C$1960,0)),"",INDEX('Compliance Database'!$L$2:$L$1960,MATCH(1714,'Transfer Engine'!$C$2:$C$1960,0)))</f>
        <v/>
      </c>
      <c r="M1723" s="9">
        <f>IF(ISNA(MATCH(1714,'Transfer Engine'!$C$2:$C$1960,0)),"",INDEX('Compliance Database'!$M$2:$M$1960,MATCH(1714,'Transfer Engine'!$C$2:$C$1960,0)))</f>
        <v/>
      </c>
      <c r="N1723" s="9">
        <f>IF(ISNA(MATCH(1714,'Transfer Engine'!$C$2:$C$1960,0)),"",INDEX('Compliance Database'!$N$2:$N$1960,MATCH(1714,'Transfer Engine'!$C$2:$C$1960,0)))</f>
        <v/>
      </c>
      <c r="O1723" s="9">
        <f>IF(ISNA(MATCH(1714,'Transfer Engine'!$C$2:$C$1960,0)),"",INDEX('Compliance Database'!$O$2:$O$1960,MATCH(1714,'Transfer Engine'!$C$2:$C$1960,0)))</f>
        <v/>
      </c>
      <c r="P1723" s="8">
        <f>IF(ISNA(MATCH(1714,'Transfer Engine'!$C$2:$C$1960,0)),"",HYPERLINK("#Acts!A"&amp;INDEX('Compliance Database'!$P$2:$P$1960,MATCH(1714,'Transfer Engine'!$C$2:$C$1960,0)),"Go to Act"))</f>
        <v/>
      </c>
    </row>
    <row r="1724" ht="158" customHeight="1">
      <c r="A1724" s="8">
        <f>IF(ISNA(MATCH(1715,'Transfer Engine'!$C$2:$C$1960,0)),"",INDEX('Compliance Database'!$A$2:$A$1960,MATCH(1715,'Transfer Engine'!$C$2:$C$1960,0)))</f>
        <v/>
      </c>
      <c r="B1724" s="8">
        <f>IF(ISNA(MATCH(1715,'Transfer Engine'!$C$2:$C$1960,0)),"",INDEX('Compliance Database'!$B$2:$B$1960,MATCH(1715,'Transfer Engine'!$C$2:$C$1960,0)))</f>
        <v/>
      </c>
      <c r="C1724" s="8">
        <f>IF(ISNA(MATCH(1715,'Transfer Engine'!$C$2:$C$1960,0)),"",INDEX('Compliance Database'!$C$2:$C$1960,MATCH(1715,'Transfer Engine'!$C$2:$C$1960,0)))</f>
        <v/>
      </c>
      <c r="D1724" s="9">
        <f>IF(ISNA(MATCH(1715,'Transfer Engine'!$C$2:$C$1960,0)),"",INDEX('Compliance Database'!$D$2:$D$1960,MATCH(1715,'Transfer Engine'!$C$2:$C$1960,0)))</f>
        <v/>
      </c>
      <c r="E1724" s="8">
        <f>IF(ISNA(MATCH(1715,'Transfer Engine'!$C$2:$C$1960,0)),"",INDEX('Compliance Database'!$E$2:$E$1960,MATCH(1715,'Transfer Engine'!$C$2:$C$1960,0)))</f>
        <v/>
      </c>
      <c r="F1724" s="8">
        <f>IF(ISNA(MATCH(1715,'Transfer Engine'!$C$2:$C$1960,0)),"",INDEX('Compliance Database'!$F$2:$F$1960,MATCH(1715,'Transfer Engine'!$C$2:$C$1960,0)))</f>
        <v/>
      </c>
      <c r="G1724" s="8">
        <f>IF(ISNA(MATCH(1715,'Transfer Engine'!$C$2:$C$1960,0)),"",INDEX('Compliance Database'!$G$2:$G$1960,MATCH(1715,'Transfer Engine'!$C$2:$C$1960,0)))</f>
        <v/>
      </c>
      <c r="H1724" s="9">
        <f>IF(ISNA(MATCH(1715,'Transfer Engine'!$C$2:$C$1960,0)),"",INDEX('Compliance Database'!$H$2:$H$1960,MATCH(1715,'Transfer Engine'!$C$2:$C$1960,0)))</f>
        <v/>
      </c>
      <c r="I1724" s="9">
        <f>IF(ISNA(MATCH(1715,'Transfer Engine'!$C$2:$C$1960,0)),"",INDEX('Compliance Database'!$I$2:$I$1960,MATCH(1715,'Transfer Engine'!$C$2:$C$1960,0)))</f>
        <v/>
      </c>
      <c r="J1724" s="8">
        <f>IF(ISNA(MATCH(1715,'Transfer Engine'!$C$2:$C$1960,0)),"",INDEX('Compliance Database'!$J$2:$J$1960,MATCH(1715,'Transfer Engine'!$C$2:$C$1960,0)))</f>
        <v/>
      </c>
      <c r="K1724" s="9">
        <f>IF(ISNA(MATCH(1715,'Transfer Engine'!$C$2:$C$1960,0)),"",INDEX('Compliance Database'!$K$2:$K$1960,MATCH(1715,'Transfer Engine'!$C$2:$C$1960,0)))</f>
        <v/>
      </c>
      <c r="L1724" s="9">
        <f>IF(ISNA(MATCH(1715,'Transfer Engine'!$C$2:$C$1960,0)),"",INDEX('Compliance Database'!$L$2:$L$1960,MATCH(1715,'Transfer Engine'!$C$2:$C$1960,0)))</f>
        <v/>
      </c>
      <c r="M1724" s="9">
        <f>IF(ISNA(MATCH(1715,'Transfer Engine'!$C$2:$C$1960,0)),"",INDEX('Compliance Database'!$M$2:$M$1960,MATCH(1715,'Transfer Engine'!$C$2:$C$1960,0)))</f>
        <v/>
      </c>
      <c r="N1724" s="9">
        <f>IF(ISNA(MATCH(1715,'Transfer Engine'!$C$2:$C$1960,0)),"",INDEX('Compliance Database'!$N$2:$N$1960,MATCH(1715,'Transfer Engine'!$C$2:$C$1960,0)))</f>
        <v/>
      </c>
      <c r="O1724" s="9">
        <f>IF(ISNA(MATCH(1715,'Transfer Engine'!$C$2:$C$1960,0)),"",INDEX('Compliance Database'!$O$2:$O$1960,MATCH(1715,'Transfer Engine'!$C$2:$C$1960,0)))</f>
        <v/>
      </c>
      <c r="P1724" s="8">
        <f>IF(ISNA(MATCH(1715,'Transfer Engine'!$C$2:$C$1960,0)),"",HYPERLINK("#Acts!A"&amp;INDEX('Compliance Database'!$P$2:$P$1960,MATCH(1715,'Transfer Engine'!$C$2:$C$1960,0)),"Go to Act"))</f>
        <v/>
      </c>
    </row>
    <row r="1725" ht="158" customHeight="1">
      <c r="A1725" s="8">
        <f>IF(ISNA(MATCH(1716,'Transfer Engine'!$C$2:$C$1960,0)),"",INDEX('Compliance Database'!$A$2:$A$1960,MATCH(1716,'Transfer Engine'!$C$2:$C$1960,0)))</f>
        <v/>
      </c>
      <c r="B1725" s="8">
        <f>IF(ISNA(MATCH(1716,'Transfer Engine'!$C$2:$C$1960,0)),"",INDEX('Compliance Database'!$B$2:$B$1960,MATCH(1716,'Transfer Engine'!$C$2:$C$1960,0)))</f>
        <v/>
      </c>
      <c r="C1725" s="8">
        <f>IF(ISNA(MATCH(1716,'Transfer Engine'!$C$2:$C$1960,0)),"",INDEX('Compliance Database'!$C$2:$C$1960,MATCH(1716,'Transfer Engine'!$C$2:$C$1960,0)))</f>
        <v/>
      </c>
      <c r="D1725" s="9">
        <f>IF(ISNA(MATCH(1716,'Transfer Engine'!$C$2:$C$1960,0)),"",INDEX('Compliance Database'!$D$2:$D$1960,MATCH(1716,'Transfer Engine'!$C$2:$C$1960,0)))</f>
        <v/>
      </c>
      <c r="E1725" s="8">
        <f>IF(ISNA(MATCH(1716,'Transfer Engine'!$C$2:$C$1960,0)),"",INDEX('Compliance Database'!$E$2:$E$1960,MATCH(1716,'Transfer Engine'!$C$2:$C$1960,0)))</f>
        <v/>
      </c>
      <c r="F1725" s="8">
        <f>IF(ISNA(MATCH(1716,'Transfer Engine'!$C$2:$C$1960,0)),"",INDEX('Compliance Database'!$F$2:$F$1960,MATCH(1716,'Transfer Engine'!$C$2:$C$1960,0)))</f>
        <v/>
      </c>
      <c r="G1725" s="8">
        <f>IF(ISNA(MATCH(1716,'Transfer Engine'!$C$2:$C$1960,0)),"",INDEX('Compliance Database'!$G$2:$G$1960,MATCH(1716,'Transfer Engine'!$C$2:$C$1960,0)))</f>
        <v/>
      </c>
      <c r="H1725" s="9">
        <f>IF(ISNA(MATCH(1716,'Transfer Engine'!$C$2:$C$1960,0)),"",INDEX('Compliance Database'!$H$2:$H$1960,MATCH(1716,'Transfer Engine'!$C$2:$C$1960,0)))</f>
        <v/>
      </c>
      <c r="I1725" s="9">
        <f>IF(ISNA(MATCH(1716,'Transfer Engine'!$C$2:$C$1960,0)),"",INDEX('Compliance Database'!$I$2:$I$1960,MATCH(1716,'Transfer Engine'!$C$2:$C$1960,0)))</f>
        <v/>
      </c>
      <c r="J1725" s="8">
        <f>IF(ISNA(MATCH(1716,'Transfer Engine'!$C$2:$C$1960,0)),"",INDEX('Compliance Database'!$J$2:$J$1960,MATCH(1716,'Transfer Engine'!$C$2:$C$1960,0)))</f>
        <v/>
      </c>
      <c r="K1725" s="9">
        <f>IF(ISNA(MATCH(1716,'Transfer Engine'!$C$2:$C$1960,0)),"",INDEX('Compliance Database'!$K$2:$K$1960,MATCH(1716,'Transfer Engine'!$C$2:$C$1960,0)))</f>
        <v/>
      </c>
      <c r="L1725" s="9">
        <f>IF(ISNA(MATCH(1716,'Transfer Engine'!$C$2:$C$1960,0)),"",INDEX('Compliance Database'!$L$2:$L$1960,MATCH(1716,'Transfer Engine'!$C$2:$C$1960,0)))</f>
        <v/>
      </c>
      <c r="M1725" s="9">
        <f>IF(ISNA(MATCH(1716,'Transfer Engine'!$C$2:$C$1960,0)),"",INDEX('Compliance Database'!$M$2:$M$1960,MATCH(1716,'Transfer Engine'!$C$2:$C$1960,0)))</f>
        <v/>
      </c>
      <c r="N1725" s="9">
        <f>IF(ISNA(MATCH(1716,'Transfer Engine'!$C$2:$C$1960,0)),"",INDEX('Compliance Database'!$N$2:$N$1960,MATCH(1716,'Transfer Engine'!$C$2:$C$1960,0)))</f>
        <v/>
      </c>
      <c r="O1725" s="9">
        <f>IF(ISNA(MATCH(1716,'Transfer Engine'!$C$2:$C$1960,0)),"",INDEX('Compliance Database'!$O$2:$O$1960,MATCH(1716,'Transfer Engine'!$C$2:$C$1960,0)))</f>
        <v/>
      </c>
      <c r="P1725" s="8">
        <f>IF(ISNA(MATCH(1716,'Transfer Engine'!$C$2:$C$1960,0)),"",HYPERLINK("#Acts!A"&amp;INDEX('Compliance Database'!$P$2:$P$1960,MATCH(1716,'Transfer Engine'!$C$2:$C$1960,0)),"Go to Act"))</f>
        <v/>
      </c>
    </row>
    <row r="1726" ht="158" customHeight="1">
      <c r="A1726" s="8">
        <f>IF(ISNA(MATCH(1717,'Transfer Engine'!$C$2:$C$1960,0)),"",INDEX('Compliance Database'!$A$2:$A$1960,MATCH(1717,'Transfer Engine'!$C$2:$C$1960,0)))</f>
        <v/>
      </c>
      <c r="B1726" s="8">
        <f>IF(ISNA(MATCH(1717,'Transfer Engine'!$C$2:$C$1960,0)),"",INDEX('Compliance Database'!$B$2:$B$1960,MATCH(1717,'Transfer Engine'!$C$2:$C$1960,0)))</f>
        <v/>
      </c>
      <c r="C1726" s="8">
        <f>IF(ISNA(MATCH(1717,'Transfer Engine'!$C$2:$C$1960,0)),"",INDEX('Compliance Database'!$C$2:$C$1960,MATCH(1717,'Transfer Engine'!$C$2:$C$1960,0)))</f>
        <v/>
      </c>
      <c r="D1726" s="9">
        <f>IF(ISNA(MATCH(1717,'Transfer Engine'!$C$2:$C$1960,0)),"",INDEX('Compliance Database'!$D$2:$D$1960,MATCH(1717,'Transfer Engine'!$C$2:$C$1960,0)))</f>
        <v/>
      </c>
      <c r="E1726" s="8">
        <f>IF(ISNA(MATCH(1717,'Transfer Engine'!$C$2:$C$1960,0)),"",INDEX('Compliance Database'!$E$2:$E$1960,MATCH(1717,'Transfer Engine'!$C$2:$C$1960,0)))</f>
        <v/>
      </c>
      <c r="F1726" s="8">
        <f>IF(ISNA(MATCH(1717,'Transfer Engine'!$C$2:$C$1960,0)),"",INDEX('Compliance Database'!$F$2:$F$1960,MATCH(1717,'Transfer Engine'!$C$2:$C$1960,0)))</f>
        <v/>
      </c>
      <c r="G1726" s="8">
        <f>IF(ISNA(MATCH(1717,'Transfer Engine'!$C$2:$C$1960,0)),"",INDEX('Compliance Database'!$G$2:$G$1960,MATCH(1717,'Transfer Engine'!$C$2:$C$1960,0)))</f>
        <v/>
      </c>
      <c r="H1726" s="9">
        <f>IF(ISNA(MATCH(1717,'Transfer Engine'!$C$2:$C$1960,0)),"",INDEX('Compliance Database'!$H$2:$H$1960,MATCH(1717,'Transfer Engine'!$C$2:$C$1960,0)))</f>
        <v/>
      </c>
      <c r="I1726" s="9">
        <f>IF(ISNA(MATCH(1717,'Transfer Engine'!$C$2:$C$1960,0)),"",INDEX('Compliance Database'!$I$2:$I$1960,MATCH(1717,'Transfer Engine'!$C$2:$C$1960,0)))</f>
        <v/>
      </c>
      <c r="J1726" s="8">
        <f>IF(ISNA(MATCH(1717,'Transfer Engine'!$C$2:$C$1960,0)),"",INDEX('Compliance Database'!$J$2:$J$1960,MATCH(1717,'Transfer Engine'!$C$2:$C$1960,0)))</f>
        <v/>
      </c>
      <c r="K1726" s="9">
        <f>IF(ISNA(MATCH(1717,'Transfer Engine'!$C$2:$C$1960,0)),"",INDEX('Compliance Database'!$K$2:$K$1960,MATCH(1717,'Transfer Engine'!$C$2:$C$1960,0)))</f>
        <v/>
      </c>
      <c r="L1726" s="9">
        <f>IF(ISNA(MATCH(1717,'Transfer Engine'!$C$2:$C$1960,0)),"",INDEX('Compliance Database'!$L$2:$L$1960,MATCH(1717,'Transfer Engine'!$C$2:$C$1960,0)))</f>
        <v/>
      </c>
      <c r="M1726" s="9">
        <f>IF(ISNA(MATCH(1717,'Transfer Engine'!$C$2:$C$1960,0)),"",INDEX('Compliance Database'!$M$2:$M$1960,MATCH(1717,'Transfer Engine'!$C$2:$C$1960,0)))</f>
        <v/>
      </c>
      <c r="N1726" s="9">
        <f>IF(ISNA(MATCH(1717,'Transfer Engine'!$C$2:$C$1960,0)),"",INDEX('Compliance Database'!$N$2:$N$1960,MATCH(1717,'Transfer Engine'!$C$2:$C$1960,0)))</f>
        <v/>
      </c>
      <c r="O1726" s="9">
        <f>IF(ISNA(MATCH(1717,'Transfer Engine'!$C$2:$C$1960,0)),"",INDEX('Compliance Database'!$O$2:$O$1960,MATCH(1717,'Transfer Engine'!$C$2:$C$1960,0)))</f>
        <v/>
      </c>
      <c r="P1726" s="8">
        <f>IF(ISNA(MATCH(1717,'Transfer Engine'!$C$2:$C$1960,0)),"",HYPERLINK("#Acts!A"&amp;INDEX('Compliance Database'!$P$2:$P$1960,MATCH(1717,'Transfer Engine'!$C$2:$C$1960,0)),"Go to Act"))</f>
        <v/>
      </c>
    </row>
    <row r="1727" ht="158" customHeight="1">
      <c r="A1727" s="8">
        <f>IF(ISNA(MATCH(1718,'Transfer Engine'!$C$2:$C$1960,0)),"",INDEX('Compliance Database'!$A$2:$A$1960,MATCH(1718,'Transfer Engine'!$C$2:$C$1960,0)))</f>
        <v/>
      </c>
      <c r="B1727" s="8">
        <f>IF(ISNA(MATCH(1718,'Transfer Engine'!$C$2:$C$1960,0)),"",INDEX('Compliance Database'!$B$2:$B$1960,MATCH(1718,'Transfer Engine'!$C$2:$C$1960,0)))</f>
        <v/>
      </c>
      <c r="C1727" s="8">
        <f>IF(ISNA(MATCH(1718,'Transfer Engine'!$C$2:$C$1960,0)),"",INDEX('Compliance Database'!$C$2:$C$1960,MATCH(1718,'Transfer Engine'!$C$2:$C$1960,0)))</f>
        <v/>
      </c>
      <c r="D1727" s="9">
        <f>IF(ISNA(MATCH(1718,'Transfer Engine'!$C$2:$C$1960,0)),"",INDEX('Compliance Database'!$D$2:$D$1960,MATCH(1718,'Transfer Engine'!$C$2:$C$1960,0)))</f>
        <v/>
      </c>
      <c r="E1727" s="8">
        <f>IF(ISNA(MATCH(1718,'Transfer Engine'!$C$2:$C$1960,0)),"",INDEX('Compliance Database'!$E$2:$E$1960,MATCH(1718,'Transfer Engine'!$C$2:$C$1960,0)))</f>
        <v/>
      </c>
      <c r="F1727" s="8">
        <f>IF(ISNA(MATCH(1718,'Transfer Engine'!$C$2:$C$1960,0)),"",INDEX('Compliance Database'!$F$2:$F$1960,MATCH(1718,'Transfer Engine'!$C$2:$C$1960,0)))</f>
        <v/>
      </c>
      <c r="G1727" s="8">
        <f>IF(ISNA(MATCH(1718,'Transfer Engine'!$C$2:$C$1960,0)),"",INDEX('Compliance Database'!$G$2:$G$1960,MATCH(1718,'Transfer Engine'!$C$2:$C$1960,0)))</f>
        <v/>
      </c>
      <c r="H1727" s="9">
        <f>IF(ISNA(MATCH(1718,'Transfer Engine'!$C$2:$C$1960,0)),"",INDEX('Compliance Database'!$H$2:$H$1960,MATCH(1718,'Transfer Engine'!$C$2:$C$1960,0)))</f>
        <v/>
      </c>
      <c r="I1727" s="9">
        <f>IF(ISNA(MATCH(1718,'Transfer Engine'!$C$2:$C$1960,0)),"",INDEX('Compliance Database'!$I$2:$I$1960,MATCH(1718,'Transfer Engine'!$C$2:$C$1960,0)))</f>
        <v/>
      </c>
      <c r="J1727" s="8">
        <f>IF(ISNA(MATCH(1718,'Transfer Engine'!$C$2:$C$1960,0)),"",INDEX('Compliance Database'!$J$2:$J$1960,MATCH(1718,'Transfer Engine'!$C$2:$C$1960,0)))</f>
        <v/>
      </c>
      <c r="K1727" s="9">
        <f>IF(ISNA(MATCH(1718,'Transfer Engine'!$C$2:$C$1960,0)),"",INDEX('Compliance Database'!$K$2:$K$1960,MATCH(1718,'Transfer Engine'!$C$2:$C$1960,0)))</f>
        <v/>
      </c>
      <c r="L1727" s="9">
        <f>IF(ISNA(MATCH(1718,'Transfer Engine'!$C$2:$C$1960,0)),"",INDEX('Compliance Database'!$L$2:$L$1960,MATCH(1718,'Transfer Engine'!$C$2:$C$1960,0)))</f>
        <v/>
      </c>
      <c r="M1727" s="9">
        <f>IF(ISNA(MATCH(1718,'Transfer Engine'!$C$2:$C$1960,0)),"",INDEX('Compliance Database'!$M$2:$M$1960,MATCH(1718,'Transfer Engine'!$C$2:$C$1960,0)))</f>
        <v/>
      </c>
      <c r="N1727" s="9">
        <f>IF(ISNA(MATCH(1718,'Transfer Engine'!$C$2:$C$1960,0)),"",INDEX('Compliance Database'!$N$2:$N$1960,MATCH(1718,'Transfer Engine'!$C$2:$C$1960,0)))</f>
        <v/>
      </c>
      <c r="O1727" s="9">
        <f>IF(ISNA(MATCH(1718,'Transfer Engine'!$C$2:$C$1960,0)),"",INDEX('Compliance Database'!$O$2:$O$1960,MATCH(1718,'Transfer Engine'!$C$2:$C$1960,0)))</f>
        <v/>
      </c>
      <c r="P1727" s="8">
        <f>IF(ISNA(MATCH(1718,'Transfer Engine'!$C$2:$C$1960,0)),"",HYPERLINK("#Acts!A"&amp;INDEX('Compliance Database'!$P$2:$P$1960,MATCH(1718,'Transfer Engine'!$C$2:$C$1960,0)),"Go to Act"))</f>
        <v/>
      </c>
    </row>
    <row r="1728" ht="158" customHeight="1">
      <c r="A1728" s="8">
        <f>IF(ISNA(MATCH(1719,'Transfer Engine'!$C$2:$C$1960,0)),"",INDEX('Compliance Database'!$A$2:$A$1960,MATCH(1719,'Transfer Engine'!$C$2:$C$1960,0)))</f>
        <v/>
      </c>
      <c r="B1728" s="8">
        <f>IF(ISNA(MATCH(1719,'Transfer Engine'!$C$2:$C$1960,0)),"",INDEX('Compliance Database'!$B$2:$B$1960,MATCH(1719,'Transfer Engine'!$C$2:$C$1960,0)))</f>
        <v/>
      </c>
      <c r="C1728" s="8">
        <f>IF(ISNA(MATCH(1719,'Transfer Engine'!$C$2:$C$1960,0)),"",INDEX('Compliance Database'!$C$2:$C$1960,MATCH(1719,'Transfer Engine'!$C$2:$C$1960,0)))</f>
        <v/>
      </c>
      <c r="D1728" s="9">
        <f>IF(ISNA(MATCH(1719,'Transfer Engine'!$C$2:$C$1960,0)),"",INDEX('Compliance Database'!$D$2:$D$1960,MATCH(1719,'Transfer Engine'!$C$2:$C$1960,0)))</f>
        <v/>
      </c>
      <c r="E1728" s="8">
        <f>IF(ISNA(MATCH(1719,'Transfer Engine'!$C$2:$C$1960,0)),"",INDEX('Compliance Database'!$E$2:$E$1960,MATCH(1719,'Transfer Engine'!$C$2:$C$1960,0)))</f>
        <v/>
      </c>
      <c r="F1728" s="8">
        <f>IF(ISNA(MATCH(1719,'Transfer Engine'!$C$2:$C$1960,0)),"",INDEX('Compliance Database'!$F$2:$F$1960,MATCH(1719,'Transfer Engine'!$C$2:$C$1960,0)))</f>
        <v/>
      </c>
      <c r="G1728" s="8">
        <f>IF(ISNA(MATCH(1719,'Transfer Engine'!$C$2:$C$1960,0)),"",INDEX('Compliance Database'!$G$2:$G$1960,MATCH(1719,'Transfer Engine'!$C$2:$C$1960,0)))</f>
        <v/>
      </c>
      <c r="H1728" s="9">
        <f>IF(ISNA(MATCH(1719,'Transfer Engine'!$C$2:$C$1960,0)),"",INDEX('Compliance Database'!$H$2:$H$1960,MATCH(1719,'Transfer Engine'!$C$2:$C$1960,0)))</f>
        <v/>
      </c>
      <c r="I1728" s="9">
        <f>IF(ISNA(MATCH(1719,'Transfer Engine'!$C$2:$C$1960,0)),"",INDEX('Compliance Database'!$I$2:$I$1960,MATCH(1719,'Transfer Engine'!$C$2:$C$1960,0)))</f>
        <v/>
      </c>
      <c r="J1728" s="8">
        <f>IF(ISNA(MATCH(1719,'Transfer Engine'!$C$2:$C$1960,0)),"",INDEX('Compliance Database'!$J$2:$J$1960,MATCH(1719,'Transfer Engine'!$C$2:$C$1960,0)))</f>
        <v/>
      </c>
      <c r="K1728" s="9">
        <f>IF(ISNA(MATCH(1719,'Transfer Engine'!$C$2:$C$1960,0)),"",INDEX('Compliance Database'!$K$2:$K$1960,MATCH(1719,'Transfer Engine'!$C$2:$C$1960,0)))</f>
        <v/>
      </c>
      <c r="L1728" s="9">
        <f>IF(ISNA(MATCH(1719,'Transfer Engine'!$C$2:$C$1960,0)),"",INDEX('Compliance Database'!$L$2:$L$1960,MATCH(1719,'Transfer Engine'!$C$2:$C$1960,0)))</f>
        <v/>
      </c>
      <c r="M1728" s="9">
        <f>IF(ISNA(MATCH(1719,'Transfer Engine'!$C$2:$C$1960,0)),"",INDEX('Compliance Database'!$M$2:$M$1960,MATCH(1719,'Transfer Engine'!$C$2:$C$1960,0)))</f>
        <v/>
      </c>
      <c r="N1728" s="9">
        <f>IF(ISNA(MATCH(1719,'Transfer Engine'!$C$2:$C$1960,0)),"",INDEX('Compliance Database'!$N$2:$N$1960,MATCH(1719,'Transfer Engine'!$C$2:$C$1960,0)))</f>
        <v/>
      </c>
      <c r="O1728" s="9">
        <f>IF(ISNA(MATCH(1719,'Transfer Engine'!$C$2:$C$1960,0)),"",INDEX('Compliance Database'!$O$2:$O$1960,MATCH(1719,'Transfer Engine'!$C$2:$C$1960,0)))</f>
        <v/>
      </c>
      <c r="P1728" s="8">
        <f>IF(ISNA(MATCH(1719,'Transfer Engine'!$C$2:$C$1960,0)),"",HYPERLINK("#Acts!A"&amp;INDEX('Compliance Database'!$P$2:$P$1960,MATCH(1719,'Transfer Engine'!$C$2:$C$1960,0)),"Go to Act"))</f>
        <v/>
      </c>
    </row>
    <row r="1729" ht="158" customHeight="1">
      <c r="A1729" s="8">
        <f>IF(ISNA(MATCH(1720,'Transfer Engine'!$C$2:$C$1960,0)),"",INDEX('Compliance Database'!$A$2:$A$1960,MATCH(1720,'Transfer Engine'!$C$2:$C$1960,0)))</f>
        <v/>
      </c>
      <c r="B1729" s="8">
        <f>IF(ISNA(MATCH(1720,'Transfer Engine'!$C$2:$C$1960,0)),"",INDEX('Compliance Database'!$B$2:$B$1960,MATCH(1720,'Transfer Engine'!$C$2:$C$1960,0)))</f>
        <v/>
      </c>
      <c r="C1729" s="8">
        <f>IF(ISNA(MATCH(1720,'Transfer Engine'!$C$2:$C$1960,0)),"",INDEX('Compliance Database'!$C$2:$C$1960,MATCH(1720,'Transfer Engine'!$C$2:$C$1960,0)))</f>
        <v/>
      </c>
      <c r="D1729" s="9">
        <f>IF(ISNA(MATCH(1720,'Transfer Engine'!$C$2:$C$1960,0)),"",INDEX('Compliance Database'!$D$2:$D$1960,MATCH(1720,'Transfer Engine'!$C$2:$C$1960,0)))</f>
        <v/>
      </c>
      <c r="E1729" s="8">
        <f>IF(ISNA(MATCH(1720,'Transfer Engine'!$C$2:$C$1960,0)),"",INDEX('Compliance Database'!$E$2:$E$1960,MATCH(1720,'Transfer Engine'!$C$2:$C$1960,0)))</f>
        <v/>
      </c>
      <c r="F1729" s="8">
        <f>IF(ISNA(MATCH(1720,'Transfer Engine'!$C$2:$C$1960,0)),"",INDEX('Compliance Database'!$F$2:$F$1960,MATCH(1720,'Transfer Engine'!$C$2:$C$1960,0)))</f>
        <v/>
      </c>
      <c r="G1729" s="8">
        <f>IF(ISNA(MATCH(1720,'Transfer Engine'!$C$2:$C$1960,0)),"",INDEX('Compliance Database'!$G$2:$G$1960,MATCH(1720,'Transfer Engine'!$C$2:$C$1960,0)))</f>
        <v/>
      </c>
      <c r="H1729" s="9">
        <f>IF(ISNA(MATCH(1720,'Transfer Engine'!$C$2:$C$1960,0)),"",INDEX('Compliance Database'!$H$2:$H$1960,MATCH(1720,'Transfer Engine'!$C$2:$C$1960,0)))</f>
        <v/>
      </c>
      <c r="I1729" s="9">
        <f>IF(ISNA(MATCH(1720,'Transfer Engine'!$C$2:$C$1960,0)),"",INDEX('Compliance Database'!$I$2:$I$1960,MATCH(1720,'Transfer Engine'!$C$2:$C$1960,0)))</f>
        <v/>
      </c>
      <c r="J1729" s="8">
        <f>IF(ISNA(MATCH(1720,'Transfer Engine'!$C$2:$C$1960,0)),"",INDEX('Compliance Database'!$J$2:$J$1960,MATCH(1720,'Transfer Engine'!$C$2:$C$1960,0)))</f>
        <v/>
      </c>
      <c r="K1729" s="9">
        <f>IF(ISNA(MATCH(1720,'Transfer Engine'!$C$2:$C$1960,0)),"",INDEX('Compliance Database'!$K$2:$K$1960,MATCH(1720,'Transfer Engine'!$C$2:$C$1960,0)))</f>
        <v/>
      </c>
      <c r="L1729" s="9">
        <f>IF(ISNA(MATCH(1720,'Transfer Engine'!$C$2:$C$1960,0)),"",INDEX('Compliance Database'!$L$2:$L$1960,MATCH(1720,'Transfer Engine'!$C$2:$C$1960,0)))</f>
        <v/>
      </c>
      <c r="M1729" s="9">
        <f>IF(ISNA(MATCH(1720,'Transfer Engine'!$C$2:$C$1960,0)),"",INDEX('Compliance Database'!$M$2:$M$1960,MATCH(1720,'Transfer Engine'!$C$2:$C$1960,0)))</f>
        <v/>
      </c>
      <c r="N1729" s="9">
        <f>IF(ISNA(MATCH(1720,'Transfer Engine'!$C$2:$C$1960,0)),"",INDEX('Compliance Database'!$N$2:$N$1960,MATCH(1720,'Transfer Engine'!$C$2:$C$1960,0)))</f>
        <v/>
      </c>
      <c r="O1729" s="9">
        <f>IF(ISNA(MATCH(1720,'Transfer Engine'!$C$2:$C$1960,0)),"",INDEX('Compliance Database'!$O$2:$O$1960,MATCH(1720,'Transfer Engine'!$C$2:$C$1960,0)))</f>
        <v/>
      </c>
      <c r="P1729" s="8">
        <f>IF(ISNA(MATCH(1720,'Transfer Engine'!$C$2:$C$1960,0)),"",HYPERLINK("#Acts!A"&amp;INDEX('Compliance Database'!$P$2:$P$1960,MATCH(1720,'Transfer Engine'!$C$2:$C$1960,0)),"Go to Act"))</f>
        <v/>
      </c>
    </row>
    <row r="1730" ht="158" customHeight="1">
      <c r="A1730" s="8">
        <f>IF(ISNA(MATCH(1721,'Transfer Engine'!$C$2:$C$1960,0)),"",INDEX('Compliance Database'!$A$2:$A$1960,MATCH(1721,'Transfer Engine'!$C$2:$C$1960,0)))</f>
        <v/>
      </c>
      <c r="B1730" s="8">
        <f>IF(ISNA(MATCH(1721,'Transfer Engine'!$C$2:$C$1960,0)),"",INDEX('Compliance Database'!$B$2:$B$1960,MATCH(1721,'Transfer Engine'!$C$2:$C$1960,0)))</f>
        <v/>
      </c>
      <c r="C1730" s="8">
        <f>IF(ISNA(MATCH(1721,'Transfer Engine'!$C$2:$C$1960,0)),"",INDEX('Compliance Database'!$C$2:$C$1960,MATCH(1721,'Transfer Engine'!$C$2:$C$1960,0)))</f>
        <v/>
      </c>
      <c r="D1730" s="9">
        <f>IF(ISNA(MATCH(1721,'Transfer Engine'!$C$2:$C$1960,0)),"",INDEX('Compliance Database'!$D$2:$D$1960,MATCH(1721,'Transfer Engine'!$C$2:$C$1960,0)))</f>
        <v/>
      </c>
      <c r="E1730" s="8">
        <f>IF(ISNA(MATCH(1721,'Transfer Engine'!$C$2:$C$1960,0)),"",INDEX('Compliance Database'!$E$2:$E$1960,MATCH(1721,'Transfer Engine'!$C$2:$C$1960,0)))</f>
        <v/>
      </c>
      <c r="F1730" s="8">
        <f>IF(ISNA(MATCH(1721,'Transfer Engine'!$C$2:$C$1960,0)),"",INDEX('Compliance Database'!$F$2:$F$1960,MATCH(1721,'Transfer Engine'!$C$2:$C$1960,0)))</f>
        <v/>
      </c>
      <c r="G1730" s="8">
        <f>IF(ISNA(MATCH(1721,'Transfer Engine'!$C$2:$C$1960,0)),"",INDEX('Compliance Database'!$G$2:$G$1960,MATCH(1721,'Transfer Engine'!$C$2:$C$1960,0)))</f>
        <v/>
      </c>
      <c r="H1730" s="9">
        <f>IF(ISNA(MATCH(1721,'Transfer Engine'!$C$2:$C$1960,0)),"",INDEX('Compliance Database'!$H$2:$H$1960,MATCH(1721,'Transfer Engine'!$C$2:$C$1960,0)))</f>
        <v/>
      </c>
      <c r="I1730" s="9">
        <f>IF(ISNA(MATCH(1721,'Transfer Engine'!$C$2:$C$1960,0)),"",INDEX('Compliance Database'!$I$2:$I$1960,MATCH(1721,'Transfer Engine'!$C$2:$C$1960,0)))</f>
        <v/>
      </c>
      <c r="J1730" s="8">
        <f>IF(ISNA(MATCH(1721,'Transfer Engine'!$C$2:$C$1960,0)),"",INDEX('Compliance Database'!$J$2:$J$1960,MATCH(1721,'Transfer Engine'!$C$2:$C$1960,0)))</f>
        <v/>
      </c>
      <c r="K1730" s="9">
        <f>IF(ISNA(MATCH(1721,'Transfer Engine'!$C$2:$C$1960,0)),"",INDEX('Compliance Database'!$K$2:$K$1960,MATCH(1721,'Transfer Engine'!$C$2:$C$1960,0)))</f>
        <v/>
      </c>
      <c r="L1730" s="9">
        <f>IF(ISNA(MATCH(1721,'Transfer Engine'!$C$2:$C$1960,0)),"",INDEX('Compliance Database'!$L$2:$L$1960,MATCH(1721,'Transfer Engine'!$C$2:$C$1960,0)))</f>
        <v/>
      </c>
      <c r="M1730" s="9">
        <f>IF(ISNA(MATCH(1721,'Transfer Engine'!$C$2:$C$1960,0)),"",INDEX('Compliance Database'!$M$2:$M$1960,MATCH(1721,'Transfer Engine'!$C$2:$C$1960,0)))</f>
        <v/>
      </c>
      <c r="N1730" s="9">
        <f>IF(ISNA(MATCH(1721,'Transfer Engine'!$C$2:$C$1960,0)),"",INDEX('Compliance Database'!$N$2:$N$1960,MATCH(1721,'Transfer Engine'!$C$2:$C$1960,0)))</f>
        <v/>
      </c>
      <c r="O1730" s="9">
        <f>IF(ISNA(MATCH(1721,'Transfer Engine'!$C$2:$C$1960,0)),"",INDEX('Compliance Database'!$O$2:$O$1960,MATCH(1721,'Transfer Engine'!$C$2:$C$1960,0)))</f>
        <v/>
      </c>
      <c r="P1730" s="8">
        <f>IF(ISNA(MATCH(1721,'Transfer Engine'!$C$2:$C$1960,0)),"",HYPERLINK("#Acts!A"&amp;INDEX('Compliance Database'!$P$2:$P$1960,MATCH(1721,'Transfer Engine'!$C$2:$C$1960,0)),"Go to Act"))</f>
        <v/>
      </c>
    </row>
    <row r="1731" ht="158" customHeight="1">
      <c r="A1731" s="8">
        <f>IF(ISNA(MATCH(1722,'Transfer Engine'!$C$2:$C$1960,0)),"",INDEX('Compliance Database'!$A$2:$A$1960,MATCH(1722,'Transfer Engine'!$C$2:$C$1960,0)))</f>
        <v/>
      </c>
      <c r="B1731" s="8">
        <f>IF(ISNA(MATCH(1722,'Transfer Engine'!$C$2:$C$1960,0)),"",INDEX('Compliance Database'!$B$2:$B$1960,MATCH(1722,'Transfer Engine'!$C$2:$C$1960,0)))</f>
        <v/>
      </c>
      <c r="C1731" s="8">
        <f>IF(ISNA(MATCH(1722,'Transfer Engine'!$C$2:$C$1960,0)),"",INDEX('Compliance Database'!$C$2:$C$1960,MATCH(1722,'Transfer Engine'!$C$2:$C$1960,0)))</f>
        <v/>
      </c>
      <c r="D1731" s="9">
        <f>IF(ISNA(MATCH(1722,'Transfer Engine'!$C$2:$C$1960,0)),"",INDEX('Compliance Database'!$D$2:$D$1960,MATCH(1722,'Transfer Engine'!$C$2:$C$1960,0)))</f>
        <v/>
      </c>
      <c r="E1731" s="8">
        <f>IF(ISNA(MATCH(1722,'Transfer Engine'!$C$2:$C$1960,0)),"",INDEX('Compliance Database'!$E$2:$E$1960,MATCH(1722,'Transfer Engine'!$C$2:$C$1960,0)))</f>
        <v/>
      </c>
      <c r="F1731" s="8">
        <f>IF(ISNA(MATCH(1722,'Transfer Engine'!$C$2:$C$1960,0)),"",INDEX('Compliance Database'!$F$2:$F$1960,MATCH(1722,'Transfer Engine'!$C$2:$C$1960,0)))</f>
        <v/>
      </c>
      <c r="G1731" s="8">
        <f>IF(ISNA(MATCH(1722,'Transfer Engine'!$C$2:$C$1960,0)),"",INDEX('Compliance Database'!$G$2:$G$1960,MATCH(1722,'Transfer Engine'!$C$2:$C$1960,0)))</f>
        <v/>
      </c>
      <c r="H1731" s="9">
        <f>IF(ISNA(MATCH(1722,'Transfer Engine'!$C$2:$C$1960,0)),"",INDEX('Compliance Database'!$H$2:$H$1960,MATCH(1722,'Transfer Engine'!$C$2:$C$1960,0)))</f>
        <v/>
      </c>
      <c r="I1731" s="9">
        <f>IF(ISNA(MATCH(1722,'Transfer Engine'!$C$2:$C$1960,0)),"",INDEX('Compliance Database'!$I$2:$I$1960,MATCH(1722,'Transfer Engine'!$C$2:$C$1960,0)))</f>
        <v/>
      </c>
      <c r="J1731" s="8">
        <f>IF(ISNA(MATCH(1722,'Transfer Engine'!$C$2:$C$1960,0)),"",INDEX('Compliance Database'!$J$2:$J$1960,MATCH(1722,'Transfer Engine'!$C$2:$C$1960,0)))</f>
        <v/>
      </c>
      <c r="K1731" s="9">
        <f>IF(ISNA(MATCH(1722,'Transfer Engine'!$C$2:$C$1960,0)),"",INDEX('Compliance Database'!$K$2:$K$1960,MATCH(1722,'Transfer Engine'!$C$2:$C$1960,0)))</f>
        <v/>
      </c>
      <c r="L1731" s="9">
        <f>IF(ISNA(MATCH(1722,'Transfer Engine'!$C$2:$C$1960,0)),"",INDEX('Compliance Database'!$L$2:$L$1960,MATCH(1722,'Transfer Engine'!$C$2:$C$1960,0)))</f>
        <v/>
      </c>
      <c r="M1731" s="9">
        <f>IF(ISNA(MATCH(1722,'Transfer Engine'!$C$2:$C$1960,0)),"",INDEX('Compliance Database'!$M$2:$M$1960,MATCH(1722,'Transfer Engine'!$C$2:$C$1960,0)))</f>
        <v/>
      </c>
      <c r="N1731" s="9">
        <f>IF(ISNA(MATCH(1722,'Transfer Engine'!$C$2:$C$1960,0)),"",INDEX('Compliance Database'!$N$2:$N$1960,MATCH(1722,'Transfer Engine'!$C$2:$C$1960,0)))</f>
        <v/>
      </c>
      <c r="O1731" s="9">
        <f>IF(ISNA(MATCH(1722,'Transfer Engine'!$C$2:$C$1960,0)),"",INDEX('Compliance Database'!$O$2:$O$1960,MATCH(1722,'Transfer Engine'!$C$2:$C$1960,0)))</f>
        <v/>
      </c>
      <c r="P1731" s="8">
        <f>IF(ISNA(MATCH(1722,'Transfer Engine'!$C$2:$C$1960,0)),"",HYPERLINK("#Acts!A"&amp;INDEX('Compliance Database'!$P$2:$P$1960,MATCH(1722,'Transfer Engine'!$C$2:$C$1960,0)),"Go to Act"))</f>
        <v/>
      </c>
    </row>
    <row r="1732" ht="158" customHeight="1">
      <c r="A1732" s="8">
        <f>IF(ISNA(MATCH(1723,'Transfer Engine'!$C$2:$C$1960,0)),"",INDEX('Compliance Database'!$A$2:$A$1960,MATCH(1723,'Transfer Engine'!$C$2:$C$1960,0)))</f>
        <v/>
      </c>
      <c r="B1732" s="8">
        <f>IF(ISNA(MATCH(1723,'Transfer Engine'!$C$2:$C$1960,0)),"",INDEX('Compliance Database'!$B$2:$B$1960,MATCH(1723,'Transfer Engine'!$C$2:$C$1960,0)))</f>
        <v/>
      </c>
      <c r="C1732" s="8">
        <f>IF(ISNA(MATCH(1723,'Transfer Engine'!$C$2:$C$1960,0)),"",INDEX('Compliance Database'!$C$2:$C$1960,MATCH(1723,'Transfer Engine'!$C$2:$C$1960,0)))</f>
        <v/>
      </c>
      <c r="D1732" s="9">
        <f>IF(ISNA(MATCH(1723,'Transfer Engine'!$C$2:$C$1960,0)),"",INDEX('Compliance Database'!$D$2:$D$1960,MATCH(1723,'Transfer Engine'!$C$2:$C$1960,0)))</f>
        <v/>
      </c>
      <c r="E1732" s="8">
        <f>IF(ISNA(MATCH(1723,'Transfer Engine'!$C$2:$C$1960,0)),"",INDEX('Compliance Database'!$E$2:$E$1960,MATCH(1723,'Transfer Engine'!$C$2:$C$1960,0)))</f>
        <v/>
      </c>
      <c r="F1732" s="8">
        <f>IF(ISNA(MATCH(1723,'Transfer Engine'!$C$2:$C$1960,0)),"",INDEX('Compliance Database'!$F$2:$F$1960,MATCH(1723,'Transfer Engine'!$C$2:$C$1960,0)))</f>
        <v/>
      </c>
      <c r="G1732" s="8">
        <f>IF(ISNA(MATCH(1723,'Transfer Engine'!$C$2:$C$1960,0)),"",INDEX('Compliance Database'!$G$2:$G$1960,MATCH(1723,'Transfer Engine'!$C$2:$C$1960,0)))</f>
        <v/>
      </c>
      <c r="H1732" s="9">
        <f>IF(ISNA(MATCH(1723,'Transfer Engine'!$C$2:$C$1960,0)),"",INDEX('Compliance Database'!$H$2:$H$1960,MATCH(1723,'Transfer Engine'!$C$2:$C$1960,0)))</f>
        <v/>
      </c>
      <c r="I1732" s="9">
        <f>IF(ISNA(MATCH(1723,'Transfer Engine'!$C$2:$C$1960,0)),"",INDEX('Compliance Database'!$I$2:$I$1960,MATCH(1723,'Transfer Engine'!$C$2:$C$1960,0)))</f>
        <v/>
      </c>
      <c r="J1732" s="8">
        <f>IF(ISNA(MATCH(1723,'Transfer Engine'!$C$2:$C$1960,0)),"",INDEX('Compliance Database'!$J$2:$J$1960,MATCH(1723,'Transfer Engine'!$C$2:$C$1960,0)))</f>
        <v/>
      </c>
      <c r="K1732" s="9">
        <f>IF(ISNA(MATCH(1723,'Transfer Engine'!$C$2:$C$1960,0)),"",INDEX('Compliance Database'!$K$2:$K$1960,MATCH(1723,'Transfer Engine'!$C$2:$C$1960,0)))</f>
        <v/>
      </c>
      <c r="L1732" s="9">
        <f>IF(ISNA(MATCH(1723,'Transfer Engine'!$C$2:$C$1960,0)),"",INDEX('Compliance Database'!$L$2:$L$1960,MATCH(1723,'Transfer Engine'!$C$2:$C$1960,0)))</f>
        <v/>
      </c>
      <c r="M1732" s="9">
        <f>IF(ISNA(MATCH(1723,'Transfer Engine'!$C$2:$C$1960,0)),"",INDEX('Compliance Database'!$M$2:$M$1960,MATCH(1723,'Transfer Engine'!$C$2:$C$1960,0)))</f>
        <v/>
      </c>
      <c r="N1732" s="9">
        <f>IF(ISNA(MATCH(1723,'Transfer Engine'!$C$2:$C$1960,0)),"",INDEX('Compliance Database'!$N$2:$N$1960,MATCH(1723,'Transfer Engine'!$C$2:$C$1960,0)))</f>
        <v/>
      </c>
      <c r="O1732" s="9">
        <f>IF(ISNA(MATCH(1723,'Transfer Engine'!$C$2:$C$1960,0)),"",INDEX('Compliance Database'!$O$2:$O$1960,MATCH(1723,'Transfer Engine'!$C$2:$C$1960,0)))</f>
        <v/>
      </c>
      <c r="P1732" s="8">
        <f>IF(ISNA(MATCH(1723,'Transfer Engine'!$C$2:$C$1960,0)),"",HYPERLINK("#Acts!A"&amp;INDEX('Compliance Database'!$P$2:$P$1960,MATCH(1723,'Transfer Engine'!$C$2:$C$1960,0)),"Go to Act"))</f>
        <v/>
      </c>
    </row>
    <row r="1733" ht="158" customHeight="1">
      <c r="A1733" s="8">
        <f>IF(ISNA(MATCH(1724,'Transfer Engine'!$C$2:$C$1960,0)),"",INDEX('Compliance Database'!$A$2:$A$1960,MATCH(1724,'Transfer Engine'!$C$2:$C$1960,0)))</f>
        <v/>
      </c>
      <c r="B1733" s="8">
        <f>IF(ISNA(MATCH(1724,'Transfer Engine'!$C$2:$C$1960,0)),"",INDEX('Compliance Database'!$B$2:$B$1960,MATCH(1724,'Transfer Engine'!$C$2:$C$1960,0)))</f>
        <v/>
      </c>
      <c r="C1733" s="8">
        <f>IF(ISNA(MATCH(1724,'Transfer Engine'!$C$2:$C$1960,0)),"",INDEX('Compliance Database'!$C$2:$C$1960,MATCH(1724,'Transfer Engine'!$C$2:$C$1960,0)))</f>
        <v/>
      </c>
      <c r="D1733" s="9">
        <f>IF(ISNA(MATCH(1724,'Transfer Engine'!$C$2:$C$1960,0)),"",INDEX('Compliance Database'!$D$2:$D$1960,MATCH(1724,'Transfer Engine'!$C$2:$C$1960,0)))</f>
        <v/>
      </c>
      <c r="E1733" s="8">
        <f>IF(ISNA(MATCH(1724,'Transfer Engine'!$C$2:$C$1960,0)),"",INDEX('Compliance Database'!$E$2:$E$1960,MATCH(1724,'Transfer Engine'!$C$2:$C$1960,0)))</f>
        <v/>
      </c>
      <c r="F1733" s="8">
        <f>IF(ISNA(MATCH(1724,'Transfer Engine'!$C$2:$C$1960,0)),"",INDEX('Compliance Database'!$F$2:$F$1960,MATCH(1724,'Transfer Engine'!$C$2:$C$1960,0)))</f>
        <v/>
      </c>
      <c r="G1733" s="8">
        <f>IF(ISNA(MATCH(1724,'Transfer Engine'!$C$2:$C$1960,0)),"",INDEX('Compliance Database'!$G$2:$G$1960,MATCH(1724,'Transfer Engine'!$C$2:$C$1960,0)))</f>
        <v/>
      </c>
      <c r="H1733" s="9">
        <f>IF(ISNA(MATCH(1724,'Transfer Engine'!$C$2:$C$1960,0)),"",INDEX('Compliance Database'!$H$2:$H$1960,MATCH(1724,'Transfer Engine'!$C$2:$C$1960,0)))</f>
        <v/>
      </c>
      <c r="I1733" s="9">
        <f>IF(ISNA(MATCH(1724,'Transfer Engine'!$C$2:$C$1960,0)),"",INDEX('Compliance Database'!$I$2:$I$1960,MATCH(1724,'Transfer Engine'!$C$2:$C$1960,0)))</f>
        <v/>
      </c>
      <c r="J1733" s="8">
        <f>IF(ISNA(MATCH(1724,'Transfer Engine'!$C$2:$C$1960,0)),"",INDEX('Compliance Database'!$J$2:$J$1960,MATCH(1724,'Transfer Engine'!$C$2:$C$1960,0)))</f>
        <v/>
      </c>
      <c r="K1733" s="9">
        <f>IF(ISNA(MATCH(1724,'Transfer Engine'!$C$2:$C$1960,0)),"",INDEX('Compliance Database'!$K$2:$K$1960,MATCH(1724,'Transfer Engine'!$C$2:$C$1960,0)))</f>
        <v/>
      </c>
      <c r="L1733" s="9">
        <f>IF(ISNA(MATCH(1724,'Transfer Engine'!$C$2:$C$1960,0)),"",INDEX('Compliance Database'!$L$2:$L$1960,MATCH(1724,'Transfer Engine'!$C$2:$C$1960,0)))</f>
        <v/>
      </c>
      <c r="M1733" s="9">
        <f>IF(ISNA(MATCH(1724,'Transfer Engine'!$C$2:$C$1960,0)),"",INDEX('Compliance Database'!$M$2:$M$1960,MATCH(1724,'Transfer Engine'!$C$2:$C$1960,0)))</f>
        <v/>
      </c>
      <c r="N1733" s="9">
        <f>IF(ISNA(MATCH(1724,'Transfer Engine'!$C$2:$C$1960,0)),"",INDEX('Compliance Database'!$N$2:$N$1960,MATCH(1724,'Transfer Engine'!$C$2:$C$1960,0)))</f>
        <v/>
      </c>
      <c r="O1733" s="9">
        <f>IF(ISNA(MATCH(1724,'Transfer Engine'!$C$2:$C$1960,0)),"",INDEX('Compliance Database'!$O$2:$O$1960,MATCH(1724,'Transfer Engine'!$C$2:$C$1960,0)))</f>
        <v/>
      </c>
      <c r="P1733" s="8">
        <f>IF(ISNA(MATCH(1724,'Transfer Engine'!$C$2:$C$1960,0)),"",HYPERLINK("#Acts!A"&amp;INDEX('Compliance Database'!$P$2:$P$1960,MATCH(1724,'Transfer Engine'!$C$2:$C$1960,0)),"Go to Act"))</f>
        <v/>
      </c>
    </row>
    <row r="1734" ht="158" customHeight="1">
      <c r="A1734" s="8">
        <f>IF(ISNA(MATCH(1725,'Transfer Engine'!$C$2:$C$1960,0)),"",INDEX('Compliance Database'!$A$2:$A$1960,MATCH(1725,'Transfer Engine'!$C$2:$C$1960,0)))</f>
        <v/>
      </c>
      <c r="B1734" s="8">
        <f>IF(ISNA(MATCH(1725,'Transfer Engine'!$C$2:$C$1960,0)),"",INDEX('Compliance Database'!$B$2:$B$1960,MATCH(1725,'Transfer Engine'!$C$2:$C$1960,0)))</f>
        <v/>
      </c>
      <c r="C1734" s="8">
        <f>IF(ISNA(MATCH(1725,'Transfer Engine'!$C$2:$C$1960,0)),"",INDEX('Compliance Database'!$C$2:$C$1960,MATCH(1725,'Transfer Engine'!$C$2:$C$1960,0)))</f>
        <v/>
      </c>
      <c r="D1734" s="9">
        <f>IF(ISNA(MATCH(1725,'Transfer Engine'!$C$2:$C$1960,0)),"",INDEX('Compliance Database'!$D$2:$D$1960,MATCH(1725,'Transfer Engine'!$C$2:$C$1960,0)))</f>
        <v/>
      </c>
      <c r="E1734" s="8">
        <f>IF(ISNA(MATCH(1725,'Transfer Engine'!$C$2:$C$1960,0)),"",INDEX('Compliance Database'!$E$2:$E$1960,MATCH(1725,'Transfer Engine'!$C$2:$C$1960,0)))</f>
        <v/>
      </c>
      <c r="F1734" s="8">
        <f>IF(ISNA(MATCH(1725,'Transfer Engine'!$C$2:$C$1960,0)),"",INDEX('Compliance Database'!$F$2:$F$1960,MATCH(1725,'Transfer Engine'!$C$2:$C$1960,0)))</f>
        <v/>
      </c>
      <c r="G1734" s="8">
        <f>IF(ISNA(MATCH(1725,'Transfer Engine'!$C$2:$C$1960,0)),"",INDEX('Compliance Database'!$G$2:$G$1960,MATCH(1725,'Transfer Engine'!$C$2:$C$1960,0)))</f>
        <v/>
      </c>
      <c r="H1734" s="9">
        <f>IF(ISNA(MATCH(1725,'Transfer Engine'!$C$2:$C$1960,0)),"",INDEX('Compliance Database'!$H$2:$H$1960,MATCH(1725,'Transfer Engine'!$C$2:$C$1960,0)))</f>
        <v/>
      </c>
      <c r="I1734" s="9">
        <f>IF(ISNA(MATCH(1725,'Transfer Engine'!$C$2:$C$1960,0)),"",INDEX('Compliance Database'!$I$2:$I$1960,MATCH(1725,'Transfer Engine'!$C$2:$C$1960,0)))</f>
        <v/>
      </c>
      <c r="J1734" s="8">
        <f>IF(ISNA(MATCH(1725,'Transfer Engine'!$C$2:$C$1960,0)),"",INDEX('Compliance Database'!$J$2:$J$1960,MATCH(1725,'Transfer Engine'!$C$2:$C$1960,0)))</f>
        <v/>
      </c>
      <c r="K1734" s="9">
        <f>IF(ISNA(MATCH(1725,'Transfer Engine'!$C$2:$C$1960,0)),"",INDEX('Compliance Database'!$K$2:$K$1960,MATCH(1725,'Transfer Engine'!$C$2:$C$1960,0)))</f>
        <v/>
      </c>
      <c r="L1734" s="9">
        <f>IF(ISNA(MATCH(1725,'Transfer Engine'!$C$2:$C$1960,0)),"",INDEX('Compliance Database'!$L$2:$L$1960,MATCH(1725,'Transfer Engine'!$C$2:$C$1960,0)))</f>
        <v/>
      </c>
      <c r="M1734" s="9">
        <f>IF(ISNA(MATCH(1725,'Transfer Engine'!$C$2:$C$1960,0)),"",INDEX('Compliance Database'!$M$2:$M$1960,MATCH(1725,'Transfer Engine'!$C$2:$C$1960,0)))</f>
        <v/>
      </c>
      <c r="N1734" s="9">
        <f>IF(ISNA(MATCH(1725,'Transfer Engine'!$C$2:$C$1960,0)),"",INDEX('Compliance Database'!$N$2:$N$1960,MATCH(1725,'Transfer Engine'!$C$2:$C$1960,0)))</f>
        <v/>
      </c>
      <c r="O1734" s="9">
        <f>IF(ISNA(MATCH(1725,'Transfer Engine'!$C$2:$C$1960,0)),"",INDEX('Compliance Database'!$O$2:$O$1960,MATCH(1725,'Transfer Engine'!$C$2:$C$1960,0)))</f>
        <v/>
      </c>
      <c r="P1734" s="8">
        <f>IF(ISNA(MATCH(1725,'Transfer Engine'!$C$2:$C$1960,0)),"",HYPERLINK("#Acts!A"&amp;INDEX('Compliance Database'!$P$2:$P$1960,MATCH(1725,'Transfer Engine'!$C$2:$C$1960,0)),"Go to Act"))</f>
        <v/>
      </c>
    </row>
    <row r="1735" ht="158" customHeight="1">
      <c r="A1735" s="8">
        <f>IF(ISNA(MATCH(1726,'Transfer Engine'!$C$2:$C$1960,0)),"",INDEX('Compliance Database'!$A$2:$A$1960,MATCH(1726,'Transfer Engine'!$C$2:$C$1960,0)))</f>
        <v/>
      </c>
      <c r="B1735" s="8">
        <f>IF(ISNA(MATCH(1726,'Transfer Engine'!$C$2:$C$1960,0)),"",INDEX('Compliance Database'!$B$2:$B$1960,MATCH(1726,'Transfer Engine'!$C$2:$C$1960,0)))</f>
        <v/>
      </c>
      <c r="C1735" s="8">
        <f>IF(ISNA(MATCH(1726,'Transfer Engine'!$C$2:$C$1960,0)),"",INDEX('Compliance Database'!$C$2:$C$1960,MATCH(1726,'Transfer Engine'!$C$2:$C$1960,0)))</f>
        <v/>
      </c>
      <c r="D1735" s="9">
        <f>IF(ISNA(MATCH(1726,'Transfer Engine'!$C$2:$C$1960,0)),"",INDEX('Compliance Database'!$D$2:$D$1960,MATCH(1726,'Transfer Engine'!$C$2:$C$1960,0)))</f>
        <v/>
      </c>
      <c r="E1735" s="8">
        <f>IF(ISNA(MATCH(1726,'Transfer Engine'!$C$2:$C$1960,0)),"",INDEX('Compliance Database'!$E$2:$E$1960,MATCH(1726,'Transfer Engine'!$C$2:$C$1960,0)))</f>
        <v/>
      </c>
      <c r="F1735" s="8">
        <f>IF(ISNA(MATCH(1726,'Transfer Engine'!$C$2:$C$1960,0)),"",INDEX('Compliance Database'!$F$2:$F$1960,MATCH(1726,'Transfer Engine'!$C$2:$C$1960,0)))</f>
        <v/>
      </c>
      <c r="G1735" s="8">
        <f>IF(ISNA(MATCH(1726,'Transfer Engine'!$C$2:$C$1960,0)),"",INDEX('Compliance Database'!$G$2:$G$1960,MATCH(1726,'Transfer Engine'!$C$2:$C$1960,0)))</f>
        <v/>
      </c>
      <c r="H1735" s="9">
        <f>IF(ISNA(MATCH(1726,'Transfer Engine'!$C$2:$C$1960,0)),"",INDEX('Compliance Database'!$H$2:$H$1960,MATCH(1726,'Transfer Engine'!$C$2:$C$1960,0)))</f>
        <v/>
      </c>
      <c r="I1735" s="9">
        <f>IF(ISNA(MATCH(1726,'Transfer Engine'!$C$2:$C$1960,0)),"",INDEX('Compliance Database'!$I$2:$I$1960,MATCH(1726,'Transfer Engine'!$C$2:$C$1960,0)))</f>
        <v/>
      </c>
      <c r="J1735" s="8">
        <f>IF(ISNA(MATCH(1726,'Transfer Engine'!$C$2:$C$1960,0)),"",INDEX('Compliance Database'!$J$2:$J$1960,MATCH(1726,'Transfer Engine'!$C$2:$C$1960,0)))</f>
        <v/>
      </c>
      <c r="K1735" s="9">
        <f>IF(ISNA(MATCH(1726,'Transfer Engine'!$C$2:$C$1960,0)),"",INDEX('Compliance Database'!$K$2:$K$1960,MATCH(1726,'Transfer Engine'!$C$2:$C$1960,0)))</f>
        <v/>
      </c>
      <c r="L1735" s="9">
        <f>IF(ISNA(MATCH(1726,'Transfer Engine'!$C$2:$C$1960,0)),"",INDEX('Compliance Database'!$L$2:$L$1960,MATCH(1726,'Transfer Engine'!$C$2:$C$1960,0)))</f>
        <v/>
      </c>
      <c r="M1735" s="9">
        <f>IF(ISNA(MATCH(1726,'Transfer Engine'!$C$2:$C$1960,0)),"",INDEX('Compliance Database'!$M$2:$M$1960,MATCH(1726,'Transfer Engine'!$C$2:$C$1960,0)))</f>
        <v/>
      </c>
      <c r="N1735" s="9">
        <f>IF(ISNA(MATCH(1726,'Transfer Engine'!$C$2:$C$1960,0)),"",INDEX('Compliance Database'!$N$2:$N$1960,MATCH(1726,'Transfer Engine'!$C$2:$C$1960,0)))</f>
        <v/>
      </c>
      <c r="O1735" s="9">
        <f>IF(ISNA(MATCH(1726,'Transfer Engine'!$C$2:$C$1960,0)),"",INDEX('Compliance Database'!$O$2:$O$1960,MATCH(1726,'Transfer Engine'!$C$2:$C$1960,0)))</f>
        <v/>
      </c>
      <c r="P1735" s="8">
        <f>IF(ISNA(MATCH(1726,'Transfer Engine'!$C$2:$C$1960,0)),"",HYPERLINK("#Acts!A"&amp;INDEX('Compliance Database'!$P$2:$P$1960,MATCH(1726,'Transfer Engine'!$C$2:$C$1960,0)),"Go to Act"))</f>
        <v/>
      </c>
    </row>
    <row r="1736" ht="158" customHeight="1">
      <c r="A1736" s="8">
        <f>IF(ISNA(MATCH(1727,'Transfer Engine'!$C$2:$C$1960,0)),"",INDEX('Compliance Database'!$A$2:$A$1960,MATCH(1727,'Transfer Engine'!$C$2:$C$1960,0)))</f>
        <v/>
      </c>
      <c r="B1736" s="8">
        <f>IF(ISNA(MATCH(1727,'Transfer Engine'!$C$2:$C$1960,0)),"",INDEX('Compliance Database'!$B$2:$B$1960,MATCH(1727,'Transfer Engine'!$C$2:$C$1960,0)))</f>
        <v/>
      </c>
      <c r="C1736" s="8">
        <f>IF(ISNA(MATCH(1727,'Transfer Engine'!$C$2:$C$1960,0)),"",INDEX('Compliance Database'!$C$2:$C$1960,MATCH(1727,'Transfer Engine'!$C$2:$C$1960,0)))</f>
        <v/>
      </c>
      <c r="D1736" s="9">
        <f>IF(ISNA(MATCH(1727,'Transfer Engine'!$C$2:$C$1960,0)),"",INDEX('Compliance Database'!$D$2:$D$1960,MATCH(1727,'Transfer Engine'!$C$2:$C$1960,0)))</f>
        <v/>
      </c>
      <c r="E1736" s="8">
        <f>IF(ISNA(MATCH(1727,'Transfer Engine'!$C$2:$C$1960,0)),"",INDEX('Compliance Database'!$E$2:$E$1960,MATCH(1727,'Transfer Engine'!$C$2:$C$1960,0)))</f>
        <v/>
      </c>
      <c r="F1736" s="8">
        <f>IF(ISNA(MATCH(1727,'Transfer Engine'!$C$2:$C$1960,0)),"",INDEX('Compliance Database'!$F$2:$F$1960,MATCH(1727,'Transfer Engine'!$C$2:$C$1960,0)))</f>
        <v/>
      </c>
      <c r="G1736" s="8">
        <f>IF(ISNA(MATCH(1727,'Transfer Engine'!$C$2:$C$1960,0)),"",INDEX('Compliance Database'!$G$2:$G$1960,MATCH(1727,'Transfer Engine'!$C$2:$C$1960,0)))</f>
        <v/>
      </c>
      <c r="H1736" s="9">
        <f>IF(ISNA(MATCH(1727,'Transfer Engine'!$C$2:$C$1960,0)),"",INDEX('Compliance Database'!$H$2:$H$1960,MATCH(1727,'Transfer Engine'!$C$2:$C$1960,0)))</f>
        <v/>
      </c>
      <c r="I1736" s="9">
        <f>IF(ISNA(MATCH(1727,'Transfer Engine'!$C$2:$C$1960,0)),"",INDEX('Compliance Database'!$I$2:$I$1960,MATCH(1727,'Transfer Engine'!$C$2:$C$1960,0)))</f>
        <v/>
      </c>
      <c r="J1736" s="8">
        <f>IF(ISNA(MATCH(1727,'Transfer Engine'!$C$2:$C$1960,0)),"",INDEX('Compliance Database'!$J$2:$J$1960,MATCH(1727,'Transfer Engine'!$C$2:$C$1960,0)))</f>
        <v/>
      </c>
      <c r="K1736" s="9">
        <f>IF(ISNA(MATCH(1727,'Transfer Engine'!$C$2:$C$1960,0)),"",INDEX('Compliance Database'!$K$2:$K$1960,MATCH(1727,'Transfer Engine'!$C$2:$C$1960,0)))</f>
        <v/>
      </c>
      <c r="L1736" s="9">
        <f>IF(ISNA(MATCH(1727,'Transfer Engine'!$C$2:$C$1960,0)),"",INDEX('Compliance Database'!$L$2:$L$1960,MATCH(1727,'Transfer Engine'!$C$2:$C$1960,0)))</f>
        <v/>
      </c>
      <c r="M1736" s="9">
        <f>IF(ISNA(MATCH(1727,'Transfer Engine'!$C$2:$C$1960,0)),"",INDEX('Compliance Database'!$M$2:$M$1960,MATCH(1727,'Transfer Engine'!$C$2:$C$1960,0)))</f>
        <v/>
      </c>
      <c r="N1736" s="9">
        <f>IF(ISNA(MATCH(1727,'Transfer Engine'!$C$2:$C$1960,0)),"",INDEX('Compliance Database'!$N$2:$N$1960,MATCH(1727,'Transfer Engine'!$C$2:$C$1960,0)))</f>
        <v/>
      </c>
      <c r="O1736" s="9">
        <f>IF(ISNA(MATCH(1727,'Transfer Engine'!$C$2:$C$1960,0)),"",INDEX('Compliance Database'!$O$2:$O$1960,MATCH(1727,'Transfer Engine'!$C$2:$C$1960,0)))</f>
        <v/>
      </c>
      <c r="P1736" s="8">
        <f>IF(ISNA(MATCH(1727,'Transfer Engine'!$C$2:$C$1960,0)),"",HYPERLINK("#Acts!A"&amp;INDEX('Compliance Database'!$P$2:$P$1960,MATCH(1727,'Transfer Engine'!$C$2:$C$1960,0)),"Go to Act"))</f>
        <v/>
      </c>
    </row>
    <row r="1737" ht="158" customHeight="1">
      <c r="A1737" s="8">
        <f>IF(ISNA(MATCH(1728,'Transfer Engine'!$C$2:$C$1960,0)),"",INDEX('Compliance Database'!$A$2:$A$1960,MATCH(1728,'Transfer Engine'!$C$2:$C$1960,0)))</f>
        <v/>
      </c>
      <c r="B1737" s="8">
        <f>IF(ISNA(MATCH(1728,'Transfer Engine'!$C$2:$C$1960,0)),"",INDEX('Compliance Database'!$B$2:$B$1960,MATCH(1728,'Transfer Engine'!$C$2:$C$1960,0)))</f>
        <v/>
      </c>
      <c r="C1737" s="8">
        <f>IF(ISNA(MATCH(1728,'Transfer Engine'!$C$2:$C$1960,0)),"",INDEX('Compliance Database'!$C$2:$C$1960,MATCH(1728,'Transfer Engine'!$C$2:$C$1960,0)))</f>
        <v/>
      </c>
      <c r="D1737" s="9">
        <f>IF(ISNA(MATCH(1728,'Transfer Engine'!$C$2:$C$1960,0)),"",INDEX('Compliance Database'!$D$2:$D$1960,MATCH(1728,'Transfer Engine'!$C$2:$C$1960,0)))</f>
        <v/>
      </c>
      <c r="E1737" s="8">
        <f>IF(ISNA(MATCH(1728,'Transfer Engine'!$C$2:$C$1960,0)),"",INDEX('Compliance Database'!$E$2:$E$1960,MATCH(1728,'Transfer Engine'!$C$2:$C$1960,0)))</f>
        <v/>
      </c>
      <c r="F1737" s="8">
        <f>IF(ISNA(MATCH(1728,'Transfer Engine'!$C$2:$C$1960,0)),"",INDEX('Compliance Database'!$F$2:$F$1960,MATCH(1728,'Transfer Engine'!$C$2:$C$1960,0)))</f>
        <v/>
      </c>
      <c r="G1737" s="8">
        <f>IF(ISNA(MATCH(1728,'Transfer Engine'!$C$2:$C$1960,0)),"",INDEX('Compliance Database'!$G$2:$G$1960,MATCH(1728,'Transfer Engine'!$C$2:$C$1960,0)))</f>
        <v/>
      </c>
      <c r="H1737" s="9">
        <f>IF(ISNA(MATCH(1728,'Transfer Engine'!$C$2:$C$1960,0)),"",INDEX('Compliance Database'!$H$2:$H$1960,MATCH(1728,'Transfer Engine'!$C$2:$C$1960,0)))</f>
        <v/>
      </c>
      <c r="I1737" s="9">
        <f>IF(ISNA(MATCH(1728,'Transfer Engine'!$C$2:$C$1960,0)),"",INDEX('Compliance Database'!$I$2:$I$1960,MATCH(1728,'Transfer Engine'!$C$2:$C$1960,0)))</f>
        <v/>
      </c>
      <c r="J1737" s="8">
        <f>IF(ISNA(MATCH(1728,'Transfer Engine'!$C$2:$C$1960,0)),"",INDEX('Compliance Database'!$J$2:$J$1960,MATCH(1728,'Transfer Engine'!$C$2:$C$1960,0)))</f>
        <v/>
      </c>
      <c r="K1737" s="9">
        <f>IF(ISNA(MATCH(1728,'Transfer Engine'!$C$2:$C$1960,0)),"",INDEX('Compliance Database'!$K$2:$K$1960,MATCH(1728,'Transfer Engine'!$C$2:$C$1960,0)))</f>
        <v/>
      </c>
      <c r="L1737" s="9">
        <f>IF(ISNA(MATCH(1728,'Transfer Engine'!$C$2:$C$1960,0)),"",INDEX('Compliance Database'!$L$2:$L$1960,MATCH(1728,'Transfer Engine'!$C$2:$C$1960,0)))</f>
        <v/>
      </c>
      <c r="M1737" s="9">
        <f>IF(ISNA(MATCH(1728,'Transfer Engine'!$C$2:$C$1960,0)),"",INDEX('Compliance Database'!$M$2:$M$1960,MATCH(1728,'Transfer Engine'!$C$2:$C$1960,0)))</f>
        <v/>
      </c>
      <c r="N1737" s="9">
        <f>IF(ISNA(MATCH(1728,'Transfer Engine'!$C$2:$C$1960,0)),"",INDEX('Compliance Database'!$N$2:$N$1960,MATCH(1728,'Transfer Engine'!$C$2:$C$1960,0)))</f>
        <v/>
      </c>
      <c r="O1737" s="9">
        <f>IF(ISNA(MATCH(1728,'Transfer Engine'!$C$2:$C$1960,0)),"",INDEX('Compliance Database'!$O$2:$O$1960,MATCH(1728,'Transfer Engine'!$C$2:$C$1960,0)))</f>
        <v/>
      </c>
      <c r="P1737" s="8">
        <f>IF(ISNA(MATCH(1728,'Transfer Engine'!$C$2:$C$1960,0)),"",HYPERLINK("#Acts!A"&amp;INDEX('Compliance Database'!$P$2:$P$1960,MATCH(1728,'Transfer Engine'!$C$2:$C$1960,0)),"Go to Act"))</f>
        <v/>
      </c>
    </row>
    <row r="1738" ht="158" customHeight="1">
      <c r="A1738" s="8">
        <f>IF(ISNA(MATCH(1729,'Transfer Engine'!$C$2:$C$1960,0)),"",INDEX('Compliance Database'!$A$2:$A$1960,MATCH(1729,'Transfer Engine'!$C$2:$C$1960,0)))</f>
        <v/>
      </c>
      <c r="B1738" s="8">
        <f>IF(ISNA(MATCH(1729,'Transfer Engine'!$C$2:$C$1960,0)),"",INDEX('Compliance Database'!$B$2:$B$1960,MATCH(1729,'Transfer Engine'!$C$2:$C$1960,0)))</f>
        <v/>
      </c>
      <c r="C1738" s="8">
        <f>IF(ISNA(MATCH(1729,'Transfer Engine'!$C$2:$C$1960,0)),"",INDEX('Compliance Database'!$C$2:$C$1960,MATCH(1729,'Transfer Engine'!$C$2:$C$1960,0)))</f>
        <v/>
      </c>
      <c r="D1738" s="9">
        <f>IF(ISNA(MATCH(1729,'Transfer Engine'!$C$2:$C$1960,0)),"",INDEX('Compliance Database'!$D$2:$D$1960,MATCH(1729,'Transfer Engine'!$C$2:$C$1960,0)))</f>
        <v/>
      </c>
      <c r="E1738" s="8">
        <f>IF(ISNA(MATCH(1729,'Transfer Engine'!$C$2:$C$1960,0)),"",INDEX('Compliance Database'!$E$2:$E$1960,MATCH(1729,'Transfer Engine'!$C$2:$C$1960,0)))</f>
        <v/>
      </c>
      <c r="F1738" s="8">
        <f>IF(ISNA(MATCH(1729,'Transfer Engine'!$C$2:$C$1960,0)),"",INDEX('Compliance Database'!$F$2:$F$1960,MATCH(1729,'Transfer Engine'!$C$2:$C$1960,0)))</f>
        <v/>
      </c>
      <c r="G1738" s="8">
        <f>IF(ISNA(MATCH(1729,'Transfer Engine'!$C$2:$C$1960,0)),"",INDEX('Compliance Database'!$G$2:$G$1960,MATCH(1729,'Transfer Engine'!$C$2:$C$1960,0)))</f>
        <v/>
      </c>
      <c r="H1738" s="9">
        <f>IF(ISNA(MATCH(1729,'Transfer Engine'!$C$2:$C$1960,0)),"",INDEX('Compliance Database'!$H$2:$H$1960,MATCH(1729,'Transfer Engine'!$C$2:$C$1960,0)))</f>
        <v/>
      </c>
      <c r="I1738" s="9">
        <f>IF(ISNA(MATCH(1729,'Transfer Engine'!$C$2:$C$1960,0)),"",INDEX('Compliance Database'!$I$2:$I$1960,MATCH(1729,'Transfer Engine'!$C$2:$C$1960,0)))</f>
        <v/>
      </c>
      <c r="J1738" s="8">
        <f>IF(ISNA(MATCH(1729,'Transfer Engine'!$C$2:$C$1960,0)),"",INDEX('Compliance Database'!$J$2:$J$1960,MATCH(1729,'Transfer Engine'!$C$2:$C$1960,0)))</f>
        <v/>
      </c>
      <c r="K1738" s="9">
        <f>IF(ISNA(MATCH(1729,'Transfer Engine'!$C$2:$C$1960,0)),"",INDEX('Compliance Database'!$K$2:$K$1960,MATCH(1729,'Transfer Engine'!$C$2:$C$1960,0)))</f>
        <v/>
      </c>
      <c r="L1738" s="9">
        <f>IF(ISNA(MATCH(1729,'Transfer Engine'!$C$2:$C$1960,0)),"",INDEX('Compliance Database'!$L$2:$L$1960,MATCH(1729,'Transfer Engine'!$C$2:$C$1960,0)))</f>
        <v/>
      </c>
      <c r="M1738" s="9">
        <f>IF(ISNA(MATCH(1729,'Transfer Engine'!$C$2:$C$1960,0)),"",INDEX('Compliance Database'!$M$2:$M$1960,MATCH(1729,'Transfer Engine'!$C$2:$C$1960,0)))</f>
        <v/>
      </c>
      <c r="N1738" s="9">
        <f>IF(ISNA(MATCH(1729,'Transfer Engine'!$C$2:$C$1960,0)),"",INDEX('Compliance Database'!$N$2:$N$1960,MATCH(1729,'Transfer Engine'!$C$2:$C$1960,0)))</f>
        <v/>
      </c>
      <c r="O1738" s="9">
        <f>IF(ISNA(MATCH(1729,'Transfer Engine'!$C$2:$C$1960,0)),"",INDEX('Compliance Database'!$O$2:$O$1960,MATCH(1729,'Transfer Engine'!$C$2:$C$1960,0)))</f>
        <v/>
      </c>
      <c r="P1738" s="8">
        <f>IF(ISNA(MATCH(1729,'Transfer Engine'!$C$2:$C$1960,0)),"",HYPERLINK("#Acts!A"&amp;INDEX('Compliance Database'!$P$2:$P$1960,MATCH(1729,'Transfer Engine'!$C$2:$C$1960,0)),"Go to Act"))</f>
        <v/>
      </c>
    </row>
    <row r="1739" ht="158" customHeight="1">
      <c r="A1739" s="8">
        <f>IF(ISNA(MATCH(1730,'Transfer Engine'!$C$2:$C$1960,0)),"",INDEX('Compliance Database'!$A$2:$A$1960,MATCH(1730,'Transfer Engine'!$C$2:$C$1960,0)))</f>
        <v/>
      </c>
      <c r="B1739" s="8">
        <f>IF(ISNA(MATCH(1730,'Transfer Engine'!$C$2:$C$1960,0)),"",INDEX('Compliance Database'!$B$2:$B$1960,MATCH(1730,'Transfer Engine'!$C$2:$C$1960,0)))</f>
        <v/>
      </c>
      <c r="C1739" s="8">
        <f>IF(ISNA(MATCH(1730,'Transfer Engine'!$C$2:$C$1960,0)),"",INDEX('Compliance Database'!$C$2:$C$1960,MATCH(1730,'Transfer Engine'!$C$2:$C$1960,0)))</f>
        <v/>
      </c>
      <c r="D1739" s="9">
        <f>IF(ISNA(MATCH(1730,'Transfer Engine'!$C$2:$C$1960,0)),"",INDEX('Compliance Database'!$D$2:$D$1960,MATCH(1730,'Transfer Engine'!$C$2:$C$1960,0)))</f>
        <v/>
      </c>
      <c r="E1739" s="8">
        <f>IF(ISNA(MATCH(1730,'Transfer Engine'!$C$2:$C$1960,0)),"",INDEX('Compliance Database'!$E$2:$E$1960,MATCH(1730,'Transfer Engine'!$C$2:$C$1960,0)))</f>
        <v/>
      </c>
      <c r="F1739" s="8">
        <f>IF(ISNA(MATCH(1730,'Transfer Engine'!$C$2:$C$1960,0)),"",INDEX('Compliance Database'!$F$2:$F$1960,MATCH(1730,'Transfer Engine'!$C$2:$C$1960,0)))</f>
        <v/>
      </c>
      <c r="G1739" s="8">
        <f>IF(ISNA(MATCH(1730,'Transfer Engine'!$C$2:$C$1960,0)),"",INDEX('Compliance Database'!$G$2:$G$1960,MATCH(1730,'Transfer Engine'!$C$2:$C$1960,0)))</f>
        <v/>
      </c>
      <c r="H1739" s="9">
        <f>IF(ISNA(MATCH(1730,'Transfer Engine'!$C$2:$C$1960,0)),"",INDEX('Compliance Database'!$H$2:$H$1960,MATCH(1730,'Transfer Engine'!$C$2:$C$1960,0)))</f>
        <v/>
      </c>
      <c r="I1739" s="9">
        <f>IF(ISNA(MATCH(1730,'Transfer Engine'!$C$2:$C$1960,0)),"",INDEX('Compliance Database'!$I$2:$I$1960,MATCH(1730,'Transfer Engine'!$C$2:$C$1960,0)))</f>
        <v/>
      </c>
      <c r="J1739" s="8">
        <f>IF(ISNA(MATCH(1730,'Transfer Engine'!$C$2:$C$1960,0)),"",INDEX('Compliance Database'!$J$2:$J$1960,MATCH(1730,'Transfer Engine'!$C$2:$C$1960,0)))</f>
        <v/>
      </c>
      <c r="K1739" s="9">
        <f>IF(ISNA(MATCH(1730,'Transfer Engine'!$C$2:$C$1960,0)),"",INDEX('Compliance Database'!$K$2:$K$1960,MATCH(1730,'Transfer Engine'!$C$2:$C$1960,0)))</f>
        <v/>
      </c>
      <c r="L1739" s="9">
        <f>IF(ISNA(MATCH(1730,'Transfer Engine'!$C$2:$C$1960,0)),"",INDEX('Compliance Database'!$L$2:$L$1960,MATCH(1730,'Transfer Engine'!$C$2:$C$1960,0)))</f>
        <v/>
      </c>
      <c r="M1739" s="9">
        <f>IF(ISNA(MATCH(1730,'Transfer Engine'!$C$2:$C$1960,0)),"",INDEX('Compliance Database'!$M$2:$M$1960,MATCH(1730,'Transfer Engine'!$C$2:$C$1960,0)))</f>
        <v/>
      </c>
      <c r="N1739" s="9">
        <f>IF(ISNA(MATCH(1730,'Transfer Engine'!$C$2:$C$1960,0)),"",INDEX('Compliance Database'!$N$2:$N$1960,MATCH(1730,'Transfer Engine'!$C$2:$C$1960,0)))</f>
        <v/>
      </c>
      <c r="O1739" s="9">
        <f>IF(ISNA(MATCH(1730,'Transfer Engine'!$C$2:$C$1960,0)),"",INDEX('Compliance Database'!$O$2:$O$1960,MATCH(1730,'Transfer Engine'!$C$2:$C$1960,0)))</f>
        <v/>
      </c>
      <c r="P1739" s="8">
        <f>IF(ISNA(MATCH(1730,'Transfer Engine'!$C$2:$C$1960,0)),"",HYPERLINK("#Acts!A"&amp;INDEX('Compliance Database'!$P$2:$P$1960,MATCH(1730,'Transfer Engine'!$C$2:$C$1960,0)),"Go to Act"))</f>
        <v/>
      </c>
    </row>
    <row r="1740" ht="158" customHeight="1">
      <c r="A1740" s="8">
        <f>IF(ISNA(MATCH(1731,'Transfer Engine'!$C$2:$C$1960,0)),"",INDEX('Compliance Database'!$A$2:$A$1960,MATCH(1731,'Transfer Engine'!$C$2:$C$1960,0)))</f>
        <v/>
      </c>
      <c r="B1740" s="8">
        <f>IF(ISNA(MATCH(1731,'Transfer Engine'!$C$2:$C$1960,0)),"",INDEX('Compliance Database'!$B$2:$B$1960,MATCH(1731,'Transfer Engine'!$C$2:$C$1960,0)))</f>
        <v/>
      </c>
      <c r="C1740" s="8">
        <f>IF(ISNA(MATCH(1731,'Transfer Engine'!$C$2:$C$1960,0)),"",INDEX('Compliance Database'!$C$2:$C$1960,MATCH(1731,'Transfer Engine'!$C$2:$C$1960,0)))</f>
        <v/>
      </c>
      <c r="D1740" s="9">
        <f>IF(ISNA(MATCH(1731,'Transfer Engine'!$C$2:$C$1960,0)),"",INDEX('Compliance Database'!$D$2:$D$1960,MATCH(1731,'Transfer Engine'!$C$2:$C$1960,0)))</f>
        <v/>
      </c>
      <c r="E1740" s="8">
        <f>IF(ISNA(MATCH(1731,'Transfer Engine'!$C$2:$C$1960,0)),"",INDEX('Compliance Database'!$E$2:$E$1960,MATCH(1731,'Transfer Engine'!$C$2:$C$1960,0)))</f>
        <v/>
      </c>
      <c r="F1740" s="8">
        <f>IF(ISNA(MATCH(1731,'Transfer Engine'!$C$2:$C$1960,0)),"",INDEX('Compliance Database'!$F$2:$F$1960,MATCH(1731,'Transfer Engine'!$C$2:$C$1960,0)))</f>
        <v/>
      </c>
      <c r="G1740" s="8">
        <f>IF(ISNA(MATCH(1731,'Transfer Engine'!$C$2:$C$1960,0)),"",INDEX('Compliance Database'!$G$2:$G$1960,MATCH(1731,'Transfer Engine'!$C$2:$C$1960,0)))</f>
        <v/>
      </c>
      <c r="H1740" s="9">
        <f>IF(ISNA(MATCH(1731,'Transfer Engine'!$C$2:$C$1960,0)),"",INDEX('Compliance Database'!$H$2:$H$1960,MATCH(1731,'Transfer Engine'!$C$2:$C$1960,0)))</f>
        <v/>
      </c>
      <c r="I1740" s="9">
        <f>IF(ISNA(MATCH(1731,'Transfer Engine'!$C$2:$C$1960,0)),"",INDEX('Compliance Database'!$I$2:$I$1960,MATCH(1731,'Transfer Engine'!$C$2:$C$1960,0)))</f>
        <v/>
      </c>
      <c r="J1740" s="8">
        <f>IF(ISNA(MATCH(1731,'Transfer Engine'!$C$2:$C$1960,0)),"",INDEX('Compliance Database'!$J$2:$J$1960,MATCH(1731,'Transfer Engine'!$C$2:$C$1960,0)))</f>
        <v/>
      </c>
      <c r="K1740" s="9">
        <f>IF(ISNA(MATCH(1731,'Transfer Engine'!$C$2:$C$1960,0)),"",INDEX('Compliance Database'!$K$2:$K$1960,MATCH(1731,'Transfer Engine'!$C$2:$C$1960,0)))</f>
        <v/>
      </c>
      <c r="L1740" s="9">
        <f>IF(ISNA(MATCH(1731,'Transfer Engine'!$C$2:$C$1960,0)),"",INDEX('Compliance Database'!$L$2:$L$1960,MATCH(1731,'Transfer Engine'!$C$2:$C$1960,0)))</f>
        <v/>
      </c>
      <c r="M1740" s="9">
        <f>IF(ISNA(MATCH(1731,'Transfer Engine'!$C$2:$C$1960,0)),"",INDEX('Compliance Database'!$M$2:$M$1960,MATCH(1731,'Transfer Engine'!$C$2:$C$1960,0)))</f>
        <v/>
      </c>
      <c r="N1740" s="9">
        <f>IF(ISNA(MATCH(1731,'Transfer Engine'!$C$2:$C$1960,0)),"",INDEX('Compliance Database'!$N$2:$N$1960,MATCH(1731,'Transfer Engine'!$C$2:$C$1960,0)))</f>
        <v/>
      </c>
      <c r="O1740" s="9">
        <f>IF(ISNA(MATCH(1731,'Transfer Engine'!$C$2:$C$1960,0)),"",INDEX('Compliance Database'!$O$2:$O$1960,MATCH(1731,'Transfer Engine'!$C$2:$C$1960,0)))</f>
        <v/>
      </c>
      <c r="P1740" s="8">
        <f>IF(ISNA(MATCH(1731,'Transfer Engine'!$C$2:$C$1960,0)),"",HYPERLINK("#Acts!A"&amp;INDEX('Compliance Database'!$P$2:$P$1960,MATCH(1731,'Transfer Engine'!$C$2:$C$1960,0)),"Go to Act"))</f>
        <v/>
      </c>
    </row>
    <row r="1741" ht="158" customHeight="1">
      <c r="A1741" s="8">
        <f>IF(ISNA(MATCH(1732,'Transfer Engine'!$C$2:$C$1960,0)),"",INDEX('Compliance Database'!$A$2:$A$1960,MATCH(1732,'Transfer Engine'!$C$2:$C$1960,0)))</f>
        <v/>
      </c>
      <c r="B1741" s="8">
        <f>IF(ISNA(MATCH(1732,'Transfer Engine'!$C$2:$C$1960,0)),"",INDEX('Compliance Database'!$B$2:$B$1960,MATCH(1732,'Transfer Engine'!$C$2:$C$1960,0)))</f>
        <v/>
      </c>
      <c r="C1741" s="8">
        <f>IF(ISNA(MATCH(1732,'Transfer Engine'!$C$2:$C$1960,0)),"",INDEX('Compliance Database'!$C$2:$C$1960,MATCH(1732,'Transfer Engine'!$C$2:$C$1960,0)))</f>
        <v/>
      </c>
      <c r="D1741" s="9">
        <f>IF(ISNA(MATCH(1732,'Transfer Engine'!$C$2:$C$1960,0)),"",INDEX('Compliance Database'!$D$2:$D$1960,MATCH(1732,'Transfer Engine'!$C$2:$C$1960,0)))</f>
        <v/>
      </c>
      <c r="E1741" s="8">
        <f>IF(ISNA(MATCH(1732,'Transfer Engine'!$C$2:$C$1960,0)),"",INDEX('Compliance Database'!$E$2:$E$1960,MATCH(1732,'Transfer Engine'!$C$2:$C$1960,0)))</f>
        <v/>
      </c>
      <c r="F1741" s="8">
        <f>IF(ISNA(MATCH(1732,'Transfer Engine'!$C$2:$C$1960,0)),"",INDEX('Compliance Database'!$F$2:$F$1960,MATCH(1732,'Transfer Engine'!$C$2:$C$1960,0)))</f>
        <v/>
      </c>
      <c r="G1741" s="8">
        <f>IF(ISNA(MATCH(1732,'Transfer Engine'!$C$2:$C$1960,0)),"",INDEX('Compliance Database'!$G$2:$G$1960,MATCH(1732,'Transfer Engine'!$C$2:$C$1960,0)))</f>
        <v/>
      </c>
      <c r="H1741" s="9">
        <f>IF(ISNA(MATCH(1732,'Transfer Engine'!$C$2:$C$1960,0)),"",INDEX('Compliance Database'!$H$2:$H$1960,MATCH(1732,'Transfer Engine'!$C$2:$C$1960,0)))</f>
        <v/>
      </c>
      <c r="I1741" s="9">
        <f>IF(ISNA(MATCH(1732,'Transfer Engine'!$C$2:$C$1960,0)),"",INDEX('Compliance Database'!$I$2:$I$1960,MATCH(1732,'Transfer Engine'!$C$2:$C$1960,0)))</f>
        <v/>
      </c>
      <c r="J1741" s="8">
        <f>IF(ISNA(MATCH(1732,'Transfer Engine'!$C$2:$C$1960,0)),"",INDEX('Compliance Database'!$J$2:$J$1960,MATCH(1732,'Transfer Engine'!$C$2:$C$1960,0)))</f>
        <v/>
      </c>
      <c r="K1741" s="9">
        <f>IF(ISNA(MATCH(1732,'Transfer Engine'!$C$2:$C$1960,0)),"",INDEX('Compliance Database'!$K$2:$K$1960,MATCH(1732,'Transfer Engine'!$C$2:$C$1960,0)))</f>
        <v/>
      </c>
      <c r="L1741" s="9">
        <f>IF(ISNA(MATCH(1732,'Transfer Engine'!$C$2:$C$1960,0)),"",INDEX('Compliance Database'!$L$2:$L$1960,MATCH(1732,'Transfer Engine'!$C$2:$C$1960,0)))</f>
        <v/>
      </c>
      <c r="M1741" s="9">
        <f>IF(ISNA(MATCH(1732,'Transfer Engine'!$C$2:$C$1960,0)),"",INDEX('Compliance Database'!$M$2:$M$1960,MATCH(1732,'Transfer Engine'!$C$2:$C$1960,0)))</f>
        <v/>
      </c>
      <c r="N1741" s="9">
        <f>IF(ISNA(MATCH(1732,'Transfer Engine'!$C$2:$C$1960,0)),"",INDEX('Compliance Database'!$N$2:$N$1960,MATCH(1732,'Transfer Engine'!$C$2:$C$1960,0)))</f>
        <v/>
      </c>
      <c r="O1741" s="9">
        <f>IF(ISNA(MATCH(1732,'Transfer Engine'!$C$2:$C$1960,0)),"",INDEX('Compliance Database'!$O$2:$O$1960,MATCH(1732,'Transfer Engine'!$C$2:$C$1960,0)))</f>
        <v/>
      </c>
      <c r="P1741" s="8">
        <f>IF(ISNA(MATCH(1732,'Transfer Engine'!$C$2:$C$1960,0)),"",HYPERLINK("#Acts!A"&amp;INDEX('Compliance Database'!$P$2:$P$1960,MATCH(1732,'Transfer Engine'!$C$2:$C$1960,0)),"Go to Act"))</f>
        <v/>
      </c>
    </row>
    <row r="1742" ht="158" customHeight="1">
      <c r="A1742" s="8">
        <f>IF(ISNA(MATCH(1733,'Transfer Engine'!$C$2:$C$1960,0)),"",INDEX('Compliance Database'!$A$2:$A$1960,MATCH(1733,'Transfer Engine'!$C$2:$C$1960,0)))</f>
        <v/>
      </c>
      <c r="B1742" s="8">
        <f>IF(ISNA(MATCH(1733,'Transfer Engine'!$C$2:$C$1960,0)),"",INDEX('Compliance Database'!$B$2:$B$1960,MATCH(1733,'Transfer Engine'!$C$2:$C$1960,0)))</f>
        <v/>
      </c>
      <c r="C1742" s="8">
        <f>IF(ISNA(MATCH(1733,'Transfer Engine'!$C$2:$C$1960,0)),"",INDEX('Compliance Database'!$C$2:$C$1960,MATCH(1733,'Transfer Engine'!$C$2:$C$1960,0)))</f>
        <v/>
      </c>
      <c r="D1742" s="9">
        <f>IF(ISNA(MATCH(1733,'Transfer Engine'!$C$2:$C$1960,0)),"",INDEX('Compliance Database'!$D$2:$D$1960,MATCH(1733,'Transfer Engine'!$C$2:$C$1960,0)))</f>
        <v/>
      </c>
      <c r="E1742" s="8">
        <f>IF(ISNA(MATCH(1733,'Transfer Engine'!$C$2:$C$1960,0)),"",INDEX('Compliance Database'!$E$2:$E$1960,MATCH(1733,'Transfer Engine'!$C$2:$C$1960,0)))</f>
        <v/>
      </c>
      <c r="F1742" s="8">
        <f>IF(ISNA(MATCH(1733,'Transfer Engine'!$C$2:$C$1960,0)),"",INDEX('Compliance Database'!$F$2:$F$1960,MATCH(1733,'Transfer Engine'!$C$2:$C$1960,0)))</f>
        <v/>
      </c>
      <c r="G1742" s="8">
        <f>IF(ISNA(MATCH(1733,'Transfer Engine'!$C$2:$C$1960,0)),"",INDEX('Compliance Database'!$G$2:$G$1960,MATCH(1733,'Transfer Engine'!$C$2:$C$1960,0)))</f>
        <v/>
      </c>
      <c r="H1742" s="9">
        <f>IF(ISNA(MATCH(1733,'Transfer Engine'!$C$2:$C$1960,0)),"",INDEX('Compliance Database'!$H$2:$H$1960,MATCH(1733,'Transfer Engine'!$C$2:$C$1960,0)))</f>
        <v/>
      </c>
      <c r="I1742" s="9">
        <f>IF(ISNA(MATCH(1733,'Transfer Engine'!$C$2:$C$1960,0)),"",INDEX('Compliance Database'!$I$2:$I$1960,MATCH(1733,'Transfer Engine'!$C$2:$C$1960,0)))</f>
        <v/>
      </c>
      <c r="J1742" s="8">
        <f>IF(ISNA(MATCH(1733,'Transfer Engine'!$C$2:$C$1960,0)),"",INDEX('Compliance Database'!$J$2:$J$1960,MATCH(1733,'Transfer Engine'!$C$2:$C$1960,0)))</f>
        <v/>
      </c>
      <c r="K1742" s="9">
        <f>IF(ISNA(MATCH(1733,'Transfer Engine'!$C$2:$C$1960,0)),"",INDEX('Compliance Database'!$K$2:$K$1960,MATCH(1733,'Transfer Engine'!$C$2:$C$1960,0)))</f>
        <v/>
      </c>
      <c r="L1742" s="9">
        <f>IF(ISNA(MATCH(1733,'Transfer Engine'!$C$2:$C$1960,0)),"",INDEX('Compliance Database'!$L$2:$L$1960,MATCH(1733,'Transfer Engine'!$C$2:$C$1960,0)))</f>
        <v/>
      </c>
      <c r="M1742" s="9">
        <f>IF(ISNA(MATCH(1733,'Transfer Engine'!$C$2:$C$1960,0)),"",INDEX('Compliance Database'!$M$2:$M$1960,MATCH(1733,'Transfer Engine'!$C$2:$C$1960,0)))</f>
        <v/>
      </c>
      <c r="N1742" s="9">
        <f>IF(ISNA(MATCH(1733,'Transfer Engine'!$C$2:$C$1960,0)),"",INDEX('Compliance Database'!$N$2:$N$1960,MATCH(1733,'Transfer Engine'!$C$2:$C$1960,0)))</f>
        <v/>
      </c>
      <c r="O1742" s="9">
        <f>IF(ISNA(MATCH(1733,'Transfer Engine'!$C$2:$C$1960,0)),"",INDEX('Compliance Database'!$O$2:$O$1960,MATCH(1733,'Transfer Engine'!$C$2:$C$1960,0)))</f>
        <v/>
      </c>
      <c r="P1742" s="8">
        <f>IF(ISNA(MATCH(1733,'Transfer Engine'!$C$2:$C$1960,0)),"",HYPERLINK("#Acts!A"&amp;INDEX('Compliance Database'!$P$2:$P$1960,MATCH(1733,'Transfer Engine'!$C$2:$C$1960,0)),"Go to Act"))</f>
        <v/>
      </c>
    </row>
    <row r="1743" ht="158" customHeight="1">
      <c r="A1743" s="8">
        <f>IF(ISNA(MATCH(1734,'Transfer Engine'!$C$2:$C$1960,0)),"",INDEX('Compliance Database'!$A$2:$A$1960,MATCH(1734,'Transfer Engine'!$C$2:$C$1960,0)))</f>
        <v/>
      </c>
      <c r="B1743" s="8">
        <f>IF(ISNA(MATCH(1734,'Transfer Engine'!$C$2:$C$1960,0)),"",INDEX('Compliance Database'!$B$2:$B$1960,MATCH(1734,'Transfer Engine'!$C$2:$C$1960,0)))</f>
        <v/>
      </c>
      <c r="C1743" s="8">
        <f>IF(ISNA(MATCH(1734,'Transfer Engine'!$C$2:$C$1960,0)),"",INDEX('Compliance Database'!$C$2:$C$1960,MATCH(1734,'Transfer Engine'!$C$2:$C$1960,0)))</f>
        <v/>
      </c>
      <c r="D1743" s="9">
        <f>IF(ISNA(MATCH(1734,'Transfer Engine'!$C$2:$C$1960,0)),"",INDEX('Compliance Database'!$D$2:$D$1960,MATCH(1734,'Transfer Engine'!$C$2:$C$1960,0)))</f>
        <v/>
      </c>
      <c r="E1743" s="8">
        <f>IF(ISNA(MATCH(1734,'Transfer Engine'!$C$2:$C$1960,0)),"",INDEX('Compliance Database'!$E$2:$E$1960,MATCH(1734,'Transfer Engine'!$C$2:$C$1960,0)))</f>
        <v/>
      </c>
      <c r="F1743" s="8">
        <f>IF(ISNA(MATCH(1734,'Transfer Engine'!$C$2:$C$1960,0)),"",INDEX('Compliance Database'!$F$2:$F$1960,MATCH(1734,'Transfer Engine'!$C$2:$C$1960,0)))</f>
        <v/>
      </c>
      <c r="G1743" s="8">
        <f>IF(ISNA(MATCH(1734,'Transfer Engine'!$C$2:$C$1960,0)),"",INDEX('Compliance Database'!$G$2:$G$1960,MATCH(1734,'Transfer Engine'!$C$2:$C$1960,0)))</f>
        <v/>
      </c>
      <c r="H1743" s="9">
        <f>IF(ISNA(MATCH(1734,'Transfer Engine'!$C$2:$C$1960,0)),"",INDEX('Compliance Database'!$H$2:$H$1960,MATCH(1734,'Transfer Engine'!$C$2:$C$1960,0)))</f>
        <v/>
      </c>
      <c r="I1743" s="9">
        <f>IF(ISNA(MATCH(1734,'Transfer Engine'!$C$2:$C$1960,0)),"",INDEX('Compliance Database'!$I$2:$I$1960,MATCH(1734,'Transfer Engine'!$C$2:$C$1960,0)))</f>
        <v/>
      </c>
      <c r="J1743" s="8">
        <f>IF(ISNA(MATCH(1734,'Transfer Engine'!$C$2:$C$1960,0)),"",INDEX('Compliance Database'!$J$2:$J$1960,MATCH(1734,'Transfer Engine'!$C$2:$C$1960,0)))</f>
        <v/>
      </c>
      <c r="K1743" s="9">
        <f>IF(ISNA(MATCH(1734,'Transfer Engine'!$C$2:$C$1960,0)),"",INDEX('Compliance Database'!$K$2:$K$1960,MATCH(1734,'Transfer Engine'!$C$2:$C$1960,0)))</f>
        <v/>
      </c>
      <c r="L1743" s="9">
        <f>IF(ISNA(MATCH(1734,'Transfer Engine'!$C$2:$C$1960,0)),"",INDEX('Compliance Database'!$L$2:$L$1960,MATCH(1734,'Transfer Engine'!$C$2:$C$1960,0)))</f>
        <v/>
      </c>
      <c r="M1743" s="9">
        <f>IF(ISNA(MATCH(1734,'Transfer Engine'!$C$2:$C$1960,0)),"",INDEX('Compliance Database'!$M$2:$M$1960,MATCH(1734,'Transfer Engine'!$C$2:$C$1960,0)))</f>
        <v/>
      </c>
      <c r="N1743" s="9">
        <f>IF(ISNA(MATCH(1734,'Transfer Engine'!$C$2:$C$1960,0)),"",INDEX('Compliance Database'!$N$2:$N$1960,MATCH(1734,'Transfer Engine'!$C$2:$C$1960,0)))</f>
        <v/>
      </c>
      <c r="O1743" s="9">
        <f>IF(ISNA(MATCH(1734,'Transfer Engine'!$C$2:$C$1960,0)),"",INDEX('Compliance Database'!$O$2:$O$1960,MATCH(1734,'Transfer Engine'!$C$2:$C$1960,0)))</f>
        <v/>
      </c>
      <c r="P1743" s="8">
        <f>IF(ISNA(MATCH(1734,'Transfer Engine'!$C$2:$C$1960,0)),"",HYPERLINK("#Acts!A"&amp;INDEX('Compliance Database'!$P$2:$P$1960,MATCH(1734,'Transfer Engine'!$C$2:$C$1960,0)),"Go to Act"))</f>
        <v/>
      </c>
    </row>
    <row r="1744" ht="158" customHeight="1">
      <c r="A1744" s="8">
        <f>IF(ISNA(MATCH(1735,'Transfer Engine'!$C$2:$C$1960,0)),"",INDEX('Compliance Database'!$A$2:$A$1960,MATCH(1735,'Transfer Engine'!$C$2:$C$1960,0)))</f>
        <v/>
      </c>
      <c r="B1744" s="8">
        <f>IF(ISNA(MATCH(1735,'Transfer Engine'!$C$2:$C$1960,0)),"",INDEX('Compliance Database'!$B$2:$B$1960,MATCH(1735,'Transfer Engine'!$C$2:$C$1960,0)))</f>
        <v/>
      </c>
      <c r="C1744" s="8">
        <f>IF(ISNA(MATCH(1735,'Transfer Engine'!$C$2:$C$1960,0)),"",INDEX('Compliance Database'!$C$2:$C$1960,MATCH(1735,'Transfer Engine'!$C$2:$C$1960,0)))</f>
        <v/>
      </c>
      <c r="D1744" s="9">
        <f>IF(ISNA(MATCH(1735,'Transfer Engine'!$C$2:$C$1960,0)),"",INDEX('Compliance Database'!$D$2:$D$1960,MATCH(1735,'Transfer Engine'!$C$2:$C$1960,0)))</f>
        <v/>
      </c>
      <c r="E1744" s="8">
        <f>IF(ISNA(MATCH(1735,'Transfer Engine'!$C$2:$C$1960,0)),"",INDEX('Compliance Database'!$E$2:$E$1960,MATCH(1735,'Transfer Engine'!$C$2:$C$1960,0)))</f>
        <v/>
      </c>
      <c r="F1744" s="8">
        <f>IF(ISNA(MATCH(1735,'Transfer Engine'!$C$2:$C$1960,0)),"",INDEX('Compliance Database'!$F$2:$F$1960,MATCH(1735,'Transfer Engine'!$C$2:$C$1960,0)))</f>
        <v/>
      </c>
      <c r="G1744" s="8">
        <f>IF(ISNA(MATCH(1735,'Transfer Engine'!$C$2:$C$1960,0)),"",INDEX('Compliance Database'!$G$2:$G$1960,MATCH(1735,'Transfer Engine'!$C$2:$C$1960,0)))</f>
        <v/>
      </c>
      <c r="H1744" s="9">
        <f>IF(ISNA(MATCH(1735,'Transfer Engine'!$C$2:$C$1960,0)),"",INDEX('Compliance Database'!$H$2:$H$1960,MATCH(1735,'Transfer Engine'!$C$2:$C$1960,0)))</f>
        <v/>
      </c>
      <c r="I1744" s="9">
        <f>IF(ISNA(MATCH(1735,'Transfer Engine'!$C$2:$C$1960,0)),"",INDEX('Compliance Database'!$I$2:$I$1960,MATCH(1735,'Transfer Engine'!$C$2:$C$1960,0)))</f>
        <v/>
      </c>
      <c r="J1744" s="8">
        <f>IF(ISNA(MATCH(1735,'Transfer Engine'!$C$2:$C$1960,0)),"",INDEX('Compliance Database'!$J$2:$J$1960,MATCH(1735,'Transfer Engine'!$C$2:$C$1960,0)))</f>
        <v/>
      </c>
      <c r="K1744" s="9">
        <f>IF(ISNA(MATCH(1735,'Transfer Engine'!$C$2:$C$1960,0)),"",INDEX('Compliance Database'!$K$2:$K$1960,MATCH(1735,'Transfer Engine'!$C$2:$C$1960,0)))</f>
        <v/>
      </c>
      <c r="L1744" s="9">
        <f>IF(ISNA(MATCH(1735,'Transfer Engine'!$C$2:$C$1960,0)),"",INDEX('Compliance Database'!$L$2:$L$1960,MATCH(1735,'Transfer Engine'!$C$2:$C$1960,0)))</f>
        <v/>
      </c>
      <c r="M1744" s="9">
        <f>IF(ISNA(MATCH(1735,'Transfer Engine'!$C$2:$C$1960,0)),"",INDEX('Compliance Database'!$M$2:$M$1960,MATCH(1735,'Transfer Engine'!$C$2:$C$1960,0)))</f>
        <v/>
      </c>
      <c r="N1744" s="9">
        <f>IF(ISNA(MATCH(1735,'Transfer Engine'!$C$2:$C$1960,0)),"",INDEX('Compliance Database'!$N$2:$N$1960,MATCH(1735,'Transfer Engine'!$C$2:$C$1960,0)))</f>
        <v/>
      </c>
      <c r="O1744" s="9">
        <f>IF(ISNA(MATCH(1735,'Transfer Engine'!$C$2:$C$1960,0)),"",INDEX('Compliance Database'!$O$2:$O$1960,MATCH(1735,'Transfer Engine'!$C$2:$C$1960,0)))</f>
        <v/>
      </c>
      <c r="P1744" s="8">
        <f>IF(ISNA(MATCH(1735,'Transfer Engine'!$C$2:$C$1960,0)),"",HYPERLINK("#Acts!A"&amp;INDEX('Compliance Database'!$P$2:$P$1960,MATCH(1735,'Transfer Engine'!$C$2:$C$1960,0)),"Go to Act"))</f>
        <v/>
      </c>
    </row>
    <row r="1745" ht="158" customHeight="1">
      <c r="A1745" s="8">
        <f>IF(ISNA(MATCH(1736,'Transfer Engine'!$C$2:$C$1960,0)),"",INDEX('Compliance Database'!$A$2:$A$1960,MATCH(1736,'Transfer Engine'!$C$2:$C$1960,0)))</f>
        <v/>
      </c>
      <c r="B1745" s="8">
        <f>IF(ISNA(MATCH(1736,'Transfer Engine'!$C$2:$C$1960,0)),"",INDEX('Compliance Database'!$B$2:$B$1960,MATCH(1736,'Transfer Engine'!$C$2:$C$1960,0)))</f>
        <v/>
      </c>
      <c r="C1745" s="8">
        <f>IF(ISNA(MATCH(1736,'Transfer Engine'!$C$2:$C$1960,0)),"",INDEX('Compliance Database'!$C$2:$C$1960,MATCH(1736,'Transfer Engine'!$C$2:$C$1960,0)))</f>
        <v/>
      </c>
      <c r="D1745" s="9">
        <f>IF(ISNA(MATCH(1736,'Transfer Engine'!$C$2:$C$1960,0)),"",INDEX('Compliance Database'!$D$2:$D$1960,MATCH(1736,'Transfer Engine'!$C$2:$C$1960,0)))</f>
        <v/>
      </c>
      <c r="E1745" s="8">
        <f>IF(ISNA(MATCH(1736,'Transfer Engine'!$C$2:$C$1960,0)),"",INDEX('Compliance Database'!$E$2:$E$1960,MATCH(1736,'Transfer Engine'!$C$2:$C$1960,0)))</f>
        <v/>
      </c>
      <c r="F1745" s="8">
        <f>IF(ISNA(MATCH(1736,'Transfer Engine'!$C$2:$C$1960,0)),"",INDEX('Compliance Database'!$F$2:$F$1960,MATCH(1736,'Transfer Engine'!$C$2:$C$1960,0)))</f>
        <v/>
      </c>
      <c r="G1745" s="8">
        <f>IF(ISNA(MATCH(1736,'Transfer Engine'!$C$2:$C$1960,0)),"",INDEX('Compliance Database'!$G$2:$G$1960,MATCH(1736,'Transfer Engine'!$C$2:$C$1960,0)))</f>
        <v/>
      </c>
      <c r="H1745" s="9">
        <f>IF(ISNA(MATCH(1736,'Transfer Engine'!$C$2:$C$1960,0)),"",INDEX('Compliance Database'!$H$2:$H$1960,MATCH(1736,'Transfer Engine'!$C$2:$C$1960,0)))</f>
        <v/>
      </c>
      <c r="I1745" s="9">
        <f>IF(ISNA(MATCH(1736,'Transfer Engine'!$C$2:$C$1960,0)),"",INDEX('Compliance Database'!$I$2:$I$1960,MATCH(1736,'Transfer Engine'!$C$2:$C$1960,0)))</f>
        <v/>
      </c>
      <c r="J1745" s="8">
        <f>IF(ISNA(MATCH(1736,'Transfer Engine'!$C$2:$C$1960,0)),"",INDEX('Compliance Database'!$J$2:$J$1960,MATCH(1736,'Transfer Engine'!$C$2:$C$1960,0)))</f>
        <v/>
      </c>
      <c r="K1745" s="9">
        <f>IF(ISNA(MATCH(1736,'Transfer Engine'!$C$2:$C$1960,0)),"",INDEX('Compliance Database'!$K$2:$K$1960,MATCH(1736,'Transfer Engine'!$C$2:$C$1960,0)))</f>
        <v/>
      </c>
      <c r="L1745" s="9">
        <f>IF(ISNA(MATCH(1736,'Transfer Engine'!$C$2:$C$1960,0)),"",INDEX('Compliance Database'!$L$2:$L$1960,MATCH(1736,'Transfer Engine'!$C$2:$C$1960,0)))</f>
        <v/>
      </c>
      <c r="M1745" s="9">
        <f>IF(ISNA(MATCH(1736,'Transfer Engine'!$C$2:$C$1960,0)),"",INDEX('Compliance Database'!$M$2:$M$1960,MATCH(1736,'Transfer Engine'!$C$2:$C$1960,0)))</f>
        <v/>
      </c>
      <c r="N1745" s="9">
        <f>IF(ISNA(MATCH(1736,'Transfer Engine'!$C$2:$C$1960,0)),"",INDEX('Compliance Database'!$N$2:$N$1960,MATCH(1736,'Transfer Engine'!$C$2:$C$1960,0)))</f>
        <v/>
      </c>
      <c r="O1745" s="9">
        <f>IF(ISNA(MATCH(1736,'Transfer Engine'!$C$2:$C$1960,0)),"",INDEX('Compliance Database'!$O$2:$O$1960,MATCH(1736,'Transfer Engine'!$C$2:$C$1960,0)))</f>
        <v/>
      </c>
      <c r="P1745" s="8">
        <f>IF(ISNA(MATCH(1736,'Transfer Engine'!$C$2:$C$1960,0)),"",HYPERLINK("#Acts!A"&amp;INDEX('Compliance Database'!$P$2:$P$1960,MATCH(1736,'Transfer Engine'!$C$2:$C$1960,0)),"Go to Act"))</f>
        <v/>
      </c>
    </row>
    <row r="1746" ht="158" customHeight="1">
      <c r="A1746" s="8">
        <f>IF(ISNA(MATCH(1737,'Transfer Engine'!$C$2:$C$1960,0)),"",INDEX('Compliance Database'!$A$2:$A$1960,MATCH(1737,'Transfer Engine'!$C$2:$C$1960,0)))</f>
        <v/>
      </c>
      <c r="B1746" s="8">
        <f>IF(ISNA(MATCH(1737,'Transfer Engine'!$C$2:$C$1960,0)),"",INDEX('Compliance Database'!$B$2:$B$1960,MATCH(1737,'Transfer Engine'!$C$2:$C$1960,0)))</f>
        <v/>
      </c>
      <c r="C1746" s="8">
        <f>IF(ISNA(MATCH(1737,'Transfer Engine'!$C$2:$C$1960,0)),"",INDEX('Compliance Database'!$C$2:$C$1960,MATCH(1737,'Transfer Engine'!$C$2:$C$1960,0)))</f>
        <v/>
      </c>
      <c r="D1746" s="9">
        <f>IF(ISNA(MATCH(1737,'Transfer Engine'!$C$2:$C$1960,0)),"",INDEX('Compliance Database'!$D$2:$D$1960,MATCH(1737,'Transfer Engine'!$C$2:$C$1960,0)))</f>
        <v/>
      </c>
      <c r="E1746" s="8">
        <f>IF(ISNA(MATCH(1737,'Transfer Engine'!$C$2:$C$1960,0)),"",INDEX('Compliance Database'!$E$2:$E$1960,MATCH(1737,'Transfer Engine'!$C$2:$C$1960,0)))</f>
        <v/>
      </c>
      <c r="F1746" s="8">
        <f>IF(ISNA(MATCH(1737,'Transfer Engine'!$C$2:$C$1960,0)),"",INDEX('Compliance Database'!$F$2:$F$1960,MATCH(1737,'Transfer Engine'!$C$2:$C$1960,0)))</f>
        <v/>
      </c>
      <c r="G1746" s="8">
        <f>IF(ISNA(MATCH(1737,'Transfer Engine'!$C$2:$C$1960,0)),"",INDEX('Compliance Database'!$G$2:$G$1960,MATCH(1737,'Transfer Engine'!$C$2:$C$1960,0)))</f>
        <v/>
      </c>
      <c r="H1746" s="9">
        <f>IF(ISNA(MATCH(1737,'Transfer Engine'!$C$2:$C$1960,0)),"",INDEX('Compliance Database'!$H$2:$H$1960,MATCH(1737,'Transfer Engine'!$C$2:$C$1960,0)))</f>
        <v/>
      </c>
      <c r="I1746" s="9">
        <f>IF(ISNA(MATCH(1737,'Transfer Engine'!$C$2:$C$1960,0)),"",INDEX('Compliance Database'!$I$2:$I$1960,MATCH(1737,'Transfer Engine'!$C$2:$C$1960,0)))</f>
        <v/>
      </c>
      <c r="J1746" s="8">
        <f>IF(ISNA(MATCH(1737,'Transfer Engine'!$C$2:$C$1960,0)),"",INDEX('Compliance Database'!$J$2:$J$1960,MATCH(1737,'Transfer Engine'!$C$2:$C$1960,0)))</f>
        <v/>
      </c>
      <c r="K1746" s="9">
        <f>IF(ISNA(MATCH(1737,'Transfer Engine'!$C$2:$C$1960,0)),"",INDEX('Compliance Database'!$K$2:$K$1960,MATCH(1737,'Transfer Engine'!$C$2:$C$1960,0)))</f>
        <v/>
      </c>
      <c r="L1746" s="9">
        <f>IF(ISNA(MATCH(1737,'Transfer Engine'!$C$2:$C$1960,0)),"",INDEX('Compliance Database'!$L$2:$L$1960,MATCH(1737,'Transfer Engine'!$C$2:$C$1960,0)))</f>
        <v/>
      </c>
      <c r="M1746" s="9">
        <f>IF(ISNA(MATCH(1737,'Transfer Engine'!$C$2:$C$1960,0)),"",INDEX('Compliance Database'!$M$2:$M$1960,MATCH(1737,'Transfer Engine'!$C$2:$C$1960,0)))</f>
        <v/>
      </c>
      <c r="N1746" s="9">
        <f>IF(ISNA(MATCH(1737,'Transfer Engine'!$C$2:$C$1960,0)),"",INDEX('Compliance Database'!$N$2:$N$1960,MATCH(1737,'Transfer Engine'!$C$2:$C$1960,0)))</f>
        <v/>
      </c>
      <c r="O1746" s="9">
        <f>IF(ISNA(MATCH(1737,'Transfer Engine'!$C$2:$C$1960,0)),"",INDEX('Compliance Database'!$O$2:$O$1960,MATCH(1737,'Transfer Engine'!$C$2:$C$1960,0)))</f>
        <v/>
      </c>
      <c r="P1746" s="8">
        <f>IF(ISNA(MATCH(1737,'Transfer Engine'!$C$2:$C$1960,0)),"",HYPERLINK("#Acts!A"&amp;INDEX('Compliance Database'!$P$2:$P$1960,MATCH(1737,'Transfer Engine'!$C$2:$C$1960,0)),"Go to Act"))</f>
        <v/>
      </c>
    </row>
    <row r="1747" ht="158" customHeight="1">
      <c r="A1747" s="8">
        <f>IF(ISNA(MATCH(1738,'Transfer Engine'!$C$2:$C$1960,0)),"",INDEX('Compliance Database'!$A$2:$A$1960,MATCH(1738,'Transfer Engine'!$C$2:$C$1960,0)))</f>
        <v/>
      </c>
      <c r="B1747" s="8">
        <f>IF(ISNA(MATCH(1738,'Transfer Engine'!$C$2:$C$1960,0)),"",INDEX('Compliance Database'!$B$2:$B$1960,MATCH(1738,'Transfer Engine'!$C$2:$C$1960,0)))</f>
        <v/>
      </c>
      <c r="C1747" s="8">
        <f>IF(ISNA(MATCH(1738,'Transfer Engine'!$C$2:$C$1960,0)),"",INDEX('Compliance Database'!$C$2:$C$1960,MATCH(1738,'Transfer Engine'!$C$2:$C$1960,0)))</f>
        <v/>
      </c>
      <c r="D1747" s="9">
        <f>IF(ISNA(MATCH(1738,'Transfer Engine'!$C$2:$C$1960,0)),"",INDEX('Compliance Database'!$D$2:$D$1960,MATCH(1738,'Transfer Engine'!$C$2:$C$1960,0)))</f>
        <v/>
      </c>
      <c r="E1747" s="8">
        <f>IF(ISNA(MATCH(1738,'Transfer Engine'!$C$2:$C$1960,0)),"",INDEX('Compliance Database'!$E$2:$E$1960,MATCH(1738,'Transfer Engine'!$C$2:$C$1960,0)))</f>
        <v/>
      </c>
      <c r="F1747" s="8">
        <f>IF(ISNA(MATCH(1738,'Transfer Engine'!$C$2:$C$1960,0)),"",INDEX('Compliance Database'!$F$2:$F$1960,MATCH(1738,'Transfer Engine'!$C$2:$C$1960,0)))</f>
        <v/>
      </c>
      <c r="G1747" s="8">
        <f>IF(ISNA(MATCH(1738,'Transfer Engine'!$C$2:$C$1960,0)),"",INDEX('Compliance Database'!$G$2:$G$1960,MATCH(1738,'Transfer Engine'!$C$2:$C$1960,0)))</f>
        <v/>
      </c>
      <c r="H1747" s="9">
        <f>IF(ISNA(MATCH(1738,'Transfer Engine'!$C$2:$C$1960,0)),"",INDEX('Compliance Database'!$H$2:$H$1960,MATCH(1738,'Transfer Engine'!$C$2:$C$1960,0)))</f>
        <v/>
      </c>
      <c r="I1747" s="9">
        <f>IF(ISNA(MATCH(1738,'Transfer Engine'!$C$2:$C$1960,0)),"",INDEX('Compliance Database'!$I$2:$I$1960,MATCH(1738,'Transfer Engine'!$C$2:$C$1960,0)))</f>
        <v/>
      </c>
      <c r="J1747" s="8">
        <f>IF(ISNA(MATCH(1738,'Transfer Engine'!$C$2:$C$1960,0)),"",INDEX('Compliance Database'!$J$2:$J$1960,MATCH(1738,'Transfer Engine'!$C$2:$C$1960,0)))</f>
        <v/>
      </c>
      <c r="K1747" s="9">
        <f>IF(ISNA(MATCH(1738,'Transfer Engine'!$C$2:$C$1960,0)),"",INDEX('Compliance Database'!$K$2:$K$1960,MATCH(1738,'Transfer Engine'!$C$2:$C$1960,0)))</f>
        <v/>
      </c>
      <c r="L1747" s="9">
        <f>IF(ISNA(MATCH(1738,'Transfer Engine'!$C$2:$C$1960,0)),"",INDEX('Compliance Database'!$L$2:$L$1960,MATCH(1738,'Transfer Engine'!$C$2:$C$1960,0)))</f>
        <v/>
      </c>
      <c r="M1747" s="9">
        <f>IF(ISNA(MATCH(1738,'Transfer Engine'!$C$2:$C$1960,0)),"",INDEX('Compliance Database'!$M$2:$M$1960,MATCH(1738,'Transfer Engine'!$C$2:$C$1960,0)))</f>
        <v/>
      </c>
      <c r="N1747" s="9">
        <f>IF(ISNA(MATCH(1738,'Transfer Engine'!$C$2:$C$1960,0)),"",INDEX('Compliance Database'!$N$2:$N$1960,MATCH(1738,'Transfer Engine'!$C$2:$C$1960,0)))</f>
        <v/>
      </c>
      <c r="O1747" s="9">
        <f>IF(ISNA(MATCH(1738,'Transfer Engine'!$C$2:$C$1960,0)),"",INDEX('Compliance Database'!$O$2:$O$1960,MATCH(1738,'Transfer Engine'!$C$2:$C$1960,0)))</f>
        <v/>
      </c>
      <c r="P1747" s="8">
        <f>IF(ISNA(MATCH(1738,'Transfer Engine'!$C$2:$C$1960,0)),"",HYPERLINK("#Acts!A"&amp;INDEX('Compliance Database'!$P$2:$P$1960,MATCH(1738,'Transfer Engine'!$C$2:$C$1960,0)),"Go to Act"))</f>
        <v/>
      </c>
    </row>
    <row r="1748" ht="158" customHeight="1">
      <c r="A1748" s="8">
        <f>IF(ISNA(MATCH(1739,'Transfer Engine'!$C$2:$C$1960,0)),"",INDEX('Compliance Database'!$A$2:$A$1960,MATCH(1739,'Transfer Engine'!$C$2:$C$1960,0)))</f>
        <v/>
      </c>
      <c r="B1748" s="8">
        <f>IF(ISNA(MATCH(1739,'Transfer Engine'!$C$2:$C$1960,0)),"",INDEX('Compliance Database'!$B$2:$B$1960,MATCH(1739,'Transfer Engine'!$C$2:$C$1960,0)))</f>
        <v/>
      </c>
      <c r="C1748" s="8">
        <f>IF(ISNA(MATCH(1739,'Transfer Engine'!$C$2:$C$1960,0)),"",INDEX('Compliance Database'!$C$2:$C$1960,MATCH(1739,'Transfer Engine'!$C$2:$C$1960,0)))</f>
        <v/>
      </c>
      <c r="D1748" s="9">
        <f>IF(ISNA(MATCH(1739,'Transfer Engine'!$C$2:$C$1960,0)),"",INDEX('Compliance Database'!$D$2:$D$1960,MATCH(1739,'Transfer Engine'!$C$2:$C$1960,0)))</f>
        <v/>
      </c>
      <c r="E1748" s="8">
        <f>IF(ISNA(MATCH(1739,'Transfer Engine'!$C$2:$C$1960,0)),"",INDEX('Compliance Database'!$E$2:$E$1960,MATCH(1739,'Transfer Engine'!$C$2:$C$1960,0)))</f>
        <v/>
      </c>
      <c r="F1748" s="8">
        <f>IF(ISNA(MATCH(1739,'Transfer Engine'!$C$2:$C$1960,0)),"",INDEX('Compliance Database'!$F$2:$F$1960,MATCH(1739,'Transfer Engine'!$C$2:$C$1960,0)))</f>
        <v/>
      </c>
      <c r="G1748" s="8">
        <f>IF(ISNA(MATCH(1739,'Transfer Engine'!$C$2:$C$1960,0)),"",INDEX('Compliance Database'!$G$2:$G$1960,MATCH(1739,'Transfer Engine'!$C$2:$C$1960,0)))</f>
        <v/>
      </c>
      <c r="H1748" s="9">
        <f>IF(ISNA(MATCH(1739,'Transfer Engine'!$C$2:$C$1960,0)),"",INDEX('Compliance Database'!$H$2:$H$1960,MATCH(1739,'Transfer Engine'!$C$2:$C$1960,0)))</f>
        <v/>
      </c>
      <c r="I1748" s="9">
        <f>IF(ISNA(MATCH(1739,'Transfer Engine'!$C$2:$C$1960,0)),"",INDEX('Compliance Database'!$I$2:$I$1960,MATCH(1739,'Transfer Engine'!$C$2:$C$1960,0)))</f>
        <v/>
      </c>
      <c r="J1748" s="8">
        <f>IF(ISNA(MATCH(1739,'Transfer Engine'!$C$2:$C$1960,0)),"",INDEX('Compliance Database'!$J$2:$J$1960,MATCH(1739,'Transfer Engine'!$C$2:$C$1960,0)))</f>
        <v/>
      </c>
      <c r="K1748" s="9">
        <f>IF(ISNA(MATCH(1739,'Transfer Engine'!$C$2:$C$1960,0)),"",INDEX('Compliance Database'!$K$2:$K$1960,MATCH(1739,'Transfer Engine'!$C$2:$C$1960,0)))</f>
        <v/>
      </c>
      <c r="L1748" s="9">
        <f>IF(ISNA(MATCH(1739,'Transfer Engine'!$C$2:$C$1960,0)),"",INDEX('Compliance Database'!$L$2:$L$1960,MATCH(1739,'Transfer Engine'!$C$2:$C$1960,0)))</f>
        <v/>
      </c>
      <c r="M1748" s="9">
        <f>IF(ISNA(MATCH(1739,'Transfer Engine'!$C$2:$C$1960,0)),"",INDEX('Compliance Database'!$M$2:$M$1960,MATCH(1739,'Transfer Engine'!$C$2:$C$1960,0)))</f>
        <v/>
      </c>
      <c r="N1748" s="9">
        <f>IF(ISNA(MATCH(1739,'Transfer Engine'!$C$2:$C$1960,0)),"",INDEX('Compliance Database'!$N$2:$N$1960,MATCH(1739,'Transfer Engine'!$C$2:$C$1960,0)))</f>
        <v/>
      </c>
      <c r="O1748" s="9">
        <f>IF(ISNA(MATCH(1739,'Transfer Engine'!$C$2:$C$1960,0)),"",INDEX('Compliance Database'!$O$2:$O$1960,MATCH(1739,'Transfer Engine'!$C$2:$C$1960,0)))</f>
        <v/>
      </c>
      <c r="P1748" s="8">
        <f>IF(ISNA(MATCH(1739,'Transfer Engine'!$C$2:$C$1960,0)),"",HYPERLINK("#Acts!A"&amp;INDEX('Compliance Database'!$P$2:$P$1960,MATCH(1739,'Transfer Engine'!$C$2:$C$1960,0)),"Go to Act"))</f>
        <v/>
      </c>
    </row>
    <row r="1749" ht="158" customHeight="1">
      <c r="A1749" s="8">
        <f>IF(ISNA(MATCH(1740,'Transfer Engine'!$C$2:$C$1960,0)),"",INDEX('Compliance Database'!$A$2:$A$1960,MATCH(1740,'Transfer Engine'!$C$2:$C$1960,0)))</f>
        <v/>
      </c>
      <c r="B1749" s="8">
        <f>IF(ISNA(MATCH(1740,'Transfer Engine'!$C$2:$C$1960,0)),"",INDEX('Compliance Database'!$B$2:$B$1960,MATCH(1740,'Transfer Engine'!$C$2:$C$1960,0)))</f>
        <v/>
      </c>
      <c r="C1749" s="8">
        <f>IF(ISNA(MATCH(1740,'Transfer Engine'!$C$2:$C$1960,0)),"",INDEX('Compliance Database'!$C$2:$C$1960,MATCH(1740,'Transfer Engine'!$C$2:$C$1960,0)))</f>
        <v/>
      </c>
      <c r="D1749" s="9">
        <f>IF(ISNA(MATCH(1740,'Transfer Engine'!$C$2:$C$1960,0)),"",INDEX('Compliance Database'!$D$2:$D$1960,MATCH(1740,'Transfer Engine'!$C$2:$C$1960,0)))</f>
        <v/>
      </c>
      <c r="E1749" s="8">
        <f>IF(ISNA(MATCH(1740,'Transfer Engine'!$C$2:$C$1960,0)),"",INDEX('Compliance Database'!$E$2:$E$1960,MATCH(1740,'Transfer Engine'!$C$2:$C$1960,0)))</f>
        <v/>
      </c>
      <c r="F1749" s="8">
        <f>IF(ISNA(MATCH(1740,'Transfer Engine'!$C$2:$C$1960,0)),"",INDEX('Compliance Database'!$F$2:$F$1960,MATCH(1740,'Transfer Engine'!$C$2:$C$1960,0)))</f>
        <v/>
      </c>
      <c r="G1749" s="8">
        <f>IF(ISNA(MATCH(1740,'Transfer Engine'!$C$2:$C$1960,0)),"",INDEX('Compliance Database'!$G$2:$G$1960,MATCH(1740,'Transfer Engine'!$C$2:$C$1960,0)))</f>
        <v/>
      </c>
      <c r="H1749" s="9">
        <f>IF(ISNA(MATCH(1740,'Transfer Engine'!$C$2:$C$1960,0)),"",INDEX('Compliance Database'!$H$2:$H$1960,MATCH(1740,'Transfer Engine'!$C$2:$C$1960,0)))</f>
        <v/>
      </c>
      <c r="I1749" s="9">
        <f>IF(ISNA(MATCH(1740,'Transfer Engine'!$C$2:$C$1960,0)),"",INDEX('Compliance Database'!$I$2:$I$1960,MATCH(1740,'Transfer Engine'!$C$2:$C$1960,0)))</f>
        <v/>
      </c>
      <c r="J1749" s="8">
        <f>IF(ISNA(MATCH(1740,'Transfer Engine'!$C$2:$C$1960,0)),"",INDEX('Compliance Database'!$J$2:$J$1960,MATCH(1740,'Transfer Engine'!$C$2:$C$1960,0)))</f>
        <v/>
      </c>
      <c r="K1749" s="9">
        <f>IF(ISNA(MATCH(1740,'Transfer Engine'!$C$2:$C$1960,0)),"",INDEX('Compliance Database'!$K$2:$K$1960,MATCH(1740,'Transfer Engine'!$C$2:$C$1960,0)))</f>
        <v/>
      </c>
      <c r="L1749" s="9">
        <f>IF(ISNA(MATCH(1740,'Transfer Engine'!$C$2:$C$1960,0)),"",INDEX('Compliance Database'!$L$2:$L$1960,MATCH(1740,'Transfer Engine'!$C$2:$C$1960,0)))</f>
        <v/>
      </c>
      <c r="M1749" s="9">
        <f>IF(ISNA(MATCH(1740,'Transfer Engine'!$C$2:$C$1960,0)),"",INDEX('Compliance Database'!$M$2:$M$1960,MATCH(1740,'Transfer Engine'!$C$2:$C$1960,0)))</f>
        <v/>
      </c>
      <c r="N1749" s="9">
        <f>IF(ISNA(MATCH(1740,'Transfer Engine'!$C$2:$C$1960,0)),"",INDEX('Compliance Database'!$N$2:$N$1960,MATCH(1740,'Transfer Engine'!$C$2:$C$1960,0)))</f>
        <v/>
      </c>
      <c r="O1749" s="9">
        <f>IF(ISNA(MATCH(1740,'Transfer Engine'!$C$2:$C$1960,0)),"",INDEX('Compliance Database'!$O$2:$O$1960,MATCH(1740,'Transfer Engine'!$C$2:$C$1960,0)))</f>
        <v/>
      </c>
      <c r="P1749" s="8">
        <f>IF(ISNA(MATCH(1740,'Transfer Engine'!$C$2:$C$1960,0)),"",HYPERLINK("#Acts!A"&amp;INDEX('Compliance Database'!$P$2:$P$1960,MATCH(1740,'Transfer Engine'!$C$2:$C$1960,0)),"Go to Act"))</f>
        <v/>
      </c>
    </row>
    <row r="1750" ht="158" customHeight="1">
      <c r="A1750" s="8">
        <f>IF(ISNA(MATCH(1741,'Transfer Engine'!$C$2:$C$1960,0)),"",INDEX('Compliance Database'!$A$2:$A$1960,MATCH(1741,'Transfer Engine'!$C$2:$C$1960,0)))</f>
        <v/>
      </c>
      <c r="B1750" s="8">
        <f>IF(ISNA(MATCH(1741,'Transfer Engine'!$C$2:$C$1960,0)),"",INDEX('Compliance Database'!$B$2:$B$1960,MATCH(1741,'Transfer Engine'!$C$2:$C$1960,0)))</f>
        <v/>
      </c>
      <c r="C1750" s="8">
        <f>IF(ISNA(MATCH(1741,'Transfer Engine'!$C$2:$C$1960,0)),"",INDEX('Compliance Database'!$C$2:$C$1960,MATCH(1741,'Transfer Engine'!$C$2:$C$1960,0)))</f>
        <v/>
      </c>
      <c r="D1750" s="9">
        <f>IF(ISNA(MATCH(1741,'Transfer Engine'!$C$2:$C$1960,0)),"",INDEX('Compliance Database'!$D$2:$D$1960,MATCH(1741,'Transfer Engine'!$C$2:$C$1960,0)))</f>
        <v/>
      </c>
      <c r="E1750" s="8">
        <f>IF(ISNA(MATCH(1741,'Transfer Engine'!$C$2:$C$1960,0)),"",INDEX('Compliance Database'!$E$2:$E$1960,MATCH(1741,'Transfer Engine'!$C$2:$C$1960,0)))</f>
        <v/>
      </c>
      <c r="F1750" s="8">
        <f>IF(ISNA(MATCH(1741,'Transfer Engine'!$C$2:$C$1960,0)),"",INDEX('Compliance Database'!$F$2:$F$1960,MATCH(1741,'Transfer Engine'!$C$2:$C$1960,0)))</f>
        <v/>
      </c>
      <c r="G1750" s="8">
        <f>IF(ISNA(MATCH(1741,'Transfer Engine'!$C$2:$C$1960,0)),"",INDEX('Compliance Database'!$G$2:$G$1960,MATCH(1741,'Transfer Engine'!$C$2:$C$1960,0)))</f>
        <v/>
      </c>
      <c r="H1750" s="9">
        <f>IF(ISNA(MATCH(1741,'Transfer Engine'!$C$2:$C$1960,0)),"",INDEX('Compliance Database'!$H$2:$H$1960,MATCH(1741,'Transfer Engine'!$C$2:$C$1960,0)))</f>
        <v/>
      </c>
      <c r="I1750" s="9">
        <f>IF(ISNA(MATCH(1741,'Transfer Engine'!$C$2:$C$1960,0)),"",INDEX('Compliance Database'!$I$2:$I$1960,MATCH(1741,'Transfer Engine'!$C$2:$C$1960,0)))</f>
        <v/>
      </c>
      <c r="J1750" s="8">
        <f>IF(ISNA(MATCH(1741,'Transfer Engine'!$C$2:$C$1960,0)),"",INDEX('Compliance Database'!$J$2:$J$1960,MATCH(1741,'Transfer Engine'!$C$2:$C$1960,0)))</f>
        <v/>
      </c>
      <c r="K1750" s="9">
        <f>IF(ISNA(MATCH(1741,'Transfer Engine'!$C$2:$C$1960,0)),"",INDEX('Compliance Database'!$K$2:$K$1960,MATCH(1741,'Transfer Engine'!$C$2:$C$1960,0)))</f>
        <v/>
      </c>
      <c r="L1750" s="9">
        <f>IF(ISNA(MATCH(1741,'Transfer Engine'!$C$2:$C$1960,0)),"",INDEX('Compliance Database'!$L$2:$L$1960,MATCH(1741,'Transfer Engine'!$C$2:$C$1960,0)))</f>
        <v/>
      </c>
      <c r="M1750" s="9">
        <f>IF(ISNA(MATCH(1741,'Transfer Engine'!$C$2:$C$1960,0)),"",INDEX('Compliance Database'!$M$2:$M$1960,MATCH(1741,'Transfer Engine'!$C$2:$C$1960,0)))</f>
        <v/>
      </c>
      <c r="N1750" s="9">
        <f>IF(ISNA(MATCH(1741,'Transfer Engine'!$C$2:$C$1960,0)),"",INDEX('Compliance Database'!$N$2:$N$1960,MATCH(1741,'Transfer Engine'!$C$2:$C$1960,0)))</f>
        <v/>
      </c>
      <c r="O1750" s="9">
        <f>IF(ISNA(MATCH(1741,'Transfer Engine'!$C$2:$C$1960,0)),"",INDEX('Compliance Database'!$O$2:$O$1960,MATCH(1741,'Transfer Engine'!$C$2:$C$1960,0)))</f>
        <v/>
      </c>
      <c r="P1750" s="8">
        <f>IF(ISNA(MATCH(1741,'Transfer Engine'!$C$2:$C$1960,0)),"",HYPERLINK("#Acts!A"&amp;INDEX('Compliance Database'!$P$2:$P$1960,MATCH(1741,'Transfer Engine'!$C$2:$C$1960,0)),"Go to Act"))</f>
        <v/>
      </c>
    </row>
    <row r="1751" ht="158" customHeight="1">
      <c r="A1751" s="8">
        <f>IF(ISNA(MATCH(1742,'Transfer Engine'!$C$2:$C$1960,0)),"",INDEX('Compliance Database'!$A$2:$A$1960,MATCH(1742,'Transfer Engine'!$C$2:$C$1960,0)))</f>
        <v/>
      </c>
      <c r="B1751" s="8">
        <f>IF(ISNA(MATCH(1742,'Transfer Engine'!$C$2:$C$1960,0)),"",INDEX('Compliance Database'!$B$2:$B$1960,MATCH(1742,'Transfer Engine'!$C$2:$C$1960,0)))</f>
        <v/>
      </c>
      <c r="C1751" s="8">
        <f>IF(ISNA(MATCH(1742,'Transfer Engine'!$C$2:$C$1960,0)),"",INDEX('Compliance Database'!$C$2:$C$1960,MATCH(1742,'Transfer Engine'!$C$2:$C$1960,0)))</f>
        <v/>
      </c>
      <c r="D1751" s="9">
        <f>IF(ISNA(MATCH(1742,'Transfer Engine'!$C$2:$C$1960,0)),"",INDEX('Compliance Database'!$D$2:$D$1960,MATCH(1742,'Transfer Engine'!$C$2:$C$1960,0)))</f>
        <v/>
      </c>
      <c r="E1751" s="8">
        <f>IF(ISNA(MATCH(1742,'Transfer Engine'!$C$2:$C$1960,0)),"",INDEX('Compliance Database'!$E$2:$E$1960,MATCH(1742,'Transfer Engine'!$C$2:$C$1960,0)))</f>
        <v/>
      </c>
      <c r="F1751" s="8">
        <f>IF(ISNA(MATCH(1742,'Transfer Engine'!$C$2:$C$1960,0)),"",INDEX('Compliance Database'!$F$2:$F$1960,MATCH(1742,'Transfer Engine'!$C$2:$C$1960,0)))</f>
        <v/>
      </c>
      <c r="G1751" s="8">
        <f>IF(ISNA(MATCH(1742,'Transfer Engine'!$C$2:$C$1960,0)),"",INDEX('Compliance Database'!$G$2:$G$1960,MATCH(1742,'Transfer Engine'!$C$2:$C$1960,0)))</f>
        <v/>
      </c>
      <c r="H1751" s="9">
        <f>IF(ISNA(MATCH(1742,'Transfer Engine'!$C$2:$C$1960,0)),"",INDEX('Compliance Database'!$H$2:$H$1960,MATCH(1742,'Transfer Engine'!$C$2:$C$1960,0)))</f>
        <v/>
      </c>
      <c r="I1751" s="9">
        <f>IF(ISNA(MATCH(1742,'Transfer Engine'!$C$2:$C$1960,0)),"",INDEX('Compliance Database'!$I$2:$I$1960,MATCH(1742,'Transfer Engine'!$C$2:$C$1960,0)))</f>
        <v/>
      </c>
      <c r="J1751" s="8">
        <f>IF(ISNA(MATCH(1742,'Transfer Engine'!$C$2:$C$1960,0)),"",INDEX('Compliance Database'!$J$2:$J$1960,MATCH(1742,'Transfer Engine'!$C$2:$C$1960,0)))</f>
        <v/>
      </c>
      <c r="K1751" s="9">
        <f>IF(ISNA(MATCH(1742,'Transfer Engine'!$C$2:$C$1960,0)),"",INDEX('Compliance Database'!$K$2:$K$1960,MATCH(1742,'Transfer Engine'!$C$2:$C$1960,0)))</f>
        <v/>
      </c>
      <c r="L1751" s="9">
        <f>IF(ISNA(MATCH(1742,'Transfer Engine'!$C$2:$C$1960,0)),"",INDEX('Compliance Database'!$L$2:$L$1960,MATCH(1742,'Transfer Engine'!$C$2:$C$1960,0)))</f>
        <v/>
      </c>
      <c r="M1751" s="9">
        <f>IF(ISNA(MATCH(1742,'Transfer Engine'!$C$2:$C$1960,0)),"",INDEX('Compliance Database'!$M$2:$M$1960,MATCH(1742,'Transfer Engine'!$C$2:$C$1960,0)))</f>
        <v/>
      </c>
      <c r="N1751" s="9">
        <f>IF(ISNA(MATCH(1742,'Transfer Engine'!$C$2:$C$1960,0)),"",INDEX('Compliance Database'!$N$2:$N$1960,MATCH(1742,'Transfer Engine'!$C$2:$C$1960,0)))</f>
        <v/>
      </c>
      <c r="O1751" s="9">
        <f>IF(ISNA(MATCH(1742,'Transfer Engine'!$C$2:$C$1960,0)),"",INDEX('Compliance Database'!$O$2:$O$1960,MATCH(1742,'Transfer Engine'!$C$2:$C$1960,0)))</f>
        <v/>
      </c>
      <c r="P1751" s="8">
        <f>IF(ISNA(MATCH(1742,'Transfer Engine'!$C$2:$C$1960,0)),"",HYPERLINK("#Acts!A"&amp;INDEX('Compliance Database'!$P$2:$P$1960,MATCH(1742,'Transfer Engine'!$C$2:$C$1960,0)),"Go to Act"))</f>
        <v/>
      </c>
    </row>
    <row r="1752" ht="158" customHeight="1">
      <c r="A1752" s="8">
        <f>IF(ISNA(MATCH(1743,'Transfer Engine'!$C$2:$C$1960,0)),"",INDEX('Compliance Database'!$A$2:$A$1960,MATCH(1743,'Transfer Engine'!$C$2:$C$1960,0)))</f>
        <v/>
      </c>
      <c r="B1752" s="8">
        <f>IF(ISNA(MATCH(1743,'Transfer Engine'!$C$2:$C$1960,0)),"",INDEX('Compliance Database'!$B$2:$B$1960,MATCH(1743,'Transfer Engine'!$C$2:$C$1960,0)))</f>
        <v/>
      </c>
      <c r="C1752" s="8">
        <f>IF(ISNA(MATCH(1743,'Transfer Engine'!$C$2:$C$1960,0)),"",INDEX('Compliance Database'!$C$2:$C$1960,MATCH(1743,'Transfer Engine'!$C$2:$C$1960,0)))</f>
        <v/>
      </c>
      <c r="D1752" s="9">
        <f>IF(ISNA(MATCH(1743,'Transfer Engine'!$C$2:$C$1960,0)),"",INDEX('Compliance Database'!$D$2:$D$1960,MATCH(1743,'Transfer Engine'!$C$2:$C$1960,0)))</f>
        <v/>
      </c>
      <c r="E1752" s="8">
        <f>IF(ISNA(MATCH(1743,'Transfer Engine'!$C$2:$C$1960,0)),"",INDEX('Compliance Database'!$E$2:$E$1960,MATCH(1743,'Transfer Engine'!$C$2:$C$1960,0)))</f>
        <v/>
      </c>
      <c r="F1752" s="8">
        <f>IF(ISNA(MATCH(1743,'Transfer Engine'!$C$2:$C$1960,0)),"",INDEX('Compliance Database'!$F$2:$F$1960,MATCH(1743,'Transfer Engine'!$C$2:$C$1960,0)))</f>
        <v/>
      </c>
      <c r="G1752" s="8">
        <f>IF(ISNA(MATCH(1743,'Transfer Engine'!$C$2:$C$1960,0)),"",INDEX('Compliance Database'!$G$2:$G$1960,MATCH(1743,'Transfer Engine'!$C$2:$C$1960,0)))</f>
        <v/>
      </c>
      <c r="H1752" s="9">
        <f>IF(ISNA(MATCH(1743,'Transfer Engine'!$C$2:$C$1960,0)),"",INDEX('Compliance Database'!$H$2:$H$1960,MATCH(1743,'Transfer Engine'!$C$2:$C$1960,0)))</f>
        <v/>
      </c>
      <c r="I1752" s="9">
        <f>IF(ISNA(MATCH(1743,'Transfer Engine'!$C$2:$C$1960,0)),"",INDEX('Compliance Database'!$I$2:$I$1960,MATCH(1743,'Transfer Engine'!$C$2:$C$1960,0)))</f>
        <v/>
      </c>
      <c r="J1752" s="8">
        <f>IF(ISNA(MATCH(1743,'Transfer Engine'!$C$2:$C$1960,0)),"",INDEX('Compliance Database'!$J$2:$J$1960,MATCH(1743,'Transfer Engine'!$C$2:$C$1960,0)))</f>
        <v/>
      </c>
      <c r="K1752" s="9">
        <f>IF(ISNA(MATCH(1743,'Transfer Engine'!$C$2:$C$1960,0)),"",INDEX('Compliance Database'!$K$2:$K$1960,MATCH(1743,'Transfer Engine'!$C$2:$C$1960,0)))</f>
        <v/>
      </c>
      <c r="L1752" s="9">
        <f>IF(ISNA(MATCH(1743,'Transfer Engine'!$C$2:$C$1960,0)),"",INDEX('Compliance Database'!$L$2:$L$1960,MATCH(1743,'Transfer Engine'!$C$2:$C$1960,0)))</f>
        <v/>
      </c>
      <c r="M1752" s="9">
        <f>IF(ISNA(MATCH(1743,'Transfer Engine'!$C$2:$C$1960,0)),"",INDEX('Compliance Database'!$M$2:$M$1960,MATCH(1743,'Transfer Engine'!$C$2:$C$1960,0)))</f>
        <v/>
      </c>
      <c r="N1752" s="9">
        <f>IF(ISNA(MATCH(1743,'Transfer Engine'!$C$2:$C$1960,0)),"",INDEX('Compliance Database'!$N$2:$N$1960,MATCH(1743,'Transfer Engine'!$C$2:$C$1960,0)))</f>
        <v/>
      </c>
      <c r="O1752" s="9">
        <f>IF(ISNA(MATCH(1743,'Transfer Engine'!$C$2:$C$1960,0)),"",INDEX('Compliance Database'!$O$2:$O$1960,MATCH(1743,'Transfer Engine'!$C$2:$C$1960,0)))</f>
        <v/>
      </c>
      <c r="P1752" s="8">
        <f>IF(ISNA(MATCH(1743,'Transfer Engine'!$C$2:$C$1960,0)),"",HYPERLINK("#Acts!A"&amp;INDEX('Compliance Database'!$P$2:$P$1960,MATCH(1743,'Transfer Engine'!$C$2:$C$1960,0)),"Go to Act"))</f>
        <v/>
      </c>
    </row>
    <row r="1753" ht="158" customHeight="1">
      <c r="A1753" s="8">
        <f>IF(ISNA(MATCH(1744,'Transfer Engine'!$C$2:$C$1960,0)),"",INDEX('Compliance Database'!$A$2:$A$1960,MATCH(1744,'Transfer Engine'!$C$2:$C$1960,0)))</f>
        <v/>
      </c>
      <c r="B1753" s="8">
        <f>IF(ISNA(MATCH(1744,'Transfer Engine'!$C$2:$C$1960,0)),"",INDEX('Compliance Database'!$B$2:$B$1960,MATCH(1744,'Transfer Engine'!$C$2:$C$1960,0)))</f>
        <v/>
      </c>
      <c r="C1753" s="8">
        <f>IF(ISNA(MATCH(1744,'Transfer Engine'!$C$2:$C$1960,0)),"",INDEX('Compliance Database'!$C$2:$C$1960,MATCH(1744,'Transfer Engine'!$C$2:$C$1960,0)))</f>
        <v/>
      </c>
      <c r="D1753" s="9">
        <f>IF(ISNA(MATCH(1744,'Transfer Engine'!$C$2:$C$1960,0)),"",INDEX('Compliance Database'!$D$2:$D$1960,MATCH(1744,'Transfer Engine'!$C$2:$C$1960,0)))</f>
        <v/>
      </c>
      <c r="E1753" s="8">
        <f>IF(ISNA(MATCH(1744,'Transfer Engine'!$C$2:$C$1960,0)),"",INDEX('Compliance Database'!$E$2:$E$1960,MATCH(1744,'Transfer Engine'!$C$2:$C$1960,0)))</f>
        <v/>
      </c>
      <c r="F1753" s="8">
        <f>IF(ISNA(MATCH(1744,'Transfer Engine'!$C$2:$C$1960,0)),"",INDEX('Compliance Database'!$F$2:$F$1960,MATCH(1744,'Transfer Engine'!$C$2:$C$1960,0)))</f>
        <v/>
      </c>
      <c r="G1753" s="8">
        <f>IF(ISNA(MATCH(1744,'Transfer Engine'!$C$2:$C$1960,0)),"",INDEX('Compliance Database'!$G$2:$G$1960,MATCH(1744,'Transfer Engine'!$C$2:$C$1960,0)))</f>
        <v/>
      </c>
      <c r="H1753" s="9">
        <f>IF(ISNA(MATCH(1744,'Transfer Engine'!$C$2:$C$1960,0)),"",INDEX('Compliance Database'!$H$2:$H$1960,MATCH(1744,'Transfer Engine'!$C$2:$C$1960,0)))</f>
        <v/>
      </c>
      <c r="I1753" s="9">
        <f>IF(ISNA(MATCH(1744,'Transfer Engine'!$C$2:$C$1960,0)),"",INDEX('Compliance Database'!$I$2:$I$1960,MATCH(1744,'Transfer Engine'!$C$2:$C$1960,0)))</f>
        <v/>
      </c>
      <c r="J1753" s="8">
        <f>IF(ISNA(MATCH(1744,'Transfer Engine'!$C$2:$C$1960,0)),"",INDEX('Compliance Database'!$J$2:$J$1960,MATCH(1744,'Transfer Engine'!$C$2:$C$1960,0)))</f>
        <v/>
      </c>
      <c r="K1753" s="9">
        <f>IF(ISNA(MATCH(1744,'Transfer Engine'!$C$2:$C$1960,0)),"",INDEX('Compliance Database'!$K$2:$K$1960,MATCH(1744,'Transfer Engine'!$C$2:$C$1960,0)))</f>
        <v/>
      </c>
      <c r="L1753" s="9">
        <f>IF(ISNA(MATCH(1744,'Transfer Engine'!$C$2:$C$1960,0)),"",INDEX('Compliance Database'!$L$2:$L$1960,MATCH(1744,'Transfer Engine'!$C$2:$C$1960,0)))</f>
        <v/>
      </c>
      <c r="M1753" s="9">
        <f>IF(ISNA(MATCH(1744,'Transfer Engine'!$C$2:$C$1960,0)),"",INDEX('Compliance Database'!$M$2:$M$1960,MATCH(1744,'Transfer Engine'!$C$2:$C$1960,0)))</f>
        <v/>
      </c>
      <c r="N1753" s="9">
        <f>IF(ISNA(MATCH(1744,'Transfer Engine'!$C$2:$C$1960,0)),"",INDEX('Compliance Database'!$N$2:$N$1960,MATCH(1744,'Transfer Engine'!$C$2:$C$1960,0)))</f>
        <v/>
      </c>
      <c r="O1753" s="9">
        <f>IF(ISNA(MATCH(1744,'Transfer Engine'!$C$2:$C$1960,0)),"",INDEX('Compliance Database'!$O$2:$O$1960,MATCH(1744,'Transfer Engine'!$C$2:$C$1960,0)))</f>
        <v/>
      </c>
      <c r="P1753" s="8">
        <f>IF(ISNA(MATCH(1744,'Transfer Engine'!$C$2:$C$1960,0)),"",HYPERLINK("#Acts!A"&amp;INDEX('Compliance Database'!$P$2:$P$1960,MATCH(1744,'Transfer Engine'!$C$2:$C$1960,0)),"Go to Act"))</f>
        <v/>
      </c>
    </row>
    <row r="1754" ht="158" customHeight="1">
      <c r="A1754" s="8">
        <f>IF(ISNA(MATCH(1745,'Transfer Engine'!$C$2:$C$1960,0)),"",INDEX('Compliance Database'!$A$2:$A$1960,MATCH(1745,'Transfer Engine'!$C$2:$C$1960,0)))</f>
        <v/>
      </c>
      <c r="B1754" s="8">
        <f>IF(ISNA(MATCH(1745,'Transfer Engine'!$C$2:$C$1960,0)),"",INDEX('Compliance Database'!$B$2:$B$1960,MATCH(1745,'Transfer Engine'!$C$2:$C$1960,0)))</f>
        <v/>
      </c>
      <c r="C1754" s="8">
        <f>IF(ISNA(MATCH(1745,'Transfer Engine'!$C$2:$C$1960,0)),"",INDEX('Compliance Database'!$C$2:$C$1960,MATCH(1745,'Transfer Engine'!$C$2:$C$1960,0)))</f>
        <v/>
      </c>
      <c r="D1754" s="9">
        <f>IF(ISNA(MATCH(1745,'Transfer Engine'!$C$2:$C$1960,0)),"",INDEX('Compliance Database'!$D$2:$D$1960,MATCH(1745,'Transfer Engine'!$C$2:$C$1960,0)))</f>
        <v/>
      </c>
      <c r="E1754" s="8">
        <f>IF(ISNA(MATCH(1745,'Transfer Engine'!$C$2:$C$1960,0)),"",INDEX('Compliance Database'!$E$2:$E$1960,MATCH(1745,'Transfer Engine'!$C$2:$C$1960,0)))</f>
        <v/>
      </c>
      <c r="F1754" s="8">
        <f>IF(ISNA(MATCH(1745,'Transfer Engine'!$C$2:$C$1960,0)),"",INDEX('Compliance Database'!$F$2:$F$1960,MATCH(1745,'Transfer Engine'!$C$2:$C$1960,0)))</f>
        <v/>
      </c>
      <c r="G1754" s="8">
        <f>IF(ISNA(MATCH(1745,'Transfer Engine'!$C$2:$C$1960,0)),"",INDEX('Compliance Database'!$G$2:$G$1960,MATCH(1745,'Transfer Engine'!$C$2:$C$1960,0)))</f>
        <v/>
      </c>
      <c r="H1754" s="9">
        <f>IF(ISNA(MATCH(1745,'Transfer Engine'!$C$2:$C$1960,0)),"",INDEX('Compliance Database'!$H$2:$H$1960,MATCH(1745,'Transfer Engine'!$C$2:$C$1960,0)))</f>
        <v/>
      </c>
      <c r="I1754" s="9">
        <f>IF(ISNA(MATCH(1745,'Transfer Engine'!$C$2:$C$1960,0)),"",INDEX('Compliance Database'!$I$2:$I$1960,MATCH(1745,'Transfer Engine'!$C$2:$C$1960,0)))</f>
        <v/>
      </c>
      <c r="J1754" s="8">
        <f>IF(ISNA(MATCH(1745,'Transfer Engine'!$C$2:$C$1960,0)),"",INDEX('Compliance Database'!$J$2:$J$1960,MATCH(1745,'Transfer Engine'!$C$2:$C$1960,0)))</f>
        <v/>
      </c>
      <c r="K1754" s="9">
        <f>IF(ISNA(MATCH(1745,'Transfer Engine'!$C$2:$C$1960,0)),"",INDEX('Compliance Database'!$K$2:$K$1960,MATCH(1745,'Transfer Engine'!$C$2:$C$1960,0)))</f>
        <v/>
      </c>
      <c r="L1754" s="9">
        <f>IF(ISNA(MATCH(1745,'Transfer Engine'!$C$2:$C$1960,0)),"",INDEX('Compliance Database'!$L$2:$L$1960,MATCH(1745,'Transfer Engine'!$C$2:$C$1960,0)))</f>
        <v/>
      </c>
      <c r="M1754" s="9">
        <f>IF(ISNA(MATCH(1745,'Transfer Engine'!$C$2:$C$1960,0)),"",INDEX('Compliance Database'!$M$2:$M$1960,MATCH(1745,'Transfer Engine'!$C$2:$C$1960,0)))</f>
        <v/>
      </c>
      <c r="N1754" s="9">
        <f>IF(ISNA(MATCH(1745,'Transfer Engine'!$C$2:$C$1960,0)),"",INDEX('Compliance Database'!$N$2:$N$1960,MATCH(1745,'Transfer Engine'!$C$2:$C$1960,0)))</f>
        <v/>
      </c>
      <c r="O1754" s="9">
        <f>IF(ISNA(MATCH(1745,'Transfer Engine'!$C$2:$C$1960,0)),"",INDEX('Compliance Database'!$O$2:$O$1960,MATCH(1745,'Transfer Engine'!$C$2:$C$1960,0)))</f>
        <v/>
      </c>
      <c r="P1754" s="8">
        <f>IF(ISNA(MATCH(1745,'Transfer Engine'!$C$2:$C$1960,0)),"",HYPERLINK("#Acts!A"&amp;INDEX('Compliance Database'!$P$2:$P$1960,MATCH(1745,'Transfer Engine'!$C$2:$C$1960,0)),"Go to Act"))</f>
        <v/>
      </c>
    </row>
    <row r="1755" ht="158" customHeight="1">
      <c r="A1755" s="8">
        <f>IF(ISNA(MATCH(1746,'Transfer Engine'!$C$2:$C$1960,0)),"",INDEX('Compliance Database'!$A$2:$A$1960,MATCH(1746,'Transfer Engine'!$C$2:$C$1960,0)))</f>
        <v/>
      </c>
      <c r="B1755" s="8">
        <f>IF(ISNA(MATCH(1746,'Transfer Engine'!$C$2:$C$1960,0)),"",INDEX('Compliance Database'!$B$2:$B$1960,MATCH(1746,'Transfer Engine'!$C$2:$C$1960,0)))</f>
        <v/>
      </c>
      <c r="C1755" s="8">
        <f>IF(ISNA(MATCH(1746,'Transfer Engine'!$C$2:$C$1960,0)),"",INDEX('Compliance Database'!$C$2:$C$1960,MATCH(1746,'Transfer Engine'!$C$2:$C$1960,0)))</f>
        <v/>
      </c>
      <c r="D1755" s="9">
        <f>IF(ISNA(MATCH(1746,'Transfer Engine'!$C$2:$C$1960,0)),"",INDEX('Compliance Database'!$D$2:$D$1960,MATCH(1746,'Transfer Engine'!$C$2:$C$1960,0)))</f>
        <v/>
      </c>
      <c r="E1755" s="8">
        <f>IF(ISNA(MATCH(1746,'Transfer Engine'!$C$2:$C$1960,0)),"",INDEX('Compliance Database'!$E$2:$E$1960,MATCH(1746,'Transfer Engine'!$C$2:$C$1960,0)))</f>
        <v/>
      </c>
      <c r="F1755" s="8">
        <f>IF(ISNA(MATCH(1746,'Transfer Engine'!$C$2:$C$1960,0)),"",INDEX('Compliance Database'!$F$2:$F$1960,MATCH(1746,'Transfer Engine'!$C$2:$C$1960,0)))</f>
        <v/>
      </c>
      <c r="G1755" s="8">
        <f>IF(ISNA(MATCH(1746,'Transfer Engine'!$C$2:$C$1960,0)),"",INDEX('Compliance Database'!$G$2:$G$1960,MATCH(1746,'Transfer Engine'!$C$2:$C$1960,0)))</f>
        <v/>
      </c>
      <c r="H1755" s="9">
        <f>IF(ISNA(MATCH(1746,'Transfer Engine'!$C$2:$C$1960,0)),"",INDEX('Compliance Database'!$H$2:$H$1960,MATCH(1746,'Transfer Engine'!$C$2:$C$1960,0)))</f>
        <v/>
      </c>
      <c r="I1755" s="9">
        <f>IF(ISNA(MATCH(1746,'Transfer Engine'!$C$2:$C$1960,0)),"",INDEX('Compliance Database'!$I$2:$I$1960,MATCH(1746,'Transfer Engine'!$C$2:$C$1960,0)))</f>
        <v/>
      </c>
      <c r="J1755" s="8">
        <f>IF(ISNA(MATCH(1746,'Transfer Engine'!$C$2:$C$1960,0)),"",INDEX('Compliance Database'!$J$2:$J$1960,MATCH(1746,'Transfer Engine'!$C$2:$C$1960,0)))</f>
        <v/>
      </c>
      <c r="K1755" s="9">
        <f>IF(ISNA(MATCH(1746,'Transfer Engine'!$C$2:$C$1960,0)),"",INDEX('Compliance Database'!$K$2:$K$1960,MATCH(1746,'Transfer Engine'!$C$2:$C$1960,0)))</f>
        <v/>
      </c>
      <c r="L1755" s="9">
        <f>IF(ISNA(MATCH(1746,'Transfer Engine'!$C$2:$C$1960,0)),"",INDEX('Compliance Database'!$L$2:$L$1960,MATCH(1746,'Transfer Engine'!$C$2:$C$1960,0)))</f>
        <v/>
      </c>
      <c r="M1755" s="9">
        <f>IF(ISNA(MATCH(1746,'Transfer Engine'!$C$2:$C$1960,0)),"",INDEX('Compliance Database'!$M$2:$M$1960,MATCH(1746,'Transfer Engine'!$C$2:$C$1960,0)))</f>
        <v/>
      </c>
      <c r="N1755" s="9">
        <f>IF(ISNA(MATCH(1746,'Transfer Engine'!$C$2:$C$1960,0)),"",INDEX('Compliance Database'!$N$2:$N$1960,MATCH(1746,'Transfer Engine'!$C$2:$C$1960,0)))</f>
        <v/>
      </c>
      <c r="O1755" s="9">
        <f>IF(ISNA(MATCH(1746,'Transfer Engine'!$C$2:$C$1960,0)),"",INDEX('Compliance Database'!$O$2:$O$1960,MATCH(1746,'Transfer Engine'!$C$2:$C$1960,0)))</f>
        <v/>
      </c>
      <c r="P1755" s="8">
        <f>IF(ISNA(MATCH(1746,'Transfer Engine'!$C$2:$C$1960,0)),"",HYPERLINK("#Acts!A"&amp;INDEX('Compliance Database'!$P$2:$P$1960,MATCH(1746,'Transfer Engine'!$C$2:$C$1960,0)),"Go to Act"))</f>
        <v/>
      </c>
    </row>
    <row r="1756" ht="158" customHeight="1">
      <c r="A1756" s="8">
        <f>IF(ISNA(MATCH(1747,'Transfer Engine'!$C$2:$C$1960,0)),"",INDEX('Compliance Database'!$A$2:$A$1960,MATCH(1747,'Transfer Engine'!$C$2:$C$1960,0)))</f>
        <v/>
      </c>
      <c r="B1756" s="8">
        <f>IF(ISNA(MATCH(1747,'Transfer Engine'!$C$2:$C$1960,0)),"",INDEX('Compliance Database'!$B$2:$B$1960,MATCH(1747,'Transfer Engine'!$C$2:$C$1960,0)))</f>
        <v/>
      </c>
      <c r="C1756" s="8">
        <f>IF(ISNA(MATCH(1747,'Transfer Engine'!$C$2:$C$1960,0)),"",INDEX('Compliance Database'!$C$2:$C$1960,MATCH(1747,'Transfer Engine'!$C$2:$C$1960,0)))</f>
        <v/>
      </c>
      <c r="D1756" s="9">
        <f>IF(ISNA(MATCH(1747,'Transfer Engine'!$C$2:$C$1960,0)),"",INDEX('Compliance Database'!$D$2:$D$1960,MATCH(1747,'Transfer Engine'!$C$2:$C$1960,0)))</f>
        <v/>
      </c>
      <c r="E1756" s="8">
        <f>IF(ISNA(MATCH(1747,'Transfer Engine'!$C$2:$C$1960,0)),"",INDEX('Compliance Database'!$E$2:$E$1960,MATCH(1747,'Transfer Engine'!$C$2:$C$1960,0)))</f>
        <v/>
      </c>
      <c r="F1756" s="8">
        <f>IF(ISNA(MATCH(1747,'Transfer Engine'!$C$2:$C$1960,0)),"",INDEX('Compliance Database'!$F$2:$F$1960,MATCH(1747,'Transfer Engine'!$C$2:$C$1960,0)))</f>
        <v/>
      </c>
      <c r="G1756" s="8">
        <f>IF(ISNA(MATCH(1747,'Transfer Engine'!$C$2:$C$1960,0)),"",INDEX('Compliance Database'!$G$2:$G$1960,MATCH(1747,'Transfer Engine'!$C$2:$C$1960,0)))</f>
        <v/>
      </c>
      <c r="H1756" s="9">
        <f>IF(ISNA(MATCH(1747,'Transfer Engine'!$C$2:$C$1960,0)),"",INDEX('Compliance Database'!$H$2:$H$1960,MATCH(1747,'Transfer Engine'!$C$2:$C$1960,0)))</f>
        <v/>
      </c>
      <c r="I1756" s="9">
        <f>IF(ISNA(MATCH(1747,'Transfer Engine'!$C$2:$C$1960,0)),"",INDEX('Compliance Database'!$I$2:$I$1960,MATCH(1747,'Transfer Engine'!$C$2:$C$1960,0)))</f>
        <v/>
      </c>
      <c r="J1756" s="8">
        <f>IF(ISNA(MATCH(1747,'Transfer Engine'!$C$2:$C$1960,0)),"",INDEX('Compliance Database'!$J$2:$J$1960,MATCH(1747,'Transfer Engine'!$C$2:$C$1960,0)))</f>
        <v/>
      </c>
      <c r="K1756" s="9">
        <f>IF(ISNA(MATCH(1747,'Transfer Engine'!$C$2:$C$1960,0)),"",INDEX('Compliance Database'!$K$2:$K$1960,MATCH(1747,'Transfer Engine'!$C$2:$C$1960,0)))</f>
        <v/>
      </c>
      <c r="L1756" s="9">
        <f>IF(ISNA(MATCH(1747,'Transfer Engine'!$C$2:$C$1960,0)),"",INDEX('Compliance Database'!$L$2:$L$1960,MATCH(1747,'Transfer Engine'!$C$2:$C$1960,0)))</f>
        <v/>
      </c>
      <c r="M1756" s="9">
        <f>IF(ISNA(MATCH(1747,'Transfer Engine'!$C$2:$C$1960,0)),"",INDEX('Compliance Database'!$M$2:$M$1960,MATCH(1747,'Transfer Engine'!$C$2:$C$1960,0)))</f>
        <v/>
      </c>
      <c r="N1756" s="9">
        <f>IF(ISNA(MATCH(1747,'Transfer Engine'!$C$2:$C$1960,0)),"",INDEX('Compliance Database'!$N$2:$N$1960,MATCH(1747,'Transfer Engine'!$C$2:$C$1960,0)))</f>
        <v/>
      </c>
      <c r="O1756" s="9">
        <f>IF(ISNA(MATCH(1747,'Transfer Engine'!$C$2:$C$1960,0)),"",INDEX('Compliance Database'!$O$2:$O$1960,MATCH(1747,'Transfer Engine'!$C$2:$C$1960,0)))</f>
        <v/>
      </c>
      <c r="P1756" s="8">
        <f>IF(ISNA(MATCH(1747,'Transfer Engine'!$C$2:$C$1960,0)),"",HYPERLINK("#Acts!A"&amp;INDEX('Compliance Database'!$P$2:$P$1960,MATCH(1747,'Transfer Engine'!$C$2:$C$1960,0)),"Go to Act"))</f>
        <v/>
      </c>
    </row>
    <row r="1757" ht="158" customHeight="1">
      <c r="A1757" s="8">
        <f>IF(ISNA(MATCH(1748,'Transfer Engine'!$C$2:$C$1960,0)),"",INDEX('Compliance Database'!$A$2:$A$1960,MATCH(1748,'Transfer Engine'!$C$2:$C$1960,0)))</f>
        <v/>
      </c>
      <c r="B1757" s="8">
        <f>IF(ISNA(MATCH(1748,'Transfer Engine'!$C$2:$C$1960,0)),"",INDEX('Compliance Database'!$B$2:$B$1960,MATCH(1748,'Transfer Engine'!$C$2:$C$1960,0)))</f>
        <v/>
      </c>
      <c r="C1757" s="8">
        <f>IF(ISNA(MATCH(1748,'Transfer Engine'!$C$2:$C$1960,0)),"",INDEX('Compliance Database'!$C$2:$C$1960,MATCH(1748,'Transfer Engine'!$C$2:$C$1960,0)))</f>
        <v/>
      </c>
      <c r="D1757" s="9">
        <f>IF(ISNA(MATCH(1748,'Transfer Engine'!$C$2:$C$1960,0)),"",INDEX('Compliance Database'!$D$2:$D$1960,MATCH(1748,'Transfer Engine'!$C$2:$C$1960,0)))</f>
        <v/>
      </c>
      <c r="E1757" s="8">
        <f>IF(ISNA(MATCH(1748,'Transfer Engine'!$C$2:$C$1960,0)),"",INDEX('Compliance Database'!$E$2:$E$1960,MATCH(1748,'Transfer Engine'!$C$2:$C$1960,0)))</f>
        <v/>
      </c>
      <c r="F1757" s="8">
        <f>IF(ISNA(MATCH(1748,'Transfer Engine'!$C$2:$C$1960,0)),"",INDEX('Compliance Database'!$F$2:$F$1960,MATCH(1748,'Transfer Engine'!$C$2:$C$1960,0)))</f>
        <v/>
      </c>
      <c r="G1757" s="8">
        <f>IF(ISNA(MATCH(1748,'Transfer Engine'!$C$2:$C$1960,0)),"",INDEX('Compliance Database'!$G$2:$G$1960,MATCH(1748,'Transfer Engine'!$C$2:$C$1960,0)))</f>
        <v/>
      </c>
      <c r="H1757" s="9">
        <f>IF(ISNA(MATCH(1748,'Transfer Engine'!$C$2:$C$1960,0)),"",INDEX('Compliance Database'!$H$2:$H$1960,MATCH(1748,'Transfer Engine'!$C$2:$C$1960,0)))</f>
        <v/>
      </c>
      <c r="I1757" s="9">
        <f>IF(ISNA(MATCH(1748,'Transfer Engine'!$C$2:$C$1960,0)),"",INDEX('Compliance Database'!$I$2:$I$1960,MATCH(1748,'Transfer Engine'!$C$2:$C$1960,0)))</f>
        <v/>
      </c>
      <c r="J1757" s="8">
        <f>IF(ISNA(MATCH(1748,'Transfer Engine'!$C$2:$C$1960,0)),"",INDEX('Compliance Database'!$J$2:$J$1960,MATCH(1748,'Transfer Engine'!$C$2:$C$1960,0)))</f>
        <v/>
      </c>
      <c r="K1757" s="9">
        <f>IF(ISNA(MATCH(1748,'Transfer Engine'!$C$2:$C$1960,0)),"",INDEX('Compliance Database'!$K$2:$K$1960,MATCH(1748,'Transfer Engine'!$C$2:$C$1960,0)))</f>
        <v/>
      </c>
      <c r="L1757" s="9">
        <f>IF(ISNA(MATCH(1748,'Transfer Engine'!$C$2:$C$1960,0)),"",INDEX('Compliance Database'!$L$2:$L$1960,MATCH(1748,'Transfer Engine'!$C$2:$C$1960,0)))</f>
        <v/>
      </c>
      <c r="M1757" s="9">
        <f>IF(ISNA(MATCH(1748,'Transfer Engine'!$C$2:$C$1960,0)),"",INDEX('Compliance Database'!$M$2:$M$1960,MATCH(1748,'Transfer Engine'!$C$2:$C$1960,0)))</f>
        <v/>
      </c>
      <c r="N1757" s="9">
        <f>IF(ISNA(MATCH(1748,'Transfer Engine'!$C$2:$C$1960,0)),"",INDEX('Compliance Database'!$N$2:$N$1960,MATCH(1748,'Transfer Engine'!$C$2:$C$1960,0)))</f>
        <v/>
      </c>
      <c r="O1757" s="9">
        <f>IF(ISNA(MATCH(1748,'Transfer Engine'!$C$2:$C$1960,0)),"",INDEX('Compliance Database'!$O$2:$O$1960,MATCH(1748,'Transfer Engine'!$C$2:$C$1960,0)))</f>
        <v/>
      </c>
      <c r="P1757" s="8">
        <f>IF(ISNA(MATCH(1748,'Transfer Engine'!$C$2:$C$1960,0)),"",HYPERLINK("#Acts!A"&amp;INDEX('Compliance Database'!$P$2:$P$1960,MATCH(1748,'Transfer Engine'!$C$2:$C$1960,0)),"Go to Act"))</f>
        <v/>
      </c>
    </row>
    <row r="1758" ht="158" customHeight="1">
      <c r="A1758" s="8">
        <f>IF(ISNA(MATCH(1749,'Transfer Engine'!$C$2:$C$1960,0)),"",INDEX('Compliance Database'!$A$2:$A$1960,MATCH(1749,'Transfer Engine'!$C$2:$C$1960,0)))</f>
        <v/>
      </c>
      <c r="B1758" s="8">
        <f>IF(ISNA(MATCH(1749,'Transfer Engine'!$C$2:$C$1960,0)),"",INDEX('Compliance Database'!$B$2:$B$1960,MATCH(1749,'Transfer Engine'!$C$2:$C$1960,0)))</f>
        <v/>
      </c>
      <c r="C1758" s="8">
        <f>IF(ISNA(MATCH(1749,'Transfer Engine'!$C$2:$C$1960,0)),"",INDEX('Compliance Database'!$C$2:$C$1960,MATCH(1749,'Transfer Engine'!$C$2:$C$1960,0)))</f>
        <v/>
      </c>
      <c r="D1758" s="9">
        <f>IF(ISNA(MATCH(1749,'Transfer Engine'!$C$2:$C$1960,0)),"",INDEX('Compliance Database'!$D$2:$D$1960,MATCH(1749,'Transfer Engine'!$C$2:$C$1960,0)))</f>
        <v/>
      </c>
      <c r="E1758" s="8">
        <f>IF(ISNA(MATCH(1749,'Transfer Engine'!$C$2:$C$1960,0)),"",INDEX('Compliance Database'!$E$2:$E$1960,MATCH(1749,'Transfer Engine'!$C$2:$C$1960,0)))</f>
        <v/>
      </c>
      <c r="F1758" s="8">
        <f>IF(ISNA(MATCH(1749,'Transfer Engine'!$C$2:$C$1960,0)),"",INDEX('Compliance Database'!$F$2:$F$1960,MATCH(1749,'Transfer Engine'!$C$2:$C$1960,0)))</f>
        <v/>
      </c>
      <c r="G1758" s="8">
        <f>IF(ISNA(MATCH(1749,'Transfer Engine'!$C$2:$C$1960,0)),"",INDEX('Compliance Database'!$G$2:$G$1960,MATCH(1749,'Transfer Engine'!$C$2:$C$1960,0)))</f>
        <v/>
      </c>
      <c r="H1758" s="9">
        <f>IF(ISNA(MATCH(1749,'Transfer Engine'!$C$2:$C$1960,0)),"",INDEX('Compliance Database'!$H$2:$H$1960,MATCH(1749,'Transfer Engine'!$C$2:$C$1960,0)))</f>
        <v/>
      </c>
      <c r="I1758" s="9">
        <f>IF(ISNA(MATCH(1749,'Transfer Engine'!$C$2:$C$1960,0)),"",INDEX('Compliance Database'!$I$2:$I$1960,MATCH(1749,'Transfer Engine'!$C$2:$C$1960,0)))</f>
        <v/>
      </c>
      <c r="J1758" s="8">
        <f>IF(ISNA(MATCH(1749,'Transfer Engine'!$C$2:$C$1960,0)),"",INDEX('Compliance Database'!$J$2:$J$1960,MATCH(1749,'Transfer Engine'!$C$2:$C$1960,0)))</f>
        <v/>
      </c>
      <c r="K1758" s="9">
        <f>IF(ISNA(MATCH(1749,'Transfer Engine'!$C$2:$C$1960,0)),"",INDEX('Compliance Database'!$K$2:$K$1960,MATCH(1749,'Transfer Engine'!$C$2:$C$1960,0)))</f>
        <v/>
      </c>
      <c r="L1758" s="9">
        <f>IF(ISNA(MATCH(1749,'Transfer Engine'!$C$2:$C$1960,0)),"",INDEX('Compliance Database'!$L$2:$L$1960,MATCH(1749,'Transfer Engine'!$C$2:$C$1960,0)))</f>
        <v/>
      </c>
      <c r="M1758" s="9">
        <f>IF(ISNA(MATCH(1749,'Transfer Engine'!$C$2:$C$1960,0)),"",INDEX('Compliance Database'!$M$2:$M$1960,MATCH(1749,'Transfer Engine'!$C$2:$C$1960,0)))</f>
        <v/>
      </c>
      <c r="N1758" s="9">
        <f>IF(ISNA(MATCH(1749,'Transfer Engine'!$C$2:$C$1960,0)),"",INDEX('Compliance Database'!$N$2:$N$1960,MATCH(1749,'Transfer Engine'!$C$2:$C$1960,0)))</f>
        <v/>
      </c>
      <c r="O1758" s="9">
        <f>IF(ISNA(MATCH(1749,'Transfer Engine'!$C$2:$C$1960,0)),"",INDEX('Compliance Database'!$O$2:$O$1960,MATCH(1749,'Transfer Engine'!$C$2:$C$1960,0)))</f>
        <v/>
      </c>
      <c r="P1758" s="8">
        <f>IF(ISNA(MATCH(1749,'Transfer Engine'!$C$2:$C$1960,0)),"",HYPERLINK("#Acts!A"&amp;INDEX('Compliance Database'!$P$2:$P$1960,MATCH(1749,'Transfer Engine'!$C$2:$C$1960,0)),"Go to Act"))</f>
        <v/>
      </c>
    </row>
    <row r="1759" ht="158" customHeight="1">
      <c r="A1759" s="8">
        <f>IF(ISNA(MATCH(1750,'Transfer Engine'!$C$2:$C$1960,0)),"",INDEX('Compliance Database'!$A$2:$A$1960,MATCH(1750,'Transfer Engine'!$C$2:$C$1960,0)))</f>
        <v/>
      </c>
      <c r="B1759" s="8">
        <f>IF(ISNA(MATCH(1750,'Transfer Engine'!$C$2:$C$1960,0)),"",INDEX('Compliance Database'!$B$2:$B$1960,MATCH(1750,'Transfer Engine'!$C$2:$C$1960,0)))</f>
        <v/>
      </c>
      <c r="C1759" s="8">
        <f>IF(ISNA(MATCH(1750,'Transfer Engine'!$C$2:$C$1960,0)),"",INDEX('Compliance Database'!$C$2:$C$1960,MATCH(1750,'Transfer Engine'!$C$2:$C$1960,0)))</f>
        <v/>
      </c>
      <c r="D1759" s="9">
        <f>IF(ISNA(MATCH(1750,'Transfer Engine'!$C$2:$C$1960,0)),"",INDEX('Compliance Database'!$D$2:$D$1960,MATCH(1750,'Transfer Engine'!$C$2:$C$1960,0)))</f>
        <v/>
      </c>
      <c r="E1759" s="8">
        <f>IF(ISNA(MATCH(1750,'Transfer Engine'!$C$2:$C$1960,0)),"",INDEX('Compliance Database'!$E$2:$E$1960,MATCH(1750,'Transfer Engine'!$C$2:$C$1960,0)))</f>
        <v/>
      </c>
      <c r="F1759" s="8">
        <f>IF(ISNA(MATCH(1750,'Transfer Engine'!$C$2:$C$1960,0)),"",INDEX('Compliance Database'!$F$2:$F$1960,MATCH(1750,'Transfer Engine'!$C$2:$C$1960,0)))</f>
        <v/>
      </c>
      <c r="G1759" s="8">
        <f>IF(ISNA(MATCH(1750,'Transfer Engine'!$C$2:$C$1960,0)),"",INDEX('Compliance Database'!$G$2:$G$1960,MATCH(1750,'Transfer Engine'!$C$2:$C$1960,0)))</f>
        <v/>
      </c>
      <c r="H1759" s="9">
        <f>IF(ISNA(MATCH(1750,'Transfer Engine'!$C$2:$C$1960,0)),"",INDEX('Compliance Database'!$H$2:$H$1960,MATCH(1750,'Transfer Engine'!$C$2:$C$1960,0)))</f>
        <v/>
      </c>
      <c r="I1759" s="9">
        <f>IF(ISNA(MATCH(1750,'Transfer Engine'!$C$2:$C$1960,0)),"",INDEX('Compliance Database'!$I$2:$I$1960,MATCH(1750,'Transfer Engine'!$C$2:$C$1960,0)))</f>
        <v/>
      </c>
      <c r="J1759" s="8">
        <f>IF(ISNA(MATCH(1750,'Transfer Engine'!$C$2:$C$1960,0)),"",INDEX('Compliance Database'!$J$2:$J$1960,MATCH(1750,'Transfer Engine'!$C$2:$C$1960,0)))</f>
        <v/>
      </c>
      <c r="K1759" s="9">
        <f>IF(ISNA(MATCH(1750,'Transfer Engine'!$C$2:$C$1960,0)),"",INDEX('Compliance Database'!$K$2:$K$1960,MATCH(1750,'Transfer Engine'!$C$2:$C$1960,0)))</f>
        <v/>
      </c>
      <c r="L1759" s="9">
        <f>IF(ISNA(MATCH(1750,'Transfer Engine'!$C$2:$C$1960,0)),"",INDEX('Compliance Database'!$L$2:$L$1960,MATCH(1750,'Transfer Engine'!$C$2:$C$1960,0)))</f>
        <v/>
      </c>
      <c r="M1759" s="9">
        <f>IF(ISNA(MATCH(1750,'Transfer Engine'!$C$2:$C$1960,0)),"",INDEX('Compliance Database'!$M$2:$M$1960,MATCH(1750,'Transfer Engine'!$C$2:$C$1960,0)))</f>
        <v/>
      </c>
      <c r="N1759" s="9">
        <f>IF(ISNA(MATCH(1750,'Transfer Engine'!$C$2:$C$1960,0)),"",INDEX('Compliance Database'!$N$2:$N$1960,MATCH(1750,'Transfer Engine'!$C$2:$C$1960,0)))</f>
        <v/>
      </c>
      <c r="O1759" s="9">
        <f>IF(ISNA(MATCH(1750,'Transfer Engine'!$C$2:$C$1960,0)),"",INDEX('Compliance Database'!$O$2:$O$1960,MATCH(1750,'Transfer Engine'!$C$2:$C$1960,0)))</f>
        <v/>
      </c>
      <c r="P1759" s="8">
        <f>IF(ISNA(MATCH(1750,'Transfer Engine'!$C$2:$C$1960,0)),"",HYPERLINK("#Acts!A"&amp;INDEX('Compliance Database'!$P$2:$P$1960,MATCH(1750,'Transfer Engine'!$C$2:$C$1960,0)),"Go to Act"))</f>
        <v/>
      </c>
    </row>
    <row r="1760" ht="158" customHeight="1">
      <c r="A1760" s="8">
        <f>IF(ISNA(MATCH(1751,'Transfer Engine'!$C$2:$C$1960,0)),"",INDEX('Compliance Database'!$A$2:$A$1960,MATCH(1751,'Transfer Engine'!$C$2:$C$1960,0)))</f>
        <v/>
      </c>
      <c r="B1760" s="8">
        <f>IF(ISNA(MATCH(1751,'Transfer Engine'!$C$2:$C$1960,0)),"",INDEX('Compliance Database'!$B$2:$B$1960,MATCH(1751,'Transfer Engine'!$C$2:$C$1960,0)))</f>
        <v/>
      </c>
      <c r="C1760" s="8">
        <f>IF(ISNA(MATCH(1751,'Transfer Engine'!$C$2:$C$1960,0)),"",INDEX('Compliance Database'!$C$2:$C$1960,MATCH(1751,'Transfer Engine'!$C$2:$C$1960,0)))</f>
        <v/>
      </c>
      <c r="D1760" s="9">
        <f>IF(ISNA(MATCH(1751,'Transfer Engine'!$C$2:$C$1960,0)),"",INDEX('Compliance Database'!$D$2:$D$1960,MATCH(1751,'Transfer Engine'!$C$2:$C$1960,0)))</f>
        <v/>
      </c>
      <c r="E1760" s="8">
        <f>IF(ISNA(MATCH(1751,'Transfer Engine'!$C$2:$C$1960,0)),"",INDEX('Compliance Database'!$E$2:$E$1960,MATCH(1751,'Transfer Engine'!$C$2:$C$1960,0)))</f>
        <v/>
      </c>
      <c r="F1760" s="8">
        <f>IF(ISNA(MATCH(1751,'Transfer Engine'!$C$2:$C$1960,0)),"",INDEX('Compliance Database'!$F$2:$F$1960,MATCH(1751,'Transfer Engine'!$C$2:$C$1960,0)))</f>
        <v/>
      </c>
      <c r="G1760" s="8">
        <f>IF(ISNA(MATCH(1751,'Transfer Engine'!$C$2:$C$1960,0)),"",INDEX('Compliance Database'!$G$2:$G$1960,MATCH(1751,'Transfer Engine'!$C$2:$C$1960,0)))</f>
        <v/>
      </c>
      <c r="H1760" s="9">
        <f>IF(ISNA(MATCH(1751,'Transfer Engine'!$C$2:$C$1960,0)),"",INDEX('Compliance Database'!$H$2:$H$1960,MATCH(1751,'Transfer Engine'!$C$2:$C$1960,0)))</f>
        <v/>
      </c>
      <c r="I1760" s="9">
        <f>IF(ISNA(MATCH(1751,'Transfer Engine'!$C$2:$C$1960,0)),"",INDEX('Compliance Database'!$I$2:$I$1960,MATCH(1751,'Transfer Engine'!$C$2:$C$1960,0)))</f>
        <v/>
      </c>
      <c r="J1760" s="8">
        <f>IF(ISNA(MATCH(1751,'Transfer Engine'!$C$2:$C$1960,0)),"",INDEX('Compliance Database'!$J$2:$J$1960,MATCH(1751,'Transfer Engine'!$C$2:$C$1960,0)))</f>
        <v/>
      </c>
      <c r="K1760" s="9">
        <f>IF(ISNA(MATCH(1751,'Transfer Engine'!$C$2:$C$1960,0)),"",INDEX('Compliance Database'!$K$2:$K$1960,MATCH(1751,'Transfer Engine'!$C$2:$C$1960,0)))</f>
        <v/>
      </c>
      <c r="L1760" s="9">
        <f>IF(ISNA(MATCH(1751,'Transfer Engine'!$C$2:$C$1960,0)),"",INDEX('Compliance Database'!$L$2:$L$1960,MATCH(1751,'Transfer Engine'!$C$2:$C$1960,0)))</f>
        <v/>
      </c>
      <c r="M1760" s="9">
        <f>IF(ISNA(MATCH(1751,'Transfer Engine'!$C$2:$C$1960,0)),"",INDEX('Compliance Database'!$M$2:$M$1960,MATCH(1751,'Transfer Engine'!$C$2:$C$1960,0)))</f>
        <v/>
      </c>
      <c r="N1760" s="9">
        <f>IF(ISNA(MATCH(1751,'Transfer Engine'!$C$2:$C$1960,0)),"",INDEX('Compliance Database'!$N$2:$N$1960,MATCH(1751,'Transfer Engine'!$C$2:$C$1960,0)))</f>
        <v/>
      </c>
      <c r="O1760" s="9">
        <f>IF(ISNA(MATCH(1751,'Transfer Engine'!$C$2:$C$1960,0)),"",INDEX('Compliance Database'!$O$2:$O$1960,MATCH(1751,'Transfer Engine'!$C$2:$C$1960,0)))</f>
        <v/>
      </c>
      <c r="P1760" s="8">
        <f>IF(ISNA(MATCH(1751,'Transfer Engine'!$C$2:$C$1960,0)),"",HYPERLINK("#Acts!A"&amp;INDEX('Compliance Database'!$P$2:$P$1960,MATCH(1751,'Transfer Engine'!$C$2:$C$1960,0)),"Go to Act"))</f>
        <v/>
      </c>
    </row>
    <row r="1761" ht="158" customHeight="1">
      <c r="A1761" s="8">
        <f>IF(ISNA(MATCH(1752,'Transfer Engine'!$C$2:$C$1960,0)),"",INDEX('Compliance Database'!$A$2:$A$1960,MATCH(1752,'Transfer Engine'!$C$2:$C$1960,0)))</f>
        <v/>
      </c>
      <c r="B1761" s="8">
        <f>IF(ISNA(MATCH(1752,'Transfer Engine'!$C$2:$C$1960,0)),"",INDEX('Compliance Database'!$B$2:$B$1960,MATCH(1752,'Transfer Engine'!$C$2:$C$1960,0)))</f>
        <v/>
      </c>
      <c r="C1761" s="8">
        <f>IF(ISNA(MATCH(1752,'Transfer Engine'!$C$2:$C$1960,0)),"",INDEX('Compliance Database'!$C$2:$C$1960,MATCH(1752,'Transfer Engine'!$C$2:$C$1960,0)))</f>
        <v/>
      </c>
      <c r="D1761" s="9">
        <f>IF(ISNA(MATCH(1752,'Transfer Engine'!$C$2:$C$1960,0)),"",INDEX('Compliance Database'!$D$2:$D$1960,MATCH(1752,'Transfer Engine'!$C$2:$C$1960,0)))</f>
        <v/>
      </c>
      <c r="E1761" s="8">
        <f>IF(ISNA(MATCH(1752,'Transfer Engine'!$C$2:$C$1960,0)),"",INDEX('Compliance Database'!$E$2:$E$1960,MATCH(1752,'Transfer Engine'!$C$2:$C$1960,0)))</f>
        <v/>
      </c>
      <c r="F1761" s="8">
        <f>IF(ISNA(MATCH(1752,'Transfer Engine'!$C$2:$C$1960,0)),"",INDEX('Compliance Database'!$F$2:$F$1960,MATCH(1752,'Transfer Engine'!$C$2:$C$1960,0)))</f>
        <v/>
      </c>
      <c r="G1761" s="8">
        <f>IF(ISNA(MATCH(1752,'Transfer Engine'!$C$2:$C$1960,0)),"",INDEX('Compliance Database'!$G$2:$G$1960,MATCH(1752,'Transfer Engine'!$C$2:$C$1960,0)))</f>
        <v/>
      </c>
      <c r="H1761" s="9">
        <f>IF(ISNA(MATCH(1752,'Transfer Engine'!$C$2:$C$1960,0)),"",INDEX('Compliance Database'!$H$2:$H$1960,MATCH(1752,'Transfer Engine'!$C$2:$C$1960,0)))</f>
        <v/>
      </c>
      <c r="I1761" s="9">
        <f>IF(ISNA(MATCH(1752,'Transfer Engine'!$C$2:$C$1960,0)),"",INDEX('Compliance Database'!$I$2:$I$1960,MATCH(1752,'Transfer Engine'!$C$2:$C$1960,0)))</f>
        <v/>
      </c>
      <c r="J1761" s="8">
        <f>IF(ISNA(MATCH(1752,'Transfer Engine'!$C$2:$C$1960,0)),"",INDEX('Compliance Database'!$J$2:$J$1960,MATCH(1752,'Transfer Engine'!$C$2:$C$1960,0)))</f>
        <v/>
      </c>
      <c r="K1761" s="9">
        <f>IF(ISNA(MATCH(1752,'Transfer Engine'!$C$2:$C$1960,0)),"",INDEX('Compliance Database'!$K$2:$K$1960,MATCH(1752,'Transfer Engine'!$C$2:$C$1960,0)))</f>
        <v/>
      </c>
      <c r="L1761" s="9">
        <f>IF(ISNA(MATCH(1752,'Transfer Engine'!$C$2:$C$1960,0)),"",INDEX('Compliance Database'!$L$2:$L$1960,MATCH(1752,'Transfer Engine'!$C$2:$C$1960,0)))</f>
        <v/>
      </c>
      <c r="M1761" s="9">
        <f>IF(ISNA(MATCH(1752,'Transfer Engine'!$C$2:$C$1960,0)),"",INDEX('Compliance Database'!$M$2:$M$1960,MATCH(1752,'Transfer Engine'!$C$2:$C$1960,0)))</f>
        <v/>
      </c>
      <c r="N1761" s="9">
        <f>IF(ISNA(MATCH(1752,'Transfer Engine'!$C$2:$C$1960,0)),"",INDEX('Compliance Database'!$N$2:$N$1960,MATCH(1752,'Transfer Engine'!$C$2:$C$1960,0)))</f>
        <v/>
      </c>
      <c r="O1761" s="9">
        <f>IF(ISNA(MATCH(1752,'Transfer Engine'!$C$2:$C$1960,0)),"",INDEX('Compliance Database'!$O$2:$O$1960,MATCH(1752,'Transfer Engine'!$C$2:$C$1960,0)))</f>
        <v/>
      </c>
      <c r="P1761" s="8">
        <f>IF(ISNA(MATCH(1752,'Transfer Engine'!$C$2:$C$1960,0)),"",HYPERLINK("#Acts!A"&amp;INDEX('Compliance Database'!$P$2:$P$1960,MATCH(1752,'Transfer Engine'!$C$2:$C$1960,0)),"Go to Act"))</f>
        <v/>
      </c>
    </row>
    <row r="1762" ht="158" customHeight="1">
      <c r="A1762" s="8">
        <f>IF(ISNA(MATCH(1753,'Transfer Engine'!$C$2:$C$1960,0)),"",INDEX('Compliance Database'!$A$2:$A$1960,MATCH(1753,'Transfer Engine'!$C$2:$C$1960,0)))</f>
        <v/>
      </c>
      <c r="B1762" s="8">
        <f>IF(ISNA(MATCH(1753,'Transfer Engine'!$C$2:$C$1960,0)),"",INDEX('Compliance Database'!$B$2:$B$1960,MATCH(1753,'Transfer Engine'!$C$2:$C$1960,0)))</f>
        <v/>
      </c>
      <c r="C1762" s="8">
        <f>IF(ISNA(MATCH(1753,'Transfer Engine'!$C$2:$C$1960,0)),"",INDEX('Compliance Database'!$C$2:$C$1960,MATCH(1753,'Transfer Engine'!$C$2:$C$1960,0)))</f>
        <v/>
      </c>
      <c r="D1762" s="9">
        <f>IF(ISNA(MATCH(1753,'Transfer Engine'!$C$2:$C$1960,0)),"",INDEX('Compliance Database'!$D$2:$D$1960,MATCH(1753,'Transfer Engine'!$C$2:$C$1960,0)))</f>
        <v/>
      </c>
      <c r="E1762" s="8">
        <f>IF(ISNA(MATCH(1753,'Transfer Engine'!$C$2:$C$1960,0)),"",INDEX('Compliance Database'!$E$2:$E$1960,MATCH(1753,'Transfer Engine'!$C$2:$C$1960,0)))</f>
        <v/>
      </c>
      <c r="F1762" s="8">
        <f>IF(ISNA(MATCH(1753,'Transfer Engine'!$C$2:$C$1960,0)),"",INDEX('Compliance Database'!$F$2:$F$1960,MATCH(1753,'Transfer Engine'!$C$2:$C$1960,0)))</f>
        <v/>
      </c>
      <c r="G1762" s="8">
        <f>IF(ISNA(MATCH(1753,'Transfer Engine'!$C$2:$C$1960,0)),"",INDEX('Compliance Database'!$G$2:$G$1960,MATCH(1753,'Transfer Engine'!$C$2:$C$1960,0)))</f>
        <v/>
      </c>
      <c r="H1762" s="9">
        <f>IF(ISNA(MATCH(1753,'Transfer Engine'!$C$2:$C$1960,0)),"",INDEX('Compliance Database'!$H$2:$H$1960,MATCH(1753,'Transfer Engine'!$C$2:$C$1960,0)))</f>
        <v/>
      </c>
      <c r="I1762" s="9">
        <f>IF(ISNA(MATCH(1753,'Transfer Engine'!$C$2:$C$1960,0)),"",INDEX('Compliance Database'!$I$2:$I$1960,MATCH(1753,'Transfer Engine'!$C$2:$C$1960,0)))</f>
        <v/>
      </c>
      <c r="J1762" s="8">
        <f>IF(ISNA(MATCH(1753,'Transfer Engine'!$C$2:$C$1960,0)),"",INDEX('Compliance Database'!$J$2:$J$1960,MATCH(1753,'Transfer Engine'!$C$2:$C$1960,0)))</f>
        <v/>
      </c>
      <c r="K1762" s="9">
        <f>IF(ISNA(MATCH(1753,'Transfer Engine'!$C$2:$C$1960,0)),"",INDEX('Compliance Database'!$K$2:$K$1960,MATCH(1753,'Transfer Engine'!$C$2:$C$1960,0)))</f>
        <v/>
      </c>
      <c r="L1762" s="9">
        <f>IF(ISNA(MATCH(1753,'Transfer Engine'!$C$2:$C$1960,0)),"",INDEX('Compliance Database'!$L$2:$L$1960,MATCH(1753,'Transfer Engine'!$C$2:$C$1960,0)))</f>
        <v/>
      </c>
      <c r="M1762" s="9">
        <f>IF(ISNA(MATCH(1753,'Transfer Engine'!$C$2:$C$1960,0)),"",INDEX('Compliance Database'!$M$2:$M$1960,MATCH(1753,'Transfer Engine'!$C$2:$C$1960,0)))</f>
        <v/>
      </c>
      <c r="N1762" s="9">
        <f>IF(ISNA(MATCH(1753,'Transfer Engine'!$C$2:$C$1960,0)),"",INDEX('Compliance Database'!$N$2:$N$1960,MATCH(1753,'Transfer Engine'!$C$2:$C$1960,0)))</f>
        <v/>
      </c>
      <c r="O1762" s="9">
        <f>IF(ISNA(MATCH(1753,'Transfer Engine'!$C$2:$C$1960,0)),"",INDEX('Compliance Database'!$O$2:$O$1960,MATCH(1753,'Transfer Engine'!$C$2:$C$1960,0)))</f>
        <v/>
      </c>
      <c r="P1762" s="8">
        <f>IF(ISNA(MATCH(1753,'Transfer Engine'!$C$2:$C$1960,0)),"",HYPERLINK("#Acts!A"&amp;INDEX('Compliance Database'!$P$2:$P$1960,MATCH(1753,'Transfer Engine'!$C$2:$C$1960,0)),"Go to Act"))</f>
        <v/>
      </c>
    </row>
    <row r="1763" ht="158" customHeight="1">
      <c r="A1763" s="8">
        <f>IF(ISNA(MATCH(1754,'Transfer Engine'!$C$2:$C$1960,0)),"",INDEX('Compliance Database'!$A$2:$A$1960,MATCH(1754,'Transfer Engine'!$C$2:$C$1960,0)))</f>
        <v/>
      </c>
      <c r="B1763" s="8">
        <f>IF(ISNA(MATCH(1754,'Transfer Engine'!$C$2:$C$1960,0)),"",INDEX('Compliance Database'!$B$2:$B$1960,MATCH(1754,'Transfer Engine'!$C$2:$C$1960,0)))</f>
        <v/>
      </c>
      <c r="C1763" s="8">
        <f>IF(ISNA(MATCH(1754,'Transfer Engine'!$C$2:$C$1960,0)),"",INDEX('Compliance Database'!$C$2:$C$1960,MATCH(1754,'Transfer Engine'!$C$2:$C$1960,0)))</f>
        <v/>
      </c>
      <c r="D1763" s="9">
        <f>IF(ISNA(MATCH(1754,'Transfer Engine'!$C$2:$C$1960,0)),"",INDEX('Compliance Database'!$D$2:$D$1960,MATCH(1754,'Transfer Engine'!$C$2:$C$1960,0)))</f>
        <v/>
      </c>
      <c r="E1763" s="8">
        <f>IF(ISNA(MATCH(1754,'Transfer Engine'!$C$2:$C$1960,0)),"",INDEX('Compliance Database'!$E$2:$E$1960,MATCH(1754,'Transfer Engine'!$C$2:$C$1960,0)))</f>
        <v/>
      </c>
      <c r="F1763" s="8">
        <f>IF(ISNA(MATCH(1754,'Transfer Engine'!$C$2:$C$1960,0)),"",INDEX('Compliance Database'!$F$2:$F$1960,MATCH(1754,'Transfer Engine'!$C$2:$C$1960,0)))</f>
        <v/>
      </c>
      <c r="G1763" s="8">
        <f>IF(ISNA(MATCH(1754,'Transfer Engine'!$C$2:$C$1960,0)),"",INDEX('Compliance Database'!$G$2:$G$1960,MATCH(1754,'Transfer Engine'!$C$2:$C$1960,0)))</f>
        <v/>
      </c>
      <c r="H1763" s="9">
        <f>IF(ISNA(MATCH(1754,'Transfer Engine'!$C$2:$C$1960,0)),"",INDEX('Compliance Database'!$H$2:$H$1960,MATCH(1754,'Transfer Engine'!$C$2:$C$1960,0)))</f>
        <v/>
      </c>
      <c r="I1763" s="9">
        <f>IF(ISNA(MATCH(1754,'Transfer Engine'!$C$2:$C$1960,0)),"",INDEX('Compliance Database'!$I$2:$I$1960,MATCH(1754,'Transfer Engine'!$C$2:$C$1960,0)))</f>
        <v/>
      </c>
      <c r="J1763" s="8">
        <f>IF(ISNA(MATCH(1754,'Transfer Engine'!$C$2:$C$1960,0)),"",INDEX('Compliance Database'!$J$2:$J$1960,MATCH(1754,'Transfer Engine'!$C$2:$C$1960,0)))</f>
        <v/>
      </c>
      <c r="K1763" s="9">
        <f>IF(ISNA(MATCH(1754,'Transfer Engine'!$C$2:$C$1960,0)),"",INDEX('Compliance Database'!$K$2:$K$1960,MATCH(1754,'Transfer Engine'!$C$2:$C$1960,0)))</f>
        <v/>
      </c>
      <c r="L1763" s="9">
        <f>IF(ISNA(MATCH(1754,'Transfer Engine'!$C$2:$C$1960,0)),"",INDEX('Compliance Database'!$L$2:$L$1960,MATCH(1754,'Transfer Engine'!$C$2:$C$1960,0)))</f>
        <v/>
      </c>
      <c r="M1763" s="9">
        <f>IF(ISNA(MATCH(1754,'Transfer Engine'!$C$2:$C$1960,0)),"",INDEX('Compliance Database'!$M$2:$M$1960,MATCH(1754,'Transfer Engine'!$C$2:$C$1960,0)))</f>
        <v/>
      </c>
      <c r="N1763" s="9">
        <f>IF(ISNA(MATCH(1754,'Transfer Engine'!$C$2:$C$1960,0)),"",INDEX('Compliance Database'!$N$2:$N$1960,MATCH(1754,'Transfer Engine'!$C$2:$C$1960,0)))</f>
        <v/>
      </c>
      <c r="O1763" s="9">
        <f>IF(ISNA(MATCH(1754,'Transfer Engine'!$C$2:$C$1960,0)),"",INDEX('Compliance Database'!$O$2:$O$1960,MATCH(1754,'Transfer Engine'!$C$2:$C$1960,0)))</f>
        <v/>
      </c>
      <c r="P1763" s="8">
        <f>IF(ISNA(MATCH(1754,'Transfer Engine'!$C$2:$C$1960,0)),"",HYPERLINK("#Acts!A"&amp;INDEX('Compliance Database'!$P$2:$P$1960,MATCH(1754,'Transfer Engine'!$C$2:$C$1960,0)),"Go to Act"))</f>
        <v/>
      </c>
    </row>
    <row r="1764" ht="158" customHeight="1">
      <c r="A1764" s="8">
        <f>IF(ISNA(MATCH(1755,'Transfer Engine'!$C$2:$C$1960,0)),"",INDEX('Compliance Database'!$A$2:$A$1960,MATCH(1755,'Transfer Engine'!$C$2:$C$1960,0)))</f>
        <v/>
      </c>
      <c r="B1764" s="8">
        <f>IF(ISNA(MATCH(1755,'Transfer Engine'!$C$2:$C$1960,0)),"",INDEX('Compliance Database'!$B$2:$B$1960,MATCH(1755,'Transfer Engine'!$C$2:$C$1960,0)))</f>
        <v/>
      </c>
      <c r="C1764" s="8">
        <f>IF(ISNA(MATCH(1755,'Transfer Engine'!$C$2:$C$1960,0)),"",INDEX('Compliance Database'!$C$2:$C$1960,MATCH(1755,'Transfer Engine'!$C$2:$C$1960,0)))</f>
        <v/>
      </c>
      <c r="D1764" s="9">
        <f>IF(ISNA(MATCH(1755,'Transfer Engine'!$C$2:$C$1960,0)),"",INDEX('Compliance Database'!$D$2:$D$1960,MATCH(1755,'Transfer Engine'!$C$2:$C$1960,0)))</f>
        <v/>
      </c>
      <c r="E1764" s="8">
        <f>IF(ISNA(MATCH(1755,'Transfer Engine'!$C$2:$C$1960,0)),"",INDEX('Compliance Database'!$E$2:$E$1960,MATCH(1755,'Transfer Engine'!$C$2:$C$1960,0)))</f>
        <v/>
      </c>
      <c r="F1764" s="8">
        <f>IF(ISNA(MATCH(1755,'Transfer Engine'!$C$2:$C$1960,0)),"",INDEX('Compliance Database'!$F$2:$F$1960,MATCH(1755,'Transfer Engine'!$C$2:$C$1960,0)))</f>
        <v/>
      </c>
      <c r="G1764" s="8">
        <f>IF(ISNA(MATCH(1755,'Transfer Engine'!$C$2:$C$1960,0)),"",INDEX('Compliance Database'!$G$2:$G$1960,MATCH(1755,'Transfer Engine'!$C$2:$C$1960,0)))</f>
        <v/>
      </c>
      <c r="H1764" s="9">
        <f>IF(ISNA(MATCH(1755,'Transfer Engine'!$C$2:$C$1960,0)),"",INDEX('Compliance Database'!$H$2:$H$1960,MATCH(1755,'Transfer Engine'!$C$2:$C$1960,0)))</f>
        <v/>
      </c>
      <c r="I1764" s="9">
        <f>IF(ISNA(MATCH(1755,'Transfer Engine'!$C$2:$C$1960,0)),"",INDEX('Compliance Database'!$I$2:$I$1960,MATCH(1755,'Transfer Engine'!$C$2:$C$1960,0)))</f>
        <v/>
      </c>
      <c r="J1764" s="8">
        <f>IF(ISNA(MATCH(1755,'Transfer Engine'!$C$2:$C$1960,0)),"",INDEX('Compliance Database'!$J$2:$J$1960,MATCH(1755,'Transfer Engine'!$C$2:$C$1960,0)))</f>
        <v/>
      </c>
      <c r="K1764" s="9">
        <f>IF(ISNA(MATCH(1755,'Transfer Engine'!$C$2:$C$1960,0)),"",INDEX('Compliance Database'!$K$2:$K$1960,MATCH(1755,'Transfer Engine'!$C$2:$C$1960,0)))</f>
        <v/>
      </c>
      <c r="L1764" s="9">
        <f>IF(ISNA(MATCH(1755,'Transfer Engine'!$C$2:$C$1960,0)),"",INDEX('Compliance Database'!$L$2:$L$1960,MATCH(1755,'Transfer Engine'!$C$2:$C$1960,0)))</f>
        <v/>
      </c>
      <c r="M1764" s="9">
        <f>IF(ISNA(MATCH(1755,'Transfer Engine'!$C$2:$C$1960,0)),"",INDEX('Compliance Database'!$M$2:$M$1960,MATCH(1755,'Transfer Engine'!$C$2:$C$1960,0)))</f>
        <v/>
      </c>
      <c r="N1764" s="9">
        <f>IF(ISNA(MATCH(1755,'Transfer Engine'!$C$2:$C$1960,0)),"",INDEX('Compliance Database'!$N$2:$N$1960,MATCH(1755,'Transfer Engine'!$C$2:$C$1960,0)))</f>
        <v/>
      </c>
      <c r="O1764" s="9">
        <f>IF(ISNA(MATCH(1755,'Transfer Engine'!$C$2:$C$1960,0)),"",INDEX('Compliance Database'!$O$2:$O$1960,MATCH(1755,'Transfer Engine'!$C$2:$C$1960,0)))</f>
        <v/>
      </c>
      <c r="P1764" s="8">
        <f>IF(ISNA(MATCH(1755,'Transfer Engine'!$C$2:$C$1960,0)),"",HYPERLINK("#Acts!A"&amp;INDEX('Compliance Database'!$P$2:$P$1960,MATCH(1755,'Transfer Engine'!$C$2:$C$1960,0)),"Go to Act"))</f>
        <v/>
      </c>
    </row>
    <row r="1765" ht="158" customHeight="1">
      <c r="A1765" s="8">
        <f>IF(ISNA(MATCH(1756,'Transfer Engine'!$C$2:$C$1960,0)),"",INDEX('Compliance Database'!$A$2:$A$1960,MATCH(1756,'Transfer Engine'!$C$2:$C$1960,0)))</f>
        <v/>
      </c>
      <c r="B1765" s="8">
        <f>IF(ISNA(MATCH(1756,'Transfer Engine'!$C$2:$C$1960,0)),"",INDEX('Compliance Database'!$B$2:$B$1960,MATCH(1756,'Transfer Engine'!$C$2:$C$1960,0)))</f>
        <v/>
      </c>
      <c r="C1765" s="8">
        <f>IF(ISNA(MATCH(1756,'Transfer Engine'!$C$2:$C$1960,0)),"",INDEX('Compliance Database'!$C$2:$C$1960,MATCH(1756,'Transfer Engine'!$C$2:$C$1960,0)))</f>
        <v/>
      </c>
      <c r="D1765" s="9">
        <f>IF(ISNA(MATCH(1756,'Transfer Engine'!$C$2:$C$1960,0)),"",INDEX('Compliance Database'!$D$2:$D$1960,MATCH(1756,'Transfer Engine'!$C$2:$C$1960,0)))</f>
        <v/>
      </c>
      <c r="E1765" s="8">
        <f>IF(ISNA(MATCH(1756,'Transfer Engine'!$C$2:$C$1960,0)),"",INDEX('Compliance Database'!$E$2:$E$1960,MATCH(1756,'Transfer Engine'!$C$2:$C$1960,0)))</f>
        <v/>
      </c>
      <c r="F1765" s="8">
        <f>IF(ISNA(MATCH(1756,'Transfer Engine'!$C$2:$C$1960,0)),"",INDEX('Compliance Database'!$F$2:$F$1960,MATCH(1756,'Transfer Engine'!$C$2:$C$1960,0)))</f>
        <v/>
      </c>
      <c r="G1765" s="8">
        <f>IF(ISNA(MATCH(1756,'Transfer Engine'!$C$2:$C$1960,0)),"",INDEX('Compliance Database'!$G$2:$G$1960,MATCH(1756,'Transfer Engine'!$C$2:$C$1960,0)))</f>
        <v/>
      </c>
      <c r="H1765" s="9">
        <f>IF(ISNA(MATCH(1756,'Transfer Engine'!$C$2:$C$1960,0)),"",INDEX('Compliance Database'!$H$2:$H$1960,MATCH(1756,'Transfer Engine'!$C$2:$C$1960,0)))</f>
        <v/>
      </c>
      <c r="I1765" s="9">
        <f>IF(ISNA(MATCH(1756,'Transfer Engine'!$C$2:$C$1960,0)),"",INDEX('Compliance Database'!$I$2:$I$1960,MATCH(1756,'Transfer Engine'!$C$2:$C$1960,0)))</f>
        <v/>
      </c>
      <c r="J1765" s="8">
        <f>IF(ISNA(MATCH(1756,'Transfer Engine'!$C$2:$C$1960,0)),"",INDEX('Compliance Database'!$J$2:$J$1960,MATCH(1756,'Transfer Engine'!$C$2:$C$1960,0)))</f>
        <v/>
      </c>
      <c r="K1765" s="9">
        <f>IF(ISNA(MATCH(1756,'Transfer Engine'!$C$2:$C$1960,0)),"",INDEX('Compliance Database'!$K$2:$K$1960,MATCH(1756,'Transfer Engine'!$C$2:$C$1960,0)))</f>
        <v/>
      </c>
      <c r="L1765" s="9">
        <f>IF(ISNA(MATCH(1756,'Transfer Engine'!$C$2:$C$1960,0)),"",INDEX('Compliance Database'!$L$2:$L$1960,MATCH(1756,'Transfer Engine'!$C$2:$C$1960,0)))</f>
        <v/>
      </c>
      <c r="M1765" s="9">
        <f>IF(ISNA(MATCH(1756,'Transfer Engine'!$C$2:$C$1960,0)),"",INDEX('Compliance Database'!$M$2:$M$1960,MATCH(1756,'Transfer Engine'!$C$2:$C$1960,0)))</f>
        <v/>
      </c>
      <c r="N1765" s="9">
        <f>IF(ISNA(MATCH(1756,'Transfer Engine'!$C$2:$C$1960,0)),"",INDEX('Compliance Database'!$N$2:$N$1960,MATCH(1756,'Transfer Engine'!$C$2:$C$1960,0)))</f>
        <v/>
      </c>
      <c r="O1765" s="9">
        <f>IF(ISNA(MATCH(1756,'Transfer Engine'!$C$2:$C$1960,0)),"",INDEX('Compliance Database'!$O$2:$O$1960,MATCH(1756,'Transfer Engine'!$C$2:$C$1960,0)))</f>
        <v/>
      </c>
      <c r="P1765" s="8">
        <f>IF(ISNA(MATCH(1756,'Transfer Engine'!$C$2:$C$1960,0)),"",HYPERLINK("#Acts!A"&amp;INDEX('Compliance Database'!$P$2:$P$1960,MATCH(1756,'Transfer Engine'!$C$2:$C$1960,0)),"Go to Act"))</f>
        <v/>
      </c>
    </row>
    <row r="1766" ht="158" customHeight="1">
      <c r="A1766" s="8">
        <f>IF(ISNA(MATCH(1757,'Transfer Engine'!$C$2:$C$1960,0)),"",INDEX('Compliance Database'!$A$2:$A$1960,MATCH(1757,'Transfer Engine'!$C$2:$C$1960,0)))</f>
        <v/>
      </c>
      <c r="B1766" s="8">
        <f>IF(ISNA(MATCH(1757,'Transfer Engine'!$C$2:$C$1960,0)),"",INDEX('Compliance Database'!$B$2:$B$1960,MATCH(1757,'Transfer Engine'!$C$2:$C$1960,0)))</f>
        <v/>
      </c>
      <c r="C1766" s="8">
        <f>IF(ISNA(MATCH(1757,'Transfer Engine'!$C$2:$C$1960,0)),"",INDEX('Compliance Database'!$C$2:$C$1960,MATCH(1757,'Transfer Engine'!$C$2:$C$1960,0)))</f>
        <v/>
      </c>
      <c r="D1766" s="9">
        <f>IF(ISNA(MATCH(1757,'Transfer Engine'!$C$2:$C$1960,0)),"",INDEX('Compliance Database'!$D$2:$D$1960,MATCH(1757,'Transfer Engine'!$C$2:$C$1960,0)))</f>
        <v/>
      </c>
      <c r="E1766" s="8">
        <f>IF(ISNA(MATCH(1757,'Transfer Engine'!$C$2:$C$1960,0)),"",INDEX('Compliance Database'!$E$2:$E$1960,MATCH(1757,'Transfer Engine'!$C$2:$C$1960,0)))</f>
        <v/>
      </c>
      <c r="F1766" s="8">
        <f>IF(ISNA(MATCH(1757,'Transfer Engine'!$C$2:$C$1960,0)),"",INDEX('Compliance Database'!$F$2:$F$1960,MATCH(1757,'Transfer Engine'!$C$2:$C$1960,0)))</f>
        <v/>
      </c>
      <c r="G1766" s="8">
        <f>IF(ISNA(MATCH(1757,'Transfer Engine'!$C$2:$C$1960,0)),"",INDEX('Compliance Database'!$G$2:$G$1960,MATCH(1757,'Transfer Engine'!$C$2:$C$1960,0)))</f>
        <v/>
      </c>
      <c r="H1766" s="9">
        <f>IF(ISNA(MATCH(1757,'Transfer Engine'!$C$2:$C$1960,0)),"",INDEX('Compliance Database'!$H$2:$H$1960,MATCH(1757,'Transfer Engine'!$C$2:$C$1960,0)))</f>
        <v/>
      </c>
      <c r="I1766" s="9">
        <f>IF(ISNA(MATCH(1757,'Transfer Engine'!$C$2:$C$1960,0)),"",INDEX('Compliance Database'!$I$2:$I$1960,MATCH(1757,'Transfer Engine'!$C$2:$C$1960,0)))</f>
        <v/>
      </c>
      <c r="J1766" s="8">
        <f>IF(ISNA(MATCH(1757,'Transfer Engine'!$C$2:$C$1960,0)),"",INDEX('Compliance Database'!$J$2:$J$1960,MATCH(1757,'Transfer Engine'!$C$2:$C$1960,0)))</f>
        <v/>
      </c>
      <c r="K1766" s="9">
        <f>IF(ISNA(MATCH(1757,'Transfer Engine'!$C$2:$C$1960,0)),"",INDEX('Compliance Database'!$K$2:$K$1960,MATCH(1757,'Transfer Engine'!$C$2:$C$1960,0)))</f>
        <v/>
      </c>
      <c r="L1766" s="9">
        <f>IF(ISNA(MATCH(1757,'Transfer Engine'!$C$2:$C$1960,0)),"",INDEX('Compliance Database'!$L$2:$L$1960,MATCH(1757,'Transfer Engine'!$C$2:$C$1960,0)))</f>
        <v/>
      </c>
      <c r="M1766" s="9">
        <f>IF(ISNA(MATCH(1757,'Transfer Engine'!$C$2:$C$1960,0)),"",INDEX('Compliance Database'!$M$2:$M$1960,MATCH(1757,'Transfer Engine'!$C$2:$C$1960,0)))</f>
        <v/>
      </c>
      <c r="N1766" s="9">
        <f>IF(ISNA(MATCH(1757,'Transfer Engine'!$C$2:$C$1960,0)),"",INDEX('Compliance Database'!$N$2:$N$1960,MATCH(1757,'Transfer Engine'!$C$2:$C$1960,0)))</f>
        <v/>
      </c>
      <c r="O1766" s="9">
        <f>IF(ISNA(MATCH(1757,'Transfer Engine'!$C$2:$C$1960,0)),"",INDEX('Compliance Database'!$O$2:$O$1960,MATCH(1757,'Transfer Engine'!$C$2:$C$1960,0)))</f>
        <v/>
      </c>
      <c r="P1766" s="8">
        <f>IF(ISNA(MATCH(1757,'Transfer Engine'!$C$2:$C$1960,0)),"",HYPERLINK("#Acts!A"&amp;INDEX('Compliance Database'!$P$2:$P$1960,MATCH(1757,'Transfer Engine'!$C$2:$C$1960,0)),"Go to Act"))</f>
        <v/>
      </c>
    </row>
    <row r="1767" ht="158" customHeight="1">
      <c r="A1767" s="8">
        <f>IF(ISNA(MATCH(1758,'Transfer Engine'!$C$2:$C$1960,0)),"",INDEX('Compliance Database'!$A$2:$A$1960,MATCH(1758,'Transfer Engine'!$C$2:$C$1960,0)))</f>
        <v/>
      </c>
      <c r="B1767" s="8">
        <f>IF(ISNA(MATCH(1758,'Transfer Engine'!$C$2:$C$1960,0)),"",INDEX('Compliance Database'!$B$2:$B$1960,MATCH(1758,'Transfer Engine'!$C$2:$C$1960,0)))</f>
        <v/>
      </c>
      <c r="C1767" s="8">
        <f>IF(ISNA(MATCH(1758,'Transfer Engine'!$C$2:$C$1960,0)),"",INDEX('Compliance Database'!$C$2:$C$1960,MATCH(1758,'Transfer Engine'!$C$2:$C$1960,0)))</f>
        <v/>
      </c>
      <c r="D1767" s="9">
        <f>IF(ISNA(MATCH(1758,'Transfer Engine'!$C$2:$C$1960,0)),"",INDEX('Compliance Database'!$D$2:$D$1960,MATCH(1758,'Transfer Engine'!$C$2:$C$1960,0)))</f>
        <v/>
      </c>
      <c r="E1767" s="8">
        <f>IF(ISNA(MATCH(1758,'Transfer Engine'!$C$2:$C$1960,0)),"",INDEX('Compliance Database'!$E$2:$E$1960,MATCH(1758,'Transfer Engine'!$C$2:$C$1960,0)))</f>
        <v/>
      </c>
      <c r="F1767" s="8">
        <f>IF(ISNA(MATCH(1758,'Transfer Engine'!$C$2:$C$1960,0)),"",INDEX('Compliance Database'!$F$2:$F$1960,MATCH(1758,'Transfer Engine'!$C$2:$C$1960,0)))</f>
        <v/>
      </c>
      <c r="G1767" s="8">
        <f>IF(ISNA(MATCH(1758,'Transfer Engine'!$C$2:$C$1960,0)),"",INDEX('Compliance Database'!$G$2:$G$1960,MATCH(1758,'Transfer Engine'!$C$2:$C$1960,0)))</f>
        <v/>
      </c>
      <c r="H1767" s="9">
        <f>IF(ISNA(MATCH(1758,'Transfer Engine'!$C$2:$C$1960,0)),"",INDEX('Compliance Database'!$H$2:$H$1960,MATCH(1758,'Transfer Engine'!$C$2:$C$1960,0)))</f>
        <v/>
      </c>
      <c r="I1767" s="9">
        <f>IF(ISNA(MATCH(1758,'Transfer Engine'!$C$2:$C$1960,0)),"",INDEX('Compliance Database'!$I$2:$I$1960,MATCH(1758,'Transfer Engine'!$C$2:$C$1960,0)))</f>
        <v/>
      </c>
      <c r="J1767" s="8">
        <f>IF(ISNA(MATCH(1758,'Transfer Engine'!$C$2:$C$1960,0)),"",INDEX('Compliance Database'!$J$2:$J$1960,MATCH(1758,'Transfer Engine'!$C$2:$C$1960,0)))</f>
        <v/>
      </c>
      <c r="K1767" s="9">
        <f>IF(ISNA(MATCH(1758,'Transfer Engine'!$C$2:$C$1960,0)),"",INDEX('Compliance Database'!$K$2:$K$1960,MATCH(1758,'Transfer Engine'!$C$2:$C$1960,0)))</f>
        <v/>
      </c>
      <c r="L1767" s="9">
        <f>IF(ISNA(MATCH(1758,'Transfer Engine'!$C$2:$C$1960,0)),"",INDEX('Compliance Database'!$L$2:$L$1960,MATCH(1758,'Transfer Engine'!$C$2:$C$1960,0)))</f>
        <v/>
      </c>
      <c r="M1767" s="9">
        <f>IF(ISNA(MATCH(1758,'Transfer Engine'!$C$2:$C$1960,0)),"",INDEX('Compliance Database'!$M$2:$M$1960,MATCH(1758,'Transfer Engine'!$C$2:$C$1960,0)))</f>
        <v/>
      </c>
      <c r="N1767" s="9">
        <f>IF(ISNA(MATCH(1758,'Transfer Engine'!$C$2:$C$1960,0)),"",INDEX('Compliance Database'!$N$2:$N$1960,MATCH(1758,'Transfer Engine'!$C$2:$C$1960,0)))</f>
        <v/>
      </c>
      <c r="O1767" s="9">
        <f>IF(ISNA(MATCH(1758,'Transfer Engine'!$C$2:$C$1960,0)),"",INDEX('Compliance Database'!$O$2:$O$1960,MATCH(1758,'Transfer Engine'!$C$2:$C$1960,0)))</f>
        <v/>
      </c>
      <c r="P1767" s="8">
        <f>IF(ISNA(MATCH(1758,'Transfer Engine'!$C$2:$C$1960,0)),"",HYPERLINK("#Acts!A"&amp;INDEX('Compliance Database'!$P$2:$P$1960,MATCH(1758,'Transfer Engine'!$C$2:$C$1960,0)),"Go to Act"))</f>
        <v/>
      </c>
    </row>
    <row r="1768" ht="158" customHeight="1">
      <c r="A1768" s="8">
        <f>IF(ISNA(MATCH(1759,'Transfer Engine'!$C$2:$C$1960,0)),"",INDEX('Compliance Database'!$A$2:$A$1960,MATCH(1759,'Transfer Engine'!$C$2:$C$1960,0)))</f>
        <v/>
      </c>
      <c r="B1768" s="8">
        <f>IF(ISNA(MATCH(1759,'Transfer Engine'!$C$2:$C$1960,0)),"",INDEX('Compliance Database'!$B$2:$B$1960,MATCH(1759,'Transfer Engine'!$C$2:$C$1960,0)))</f>
        <v/>
      </c>
      <c r="C1768" s="8">
        <f>IF(ISNA(MATCH(1759,'Transfer Engine'!$C$2:$C$1960,0)),"",INDEX('Compliance Database'!$C$2:$C$1960,MATCH(1759,'Transfer Engine'!$C$2:$C$1960,0)))</f>
        <v/>
      </c>
      <c r="D1768" s="9">
        <f>IF(ISNA(MATCH(1759,'Transfer Engine'!$C$2:$C$1960,0)),"",INDEX('Compliance Database'!$D$2:$D$1960,MATCH(1759,'Transfer Engine'!$C$2:$C$1960,0)))</f>
        <v/>
      </c>
      <c r="E1768" s="8">
        <f>IF(ISNA(MATCH(1759,'Transfer Engine'!$C$2:$C$1960,0)),"",INDEX('Compliance Database'!$E$2:$E$1960,MATCH(1759,'Transfer Engine'!$C$2:$C$1960,0)))</f>
        <v/>
      </c>
      <c r="F1768" s="8">
        <f>IF(ISNA(MATCH(1759,'Transfer Engine'!$C$2:$C$1960,0)),"",INDEX('Compliance Database'!$F$2:$F$1960,MATCH(1759,'Transfer Engine'!$C$2:$C$1960,0)))</f>
        <v/>
      </c>
      <c r="G1768" s="8">
        <f>IF(ISNA(MATCH(1759,'Transfer Engine'!$C$2:$C$1960,0)),"",INDEX('Compliance Database'!$G$2:$G$1960,MATCH(1759,'Transfer Engine'!$C$2:$C$1960,0)))</f>
        <v/>
      </c>
      <c r="H1768" s="9">
        <f>IF(ISNA(MATCH(1759,'Transfer Engine'!$C$2:$C$1960,0)),"",INDEX('Compliance Database'!$H$2:$H$1960,MATCH(1759,'Transfer Engine'!$C$2:$C$1960,0)))</f>
        <v/>
      </c>
      <c r="I1768" s="9">
        <f>IF(ISNA(MATCH(1759,'Transfer Engine'!$C$2:$C$1960,0)),"",INDEX('Compliance Database'!$I$2:$I$1960,MATCH(1759,'Transfer Engine'!$C$2:$C$1960,0)))</f>
        <v/>
      </c>
      <c r="J1768" s="8">
        <f>IF(ISNA(MATCH(1759,'Transfer Engine'!$C$2:$C$1960,0)),"",INDEX('Compliance Database'!$J$2:$J$1960,MATCH(1759,'Transfer Engine'!$C$2:$C$1960,0)))</f>
        <v/>
      </c>
      <c r="K1768" s="9">
        <f>IF(ISNA(MATCH(1759,'Transfer Engine'!$C$2:$C$1960,0)),"",INDEX('Compliance Database'!$K$2:$K$1960,MATCH(1759,'Transfer Engine'!$C$2:$C$1960,0)))</f>
        <v/>
      </c>
      <c r="L1768" s="9">
        <f>IF(ISNA(MATCH(1759,'Transfer Engine'!$C$2:$C$1960,0)),"",INDEX('Compliance Database'!$L$2:$L$1960,MATCH(1759,'Transfer Engine'!$C$2:$C$1960,0)))</f>
        <v/>
      </c>
      <c r="M1768" s="9">
        <f>IF(ISNA(MATCH(1759,'Transfer Engine'!$C$2:$C$1960,0)),"",INDEX('Compliance Database'!$M$2:$M$1960,MATCH(1759,'Transfer Engine'!$C$2:$C$1960,0)))</f>
        <v/>
      </c>
      <c r="N1768" s="9">
        <f>IF(ISNA(MATCH(1759,'Transfer Engine'!$C$2:$C$1960,0)),"",INDEX('Compliance Database'!$N$2:$N$1960,MATCH(1759,'Transfer Engine'!$C$2:$C$1960,0)))</f>
        <v/>
      </c>
      <c r="O1768" s="9">
        <f>IF(ISNA(MATCH(1759,'Transfer Engine'!$C$2:$C$1960,0)),"",INDEX('Compliance Database'!$O$2:$O$1960,MATCH(1759,'Transfer Engine'!$C$2:$C$1960,0)))</f>
        <v/>
      </c>
      <c r="P1768" s="8">
        <f>IF(ISNA(MATCH(1759,'Transfer Engine'!$C$2:$C$1960,0)),"",HYPERLINK("#Acts!A"&amp;INDEX('Compliance Database'!$P$2:$P$1960,MATCH(1759,'Transfer Engine'!$C$2:$C$1960,0)),"Go to Act"))</f>
        <v/>
      </c>
    </row>
    <row r="1769" ht="158" customHeight="1">
      <c r="A1769" s="8">
        <f>IF(ISNA(MATCH(1760,'Transfer Engine'!$C$2:$C$1960,0)),"",INDEX('Compliance Database'!$A$2:$A$1960,MATCH(1760,'Transfer Engine'!$C$2:$C$1960,0)))</f>
        <v/>
      </c>
      <c r="B1769" s="8">
        <f>IF(ISNA(MATCH(1760,'Transfer Engine'!$C$2:$C$1960,0)),"",INDEX('Compliance Database'!$B$2:$B$1960,MATCH(1760,'Transfer Engine'!$C$2:$C$1960,0)))</f>
        <v/>
      </c>
      <c r="C1769" s="8">
        <f>IF(ISNA(MATCH(1760,'Transfer Engine'!$C$2:$C$1960,0)),"",INDEX('Compliance Database'!$C$2:$C$1960,MATCH(1760,'Transfer Engine'!$C$2:$C$1960,0)))</f>
        <v/>
      </c>
      <c r="D1769" s="9">
        <f>IF(ISNA(MATCH(1760,'Transfer Engine'!$C$2:$C$1960,0)),"",INDEX('Compliance Database'!$D$2:$D$1960,MATCH(1760,'Transfer Engine'!$C$2:$C$1960,0)))</f>
        <v/>
      </c>
      <c r="E1769" s="8">
        <f>IF(ISNA(MATCH(1760,'Transfer Engine'!$C$2:$C$1960,0)),"",INDEX('Compliance Database'!$E$2:$E$1960,MATCH(1760,'Transfer Engine'!$C$2:$C$1960,0)))</f>
        <v/>
      </c>
      <c r="F1769" s="8">
        <f>IF(ISNA(MATCH(1760,'Transfer Engine'!$C$2:$C$1960,0)),"",INDEX('Compliance Database'!$F$2:$F$1960,MATCH(1760,'Transfer Engine'!$C$2:$C$1960,0)))</f>
        <v/>
      </c>
      <c r="G1769" s="8">
        <f>IF(ISNA(MATCH(1760,'Transfer Engine'!$C$2:$C$1960,0)),"",INDEX('Compliance Database'!$G$2:$G$1960,MATCH(1760,'Transfer Engine'!$C$2:$C$1960,0)))</f>
        <v/>
      </c>
      <c r="H1769" s="9">
        <f>IF(ISNA(MATCH(1760,'Transfer Engine'!$C$2:$C$1960,0)),"",INDEX('Compliance Database'!$H$2:$H$1960,MATCH(1760,'Transfer Engine'!$C$2:$C$1960,0)))</f>
        <v/>
      </c>
      <c r="I1769" s="9">
        <f>IF(ISNA(MATCH(1760,'Transfer Engine'!$C$2:$C$1960,0)),"",INDEX('Compliance Database'!$I$2:$I$1960,MATCH(1760,'Transfer Engine'!$C$2:$C$1960,0)))</f>
        <v/>
      </c>
      <c r="J1769" s="8">
        <f>IF(ISNA(MATCH(1760,'Transfer Engine'!$C$2:$C$1960,0)),"",INDEX('Compliance Database'!$J$2:$J$1960,MATCH(1760,'Transfer Engine'!$C$2:$C$1960,0)))</f>
        <v/>
      </c>
      <c r="K1769" s="9">
        <f>IF(ISNA(MATCH(1760,'Transfer Engine'!$C$2:$C$1960,0)),"",INDEX('Compliance Database'!$K$2:$K$1960,MATCH(1760,'Transfer Engine'!$C$2:$C$1960,0)))</f>
        <v/>
      </c>
      <c r="L1769" s="9">
        <f>IF(ISNA(MATCH(1760,'Transfer Engine'!$C$2:$C$1960,0)),"",INDEX('Compliance Database'!$L$2:$L$1960,MATCH(1760,'Transfer Engine'!$C$2:$C$1960,0)))</f>
        <v/>
      </c>
      <c r="M1769" s="9">
        <f>IF(ISNA(MATCH(1760,'Transfer Engine'!$C$2:$C$1960,0)),"",INDEX('Compliance Database'!$M$2:$M$1960,MATCH(1760,'Transfer Engine'!$C$2:$C$1960,0)))</f>
        <v/>
      </c>
      <c r="N1769" s="9">
        <f>IF(ISNA(MATCH(1760,'Transfer Engine'!$C$2:$C$1960,0)),"",INDEX('Compliance Database'!$N$2:$N$1960,MATCH(1760,'Transfer Engine'!$C$2:$C$1960,0)))</f>
        <v/>
      </c>
      <c r="O1769" s="9">
        <f>IF(ISNA(MATCH(1760,'Transfer Engine'!$C$2:$C$1960,0)),"",INDEX('Compliance Database'!$O$2:$O$1960,MATCH(1760,'Transfer Engine'!$C$2:$C$1960,0)))</f>
        <v/>
      </c>
      <c r="P1769" s="8">
        <f>IF(ISNA(MATCH(1760,'Transfer Engine'!$C$2:$C$1960,0)),"",HYPERLINK("#Acts!A"&amp;INDEX('Compliance Database'!$P$2:$P$1960,MATCH(1760,'Transfer Engine'!$C$2:$C$1960,0)),"Go to Act"))</f>
        <v/>
      </c>
    </row>
    <row r="1770" ht="158" customHeight="1">
      <c r="A1770" s="8">
        <f>IF(ISNA(MATCH(1761,'Transfer Engine'!$C$2:$C$1960,0)),"",INDEX('Compliance Database'!$A$2:$A$1960,MATCH(1761,'Transfer Engine'!$C$2:$C$1960,0)))</f>
        <v/>
      </c>
      <c r="B1770" s="8">
        <f>IF(ISNA(MATCH(1761,'Transfer Engine'!$C$2:$C$1960,0)),"",INDEX('Compliance Database'!$B$2:$B$1960,MATCH(1761,'Transfer Engine'!$C$2:$C$1960,0)))</f>
        <v/>
      </c>
      <c r="C1770" s="8">
        <f>IF(ISNA(MATCH(1761,'Transfer Engine'!$C$2:$C$1960,0)),"",INDEX('Compliance Database'!$C$2:$C$1960,MATCH(1761,'Transfer Engine'!$C$2:$C$1960,0)))</f>
        <v/>
      </c>
      <c r="D1770" s="9">
        <f>IF(ISNA(MATCH(1761,'Transfer Engine'!$C$2:$C$1960,0)),"",INDEX('Compliance Database'!$D$2:$D$1960,MATCH(1761,'Transfer Engine'!$C$2:$C$1960,0)))</f>
        <v/>
      </c>
      <c r="E1770" s="8">
        <f>IF(ISNA(MATCH(1761,'Transfer Engine'!$C$2:$C$1960,0)),"",INDEX('Compliance Database'!$E$2:$E$1960,MATCH(1761,'Transfer Engine'!$C$2:$C$1960,0)))</f>
        <v/>
      </c>
      <c r="F1770" s="8">
        <f>IF(ISNA(MATCH(1761,'Transfer Engine'!$C$2:$C$1960,0)),"",INDEX('Compliance Database'!$F$2:$F$1960,MATCH(1761,'Transfer Engine'!$C$2:$C$1960,0)))</f>
        <v/>
      </c>
      <c r="G1770" s="8">
        <f>IF(ISNA(MATCH(1761,'Transfer Engine'!$C$2:$C$1960,0)),"",INDEX('Compliance Database'!$G$2:$G$1960,MATCH(1761,'Transfer Engine'!$C$2:$C$1960,0)))</f>
        <v/>
      </c>
      <c r="H1770" s="9">
        <f>IF(ISNA(MATCH(1761,'Transfer Engine'!$C$2:$C$1960,0)),"",INDEX('Compliance Database'!$H$2:$H$1960,MATCH(1761,'Transfer Engine'!$C$2:$C$1960,0)))</f>
        <v/>
      </c>
      <c r="I1770" s="9">
        <f>IF(ISNA(MATCH(1761,'Transfer Engine'!$C$2:$C$1960,0)),"",INDEX('Compliance Database'!$I$2:$I$1960,MATCH(1761,'Transfer Engine'!$C$2:$C$1960,0)))</f>
        <v/>
      </c>
      <c r="J1770" s="8">
        <f>IF(ISNA(MATCH(1761,'Transfer Engine'!$C$2:$C$1960,0)),"",INDEX('Compliance Database'!$J$2:$J$1960,MATCH(1761,'Transfer Engine'!$C$2:$C$1960,0)))</f>
        <v/>
      </c>
      <c r="K1770" s="9">
        <f>IF(ISNA(MATCH(1761,'Transfer Engine'!$C$2:$C$1960,0)),"",INDEX('Compliance Database'!$K$2:$K$1960,MATCH(1761,'Transfer Engine'!$C$2:$C$1960,0)))</f>
        <v/>
      </c>
      <c r="L1770" s="9">
        <f>IF(ISNA(MATCH(1761,'Transfer Engine'!$C$2:$C$1960,0)),"",INDEX('Compliance Database'!$L$2:$L$1960,MATCH(1761,'Transfer Engine'!$C$2:$C$1960,0)))</f>
        <v/>
      </c>
      <c r="M1770" s="9">
        <f>IF(ISNA(MATCH(1761,'Transfer Engine'!$C$2:$C$1960,0)),"",INDEX('Compliance Database'!$M$2:$M$1960,MATCH(1761,'Transfer Engine'!$C$2:$C$1960,0)))</f>
        <v/>
      </c>
      <c r="N1770" s="9">
        <f>IF(ISNA(MATCH(1761,'Transfer Engine'!$C$2:$C$1960,0)),"",INDEX('Compliance Database'!$N$2:$N$1960,MATCH(1761,'Transfer Engine'!$C$2:$C$1960,0)))</f>
        <v/>
      </c>
      <c r="O1770" s="9">
        <f>IF(ISNA(MATCH(1761,'Transfer Engine'!$C$2:$C$1960,0)),"",INDEX('Compliance Database'!$O$2:$O$1960,MATCH(1761,'Transfer Engine'!$C$2:$C$1960,0)))</f>
        <v/>
      </c>
      <c r="P1770" s="8">
        <f>IF(ISNA(MATCH(1761,'Transfer Engine'!$C$2:$C$1960,0)),"",HYPERLINK("#Acts!A"&amp;INDEX('Compliance Database'!$P$2:$P$1960,MATCH(1761,'Transfer Engine'!$C$2:$C$1960,0)),"Go to Act"))</f>
        <v/>
      </c>
    </row>
    <row r="1771" ht="158" customHeight="1">
      <c r="A1771" s="8">
        <f>IF(ISNA(MATCH(1762,'Transfer Engine'!$C$2:$C$1960,0)),"",INDEX('Compliance Database'!$A$2:$A$1960,MATCH(1762,'Transfer Engine'!$C$2:$C$1960,0)))</f>
        <v/>
      </c>
      <c r="B1771" s="8">
        <f>IF(ISNA(MATCH(1762,'Transfer Engine'!$C$2:$C$1960,0)),"",INDEX('Compliance Database'!$B$2:$B$1960,MATCH(1762,'Transfer Engine'!$C$2:$C$1960,0)))</f>
        <v/>
      </c>
      <c r="C1771" s="8">
        <f>IF(ISNA(MATCH(1762,'Transfer Engine'!$C$2:$C$1960,0)),"",INDEX('Compliance Database'!$C$2:$C$1960,MATCH(1762,'Transfer Engine'!$C$2:$C$1960,0)))</f>
        <v/>
      </c>
      <c r="D1771" s="9">
        <f>IF(ISNA(MATCH(1762,'Transfer Engine'!$C$2:$C$1960,0)),"",INDEX('Compliance Database'!$D$2:$D$1960,MATCH(1762,'Transfer Engine'!$C$2:$C$1960,0)))</f>
        <v/>
      </c>
      <c r="E1771" s="8">
        <f>IF(ISNA(MATCH(1762,'Transfer Engine'!$C$2:$C$1960,0)),"",INDEX('Compliance Database'!$E$2:$E$1960,MATCH(1762,'Transfer Engine'!$C$2:$C$1960,0)))</f>
        <v/>
      </c>
      <c r="F1771" s="8">
        <f>IF(ISNA(MATCH(1762,'Transfer Engine'!$C$2:$C$1960,0)),"",INDEX('Compliance Database'!$F$2:$F$1960,MATCH(1762,'Transfer Engine'!$C$2:$C$1960,0)))</f>
        <v/>
      </c>
      <c r="G1771" s="8">
        <f>IF(ISNA(MATCH(1762,'Transfer Engine'!$C$2:$C$1960,0)),"",INDEX('Compliance Database'!$G$2:$G$1960,MATCH(1762,'Transfer Engine'!$C$2:$C$1960,0)))</f>
        <v/>
      </c>
      <c r="H1771" s="9">
        <f>IF(ISNA(MATCH(1762,'Transfer Engine'!$C$2:$C$1960,0)),"",INDEX('Compliance Database'!$H$2:$H$1960,MATCH(1762,'Transfer Engine'!$C$2:$C$1960,0)))</f>
        <v/>
      </c>
      <c r="I1771" s="9">
        <f>IF(ISNA(MATCH(1762,'Transfer Engine'!$C$2:$C$1960,0)),"",INDEX('Compliance Database'!$I$2:$I$1960,MATCH(1762,'Transfer Engine'!$C$2:$C$1960,0)))</f>
        <v/>
      </c>
      <c r="J1771" s="8">
        <f>IF(ISNA(MATCH(1762,'Transfer Engine'!$C$2:$C$1960,0)),"",INDEX('Compliance Database'!$J$2:$J$1960,MATCH(1762,'Transfer Engine'!$C$2:$C$1960,0)))</f>
        <v/>
      </c>
      <c r="K1771" s="9">
        <f>IF(ISNA(MATCH(1762,'Transfer Engine'!$C$2:$C$1960,0)),"",INDEX('Compliance Database'!$K$2:$K$1960,MATCH(1762,'Transfer Engine'!$C$2:$C$1960,0)))</f>
        <v/>
      </c>
      <c r="L1771" s="9">
        <f>IF(ISNA(MATCH(1762,'Transfer Engine'!$C$2:$C$1960,0)),"",INDEX('Compliance Database'!$L$2:$L$1960,MATCH(1762,'Transfer Engine'!$C$2:$C$1960,0)))</f>
        <v/>
      </c>
      <c r="M1771" s="9">
        <f>IF(ISNA(MATCH(1762,'Transfer Engine'!$C$2:$C$1960,0)),"",INDEX('Compliance Database'!$M$2:$M$1960,MATCH(1762,'Transfer Engine'!$C$2:$C$1960,0)))</f>
        <v/>
      </c>
      <c r="N1771" s="9">
        <f>IF(ISNA(MATCH(1762,'Transfer Engine'!$C$2:$C$1960,0)),"",INDEX('Compliance Database'!$N$2:$N$1960,MATCH(1762,'Transfer Engine'!$C$2:$C$1960,0)))</f>
        <v/>
      </c>
      <c r="O1771" s="9">
        <f>IF(ISNA(MATCH(1762,'Transfer Engine'!$C$2:$C$1960,0)),"",INDEX('Compliance Database'!$O$2:$O$1960,MATCH(1762,'Transfer Engine'!$C$2:$C$1960,0)))</f>
        <v/>
      </c>
      <c r="P1771" s="8">
        <f>IF(ISNA(MATCH(1762,'Transfer Engine'!$C$2:$C$1960,0)),"",HYPERLINK("#Acts!A"&amp;INDEX('Compliance Database'!$P$2:$P$1960,MATCH(1762,'Transfer Engine'!$C$2:$C$1960,0)),"Go to Act"))</f>
        <v/>
      </c>
    </row>
    <row r="1772" ht="158" customHeight="1">
      <c r="A1772" s="8">
        <f>IF(ISNA(MATCH(1763,'Transfer Engine'!$C$2:$C$1960,0)),"",INDEX('Compliance Database'!$A$2:$A$1960,MATCH(1763,'Transfer Engine'!$C$2:$C$1960,0)))</f>
        <v/>
      </c>
      <c r="B1772" s="8">
        <f>IF(ISNA(MATCH(1763,'Transfer Engine'!$C$2:$C$1960,0)),"",INDEX('Compliance Database'!$B$2:$B$1960,MATCH(1763,'Transfer Engine'!$C$2:$C$1960,0)))</f>
        <v/>
      </c>
      <c r="C1772" s="8">
        <f>IF(ISNA(MATCH(1763,'Transfer Engine'!$C$2:$C$1960,0)),"",INDEX('Compliance Database'!$C$2:$C$1960,MATCH(1763,'Transfer Engine'!$C$2:$C$1960,0)))</f>
        <v/>
      </c>
      <c r="D1772" s="9">
        <f>IF(ISNA(MATCH(1763,'Transfer Engine'!$C$2:$C$1960,0)),"",INDEX('Compliance Database'!$D$2:$D$1960,MATCH(1763,'Transfer Engine'!$C$2:$C$1960,0)))</f>
        <v/>
      </c>
      <c r="E1772" s="8">
        <f>IF(ISNA(MATCH(1763,'Transfer Engine'!$C$2:$C$1960,0)),"",INDEX('Compliance Database'!$E$2:$E$1960,MATCH(1763,'Transfer Engine'!$C$2:$C$1960,0)))</f>
        <v/>
      </c>
      <c r="F1772" s="8">
        <f>IF(ISNA(MATCH(1763,'Transfer Engine'!$C$2:$C$1960,0)),"",INDEX('Compliance Database'!$F$2:$F$1960,MATCH(1763,'Transfer Engine'!$C$2:$C$1960,0)))</f>
        <v/>
      </c>
      <c r="G1772" s="8">
        <f>IF(ISNA(MATCH(1763,'Transfer Engine'!$C$2:$C$1960,0)),"",INDEX('Compliance Database'!$G$2:$G$1960,MATCH(1763,'Transfer Engine'!$C$2:$C$1960,0)))</f>
        <v/>
      </c>
      <c r="H1772" s="9">
        <f>IF(ISNA(MATCH(1763,'Transfer Engine'!$C$2:$C$1960,0)),"",INDEX('Compliance Database'!$H$2:$H$1960,MATCH(1763,'Transfer Engine'!$C$2:$C$1960,0)))</f>
        <v/>
      </c>
      <c r="I1772" s="9">
        <f>IF(ISNA(MATCH(1763,'Transfer Engine'!$C$2:$C$1960,0)),"",INDEX('Compliance Database'!$I$2:$I$1960,MATCH(1763,'Transfer Engine'!$C$2:$C$1960,0)))</f>
        <v/>
      </c>
      <c r="J1772" s="8">
        <f>IF(ISNA(MATCH(1763,'Transfer Engine'!$C$2:$C$1960,0)),"",INDEX('Compliance Database'!$J$2:$J$1960,MATCH(1763,'Transfer Engine'!$C$2:$C$1960,0)))</f>
        <v/>
      </c>
      <c r="K1772" s="9">
        <f>IF(ISNA(MATCH(1763,'Transfer Engine'!$C$2:$C$1960,0)),"",INDEX('Compliance Database'!$K$2:$K$1960,MATCH(1763,'Transfer Engine'!$C$2:$C$1960,0)))</f>
        <v/>
      </c>
      <c r="L1772" s="9">
        <f>IF(ISNA(MATCH(1763,'Transfer Engine'!$C$2:$C$1960,0)),"",INDEX('Compliance Database'!$L$2:$L$1960,MATCH(1763,'Transfer Engine'!$C$2:$C$1960,0)))</f>
        <v/>
      </c>
      <c r="M1772" s="9">
        <f>IF(ISNA(MATCH(1763,'Transfer Engine'!$C$2:$C$1960,0)),"",INDEX('Compliance Database'!$M$2:$M$1960,MATCH(1763,'Transfer Engine'!$C$2:$C$1960,0)))</f>
        <v/>
      </c>
      <c r="N1772" s="9">
        <f>IF(ISNA(MATCH(1763,'Transfer Engine'!$C$2:$C$1960,0)),"",INDEX('Compliance Database'!$N$2:$N$1960,MATCH(1763,'Transfer Engine'!$C$2:$C$1960,0)))</f>
        <v/>
      </c>
      <c r="O1772" s="9">
        <f>IF(ISNA(MATCH(1763,'Transfer Engine'!$C$2:$C$1960,0)),"",INDEX('Compliance Database'!$O$2:$O$1960,MATCH(1763,'Transfer Engine'!$C$2:$C$1960,0)))</f>
        <v/>
      </c>
      <c r="P1772" s="8">
        <f>IF(ISNA(MATCH(1763,'Transfer Engine'!$C$2:$C$1960,0)),"",HYPERLINK("#Acts!A"&amp;INDEX('Compliance Database'!$P$2:$P$1960,MATCH(1763,'Transfer Engine'!$C$2:$C$1960,0)),"Go to Act"))</f>
        <v/>
      </c>
    </row>
    <row r="1773" ht="158" customHeight="1">
      <c r="A1773" s="8">
        <f>IF(ISNA(MATCH(1764,'Transfer Engine'!$C$2:$C$1960,0)),"",INDEX('Compliance Database'!$A$2:$A$1960,MATCH(1764,'Transfer Engine'!$C$2:$C$1960,0)))</f>
        <v/>
      </c>
      <c r="B1773" s="8">
        <f>IF(ISNA(MATCH(1764,'Transfer Engine'!$C$2:$C$1960,0)),"",INDEX('Compliance Database'!$B$2:$B$1960,MATCH(1764,'Transfer Engine'!$C$2:$C$1960,0)))</f>
        <v/>
      </c>
      <c r="C1773" s="8">
        <f>IF(ISNA(MATCH(1764,'Transfer Engine'!$C$2:$C$1960,0)),"",INDEX('Compliance Database'!$C$2:$C$1960,MATCH(1764,'Transfer Engine'!$C$2:$C$1960,0)))</f>
        <v/>
      </c>
      <c r="D1773" s="9">
        <f>IF(ISNA(MATCH(1764,'Transfer Engine'!$C$2:$C$1960,0)),"",INDEX('Compliance Database'!$D$2:$D$1960,MATCH(1764,'Transfer Engine'!$C$2:$C$1960,0)))</f>
        <v/>
      </c>
      <c r="E1773" s="8">
        <f>IF(ISNA(MATCH(1764,'Transfer Engine'!$C$2:$C$1960,0)),"",INDEX('Compliance Database'!$E$2:$E$1960,MATCH(1764,'Transfer Engine'!$C$2:$C$1960,0)))</f>
        <v/>
      </c>
      <c r="F1773" s="8">
        <f>IF(ISNA(MATCH(1764,'Transfer Engine'!$C$2:$C$1960,0)),"",INDEX('Compliance Database'!$F$2:$F$1960,MATCH(1764,'Transfer Engine'!$C$2:$C$1960,0)))</f>
        <v/>
      </c>
      <c r="G1773" s="8">
        <f>IF(ISNA(MATCH(1764,'Transfer Engine'!$C$2:$C$1960,0)),"",INDEX('Compliance Database'!$G$2:$G$1960,MATCH(1764,'Transfer Engine'!$C$2:$C$1960,0)))</f>
        <v/>
      </c>
      <c r="H1773" s="9">
        <f>IF(ISNA(MATCH(1764,'Transfer Engine'!$C$2:$C$1960,0)),"",INDEX('Compliance Database'!$H$2:$H$1960,MATCH(1764,'Transfer Engine'!$C$2:$C$1960,0)))</f>
        <v/>
      </c>
      <c r="I1773" s="9">
        <f>IF(ISNA(MATCH(1764,'Transfer Engine'!$C$2:$C$1960,0)),"",INDEX('Compliance Database'!$I$2:$I$1960,MATCH(1764,'Transfer Engine'!$C$2:$C$1960,0)))</f>
        <v/>
      </c>
      <c r="J1773" s="8">
        <f>IF(ISNA(MATCH(1764,'Transfer Engine'!$C$2:$C$1960,0)),"",INDEX('Compliance Database'!$J$2:$J$1960,MATCH(1764,'Transfer Engine'!$C$2:$C$1960,0)))</f>
        <v/>
      </c>
      <c r="K1773" s="9">
        <f>IF(ISNA(MATCH(1764,'Transfer Engine'!$C$2:$C$1960,0)),"",INDEX('Compliance Database'!$K$2:$K$1960,MATCH(1764,'Transfer Engine'!$C$2:$C$1960,0)))</f>
        <v/>
      </c>
      <c r="L1773" s="9">
        <f>IF(ISNA(MATCH(1764,'Transfer Engine'!$C$2:$C$1960,0)),"",INDEX('Compliance Database'!$L$2:$L$1960,MATCH(1764,'Transfer Engine'!$C$2:$C$1960,0)))</f>
        <v/>
      </c>
      <c r="M1773" s="9">
        <f>IF(ISNA(MATCH(1764,'Transfer Engine'!$C$2:$C$1960,0)),"",INDEX('Compliance Database'!$M$2:$M$1960,MATCH(1764,'Transfer Engine'!$C$2:$C$1960,0)))</f>
        <v/>
      </c>
      <c r="N1773" s="9">
        <f>IF(ISNA(MATCH(1764,'Transfer Engine'!$C$2:$C$1960,0)),"",INDEX('Compliance Database'!$N$2:$N$1960,MATCH(1764,'Transfer Engine'!$C$2:$C$1960,0)))</f>
        <v/>
      </c>
      <c r="O1773" s="9">
        <f>IF(ISNA(MATCH(1764,'Transfer Engine'!$C$2:$C$1960,0)),"",INDEX('Compliance Database'!$O$2:$O$1960,MATCH(1764,'Transfer Engine'!$C$2:$C$1960,0)))</f>
        <v/>
      </c>
      <c r="P1773" s="8">
        <f>IF(ISNA(MATCH(1764,'Transfer Engine'!$C$2:$C$1960,0)),"",HYPERLINK("#Acts!A"&amp;INDEX('Compliance Database'!$P$2:$P$1960,MATCH(1764,'Transfer Engine'!$C$2:$C$1960,0)),"Go to Act"))</f>
        <v/>
      </c>
    </row>
    <row r="1774" ht="158" customHeight="1">
      <c r="A1774" s="8">
        <f>IF(ISNA(MATCH(1765,'Transfer Engine'!$C$2:$C$1960,0)),"",INDEX('Compliance Database'!$A$2:$A$1960,MATCH(1765,'Transfer Engine'!$C$2:$C$1960,0)))</f>
        <v/>
      </c>
      <c r="B1774" s="8">
        <f>IF(ISNA(MATCH(1765,'Transfer Engine'!$C$2:$C$1960,0)),"",INDEX('Compliance Database'!$B$2:$B$1960,MATCH(1765,'Transfer Engine'!$C$2:$C$1960,0)))</f>
        <v/>
      </c>
      <c r="C1774" s="8">
        <f>IF(ISNA(MATCH(1765,'Transfer Engine'!$C$2:$C$1960,0)),"",INDEX('Compliance Database'!$C$2:$C$1960,MATCH(1765,'Transfer Engine'!$C$2:$C$1960,0)))</f>
        <v/>
      </c>
      <c r="D1774" s="9">
        <f>IF(ISNA(MATCH(1765,'Transfer Engine'!$C$2:$C$1960,0)),"",INDEX('Compliance Database'!$D$2:$D$1960,MATCH(1765,'Transfer Engine'!$C$2:$C$1960,0)))</f>
        <v/>
      </c>
      <c r="E1774" s="8">
        <f>IF(ISNA(MATCH(1765,'Transfer Engine'!$C$2:$C$1960,0)),"",INDEX('Compliance Database'!$E$2:$E$1960,MATCH(1765,'Transfer Engine'!$C$2:$C$1960,0)))</f>
        <v/>
      </c>
      <c r="F1774" s="8">
        <f>IF(ISNA(MATCH(1765,'Transfer Engine'!$C$2:$C$1960,0)),"",INDEX('Compliance Database'!$F$2:$F$1960,MATCH(1765,'Transfer Engine'!$C$2:$C$1960,0)))</f>
        <v/>
      </c>
      <c r="G1774" s="8">
        <f>IF(ISNA(MATCH(1765,'Transfer Engine'!$C$2:$C$1960,0)),"",INDEX('Compliance Database'!$G$2:$G$1960,MATCH(1765,'Transfer Engine'!$C$2:$C$1960,0)))</f>
        <v/>
      </c>
      <c r="H1774" s="9">
        <f>IF(ISNA(MATCH(1765,'Transfer Engine'!$C$2:$C$1960,0)),"",INDEX('Compliance Database'!$H$2:$H$1960,MATCH(1765,'Transfer Engine'!$C$2:$C$1960,0)))</f>
        <v/>
      </c>
      <c r="I1774" s="9">
        <f>IF(ISNA(MATCH(1765,'Transfer Engine'!$C$2:$C$1960,0)),"",INDEX('Compliance Database'!$I$2:$I$1960,MATCH(1765,'Transfer Engine'!$C$2:$C$1960,0)))</f>
        <v/>
      </c>
      <c r="J1774" s="8">
        <f>IF(ISNA(MATCH(1765,'Transfer Engine'!$C$2:$C$1960,0)),"",INDEX('Compliance Database'!$J$2:$J$1960,MATCH(1765,'Transfer Engine'!$C$2:$C$1960,0)))</f>
        <v/>
      </c>
      <c r="K1774" s="9">
        <f>IF(ISNA(MATCH(1765,'Transfer Engine'!$C$2:$C$1960,0)),"",INDEX('Compliance Database'!$K$2:$K$1960,MATCH(1765,'Transfer Engine'!$C$2:$C$1960,0)))</f>
        <v/>
      </c>
      <c r="L1774" s="9">
        <f>IF(ISNA(MATCH(1765,'Transfer Engine'!$C$2:$C$1960,0)),"",INDEX('Compliance Database'!$L$2:$L$1960,MATCH(1765,'Transfer Engine'!$C$2:$C$1960,0)))</f>
        <v/>
      </c>
      <c r="M1774" s="9">
        <f>IF(ISNA(MATCH(1765,'Transfer Engine'!$C$2:$C$1960,0)),"",INDEX('Compliance Database'!$M$2:$M$1960,MATCH(1765,'Transfer Engine'!$C$2:$C$1960,0)))</f>
        <v/>
      </c>
      <c r="N1774" s="9">
        <f>IF(ISNA(MATCH(1765,'Transfer Engine'!$C$2:$C$1960,0)),"",INDEX('Compliance Database'!$N$2:$N$1960,MATCH(1765,'Transfer Engine'!$C$2:$C$1960,0)))</f>
        <v/>
      </c>
      <c r="O1774" s="9">
        <f>IF(ISNA(MATCH(1765,'Transfer Engine'!$C$2:$C$1960,0)),"",INDEX('Compliance Database'!$O$2:$O$1960,MATCH(1765,'Transfer Engine'!$C$2:$C$1960,0)))</f>
        <v/>
      </c>
      <c r="P1774" s="8">
        <f>IF(ISNA(MATCH(1765,'Transfer Engine'!$C$2:$C$1960,0)),"",HYPERLINK("#Acts!A"&amp;INDEX('Compliance Database'!$P$2:$P$1960,MATCH(1765,'Transfer Engine'!$C$2:$C$1960,0)),"Go to Act"))</f>
        <v/>
      </c>
    </row>
    <row r="1775" ht="158" customHeight="1">
      <c r="A1775" s="8">
        <f>IF(ISNA(MATCH(1766,'Transfer Engine'!$C$2:$C$1960,0)),"",INDEX('Compliance Database'!$A$2:$A$1960,MATCH(1766,'Transfer Engine'!$C$2:$C$1960,0)))</f>
        <v/>
      </c>
      <c r="B1775" s="8">
        <f>IF(ISNA(MATCH(1766,'Transfer Engine'!$C$2:$C$1960,0)),"",INDEX('Compliance Database'!$B$2:$B$1960,MATCH(1766,'Transfer Engine'!$C$2:$C$1960,0)))</f>
        <v/>
      </c>
      <c r="C1775" s="8">
        <f>IF(ISNA(MATCH(1766,'Transfer Engine'!$C$2:$C$1960,0)),"",INDEX('Compliance Database'!$C$2:$C$1960,MATCH(1766,'Transfer Engine'!$C$2:$C$1960,0)))</f>
        <v/>
      </c>
      <c r="D1775" s="9">
        <f>IF(ISNA(MATCH(1766,'Transfer Engine'!$C$2:$C$1960,0)),"",INDEX('Compliance Database'!$D$2:$D$1960,MATCH(1766,'Transfer Engine'!$C$2:$C$1960,0)))</f>
        <v/>
      </c>
      <c r="E1775" s="8">
        <f>IF(ISNA(MATCH(1766,'Transfer Engine'!$C$2:$C$1960,0)),"",INDEX('Compliance Database'!$E$2:$E$1960,MATCH(1766,'Transfer Engine'!$C$2:$C$1960,0)))</f>
        <v/>
      </c>
      <c r="F1775" s="8">
        <f>IF(ISNA(MATCH(1766,'Transfer Engine'!$C$2:$C$1960,0)),"",INDEX('Compliance Database'!$F$2:$F$1960,MATCH(1766,'Transfer Engine'!$C$2:$C$1960,0)))</f>
        <v/>
      </c>
      <c r="G1775" s="8">
        <f>IF(ISNA(MATCH(1766,'Transfer Engine'!$C$2:$C$1960,0)),"",INDEX('Compliance Database'!$G$2:$G$1960,MATCH(1766,'Transfer Engine'!$C$2:$C$1960,0)))</f>
        <v/>
      </c>
      <c r="H1775" s="9">
        <f>IF(ISNA(MATCH(1766,'Transfer Engine'!$C$2:$C$1960,0)),"",INDEX('Compliance Database'!$H$2:$H$1960,MATCH(1766,'Transfer Engine'!$C$2:$C$1960,0)))</f>
        <v/>
      </c>
      <c r="I1775" s="9">
        <f>IF(ISNA(MATCH(1766,'Transfer Engine'!$C$2:$C$1960,0)),"",INDEX('Compliance Database'!$I$2:$I$1960,MATCH(1766,'Transfer Engine'!$C$2:$C$1960,0)))</f>
        <v/>
      </c>
      <c r="J1775" s="8">
        <f>IF(ISNA(MATCH(1766,'Transfer Engine'!$C$2:$C$1960,0)),"",INDEX('Compliance Database'!$J$2:$J$1960,MATCH(1766,'Transfer Engine'!$C$2:$C$1960,0)))</f>
        <v/>
      </c>
      <c r="K1775" s="9">
        <f>IF(ISNA(MATCH(1766,'Transfer Engine'!$C$2:$C$1960,0)),"",INDEX('Compliance Database'!$K$2:$K$1960,MATCH(1766,'Transfer Engine'!$C$2:$C$1960,0)))</f>
        <v/>
      </c>
      <c r="L1775" s="9">
        <f>IF(ISNA(MATCH(1766,'Transfer Engine'!$C$2:$C$1960,0)),"",INDEX('Compliance Database'!$L$2:$L$1960,MATCH(1766,'Transfer Engine'!$C$2:$C$1960,0)))</f>
        <v/>
      </c>
      <c r="M1775" s="9">
        <f>IF(ISNA(MATCH(1766,'Transfer Engine'!$C$2:$C$1960,0)),"",INDEX('Compliance Database'!$M$2:$M$1960,MATCH(1766,'Transfer Engine'!$C$2:$C$1960,0)))</f>
        <v/>
      </c>
      <c r="N1775" s="9">
        <f>IF(ISNA(MATCH(1766,'Transfer Engine'!$C$2:$C$1960,0)),"",INDEX('Compliance Database'!$N$2:$N$1960,MATCH(1766,'Transfer Engine'!$C$2:$C$1960,0)))</f>
        <v/>
      </c>
      <c r="O1775" s="9">
        <f>IF(ISNA(MATCH(1766,'Transfer Engine'!$C$2:$C$1960,0)),"",INDEX('Compliance Database'!$O$2:$O$1960,MATCH(1766,'Transfer Engine'!$C$2:$C$1960,0)))</f>
        <v/>
      </c>
      <c r="P1775" s="8">
        <f>IF(ISNA(MATCH(1766,'Transfer Engine'!$C$2:$C$1960,0)),"",HYPERLINK("#Acts!A"&amp;INDEX('Compliance Database'!$P$2:$P$1960,MATCH(1766,'Transfer Engine'!$C$2:$C$1960,0)),"Go to Act"))</f>
        <v/>
      </c>
    </row>
    <row r="1776" ht="158" customHeight="1">
      <c r="A1776" s="8">
        <f>IF(ISNA(MATCH(1767,'Transfer Engine'!$C$2:$C$1960,0)),"",INDEX('Compliance Database'!$A$2:$A$1960,MATCH(1767,'Transfer Engine'!$C$2:$C$1960,0)))</f>
        <v/>
      </c>
      <c r="B1776" s="8">
        <f>IF(ISNA(MATCH(1767,'Transfer Engine'!$C$2:$C$1960,0)),"",INDEX('Compliance Database'!$B$2:$B$1960,MATCH(1767,'Transfer Engine'!$C$2:$C$1960,0)))</f>
        <v/>
      </c>
      <c r="C1776" s="8">
        <f>IF(ISNA(MATCH(1767,'Transfer Engine'!$C$2:$C$1960,0)),"",INDEX('Compliance Database'!$C$2:$C$1960,MATCH(1767,'Transfer Engine'!$C$2:$C$1960,0)))</f>
        <v/>
      </c>
      <c r="D1776" s="9">
        <f>IF(ISNA(MATCH(1767,'Transfer Engine'!$C$2:$C$1960,0)),"",INDEX('Compliance Database'!$D$2:$D$1960,MATCH(1767,'Transfer Engine'!$C$2:$C$1960,0)))</f>
        <v/>
      </c>
      <c r="E1776" s="8">
        <f>IF(ISNA(MATCH(1767,'Transfer Engine'!$C$2:$C$1960,0)),"",INDEX('Compliance Database'!$E$2:$E$1960,MATCH(1767,'Transfer Engine'!$C$2:$C$1960,0)))</f>
        <v/>
      </c>
      <c r="F1776" s="8">
        <f>IF(ISNA(MATCH(1767,'Transfer Engine'!$C$2:$C$1960,0)),"",INDEX('Compliance Database'!$F$2:$F$1960,MATCH(1767,'Transfer Engine'!$C$2:$C$1960,0)))</f>
        <v/>
      </c>
      <c r="G1776" s="8">
        <f>IF(ISNA(MATCH(1767,'Transfer Engine'!$C$2:$C$1960,0)),"",INDEX('Compliance Database'!$G$2:$G$1960,MATCH(1767,'Transfer Engine'!$C$2:$C$1960,0)))</f>
        <v/>
      </c>
      <c r="H1776" s="9">
        <f>IF(ISNA(MATCH(1767,'Transfer Engine'!$C$2:$C$1960,0)),"",INDEX('Compliance Database'!$H$2:$H$1960,MATCH(1767,'Transfer Engine'!$C$2:$C$1960,0)))</f>
        <v/>
      </c>
      <c r="I1776" s="9">
        <f>IF(ISNA(MATCH(1767,'Transfer Engine'!$C$2:$C$1960,0)),"",INDEX('Compliance Database'!$I$2:$I$1960,MATCH(1767,'Transfer Engine'!$C$2:$C$1960,0)))</f>
        <v/>
      </c>
      <c r="J1776" s="8">
        <f>IF(ISNA(MATCH(1767,'Transfer Engine'!$C$2:$C$1960,0)),"",INDEX('Compliance Database'!$J$2:$J$1960,MATCH(1767,'Transfer Engine'!$C$2:$C$1960,0)))</f>
        <v/>
      </c>
      <c r="K1776" s="9">
        <f>IF(ISNA(MATCH(1767,'Transfer Engine'!$C$2:$C$1960,0)),"",INDEX('Compliance Database'!$K$2:$K$1960,MATCH(1767,'Transfer Engine'!$C$2:$C$1960,0)))</f>
        <v/>
      </c>
      <c r="L1776" s="9">
        <f>IF(ISNA(MATCH(1767,'Transfer Engine'!$C$2:$C$1960,0)),"",INDEX('Compliance Database'!$L$2:$L$1960,MATCH(1767,'Transfer Engine'!$C$2:$C$1960,0)))</f>
        <v/>
      </c>
      <c r="M1776" s="9">
        <f>IF(ISNA(MATCH(1767,'Transfer Engine'!$C$2:$C$1960,0)),"",INDEX('Compliance Database'!$M$2:$M$1960,MATCH(1767,'Transfer Engine'!$C$2:$C$1960,0)))</f>
        <v/>
      </c>
      <c r="N1776" s="9">
        <f>IF(ISNA(MATCH(1767,'Transfer Engine'!$C$2:$C$1960,0)),"",INDEX('Compliance Database'!$N$2:$N$1960,MATCH(1767,'Transfer Engine'!$C$2:$C$1960,0)))</f>
        <v/>
      </c>
      <c r="O1776" s="9">
        <f>IF(ISNA(MATCH(1767,'Transfer Engine'!$C$2:$C$1960,0)),"",INDEX('Compliance Database'!$O$2:$O$1960,MATCH(1767,'Transfer Engine'!$C$2:$C$1960,0)))</f>
        <v/>
      </c>
      <c r="P1776" s="8">
        <f>IF(ISNA(MATCH(1767,'Transfer Engine'!$C$2:$C$1960,0)),"",HYPERLINK("#Acts!A"&amp;INDEX('Compliance Database'!$P$2:$P$1960,MATCH(1767,'Transfer Engine'!$C$2:$C$1960,0)),"Go to Act"))</f>
        <v/>
      </c>
    </row>
    <row r="1777" ht="158" customHeight="1">
      <c r="A1777" s="8">
        <f>IF(ISNA(MATCH(1768,'Transfer Engine'!$C$2:$C$1960,0)),"",INDEX('Compliance Database'!$A$2:$A$1960,MATCH(1768,'Transfer Engine'!$C$2:$C$1960,0)))</f>
        <v/>
      </c>
      <c r="B1777" s="8">
        <f>IF(ISNA(MATCH(1768,'Transfer Engine'!$C$2:$C$1960,0)),"",INDEX('Compliance Database'!$B$2:$B$1960,MATCH(1768,'Transfer Engine'!$C$2:$C$1960,0)))</f>
        <v/>
      </c>
      <c r="C1777" s="8">
        <f>IF(ISNA(MATCH(1768,'Transfer Engine'!$C$2:$C$1960,0)),"",INDEX('Compliance Database'!$C$2:$C$1960,MATCH(1768,'Transfer Engine'!$C$2:$C$1960,0)))</f>
        <v/>
      </c>
      <c r="D1777" s="9">
        <f>IF(ISNA(MATCH(1768,'Transfer Engine'!$C$2:$C$1960,0)),"",INDEX('Compliance Database'!$D$2:$D$1960,MATCH(1768,'Transfer Engine'!$C$2:$C$1960,0)))</f>
        <v/>
      </c>
      <c r="E1777" s="8">
        <f>IF(ISNA(MATCH(1768,'Transfer Engine'!$C$2:$C$1960,0)),"",INDEX('Compliance Database'!$E$2:$E$1960,MATCH(1768,'Transfer Engine'!$C$2:$C$1960,0)))</f>
        <v/>
      </c>
      <c r="F1777" s="8">
        <f>IF(ISNA(MATCH(1768,'Transfer Engine'!$C$2:$C$1960,0)),"",INDEX('Compliance Database'!$F$2:$F$1960,MATCH(1768,'Transfer Engine'!$C$2:$C$1960,0)))</f>
        <v/>
      </c>
      <c r="G1777" s="8">
        <f>IF(ISNA(MATCH(1768,'Transfer Engine'!$C$2:$C$1960,0)),"",INDEX('Compliance Database'!$G$2:$G$1960,MATCH(1768,'Transfer Engine'!$C$2:$C$1960,0)))</f>
        <v/>
      </c>
      <c r="H1777" s="9">
        <f>IF(ISNA(MATCH(1768,'Transfer Engine'!$C$2:$C$1960,0)),"",INDEX('Compliance Database'!$H$2:$H$1960,MATCH(1768,'Transfer Engine'!$C$2:$C$1960,0)))</f>
        <v/>
      </c>
      <c r="I1777" s="9">
        <f>IF(ISNA(MATCH(1768,'Transfer Engine'!$C$2:$C$1960,0)),"",INDEX('Compliance Database'!$I$2:$I$1960,MATCH(1768,'Transfer Engine'!$C$2:$C$1960,0)))</f>
        <v/>
      </c>
      <c r="J1777" s="8">
        <f>IF(ISNA(MATCH(1768,'Transfer Engine'!$C$2:$C$1960,0)),"",INDEX('Compliance Database'!$J$2:$J$1960,MATCH(1768,'Transfer Engine'!$C$2:$C$1960,0)))</f>
        <v/>
      </c>
      <c r="K1777" s="9">
        <f>IF(ISNA(MATCH(1768,'Transfer Engine'!$C$2:$C$1960,0)),"",INDEX('Compliance Database'!$K$2:$K$1960,MATCH(1768,'Transfer Engine'!$C$2:$C$1960,0)))</f>
        <v/>
      </c>
      <c r="L1777" s="9">
        <f>IF(ISNA(MATCH(1768,'Transfer Engine'!$C$2:$C$1960,0)),"",INDEX('Compliance Database'!$L$2:$L$1960,MATCH(1768,'Transfer Engine'!$C$2:$C$1960,0)))</f>
        <v/>
      </c>
      <c r="M1777" s="9">
        <f>IF(ISNA(MATCH(1768,'Transfer Engine'!$C$2:$C$1960,0)),"",INDEX('Compliance Database'!$M$2:$M$1960,MATCH(1768,'Transfer Engine'!$C$2:$C$1960,0)))</f>
        <v/>
      </c>
      <c r="N1777" s="9">
        <f>IF(ISNA(MATCH(1768,'Transfer Engine'!$C$2:$C$1960,0)),"",INDEX('Compliance Database'!$N$2:$N$1960,MATCH(1768,'Transfer Engine'!$C$2:$C$1960,0)))</f>
        <v/>
      </c>
      <c r="O1777" s="9">
        <f>IF(ISNA(MATCH(1768,'Transfer Engine'!$C$2:$C$1960,0)),"",INDEX('Compliance Database'!$O$2:$O$1960,MATCH(1768,'Transfer Engine'!$C$2:$C$1960,0)))</f>
        <v/>
      </c>
      <c r="P1777" s="8">
        <f>IF(ISNA(MATCH(1768,'Transfer Engine'!$C$2:$C$1960,0)),"",HYPERLINK("#Acts!A"&amp;INDEX('Compliance Database'!$P$2:$P$1960,MATCH(1768,'Transfer Engine'!$C$2:$C$1960,0)),"Go to Act"))</f>
        <v/>
      </c>
    </row>
    <row r="1778" ht="158" customHeight="1">
      <c r="A1778" s="8">
        <f>IF(ISNA(MATCH(1769,'Transfer Engine'!$C$2:$C$1960,0)),"",INDEX('Compliance Database'!$A$2:$A$1960,MATCH(1769,'Transfer Engine'!$C$2:$C$1960,0)))</f>
        <v/>
      </c>
      <c r="B1778" s="8">
        <f>IF(ISNA(MATCH(1769,'Transfer Engine'!$C$2:$C$1960,0)),"",INDEX('Compliance Database'!$B$2:$B$1960,MATCH(1769,'Transfer Engine'!$C$2:$C$1960,0)))</f>
        <v/>
      </c>
      <c r="C1778" s="8">
        <f>IF(ISNA(MATCH(1769,'Transfer Engine'!$C$2:$C$1960,0)),"",INDEX('Compliance Database'!$C$2:$C$1960,MATCH(1769,'Transfer Engine'!$C$2:$C$1960,0)))</f>
        <v/>
      </c>
      <c r="D1778" s="9">
        <f>IF(ISNA(MATCH(1769,'Transfer Engine'!$C$2:$C$1960,0)),"",INDEX('Compliance Database'!$D$2:$D$1960,MATCH(1769,'Transfer Engine'!$C$2:$C$1960,0)))</f>
        <v/>
      </c>
      <c r="E1778" s="8">
        <f>IF(ISNA(MATCH(1769,'Transfer Engine'!$C$2:$C$1960,0)),"",INDEX('Compliance Database'!$E$2:$E$1960,MATCH(1769,'Transfer Engine'!$C$2:$C$1960,0)))</f>
        <v/>
      </c>
      <c r="F1778" s="8">
        <f>IF(ISNA(MATCH(1769,'Transfer Engine'!$C$2:$C$1960,0)),"",INDEX('Compliance Database'!$F$2:$F$1960,MATCH(1769,'Transfer Engine'!$C$2:$C$1960,0)))</f>
        <v/>
      </c>
      <c r="G1778" s="8">
        <f>IF(ISNA(MATCH(1769,'Transfer Engine'!$C$2:$C$1960,0)),"",INDEX('Compliance Database'!$G$2:$G$1960,MATCH(1769,'Transfer Engine'!$C$2:$C$1960,0)))</f>
        <v/>
      </c>
      <c r="H1778" s="9">
        <f>IF(ISNA(MATCH(1769,'Transfer Engine'!$C$2:$C$1960,0)),"",INDEX('Compliance Database'!$H$2:$H$1960,MATCH(1769,'Transfer Engine'!$C$2:$C$1960,0)))</f>
        <v/>
      </c>
      <c r="I1778" s="9">
        <f>IF(ISNA(MATCH(1769,'Transfer Engine'!$C$2:$C$1960,0)),"",INDEX('Compliance Database'!$I$2:$I$1960,MATCH(1769,'Transfer Engine'!$C$2:$C$1960,0)))</f>
        <v/>
      </c>
      <c r="J1778" s="8">
        <f>IF(ISNA(MATCH(1769,'Transfer Engine'!$C$2:$C$1960,0)),"",INDEX('Compliance Database'!$J$2:$J$1960,MATCH(1769,'Transfer Engine'!$C$2:$C$1960,0)))</f>
        <v/>
      </c>
      <c r="K1778" s="9">
        <f>IF(ISNA(MATCH(1769,'Transfer Engine'!$C$2:$C$1960,0)),"",INDEX('Compliance Database'!$K$2:$K$1960,MATCH(1769,'Transfer Engine'!$C$2:$C$1960,0)))</f>
        <v/>
      </c>
      <c r="L1778" s="9">
        <f>IF(ISNA(MATCH(1769,'Transfer Engine'!$C$2:$C$1960,0)),"",INDEX('Compliance Database'!$L$2:$L$1960,MATCH(1769,'Transfer Engine'!$C$2:$C$1960,0)))</f>
        <v/>
      </c>
      <c r="M1778" s="9">
        <f>IF(ISNA(MATCH(1769,'Transfer Engine'!$C$2:$C$1960,0)),"",INDEX('Compliance Database'!$M$2:$M$1960,MATCH(1769,'Transfer Engine'!$C$2:$C$1960,0)))</f>
        <v/>
      </c>
      <c r="N1778" s="9">
        <f>IF(ISNA(MATCH(1769,'Transfer Engine'!$C$2:$C$1960,0)),"",INDEX('Compliance Database'!$N$2:$N$1960,MATCH(1769,'Transfer Engine'!$C$2:$C$1960,0)))</f>
        <v/>
      </c>
      <c r="O1778" s="9">
        <f>IF(ISNA(MATCH(1769,'Transfer Engine'!$C$2:$C$1960,0)),"",INDEX('Compliance Database'!$O$2:$O$1960,MATCH(1769,'Transfer Engine'!$C$2:$C$1960,0)))</f>
        <v/>
      </c>
      <c r="P1778" s="8">
        <f>IF(ISNA(MATCH(1769,'Transfer Engine'!$C$2:$C$1960,0)),"",HYPERLINK("#Acts!A"&amp;INDEX('Compliance Database'!$P$2:$P$1960,MATCH(1769,'Transfer Engine'!$C$2:$C$1960,0)),"Go to Act"))</f>
        <v/>
      </c>
    </row>
    <row r="1779" ht="158" customHeight="1">
      <c r="A1779" s="8">
        <f>IF(ISNA(MATCH(1770,'Transfer Engine'!$C$2:$C$1960,0)),"",INDEX('Compliance Database'!$A$2:$A$1960,MATCH(1770,'Transfer Engine'!$C$2:$C$1960,0)))</f>
        <v/>
      </c>
      <c r="B1779" s="8">
        <f>IF(ISNA(MATCH(1770,'Transfer Engine'!$C$2:$C$1960,0)),"",INDEX('Compliance Database'!$B$2:$B$1960,MATCH(1770,'Transfer Engine'!$C$2:$C$1960,0)))</f>
        <v/>
      </c>
      <c r="C1779" s="8">
        <f>IF(ISNA(MATCH(1770,'Transfer Engine'!$C$2:$C$1960,0)),"",INDEX('Compliance Database'!$C$2:$C$1960,MATCH(1770,'Transfer Engine'!$C$2:$C$1960,0)))</f>
        <v/>
      </c>
      <c r="D1779" s="9">
        <f>IF(ISNA(MATCH(1770,'Transfer Engine'!$C$2:$C$1960,0)),"",INDEX('Compliance Database'!$D$2:$D$1960,MATCH(1770,'Transfer Engine'!$C$2:$C$1960,0)))</f>
        <v/>
      </c>
      <c r="E1779" s="8">
        <f>IF(ISNA(MATCH(1770,'Transfer Engine'!$C$2:$C$1960,0)),"",INDEX('Compliance Database'!$E$2:$E$1960,MATCH(1770,'Transfer Engine'!$C$2:$C$1960,0)))</f>
        <v/>
      </c>
      <c r="F1779" s="8">
        <f>IF(ISNA(MATCH(1770,'Transfer Engine'!$C$2:$C$1960,0)),"",INDEX('Compliance Database'!$F$2:$F$1960,MATCH(1770,'Transfer Engine'!$C$2:$C$1960,0)))</f>
        <v/>
      </c>
      <c r="G1779" s="8">
        <f>IF(ISNA(MATCH(1770,'Transfer Engine'!$C$2:$C$1960,0)),"",INDEX('Compliance Database'!$G$2:$G$1960,MATCH(1770,'Transfer Engine'!$C$2:$C$1960,0)))</f>
        <v/>
      </c>
      <c r="H1779" s="9">
        <f>IF(ISNA(MATCH(1770,'Transfer Engine'!$C$2:$C$1960,0)),"",INDEX('Compliance Database'!$H$2:$H$1960,MATCH(1770,'Transfer Engine'!$C$2:$C$1960,0)))</f>
        <v/>
      </c>
      <c r="I1779" s="9">
        <f>IF(ISNA(MATCH(1770,'Transfer Engine'!$C$2:$C$1960,0)),"",INDEX('Compliance Database'!$I$2:$I$1960,MATCH(1770,'Transfer Engine'!$C$2:$C$1960,0)))</f>
        <v/>
      </c>
      <c r="J1779" s="8">
        <f>IF(ISNA(MATCH(1770,'Transfer Engine'!$C$2:$C$1960,0)),"",INDEX('Compliance Database'!$J$2:$J$1960,MATCH(1770,'Transfer Engine'!$C$2:$C$1960,0)))</f>
        <v/>
      </c>
      <c r="K1779" s="9">
        <f>IF(ISNA(MATCH(1770,'Transfer Engine'!$C$2:$C$1960,0)),"",INDEX('Compliance Database'!$K$2:$K$1960,MATCH(1770,'Transfer Engine'!$C$2:$C$1960,0)))</f>
        <v/>
      </c>
      <c r="L1779" s="9">
        <f>IF(ISNA(MATCH(1770,'Transfer Engine'!$C$2:$C$1960,0)),"",INDEX('Compliance Database'!$L$2:$L$1960,MATCH(1770,'Transfer Engine'!$C$2:$C$1960,0)))</f>
        <v/>
      </c>
      <c r="M1779" s="9">
        <f>IF(ISNA(MATCH(1770,'Transfer Engine'!$C$2:$C$1960,0)),"",INDEX('Compliance Database'!$M$2:$M$1960,MATCH(1770,'Transfer Engine'!$C$2:$C$1960,0)))</f>
        <v/>
      </c>
      <c r="N1779" s="9">
        <f>IF(ISNA(MATCH(1770,'Transfer Engine'!$C$2:$C$1960,0)),"",INDEX('Compliance Database'!$N$2:$N$1960,MATCH(1770,'Transfer Engine'!$C$2:$C$1960,0)))</f>
        <v/>
      </c>
      <c r="O1779" s="9">
        <f>IF(ISNA(MATCH(1770,'Transfer Engine'!$C$2:$C$1960,0)),"",INDEX('Compliance Database'!$O$2:$O$1960,MATCH(1770,'Transfer Engine'!$C$2:$C$1960,0)))</f>
        <v/>
      </c>
      <c r="P1779" s="8">
        <f>IF(ISNA(MATCH(1770,'Transfer Engine'!$C$2:$C$1960,0)),"",HYPERLINK("#Acts!A"&amp;INDEX('Compliance Database'!$P$2:$P$1960,MATCH(1770,'Transfer Engine'!$C$2:$C$1960,0)),"Go to Act"))</f>
        <v/>
      </c>
    </row>
    <row r="1780" ht="158" customHeight="1">
      <c r="A1780" s="8">
        <f>IF(ISNA(MATCH(1771,'Transfer Engine'!$C$2:$C$1960,0)),"",INDEX('Compliance Database'!$A$2:$A$1960,MATCH(1771,'Transfer Engine'!$C$2:$C$1960,0)))</f>
        <v/>
      </c>
      <c r="B1780" s="8">
        <f>IF(ISNA(MATCH(1771,'Transfer Engine'!$C$2:$C$1960,0)),"",INDEX('Compliance Database'!$B$2:$B$1960,MATCH(1771,'Transfer Engine'!$C$2:$C$1960,0)))</f>
        <v/>
      </c>
      <c r="C1780" s="8">
        <f>IF(ISNA(MATCH(1771,'Transfer Engine'!$C$2:$C$1960,0)),"",INDEX('Compliance Database'!$C$2:$C$1960,MATCH(1771,'Transfer Engine'!$C$2:$C$1960,0)))</f>
        <v/>
      </c>
      <c r="D1780" s="9">
        <f>IF(ISNA(MATCH(1771,'Transfer Engine'!$C$2:$C$1960,0)),"",INDEX('Compliance Database'!$D$2:$D$1960,MATCH(1771,'Transfer Engine'!$C$2:$C$1960,0)))</f>
        <v/>
      </c>
      <c r="E1780" s="8">
        <f>IF(ISNA(MATCH(1771,'Transfer Engine'!$C$2:$C$1960,0)),"",INDEX('Compliance Database'!$E$2:$E$1960,MATCH(1771,'Transfer Engine'!$C$2:$C$1960,0)))</f>
        <v/>
      </c>
      <c r="F1780" s="8">
        <f>IF(ISNA(MATCH(1771,'Transfer Engine'!$C$2:$C$1960,0)),"",INDEX('Compliance Database'!$F$2:$F$1960,MATCH(1771,'Transfer Engine'!$C$2:$C$1960,0)))</f>
        <v/>
      </c>
      <c r="G1780" s="8">
        <f>IF(ISNA(MATCH(1771,'Transfer Engine'!$C$2:$C$1960,0)),"",INDEX('Compliance Database'!$G$2:$G$1960,MATCH(1771,'Transfer Engine'!$C$2:$C$1960,0)))</f>
        <v/>
      </c>
      <c r="H1780" s="9">
        <f>IF(ISNA(MATCH(1771,'Transfer Engine'!$C$2:$C$1960,0)),"",INDEX('Compliance Database'!$H$2:$H$1960,MATCH(1771,'Transfer Engine'!$C$2:$C$1960,0)))</f>
        <v/>
      </c>
      <c r="I1780" s="9">
        <f>IF(ISNA(MATCH(1771,'Transfer Engine'!$C$2:$C$1960,0)),"",INDEX('Compliance Database'!$I$2:$I$1960,MATCH(1771,'Transfer Engine'!$C$2:$C$1960,0)))</f>
        <v/>
      </c>
      <c r="J1780" s="8">
        <f>IF(ISNA(MATCH(1771,'Transfer Engine'!$C$2:$C$1960,0)),"",INDEX('Compliance Database'!$J$2:$J$1960,MATCH(1771,'Transfer Engine'!$C$2:$C$1960,0)))</f>
        <v/>
      </c>
      <c r="K1780" s="9">
        <f>IF(ISNA(MATCH(1771,'Transfer Engine'!$C$2:$C$1960,0)),"",INDEX('Compliance Database'!$K$2:$K$1960,MATCH(1771,'Transfer Engine'!$C$2:$C$1960,0)))</f>
        <v/>
      </c>
      <c r="L1780" s="9">
        <f>IF(ISNA(MATCH(1771,'Transfer Engine'!$C$2:$C$1960,0)),"",INDEX('Compliance Database'!$L$2:$L$1960,MATCH(1771,'Transfer Engine'!$C$2:$C$1960,0)))</f>
        <v/>
      </c>
      <c r="M1780" s="9">
        <f>IF(ISNA(MATCH(1771,'Transfer Engine'!$C$2:$C$1960,0)),"",INDEX('Compliance Database'!$M$2:$M$1960,MATCH(1771,'Transfer Engine'!$C$2:$C$1960,0)))</f>
        <v/>
      </c>
      <c r="N1780" s="9">
        <f>IF(ISNA(MATCH(1771,'Transfer Engine'!$C$2:$C$1960,0)),"",INDEX('Compliance Database'!$N$2:$N$1960,MATCH(1771,'Transfer Engine'!$C$2:$C$1960,0)))</f>
        <v/>
      </c>
      <c r="O1780" s="9">
        <f>IF(ISNA(MATCH(1771,'Transfer Engine'!$C$2:$C$1960,0)),"",INDEX('Compliance Database'!$O$2:$O$1960,MATCH(1771,'Transfer Engine'!$C$2:$C$1960,0)))</f>
        <v/>
      </c>
      <c r="P1780" s="8">
        <f>IF(ISNA(MATCH(1771,'Transfer Engine'!$C$2:$C$1960,0)),"",HYPERLINK("#Acts!A"&amp;INDEX('Compliance Database'!$P$2:$P$1960,MATCH(1771,'Transfer Engine'!$C$2:$C$1960,0)),"Go to Act"))</f>
        <v/>
      </c>
    </row>
    <row r="1781" ht="158" customHeight="1">
      <c r="A1781" s="8">
        <f>IF(ISNA(MATCH(1772,'Transfer Engine'!$C$2:$C$1960,0)),"",INDEX('Compliance Database'!$A$2:$A$1960,MATCH(1772,'Transfer Engine'!$C$2:$C$1960,0)))</f>
        <v/>
      </c>
      <c r="B1781" s="8">
        <f>IF(ISNA(MATCH(1772,'Transfer Engine'!$C$2:$C$1960,0)),"",INDEX('Compliance Database'!$B$2:$B$1960,MATCH(1772,'Transfer Engine'!$C$2:$C$1960,0)))</f>
        <v/>
      </c>
      <c r="C1781" s="8">
        <f>IF(ISNA(MATCH(1772,'Transfer Engine'!$C$2:$C$1960,0)),"",INDEX('Compliance Database'!$C$2:$C$1960,MATCH(1772,'Transfer Engine'!$C$2:$C$1960,0)))</f>
        <v/>
      </c>
      <c r="D1781" s="9">
        <f>IF(ISNA(MATCH(1772,'Transfer Engine'!$C$2:$C$1960,0)),"",INDEX('Compliance Database'!$D$2:$D$1960,MATCH(1772,'Transfer Engine'!$C$2:$C$1960,0)))</f>
        <v/>
      </c>
      <c r="E1781" s="8">
        <f>IF(ISNA(MATCH(1772,'Transfer Engine'!$C$2:$C$1960,0)),"",INDEX('Compliance Database'!$E$2:$E$1960,MATCH(1772,'Transfer Engine'!$C$2:$C$1960,0)))</f>
        <v/>
      </c>
      <c r="F1781" s="8">
        <f>IF(ISNA(MATCH(1772,'Transfer Engine'!$C$2:$C$1960,0)),"",INDEX('Compliance Database'!$F$2:$F$1960,MATCH(1772,'Transfer Engine'!$C$2:$C$1960,0)))</f>
        <v/>
      </c>
      <c r="G1781" s="8">
        <f>IF(ISNA(MATCH(1772,'Transfer Engine'!$C$2:$C$1960,0)),"",INDEX('Compliance Database'!$G$2:$G$1960,MATCH(1772,'Transfer Engine'!$C$2:$C$1960,0)))</f>
        <v/>
      </c>
      <c r="H1781" s="9">
        <f>IF(ISNA(MATCH(1772,'Transfer Engine'!$C$2:$C$1960,0)),"",INDEX('Compliance Database'!$H$2:$H$1960,MATCH(1772,'Transfer Engine'!$C$2:$C$1960,0)))</f>
        <v/>
      </c>
      <c r="I1781" s="9">
        <f>IF(ISNA(MATCH(1772,'Transfer Engine'!$C$2:$C$1960,0)),"",INDEX('Compliance Database'!$I$2:$I$1960,MATCH(1772,'Transfer Engine'!$C$2:$C$1960,0)))</f>
        <v/>
      </c>
      <c r="J1781" s="8">
        <f>IF(ISNA(MATCH(1772,'Transfer Engine'!$C$2:$C$1960,0)),"",INDEX('Compliance Database'!$J$2:$J$1960,MATCH(1772,'Transfer Engine'!$C$2:$C$1960,0)))</f>
        <v/>
      </c>
      <c r="K1781" s="9">
        <f>IF(ISNA(MATCH(1772,'Transfer Engine'!$C$2:$C$1960,0)),"",INDEX('Compliance Database'!$K$2:$K$1960,MATCH(1772,'Transfer Engine'!$C$2:$C$1960,0)))</f>
        <v/>
      </c>
      <c r="L1781" s="9">
        <f>IF(ISNA(MATCH(1772,'Transfer Engine'!$C$2:$C$1960,0)),"",INDEX('Compliance Database'!$L$2:$L$1960,MATCH(1772,'Transfer Engine'!$C$2:$C$1960,0)))</f>
        <v/>
      </c>
      <c r="M1781" s="9">
        <f>IF(ISNA(MATCH(1772,'Transfer Engine'!$C$2:$C$1960,0)),"",INDEX('Compliance Database'!$M$2:$M$1960,MATCH(1772,'Transfer Engine'!$C$2:$C$1960,0)))</f>
        <v/>
      </c>
      <c r="N1781" s="9">
        <f>IF(ISNA(MATCH(1772,'Transfer Engine'!$C$2:$C$1960,0)),"",INDEX('Compliance Database'!$N$2:$N$1960,MATCH(1772,'Transfer Engine'!$C$2:$C$1960,0)))</f>
        <v/>
      </c>
      <c r="O1781" s="9">
        <f>IF(ISNA(MATCH(1772,'Transfer Engine'!$C$2:$C$1960,0)),"",INDEX('Compliance Database'!$O$2:$O$1960,MATCH(1772,'Transfer Engine'!$C$2:$C$1960,0)))</f>
        <v/>
      </c>
      <c r="P1781" s="8">
        <f>IF(ISNA(MATCH(1772,'Transfer Engine'!$C$2:$C$1960,0)),"",HYPERLINK("#Acts!A"&amp;INDEX('Compliance Database'!$P$2:$P$1960,MATCH(1772,'Transfer Engine'!$C$2:$C$1960,0)),"Go to Act"))</f>
        <v/>
      </c>
    </row>
    <row r="1782" ht="158" customHeight="1">
      <c r="A1782" s="8">
        <f>IF(ISNA(MATCH(1773,'Transfer Engine'!$C$2:$C$1960,0)),"",INDEX('Compliance Database'!$A$2:$A$1960,MATCH(1773,'Transfer Engine'!$C$2:$C$1960,0)))</f>
        <v/>
      </c>
      <c r="B1782" s="8">
        <f>IF(ISNA(MATCH(1773,'Transfer Engine'!$C$2:$C$1960,0)),"",INDEX('Compliance Database'!$B$2:$B$1960,MATCH(1773,'Transfer Engine'!$C$2:$C$1960,0)))</f>
        <v/>
      </c>
      <c r="C1782" s="8">
        <f>IF(ISNA(MATCH(1773,'Transfer Engine'!$C$2:$C$1960,0)),"",INDEX('Compliance Database'!$C$2:$C$1960,MATCH(1773,'Transfer Engine'!$C$2:$C$1960,0)))</f>
        <v/>
      </c>
      <c r="D1782" s="9">
        <f>IF(ISNA(MATCH(1773,'Transfer Engine'!$C$2:$C$1960,0)),"",INDEX('Compliance Database'!$D$2:$D$1960,MATCH(1773,'Transfer Engine'!$C$2:$C$1960,0)))</f>
        <v/>
      </c>
      <c r="E1782" s="8">
        <f>IF(ISNA(MATCH(1773,'Transfer Engine'!$C$2:$C$1960,0)),"",INDEX('Compliance Database'!$E$2:$E$1960,MATCH(1773,'Transfer Engine'!$C$2:$C$1960,0)))</f>
        <v/>
      </c>
      <c r="F1782" s="8">
        <f>IF(ISNA(MATCH(1773,'Transfer Engine'!$C$2:$C$1960,0)),"",INDEX('Compliance Database'!$F$2:$F$1960,MATCH(1773,'Transfer Engine'!$C$2:$C$1960,0)))</f>
        <v/>
      </c>
      <c r="G1782" s="8">
        <f>IF(ISNA(MATCH(1773,'Transfer Engine'!$C$2:$C$1960,0)),"",INDEX('Compliance Database'!$G$2:$G$1960,MATCH(1773,'Transfer Engine'!$C$2:$C$1960,0)))</f>
        <v/>
      </c>
      <c r="H1782" s="9">
        <f>IF(ISNA(MATCH(1773,'Transfer Engine'!$C$2:$C$1960,0)),"",INDEX('Compliance Database'!$H$2:$H$1960,MATCH(1773,'Transfer Engine'!$C$2:$C$1960,0)))</f>
        <v/>
      </c>
      <c r="I1782" s="9">
        <f>IF(ISNA(MATCH(1773,'Transfer Engine'!$C$2:$C$1960,0)),"",INDEX('Compliance Database'!$I$2:$I$1960,MATCH(1773,'Transfer Engine'!$C$2:$C$1960,0)))</f>
        <v/>
      </c>
      <c r="J1782" s="8">
        <f>IF(ISNA(MATCH(1773,'Transfer Engine'!$C$2:$C$1960,0)),"",INDEX('Compliance Database'!$J$2:$J$1960,MATCH(1773,'Transfer Engine'!$C$2:$C$1960,0)))</f>
        <v/>
      </c>
      <c r="K1782" s="9">
        <f>IF(ISNA(MATCH(1773,'Transfer Engine'!$C$2:$C$1960,0)),"",INDEX('Compliance Database'!$K$2:$K$1960,MATCH(1773,'Transfer Engine'!$C$2:$C$1960,0)))</f>
        <v/>
      </c>
      <c r="L1782" s="9">
        <f>IF(ISNA(MATCH(1773,'Transfer Engine'!$C$2:$C$1960,0)),"",INDEX('Compliance Database'!$L$2:$L$1960,MATCH(1773,'Transfer Engine'!$C$2:$C$1960,0)))</f>
        <v/>
      </c>
      <c r="M1782" s="9">
        <f>IF(ISNA(MATCH(1773,'Transfer Engine'!$C$2:$C$1960,0)),"",INDEX('Compliance Database'!$M$2:$M$1960,MATCH(1773,'Transfer Engine'!$C$2:$C$1960,0)))</f>
        <v/>
      </c>
      <c r="N1782" s="9">
        <f>IF(ISNA(MATCH(1773,'Transfer Engine'!$C$2:$C$1960,0)),"",INDEX('Compliance Database'!$N$2:$N$1960,MATCH(1773,'Transfer Engine'!$C$2:$C$1960,0)))</f>
        <v/>
      </c>
      <c r="O1782" s="9">
        <f>IF(ISNA(MATCH(1773,'Transfer Engine'!$C$2:$C$1960,0)),"",INDEX('Compliance Database'!$O$2:$O$1960,MATCH(1773,'Transfer Engine'!$C$2:$C$1960,0)))</f>
        <v/>
      </c>
      <c r="P1782" s="8">
        <f>IF(ISNA(MATCH(1773,'Transfer Engine'!$C$2:$C$1960,0)),"",HYPERLINK("#Acts!A"&amp;INDEX('Compliance Database'!$P$2:$P$1960,MATCH(1773,'Transfer Engine'!$C$2:$C$1960,0)),"Go to Act"))</f>
        <v/>
      </c>
    </row>
    <row r="1783" ht="158" customHeight="1">
      <c r="A1783" s="8">
        <f>IF(ISNA(MATCH(1774,'Transfer Engine'!$C$2:$C$1960,0)),"",INDEX('Compliance Database'!$A$2:$A$1960,MATCH(1774,'Transfer Engine'!$C$2:$C$1960,0)))</f>
        <v/>
      </c>
      <c r="B1783" s="8">
        <f>IF(ISNA(MATCH(1774,'Transfer Engine'!$C$2:$C$1960,0)),"",INDEX('Compliance Database'!$B$2:$B$1960,MATCH(1774,'Transfer Engine'!$C$2:$C$1960,0)))</f>
        <v/>
      </c>
      <c r="C1783" s="8">
        <f>IF(ISNA(MATCH(1774,'Transfer Engine'!$C$2:$C$1960,0)),"",INDEX('Compliance Database'!$C$2:$C$1960,MATCH(1774,'Transfer Engine'!$C$2:$C$1960,0)))</f>
        <v/>
      </c>
      <c r="D1783" s="9">
        <f>IF(ISNA(MATCH(1774,'Transfer Engine'!$C$2:$C$1960,0)),"",INDEX('Compliance Database'!$D$2:$D$1960,MATCH(1774,'Transfer Engine'!$C$2:$C$1960,0)))</f>
        <v/>
      </c>
      <c r="E1783" s="8">
        <f>IF(ISNA(MATCH(1774,'Transfer Engine'!$C$2:$C$1960,0)),"",INDEX('Compliance Database'!$E$2:$E$1960,MATCH(1774,'Transfer Engine'!$C$2:$C$1960,0)))</f>
        <v/>
      </c>
      <c r="F1783" s="8">
        <f>IF(ISNA(MATCH(1774,'Transfer Engine'!$C$2:$C$1960,0)),"",INDEX('Compliance Database'!$F$2:$F$1960,MATCH(1774,'Transfer Engine'!$C$2:$C$1960,0)))</f>
        <v/>
      </c>
      <c r="G1783" s="8">
        <f>IF(ISNA(MATCH(1774,'Transfer Engine'!$C$2:$C$1960,0)),"",INDEX('Compliance Database'!$G$2:$G$1960,MATCH(1774,'Transfer Engine'!$C$2:$C$1960,0)))</f>
        <v/>
      </c>
      <c r="H1783" s="9">
        <f>IF(ISNA(MATCH(1774,'Transfer Engine'!$C$2:$C$1960,0)),"",INDEX('Compliance Database'!$H$2:$H$1960,MATCH(1774,'Transfer Engine'!$C$2:$C$1960,0)))</f>
        <v/>
      </c>
      <c r="I1783" s="9">
        <f>IF(ISNA(MATCH(1774,'Transfer Engine'!$C$2:$C$1960,0)),"",INDEX('Compliance Database'!$I$2:$I$1960,MATCH(1774,'Transfer Engine'!$C$2:$C$1960,0)))</f>
        <v/>
      </c>
      <c r="J1783" s="8">
        <f>IF(ISNA(MATCH(1774,'Transfer Engine'!$C$2:$C$1960,0)),"",INDEX('Compliance Database'!$J$2:$J$1960,MATCH(1774,'Transfer Engine'!$C$2:$C$1960,0)))</f>
        <v/>
      </c>
      <c r="K1783" s="9">
        <f>IF(ISNA(MATCH(1774,'Transfer Engine'!$C$2:$C$1960,0)),"",INDEX('Compliance Database'!$K$2:$K$1960,MATCH(1774,'Transfer Engine'!$C$2:$C$1960,0)))</f>
        <v/>
      </c>
      <c r="L1783" s="9">
        <f>IF(ISNA(MATCH(1774,'Transfer Engine'!$C$2:$C$1960,0)),"",INDEX('Compliance Database'!$L$2:$L$1960,MATCH(1774,'Transfer Engine'!$C$2:$C$1960,0)))</f>
        <v/>
      </c>
      <c r="M1783" s="9">
        <f>IF(ISNA(MATCH(1774,'Transfer Engine'!$C$2:$C$1960,0)),"",INDEX('Compliance Database'!$M$2:$M$1960,MATCH(1774,'Transfer Engine'!$C$2:$C$1960,0)))</f>
        <v/>
      </c>
      <c r="N1783" s="9">
        <f>IF(ISNA(MATCH(1774,'Transfer Engine'!$C$2:$C$1960,0)),"",INDEX('Compliance Database'!$N$2:$N$1960,MATCH(1774,'Transfer Engine'!$C$2:$C$1960,0)))</f>
        <v/>
      </c>
      <c r="O1783" s="9">
        <f>IF(ISNA(MATCH(1774,'Transfer Engine'!$C$2:$C$1960,0)),"",INDEX('Compliance Database'!$O$2:$O$1960,MATCH(1774,'Transfer Engine'!$C$2:$C$1960,0)))</f>
        <v/>
      </c>
      <c r="P1783" s="8">
        <f>IF(ISNA(MATCH(1774,'Transfer Engine'!$C$2:$C$1960,0)),"",HYPERLINK("#Acts!A"&amp;INDEX('Compliance Database'!$P$2:$P$1960,MATCH(1774,'Transfer Engine'!$C$2:$C$1960,0)),"Go to Act"))</f>
        <v/>
      </c>
    </row>
    <row r="1784" ht="158" customHeight="1">
      <c r="A1784" s="8">
        <f>IF(ISNA(MATCH(1775,'Transfer Engine'!$C$2:$C$1960,0)),"",INDEX('Compliance Database'!$A$2:$A$1960,MATCH(1775,'Transfer Engine'!$C$2:$C$1960,0)))</f>
        <v/>
      </c>
      <c r="B1784" s="8">
        <f>IF(ISNA(MATCH(1775,'Transfer Engine'!$C$2:$C$1960,0)),"",INDEX('Compliance Database'!$B$2:$B$1960,MATCH(1775,'Transfer Engine'!$C$2:$C$1960,0)))</f>
        <v/>
      </c>
      <c r="C1784" s="8">
        <f>IF(ISNA(MATCH(1775,'Transfer Engine'!$C$2:$C$1960,0)),"",INDEX('Compliance Database'!$C$2:$C$1960,MATCH(1775,'Transfer Engine'!$C$2:$C$1960,0)))</f>
        <v/>
      </c>
      <c r="D1784" s="9">
        <f>IF(ISNA(MATCH(1775,'Transfer Engine'!$C$2:$C$1960,0)),"",INDEX('Compliance Database'!$D$2:$D$1960,MATCH(1775,'Transfer Engine'!$C$2:$C$1960,0)))</f>
        <v/>
      </c>
      <c r="E1784" s="8">
        <f>IF(ISNA(MATCH(1775,'Transfer Engine'!$C$2:$C$1960,0)),"",INDEX('Compliance Database'!$E$2:$E$1960,MATCH(1775,'Transfer Engine'!$C$2:$C$1960,0)))</f>
        <v/>
      </c>
      <c r="F1784" s="8">
        <f>IF(ISNA(MATCH(1775,'Transfer Engine'!$C$2:$C$1960,0)),"",INDEX('Compliance Database'!$F$2:$F$1960,MATCH(1775,'Transfer Engine'!$C$2:$C$1960,0)))</f>
        <v/>
      </c>
      <c r="G1784" s="8">
        <f>IF(ISNA(MATCH(1775,'Transfer Engine'!$C$2:$C$1960,0)),"",INDEX('Compliance Database'!$G$2:$G$1960,MATCH(1775,'Transfer Engine'!$C$2:$C$1960,0)))</f>
        <v/>
      </c>
      <c r="H1784" s="9">
        <f>IF(ISNA(MATCH(1775,'Transfer Engine'!$C$2:$C$1960,0)),"",INDEX('Compliance Database'!$H$2:$H$1960,MATCH(1775,'Transfer Engine'!$C$2:$C$1960,0)))</f>
        <v/>
      </c>
      <c r="I1784" s="9">
        <f>IF(ISNA(MATCH(1775,'Transfer Engine'!$C$2:$C$1960,0)),"",INDEX('Compliance Database'!$I$2:$I$1960,MATCH(1775,'Transfer Engine'!$C$2:$C$1960,0)))</f>
        <v/>
      </c>
      <c r="J1784" s="8">
        <f>IF(ISNA(MATCH(1775,'Transfer Engine'!$C$2:$C$1960,0)),"",INDEX('Compliance Database'!$J$2:$J$1960,MATCH(1775,'Transfer Engine'!$C$2:$C$1960,0)))</f>
        <v/>
      </c>
      <c r="K1784" s="9">
        <f>IF(ISNA(MATCH(1775,'Transfer Engine'!$C$2:$C$1960,0)),"",INDEX('Compliance Database'!$K$2:$K$1960,MATCH(1775,'Transfer Engine'!$C$2:$C$1960,0)))</f>
        <v/>
      </c>
      <c r="L1784" s="9">
        <f>IF(ISNA(MATCH(1775,'Transfer Engine'!$C$2:$C$1960,0)),"",INDEX('Compliance Database'!$L$2:$L$1960,MATCH(1775,'Transfer Engine'!$C$2:$C$1960,0)))</f>
        <v/>
      </c>
      <c r="M1784" s="9">
        <f>IF(ISNA(MATCH(1775,'Transfer Engine'!$C$2:$C$1960,0)),"",INDEX('Compliance Database'!$M$2:$M$1960,MATCH(1775,'Transfer Engine'!$C$2:$C$1960,0)))</f>
        <v/>
      </c>
      <c r="N1784" s="9">
        <f>IF(ISNA(MATCH(1775,'Transfer Engine'!$C$2:$C$1960,0)),"",INDEX('Compliance Database'!$N$2:$N$1960,MATCH(1775,'Transfer Engine'!$C$2:$C$1960,0)))</f>
        <v/>
      </c>
      <c r="O1784" s="9">
        <f>IF(ISNA(MATCH(1775,'Transfer Engine'!$C$2:$C$1960,0)),"",INDEX('Compliance Database'!$O$2:$O$1960,MATCH(1775,'Transfer Engine'!$C$2:$C$1960,0)))</f>
        <v/>
      </c>
      <c r="P1784" s="8">
        <f>IF(ISNA(MATCH(1775,'Transfer Engine'!$C$2:$C$1960,0)),"",HYPERLINK("#Acts!A"&amp;INDEX('Compliance Database'!$P$2:$P$1960,MATCH(1775,'Transfer Engine'!$C$2:$C$1960,0)),"Go to Act"))</f>
        <v/>
      </c>
    </row>
    <row r="1785" ht="158" customHeight="1">
      <c r="A1785" s="8">
        <f>IF(ISNA(MATCH(1776,'Transfer Engine'!$C$2:$C$1960,0)),"",INDEX('Compliance Database'!$A$2:$A$1960,MATCH(1776,'Transfer Engine'!$C$2:$C$1960,0)))</f>
        <v/>
      </c>
      <c r="B1785" s="8">
        <f>IF(ISNA(MATCH(1776,'Transfer Engine'!$C$2:$C$1960,0)),"",INDEX('Compliance Database'!$B$2:$B$1960,MATCH(1776,'Transfer Engine'!$C$2:$C$1960,0)))</f>
        <v/>
      </c>
      <c r="C1785" s="8">
        <f>IF(ISNA(MATCH(1776,'Transfer Engine'!$C$2:$C$1960,0)),"",INDEX('Compliance Database'!$C$2:$C$1960,MATCH(1776,'Transfer Engine'!$C$2:$C$1960,0)))</f>
        <v/>
      </c>
      <c r="D1785" s="9">
        <f>IF(ISNA(MATCH(1776,'Transfer Engine'!$C$2:$C$1960,0)),"",INDEX('Compliance Database'!$D$2:$D$1960,MATCH(1776,'Transfer Engine'!$C$2:$C$1960,0)))</f>
        <v/>
      </c>
      <c r="E1785" s="8">
        <f>IF(ISNA(MATCH(1776,'Transfer Engine'!$C$2:$C$1960,0)),"",INDEX('Compliance Database'!$E$2:$E$1960,MATCH(1776,'Transfer Engine'!$C$2:$C$1960,0)))</f>
        <v/>
      </c>
      <c r="F1785" s="8">
        <f>IF(ISNA(MATCH(1776,'Transfer Engine'!$C$2:$C$1960,0)),"",INDEX('Compliance Database'!$F$2:$F$1960,MATCH(1776,'Transfer Engine'!$C$2:$C$1960,0)))</f>
        <v/>
      </c>
      <c r="G1785" s="8">
        <f>IF(ISNA(MATCH(1776,'Transfer Engine'!$C$2:$C$1960,0)),"",INDEX('Compliance Database'!$G$2:$G$1960,MATCH(1776,'Transfer Engine'!$C$2:$C$1960,0)))</f>
        <v/>
      </c>
      <c r="H1785" s="9">
        <f>IF(ISNA(MATCH(1776,'Transfer Engine'!$C$2:$C$1960,0)),"",INDEX('Compliance Database'!$H$2:$H$1960,MATCH(1776,'Transfer Engine'!$C$2:$C$1960,0)))</f>
        <v/>
      </c>
      <c r="I1785" s="9">
        <f>IF(ISNA(MATCH(1776,'Transfer Engine'!$C$2:$C$1960,0)),"",INDEX('Compliance Database'!$I$2:$I$1960,MATCH(1776,'Transfer Engine'!$C$2:$C$1960,0)))</f>
        <v/>
      </c>
      <c r="J1785" s="8">
        <f>IF(ISNA(MATCH(1776,'Transfer Engine'!$C$2:$C$1960,0)),"",INDEX('Compliance Database'!$J$2:$J$1960,MATCH(1776,'Transfer Engine'!$C$2:$C$1960,0)))</f>
        <v/>
      </c>
      <c r="K1785" s="9">
        <f>IF(ISNA(MATCH(1776,'Transfer Engine'!$C$2:$C$1960,0)),"",INDEX('Compliance Database'!$K$2:$K$1960,MATCH(1776,'Transfer Engine'!$C$2:$C$1960,0)))</f>
        <v/>
      </c>
      <c r="L1785" s="9">
        <f>IF(ISNA(MATCH(1776,'Transfer Engine'!$C$2:$C$1960,0)),"",INDEX('Compliance Database'!$L$2:$L$1960,MATCH(1776,'Transfer Engine'!$C$2:$C$1960,0)))</f>
        <v/>
      </c>
      <c r="M1785" s="9">
        <f>IF(ISNA(MATCH(1776,'Transfer Engine'!$C$2:$C$1960,0)),"",INDEX('Compliance Database'!$M$2:$M$1960,MATCH(1776,'Transfer Engine'!$C$2:$C$1960,0)))</f>
        <v/>
      </c>
      <c r="N1785" s="9">
        <f>IF(ISNA(MATCH(1776,'Transfer Engine'!$C$2:$C$1960,0)),"",INDEX('Compliance Database'!$N$2:$N$1960,MATCH(1776,'Transfer Engine'!$C$2:$C$1960,0)))</f>
        <v/>
      </c>
      <c r="O1785" s="9">
        <f>IF(ISNA(MATCH(1776,'Transfer Engine'!$C$2:$C$1960,0)),"",INDEX('Compliance Database'!$O$2:$O$1960,MATCH(1776,'Transfer Engine'!$C$2:$C$1960,0)))</f>
        <v/>
      </c>
      <c r="P1785" s="8">
        <f>IF(ISNA(MATCH(1776,'Transfer Engine'!$C$2:$C$1960,0)),"",HYPERLINK("#Acts!A"&amp;INDEX('Compliance Database'!$P$2:$P$1960,MATCH(1776,'Transfer Engine'!$C$2:$C$1960,0)),"Go to Act"))</f>
        <v/>
      </c>
    </row>
    <row r="1786" ht="158" customHeight="1">
      <c r="A1786" s="8">
        <f>IF(ISNA(MATCH(1777,'Transfer Engine'!$C$2:$C$1960,0)),"",INDEX('Compliance Database'!$A$2:$A$1960,MATCH(1777,'Transfer Engine'!$C$2:$C$1960,0)))</f>
        <v/>
      </c>
      <c r="B1786" s="8">
        <f>IF(ISNA(MATCH(1777,'Transfer Engine'!$C$2:$C$1960,0)),"",INDEX('Compliance Database'!$B$2:$B$1960,MATCH(1777,'Transfer Engine'!$C$2:$C$1960,0)))</f>
        <v/>
      </c>
      <c r="C1786" s="8">
        <f>IF(ISNA(MATCH(1777,'Transfer Engine'!$C$2:$C$1960,0)),"",INDEX('Compliance Database'!$C$2:$C$1960,MATCH(1777,'Transfer Engine'!$C$2:$C$1960,0)))</f>
        <v/>
      </c>
      <c r="D1786" s="9">
        <f>IF(ISNA(MATCH(1777,'Transfer Engine'!$C$2:$C$1960,0)),"",INDEX('Compliance Database'!$D$2:$D$1960,MATCH(1777,'Transfer Engine'!$C$2:$C$1960,0)))</f>
        <v/>
      </c>
      <c r="E1786" s="8">
        <f>IF(ISNA(MATCH(1777,'Transfer Engine'!$C$2:$C$1960,0)),"",INDEX('Compliance Database'!$E$2:$E$1960,MATCH(1777,'Transfer Engine'!$C$2:$C$1960,0)))</f>
        <v/>
      </c>
      <c r="F1786" s="8">
        <f>IF(ISNA(MATCH(1777,'Transfer Engine'!$C$2:$C$1960,0)),"",INDEX('Compliance Database'!$F$2:$F$1960,MATCH(1777,'Transfer Engine'!$C$2:$C$1960,0)))</f>
        <v/>
      </c>
      <c r="G1786" s="8">
        <f>IF(ISNA(MATCH(1777,'Transfer Engine'!$C$2:$C$1960,0)),"",INDEX('Compliance Database'!$G$2:$G$1960,MATCH(1777,'Transfer Engine'!$C$2:$C$1960,0)))</f>
        <v/>
      </c>
      <c r="H1786" s="9">
        <f>IF(ISNA(MATCH(1777,'Transfer Engine'!$C$2:$C$1960,0)),"",INDEX('Compliance Database'!$H$2:$H$1960,MATCH(1777,'Transfer Engine'!$C$2:$C$1960,0)))</f>
        <v/>
      </c>
      <c r="I1786" s="9">
        <f>IF(ISNA(MATCH(1777,'Transfer Engine'!$C$2:$C$1960,0)),"",INDEX('Compliance Database'!$I$2:$I$1960,MATCH(1777,'Transfer Engine'!$C$2:$C$1960,0)))</f>
        <v/>
      </c>
      <c r="J1786" s="8">
        <f>IF(ISNA(MATCH(1777,'Transfer Engine'!$C$2:$C$1960,0)),"",INDEX('Compliance Database'!$J$2:$J$1960,MATCH(1777,'Transfer Engine'!$C$2:$C$1960,0)))</f>
        <v/>
      </c>
      <c r="K1786" s="9">
        <f>IF(ISNA(MATCH(1777,'Transfer Engine'!$C$2:$C$1960,0)),"",INDEX('Compliance Database'!$K$2:$K$1960,MATCH(1777,'Transfer Engine'!$C$2:$C$1960,0)))</f>
        <v/>
      </c>
      <c r="L1786" s="9">
        <f>IF(ISNA(MATCH(1777,'Transfer Engine'!$C$2:$C$1960,0)),"",INDEX('Compliance Database'!$L$2:$L$1960,MATCH(1777,'Transfer Engine'!$C$2:$C$1960,0)))</f>
        <v/>
      </c>
      <c r="M1786" s="9">
        <f>IF(ISNA(MATCH(1777,'Transfer Engine'!$C$2:$C$1960,0)),"",INDEX('Compliance Database'!$M$2:$M$1960,MATCH(1777,'Transfer Engine'!$C$2:$C$1960,0)))</f>
        <v/>
      </c>
      <c r="N1786" s="9">
        <f>IF(ISNA(MATCH(1777,'Transfer Engine'!$C$2:$C$1960,0)),"",INDEX('Compliance Database'!$N$2:$N$1960,MATCH(1777,'Transfer Engine'!$C$2:$C$1960,0)))</f>
        <v/>
      </c>
      <c r="O1786" s="9">
        <f>IF(ISNA(MATCH(1777,'Transfer Engine'!$C$2:$C$1960,0)),"",INDEX('Compliance Database'!$O$2:$O$1960,MATCH(1777,'Transfer Engine'!$C$2:$C$1960,0)))</f>
        <v/>
      </c>
      <c r="P1786" s="8">
        <f>IF(ISNA(MATCH(1777,'Transfer Engine'!$C$2:$C$1960,0)),"",HYPERLINK("#Acts!A"&amp;INDEX('Compliance Database'!$P$2:$P$1960,MATCH(1777,'Transfer Engine'!$C$2:$C$1960,0)),"Go to Act"))</f>
        <v/>
      </c>
    </row>
    <row r="1787" ht="158" customHeight="1">
      <c r="A1787" s="8">
        <f>IF(ISNA(MATCH(1778,'Transfer Engine'!$C$2:$C$1960,0)),"",INDEX('Compliance Database'!$A$2:$A$1960,MATCH(1778,'Transfer Engine'!$C$2:$C$1960,0)))</f>
        <v/>
      </c>
      <c r="B1787" s="8">
        <f>IF(ISNA(MATCH(1778,'Transfer Engine'!$C$2:$C$1960,0)),"",INDEX('Compliance Database'!$B$2:$B$1960,MATCH(1778,'Transfer Engine'!$C$2:$C$1960,0)))</f>
        <v/>
      </c>
      <c r="C1787" s="8">
        <f>IF(ISNA(MATCH(1778,'Transfer Engine'!$C$2:$C$1960,0)),"",INDEX('Compliance Database'!$C$2:$C$1960,MATCH(1778,'Transfer Engine'!$C$2:$C$1960,0)))</f>
        <v/>
      </c>
      <c r="D1787" s="9">
        <f>IF(ISNA(MATCH(1778,'Transfer Engine'!$C$2:$C$1960,0)),"",INDEX('Compliance Database'!$D$2:$D$1960,MATCH(1778,'Transfer Engine'!$C$2:$C$1960,0)))</f>
        <v/>
      </c>
      <c r="E1787" s="8">
        <f>IF(ISNA(MATCH(1778,'Transfer Engine'!$C$2:$C$1960,0)),"",INDEX('Compliance Database'!$E$2:$E$1960,MATCH(1778,'Transfer Engine'!$C$2:$C$1960,0)))</f>
        <v/>
      </c>
      <c r="F1787" s="8">
        <f>IF(ISNA(MATCH(1778,'Transfer Engine'!$C$2:$C$1960,0)),"",INDEX('Compliance Database'!$F$2:$F$1960,MATCH(1778,'Transfer Engine'!$C$2:$C$1960,0)))</f>
        <v/>
      </c>
      <c r="G1787" s="8">
        <f>IF(ISNA(MATCH(1778,'Transfer Engine'!$C$2:$C$1960,0)),"",INDEX('Compliance Database'!$G$2:$G$1960,MATCH(1778,'Transfer Engine'!$C$2:$C$1960,0)))</f>
        <v/>
      </c>
      <c r="H1787" s="9">
        <f>IF(ISNA(MATCH(1778,'Transfer Engine'!$C$2:$C$1960,0)),"",INDEX('Compliance Database'!$H$2:$H$1960,MATCH(1778,'Transfer Engine'!$C$2:$C$1960,0)))</f>
        <v/>
      </c>
      <c r="I1787" s="9">
        <f>IF(ISNA(MATCH(1778,'Transfer Engine'!$C$2:$C$1960,0)),"",INDEX('Compliance Database'!$I$2:$I$1960,MATCH(1778,'Transfer Engine'!$C$2:$C$1960,0)))</f>
        <v/>
      </c>
      <c r="J1787" s="8">
        <f>IF(ISNA(MATCH(1778,'Transfer Engine'!$C$2:$C$1960,0)),"",INDEX('Compliance Database'!$J$2:$J$1960,MATCH(1778,'Transfer Engine'!$C$2:$C$1960,0)))</f>
        <v/>
      </c>
      <c r="K1787" s="9">
        <f>IF(ISNA(MATCH(1778,'Transfer Engine'!$C$2:$C$1960,0)),"",INDEX('Compliance Database'!$K$2:$K$1960,MATCH(1778,'Transfer Engine'!$C$2:$C$1960,0)))</f>
        <v/>
      </c>
      <c r="L1787" s="9">
        <f>IF(ISNA(MATCH(1778,'Transfer Engine'!$C$2:$C$1960,0)),"",INDEX('Compliance Database'!$L$2:$L$1960,MATCH(1778,'Transfer Engine'!$C$2:$C$1960,0)))</f>
        <v/>
      </c>
      <c r="M1787" s="9">
        <f>IF(ISNA(MATCH(1778,'Transfer Engine'!$C$2:$C$1960,0)),"",INDEX('Compliance Database'!$M$2:$M$1960,MATCH(1778,'Transfer Engine'!$C$2:$C$1960,0)))</f>
        <v/>
      </c>
      <c r="N1787" s="9">
        <f>IF(ISNA(MATCH(1778,'Transfer Engine'!$C$2:$C$1960,0)),"",INDEX('Compliance Database'!$N$2:$N$1960,MATCH(1778,'Transfer Engine'!$C$2:$C$1960,0)))</f>
        <v/>
      </c>
      <c r="O1787" s="9">
        <f>IF(ISNA(MATCH(1778,'Transfer Engine'!$C$2:$C$1960,0)),"",INDEX('Compliance Database'!$O$2:$O$1960,MATCH(1778,'Transfer Engine'!$C$2:$C$1960,0)))</f>
        <v/>
      </c>
      <c r="P1787" s="8">
        <f>IF(ISNA(MATCH(1778,'Transfer Engine'!$C$2:$C$1960,0)),"",HYPERLINK("#Acts!A"&amp;INDEX('Compliance Database'!$P$2:$P$1960,MATCH(1778,'Transfer Engine'!$C$2:$C$1960,0)),"Go to Act"))</f>
        <v/>
      </c>
    </row>
    <row r="1788" ht="158" customHeight="1">
      <c r="A1788" s="8">
        <f>IF(ISNA(MATCH(1779,'Transfer Engine'!$C$2:$C$1960,0)),"",INDEX('Compliance Database'!$A$2:$A$1960,MATCH(1779,'Transfer Engine'!$C$2:$C$1960,0)))</f>
        <v/>
      </c>
      <c r="B1788" s="8">
        <f>IF(ISNA(MATCH(1779,'Transfer Engine'!$C$2:$C$1960,0)),"",INDEX('Compliance Database'!$B$2:$B$1960,MATCH(1779,'Transfer Engine'!$C$2:$C$1960,0)))</f>
        <v/>
      </c>
      <c r="C1788" s="8">
        <f>IF(ISNA(MATCH(1779,'Transfer Engine'!$C$2:$C$1960,0)),"",INDEX('Compliance Database'!$C$2:$C$1960,MATCH(1779,'Transfer Engine'!$C$2:$C$1960,0)))</f>
        <v/>
      </c>
      <c r="D1788" s="9">
        <f>IF(ISNA(MATCH(1779,'Transfer Engine'!$C$2:$C$1960,0)),"",INDEX('Compliance Database'!$D$2:$D$1960,MATCH(1779,'Transfer Engine'!$C$2:$C$1960,0)))</f>
        <v/>
      </c>
      <c r="E1788" s="8">
        <f>IF(ISNA(MATCH(1779,'Transfer Engine'!$C$2:$C$1960,0)),"",INDEX('Compliance Database'!$E$2:$E$1960,MATCH(1779,'Transfer Engine'!$C$2:$C$1960,0)))</f>
        <v/>
      </c>
      <c r="F1788" s="8">
        <f>IF(ISNA(MATCH(1779,'Transfer Engine'!$C$2:$C$1960,0)),"",INDEX('Compliance Database'!$F$2:$F$1960,MATCH(1779,'Transfer Engine'!$C$2:$C$1960,0)))</f>
        <v/>
      </c>
      <c r="G1788" s="8">
        <f>IF(ISNA(MATCH(1779,'Transfer Engine'!$C$2:$C$1960,0)),"",INDEX('Compliance Database'!$G$2:$G$1960,MATCH(1779,'Transfer Engine'!$C$2:$C$1960,0)))</f>
        <v/>
      </c>
      <c r="H1788" s="9">
        <f>IF(ISNA(MATCH(1779,'Transfer Engine'!$C$2:$C$1960,0)),"",INDEX('Compliance Database'!$H$2:$H$1960,MATCH(1779,'Transfer Engine'!$C$2:$C$1960,0)))</f>
        <v/>
      </c>
      <c r="I1788" s="9">
        <f>IF(ISNA(MATCH(1779,'Transfer Engine'!$C$2:$C$1960,0)),"",INDEX('Compliance Database'!$I$2:$I$1960,MATCH(1779,'Transfer Engine'!$C$2:$C$1960,0)))</f>
        <v/>
      </c>
      <c r="J1788" s="8">
        <f>IF(ISNA(MATCH(1779,'Transfer Engine'!$C$2:$C$1960,0)),"",INDEX('Compliance Database'!$J$2:$J$1960,MATCH(1779,'Transfer Engine'!$C$2:$C$1960,0)))</f>
        <v/>
      </c>
      <c r="K1788" s="9">
        <f>IF(ISNA(MATCH(1779,'Transfer Engine'!$C$2:$C$1960,0)),"",INDEX('Compliance Database'!$K$2:$K$1960,MATCH(1779,'Transfer Engine'!$C$2:$C$1960,0)))</f>
        <v/>
      </c>
      <c r="L1788" s="9">
        <f>IF(ISNA(MATCH(1779,'Transfer Engine'!$C$2:$C$1960,0)),"",INDEX('Compliance Database'!$L$2:$L$1960,MATCH(1779,'Transfer Engine'!$C$2:$C$1960,0)))</f>
        <v/>
      </c>
      <c r="M1788" s="9">
        <f>IF(ISNA(MATCH(1779,'Transfer Engine'!$C$2:$C$1960,0)),"",INDEX('Compliance Database'!$M$2:$M$1960,MATCH(1779,'Transfer Engine'!$C$2:$C$1960,0)))</f>
        <v/>
      </c>
      <c r="N1788" s="9">
        <f>IF(ISNA(MATCH(1779,'Transfer Engine'!$C$2:$C$1960,0)),"",INDEX('Compliance Database'!$N$2:$N$1960,MATCH(1779,'Transfer Engine'!$C$2:$C$1960,0)))</f>
        <v/>
      </c>
      <c r="O1788" s="9">
        <f>IF(ISNA(MATCH(1779,'Transfer Engine'!$C$2:$C$1960,0)),"",INDEX('Compliance Database'!$O$2:$O$1960,MATCH(1779,'Transfer Engine'!$C$2:$C$1960,0)))</f>
        <v/>
      </c>
      <c r="P1788" s="8">
        <f>IF(ISNA(MATCH(1779,'Transfer Engine'!$C$2:$C$1960,0)),"",HYPERLINK("#Acts!A"&amp;INDEX('Compliance Database'!$P$2:$P$1960,MATCH(1779,'Transfer Engine'!$C$2:$C$1960,0)),"Go to Act"))</f>
        <v/>
      </c>
    </row>
    <row r="1789" ht="158" customHeight="1">
      <c r="A1789" s="8">
        <f>IF(ISNA(MATCH(1780,'Transfer Engine'!$C$2:$C$1960,0)),"",INDEX('Compliance Database'!$A$2:$A$1960,MATCH(1780,'Transfer Engine'!$C$2:$C$1960,0)))</f>
        <v/>
      </c>
      <c r="B1789" s="8">
        <f>IF(ISNA(MATCH(1780,'Transfer Engine'!$C$2:$C$1960,0)),"",INDEX('Compliance Database'!$B$2:$B$1960,MATCH(1780,'Transfer Engine'!$C$2:$C$1960,0)))</f>
        <v/>
      </c>
      <c r="C1789" s="8">
        <f>IF(ISNA(MATCH(1780,'Transfer Engine'!$C$2:$C$1960,0)),"",INDEX('Compliance Database'!$C$2:$C$1960,MATCH(1780,'Transfer Engine'!$C$2:$C$1960,0)))</f>
        <v/>
      </c>
      <c r="D1789" s="9">
        <f>IF(ISNA(MATCH(1780,'Transfer Engine'!$C$2:$C$1960,0)),"",INDEX('Compliance Database'!$D$2:$D$1960,MATCH(1780,'Transfer Engine'!$C$2:$C$1960,0)))</f>
        <v/>
      </c>
      <c r="E1789" s="8">
        <f>IF(ISNA(MATCH(1780,'Transfer Engine'!$C$2:$C$1960,0)),"",INDEX('Compliance Database'!$E$2:$E$1960,MATCH(1780,'Transfer Engine'!$C$2:$C$1960,0)))</f>
        <v/>
      </c>
      <c r="F1789" s="8">
        <f>IF(ISNA(MATCH(1780,'Transfer Engine'!$C$2:$C$1960,0)),"",INDEX('Compliance Database'!$F$2:$F$1960,MATCH(1780,'Transfer Engine'!$C$2:$C$1960,0)))</f>
        <v/>
      </c>
      <c r="G1789" s="8">
        <f>IF(ISNA(MATCH(1780,'Transfer Engine'!$C$2:$C$1960,0)),"",INDEX('Compliance Database'!$G$2:$G$1960,MATCH(1780,'Transfer Engine'!$C$2:$C$1960,0)))</f>
        <v/>
      </c>
      <c r="H1789" s="9">
        <f>IF(ISNA(MATCH(1780,'Transfer Engine'!$C$2:$C$1960,0)),"",INDEX('Compliance Database'!$H$2:$H$1960,MATCH(1780,'Transfer Engine'!$C$2:$C$1960,0)))</f>
        <v/>
      </c>
      <c r="I1789" s="9">
        <f>IF(ISNA(MATCH(1780,'Transfer Engine'!$C$2:$C$1960,0)),"",INDEX('Compliance Database'!$I$2:$I$1960,MATCH(1780,'Transfer Engine'!$C$2:$C$1960,0)))</f>
        <v/>
      </c>
      <c r="J1789" s="8">
        <f>IF(ISNA(MATCH(1780,'Transfer Engine'!$C$2:$C$1960,0)),"",INDEX('Compliance Database'!$J$2:$J$1960,MATCH(1780,'Transfer Engine'!$C$2:$C$1960,0)))</f>
        <v/>
      </c>
      <c r="K1789" s="9">
        <f>IF(ISNA(MATCH(1780,'Transfer Engine'!$C$2:$C$1960,0)),"",INDEX('Compliance Database'!$K$2:$K$1960,MATCH(1780,'Transfer Engine'!$C$2:$C$1960,0)))</f>
        <v/>
      </c>
      <c r="L1789" s="9">
        <f>IF(ISNA(MATCH(1780,'Transfer Engine'!$C$2:$C$1960,0)),"",INDEX('Compliance Database'!$L$2:$L$1960,MATCH(1780,'Transfer Engine'!$C$2:$C$1960,0)))</f>
        <v/>
      </c>
      <c r="M1789" s="9">
        <f>IF(ISNA(MATCH(1780,'Transfer Engine'!$C$2:$C$1960,0)),"",INDEX('Compliance Database'!$M$2:$M$1960,MATCH(1780,'Transfer Engine'!$C$2:$C$1960,0)))</f>
        <v/>
      </c>
      <c r="N1789" s="9">
        <f>IF(ISNA(MATCH(1780,'Transfer Engine'!$C$2:$C$1960,0)),"",INDEX('Compliance Database'!$N$2:$N$1960,MATCH(1780,'Transfer Engine'!$C$2:$C$1960,0)))</f>
        <v/>
      </c>
      <c r="O1789" s="9">
        <f>IF(ISNA(MATCH(1780,'Transfer Engine'!$C$2:$C$1960,0)),"",INDEX('Compliance Database'!$O$2:$O$1960,MATCH(1780,'Transfer Engine'!$C$2:$C$1960,0)))</f>
        <v/>
      </c>
      <c r="P1789" s="8">
        <f>IF(ISNA(MATCH(1780,'Transfer Engine'!$C$2:$C$1960,0)),"",HYPERLINK("#Acts!A"&amp;INDEX('Compliance Database'!$P$2:$P$1960,MATCH(1780,'Transfer Engine'!$C$2:$C$1960,0)),"Go to Act"))</f>
        <v/>
      </c>
    </row>
    <row r="1790" ht="158" customHeight="1">
      <c r="A1790" s="8">
        <f>IF(ISNA(MATCH(1781,'Transfer Engine'!$C$2:$C$1960,0)),"",INDEX('Compliance Database'!$A$2:$A$1960,MATCH(1781,'Transfer Engine'!$C$2:$C$1960,0)))</f>
        <v/>
      </c>
      <c r="B1790" s="8">
        <f>IF(ISNA(MATCH(1781,'Transfer Engine'!$C$2:$C$1960,0)),"",INDEX('Compliance Database'!$B$2:$B$1960,MATCH(1781,'Transfer Engine'!$C$2:$C$1960,0)))</f>
        <v/>
      </c>
      <c r="C1790" s="8">
        <f>IF(ISNA(MATCH(1781,'Transfer Engine'!$C$2:$C$1960,0)),"",INDEX('Compliance Database'!$C$2:$C$1960,MATCH(1781,'Transfer Engine'!$C$2:$C$1960,0)))</f>
        <v/>
      </c>
      <c r="D1790" s="9">
        <f>IF(ISNA(MATCH(1781,'Transfer Engine'!$C$2:$C$1960,0)),"",INDEX('Compliance Database'!$D$2:$D$1960,MATCH(1781,'Transfer Engine'!$C$2:$C$1960,0)))</f>
        <v/>
      </c>
      <c r="E1790" s="8">
        <f>IF(ISNA(MATCH(1781,'Transfer Engine'!$C$2:$C$1960,0)),"",INDEX('Compliance Database'!$E$2:$E$1960,MATCH(1781,'Transfer Engine'!$C$2:$C$1960,0)))</f>
        <v/>
      </c>
      <c r="F1790" s="8">
        <f>IF(ISNA(MATCH(1781,'Transfer Engine'!$C$2:$C$1960,0)),"",INDEX('Compliance Database'!$F$2:$F$1960,MATCH(1781,'Transfer Engine'!$C$2:$C$1960,0)))</f>
        <v/>
      </c>
      <c r="G1790" s="8">
        <f>IF(ISNA(MATCH(1781,'Transfer Engine'!$C$2:$C$1960,0)),"",INDEX('Compliance Database'!$G$2:$G$1960,MATCH(1781,'Transfer Engine'!$C$2:$C$1960,0)))</f>
        <v/>
      </c>
      <c r="H1790" s="9">
        <f>IF(ISNA(MATCH(1781,'Transfer Engine'!$C$2:$C$1960,0)),"",INDEX('Compliance Database'!$H$2:$H$1960,MATCH(1781,'Transfer Engine'!$C$2:$C$1960,0)))</f>
        <v/>
      </c>
      <c r="I1790" s="9">
        <f>IF(ISNA(MATCH(1781,'Transfer Engine'!$C$2:$C$1960,0)),"",INDEX('Compliance Database'!$I$2:$I$1960,MATCH(1781,'Transfer Engine'!$C$2:$C$1960,0)))</f>
        <v/>
      </c>
      <c r="J1790" s="8">
        <f>IF(ISNA(MATCH(1781,'Transfer Engine'!$C$2:$C$1960,0)),"",INDEX('Compliance Database'!$J$2:$J$1960,MATCH(1781,'Transfer Engine'!$C$2:$C$1960,0)))</f>
        <v/>
      </c>
      <c r="K1790" s="9">
        <f>IF(ISNA(MATCH(1781,'Transfer Engine'!$C$2:$C$1960,0)),"",INDEX('Compliance Database'!$K$2:$K$1960,MATCH(1781,'Transfer Engine'!$C$2:$C$1960,0)))</f>
        <v/>
      </c>
      <c r="L1790" s="9">
        <f>IF(ISNA(MATCH(1781,'Transfer Engine'!$C$2:$C$1960,0)),"",INDEX('Compliance Database'!$L$2:$L$1960,MATCH(1781,'Transfer Engine'!$C$2:$C$1960,0)))</f>
        <v/>
      </c>
      <c r="M1790" s="9">
        <f>IF(ISNA(MATCH(1781,'Transfer Engine'!$C$2:$C$1960,0)),"",INDEX('Compliance Database'!$M$2:$M$1960,MATCH(1781,'Transfer Engine'!$C$2:$C$1960,0)))</f>
        <v/>
      </c>
      <c r="N1790" s="9">
        <f>IF(ISNA(MATCH(1781,'Transfer Engine'!$C$2:$C$1960,0)),"",INDEX('Compliance Database'!$N$2:$N$1960,MATCH(1781,'Transfer Engine'!$C$2:$C$1960,0)))</f>
        <v/>
      </c>
      <c r="O1790" s="9">
        <f>IF(ISNA(MATCH(1781,'Transfer Engine'!$C$2:$C$1960,0)),"",INDEX('Compliance Database'!$O$2:$O$1960,MATCH(1781,'Transfer Engine'!$C$2:$C$1960,0)))</f>
        <v/>
      </c>
      <c r="P1790" s="8">
        <f>IF(ISNA(MATCH(1781,'Transfer Engine'!$C$2:$C$1960,0)),"",HYPERLINK("#Acts!A"&amp;INDEX('Compliance Database'!$P$2:$P$1960,MATCH(1781,'Transfer Engine'!$C$2:$C$1960,0)),"Go to Act"))</f>
        <v/>
      </c>
    </row>
    <row r="1791" ht="158" customHeight="1">
      <c r="A1791" s="8">
        <f>IF(ISNA(MATCH(1782,'Transfer Engine'!$C$2:$C$1960,0)),"",INDEX('Compliance Database'!$A$2:$A$1960,MATCH(1782,'Transfer Engine'!$C$2:$C$1960,0)))</f>
        <v/>
      </c>
      <c r="B1791" s="8">
        <f>IF(ISNA(MATCH(1782,'Transfer Engine'!$C$2:$C$1960,0)),"",INDEX('Compliance Database'!$B$2:$B$1960,MATCH(1782,'Transfer Engine'!$C$2:$C$1960,0)))</f>
        <v/>
      </c>
      <c r="C1791" s="8">
        <f>IF(ISNA(MATCH(1782,'Transfer Engine'!$C$2:$C$1960,0)),"",INDEX('Compliance Database'!$C$2:$C$1960,MATCH(1782,'Transfer Engine'!$C$2:$C$1960,0)))</f>
        <v/>
      </c>
      <c r="D1791" s="9">
        <f>IF(ISNA(MATCH(1782,'Transfer Engine'!$C$2:$C$1960,0)),"",INDEX('Compliance Database'!$D$2:$D$1960,MATCH(1782,'Transfer Engine'!$C$2:$C$1960,0)))</f>
        <v/>
      </c>
      <c r="E1791" s="8">
        <f>IF(ISNA(MATCH(1782,'Transfer Engine'!$C$2:$C$1960,0)),"",INDEX('Compliance Database'!$E$2:$E$1960,MATCH(1782,'Transfer Engine'!$C$2:$C$1960,0)))</f>
        <v/>
      </c>
      <c r="F1791" s="8">
        <f>IF(ISNA(MATCH(1782,'Transfer Engine'!$C$2:$C$1960,0)),"",INDEX('Compliance Database'!$F$2:$F$1960,MATCH(1782,'Transfer Engine'!$C$2:$C$1960,0)))</f>
        <v/>
      </c>
      <c r="G1791" s="8">
        <f>IF(ISNA(MATCH(1782,'Transfer Engine'!$C$2:$C$1960,0)),"",INDEX('Compliance Database'!$G$2:$G$1960,MATCH(1782,'Transfer Engine'!$C$2:$C$1960,0)))</f>
        <v/>
      </c>
      <c r="H1791" s="9">
        <f>IF(ISNA(MATCH(1782,'Transfer Engine'!$C$2:$C$1960,0)),"",INDEX('Compliance Database'!$H$2:$H$1960,MATCH(1782,'Transfer Engine'!$C$2:$C$1960,0)))</f>
        <v/>
      </c>
      <c r="I1791" s="9">
        <f>IF(ISNA(MATCH(1782,'Transfer Engine'!$C$2:$C$1960,0)),"",INDEX('Compliance Database'!$I$2:$I$1960,MATCH(1782,'Transfer Engine'!$C$2:$C$1960,0)))</f>
        <v/>
      </c>
      <c r="J1791" s="8">
        <f>IF(ISNA(MATCH(1782,'Transfer Engine'!$C$2:$C$1960,0)),"",INDEX('Compliance Database'!$J$2:$J$1960,MATCH(1782,'Transfer Engine'!$C$2:$C$1960,0)))</f>
        <v/>
      </c>
      <c r="K1791" s="9">
        <f>IF(ISNA(MATCH(1782,'Transfer Engine'!$C$2:$C$1960,0)),"",INDEX('Compliance Database'!$K$2:$K$1960,MATCH(1782,'Transfer Engine'!$C$2:$C$1960,0)))</f>
        <v/>
      </c>
      <c r="L1791" s="9">
        <f>IF(ISNA(MATCH(1782,'Transfer Engine'!$C$2:$C$1960,0)),"",INDEX('Compliance Database'!$L$2:$L$1960,MATCH(1782,'Transfer Engine'!$C$2:$C$1960,0)))</f>
        <v/>
      </c>
      <c r="M1791" s="9">
        <f>IF(ISNA(MATCH(1782,'Transfer Engine'!$C$2:$C$1960,0)),"",INDEX('Compliance Database'!$M$2:$M$1960,MATCH(1782,'Transfer Engine'!$C$2:$C$1960,0)))</f>
        <v/>
      </c>
      <c r="N1791" s="9">
        <f>IF(ISNA(MATCH(1782,'Transfer Engine'!$C$2:$C$1960,0)),"",INDEX('Compliance Database'!$N$2:$N$1960,MATCH(1782,'Transfer Engine'!$C$2:$C$1960,0)))</f>
        <v/>
      </c>
      <c r="O1791" s="9">
        <f>IF(ISNA(MATCH(1782,'Transfer Engine'!$C$2:$C$1960,0)),"",INDEX('Compliance Database'!$O$2:$O$1960,MATCH(1782,'Transfer Engine'!$C$2:$C$1960,0)))</f>
        <v/>
      </c>
      <c r="P1791" s="8">
        <f>IF(ISNA(MATCH(1782,'Transfer Engine'!$C$2:$C$1960,0)),"",HYPERLINK("#Acts!A"&amp;INDEX('Compliance Database'!$P$2:$P$1960,MATCH(1782,'Transfer Engine'!$C$2:$C$1960,0)),"Go to Act"))</f>
        <v/>
      </c>
    </row>
    <row r="1792" ht="158" customHeight="1">
      <c r="A1792" s="8">
        <f>IF(ISNA(MATCH(1783,'Transfer Engine'!$C$2:$C$1960,0)),"",INDEX('Compliance Database'!$A$2:$A$1960,MATCH(1783,'Transfer Engine'!$C$2:$C$1960,0)))</f>
        <v/>
      </c>
      <c r="B1792" s="8">
        <f>IF(ISNA(MATCH(1783,'Transfer Engine'!$C$2:$C$1960,0)),"",INDEX('Compliance Database'!$B$2:$B$1960,MATCH(1783,'Transfer Engine'!$C$2:$C$1960,0)))</f>
        <v/>
      </c>
      <c r="C1792" s="8">
        <f>IF(ISNA(MATCH(1783,'Transfer Engine'!$C$2:$C$1960,0)),"",INDEX('Compliance Database'!$C$2:$C$1960,MATCH(1783,'Transfer Engine'!$C$2:$C$1960,0)))</f>
        <v/>
      </c>
      <c r="D1792" s="9">
        <f>IF(ISNA(MATCH(1783,'Transfer Engine'!$C$2:$C$1960,0)),"",INDEX('Compliance Database'!$D$2:$D$1960,MATCH(1783,'Transfer Engine'!$C$2:$C$1960,0)))</f>
        <v/>
      </c>
      <c r="E1792" s="8">
        <f>IF(ISNA(MATCH(1783,'Transfer Engine'!$C$2:$C$1960,0)),"",INDEX('Compliance Database'!$E$2:$E$1960,MATCH(1783,'Transfer Engine'!$C$2:$C$1960,0)))</f>
        <v/>
      </c>
      <c r="F1792" s="8">
        <f>IF(ISNA(MATCH(1783,'Transfer Engine'!$C$2:$C$1960,0)),"",INDEX('Compliance Database'!$F$2:$F$1960,MATCH(1783,'Transfer Engine'!$C$2:$C$1960,0)))</f>
        <v/>
      </c>
      <c r="G1792" s="8">
        <f>IF(ISNA(MATCH(1783,'Transfer Engine'!$C$2:$C$1960,0)),"",INDEX('Compliance Database'!$G$2:$G$1960,MATCH(1783,'Transfer Engine'!$C$2:$C$1960,0)))</f>
        <v/>
      </c>
      <c r="H1792" s="9">
        <f>IF(ISNA(MATCH(1783,'Transfer Engine'!$C$2:$C$1960,0)),"",INDEX('Compliance Database'!$H$2:$H$1960,MATCH(1783,'Transfer Engine'!$C$2:$C$1960,0)))</f>
        <v/>
      </c>
      <c r="I1792" s="9">
        <f>IF(ISNA(MATCH(1783,'Transfer Engine'!$C$2:$C$1960,0)),"",INDEX('Compliance Database'!$I$2:$I$1960,MATCH(1783,'Transfer Engine'!$C$2:$C$1960,0)))</f>
        <v/>
      </c>
      <c r="J1792" s="8">
        <f>IF(ISNA(MATCH(1783,'Transfer Engine'!$C$2:$C$1960,0)),"",INDEX('Compliance Database'!$J$2:$J$1960,MATCH(1783,'Transfer Engine'!$C$2:$C$1960,0)))</f>
        <v/>
      </c>
      <c r="K1792" s="9">
        <f>IF(ISNA(MATCH(1783,'Transfer Engine'!$C$2:$C$1960,0)),"",INDEX('Compliance Database'!$K$2:$K$1960,MATCH(1783,'Transfer Engine'!$C$2:$C$1960,0)))</f>
        <v/>
      </c>
      <c r="L1792" s="9">
        <f>IF(ISNA(MATCH(1783,'Transfer Engine'!$C$2:$C$1960,0)),"",INDEX('Compliance Database'!$L$2:$L$1960,MATCH(1783,'Transfer Engine'!$C$2:$C$1960,0)))</f>
        <v/>
      </c>
      <c r="M1792" s="9">
        <f>IF(ISNA(MATCH(1783,'Transfer Engine'!$C$2:$C$1960,0)),"",INDEX('Compliance Database'!$M$2:$M$1960,MATCH(1783,'Transfer Engine'!$C$2:$C$1960,0)))</f>
        <v/>
      </c>
      <c r="N1792" s="9">
        <f>IF(ISNA(MATCH(1783,'Transfer Engine'!$C$2:$C$1960,0)),"",INDEX('Compliance Database'!$N$2:$N$1960,MATCH(1783,'Transfer Engine'!$C$2:$C$1960,0)))</f>
        <v/>
      </c>
      <c r="O1792" s="9">
        <f>IF(ISNA(MATCH(1783,'Transfer Engine'!$C$2:$C$1960,0)),"",INDEX('Compliance Database'!$O$2:$O$1960,MATCH(1783,'Transfer Engine'!$C$2:$C$1960,0)))</f>
        <v/>
      </c>
      <c r="P1792" s="8">
        <f>IF(ISNA(MATCH(1783,'Transfer Engine'!$C$2:$C$1960,0)),"",HYPERLINK("#Acts!A"&amp;INDEX('Compliance Database'!$P$2:$P$1960,MATCH(1783,'Transfer Engine'!$C$2:$C$1960,0)),"Go to Act"))</f>
        <v/>
      </c>
    </row>
    <row r="1793" ht="158" customHeight="1">
      <c r="A1793" s="8">
        <f>IF(ISNA(MATCH(1784,'Transfer Engine'!$C$2:$C$1960,0)),"",INDEX('Compliance Database'!$A$2:$A$1960,MATCH(1784,'Transfer Engine'!$C$2:$C$1960,0)))</f>
        <v/>
      </c>
      <c r="B1793" s="8">
        <f>IF(ISNA(MATCH(1784,'Transfer Engine'!$C$2:$C$1960,0)),"",INDEX('Compliance Database'!$B$2:$B$1960,MATCH(1784,'Transfer Engine'!$C$2:$C$1960,0)))</f>
        <v/>
      </c>
      <c r="C1793" s="8">
        <f>IF(ISNA(MATCH(1784,'Transfer Engine'!$C$2:$C$1960,0)),"",INDEX('Compliance Database'!$C$2:$C$1960,MATCH(1784,'Transfer Engine'!$C$2:$C$1960,0)))</f>
        <v/>
      </c>
      <c r="D1793" s="9">
        <f>IF(ISNA(MATCH(1784,'Transfer Engine'!$C$2:$C$1960,0)),"",INDEX('Compliance Database'!$D$2:$D$1960,MATCH(1784,'Transfer Engine'!$C$2:$C$1960,0)))</f>
        <v/>
      </c>
      <c r="E1793" s="8">
        <f>IF(ISNA(MATCH(1784,'Transfer Engine'!$C$2:$C$1960,0)),"",INDEX('Compliance Database'!$E$2:$E$1960,MATCH(1784,'Transfer Engine'!$C$2:$C$1960,0)))</f>
        <v/>
      </c>
      <c r="F1793" s="8">
        <f>IF(ISNA(MATCH(1784,'Transfer Engine'!$C$2:$C$1960,0)),"",INDEX('Compliance Database'!$F$2:$F$1960,MATCH(1784,'Transfer Engine'!$C$2:$C$1960,0)))</f>
        <v/>
      </c>
      <c r="G1793" s="8">
        <f>IF(ISNA(MATCH(1784,'Transfer Engine'!$C$2:$C$1960,0)),"",INDEX('Compliance Database'!$G$2:$G$1960,MATCH(1784,'Transfer Engine'!$C$2:$C$1960,0)))</f>
        <v/>
      </c>
      <c r="H1793" s="9">
        <f>IF(ISNA(MATCH(1784,'Transfer Engine'!$C$2:$C$1960,0)),"",INDEX('Compliance Database'!$H$2:$H$1960,MATCH(1784,'Transfer Engine'!$C$2:$C$1960,0)))</f>
        <v/>
      </c>
      <c r="I1793" s="9">
        <f>IF(ISNA(MATCH(1784,'Transfer Engine'!$C$2:$C$1960,0)),"",INDEX('Compliance Database'!$I$2:$I$1960,MATCH(1784,'Transfer Engine'!$C$2:$C$1960,0)))</f>
        <v/>
      </c>
      <c r="J1793" s="8">
        <f>IF(ISNA(MATCH(1784,'Transfer Engine'!$C$2:$C$1960,0)),"",INDEX('Compliance Database'!$J$2:$J$1960,MATCH(1784,'Transfer Engine'!$C$2:$C$1960,0)))</f>
        <v/>
      </c>
      <c r="K1793" s="9">
        <f>IF(ISNA(MATCH(1784,'Transfer Engine'!$C$2:$C$1960,0)),"",INDEX('Compliance Database'!$K$2:$K$1960,MATCH(1784,'Transfer Engine'!$C$2:$C$1960,0)))</f>
        <v/>
      </c>
      <c r="L1793" s="9">
        <f>IF(ISNA(MATCH(1784,'Transfer Engine'!$C$2:$C$1960,0)),"",INDEX('Compliance Database'!$L$2:$L$1960,MATCH(1784,'Transfer Engine'!$C$2:$C$1960,0)))</f>
        <v/>
      </c>
      <c r="M1793" s="9">
        <f>IF(ISNA(MATCH(1784,'Transfer Engine'!$C$2:$C$1960,0)),"",INDEX('Compliance Database'!$M$2:$M$1960,MATCH(1784,'Transfer Engine'!$C$2:$C$1960,0)))</f>
        <v/>
      </c>
      <c r="N1793" s="9">
        <f>IF(ISNA(MATCH(1784,'Transfer Engine'!$C$2:$C$1960,0)),"",INDEX('Compliance Database'!$N$2:$N$1960,MATCH(1784,'Transfer Engine'!$C$2:$C$1960,0)))</f>
        <v/>
      </c>
      <c r="O1793" s="9">
        <f>IF(ISNA(MATCH(1784,'Transfer Engine'!$C$2:$C$1960,0)),"",INDEX('Compliance Database'!$O$2:$O$1960,MATCH(1784,'Transfer Engine'!$C$2:$C$1960,0)))</f>
        <v/>
      </c>
      <c r="P1793" s="8">
        <f>IF(ISNA(MATCH(1784,'Transfer Engine'!$C$2:$C$1960,0)),"",HYPERLINK("#Acts!A"&amp;INDEX('Compliance Database'!$P$2:$P$1960,MATCH(1784,'Transfer Engine'!$C$2:$C$1960,0)),"Go to Act"))</f>
        <v/>
      </c>
    </row>
    <row r="1794" ht="158" customHeight="1">
      <c r="A1794" s="8">
        <f>IF(ISNA(MATCH(1785,'Transfer Engine'!$C$2:$C$1960,0)),"",INDEX('Compliance Database'!$A$2:$A$1960,MATCH(1785,'Transfer Engine'!$C$2:$C$1960,0)))</f>
        <v/>
      </c>
      <c r="B1794" s="8">
        <f>IF(ISNA(MATCH(1785,'Transfer Engine'!$C$2:$C$1960,0)),"",INDEX('Compliance Database'!$B$2:$B$1960,MATCH(1785,'Transfer Engine'!$C$2:$C$1960,0)))</f>
        <v/>
      </c>
      <c r="C1794" s="8">
        <f>IF(ISNA(MATCH(1785,'Transfer Engine'!$C$2:$C$1960,0)),"",INDEX('Compliance Database'!$C$2:$C$1960,MATCH(1785,'Transfer Engine'!$C$2:$C$1960,0)))</f>
        <v/>
      </c>
      <c r="D1794" s="9">
        <f>IF(ISNA(MATCH(1785,'Transfer Engine'!$C$2:$C$1960,0)),"",INDEX('Compliance Database'!$D$2:$D$1960,MATCH(1785,'Transfer Engine'!$C$2:$C$1960,0)))</f>
        <v/>
      </c>
      <c r="E1794" s="8">
        <f>IF(ISNA(MATCH(1785,'Transfer Engine'!$C$2:$C$1960,0)),"",INDEX('Compliance Database'!$E$2:$E$1960,MATCH(1785,'Transfer Engine'!$C$2:$C$1960,0)))</f>
        <v/>
      </c>
      <c r="F1794" s="8">
        <f>IF(ISNA(MATCH(1785,'Transfer Engine'!$C$2:$C$1960,0)),"",INDEX('Compliance Database'!$F$2:$F$1960,MATCH(1785,'Transfer Engine'!$C$2:$C$1960,0)))</f>
        <v/>
      </c>
      <c r="G1794" s="8">
        <f>IF(ISNA(MATCH(1785,'Transfer Engine'!$C$2:$C$1960,0)),"",INDEX('Compliance Database'!$G$2:$G$1960,MATCH(1785,'Transfer Engine'!$C$2:$C$1960,0)))</f>
        <v/>
      </c>
      <c r="H1794" s="9">
        <f>IF(ISNA(MATCH(1785,'Transfer Engine'!$C$2:$C$1960,0)),"",INDEX('Compliance Database'!$H$2:$H$1960,MATCH(1785,'Transfer Engine'!$C$2:$C$1960,0)))</f>
        <v/>
      </c>
      <c r="I1794" s="9">
        <f>IF(ISNA(MATCH(1785,'Transfer Engine'!$C$2:$C$1960,0)),"",INDEX('Compliance Database'!$I$2:$I$1960,MATCH(1785,'Transfer Engine'!$C$2:$C$1960,0)))</f>
        <v/>
      </c>
      <c r="J1794" s="8">
        <f>IF(ISNA(MATCH(1785,'Transfer Engine'!$C$2:$C$1960,0)),"",INDEX('Compliance Database'!$J$2:$J$1960,MATCH(1785,'Transfer Engine'!$C$2:$C$1960,0)))</f>
        <v/>
      </c>
      <c r="K1794" s="9">
        <f>IF(ISNA(MATCH(1785,'Transfer Engine'!$C$2:$C$1960,0)),"",INDEX('Compliance Database'!$K$2:$K$1960,MATCH(1785,'Transfer Engine'!$C$2:$C$1960,0)))</f>
        <v/>
      </c>
      <c r="L1794" s="9">
        <f>IF(ISNA(MATCH(1785,'Transfer Engine'!$C$2:$C$1960,0)),"",INDEX('Compliance Database'!$L$2:$L$1960,MATCH(1785,'Transfer Engine'!$C$2:$C$1960,0)))</f>
        <v/>
      </c>
      <c r="M1794" s="9">
        <f>IF(ISNA(MATCH(1785,'Transfer Engine'!$C$2:$C$1960,0)),"",INDEX('Compliance Database'!$M$2:$M$1960,MATCH(1785,'Transfer Engine'!$C$2:$C$1960,0)))</f>
        <v/>
      </c>
      <c r="N1794" s="9">
        <f>IF(ISNA(MATCH(1785,'Transfer Engine'!$C$2:$C$1960,0)),"",INDEX('Compliance Database'!$N$2:$N$1960,MATCH(1785,'Transfer Engine'!$C$2:$C$1960,0)))</f>
        <v/>
      </c>
      <c r="O1794" s="9">
        <f>IF(ISNA(MATCH(1785,'Transfer Engine'!$C$2:$C$1960,0)),"",INDEX('Compliance Database'!$O$2:$O$1960,MATCH(1785,'Transfer Engine'!$C$2:$C$1960,0)))</f>
        <v/>
      </c>
      <c r="P1794" s="8">
        <f>IF(ISNA(MATCH(1785,'Transfer Engine'!$C$2:$C$1960,0)),"",HYPERLINK("#Acts!A"&amp;INDEX('Compliance Database'!$P$2:$P$1960,MATCH(1785,'Transfer Engine'!$C$2:$C$1960,0)),"Go to Act"))</f>
        <v/>
      </c>
    </row>
    <row r="1795" ht="158" customHeight="1">
      <c r="A1795" s="8">
        <f>IF(ISNA(MATCH(1786,'Transfer Engine'!$C$2:$C$1960,0)),"",INDEX('Compliance Database'!$A$2:$A$1960,MATCH(1786,'Transfer Engine'!$C$2:$C$1960,0)))</f>
        <v/>
      </c>
      <c r="B1795" s="8">
        <f>IF(ISNA(MATCH(1786,'Transfer Engine'!$C$2:$C$1960,0)),"",INDEX('Compliance Database'!$B$2:$B$1960,MATCH(1786,'Transfer Engine'!$C$2:$C$1960,0)))</f>
        <v/>
      </c>
      <c r="C1795" s="8">
        <f>IF(ISNA(MATCH(1786,'Transfer Engine'!$C$2:$C$1960,0)),"",INDEX('Compliance Database'!$C$2:$C$1960,MATCH(1786,'Transfer Engine'!$C$2:$C$1960,0)))</f>
        <v/>
      </c>
      <c r="D1795" s="9">
        <f>IF(ISNA(MATCH(1786,'Transfer Engine'!$C$2:$C$1960,0)),"",INDEX('Compliance Database'!$D$2:$D$1960,MATCH(1786,'Transfer Engine'!$C$2:$C$1960,0)))</f>
        <v/>
      </c>
      <c r="E1795" s="8">
        <f>IF(ISNA(MATCH(1786,'Transfer Engine'!$C$2:$C$1960,0)),"",INDEX('Compliance Database'!$E$2:$E$1960,MATCH(1786,'Transfer Engine'!$C$2:$C$1960,0)))</f>
        <v/>
      </c>
      <c r="F1795" s="8">
        <f>IF(ISNA(MATCH(1786,'Transfer Engine'!$C$2:$C$1960,0)),"",INDEX('Compliance Database'!$F$2:$F$1960,MATCH(1786,'Transfer Engine'!$C$2:$C$1960,0)))</f>
        <v/>
      </c>
      <c r="G1795" s="8">
        <f>IF(ISNA(MATCH(1786,'Transfer Engine'!$C$2:$C$1960,0)),"",INDEX('Compliance Database'!$G$2:$G$1960,MATCH(1786,'Transfer Engine'!$C$2:$C$1960,0)))</f>
        <v/>
      </c>
      <c r="H1795" s="9">
        <f>IF(ISNA(MATCH(1786,'Transfer Engine'!$C$2:$C$1960,0)),"",INDEX('Compliance Database'!$H$2:$H$1960,MATCH(1786,'Transfer Engine'!$C$2:$C$1960,0)))</f>
        <v/>
      </c>
      <c r="I1795" s="9">
        <f>IF(ISNA(MATCH(1786,'Transfer Engine'!$C$2:$C$1960,0)),"",INDEX('Compliance Database'!$I$2:$I$1960,MATCH(1786,'Transfer Engine'!$C$2:$C$1960,0)))</f>
        <v/>
      </c>
      <c r="J1795" s="8">
        <f>IF(ISNA(MATCH(1786,'Transfer Engine'!$C$2:$C$1960,0)),"",INDEX('Compliance Database'!$J$2:$J$1960,MATCH(1786,'Transfer Engine'!$C$2:$C$1960,0)))</f>
        <v/>
      </c>
      <c r="K1795" s="9">
        <f>IF(ISNA(MATCH(1786,'Transfer Engine'!$C$2:$C$1960,0)),"",INDEX('Compliance Database'!$K$2:$K$1960,MATCH(1786,'Transfer Engine'!$C$2:$C$1960,0)))</f>
        <v/>
      </c>
      <c r="L1795" s="9">
        <f>IF(ISNA(MATCH(1786,'Transfer Engine'!$C$2:$C$1960,0)),"",INDEX('Compliance Database'!$L$2:$L$1960,MATCH(1786,'Transfer Engine'!$C$2:$C$1960,0)))</f>
        <v/>
      </c>
      <c r="M1795" s="9">
        <f>IF(ISNA(MATCH(1786,'Transfer Engine'!$C$2:$C$1960,0)),"",INDEX('Compliance Database'!$M$2:$M$1960,MATCH(1786,'Transfer Engine'!$C$2:$C$1960,0)))</f>
        <v/>
      </c>
      <c r="N1795" s="9">
        <f>IF(ISNA(MATCH(1786,'Transfer Engine'!$C$2:$C$1960,0)),"",INDEX('Compliance Database'!$N$2:$N$1960,MATCH(1786,'Transfer Engine'!$C$2:$C$1960,0)))</f>
        <v/>
      </c>
      <c r="O1795" s="9">
        <f>IF(ISNA(MATCH(1786,'Transfer Engine'!$C$2:$C$1960,0)),"",INDEX('Compliance Database'!$O$2:$O$1960,MATCH(1786,'Transfer Engine'!$C$2:$C$1960,0)))</f>
        <v/>
      </c>
      <c r="P1795" s="8">
        <f>IF(ISNA(MATCH(1786,'Transfer Engine'!$C$2:$C$1960,0)),"",HYPERLINK("#Acts!A"&amp;INDEX('Compliance Database'!$P$2:$P$1960,MATCH(1786,'Transfer Engine'!$C$2:$C$1960,0)),"Go to Act"))</f>
        <v/>
      </c>
    </row>
    <row r="1796" ht="158" customHeight="1">
      <c r="A1796" s="8">
        <f>IF(ISNA(MATCH(1787,'Transfer Engine'!$C$2:$C$1960,0)),"",INDEX('Compliance Database'!$A$2:$A$1960,MATCH(1787,'Transfer Engine'!$C$2:$C$1960,0)))</f>
        <v/>
      </c>
      <c r="B1796" s="8">
        <f>IF(ISNA(MATCH(1787,'Transfer Engine'!$C$2:$C$1960,0)),"",INDEX('Compliance Database'!$B$2:$B$1960,MATCH(1787,'Transfer Engine'!$C$2:$C$1960,0)))</f>
        <v/>
      </c>
      <c r="C1796" s="8">
        <f>IF(ISNA(MATCH(1787,'Transfer Engine'!$C$2:$C$1960,0)),"",INDEX('Compliance Database'!$C$2:$C$1960,MATCH(1787,'Transfer Engine'!$C$2:$C$1960,0)))</f>
        <v/>
      </c>
      <c r="D1796" s="9">
        <f>IF(ISNA(MATCH(1787,'Transfer Engine'!$C$2:$C$1960,0)),"",INDEX('Compliance Database'!$D$2:$D$1960,MATCH(1787,'Transfer Engine'!$C$2:$C$1960,0)))</f>
        <v/>
      </c>
      <c r="E1796" s="8">
        <f>IF(ISNA(MATCH(1787,'Transfer Engine'!$C$2:$C$1960,0)),"",INDEX('Compliance Database'!$E$2:$E$1960,MATCH(1787,'Transfer Engine'!$C$2:$C$1960,0)))</f>
        <v/>
      </c>
      <c r="F1796" s="8">
        <f>IF(ISNA(MATCH(1787,'Transfer Engine'!$C$2:$C$1960,0)),"",INDEX('Compliance Database'!$F$2:$F$1960,MATCH(1787,'Transfer Engine'!$C$2:$C$1960,0)))</f>
        <v/>
      </c>
      <c r="G1796" s="8">
        <f>IF(ISNA(MATCH(1787,'Transfer Engine'!$C$2:$C$1960,0)),"",INDEX('Compliance Database'!$G$2:$G$1960,MATCH(1787,'Transfer Engine'!$C$2:$C$1960,0)))</f>
        <v/>
      </c>
      <c r="H1796" s="9">
        <f>IF(ISNA(MATCH(1787,'Transfer Engine'!$C$2:$C$1960,0)),"",INDEX('Compliance Database'!$H$2:$H$1960,MATCH(1787,'Transfer Engine'!$C$2:$C$1960,0)))</f>
        <v/>
      </c>
      <c r="I1796" s="9">
        <f>IF(ISNA(MATCH(1787,'Transfer Engine'!$C$2:$C$1960,0)),"",INDEX('Compliance Database'!$I$2:$I$1960,MATCH(1787,'Transfer Engine'!$C$2:$C$1960,0)))</f>
        <v/>
      </c>
      <c r="J1796" s="8">
        <f>IF(ISNA(MATCH(1787,'Transfer Engine'!$C$2:$C$1960,0)),"",INDEX('Compliance Database'!$J$2:$J$1960,MATCH(1787,'Transfer Engine'!$C$2:$C$1960,0)))</f>
        <v/>
      </c>
      <c r="K1796" s="9">
        <f>IF(ISNA(MATCH(1787,'Transfer Engine'!$C$2:$C$1960,0)),"",INDEX('Compliance Database'!$K$2:$K$1960,MATCH(1787,'Transfer Engine'!$C$2:$C$1960,0)))</f>
        <v/>
      </c>
      <c r="L1796" s="9">
        <f>IF(ISNA(MATCH(1787,'Transfer Engine'!$C$2:$C$1960,0)),"",INDEX('Compliance Database'!$L$2:$L$1960,MATCH(1787,'Transfer Engine'!$C$2:$C$1960,0)))</f>
        <v/>
      </c>
      <c r="M1796" s="9">
        <f>IF(ISNA(MATCH(1787,'Transfer Engine'!$C$2:$C$1960,0)),"",INDEX('Compliance Database'!$M$2:$M$1960,MATCH(1787,'Transfer Engine'!$C$2:$C$1960,0)))</f>
        <v/>
      </c>
      <c r="N1796" s="9">
        <f>IF(ISNA(MATCH(1787,'Transfer Engine'!$C$2:$C$1960,0)),"",INDEX('Compliance Database'!$N$2:$N$1960,MATCH(1787,'Transfer Engine'!$C$2:$C$1960,0)))</f>
        <v/>
      </c>
      <c r="O1796" s="9">
        <f>IF(ISNA(MATCH(1787,'Transfer Engine'!$C$2:$C$1960,0)),"",INDEX('Compliance Database'!$O$2:$O$1960,MATCH(1787,'Transfer Engine'!$C$2:$C$1960,0)))</f>
        <v/>
      </c>
      <c r="P1796" s="8">
        <f>IF(ISNA(MATCH(1787,'Transfer Engine'!$C$2:$C$1960,0)),"",HYPERLINK("#Acts!A"&amp;INDEX('Compliance Database'!$P$2:$P$1960,MATCH(1787,'Transfer Engine'!$C$2:$C$1960,0)),"Go to Act"))</f>
        <v/>
      </c>
    </row>
    <row r="1797" ht="158" customHeight="1">
      <c r="A1797" s="8">
        <f>IF(ISNA(MATCH(1788,'Transfer Engine'!$C$2:$C$1960,0)),"",INDEX('Compliance Database'!$A$2:$A$1960,MATCH(1788,'Transfer Engine'!$C$2:$C$1960,0)))</f>
        <v/>
      </c>
      <c r="B1797" s="8">
        <f>IF(ISNA(MATCH(1788,'Transfer Engine'!$C$2:$C$1960,0)),"",INDEX('Compliance Database'!$B$2:$B$1960,MATCH(1788,'Transfer Engine'!$C$2:$C$1960,0)))</f>
        <v/>
      </c>
      <c r="C1797" s="8">
        <f>IF(ISNA(MATCH(1788,'Transfer Engine'!$C$2:$C$1960,0)),"",INDEX('Compliance Database'!$C$2:$C$1960,MATCH(1788,'Transfer Engine'!$C$2:$C$1960,0)))</f>
        <v/>
      </c>
      <c r="D1797" s="9">
        <f>IF(ISNA(MATCH(1788,'Transfer Engine'!$C$2:$C$1960,0)),"",INDEX('Compliance Database'!$D$2:$D$1960,MATCH(1788,'Transfer Engine'!$C$2:$C$1960,0)))</f>
        <v/>
      </c>
      <c r="E1797" s="8">
        <f>IF(ISNA(MATCH(1788,'Transfer Engine'!$C$2:$C$1960,0)),"",INDEX('Compliance Database'!$E$2:$E$1960,MATCH(1788,'Transfer Engine'!$C$2:$C$1960,0)))</f>
        <v/>
      </c>
      <c r="F1797" s="8">
        <f>IF(ISNA(MATCH(1788,'Transfer Engine'!$C$2:$C$1960,0)),"",INDEX('Compliance Database'!$F$2:$F$1960,MATCH(1788,'Transfer Engine'!$C$2:$C$1960,0)))</f>
        <v/>
      </c>
      <c r="G1797" s="8">
        <f>IF(ISNA(MATCH(1788,'Transfer Engine'!$C$2:$C$1960,0)),"",INDEX('Compliance Database'!$G$2:$G$1960,MATCH(1788,'Transfer Engine'!$C$2:$C$1960,0)))</f>
        <v/>
      </c>
      <c r="H1797" s="9">
        <f>IF(ISNA(MATCH(1788,'Transfer Engine'!$C$2:$C$1960,0)),"",INDEX('Compliance Database'!$H$2:$H$1960,MATCH(1788,'Transfer Engine'!$C$2:$C$1960,0)))</f>
        <v/>
      </c>
      <c r="I1797" s="9">
        <f>IF(ISNA(MATCH(1788,'Transfer Engine'!$C$2:$C$1960,0)),"",INDEX('Compliance Database'!$I$2:$I$1960,MATCH(1788,'Transfer Engine'!$C$2:$C$1960,0)))</f>
        <v/>
      </c>
      <c r="J1797" s="8">
        <f>IF(ISNA(MATCH(1788,'Transfer Engine'!$C$2:$C$1960,0)),"",INDEX('Compliance Database'!$J$2:$J$1960,MATCH(1788,'Transfer Engine'!$C$2:$C$1960,0)))</f>
        <v/>
      </c>
      <c r="K1797" s="9">
        <f>IF(ISNA(MATCH(1788,'Transfer Engine'!$C$2:$C$1960,0)),"",INDEX('Compliance Database'!$K$2:$K$1960,MATCH(1788,'Transfer Engine'!$C$2:$C$1960,0)))</f>
        <v/>
      </c>
      <c r="L1797" s="9">
        <f>IF(ISNA(MATCH(1788,'Transfer Engine'!$C$2:$C$1960,0)),"",INDEX('Compliance Database'!$L$2:$L$1960,MATCH(1788,'Transfer Engine'!$C$2:$C$1960,0)))</f>
        <v/>
      </c>
      <c r="M1797" s="9">
        <f>IF(ISNA(MATCH(1788,'Transfer Engine'!$C$2:$C$1960,0)),"",INDEX('Compliance Database'!$M$2:$M$1960,MATCH(1788,'Transfer Engine'!$C$2:$C$1960,0)))</f>
        <v/>
      </c>
      <c r="N1797" s="9">
        <f>IF(ISNA(MATCH(1788,'Transfer Engine'!$C$2:$C$1960,0)),"",INDEX('Compliance Database'!$N$2:$N$1960,MATCH(1788,'Transfer Engine'!$C$2:$C$1960,0)))</f>
        <v/>
      </c>
      <c r="O1797" s="9">
        <f>IF(ISNA(MATCH(1788,'Transfer Engine'!$C$2:$C$1960,0)),"",INDEX('Compliance Database'!$O$2:$O$1960,MATCH(1788,'Transfer Engine'!$C$2:$C$1960,0)))</f>
        <v/>
      </c>
      <c r="P1797" s="8">
        <f>IF(ISNA(MATCH(1788,'Transfer Engine'!$C$2:$C$1960,0)),"",HYPERLINK("#Acts!A"&amp;INDEX('Compliance Database'!$P$2:$P$1960,MATCH(1788,'Transfer Engine'!$C$2:$C$1960,0)),"Go to Act"))</f>
        <v/>
      </c>
    </row>
    <row r="1798" ht="158" customHeight="1">
      <c r="A1798" s="8">
        <f>IF(ISNA(MATCH(1789,'Transfer Engine'!$C$2:$C$1960,0)),"",INDEX('Compliance Database'!$A$2:$A$1960,MATCH(1789,'Transfer Engine'!$C$2:$C$1960,0)))</f>
        <v/>
      </c>
      <c r="B1798" s="8">
        <f>IF(ISNA(MATCH(1789,'Transfer Engine'!$C$2:$C$1960,0)),"",INDEX('Compliance Database'!$B$2:$B$1960,MATCH(1789,'Transfer Engine'!$C$2:$C$1960,0)))</f>
        <v/>
      </c>
      <c r="C1798" s="8">
        <f>IF(ISNA(MATCH(1789,'Transfer Engine'!$C$2:$C$1960,0)),"",INDEX('Compliance Database'!$C$2:$C$1960,MATCH(1789,'Transfer Engine'!$C$2:$C$1960,0)))</f>
        <v/>
      </c>
      <c r="D1798" s="9">
        <f>IF(ISNA(MATCH(1789,'Transfer Engine'!$C$2:$C$1960,0)),"",INDEX('Compliance Database'!$D$2:$D$1960,MATCH(1789,'Transfer Engine'!$C$2:$C$1960,0)))</f>
        <v/>
      </c>
      <c r="E1798" s="8">
        <f>IF(ISNA(MATCH(1789,'Transfer Engine'!$C$2:$C$1960,0)),"",INDEX('Compliance Database'!$E$2:$E$1960,MATCH(1789,'Transfer Engine'!$C$2:$C$1960,0)))</f>
        <v/>
      </c>
      <c r="F1798" s="8">
        <f>IF(ISNA(MATCH(1789,'Transfer Engine'!$C$2:$C$1960,0)),"",INDEX('Compliance Database'!$F$2:$F$1960,MATCH(1789,'Transfer Engine'!$C$2:$C$1960,0)))</f>
        <v/>
      </c>
      <c r="G1798" s="8">
        <f>IF(ISNA(MATCH(1789,'Transfer Engine'!$C$2:$C$1960,0)),"",INDEX('Compliance Database'!$G$2:$G$1960,MATCH(1789,'Transfer Engine'!$C$2:$C$1960,0)))</f>
        <v/>
      </c>
      <c r="H1798" s="9">
        <f>IF(ISNA(MATCH(1789,'Transfer Engine'!$C$2:$C$1960,0)),"",INDEX('Compliance Database'!$H$2:$H$1960,MATCH(1789,'Transfer Engine'!$C$2:$C$1960,0)))</f>
        <v/>
      </c>
      <c r="I1798" s="9">
        <f>IF(ISNA(MATCH(1789,'Transfer Engine'!$C$2:$C$1960,0)),"",INDEX('Compliance Database'!$I$2:$I$1960,MATCH(1789,'Transfer Engine'!$C$2:$C$1960,0)))</f>
        <v/>
      </c>
      <c r="J1798" s="8">
        <f>IF(ISNA(MATCH(1789,'Transfer Engine'!$C$2:$C$1960,0)),"",INDEX('Compliance Database'!$J$2:$J$1960,MATCH(1789,'Transfer Engine'!$C$2:$C$1960,0)))</f>
        <v/>
      </c>
      <c r="K1798" s="9">
        <f>IF(ISNA(MATCH(1789,'Transfer Engine'!$C$2:$C$1960,0)),"",INDEX('Compliance Database'!$K$2:$K$1960,MATCH(1789,'Transfer Engine'!$C$2:$C$1960,0)))</f>
        <v/>
      </c>
      <c r="L1798" s="9">
        <f>IF(ISNA(MATCH(1789,'Transfer Engine'!$C$2:$C$1960,0)),"",INDEX('Compliance Database'!$L$2:$L$1960,MATCH(1789,'Transfer Engine'!$C$2:$C$1960,0)))</f>
        <v/>
      </c>
      <c r="M1798" s="9">
        <f>IF(ISNA(MATCH(1789,'Transfer Engine'!$C$2:$C$1960,0)),"",INDEX('Compliance Database'!$M$2:$M$1960,MATCH(1789,'Transfer Engine'!$C$2:$C$1960,0)))</f>
        <v/>
      </c>
      <c r="N1798" s="9">
        <f>IF(ISNA(MATCH(1789,'Transfer Engine'!$C$2:$C$1960,0)),"",INDEX('Compliance Database'!$N$2:$N$1960,MATCH(1789,'Transfer Engine'!$C$2:$C$1960,0)))</f>
        <v/>
      </c>
      <c r="O1798" s="9">
        <f>IF(ISNA(MATCH(1789,'Transfer Engine'!$C$2:$C$1960,0)),"",INDEX('Compliance Database'!$O$2:$O$1960,MATCH(1789,'Transfer Engine'!$C$2:$C$1960,0)))</f>
        <v/>
      </c>
      <c r="P1798" s="8">
        <f>IF(ISNA(MATCH(1789,'Transfer Engine'!$C$2:$C$1960,0)),"",HYPERLINK("#Acts!A"&amp;INDEX('Compliance Database'!$P$2:$P$1960,MATCH(1789,'Transfer Engine'!$C$2:$C$1960,0)),"Go to Act"))</f>
        <v/>
      </c>
    </row>
    <row r="1799" ht="158" customHeight="1">
      <c r="A1799" s="8">
        <f>IF(ISNA(MATCH(1790,'Transfer Engine'!$C$2:$C$1960,0)),"",INDEX('Compliance Database'!$A$2:$A$1960,MATCH(1790,'Transfer Engine'!$C$2:$C$1960,0)))</f>
        <v/>
      </c>
      <c r="B1799" s="8">
        <f>IF(ISNA(MATCH(1790,'Transfer Engine'!$C$2:$C$1960,0)),"",INDEX('Compliance Database'!$B$2:$B$1960,MATCH(1790,'Transfer Engine'!$C$2:$C$1960,0)))</f>
        <v/>
      </c>
      <c r="C1799" s="8">
        <f>IF(ISNA(MATCH(1790,'Transfer Engine'!$C$2:$C$1960,0)),"",INDEX('Compliance Database'!$C$2:$C$1960,MATCH(1790,'Transfer Engine'!$C$2:$C$1960,0)))</f>
        <v/>
      </c>
      <c r="D1799" s="9">
        <f>IF(ISNA(MATCH(1790,'Transfer Engine'!$C$2:$C$1960,0)),"",INDEX('Compliance Database'!$D$2:$D$1960,MATCH(1790,'Transfer Engine'!$C$2:$C$1960,0)))</f>
        <v/>
      </c>
      <c r="E1799" s="8">
        <f>IF(ISNA(MATCH(1790,'Transfer Engine'!$C$2:$C$1960,0)),"",INDEX('Compliance Database'!$E$2:$E$1960,MATCH(1790,'Transfer Engine'!$C$2:$C$1960,0)))</f>
        <v/>
      </c>
      <c r="F1799" s="8">
        <f>IF(ISNA(MATCH(1790,'Transfer Engine'!$C$2:$C$1960,0)),"",INDEX('Compliance Database'!$F$2:$F$1960,MATCH(1790,'Transfer Engine'!$C$2:$C$1960,0)))</f>
        <v/>
      </c>
      <c r="G1799" s="8">
        <f>IF(ISNA(MATCH(1790,'Transfer Engine'!$C$2:$C$1960,0)),"",INDEX('Compliance Database'!$G$2:$G$1960,MATCH(1790,'Transfer Engine'!$C$2:$C$1960,0)))</f>
        <v/>
      </c>
      <c r="H1799" s="9">
        <f>IF(ISNA(MATCH(1790,'Transfer Engine'!$C$2:$C$1960,0)),"",INDEX('Compliance Database'!$H$2:$H$1960,MATCH(1790,'Transfer Engine'!$C$2:$C$1960,0)))</f>
        <v/>
      </c>
      <c r="I1799" s="9">
        <f>IF(ISNA(MATCH(1790,'Transfer Engine'!$C$2:$C$1960,0)),"",INDEX('Compliance Database'!$I$2:$I$1960,MATCH(1790,'Transfer Engine'!$C$2:$C$1960,0)))</f>
        <v/>
      </c>
      <c r="J1799" s="8">
        <f>IF(ISNA(MATCH(1790,'Transfer Engine'!$C$2:$C$1960,0)),"",INDEX('Compliance Database'!$J$2:$J$1960,MATCH(1790,'Transfer Engine'!$C$2:$C$1960,0)))</f>
        <v/>
      </c>
      <c r="K1799" s="9">
        <f>IF(ISNA(MATCH(1790,'Transfer Engine'!$C$2:$C$1960,0)),"",INDEX('Compliance Database'!$K$2:$K$1960,MATCH(1790,'Transfer Engine'!$C$2:$C$1960,0)))</f>
        <v/>
      </c>
      <c r="L1799" s="9">
        <f>IF(ISNA(MATCH(1790,'Transfer Engine'!$C$2:$C$1960,0)),"",INDEX('Compliance Database'!$L$2:$L$1960,MATCH(1790,'Transfer Engine'!$C$2:$C$1960,0)))</f>
        <v/>
      </c>
      <c r="M1799" s="9">
        <f>IF(ISNA(MATCH(1790,'Transfer Engine'!$C$2:$C$1960,0)),"",INDEX('Compliance Database'!$M$2:$M$1960,MATCH(1790,'Transfer Engine'!$C$2:$C$1960,0)))</f>
        <v/>
      </c>
      <c r="N1799" s="9">
        <f>IF(ISNA(MATCH(1790,'Transfer Engine'!$C$2:$C$1960,0)),"",INDEX('Compliance Database'!$N$2:$N$1960,MATCH(1790,'Transfer Engine'!$C$2:$C$1960,0)))</f>
        <v/>
      </c>
      <c r="O1799" s="9">
        <f>IF(ISNA(MATCH(1790,'Transfer Engine'!$C$2:$C$1960,0)),"",INDEX('Compliance Database'!$O$2:$O$1960,MATCH(1790,'Transfer Engine'!$C$2:$C$1960,0)))</f>
        <v/>
      </c>
      <c r="P1799" s="8">
        <f>IF(ISNA(MATCH(1790,'Transfer Engine'!$C$2:$C$1960,0)),"",HYPERLINK("#Acts!A"&amp;INDEX('Compliance Database'!$P$2:$P$1960,MATCH(1790,'Transfer Engine'!$C$2:$C$1960,0)),"Go to Act"))</f>
        <v/>
      </c>
    </row>
    <row r="1800" ht="158" customHeight="1">
      <c r="A1800" s="8">
        <f>IF(ISNA(MATCH(1791,'Transfer Engine'!$C$2:$C$1960,0)),"",INDEX('Compliance Database'!$A$2:$A$1960,MATCH(1791,'Transfer Engine'!$C$2:$C$1960,0)))</f>
        <v/>
      </c>
      <c r="B1800" s="8">
        <f>IF(ISNA(MATCH(1791,'Transfer Engine'!$C$2:$C$1960,0)),"",INDEX('Compliance Database'!$B$2:$B$1960,MATCH(1791,'Transfer Engine'!$C$2:$C$1960,0)))</f>
        <v/>
      </c>
      <c r="C1800" s="8">
        <f>IF(ISNA(MATCH(1791,'Transfer Engine'!$C$2:$C$1960,0)),"",INDEX('Compliance Database'!$C$2:$C$1960,MATCH(1791,'Transfer Engine'!$C$2:$C$1960,0)))</f>
        <v/>
      </c>
      <c r="D1800" s="9">
        <f>IF(ISNA(MATCH(1791,'Transfer Engine'!$C$2:$C$1960,0)),"",INDEX('Compliance Database'!$D$2:$D$1960,MATCH(1791,'Transfer Engine'!$C$2:$C$1960,0)))</f>
        <v/>
      </c>
      <c r="E1800" s="8">
        <f>IF(ISNA(MATCH(1791,'Transfer Engine'!$C$2:$C$1960,0)),"",INDEX('Compliance Database'!$E$2:$E$1960,MATCH(1791,'Transfer Engine'!$C$2:$C$1960,0)))</f>
        <v/>
      </c>
      <c r="F1800" s="8">
        <f>IF(ISNA(MATCH(1791,'Transfer Engine'!$C$2:$C$1960,0)),"",INDEX('Compliance Database'!$F$2:$F$1960,MATCH(1791,'Transfer Engine'!$C$2:$C$1960,0)))</f>
        <v/>
      </c>
      <c r="G1800" s="8">
        <f>IF(ISNA(MATCH(1791,'Transfer Engine'!$C$2:$C$1960,0)),"",INDEX('Compliance Database'!$G$2:$G$1960,MATCH(1791,'Transfer Engine'!$C$2:$C$1960,0)))</f>
        <v/>
      </c>
      <c r="H1800" s="9">
        <f>IF(ISNA(MATCH(1791,'Transfer Engine'!$C$2:$C$1960,0)),"",INDEX('Compliance Database'!$H$2:$H$1960,MATCH(1791,'Transfer Engine'!$C$2:$C$1960,0)))</f>
        <v/>
      </c>
      <c r="I1800" s="9">
        <f>IF(ISNA(MATCH(1791,'Transfer Engine'!$C$2:$C$1960,0)),"",INDEX('Compliance Database'!$I$2:$I$1960,MATCH(1791,'Transfer Engine'!$C$2:$C$1960,0)))</f>
        <v/>
      </c>
      <c r="J1800" s="8">
        <f>IF(ISNA(MATCH(1791,'Transfer Engine'!$C$2:$C$1960,0)),"",INDEX('Compliance Database'!$J$2:$J$1960,MATCH(1791,'Transfer Engine'!$C$2:$C$1960,0)))</f>
        <v/>
      </c>
      <c r="K1800" s="9">
        <f>IF(ISNA(MATCH(1791,'Transfer Engine'!$C$2:$C$1960,0)),"",INDEX('Compliance Database'!$K$2:$K$1960,MATCH(1791,'Transfer Engine'!$C$2:$C$1960,0)))</f>
        <v/>
      </c>
      <c r="L1800" s="9">
        <f>IF(ISNA(MATCH(1791,'Transfer Engine'!$C$2:$C$1960,0)),"",INDEX('Compliance Database'!$L$2:$L$1960,MATCH(1791,'Transfer Engine'!$C$2:$C$1960,0)))</f>
        <v/>
      </c>
      <c r="M1800" s="9">
        <f>IF(ISNA(MATCH(1791,'Transfer Engine'!$C$2:$C$1960,0)),"",INDEX('Compliance Database'!$M$2:$M$1960,MATCH(1791,'Transfer Engine'!$C$2:$C$1960,0)))</f>
        <v/>
      </c>
      <c r="N1800" s="9">
        <f>IF(ISNA(MATCH(1791,'Transfer Engine'!$C$2:$C$1960,0)),"",INDEX('Compliance Database'!$N$2:$N$1960,MATCH(1791,'Transfer Engine'!$C$2:$C$1960,0)))</f>
        <v/>
      </c>
      <c r="O1800" s="9">
        <f>IF(ISNA(MATCH(1791,'Transfer Engine'!$C$2:$C$1960,0)),"",INDEX('Compliance Database'!$O$2:$O$1960,MATCH(1791,'Transfer Engine'!$C$2:$C$1960,0)))</f>
        <v/>
      </c>
      <c r="P1800" s="8">
        <f>IF(ISNA(MATCH(1791,'Transfer Engine'!$C$2:$C$1960,0)),"",HYPERLINK("#Acts!A"&amp;INDEX('Compliance Database'!$P$2:$P$1960,MATCH(1791,'Transfer Engine'!$C$2:$C$1960,0)),"Go to Act"))</f>
        <v/>
      </c>
    </row>
    <row r="1801" ht="158" customHeight="1">
      <c r="A1801" s="8">
        <f>IF(ISNA(MATCH(1792,'Transfer Engine'!$C$2:$C$1960,0)),"",INDEX('Compliance Database'!$A$2:$A$1960,MATCH(1792,'Transfer Engine'!$C$2:$C$1960,0)))</f>
        <v/>
      </c>
      <c r="B1801" s="8">
        <f>IF(ISNA(MATCH(1792,'Transfer Engine'!$C$2:$C$1960,0)),"",INDEX('Compliance Database'!$B$2:$B$1960,MATCH(1792,'Transfer Engine'!$C$2:$C$1960,0)))</f>
        <v/>
      </c>
      <c r="C1801" s="8">
        <f>IF(ISNA(MATCH(1792,'Transfer Engine'!$C$2:$C$1960,0)),"",INDEX('Compliance Database'!$C$2:$C$1960,MATCH(1792,'Transfer Engine'!$C$2:$C$1960,0)))</f>
        <v/>
      </c>
      <c r="D1801" s="9">
        <f>IF(ISNA(MATCH(1792,'Transfer Engine'!$C$2:$C$1960,0)),"",INDEX('Compliance Database'!$D$2:$D$1960,MATCH(1792,'Transfer Engine'!$C$2:$C$1960,0)))</f>
        <v/>
      </c>
      <c r="E1801" s="8">
        <f>IF(ISNA(MATCH(1792,'Transfer Engine'!$C$2:$C$1960,0)),"",INDEX('Compliance Database'!$E$2:$E$1960,MATCH(1792,'Transfer Engine'!$C$2:$C$1960,0)))</f>
        <v/>
      </c>
      <c r="F1801" s="8">
        <f>IF(ISNA(MATCH(1792,'Transfer Engine'!$C$2:$C$1960,0)),"",INDEX('Compliance Database'!$F$2:$F$1960,MATCH(1792,'Transfer Engine'!$C$2:$C$1960,0)))</f>
        <v/>
      </c>
      <c r="G1801" s="8">
        <f>IF(ISNA(MATCH(1792,'Transfer Engine'!$C$2:$C$1960,0)),"",INDEX('Compliance Database'!$G$2:$G$1960,MATCH(1792,'Transfer Engine'!$C$2:$C$1960,0)))</f>
        <v/>
      </c>
      <c r="H1801" s="9">
        <f>IF(ISNA(MATCH(1792,'Transfer Engine'!$C$2:$C$1960,0)),"",INDEX('Compliance Database'!$H$2:$H$1960,MATCH(1792,'Transfer Engine'!$C$2:$C$1960,0)))</f>
        <v/>
      </c>
      <c r="I1801" s="9">
        <f>IF(ISNA(MATCH(1792,'Transfer Engine'!$C$2:$C$1960,0)),"",INDEX('Compliance Database'!$I$2:$I$1960,MATCH(1792,'Transfer Engine'!$C$2:$C$1960,0)))</f>
        <v/>
      </c>
      <c r="J1801" s="8">
        <f>IF(ISNA(MATCH(1792,'Transfer Engine'!$C$2:$C$1960,0)),"",INDEX('Compliance Database'!$J$2:$J$1960,MATCH(1792,'Transfer Engine'!$C$2:$C$1960,0)))</f>
        <v/>
      </c>
      <c r="K1801" s="9">
        <f>IF(ISNA(MATCH(1792,'Transfer Engine'!$C$2:$C$1960,0)),"",INDEX('Compliance Database'!$K$2:$K$1960,MATCH(1792,'Transfer Engine'!$C$2:$C$1960,0)))</f>
        <v/>
      </c>
      <c r="L1801" s="9">
        <f>IF(ISNA(MATCH(1792,'Transfer Engine'!$C$2:$C$1960,0)),"",INDEX('Compliance Database'!$L$2:$L$1960,MATCH(1792,'Transfer Engine'!$C$2:$C$1960,0)))</f>
        <v/>
      </c>
      <c r="M1801" s="9">
        <f>IF(ISNA(MATCH(1792,'Transfer Engine'!$C$2:$C$1960,0)),"",INDEX('Compliance Database'!$M$2:$M$1960,MATCH(1792,'Transfer Engine'!$C$2:$C$1960,0)))</f>
        <v/>
      </c>
      <c r="N1801" s="9">
        <f>IF(ISNA(MATCH(1792,'Transfer Engine'!$C$2:$C$1960,0)),"",INDEX('Compliance Database'!$N$2:$N$1960,MATCH(1792,'Transfer Engine'!$C$2:$C$1960,0)))</f>
        <v/>
      </c>
      <c r="O1801" s="9">
        <f>IF(ISNA(MATCH(1792,'Transfer Engine'!$C$2:$C$1960,0)),"",INDEX('Compliance Database'!$O$2:$O$1960,MATCH(1792,'Transfer Engine'!$C$2:$C$1960,0)))</f>
        <v/>
      </c>
      <c r="P1801" s="8">
        <f>IF(ISNA(MATCH(1792,'Transfer Engine'!$C$2:$C$1960,0)),"",HYPERLINK("#Acts!A"&amp;INDEX('Compliance Database'!$P$2:$P$1960,MATCH(1792,'Transfer Engine'!$C$2:$C$1960,0)),"Go to Act"))</f>
        <v/>
      </c>
    </row>
    <row r="1802" ht="158" customHeight="1">
      <c r="A1802" s="8">
        <f>IF(ISNA(MATCH(1793,'Transfer Engine'!$C$2:$C$1960,0)),"",INDEX('Compliance Database'!$A$2:$A$1960,MATCH(1793,'Transfer Engine'!$C$2:$C$1960,0)))</f>
        <v/>
      </c>
      <c r="B1802" s="8">
        <f>IF(ISNA(MATCH(1793,'Transfer Engine'!$C$2:$C$1960,0)),"",INDEX('Compliance Database'!$B$2:$B$1960,MATCH(1793,'Transfer Engine'!$C$2:$C$1960,0)))</f>
        <v/>
      </c>
      <c r="C1802" s="8">
        <f>IF(ISNA(MATCH(1793,'Transfer Engine'!$C$2:$C$1960,0)),"",INDEX('Compliance Database'!$C$2:$C$1960,MATCH(1793,'Transfer Engine'!$C$2:$C$1960,0)))</f>
        <v/>
      </c>
      <c r="D1802" s="9">
        <f>IF(ISNA(MATCH(1793,'Transfer Engine'!$C$2:$C$1960,0)),"",INDEX('Compliance Database'!$D$2:$D$1960,MATCH(1793,'Transfer Engine'!$C$2:$C$1960,0)))</f>
        <v/>
      </c>
      <c r="E1802" s="8">
        <f>IF(ISNA(MATCH(1793,'Transfer Engine'!$C$2:$C$1960,0)),"",INDEX('Compliance Database'!$E$2:$E$1960,MATCH(1793,'Transfer Engine'!$C$2:$C$1960,0)))</f>
        <v/>
      </c>
      <c r="F1802" s="8">
        <f>IF(ISNA(MATCH(1793,'Transfer Engine'!$C$2:$C$1960,0)),"",INDEX('Compliance Database'!$F$2:$F$1960,MATCH(1793,'Transfer Engine'!$C$2:$C$1960,0)))</f>
        <v/>
      </c>
      <c r="G1802" s="8">
        <f>IF(ISNA(MATCH(1793,'Transfer Engine'!$C$2:$C$1960,0)),"",INDEX('Compliance Database'!$G$2:$G$1960,MATCH(1793,'Transfer Engine'!$C$2:$C$1960,0)))</f>
        <v/>
      </c>
      <c r="H1802" s="9">
        <f>IF(ISNA(MATCH(1793,'Transfer Engine'!$C$2:$C$1960,0)),"",INDEX('Compliance Database'!$H$2:$H$1960,MATCH(1793,'Transfer Engine'!$C$2:$C$1960,0)))</f>
        <v/>
      </c>
      <c r="I1802" s="9">
        <f>IF(ISNA(MATCH(1793,'Transfer Engine'!$C$2:$C$1960,0)),"",INDEX('Compliance Database'!$I$2:$I$1960,MATCH(1793,'Transfer Engine'!$C$2:$C$1960,0)))</f>
        <v/>
      </c>
      <c r="J1802" s="8">
        <f>IF(ISNA(MATCH(1793,'Transfer Engine'!$C$2:$C$1960,0)),"",INDEX('Compliance Database'!$J$2:$J$1960,MATCH(1793,'Transfer Engine'!$C$2:$C$1960,0)))</f>
        <v/>
      </c>
      <c r="K1802" s="9">
        <f>IF(ISNA(MATCH(1793,'Transfer Engine'!$C$2:$C$1960,0)),"",INDEX('Compliance Database'!$K$2:$K$1960,MATCH(1793,'Transfer Engine'!$C$2:$C$1960,0)))</f>
        <v/>
      </c>
      <c r="L1802" s="9">
        <f>IF(ISNA(MATCH(1793,'Transfer Engine'!$C$2:$C$1960,0)),"",INDEX('Compliance Database'!$L$2:$L$1960,MATCH(1793,'Transfer Engine'!$C$2:$C$1960,0)))</f>
        <v/>
      </c>
      <c r="M1802" s="9">
        <f>IF(ISNA(MATCH(1793,'Transfer Engine'!$C$2:$C$1960,0)),"",INDEX('Compliance Database'!$M$2:$M$1960,MATCH(1793,'Transfer Engine'!$C$2:$C$1960,0)))</f>
        <v/>
      </c>
      <c r="N1802" s="9">
        <f>IF(ISNA(MATCH(1793,'Transfer Engine'!$C$2:$C$1960,0)),"",INDEX('Compliance Database'!$N$2:$N$1960,MATCH(1793,'Transfer Engine'!$C$2:$C$1960,0)))</f>
        <v/>
      </c>
      <c r="O1802" s="9">
        <f>IF(ISNA(MATCH(1793,'Transfer Engine'!$C$2:$C$1960,0)),"",INDEX('Compliance Database'!$O$2:$O$1960,MATCH(1793,'Transfer Engine'!$C$2:$C$1960,0)))</f>
        <v/>
      </c>
      <c r="P1802" s="8">
        <f>IF(ISNA(MATCH(1793,'Transfer Engine'!$C$2:$C$1960,0)),"",HYPERLINK("#Acts!A"&amp;INDEX('Compliance Database'!$P$2:$P$1960,MATCH(1793,'Transfer Engine'!$C$2:$C$1960,0)),"Go to Act"))</f>
        <v/>
      </c>
    </row>
    <row r="1803" ht="158" customHeight="1">
      <c r="A1803" s="8">
        <f>IF(ISNA(MATCH(1794,'Transfer Engine'!$C$2:$C$1960,0)),"",INDEX('Compliance Database'!$A$2:$A$1960,MATCH(1794,'Transfer Engine'!$C$2:$C$1960,0)))</f>
        <v/>
      </c>
      <c r="B1803" s="8">
        <f>IF(ISNA(MATCH(1794,'Transfer Engine'!$C$2:$C$1960,0)),"",INDEX('Compliance Database'!$B$2:$B$1960,MATCH(1794,'Transfer Engine'!$C$2:$C$1960,0)))</f>
        <v/>
      </c>
      <c r="C1803" s="8">
        <f>IF(ISNA(MATCH(1794,'Transfer Engine'!$C$2:$C$1960,0)),"",INDEX('Compliance Database'!$C$2:$C$1960,MATCH(1794,'Transfer Engine'!$C$2:$C$1960,0)))</f>
        <v/>
      </c>
      <c r="D1803" s="9">
        <f>IF(ISNA(MATCH(1794,'Transfer Engine'!$C$2:$C$1960,0)),"",INDEX('Compliance Database'!$D$2:$D$1960,MATCH(1794,'Transfer Engine'!$C$2:$C$1960,0)))</f>
        <v/>
      </c>
      <c r="E1803" s="8">
        <f>IF(ISNA(MATCH(1794,'Transfer Engine'!$C$2:$C$1960,0)),"",INDEX('Compliance Database'!$E$2:$E$1960,MATCH(1794,'Transfer Engine'!$C$2:$C$1960,0)))</f>
        <v/>
      </c>
      <c r="F1803" s="8">
        <f>IF(ISNA(MATCH(1794,'Transfer Engine'!$C$2:$C$1960,0)),"",INDEX('Compliance Database'!$F$2:$F$1960,MATCH(1794,'Transfer Engine'!$C$2:$C$1960,0)))</f>
        <v/>
      </c>
      <c r="G1803" s="8">
        <f>IF(ISNA(MATCH(1794,'Transfer Engine'!$C$2:$C$1960,0)),"",INDEX('Compliance Database'!$G$2:$G$1960,MATCH(1794,'Transfer Engine'!$C$2:$C$1960,0)))</f>
        <v/>
      </c>
      <c r="H1803" s="9">
        <f>IF(ISNA(MATCH(1794,'Transfer Engine'!$C$2:$C$1960,0)),"",INDEX('Compliance Database'!$H$2:$H$1960,MATCH(1794,'Transfer Engine'!$C$2:$C$1960,0)))</f>
        <v/>
      </c>
      <c r="I1803" s="9">
        <f>IF(ISNA(MATCH(1794,'Transfer Engine'!$C$2:$C$1960,0)),"",INDEX('Compliance Database'!$I$2:$I$1960,MATCH(1794,'Transfer Engine'!$C$2:$C$1960,0)))</f>
        <v/>
      </c>
      <c r="J1803" s="8">
        <f>IF(ISNA(MATCH(1794,'Transfer Engine'!$C$2:$C$1960,0)),"",INDEX('Compliance Database'!$J$2:$J$1960,MATCH(1794,'Transfer Engine'!$C$2:$C$1960,0)))</f>
        <v/>
      </c>
      <c r="K1803" s="9">
        <f>IF(ISNA(MATCH(1794,'Transfer Engine'!$C$2:$C$1960,0)),"",INDEX('Compliance Database'!$K$2:$K$1960,MATCH(1794,'Transfer Engine'!$C$2:$C$1960,0)))</f>
        <v/>
      </c>
      <c r="L1803" s="9">
        <f>IF(ISNA(MATCH(1794,'Transfer Engine'!$C$2:$C$1960,0)),"",INDEX('Compliance Database'!$L$2:$L$1960,MATCH(1794,'Transfer Engine'!$C$2:$C$1960,0)))</f>
        <v/>
      </c>
      <c r="M1803" s="9">
        <f>IF(ISNA(MATCH(1794,'Transfer Engine'!$C$2:$C$1960,0)),"",INDEX('Compliance Database'!$M$2:$M$1960,MATCH(1794,'Transfer Engine'!$C$2:$C$1960,0)))</f>
        <v/>
      </c>
      <c r="N1803" s="9">
        <f>IF(ISNA(MATCH(1794,'Transfer Engine'!$C$2:$C$1960,0)),"",INDEX('Compliance Database'!$N$2:$N$1960,MATCH(1794,'Transfer Engine'!$C$2:$C$1960,0)))</f>
        <v/>
      </c>
      <c r="O1803" s="9">
        <f>IF(ISNA(MATCH(1794,'Transfer Engine'!$C$2:$C$1960,0)),"",INDEX('Compliance Database'!$O$2:$O$1960,MATCH(1794,'Transfer Engine'!$C$2:$C$1960,0)))</f>
        <v/>
      </c>
      <c r="P1803" s="8">
        <f>IF(ISNA(MATCH(1794,'Transfer Engine'!$C$2:$C$1960,0)),"",HYPERLINK("#Acts!A"&amp;INDEX('Compliance Database'!$P$2:$P$1960,MATCH(1794,'Transfer Engine'!$C$2:$C$1960,0)),"Go to Act"))</f>
        <v/>
      </c>
    </row>
    <row r="1804" ht="158" customHeight="1">
      <c r="A1804" s="8">
        <f>IF(ISNA(MATCH(1795,'Transfer Engine'!$C$2:$C$1960,0)),"",INDEX('Compliance Database'!$A$2:$A$1960,MATCH(1795,'Transfer Engine'!$C$2:$C$1960,0)))</f>
        <v/>
      </c>
      <c r="B1804" s="8">
        <f>IF(ISNA(MATCH(1795,'Transfer Engine'!$C$2:$C$1960,0)),"",INDEX('Compliance Database'!$B$2:$B$1960,MATCH(1795,'Transfer Engine'!$C$2:$C$1960,0)))</f>
        <v/>
      </c>
      <c r="C1804" s="8">
        <f>IF(ISNA(MATCH(1795,'Transfer Engine'!$C$2:$C$1960,0)),"",INDEX('Compliance Database'!$C$2:$C$1960,MATCH(1795,'Transfer Engine'!$C$2:$C$1960,0)))</f>
        <v/>
      </c>
      <c r="D1804" s="9">
        <f>IF(ISNA(MATCH(1795,'Transfer Engine'!$C$2:$C$1960,0)),"",INDEX('Compliance Database'!$D$2:$D$1960,MATCH(1795,'Transfer Engine'!$C$2:$C$1960,0)))</f>
        <v/>
      </c>
      <c r="E1804" s="8">
        <f>IF(ISNA(MATCH(1795,'Transfer Engine'!$C$2:$C$1960,0)),"",INDEX('Compliance Database'!$E$2:$E$1960,MATCH(1795,'Transfer Engine'!$C$2:$C$1960,0)))</f>
        <v/>
      </c>
      <c r="F1804" s="8">
        <f>IF(ISNA(MATCH(1795,'Transfer Engine'!$C$2:$C$1960,0)),"",INDEX('Compliance Database'!$F$2:$F$1960,MATCH(1795,'Transfer Engine'!$C$2:$C$1960,0)))</f>
        <v/>
      </c>
      <c r="G1804" s="8">
        <f>IF(ISNA(MATCH(1795,'Transfer Engine'!$C$2:$C$1960,0)),"",INDEX('Compliance Database'!$G$2:$G$1960,MATCH(1795,'Transfer Engine'!$C$2:$C$1960,0)))</f>
        <v/>
      </c>
      <c r="H1804" s="9">
        <f>IF(ISNA(MATCH(1795,'Transfer Engine'!$C$2:$C$1960,0)),"",INDEX('Compliance Database'!$H$2:$H$1960,MATCH(1795,'Transfer Engine'!$C$2:$C$1960,0)))</f>
        <v/>
      </c>
      <c r="I1804" s="9">
        <f>IF(ISNA(MATCH(1795,'Transfer Engine'!$C$2:$C$1960,0)),"",INDEX('Compliance Database'!$I$2:$I$1960,MATCH(1795,'Transfer Engine'!$C$2:$C$1960,0)))</f>
        <v/>
      </c>
      <c r="J1804" s="8">
        <f>IF(ISNA(MATCH(1795,'Transfer Engine'!$C$2:$C$1960,0)),"",INDEX('Compliance Database'!$J$2:$J$1960,MATCH(1795,'Transfer Engine'!$C$2:$C$1960,0)))</f>
        <v/>
      </c>
      <c r="K1804" s="9">
        <f>IF(ISNA(MATCH(1795,'Transfer Engine'!$C$2:$C$1960,0)),"",INDEX('Compliance Database'!$K$2:$K$1960,MATCH(1795,'Transfer Engine'!$C$2:$C$1960,0)))</f>
        <v/>
      </c>
      <c r="L1804" s="9">
        <f>IF(ISNA(MATCH(1795,'Transfer Engine'!$C$2:$C$1960,0)),"",INDEX('Compliance Database'!$L$2:$L$1960,MATCH(1795,'Transfer Engine'!$C$2:$C$1960,0)))</f>
        <v/>
      </c>
      <c r="M1804" s="9">
        <f>IF(ISNA(MATCH(1795,'Transfer Engine'!$C$2:$C$1960,0)),"",INDEX('Compliance Database'!$M$2:$M$1960,MATCH(1795,'Transfer Engine'!$C$2:$C$1960,0)))</f>
        <v/>
      </c>
      <c r="N1804" s="9">
        <f>IF(ISNA(MATCH(1795,'Transfer Engine'!$C$2:$C$1960,0)),"",INDEX('Compliance Database'!$N$2:$N$1960,MATCH(1795,'Transfer Engine'!$C$2:$C$1960,0)))</f>
        <v/>
      </c>
      <c r="O1804" s="9">
        <f>IF(ISNA(MATCH(1795,'Transfer Engine'!$C$2:$C$1960,0)),"",INDEX('Compliance Database'!$O$2:$O$1960,MATCH(1795,'Transfer Engine'!$C$2:$C$1960,0)))</f>
        <v/>
      </c>
      <c r="P1804" s="8">
        <f>IF(ISNA(MATCH(1795,'Transfer Engine'!$C$2:$C$1960,0)),"",HYPERLINK("#Acts!A"&amp;INDEX('Compliance Database'!$P$2:$P$1960,MATCH(1795,'Transfer Engine'!$C$2:$C$1960,0)),"Go to Act"))</f>
        <v/>
      </c>
    </row>
    <row r="1805" ht="158" customHeight="1">
      <c r="A1805" s="8">
        <f>IF(ISNA(MATCH(1796,'Transfer Engine'!$C$2:$C$1960,0)),"",INDEX('Compliance Database'!$A$2:$A$1960,MATCH(1796,'Transfer Engine'!$C$2:$C$1960,0)))</f>
        <v/>
      </c>
      <c r="B1805" s="8">
        <f>IF(ISNA(MATCH(1796,'Transfer Engine'!$C$2:$C$1960,0)),"",INDEX('Compliance Database'!$B$2:$B$1960,MATCH(1796,'Transfer Engine'!$C$2:$C$1960,0)))</f>
        <v/>
      </c>
      <c r="C1805" s="8">
        <f>IF(ISNA(MATCH(1796,'Transfer Engine'!$C$2:$C$1960,0)),"",INDEX('Compliance Database'!$C$2:$C$1960,MATCH(1796,'Transfer Engine'!$C$2:$C$1960,0)))</f>
        <v/>
      </c>
      <c r="D1805" s="9">
        <f>IF(ISNA(MATCH(1796,'Transfer Engine'!$C$2:$C$1960,0)),"",INDEX('Compliance Database'!$D$2:$D$1960,MATCH(1796,'Transfer Engine'!$C$2:$C$1960,0)))</f>
        <v/>
      </c>
      <c r="E1805" s="8">
        <f>IF(ISNA(MATCH(1796,'Transfer Engine'!$C$2:$C$1960,0)),"",INDEX('Compliance Database'!$E$2:$E$1960,MATCH(1796,'Transfer Engine'!$C$2:$C$1960,0)))</f>
        <v/>
      </c>
      <c r="F1805" s="8">
        <f>IF(ISNA(MATCH(1796,'Transfer Engine'!$C$2:$C$1960,0)),"",INDEX('Compliance Database'!$F$2:$F$1960,MATCH(1796,'Transfer Engine'!$C$2:$C$1960,0)))</f>
        <v/>
      </c>
      <c r="G1805" s="8">
        <f>IF(ISNA(MATCH(1796,'Transfer Engine'!$C$2:$C$1960,0)),"",INDEX('Compliance Database'!$G$2:$G$1960,MATCH(1796,'Transfer Engine'!$C$2:$C$1960,0)))</f>
        <v/>
      </c>
      <c r="H1805" s="9">
        <f>IF(ISNA(MATCH(1796,'Transfer Engine'!$C$2:$C$1960,0)),"",INDEX('Compliance Database'!$H$2:$H$1960,MATCH(1796,'Transfer Engine'!$C$2:$C$1960,0)))</f>
        <v/>
      </c>
      <c r="I1805" s="9">
        <f>IF(ISNA(MATCH(1796,'Transfer Engine'!$C$2:$C$1960,0)),"",INDEX('Compliance Database'!$I$2:$I$1960,MATCH(1796,'Transfer Engine'!$C$2:$C$1960,0)))</f>
        <v/>
      </c>
      <c r="J1805" s="8">
        <f>IF(ISNA(MATCH(1796,'Transfer Engine'!$C$2:$C$1960,0)),"",INDEX('Compliance Database'!$J$2:$J$1960,MATCH(1796,'Transfer Engine'!$C$2:$C$1960,0)))</f>
        <v/>
      </c>
      <c r="K1805" s="9">
        <f>IF(ISNA(MATCH(1796,'Transfer Engine'!$C$2:$C$1960,0)),"",INDEX('Compliance Database'!$K$2:$K$1960,MATCH(1796,'Transfer Engine'!$C$2:$C$1960,0)))</f>
        <v/>
      </c>
      <c r="L1805" s="9">
        <f>IF(ISNA(MATCH(1796,'Transfer Engine'!$C$2:$C$1960,0)),"",INDEX('Compliance Database'!$L$2:$L$1960,MATCH(1796,'Transfer Engine'!$C$2:$C$1960,0)))</f>
        <v/>
      </c>
      <c r="M1805" s="9">
        <f>IF(ISNA(MATCH(1796,'Transfer Engine'!$C$2:$C$1960,0)),"",INDEX('Compliance Database'!$M$2:$M$1960,MATCH(1796,'Transfer Engine'!$C$2:$C$1960,0)))</f>
        <v/>
      </c>
      <c r="N1805" s="9">
        <f>IF(ISNA(MATCH(1796,'Transfer Engine'!$C$2:$C$1960,0)),"",INDEX('Compliance Database'!$N$2:$N$1960,MATCH(1796,'Transfer Engine'!$C$2:$C$1960,0)))</f>
        <v/>
      </c>
      <c r="O1805" s="9">
        <f>IF(ISNA(MATCH(1796,'Transfer Engine'!$C$2:$C$1960,0)),"",INDEX('Compliance Database'!$O$2:$O$1960,MATCH(1796,'Transfer Engine'!$C$2:$C$1960,0)))</f>
        <v/>
      </c>
      <c r="P1805" s="8">
        <f>IF(ISNA(MATCH(1796,'Transfer Engine'!$C$2:$C$1960,0)),"",HYPERLINK("#Acts!A"&amp;INDEX('Compliance Database'!$P$2:$P$1960,MATCH(1796,'Transfer Engine'!$C$2:$C$1960,0)),"Go to Act"))</f>
        <v/>
      </c>
    </row>
    <row r="1806" ht="158" customHeight="1">
      <c r="A1806" s="8">
        <f>IF(ISNA(MATCH(1797,'Transfer Engine'!$C$2:$C$1960,0)),"",INDEX('Compliance Database'!$A$2:$A$1960,MATCH(1797,'Transfer Engine'!$C$2:$C$1960,0)))</f>
        <v/>
      </c>
      <c r="B1806" s="8">
        <f>IF(ISNA(MATCH(1797,'Transfer Engine'!$C$2:$C$1960,0)),"",INDEX('Compliance Database'!$B$2:$B$1960,MATCH(1797,'Transfer Engine'!$C$2:$C$1960,0)))</f>
        <v/>
      </c>
      <c r="C1806" s="8">
        <f>IF(ISNA(MATCH(1797,'Transfer Engine'!$C$2:$C$1960,0)),"",INDEX('Compliance Database'!$C$2:$C$1960,MATCH(1797,'Transfer Engine'!$C$2:$C$1960,0)))</f>
        <v/>
      </c>
      <c r="D1806" s="9">
        <f>IF(ISNA(MATCH(1797,'Transfer Engine'!$C$2:$C$1960,0)),"",INDEX('Compliance Database'!$D$2:$D$1960,MATCH(1797,'Transfer Engine'!$C$2:$C$1960,0)))</f>
        <v/>
      </c>
      <c r="E1806" s="8">
        <f>IF(ISNA(MATCH(1797,'Transfer Engine'!$C$2:$C$1960,0)),"",INDEX('Compliance Database'!$E$2:$E$1960,MATCH(1797,'Transfer Engine'!$C$2:$C$1960,0)))</f>
        <v/>
      </c>
      <c r="F1806" s="8">
        <f>IF(ISNA(MATCH(1797,'Transfer Engine'!$C$2:$C$1960,0)),"",INDEX('Compliance Database'!$F$2:$F$1960,MATCH(1797,'Transfer Engine'!$C$2:$C$1960,0)))</f>
        <v/>
      </c>
      <c r="G1806" s="8">
        <f>IF(ISNA(MATCH(1797,'Transfer Engine'!$C$2:$C$1960,0)),"",INDEX('Compliance Database'!$G$2:$G$1960,MATCH(1797,'Transfer Engine'!$C$2:$C$1960,0)))</f>
        <v/>
      </c>
      <c r="H1806" s="9">
        <f>IF(ISNA(MATCH(1797,'Transfer Engine'!$C$2:$C$1960,0)),"",INDEX('Compliance Database'!$H$2:$H$1960,MATCH(1797,'Transfer Engine'!$C$2:$C$1960,0)))</f>
        <v/>
      </c>
      <c r="I1806" s="9">
        <f>IF(ISNA(MATCH(1797,'Transfer Engine'!$C$2:$C$1960,0)),"",INDEX('Compliance Database'!$I$2:$I$1960,MATCH(1797,'Transfer Engine'!$C$2:$C$1960,0)))</f>
        <v/>
      </c>
      <c r="J1806" s="8">
        <f>IF(ISNA(MATCH(1797,'Transfer Engine'!$C$2:$C$1960,0)),"",INDEX('Compliance Database'!$J$2:$J$1960,MATCH(1797,'Transfer Engine'!$C$2:$C$1960,0)))</f>
        <v/>
      </c>
      <c r="K1806" s="9">
        <f>IF(ISNA(MATCH(1797,'Transfer Engine'!$C$2:$C$1960,0)),"",INDEX('Compliance Database'!$K$2:$K$1960,MATCH(1797,'Transfer Engine'!$C$2:$C$1960,0)))</f>
        <v/>
      </c>
      <c r="L1806" s="9">
        <f>IF(ISNA(MATCH(1797,'Transfer Engine'!$C$2:$C$1960,0)),"",INDEX('Compliance Database'!$L$2:$L$1960,MATCH(1797,'Transfer Engine'!$C$2:$C$1960,0)))</f>
        <v/>
      </c>
      <c r="M1806" s="9">
        <f>IF(ISNA(MATCH(1797,'Transfer Engine'!$C$2:$C$1960,0)),"",INDEX('Compliance Database'!$M$2:$M$1960,MATCH(1797,'Transfer Engine'!$C$2:$C$1960,0)))</f>
        <v/>
      </c>
      <c r="N1806" s="9">
        <f>IF(ISNA(MATCH(1797,'Transfer Engine'!$C$2:$C$1960,0)),"",INDEX('Compliance Database'!$N$2:$N$1960,MATCH(1797,'Transfer Engine'!$C$2:$C$1960,0)))</f>
        <v/>
      </c>
      <c r="O1806" s="9">
        <f>IF(ISNA(MATCH(1797,'Transfer Engine'!$C$2:$C$1960,0)),"",INDEX('Compliance Database'!$O$2:$O$1960,MATCH(1797,'Transfer Engine'!$C$2:$C$1960,0)))</f>
        <v/>
      </c>
      <c r="P1806" s="8">
        <f>IF(ISNA(MATCH(1797,'Transfer Engine'!$C$2:$C$1960,0)),"",HYPERLINK("#Acts!A"&amp;INDEX('Compliance Database'!$P$2:$P$1960,MATCH(1797,'Transfer Engine'!$C$2:$C$1960,0)),"Go to Act"))</f>
        <v/>
      </c>
    </row>
    <row r="1807" ht="158" customHeight="1">
      <c r="A1807" s="8">
        <f>IF(ISNA(MATCH(1798,'Transfer Engine'!$C$2:$C$1960,0)),"",INDEX('Compliance Database'!$A$2:$A$1960,MATCH(1798,'Transfer Engine'!$C$2:$C$1960,0)))</f>
        <v/>
      </c>
      <c r="B1807" s="8">
        <f>IF(ISNA(MATCH(1798,'Transfer Engine'!$C$2:$C$1960,0)),"",INDEX('Compliance Database'!$B$2:$B$1960,MATCH(1798,'Transfer Engine'!$C$2:$C$1960,0)))</f>
        <v/>
      </c>
      <c r="C1807" s="8">
        <f>IF(ISNA(MATCH(1798,'Transfer Engine'!$C$2:$C$1960,0)),"",INDEX('Compliance Database'!$C$2:$C$1960,MATCH(1798,'Transfer Engine'!$C$2:$C$1960,0)))</f>
        <v/>
      </c>
      <c r="D1807" s="9">
        <f>IF(ISNA(MATCH(1798,'Transfer Engine'!$C$2:$C$1960,0)),"",INDEX('Compliance Database'!$D$2:$D$1960,MATCH(1798,'Transfer Engine'!$C$2:$C$1960,0)))</f>
        <v/>
      </c>
      <c r="E1807" s="8">
        <f>IF(ISNA(MATCH(1798,'Transfer Engine'!$C$2:$C$1960,0)),"",INDEX('Compliance Database'!$E$2:$E$1960,MATCH(1798,'Transfer Engine'!$C$2:$C$1960,0)))</f>
        <v/>
      </c>
      <c r="F1807" s="8">
        <f>IF(ISNA(MATCH(1798,'Transfer Engine'!$C$2:$C$1960,0)),"",INDEX('Compliance Database'!$F$2:$F$1960,MATCH(1798,'Transfer Engine'!$C$2:$C$1960,0)))</f>
        <v/>
      </c>
      <c r="G1807" s="8">
        <f>IF(ISNA(MATCH(1798,'Transfer Engine'!$C$2:$C$1960,0)),"",INDEX('Compliance Database'!$G$2:$G$1960,MATCH(1798,'Transfer Engine'!$C$2:$C$1960,0)))</f>
        <v/>
      </c>
      <c r="H1807" s="9">
        <f>IF(ISNA(MATCH(1798,'Transfer Engine'!$C$2:$C$1960,0)),"",INDEX('Compliance Database'!$H$2:$H$1960,MATCH(1798,'Transfer Engine'!$C$2:$C$1960,0)))</f>
        <v/>
      </c>
      <c r="I1807" s="9">
        <f>IF(ISNA(MATCH(1798,'Transfer Engine'!$C$2:$C$1960,0)),"",INDEX('Compliance Database'!$I$2:$I$1960,MATCH(1798,'Transfer Engine'!$C$2:$C$1960,0)))</f>
        <v/>
      </c>
      <c r="J1807" s="8">
        <f>IF(ISNA(MATCH(1798,'Transfer Engine'!$C$2:$C$1960,0)),"",INDEX('Compliance Database'!$J$2:$J$1960,MATCH(1798,'Transfer Engine'!$C$2:$C$1960,0)))</f>
        <v/>
      </c>
      <c r="K1807" s="9">
        <f>IF(ISNA(MATCH(1798,'Transfer Engine'!$C$2:$C$1960,0)),"",INDEX('Compliance Database'!$K$2:$K$1960,MATCH(1798,'Transfer Engine'!$C$2:$C$1960,0)))</f>
        <v/>
      </c>
      <c r="L1807" s="9">
        <f>IF(ISNA(MATCH(1798,'Transfer Engine'!$C$2:$C$1960,0)),"",INDEX('Compliance Database'!$L$2:$L$1960,MATCH(1798,'Transfer Engine'!$C$2:$C$1960,0)))</f>
        <v/>
      </c>
      <c r="M1807" s="9">
        <f>IF(ISNA(MATCH(1798,'Transfer Engine'!$C$2:$C$1960,0)),"",INDEX('Compliance Database'!$M$2:$M$1960,MATCH(1798,'Transfer Engine'!$C$2:$C$1960,0)))</f>
        <v/>
      </c>
      <c r="N1807" s="9">
        <f>IF(ISNA(MATCH(1798,'Transfer Engine'!$C$2:$C$1960,0)),"",INDEX('Compliance Database'!$N$2:$N$1960,MATCH(1798,'Transfer Engine'!$C$2:$C$1960,0)))</f>
        <v/>
      </c>
      <c r="O1807" s="9">
        <f>IF(ISNA(MATCH(1798,'Transfer Engine'!$C$2:$C$1960,0)),"",INDEX('Compliance Database'!$O$2:$O$1960,MATCH(1798,'Transfer Engine'!$C$2:$C$1960,0)))</f>
        <v/>
      </c>
      <c r="P1807" s="8">
        <f>IF(ISNA(MATCH(1798,'Transfer Engine'!$C$2:$C$1960,0)),"",HYPERLINK("#Acts!A"&amp;INDEX('Compliance Database'!$P$2:$P$1960,MATCH(1798,'Transfer Engine'!$C$2:$C$1960,0)),"Go to Act"))</f>
        <v/>
      </c>
    </row>
    <row r="1808" ht="158" customHeight="1">
      <c r="A1808" s="8">
        <f>IF(ISNA(MATCH(1799,'Transfer Engine'!$C$2:$C$1960,0)),"",INDEX('Compliance Database'!$A$2:$A$1960,MATCH(1799,'Transfer Engine'!$C$2:$C$1960,0)))</f>
        <v/>
      </c>
      <c r="B1808" s="8">
        <f>IF(ISNA(MATCH(1799,'Transfer Engine'!$C$2:$C$1960,0)),"",INDEX('Compliance Database'!$B$2:$B$1960,MATCH(1799,'Transfer Engine'!$C$2:$C$1960,0)))</f>
        <v/>
      </c>
      <c r="C1808" s="8">
        <f>IF(ISNA(MATCH(1799,'Transfer Engine'!$C$2:$C$1960,0)),"",INDEX('Compliance Database'!$C$2:$C$1960,MATCH(1799,'Transfer Engine'!$C$2:$C$1960,0)))</f>
        <v/>
      </c>
      <c r="D1808" s="9">
        <f>IF(ISNA(MATCH(1799,'Transfer Engine'!$C$2:$C$1960,0)),"",INDEX('Compliance Database'!$D$2:$D$1960,MATCH(1799,'Transfer Engine'!$C$2:$C$1960,0)))</f>
        <v/>
      </c>
      <c r="E1808" s="8">
        <f>IF(ISNA(MATCH(1799,'Transfer Engine'!$C$2:$C$1960,0)),"",INDEX('Compliance Database'!$E$2:$E$1960,MATCH(1799,'Transfer Engine'!$C$2:$C$1960,0)))</f>
        <v/>
      </c>
      <c r="F1808" s="8">
        <f>IF(ISNA(MATCH(1799,'Transfer Engine'!$C$2:$C$1960,0)),"",INDEX('Compliance Database'!$F$2:$F$1960,MATCH(1799,'Transfer Engine'!$C$2:$C$1960,0)))</f>
        <v/>
      </c>
      <c r="G1808" s="8">
        <f>IF(ISNA(MATCH(1799,'Transfer Engine'!$C$2:$C$1960,0)),"",INDEX('Compliance Database'!$G$2:$G$1960,MATCH(1799,'Transfer Engine'!$C$2:$C$1960,0)))</f>
        <v/>
      </c>
      <c r="H1808" s="9">
        <f>IF(ISNA(MATCH(1799,'Transfer Engine'!$C$2:$C$1960,0)),"",INDEX('Compliance Database'!$H$2:$H$1960,MATCH(1799,'Transfer Engine'!$C$2:$C$1960,0)))</f>
        <v/>
      </c>
      <c r="I1808" s="9">
        <f>IF(ISNA(MATCH(1799,'Transfer Engine'!$C$2:$C$1960,0)),"",INDEX('Compliance Database'!$I$2:$I$1960,MATCH(1799,'Transfer Engine'!$C$2:$C$1960,0)))</f>
        <v/>
      </c>
      <c r="J1808" s="8">
        <f>IF(ISNA(MATCH(1799,'Transfer Engine'!$C$2:$C$1960,0)),"",INDEX('Compliance Database'!$J$2:$J$1960,MATCH(1799,'Transfer Engine'!$C$2:$C$1960,0)))</f>
        <v/>
      </c>
      <c r="K1808" s="9">
        <f>IF(ISNA(MATCH(1799,'Transfer Engine'!$C$2:$C$1960,0)),"",INDEX('Compliance Database'!$K$2:$K$1960,MATCH(1799,'Transfer Engine'!$C$2:$C$1960,0)))</f>
        <v/>
      </c>
      <c r="L1808" s="9">
        <f>IF(ISNA(MATCH(1799,'Transfer Engine'!$C$2:$C$1960,0)),"",INDEX('Compliance Database'!$L$2:$L$1960,MATCH(1799,'Transfer Engine'!$C$2:$C$1960,0)))</f>
        <v/>
      </c>
      <c r="M1808" s="9">
        <f>IF(ISNA(MATCH(1799,'Transfer Engine'!$C$2:$C$1960,0)),"",INDEX('Compliance Database'!$M$2:$M$1960,MATCH(1799,'Transfer Engine'!$C$2:$C$1960,0)))</f>
        <v/>
      </c>
      <c r="N1808" s="9">
        <f>IF(ISNA(MATCH(1799,'Transfer Engine'!$C$2:$C$1960,0)),"",INDEX('Compliance Database'!$N$2:$N$1960,MATCH(1799,'Transfer Engine'!$C$2:$C$1960,0)))</f>
        <v/>
      </c>
      <c r="O1808" s="9">
        <f>IF(ISNA(MATCH(1799,'Transfer Engine'!$C$2:$C$1960,0)),"",INDEX('Compliance Database'!$O$2:$O$1960,MATCH(1799,'Transfer Engine'!$C$2:$C$1960,0)))</f>
        <v/>
      </c>
      <c r="P1808" s="8">
        <f>IF(ISNA(MATCH(1799,'Transfer Engine'!$C$2:$C$1960,0)),"",HYPERLINK("#Acts!A"&amp;INDEX('Compliance Database'!$P$2:$P$1960,MATCH(1799,'Transfer Engine'!$C$2:$C$1960,0)),"Go to Act"))</f>
        <v/>
      </c>
    </row>
    <row r="1809" ht="158" customHeight="1">
      <c r="A1809" s="8">
        <f>IF(ISNA(MATCH(1800,'Transfer Engine'!$C$2:$C$1960,0)),"",INDEX('Compliance Database'!$A$2:$A$1960,MATCH(1800,'Transfer Engine'!$C$2:$C$1960,0)))</f>
        <v/>
      </c>
      <c r="B1809" s="8">
        <f>IF(ISNA(MATCH(1800,'Transfer Engine'!$C$2:$C$1960,0)),"",INDEX('Compliance Database'!$B$2:$B$1960,MATCH(1800,'Transfer Engine'!$C$2:$C$1960,0)))</f>
        <v/>
      </c>
      <c r="C1809" s="8">
        <f>IF(ISNA(MATCH(1800,'Transfer Engine'!$C$2:$C$1960,0)),"",INDEX('Compliance Database'!$C$2:$C$1960,MATCH(1800,'Transfer Engine'!$C$2:$C$1960,0)))</f>
        <v/>
      </c>
      <c r="D1809" s="9">
        <f>IF(ISNA(MATCH(1800,'Transfer Engine'!$C$2:$C$1960,0)),"",INDEX('Compliance Database'!$D$2:$D$1960,MATCH(1800,'Transfer Engine'!$C$2:$C$1960,0)))</f>
        <v/>
      </c>
      <c r="E1809" s="8">
        <f>IF(ISNA(MATCH(1800,'Transfer Engine'!$C$2:$C$1960,0)),"",INDEX('Compliance Database'!$E$2:$E$1960,MATCH(1800,'Transfer Engine'!$C$2:$C$1960,0)))</f>
        <v/>
      </c>
      <c r="F1809" s="8">
        <f>IF(ISNA(MATCH(1800,'Transfer Engine'!$C$2:$C$1960,0)),"",INDEX('Compliance Database'!$F$2:$F$1960,MATCH(1800,'Transfer Engine'!$C$2:$C$1960,0)))</f>
        <v/>
      </c>
      <c r="G1809" s="8">
        <f>IF(ISNA(MATCH(1800,'Transfer Engine'!$C$2:$C$1960,0)),"",INDEX('Compliance Database'!$G$2:$G$1960,MATCH(1800,'Transfer Engine'!$C$2:$C$1960,0)))</f>
        <v/>
      </c>
      <c r="H1809" s="9">
        <f>IF(ISNA(MATCH(1800,'Transfer Engine'!$C$2:$C$1960,0)),"",INDEX('Compliance Database'!$H$2:$H$1960,MATCH(1800,'Transfer Engine'!$C$2:$C$1960,0)))</f>
        <v/>
      </c>
      <c r="I1809" s="9">
        <f>IF(ISNA(MATCH(1800,'Transfer Engine'!$C$2:$C$1960,0)),"",INDEX('Compliance Database'!$I$2:$I$1960,MATCH(1800,'Transfer Engine'!$C$2:$C$1960,0)))</f>
        <v/>
      </c>
      <c r="J1809" s="8">
        <f>IF(ISNA(MATCH(1800,'Transfer Engine'!$C$2:$C$1960,0)),"",INDEX('Compliance Database'!$J$2:$J$1960,MATCH(1800,'Transfer Engine'!$C$2:$C$1960,0)))</f>
        <v/>
      </c>
      <c r="K1809" s="9">
        <f>IF(ISNA(MATCH(1800,'Transfer Engine'!$C$2:$C$1960,0)),"",INDEX('Compliance Database'!$K$2:$K$1960,MATCH(1800,'Transfer Engine'!$C$2:$C$1960,0)))</f>
        <v/>
      </c>
      <c r="L1809" s="9">
        <f>IF(ISNA(MATCH(1800,'Transfer Engine'!$C$2:$C$1960,0)),"",INDEX('Compliance Database'!$L$2:$L$1960,MATCH(1800,'Transfer Engine'!$C$2:$C$1960,0)))</f>
        <v/>
      </c>
      <c r="M1809" s="9">
        <f>IF(ISNA(MATCH(1800,'Transfer Engine'!$C$2:$C$1960,0)),"",INDEX('Compliance Database'!$M$2:$M$1960,MATCH(1800,'Transfer Engine'!$C$2:$C$1960,0)))</f>
        <v/>
      </c>
      <c r="N1809" s="9">
        <f>IF(ISNA(MATCH(1800,'Transfer Engine'!$C$2:$C$1960,0)),"",INDEX('Compliance Database'!$N$2:$N$1960,MATCH(1800,'Transfer Engine'!$C$2:$C$1960,0)))</f>
        <v/>
      </c>
      <c r="O1809" s="9">
        <f>IF(ISNA(MATCH(1800,'Transfer Engine'!$C$2:$C$1960,0)),"",INDEX('Compliance Database'!$O$2:$O$1960,MATCH(1800,'Transfer Engine'!$C$2:$C$1960,0)))</f>
        <v/>
      </c>
      <c r="P1809" s="8">
        <f>IF(ISNA(MATCH(1800,'Transfer Engine'!$C$2:$C$1960,0)),"",HYPERLINK("#Acts!A"&amp;INDEX('Compliance Database'!$P$2:$P$1960,MATCH(1800,'Transfer Engine'!$C$2:$C$1960,0)),"Go to Act"))</f>
        <v/>
      </c>
    </row>
    <row r="1810" ht="158" customHeight="1">
      <c r="A1810" s="8">
        <f>IF(ISNA(MATCH(1801,'Transfer Engine'!$C$2:$C$1960,0)),"",INDEX('Compliance Database'!$A$2:$A$1960,MATCH(1801,'Transfer Engine'!$C$2:$C$1960,0)))</f>
        <v/>
      </c>
      <c r="B1810" s="8">
        <f>IF(ISNA(MATCH(1801,'Transfer Engine'!$C$2:$C$1960,0)),"",INDEX('Compliance Database'!$B$2:$B$1960,MATCH(1801,'Transfer Engine'!$C$2:$C$1960,0)))</f>
        <v/>
      </c>
      <c r="C1810" s="8">
        <f>IF(ISNA(MATCH(1801,'Transfer Engine'!$C$2:$C$1960,0)),"",INDEX('Compliance Database'!$C$2:$C$1960,MATCH(1801,'Transfer Engine'!$C$2:$C$1960,0)))</f>
        <v/>
      </c>
      <c r="D1810" s="9">
        <f>IF(ISNA(MATCH(1801,'Transfer Engine'!$C$2:$C$1960,0)),"",INDEX('Compliance Database'!$D$2:$D$1960,MATCH(1801,'Transfer Engine'!$C$2:$C$1960,0)))</f>
        <v/>
      </c>
      <c r="E1810" s="8">
        <f>IF(ISNA(MATCH(1801,'Transfer Engine'!$C$2:$C$1960,0)),"",INDEX('Compliance Database'!$E$2:$E$1960,MATCH(1801,'Transfer Engine'!$C$2:$C$1960,0)))</f>
        <v/>
      </c>
      <c r="F1810" s="8">
        <f>IF(ISNA(MATCH(1801,'Transfer Engine'!$C$2:$C$1960,0)),"",INDEX('Compliance Database'!$F$2:$F$1960,MATCH(1801,'Transfer Engine'!$C$2:$C$1960,0)))</f>
        <v/>
      </c>
      <c r="G1810" s="8">
        <f>IF(ISNA(MATCH(1801,'Transfer Engine'!$C$2:$C$1960,0)),"",INDEX('Compliance Database'!$G$2:$G$1960,MATCH(1801,'Transfer Engine'!$C$2:$C$1960,0)))</f>
        <v/>
      </c>
      <c r="H1810" s="9">
        <f>IF(ISNA(MATCH(1801,'Transfer Engine'!$C$2:$C$1960,0)),"",INDEX('Compliance Database'!$H$2:$H$1960,MATCH(1801,'Transfer Engine'!$C$2:$C$1960,0)))</f>
        <v/>
      </c>
      <c r="I1810" s="9">
        <f>IF(ISNA(MATCH(1801,'Transfer Engine'!$C$2:$C$1960,0)),"",INDEX('Compliance Database'!$I$2:$I$1960,MATCH(1801,'Transfer Engine'!$C$2:$C$1960,0)))</f>
        <v/>
      </c>
      <c r="J1810" s="8">
        <f>IF(ISNA(MATCH(1801,'Transfer Engine'!$C$2:$C$1960,0)),"",INDEX('Compliance Database'!$J$2:$J$1960,MATCH(1801,'Transfer Engine'!$C$2:$C$1960,0)))</f>
        <v/>
      </c>
      <c r="K1810" s="9">
        <f>IF(ISNA(MATCH(1801,'Transfer Engine'!$C$2:$C$1960,0)),"",INDEX('Compliance Database'!$K$2:$K$1960,MATCH(1801,'Transfer Engine'!$C$2:$C$1960,0)))</f>
        <v/>
      </c>
      <c r="L1810" s="9">
        <f>IF(ISNA(MATCH(1801,'Transfer Engine'!$C$2:$C$1960,0)),"",INDEX('Compliance Database'!$L$2:$L$1960,MATCH(1801,'Transfer Engine'!$C$2:$C$1960,0)))</f>
        <v/>
      </c>
      <c r="M1810" s="9">
        <f>IF(ISNA(MATCH(1801,'Transfer Engine'!$C$2:$C$1960,0)),"",INDEX('Compliance Database'!$M$2:$M$1960,MATCH(1801,'Transfer Engine'!$C$2:$C$1960,0)))</f>
        <v/>
      </c>
      <c r="N1810" s="9">
        <f>IF(ISNA(MATCH(1801,'Transfer Engine'!$C$2:$C$1960,0)),"",INDEX('Compliance Database'!$N$2:$N$1960,MATCH(1801,'Transfer Engine'!$C$2:$C$1960,0)))</f>
        <v/>
      </c>
      <c r="O1810" s="9">
        <f>IF(ISNA(MATCH(1801,'Transfer Engine'!$C$2:$C$1960,0)),"",INDEX('Compliance Database'!$O$2:$O$1960,MATCH(1801,'Transfer Engine'!$C$2:$C$1960,0)))</f>
        <v/>
      </c>
      <c r="P1810" s="8">
        <f>IF(ISNA(MATCH(1801,'Transfer Engine'!$C$2:$C$1960,0)),"",HYPERLINK("#Acts!A"&amp;INDEX('Compliance Database'!$P$2:$P$1960,MATCH(1801,'Transfer Engine'!$C$2:$C$1960,0)),"Go to Act"))</f>
        <v/>
      </c>
    </row>
    <row r="1811" ht="158" customHeight="1">
      <c r="A1811" s="8">
        <f>IF(ISNA(MATCH(1802,'Transfer Engine'!$C$2:$C$1960,0)),"",INDEX('Compliance Database'!$A$2:$A$1960,MATCH(1802,'Transfer Engine'!$C$2:$C$1960,0)))</f>
        <v/>
      </c>
      <c r="B1811" s="8">
        <f>IF(ISNA(MATCH(1802,'Transfer Engine'!$C$2:$C$1960,0)),"",INDEX('Compliance Database'!$B$2:$B$1960,MATCH(1802,'Transfer Engine'!$C$2:$C$1960,0)))</f>
        <v/>
      </c>
      <c r="C1811" s="8">
        <f>IF(ISNA(MATCH(1802,'Transfer Engine'!$C$2:$C$1960,0)),"",INDEX('Compliance Database'!$C$2:$C$1960,MATCH(1802,'Transfer Engine'!$C$2:$C$1960,0)))</f>
        <v/>
      </c>
      <c r="D1811" s="9">
        <f>IF(ISNA(MATCH(1802,'Transfer Engine'!$C$2:$C$1960,0)),"",INDEX('Compliance Database'!$D$2:$D$1960,MATCH(1802,'Transfer Engine'!$C$2:$C$1960,0)))</f>
        <v/>
      </c>
      <c r="E1811" s="8">
        <f>IF(ISNA(MATCH(1802,'Transfer Engine'!$C$2:$C$1960,0)),"",INDEX('Compliance Database'!$E$2:$E$1960,MATCH(1802,'Transfer Engine'!$C$2:$C$1960,0)))</f>
        <v/>
      </c>
      <c r="F1811" s="8">
        <f>IF(ISNA(MATCH(1802,'Transfer Engine'!$C$2:$C$1960,0)),"",INDEX('Compliance Database'!$F$2:$F$1960,MATCH(1802,'Transfer Engine'!$C$2:$C$1960,0)))</f>
        <v/>
      </c>
      <c r="G1811" s="8">
        <f>IF(ISNA(MATCH(1802,'Transfer Engine'!$C$2:$C$1960,0)),"",INDEX('Compliance Database'!$G$2:$G$1960,MATCH(1802,'Transfer Engine'!$C$2:$C$1960,0)))</f>
        <v/>
      </c>
      <c r="H1811" s="9">
        <f>IF(ISNA(MATCH(1802,'Transfer Engine'!$C$2:$C$1960,0)),"",INDEX('Compliance Database'!$H$2:$H$1960,MATCH(1802,'Transfer Engine'!$C$2:$C$1960,0)))</f>
        <v/>
      </c>
      <c r="I1811" s="9">
        <f>IF(ISNA(MATCH(1802,'Transfer Engine'!$C$2:$C$1960,0)),"",INDEX('Compliance Database'!$I$2:$I$1960,MATCH(1802,'Transfer Engine'!$C$2:$C$1960,0)))</f>
        <v/>
      </c>
      <c r="J1811" s="8">
        <f>IF(ISNA(MATCH(1802,'Transfer Engine'!$C$2:$C$1960,0)),"",INDEX('Compliance Database'!$J$2:$J$1960,MATCH(1802,'Transfer Engine'!$C$2:$C$1960,0)))</f>
        <v/>
      </c>
      <c r="K1811" s="9">
        <f>IF(ISNA(MATCH(1802,'Transfer Engine'!$C$2:$C$1960,0)),"",INDEX('Compliance Database'!$K$2:$K$1960,MATCH(1802,'Transfer Engine'!$C$2:$C$1960,0)))</f>
        <v/>
      </c>
      <c r="L1811" s="9">
        <f>IF(ISNA(MATCH(1802,'Transfer Engine'!$C$2:$C$1960,0)),"",INDEX('Compliance Database'!$L$2:$L$1960,MATCH(1802,'Transfer Engine'!$C$2:$C$1960,0)))</f>
        <v/>
      </c>
      <c r="M1811" s="9">
        <f>IF(ISNA(MATCH(1802,'Transfer Engine'!$C$2:$C$1960,0)),"",INDEX('Compliance Database'!$M$2:$M$1960,MATCH(1802,'Transfer Engine'!$C$2:$C$1960,0)))</f>
        <v/>
      </c>
      <c r="N1811" s="9">
        <f>IF(ISNA(MATCH(1802,'Transfer Engine'!$C$2:$C$1960,0)),"",INDEX('Compliance Database'!$N$2:$N$1960,MATCH(1802,'Transfer Engine'!$C$2:$C$1960,0)))</f>
        <v/>
      </c>
      <c r="O1811" s="9">
        <f>IF(ISNA(MATCH(1802,'Transfer Engine'!$C$2:$C$1960,0)),"",INDEX('Compliance Database'!$O$2:$O$1960,MATCH(1802,'Transfer Engine'!$C$2:$C$1960,0)))</f>
        <v/>
      </c>
      <c r="P1811" s="8">
        <f>IF(ISNA(MATCH(1802,'Transfer Engine'!$C$2:$C$1960,0)),"",HYPERLINK("#Acts!A"&amp;INDEX('Compliance Database'!$P$2:$P$1960,MATCH(1802,'Transfer Engine'!$C$2:$C$1960,0)),"Go to Act"))</f>
        <v/>
      </c>
    </row>
    <row r="1812" ht="158" customHeight="1">
      <c r="A1812" s="8">
        <f>IF(ISNA(MATCH(1803,'Transfer Engine'!$C$2:$C$1960,0)),"",INDEX('Compliance Database'!$A$2:$A$1960,MATCH(1803,'Transfer Engine'!$C$2:$C$1960,0)))</f>
        <v/>
      </c>
      <c r="B1812" s="8">
        <f>IF(ISNA(MATCH(1803,'Transfer Engine'!$C$2:$C$1960,0)),"",INDEX('Compliance Database'!$B$2:$B$1960,MATCH(1803,'Transfer Engine'!$C$2:$C$1960,0)))</f>
        <v/>
      </c>
      <c r="C1812" s="8">
        <f>IF(ISNA(MATCH(1803,'Transfer Engine'!$C$2:$C$1960,0)),"",INDEX('Compliance Database'!$C$2:$C$1960,MATCH(1803,'Transfer Engine'!$C$2:$C$1960,0)))</f>
        <v/>
      </c>
      <c r="D1812" s="9">
        <f>IF(ISNA(MATCH(1803,'Transfer Engine'!$C$2:$C$1960,0)),"",INDEX('Compliance Database'!$D$2:$D$1960,MATCH(1803,'Transfer Engine'!$C$2:$C$1960,0)))</f>
        <v/>
      </c>
      <c r="E1812" s="8">
        <f>IF(ISNA(MATCH(1803,'Transfer Engine'!$C$2:$C$1960,0)),"",INDEX('Compliance Database'!$E$2:$E$1960,MATCH(1803,'Transfer Engine'!$C$2:$C$1960,0)))</f>
        <v/>
      </c>
      <c r="F1812" s="8">
        <f>IF(ISNA(MATCH(1803,'Transfer Engine'!$C$2:$C$1960,0)),"",INDEX('Compliance Database'!$F$2:$F$1960,MATCH(1803,'Transfer Engine'!$C$2:$C$1960,0)))</f>
        <v/>
      </c>
      <c r="G1812" s="8">
        <f>IF(ISNA(MATCH(1803,'Transfer Engine'!$C$2:$C$1960,0)),"",INDEX('Compliance Database'!$G$2:$G$1960,MATCH(1803,'Transfer Engine'!$C$2:$C$1960,0)))</f>
        <v/>
      </c>
      <c r="H1812" s="9">
        <f>IF(ISNA(MATCH(1803,'Transfer Engine'!$C$2:$C$1960,0)),"",INDEX('Compliance Database'!$H$2:$H$1960,MATCH(1803,'Transfer Engine'!$C$2:$C$1960,0)))</f>
        <v/>
      </c>
      <c r="I1812" s="9">
        <f>IF(ISNA(MATCH(1803,'Transfer Engine'!$C$2:$C$1960,0)),"",INDEX('Compliance Database'!$I$2:$I$1960,MATCH(1803,'Transfer Engine'!$C$2:$C$1960,0)))</f>
        <v/>
      </c>
      <c r="J1812" s="8">
        <f>IF(ISNA(MATCH(1803,'Transfer Engine'!$C$2:$C$1960,0)),"",INDEX('Compliance Database'!$J$2:$J$1960,MATCH(1803,'Transfer Engine'!$C$2:$C$1960,0)))</f>
        <v/>
      </c>
      <c r="K1812" s="9">
        <f>IF(ISNA(MATCH(1803,'Transfer Engine'!$C$2:$C$1960,0)),"",INDEX('Compliance Database'!$K$2:$K$1960,MATCH(1803,'Transfer Engine'!$C$2:$C$1960,0)))</f>
        <v/>
      </c>
      <c r="L1812" s="9">
        <f>IF(ISNA(MATCH(1803,'Transfer Engine'!$C$2:$C$1960,0)),"",INDEX('Compliance Database'!$L$2:$L$1960,MATCH(1803,'Transfer Engine'!$C$2:$C$1960,0)))</f>
        <v/>
      </c>
      <c r="M1812" s="9">
        <f>IF(ISNA(MATCH(1803,'Transfer Engine'!$C$2:$C$1960,0)),"",INDEX('Compliance Database'!$M$2:$M$1960,MATCH(1803,'Transfer Engine'!$C$2:$C$1960,0)))</f>
        <v/>
      </c>
      <c r="N1812" s="9">
        <f>IF(ISNA(MATCH(1803,'Transfer Engine'!$C$2:$C$1960,0)),"",INDEX('Compliance Database'!$N$2:$N$1960,MATCH(1803,'Transfer Engine'!$C$2:$C$1960,0)))</f>
        <v/>
      </c>
      <c r="O1812" s="9">
        <f>IF(ISNA(MATCH(1803,'Transfer Engine'!$C$2:$C$1960,0)),"",INDEX('Compliance Database'!$O$2:$O$1960,MATCH(1803,'Transfer Engine'!$C$2:$C$1960,0)))</f>
        <v/>
      </c>
      <c r="P1812" s="8">
        <f>IF(ISNA(MATCH(1803,'Transfer Engine'!$C$2:$C$1960,0)),"",HYPERLINK("#Acts!A"&amp;INDEX('Compliance Database'!$P$2:$P$1960,MATCH(1803,'Transfer Engine'!$C$2:$C$1960,0)),"Go to Act"))</f>
        <v/>
      </c>
    </row>
    <row r="1813" ht="158" customHeight="1">
      <c r="A1813" s="8">
        <f>IF(ISNA(MATCH(1804,'Transfer Engine'!$C$2:$C$1960,0)),"",INDEX('Compliance Database'!$A$2:$A$1960,MATCH(1804,'Transfer Engine'!$C$2:$C$1960,0)))</f>
        <v/>
      </c>
      <c r="B1813" s="8">
        <f>IF(ISNA(MATCH(1804,'Transfer Engine'!$C$2:$C$1960,0)),"",INDEX('Compliance Database'!$B$2:$B$1960,MATCH(1804,'Transfer Engine'!$C$2:$C$1960,0)))</f>
        <v/>
      </c>
      <c r="C1813" s="8">
        <f>IF(ISNA(MATCH(1804,'Transfer Engine'!$C$2:$C$1960,0)),"",INDEX('Compliance Database'!$C$2:$C$1960,MATCH(1804,'Transfer Engine'!$C$2:$C$1960,0)))</f>
        <v/>
      </c>
      <c r="D1813" s="9">
        <f>IF(ISNA(MATCH(1804,'Transfer Engine'!$C$2:$C$1960,0)),"",INDEX('Compliance Database'!$D$2:$D$1960,MATCH(1804,'Transfer Engine'!$C$2:$C$1960,0)))</f>
        <v/>
      </c>
      <c r="E1813" s="8">
        <f>IF(ISNA(MATCH(1804,'Transfer Engine'!$C$2:$C$1960,0)),"",INDEX('Compliance Database'!$E$2:$E$1960,MATCH(1804,'Transfer Engine'!$C$2:$C$1960,0)))</f>
        <v/>
      </c>
      <c r="F1813" s="8">
        <f>IF(ISNA(MATCH(1804,'Transfer Engine'!$C$2:$C$1960,0)),"",INDEX('Compliance Database'!$F$2:$F$1960,MATCH(1804,'Transfer Engine'!$C$2:$C$1960,0)))</f>
        <v/>
      </c>
      <c r="G1813" s="8">
        <f>IF(ISNA(MATCH(1804,'Transfer Engine'!$C$2:$C$1960,0)),"",INDEX('Compliance Database'!$G$2:$G$1960,MATCH(1804,'Transfer Engine'!$C$2:$C$1960,0)))</f>
        <v/>
      </c>
      <c r="H1813" s="9">
        <f>IF(ISNA(MATCH(1804,'Transfer Engine'!$C$2:$C$1960,0)),"",INDEX('Compliance Database'!$H$2:$H$1960,MATCH(1804,'Transfer Engine'!$C$2:$C$1960,0)))</f>
        <v/>
      </c>
      <c r="I1813" s="9">
        <f>IF(ISNA(MATCH(1804,'Transfer Engine'!$C$2:$C$1960,0)),"",INDEX('Compliance Database'!$I$2:$I$1960,MATCH(1804,'Transfer Engine'!$C$2:$C$1960,0)))</f>
        <v/>
      </c>
      <c r="J1813" s="8">
        <f>IF(ISNA(MATCH(1804,'Transfer Engine'!$C$2:$C$1960,0)),"",INDEX('Compliance Database'!$J$2:$J$1960,MATCH(1804,'Transfer Engine'!$C$2:$C$1960,0)))</f>
        <v/>
      </c>
      <c r="K1813" s="9">
        <f>IF(ISNA(MATCH(1804,'Transfer Engine'!$C$2:$C$1960,0)),"",INDEX('Compliance Database'!$K$2:$K$1960,MATCH(1804,'Transfer Engine'!$C$2:$C$1960,0)))</f>
        <v/>
      </c>
      <c r="L1813" s="9">
        <f>IF(ISNA(MATCH(1804,'Transfer Engine'!$C$2:$C$1960,0)),"",INDEX('Compliance Database'!$L$2:$L$1960,MATCH(1804,'Transfer Engine'!$C$2:$C$1960,0)))</f>
        <v/>
      </c>
      <c r="M1813" s="9">
        <f>IF(ISNA(MATCH(1804,'Transfer Engine'!$C$2:$C$1960,0)),"",INDEX('Compliance Database'!$M$2:$M$1960,MATCH(1804,'Transfer Engine'!$C$2:$C$1960,0)))</f>
        <v/>
      </c>
      <c r="N1813" s="9">
        <f>IF(ISNA(MATCH(1804,'Transfer Engine'!$C$2:$C$1960,0)),"",INDEX('Compliance Database'!$N$2:$N$1960,MATCH(1804,'Transfer Engine'!$C$2:$C$1960,0)))</f>
        <v/>
      </c>
      <c r="O1813" s="9">
        <f>IF(ISNA(MATCH(1804,'Transfer Engine'!$C$2:$C$1960,0)),"",INDEX('Compliance Database'!$O$2:$O$1960,MATCH(1804,'Transfer Engine'!$C$2:$C$1960,0)))</f>
        <v/>
      </c>
      <c r="P1813" s="8">
        <f>IF(ISNA(MATCH(1804,'Transfer Engine'!$C$2:$C$1960,0)),"",HYPERLINK("#Acts!A"&amp;INDEX('Compliance Database'!$P$2:$P$1960,MATCH(1804,'Transfer Engine'!$C$2:$C$1960,0)),"Go to Act"))</f>
        <v/>
      </c>
    </row>
    <row r="1814" ht="158" customHeight="1">
      <c r="A1814" s="8">
        <f>IF(ISNA(MATCH(1805,'Transfer Engine'!$C$2:$C$1960,0)),"",INDEX('Compliance Database'!$A$2:$A$1960,MATCH(1805,'Transfer Engine'!$C$2:$C$1960,0)))</f>
        <v/>
      </c>
      <c r="B1814" s="8">
        <f>IF(ISNA(MATCH(1805,'Transfer Engine'!$C$2:$C$1960,0)),"",INDEX('Compliance Database'!$B$2:$B$1960,MATCH(1805,'Transfer Engine'!$C$2:$C$1960,0)))</f>
        <v/>
      </c>
      <c r="C1814" s="8">
        <f>IF(ISNA(MATCH(1805,'Transfer Engine'!$C$2:$C$1960,0)),"",INDEX('Compliance Database'!$C$2:$C$1960,MATCH(1805,'Transfer Engine'!$C$2:$C$1960,0)))</f>
        <v/>
      </c>
      <c r="D1814" s="9">
        <f>IF(ISNA(MATCH(1805,'Transfer Engine'!$C$2:$C$1960,0)),"",INDEX('Compliance Database'!$D$2:$D$1960,MATCH(1805,'Transfer Engine'!$C$2:$C$1960,0)))</f>
        <v/>
      </c>
      <c r="E1814" s="8">
        <f>IF(ISNA(MATCH(1805,'Transfer Engine'!$C$2:$C$1960,0)),"",INDEX('Compliance Database'!$E$2:$E$1960,MATCH(1805,'Transfer Engine'!$C$2:$C$1960,0)))</f>
        <v/>
      </c>
      <c r="F1814" s="8">
        <f>IF(ISNA(MATCH(1805,'Transfer Engine'!$C$2:$C$1960,0)),"",INDEX('Compliance Database'!$F$2:$F$1960,MATCH(1805,'Transfer Engine'!$C$2:$C$1960,0)))</f>
        <v/>
      </c>
      <c r="G1814" s="8">
        <f>IF(ISNA(MATCH(1805,'Transfer Engine'!$C$2:$C$1960,0)),"",INDEX('Compliance Database'!$G$2:$G$1960,MATCH(1805,'Transfer Engine'!$C$2:$C$1960,0)))</f>
        <v/>
      </c>
      <c r="H1814" s="9">
        <f>IF(ISNA(MATCH(1805,'Transfer Engine'!$C$2:$C$1960,0)),"",INDEX('Compliance Database'!$H$2:$H$1960,MATCH(1805,'Transfer Engine'!$C$2:$C$1960,0)))</f>
        <v/>
      </c>
      <c r="I1814" s="9">
        <f>IF(ISNA(MATCH(1805,'Transfer Engine'!$C$2:$C$1960,0)),"",INDEX('Compliance Database'!$I$2:$I$1960,MATCH(1805,'Transfer Engine'!$C$2:$C$1960,0)))</f>
        <v/>
      </c>
      <c r="J1814" s="8">
        <f>IF(ISNA(MATCH(1805,'Transfer Engine'!$C$2:$C$1960,0)),"",INDEX('Compliance Database'!$J$2:$J$1960,MATCH(1805,'Transfer Engine'!$C$2:$C$1960,0)))</f>
        <v/>
      </c>
      <c r="K1814" s="9">
        <f>IF(ISNA(MATCH(1805,'Transfer Engine'!$C$2:$C$1960,0)),"",INDEX('Compliance Database'!$K$2:$K$1960,MATCH(1805,'Transfer Engine'!$C$2:$C$1960,0)))</f>
        <v/>
      </c>
      <c r="L1814" s="9">
        <f>IF(ISNA(MATCH(1805,'Transfer Engine'!$C$2:$C$1960,0)),"",INDEX('Compliance Database'!$L$2:$L$1960,MATCH(1805,'Transfer Engine'!$C$2:$C$1960,0)))</f>
        <v/>
      </c>
      <c r="M1814" s="9">
        <f>IF(ISNA(MATCH(1805,'Transfer Engine'!$C$2:$C$1960,0)),"",INDEX('Compliance Database'!$M$2:$M$1960,MATCH(1805,'Transfer Engine'!$C$2:$C$1960,0)))</f>
        <v/>
      </c>
      <c r="N1814" s="9">
        <f>IF(ISNA(MATCH(1805,'Transfer Engine'!$C$2:$C$1960,0)),"",INDEX('Compliance Database'!$N$2:$N$1960,MATCH(1805,'Transfer Engine'!$C$2:$C$1960,0)))</f>
        <v/>
      </c>
      <c r="O1814" s="9">
        <f>IF(ISNA(MATCH(1805,'Transfer Engine'!$C$2:$C$1960,0)),"",INDEX('Compliance Database'!$O$2:$O$1960,MATCH(1805,'Transfer Engine'!$C$2:$C$1960,0)))</f>
        <v/>
      </c>
      <c r="P1814" s="8">
        <f>IF(ISNA(MATCH(1805,'Transfer Engine'!$C$2:$C$1960,0)),"",HYPERLINK("#Acts!A"&amp;INDEX('Compliance Database'!$P$2:$P$1960,MATCH(1805,'Transfer Engine'!$C$2:$C$1960,0)),"Go to Act"))</f>
        <v/>
      </c>
    </row>
    <row r="1815" ht="158" customHeight="1">
      <c r="A1815" s="8">
        <f>IF(ISNA(MATCH(1806,'Transfer Engine'!$C$2:$C$1960,0)),"",INDEX('Compliance Database'!$A$2:$A$1960,MATCH(1806,'Transfer Engine'!$C$2:$C$1960,0)))</f>
        <v/>
      </c>
      <c r="B1815" s="8">
        <f>IF(ISNA(MATCH(1806,'Transfer Engine'!$C$2:$C$1960,0)),"",INDEX('Compliance Database'!$B$2:$B$1960,MATCH(1806,'Transfer Engine'!$C$2:$C$1960,0)))</f>
        <v/>
      </c>
      <c r="C1815" s="8">
        <f>IF(ISNA(MATCH(1806,'Transfer Engine'!$C$2:$C$1960,0)),"",INDEX('Compliance Database'!$C$2:$C$1960,MATCH(1806,'Transfer Engine'!$C$2:$C$1960,0)))</f>
        <v/>
      </c>
      <c r="D1815" s="9">
        <f>IF(ISNA(MATCH(1806,'Transfer Engine'!$C$2:$C$1960,0)),"",INDEX('Compliance Database'!$D$2:$D$1960,MATCH(1806,'Transfer Engine'!$C$2:$C$1960,0)))</f>
        <v/>
      </c>
      <c r="E1815" s="8">
        <f>IF(ISNA(MATCH(1806,'Transfer Engine'!$C$2:$C$1960,0)),"",INDEX('Compliance Database'!$E$2:$E$1960,MATCH(1806,'Transfer Engine'!$C$2:$C$1960,0)))</f>
        <v/>
      </c>
      <c r="F1815" s="8">
        <f>IF(ISNA(MATCH(1806,'Transfer Engine'!$C$2:$C$1960,0)),"",INDEX('Compliance Database'!$F$2:$F$1960,MATCH(1806,'Transfer Engine'!$C$2:$C$1960,0)))</f>
        <v/>
      </c>
      <c r="G1815" s="8">
        <f>IF(ISNA(MATCH(1806,'Transfer Engine'!$C$2:$C$1960,0)),"",INDEX('Compliance Database'!$G$2:$G$1960,MATCH(1806,'Transfer Engine'!$C$2:$C$1960,0)))</f>
        <v/>
      </c>
      <c r="H1815" s="9">
        <f>IF(ISNA(MATCH(1806,'Transfer Engine'!$C$2:$C$1960,0)),"",INDEX('Compliance Database'!$H$2:$H$1960,MATCH(1806,'Transfer Engine'!$C$2:$C$1960,0)))</f>
        <v/>
      </c>
      <c r="I1815" s="9">
        <f>IF(ISNA(MATCH(1806,'Transfer Engine'!$C$2:$C$1960,0)),"",INDEX('Compliance Database'!$I$2:$I$1960,MATCH(1806,'Transfer Engine'!$C$2:$C$1960,0)))</f>
        <v/>
      </c>
      <c r="J1815" s="8">
        <f>IF(ISNA(MATCH(1806,'Transfer Engine'!$C$2:$C$1960,0)),"",INDEX('Compliance Database'!$J$2:$J$1960,MATCH(1806,'Transfer Engine'!$C$2:$C$1960,0)))</f>
        <v/>
      </c>
      <c r="K1815" s="9">
        <f>IF(ISNA(MATCH(1806,'Transfer Engine'!$C$2:$C$1960,0)),"",INDEX('Compliance Database'!$K$2:$K$1960,MATCH(1806,'Transfer Engine'!$C$2:$C$1960,0)))</f>
        <v/>
      </c>
      <c r="L1815" s="9">
        <f>IF(ISNA(MATCH(1806,'Transfer Engine'!$C$2:$C$1960,0)),"",INDEX('Compliance Database'!$L$2:$L$1960,MATCH(1806,'Transfer Engine'!$C$2:$C$1960,0)))</f>
        <v/>
      </c>
      <c r="M1815" s="9">
        <f>IF(ISNA(MATCH(1806,'Transfer Engine'!$C$2:$C$1960,0)),"",INDEX('Compliance Database'!$M$2:$M$1960,MATCH(1806,'Transfer Engine'!$C$2:$C$1960,0)))</f>
        <v/>
      </c>
      <c r="N1815" s="9">
        <f>IF(ISNA(MATCH(1806,'Transfer Engine'!$C$2:$C$1960,0)),"",INDEX('Compliance Database'!$N$2:$N$1960,MATCH(1806,'Transfer Engine'!$C$2:$C$1960,0)))</f>
        <v/>
      </c>
      <c r="O1815" s="9">
        <f>IF(ISNA(MATCH(1806,'Transfer Engine'!$C$2:$C$1960,0)),"",INDEX('Compliance Database'!$O$2:$O$1960,MATCH(1806,'Transfer Engine'!$C$2:$C$1960,0)))</f>
        <v/>
      </c>
      <c r="P1815" s="8">
        <f>IF(ISNA(MATCH(1806,'Transfer Engine'!$C$2:$C$1960,0)),"",HYPERLINK("#Acts!A"&amp;INDEX('Compliance Database'!$P$2:$P$1960,MATCH(1806,'Transfer Engine'!$C$2:$C$1960,0)),"Go to Act"))</f>
        <v/>
      </c>
    </row>
    <row r="1816" ht="158" customHeight="1">
      <c r="A1816" s="8">
        <f>IF(ISNA(MATCH(1807,'Transfer Engine'!$C$2:$C$1960,0)),"",INDEX('Compliance Database'!$A$2:$A$1960,MATCH(1807,'Transfer Engine'!$C$2:$C$1960,0)))</f>
        <v/>
      </c>
      <c r="B1816" s="8">
        <f>IF(ISNA(MATCH(1807,'Transfer Engine'!$C$2:$C$1960,0)),"",INDEX('Compliance Database'!$B$2:$B$1960,MATCH(1807,'Transfer Engine'!$C$2:$C$1960,0)))</f>
        <v/>
      </c>
      <c r="C1816" s="8">
        <f>IF(ISNA(MATCH(1807,'Transfer Engine'!$C$2:$C$1960,0)),"",INDEX('Compliance Database'!$C$2:$C$1960,MATCH(1807,'Transfer Engine'!$C$2:$C$1960,0)))</f>
        <v/>
      </c>
      <c r="D1816" s="9">
        <f>IF(ISNA(MATCH(1807,'Transfer Engine'!$C$2:$C$1960,0)),"",INDEX('Compliance Database'!$D$2:$D$1960,MATCH(1807,'Transfer Engine'!$C$2:$C$1960,0)))</f>
        <v/>
      </c>
      <c r="E1816" s="8">
        <f>IF(ISNA(MATCH(1807,'Transfer Engine'!$C$2:$C$1960,0)),"",INDEX('Compliance Database'!$E$2:$E$1960,MATCH(1807,'Transfer Engine'!$C$2:$C$1960,0)))</f>
        <v/>
      </c>
      <c r="F1816" s="8">
        <f>IF(ISNA(MATCH(1807,'Transfer Engine'!$C$2:$C$1960,0)),"",INDEX('Compliance Database'!$F$2:$F$1960,MATCH(1807,'Transfer Engine'!$C$2:$C$1960,0)))</f>
        <v/>
      </c>
      <c r="G1816" s="8">
        <f>IF(ISNA(MATCH(1807,'Transfer Engine'!$C$2:$C$1960,0)),"",INDEX('Compliance Database'!$G$2:$G$1960,MATCH(1807,'Transfer Engine'!$C$2:$C$1960,0)))</f>
        <v/>
      </c>
      <c r="H1816" s="9">
        <f>IF(ISNA(MATCH(1807,'Transfer Engine'!$C$2:$C$1960,0)),"",INDEX('Compliance Database'!$H$2:$H$1960,MATCH(1807,'Transfer Engine'!$C$2:$C$1960,0)))</f>
        <v/>
      </c>
      <c r="I1816" s="9">
        <f>IF(ISNA(MATCH(1807,'Transfer Engine'!$C$2:$C$1960,0)),"",INDEX('Compliance Database'!$I$2:$I$1960,MATCH(1807,'Transfer Engine'!$C$2:$C$1960,0)))</f>
        <v/>
      </c>
      <c r="J1816" s="8">
        <f>IF(ISNA(MATCH(1807,'Transfer Engine'!$C$2:$C$1960,0)),"",INDEX('Compliance Database'!$J$2:$J$1960,MATCH(1807,'Transfer Engine'!$C$2:$C$1960,0)))</f>
        <v/>
      </c>
      <c r="K1816" s="9">
        <f>IF(ISNA(MATCH(1807,'Transfer Engine'!$C$2:$C$1960,0)),"",INDEX('Compliance Database'!$K$2:$K$1960,MATCH(1807,'Transfer Engine'!$C$2:$C$1960,0)))</f>
        <v/>
      </c>
      <c r="L1816" s="9">
        <f>IF(ISNA(MATCH(1807,'Transfer Engine'!$C$2:$C$1960,0)),"",INDEX('Compliance Database'!$L$2:$L$1960,MATCH(1807,'Transfer Engine'!$C$2:$C$1960,0)))</f>
        <v/>
      </c>
      <c r="M1816" s="9">
        <f>IF(ISNA(MATCH(1807,'Transfer Engine'!$C$2:$C$1960,0)),"",INDEX('Compliance Database'!$M$2:$M$1960,MATCH(1807,'Transfer Engine'!$C$2:$C$1960,0)))</f>
        <v/>
      </c>
      <c r="N1816" s="9">
        <f>IF(ISNA(MATCH(1807,'Transfer Engine'!$C$2:$C$1960,0)),"",INDEX('Compliance Database'!$N$2:$N$1960,MATCH(1807,'Transfer Engine'!$C$2:$C$1960,0)))</f>
        <v/>
      </c>
      <c r="O1816" s="9">
        <f>IF(ISNA(MATCH(1807,'Transfer Engine'!$C$2:$C$1960,0)),"",INDEX('Compliance Database'!$O$2:$O$1960,MATCH(1807,'Transfer Engine'!$C$2:$C$1960,0)))</f>
        <v/>
      </c>
      <c r="P1816" s="8">
        <f>IF(ISNA(MATCH(1807,'Transfer Engine'!$C$2:$C$1960,0)),"",HYPERLINK("#Acts!A"&amp;INDEX('Compliance Database'!$P$2:$P$1960,MATCH(1807,'Transfer Engine'!$C$2:$C$1960,0)),"Go to Act"))</f>
        <v/>
      </c>
    </row>
    <row r="1817" ht="158" customHeight="1">
      <c r="A1817" s="8">
        <f>IF(ISNA(MATCH(1808,'Transfer Engine'!$C$2:$C$1960,0)),"",INDEX('Compliance Database'!$A$2:$A$1960,MATCH(1808,'Transfer Engine'!$C$2:$C$1960,0)))</f>
        <v/>
      </c>
      <c r="B1817" s="8">
        <f>IF(ISNA(MATCH(1808,'Transfer Engine'!$C$2:$C$1960,0)),"",INDEX('Compliance Database'!$B$2:$B$1960,MATCH(1808,'Transfer Engine'!$C$2:$C$1960,0)))</f>
        <v/>
      </c>
      <c r="C1817" s="8">
        <f>IF(ISNA(MATCH(1808,'Transfer Engine'!$C$2:$C$1960,0)),"",INDEX('Compliance Database'!$C$2:$C$1960,MATCH(1808,'Transfer Engine'!$C$2:$C$1960,0)))</f>
        <v/>
      </c>
      <c r="D1817" s="9">
        <f>IF(ISNA(MATCH(1808,'Transfer Engine'!$C$2:$C$1960,0)),"",INDEX('Compliance Database'!$D$2:$D$1960,MATCH(1808,'Transfer Engine'!$C$2:$C$1960,0)))</f>
        <v/>
      </c>
      <c r="E1817" s="8">
        <f>IF(ISNA(MATCH(1808,'Transfer Engine'!$C$2:$C$1960,0)),"",INDEX('Compliance Database'!$E$2:$E$1960,MATCH(1808,'Transfer Engine'!$C$2:$C$1960,0)))</f>
        <v/>
      </c>
      <c r="F1817" s="8">
        <f>IF(ISNA(MATCH(1808,'Transfer Engine'!$C$2:$C$1960,0)),"",INDEX('Compliance Database'!$F$2:$F$1960,MATCH(1808,'Transfer Engine'!$C$2:$C$1960,0)))</f>
        <v/>
      </c>
      <c r="G1817" s="8">
        <f>IF(ISNA(MATCH(1808,'Transfer Engine'!$C$2:$C$1960,0)),"",INDEX('Compliance Database'!$G$2:$G$1960,MATCH(1808,'Transfer Engine'!$C$2:$C$1960,0)))</f>
        <v/>
      </c>
      <c r="H1817" s="9">
        <f>IF(ISNA(MATCH(1808,'Transfer Engine'!$C$2:$C$1960,0)),"",INDEX('Compliance Database'!$H$2:$H$1960,MATCH(1808,'Transfer Engine'!$C$2:$C$1960,0)))</f>
        <v/>
      </c>
      <c r="I1817" s="9">
        <f>IF(ISNA(MATCH(1808,'Transfer Engine'!$C$2:$C$1960,0)),"",INDEX('Compliance Database'!$I$2:$I$1960,MATCH(1808,'Transfer Engine'!$C$2:$C$1960,0)))</f>
        <v/>
      </c>
      <c r="J1817" s="8">
        <f>IF(ISNA(MATCH(1808,'Transfer Engine'!$C$2:$C$1960,0)),"",INDEX('Compliance Database'!$J$2:$J$1960,MATCH(1808,'Transfer Engine'!$C$2:$C$1960,0)))</f>
        <v/>
      </c>
      <c r="K1817" s="9">
        <f>IF(ISNA(MATCH(1808,'Transfer Engine'!$C$2:$C$1960,0)),"",INDEX('Compliance Database'!$K$2:$K$1960,MATCH(1808,'Transfer Engine'!$C$2:$C$1960,0)))</f>
        <v/>
      </c>
      <c r="L1817" s="9">
        <f>IF(ISNA(MATCH(1808,'Transfer Engine'!$C$2:$C$1960,0)),"",INDEX('Compliance Database'!$L$2:$L$1960,MATCH(1808,'Transfer Engine'!$C$2:$C$1960,0)))</f>
        <v/>
      </c>
      <c r="M1817" s="9">
        <f>IF(ISNA(MATCH(1808,'Transfer Engine'!$C$2:$C$1960,0)),"",INDEX('Compliance Database'!$M$2:$M$1960,MATCH(1808,'Transfer Engine'!$C$2:$C$1960,0)))</f>
        <v/>
      </c>
      <c r="N1817" s="9">
        <f>IF(ISNA(MATCH(1808,'Transfer Engine'!$C$2:$C$1960,0)),"",INDEX('Compliance Database'!$N$2:$N$1960,MATCH(1808,'Transfer Engine'!$C$2:$C$1960,0)))</f>
        <v/>
      </c>
      <c r="O1817" s="9">
        <f>IF(ISNA(MATCH(1808,'Transfer Engine'!$C$2:$C$1960,0)),"",INDEX('Compliance Database'!$O$2:$O$1960,MATCH(1808,'Transfer Engine'!$C$2:$C$1960,0)))</f>
        <v/>
      </c>
      <c r="P1817" s="8">
        <f>IF(ISNA(MATCH(1808,'Transfer Engine'!$C$2:$C$1960,0)),"",HYPERLINK("#Acts!A"&amp;INDEX('Compliance Database'!$P$2:$P$1960,MATCH(1808,'Transfer Engine'!$C$2:$C$1960,0)),"Go to Act"))</f>
        <v/>
      </c>
    </row>
    <row r="1818" ht="158" customHeight="1">
      <c r="A1818" s="8">
        <f>IF(ISNA(MATCH(1809,'Transfer Engine'!$C$2:$C$1960,0)),"",INDEX('Compliance Database'!$A$2:$A$1960,MATCH(1809,'Transfer Engine'!$C$2:$C$1960,0)))</f>
        <v/>
      </c>
      <c r="B1818" s="8">
        <f>IF(ISNA(MATCH(1809,'Transfer Engine'!$C$2:$C$1960,0)),"",INDEX('Compliance Database'!$B$2:$B$1960,MATCH(1809,'Transfer Engine'!$C$2:$C$1960,0)))</f>
        <v/>
      </c>
      <c r="C1818" s="8">
        <f>IF(ISNA(MATCH(1809,'Transfer Engine'!$C$2:$C$1960,0)),"",INDEX('Compliance Database'!$C$2:$C$1960,MATCH(1809,'Transfer Engine'!$C$2:$C$1960,0)))</f>
        <v/>
      </c>
      <c r="D1818" s="9">
        <f>IF(ISNA(MATCH(1809,'Transfer Engine'!$C$2:$C$1960,0)),"",INDEX('Compliance Database'!$D$2:$D$1960,MATCH(1809,'Transfer Engine'!$C$2:$C$1960,0)))</f>
        <v/>
      </c>
      <c r="E1818" s="8">
        <f>IF(ISNA(MATCH(1809,'Transfer Engine'!$C$2:$C$1960,0)),"",INDEX('Compliance Database'!$E$2:$E$1960,MATCH(1809,'Transfer Engine'!$C$2:$C$1960,0)))</f>
        <v/>
      </c>
      <c r="F1818" s="8">
        <f>IF(ISNA(MATCH(1809,'Transfer Engine'!$C$2:$C$1960,0)),"",INDEX('Compliance Database'!$F$2:$F$1960,MATCH(1809,'Transfer Engine'!$C$2:$C$1960,0)))</f>
        <v/>
      </c>
      <c r="G1818" s="8">
        <f>IF(ISNA(MATCH(1809,'Transfer Engine'!$C$2:$C$1960,0)),"",INDEX('Compliance Database'!$G$2:$G$1960,MATCH(1809,'Transfer Engine'!$C$2:$C$1960,0)))</f>
        <v/>
      </c>
      <c r="H1818" s="9">
        <f>IF(ISNA(MATCH(1809,'Transfer Engine'!$C$2:$C$1960,0)),"",INDEX('Compliance Database'!$H$2:$H$1960,MATCH(1809,'Transfer Engine'!$C$2:$C$1960,0)))</f>
        <v/>
      </c>
      <c r="I1818" s="9">
        <f>IF(ISNA(MATCH(1809,'Transfer Engine'!$C$2:$C$1960,0)),"",INDEX('Compliance Database'!$I$2:$I$1960,MATCH(1809,'Transfer Engine'!$C$2:$C$1960,0)))</f>
        <v/>
      </c>
      <c r="J1818" s="8">
        <f>IF(ISNA(MATCH(1809,'Transfer Engine'!$C$2:$C$1960,0)),"",INDEX('Compliance Database'!$J$2:$J$1960,MATCH(1809,'Transfer Engine'!$C$2:$C$1960,0)))</f>
        <v/>
      </c>
      <c r="K1818" s="9">
        <f>IF(ISNA(MATCH(1809,'Transfer Engine'!$C$2:$C$1960,0)),"",INDEX('Compliance Database'!$K$2:$K$1960,MATCH(1809,'Transfer Engine'!$C$2:$C$1960,0)))</f>
        <v/>
      </c>
      <c r="L1818" s="9">
        <f>IF(ISNA(MATCH(1809,'Transfer Engine'!$C$2:$C$1960,0)),"",INDEX('Compliance Database'!$L$2:$L$1960,MATCH(1809,'Transfer Engine'!$C$2:$C$1960,0)))</f>
        <v/>
      </c>
      <c r="M1818" s="9">
        <f>IF(ISNA(MATCH(1809,'Transfer Engine'!$C$2:$C$1960,0)),"",INDEX('Compliance Database'!$M$2:$M$1960,MATCH(1809,'Transfer Engine'!$C$2:$C$1960,0)))</f>
        <v/>
      </c>
      <c r="N1818" s="9">
        <f>IF(ISNA(MATCH(1809,'Transfer Engine'!$C$2:$C$1960,0)),"",INDEX('Compliance Database'!$N$2:$N$1960,MATCH(1809,'Transfer Engine'!$C$2:$C$1960,0)))</f>
        <v/>
      </c>
      <c r="O1818" s="9">
        <f>IF(ISNA(MATCH(1809,'Transfer Engine'!$C$2:$C$1960,0)),"",INDEX('Compliance Database'!$O$2:$O$1960,MATCH(1809,'Transfer Engine'!$C$2:$C$1960,0)))</f>
        <v/>
      </c>
      <c r="P1818" s="8">
        <f>IF(ISNA(MATCH(1809,'Transfer Engine'!$C$2:$C$1960,0)),"",HYPERLINK("#Acts!A"&amp;INDEX('Compliance Database'!$P$2:$P$1960,MATCH(1809,'Transfer Engine'!$C$2:$C$1960,0)),"Go to Act"))</f>
        <v/>
      </c>
    </row>
    <row r="1819" ht="158" customHeight="1">
      <c r="A1819" s="8">
        <f>IF(ISNA(MATCH(1810,'Transfer Engine'!$C$2:$C$1960,0)),"",INDEX('Compliance Database'!$A$2:$A$1960,MATCH(1810,'Transfer Engine'!$C$2:$C$1960,0)))</f>
        <v/>
      </c>
      <c r="B1819" s="8">
        <f>IF(ISNA(MATCH(1810,'Transfer Engine'!$C$2:$C$1960,0)),"",INDEX('Compliance Database'!$B$2:$B$1960,MATCH(1810,'Transfer Engine'!$C$2:$C$1960,0)))</f>
        <v/>
      </c>
      <c r="C1819" s="8">
        <f>IF(ISNA(MATCH(1810,'Transfer Engine'!$C$2:$C$1960,0)),"",INDEX('Compliance Database'!$C$2:$C$1960,MATCH(1810,'Transfer Engine'!$C$2:$C$1960,0)))</f>
        <v/>
      </c>
      <c r="D1819" s="9">
        <f>IF(ISNA(MATCH(1810,'Transfer Engine'!$C$2:$C$1960,0)),"",INDEX('Compliance Database'!$D$2:$D$1960,MATCH(1810,'Transfer Engine'!$C$2:$C$1960,0)))</f>
        <v/>
      </c>
      <c r="E1819" s="8">
        <f>IF(ISNA(MATCH(1810,'Transfer Engine'!$C$2:$C$1960,0)),"",INDEX('Compliance Database'!$E$2:$E$1960,MATCH(1810,'Transfer Engine'!$C$2:$C$1960,0)))</f>
        <v/>
      </c>
      <c r="F1819" s="8">
        <f>IF(ISNA(MATCH(1810,'Transfer Engine'!$C$2:$C$1960,0)),"",INDEX('Compliance Database'!$F$2:$F$1960,MATCH(1810,'Transfer Engine'!$C$2:$C$1960,0)))</f>
        <v/>
      </c>
      <c r="G1819" s="8">
        <f>IF(ISNA(MATCH(1810,'Transfer Engine'!$C$2:$C$1960,0)),"",INDEX('Compliance Database'!$G$2:$G$1960,MATCH(1810,'Transfer Engine'!$C$2:$C$1960,0)))</f>
        <v/>
      </c>
      <c r="H1819" s="9">
        <f>IF(ISNA(MATCH(1810,'Transfer Engine'!$C$2:$C$1960,0)),"",INDEX('Compliance Database'!$H$2:$H$1960,MATCH(1810,'Transfer Engine'!$C$2:$C$1960,0)))</f>
        <v/>
      </c>
      <c r="I1819" s="9">
        <f>IF(ISNA(MATCH(1810,'Transfer Engine'!$C$2:$C$1960,0)),"",INDEX('Compliance Database'!$I$2:$I$1960,MATCH(1810,'Transfer Engine'!$C$2:$C$1960,0)))</f>
        <v/>
      </c>
      <c r="J1819" s="8">
        <f>IF(ISNA(MATCH(1810,'Transfer Engine'!$C$2:$C$1960,0)),"",INDEX('Compliance Database'!$J$2:$J$1960,MATCH(1810,'Transfer Engine'!$C$2:$C$1960,0)))</f>
        <v/>
      </c>
      <c r="K1819" s="9">
        <f>IF(ISNA(MATCH(1810,'Transfer Engine'!$C$2:$C$1960,0)),"",INDEX('Compliance Database'!$K$2:$K$1960,MATCH(1810,'Transfer Engine'!$C$2:$C$1960,0)))</f>
        <v/>
      </c>
      <c r="L1819" s="9">
        <f>IF(ISNA(MATCH(1810,'Transfer Engine'!$C$2:$C$1960,0)),"",INDEX('Compliance Database'!$L$2:$L$1960,MATCH(1810,'Transfer Engine'!$C$2:$C$1960,0)))</f>
        <v/>
      </c>
      <c r="M1819" s="9">
        <f>IF(ISNA(MATCH(1810,'Transfer Engine'!$C$2:$C$1960,0)),"",INDEX('Compliance Database'!$M$2:$M$1960,MATCH(1810,'Transfer Engine'!$C$2:$C$1960,0)))</f>
        <v/>
      </c>
      <c r="N1819" s="9">
        <f>IF(ISNA(MATCH(1810,'Transfer Engine'!$C$2:$C$1960,0)),"",INDEX('Compliance Database'!$N$2:$N$1960,MATCH(1810,'Transfer Engine'!$C$2:$C$1960,0)))</f>
        <v/>
      </c>
      <c r="O1819" s="9">
        <f>IF(ISNA(MATCH(1810,'Transfer Engine'!$C$2:$C$1960,0)),"",INDEX('Compliance Database'!$O$2:$O$1960,MATCH(1810,'Transfer Engine'!$C$2:$C$1960,0)))</f>
        <v/>
      </c>
      <c r="P1819" s="8">
        <f>IF(ISNA(MATCH(1810,'Transfer Engine'!$C$2:$C$1960,0)),"",HYPERLINK("#Acts!A"&amp;INDEX('Compliance Database'!$P$2:$P$1960,MATCH(1810,'Transfer Engine'!$C$2:$C$1960,0)),"Go to Act"))</f>
        <v/>
      </c>
    </row>
    <row r="1820" ht="158" customHeight="1">
      <c r="A1820" s="8">
        <f>IF(ISNA(MATCH(1811,'Transfer Engine'!$C$2:$C$1960,0)),"",INDEX('Compliance Database'!$A$2:$A$1960,MATCH(1811,'Transfer Engine'!$C$2:$C$1960,0)))</f>
        <v/>
      </c>
      <c r="B1820" s="8">
        <f>IF(ISNA(MATCH(1811,'Transfer Engine'!$C$2:$C$1960,0)),"",INDEX('Compliance Database'!$B$2:$B$1960,MATCH(1811,'Transfer Engine'!$C$2:$C$1960,0)))</f>
        <v/>
      </c>
      <c r="C1820" s="8">
        <f>IF(ISNA(MATCH(1811,'Transfer Engine'!$C$2:$C$1960,0)),"",INDEX('Compliance Database'!$C$2:$C$1960,MATCH(1811,'Transfer Engine'!$C$2:$C$1960,0)))</f>
        <v/>
      </c>
      <c r="D1820" s="9">
        <f>IF(ISNA(MATCH(1811,'Transfer Engine'!$C$2:$C$1960,0)),"",INDEX('Compliance Database'!$D$2:$D$1960,MATCH(1811,'Transfer Engine'!$C$2:$C$1960,0)))</f>
        <v/>
      </c>
      <c r="E1820" s="8">
        <f>IF(ISNA(MATCH(1811,'Transfer Engine'!$C$2:$C$1960,0)),"",INDEX('Compliance Database'!$E$2:$E$1960,MATCH(1811,'Transfer Engine'!$C$2:$C$1960,0)))</f>
        <v/>
      </c>
      <c r="F1820" s="8">
        <f>IF(ISNA(MATCH(1811,'Transfer Engine'!$C$2:$C$1960,0)),"",INDEX('Compliance Database'!$F$2:$F$1960,MATCH(1811,'Transfer Engine'!$C$2:$C$1960,0)))</f>
        <v/>
      </c>
      <c r="G1820" s="8">
        <f>IF(ISNA(MATCH(1811,'Transfer Engine'!$C$2:$C$1960,0)),"",INDEX('Compliance Database'!$G$2:$G$1960,MATCH(1811,'Transfer Engine'!$C$2:$C$1960,0)))</f>
        <v/>
      </c>
      <c r="H1820" s="9">
        <f>IF(ISNA(MATCH(1811,'Transfer Engine'!$C$2:$C$1960,0)),"",INDEX('Compliance Database'!$H$2:$H$1960,MATCH(1811,'Transfer Engine'!$C$2:$C$1960,0)))</f>
        <v/>
      </c>
      <c r="I1820" s="9">
        <f>IF(ISNA(MATCH(1811,'Transfer Engine'!$C$2:$C$1960,0)),"",INDEX('Compliance Database'!$I$2:$I$1960,MATCH(1811,'Transfer Engine'!$C$2:$C$1960,0)))</f>
        <v/>
      </c>
      <c r="J1820" s="8">
        <f>IF(ISNA(MATCH(1811,'Transfer Engine'!$C$2:$C$1960,0)),"",INDEX('Compliance Database'!$J$2:$J$1960,MATCH(1811,'Transfer Engine'!$C$2:$C$1960,0)))</f>
        <v/>
      </c>
      <c r="K1820" s="9">
        <f>IF(ISNA(MATCH(1811,'Transfer Engine'!$C$2:$C$1960,0)),"",INDEX('Compliance Database'!$K$2:$K$1960,MATCH(1811,'Transfer Engine'!$C$2:$C$1960,0)))</f>
        <v/>
      </c>
      <c r="L1820" s="9">
        <f>IF(ISNA(MATCH(1811,'Transfer Engine'!$C$2:$C$1960,0)),"",INDEX('Compliance Database'!$L$2:$L$1960,MATCH(1811,'Transfer Engine'!$C$2:$C$1960,0)))</f>
        <v/>
      </c>
      <c r="M1820" s="9">
        <f>IF(ISNA(MATCH(1811,'Transfer Engine'!$C$2:$C$1960,0)),"",INDEX('Compliance Database'!$M$2:$M$1960,MATCH(1811,'Transfer Engine'!$C$2:$C$1960,0)))</f>
        <v/>
      </c>
      <c r="N1820" s="9">
        <f>IF(ISNA(MATCH(1811,'Transfer Engine'!$C$2:$C$1960,0)),"",INDEX('Compliance Database'!$N$2:$N$1960,MATCH(1811,'Transfer Engine'!$C$2:$C$1960,0)))</f>
        <v/>
      </c>
      <c r="O1820" s="9">
        <f>IF(ISNA(MATCH(1811,'Transfer Engine'!$C$2:$C$1960,0)),"",INDEX('Compliance Database'!$O$2:$O$1960,MATCH(1811,'Transfer Engine'!$C$2:$C$1960,0)))</f>
        <v/>
      </c>
      <c r="P1820" s="8">
        <f>IF(ISNA(MATCH(1811,'Transfer Engine'!$C$2:$C$1960,0)),"",HYPERLINK("#Acts!A"&amp;INDEX('Compliance Database'!$P$2:$P$1960,MATCH(1811,'Transfer Engine'!$C$2:$C$1960,0)),"Go to Act"))</f>
        <v/>
      </c>
    </row>
    <row r="1821" ht="158" customHeight="1">
      <c r="A1821" s="8">
        <f>IF(ISNA(MATCH(1812,'Transfer Engine'!$C$2:$C$1960,0)),"",INDEX('Compliance Database'!$A$2:$A$1960,MATCH(1812,'Transfer Engine'!$C$2:$C$1960,0)))</f>
        <v/>
      </c>
      <c r="B1821" s="8">
        <f>IF(ISNA(MATCH(1812,'Transfer Engine'!$C$2:$C$1960,0)),"",INDEX('Compliance Database'!$B$2:$B$1960,MATCH(1812,'Transfer Engine'!$C$2:$C$1960,0)))</f>
        <v/>
      </c>
      <c r="C1821" s="8">
        <f>IF(ISNA(MATCH(1812,'Transfer Engine'!$C$2:$C$1960,0)),"",INDEX('Compliance Database'!$C$2:$C$1960,MATCH(1812,'Transfer Engine'!$C$2:$C$1960,0)))</f>
        <v/>
      </c>
      <c r="D1821" s="9">
        <f>IF(ISNA(MATCH(1812,'Transfer Engine'!$C$2:$C$1960,0)),"",INDEX('Compliance Database'!$D$2:$D$1960,MATCH(1812,'Transfer Engine'!$C$2:$C$1960,0)))</f>
        <v/>
      </c>
      <c r="E1821" s="8">
        <f>IF(ISNA(MATCH(1812,'Transfer Engine'!$C$2:$C$1960,0)),"",INDEX('Compliance Database'!$E$2:$E$1960,MATCH(1812,'Transfer Engine'!$C$2:$C$1960,0)))</f>
        <v/>
      </c>
      <c r="F1821" s="8">
        <f>IF(ISNA(MATCH(1812,'Transfer Engine'!$C$2:$C$1960,0)),"",INDEX('Compliance Database'!$F$2:$F$1960,MATCH(1812,'Transfer Engine'!$C$2:$C$1960,0)))</f>
        <v/>
      </c>
      <c r="G1821" s="8">
        <f>IF(ISNA(MATCH(1812,'Transfer Engine'!$C$2:$C$1960,0)),"",INDEX('Compliance Database'!$G$2:$G$1960,MATCH(1812,'Transfer Engine'!$C$2:$C$1960,0)))</f>
        <v/>
      </c>
      <c r="H1821" s="9">
        <f>IF(ISNA(MATCH(1812,'Transfer Engine'!$C$2:$C$1960,0)),"",INDEX('Compliance Database'!$H$2:$H$1960,MATCH(1812,'Transfer Engine'!$C$2:$C$1960,0)))</f>
        <v/>
      </c>
      <c r="I1821" s="9">
        <f>IF(ISNA(MATCH(1812,'Transfer Engine'!$C$2:$C$1960,0)),"",INDEX('Compliance Database'!$I$2:$I$1960,MATCH(1812,'Transfer Engine'!$C$2:$C$1960,0)))</f>
        <v/>
      </c>
      <c r="J1821" s="8">
        <f>IF(ISNA(MATCH(1812,'Transfer Engine'!$C$2:$C$1960,0)),"",INDEX('Compliance Database'!$J$2:$J$1960,MATCH(1812,'Transfer Engine'!$C$2:$C$1960,0)))</f>
        <v/>
      </c>
      <c r="K1821" s="9">
        <f>IF(ISNA(MATCH(1812,'Transfer Engine'!$C$2:$C$1960,0)),"",INDEX('Compliance Database'!$K$2:$K$1960,MATCH(1812,'Transfer Engine'!$C$2:$C$1960,0)))</f>
        <v/>
      </c>
      <c r="L1821" s="9">
        <f>IF(ISNA(MATCH(1812,'Transfer Engine'!$C$2:$C$1960,0)),"",INDEX('Compliance Database'!$L$2:$L$1960,MATCH(1812,'Transfer Engine'!$C$2:$C$1960,0)))</f>
        <v/>
      </c>
      <c r="M1821" s="9">
        <f>IF(ISNA(MATCH(1812,'Transfer Engine'!$C$2:$C$1960,0)),"",INDEX('Compliance Database'!$M$2:$M$1960,MATCH(1812,'Transfer Engine'!$C$2:$C$1960,0)))</f>
        <v/>
      </c>
      <c r="N1821" s="9">
        <f>IF(ISNA(MATCH(1812,'Transfer Engine'!$C$2:$C$1960,0)),"",INDEX('Compliance Database'!$N$2:$N$1960,MATCH(1812,'Transfer Engine'!$C$2:$C$1960,0)))</f>
        <v/>
      </c>
      <c r="O1821" s="9">
        <f>IF(ISNA(MATCH(1812,'Transfer Engine'!$C$2:$C$1960,0)),"",INDEX('Compliance Database'!$O$2:$O$1960,MATCH(1812,'Transfer Engine'!$C$2:$C$1960,0)))</f>
        <v/>
      </c>
      <c r="P1821" s="8">
        <f>IF(ISNA(MATCH(1812,'Transfer Engine'!$C$2:$C$1960,0)),"",HYPERLINK("#Acts!A"&amp;INDEX('Compliance Database'!$P$2:$P$1960,MATCH(1812,'Transfer Engine'!$C$2:$C$1960,0)),"Go to Act"))</f>
        <v/>
      </c>
    </row>
    <row r="1822" ht="158" customHeight="1">
      <c r="A1822" s="8">
        <f>IF(ISNA(MATCH(1813,'Transfer Engine'!$C$2:$C$1960,0)),"",INDEX('Compliance Database'!$A$2:$A$1960,MATCH(1813,'Transfer Engine'!$C$2:$C$1960,0)))</f>
        <v/>
      </c>
      <c r="B1822" s="8">
        <f>IF(ISNA(MATCH(1813,'Transfer Engine'!$C$2:$C$1960,0)),"",INDEX('Compliance Database'!$B$2:$B$1960,MATCH(1813,'Transfer Engine'!$C$2:$C$1960,0)))</f>
        <v/>
      </c>
      <c r="C1822" s="8">
        <f>IF(ISNA(MATCH(1813,'Transfer Engine'!$C$2:$C$1960,0)),"",INDEX('Compliance Database'!$C$2:$C$1960,MATCH(1813,'Transfer Engine'!$C$2:$C$1960,0)))</f>
        <v/>
      </c>
      <c r="D1822" s="9">
        <f>IF(ISNA(MATCH(1813,'Transfer Engine'!$C$2:$C$1960,0)),"",INDEX('Compliance Database'!$D$2:$D$1960,MATCH(1813,'Transfer Engine'!$C$2:$C$1960,0)))</f>
        <v/>
      </c>
      <c r="E1822" s="8">
        <f>IF(ISNA(MATCH(1813,'Transfer Engine'!$C$2:$C$1960,0)),"",INDEX('Compliance Database'!$E$2:$E$1960,MATCH(1813,'Transfer Engine'!$C$2:$C$1960,0)))</f>
        <v/>
      </c>
      <c r="F1822" s="8">
        <f>IF(ISNA(MATCH(1813,'Transfer Engine'!$C$2:$C$1960,0)),"",INDEX('Compliance Database'!$F$2:$F$1960,MATCH(1813,'Transfer Engine'!$C$2:$C$1960,0)))</f>
        <v/>
      </c>
      <c r="G1822" s="8">
        <f>IF(ISNA(MATCH(1813,'Transfer Engine'!$C$2:$C$1960,0)),"",INDEX('Compliance Database'!$G$2:$G$1960,MATCH(1813,'Transfer Engine'!$C$2:$C$1960,0)))</f>
        <v/>
      </c>
      <c r="H1822" s="9">
        <f>IF(ISNA(MATCH(1813,'Transfer Engine'!$C$2:$C$1960,0)),"",INDEX('Compliance Database'!$H$2:$H$1960,MATCH(1813,'Transfer Engine'!$C$2:$C$1960,0)))</f>
        <v/>
      </c>
      <c r="I1822" s="9">
        <f>IF(ISNA(MATCH(1813,'Transfer Engine'!$C$2:$C$1960,0)),"",INDEX('Compliance Database'!$I$2:$I$1960,MATCH(1813,'Transfer Engine'!$C$2:$C$1960,0)))</f>
        <v/>
      </c>
      <c r="J1822" s="8">
        <f>IF(ISNA(MATCH(1813,'Transfer Engine'!$C$2:$C$1960,0)),"",INDEX('Compliance Database'!$J$2:$J$1960,MATCH(1813,'Transfer Engine'!$C$2:$C$1960,0)))</f>
        <v/>
      </c>
      <c r="K1822" s="9">
        <f>IF(ISNA(MATCH(1813,'Transfer Engine'!$C$2:$C$1960,0)),"",INDEX('Compliance Database'!$K$2:$K$1960,MATCH(1813,'Transfer Engine'!$C$2:$C$1960,0)))</f>
        <v/>
      </c>
      <c r="L1822" s="9">
        <f>IF(ISNA(MATCH(1813,'Transfer Engine'!$C$2:$C$1960,0)),"",INDEX('Compliance Database'!$L$2:$L$1960,MATCH(1813,'Transfer Engine'!$C$2:$C$1960,0)))</f>
        <v/>
      </c>
      <c r="M1822" s="9">
        <f>IF(ISNA(MATCH(1813,'Transfer Engine'!$C$2:$C$1960,0)),"",INDEX('Compliance Database'!$M$2:$M$1960,MATCH(1813,'Transfer Engine'!$C$2:$C$1960,0)))</f>
        <v/>
      </c>
      <c r="N1822" s="9">
        <f>IF(ISNA(MATCH(1813,'Transfer Engine'!$C$2:$C$1960,0)),"",INDEX('Compliance Database'!$N$2:$N$1960,MATCH(1813,'Transfer Engine'!$C$2:$C$1960,0)))</f>
        <v/>
      </c>
      <c r="O1822" s="9">
        <f>IF(ISNA(MATCH(1813,'Transfer Engine'!$C$2:$C$1960,0)),"",INDEX('Compliance Database'!$O$2:$O$1960,MATCH(1813,'Transfer Engine'!$C$2:$C$1960,0)))</f>
        <v/>
      </c>
      <c r="P1822" s="8">
        <f>IF(ISNA(MATCH(1813,'Transfer Engine'!$C$2:$C$1960,0)),"",HYPERLINK("#Acts!A"&amp;INDEX('Compliance Database'!$P$2:$P$1960,MATCH(1813,'Transfer Engine'!$C$2:$C$1960,0)),"Go to Act"))</f>
        <v/>
      </c>
    </row>
    <row r="1823" ht="158" customHeight="1">
      <c r="A1823" s="8">
        <f>IF(ISNA(MATCH(1814,'Transfer Engine'!$C$2:$C$1960,0)),"",INDEX('Compliance Database'!$A$2:$A$1960,MATCH(1814,'Transfer Engine'!$C$2:$C$1960,0)))</f>
        <v/>
      </c>
      <c r="B1823" s="8">
        <f>IF(ISNA(MATCH(1814,'Transfer Engine'!$C$2:$C$1960,0)),"",INDEX('Compliance Database'!$B$2:$B$1960,MATCH(1814,'Transfer Engine'!$C$2:$C$1960,0)))</f>
        <v/>
      </c>
      <c r="C1823" s="8">
        <f>IF(ISNA(MATCH(1814,'Transfer Engine'!$C$2:$C$1960,0)),"",INDEX('Compliance Database'!$C$2:$C$1960,MATCH(1814,'Transfer Engine'!$C$2:$C$1960,0)))</f>
        <v/>
      </c>
      <c r="D1823" s="9">
        <f>IF(ISNA(MATCH(1814,'Transfer Engine'!$C$2:$C$1960,0)),"",INDEX('Compliance Database'!$D$2:$D$1960,MATCH(1814,'Transfer Engine'!$C$2:$C$1960,0)))</f>
        <v/>
      </c>
      <c r="E1823" s="8">
        <f>IF(ISNA(MATCH(1814,'Transfer Engine'!$C$2:$C$1960,0)),"",INDEX('Compliance Database'!$E$2:$E$1960,MATCH(1814,'Transfer Engine'!$C$2:$C$1960,0)))</f>
        <v/>
      </c>
      <c r="F1823" s="8">
        <f>IF(ISNA(MATCH(1814,'Transfer Engine'!$C$2:$C$1960,0)),"",INDEX('Compliance Database'!$F$2:$F$1960,MATCH(1814,'Transfer Engine'!$C$2:$C$1960,0)))</f>
        <v/>
      </c>
      <c r="G1823" s="8">
        <f>IF(ISNA(MATCH(1814,'Transfer Engine'!$C$2:$C$1960,0)),"",INDEX('Compliance Database'!$G$2:$G$1960,MATCH(1814,'Transfer Engine'!$C$2:$C$1960,0)))</f>
        <v/>
      </c>
      <c r="H1823" s="9">
        <f>IF(ISNA(MATCH(1814,'Transfer Engine'!$C$2:$C$1960,0)),"",INDEX('Compliance Database'!$H$2:$H$1960,MATCH(1814,'Transfer Engine'!$C$2:$C$1960,0)))</f>
        <v/>
      </c>
      <c r="I1823" s="9">
        <f>IF(ISNA(MATCH(1814,'Transfer Engine'!$C$2:$C$1960,0)),"",INDEX('Compliance Database'!$I$2:$I$1960,MATCH(1814,'Transfer Engine'!$C$2:$C$1960,0)))</f>
        <v/>
      </c>
      <c r="J1823" s="8">
        <f>IF(ISNA(MATCH(1814,'Transfer Engine'!$C$2:$C$1960,0)),"",INDEX('Compliance Database'!$J$2:$J$1960,MATCH(1814,'Transfer Engine'!$C$2:$C$1960,0)))</f>
        <v/>
      </c>
      <c r="K1823" s="9">
        <f>IF(ISNA(MATCH(1814,'Transfer Engine'!$C$2:$C$1960,0)),"",INDEX('Compliance Database'!$K$2:$K$1960,MATCH(1814,'Transfer Engine'!$C$2:$C$1960,0)))</f>
        <v/>
      </c>
      <c r="L1823" s="9">
        <f>IF(ISNA(MATCH(1814,'Transfer Engine'!$C$2:$C$1960,0)),"",INDEX('Compliance Database'!$L$2:$L$1960,MATCH(1814,'Transfer Engine'!$C$2:$C$1960,0)))</f>
        <v/>
      </c>
      <c r="M1823" s="9">
        <f>IF(ISNA(MATCH(1814,'Transfer Engine'!$C$2:$C$1960,0)),"",INDEX('Compliance Database'!$M$2:$M$1960,MATCH(1814,'Transfer Engine'!$C$2:$C$1960,0)))</f>
        <v/>
      </c>
      <c r="N1823" s="9">
        <f>IF(ISNA(MATCH(1814,'Transfer Engine'!$C$2:$C$1960,0)),"",INDEX('Compliance Database'!$N$2:$N$1960,MATCH(1814,'Transfer Engine'!$C$2:$C$1960,0)))</f>
        <v/>
      </c>
      <c r="O1823" s="9">
        <f>IF(ISNA(MATCH(1814,'Transfer Engine'!$C$2:$C$1960,0)),"",INDEX('Compliance Database'!$O$2:$O$1960,MATCH(1814,'Transfer Engine'!$C$2:$C$1960,0)))</f>
        <v/>
      </c>
      <c r="P1823" s="8">
        <f>IF(ISNA(MATCH(1814,'Transfer Engine'!$C$2:$C$1960,0)),"",HYPERLINK("#Acts!A"&amp;INDEX('Compliance Database'!$P$2:$P$1960,MATCH(1814,'Transfer Engine'!$C$2:$C$1960,0)),"Go to Act"))</f>
        <v/>
      </c>
    </row>
    <row r="1824" ht="158" customHeight="1">
      <c r="A1824" s="8">
        <f>IF(ISNA(MATCH(1815,'Transfer Engine'!$C$2:$C$1960,0)),"",INDEX('Compliance Database'!$A$2:$A$1960,MATCH(1815,'Transfer Engine'!$C$2:$C$1960,0)))</f>
        <v/>
      </c>
      <c r="B1824" s="8">
        <f>IF(ISNA(MATCH(1815,'Transfer Engine'!$C$2:$C$1960,0)),"",INDEX('Compliance Database'!$B$2:$B$1960,MATCH(1815,'Transfer Engine'!$C$2:$C$1960,0)))</f>
        <v/>
      </c>
      <c r="C1824" s="8">
        <f>IF(ISNA(MATCH(1815,'Transfer Engine'!$C$2:$C$1960,0)),"",INDEX('Compliance Database'!$C$2:$C$1960,MATCH(1815,'Transfer Engine'!$C$2:$C$1960,0)))</f>
        <v/>
      </c>
      <c r="D1824" s="9">
        <f>IF(ISNA(MATCH(1815,'Transfer Engine'!$C$2:$C$1960,0)),"",INDEX('Compliance Database'!$D$2:$D$1960,MATCH(1815,'Transfer Engine'!$C$2:$C$1960,0)))</f>
        <v/>
      </c>
      <c r="E1824" s="8">
        <f>IF(ISNA(MATCH(1815,'Transfer Engine'!$C$2:$C$1960,0)),"",INDEX('Compliance Database'!$E$2:$E$1960,MATCH(1815,'Transfer Engine'!$C$2:$C$1960,0)))</f>
        <v/>
      </c>
      <c r="F1824" s="8">
        <f>IF(ISNA(MATCH(1815,'Transfer Engine'!$C$2:$C$1960,0)),"",INDEX('Compliance Database'!$F$2:$F$1960,MATCH(1815,'Transfer Engine'!$C$2:$C$1960,0)))</f>
        <v/>
      </c>
      <c r="G1824" s="8">
        <f>IF(ISNA(MATCH(1815,'Transfer Engine'!$C$2:$C$1960,0)),"",INDEX('Compliance Database'!$G$2:$G$1960,MATCH(1815,'Transfer Engine'!$C$2:$C$1960,0)))</f>
        <v/>
      </c>
      <c r="H1824" s="9">
        <f>IF(ISNA(MATCH(1815,'Transfer Engine'!$C$2:$C$1960,0)),"",INDEX('Compliance Database'!$H$2:$H$1960,MATCH(1815,'Transfer Engine'!$C$2:$C$1960,0)))</f>
        <v/>
      </c>
      <c r="I1824" s="9">
        <f>IF(ISNA(MATCH(1815,'Transfer Engine'!$C$2:$C$1960,0)),"",INDEX('Compliance Database'!$I$2:$I$1960,MATCH(1815,'Transfer Engine'!$C$2:$C$1960,0)))</f>
        <v/>
      </c>
      <c r="J1824" s="8">
        <f>IF(ISNA(MATCH(1815,'Transfer Engine'!$C$2:$C$1960,0)),"",INDEX('Compliance Database'!$J$2:$J$1960,MATCH(1815,'Transfer Engine'!$C$2:$C$1960,0)))</f>
        <v/>
      </c>
      <c r="K1824" s="9">
        <f>IF(ISNA(MATCH(1815,'Transfer Engine'!$C$2:$C$1960,0)),"",INDEX('Compliance Database'!$K$2:$K$1960,MATCH(1815,'Transfer Engine'!$C$2:$C$1960,0)))</f>
        <v/>
      </c>
      <c r="L1824" s="9">
        <f>IF(ISNA(MATCH(1815,'Transfer Engine'!$C$2:$C$1960,0)),"",INDEX('Compliance Database'!$L$2:$L$1960,MATCH(1815,'Transfer Engine'!$C$2:$C$1960,0)))</f>
        <v/>
      </c>
      <c r="M1824" s="9">
        <f>IF(ISNA(MATCH(1815,'Transfer Engine'!$C$2:$C$1960,0)),"",INDEX('Compliance Database'!$M$2:$M$1960,MATCH(1815,'Transfer Engine'!$C$2:$C$1960,0)))</f>
        <v/>
      </c>
      <c r="N1824" s="9">
        <f>IF(ISNA(MATCH(1815,'Transfer Engine'!$C$2:$C$1960,0)),"",INDEX('Compliance Database'!$N$2:$N$1960,MATCH(1815,'Transfer Engine'!$C$2:$C$1960,0)))</f>
        <v/>
      </c>
      <c r="O1824" s="9">
        <f>IF(ISNA(MATCH(1815,'Transfer Engine'!$C$2:$C$1960,0)),"",INDEX('Compliance Database'!$O$2:$O$1960,MATCH(1815,'Transfer Engine'!$C$2:$C$1960,0)))</f>
        <v/>
      </c>
      <c r="P1824" s="8">
        <f>IF(ISNA(MATCH(1815,'Transfer Engine'!$C$2:$C$1960,0)),"",HYPERLINK("#Acts!A"&amp;INDEX('Compliance Database'!$P$2:$P$1960,MATCH(1815,'Transfer Engine'!$C$2:$C$1960,0)),"Go to Act"))</f>
        <v/>
      </c>
    </row>
    <row r="1825" ht="158" customHeight="1">
      <c r="A1825" s="8">
        <f>IF(ISNA(MATCH(1816,'Transfer Engine'!$C$2:$C$1960,0)),"",INDEX('Compliance Database'!$A$2:$A$1960,MATCH(1816,'Transfer Engine'!$C$2:$C$1960,0)))</f>
        <v/>
      </c>
      <c r="B1825" s="8">
        <f>IF(ISNA(MATCH(1816,'Transfer Engine'!$C$2:$C$1960,0)),"",INDEX('Compliance Database'!$B$2:$B$1960,MATCH(1816,'Transfer Engine'!$C$2:$C$1960,0)))</f>
        <v/>
      </c>
      <c r="C1825" s="8">
        <f>IF(ISNA(MATCH(1816,'Transfer Engine'!$C$2:$C$1960,0)),"",INDEX('Compliance Database'!$C$2:$C$1960,MATCH(1816,'Transfer Engine'!$C$2:$C$1960,0)))</f>
        <v/>
      </c>
      <c r="D1825" s="9">
        <f>IF(ISNA(MATCH(1816,'Transfer Engine'!$C$2:$C$1960,0)),"",INDEX('Compliance Database'!$D$2:$D$1960,MATCH(1816,'Transfer Engine'!$C$2:$C$1960,0)))</f>
        <v/>
      </c>
      <c r="E1825" s="8">
        <f>IF(ISNA(MATCH(1816,'Transfer Engine'!$C$2:$C$1960,0)),"",INDEX('Compliance Database'!$E$2:$E$1960,MATCH(1816,'Transfer Engine'!$C$2:$C$1960,0)))</f>
        <v/>
      </c>
      <c r="F1825" s="8">
        <f>IF(ISNA(MATCH(1816,'Transfer Engine'!$C$2:$C$1960,0)),"",INDEX('Compliance Database'!$F$2:$F$1960,MATCH(1816,'Transfer Engine'!$C$2:$C$1960,0)))</f>
        <v/>
      </c>
      <c r="G1825" s="8">
        <f>IF(ISNA(MATCH(1816,'Transfer Engine'!$C$2:$C$1960,0)),"",INDEX('Compliance Database'!$G$2:$G$1960,MATCH(1816,'Transfer Engine'!$C$2:$C$1960,0)))</f>
        <v/>
      </c>
      <c r="H1825" s="9">
        <f>IF(ISNA(MATCH(1816,'Transfer Engine'!$C$2:$C$1960,0)),"",INDEX('Compliance Database'!$H$2:$H$1960,MATCH(1816,'Transfer Engine'!$C$2:$C$1960,0)))</f>
        <v/>
      </c>
      <c r="I1825" s="9">
        <f>IF(ISNA(MATCH(1816,'Transfer Engine'!$C$2:$C$1960,0)),"",INDEX('Compliance Database'!$I$2:$I$1960,MATCH(1816,'Transfer Engine'!$C$2:$C$1960,0)))</f>
        <v/>
      </c>
      <c r="J1825" s="8">
        <f>IF(ISNA(MATCH(1816,'Transfer Engine'!$C$2:$C$1960,0)),"",INDEX('Compliance Database'!$J$2:$J$1960,MATCH(1816,'Transfer Engine'!$C$2:$C$1960,0)))</f>
        <v/>
      </c>
      <c r="K1825" s="9">
        <f>IF(ISNA(MATCH(1816,'Transfer Engine'!$C$2:$C$1960,0)),"",INDEX('Compliance Database'!$K$2:$K$1960,MATCH(1816,'Transfer Engine'!$C$2:$C$1960,0)))</f>
        <v/>
      </c>
      <c r="L1825" s="9">
        <f>IF(ISNA(MATCH(1816,'Transfer Engine'!$C$2:$C$1960,0)),"",INDEX('Compliance Database'!$L$2:$L$1960,MATCH(1816,'Transfer Engine'!$C$2:$C$1960,0)))</f>
        <v/>
      </c>
      <c r="M1825" s="9">
        <f>IF(ISNA(MATCH(1816,'Transfer Engine'!$C$2:$C$1960,0)),"",INDEX('Compliance Database'!$M$2:$M$1960,MATCH(1816,'Transfer Engine'!$C$2:$C$1960,0)))</f>
        <v/>
      </c>
      <c r="N1825" s="9">
        <f>IF(ISNA(MATCH(1816,'Transfer Engine'!$C$2:$C$1960,0)),"",INDEX('Compliance Database'!$N$2:$N$1960,MATCH(1816,'Transfer Engine'!$C$2:$C$1960,0)))</f>
        <v/>
      </c>
      <c r="O1825" s="9">
        <f>IF(ISNA(MATCH(1816,'Transfer Engine'!$C$2:$C$1960,0)),"",INDEX('Compliance Database'!$O$2:$O$1960,MATCH(1816,'Transfer Engine'!$C$2:$C$1960,0)))</f>
        <v/>
      </c>
      <c r="P1825" s="8">
        <f>IF(ISNA(MATCH(1816,'Transfer Engine'!$C$2:$C$1960,0)),"",HYPERLINK("#Acts!A"&amp;INDEX('Compliance Database'!$P$2:$P$1960,MATCH(1816,'Transfer Engine'!$C$2:$C$1960,0)),"Go to Act"))</f>
        <v/>
      </c>
    </row>
    <row r="1826" ht="158" customHeight="1">
      <c r="A1826" s="8">
        <f>IF(ISNA(MATCH(1817,'Transfer Engine'!$C$2:$C$1960,0)),"",INDEX('Compliance Database'!$A$2:$A$1960,MATCH(1817,'Transfer Engine'!$C$2:$C$1960,0)))</f>
        <v/>
      </c>
      <c r="B1826" s="8">
        <f>IF(ISNA(MATCH(1817,'Transfer Engine'!$C$2:$C$1960,0)),"",INDEX('Compliance Database'!$B$2:$B$1960,MATCH(1817,'Transfer Engine'!$C$2:$C$1960,0)))</f>
        <v/>
      </c>
      <c r="C1826" s="8">
        <f>IF(ISNA(MATCH(1817,'Transfer Engine'!$C$2:$C$1960,0)),"",INDEX('Compliance Database'!$C$2:$C$1960,MATCH(1817,'Transfer Engine'!$C$2:$C$1960,0)))</f>
        <v/>
      </c>
      <c r="D1826" s="9">
        <f>IF(ISNA(MATCH(1817,'Transfer Engine'!$C$2:$C$1960,0)),"",INDEX('Compliance Database'!$D$2:$D$1960,MATCH(1817,'Transfer Engine'!$C$2:$C$1960,0)))</f>
        <v/>
      </c>
      <c r="E1826" s="8">
        <f>IF(ISNA(MATCH(1817,'Transfer Engine'!$C$2:$C$1960,0)),"",INDEX('Compliance Database'!$E$2:$E$1960,MATCH(1817,'Transfer Engine'!$C$2:$C$1960,0)))</f>
        <v/>
      </c>
      <c r="F1826" s="8">
        <f>IF(ISNA(MATCH(1817,'Transfer Engine'!$C$2:$C$1960,0)),"",INDEX('Compliance Database'!$F$2:$F$1960,MATCH(1817,'Transfer Engine'!$C$2:$C$1960,0)))</f>
        <v/>
      </c>
      <c r="G1826" s="8">
        <f>IF(ISNA(MATCH(1817,'Transfer Engine'!$C$2:$C$1960,0)),"",INDEX('Compliance Database'!$G$2:$G$1960,MATCH(1817,'Transfer Engine'!$C$2:$C$1960,0)))</f>
        <v/>
      </c>
      <c r="H1826" s="9">
        <f>IF(ISNA(MATCH(1817,'Transfer Engine'!$C$2:$C$1960,0)),"",INDEX('Compliance Database'!$H$2:$H$1960,MATCH(1817,'Transfer Engine'!$C$2:$C$1960,0)))</f>
        <v/>
      </c>
      <c r="I1826" s="9">
        <f>IF(ISNA(MATCH(1817,'Transfer Engine'!$C$2:$C$1960,0)),"",INDEX('Compliance Database'!$I$2:$I$1960,MATCH(1817,'Transfer Engine'!$C$2:$C$1960,0)))</f>
        <v/>
      </c>
      <c r="J1826" s="8">
        <f>IF(ISNA(MATCH(1817,'Transfer Engine'!$C$2:$C$1960,0)),"",INDEX('Compliance Database'!$J$2:$J$1960,MATCH(1817,'Transfer Engine'!$C$2:$C$1960,0)))</f>
        <v/>
      </c>
      <c r="K1826" s="9">
        <f>IF(ISNA(MATCH(1817,'Transfer Engine'!$C$2:$C$1960,0)),"",INDEX('Compliance Database'!$K$2:$K$1960,MATCH(1817,'Transfer Engine'!$C$2:$C$1960,0)))</f>
        <v/>
      </c>
      <c r="L1826" s="9">
        <f>IF(ISNA(MATCH(1817,'Transfer Engine'!$C$2:$C$1960,0)),"",INDEX('Compliance Database'!$L$2:$L$1960,MATCH(1817,'Transfer Engine'!$C$2:$C$1960,0)))</f>
        <v/>
      </c>
      <c r="M1826" s="9">
        <f>IF(ISNA(MATCH(1817,'Transfer Engine'!$C$2:$C$1960,0)),"",INDEX('Compliance Database'!$M$2:$M$1960,MATCH(1817,'Transfer Engine'!$C$2:$C$1960,0)))</f>
        <v/>
      </c>
      <c r="N1826" s="9">
        <f>IF(ISNA(MATCH(1817,'Transfer Engine'!$C$2:$C$1960,0)),"",INDEX('Compliance Database'!$N$2:$N$1960,MATCH(1817,'Transfer Engine'!$C$2:$C$1960,0)))</f>
        <v/>
      </c>
      <c r="O1826" s="9">
        <f>IF(ISNA(MATCH(1817,'Transfer Engine'!$C$2:$C$1960,0)),"",INDEX('Compliance Database'!$O$2:$O$1960,MATCH(1817,'Transfer Engine'!$C$2:$C$1960,0)))</f>
        <v/>
      </c>
      <c r="P1826" s="8">
        <f>IF(ISNA(MATCH(1817,'Transfer Engine'!$C$2:$C$1960,0)),"",HYPERLINK("#Acts!A"&amp;INDEX('Compliance Database'!$P$2:$P$1960,MATCH(1817,'Transfer Engine'!$C$2:$C$1960,0)),"Go to Act"))</f>
        <v/>
      </c>
    </row>
    <row r="1827" ht="158" customHeight="1">
      <c r="A1827" s="8">
        <f>IF(ISNA(MATCH(1818,'Transfer Engine'!$C$2:$C$1960,0)),"",INDEX('Compliance Database'!$A$2:$A$1960,MATCH(1818,'Transfer Engine'!$C$2:$C$1960,0)))</f>
        <v/>
      </c>
      <c r="B1827" s="8">
        <f>IF(ISNA(MATCH(1818,'Transfer Engine'!$C$2:$C$1960,0)),"",INDEX('Compliance Database'!$B$2:$B$1960,MATCH(1818,'Transfer Engine'!$C$2:$C$1960,0)))</f>
        <v/>
      </c>
      <c r="C1827" s="8">
        <f>IF(ISNA(MATCH(1818,'Transfer Engine'!$C$2:$C$1960,0)),"",INDEX('Compliance Database'!$C$2:$C$1960,MATCH(1818,'Transfer Engine'!$C$2:$C$1960,0)))</f>
        <v/>
      </c>
      <c r="D1827" s="9">
        <f>IF(ISNA(MATCH(1818,'Transfer Engine'!$C$2:$C$1960,0)),"",INDEX('Compliance Database'!$D$2:$D$1960,MATCH(1818,'Transfer Engine'!$C$2:$C$1960,0)))</f>
        <v/>
      </c>
      <c r="E1827" s="8">
        <f>IF(ISNA(MATCH(1818,'Transfer Engine'!$C$2:$C$1960,0)),"",INDEX('Compliance Database'!$E$2:$E$1960,MATCH(1818,'Transfer Engine'!$C$2:$C$1960,0)))</f>
        <v/>
      </c>
      <c r="F1827" s="8">
        <f>IF(ISNA(MATCH(1818,'Transfer Engine'!$C$2:$C$1960,0)),"",INDEX('Compliance Database'!$F$2:$F$1960,MATCH(1818,'Transfer Engine'!$C$2:$C$1960,0)))</f>
        <v/>
      </c>
      <c r="G1827" s="8">
        <f>IF(ISNA(MATCH(1818,'Transfer Engine'!$C$2:$C$1960,0)),"",INDEX('Compliance Database'!$G$2:$G$1960,MATCH(1818,'Transfer Engine'!$C$2:$C$1960,0)))</f>
        <v/>
      </c>
      <c r="H1827" s="9">
        <f>IF(ISNA(MATCH(1818,'Transfer Engine'!$C$2:$C$1960,0)),"",INDEX('Compliance Database'!$H$2:$H$1960,MATCH(1818,'Transfer Engine'!$C$2:$C$1960,0)))</f>
        <v/>
      </c>
      <c r="I1827" s="9">
        <f>IF(ISNA(MATCH(1818,'Transfer Engine'!$C$2:$C$1960,0)),"",INDEX('Compliance Database'!$I$2:$I$1960,MATCH(1818,'Transfer Engine'!$C$2:$C$1960,0)))</f>
        <v/>
      </c>
      <c r="J1827" s="8">
        <f>IF(ISNA(MATCH(1818,'Transfer Engine'!$C$2:$C$1960,0)),"",INDEX('Compliance Database'!$J$2:$J$1960,MATCH(1818,'Transfer Engine'!$C$2:$C$1960,0)))</f>
        <v/>
      </c>
      <c r="K1827" s="9">
        <f>IF(ISNA(MATCH(1818,'Transfer Engine'!$C$2:$C$1960,0)),"",INDEX('Compliance Database'!$K$2:$K$1960,MATCH(1818,'Transfer Engine'!$C$2:$C$1960,0)))</f>
        <v/>
      </c>
      <c r="L1827" s="9">
        <f>IF(ISNA(MATCH(1818,'Transfer Engine'!$C$2:$C$1960,0)),"",INDEX('Compliance Database'!$L$2:$L$1960,MATCH(1818,'Transfer Engine'!$C$2:$C$1960,0)))</f>
        <v/>
      </c>
      <c r="M1827" s="9">
        <f>IF(ISNA(MATCH(1818,'Transfer Engine'!$C$2:$C$1960,0)),"",INDEX('Compliance Database'!$M$2:$M$1960,MATCH(1818,'Transfer Engine'!$C$2:$C$1960,0)))</f>
        <v/>
      </c>
      <c r="N1827" s="9">
        <f>IF(ISNA(MATCH(1818,'Transfer Engine'!$C$2:$C$1960,0)),"",INDEX('Compliance Database'!$N$2:$N$1960,MATCH(1818,'Transfer Engine'!$C$2:$C$1960,0)))</f>
        <v/>
      </c>
      <c r="O1827" s="9">
        <f>IF(ISNA(MATCH(1818,'Transfer Engine'!$C$2:$C$1960,0)),"",INDEX('Compliance Database'!$O$2:$O$1960,MATCH(1818,'Transfer Engine'!$C$2:$C$1960,0)))</f>
        <v/>
      </c>
      <c r="P1827" s="8">
        <f>IF(ISNA(MATCH(1818,'Transfer Engine'!$C$2:$C$1960,0)),"",HYPERLINK("#Acts!A"&amp;INDEX('Compliance Database'!$P$2:$P$1960,MATCH(1818,'Transfer Engine'!$C$2:$C$1960,0)),"Go to Act"))</f>
        <v/>
      </c>
    </row>
    <row r="1828" ht="158" customHeight="1">
      <c r="A1828" s="8">
        <f>IF(ISNA(MATCH(1819,'Transfer Engine'!$C$2:$C$1960,0)),"",INDEX('Compliance Database'!$A$2:$A$1960,MATCH(1819,'Transfer Engine'!$C$2:$C$1960,0)))</f>
        <v/>
      </c>
      <c r="B1828" s="8">
        <f>IF(ISNA(MATCH(1819,'Transfer Engine'!$C$2:$C$1960,0)),"",INDEX('Compliance Database'!$B$2:$B$1960,MATCH(1819,'Transfer Engine'!$C$2:$C$1960,0)))</f>
        <v/>
      </c>
      <c r="C1828" s="8">
        <f>IF(ISNA(MATCH(1819,'Transfer Engine'!$C$2:$C$1960,0)),"",INDEX('Compliance Database'!$C$2:$C$1960,MATCH(1819,'Transfer Engine'!$C$2:$C$1960,0)))</f>
        <v/>
      </c>
      <c r="D1828" s="9">
        <f>IF(ISNA(MATCH(1819,'Transfer Engine'!$C$2:$C$1960,0)),"",INDEX('Compliance Database'!$D$2:$D$1960,MATCH(1819,'Transfer Engine'!$C$2:$C$1960,0)))</f>
        <v/>
      </c>
      <c r="E1828" s="8">
        <f>IF(ISNA(MATCH(1819,'Transfer Engine'!$C$2:$C$1960,0)),"",INDEX('Compliance Database'!$E$2:$E$1960,MATCH(1819,'Transfer Engine'!$C$2:$C$1960,0)))</f>
        <v/>
      </c>
      <c r="F1828" s="8">
        <f>IF(ISNA(MATCH(1819,'Transfer Engine'!$C$2:$C$1960,0)),"",INDEX('Compliance Database'!$F$2:$F$1960,MATCH(1819,'Transfer Engine'!$C$2:$C$1960,0)))</f>
        <v/>
      </c>
      <c r="G1828" s="8">
        <f>IF(ISNA(MATCH(1819,'Transfer Engine'!$C$2:$C$1960,0)),"",INDEX('Compliance Database'!$G$2:$G$1960,MATCH(1819,'Transfer Engine'!$C$2:$C$1960,0)))</f>
        <v/>
      </c>
      <c r="H1828" s="9">
        <f>IF(ISNA(MATCH(1819,'Transfer Engine'!$C$2:$C$1960,0)),"",INDEX('Compliance Database'!$H$2:$H$1960,MATCH(1819,'Transfer Engine'!$C$2:$C$1960,0)))</f>
        <v/>
      </c>
      <c r="I1828" s="9">
        <f>IF(ISNA(MATCH(1819,'Transfer Engine'!$C$2:$C$1960,0)),"",INDEX('Compliance Database'!$I$2:$I$1960,MATCH(1819,'Transfer Engine'!$C$2:$C$1960,0)))</f>
        <v/>
      </c>
      <c r="J1828" s="8">
        <f>IF(ISNA(MATCH(1819,'Transfer Engine'!$C$2:$C$1960,0)),"",INDEX('Compliance Database'!$J$2:$J$1960,MATCH(1819,'Transfer Engine'!$C$2:$C$1960,0)))</f>
        <v/>
      </c>
      <c r="K1828" s="9">
        <f>IF(ISNA(MATCH(1819,'Transfer Engine'!$C$2:$C$1960,0)),"",INDEX('Compliance Database'!$K$2:$K$1960,MATCH(1819,'Transfer Engine'!$C$2:$C$1960,0)))</f>
        <v/>
      </c>
      <c r="L1828" s="9">
        <f>IF(ISNA(MATCH(1819,'Transfer Engine'!$C$2:$C$1960,0)),"",INDEX('Compliance Database'!$L$2:$L$1960,MATCH(1819,'Transfer Engine'!$C$2:$C$1960,0)))</f>
        <v/>
      </c>
      <c r="M1828" s="9">
        <f>IF(ISNA(MATCH(1819,'Transfer Engine'!$C$2:$C$1960,0)),"",INDEX('Compliance Database'!$M$2:$M$1960,MATCH(1819,'Transfer Engine'!$C$2:$C$1960,0)))</f>
        <v/>
      </c>
      <c r="N1828" s="9">
        <f>IF(ISNA(MATCH(1819,'Transfer Engine'!$C$2:$C$1960,0)),"",INDEX('Compliance Database'!$N$2:$N$1960,MATCH(1819,'Transfer Engine'!$C$2:$C$1960,0)))</f>
        <v/>
      </c>
      <c r="O1828" s="9">
        <f>IF(ISNA(MATCH(1819,'Transfer Engine'!$C$2:$C$1960,0)),"",INDEX('Compliance Database'!$O$2:$O$1960,MATCH(1819,'Transfer Engine'!$C$2:$C$1960,0)))</f>
        <v/>
      </c>
      <c r="P1828" s="8">
        <f>IF(ISNA(MATCH(1819,'Transfer Engine'!$C$2:$C$1960,0)),"",HYPERLINK("#Acts!A"&amp;INDEX('Compliance Database'!$P$2:$P$1960,MATCH(1819,'Transfer Engine'!$C$2:$C$1960,0)),"Go to Act"))</f>
        <v/>
      </c>
    </row>
    <row r="1829" ht="158" customHeight="1">
      <c r="A1829" s="8">
        <f>IF(ISNA(MATCH(1820,'Transfer Engine'!$C$2:$C$1960,0)),"",INDEX('Compliance Database'!$A$2:$A$1960,MATCH(1820,'Transfer Engine'!$C$2:$C$1960,0)))</f>
        <v/>
      </c>
      <c r="B1829" s="8">
        <f>IF(ISNA(MATCH(1820,'Transfer Engine'!$C$2:$C$1960,0)),"",INDEX('Compliance Database'!$B$2:$B$1960,MATCH(1820,'Transfer Engine'!$C$2:$C$1960,0)))</f>
        <v/>
      </c>
      <c r="C1829" s="8">
        <f>IF(ISNA(MATCH(1820,'Transfer Engine'!$C$2:$C$1960,0)),"",INDEX('Compliance Database'!$C$2:$C$1960,MATCH(1820,'Transfer Engine'!$C$2:$C$1960,0)))</f>
        <v/>
      </c>
      <c r="D1829" s="9">
        <f>IF(ISNA(MATCH(1820,'Transfer Engine'!$C$2:$C$1960,0)),"",INDEX('Compliance Database'!$D$2:$D$1960,MATCH(1820,'Transfer Engine'!$C$2:$C$1960,0)))</f>
        <v/>
      </c>
      <c r="E1829" s="8">
        <f>IF(ISNA(MATCH(1820,'Transfer Engine'!$C$2:$C$1960,0)),"",INDEX('Compliance Database'!$E$2:$E$1960,MATCH(1820,'Transfer Engine'!$C$2:$C$1960,0)))</f>
        <v/>
      </c>
      <c r="F1829" s="8">
        <f>IF(ISNA(MATCH(1820,'Transfer Engine'!$C$2:$C$1960,0)),"",INDEX('Compliance Database'!$F$2:$F$1960,MATCH(1820,'Transfer Engine'!$C$2:$C$1960,0)))</f>
        <v/>
      </c>
      <c r="G1829" s="8">
        <f>IF(ISNA(MATCH(1820,'Transfer Engine'!$C$2:$C$1960,0)),"",INDEX('Compliance Database'!$G$2:$G$1960,MATCH(1820,'Transfer Engine'!$C$2:$C$1960,0)))</f>
        <v/>
      </c>
      <c r="H1829" s="9">
        <f>IF(ISNA(MATCH(1820,'Transfer Engine'!$C$2:$C$1960,0)),"",INDEX('Compliance Database'!$H$2:$H$1960,MATCH(1820,'Transfer Engine'!$C$2:$C$1960,0)))</f>
        <v/>
      </c>
      <c r="I1829" s="9">
        <f>IF(ISNA(MATCH(1820,'Transfer Engine'!$C$2:$C$1960,0)),"",INDEX('Compliance Database'!$I$2:$I$1960,MATCH(1820,'Transfer Engine'!$C$2:$C$1960,0)))</f>
        <v/>
      </c>
      <c r="J1829" s="8">
        <f>IF(ISNA(MATCH(1820,'Transfer Engine'!$C$2:$C$1960,0)),"",INDEX('Compliance Database'!$J$2:$J$1960,MATCH(1820,'Transfer Engine'!$C$2:$C$1960,0)))</f>
        <v/>
      </c>
      <c r="K1829" s="9">
        <f>IF(ISNA(MATCH(1820,'Transfer Engine'!$C$2:$C$1960,0)),"",INDEX('Compliance Database'!$K$2:$K$1960,MATCH(1820,'Transfer Engine'!$C$2:$C$1960,0)))</f>
        <v/>
      </c>
      <c r="L1829" s="9">
        <f>IF(ISNA(MATCH(1820,'Transfer Engine'!$C$2:$C$1960,0)),"",INDEX('Compliance Database'!$L$2:$L$1960,MATCH(1820,'Transfer Engine'!$C$2:$C$1960,0)))</f>
        <v/>
      </c>
      <c r="M1829" s="9">
        <f>IF(ISNA(MATCH(1820,'Transfer Engine'!$C$2:$C$1960,0)),"",INDEX('Compliance Database'!$M$2:$M$1960,MATCH(1820,'Transfer Engine'!$C$2:$C$1960,0)))</f>
        <v/>
      </c>
      <c r="N1829" s="9">
        <f>IF(ISNA(MATCH(1820,'Transfer Engine'!$C$2:$C$1960,0)),"",INDEX('Compliance Database'!$N$2:$N$1960,MATCH(1820,'Transfer Engine'!$C$2:$C$1960,0)))</f>
        <v/>
      </c>
      <c r="O1829" s="9">
        <f>IF(ISNA(MATCH(1820,'Transfer Engine'!$C$2:$C$1960,0)),"",INDEX('Compliance Database'!$O$2:$O$1960,MATCH(1820,'Transfer Engine'!$C$2:$C$1960,0)))</f>
        <v/>
      </c>
      <c r="P1829" s="8">
        <f>IF(ISNA(MATCH(1820,'Transfer Engine'!$C$2:$C$1960,0)),"",HYPERLINK("#Acts!A"&amp;INDEX('Compliance Database'!$P$2:$P$1960,MATCH(1820,'Transfer Engine'!$C$2:$C$1960,0)),"Go to Act"))</f>
        <v/>
      </c>
    </row>
    <row r="1830" ht="158" customHeight="1">
      <c r="A1830" s="8">
        <f>IF(ISNA(MATCH(1821,'Transfer Engine'!$C$2:$C$1960,0)),"",INDEX('Compliance Database'!$A$2:$A$1960,MATCH(1821,'Transfer Engine'!$C$2:$C$1960,0)))</f>
        <v/>
      </c>
      <c r="B1830" s="8">
        <f>IF(ISNA(MATCH(1821,'Transfer Engine'!$C$2:$C$1960,0)),"",INDEX('Compliance Database'!$B$2:$B$1960,MATCH(1821,'Transfer Engine'!$C$2:$C$1960,0)))</f>
        <v/>
      </c>
      <c r="C1830" s="8">
        <f>IF(ISNA(MATCH(1821,'Transfer Engine'!$C$2:$C$1960,0)),"",INDEX('Compliance Database'!$C$2:$C$1960,MATCH(1821,'Transfer Engine'!$C$2:$C$1960,0)))</f>
        <v/>
      </c>
      <c r="D1830" s="9">
        <f>IF(ISNA(MATCH(1821,'Transfer Engine'!$C$2:$C$1960,0)),"",INDEX('Compliance Database'!$D$2:$D$1960,MATCH(1821,'Transfer Engine'!$C$2:$C$1960,0)))</f>
        <v/>
      </c>
      <c r="E1830" s="8">
        <f>IF(ISNA(MATCH(1821,'Transfer Engine'!$C$2:$C$1960,0)),"",INDEX('Compliance Database'!$E$2:$E$1960,MATCH(1821,'Transfer Engine'!$C$2:$C$1960,0)))</f>
        <v/>
      </c>
      <c r="F1830" s="8">
        <f>IF(ISNA(MATCH(1821,'Transfer Engine'!$C$2:$C$1960,0)),"",INDEX('Compliance Database'!$F$2:$F$1960,MATCH(1821,'Transfer Engine'!$C$2:$C$1960,0)))</f>
        <v/>
      </c>
      <c r="G1830" s="8">
        <f>IF(ISNA(MATCH(1821,'Transfer Engine'!$C$2:$C$1960,0)),"",INDEX('Compliance Database'!$G$2:$G$1960,MATCH(1821,'Transfer Engine'!$C$2:$C$1960,0)))</f>
        <v/>
      </c>
      <c r="H1830" s="9">
        <f>IF(ISNA(MATCH(1821,'Transfer Engine'!$C$2:$C$1960,0)),"",INDEX('Compliance Database'!$H$2:$H$1960,MATCH(1821,'Transfer Engine'!$C$2:$C$1960,0)))</f>
        <v/>
      </c>
      <c r="I1830" s="9">
        <f>IF(ISNA(MATCH(1821,'Transfer Engine'!$C$2:$C$1960,0)),"",INDEX('Compliance Database'!$I$2:$I$1960,MATCH(1821,'Transfer Engine'!$C$2:$C$1960,0)))</f>
        <v/>
      </c>
      <c r="J1830" s="8">
        <f>IF(ISNA(MATCH(1821,'Transfer Engine'!$C$2:$C$1960,0)),"",INDEX('Compliance Database'!$J$2:$J$1960,MATCH(1821,'Transfer Engine'!$C$2:$C$1960,0)))</f>
        <v/>
      </c>
      <c r="K1830" s="9">
        <f>IF(ISNA(MATCH(1821,'Transfer Engine'!$C$2:$C$1960,0)),"",INDEX('Compliance Database'!$K$2:$K$1960,MATCH(1821,'Transfer Engine'!$C$2:$C$1960,0)))</f>
        <v/>
      </c>
      <c r="L1830" s="9">
        <f>IF(ISNA(MATCH(1821,'Transfer Engine'!$C$2:$C$1960,0)),"",INDEX('Compliance Database'!$L$2:$L$1960,MATCH(1821,'Transfer Engine'!$C$2:$C$1960,0)))</f>
        <v/>
      </c>
      <c r="M1830" s="9">
        <f>IF(ISNA(MATCH(1821,'Transfer Engine'!$C$2:$C$1960,0)),"",INDEX('Compliance Database'!$M$2:$M$1960,MATCH(1821,'Transfer Engine'!$C$2:$C$1960,0)))</f>
        <v/>
      </c>
      <c r="N1830" s="9">
        <f>IF(ISNA(MATCH(1821,'Transfer Engine'!$C$2:$C$1960,0)),"",INDEX('Compliance Database'!$N$2:$N$1960,MATCH(1821,'Transfer Engine'!$C$2:$C$1960,0)))</f>
        <v/>
      </c>
      <c r="O1830" s="9">
        <f>IF(ISNA(MATCH(1821,'Transfer Engine'!$C$2:$C$1960,0)),"",INDEX('Compliance Database'!$O$2:$O$1960,MATCH(1821,'Transfer Engine'!$C$2:$C$1960,0)))</f>
        <v/>
      </c>
      <c r="P1830" s="8">
        <f>IF(ISNA(MATCH(1821,'Transfer Engine'!$C$2:$C$1960,0)),"",HYPERLINK("#Acts!A"&amp;INDEX('Compliance Database'!$P$2:$P$1960,MATCH(1821,'Transfer Engine'!$C$2:$C$1960,0)),"Go to Act"))</f>
        <v/>
      </c>
    </row>
    <row r="1831" ht="158" customHeight="1">
      <c r="A1831" s="8">
        <f>IF(ISNA(MATCH(1822,'Transfer Engine'!$C$2:$C$1960,0)),"",INDEX('Compliance Database'!$A$2:$A$1960,MATCH(1822,'Transfer Engine'!$C$2:$C$1960,0)))</f>
        <v/>
      </c>
      <c r="B1831" s="8">
        <f>IF(ISNA(MATCH(1822,'Transfer Engine'!$C$2:$C$1960,0)),"",INDEX('Compliance Database'!$B$2:$B$1960,MATCH(1822,'Transfer Engine'!$C$2:$C$1960,0)))</f>
        <v/>
      </c>
      <c r="C1831" s="8">
        <f>IF(ISNA(MATCH(1822,'Transfer Engine'!$C$2:$C$1960,0)),"",INDEX('Compliance Database'!$C$2:$C$1960,MATCH(1822,'Transfer Engine'!$C$2:$C$1960,0)))</f>
        <v/>
      </c>
      <c r="D1831" s="9">
        <f>IF(ISNA(MATCH(1822,'Transfer Engine'!$C$2:$C$1960,0)),"",INDEX('Compliance Database'!$D$2:$D$1960,MATCH(1822,'Transfer Engine'!$C$2:$C$1960,0)))</f>
        <v/>
      </c>
      <c r="E1831" s="8">
        <f>IF(ISNA(MATCH(1822,'Transfer Engine'!$C$2:$C$1960,0)),"",INDEX('Compliance Database'!$E$2:$E$1960,MATCH(1822,'Transfer Engine'!$C$2:$C$1960,0)))</f>
        <v/>
      </c>
      <c r="F1831" s="8">
        <f>IF(ISNA(MATCH(1822,'Transfer Engine'!$C$2:$C$1960,0)),"",INDEX('Compliance Database'!$F$2:$F$1960,MATCH(1822,'Transfer Engine'!$C$2:$C$1960,0)))</f>
        <v/>
      </c>
      <c r="G1831" s="8">
        <f>IF(ISNA(MATCH(1822,'Transfer Engine'!$C$2:$C$1960,0)),"",INDEX('Compliance Database'!$G$2:$G$1960,MATCH(1822,'Transfer Engine'!$C$2:$C$1960,0)))</f>
        <v/>
      </c>
      <c r="H1831" s="9">
        <f>IF(ISNA(MATCH(1822,'Transfer Engine'!$C$2:$C$1960,0)),"",INDEX('Compliance Database'!$H$2:$H$1960,MATCH(1822,'Transfer Engine'!$C$2:$C$1960,0)))</f>
        <v/>
      </c>
      <c r="I1831" s="9">
        <f>IF(ISNA(MATCH(1822,'Transfer Engine'!$C$2:$C$1960,0)),"",INDEX('Compliance Database'!$I$2:$I$1960,MATCH(1822,'Transfer Engine'!$C$2:$C$1960,0)))</f>
        <v/>
      </c>
      <c r="J1831" s="8">
        <f>IF(ISNA(MATCH(1822,'Transfer Engine'!$C$2:$C$1960,0)),"",INDEX('Compliance Database'!$J$2:$J$1960,MATCH(1822,'Transfer Engine'!$C$2:$C$1960,0)))</f>
        <v/>
      </c>
      <c r="K1831" s="9">
        <f>IF(ISNA(MATCH(1822,'Transfer Engine'!$C$2:$C$1960,0)),"",INDEX('Compliance Database'!$K$2:$K$1960,MATCH(1822,'Transfer Engine'!$C$2:$C$1960,0)))</f>
        <v/>
      </c>
      <c r="L1831" s="9">
        <f>IF(ISNA(MATCH(1822,'Transfer Engine'!$C$2:$C$1960,0)),"",INDEX('Compliance Database'!$L$2:$L$1960,MATCH(1822,'Transfer Engine'!$C$2:$C$1960,0)))</f>
        <v/>
      </c>
      <c r="M1831" s="9">
        <f>IF(ISNA(MATCH(1822,'Transfer Engine'!$C$2:$C$1960,0)),"",INDEX('Compliance Database'!$M$2:$M$1960,MATCH(1822,'Transfer Engine'!$C$2:$C$1960,0)))</f>
        <v/>
      </c>
      <c r="N1831" s="9">
        <f>IF(ISNA(MATCH(1822,'Transfer Engine'!$C$2:$C$1960,0)),"",INDEX('Compliance Database'!$N$2:$N$1960,MATCH(1822,'Transfer Engine'!$C$2:$C$1960,0)))</f>
        <v/>
      </c>
      <c r="O1831" s="9">
        <f>IF(ISNA(MATCH(1822,'Transfer Engine'!$C$2:$C$1960,0)),"",INDEX('Compliance Database'!$O$2:$O$1960,MATCH(1822,'Transfer Engine'!$C$2:$C$1960,0)))</f>
        <v/>
      </c>
      <c r="P1831" s="8">
        <f>IF(ISNA(MATCH(1822,'Transfer Engine'!$C$2:$C$1960,0)),"",HYPERLINK("#Acts!A"&amp;INDEX('Compliance Database'!$P$2:$P$1960,MATCH(1822,'Transfer Engine'!$C$2:$C$1960,0)),"Go to Act"))</f>
        <v/>
      </c>
    </row>
    <row r="1832" ht="158" customHeight="1">
      <c r="A1832" s="8">
        <f>IF(ISNA(MATCH(1823,'Transfer Engine'!$C$2:$C$1960,0)),"",INDEX('Compliance Database'!$A$2:$A$1960,MATCH(1823,'Transfer Engine'!$C$2:$C$1960,0)))</f>
        <v/>
      </c>
      <c r="B1832" s="8">
        <f>IF(ISNA(MATCH(1823,'Transfer Engine'!$C$2:$C$1960,0)),"",INDEX('Compliance Database'!$B$2:$B$1960,MATCH(1823,'Transfer Engine'!$C$2:$C$1960,0)))</f>
        <v/>
      </c>
      <c r="C1832" s="8">
        <f>IF(ISNA(MATCH(1823,'Transfer Engine'!$C$2:$C$1960,0)),"",INDEX('Compliance Database'!$C$2:$C$1960,MATCH(1823,'Transfer Engine'!$C$2:$C$1960,0)))</f>
        <v/>
      </c>
      <c r="D1832" s="9">
        <f>IF(ISNA(MATCH(1823,'Transfer Engine'!$C$2:$C$1960,0)),"",INDEX('Compliance Database'!$D$2:$D$1960,MATCH(1823,'Transfer Engine'!$C$2:$C$1960,0)))</f>
        <v/>
      </c>
      <c r="E1832" s="8">
        <f>IF(ISNA(MATCH(1823,'Transfer Engine'!$C$2:$C$1960,0)),"",INDEX('Compliance Database'!$E$2:$E$1960,MATCH(1823,'Transfer Engine'!$C$2:$C$1960,0)))</f>
        <v/>
      </c>
      <c r="F1832" s="8">
        <f>IF(ISNA(MATCH(1823,'Transfer Engine'!$C$2:$C$1960,0)),"",INDEX('Compliance Database'!$F$2:$F$1960,MATCH(1823,'Transfer Engine'!$C$2:$C$1960,0)))</f>
        <v/>
      </c>
      <c r="G1832" s="8">
        <f>IF(ISNA(MATCH(1823,'Transfer Engine'!$C$2:$C$1960,0)),"",INDEX('Compliance Database'!$G$2:$G$1960,MATCH(1823,'Transfer Engine'!$C$2:$C$1960,0)))</f>
        <v/>
      </c>
      <c r="H1832" s="9">
        <f>IF(ISNA(MATCH(1823,'Transfer Engine'!$C$2:$C$1960,0)),"",INDEX('Compliance Database'!$H$2:$H$1960,MATCH(1823,'Transfer Engine'!$C$2:$C$1960,0)))</f>
        <v/>
      </c>
      <c r="I1832" s="9">
        <f>IF(ISNA(MATCH(1823,'Transfer Engine'!$C$2:$C$1960,0)),"",INDEX('Compliance Database'!$I$2:$I$1960,MATCH(1823,'Transfer Engine'!$C$2:$C$1960,0)))</f>
        <v/>
      </c>
      <c r="J1832" s="8">
        <f>IF(ISNA(MATCH(1823,'Transfer Engine'!$C$2:$C$1960,0)),"",INDEX('Compliance Database'!$J$2:$J$1960,MATCH(1823,'Transfer Engine'!$C$2:$C$1960,0)))</f>
        <v/>
      </c>
      <c r="K1832" s="9">
        <f>IF(ISNA(MATCH(1823,'Transfer Engine'!$C$2:$C$1960,0)),"",INDEX('Compliance Database'!$K$2:$K$1960,MATCH(1823,'Transfer Engine'!$C$2:$C$1960,0)))</f>
        <v/>
      </c>
      <c r="L1832" s="9">
        <f>IF(ISNA(MATCH(1823,'Transfer Engine'!$C$2:$C$1960,0)),"",INDEX('Compliance Database'!$L$2:$L$1960,MATCH(1823,'Transfer Engine'!$C$2:$C$1960,0)))</f>
        <v/>
      </c>
      <c r="M1832" s="9">
        <f>IF(ISNA(MATCH(1823,'Transfer Engine'!$C$2:$C$1960,0)),"",INDEX('Compliance Database'!$M$2:$M$1960,MATCH(1823,'Transfer Engine'!$C$2:$C$1960,0)))</f>
        <v/>
      </c>
      <c r="N1832" s="9">
        <f>IF(ISNA(MATCH(1823,'Transfer Engine'!$C$2:$C$1960,0)),"",INDEX('Compliance Database'!$N$2:$N$1960,MATCH(1823,'Transfer Engine'!$C$2:$C$1960,0)))</f>
        <v/>
      </c>
      <c r="O1832" s="9">
        <f>IF(ISNA(MATCH(1823,'Transfer Engine'!$C$2:$C$1960,0)),"",INDEX('Compliance Database'!$O$2:$O$1960,MATCH(1823,'Transfer Engine'!$C$2:$C$1960,0)))</f>
        <v/>
      </c>
      <c r="P1832" s="8">
        <f>IF(ISNA(MATCH(1823,'Transfer Engine'!$C$2:$C$1960,0)),"",HYPERLINK("#Acts!A"&amp;INDEX('Compliance Database'!$P$2:$P$1960,MATCH(1823,'Transfer Engine'!$C$2:$C$1960,0)),"Go to Act"))</f>
        <v/>
      </c>
    </row>
    <row r="1833" ht="158" customHeight="1">
      <c r="A1833" s="8">
        <f>IF(ISNA(MATCH(1824,'Transfer Engine'!$C$2:$C$1960,0)),"",INDEX('Compliance Database'!$A$2:$A$1960,MATCH(1824,'Transfer Engine'!$C$2:$C$1960,0)))</f>
        <v/>
      </c>
      <c r="B1833" s="8">
        <f>IF(ISNA(MATCH(1824,'Transfer Engine'!$C$2:$C$1960,0)),"",INDEX('Compliance Database'!$B$2:$B$1960,MATCH(1824,'Transfer Engine'!$C$2:$C$1960,0)))</f>
        <v/>
      </c>
      <c r="C1833" s="8">
        <f>IF(ISNA(MATCH(1824,'Transfer Engine'!$C$2:$C$1960,0)),"",INDEX('Compliance Database'!$C$2:$C$1960,MATCH(1824,'Transfer Engine'!$C$2:$C$1960,0)))</f>
        <v/>
      </c>
      <c r="D1833" s="9">
        <f>IF(ISNA(MATCH(1824,'Transfer Engine'!$C$2:$C$1960,0)),"",INDEX('Compliance Database'!$D$2:$D$1960,MATCH(1824,'Transfer Engine'!$C$2:$C$1960,0)))</f>
        <v/>
      </c>
      <c r="E1833" s="8">
        <f>IF(ISNA(MATCH(1824,'Transfer Engine'!$C$2:$C$1960,0)),"",INDEX('Compliance Database'!$E$2:$E$1960,MATCH(1824,'Transfer Engine'!$C$2:$C$1960,0)))</f>
        <v/>
      </c>
      <c r="F1833" s="8">
        <f>IF(ISNA(MATCH(1824,'Transfer Engine'!$C$2:$C$1960,0)),"",INDEX('Compliance Database'!$F$2:$F$1960,MATCH(1824,'Transfer Engine'!$C$2:$C$1960,0)))</f>
        <v/>
      </c>
      <c r="G1833" s="8">
        <f>IF(ISNA(MATCH(1824,'Transfer Engine'!$C$2:$C$1960,0)),"",INDEX('Compliance Database'!$G$2:$G$1960,MATCH(1824,'Transfer Engine'!$C$2:$C$1960,0)))</f>
        <v/>
      </c>
      <c r="H1833" s="9">
        <f>IF(ISNA(MATCH(1824,'Transfer Engine'!$C$2:$C$1960,0)),"",INDEX('Compliance Database'!$H$2:$H$1960,MATCH(1824,'Transfer Engine'!$C$2:$C$1960,0)))</f>
        <v/>
      </c>
      <c r="I1833" s="9">
        <f>IF(ISNA(MATCH(1824,'Transfer Engine'!$C$2:$C$1960,0)),"",INDEX('Compliance Database'!$I$2:$I$1960,MATCH(1824,'Transfer Engine'!$C$2:$C$1960,0)))</f>
        <v/>
      </c>
      <c r="J1833" s="8">
        <f>IF(ISNA(MATCH(1824,'Transfer Engine'!$C$2:$C$1960,0)),"",INDEX('Compliance Database'!$J$2:$J$1960,MATCH(1824,'Transfer Engine'!$C$2:$C$1960,0)))</f>
        <v/>
      </c>
      <c r="K1833" s="9">
        <f>IF(ISNA(MATCH(1824,'Transfer Engine'!$C$2:$C$1960,0)),"",INDEX('Compliance Database'!$K$2:$K$1960,MATCH(1824,'Transfer Engine'!$C$2:$C$1960,0)))</f>
        <v/>
      </c>
      <c r="L1833" s="9">
        <f>IF(ISNA(MATCH(1824,'Transfer Engine'!$C$2:$C$1960,0)),"",INDEX('Compliance Database'!$L$2:$L$1960,MATCH(1824,'Transfer Engine'!$C$2:$C$1960,0)))</f>
        <v/>
      </c>
      <c r="M1833" s="9">
        <f>IF(ISNA(MATCH(1824,'Transfer Engine'!$C$2:$C$1960,0)),"",INDEX('Compliance Database'!$M$2:$M$1960,MATCH(1824,'Transfer Engine'!$C$2:$C$1960,0)))</f>
        <v/>
      </c>
      <c r="N1833" s="9">
        <f>IF(ISNA(MATCH(1824,'Transfer Engine'!$C$2:$C$1960,0)),"",INDEX('Compliance Database'!$N$2:$N$1960,MATCH(1824,'Transfer Engine'!$C$2:$C$1960,0)))</f>
        <v/>
      </c>
      <c r="O1833" s="9">
        <f>IF(ISNA(MATCH(1824,'Transfer Engine'!$C$2:$C$1960,0)),"",INDEX('Compliance Database'!$O$2:$O$1960,MATCH(1824,'Transfer Engine'!$C$2:$C$1960,0)))</f>
        <v/>
      </c>
      <c r="P1833" s="8">
        <f>IF(ISNA(MATCH(1824,'Transfer Engine'!$C$2:$C$1960,0)),"",HYPERLINK("#Acts!A"&amp;INDEX('Compliance Database'!$P$2:$P$1960,MATCH(1824,'Transfer Engine'!$C$2:$C$1960,0)),"Go to Act"))</f>
        <v/>
      </c>
    </row>
    <row r="1834" ht="158" customHeight="1">
      <c r="A1834" s="8">
        <f>IF(ISNA(MATCH(1825,'Transfer Engine'!$C$2:$C$1960,0)),"",INDEX('Compliance Database'!$A$2:$A$1960,MATCH(1825,'Transfer Engine'!$C$2:$C$1960,0)))</f>
        <v/>
      </c>
      <c r="B1834" s="8">
        <f>IF(ISNA(MATCH(1825,'Transfer Engine'!$C$2:$C$1960,0)),"",INDEX('Compliance Database'!$B$2:$B$1960,MATCH(1825,'Transfer Engine'!$C$2:$C$1960,0)))</f>
        <v/>
      </c>
      <c r="C1834" s="8">
        <f>IF(ISNA(MATCH(1825,'Transfer Engine'!$C$2:$C$1960,0)),"",INDEX('Compliance Database'!$C$2:$C$1960,MATCH(1825,'Transfer Engine'!$C$2:$C$1960,0)))</f>
        <v/>
      </c>
      <c r="D1834" s="9">
        <f>IF(ISNA(MATCH(1825,'Transfer Engine'!$C$2:$C$1960,0)),"",INDEX('Compliance Database'!$D$2:$D$1960,MATCH(1825,'Transfer Engine'!$C$2:$C$1960,0)))</f>
        <v/>
      </c>
      <c r="E1834" s="8">
        <f>IF(ISNA(MATCH(1825,'Transfer Engine'!$C$2:$C$1960,0)),"",INDEX('Compliance Database'!$E$2:$E$1960,MATCH(1825,'Transfer Engine'!$C$2:$C$1960,0)))</f>
        <v/>
      </c>
      <c r="F1834" s="8">
        <f>IF(ISNA(MATCH(1825,'Transfer Engine'!$C$2:$C$1960,0)),"",INDEX('Compliance Database'!$F$2:$F$1960,MATCH(1825,'Transfer Engine'!$C$2:$C$1960,0)))</f>
        <v/>
      </c>
      <c r="G1834" s="8">
        <f>IF(ISNA(MATCH(1825,'Transfer Engine'!$C$2:$C$1960,0)),"",INDEX('Compliance Database'!$G$2:$G$1960,MATCH(1825,'Transfer Engine'!$C$2:$C$1960,0)))</f>
        <v/>
      </c>
      <c r="H1834" s="9">
        <f>IF(ISNA(MATCH(1825,'Transfer Engine'!$C$2:$C$1960,0)),"",INDEX('Compliance Database'!$H$2:$H$1960,MATCH(1825,'Transfer Engine'!$C$2:$C$1960,0)))</f>
        <v/>
      </c>
      <c r="I1834" s="9">
        <f>IF(ISNA(MATCH(1825,'Transfer Engine'!$C$2:$C$1960,0)),"",INDEX('Compliance Database'!$I$2:$I$1960,MATCH(1825,'Transfer Engine'!$C$2:$C$1960,0)))</f>
        <v/>
      </c>
      <c r="J1834" s="8">
        <f>IF(ISNA(MATCH(1825,'Transfer Engine'!$C$2:$C$1960,0)),"",INDEX('Compliance Database'!$J$2:$J$1960,MATCH(1825,'Transfer Engine'!$C$2:$C$1960,0)))</f>
        <v/>
      </c>
      <c r="K1834" s="9">
        <f>IF(ISNA(MATCH(1825,'Transfer Engine'!$C$2:$C$1960,0)),"",INDEX('Compliance Database'!$K$2:$K$1960,MATCH(1825,'Transfer Engine'!$C$2:$C$1960,0)))</f>
        <v/>
      </c>
      <c r="L1834" s="9">
        <f>IF(ISNA(MATCH(1825,'Transfer Engine'!$C$2:$C$1960,0)),"",INDEX('Compliance Database'!$L$2:$L$1960,MATCH(1825,'Transfer Engine'!$C$2:$C$1960,0)))</f>
        <v/>
      </c>
      <c r="M1834" s="9">
        <f>IF(ISNA(MATCH(1825,'Transfer Engine'!$C$2:$C$1960,0)),"",INDEX('Compliance Database'!$M$2:$M$1960,MATCH(1825,'Transfer Engine'!$C$2:$C$1960,0)))</f>
        <v/>
      </c>
      <c r="N1834" s="9">
        <f>IF(ISNA(MATCH(1825,'Transfer Engine'!$C$2:$C$1960,0)),"",INDEX('Compliance Database'!$N$2:$N$1960,MATCH(1825,'Transfer Engine'!$C$2:$C$1960,0)))</f>
        <v/>
      </c>
      <c r="O1834" s="9">
        <f>IF(ISNA(MATCH(1825,'Transfer Engine'!$C$2:$C$1960,0)),"",INDEX('Compliance Database'!$O$2:$O$1960,MATCH(1825,'Transfer Engine'!$C$2:$C$1960,0)))</f>
        <v/>
      </c>
      <c r="P1834" s="8">
        <f>IF(ISNA(MATCH(1825,'Transfer Engine'!$C$2:$C$1960,0)),"",HYPERLINK("#Acts!A"&amp;INDEX('Compliance Database'!$P$2:$P$1960,MATCH(1825,'Transfer Engine'!$C$2:$C$1960,0)),"Go to Act"))</f>
        <v/>
      </c>
    </row>
    <row r="1835" ht="158" customHeight="1">
      <c r="A1835" s="8">
        <f>IF(ISNA(MATCH(1826,'Transfer Engine'!$C$2:$C$1960,0)),"",INDEX('Compliance Database'!$A$2:$A$1960,MATCH(1826,'Transfer Engine'!$C$2:$C$1960,0)))</f>
        <v/>
      </c>
      <c r="B1835" s="8">
        <f>IF(ISNA(MATCH(1826,'Transfer Engine'!$C$2:$C$1960,0)),"",INDEX('Compliance Database'!$B$2:$B$1960,MATCH(1826,'Transfer Engine'!$C$2:$C$1960,0)))</f>
        <v/>
      </c>
      <c r="C1835" s="8">
        <f>IF(ISNA(MATCH(1826,'Transfer Engine'!$C$2:$C$1960,0)),"",INDEX('Compliance Database'!$C$2:$C$1960,MATCH(1826,'Transfer Engine'!$C$2:$C$1960,0)))</f>
        <v/>
      </c>
      <c r="D1835" s="9">
        <f>IF(ISNA(MATCH(1826,'Transfer Engine'!$C$2:$C$1960,0)),"",INDEX('Compliance Database'!$D$2:$D$1960,MATCH(1826,'Transfer Engine'!$C$2:$C$1960,0)))</f>
        <v/>
      </c>
      <c r="E1835" s="8">
        <f>IF(ISNA(MATCH(1826,'Transfer Engine'!$C$2:$C$1960,0)),"",INDEX('Compliance Database'!$E$2:$E$1960,MATCH(1826,'Transfer Engine'!$C$2:$C$1960,0)))</f>
        <v/>
      </c>
      <c r="F1835" s="8">
        <f>IF(ISNA(MATCH(1826,'Transfer Engine'!$C$2:$C$1960,0)),"",INDEX('Compliance Database'!$F$2:$F$1960,MATCH(1826,'Transfer Engine'!$C$2:$C$1960,0)))</f>
        <v/>
      </c>
      <c r="G1835" s="8">
        <f>IF(ISNA(MATCH(1826,'Transfer Engine'!$C$2:$C$1960,0)),"",INDEX('Compliance Database'!$G$2:$G$1960,MATCH(1826,'Transfer Engine'!$C$2:$C$1960,0)))</f>
        <v/>
      </c>
      <c r="H1835" s="9">
        <f>IF(ISNA(MATCH(1826,'Transfer Engine'!$C$2:$C$1960,0)),"",INDEX('Compliance Database'!$H$2:$H$1960,MATCH(1826,'Transfer Engine'!$C$2:$C$1960,0)))</f>
        <v/>
      </c>
      <c r="I1835" s="9">
        <f>IF(ISNA(MATCH(1826,'Transfer Engine'!$C$2:$C$1960,0)),"",INDEX('Compliance Database'!$I$2:$I$1960,MATCH(1826,'Transfer Engine'!$C$2:$C$1960,0)))</f>
        <v/>
      </c>
      <c r="J1835" s="8">
        <f>IF(ISNA(MATCH(1826,'Transfer Engine'!$C$2:$C$1960,0)),"",INDEX('Compliance Database'!$J$2:$J$1960,MATCH(1826,'Transfer Engine'!$C$2:$C$1960,0)))</f>
        <v/>
      </c>
      <c r="K1835" s="9">
        <f>IF(ISNA(MATCH(1826,'Transfer Engine'!$C$2:$C$1960,0)),"",INDEX('Compliance Database'!$K$2:$K$1960,MATCH(1826,'Transfer Engine'!$C$2:$C$1960,0)))</f>
        <v/>
      </c>
      <c r="L1835" s="9">
        <f>IF(ISNA(MATCH(1826,'Transfer Engine'!$C$2:$C$1960,0)),"",INDEX('Compliance Database'!$L$2:$L$1960,MATCH(1826,'Transfer Engine'!$C$2:$C$1960,0)))</f>
        <v/>
      </c>
      <c r="M1835" s="9">
        <f>IF(ISNA(MATCH(1826,'Transfer Engine'!$C$2:$C$1960,0)),"",INDEX('Compliance Database'!$M$2:$M$1960,MATCH(1826,'Transfer Engine'!$C$2:$C$1960,0)))</f>
        <v/>
      </c>
      <c r="N1835" s="9">
        <f>IF(ISNA(MATCH(1826,'Transfer Engine'!$C$2:$C$1960,0)),"",INDEX('Compliance Database'!$N$2:$N$1960,MATCH(1826,'Transfer Engine'!$C$2:$C$1960,0)))</f>
        <v/>
      </c>
      <c r="O1835" s="9">
        <f>IF(ISNA(MATCH(1826,'Transfer Engine'!$C$2:$C$1960,0)),"",INDEX('Compliance Database'!$O$2:$O$1960,MATCH(1826,'Transfer Engine'!$C$2:$C$1960,0)))</f>
        <v/>
      </c>
      <c r="P1835" s="8">
        <f>IF(ISNA(MATCH(1826,'Transfer Engine'!$C$2:$C$1960,0)),"",HYPERLINK("#Acts!A"&amp;INDEX('Compliance Database'!$P$2:$P$1960,MATCH(1826,'Transfer Engine'!$C$2:$C$1960,0)),"Go to Act"))</f>
        <v/>
      </c>
    </row>
    <row r="1836" ht="158" customHeight="1">
      <c r="A1836" s="8">
        <f>IF(ISNA(MATCH(1827,'Transfer Engine'!$C$2:$C$1960,0)),"",INDEX('Compliance Database'!$A$2:$A$1960,MATCH(1827,'Transfer Engine'!$C$2:$C$1960,0)))</f>
        <v/>
      </c>
      <c r="B1836" s="8">
        <f>IF(ISNA(MATCH(1827,'Transfer Engine'!$C$2:$C$1960,0)),"",INDEX('Compliance Database'!$B$2:$B$1960,MATCH(1827,'Transfer Engine'!$C$2:$C$1960,0)))</f>
        <v/>
      </c>
      <c r="C1836" s="8">
        <f>IF(ISNA(MATCH(1827,'Transfer Engine'!$C$2:$C$1960,0)),"",INDEX('Compliance Database'!$C$2:$C$1960,MATCH(1827,'Transfer Engine'!$C$2:$C$1960,0)))</f>
        <v/>
      </c>
      <c r="D1836" s="9">
        <f>IF(ISNA(MATCH(1827,'Transfer Engine'!$C$2:$C$1960,0)),"",INDEX('Compliance Database'!$D$2:$D$1960,MATCH(1827,'Transfer Engine'!$C$2:$C$1960,0)))</f>
        <v/>
      </c>
      <c r="E1836" s="8">
        <f>IF(ISNA(MATCH(1827,'Transfer Engine'!$C$2:$C$1960,0)),"",INDEX('Compliance Database'!$E$2:$E$1960,MATCH(1827,'Transfer Engine'!$C$2:$C$1960,0)))</f>
        <v/>
      </c>
      <c r="F1836" s="8">
        <f>IF(ISNA(MATCH(1827,'Transfer Engine'!$C$2:$C$1960,0)),"",INDEX('Compliance Database'!$F$2:$F$1960,MATCH(1827,'Transfer Engine'!$C$2:$C$1960,0)))</f>
        <v/>
      </c>
      <c r="G1836" s="8">
        <f>IF(ISNA(MATCH(1827,'Transfer Engine'!$C$2:$C$1960,0)),"",INDEX('Compliance Database'!$G$2:$G$1960,MATCH(1827,'Transfer Engine'!$C$2:$C$1960,0)))</f>
        <v/>
      </c>
      <c r="H1836" s="9">
        <f>IF(ISNA(MATCH(1827,'Transfer Engine'!$C$2:$C$1960,0)),"",INDEX('Compliance Database'!$H$2:$H$1960,MATCH(1827,'Transfer Engine'!$C$2:$C$1960,0)))</f>
        <v/>
      </c>
      <c r="I1836" s="9">
        <f>IF(ISNA(MATCH(1827,'Transfer Engine'!$C$2:$C$1960,0)),"",INDEX('Compliance Database'!$I$2:$I$1960,MATCH(1827,'Transfer Engine'!$C$2:$C$1960,0)))</f>
        <v/>
      </c>
      <c r="J1836" s="8">
        <f>IF(ISNA(MATCH(1827,'Transfer Engine'!$C$2:$C$1960,0)),"",INDEX('Compliance Database'!$J$2:$J$1960,MATCH(1827,'Transfer Engine'!$C$2:$C$1960,0)))</f>
        <v/>
      </c>
      <c r="K1836" s="9">
        <f>IF(ISNA(MATCH(1827,'Transfer Engine'!$C$2:$C$1960,0)),"",INDEX('Compliance Database'!$K$2:$K$1960,MATCH(1827,'Transfer Engine'!$C$2:$C$1960,0)))</f>
        <v/>
      </c>
      <c r="L1836" s="9">
        <f>IF(ISNA(MATCH(1827,'Transfer Engine'!$C$2:$C$1960,0)),"",INDEX('Compliance Database'!$L$2:$L$1960,MATCH(1827,'Transfer Engine'!$C$2:$C$1960,0)))</f>
        <v/>
      </c>
      <c r="M1836" s="9">
        <f>IF(ISNA(MATCH(1827,'Transfer Engine'!$C$2:$C$1960,0)),"",INDEX('Compliance Database'!$M$2:$M$1960,MATCH(1827,'Transfer Engine'!$C$2:$C$1960,0)))</f>
        <v/>
      </c>
      <c r="N1836" s="9">
        <f>IF(ISNA(MATCH(1827,'Transfer Engine'!$C$2:$C$1960,0)),"",INDEX('Compliance Database'!$N$2:$N$1960,MATCH(1827,'Transfer Engine'!$C$2:$C$1960,0)))</f>
        <v/>
      </c>
      <c r="O1836" s="9">
        <f>IF(ISNA(MATCH(1827,'Transfer Engine'!$C$2:$C$1960,0)),"",INDEX('Compliance Database'!$O$2:$O$1960,MATCH(1827,'Transfer Engine'!$C$2:$C$1960,0)))</f>
        <v/>
      </c>
      <c r="P1836" s="8">
        <f>IF(ISNA(MATCH(1827,'Transfer Engine'!$C$2:$C$1960,0)),"",HYPERLINK("#Acts!A"&amp;INDEX('Compliance Database'!$P$2:$P$1960,MATCH(1827,'Transfer Engine'!$C$2:$C$1960,0)),"Go to Act"))</f>
        <v/>
      </c>
    </row>
    <row r="1837" ht="158" customHeight="1">
      <c r="A1837" s="8">
        <f>IF(ISNA(MATCH(1828,'Transfer Engine'!$C$2:$C$1960,0)),"",INDEX('Compliance Database'!$A$2:$A$1960,MATCH(1828,'Transfer Engine'!$C$2:$C$1960,0)))</f>
        <v/>
      </c>
      <c r="B1837" s="8">
        <f>IF(ISNA(MATCH(1828,'Transfer Engine'!$C$2:$C$1960,0)),"",INDEX('Compliance Database'!$B$2:$B$1960,MATCH(1828,'Transfer Engine'!$C$2:$C$1960,0)))</f>
        <v/>
      </c>
      <c r="C1837" s="8">
        <f>IF(ISNA(MATCH(1828,'Transfer Engine'!$C$2:$C$1960,0)),"",INDEX('Compliance Database'!$C$2:$C$1960,MATCH(1828,'Transfer Engine'!$C$2:$C$1960,0)))</f>
        <v/>
      </c>
      <c r="D1837" s="9">
        <f>IF(ISNA(MATCH(1828,'Transfer Engine'!$C$2:$C$1960,0)),"",INDEX('Compliance Database'!$D$2:$D$1960,MATCH(1828,'Transfer Engine'!$C$2:$C$1960,0)))</f>
        <v/>
      </c>
      <c r="E1837" s="8">
        <f>IF(ISNA(MATCH(1828,'Transfer Engine'!$C$2:$C$1960,0)),"",INDEX('Compliance Database'!$E$2:$E$1960,MATCH(1828,'Transfer Engine'!$C$2:$C$1960,0)))</f>
        <v/>
      </c>
      <c r="F1837" s="8">
        <f>IF(ISNA(MATCH(1828,'Transfer Engine'!$C$2:$C$1960,0)),"",INDEX('Compliance Database'!$F$2:$F$1960,MATCH(1828,'Transfer Engine'!$C$2:$C$1960,0)))</f>
        <v/>
      </c>
      <c r="G1837" s="8">
        <f>IF(ISNA(MATCH(1828,'Transfer Engine'!$C$2:$C$1960,0)),"",INDEX('Compliance Database'!$G$2:$G$1960,MATCH(1828,'Transfer Engine'!$C$2:$C$1960,0)))</f>
        <v/>
      </c>
      <c r="H1837" s="9">
        <f>IF(ISNA(MATCH(1828,'Transfer Engine'!$C$2:$C$1960,0)),"",INDEX('Compliance Database'!$H$2:$H$1960,MATCH(1828,'Transfer Engine'!$C$2:$C$1960,0)))</f>
        <v/>
      </c>
      <c r="I1837" s="9">
        <f>IF(ISNA(MATCH(1828,'Transfer Engine'!$C$2:$C$1960,0)),"",INDEX('Compliance Database'!$I$2:$I$1960,MATCH(1828,'Transfer Engine'!$C$2:$C$1960,0)))</f>
        <v/>
      </c>
      <c r="J1837" s="8">
        <f>IF(ISNA(MATCH(1828,'Transfer Engine'!$C$2:$C$1960,0)),"",INDEX('Compliance Database'!$J$2:$J$1960,MATCH(1828,'Transfer Engine'!$C$2:$C$1960,0)))</f>
        <v/>
      </c>
      <c r="K1837" s="9">
        <f>IF(ISNA(MATCH(1828,'Transfer Engine'!$C$2:$C$1960,0)),"",INDEX('Compliance Database'!$K$2:$K$1960,MATCH(1828,'Transfer Engine'!$C$2:$C$1960,0)))</f>
        <v/>
      </c>
      <c r="L1837" s="9">
        <f>IF(ISNA(MATCH(1828,'Transfer Engine'!$C$2:$C$1960,0)),"",INDEX('Compliance Database'!$L$2:$L$1960,MATCH(1828,'Transfer Engine'!$C$2:$C$1960,0)))</f>
        <v/>
      </c>
      <c r="M1837" s="9">
        <f>IF(ISNA(MATCH(1828,'Transfer Engine'!$C$2:$C$1960,0)),"",INDEX('Compliance Database'!$M$2:$M$1960,MATCH(1828,'Transfer Engine'!$C$2:$C$1960,0)))</f>
        <v/>
      </c>
      <c r="N1837" s="9">
        <f>IF(ISNA(MATCH(1828,'Transfer Engine'!$C$2:$C$1960,0)),"",INDEX('Compliance Database'!$N$2:$N$1960,MATCH(1828,'Transfer Engine'!$C$2:$C$1960,0)))</f>
        <v/>
      </c>
      <c r="O1837" s="9">
        <f>IF(ISNA(MATCH(1828,'Transfer Engine'!$C$2:$C$1960,0)),"",INDEX('Compliance Database'!$O$2:$O$1960,MATCH(1828,'Transfer Engine'!$C$2:$C$1960,0)))</f>
        <v/>
      </c>
      <c r="P1837" s="8">
        <f>IF(ISNA(MATCH(1828,'Transfer Engine'!$C$2:$C$1960,0)),"",HYPERLINK("#Acts!A"&amp;INDEX('Compliance Database'!$P$2:$P$1960,MATCH(1828,'Transfer Engine'!$C$2:$C$1960,0)),"Go to Act"))</f>
        <v/>
      </c>
    </row>
    <row r="1838" ht="158" customHeight="1">
      <c r="A1838" s="8">
        <f>IF(ISNA(MATCH(1829,'Transfer Engine'!$C$2:$C$1960,0)),"",INDEX('Compliance Database'!$A$2:$A$1960,MATCH(1829,'Transfer Engine'!$C$2:$C$1960,0)))</f>
        <v/>
      </c>
      <c r="B1838" s="8">
        <f>IF(ISNA(MATCH(1829,'Transfer Engine'!$C$2:$C$1960,0)),"",INDEX('Compliance Database'!$B$2:$B$1960,MATCH(1829,'Transfer Engine'!$C$2:$C$1960,0)))</f>
        <v/>
      </c>
      <c r="C1838" s="8">
        <f>IF(ISNA(MATCH(1829,'Transfer Engine'!$C$2:$C$1960,0)),"",INDEX('Compliance Database'!$C$2:$C$1960,MATCH(1829,'Transfer Engine'!$C$2:$C$1960,0)))</f>
        <v/>
      </c>
      <c r="D1838" s="9">
        <f>IF(ISNA(MATCH(1829,'Transfer Engine'!$C$2:$C$1960,0)),"",INDEX('Compliance Database'!$D$2:$D$1960,MATCH(1829,'Transfer Engine'!$C$2:$C$1960,0)))</f>
        <v/>
      </c>
      <c r="E1838" s="8">
        <f>IF(ISNA(MATCH(1829,'Transfer Engine'!$C$2:$C$1960,0)),"",INDEX('Compliance Database'!$E$2:$E$1960,MATCH(1829,'Transfer Engine'!$C$2:$C$1960,0)))</f>
        <v/>
      </c>
      <c r="F1838" s="8">
        <f>IF(ISNA(MATCH(1829,'Transfer Engine'!$C$2:$C$1960,0)),"",INDEX('Compliance Database'!$F$2:$F$1960,MATCH(1829,'Transfer Engine'!$C$2:$C$1960,0)))</f>
        <v/>
      </c>
      <c r="G1838" s="8">
        <f>IF(ISNA(MATCH(1829,'Transfer Engine'!$C$2:$C$1960,0)),"",INDEX('Compliance Database'!$G$2:$G$1960,MATCH(1829,'Transfer Engine'!$C$2:$C$1960,0)))</f>
        <v/>
      </c>
      <c r="H1838" s="9">
        <f>IF(ISNA(MATCH(1829,'Transfer Engine'!$C$2:$C$1960,0)),"",INDEX('Compliance Database'!$H$2:$H$1960,MATCH(1829,'Transfer Engine'!$C$2:$C$1960,0)))</f>
        <v/>
      </c>
      <c r="I1838" s="9">
        <f>IF(ISNA(MATCH(1829,'Transfer Engine'!$C$2:$C$1960,0)),"",INDEX('Compliance Database'!$I$2:$I$1960,MATCH(1829,'Transfer Engine'!$C$2:$C$1960,0)))</f>
        <v/>
      </c>
      <c r="J1838" s="8">
        <f>IF(ISNA(MATCH(1829,'Transfer Engine'!$C$2:$C$1960,0)),"",INDEX('Compliance Database'!$J$2:$J$1960,MATCH(1829,'Transfer Engine'!$C$2:$C$1960,0)))</f>
        <v/>
      </c>
      <c r="K1838" s="9">
        <f>IF(ISNA(MATCH(1829,'Transfer Engine'!$C$2:$C$1960,0)),"",INDEX('Compliance Database'!$K$2:$K$1960,MATCH(1829,'Transfer Engine'!$C$2:$C$1960,0)))</f>
        <v/>
      </c>
      <c r="L1838" s="9">
        <f>IF(ISNA(MATCH(1829,'Transfer Engine'!$C$2:$C$1960,0)),"",INDEX('Compliance Database'!$L$2:$L$1960,MATCH(1829,'Transfer Engine'!$C$2:$C$1960,0)))</f>
        <v/>
      </c>
      <c r="M1838" s="9">
        <f>IF(ISNA(MATCH(1829,'Transfer Engine'!$C$2:$C$1960,0)),"",INDEX('Compliance Database'!$M$2:$M$1960,MATCH(1829,'Transfer Engine'!$C$2:$C$1960,0)))</f>
        <v/>
      </c>
      <c r="N1838" s="9">
        <f>IF(ISNA(MATCH(1829,'Transfer Engine'!$C$2:$C$1960,0)),"",INDEX('Compliance Database'!$N$2:$N$1960,MATCH(1829,'Transfer Engine'!$C$2:$C$1960,0)))</f>
        <v/>
      </c>
      <c r="O1838" s="9">
        <f>IF(ISNA(MATCH(1829,'Transfer Engine'!$C$2:$C$1960,0)),"",INDEX('Compliance Database'!$O$2:$O$1960,MATCH(1829,'Transfer Engine'!$C$2:$C$1960,0)))</f>
        <v/>
      </c>
      <c r="P1838" s="8">
        <f>IF(ISNA(MATCH(1829,'Transfer Engine'!$C$2:$C$1960,0)),"",HYPERLINK("#Acts!A"&amp;INDEX('Compliance Database'!$P$2:$P$1960,MATCH(1829,'Transfer Engine'!$C$2:$C$1960,0)),"Go to Act"))</f>
        <v/>
      </c>
    </row>
    <row r="1839" ht="158" customHeight="1">
      <c r="A1839" s="8">
        <f>IF(ISNA(MATCH(1830,'Transfer Engine'!$C$2:$C$1960,0)),"",INDEX('Compliance Database'!$A$2:$A$1960,MATCH(1830,'Transfer Engine'!$C$2:$C$1960,0)))</f>
        <v/>
      </c>
      <c r="B1839" s="8">
        <f>IF(ISNA(MATCH(1830,'Transfer Engine'!$C$2:$C$1960,0)),"",INDEX('Compliance Database'!$B$2:$B$1960,MATCH(1830,'Transfer Engine'!$C$2:$C$1960,0)))</f>
        <v/>
      </c>
      <c r="C1839" s="8">
        <f>IF(ISNA(MATCH(1830,'Transfer Engine'!$C$2:$C$1960,0)),"",INDEX('Compliance Database'!$C$2:$C$1960,MATCH(1830,'Transfer Engine'!$C$2:$C$1960,0)))</f>
        <v/>
      </c>
      <c r="D1839" s="9">
        <f>IF(ISNA(MATCH(1830,'Transfer Engine'!$C$2:$C$1960,0)),"",INDEX('Compliance Database'!$D$2:$D$1960,MATCH(1830,'Transfer Engine'!$C$2:$C$1960,0)))</f>
        <v/>
      </c>
      <c r="E1839" s="8">
        <f>IF(ISNA(MATCH(1830,'Transfer Engine'!$C$2:$C$1960,0)),"",INDEX('Compliance Database'!$E$2:$E$1960,MATCH(1830,'Transfer Engine'!$C$2:$C$1960,0)))</f>
        <v/>
      </c>
      <c r="F1839" s="8">
        <f>IF(ISNA(MATCH(1830,'Transfer Engine'!$C$2:$C$1960,0)),"",INDEX('Compliance Database'!$F$2:$F$1960,MATCH(1830,'Transfer Engine'!$C$2:$C$1960,0)))</f>
        <v/>
      </c>
      <c r="G1839" s="8">
        <f>IF(ISNA(MATCH(1830,'Transfer Engine'!$C$2:$C$1960,0)),"",INDEX('Compliance Database'!$G$2:$G$1960,MATCH(1830,'Transfer Engine'!$C$2:$C$1960,0)))</f>
        <v/>
      </c>
      <c r="H1839" s="9">
        <f>IF(ISNA(MATCH(1830,'Transfer Engine'!$C$2:$C$1960,0)),"",INDEX('Compliance Database'!$H$2:$H$1960,MATCH(1830,'Transfer Engine'!$C$2:$C$1960,0)))</f>
        <v/>
      </c>
      <c r="I1839" s="9">
        <f>IF(ISNA(MATCH(1830,'Transfer Engine'!$C$2:$C$1960,0)),"",INDEX('Compliance Database'!$I$2:$I$1960,MATCH(1830,'Transfer Engine'!$C$2:$C$1960,0)))</f>
        <v/>
      </c>
      <c r="J1839" s="8">
        <f>IF(ISNA(MATCH(1830,'Transfer Engine'!$C$2:$C$1960,0)),"",INDEX('Compliance Database'!$J$2:$J$1960,MATCH(1830,'Transfer Engine'!$C$2:$C$1960,0)))</f>
        <v/>
      </c>
      <c r="K1839" s="9">
        <f>IF(ISNA(MATCH(1830,'Transfer Engine'!$C$2:$C$1960,0)),"",INDEX('Compliance Database'!$K$2:$K$1960,MATCH(1830,'Transfer Engine'!$C$2:$C$1960,0)))</f>
        <v/>
      </c>
      <c r="L1839" s="9">
        <f>IF(ISNA(MATCH(1830,'Transfer Engine'!$C$2:$C$1960,0)),"",INDEX('Compliance Database'!$L$2:$L$1960,MATCH(1830,'Transfer Engine'!$C$2:$C$1960,0)))</f>
        <v/>
      </c>
      <c r="M1839" s="9">
        <f>IF(ISNA(MATCH(1830,'Transfer Engine'!$C$2:$C$1960,0)),"",INDEX('Compliance Database'!$M$2:$M$1960,MATCH(1830,'Transfer Engine'!$C$2:$C$1960,0)))</f>
        <v/>
      </c>
      <c r="N1839" s="9">
        <f>IF(ISNA(MATCH(1830,'Transfer Engine'!$C$2:$C$1960,0)),"",INDEX('Compliance Database'!$N$2:$N$1960,MATCH(1830,'Transfer Engine'!$C$2:$C$1960,0)))</f>
        <v/>
      </c>
      <c r="O1839" s="9">
        <f>IF(ISNA(MATCH(1830,'Transfer Engine'!$C$2:$C$1960,0)),"",INDEX('Compliance Database'!$O$2:$O$1960,MATCH(1830,'Transfer Engine'!$C$2:$C$1960,0)))</f>
        <v/>
      </c>
      <c r="P1839" s="8">
        <f>IF(ISNA(MATCH(1830,'Transfer Engine'!$C$2:$C$1960,0)),"",HYPERLINK("#Acts!A"&amp;INDEX('Compliance Database'!$P$2:$P$1960,MATCH(1830,'Transfer Engine'!$C$2:$C$1960,0)),"Go to Act"))</f>
        <v/>
      </c>
    </row>
    <row r="1840" ht="158" customHeight="1">
      <c r="A1840" s="8">
        <f>IF(ISNA(MATCH(1831,'Transfer Engine'!$C$2:$C$1960,0)),"",INDEX('Compliance Database'!$A$2:$A$1960,MATCH(1831,'Transfer Engine'!$C$2:$C$1960,0)))</f>
        <v/>
      </c>
      <c r="B1840" s="8">
        <f>IF(ISNA(MATCH(1831,'Transfer Engine'!$C$2:$C$1960,0)),"",INDEX('Compliance Database'!$B$2:$B$1960,MATCH(1831,'Transfer Engine'!$C$2:$C$1960,0)))</f>
        <v/>
      </c>
      <c r="C1840" s="8">
        <f>IF(ISNA(MATCH(1831,'Transfer Engine'!$C$2:$C$1960,0)),"",INDEX('Compliance Database'!$C$2:$C$1960,MATCH(1831,'Transfer Engine'!$C$2:$C$1960,0)))</f>
        <v/>
      </c>
      <c r="D1840" s="9">
        <f>IF(ISNA(MATCH(1831,'Transfer Engine'!$C$2:$C$1960,0)),"",INDEX('Compliance Database'!$D$2:$D$1960,MATCH(1831,'Transfer Engine'!$C$2:$C$1960,0)))</f>
        <v/>
      </c>
      <c r="E1840" s="8">
        <f>IF(ISNA(MATCH(1831,'Transfer Engine'!$C$2:$C$1960,0)),"",INDEX('Compliance Database'!$E$2:$E$1960,MATCH(1831,'Transfer Engine'!$C$2:$C$1960,0)))</f>
        <v/>
      </c>
      <c r="F1840" s="8">
        <f>IF(ISNA(MATCH(1831,'Transfer Engine'!$C$2:$C$1960,0)),"",INDEX('Compliance Database'!$F$2:$F$1960,MATCH(1831,'Transfer Engine'!$C$2:$C$1960,0)))</f>
        <v/>
      </c>
      <c r="G1840" s="8">
        <f>IF(ISNA(MATCH(1831,'Transfer Engine'!$C$2:$C$1960,0)),"",INDEX('Compliance Database'!$G$2:$G$1960,MATCH(1831,'Transfer Engine'!$C$2:$C$1960,0)))</f>
        <v/>
      </c>
      <c r="H1840" s="9">
        <f>IF(ISNA(MATCH(1831,'Transfer Engine'!$C$2:$C$1960,0)),"",INDEX('Compliance Database'!$H$2:$H$1960,MATCH(1831,'Transfer Engine'!$C$2:$C$1960,0)))</f>
        <v/>
      </c>
      <c r="I1840" s="9">
        <f>IF(ISNA(MATCH(1831,'Transfer Engine'!$C$2:$C$1960,0)),"",INDEX('Compliance Database'!$I$2:$I$1960,MATCH(1831,'Transfer Engine'!$C$2:$C$1960,0)))</f>
        <v/>
      </c>
      <c r="J1840" s="8">
        <f>IF(ISNA(MATCH(1831,'Transfer Engine'!$C$2:$C$1960,0)),"",INDEX('Compliance Database'!$J$2:$J$1960,MATCH(1831,'Transfer Engine'!$C$2:$C$1960,0)))</f>
        <v/>
      </c>
      <c r="K1840" s="9">
        <f>IF(ISNA(MATCH(1831,'Transfer Engine'!$C$2:$C$1960,0)),"",INDEX('Compliance Database'!$K$2:$K$1960,MATCH(1831,'Transfer Engine'!$C$2:$C$1960,0)))</f>
        <v/>
      </c>
      <c r="L1840" s="9">
        <f>IF(ISNA(MATCH(1831,'Transfer Engine'!$C$2:$C$1960,0)),"",INDEX('Compliance Database'!$L$2:$L$1960,MATCH(1831,'Transfer Engine'!$C$2:$C$1960,0)))</f>
        <v/>
      </c>
      <c r="M1840" s="9">
        <f>IF(ISNA(MATCH(1831,'Transfer Engine'!$C$2:$C$1960,0)),"",INDEX('Compliance Database'!$M$2:$M$1960,MATCH(1831,'Transfer Engine'!$C$2:$C$1960,0)))</f>
        <v/>
      </c>
      <c r="N1840" s="9">
        <f>IF(ISNA(MATCH(1831,'Transfer Engine'!$C$2:$C$1960,0)),"",INDEX('Compliance Database'!$N$2:$N$1960,MATCH(1831,'Transfer Engine'!$C$2:$C$1960,0)))</f>
        <v/>
      </c>
      <c r="O1840" s="9">
        <f>IF(ISNA(MATCH(1831,'Transfer Engine'!$C$2:$C$1960,0)),"",INDEX('Compliance Database'!$O$2:$O$1960,MATCH(1831,'Transfer Engine'!$C$2:$C$1960,0)))</f>
        <v/>
      </c>
      <c r="P1840" s="8">
        <f>IF(ISNA(MATCH(1831,'Transfer Engine'!$C$2:$C$1960,0)),"",HYPERLINK("#Acts!A"&amp;INDEX('Compliance Database'!$P$2:$P$1960,MATCH(1831,'Transfer Engine'!$C$2:$C$1960,0)),"Go to Act"))</f>
        <v/>
      </c>
    </row>
    <row r="1841" ht="158" customHeight="1">
      <c r="A1841" s="8">
        <f>IF(ISNA(MATCH(1832,'Transfer Engine'!$C$2:$C$1960,0)),"",INDEX('Compliance Database'!$A$2:$A$1960,MATCH(1832,'Transfer Engine'!$C$2:$C$1960,0)))</f>
        <v/>
      </c>
      <c r="B1841" s="8">
        <f>IF(ISNA(MATCH(1832,'Transfer Engine'!$C$2:$C$1960,0)),"",INDEX('Compliance Database'!$B$2:$B$1960,MATCH(1832,'Transfer Engine'!$C$2:$C$1960,0)))</f>
        <v/>
      </c>
      <c r="C1841" s="8">
        <f>IF(ISNA(MATCH(1832,'Transfer Engine'!$C$2:$C$1960,0)),"",INDEX('Compliance Database'!$C$2:$C$1960,MATCH(1832,'Transfer Engine'!$C$2:$C$1960,0)))</f>
        <v/>
      </c>
      <c r="D1841" s="9">
        <f>IF(ISNA(MATCH(1832,'Transfer Engine'!$C$2:$C$1960,0)),"",INDEX('Compliance Database'!$D$2:$D$1960,MATCH(1832,'Transfer Engine'!$C$2:$C$1960,0)))</f>
        <v/>
      </c>
      <c r="E1841" s="8">
        <f>IF(ISNA(MATCH(1832,'Transfer Engine'!$C$2:$C$1960,0)),"",INDEX('Compliance Database'!$E$2:$E$1960,MATCH(1832,'Transfer Engine'!$C$2:$C$1960,0)))</f>
        <v/>
      </c>
      <c r="F1841" s="8">
        <f>IF(ISNA(MATCH(1832,'Transfer Engine'!$C$2:$C$1960,0)),"",INDEX('Compliance Database'!$F$2:$F$1960,MATCH(1832,'Transfer Engine'!$C$2:$C$1960,0)))</f>
        <v/>
      </c>
      <c r="G1841" s="8">
        <f>IF(ISNA(MATCH(1832,'Transfer Engine'!$C$2:$C$1960,0)),"",INDEX('Compliance Database'!$G$2:$G$1960,MATCH(1832,'Transfer Engine'!$C$2:$C$1960,0)))</f>
        <v/>
      </c>
      <c r="H1841" s="9">
        <f>IF(ISNA(MATCH(1832,'Transfer Engine'!$C$2:$C$1960,0)),"",INDEX('Compliance Database'!$H$2:$H$1960,MATCH(1832,'Transfer Engine'!$C$2:$C$1960,0)))</f>
        <v/>
      </c>
      <c r="I1841" s="9">
        <f>IF(ISNA(MATCH(1832,'Transfer Engine'!$C$2:$C$1960,0)),"",INDEX('Compliance Database'!$I$2:$I$1960,MATCH(1832,'Transfer Engine'!$C$2:$C$1960,0)))</f>
        <v/>
      </c>
      <c r="J1841" s="8">
        <f>IF(ISNA(MATCH(1832,'Transfer Engine'!$C$2:$C$1960,0)),"",INDEX('Compliance Database'!$J$2:$J$1960,MATCH(1832,'Transfer Engine'!$C$2:$C$1960,0)))</f>
        <v/>
      </c>
      <c r="K1841" s="9">
        <f>IF(ISNA(MATCH(1832,'Transfer Engine'!$C$2:$C$1960,0)),"",INDEX('Compliance Database'!$K$2:$K$1960,MATCH(1832,'Transfer Engine'!$C$2:$C$1960,0)))</f>
        <v/>
      </c>
      <c r="L1841" s="9">
        <f>IF(ISNA(MATCH(1832,'Transfer Engine'!$C$2:$C$1960,0)),"",INDEX('Compliance Database'!$L$2:$L$1960,MATCH(1832,'Transfer Engine'!$C$2:$C$1960,0)))</f>
        <v/>
      </c>
      <c r="M1841" s="9">
        <f>IF(ISNA(MATCH(1832,'Transfer Engine'!$C$2:$C$1960,0)),"",INDEX('Compliance Database'!$M$2:$M$1960,MATCH(1832,'Transfer Engine'!$C$2:$C$1960,0)))</f>
        <v/>
      </c>
      <c r="N1841" s="9">
        <f>IF(ISNA(MATCH(1832,'Transfer Engine'!$C$2:$C$1960,0)),"",INDEX('Compliance Database'!$N$2:$N$1960,MATCH(1832,'Transfer Engine'!$C$2:$C$1960,0)))</f>
        <v/>
      </c>
      <c r="O1841" s="9">
        <f>IF(ISNA(MATCH(1832,'Transfer Engine'!$C$2:$C$1960,0)),"",INDEX('Compliance Database'!$O$2:$O$1960,MATCH(1832,'Transfer Engine'!$C$2:$C$1960,0)))</f>
        <v/>
      </c>
      <c r="P1841" s="8">
        <f>IF(ISNA(MATCH(1832,'Transfer Engine'!$C$2:$C$1960,0)),"",HYPERLINK("#Acts!A"&amp;INDEX('Compliance Database'!$P$2:$P$1960,MATCH(1832,'Transfer Engine'!$C$2:$C$1960,0)),"Go to Act"))</f>
        <v/>
      </c>
    </row>
    <row r="1842" ht="158" customHeight="1">
      <c r="A1842" s="8">
        <f>IF(ISNA(MATCH(1833,'Transfer Engine'!$C$2:$C$1960,0)),"",INDEX('Compliance Database'!$A$2:$A$1960,MATCH(1833,'Transfer Engine'!$C$2:$C$1960,0)))</f>
        <v/>
      </c>
      <c r="B1842" s="8">
        <f>IF(ISNA(MATCH(1833,'Transfer Engine'!$C$2:$C$1960,0)),"",INDEX('Compliance Database'!$B$2:$B$1960,MATCH(1833,'Transfer Engine'!$C$2:$C$1960,0)))</f>
        <v/>
      </c>
      <c r="C1842" s="8">
        <f>IF(ISNA(MATCH(1833,'Transfer Engine'!$C$2:$C$1960,0)),"",INDEX('Compliance Database'!$C$2:$C$1960,MATCH(1833,'Transfer Engine'!$C$2:$C$1960,0)))</f>
        <v/>
      </c>
      <c r="D1842" s="9">
        <f>IF(ISNA(MATCH(1833,'Transfer Engine'!$C$2:$C$1960,0)),"",INDEX('Compliance Database'!$D$2:$D$1960,MATCH(1833,'Transfer Engine'!$C$2:$C$1960,0)))</f>
        <v/>
      </c>
      <c r="E1842" s="8">
        <f>IF(ISNA(MATCH(1833,'Transfer Engine'!$C$2:$C$1960,0)),"",INDEX('Compliance Database'!$E$2:$E$1960,MATCH(1833,'Transfer Engine'!$C$2:$C$1960,0)))</f>
        <v/>
      </c>
      <c r="F1842" s="8">
        <f>IF(ISNA(MATCH(1833,'Transfer Engine'!$C$2:$C$1960,0)),"",INDEX('Compliance Database'!$F$2:$F$1960,MATCH(1833,'Transfer Engine'!$C$2:$C$1960,0)))</f>
        <v/>
      </c>
      <c r="G1842" s="8">
        <f>IF(ISNA(MATCH(1833,'Transfer Engine'!$C$2:$C$1960,0)),"",INDEX('Compliance Database'!$G$2:$G$1960,MATCH(1833,'Transfer Engine'!$C$2:$C$1960,0)))</f>
        <v/>
      </c>
      <c r="H1842" s="9">
        <f>IF(ISNA(MATCH(1833,'Transfer Engine'!$C$2:$C$1960,0)),"",INDEX('Compliance Database'!$H$2:$H$1960,MATCH(1833,'Transfer Engine'!$C$2:$C$1960,0)))</f>
        <v/>
      </c>
      <c r="I1842" s="9">
        <f>IF(ISNA(MATCH(1833,'Transfer Engine'!$C$2:$C$1960,0)),"",INDEX('Compliance Database'!$I$2:$I$1960,MATCH(1833,'Transfer Engine'!$C$2:$C$1960,0)))</f>
        <v/>
      </c>
      <c r="J1842" s="8">
        <f>IF(ISNA(MATCH(1833,'Transfer Engine'!$C$2:$C$1960,0)),"",INDEX('Compliance Database'!$J$2:$J$1960,MATCH(1833,'Transfer Engine'!$C$2:$C$1960,0)))</f>
        <v/>
      </c>
      <c r="K1842" s="9">
        <f>IF(ISNA(MATCH(1833,'Transfer Engine'!$C$2:$C$1960,0)),"",INDEX('Compliance Database'!$K$2:$K$1960,MATCH(1833,'Transfer Engine'!$C$2:$C$1960,0)))</f>
        <v/>
      </c>
      <c r="L1842" s="9">
        <f>IF(ISNA(MATCH(1833,'Transfer Engine'!$C$2:$C$1960,0)),"",INDEX('Compliance Database'!$L$2:$L$1960,MATCH(1833,'Transfer Engine'!$C$2:$C$1960,0)))</f>
        <v/>
      </c>
      <c r="M1842" s="9">
        <f>IF(ISNA(MATCH(1833,'Transfer Engine'!$C$2:$C$1960,0)),"",INDEX('Compliance Database'!$M$2:$M$1960,MATCH(1833,'Transfer Engine'!$C$2:$C$1960,0)))</f>
        <v/>
      </c>
      <c r="N1842" s="9">
        <f>IF(ISNA(MATCH(1833,'Transfer Engine'!$C$2:$C$1960,0)),"",INDEX('Compliance Database'!$N$2:$N$1960,MATCH(1833,'Transfer Engine'!$C$2:$C$1960,0)))</f>
        <v/>
      </c>
      <c r="O1842" s="9">
        <f>IF(ISNA(MATCH(1833,'Transfer Engine'!$C$2:$C$1960,0)),"",INDEX('Compliance Database'!$O$2:$O$1960,MATCH(1833,'Transfer Engine'!$C$2:$C$1960,0)))</f>
        <v/>
      </c>
      <c r="P1842" s="8">
        <f>IF(ISNA(MATCH(1833,'Transfer Engine'!$C$2:$C$1960,0)),"",HYPERLINK("#Acts!A"&amp;INDEX('Compliance Database'!$P$2:$P$1960,MATCH(1833,'Transfer Engine'!$C$2:$C$1960,0)),"Go to Act"))</f>
        <v/>
      </c>
    </row>
    <row r="1843" ht="158" customHeight="1">
      <c r="A1843" s="8">
        <f>IF(ISNA(MATCH(1834,'Transfer Engine'!$C$2:$C$1960,0)),"",INDEX('Compliance Database'!$A$2:$A$1960,MATCH(1834,'Transfer Engine'!$C$2:$C$1960,0)))</f>
        <v/>
      </c>
      <c r="B1843" s="8">
        <f>IF(ISNA(MATCH(1834,'Transfer Engine'!$C$2:$C$1960,0)),"",INDEX('Compliance Database'!$B$2:$B$1960,MATCH(1834,'Transfer Engine'!$C$2:$C$1960,0)))</f>
        <v/>
      </c>
      <c r="C1843" s="8">
        <f>IF(ISNA(MATCH(1834,'Transfer Engine'!$C$2:$C$1960,0)),"",INDEX('Compliance Database'!$C$2:$C$1960,MATCH(1834,'Transfer Engine'!$C$2:$C$1960,0)))</f>
        <v/>
      </c>
      <c r="D1843" s="9">
        <f>IF(ISNA(MATCH(1834,'Transfer Engine'!$C$2:$C$1960,0)),"",INDEX('Compliance Database'!$D$2:$D$1960,MATCH(1834,'Transfer Engine'!$C$2:$C$1960,0)))</f>
        <v/>
      </c>
      <c r="E1843" s="8">
        <f>IF(ISNA(MATCH(1834,'Transfer Engine'!$C$2:$C$1960,0)),"",INDEX('Compliance Database'!$E$2:$E$1960,MATCH(1834,'Transfer Engine'!$C$2:$C$1960,0)))</f>
        <v/>
      </c>
      <c r="F1843" s="8">
        <f>IF(ISNA(MATCH(1834,'Transfer Engine'!$C$2:$C$1960,0)),"",INDEX('Compliance Database'!$F$2:$F$1960,MATCH(1834,'Transfer Engine'!$C$2:$C$1960,0)))</f>
        <v/>
      </c>
      <c r="G1843" s="8">
        <f>IF(ISNA(MATCH(1834,'Transfer Engine'!$C$2:$C$1960,0)),"",INDEX('Compliance Database'!$G$2:$G$1960,MATCH(1834,'Transfer Engine'!$C$2:$C$1960,0)))</f>
        <v/>
      </c>
      <c r="H1843" s="9">
        <f>IF(ISNA(MATCH(1834,'Transfer Engine'!$C$2:$C$1960,0)),"",INDEX('Compliance Database'!$H$2:$H$1960,MATCH(1834,'Transfer Engine'!$C$2:$C$1960,0)))</f>
        <v/>
      </c>
      <c r="I1843" s="9">
        <f>IF(ISNA(MATCH(1834,'Transfer Engine'!$C$2:$C$1960,0)),"",INDEX('Compliance Database'!$I$2:$I$1960,MATCH(1834,'Transfer Engine'!$C$2:$C$1960,0)))</f>
        <v/>
      </c>
      <c r="J1843" s="8">
        <f>IF(ISNA(MATCH(1834,'Transfer Engine'!$C$2:$C$1960,0)),"",INDEX('Compliance Database'!$J$2:$J$1960,MATCH(1834,'Transfer Engine'!$C$2:$C$1960,0)))</f>
        <v/>
      </c>
      <c r="K1843" s="9">
        <f>IF(ISNA(MATCH(1834,'Transfer Engine'!$C$2:$C$1960,0)),"",INDEX('Compliance Database'!$K$2:$K$1960,MATCH(1834,'Transfer Engine'!$C$2:$C$1960,0)))</f>
        <v/>
      </c>
      <c r="L1843" s="9">
        <f>IF(ISNA(MATCH(1834,'Transfer Engine'!$C$2:$C$1960,0)),"",INDEX('Compliance Database'!$L$2:$L$1960,MATCH(1834,'Transfer Engine'!$C$2:$C$1960,0)))</f>
        <v/>
      </c>
      <c r="M1843" s="9">
        <f>IF(ISNA(MATCH(1834,'Transfer Engine'!$C$2:$C$1960,0)),"",INDEX('Compliance Database'!$M$2:$M$1960,MATCH(1834,'Transfer Engine'!$C$2:$C$1960,0)))</f>
        <v/>
      </c>
      <c r="N1843" s="9">
        <f>IF(ISNA(MATCH(1834,'Transfer Engine'!$C$2:$C$1960,0)),"",INDEX('Compliance Database'!$N$2:$N$1960,MATCH(1834,'Transfer Engine'!$C$2:$C$1960,0)))</f>
        <v/>
      </c>
      <c r="O1843" s="9">
        <f>IF(ISNA(MATCH(1834,'Transfer Engine'!$C$2:$C$1960,0)),"",INDEX('Compliance Database'!$O$2:$O$1960,MATCH(1834,'Transfer Engine'!$C$2:$C$1960,0)))</f>
        <v/>
      </c>
      <c r="P1843" s="8">
        <f>IF(ISNA(MATCH(1834,'Transfer Engine'!$C$2:$C$1960,0)),"",HYPERLINK("#Acts!A"&amp;INDEX('Compliance Database'!$P$2:$P$1960,MATCH(1834,'Transfer Engine'!$C$2:$C$1960,0)),"Go to Act"))</f>
        <v/>
      </c>
    </row>
    <row r="1844" ht="158" customHeight="1">
      <c r="A1844" s="8">
        <f>IF(ISNA(MATCH(1835,'Transfer Engine'!$C$2:$C$1960,0)),"",INDEX('Compliance Database'!$A$2:$A$1960,MATCH(1835,'Transfer Engine'!$C$2:$C$1960,0)))</f>
        <v/>
      </c>
      <c r="B1844" s="8">
        <f>IF(ISNA(MATCH(1835,'Transfer Engine'!$C$2:$C$1960,0)),"",INDEX('Compliance Database'!$B$2:$B$1960,MATCH(1835,'Transfer Engine'!$C$2:$C$1960,0)))</f>
        <v/>
      </c>
      <c r="C1844" s="8">
        <f>IF(ISNA(MATCH(1835,'Transfer Engine'!$C$2:$C$1960,0)),"",INDEX('Compliance Database'!$C$2:$C$1960,MATCH(1835,'Transfer Engine'!$C$2:$C$1960,0)))</f>
        <v/>
      </c>
      <c r="D1844" s="9">
        <f>IF(ISNA(MATCH(1835,'Transfer Engine'!$C$2:$C$1960,0)),"",INDEX('Compliance Database'!$D$2:$D$1960,MATCH(1835,'Transfer Engine'!$C$2:$C$1960,0)))</f>
        <v/>
      </c>
      <c r="E1844" s="8">
        <f>IF(ISNA(MATCH(1835,'Transfer Engine'!$C$2:$C$1960,0)),"",INDEX('Compliance Database'!$E$2:$E$1960,MATCH(1835,'Transfer Engine'!$C$2:$C$1960,0)))</f>
        <v/>
      </c>
      <c r="F1844" s="8">
        <f>IF(ISNA(MATCH(1835,'Transfer Engine'!$C$2:$C$1960,0)),"",INDEX('Compliance Database'!$F$2:$F$1960,MATCH(1835,'Transfer Engine'!$C$2:$C$1960,0)))</f>
        <v/>
      </c>
      <c r="G1844" s="8">
        <f>IF(ISNA(MATCH(1835,'Transfer Engine'!$C$2:$C$1960,0)),"",INDEX('Compliance Database'!$G$2:$G$1960,MATCH(1835,'Transfer Engine'!$C$2:$C$1960,0)))</f>
        <v/>
      </c>
      <c r="H1844" s="9">
        <f>IF(ISNA(MATCH(1835,'Transfer Engine'!$C$2:$C$1960,0)),"",INDEX('Compliance Database'!$H$2:$H$1960,MATCH(1835,'Transfer Engine'!$C$2:$C$1960,0)))</f>
        <v/>
      </c>
      <c r="I1844" s="9">
        <f>IF(ISNA(MATCH(1835,'Transfer Engine'!$C$2:$C$1960,0)),"",INDEX('Compliance Database'!$I$2:$I$1960,MATCH(1835,'Transfer Engine'!$C$2:$C$1960,0)))</f>
        <v/>
      </c>
      <c r="J1844" s="8">
        <f>IF(ISNA(MATCH(1835,'Transfer Engine'!$C$2:$C$1960,0)),"",INDEX('Compliance Database'!$J$2:$J$1960,MATCH(1835,'Transfer Engine'!$C$2:$C$1960,0)))</f>
        <v/>
      </c>
      <c r="K1844" s="9">
        <f>IF(ISNA(MATCH(1835,'Transfer Engine'!$C$2:$C$1960,0)),"",INDEX('Compliance Database'!$K$2:$K$1960,MATCH(1835,'Transfer Engine'!$C$2:$C$1960,0)))</f>
        <v/>
      </c>
      <c r="L1844" s="9">
        <f>IF(ISNA(MATCH(1835,'Transfer Engine'!$C$2:$C$1960,0)),"",INDEX('Compliance Database'!$L$2:$L$1960,MATCH(1835,'Transfer Engine'!$C$2:$C$1960,0)))</f>
        <v/>
      </c>
      <c r="M1844" s="9">
        <f>IF(ISNA(MATCH(1835,'Transfer Engine'!$C$2:$C$1960,0)),"",INDEX('Compliance Database'!$M$2:$M$1960,MATCH(1835,'Transfer Engine'!$C$2:$C$1960,0)))</f>
        <v/>
      </c>
      <c r="N1844" s="9">
        <f>IF(ISNA(MATCH(1835,'Transfer Engine'!$C$2:$C$1960,0)),"",INDEX('Compliance Database'!$N$2:$N$1960,MATCH(1835,'Transfer Engine'!$C$2:$C$1960,0)))</f>
        <v/>
      </c>
      <c r="O1844" s="9">
        <f>IF(ISNA(MATCH(1835,'Transfer Engine'!$C$2:$C$1960,0)),"",INDEX('Compliance Database'!$O$2:$O$1960,MATCH(1835,'Transfer Engine'!$C$2:$C$1960,0)))</f>
        <v/>
      </c>
      <c r="P1844" s="8">
        <f>IF(ISNA(MATCH(1835,'Transfer Engine'!$C$2:$C$1960,0)),"",HYPERLINK("#Acts!A"&amp;INDEX('Compliance Database'!$P$2:$P$1960,MATCH(1835,'Transfer Engine'!$C$2:$C$1960,0)),"Go to Act"))</f>
        <v/>
      </c>
    </row>
    <row r="1845" ht="158" customHeight="1">
      <c r="A1845" s="8">
        <f>IF(ISNA(MATCH(1836,'Transfer Engine'!$C$2:$C$1960,0)),"",INDEX('Compliance Database'!$A$2:$A$1960,MATCH(1836,'Transfer Engine'!$C$2:$C$1960,0)))</f>
        <v/>
      </c>
      <c r="B1845" s="8">
        <f>IF(ISNA(MATCH(1836,'Transfer Engine'!$C$2:$C$1960,0)),"",INDEX('Compliance Database'!$B$2:$B$1960,MATCH(1836,'Transfer Engine'!$C$2:$C$1960,0)))</f>
        <v/>
      </c>
      <c r="C1845" s="8">
        <f>IF(ISNA(MATCH(1836,'Transfer Engine'!$C$2:$C$1960,0)),"",INDEX('Compliance Database'!$C$2:$C$1960,MATCH(1836,'Transfer Engine'!$C$2:$C$1960,0)))</f>
        <v/>
      </c>
      <c r="D1845" s="9">
        <f>IF(ISNA(MATCH(1836,'Transfer Engine'!$C$2:$C$1960,0)),"",INDEX('Compliance Database'!$D$2:$D$1960,MATCH(1836,'Transfer Engine'!$C$2:$C$1960,0)))</f>
        <v/>
      </c>
      <c r="E1845" s="8">
        <f>IF(ISNA(MATCH(1836,'Transfer Engine'!$C$2:$C$1960,0)),"",INDEX('Compliance Database'!$E$2:$E$1960,MATCH(1836,'Transfer Engine'!$C$2:$C$1960,0)))</f>
        <v/>
      </c>
      <c r="F1845" s="8">
        <f>IF(ISNA(MATCH(1836,'Transfer Engine'!$C$2:$C$1960,0)),"",INDEX('Compliance Database'!$F$2:$F$1960,MATCH(1836,'Transfer Engine'!$C$2:$C$1960,0)))</f>
        <v/>
      </c>
      <c r="G1845" s="8">
        <f>IF(ISNA(MATCH(1836,'Transfer Engine'!$C$2:$C$1960,0)),"",INDEX('Compliance Database'!$G$2:$G$1960,MATCH(1836,'Transfer Engine'!$C$2:$C$1960,0)))</f>
        <v/>
      </c>
      <c r="H1845" s="9">
        <f>IF(ISNA(MATCH(1836,'Transfer Engine'!$C$2:$C$1960,0)),"",INDEX('Compliance Database'!$H$2:$H$1960,MATCH(1836,'Transfer Engine'!$C$2:$C$1960,0)))</f>
        <v/>
      </c>
      <c r="I1845" s="9">
        <f>IF(ISNA(MATCH(1836,'Transfer Engine'!$C$2:$C$1960,0)),"",INDEX('Compliance Database'!$I$2:$I$1960,MATCH(1836,'Transfer Engine'!$C$2:$C$1960,0)))</f>
        <v/>
      </c>
      <c r="J1845" s="8">
        <f>IF(ISNA(MATCH(1836,'Transfer Engine'!$C$2:$C$1960,0)),"",INDEX('Compliance Database'!$J$2:$J$1960,MATCH(1836,'Transfer Engine'!$C$2:$C$1960,0)))</f>
        <v/>
      </c>
      <c r="K1845" s="9">
        <f>IF(ISNA(MATCH(1836,'Transfer Engine'!$C$2:$C$1960,0)),"",INDEX('Compliance Database'!$K$2:$K$1960,MATCH(1836,'Transfer Engine'!$C$2:$C$1960,0)))</f>
        <v/>
      </c>
      <c r="L1845" s="9">
        <f>IF(ISNA(MATCH(1836,'Transfer Engine'!$C$2:$C$1960,0)),"",INDEX('Compliance Database'!$L$2:$L$1960,MATCH(1836,'Transfer Engine'!$C$2:$C$1960,0)))</f>
        <v/>
      </c>
      <c r="M1845" s="9">
        <f>IF(ISNA(MATCH(1836,'Transfer Engine'!$C$2:$C$1960,0)),"",INDEX('Compliance Database'!$M$2:$M$1960,MATCH(1836,'Transfer Engine'!$C$2:$C$1960,0)))</f>
        <v/>
      </c>
      <c r="N1845" s="9">
        <f>IF(ISNA(MATCH(1836,'Transfer Engine'!$C$2:$C$1960,0)),"",INDEX('Compliance Database'!$N$2:$N$1960,MATCH(1836,'Transfer Engine'!$C$2:$C$1960,0)))</f>
        <v/>
      </c>
      <c r="O1845" s="9">
        <f>IF(ISNA(MATCH(1836,'Transfer Engine'!$C$2:$C$1960,0)),"",INDEX('Compliance Database'!$O$2:$O$1960,MATCH(1836,'Transfer Engine'!$C$2:$C$1960,0)))</f>
        <v/>
      </c>
      <c r="P1845" s="8">
        <f>IF(ISNA(MATCH(1836,'Transfer Engine'!$C$2:$C$1960,0)),"",HYPERLINK("#Acts!A"&amp;INDEX('Compliance Database'!$P$2:$P$1960,MATCH(1836,'Transfer Engine'!$C$2:$C$1960,0)),"Go to Act"))</f>
        <v/>
      </c>
    </row>
    <row r="1846" ht="158" customHeight="1">
      <c r="A1846" s="8">
        <f>IF(ISNA(MATCH(1837,'Transfer Engine'!$C$2:$C$1960,0)),"",INDEX('Compliance Database'!$A$2:$A$1960,MATCH(1837,'Transfer Engine'!$C$2:$C$1960,0)))</f>
        <v/>
      </c>
      <c r="B1846" s="8">
        <f>IF(ISNA(MATCH(1837,'Transfer Engine'!$C$2:$C$1960,0)),"",INDEX('Compliance Database'!$B$2:$B$1960,MATCH(1837,'Transfer Engine'!$C$2:$C$1960,0)))</f>
        <v/>
      </c>
      <c r="C1846" s="8">
        <f>IF(ISNA(MATCH(1837,'Transfer Engine'!$C$2:$C$1960,0)),"",INDEX('Compliance Database'!$C$2:$C$1960,MATCH(1837,'Transfer Engine'!$C$2:$C$1960,0)))</f>
        <v/>
      </c>
      <c r="D1846" s="9">
        <f>IF(ISNA(MATCH(1837,'Transfer Engine'!$C$2:$C$1960,0)),"",INDEX('Compliance Database'!$D$2:$D$1960,MATCH(1837,'Transfer Engine'!$C$2:$C$1960,0)))</f>
        <v/>
      </c>
      <c r="E1846" s="8">
        <f>IF(ISNA(MATCH(1837,'Transfer Engine'!$C$2:$C$1960,0)),"",INDEX('Compliance Database'!$E$2:$E$1960,MATCH(1837,'Transfer Engine'!$C$2:$C$1960,0)))</f>
        <v/>
      </c>
      <c r="F1846" s="8">
        <f>IF(ISNA(MATCH(1837,'Transfer Engine'!$C$2:$C$1960,0)),"",INDEX('Compliance Database'!$F$2:$F$1960,MATCH(1837,'Transfer Engine'!$C$2:$C$1960,0)))</f>
        <v/>
      </c>
      <c r="G1846" s="8">
        <f>IF(ISNA(MATCH(1837,'Transfer Engine'!$C$2:$C$1960,0)),"",INDEX('Compliance Database'!$G$2:$G$1960,MATCH(1837,'Transfer Engine'!$C$2:$C$1960,0)))</f>
        <v/>
      </c>
      <c r="H1846" s="9">
        <f>IF(ISNA(MATCH(1837,'Transfer Engine'!$C$2:$C$1960,0)),"",INDEX('Compliance Database'!$H$2:$H$1960,MATCH(1837,'Transfer Engine'!$C$2:$C$1960,0)))</f>
        <v/>
      </c>
      <c r="I1846" s="9">
        <f>IF(ISNA(MATCH(1837,'Transfer Engine'!$C$2:$C$1960,0)),"",INDEX('Compliance Database'!$I$2:$I$1960,MATCH(1837,'Transfer Engine'!$C$2:$C$1960,0)))</f>
        <v/>
      </c>
      <c r="J1846" s="8">
        <f>IF(ISNA(MATCH(1837,'Transfer Engine'!$C$2:$C$1960,0)),"",INDEX('Compliance Database'!$J$2:$J$1960,MATCH(1837,'Transfer Engine'!$C$2:$C$1960,0)))</f>
        <v/>
      </c>
      <c r="K1846" s="9">
        <f>IF(ISNA(MATCH(1837,'Transfer Engine'!$C$2:$C$1960,0)),"",INDEX('Compliance Database'!$K$2:$K$1960,MATCH(1837,'Transfer Engine'!$C$2:$C$1960,0)))</f>
        <v/>
      </c>
      <c r="L1846" s="9">
        <f>IF(ISNA(MATCH(1837,'Transfer Engine'!$C$2:$C$1960,0)),"",INDEX('Compliance Database'!$L$2:$L$1960,MATCH(1837,'Transfer Engine'!$C$2:$C$1960,0)))</f>
        <v/>
      </c>
      <c r="M1846" s="9">
        <f>IF(ISNA(MATCH(1837,'Transfer Engine'!$C$2:$C$1960,0)),"",INDEX('Compliance Database'!$M$2:$M$1960,MATCH(1837,'Transfer Engine'!$C$2:$C$1960,0)))</f>
        <v/>
      </c>
      <c r="N1846" s="9">
        <f>IF(ISNA(MATCH(1837,'Transfer Engine'!$C$2:$C$1960,0)),"",INDEX('Compliance Database'!$N$2:$N$1960,MATCH(1837,'Transfer Engine'!$C$2:$C$1960,0)))</f>
        <v/>
      </c>
      <c r="O1846" s="9">
        <f>IF(ISNA(MATCH(1837,'Transfer Engine'!$C$2:$C$1960,0)),"",INDEX('Compliance Database'!$O$2:$O$1960,MATCH(1837,'Transfer Engine'!$C$2:$C$1960,0)))</f>
        <v/>
      </c>
      <c r="P1846" s="8">
        <f>IF(ISNA(MATCH(1837,'Transfer Engine'!$C$2:$C$1960,0)),"",HYPERLINK("#Acts!A"&amp;INDEX('Compliance Database'!$P$2:$P$1960,MATCH(1837,'Transfer Engine'!$C$2:$C$1960,0)),"Go to Act"))</f>
        <v/>
      </c>
    </row>
    <row r="1847" ht="158" customHeight="1">
      <c r="A1847" s="8">
        <f>IF(ISNA(MATCH(1838,'Transfer Engine'!$C$2:$C$1960,0)),"",INDEX('Compliance Database'!$A$2:$A$1960,MATCH(1838,'Transfer Engine'!$C$2:$C$1960,0)))</f>
        <v/>
      </c>
      <c r="B1847" s="8">
        <f>IF(ISNA(MATCH(1838,'Transfer Engine'!$C$2:$C$1960,0)),"",INDEX('Compliance Database'!$B$2:$B$1960,MATCH(1838,'Transfer Engine'!$C$2:$C$1960,0)))</f>
        <v/>
      </c>
      <c r="C1847" s="8">
        <f>IF(ISNA(MATCH(1838,'Transfer Engine'!$C$2:$C$1960,0)),"",INDEX('Compliance Database'!$C$2:$C$1960,MATCH(1838,'Transfer Engine'!$C$2:$C$1960,0)))</f>
        <v/>
      </c>
      <c r="D1847" s="9">
        <f>IF(ISNA(MATCH(1838,'Transfer Engine'!$C$2:$C$1960,0)),"",INDEX('Compliance Database'!$D$2:$D$1960,MATCH(1838,'Transfer Engine'!$C$2:$C$1960,0)))</f>
        <v/>
      </c>
      <c r="E1847" s="8">
        <f>IF(ISNA(MATCH(1838,'Transfer Engine'!$C$2:$C$1960,0)),"",INDEX('Compliance Database'!$E$2:$E$1960,MATCH(1838,'Transfer Engine'!$C$2:$C$1960,0)))</f>
        <v/>
      </c>
      <c r="F1847" s="8">
        <f>IF(ISNA(MATCH(1838,'Transfer Engine'!$C$2:$C$1960,0)),"",INDEX('Compliance Database'!$F$2:$F$1960,MATCH(1838,'Transfer Engine'!$C$2:$C$1960,0)))</f>
        <v/>
      </c>
      <c r="G1847" s="8">
        <f>IF(ISNA(MATCH(1838,'Transfer Engine'!$C$2:$C$1960,0)),"",INDEX('Compliance Database'!$G$2:$G$1960,MATCH(1838,'Transfer Engine'!$C$2:$C$1960,0)))</f>
        <v/>
      </c>
      <c r="H1847" s="9">
        <f>IF(ISNA(MATCH(1838,'Transfer Engine'!$C$2:$C$1960,0)),"",INDEX('Compliance Database'!$H$2:$H$1960,MATCH(1838,'Transfer Engine'!$C$2:$C$1960,0)))</f>
        <v/>
      </c>
      <c r="I1847" s="9">
        <f>IF(ISNA(MATCH(1838,'Transfer Engine'!$C$2:$C$1960,0)),"",INDEX('Compliance Database'!$I$2:$I$1960,MATCH(1838,'Transfer Engine'!$C$2:$C$1960,0)))</f>
        <v/>
      </c>
      <c r="J1847" s="8">
        <f>IF(ISNA(MATCH(1838,'Transfer Engine'!$C$2:$C$1960,0)),"",INDEX('Compliance Database'!$J$2:$J$1960,MATCH(1838,'Transfer Engine'!$C$2:$C$1960,0)))</f>
        <v/>
      </c>
      <c r="K1847" s="9">
        <f>IF(ISNA(MATCH(1838,'Transfer Engine'!$C$2:$C$1960,0)),"",INDEX('Compliance Database'!$K$2:$K$1960,MATCH(1838,'Transfer Engine'!$C$2:$C$1960,0)))</f>
        <v/>
      </c>
      <c r="L1847" s="9">
        <f>IF(ISNA(MATCH(1838,'Transfer Engine'!$C$2:$C$1960,0)),"",INDEX('Compliance Database'!$L$2:$L$1960,MATCH(1838,'Transfer Engine'!$C$2:$C$1960,0)))</f>
        <v/>
      </c>
      <c r="M1847" s="9">
        <f>IF(ISNA(MATCH(1838,'Transfer Engine'!$C$2:$C$1960,0)),"",INDEX('Compliance Database'!$M$2:$M$1960,MATCH(1838,'Transfer Engine'!$C$2:$C$1960,0)))</f>
        <v/>
      </c>
      <c r="N1847" s="9">
        <f>IF(ISNA(MATCH(1838,'Transfer Engine'!$C$2:$C$1960,0)),"",INDEX('Compliance Database'!$N$2:$N$1960,MATCH(1838,'Transfer Engine'!$C$2:$C$1960,0)))</f>
        <v/>
      </c>
      <c r="O1847" s="9">
        <f>IF(ISNA(MATCH(1838,'Transfer Engine'!$C$2:$C$1960,0)),"",INDEX('Compliance Database'!$O$2:$O$1960,MATCH(1838,'Transfer Engine'!$C$2:$C$1960,0)))</f>
        <v/>
      </c>
      <c r="P1847" s="8">
        <f>IF(ISNA(MATCH(1838,'Transfer Engine'!$C$2:$C$1960,0)),"",HYPERLINK("#Acts!A"&amp;INDEX('Compliance Database'!$P$2:$P$1960,MATCH(1838,'Transfer Engine'!$C$2:$C$1960,0)),"Go to Act"))</f>
        <v/>
      </c>
    </row>
    <row r="1848" ht="158" customHeight="1">
      <c r="A1848" s="8">
        <f>IF(ISNA(MATCH(1839,'Transfer Engine'!$C$2:$C$1960,0)),"",INDEX('Compliance Database'!$A$2:$A$1960,MATCH(1839,'Transfer Engine'!$C$2:$C$1960,0)))</f>
        <v/>
      </c>
      <c r="B1848" s="8">
        <f>IF(ISNA(MATCH(1839,'Transfer Engine'!$C$2:$C$1960,0)),"",INDEX('Compliance Database'!$B$2:$B$1960,MATCH(1839,'Transfer Engine'!$C$2:$C$1960,0)))</f>
        <v/>
      </c>
      <c r="C1848" s="8">
        <f>IF(ISNA(MATCH(1839,'Transfer Engine'!$C$2:$C$1960,0)),"",INDEX('Compliance Database'!$C$2:$C$1960,MATCH(1839,'Transfer Engine'!$C$2:$C$1960,0)))</f>
        <v/>
      </c>
      <c r="D1848" s="9">
        <f>IF(ISNA(MATCH(1839,'Transfer Engine'!$C$2:$C$1960,0)),"",INDEX('Compliance Database'!$D$2:$D$1960,MATCH(1839,'Transfer Engine'!$C$2:$C$1960,0)))</f>
        <v/>
      </c>
      <c r="E1848" s="8">
        <f>IF(ISNA(MATCH(1839,'Transfer Engine'!$C$2:$C$1960,0)),"",INDEX('Compliance Database'!$E$2:$E$1960,MATCH(1839,'Transfer Engine'!$C$2:$C$1960,0)))</f>
        <v/>
      </c>
      <c r="F1848" s="8">
        <f>IF(ISNA(MATCH(1839,'Transfer Engine'!$C$2:$C$1960,0)),"",INDEX('Compliance Database'!$F$2:$F$1960,MATCH(1839,'Transfer Engine'!$C$2:$C$1960,0)))</f>
        <v/>
      </c>
      <c r="G1848" s="8">
        <f>IF(ISNA(MATCH(1839,'Transfer Engine'!$C$2:$C$1960,0)),"",INDEX('Compliance Database'!$G$2:$G$1960,MATCH(1839,'Transfer Engine'!$C$2:$C$1960,0)))</f>
        <v/>
      </c>
      <c r="H1848" s="9">
        <f>IF(ISNA(MATCH(1839,'Transfer Engine'!$C$2:$C$1960,0)),"",INDEX('Compliance Database'!$H$2:$H$1960,MATCH(1839,'Transfer Engine'!$C$2:$C$1960,0)))</f>
        <v/>
      </c>
      <c r="I1848" s="9">
        <f>IF(ISNA(MATCH(1839,'Transfer Engine'!$C$2:$C$1960,0)),"",INDEX('Compliance Database'!$I$2:$I$1960,MATCH(1839,'Transfer Engine'!$C$2:$C$1960,0)))</f>
        <v/>
      </c>
      <c r="J1848" s="8">
        <f>IF(ISNA(MATCH(1839,'Transfer Engine'!$C$2:$C$1960,0)),"",INDEX('Compliance Database'!$J$2:$J$1960,MATCH(1839,'Transfer Engine'!$C$2:$C$1960,0)))</f>
        <v/>
      </c>
      <c r="K1848" s="9">
        <f>IF(ISNA(MATCH(1839,'Transfer Engine'!$C$2:$C$1960,0)),"",INDEX('Compliance Database'!$K$2:$K$1960,MATCH(1839,'Transfer Engine'!$C$2:$C$1960,0)))</f>
        <v/>
      </c>
      <c r="L1848" s="9">
        <f>IF(ISNA(MATCH(1839,'Transfer Engine'!$C$2:$C$1960,0)),"",INDEX('Compliance Database'!$L$2:$L$1960,MATCH(1839,'Transfer Engine'!$C$2:$C$1960,0)))</f>
        <v/>
      </c>
      <c r="M1848" s="9">
        <f>IF(ISNA(MATCH(1839,'Transfer Engine'!$C$2:$C$1960,0)),"",INDEX('Compliance Database'!$M$2:$M$1960,MATCH(1839,'Transfer Engine'!$C$2:$C$1960,0)))</f>
        <v/>
      </c>
      <c r="N1848" s="9">
        <f>IF(ISNA(MATCH(1839,'Transfer Engine'!$C$2:$C$1960,0)),"",INDEX('Compliance Database'!$N$2:$N$1960,MATCH(1839,'Transfer Engine'!$C$2:$C$1960,0)))</f>
        <v/>
      </c>
      <c r="O1848" s="9">
        <f>IF(ISNA(MATCH(1839,'Transfer Engine'!$C$2:$C$1960,0)),"",INDEX('Compliance Database'!$O$2:$O$1960,MATCH(1839,'Transfer Engine'!$C$2:$C$1960,0)))</f>
        <v/>
      </c>
      <c r="P1848" s="8">
        <f>IF(ISNA(MATCH(1839,'Transfer Engine'!$C$2:$C$1960,0)),"",HYPERLINK("#Acts!A"&amp;INDEX('Compliance Database'!$P$2:$P$1960,MATCH(1839,'Transfer Engine'!$C$2:$C$1960,0)),"Go to Act"))</f>
        <v/>
      </c>
    </row>
    <row r="1849" ht="158" customHeight="1">
      <c r="A1849" s="8">
        <f>IF(ISNA(MATCH(1840,'Transfer Engine'!$C$2:$C$1960,0)),"",INDEX('Compliance Database'!$A$2:$A$1960,MATCH(1840,'Transfer Engine'!$C$2:$C$1960,0)))</f>
        <v/>
      </c>
      <c r="B1849" s="8">
        <f>IF(ISNA(MATCH(1840,'Transfer Engine'!$C$2:$C$1960,0)),"",INDEX('Compliance Database'!$B$2:$B$1960,MATCH(1840,'Transfer Engine'!$C$2:$C$1960,0)))</f>
        <v/>
      </c>
      <c r="C1849" s="8">
        <f>IF(ISNA(MATCH(1840,'Transfer Engine'!$C$2:$C$1960,0)),"",INDEX('Compliance Database'!$C$2:$C$1960,MATCH(1840,'Transfer Engine'!$C$2:$C$1960,0)))</f>
        <v/>
      </c>
      <c r="D1849" s="9">
        <f>IF(ISNA(MATCH(1840,'Transfer Engine'!$C$2:$C$1960,0)),"",INDEX('Compliance Database'!$D$2:$D$1960,MATCH(1840,'Transfer Engine'!$C$2:$C$1960,0)))</f>
        <v/>
      </c>
      <c r="E1849" s="8">
        <f>IF(ISNA(MATCH(1840,'Transfer Engine'!$C$2:$C$1960,0)),"",INDEX('Compliance Database'!$E$2:$E$1960,MATCH(1840,'Transfer Engine'!$C$2:$C$1960,0)))</f>
        <v/>
      </c>
      <c r="F1849" s="8">
        <f>IF(ISNA(MATCH(1840,'Transfer Engine'!$C$2:$C$1960,0)),"",INDEX('Compliance Database'!$F$2:$F$1960,MATCH(1840,'Transfer Engine'!$C$2:$C$1960,0)))</f>
        <v/>
      </c>
      <c r="G1849" s="8">
        <f>IF(ISNA(MATCH(1840,'Transfer Engine'!$C$2:$C$1960,0)),"",INDEX('Compliance Database'!$G$2:$G$1960,MATCH(1840,'Transfer Engine'!$C$2:$C$1960,0)))</f>
        <v/>
      </c>
      <c r="H1849" s="9">
        <f>IF(ISNA(MATCH(1840,'Transfer Engine'!$C$2:$C$1960,0)),"",INDEX('Compliance Database'!$H$2:$H$1960,MATCH(1840,'Transfer Engine'!$C$2:$C$1960,0)))</f>
        <v/>
      </c>
      <c r="I1849" s="9">
        <f>IF(ISNA(MATCH(1840,'Transfer Engine'!$C$2:$C$1960,0)),"",INDEX('Compliance Database'!$I$2:$I$1960,MATCH(1840,'Transfer Engine'!$C$2:$C$1960,0)))</f>
        <v/>
      </c>
      <c r="J1849" s="8">
        <f>IF(ISNA(MATCH(1840,'Transfer Engine'!$C$2:$C$1960,0)),"",INDEX('Compliance Database'!$J$2:$J$1960,MATCH(1840,'Transfer Engine'!$C$2:$C$1960,0)))</f>
        <v/>
      </c>
      <c r="K1849" s="9">
        <f>IF(ISNA(MATCH(1840,'Transfer Engine'!$C$2:$C$1960,0)),"",INDEX('Compliance Database'!$K$2:$K$1960,MATCH(1840,'Transfer Engine'!$C$2:$C$1960,0)))</f>
        <v/>
      </c>
      <c r="L1849" s="9">
        <f>IF(ISNA(MATCH(1840,'Transfer Engine'!$C$2:$C$1960,0)),"",INDEX('Compliance Database'!$L$2:$L$1960,MATCH(1840,'Transfer Engine'!$C$2:$C$1960,0)))</f>
        <v/>
      </c>
      <c r="M1849" s="9">
        <f>IF(ISNA(MATCH(1840,'Transfer Engine'!$C$2:$C$1960,0)),"",INDEX('Compliance Database'!$M$2:$M$1960,MATCH(1840,'Transfer Engine'!$C$2:$C$1960,0)))</f>
        <v/>
      </c>
      <c r="N1849" s="9">
        <f>IF(ISNA(MATCH(1840,'Transfer Engine'!$C$2:$C$1960,0)),"",INDEX('Compliance Database'!$N$2:$N$1960,MATCH(1840,'Transfer Engine'!$C$2:$C$1960,0)))</f>
        <v/>
      </c>
      <c r="O1849" s="9">
        <f>IF(ISNA(MATCH(1840,'Transfer Engine'!$C$2:$C$1960,0)),"",INDEX('Compliance Database'!$O$2:$O$1960,MATCH(1840,'Transfer Engine'!$C$2:$C$1960,0)))</f>
        <v/>
      </c>
      <c r="P1849" s="8">
        <f>IF(ISNA(MATCH(1840,'Transfer Engine'!$C$2:$C$1960,0)),"",HYPERLINK("#Acts!A"&amp;INDEX('Compliance Database'!$P$2:$P$1960,MATCH(1840,'Transfer Engine'!$C$2:$C$1960,0)),"Go to Act"))</f>
        <v/>
      </c>
    </row>
    <row r="1850" ht="158" customHeight="1">
      <c r="A1850" s="8">
        <f>IF(ISNA(MATCH(1841,'Transfer Engine'!$C$2:$C$1960,0)),"",INDEX('Compliance Database'!$A$2:$A$1960,MATCH(1841,'Transfer Engine'!$C$2:$C$1960,0)))</f>
        <v/>
      </c>
      <c r="B1850" s="8">
        <f>IF(ISNA(MATCH(1841,'Transfer Engine'!$C$2:$C$1960,0)),"",INDEX('Compliance Database'!$B$2:$B$1960,MATCH(1841,'Transfer Engine'!$C$2:$C$1960,0)))</f>
        <v/>
      </c>
      <c r="C1850" s="8">
        <f>IF(ISNA(MATCH(1841,'Transfer Engine'!$C$2:$C$1960,0)),"",INDEX('Compliance Database'!$C$2:$C$1960,MATCH(1841,'Transfer Engine'!$C$2:$C$1960,0)))</f>
        <v/>
      </c>
      <c r="D1850" s="9">
        <f>IF(ISNA(MATCH(1841,'Transfer Engine'!$C$2:$C$1960,0)),"",INDEX('Compliance Database'!$D$2:$D$1960,MATCH(1841,'Transfer Engine'!$C$2:$C$1960,0)))</f>
        <v/>
      </c>
      <c r="E1850" s="8">
        <f>IF(ISNA(MATCH(1841,'Transfer Engine'!$C$2:$C$1960,0)),"",INDEX('Compliance Database'!$E$2:$E$1960,MATCH(1841,'Transfer Engine'!$C$2:$C$1960,0)))</f>
        <v/>
      </c>
      <c r="F1850" s="8">
        <f>IF(ISNA(MATCH(1841,'Transfer Engine'!$C$2:$C$1960,0)),"",INDEX('Compliance Database'!$F$2:$F$1960,MATCH(1841,'Transfer Engine'!$C$2:$C$1960,0)))</f>
        <v/>
      </c>
      <c r="G1850" s="8">
        <f>IF(ISNA(MATCH(1841,'Transfer Engine'!$C$2:$C$1960,0)),"",INDEX('Compliance Database'!$G$2:$G$1960,MATCH(1841,'Transfer Engine'!$C$2:$C$1960,0)))</f>
        <v/>
      </c>
      <c r="H1850" s="9">
        <f>IF(ISNA(MATCH(1841,'Transfer Engine'!$C$2:$C$1960,0)),"",INDEX('Compliance Database'!$H$2:$H$1960,MATCH(1841,'Transfer Engine'!$C$2:$C$1960,0)))</f>
        <v/>
      </c>
      <c r="I1850" s="9">
        <f>IF(ISNA(MATCH(1841,'Transfer Engine'!$C$2:$C$1960,0)),"",INDEX('Compliance Database'!$I$2:$I$1960,MATCH(1841,'Transfer Engine'!$C$2:$C$1960,0)))</f>
        <v/>
      </c>
      <c r="J1850" s="8">
        <f>IF(ISNA(MATCH(1841,'Transfer Engine'!$C$2:$C$1960,0)),"",INDEX('Compliance Database'!$J$2:$J$1960,MATCH(1841,'Transfer Engine'!$C$2:$C$1960,0)))</f>
        <v/>
      </c>
      <c r="K1850" s="9">
        <f>IF(ISNA(MATCH(1841,'Transfer Engine'!$C$2:$C$1960,0)),"",INDEX('Compliance Database'!$K$2:$K$1960,MATCH(1841,'Transfer Engine'!$C$2:$C$1960,0)))</f>
        <v/>
      </c>
      <c r="L1850" s="9">
        <f>IF(ISNA(MATCH(1841,'Transfer Engine'!$C$2:$C$1960,0)),"",INDEX('Compliance Database'!$L$2:$L$1960,MATCH(1841,'Transfer Engine'!$C$2:$C$1960,0)))</f>
        <v/>
      </c>
      <c r="M1850" s="9">
        <f>IF(ISNA(MATCH(1841,'Transfer Engine'!$C$2:$C$1960,0)),"",INDEX('Compliance Database'!$M$2:$M$1960,MATCH(1841,'Transfer Engine'!$C$2:$C$1960,0)))</f>
        <v/>
      </c>
      <c r="N1850" s="9">
        <f>IF(ISNA(MATCH(1841,'Transfer Engine'!$C$2:$C$1960,0)),"",INDEX('Compliance Database'!$N$2:$N$1960,MATCH(1841,'Transfer Engine'!$C$2:$C$1960,0)))</f>
        <v/>
      </c>
      <c r="O1850" s="9">
        <f>IF(ISNA(MATCH(1841,'Transfer Engine'!$C$2:$C$1960,0)),"",INDEX('Compliance Database'!$O$2:$O$1960,MATCH(1841,'Transfer Engine'!$C$2:$C$1960,0)))</f>
        <v/>
      </c>
      <c r="P1850" s="8">
        <f>IF(ISNA(MATCH(1841,'Transfer Engine'!$C$2:$C$1960,0)),"",HYPERLINK("#Acts!A"&amp;INDEX('Compliance Database'!$P$2:$P$1960,MATCH(1841,'Transfer Engine'!$C$2:$C$1960,0)),"Go to Act"))</f>
        <v/>
      </c>
    </row>
    <row r="1851" ht="158" customHeight="1">
      <c r="A1851" s="8">
        <f>IF(ISNA(MATCH(1842,'Transfer Engine'!$C$2:$C$1960,0)),"",INDEX('Compliance Database'!$A$2:$A$1960,MATCH(1842,'Transfer Engine'!$C$2:$C$1960,0)))</f>
        <v/>
      </c>
      <c r="B1851" s="8">
        <f>IF(ISNA(MATCH(1842,'Transfer Engine'!$C$2:$C$1960,0)),"",INDEX('Compliance Database'!$B$2:$B$1960,MATCH(1842,'Transfer Engine'!$C$2:$C$1960,0)))</f>
        <v/>
      </c>
      <c r="C1851" s="8">
        <f>IF(ISNA(MATCH(1842,'Transfer Engine'!$C$2:$C$1960,0)),"",INDEX('Compliance Database'!$C$2:$C$1960,MATCH(1842,'Transfer Engine'!$C$2:$C$1960,0)))</f>
        <v/>
      </c>
      <c r="D1851" s="9">
        <f>IF(ISNA(MATCH(1842,'Transfer Engine'!$C$2:$C$1960,0)),"",INDEX('Compliance Database'!$D$2:$D$1960,MATCH(1842,'Transfer Engine'!$C$2:$C$1960,0)))</f>
        <v/>
      </c>
      <c r="E1851" s="8">
        <f>IF(ISNA(MATCH(1842,'Transfer Engine'!$C$2:$C$1960,0)),"",INDEX('Compliance Database'!$E$2:$E$1960,MATCH(1842,'Transfer Engine'!$C$2:$C$1960,0)))</f>
        <v/>
      </c>
      <c r="F1851" s="8">
        <f>IF(ISNA(MATCH(1842,'Transfer Engine'!$C$2:$C$1960,0)),"",INDEX('Compliance Database'!$F$2:$F$1960,MATCH(1842,'Transfer Engine'!$C$2:$C$1960,0)))</f>
        <v/>
      </c>
      <c r="G1851" s="8">
        <f>IF(ISNA(MATCH(1842,'Transfer Engine'!$C$2:$C$1960,0)),"",INDEX('Compliance Database'!$G$2:$G$1960,MATCH(1842,'Transfer Engine'!$C$2:$C$1960,0)))</f>
        <v/>
      </c>
      <c r="H1851" s="9">
        <f>IF(ISNA(MATCH(1842,'Transfer Engine'!$C$2:$C$1960,0)),"",INDEX('Compliance Database'!$H$2:$H$1960,MATCH(1842,'Transfer Engine'!$C$2:$C$1960,0)))</f>
        <v/>
      </c>
      <c r="I1851" s="9">
        <f>IF(ISNA(MATCH(1842,'Transfer Engine'!$C$2:$C$1960,0)),"",INDEX('Compliance Database'!$I$2:$I$1960,MATCH(1842,'Transfer Engine'!$C$2:$C$1960,0)))</f>
        <v/>
      </c>
      <c r="J1851" s="8">
        <f>IF(ISNA(MATCH(1842,'Transfer Engine'!$C$2:$C$1960,0)),"",INDEX('Compliance Database'!$J$2:$J$1960,MATCH(1842,'Transfer Engine'!$C$2:$C$1960,0)))</f>
        <v/>
      </c>
      <c r="K1851" s="9">
        <f>IF(ISNA(MATCH(1842,'Transfer Engine'!$C$2:$C$1960,0)),"",INDEX('Compliance Database'!$K$2:$K$1960,MATCH(1842,'Transfer Engine'!$C$2:$C$1960,0)))</f>
        <v/>
      </c>
      <c r="L1851" s="9">
        <f>IF(ISNA(MATCH(1842,'Transfer Engine'!$C$2:$C$1960,0)),"",INDEX('Compliance Database'!$L$2:$L$1960,MATCH(1842,'Transfer Engine'!$C$2:$C$1960,0)))</f>
        <v/>
      </c>
      <c r="M1851" s="9">
        <f>IF(ISNA(MATCH(1842,'Transfer Engine'!$C$2:$C$1960,0)),"",INDEX('Compliance Database'!$M$2:$M$1960,MATCH(1842,'Transfer Engine'!$C$2:$C$1960,0)))</f>
        <v/>
      </c>
      <c r="N1851" s="9">
        <f>IF(ISNA(MATCH(1842,'Transfer Engine'!$C$2:$C$1960,0)),"",INDEX('Compliance Database'!$N$2:$N$1960,MATCH(1842,'Transfer Engine'!$C$2:$C$1960,0)))</f>
        <v/>
      </c>
      <c r="O1851" s="9">
        <f>IF(ISNA(MATCH(1842,'Transfer Engine'!$C$2:$C$1960,0)),"",INDEX('Compliance Database'!$O$2:$O$1960,MATCH(1842,'Transfer Engine'!$C$2:$C$1960,0)))</f>
        <v/>
      </c>
      <c r="P1851" s="8">
        <f>IF(ISNA(MATCH(1842,'Transfer Engine'!$C$2:$C$1960,0)),"",HYPERLINK("#Acts!A"&amp;INDEX('Compliance Database'!$P$2:$P$1960,MATCH(1842,'Transfer Engine'!$C$2:$C$1960,0)),"Go to Act"))</f>
        <v/>
      </c>
    </row>
    <row r="1852" ht="158" customHeight="1">
      <c r="A1852" s="8">
        <f>IF(ISNA(MATCH(1843,'Transfer Engine'!$C$2:$C$1960,0)),"",INDEX('Compliance Database'!$A$2:$A$1960,MATCH(1843,'Transfer Engine'!$C$2:$C$1960,0)))</f>
        <v/>
      </c>
      <c r="B1852" s="8">
        <f>IF(ISNA(MATCH(1843,'Transfer Engine'!$C$2:$C$1960,0)),"",INDEX('Compliance Database'!$B$2:$B$1960,MATCH(1843,'Transfer Engine'!$C$2:$C$1960,0)))</f>
        <v/>
      </c>
      <c r="C1852" s="8">
        <f>IF(ISNA(MATCH(1843,'Transfer Engine'!$C$2:$C$1960,0)),"",INDEX('Compliance Database'!$C$2:$C$1960,MATCH(1843,'Transfer Engine'!$C$2:$C$1960,0)))</f>
        <v/>
      </c>
      <c r="D1852" s="9">
        <f>IF(ISNA(MATCH(1843,'Transfer Engine'!$C$2:$C$1960,0)),"",INDEX('Compliance Database'!$D$2:$D$1960,MATCH(1843,'Transfer Engine'!$C$2:$C$1960,0)))</f>
        <v/>
      </c>
      <c r="E1852" s="8">
        <f>IF(ISNA(MATCH(1843,'Transfer Engine'!$C$2:$C$1960,0)),"",INDEX('Compliance Database'!$E$2:$E$1960,MATCH(1843,'Transfer Engine'!$C$2:$C$1960,0)))</f>
        <v/>
      </c>
      <c r="F1852" s="8">
        <f>IF(ISNA(MATCH(1843,'Transfer Engine'!$C$2:$C$1960,0)),"",INDEX('Compliance Database'!$F$2:$F$1960,MATCH(1843,'Transfer Engine'!$C$2:$C$1960,0)))</f>
        <v/>
      </c>
      <c r="G1852" s="8">
        <f>IF(ISNA(MATCH(1843,'Transfer Engine'!$C$2:$C$1960,0)),"",INDEX('Compliance Database'!$G$2:$G$1960,MATCH(1843,'Transfer Engine'!$C$2:$C$1960,0)))</f>
        <v/>
      </c>
      <c r="H1852" s="9">
        <f>IF(ISNA(MATCH(1843,'Transfer Engine'!$C$2:$C$1960,0)),"",INDEX('Compliance Database'!$H$2:$H$1960,MATCH(1843,'Transfer Engine'!$C$2:$C$1960,0)))</f>
        <v/>
      </c>
      <c r="I1852" s="9">
        <f>IF(ISNA(MATCH(1843,'Transfer Engine'!$C$2:$C$1960,0)),"",INDEX('Compliance Database'!$I$2:$I$1960,MATCH(1843,'Transfer Engine'!$C$2:$C$1960,0)))</f>
        <v/>
      </c>
      <c r="J1852" s="8">
        <f>IF(ISNA(MATCH(1843,'Transfer Engine'!$C$2:$C$1960,0)),"",INDEX('Compliance Database'!$J$2:$J$1960,MATCH(1843,'Transfer Engine'!$C$2:$C$1960,0)))</f>
        <v/>
      </c>
      <c r="K1852" s="9">
        <f>IF(ISNA(MATCH(1843,'Transfer Engine'!$C$2:$C$1960,0)),"",INDEX('Compliance Database'!$K$2:$K$1960,MATCH(1843,'Transfer Engine'!$C$2:$C$1960,0)))</f>
        <v/>
      </c>
      <c r="L1852" s="9">
        <f>IF(ISNA(MATCH(1843,'Transfer Engine'!$C$2:$C$1960,0)),"",INDEX('Compliance Database'!$L$2:$L$1960,MATCH(1843,'Transfer Engine'!$C$2:$C$1960,0)))</f>
        <v/>
      </c>
      <c r="M1852" s="9">
        <f>IF(ISNA(MATCH(1843,'Transfer Engine'!$C$2:$C$1960,0)),"",INDEX('Compliance Database'!$M$2:$M$1960,MATCH(1843,'Transfer Engine'!$C$2:$C$1960,0)))</f>
        <v/>
      </c>
      <c r="N1852" s="9">
        <f>IF(ISNA(MATCH(1843,'Transfer Engine'!$C$2:$C$1960,0)),"",INDEX('Compliance Database'!$N$2:$N$1960,MATCH(1843,'Transfer Engine'!$C$2:$C$1960,0)))</f>
        <v/>
      </c>
      <c r="O1852" s="9">
        <f>IF(ISNA(MATCH(1843,'Transfer Engine'!$C$2:$C$1960,0)),"",INDEX('Compliance Database'!$O$2:$O$1960,MATCH(1843,'Transfer Engine'!$C$2:$C$1960,0)))</f>
        <v/>
      </c>
      <c r="P1852" s="8">
        <f>IF(ISNA(MATCH(1843,'Transfer Engine'!$C$2:$C$1960,0)),"",HYPERLINK("#Acts!A"&amp;INDEX('Compliance Database'!$P$2:$P$1960,MATCH(1843,'Transfer Engine'!$C$2:$C$1960,0)),"Go to Act"))</f>
        <v/>
      </c>
    </row>
    <row r="1853" ht="158" customHeight="1">
      <c r="A1853" s="8">
        <f>IF(ISNA(MATCH(1844,'Transfer Engine'!$C$2:$C$1960,0)),"",INDEX('Compliance Database'!$A$2:$A$1960,MATCH(1844,'Transfer Engine'!$C$2:$C$1960,0)))</f>
        <v/>
      </c>
      <c r="B1853" s="8">
        <f>IF(ISNA(MATCH(1844,'Transfer Engine'!$C$2:$C$1960,0)),"",INDEX('Compliance Database'!$B$2:$B$1960,MATCH(1844,'Transfer Engine'!$C$2:$C$1960,0)))</f>
        <v/>
      </c>
      <c r="C1853" s="8">
        <f>IF(ISNA(MATCH(1844,'Transfer Engine'!$C$2:$C$1960,0)),"",INDEX('Compliance Database'!$C$2:$C$1960,MATCH(1844,'Transfer Engine'!$C$2:$C$1960,0)))</f>
        <v/>
      </c>
      <c r="D1853" s="9">
        <f>IF(ISNA(MATCH(1844,'Transfer Engine'!$C$2:$C$1960,0)),"",INDEX('Compliance Database'!$D$2:$D$1960,MATCH(1844,'Transfer Engine'!$C$2:$C$1960,0)))</f>
        <v/>
      </c>
      <c r="E1853" s="8">
        <f>IF(ISNA(MATCH(1844,'Transfer Engine'!$C$2:$C$1960,0)),"",INDEX('Compliance Database'!$E$2:$E$1960,MATCH(1844,'Transfer Engine'!$C$2:$C$1960,0)))</f>
        <v/>
      </c>
      <c r="F1853" s="8">
        <f>IF(ISNA(MATCH(1844,'Transfer Engine'!$C$2:$C$1960,0)),"",INDEX('Compliance Database'!$F$2:$F$1960,MATCH(1844,'Transfer Engine'!$C$2:$C$1960,0)))</f>
        <v/>
      </c>
      <c r="G1853" s="8">
        <f>IF(ISNA(MATCH(1844,'Transfer Engine'!$C$2:$C$1960,0)),"",INDEX('Compliance Database'!$G$2:$G$1960,MATCH(1844,'Transfer Engine'!$C$2:$C$1960,0)))</f>
        <v/>
      </c>
      <c r="H1853" s="9">
        <f>IF(ISNA(MATCH(1844,'Transfer Engine'!$C$2:$C$1960,0)),"",INDEX('Compliance Database'!$H$2:$H$1960,MATCH(1844,'Transfer Engine'!$C$2:$C$1960,0)))</f>
        <v/>
      </c>
      <c r="I1853" s="9">
        <f>IF(ISNA(MATCH(1844,'Transfer Engine'!$C$2:$C$1960,0)),"",INDEX('Compliance Database'!$I$2:$I$1960,MATCH(1844,'Transfer Engine'!$C$2:$C$1960,0)))</f>
        <v/>
      </c>
      <c r="J1853" s="8">
        <f>IF(ISNA(MATCH(1844,'Transfer Engine'!$C$2:$C$1960,0)),"",INDEX('Compliance Database'!$J$2:$J$1960,MATCH(1844,'Transfer Engine'!$C$2:$C$1960,0)))</f>
        <v/>
      </c>
      <c r="K1853" s="9">
        <f>IF(ISNA(MATCH(1844,'Transfer Engine'!$C$2:$C$1960,0)),"",INDEX('Compliance Database'!$K$2:$K$1960,MATCH(1844,'Transfer Engine'!$C$2:$C$1960,0)))</f>
        <v/>
      </c>
      <c r="L1853" s="9">
        <f>IF(ISNA(MATCH(1844,'Transfer Engine'!$C$2:$C$1960,0)),"",INDEX('Compliance Database'!$L$2:$L$1960,MATCH(1844,'Transfer Engine'!$C$2:$C$1960,0)))</f>
        <v/>
      </c>
      <c r="M1853" s="9">
        <f>IF(ISNA(MATCH(1844,'Transfer Engine'!$C$2:$C$1960,0)),"",INDEX('Compliance Database'!$M$2:$M$1960,MATCH(1844,'Transfer Engine'!$C$2:$C$1960,0)))</f>
        <v/>
      </c>
      <c r="N1853" s="9">
        <f>IF(ISNA(MATCH(1844,'Transfer Engine'!$C$2:$C$1960,0)),"",INDEX('Compliance Database'!$N$2:$N$1960,MATCH(1844,'Transfer Engine'!$C$2:$C$1960,0)))</f>
        <v/>
      </c>
      <c r="O1853" s="9">
        <f>IF(ISNA(MATCH(1844,'Transfer Engine'!$C$2:$C$1960,0)),"",INDEX('Compliance Database'!$O$2:$O$1960,MATCH(1844,'Transfer Engine'!$C$2:$C$1960,0)))</f>
        <v/>
      </c>
      <c r="P1853" s="8">
        <f>IF(ISNA(MATCH(1844,'Transfer Engine'!$C$2:$C$1960,0)),"",HYPERLINK("#Acts!A"&amp;INDEX('Compliance Database'!$P$2:$P$1960,MATCH(1844,'Transfer Engine'!$C$2:$C$1960,0)),"Go to Act"))</f>
        <v/>
      </c>
    </row>
    <row r="1854" ht="158" customHeight="1">
      <c r="A1854" s="8">
        <f>IF(ISNA(MATCH(1845,'Transfer Engine'!$C$2:$C$1960,0)),"",INDEX('Compliance Database'!$A$2:$A$1960,MATCH(1845,'Transfer Engine'!$C$2:$C$1960,0)))</f>
        <v/>
      </c>
      <c r="B1854" s="8">
        <f>IF(ISNA(MATCH(1845,'Transfer Engine'!$C$2:$C$1960,0)),"",INDEX('Compliance Database'!$B$2:$B$1960,MATCH(1845,'Transfer Engine'!$C$2:$C$1960,0)))</f>
        <v/>
      </c>
      <c r="C1854" s="8">
        <f>IF(ISNA(MATCH(1845,'Transfer Engine'!$C$2:$C$1960,0)),"",INDEX('Compliance Database'!$C$2:$C$1960,MATCH(1845,'Transfer Engine'!$C$2:$C$1960,0)))</f>
        <v/>
      </c>
      <c r="D1854" s="9">
        <f>IF(ISNA(MATCH(1845,'Transfer Engine'!$C$2:$C$1960,0)),"",INDEX('Compliance Database'!$D$2:$D$1960,MATCH(1845,'Transfer Engine'!$C$2:$C$1960,0)))</f>
        <v/>
      </c>
      <c r="E1854" s="8">
        <f>IF(ISNA(MATCH(1845,'Transfer Engine'!$C$2:$C$1960,0)),"",INDEX('Compliance Database'!$E$2:$E$1960,MATCH(1845,'Transfer Engine'!$C$2:$C$1960,0)))</f>
        <v/>
      </c>
      <c r="F1854" s="8">
        <f>IF(ISNA(MATCH(1845,'Transfer Engine'!$C$2:$C$1960,0)),"",INDEX('Compliance Database'!$F$2:$F$1960,MATCH(1845,'Transfer Engine'!$C$2:$C$1960,0)))</f>
        <v/>
      </c>
      <c r="G1854" s="8">
        <f>IF(ISNA(MATCH(1845,'Transfer Engine'!$C$2:$C$1960,0)),"",INDEX('Compliance Database'!$G$2:$G$1960,MATCH(1845,'Transfer Engine'!$C$2:$C$1960,0)))</f>
        <v/>
      </c>
      <c r="H1854" s="9">
        <f>IF(ISNA(MATCH(1845,'Transfer Engine'!$C$2:$C$1960,0)),"",INDEX('Compliance Database'!$H$2:$H$1960,MATCH(1845,'Transfer Engine'!$C$2:$C$1960,0)))</f>
        <v/>
      </c>
      <c r="I1854" s="9">
        <f>IF(ISNA(MATCH(1845,'Transfer Engine'!$C$2:$C$1960,0)),"",INDEX('Compliance Database'!$I$2:$I$1960,MATCH(1845,'Transfer Engine'!$C$2:$C$1960,0)))</f>
        <v/>
      </c>
      <c r="J1854" s="8">
        <f>IF(ISNA(MATCH(1845,'Transfer Engine'!$C$2:$C$1960,0)),"",INDEX('Compliance Database'!$J$2:$J$1960,MATCH(1845,'Transfer Engine'!$C$2:$C$1960,0)))</f>
        <v/>
      </c>
      <c r="K1854" s="9">
        <f>IF(ISNA(MATCH(1845,'Transfer Engine'!$C$2:$C$1960,0)),"",INDEX('Compliance Database'!$K$2:$K$1960,MATCH(1845,'Transfer Engine'!$C$2:$C$1960,0)))</f>
        <v/>
      </c>
      <c r="L1854" s="9">
        <f>IF(ISNA(MATCH(1845,'Transfer Engine'!$C$2:$C$1960,0)),"",INDEX('Compliance Database'!$L$2:$L$1960,MATCH(1845,'Transfer Engine'!$C$2:$C$1960,0)))</f>
        <v/>
      </c>
      <c r="M1854" s="9">
        <f>IF(ISNA(MATCH(1845,'Transfer Engine'!$C$2:$C$1960,0)),"",INDEX('Compliance Database'!$M$2:$M$1960,MATCH(1845,'Transfer Engine'!$C$2:$C$1960,0)))</f>
        <v/>
      </c>
      <c r="N1854" s="9">
        <f>IF(ISNA(MATCH(1845,'Transfer Engine'!$C$2:$C$1960,0)),"",INDEX('Compliance Database'!$N$2:$N$1960,MATCH(1845,'Transfer Engine'!$C$2:$C$1960,0)))</f>
        <v/>
      </c>
      <c r="O1854" s="9">
        <f>IF(ISNA(MATCH(1845,'Transfer Engine'!$C$2:$C$1960,0)),"",INDEX('Compliance Database'!$O$2:$O$1960,MATCH(1845,'Transfer Engine'!$C$2:$C$1960,0)))</f>
        <v/>
      </c>
      <c r="P1854" s="8">
        <f>IF(ISNA(MATCH(1845,'Transfer Engine'!$C$2:$C$1960,0)),"",HYPERLINK("#Acts!A"&amp;INDEX('Compliance Database'!$P$2:$P$1960,MATCH(1845,'Transfer Engine'!$C$2:$C$1960,0)),"Go to Act"))</f>
        <v/>
      </c>
    </row>
    <row r="1855" ht="158" customHeight="1">
      <c r="A1855" s="8">
        <f>IF(ISNA(MATCH(1846,'Transfer Engine'!$C$2:$C$1960,0)),"",INDEX('Compliance Database'!$A$2:$A$1960,MATCH(1846,'Transfer Engine'!$C$2:$C$1960,0)))</f>
        <v/>
      </c>
      <c r="B1855" s="8">
        <f>IF(ISNA(MATCH(1846,'Transfer Engine'!$C$2:$C$1960,0)),"",INDEX('Compliance Database'!$B$2:$B$1960,MATCH(1846,'Transfer Engine'!$C$2:$C$1960,0)))</f>
        <v/>
      </c>
      <c r="C1855" s="8">
        <f>IF(ISNA(MATCH(1846,'Transfer Engine'!$C$2:$C$1960,0)),"",INDEX('Compliance Database'!$C$2:$C$1960,MATCH(1846,'Transfer Engine'!$C$2:$C$1960,0)))</f>
        <v/>
      </c>
      <c r="D1855" s="9">
        <f>IF(ISNA(MATCH(1846,'Transfer Engine'!$C$2:$C$1960,0)),"",INDEX('Compliance Database'!$D$2:$D$1960,MATCH(1846,'Transfer Engine'!$C$2:$C$1960,0)))</f>
        <v/>
      </c>
      <c r="E1855" s="8">
        <f>IF(ISNA(MATCH(1846,'Transfer Engine'!$C$2:$C$1960,0)),"",INDEX('Compliance Database'!$E$2:$E$1960,MATCH(1846,'Transfer Engine'!$C$2:$C$1960,0)))</f>
        <v/>
      </c>
      <c r="F1855" s="8">
        <f>IF(ISNA(MATCH(1846,'Transfer Engine'!$C$2:$C$1960,0)),"",INDEX('Compliance Database'!$F$2:$F$1960,MATCH(1846,'Transfer Engine'!$C$2:$C$1960,0)))</f>
        <v/>
      </c>
      <c r="G1855" s="8">
        <f>IF(ISNA(MATCH(1846,'Transfer Engine'!$C$2:$C$1960,0)),"",INDEX('Compliance Database'!$G$2:$G$1960,MATCH(1846,'Transfer Engine'!$C$2:$C$1960,0)))</f>
        <v/>
      </c>
      <c r="H1855" s="9">
        <f>IF(ISNA(MATCH(1846,'Transfer Engine'!$C$2:$C$1960,0)),"",INDEX('Compliance Database'!$H$2:$H$1960,MATCH(1846,'Transfer Engine'!$C$2:$C$1960,0)))</f>
        <v/>
      </c>
      <c r="I1855" s="9">
        <f>IF(ISNA(MATCH(1846,'Transfer Engine'!$C$2:$C$1960,0)),"",INDEX('Compliance Database'!$I$2:$I$1960,MATCH(1846,'Transfer Engine'!$C$2:$C$1960,0)))</f>
        <v/>
      </c>
      <c r="J1855" s="8">
        <f>IF(ISNA(MATCH(1846,'Transfer Engine'!$C$2:$C$1960,0)),"",INDEX('Compliance Database'!$J$2:$J$1960,MATCH(1846,'Transfer Engine'!$C$2:$C$1960,0)))</f>
        <v/>
      </c>
      <c r="K1855" s="9">
        <f>IF(ISNA(MATCH(1846,'Transfer Engine'!$C$2:$C$1960,0)),"",INDEX('Compliance Database'!$K$2:$K$1960,MATCH(1846,'Transfer Engine'!$C$2:$C$1960,0)))</f>
        <v/>
      </c>
      <c r="L1855" s="9">
        <f>IF(ISNA(MATCH(1846,'Transfer Engine'!$C$2:$C$1960,0)),"",INDEX('Compliance Database'!$L$2:$L$1960,MATCH(1846,'Transfer Engine'!$C$2:$C$1960,0)))</f>
        <v/>
      </c>
      <c r="M1855" s="9">
        <f>IF(ISNA(MATCH(1846,'Transfer Engine'!$C$2:$C$1960,0)),"",INDEX('Compliance Database'!$M$2:$M$1960,MATCH(1846,'Transfer Engine'!$C$2:$C$1960,0)))</f>
        <v/>
      </c>
      <c r="N1855" s="9">
        <f>IF(ISNA(MATCH(1846,'Transfer Engine'!$C$2:$C$1960,0)),"",INDEX('Compliance Database'!$N$2:$N$1960,MATCH(1846,'Transfer Engine'!$C$2:$C$1960,0)))</f>
        <v/>
      </c>
      <c r="O1855" s="9">
        <f>IF(ISNA(MATCH(1846,'Transfer Engine'!$C$2:$C$1960,0)),"",INDEX('Compliance Database'!$O$2:$O$1960,MATCH(1846,'Transfer Engine'!$C$2:$C$1960,0)))</f>
        <v/>
      </c>
      <c r="P1855" s="8">
        <f>IF(ISNA(MATCH(1846,'Transfer Engine'!$C$2:$C$1960,0)),"",HYPERLINK("#Acts!A"&amp;INDEX('Compliance Database'!$P$2:$P$1960,MATCH(1846,'Transfer Engine'!$C$2:$C$1960,0)),"Go to Act"))</f>
        <v/>
      </c>
    </row>
    <row r="1856" ht="158" customHeight="1">
      <c r="A1856" s="8">
        <f>IF(ISNA(MATCH(1847,'Transfer Engine'!$C$2:$C$1960,0)),"",INDEX('Compliance Database'!$A$2:$A$1960,MATCH(1847,'Transfer Engine'!$C$2:$C$1960,0)))</f>
        <v/>
      </c>
      <c r="B1856" s="8">
        <f>IF(ISNA(MATCH(1847,'Transfer Engine'!$C$2:$C$1960,0)),"",INDEX('Compliance Database'!$B$2:$B$1960,MATCH(1847,'Transfer Engine'!$C$2:$C$1960,0)))</f>
        <v/>
      </c>
      <c r="C1856" s="8">
        <f>IF(ISNA(MATCH(1847,'Transfer Engine'!$C$2:$C$1960,0)),"",INDEX('Compliance Database'!$C$2:$C$1960,MATCH(1847,'Transfer Engine'!$C$2:$C$1960,0)))</f>
        <v/>
      </c>
      <c r="D1856" s="9">
        <f>IF(ISNA(MATCH(1847,'Transfer Engine'!$C$2:$C$1960,0)),"",INDEX('Compliance Database'!$D$2:$D$1960,MATCH(1847,'Transfer Engine'!$C$2:$C$1960,0)))</f>
        <v/>
      </c>
      <c r="E1856" s="8">
        <f>IF(ISNA(MATCH(1847,'Transfer Engine'!$C$2:$C$1960,0)),"",INDEX('Compliance Database'!$E$2:$E$1960,MATCH(1847,'Transfer Engine'!$C$2:$C$1960,0)))</f>
        <v/>
      </c>
      <c r="F1856" s="8">
        <f>IF(ISNA(MATCH(1847,'Transfer Engine'!$C$2:$C$1960,0)),"",INDEX('Compliance Database'!$F$2:$F$1960,MATCH(1847,'Transfer Engine'!$C$2:$C$1960,0)))</f>
        <v/>
      </c>
      <c r="G1856" s="8">
        <f>IF(ISNA(MATCH(1847,'Transfer Engine'!$C$2:$C$1960,0)),"",INDEX('Compliance Database'!$G$2:$G$1960,MATCH(1847,'Transfer Engine'!$C$2:$C$1960,0)))</f>
        <v/>
      </c>
      <c r="H1856" s="9">
        <f>IF(ISNA(MATCH(1847,'Transfer Engine'!$C$2:$C$1960,0)),"",INDEX('Compliance Database'!$H$2:$H$1960,MATCH(1847,'Transfer Engine'!$C$2:$C$1960,0)))</f>
        <v/>
      </c>
      <c r="I1856" s="9">
        <f>IF(ISNA(MATCH(1847,'Transfer Engine'!$C$2:$C$1960,0)),"",INDEX('Compliance Database'!$I$2:$I$1960,MATCH(1847,'Transfer Engine'!$C$2:$C$1960,0)))</f>
        <v/>
      </c>
      <c r="J1856" s="8">
        <f>IF(ISNA(MATCH(1847,'Transfer Engine'!$C$2:$C$1960,0)),"",INDEX('Compliance Database'!$J$2:$J$1960,MATCH(1847,'Transfer Engine'!$C$2:$C$1960,0)))</f>
        <v/>
      </c>
      <c r="K1856" s="9">
        <f>IF(ISNA(MATCH(1847,'Transfer Engine'!$C$2:$C$1960,0)),"",INDEX('Compliance Database'!$K$2:$K$1960,MATCH(1847,'Transfer Engine'!$C$2:$C$1960,0)))</f>
        <v/>
      </c>
      <c r="L1856" s="9">
        <f>IF(ISNA(MATCH(1847,'Transfer Engine'!$C$2:$C$1960,0)),"",INDEX('Compliance Database'!$L$2:$L$1960,MATCH(1847,'Transfer Engine'!$C$2:$C$1960,0)))</f>
        <v/>
      </c>
      <c r="M1856" s="9">
        <f>IF(ISNA(MATCH(1847,'Transfer Engine'!$C$2:$C$1960,0)),"",INDEX('Compliance Database'!$M$2:$M$1960,MATCH(1847,'Transfer Engine'!$C$2:$C$1960,0)))</f>
        <v/>
      </c>
      <c r="N1856" s="9">
        <f>IF(ISNA(MATCH(1847,'Transfer Engine'!$C$2:$C$1960,0)),"",INDEX('Compliance Database'!$N$2:$N$1960,MATCH(1847,'Transfer Engine'!$C$2:$C$1960,0)))</f>
        <v/>
      </c>
      <c r="O1856" s="9">
        <f>IF(ISNA(MATCH(1847,'Transfer Engine'!$C$2:$C$1960,0)),"",INDEX('Compliance Database'!$O$2:$O$1960,MATCH(1847,'Transfer Engine'!$C$2:$C$1960,0)))</f>
        <v/>
      </c>
      <c r="P1856" s="8">
        <f>IF(ISNA(MATCH(1847,'Transfer Engine'!$C$2:$C$1960,0)),"",HYPERLINK("#Acts!A"&amp;INDEX('Compliance Database'!$P$2:$P$1960,MATCH(1847,'Transfer Engine'!$C$2:$C$1960,0)),"Go to Act"))</f>
        <v/>
      </c>
    </row>
    <row r="1857" ht="158" customHeight="1">
      <c r="A1857" s="8">
        <f>IF(ISNA(MATCH(1848,'Transfer Engine'!$C$2:$C$1960,0)),"",INDEX('Compliance Database'!$A$2:$A$1960,MATCH(1848,'Transfer Engine'!$C$2:$C$1960,0)))</f>
        <v/>
      </c>
      <c r="B1857" s="8">
        <f>IF(ISNA(MATCH(1848,'Transfer Engine'!$C$2:$C$1960,0)),"",INDEX('Compliance Database'!$B$2:$B$1960,MATCH(1848,'Transfer Engine'!$C$2:$C$1960,0)))</f>
        <v/>
      </c>
      <c r="C1857" s="8">
        <f>IF(ISNA(MATCH(1848,'Transfer Engine'!$C$2:$C$1960,0)),"",INDEX('Compliance Database'!$C$2:$C$1960,MATCH(1848,'Transfer Engine'!$C$2:$C$1960,0)))</f>
        <v/>
      </c>
      <c r="D1857" s="9">
        <f>IF(ISNA(MATCH(1848,'Transfer Engine'!$C$2:$C$1960,0)),"",INDEX('Compliance Database'!$D$2:$D$1960,MATCH(1848,'Transfer Engine'!$C$2:$C$1960,0)))</f>
        <v/>
      </c>
      <c r="E1857" s="8">
        <f>IF(ISNA(MATCH(1848,'Transfer Engine'!$C$2:$C$1960,0)),"",INDEX('Compliance Database'!$E$2:$E$1960,MATCH(1848,'Transfer Engine'!$C$2:$C$1960,0)))</f>
        <v/>
      </c>
      <c r="F1857" s="8">
        <f>IF(ISNA(MATCH(1848,'Transfer Engine'!$C$2:$C$1960,0)),"",INDEX('Compliance Database'!$F$2:$F$1960,MATCH(1848,'Transfer Engine'!$C$2:$C$1960,0)))</f>
        <v/>
      </c>
      <c r="G1857" s="8">
        <f>IF(ISNA(MATCH(1848,'Transfer Engine'!$C$2:$C$1960,0)),"",INDEX('Compliance Database'!$G$2:$G$1960,MATCH(1848,'Transfer Engine'!$C$2:$C$1960,0)))</f>
        <v/>
      </c>
      <c r="H1857" s="9">
        <f>IF(ISNA(MATCH(1848,'Transfer Engine'!$C$2:$C$1960,0)),"",INDEX('Compliance Database'!$H$2:$H$1960,MATCH(1848,'Transfer Engine'!$C$2:$C$1960,0)))</f>
        <v/>
      </c>
      <c r="I1857" s="9">
        <f>IF(ISNA(MATCH(1848,'Transfer Engine'!$C$2:$C$1960,0)),"",INDEX('Compliance Database'!$I$2:$I$1960,MATCH(1848,'Transfer Engine'!$C$2:$C$1960,0)))</f>
        <v/>
      </c>
      <c r="J1857" s="8">
        <f>IF(ISNA(MATCH(1848,'Transfer Engine'!$C$2:$C$1960,0)),"",INDEX('Compliance Database'!$J$2:$J$1960,MATCH(1848,'Transfer Engine'!$C$2:$C$1960,0)))</f>
        <v/>
      </c>
      <c r="K1857" s="9">
        <f>IF(ISNA(MATCH(1848,'Transfer Engine'!$C$2:$C$1960,0)),"",INDEX('Compliance Database'!$K$2:$K$1960,MATCH(1848,'Transfer Engine'!$C$2:$C$1960,0)))</f>
        <v/>
      </c>
      <c r="L1857" s="9">
        <f>IF(ISNA(MATCH(1848,'Transfer Engine'!$C$2:$C$1960,0)),"",INDEX('Compliance Database'!$L$2:$L$1960,MATCH(1848,'Transfer Engine'!$C$2:$C$1960,0)))</f>
        <v/>
      </c>
      <c r="M1857" s="9">
        <f>IF(ISNA(MATCH(1848,'Transfer Engine'!$C$2:$C$1960,0)),"",INDEX('Compliance Database'!$M$2:$M$1960,MATCH(1848,'Transfer Engine'!$C$2:$C$1960,0)))</f>
        <v/>
      </c>
      <c r="N1857" s="9">
        <f>IF(ISNA(MATCH(1848,'Transfer Engine'!$C$2:$C$1960,0)),"",INDEX('Compliance Database'!$N$2:$N$1960,MATCH(1848,'Transfer Engine'!$C$2:$C$1960,0)))</f>
        <v/>
      </c>
      <c r="O1857" s="9">
        <f>IF(ISNA(MATCH(1848,'Transfer Engine'!$C$2:$C$1960,0)),"",INDEX('Compliance Database'!$O$2:$O$1960,MATCH(1848,'Transfer Engine'!$C$2:$C$1960,0)))</f>
        <v/>
      </c>
      <c r="P1857" s="8">
        <f>IF(ISNA(MATCH(1848,'Transfer Engine'!$C$2:$C$1960,0)),"",HYPERLINK("#Acts!A"&amp;INDEX('Compliance Database'!$P$2:$P$1960,MATCH(1848,'Transfer Engine'!$C$2:$C$1960,0)),"Go to Act"))</f>
        <v/>
      </c>
    </row>
    <row r="1858" ht="158" customHeight="1">
      <c r="A1858" s="8">
        <f>IF(ISNA(MATCH(1849,'Transfer Engine'!$C$2:$C$1960,0)),"",INDEX('Compliance Database'!$A$2:$A$1960,MATCH(1849,'Transfer Engine'!$C$2:$C$1960,0)))</f>
        <v/>
      </c>
      <c r="B1858" s="8">
        <f>IF(ISNA(MATCH(1849,'Transfer Engine'!$C$2:$C$1960,0)),"",INDEX('Compliance Database'!$B$2:$B$1960,MATCH(1849,'Transfer Engine'!$C$2:$C$1960,0)))</f>
        <v/>
      </c>
      <c r="C1858" s="8">
        <f>IF(ISNA(MATCH(1849,'Transfer Engine'!$C$2:$C$1960,0)),"",INDEX('Compliance Database'!$C$2:$C$1960,MATCH(1849,'Transfer Engine'!$C$2:$C$1960,0)))</f>
        <v/>
      </c>
      <c r="D1858" s="9">
        <f>IF(ISNA(MATCH(1849,'Transfer Engine'!$C$2:$C$1960,0)),"",INDEX('Compliance Database'!$D$2:$D$1960,MATCH(1849,'Transfer Engine'!$C$2:$C$1960,0)))</f>
        <v/>
      </c>
      <c r="E1858" s="8">
        <f>IF(ISNA(MATCH(1849,'Transfer Engine'!$C$2:$C$1960,0)),"",INDEX('Compliance Database'!$E$2:$E$1960,MATCH(1849,'Transfer Engine'!$C$2:$C$1960,0)))</f>
        <v/>
      </c>
      <c r="F1858" s="8">
        <f>IF(ISNA(MATCH(1849,'Transfer Engine'!$C$2:$C$1960,0)),"",INDEX('Compliance Database'!$F$2:$F$1960,MATCH(1849,'Transfer Engine'!$C$2:$C$1960,0)))</f>
        <v/>
      </c>
      <c r="G1858" s="8">
        <f>IF(ISNA(MATCH(1849,'Transfer Engine'!$C$2:$C$1960,0)),"",INDEX('Compliance Database'!$G$2:$G$1960,MATCH(1849,'Transfer Engine'!$C$2:$C$1960,0)))</f>
        <v/>
      </c>
      <c r="H1858" s="9">
        <f>IF(ISNA(MATCH(1849,'Transfer Engine'!$C$2:$C$1960,0)),"",INDEX('Compliance Database'!$H$2:$H$1960,MATCH(1849,'Transfer Engine'!$C$2:$C$1960,0)))</f>
        <v/>
      </c>
      <c r="I1858" s="9">
        <f>IF(ISNA(MATCH(1849,'Transfer Engine'!$C$2:$C$1960,0)),"",INDEX('Compliance Database'!$I$2:$I$1960,MATCH(1849,'Transfer Engine'!$C$2:$C$1960,0)))</f>
        <v/>
      </c>
      <c r="J1858" s="8">
        <f>IF(ISNA(MATCH(1849,'Transfer Engine'!$C$2:$C$1960,0)),"",INDEX('Compliance Database'!$J$2:$J$1960,MATCH(1849,'Transfer Engine'!$C$2:$C$1960,0)))</f>
        <v/>
      </c>
      <c r="K1858" s="9">
        <f>IF(ISNA(MATCH(1849,'Transfer Engine'!$C$2:$C$1960,0)),"",INDEX('Compliance Database'!$K$2:$K$1960,MATCH(1849,'Transfer Engine'!$C$2:$C$1960,0)))</f>
        <v/>
      </c>
      <c r="L1858" s="9">
        <f>IF(ISNA(MATCH(1849,'Transfer Engine'!$C$2:$C$1960,0)),"",INDEX('Compliance Database'!$L$2:$L$1960,MATCH(1849,'Transfer Engine'!$C$2:$C$1960,0)))</f>
        <v/>
      </c>
      <c r="M1858" s="9">
        <f>IF(ISNA(MATCH(1849,'Transfer Engine'!$C$2:$C$1960,0)),"",INDEX('Compliance Database'!$M$2:$M$1960,MATCH(1849,'Transfer Engine'!$C$2:$C$1960,0)))</f>
        <v/>
      </c>
      <c r="N1858" s="9">
        <f>IF(ISNA(MATCH(1849,'Transfer Engine'!$C$2:$C$1960,0)),"",INDEX('Compliance Database'!$N$2:$N$1960,MATCH(1849,'Transfer Engine'!$C$2:$C$1960,0)))</f>
        <v/>
      </c>
      <c r="O1858" s="9">
        <f>IF(ISNA(MATCH(1849,'Transfer Engine'!$C$2:$C$1960,0)),"",INDEX('Compliance Database'!$O$2:$O$1960,MATCH(1849,'Transfer Engine'!$C$2:$C$1960,0)))</f>
        <v/>
      </c>
      <c r="P1858" s="8">
        <f>IF(ISNA(MATCH(1849,'Transfer Engine'!$C$2:$C$1960,0)),"",HYPERLINK("#Acts!A"&amp;INDEX('Compliance Database'!$P$2:$P$1960,MATCH(1849,'Transfer Engine'!$C$2:$C$1960,0)),"Go to Act"))</f>
        <v/>
      </c>
    </row>
    <row r="1859" ht="158" customHeight="1">
      <c r="A1859" s="8">
        <f>IF(ISNA(MATCH(1850,'Transfer Engine'!$C$2:$C$1960,0)),"",INDEX('Compliance Database'!$A$2:$A$1960,MATCH(1850,'Transfer Engine'!$C$2:$C$1960,0)))</f>
        <v/>
      </c>
      <c r="B1859" s="8">
        <f>IF(ISNA(MATCH(1850,'Transfer Engine'!$C$2:$C$1960,0)),"",INDEX('Compliance Database'!$B$2:$B$1960,MATCH(1850,'Transfer Engine'!$C$2:$C$1960,0)))</f>
        <v/>
      </c>
      <c r="C1859" s="8">
        <f>IF(ISNA(MATCH(1850,'Transfer Engine'!$C$2:$C$1960,0)),"",INDEX('Compliance Database'!$C$2:$C$1960,MATCH(1850,'Transfer Engine'!$C$2:$C$1960,0)))</f>
        <v/>
      </c>
      <c r="D1859" s="9">
        <f>IF(ISNA(MATCH(1850,'Transfer Engine'!$C$2:$C$1960,0)),"",INDEX('Compliance Database'!$D$2:$D$1960,MATCH(1850,'Transfer Engine'!$C$2:$C$1960,0)))</f>
        <v/>
      </c>
      <c r="E1859" s="8">
        <f>IF(ISNA(MATCH(1850,'Transfer Engine'!$C$2:$C$1960,0)),"",INDEX('Compliance Database'!$E$2:$E$1960,MATCH(1850,'Transfer Engine'!$C$2:$C$1960,0)))</f>
        <v/>
      </c>
      <c r="F1859" s="8">
        <f>IF(ISNA(MATCH(1850,'Transfer Engine'!$C$2:$C$1960,0)),"",INDEX('Compliance Database'!$F$2:$F$1960,MATCH(1850,'Transfer Engine'!$C$2:$C$1960,0)))</f>
        <v/>
      </c>
      <c r="G1859" s="8">
        <f>IF(ISNA(MATCH(1850,'Transfer Engine'!$C$2:$C$1960,0)),"",INDEX('Compliance Database'!$G$2:$G$1960,MATCH(1850,'Transfer Engine'!$C$2:$C$1960,0)))</f>
        <v/>
      </c>
      <c r="H1859" s="9">
        <f>IF(ISNA(MATCH(1850,'Transfer Engine'!$C$2:$C$1960,0)),"",INDEX('Compliance Database'!$H$2:$H$1960,MATCH(1850,'Transfer Engine'!$C$2:$C$1960,0)))</f>
        <v/>
      </c>
      <c r="I1859" s="9">
        <f>IF(ISNA(MATCH(1850,'Transfer Engine'!$C$2:$C$1960,0)),"",INDEX('Compliance Database'!$I$2:$I$1960,MATCH(1850,'Transfer Engine'!$C$2:$C$1960,0)))</f>
        <v/>
      </c>
      <c r="J1859" s="8">
        <f>IF(ISNA(MATCH(1850,'Transfer Engine'!$C$2:$C$1960,0)),"",INDEX('Compliance Database'!$J$2:$J$1960,MATCH(1850,'Transfer Engine'!$C$2:$C$1960,0)))</f>
        <v/>
      </c>
      <c r="K1859" s="9">
        <f>IF(ISNA(MATCH(1850,'Transfer Engine'!$C$2:$C$1960,0)),"",INDEX('Compliance Database'!$K$2:$K$1960,MATCH(1850,'Transfer Engine'!$C$2:$C$1960,0)))</f>
        <v/>
      </c>
      <c r="L1859" s="9">
        <f>IF(ISNA(MATCH(1850,'Transfer Engine'!$C$2:$C$1960,0)),"",INDEX('Compliance Database'!$L$2:$L$1960,MATCH(1850,'Transfer Engine'!$C$2:$C$1960,0)))</f>
        <v/>
      </c>
      <c r="M1859" s="9">
        <f>IF(ISNA(MATCH(1850,'Transfer Engine'!$C$2:$C$1960,0)),"",INDEX('Compliance Database'!$M$2:$M$1960,MATCH(1850,'Transfer Engine'!$C$2:$C$1960,0)))</f>
        <v/>
      </c>
      <c r="N1859" s="9">
        <f>IF(ISNA(MATCH(1850,'Transfer Engine'!$C$2:$C$1960,0)),"",INDEX('Compliance Database'!$N$2:$N$1960,MATCH(1850,'Transfer Engine'!$C$2:$C$1960,0)))</f>
        <v/>
      </c>
      <c r="O1859" s="9">
        <f>IF(ISNA(MATCH(1850,'Transfer Engine'!$C$2:$C$1960,0)),"",INDEX('Compliance Database'!$O$2:$O$1960,MATCH(1850,'Transfer Engine'!$C$2:$C$1960,0)))</f>
        <v/>
      </c>
      <c r="P1859" s="8">
        <f>IF(ISNA(MATCH(1850,'Transfer Engine'!$C$2:$C$1960,0)),"",HYPERLINK("#Acts!A"&amp;INDEX('Compliance Database'!$P$2:$P$1960,MATCH(1850,'Transfer Engine'!$C$2:$C$1960,0)),"Go to Act"))</f>
        <v/>
      </c>
    </row>
    <row r="1860" ht="158" customHeight="1">
      <c r="A1860" s="8">
        <f>IF(ISNA(MATCH(1851,'Transfer Engine'!$C$2:$C$1960,0)),"",INDEX('Compliance Database'!$A$2:$A$1960,MATCH(1851,'Transfer Engine'!$C$2:$C$1960,0)))</f>
        <v/>
      </c>
      <c r="B1860" s="8">
        <f>IF(ISNA(MATCH(1851,'Transfer Engine'!$C$2:$C$1960,0)),"",INDEX('Compliance Database'!$B$2:$B$1960,MATCH(1851,'Transfer Engine'!$C$2:$C$1960,0)))</f>
        <v/>
      </c>
      <c r="C1860" s="8">
        <f>IF(ISNA(MATCH(1851,'Transfer Engine'!$C$2:$C$1960,0)),"",INDEX('Compliance Database'!$C$2:$C$1960,MATCH(1851,'Transfer Engine'!$C$2:$C$1960,0)))</f>
        <v/>
      </c>
      <c r="D1860" s="9">
        <f>IF(ISNA(MATCH(1851,'Transfer Engine'!$C$2:$C$1960,0)),"",INDEX('Compliance Database'!$D$2:$D$1960,MATCH(1851,'Transfer Engine'!$C$2:$C$1960,0)))</f>
        <v/>
      </c>
      <c r="E1860" s="8">
        <f>IF(ISNA(MATCH(1851,'Transfer Engine'!$C$2:$C$1960,0)),"",INDEX('Compliance Database'!$E$2:$E$1960,MATCH(1851,'Transfer Engine'!$C$2:$C$1960,0)))</f>
        <v/>
      </c>
      <c r="F1860" s="8">
        <f>IF(ISNA(MATCH(1851,'Transfer Engine'!$C$2:$C$1960,0)),"",INDEX('Compliance Database'!$F$2:$F$1960,MATCH(1851,'Transfer Engine'!$C$2:$C$1960,0)))</f>
        <v/>
      </c>
      <c r="G1860" s="8">
        <f>IF(ISNA(MATCH(1851,'Transfer Engine'!$C$2:$C$1960,0)),"",INDEX('Compliance Database'!$G$2:$G$1960,MATCH(1851,'Transfer Engine'!$C$2:$C$1960,0)))</f>
        <v/>
      </c>
      <c r="H1860" s="9">
        <f>IF(ISNA(MATCH(1851,'Transfer Engine'!$C$2:$C$1960,0)),"",INDEX('Compliance Database'!$H$2:$H$1960,MATCH(1851,'Transfer Engine'!$C$2:$C$1960,0)))</f>
        <v/>
      </c>
      <c r="I1860" s="9">
        <f>IF(ISNA(MATCH(1851,'Transfer Engine'!$C$2:$C$1960,0)),"",INDEX('Compliance Database'!$I$2:$I$1960,MATCH(1851,'Transfer Engine'!$C$2:$C$1960,0)))</f>
        <v/>
      </c>
      <c r="J1860" s="8">
        <f>IF(ISNA(MATCH(1851,'Transfer Engine'!$C$2:$C$1960,0)),"",INDEX('Compliance Database'!$J$2:$J$1960,MATCH(1851,'Transfer Engine'!$C$2:$C$1960,0)))</f>
        <v/>
      </c>
      <c r="K1860" s="9">
        <f>IF(ISNA(MATCH(1851,'Transfer Engine'!$C$2:$C$1960,0)),"",INDEX('Compliance Database'!$K$2:$K$1960,MATCH(1851,'Transfer Engine'!$C$2:$C$1960,0)))</f>
        <v/>
      </c>
      <c r="L1860" s="9">
        <f>IF(ISNA(MATCH(1851,'Transfer Engine'!$C$2:$C$1960,0)),"",INDEX('Compliance Database'!$L$2:$L$1960,MATCH(1851,'Transfer Engine'!$C$2:$C$1960,0)))</f>
        <v/>
      </c>
      <c r="M1860" s="9">
        <f>IF(ISNA(MATCH(1851,'Transfer Engine'!$C$2:$C$1960,0)),"",INDEX('Compliance Database'!$M$2:$M$1960,MATCH(1851,'Transfer Engine'!$C$2:$C$1960,0)))</f>
        <v/>
      </c>
      <c r="N1860" s="9">
        <f>IF(ISNA(MATCH(1851,'Transfer Engine'!$C$2:$C$1960,0)),"",INDEX('Compliance Database'!$N$2:$N$1960,MATCH(1851,'Transfer Engine'!$C$2:$C$1960,0)))</f>
        <v/>
      </c>
      <c r="O1860" s="9">
        <f>IF(ISNA(MATCH(1851,'Transfer Engine'!$C$2:$C$1960,0)),"",INDEX('Compliance Database'!$O$2:$O$1960,MATCH(1851,'Transfer Engine'!$C$2:$C$1960,0)))</f>
        <v/>
      </c>
      <c r="P1860" s="8">
        <f>IF(ISNA(MATCH(1851,'Transfer Engine'!$C$2:$C$1960,0)),"",HYPERLINK("#Acts!A"&amp;INDEX('Compliance Database'!$P$2:$P$1960,MATCH(1851,'Transfer Engine'!$C$2:$C$1960,0)),"Go to Act"))</f>
        <v/>
      </c>
    </row>
    <row r="1861" ht="158" customHeight="1">
      <c r="A1861" s="8">
        <f>IF(ISNA(MATCH(1852,'Transfer Engine'!$C$2:$C$1960,0)),"",INDEX('Compliance Database'!$A$2:$A$1960,MATCH(1852,'Transfer Engine'!$C$2:$C$1960,0)))</f>
        <v/>
      </c>
      <c r="B1861" s="8">
        <f>IF(ISNA(MATCH(1852,'Transfer Engine'!$C$2:$C$1960,0)),"",INDEX('Compliance Database'!$B$2:$B$1960,MATCH(1852,'Transfer Engine'!$C$2:$C$1960,0)))</f>
        <v/>
      </c>
      <c r="C1861" s="8">
        <f>IF(ISNA(MATCH(1852,'Transfer Engine'!$C$2:$C$1960,0)),"",INDEX('Compliance Database'!$C$2:$C$1960,MATCH(1852,'Transfer Engine'!$C$2:$C$1960,0)))</f>
        <v/>
      </c>
      <c r="D1861" s="9">
        <f>IF(ISNA(MATCH(1852,'Transfer Engine'!$C$2:$C$1960,0)),"",INDEX('Compliance Database'!$D$2:$D$1960,MATCH(1852,'Transfer Engine'!$C$2:$C$1960,0)))</f>
        <v/>
      </c>
      <c r="E1861" s="8">
        <f>IF(ISNA(MATCH(1852,'Transfer Engine'!$C$2:$C$1960,0)),"",INDEX('Compliance Database'!$E$2:$E$1960,MATCH(1852,'Transfer Engine'!$C$2:$C$1960,0)))</f>
        <v/>
      </c>
      <c r="F1861" s="8">
        <f>IF(ISNA(MATCH(1852,'Transfer Engine'!$C$2:$C$1960,0)),"",INDEX('Compliance Database'!$F$2:$F$1960,MATCH(1852,'Transfer Engine'!$C$2:$C$1960,0)))</f>
        <v/>
      </c>
      <c r="G1861" s="8">
        <f>IF(ISNA(MATCH(1852,'Transfer Engine'!$C$2:$C$1960,0)),"",INDEX('Compliance Database'!$G$2:$G$1960,MATCH(1852,'Transfer Engine'!$C$2:$C$1960,0)))</f>
        <v/>
      </c>
      <c r="H1861" s="9">
        <f>IF(ISNA(MATCH(1852,'Transfer Engine'!$C$2:$C$1960,0)),"",INDEX('Compliance Database'!$H$2:$H$1960,MATCH(1852,'Transfer Engine'!$C$2:$C$1960,0)))</f>
        <v/>
      </c>
      <c r="I1861" s="9">
        <f>IF(ISNA(MATCH(1852,'Transfer Engine'!$C$2:$C$1960,0)),"",INDEX('Compliance Database'!$I$2:$I$1960,MATCH(1852,'Transfer Engine'!$C$2:$C$1960,0)))</f>
        <v/>
      </c>
      <c r="J1861" s="8">
        <f>IF(ISNA(MATCH(1852,'Transfer Engine'!$C$2:$C$1960,0)),"",INDEX('Compliance Database'!$J$2:$J$1960,MATCH(1852,'Transfer Engine'!$C$2:$C$1960,0)))</f>
        <v/>
      </c>
      <c r="K1861" s="9">
        <f>IF(ISNA(MATCH(1852,'Transfer Engine'!$C$2:$C$1960,0)),"",INDEX('Compliance Database'!$K$2:$K$1960,MATCH(1852,'Transfer Engine'!$C$2:$C$1960,0)))</f>
        <v/>
      </c>
      <c r="L1861" s="9">
        <f>IF(ISNA(MATCH(1852,'Transfer Engine'!$C$2:$C$1960,0)),"",INDEX('Compliance Database'!$L$2:$L$1960,MATCH(1852,'Transfer Engine'!$C$2:$C$1960,0)))</f>
        <v/>
      </c>
      <c r="M1861" s="9">
        <f>IF(ISNA(MATCH(1852,'Transfer Engine'!$C$2:$C$1960,0)),"",INDEX('Compliance Database'!$M$2:$M$1960,MATCH(1852,'Transfer Engine'!$C$2:$C$1960,0)))</f>
        <v/>
      </c>
      <c r="N1861" s="9">
        <f>IF(ISNA(MATCH(1852,'Transfer Engine'!$C$2:$C$1960,0)),"",INDEX('Compliance Database'!$N$2:$N$1960,MATCH(1852,'Transfer Engine'!$C$2:$C$1960,0)))</f>
        <v/>
      </c>
      <c r="O1861" s="9">
        <f>IF(ISNA(MATCH(1852,'Transfer Engine'!$C$2:$C$1960,0)),"",INDEX('Compliance Database'!$O$2:$O$1960,MATCH(1852,'Transfer Engine'!$C$2:$C$1960,0)))</f>
        <v/>
      </c>
      <c r="P1861" s="8">
        <f>IF(ISNA(MATCH(1852,'Transfer Engine'!$C$2:$C$1960,0)),"",HYPERLINK("#Acts!A"&amp;INDEX('Compliance Database'!$P$2:$P$1960,MATCH(1852,'Transfer Engine'!$C$2:$C$1960,0)),"Go to Act"))</f>
        <v/>
      </c>
    </row>
    <row r="1862" ht="158" customHeight="1">
      <c r="A1862" s="8">
        <f>IF(ISNA(MATCH(1853,'Transfer Engine'!$C$2:$C$1960,0)),"",INDEX('Compliance Database'!$A$2:$A$1960,MATCH(1853,'Transfer Engine'!$C$2:$C$1960,0)))</f>
        <v/>
      </c>
      <c r="B1862" s="8">
        <f>IF(ISNA(MATCH(1853,'Transfer Engine'!$C$2:$C$1960,0)),"",INDEX('Compliance Database'!$B$2:$B$1960,MATCH(1853,'Transfer Engine'!$C$2:$C$1960,0)))</f>
        <v/>
      </c>
      <c r="C1862" s="8">
        <f>IF(ISNA(MATCH(1853,'Transfer Engine'!$C$2:$C$1960,0)),"",INDEX('Compliance Database'!$C$2:$C$1960,MATCH(1853,'Transfer Engine'!$C$2:$C$1960,0)))</f>
        <v/>
      </c>
      <c r="D1862" s="9">
        <f>IF(ISNA(MATCH(1853,'Transfer Engine'!$C$2:$C$1960,0)),"",INDEX('Compliance Database'!$D$2:$D$1960,MATCH(1853,'Transfer Engine'!$C$2:$C$1960,0)))</f>
        <v/>
      </c>
      <c r="E1862" s="8">
        <f>IF(ISNA(MATCH(1853,'Transfer Engine'!$C$2:$C$1960,0)),"",INDEX('Compliance Database'!$E$2:$E$1960,MATCH(1853,'Transfer Engine'!$C$2:$C$1960,0)))</f>
        <v/>
      </c>
      <c r="F1862" s="8">
        <f>IF(ISNA(MATCH(1853,'Transfer Engine'!$C$2:$C$1960,0)),"",INDEX('Compliance Database'!$F$2:$F$1960,MATCH(1853,'Transfer Engine'!$C$2:$C$1960,0)))</f>
        <v/>
      </c>
      <c r="G1862" s="8">
        <f>IF(ISNA(MATCH(1853,'Transfer Engine'!$C$2:$C$1960,0)),"",INDEX('Compliance Database'!$G$2:$G$1960,MATCH(1853,'Transfer Engine'!$C$2:$C$1960,0)))</f>
        <v/>
      </c>
      <c r="H1862" s="9">
        <f>IF(ISNA(MATCH(1853,'Transfer Engine'!$C$2:$C$1960,0)),"",INDEX('Compliance Database'!$H$2:$H$1960,MATCH(1853,'Transfer Engine'!$C$2:$C$1960,0)))</f>
        <v/>
      </c>
      <c r="I1862" s="9">
        <f>IF(ISNA(MATCH(1853,'Transfer Engine'!$C$2:$C$1960,0)),"",INDEX('Compliance Database'!$I$2:$I$1960,MATCH(1853,'Transfer Engine'!$C$2:$C$1960,0)))</f>
        <v/>
      </c>
      <c r="J1862" s="8">
        <f>IF(ISNA(MATCH(1853,'Transfer Engine'!$C$2:$C$1960,0)),"",INDEX('Compliance Database'!$J$2:$J$1960,MATCH(1853,'Transfer Engine'!$C$2:$C$1960,0)))</f>
        <v/>
      </c>
      <c r="K1862" s="9">
        <f>IF(ISNA(MATCH(1853,'Transfer Engine'!$C$2:$C$1960,0)),"",INDEX('Compliance Database'!$K$2:$K$1960,MATCH(1853,'Transfer Engine'!$C$2:$C$1960,0)))</f>
        <v/>
      </c>
      <c r="L1862" s="9">
        <f>IF(ISNA(MATCH(1853,'Transfer Engine'!$C$2:$C$1960,0)),"",INDEX('Compliance Database'!$L$2:$L$1960,MATCH(1853,'Transfer Engine'!$C$2:$C$1960,0)))</f>
        <v/>
      </c>
      <c r="M1862" s="9">
        <f>IF(ISNA(MATCH(1853,'Transfer Engine'!$C$2:$C$1960,0)),"",INDEX('Compliance Database'!$M$2:$M$1960,MATCH(1853,'Transfer Engine'!$C$2:$C$1960,0)))</f>
        <v/>
      </c>
      <c r="N1862" s="9">
        <f>IF(ISNA(MATCH(1853,'Transfer Engine'!$C$2:$C$1960,0)),"",INDEX('Compliance Database'!$N$2:$N$1960,MATCH(1853,'Transfer Engine'!$C$2:$C$1960,0)))</f>
        <v/>
      </c>
      <c r="O1862" s="9">
        <f>IF(ISNA(MATCH(1853,'Transfer Engine'!$C$2:$C$1960,0)),"",INDEX('Compliance Database'!$O$2:$O$1960,MATCH(1853,'Transfer Engine'!$C$2:$C$1960,0)))</f>
        <v/>
      </c>
      <c r="P1862" s="8">
        <f>IF(ISNA(MATCH(1853,'Transfer Engine'!$C$2:$C$1960,0)),"",HYPERLINK("#Acts!A"&amp;INDEX('Compliance Database'!$P$2:$P$1960,MATCH(1853,'Transfer Engine'!$C$2:$C$1960,0)),"Go to Act"))</f>
        <v/>
      </c>
    </row>
    <row r="1863" ht="158" customHeight="1">
      <c r="A1863" s="8">
        <f>IF(ISNA(MATCH(1854,'Transfer Engine'!$C$2:$C$1960,0)),"",INDEX('Compliance Database'!$A$2:$A$1960,MATCH(1854,'Transfer Engine'!$C$2:$C$1960,0)))</f>
        <v/>
      </c>
      <c r="B1863" s="8">
        <f>IF(ISNA(MATCH(1854,'Transfer Engine'!$C$2:$C$1960,0)),"",INDEX('Compliance Database'!$B$2:$B$1960,MATCH(1854,'Transfer Engine'!$C$2:$C$1960,0)))</f>
        <v/>
      </c>
      <c r="C1863" s="8">
        <f>IF(ISNA(MATCH(1854,'Transfer Engine'!$C$2:$C$1960,0)),"",INDEX('Compliance Database'!$C$2:$C$1960,MATCH(1854,'Transfer Engine'!$C$2:$C$1960,0)))</f>
        <v/>
      </c>
      <c r="D1863" s="9">
        <f>IF(ISNA(MATCH(1854,'Transfer Engine'!$C$2:$C$1960,0)),"",INDEX('Compliance Database'!$D$2:$D$1960,MATCH(1854,'Transfer Engine'!$C$2:$C$1960,0)))</f>
        <v/>
      </c>
      <c r="E1863" s="8">
        <f>IF(ISNA(MATCH(1854,'Transfer Engine'!$C$2:$C$1960,0)),"",INDEX('Compliance Database'!$E$2:$E$1960,MATCH(1854,'Transfer Engine'!$C$2:$C$1960,0)))</f>
        <v/>
      </c>
      <c r="F1863" s="8">
        <f>IF(ISNA(MATCH(1854,'Transfer Engine'!$C$2:$C$1960,0)),"",INDEX('Compliance Database'!$F$2:$F$1960,MATCH(1854,'Transfer Engine'!$C$2:$C$1960,0)))</f>
        <v/>
      </c>
      <c r="G1863" s="8">
        <f>IF(ISNA(MATCH(1854,'Transfer Engine'!$C$2:$C$1960,0)),"",INDEX('Compliance Database'!$G$2:$G$1960,MATCH(1854,'Transfer Engine'!$C$2:$C$1960,0)))</f>
        <v/>
      </c>
      <c r="H1863" s="9">
        <f>IF(ISNA(MATCH(1854,'Transfer Engine'!$C$2:$C$1960,0)),"",INDEX('Compliance Database'!$H$2:$H$1960,MATCH(1854,'Transfer Engine'!$C$2:$C$1960,0)))</f>
        <v/>
      </c>
      <c r="I1863" s="9">
        <f>IF(ISNA(MATCH(1854,'Transfer Engine'!$C$2:$C$1960,0)),"",INDEX('Compliance Database'!$I$2:$I$1960,MATCH(1854,'Transfer Engine'!$C$2:$C$1960,0)))</f>
        <v/>
      </c>
      <c r="J1863" s="8">
        <f>IF(ISNA(MATCH(1854,'Transfer Engine'!$C$2:$C$1960,0)),"",INDEX('Compliance Database'!$J$2:$J$1960,MATCH(1854,'Transfer Engine'!$C$2:$C$1960,0)))</f>
        <v/>
      </c>
      <c r="K1863" s="9">
        <f>IF(ISNA(MATCH(1854,'Transfer Engine'!$C$2:$C$1960,0)),"",INDEX('Compliance Database'!$K$2:$K$1960,MATCH(1854,'Transfer Engine'!$C$2:$C$1960,0)))</f>
        <v/>
      </c>
      <c r="L1863" s="9">
        <f>IF(ISNA(MATCH(1854,'Transfer Engine'!$C$2:$C$1960,0)),"",INDEX('Compliance Database'!$L$2:$L$1960,MATCH(1854,'Transfer Engine'!$C$2:$C$1960,0)))</f>
        <v/>
      </c>
      <c r="M1863" s="9">
        <f>IF(ISNA(MATCH(1854,'Transfer Engine'!$C$2:$C$1960,0)),"",INDEX('Compliance Database'!$M$2:$M$1960,MATCH(1854,'Transfer Engine'!$C$2:$C$1960,0)))</f>
        <v/>
      </c>
      <c r="N1863" s="9">
        <f>IF(ISNA(MATCH(1854,'Transfer Engine'!$C$2:$C$1960,0)),"",INDEX('Compliance Database'!$N$2:$N$1960,MATCH(1854,'Transfer Engine'!$C$2:$C$1960,0)))</f>
        <v/>
      </c>
      <c r="O1863" s="9">
        <f>IF(ISNA(MATCH(1854,'Transfer Engine'!$C$2:$C$1960,0)),"",INDEX('Compliance Database'!$O$2:$O$1960,MATCH(1854,'Transfer Engine'!$C$2:$C$1960,0)))</f>
        <v/>
      </c>
      <c r="P1863" s="8">
        <f>IF(ISNA(MATCH(1854,'Transfer Engine'!$C$2:$C$1960,0)),"",HYPERLINK("#Acts!A"&amp;INDEX('Compliance Database'!$P$2:$P$1960,MATCH(1854,'Transfer Engine'!$C$2:$C$1960,0)),"Go to Act"))</f>
        <v/>
      </c>
    </row>
    <row r="1864" ht="158" customHeight="1">
      <c r="A1864" s="8">
        <f>IF(ISNA(MATCH(1855,'Transfer Engine'!$C$2:$C$1960,0)),"",INDEX('Compliance Database'!$A$2:$A$1960,MATCH(1855,'Transfer Engine'!$C$2:$C$1960,0)))</f>
        <v/>
      </c>
      <c r="B1864" s="8">
        <f>IF(ISNA(MATCH(1855,'Transfer Engine'!$C$2:$C$1960,0)),"",INDEX('Compliance Database'!$B$2:$B$1960,MATCH(1855,'Transfer Engine'!$C$2:$C$1960,0)))</f>
        <v/>
      </c>
      <c r="C1864" s="8">
        <f>IF(ISNA(MATCH(1855,'Transfer Engine'!$C$2:$C$1960,0)),"",INDEX('Compliance Database'!$C$2:$C$1960,MATCH(1855,'Transfer Engine'!$C$2:$C$1960,0)))</f>
        <v/>
      </c>
      <c r="D1864" s="9">
        <f>IF(ISNA(MATCH(1855,'Transfer Engine'!$C$2:$C$1960,0)),"",INDEX('Compliance Database'!$D$2:$D$1960,MATCH(1855,'Transfer Engine'!$C$2:$C$1960,0)))</f>
        <v/>
      </c>
      <c r="E1864" s="8">
        <f>IF(ISNA(MATCH(1855,'Transfer Engine'!$C$2:$C$1960,0)),"",INDEX('Compliance Database'!$E$2:$E$1960,MATCH(1855,'Transfer Engine'!$C$2:$C$1960,0)))</f>
        <v/>
      </c>
      <c r="F1864" s="8">
        <f>IF(ISNA(MATCH(1855,'Transfer Engine'!$C$2:$C$1960,0)),"",INDEX('Compliance Database'!$F$2:$F$1960,MATCH(1855,'Transfer Engine'!$C$2:$C$1960,0)))</f>
        <v/>
      </c>
      <c r="G1864" s="8">
        <f>IF(ISNA(MATCH(1855,'Transfer Engine'!$C$2:$C$1960,0)),"",INDEX('Compliance Database'!$G$2:$G$1960,MATCH(1855,'Transfer Engine'!$C$2:$C$1960,0)))</f>
        <v/>
      </c>
      <c r="H1864" s="9">
        <f>IF(ISNA(MATCH(1855,'Transfer Engine'!$C$2:$C$1960,0)),"",INDEX('Compliance Database'!$H$2:$H$1960,MATCH(1855,'Transfer Engine'!$C$2:$C$1960,0)))</f>
        <v/>
      </c>
      <c r="I1864" s="9">
        <f>IF(ISNA(MATCH(1855,'Transfer Engine'!$C$2:$C$1960,0)),"",INDEX('Compliance Database'!$I$2:$I$1960,MATCH(1855,'Transfer Engine'!$C$2:$C$1960,0)))</f>
        <v/>
      </c>
      <c r="J1864" s="8">
        <f>IF(ISNA(MATCH(1855,'Transfer Engine'!$C$2:$C$1960,0)),"",INDEX('Compliance Database'!$J$2:$J$1960,MATCH(1855,'Transfer Engine'!$C$2:$C$1960,0)))</f>
        <v/>
      </c>
      <c r="K1864" s="9">
        <f>IF(ISNA(MATCH(1855,'Transfer Engine'!$C$2:$C$1960,0)),"",INDEX('Compliance Database'!$K$2:$K$1960,MATCH(1855,'Transfer Engine'!$C$2:$C$1960,0)))</f>
        <v/>
      </c>
      <c r="L1864" s="9">
        <f>IF(ISNA(MATCH(1855,'Transfer Engine'!$C$2:$C$1960,0)),"",INDEX('Compliance Database'!$L$2:$L$1960,MATCH(1855,'Transfer Engine'!$C$2:$C$1960,0)))</f>
        <v/>
      </c>
      <c r="M1864" s="9">
        <f>IF(ISNA(MATCH(1855,'Transfer Engine'!$C$2:$C$1960,0)),"",INDEX('Compliance Database'!$M$2:$M$1960,MATCH(1855,'Transfer Engine'!$C$2:$C$1960,0)))</f>
        <v/>
      </c>
      <c r="N1864" s="9">
        <f>IF(ISNA(MATCH(1855,'Transfer Engine'!$C$2:$C$1960,0)),"",INDEX('Compliance Database'!$N$2:$N$1960,MATCH(1855,'Transfer Engine'!$C$2:$C$1960,0)))</f>
        <v/>
      </c>
      <c r="O1864" s="9">
        <f>IF(ISNA(MATCH(1855,'Transfer Engine'!$C$2:$C$1960,0)),"",INDEX('Compliance Database'!$O$2:$O$1960,MATCH(1855,'Transfer Engine'!$C$2:$C$1960,0)))</f>
        <v/>
      </c>
      <c r="P1864" s="8">
        <f>IF(ISNA(MATCH(1855,'Transfer Engine'!$C$2:$C$1960,0)),"",HYPERLINK("#Acts!A"&amp;INDEX('Compliance Database'!$P$2:$P$1960,MATCH(1855,'Transfer Engine'!$C$2:$C$1960,0)),"Go to Act"))</f>
        <v/>
      </c>
    </row>
    <row r="1865" ht="158" customHeight="1">
      <c r="A1865" s="8">
        <f>IF(ISNA(MATCH(1856,'Transfer Engine'!$C$2:$C$1960,0)),"",INDEX('Compliance Database'!$A$2:$A$1960,MATCH(1856,'Transfer Engine'!$C$2:$C$1960,0)))</f>
        <v/>
      </c>
      <c r="B1865" s="8">
        <f>IF(ISNA(MATCH(1856,'Transfer Engine'!$C$2:$C$1960,0)),"",INDEX('Compliance Database'!$B$2:$B$1960,MATCH(1856,'Transfer Engine'!$C$2:$C$1960,0)))</f>
        <v/>
      </c>
      <c r="C1865" s="8">
        <f>IF(ISNA(MATCH(1856,'Transfer Engine'!$C$2:$C$1960,0)),"",INDEX('Compliance Database'!$C$2:$C$1960,MATCH(1856,'Transfer Engine'!$C$2:$C$1960,0)))</f>
        <v/>
      </c>
      <c r="D1865" s="9">
        <f>IF(ISNA(MATCH(1856,'Transfer Engine'!$C$2:$C$1960,0)),"",INDEX('Compliance Database'!$D$2:$D$1960,MATCH(1856,'Transfer Engine'!$C$2:$C$1960,0)))</f>
        <v/>
      </c>
      <c r="E1865" s="8">
        <f>IF(ISNA(MATCH(1856,'Transfer Engine'!$C$2:$C$1960,0)),"",INDEX('Compliance Database'!$E$2:$E$1960,MATCH(1856,'Transfer Engine'!$C$2:$C$1960,0)))</f>
        <v/>
      </c>
      <c r="F1865" s="8">
        <f>IF(ISNA(MATCH(1856,'Transfer Engine'!$C$2:$C$1960,0)),"",INDEX('Compliance Database'!$F$2:$F$1960,MATCH(1856,'Transfer Engine'!$C$2:$C$1960,0)))</f>
        <v/>
      </c>
      <c r="G1865" s="8">
        <f>IF(ISNA(MATCH(1856,'Transfer Engine'!$C$2:$C$1960,0)),"",INDEX('Compliance Database'!$G$2:$G$1960,MATCH(1856,'Transfer Engine'!$C$2:$C$1960,0)))</f>
        <v/>
      </c>
      <c r="H1865" s="9">
        <f>IF(ISNA(MATCH(1856,'Transfer Engine'!$C$2:$C$1960,0)),"",INDEX('Compliance Database'!$H$2:$H$1960,MATCH(1856,'Transfer Engine'!$C$2:$C$1960,0)))</f>
        <v/>
      </c>
      <c r="I1865" s="9">
        <f>IF(ISNA(MATCH(1856,'Transfer Engine'!$C$2:$C$1960,0)),"",INDEX('Compliance Database'!$I$2:$I$1960,MATCH(1856,'Transfer Engine'!$C$2:$C$1960,0)))</f>
        <v/>
      </c>
      <c r="J1865" s="8">
        <f>IF(ISNA(MATCH(1856,'Transfer Engine'!$C$2:$C$1960,0)),"",INDEX('Compliance Database'!$J$2:$J$1960,MATCH(1856,'Transfer Engine'!$C$2:$C$1960,0)))</f>
        <v/>
      </c>
      <c r="K1865" s="9">
        <f>IF(ISNA(MATCH(1856,'Transfer Engine'!$C$2:$C$1960,0)),"",INDEX('Compliance Database'!$K$2:$K$1960,MATCH(1856,'Transfer Engine'!$C$2:$C$1960,0)))</f>
        <v/>
      </c>
      <c r="L1865" s="9">
        <f>IF(ISNA(MATCH(1856,'Transfer Engine'!$C$2:$C$1960,0)),"",INDEX('Compliance Database'!$L$2:$L$1960,MATCH(1856,'Transfer Engine'!$C$2:$C$1960,0)))</f>
        <v/>
      </c>
      <c r="M1865" s="9">
        <f>IF(ISNA(MATCH(1856,'Transfer Engine'!$C$2:$C$1960,0)),"",INDEX('Compliance Database'!$M$2:$M$1960,MATCH(1856,'Transfer Engine'!$C$2:$C$1960,0)))</f>
        <v/>
      </c>
      <c r="N1865" s="9">
        <f>IF(ISNA(MATCH(1856,'Transfer Engine'!$C$2:$C$1960,0)),"",INDEX('Compliance Database'!$N$2:$N$1960,MATCH(1856,'Transfer Engine'!$C$2:$C$1960,0)))</f>
        <v/>
      </c>
      <c r="O1865" s="9">
        <f>IF(ISNA(MATCH(1856,'Transfer Engine'!$C$2:$C$1960,0)),"",INDEX('Compliance Database'!$O$2:$O$1960,MATCH(1856,'Transfer Engine'!$C$2:$C$1960,0)))</f>
        <v/>
      </c>
      <c r="P1865" s="8">
        <f>IF(ISNA(MATCH(1856,'Transfer Engine'!$C$2:$C$1960,0)),"",HYPERLINK("#Acts!A"&amp;INDEX('Compliance Database'!$P$2:$P$1960,MATCH(1856,'Transfer Engine'!$C$2:$C$1960,0)),"Go to Act"))</f>
        <v/>
      </c>
    </row>
    <row r="1866" ht="158" customHeight="1">
      <c r="A1866" s="8">
        <f>IF(ISNA(MATCH(1857,'Transfer Engine'!$C$2:$C$1960,0)),"",INDEX('Compliance Database'!$A$2:$A$1960,MATCH(1857,'Transfer Engine'!$C$2:$C$1960,0)))</f>
        <v/>
      </c>
      <c r="B1866" s="8">
        <f>IF(ISNA(MATCH(1857,'Transfer Engine'!$C$2:$C$1960,0)),"",INDEX('Compliance Database'!$B$2:$B$1960,MATCH(1857,'Transfer Engine'!$C$2:$C$1960,0)))</f>
        <v/>
      </c>
      <c r="C1866" s="8">
        <f>IF(ISNA(MATCH(1857,'Transfer Engine'!$C$2:$C$1960,0)),"",INDEX('Compliance Database'!$C$2:$C$1960,MATCH(1857,'Transfer Engine'!$C$2:$C$1960,0)))</f>
        <v/>
      </c>
      <c r="D1866" s="9">
        <f>IF(ISNA(MATCH(1857,'Transfer Engine'!$C$2:$C$1960,0)),"",INDEX('Compliance Database'!$D$2:$D$1960,MATCH(1857,'Transfer Engine'!$C$2:$C$1960,0)))</f>
        <v/>
      </c>
      <c r="E1866" s="8">
        <f>IF(ISNA(MATCH(1857,'Transfer Engine'!$C$2:$C$1960,0)),"",INDEX('Compliance Database'!$E$2:$E$1960,MATCH(1857,'Transfer Engine'!$C$2:$C$1960,0)))</f>
        <v/>
      </c>
      <c r="F1866" s="8">
        <f>IF(ISNA(MATCH(1857,'Transfer Engine'!$C$2:$C$1960,0)),"",INDEX('Compliance Database'!$F$2:$F$1960,MATCH(1857,'Transfer Engine'!$C$2:$C$1960,0)))</f>
        <v/>
      </c>
      <c r="G1866" s="8">
        <f>IF(ISNA(MATCH(1857,'Transfer Engine'!$C$2:$C$1960,0)),"",INDEX('Compliance Database'!$G$2:$G$1960,MATCH(1857,'Transfer Engine'!$C$2:$C$1960,0)))</f>
        <v/>
      </c>
      <c r="H1866" s="9">
        <f>IF(ISNA(MATCH(1857,'Transfer Engine'!$C$2:$C$1960,0)),"",INDEX('Compliance Database'!$H$2:$H$1960,MATCH(1857,'Transfer Engine'!$C$2:$C$1960,0)))</f>
        <v/>
      </c>
      <c r="I1866" s="9">
        <f>IF(ISNA(MATCH(1857,'Transfer Engine'!$C$2:$C$1960,0)),"",INDEX('Compliance Database'!$I$2:$I$1960,MATCH(1857,'Transfer Engine'!$C$2:$C$1960,0)))</f>
        <v/>
      </c>
      <c r="J1866" s="8">
        <f>IF(ISNA(MATCH(1857,'Transfer Engine'!$C$2:$C$1960,0)),"",INDEX('Compliance Database'!$J$2:$J$1960,MATCH(1857,'Transfer Engine'!$C$2:$C$1960,0)))</f>
        <v/>
      </c>
      <c r="K1866" s="9">
        <f>IF(ISNA(MATCH(1857,'Transfer Engine'!$C$2:$C$1960,0)),"",INDEX('Compliance Database'!$K$2:$K$1960,MATCH(1857,'Transfer Engine'!$C$2:$C$1960,0)))</f>
        <v/>
      </c>
      <c r="L1866" s="9">
        <f>IF(ISNA(MATCH(1857,'Transfer Engine'!$C$2:$C$1960,0)),"",INDEX('Compliance Database'!$L$2:$L$1960,MATCH(1857,'Transfer Engine'!$C$2:$C$1960,0)))</f>
        <v/>
      </c>
      <c r="M1866" s="9">
        <f>IF(ISNA(MATCH(1857,'Transfer Engine'!$C$2:$C$1960,0)),"",INDEX('Compliance Database'!$M$2:$M$1960,MATCH(1857,'Transfer Engine'!$C$2:$C$1960,0)))</f>
        <v/>
      </c>
      <c r="N1866" s="9">
        <f>IF(ISNA(MATCH(1857,'Transfer Engine'!$C$2:$C$1960,0)),"",INDEX('Compliance Database'!$N$2:$N$1960,MATCH(1857,'Transfer Engine'!$C$2:$C$1960,0)))</f>
        <v/>
      </c>
      <c r="O1866" s="9">
        <f>IF(ISNA(MATCH(1857,'Transfer Engine'!$C$2:$C$1960,0)),"",INDEX('Compliance Database'!$O$2:$O$1960,MATCH(1857,'Transfer Engine'!$C$2:$C$1960,0)))</f>
        <v/>
      </c>
      <c r="P1866" s="8">
        <f>IF(ISNA(MATCH(1857,'Transfer Engine'!$C$2:$C$1960,0)),"",HYPERLINK("#Acts!A"&amp;INDEX('Compliance Database'!$P$2:$P$1960,MATCH(1857,'Transfer Engine'!$C$2:$C$1960,0)),"Go to Act"))</f>
        <v/>
      </c>
    </row>
    <row r="1867" ht="158" customHeight="1">
      <c r="A1867" s="8">
        <f>IF(ISNA(MATCH(1858,'Transfer Engine'!$C$2:$C$1960,0)),"",INDEX('Compliance Database'!$A$2:$A$1960,MATCH(1858,'Transfer Engine'!$C$2:$C$1960,0)))</f>
        <v/>
      </c>
      <c r="B1867" s="8">
        <f>IF(ISNA(MATCH(1858,'Transfer Engine'!$C$2:$C$1960,0)),"",INDEX('Compliance Database'!$B$2:$B$1960,MATCH(1858,'Transfer Engine'!$C$2:$C$1960,0)))</f>
        <v/>
      </c>
      <c r="C1867" s="8">
        <f>IF(ISNA(MATCH(1858,'Transfer Engine'!$C$2:$C$1960,0)),"",INDEX('Compliance Database'!$C$2:$C$1960,MATCH(1858,'Transfer Engine'!$C$2:$C$1960,0)))</f>
        <v/>
      </c>
      <c r="D1867" s="9">
        <f>IF(ISNA(MATCH(1858,'Transfer Engine'!$C$2:$C$1960,0)),"",INDEX('Compliance Database'!$D$2:$D$1960,MATCH(1858,'Transfer Engine'!$C$2:$C$1960,0)))</f>
        <v/>
      </c>
      <c r="E1867" s="8">
        <f>IF(ISNA(MATCH(1858,'Transfer Engine'!$C$2:$C$1960,0)),"",INDEX('Compliance Database'!$E$2:$E$1960,MATCH(1858,'Transfer Engine'!$C$2:$C$1960,0)))</f>
        <v/>
      </c>
      <c r="F1867" s="8">
        <f>IF(ISNA(MATCH(1858,'Transfer Engine'!$C$2:$C$1960,0)),"",INDEX('Compliance Database'!$F$2:$F$1960,MATCH(1858,'Transfer Engine'!$C$2:$C$1960,0)))</f>
        <v/>
      </c>
      <c r="G1867" s="8">
        <f>IF(ISNA(MATCH(1858,'Transfer Engine'!$C$2:$C$1960,0)),"",INDEX('Compliance Database'!$G$2:$G$1960,MATCH(1858,'Transfer Engine'!$C$2:$C$1960,0)))</f>
        <v/>
      </c>
      <c r="H1867" s="9">
        <f>IF(ISNA(MATCH(1858,'Transfer Engine'!$C$2:$C$1960,0)),"",INDEX('Compliance Database'!$H$2:$H$1960,MATCH(1858,'Transfer Engine'!$C$2:$C$1960,0)))</f>
        <v/>
      </c>
      <c r="I1867" s="9">
        <f>IF(ISNA(MATCH(1858,'Transfer Engine'!$C$2:$C$1960,0)),"",INDEX('Compliance Database'!$I$2:$I$1960,MATCH(1858,'Transfer Engine'!$C$2:$C$1960,0)))</f>
        <v/>
      </c>
      <c r="J1867" s="8">
        <f>IF(ISNA(MATCH(1858,'Transfer Engine'!$C$2:$C$1960,0)),"",INDEX('Compliance Database'!$J$2:$J$1960,MATCH(1858,'Transfer Engine'!$C$2:$C$1960,0)))</f>
        <v/>
      </c>
      <c r="K1867" s="9">
        <f>IF(ISNA(MATCH(1858,'Transfer Engine'!$C$2:$C$1960,0)),"",INDEX('Compliance Database'!$K$2:$K$1960,MATCH(1858,'Transfer Engine'!$C$2:$C$1960,0)))</f>
        <v/>
      </c>
      <c r="L1867" s="9">
        <f>IF(ISNA(MATCH(1858,'Transfer Engine'!$C$2:$C$1960,0)),"",INDEX('Compliance Database'!$L$2:$L$1960,MATCH(1858,'Transfer Engine'!$C$2:$C$1960,0)))</f>
        <v/>
      </c>
      <c r="M1867" s="9">
        <f>IF(ISNA(MATCH(1858,'Transfer Engine'!$C$2:$C$1960,0)),"",INDEX('Compliance Database'!$M$2:$M$1960,MATCH(1858,'Transfer Engine'!$C$2:$C$1960,0)))</f>
        <v/>
      </c>
      <c r="N1867" s="9">
        <f>IF(ISNA(MATCH(1858,'Transfer Engine'!$C$2:$C$1960,0)),"",INDEX('Compliance Database'!$N$2:$N$1960,MATCH(1858,'Transfer Engine'!$C$2:$C$1960,0)))</f>
        <v/>
      </c>
      <c r="O1867" s="9">
        <f>IF(ISNA(MATCH(1858,'Transfer Engine'!$C$2:$C$1960,0)),"",INDEX('Compliance Database'!$O$2:$O$1960,MATCH(1858,'Transfer Engine'!$C$2:$C$1960,0)))</f>
        <v/>
      </c>
      <c r="P1867" s="8">
        <f>IF(ISNA(MATCH(1858,'Transfer Engine'!$C$2:$C$1960,0)),"",HYPERLINK("#Acts!A"&amp;INDEX('Compliance Database'!$P$2:$P$1960,MATCH(1858,'Transfer Engine'!$C$2:$C$1960,0)),"Go to Act"))</f>
        <v/>
      </c>
    </row>
    <row r="1868" ht="158" customHeight="1">
      <c r="A1868" s="8">
        <f>IF(ISNA(MATCH(1859,'Transfer Engine'!$C$2:$C$1960,0)),"",INDEX('Compliance Database'!$A$2:$A$1960,MATCH(1859,'Transfer Engine'!$C$2:$C$1960,0)))</f>
        <v/>
      </c>
      <c r="B1868" s="8">
        <f>IF(ISNA(MATCH(1859,'Transfer Engine'!$C$2:$C$1960,0)),"",INDEX('Compliance Database'!$B$2:$B$1960,MATCH(1859,'Transfer Engine'!$C$2:$C$1960,0)))</f>
        <v/>
      </c>
      <c r="C1868" s="8">
        <f>IF(ISNA(MATCH(1859,'Transfer Engine'!$C$2:$C$1960,0)),"",INDEX('Compliance Database'!$C$2:$C$1960,MATCH(1859,'Transfer Engine'!$C$2:$C$1960,0)))</f>
        <v/>
      </c>
      <c r="D1868" s="9">
        <f>IF(ISNA(MATCH(1859,'Transfer Engine'!$C$2:$C$1960,0)),"",INDEX('Compliance Database'!$D$2:$D$1960,MATCH(1859,'Transfer Engine'!$C$2:$C$1960,0)))</f>
        <v/>
      </c>
      <c r="E1868" s="8">
        <f>IF(ISNA(MATCH(1859,'Transfer Engine'!$C$2:$C$1960,0)),"",INDEX('Compliance Database'!$E$2:$E$1960,MATCH(1859,'Transfer Engine'!$C$2:$C$1960,0)))</f>
        <v/>
      </c>
      <c r="F1868" s="8">
        <f>IF(ISNA(MATCH(1859,'Transfer Engine'!$C$2:$C$1960,0)),"",INDEX('Compliance Database'!$F$2:$F$1960,MATCH(1859,'Transfer Engine'!$C$2:$C$1960,0)))</f>
        <v/>
      </c>
      <c r="G1868" s="8">
        <f>IF(ISNA(MATCH(1859,'Transfer Engine'!$C$2:$C$1960,0)),"",INDEX('Compliance Database'!$G$2:$G$1960,MATCH(1859,'Transfer Engine'!$C$2:$C$1960,0)))</f>
        <v/>
      </c>
      <c r="H1868" s="9">
        <f>IF(ISNA(MATCH(1859,'Transfer Engine'!$C$2:$C$1960,0)),"",INDEX('Compliance Database'!$H$2:$H$1960,MATCH(1859,'Transfer Engine'!$C$2:$C$1960,0)))</f>
        <v/>
      </c>
      <c r="I1868" s="9">
        <f>IF(ISNA(MATCH(1859,'Transfer Engine'!$C$2:$C$1960,0)),"",INDEX('Compliance Database'!$I$2:$I$1960,MATCH(1859,'Transfer Engine'!$C$2:$C$1960,0)))</f>
        <v/>
      </c>
      <c r="J1868" s="8">
        <f>IF(ISNA(MATCH(1859,'Transfer Engine'!$C$2:$C$1960,0)),"",INDEX('Compliance Database'!$J$2:$J$1960,MATCH(1859,'Transfer Engine'!$C$2:$C$1960,0)))</f>
        <v/>
      </c>
      <c r="K1868" s="9">
        <f>IF(ISNA(MATCH(1859,'Transfer Engine'!$C$2:$C$1960,0)),"",INDEX('Compliance Database'!$K$2:$K$1960,MATCH(1859,'Transfer Engine'!$C$2:$C$1960,0)))</f>
        <v/>
      </c>
      <c r="L1868" s="9">
        <f>IF(ISNA(MATCH(1859,'Transfer Engine'!$C$2:$C$1960,0)),"",INDEX('Compliance Database'!$L$2:$L$1960,MATCH(1859,'Transfer Engine'!$C$2:$C$1960,0)))</f>
        <v/>
      </c>
      <c r="M1868" s="9">
        <f>IF(ISNA(MATCH(1859,'Transfer Engine'!$C$2:$C$1960,0)),"",INDEX('Compliance Database'!$M$2:$M$1960,MATCH(1859,'Transfer Engine'!$C$2:$C$1960,0)))</f>
        <v/>
      </c>
      <c r="N1868" s="9">
        <f>IF(ISNA(MATCH(1859,'Transfer Engine'!$C$2:$C$1960,0)),"",INDEX('Compliance Database'!$N$2:$N$1960,MATCH(1859,'Transfer Engine'!$C$2:$C$1960,0)))</f>
        <v/>
      </c>
      <c r="O1868" s="9">
        <f>IF(ISNA(MATCH(1859,'Transfer Engine'!$C$2:$C$1960,0)),"",INDEX('Compliance Database'!$O$2:$O$1960,MATCH(1859,'Transfer Engine'!$C$2:$C$1960,0)))</f>
        <v/>
      </c>
      <c r="P1868" s="8">
        <f>IF(ISNA(MATCH(1859,'Transfer Engine'!$C$2:$C$1960,0)),"",HYPERLINK("#Acts!A"&amp;INDEX('Compliance Database'!$P$2:$P$1960,MATCH(1859,'Transfer Engine'!$C$2:$C$1960,0)),"Go to Act"))</f>
        <v/>
      </c>
    </row>
    <row r="1869" ht="158" customHeight="1">
      <c r="A1869" s="8">
        <f>IF(ISNA(MATCH(1860,'Transfer Engine'!$C$2:$C$1960,0)),"",INDEX('Compliance Database'!$A$2:$A$1960,MATCH(1860,'Transfer Engine'!$C$2:$C$1960,0)))</f>
        <v/>
      </c>
      <c r="B1869" s="8">
        <f>IF(ISNA(MATCH(1860,'Transfer Engine'!$C$2:$C$1960,0)),"",INDEX('Compliance Database'!$B$2:$B$1960,MATCH(1860,'Transfer Engine'!$C$2:$C$1960,0)))</f>
        <v/>
      </c>
      <c r="C1869" s="8">
        <f>IF(ISNA(MATCH(1860,'Transfer Engine'!$C$2:$C$1960,0)),"",INDEX('Compliance Database'!$C$2:$C$1960,MATCH(1860,'Transfer Engine'!$C$2:$C$1960,0)))</f>
        <v/>
      </c>
      <c r="D1869" s="9">
        <f>IF(ISNA(MATCH(1860,'Transfer Engine'!$C$2:$C$1960,0)),"",INDEX('Compliance Database'!$D$2:$D$1960,MATCH(1860,'Transfer Engine'!$C$2:$C$1960,0)))</f>
        <v/>
      </c>
      <c r="E1869" s="8">
        <f>IF(ISNA(MATCH(1860,'Transfer Engine'!$C$2:$C$1960,0)),"",INDEX('Compliance Database'!$E$2:$E$1960,MATCH(1860,'Transfer Engine'!$C$2:$C$1960,0)))</f>
        <v/>
      </c>
      <c r="F1869" s="8">
        <f>IF(ISNA(MATCH(1860,'Transfer Engine'!$C$2:$C$1960,0)),"",INDEX('Compliance Database'!$F$2:$F$1960,MATCH(1860,'Transfer Engine'!$C$2:$C$1960,0)))</f>
        <v/>
      </c>
      <c r="G1869" s="8">
        <f>IF(ISNA(MATCH(1860,'Transfer Engine'!$C$2:$C$1960,0)),"",INDEX('Compliance Database'!$G$2:$G$1960,MATCH(1860,'Transfer Engine'!$C$2:$C$1960,0)))</f>
        <v/>
      </c>
      <c r="H1869" s="9">
        <f>IF(ISNA(MATCH(1860,'Transfer Engine'!$C$2:$C$1960,0)),"",INDEX('Compliance Database'!$H$2:$H$1960,MATCH(1860,'Transfer Engine'!$C$2:$C$1960,0)))</f>
        <v/>
      </c>
      <c r="I1869" s="9">
        <f>IF(ISNA(MATCH(1860,'Transfer Engine'!$C$2:$C$1960,0)),"",INDEX('Compliance Database'!$I$2:$I$1960,MATCH(1860,'Transfer Engine'!$C$2:$C$1960,0)))</f>
        <v/>
      </c>
      <c r="J1869" s="8">
        <f>IF(ISNA(MATCH(1860,'Transfer Engine'!$C$2:$C$1960,0)),"",INDEX('Compliance Database'!$J$2:$J$1960,MATCH(1860,'Transfer Engine'!$C$2:$C$1960,0)))</f>
        <v/>
      </c>
      <c r="K1869" s="9">
        <f>IF(ISNA(MATCH(1860,'Transfer Engine'!$C$2:$C$1960,0)),"",INDEX('Compliance Database'!$K$2:$K$1960,MATCH(1860,'Transfer Engine'!$C$2:$C$1960,0)))</f>
        <v/>
      </c>
      <c r="L1869" s="9">
        <f>IF(ISNA(MATCH(1860,'Transfer Engine'!$C$2:$C$1960,0)),"",INDEX('Compliance Database'!$L$2:$L$1960,MATCH(1860,'Transfer Engine'!$C$2:$C$1960,0)))</f>
        <v/>
      </c>
      <c r="M1869" s="9">
        <f>IF(ISNA(MATCH(1860,'Transfer Engine'!$C$2:$C$1960,0)),"",INDEX('Compliance Database'!$M$2:$M$1960,MATCH(1860,'Transfer Engine'!$C$2:$C$1960,0)))</f>
        <v/>
      </c>
      <c r="N1869" s="9">
        <f>IF(ISNA(MATCH(1860,'Transfer Engine'!$C$2:$C$1960,0)),"",INDEX('Compliance Database'!$N$2:$N$1960,MATCH(1860,'Transfer Engine'!$C$2:$C$1960,0)))</f>
        <v/>
      </c>
      <c r="O1869" s="9">
        <f>IF(ISNA(MATCH(1860,'Transfer Engine'!$C$2:$C$1960,0)),"",INDEX('Compliance Database'!$O$2:$O$1960,MATCH(1860,'Transfer Engine'!$C$2:$C$1960,0)))</f>
        <v/>
      </c>
      <c r="P1869" s="8">
        <f>IF(ISNA(MATCH(1860,'Transfer Engine'!$C$2:$C$1960,0)),"",HYPERLINK("#Acts!A"&amp;INDEX('Compliance Database'!$P$2:$P$1960,MATCH(1860,'Transfer Engine'!$C$2:$C$1960,0)),"Go to Act"))</f>
        <v/>
      </c>
    </row>
    <row r="1870" ht="158" customHeight="1">
      <c r="A1870" s="8">
        <f>IF(ISNA(MATCH(1861,'Transfer Engine'!$C$2:$C$1960,0)),"",INDEX('Compliance Database'!$A$2:$A$1960,MATCH(1861,'Transfer Engine'!$C$2:$C$1960,0)))</f>
        <v/>
      </c>
      <c r="B1870" s="8">
        <f>IF(ISNA(MATCH(1861,'Transfer Engine'!$C$2:$C$1960,0)),"",INDEX('Compliance Database'!$B$2:$B$1960,MATCH(1861,'Transfer Engine'!$C$2:$C$1960,0)))</f>
        <v/>
      </c>
      <c r="C1870" s="8">
        <f>IF(ISNA(MATCH(1861,'Transfer Engine'!$C$2:$C$1960,0)),"",INDEX('Compliance Database'!$C$2:$C$1960,MATCH(1861,'Transfer Engine'!$C$2:$C$1960,0)))</f>
        <v/>
      </c>
      <c r="D1870" s="9">
        <f>IF(ISNA(MATCH(1861,'Transfer Engine'!$C$2:$C$1960,0)),"",INDEX('Compliance Database'!$D$2:$D$1960,MATCH(1861,'Transfer Engine'!$C$2:$C$1960,0)))</f>
        <v/>
      </c>
      <c r="E1870" s="8">
        <f>IF(ISNA(MATCH(1861,'Transfer Engine'!$C$2:$C$1960,0)),"",INDEX('Compliance Database'!$E$2:$E$1960,MATCH(1861,'Transfer Engine'!$C$2:$C$1960,0)))</f>
        <v/>
      </c>
      <c r="F1870" s="8">
        <f>IF(ISNA(MATCH(1861,'Transfer Engine'!$C$2:$C$1960,0)),"",INDEX('Compliance Database'!$F$2:$F$1960,MATCH(1861,'Transfer Engine'!$C$2:$C$1960,0)))</f>
        <v/>
      </c>
      <c r="G1870" s="8">
        <f>IF(ISNA(MATCH(1861,'Transfer Engine'!$C$2:$C$1960,0)),"",INDEX('Compliance Database'!$G$2:$G$1960,MATCH(1861,'Transfer Engine'!$C$2:$C$1960,0)))</f>
        <v/>
      </c>
      <c r="H1870" s="9">
        <f>IF(ISNA(MATCH(1861,'Transfer Engine'!$C$2:$C$1960,0)),"",INDEX('Compliance Database'!$H$2:$H$1960,MATCH(1861,'Transfer Engine'!$C$2:$C$1960,0)))</f>
        <v/>
      </c>
      <c r="I1870" s="9">
        <f>IF(ISNA(MATCH(1861,'Transfer Engine'!$C$2:$C$1960,0)),"",INDEX('Compliance Database'!$I$2:$I$1960,MATCH(1861,'Transfer Engine'!$C$2:$C$1960,0)))</f>
        <v/>
      </c>
      <c r="J1870" s="8">
        <f>IF(ISNA(MATCH(1861,'Transfer Engine'!$C$2:$C$1960,0)),"",INDEX('Compliance Database'!$J$2:$J$1960,MATCH(1861,'Transfer Engine'!$C$2:$C$1960,0)))</f>
        <v/>
      </c>
      <c r="K1870" s="9">
        <f>IF(ISNA(MATCH(1861,'Transfer Engine'!$C$2:$C$1960,0)),"",INDEX('Compliance Database'!$K$2:$K$1960,MATCH(1861,'Transfer Engine'!$C$2:$C$1960,0)))</f>
        <v/>
      </c>
      <c r="L1870" s="9">
        <f>IF(ISNA(MATCH(1861,'Transfer Engine'!$C$2:$C$1960,0)),"",INDEX('Compliance Database'!$L$2:$L$1960,MATCH(1861,'Transfer Engine'!$C$2:$C$1960,0)))</f>
        <v/>
      </c>
      <c r="M1870" s="9">
        <f>IF(ISNA(MATCH(1861,'Transfer Engine'!$C$2:$C$1960,0)),"",INDEX('Compliance Database'!$M$2:$M$1960,MATCH(1861,'Transfer Engine'!$C$2:$C$1960,0)))</f>
        <v/>
      </c>
      <c r="N1870" s="9">
        <f>IF(ISNA(MATCH(1861,'Transfer Engine'!$C$2:$C$1960,0)),"",INDEX('Compliance Database'!$N$2:$N$1960,MATCH(1861,'Transfer Engine'!$C$2:$C$1960,0)))</f>
        <v/>
      </c>
      <c r="O1870" s="9">
        <f>IF(ISNA(MATCH(1861,'Transfer Engine'!$C$2:$C$1960,0)),"",INDEX('Compliance Database'!$O$2:$O$1960,MATCH(1861,'Transfer Engine'!$C$2:$C$1960,0)))</f>
        <v/>
      </c>
      <c r="P1870" s="8">
        <f>IF(ISNA(MATCH(1861,'Transfer Engine'!$C$2:$C$1960,0)),"",HYPERLINK("#Acts!A"&amp;INDEX('Compliance Database'!$P$2:$P$1960,MATCH(1861,'Transfer Engine'!$C$2:$C$1960,0)),"Go to Act"))</f>
        <v/>
      </c>
    </row>
    <row r="1871" ht="158" customHeight="1">
      <c r="A1871" s="8">
        <f>IF(ISNA(MATCH(1862,'Transfer Engine'!$C$2:$C$1960,0)),"",INDEX('Compliance Database'!$A$2:$A$1960,MATCH(1862,'Transfer Engine'!$C$2:$C$1960,0)))</f>
        <v/>
      </c>
      <c r="B1871" s="8">
        <f>IF(ISNA(MATCH(1862,'Transfer Engine'!$C$2:$C$1960,0)),"",INDEX('Compliance Database'!$B$2:$B$1960,MATCH(1862,'Transfer Engine'!$C$2:$C$1960,0)))</f>
        <v/>
      </c>
      <c r="C1871" s="8">
        <f>IF(ISNA(MATCH(1862,'Transfer Engine'!$C$2:$C$1960,0)),"",INDEX('Compliance Database'!$C$2:$C$1960,MATCH(1862,'Transfer Engine'!$C$2:$C$1960,0)))</f>
        <v/>
      </c>
      <c r="D1871" s="9">
        <f>IF(ISNA(MATCH(1862,'Transfer Engine'!$C$2:$C$1960,0)),"",INDEX('Compliance Database'!$D$2:$D$1960,MATCH(1862,'Transfer Engine'!$C$2:$C$1960,0)))</f>
        <v/>
      </c>
      <c r="E1871" s="8">
        <f>IF(ISNA(MATCH(1862,'Transfer Engine'!$C$2:$C$1960,0)),"",INDEX('Compliance Database'!$E$2:$E$1960,MATCH(1862,'Transfer Engine'!$C$2:$C$1960,0)))</f>
        <v/>
      </c>
      <c r="F1871" s="8">
        <f>IF(ISNA(MATCH(1862,'Transfer Engine'!$C$2:$C$1960,0)),"",INDEX('Compliance Database'!$F$2:$F$1960,MATCH(1862,'Transfer Engine'!$C$2:$C$1960,0)))</f>
        <v/>
      </c>
      <c r="G1871" s="8">
        <f>IF(ISNA(MATCH(1862,'Transfer Engine'!$C$2:$C$1960,0)),"",INDEX('Compliance Database'!$G$2:$G$1960,MATCH(1862,'Transfer Engine'!$C$2:$C$1960,0)))</f>
        <v/>
      </c>
      <c r="H1871" s="9">
        <f>IF(ISNA(MATCH(1862,'Transfer Engine'!$C$2:$C$1960,0)),"",INDEX('Compliance Database'!$H$2:$H$1960,MATCH(1862,'Transfer Engine'!$C$2:$C$1960,0)))</f>
        <v/>
      </c>
      <c r="I1871" s="9">
        <f>IF(ISNA(MATCH(1862,'Transfer Engine'!$C$2:$C$1960,0)),"",INDEX('Compliance Database'!$I$2:$I$1960,MATCH(1862,'Transfer Engine'!$C$2:$C$1960,0)))</f>
        <v/>
      </c>
      <c r="J1871" s="8">
        <f>IF(ISNA(MATCH(1862,'Transfer Engine'!$C$2:$C$1960,0)),"",INDEX('Compliance Database'!$J$2:$J$1960,MATCH(1862,'Transfer Engine'!$C$2:$C$1960,0)))</f>
        <v/>
      </c>
      <c r="K1871" s="9">
        <f>IF(ISNA(MATCH(1862,'Transfer Engine'!$C$2:$C$1960,0)),"",INDEX('Compliance Database'!$K$2:$K$1960,MATCH(1862,'Transfer Engine'!$C$2:$C$1960,0)))</f>
        <v/>
      </c>
      <c r="L1871" s="9">
        <f>IF(ISNA(MATCH(1862,'Transfer Engine'!$C$2:$C$1960,0)),"",INDEX('Compliance Database'!$L$2:$L$1960,MATCH(1862,'Transfer Engine'!$C$2:$C$1960,0)))</f>
        <v/>
      </c>
      <c r="M1871" s="9">
        <f>IF(ISNA(MATCH(1862,'Transfer Engine'!$C$2:$C$1960,0)),"",INDEX('Compliance Database'!$M$2:$M$1960,MATCH(1862,'Transfer Engine'!$C$2:$C$1960,0)))</f>
        <v/>
      </c>
      <c r="N1871" s="9">
        <f>IF(ISNA(MATCH(1862,'Transfer Engine'!$C$2:$C$1960,0)),"",INDEX('Compliance Database'!$N$2:$N$1960,MATCH(1862,'Transfer Engine'!$C$2:$C$1960,0)))</f>
        <v/>
      </c>
      <c r="O1871" s="9">
        <f>IF(ISNA(MATCH(1862,'Transfer Engine'!$C$2:$C$1960,0)),"",INDEX('Compliance Database'!$O$2:$O$1960,MATCH(1862,'Transfer Engine'!$C$2:$C$1960,0)))</f>
        <v/>
      </c>
      <c r="P1871" s="8">
        <f>IF(ISNA(MATCH(1862,'Transfer Engine'!$C$2:$C$1960,0)),"",HYPERLINK("#Acts!A"&amp;INDEX('Compliance Database'!$P$2:$P$1960,MATCH(1862,'Transfer Engine'!$C$2:$C$1960,0)),"Go to Act"))</f>
        <v/>
      </c>
    </row>
    <row r="1872" ht="158" customHeight="1">
      <c r="A1872" s="8">
        <f>IF(ISNA(MATCH(1863,'Transfer Engine'!$C$2:$C$1960,0)),"",INDEX('Compliance Database'!$A$2:$A$1960,MATCH(1863,'Transfer Engine'!$C$2:$C$1960,0)))</f>
        <v/>
      </c>
      <c r="B1872" s="8">
        <f>IF(ISNA(MATCH(1863,'Transfer Engine'!$C$2:$C$1960,0)),"",INDEX('Compliance Database'!$B$2:$B$1960,MATCH(1863,'Transfer Engine'!$C$2:$C$1960,0)))</f>
        <v/>
      </c>
      <c r="C1872" s="8">
        <f>IF(ISNA(MATCH(1863,'Transfer Engine'!$C$2:$C$1960,0)),"",INDEX('Compliance Database'!$C$2:$C$1960,MATCH(1863,'Transfer Engine'!$C$2:$C$1960,0)))</f>
        <v/>
      </c>
      <c r="D1872" s="9">
        <f>IF(ISNA(MATCH(1863,'Transfer Engine'!$C$2:$C$1960,0)),"",INDEX('Compliance Database'!$D$2:$D$1960,MATCH(1863,'Transfer Engine'!$C$2:$C$1960,0)))</f>
        <v/>
      </c>
      <c r="E1872" s="8">
        <f>IF(ISNA(MATCH(1863,'Transfer Engine'!$C$2:$C$1960,0)),"",INDEX('Compliance Database'!$E$2:$E$1960,MATCH(1863,'Transfer Engine'!$C$2:$C$1960,0)))</f>
        <v/>
      </c>
      <c r="F1872" s="8">
        <f>IF(ISNA(MATCH(1863,'Transfer Engine'!$C$2:$C$1960,0)),"",INDEX('Compliance Database'!$F$2:$F$1960,MATCH(1863,'Transfer Engine'!$C$2:$C$1960,0)))</f>
        <v/>
      </c>
      <c r="G1872" s="8">
        <f>IF(ISNA(MATCH(1863,'Transfer Engine'!$C$2:$C$1960,0)),"",INDEX('Compliance Database'!$G$2:$G$1960,MATCH(1863,'Transfer Engine'!$C$2:$C$1960,0)))</f>
        <v/>
      </c>
      <c r="H1872" s="9">
        <f>IF(ISNA(MATCH(1863,'Transfer Engine'!$C$2:$C$1960,0)),"",INDEX('Compliance Database'!$H$2:$H$1960,MATCH(1863,'Transfer Engine'!$C$2:$C$1960,0)))</f>
        <v/>
      </c>
      <c r="I1872" s="9">
        <f>IF(ISNA(MATCH(1863,'Transfer Engine'!$C$2:$C$1960,0)),"",INDEX('Compliance Database'!$I$2:$I$1960,MATCH(1863,'Transfer Engine'!$C$2:$C$1960,0)))</f>
        <v/>
      </c>
      <c r="J1872" s="8">
        <f>IF(ISNA(MATCH(1863,'Transfer Engine'!$C$2:$C$1960,0)),"",INDEX('Compliance Database'!$J$2:$J$1960,MATCH(1863,'Transfer Engine'!$C$2:$C$1960,0)))</f>
        <v/>
      </c>
      <c r="K1872" s="9">
        <f>IF(ISNA(MATCH(1863,'Transfer Engine'!$C$2:$C$1960,0)),"",INDEX('Compliance Database'!$K$2:$K$1960,MATCH(1863,'Transfer Engine'!$C$2:$C$1960,0)))</f>
        <v/>
      </c>
      <c r="L1872" s="9">
        <f>IF(ISNA(MATCH(1863,'Transfer Engine'!$C$2:$C$1960,0)),"",INDEX('Compliance Database'!$L$2:$L$1960,MATCH(1863,'Transfer Engine'!$C$2:$C$1960,0)))</f>
        <v/>
      </c>
      <c r="M1872" s="9">
        <f>IF(ISNA(MATCH(1863,'Transfer Engine'!$C$2:$C$1960,0)),"",INDEX('Compliance Database'!$M$2:$M$1960,MATCH(1863,'Transfer Engine'!$C$2:$C$1960,0)))</f>
        <v/>
      </c>
      <c r="N1872" s="9">
        <f>IF(ISNA(MATCH(1863,'Transfer Engine'!$C$2:$C$1960,0)),"",INDEX('Compliance Database'!$N$2:$N$1960,MATCH(1863,'Transfer Engine'!$C$2:$C$1960,0)))</f>
        <v/>
      </c>
      <c r="O1872" s="9">
        <f>IF(ISNA(MATCH(1863,'Transfer Engine'!$C$2:$C$1960,0)),"",INDEX('Compliance Database'!$O$2:$O$1960,MATCH(1863,'Transfer Engine'!$C$2:$C$1960,0)))</f>
        <v/>
      </c>
      <c r="P1872" s="8">
        <f>IF(ISNA(MATCH(1863,'Transfer Engine'!$C$2:$C$1960,0)),"",HYPERLINK("#Acts!A"&amp;INDEX('Compliance Database'!$P$2:$P$1960,MATCH(1863,'Transfer Engine'!$C$2:$C$1960,0)),"Go to Act"))</f>
        <v/>
      </c>
    </row>
    <row r="1873" ht="158" customHeight="1">
      <c r="A1873" s="8">
        <f>IF(ISNA(MATCH(1864,'Transfer Engine'!$C$2:$C$1960,0)),"",INDEX('Compliance Database'!$A$2:$A$1960,MATCH(1864,'Transfer Engine'!$C$2:$C$1960,0)))</f>
        <v/>
      </c>
      <c r="B1873" s="8">
        <f>IF(ISNA(MATCH(1864,'Transfer Engine'!$C$2:$C$1960,0)),"",INDEX('Compliance Database'!$B$2:$B$1960,MATCH(1864,'Transfer Engine'!$C$2:$C$1960,0)))</f>
        <v/>
      </c>
      <c r="C1873" s="8">
        <f>IF(ISNA(MATCH(1864,'Transfer Engine'!$C$2:$C$1960,0)),"",INDEX('Compliance Database'!$C$2:$C$1960,MATCH(1864,'Transfer Engine'!$C$2:$C$1960,0)))</f>
        <v/>
      </c>
      <c r="D1873" s="9">
        <f>IF(ISNA(MATCH(1864,'Transfer Engine'!$C$2:$C$1960,0)),"",INDEX('Compliance Database'!$D$2:$D$1960,MATCH(1864,'Transfer Engine'!$C$2:$C$1960,0)))</f>
        <v/>
      </c>
      <c r="E1873" s="8">
        <f>IF(ISNA(MATCH(1864,'Transfer Engine'!$C$2:$C$1960,0)),"",INDEX('Compliance Database'!$E$2:$E$1960,MATCH(1864,'Transfer Engine'!$C$2:$C$1960,0)))</f>
        <v/>
      </c>
      <c r="F1873" s="8">
        <f>IF(ISNA(MATCH(1864,'Transfer Engine'!$C$2:$C$1960,0)),"",INDEX('Compliance Database'!$F$2:$F$1960,MATCH(1864,'Transfer Engine'!$C$2:$C$1960,0)))</f>
        <v/>
      </c>
      <c r="G1873" s="8">
        <f>IF(ISNA(MATCH(1864,'Transfer Engine'!$C$2:$C$1960,0)),"",INDEX('Compliance Database'!$G$2:$G$1960,MATCH(1864,'Transfer Engine'!$C$2:$C$1960,0)))</f>
        <v/>
      </c>
      <c r="H1873" s="9">
        <f>IF(ISNA(MATCH(1864,'Transfer Engine'!$C$2:$C$1960,0)),"",INDEX('Compliance Database'!$H$2:$H$1960,MATCH(1864,'Transfer Engine'!$C$2:$C$1960,0)))</f>
        <v/>
      </c>
      <c r="I1873" s="9">
        <f>IF(ISNA(MATCH(1864,'Transfer Engine'!$C$2:$C$1960,0)),"",INDEX('Compliance Database'!$I$2:$I$1960,MATCH(1864,'Transfer Engine'!$C$2:$C$1960,0)))</f>
        <v/>
      </c>
      <c r="J1873" s="8">
        <f>IF(ISNA(MATCH(1864,'Transfer Engine'!$C$2:$C$1960,0)),"",INDEX('Compliance Database'!$J$2:$J$1960,MATCH(1864,'Transfer Engine'!$C$2:$C$1960,0)))</f>
        <v/>
      </c>
      <c r="K1873" s="9">
        <f>IF(ISNA(MATCH(1864,'Transfer Engine'!$C$2:$C$1960,0)),"",INDEX('Compliance Database'!$K$2:$K$1960,MATCH(1864,'Transfer Engine'!$C$2:$C$1960,0)))</f>
        <v/>
      </c>
      <c r="L1873" s="9">
        <f>IF(ISNA(MATCH(1864,'Transfer Engine'!$C$2:$C$1960,0)),"",INDEX('Compliance Database'!$L$2:$L$1960,MATCH(1864,'Transfer Engine'!$C$2:$C$1960,0)))</f>
        <v/>
      </c>
      <c r="M1873" s="9">
        <f>IF(ISNA(MATCH(1864,'Transfer Engine'!$C$2:$C$1960,0)),"",INDEX('Compliance Database'!$M$2:$M$1960,MATCH(1864,'Transfer Engine'!$C$2:$C$1960,0)))</f>
        <v/>
      </c>
      <c r="N1873" s="9">
        <f>IF(ISNA(MATCH(1864,'Transfer Engine'!$C$2:$C$1960,0)),"",INDEX('Compliance Database'!$N$2:$N$1960,MATCH(1864,'Transfer Engine'!$C$2:$C$1960,0)))</f>
        <v/>
      </c>
      <c r="O1873" s="9">
        <f>IF(ISNA(MATCH(1864,'Transfer Engine'!$C$2:$C$1960,0)),"",INDEX('Compliance Database'!$O$2:$O$1960,MATCH(1864,'Transfer Engine'!$C$2:$C$1960,0)))</f>
        <v/>
      </c>
      <c r="P1873" s="8">
        <f>IF(ISNA(MATCH(1864,'Transfer Engine'!$C$2:$C$1960,0)),"",HYPERLINK("#Acts!A"&amp;INDEX('Compliance Database'!$P$2:$P$1960,MATCH(1864,'Transfer Engine'!$C$2:$C$1960,0)),"Go to Act"))</f>
        <v/>
      </c>
    </row>
    <row r="1874" ht="158" customHeight="1">
      <c r="A1874" s="8">
        <f>IF(ISNA(MATCH(1865,'Transfer Engine'!$C$2:$C$1960,0)),"",INDEX('Compliance Database'!$A$2:$A$1960,MATCH(1865,'Transfer Engine'!$C$2:$C$1960,0)))</f>
        <v/>
      </c>
      <c r="B1874" s="8">
        <f>IF(ISNA(MATCH(1865,'Transfer Engine'!$C$2:$C$1960,0)),"",INDEX('Compliance Database'!$B$2:$B$1960,MATCH(1865,'Transfer Engine'!$C$2:$C$1960,0)))</f>
        <v/>
      </c>
      <c r="C1874" s="8">
        <f>IF(ISNA(MATCH(1865,'Transfer Engine'!$C$2:$C$1960,0)),"",INDEX('Compliance Database'!$C$2:$C$1960,MATCH(1865,'Transfer Engine'!$C$2:$C$1960,0)))</f>
        <v/>
      </c>
      <c r="D1874" s="9">
        <f>IF(ISNA(MATCH(1865,'Transfer Engine'!$C$2:$C$1960,0)),"",INDEX('Compliance Database'!$D$2:$D$1960,MATCH(1865,'Transfer Engine'!$C$2:$C$1960,0)))</f>
        <v/>
      </c>
      <c r="E1874" s="8">
        <f>IF(ISNA(MATCH(1865,'Transfer Engine'!$C$2:$C$1960,0)),"",INDEX('Compliance Database'!$E$2:$E$1960,MATCH(1865,'Transfer Engine'!$C$2:$C$1960,0)))</f>
        <v/>
      </c>
      <c r="F1874" s="8">
        <f>IF(ISNA(MATCH(1865,'Transfer Engine'!$C$2:$C$1960,0)),"",INDEX('Compliance Database'!$F$2:$F$1960,MATCH(1865,'Transfer Engine'!$C$2:$C$1960,0)))</f>
        <v/>
      </c>
      <c r="G1874" s="8">
        <f>IF(ISNA(MATCH(1865,'Transfer Engine'!$C$2:$C$1960,0)),"",INDEX('Compliance Database'!$G$2:$G$1960,MATCH(1865,'Transfer Engine'!$C$2:$C$1960,0)))</f>
        <v/>
      </c>
      <c r="H1874" s="9">
        <f>IF(ISNA(MATCH(1865,'Transfer Engine'!$C$2:$C$1960,0)),"",INDEX('Compliance Database'!$H$2:$H$1960,MATCH(1865,'Transfer Engine'!$C$2:$C$1960,0)))</f>
        <v/>
      </c>
      <c r="I1874" s="9">
        <f>IF(ISNA(MATCH(1865,'Transfer Engine'!$C$2:$C$1960,0)),"",INDEX('Compliance Database'!$I$2:$I$1960,MATCH(1865,'Transfer Engine'!$C$2:$C$1960,0)))</f>
        <v/>
      </c>
      <c r="J1874" s="8">
        <f>IF(ISNA(MATCH(1865,'Transfer Engine'!$C$2:$C$1960,0)),"",INDEX('Compliance Database'!$J$2:$J$1960,MATCH(1865,'Transfer Engine'!$C$2:$C$1960,0)))</f>
        <v/>
      </c>
      <c r="K1874" s="9">
        <f>IF(ISNA(MATCH(1865,'Transfer Engine'!$C$2:$C$1960,0)),"",INDEX('Compliance Database'!$K$2:$K$1960,MATCH(1865,'Transfer Engine'!$C$2:$C$1960,0)))</f>
        <v/>
      </c>
      <c r="L1874" s="9">
        <f>IF(ISNA(MATCH(1865,'Transfer Engine'!$C$2:$C$1960,0)),"",INDEX('Compliance Database'!$L$2:$L$1960,MATCH(1865,'Transfer Engine'!$C$2:$C$1960,0)))</f>
        <v/>
      </c>
      <c r="M1874" s="9">
        <f>IF(ISNA(MATCH(1865,'Transfer Engine'!$C$2:$C$1960,0)),"",INDEX('Compliance Database'!$M$2:$M$1960,MATCH(1865,'Transfer Engine'!$C$2:$C$1960,0)))</f>
        <v/>
      </c>
      <c r="N1874" s="9">
        <f>IF(ISNA(MATCH(1865,'Transfer Engine'!$C$2:$C$1960,0)),"",INDEX('Compliance Database'!$N$2:$N$1960,MATCH(1865,'Transfer Engine'!$C$2:$C$1960,0)))</f>
        <v/>
      </c>
      <c r="O1874" s="9">
        <f>IF(ISNA(MATCH(1865,'Transfer Engine'!$C$2:$C$1960,0)),"",INDEX('Compliance Database'!$O$2:$O$1960,MATCH(1865,'Transfer Engine'!$C$2:$C$1960,0)))</f>
        <v/>
      </c>
      <c r="P1874" s="8">
        <f>IF(ISNA(MATCH(1865,'Transfer Engine'!$C$2:$C$1960,0)),"",HYPERLINK("#Acts!A"&amp;INDEX('Compliance Database'!$P$2:$P$1960,MATCH(1865,'Transfer Engine'!$C$2:$C$1960,0)),"Go to Act"))</f>
        <v/>
      </c>
    </row>
    <row r="1875" ht="158" customHeight="1">
      <c r="A1875" s="8">
        <f>IF(ISNA(MATCH(1866,'Transfer Engine'!$C$2:$C$1960,0)),"",INDEX('Compliance Database'!$A$2:$A$1960,MATCH(1866,'Transfer Engine'!$C$2:$C$1960,0)))</f>
        <v/>
      </c>
      <c r="B1875" s="8">
        <f>IF(ISNA(MATCH(1866,'Transfer Engine'!$C$2:$C$1960,0)),"",INDEX('Compliance Database'!$B$2:$B$1960,MATCH(1866,'Transfer Engine'!$C$2:$C$1960,0)))</f>
        <v/>
      </c>
      <c r="C1875" s="8">
        <f>IF(ISNA(MATCH(1866,'Transfer Engine'!$C$2:$C$1960,0)),"",INDEX('Compliance Database'!$C$2:$C$1960,MATCH(1866,'Transfer Engine'!$C$2:$C$1960,0)))</f>
        <v/>
      </c>
      <c r="D1875" s="9">
        <f>IF(ISNA(MATCH(1866,'Transfer Engine'!$C$2:$C$1960,0)),"",INDEX('Compliance Database'!$D$2:$D$1960,MATCH(1866,'Transfer Engine'!$C$2:$C$1960,0)))</f>
        <v/>
      </c>
      <c r="E1875" s="8">
        <f>IF(ISNA(MATCH(1866,'Transfer Engine'!$C$2:$C$1960,0)),"",INDEX('Compliance Database'!$E$2:$E$1960,MATCH(1866,'Transfer Engine'!$C$2:$C$1960,0)))</f>
        <v/>
      </c>
      <c r="F1875" s="8">
        <f>IF(ISNA(MATCH(1866,'Transfer Engine'!$C$2:$C$1960,0)),"",INDEX('Compliance Database'!$F$2:$F$1960,MATCH(1866,'Transfer Engine'!$C$2:$C$1960,0)))</f>
        <v/>
      </c>
      <c r="G1875" s="8">
        <f>IF(ISNA(MATCH(1866,'Transfer Engine'!$C$2:$C$1960,0)),"",INDEX('Compliance Database'!$G$2:$G$1960,MATCH(1866,'Transfer Engine'!$C$2:$C$1960,0)))</f>
        <v/>
      </c>
      <c r="H1875" s="9">
        <f>IF(ISNA(MATCH(1866,'Transfer Engine'!$C$2:$C$1960,0)),"",INDEX('Compliance Database'!$H$2:$H$1960,MATCH(1866,'Transfer Engine'!$C$2:$C$1960,0)))</f>
        <v/>
      </c>
      <c r="I1875" s="9">
        <f>IF(ISNA(MATCH(1866,'Transfer Engine'!$C$2:$C$1960,0)),"",INDEX('Compliance Database'!$I$2:$I$1960,MATCH(1866,'Transfer Engine'!$C$2:$C$1960,0)))</f>
        <v/>
      </c>
      <c r="J1875" s="8">
        <f>IF(ISNA(MATCH(1866,'Transfer Engine'!$C$2:$C$1960,0)),"",INDEX('Compliance Database'!$J$2:$J$1960,MATCH(1866,'Transfer Engine'!$C$2:$C$1960,0)))</f>
        <v/>
      </c>
      <c r="K1875" s="9">
        <f>IF(ISNA(MATCH(1866,'Transfer Engine'!$C$2:$C$1960,0)),"",INDEX('Compliance Database'!$K$2:$K$1960,MATCH(1866,'Transfer Engine'!$C$2:$C$1960,0)))</f>
        <v/>
      </c>
      <c r="L1875" s="9">
        <f>IF(ISNA(MATCH(1866,'Transfer Engine'!$C$2:$C$1960,0)),"",INDEX('Compliance Database'!$L$2:$L$1960,MATCH(1866,'Transfer Engine'!$C$2:$C$1960,0)))</f>
        <v/>
      </c>
      <c r="M1875" s="9">
        <f>IF(ISNA(MATCH(1866,'Transfer Engine'!$C$2:$C$1960,0)),"",INDEX('Compliance Database'!$M$2:$M$1960,MATCH(1866,'Transfer Engine'!$C$2:$C$1960,0)))</f>
        <v/>
      </c>
      <c r="N1875" s="9">
        <f>IF(ISNA(MATCH(1866,'Transfer Engine'!$C$2:$C$1960,0)),"",INDEX('Compliance Database'!$N$2:$N$1960,MATCH(1866,'Transfer Engine'!$C$2:$C$1960,0)))</f>
        <v/>
      </c>
      <c r="O1875" s="9">
        <f>IF(ISNA(MATCH(1866,'Transfer Engine'!$C$2:$C$1960,0)),"",INDEX('Compliance Database'!$O$2:$O$1960,MATCH(1866,'Transfer Engine'!$C$2:$C$1960,0)))</f>
        <v/>
      </c>
      <c r="P1875" s="8">
        <f>IF(ISNA(MATCH(1866,'Transfer Engine'!$C$2:$C$1960,0)),"",HYPERLINK("#Acts!A"&amp;INDEX('Compliance Database'!$P$2:$P$1960,MATCH(1866,'Transfer Engine'!$C$2:$C$1960,0)),"Go to Act"))</f>
        <v/>
      </c>
    </row>
    <row r="1876" ht="158" customHeight="1">
      <c r="A1876" s="8">
        <f>IF(ISNA(MATCH(1867,'Transfer Engine'!$C$2:$C$1960,0)),"",INDEX('Compliance Database'!$A$2:$A$1960,MATCH(1867,'Transfer Engine'!$C$2:$C$1960,0)))</f>
        <v/>
      </c>
      <c r="B1876" s="8">
        <f>IF(ISNA(MATCH(1867,'Transfer Engine'!$C$2:$C$1960,0)),"",INDEX('Compliance Database'!$B$2:$B$1960,MATCH(1867,'Transfer Engine'!$C$2:$C$1960,0)))</f>
        <v/>
      </c>
      <c r="C1876" s="8">
        <f>IF(ISNA(MATCH(1867,'Transfer Engine'!$C$2:$C$1960,0)),"",INDEX('Compliance Database'!$C$2:$C$1960,MATCH(1867,'Transfer Engine'!$C$2:$C$1960,0)))</f>
        <v/>
      </c>
      <c r="D1876" s="9">
        <f>IF(ISNA(MATCH(1867,'Transfer Engine'!$C$2:$C$1960,0)),"",INDEX('Compliance Database'!$D$2:$D$1960,MATCH(1867,'Transfer Engine'!$C$2:$C$1960,0)))</f>
        <v/>
      </c>
      <c r="E1876" s="8">
        <f>IF(ISNA(MATCH(1867,'Transfer Engine'!$C$2:$C$1960,0)),"",INDEX('Compliance Database'!$E$2:$E$1960,MATCH(1867,'Transfer Engine'!$C$2:$C$1960,0)))</f>
        <v/>
      </c>
      <c r="F1876" s="8">
        <f>IF(ISNA(MATCH(1867,'Transfer Engine'!$C$2:$C$1960,0)),"",INDEX('Compliance Database'!$F$2:$F$1960,MATCH(1867,'Transfer Engine'!$C$2:$C$1960,0)))</f>
        <v/>
      </c>
      <c r="G1876" s="8">
        <f>IF(ISNA(MATCH(1867,'Transfer Engine'!$C$2:$C$1960,0)),"",INDEX('Compliance Database'!$G$2:$G$1960,MATCH(1867,'Transfer Engine'!$C$2:$C$1960,0)))</f>
        <v/>
      </c>
      <c r="H1876" s="9">
        <f>IF(ISNA(MATCH(1867,'Transfer Engine'!$C$2:$C$1960,0)),"",INDEX('Compliance Database'!$H$2:$H$1960,MATCH(1867,'Transfer Engine'!$C$2:$C$1960,0)))</f>
        <v/>
      </c>
      <c r="I1876" s="9">
        <f>IF(ISNA(MATCH(1867,'Transfer Engine'!$C$2:$C$1960,0)),"",INDEX('Compliance Database'!$I$2:$I$1960,MATCH(1867,'Transfer Engine'!$C$2:$C$1960,0)))</f>
        <v/>
      </c>
      <c r="J1876" s="8">
        <f>IF(ISNA(MATCH(1867,'Transfer Engine'!$C$2:$C$1960,0)),"",INDEX('Compliance Database'!$J$2:$J$1960,MATCH(1867,'Transfer Engine'!$C$2:$C$1960,0)))</f>
        <v/>
      </c>
      <c r="K1876" s="9">
        <f>IF(ISNA(MATCH(1867,'Transfer Engine'!$C$2:$C$1960,0)),"",INDEX('Compliance Database'!$K$2:$K$1960,MATCH(1867,'Transfer Engine'!$C$2:$C$1960,0)))</f>
        <v/>
      </c>
      <c r="L1876" s="9">
        <f>IF(ISNA(MATCH(1867,'Transfer Engine'!$C$2:$C$1960,0)),"",INDEX('Compliance Database'!$L$2:$L$1960,MATCH(1867,'Transfer Engine'!$C$2:$C$1960,0)))</f>
        <v/>
      </c>
      <c r="M1876" s="9">
        <f>IF(ISNA(MATCH(1867,'Transfer Engine'!$C$2:$C$1960,0)),"",INDEX('Compliance Database'!$M$2:$M$1960,MATCH(1867,'Transfer Engine'!$C$2:$C$1960,0)))</f>
        <v/>
      </c>
      <c r="N1876" s="9">
        <f>IF(ISNA(MATCH(1867,'Transfer Engine'!$C$2:$C$1960,0)),"",INDEX('Compliance Database'!$N$2:$N$1960,MATCH(1867,'Transfer Engine'!$C$2:$C$1960,0)))</f>
        <v/>
      </c>
      <c r="O1876" s="9">
        <f>IF(ISNA(MATCH(1867,'Transfer Engine'!$C$2:$C$1960,0)),"",INDEX('Compliance Database'!$O$2:$O$1960,MATCH(1867,'Transfer Engine'!$C$2:$C$1960,0)))</f>
        <v/>
      </c>
      <c r="P1876" s="8">
        <f>IF(ISNA(MATCH(1867,'Transfer Engine'!$C$2:$C$1960,0)),"",HYPERLINK("#Acts!A"&amp;INDEX('Compliance Database'!$P$2:$P$1960,MATCH(1867,'Transfer Engine'!$C$2:$C$1960,0)),"Go to Act"))</f>
        <v/>
      </c>
    </row>
    <row r="1877" ht="158" customHeight="1">
      <c r="A1877" s="8">
        <f>IF(ISNA(MATCH(1868,'Transfer Engine'!$C$2:$C$1960,0)),"",INDEX('Compliance Database'!$A$2:$A$1960,MATCH(1868,'Transfer Engine'!$C$2:$C$1960,0)))</f>
        <v/>
      </c>
      <c r="B1877" s="8">
        <f>IF(ISNA(MATCH(1868,'Transfer Engine'!$C$2:$C$1960,0)),"",INDEX('Compliance Database'!$B$2:$B$1960,MATCH(1868,'Transfer Engine'!$C$2:$C$1960,0)))</f>
        <v/>
      </c>
      <c r="C1877" s="8">
        <f>IF(ISNA(MATCH(1868,'Transfer Engine'!$C$2:$C$1960,0)),"",INDEX('Compliance Database'!$C$2:$C$1960,MATCH(1868,'Transfer Engine'!$C$2:$C$1960,0)))</f>
        <v/>
      </c>
      <c r="D1877" s="9">
        <f>IF(ISNA(MATCH(1868,'Transfer Engine'!$C$2:$C$1960,0)),"",INDEX('Compliance Database'!$D$2:$D$1960,MATCH(1868,'Transfer Engine'!$C$2:$C$1960,0)))</f>
        <v/>
      </c>
      <c r="E1877" s="8">
        <f>IF(ISNA(MATCH(1868,'Transfer Engine'!$C$2:$C$1960,0)),"",INDEX('Compliance Database'!$E$2:$E$1960,MATCH(1868,'Transfer Engine'!$C$2:$C$1960,0)))</f>
        <v/>
      </c>
      <c r="F1877" s="8">
        <f>IF(ISNA(MATCH(1868,'Transfer Engine'!$C$2:$C$1960,0)),"",INDEX('Compliance Database'!$F$2:$F$1960,MATCH(1868,'Transfer Engine'!$C$2:$C$1960,0)))</f>
        <v/>
      </c>
      <c r="G1877" s="8">
        <f>IF(ISNA(MATCH(1868,'Transfer Engine'!$C$2:$C$1960,0)),"",INDEX('Compliance Database'!$G$2:$G$1960,MATCH(1868,'Transfer Engine'!$C$2:$C$1960,0)))</f>
        <v/>
      </c>
      <c r="H1877" s="9">
        <f>IF(ISNA(MATCH(1868,'Transfer Engine'!$C$2:$C$1960,0)),"",INDEX('Compliance Database'!$H$2:$H$1960,MATCH(1868,'Transfer Engine'!$C$2:$C$1960,0)))</f>
        <v/>
      </c>
      <c r="I1877" s="9">
        <f>IF(ISNA(MATCH(1868,'Transfer Engine'!$C$2:$C$1960,0)),"",INDEX('Compliance Database'!$I$2:$I$1960,MATCH(1868,'Transfer Engine'!$C$2:$C$1960,0)))</f>
        <v/>
      </c>
      <c r="J1877" s="8">
        <f>IF(ISNA(MATCH(1868,'Transfer Engine'!$C$2:$C$1960,0)),"",INDEX('Compliance Database'!$J$2:$J$1960,MATCH(1868,'Transfer Engine'!$C$2:$C$1960,0)))</f>
        <v/>
      </c>
      <c r="K1877" s="9">
        <f>IF(ISNA(MATCH(1868,'Transfer Engine'!$C$2:$C$1960,0)),"",INDEX('Compliance Database'!$K$2:$K$1960,MATCH(1868,'Transfer Engine'!$C$2:$C$1960,0)))</f>
        <v/>
      </c>
      <c r="L1877" s="9">
        <f>IF(ISNA(MATCH(1868,'Transfer Engine'!$C$2:$C$1960,0)),"",INDEX('Compliance Database'!$L$2:$L$1960,MATCH(1868,'Transfer Engine'!$C$2:$C$1960,0)))</f>
        <v/>
      </c>
      <c r="M1877" s="9">
        <f>IF(ISNA(MATCH(1868,'Transfer Engine'!$C$2:$C$1960,0)),"",INDEX('Compliance Database'!$M$2:$M$1960,MATCH(1868,'Transfer Engine'!$C$2:$C$1960,0)))</f>
        <v/>
      </c>
      <c r="N1877" s="9">
        <f>IF(ISNA(MATCH(1868,'Transfer Engine'!$C$2:$C$1960,0)),"",INDEX('Compliance Database'!$N$2:$N$1960,MATCH(1868,'Transfer Engine'!$C$2:$C$1960,0)))</f>
        <v/>
      </c>
      <c r="O1877" s="9">
        <f>IF(ISNA(MATCH(1868,'Transfer Engine'!$C$2:$C$1960,0)),"",INDEX('Compliance Database'!$O$2:$O$1960,MATCH(1868,'Transfer Engine'!$C$2:$C$1960,0)))</f>
        <v/>
      </c>
      <c r="P1877" s="8">
        <f>IF(ISNA(MATCH(1868,'Transfer Engine'!$C$2:$C$1960,0)),"",HYPERLINK("#Acts!A"&amp;INDEX('Compliance Database'!$P$2:$P$1960,MATCH(1868,'Transfer Engine'!$C$2:$C$1960,0)),"Go to Act"))</f>
        <v/>
      </c>
    </row>
    <row r="1878" ht="158" customHeight="1">
      <c r="A1878" s="8">
        <f>IF(ISNA(MATCH(1869,'Transfer Engine'!$C$2:$C$1960,0)),"",INDEX('Compliance Database'!$A$2:$A$1960,MATCH(1869,'Transfer Engine'!$C$2:$C$1960,0)))</f>
        <v/>
      </c>
      <c r="B1878" s="8">
        <f>IF(ISNA(MATCH(1869,'Transfer Engine'!$C$2:$C$1960,0)),"",INDEX('Compliance Database'!$B$2:$B$1960,MATCH(1869,'Transfer Engine'!$C$2:$C$1960,0)))</f>
        <v/>
      </c>
      <c r="C1878" s="8">
        <f>IF(ISNA(MATCH(1869,'Transfer Engine'!$C$2:$C$1960,0)),"",INDEX('Compliance Database'!$C$2:$C$1960,MATCH(1869,'Transfer Engine'!$C$2:$C$1960,0)))</f>
        <v/>
      </c>
      <c r="D1878" s="9">
        <f>IF(ISNA(MATCH(1869,'Transfer Engine'!$C$2:$C$1960,0)),"",INDEX('Compliance Database'!$D$2:$D$1960,MATCH(1869,'Transfer Engine'!$C$2:$C$1960,0)))</f>
        <v/>
      </c>
      <c r="E1878" s="8">
        <f>IF(ISNA(MATCH(1869,'Transfer Engine'!$C$2:$C$1960,0)),"",INDEX('Compliance Database'!$E$2:$E$1960,MATCH(1869,'Transfer Engine'!$C$2:$C$1960,0)))</f>
        <v/>
      </c>
      <c r="F1878" s="8">
        <f>IF(ISNA(MATCH(1869,'Transfer Engine'!$C$2:$C$1960,0)),"",INDEX('Compliance Database'!$F$2:$F$1960,MATCH(1869,'Transfer Engine'!$C$2:$C$1960,0)))</f>
        <v/>
      </c>
      <c r="G1878" s="8">
        <f>IF(ISNA(MATCH(1869,'Transfer Engine'!$C$2:$C$1960,0)),"",INDEX('Compliance Database'!$G$2:$G$1960,MATCH(1869,'Transfer Engine'!$C$2:$C$1960,0)))</f>
        <v/>
      </c>
      <c r="H1878" s="9">
        <f>IF(ISNA(MATCH(1869,'Transfer Engine'!$C$2:$C$1960,0)),"",INDEX('Compliance Database'!$H$2:$H$1960,MATCH(1869,'Transfer Engine'!$C$2:$C$1960,0)))</f>
        <v/>
      </c>
      <c r="I1878" s="9">
        <f>IF(ISNA(MATCH(1869,'Transfer Engine'!$C$2:$C$1960,0)),"",INDEX('Compliance Database'!$I$2:$I$1960,MATCH(1869,'Transfer Engine'!$C$2:$C$1960,0)))</f>
        <v/>
      </c>
      <c r="J1878" s="8">
        <f>IF(ISNA(MATCH(1869,'Transfer Engine'!$C$2:$C$1960,0)),"",INDEX('Compliance Database'!$J$2:$J$1960,MATCH(1869,'Transfer Engine'!$C$2:$C$1960,0)))</f>
        <v/>
      </c>
      <c r="K1878" s="9">
        <f>IF(ISNA(MATCH(1869,'Transfer Engine'!$C$2:$C$1960,0)),"",INDEX('Compliance Database'!$K$2:$K$1960,MATCH(1869,'Transfer Engine'!$C$2:$C$1960,0)))</f>
        <v/>
      </c>
      <c r="L1878" s="9">
        <f>IF(ISNA(MATCH(1869,'Transfer Engine'!$C$2:$C$1960,0)),"",INDEX('Compliance Database'!$L$2:$L$1960,MATCH(1869,'Transfer Engine'!$C$2:$C$1960,0)))</f>
        <v/>
      </c>
      <c r="M1878" s="9">
        <f>IF(ISNA(MATCH(1869,'Transfer Engine'!$C$2:$C$1960,0)),"",INDEX('Compliance Database'!$M$2:$M$1960,MATCH(1869,'Transfer Engine'!$C$2:$C$1960,0)))</f>
        <v/>
      </c>
      <c r="N1878" s="9">
        <f>IF(ISNA(MATCH(1869,'Transfer Engine'!$C$2:$C$1960,0)),"",INDEX('Compliance Database'!$N$2:$N$1960,MATCH(1869,'Transfer Engine'!$C$2:$C$1960,0)))</f>
        <v/>
      </c>
      <c r="O1878" s="9">
        <f>IF(ISNA(MATCH(1869,'Transfer Engine'!$C$2:$C$1960,0)),"",INDEX('Compliance Database'!$O$2:$O$1960,MATCH(1869,'Transfer Engine'!$C$2:$C$1960,0)))</f>
        <v/>
      </c>
      <c r="P1878" s="8">
        <f>IF(ISNA(MATCH(1869,'Transfer Engine'!$C$2:$C$1960,0)),"",HYPERLINK("#Acts!A"&amp;INDEX('Compliance Database'!$P$2:$P$1960,MATCH(1869,'Transfer Engine'!$C$2:$C$1960,0)),"Go to Act"))</f>
        <v/>
      </c>
    </row>
    <row r="1879" ht="158" customHeight="1">
      <c r="A1879" s="8">
        <f>IF(ISNA(MATCH(1870,'Transfer Engine'!$C$2:$C$1960,0)),"",INDEX('Compliance Database'!$A$2:$A$1960,MATCH(1870,'Transfer Engine'!$C$2:$C$1960,0)))</f>
        <v/>
      </c>
      <c r="B1879" s="8">
        <f>IF(ISNA(MATCH(1870,'Transfer Engine'!$C$2:$C$1960,0)),"",INDEX('Compliance Database'!$B$2:$B$1960,MATCH(1870,'Transfer Engine'!$C$2:$C$1960,0)))</f>
        <v/>
      </c>
      <c r="C1879" s="8">
        <f>IF(ISNA(MATCH(1870,'Transfer Engine'!$C$2:$C$1960,0)),"",INDEX('Compliance Database'!$C$2:$C$1960,MATCH(1870,'Transfer Engine'!$C$2:$C$1960,0)))</f>
        <v/>
      </c>
      <c r="D1879" s="9">
        <f>IF(ISNA(MATCH(1870,'Transfer Engine'!$C$2:$C$1960,0)),"",INDEX('Compliance Database'!$D$2:$D$1960,MATCH(1870,'Transfer Engine'!$C$2:$C$1960,0)))</f>
        <v/>
      </c>
      <c r="E1879" s="8">
        <f>IF(ISNA(MATCH(1870,'Transfer Engine'!$C$2:$C$1960,0)),"",INDEX('Compliance Database'!$E$2:$E$1960,MATCH(1870,'Transfer Engine'!$C$2:$C$1960,0)))</f>
        <v/>
      </c>
      <c r="F1879" s="8">
        <f>IF(ISNA(MATCH(1870,'Transfer Engine'!$C$2:$C$1960,0)),"",INDEX('Compliance Database'!$F$2:$F$1960,MATCH(1870,'Transfer Engine'!$C$2:$C$1960,0)))</f>
        <v/>
      </c>
      <c r="G1879" s="8">
        <f>IF(ISNA(MATCH(1870,'Transfer Engine'!$C$2:$C$1960,0)),"",INDEX('Compliance Database'!$G$2:$G$1960,MATCH(1870,'Transfer Engine'!$C$2:$C$1960,0)))</f>
        <v/>
      </c>
      <c r="H1879" s="9">
        <f>IF(ISNA(MATCH(1870,'Transfer Engine'!$C$2:$C$1960,0)),"",INDEX('Compliance Database'!$H$2:$H$1960,MATCH(1870,'Transfer Engine'!$C$2:$C$1960,0)))</f>
        <v/>
      </c>
      <c r="I1879" s="9">
        <f>IF(ISNA(MATCH(1870,'Transfer Engine'!$C$2:$C$1960,0)),"",INDEX('Compliance Database'!$I$2:$I$1960,MATCH(1870,'Transfer Engine'!$C$2:$C$1960,0)))</f>
        <v/>
      </c>
      <c r="J1879" s="8">
        <f>IF(ISNA(MATCH(1870,'Transfer Engine'!$C$2:$C$1960,0)),"",INDEX('Compliance Database'!$J$2:$J$1960,MATCH(1870,'Transfer Engine'!$C$2:$C$1960,0)))</f>
        <v/>
      </c>
      <c r="K1879" s="9">
        <f>IF(ISNA(MATCH(1870,'Transfer Engine'!$C$2:$C$1960,0)),"",INDEX('Compliance Database'!$K$2:$K$1960,MATCH(1870,'Transfer Engine'!$C$2:$C$1960,0)))</f>
        <v/>
      </c>
      <c r="L1879" s="9">
        <f>IF(ISNA(MATCH(1870,'Transfer Engine'!$C$2:$C$1960,0)),"",INDEX('Compliance Database'!$L$2:$L$1960,MATCH(1870,'Transfer Engine'!$C$2:$C$1960,0)))</f>
        <v/>
      </c>
      <c r="M1879" s="9">
        <f>IF(ISNA(MATCH(1870,'Transfer Engine'!$C$2:$C$1960,0)),"",INDEX('Compliance Database'!$M$2:$M$1960,MATCH(1870,'Transfer Engine'!$C$2:$C$1960,0)))</f>
        <v/>
      </c>
      <c r="N1879" s="9">
        <f>IF(ISNA(MATCH(1870,'Transfer Engine'!$C$2:$C$1960,0)),"",INDEX('Compliance Database'!$N$2:$N$1960,MATCH(1870,'Transfer Engine'!$C$2:$C$1960,0)))</f>
        <v/>
      </c>
      <c r="O1879" s="9">
        <f>IF(ISNA(MATCH(1870,'Transfer Engine'!$C$2:$C$1960,0)),"",INDEX('Compliance Database'!$O$2:$O$1960,MATCH(1870,'Transfer Engine'!$C$2:$C$1960,0)))</f>
        <v/>
      </c>
      <c r="P1879" s="8">
        <f>IF(ISNA(MATCH(1870,'Transfer Engine'!$C$2:$C$1960,0)),"",HYPERLINK("#Acts!A"&amp;INDEX('Compliance Database'!$P$2:$P$1960,MATCH(1870,'Transfer Engine'!$C$2:$C$1960,0)),"Go to Act"))</f>
        <v/>
      </c>
    </row>
    <row r="1880" ht="158" customHeight="1">
      <c r="A1880" s="8">
        <f>IF(ISNA(MATCH(1871,'Transfer Engine'!$C$2:$C$1960,0)),"",INDEX('Compliance Database'!$A$2:$A$1960,MATCH(1871,'Transfer Engine'!$C$2:$C$1960,0)))</f>
        <v/>
      </c>
      <c r="B1880" s="8">
        <f>IF(ISNA(MATCH(1871,'Transfer Engine'!$C$2:$C$1960,0)),"",INDEX('Compliance Database'!$B$2:$B$1960,MATCH(1871,'Transfer Engine'!$C$2:$C$1960,0)))</f>
        <v/>
      </c>
      <c r="C1880" s="8">
        <f>IF(ISNA(MATCH(1871,'Transfer Engine'!$C$2:$C$1960,0)),"",INDEX('Compliance Database'!$C$2:$C$1960,MATCH(1871,'Transfer Engine'!$C$2:$C$1960,0)))</f>
        <v/>
      </c>
      <c r="D1880" s="9">
        <f>IF(ISNA(MATCH(1871,'Transfer Engine'!$C$2:$C$1960,0)),"",INDEX('Compliance Database'!$D$2:$D$1960,MATCH(1871,'Transfer Engine'!$C$2:$C$1960,0)))</f>
        <v/>
      </c>
      <c r="E1880" s="8">
        <f>IF(ISNA(MATCH(1871,'Transfer Engine'!$C$2:$C$1960,0)),"",INDEX('Compliance Database'!$E$2:$E$1960,MATCH(1871,'Transfer Engine'!$C$2:$C$1960,0)))</f>
        <v/>
      </c>
      <c r="F1880" s="8">
        <f>IF(ISNA(MATCH(1871,'Transfer Engine'!$C$2:$C$1960,0)),"",INDEX('Compliance Database'!$F$2:$F$1960,MATCH(1871,'Transfer Engine'!$C$2:$C$1960,0)))</f>
        <v/>
      </c>
      <c r="G1880" s="8">
        <f>IF(ISNA(MATCH(1871,'Transfer Engine'!$C$2:$C$1960,0)),"",INDEX('Compliance Database'!$G$2:$G$1960,MATCH(1871,'Transfer Engine'!$C$2:$C$1960,0)))</f>
        <v/>
      </c>
      <c r="H1880" s="9">
        <f>IF(ISNA(MATCH(1871,'Transfer Engine'!$C$2:$C$1960,0)),"",INDEX('Compliance Database'!$H$2:$H$1960,MATCH(1871,'Transfer Engine'!$C$2:$C$1960,0)))</f>
        <v/>
      </c>
      <c r="I1880" s="9">
        <f>IF(ISNA(MATCH(1871,'Transfer Engine'!$C$2:$C$1960,0)),"",INDEX('Compliance Database'!$I$2:$I$1960,MATCH(1871,'Transfer Engine'!$C$2:$C$1960,0)))</f>
        <v/>
      </c>
      <c r="J1880" s="8">
        <f>IF(ISNA(MATCH(1871,'Transfer Engine'!$C$2:$C$1960,0)),"",INDEX('Compliance Database'!$J$2:$J$1960,MATCH(1871,'Transfer Engine'!$C$2:$C$1960,0)))</f>
        <v/>
      </c>
      <c r="K1880" s="9">
        <f>IF(ISNA(MATCH(1871,'Transfer Engine'!$C$2:$C$1960,0)),"",INDEX('Compliance Database'!$K$2:$K$1960,MATCH(1871,'Transfer Engine'!$C$2:$C$1960,0)))</f>
        <v/>
      </c>
      <c r="L1880" s="9">
        <f>IF(ISNA(MATCH(1871,'Transfer Engine'!$C$2:$C$1960,0)),"",INDEX('Compliance Database'!$L$2:$L$1960,MATCH(1871,'Transfer Engine'!$C$2:$C$1960,0)))</f>
        <v/>
      </c>
      <c r="M1880" s="9">
        <f>IF(ISNA(MATCH(1871,'Transfer Engine'!$C$2:$C$1960,0)),"",INDEX('Compliance Database'!$M$2:$M$1960,MATCH(1871,'Transfer Engine'!$C$2:$C$1960,0)))</f>
        <v/>
      </c>
      <c r="N1880" s="9">
        <f>IF(ISNA(MATCH(1871,'Transfer Engine'!$C$2:$C$1960,0)),"",INDEX('Compliance Database'!$N$2:$N$1960,MATCH(1871,'Transfer Engine'!$C$2:$C$1960,0)))</f>
        <v/>
      </c>
      <c r="O1880" s="9">
        <f>IF(ISNA(MATCH(1871,'Transfer Engine'!$C$2:$C$1960,0)),"",INDEX('Compliance Database'!$O$2:$O$1960,MATCH(1871,'Transfer Engine'!$C$2:$C$1960,0)))</f>
        <v/>
      </c>
      <c r="P1880" s="8">
        <f>IF(ISNA(MATCH(1871,'Transfer Engine'!$C$2:$C$1960,0)),"",HYPERLINK("#Acts!A"&amp;INDEX('Compliance Database'!$P$2:$P$1960,MATCH(1871,'Transfer Engine'!$C$2:$C$1960,0)),"Go to Act"))</f>
        <v/>
      </c>
    </row>
    <row r="1881" ht="158" customHeight="1">
      <c r="A1881" s="8">
        <f>IF(ISNA(MATCH(1872,'Transfer Engine'!$C$2:$C$1960,0)),"",INDEX('Compliance Database'!$A$2:$A$1960,MATCH(1872,'Transfer Engine'!$C$2:$C$1960,0)))</f>
        <v/>
      </c>
      <c r="B1881" s="8">
        <f>IF(ISNA(MATCH(1872,'Transfer Engine'!$C$2:$C$1960,0)),"",INDEX('Compliance Database'!$B$2:$B$1960,MATCH(1872,'Transfer Engine'!$C$2:$C$1960,0)))</f>
        <v/>
      </c>
      <c r="C1881" s="8">
        <f>IF(ISNA(MATCH(1872,'Transfer Engine'!$C$2:$C$1960,0)),"",INDEX('Compliance Database'!$C$2:$C$1960,MATCH(1872,'Transfer Engine'!$C$2:$C$1960,0)))</f>
        <v/>
      </c>
      <c r="D1881" s="9">
        <f>IF(ISNA(MATCH(1872,'Transfer Engine'!$C$2:$C$1960,0)),"",INDEX('Compliance Database'!$D$2:$D$1960,MATCH(1872,'Transfer Engine'!$C$2:$C$1960,0)))</f>
        <v/>
      </c>
      <c r="E1881" s="8">
        <f>IF(ISNA(MATCH(1872,'Transfer Engine'!$C$2:$C$1960,0)),"",INDEX('Compliance Database'!$E$2:$E$1960,MATCH(1872,'Transfer Engine'!$C$2:$C$1960,0)))</f>
        <v/>
      </c>
      <c r="F1881" s="8">
        <f>IF(ISNA(MATCH(1872,'Transfer Engine'!$C$2:$C$1960,0)),"",INDEX('Compliance Database'!$F$2:$F$1960,MATCH(1872,'Transfer Engine'!$C$2:$C$1960,0)))</f>
        <v/>
      </c>
      <c r="G1881" s="8">
        <f>IF(ISNA(MATCH(1872,'Transfer Engine'!$C$2:$C$1960,0)),"",INDEX('Compliance Database'!$G$2:$G$1960,MATCH(1872,'Transfer Engine'!$C$2:$C$1960,0)))</f>
        <v/>
      </c>
      <c r="H1881" s="9">
        <f>IF(ISNA(MATCH(1872,'Transfer Engine'!$C$2:$C$1960,0)),"",INDEX('Compliance Database'!$H$2:$H$1960,MATCH(1872,'Transfer Engine'!$C$2:$C$1960,0)))</f>
        <v/>
      </c>
      <c r="I1881" s="9">
        <f>IF(ISNA(MATCH(1872,'Transfer Engine'!$C$2:$C$1960,0)),"",INDEX('Compliance Database'!$I$2:$I$1960,MATCH(1872,'Transfer Engine'!$C$2:$C$1960,0)))</f>
        <v/>
      </c>
      <c r="J1881" s="8">
        <f>IF(ISNA(MATCH(1872,'Transfer Engine'!$C$2:$C$1960,0)),"",INDEX('Compliance Database'!$J$2:$J$1960,MATCH(1872,'Transfer Engine'!$C$2:$C$1960,0)))</f>
        <v/>
      </c>
      <c r="K1881" s="9">
        <f>IF(ISNA(MATCH(1872,'Transfer Engine'!$C$2:$C$1960,0)),"",INDEX('Compliance Database'!$K$2:$K$1960,MATCH(1872,'Transfer Engine'!$C$2:$C$1960,0)))</f>
        <v/>
      </c>
      <c r="L1881" s="9">
        <f>IF(ISNA(MATCH(1872,'Transfer Engine'!$C$2:$C$1960,0)),"",INDEX('Compliance Database'!$L$2:$L$1960,MATCH(1872,'Transfer Engine'!$C$2:$C$1960,0)))</f>
        <v/>
      </c>
      <c r="M1881" s="9">
        <f>IF(ISNA(MATCH(1872,'Transfer Engine'!$C$2:$C$1960,0)),"",INDEX('Compliance Database'!$M$2:$M$1960,MATCH(1872,'Transfer Engine'!$C$2:$C$1960,0)))</f>
        <v/>
      </c>
      <c r="N1881" s="9">
        <f>IF(ISNA(MATCH(1872,'Transfer Engine'!$C$2:$C$1960,0)),"",INDEX('Compliance Database'!$N$2:$N$1960,MATCH(1872,'Transfer Engine'!$C$2:$C$1960,0)))</f>
        <v/>
      </c>
      <c r="O1881" s="9">
        <f>IF(ISNA(MATCH(1872,'Transfer Engine'!$C$2:$C$1960,0)),"",INDEX('Compliance Database'!$O$2:$O$1960,MATCH(1872,'Transfer Engine'!$C$2:$C$1960,0)))</f>
        <v/>
      </c>
      <c r="P1881" s="8">
        <f>IF(ISNA(MATCH(1872,'Transfer Engine'!$C$2:$C$1960,0)),"",HYPERLINK("#Acts!A"&amp;INDEX('Compliance Database'!$P$2:$P$1960,MATCH(1872,'Transfer Engine'!$C$2:$C$1960,0)),"Go to Act"))</f>
        <v/>
      </c>
    </row>
    <row r="1882" ht="158" customHeight="1">
      <c r="A1882" s="8">
        <f>IF(ISNA(MATCH(1873,'Transfer Engine'!$C$2:$C$1960,0)),"",INDEX('Compliance Database'!$A$2:$A$1960,MATCH(1873,'Transfer Engine'!$C$2:$C$1960,0)))</f>
        <v/>
      </c>
      <c r="B1882" s="8">
        <f>IF(ISNA(MATCH(1873,'Transfer Engine'!$C$2:$C$1960,0)),"",INDEX('Compliance Database'!$B$2:$B$1960,MATCH(1873,'Transfer Engine'!$C$2:$C$1960,0)))</f>
        <v/>
      </c>
      <c r="C1882" s="8">
        <f>IF(ISNA(MATCH(1873,'Transfer Engine'!$C$2:$C$1960,0)),"",INDEX('Compliance Database'!$C$2:$C$1960,MATCH(1873,'Transfer Engine'!$C$2:$C$1960,0)))</f>
        <v/>
      </c>
      <c r="D1882" s="9">
        <f>IF(ISNA(MATCH(1873,'Transfer Engine'!$C$2:$C$1960,0)),"",INDEX('Compliance Database'!$D$2:$D$1960,MATCH(1873,'Transfer Engine'!$C$2:$C$1960,0)))</f>
        <v/>
      </c>
      <c r="E1882" s="8">
        <f>IF(ISNA(MATCH(1873,'Transfer Engine'!$C$2:$C$1960,0)),"",INDEX('Compliance Database'!$E$2:$E$1960,MATCH(1873,'Transfer Engine'!$C$2:$C$1960,0)))</f>
        <v/>
      </c>
      <c r="F1882" s="8">
        <f>IF(ISNA(MATCH(1873,'Transfer Engine'!$C$2:$C$1960,0)),"",INDEX('Compliance Database'!$F$2:$F$1960,MATCH(1873,'Transfer Engine'!$C$2:$C$1960,0)))</f>
        <v/>
      </c>
      <c r="G1882" s="8">
        <f>IF(ISNA(MATCH(1873,'Transfer Engine'!$C$2:$C$1960,0)),"",INDEX('Compliance Database'!$G$2:$G$1960,MATCH(1873,'Transfer Engine'!$C$2:$C$1960,0)))</f>
        <v/>
      </c>
      <c r="H1882" s="9">
        <f>IF(ISNA(MATCH(1873,'Transfer Engine'!$C$2:$C$1960,0)),"",INDEX('Compliance Database'!$H$2:$H$1960,MATCH(1873,'Transfer Engine'!$C$2:$C$1960,0)))</f>
        <v/>
      </c>
      <c r="I1882" s="9">
        <f>IF(ISNA(MATCH(1873,'Transfer Engine'!$C$2:$C$1960,0)),"",INDEX('Compliance Database'!$I$2:$I$1960,MATCH(1873,'Transfer Engine'!$C$2:$C$1960,0)))</f>
        <v/>
      </c>
      <c r="J1882" s="8">
        <f>IF(ISNA(MATCH(1873,'Transfer Engine'!$C$2:$C$1960,0)),"",INDEX('Compliance Database'!$J$2:$J$1960,MATCH(1873,'Transfer Engine'!$C$2:$C$1960,0)))</f>
        <v/>
      </c>
      <c r="K1882" s="9">
        <f>IF(ISNA(MATCH(1873,'Transfer Engine'!$C$2:$C$1960,0)),"",INDEX('Compliance Database'!$K$2:$K$1960,MATCH(1873,'Transfer Engine'!$C$2:$C$1960,0)))</f>
        <v/>
      </c>
      <c r="L1882" s="9">
        <f>IF(ISNA(MATCH(1873,'Transfer Engine'!$C$2:$C$1960,0)),"",INDEX('Compliance Database'!$L$2:$L$1960,MATCH(1873,'Transfer Engine'!$C$2:$C$1960,0)))</f>
        <v/>
      </c>
      <c r="M1882" s="9">
        <f>IF(ISNA(MATCH(1873,'Transfer Engine'!$C$2:$C$1960,0)),"",INDEX('Compliance Database'!$M$2:$M$1960,MATCH(1873,'Transfer Engine'!$C$2:$C$1960,0)))</f>
        <v/>
      </c>
      <c r="N1882" s="9">
        <f>IF(ISNA(MATCH(1873,'Transfer Engine'!$C$2:$C$1960,0)),"",INDEX('Compliance Database'!$N$2:$N$1960,MATCH(1873,'Transfer Engine'!$C$2:$C$1960,0)))</f>
        <v/>
      </c>
      <c r="O1882" s="9">
        <f>IF(ISNA(MATCH(1873,'Transfer Engine'!$C$2:$C$1960,0)),"",INDEX('Compliance Database'!$O$2:$O$1960,MATCH(1873,'Transfer Engine'!$C$2:$C$1960,0)))</f>
        <v/>
      </c>
      <c r="P1882" s="8">
        <f>IF(ISNA(MATCH(1873,'Transfer Engine'!$C$2:$C$1960,0)),"",HYPERLINK("#Acts!A"&amp;INDEX('Compliance Database'!$P$2:$P$1960,MATCH(1873,'Transfer Engine'!$C$2:$C$1960,0)),"Go to Act"))</f>
        <v/>
      </c>
    </row>
    <row r="1883" ht="158" customHeight="1">
      <c r="A1883" s="8">
        <f>IF(ISNA(MATCH(1874,'Transfer Engine'!$C$2:$C$1960,0)),"",INDEX('Compliance Database'!$A$2:$A$1960,MATCH(1874,'Transfer Engine'!$C$2:$C$1960,0)))</f>
        <v/>
      </c>
      <c r="B1883" s="8">
        <f>IF(ISNA(MATCH(1874,'Transfer Engine'!$C$2:$C$1960,0)),"",INDEX('Compliance Database'!$B$2:$B$1960,MATCH(1874,'Transfer Engine'!$C$2:$C$1960,0)))</f>
        <v/>
      </c>
      <c r="C1883" s="8">
        <f>IF(ISNA(MATCH(1874,'Transfer Engine'!$C$2:$C$1960,0)),"",INDEX('Compliance Database'!$C$2:$C$1960,MATCH(1874,'Transfer Engine'!$C$2:$C$1960,0)))</f>
        <v/>
      </c>
      <c r="D1883" s="9">
        <f>IF(ISNA(MATCH(1874,'Transfer Engine'!$C$2:$C$1960,0)),"",INDEX('Compliance Database'!$D$2:$D$1960,MATCH(1874,'Transfer Engine'!$C$2:$C$1960,0)))</f>
        <v/>
      </c>
      <c r="E1883" s="8">
        <f>IF(ISNA(MATCH(1874,'Transfer Engine'!$C$2:$C$1960,0)),"",INDEX('Compliance Database'!$E$2:$E$1960,MATCH(1874,'Transfer Engine'!$C$2:$C$1960,0)))</f>
        <v/>
      </c>
      <c r="F1883" s="8">
        <f>IF(ISNA(MATCH(1874,'Transfer Engine'!$C$2:$C$1960,0)),"",INDEX('Compliance Database'!$F$2:$F$1960,MATCH(1874,'Transfer Engine'!$C$2:$C$1960,0)))</f>
        <v/>
      </c>
      <c r="G1883" s="8">
        <f>IF(ISNA(MATCH(1874,'Transfer Engine'!$C$2:$C$1960,0)),"",INDEX('Compliance Database'!$G$2:$G$1960,MATCH(1874,'Transfer Engine'!$C$2:$C$1960,0)))</f>
        <v/>
      </c>
      <c r="H1883" s="9">
        <f>IF(ISNA(MATCH(1874,'Transfer Engine'!$C$2:$C$1960,0)),"",INDEX('Compliance Database'!$H$2:$H$1960,MATCH(1874,'Transfer Engine'!$C$2:$C$1960,0)))</f>
        <v/>
      </c>
      <c r="I1883" s="9">
        <f>IF(ISNA(MATCH(1874,'Transfer Engine'!$C$2:$C$1960,0)),"",INDEX('Compliance Database'!$I$2:$I$1960,MATCH(1874,'Transfer Engine'!$C$2:$C$1960,0)))</f>
        <v/>
      </c>
      <c r="J1883" s="8">
        <f>IF(ISNA(MATCH(1874,'Transfer Engine'!$C$2:$C$1960,0)),"",INDEX('Compliance Database'!$J$2:$J$1960,MATCH(1874,'Transfer Engine'!$C$2:$C$1960,0)))</f>
        <v/>
      </c>
      <c r="K1883" s="9">
        <f>IF(ISNA(MATCH(1874,'Transfer Engine'!$C$2:$C$1960,0)),"",INDEX('Compliance Database'!$K$2:$K$1960,MATCH(1874,'Transfer Engine'!$C$2:$C$1960,0)))</f>
        <v/>
      </c>
      <c r="L1883" s="9">
        <f>IF(ISNA(MATCH(1874,'Transfer Engine'!$C$2:$C$1960,0)),"",INDEX('Compliance Database'!$L$2:$L$1960,MATCH(1874,'Transfer Engine'!$C$2:$C$1960,0)))</f>
        <v/>
      </c>
      <c r="M1883" s="9">
        <f>IF(ISNA(MATCH(1874,'Transfer Engine'!$C$2:$C$1960,0)),"",INDEX('Compliance Database'!$M$2:$M$1960,MATCH(1874,'Transfer Engine'!$C$2:$C$1960,0)))</f>
        <v/>
      </c>
      <c r="N1883" s="9">
        <f>IF(ISNA(MATCH(1874,'Transfer Engine'!$C$2:$C$1960,0)),"",INDEX('Compliance Database'!$N$2:$N$1960,MATCH(1874,'Transfer Engine'!$C$2:$C$1960,0)))</f>
        <v/>
      </c>
      <c r="O1883" s="9">
        <f>IF(ISNA(MATCH(1874,'Transfer Engine'!$C$2:$C$1960,0)),"",INDEX('Compliance Database'!$O$2:$O$1960,MATCH(1874,'Transfer Engine'!$C$2:$C$1960,0)))</f>
        <v/>
      </c>
      <c r="P1883" s="8">
        <f>IF(ISNA(MATCH(1874,'Transfer Engine'!$C$2:$C$1960,0)),"",HYPERLINK("#Acts!A"&amp;INDEX('Compliance Database'!$P$2:$P$1960,MATCH(1874,'Transfer Engine'!$C$2:$C$1960,0)),"Go to Act"))</f>
        <v/>
      </c>
    </row>
    <row r="1884" ht="158" customHeight="1">
      <c r="A1884" s="8">
        <f>IF(ISNA(MATCH(1875,'Transfer Engine'!$C$2:$C$1960,0)),"",INDEX('Compliance Database'!$A$2:$A$1960,MATCH(1875,'Transfer Engine'!$C$2:$C$1960,0)))</f>
        <v/>
      </c>
      <c r="B1884" s="8">
        <f>IF(ISNA(MATCH(1875,'Transfer Engine'!$C$2:$C$1960,0)),"",INDEX('Compliance Database'!$B$2:$B$1960,MATCH(1875,'Transfer Engine'!$C$2:$C$1960,0)))</f>
        <v/>
      </c>
      <c r="C1884" s="8">
        <f>IF(ISNA(MATCH(1875,'Transfer Engine'!$C$2:$C$1960,0)),"",INDEX('Compliance Database'!$C$2:$C$1960,MATCH(1875,'Transfer Engine'!$C$2:$C$1960,0)))</f>
        <v/>
      </c>
      <c r="D1884" s="9">
        <f>IF(ISNA(MATCH(1875,'Transfer Engine'!$C$2:$C$1960,0)),"",INDEX('Compliance Database'!$D$2:$D$1960,MATCH(1875,'Transfer Engine'!$C$2:$C$1960,0)))</f>
        <v/>
      </c>
      <c r="E1884" s="8">
        <f>IF(ISNA(MATCH(1875,'Transfer Engine'!$C$2:$C$1960,0)),"",INDEX('Compliance Database'!$E$2:$E$1960,MATCH(1875,'Transfer Engine'!$C$2:$C$1960,0)))</f>
        <v/>
      </c>
      <c r="F1884" s="8">
        <f>IF(ISNA(MATCH(1875,'Transfer Engine'!$C$2:$C$1960,0)),"",INDEX('Compliance Database'!$F$2:$F$1960,MATCH(1875,'Transfer Engine'!$C$2:$C$1960,0)))</f>
        <v/>
      </c>
      <c r="G1884" s="8">
        <f>IF(ISNA(MATCH(1875,'Transfer Engine'!$C$2:$C$1960,0)),"",INDEX('Compliance Database'!$G$2:$G$1960,MATCH(1875,'Transfer Engine'!$C$2:$C$1960,0)))</f>
        <v/>
      </c>
      <c r="H1884" s="9">
        <f>IF(ISNA(MATCH(1875,'Transfer Engine'!$C$2:$C$1960,0)),"",INDEX('Compliance Database'!$H$2:$H$1960,MATCH(1875,'Transfer Engine'!$C$2:$C$1960,0)))</f>
        <v/>
      </c>
      <c r="I1884" s="9">
        <f>IF(ISNA(MATCH(1875,'Transfer Engine'!$C$2:$C$1960,0)),"",INDEX('Compliance Database'!$I$2:$I$1960,MATCH(1875,'Transfer Engine'!$C$2:$C$1960,0)))</f>
        <v/>
      </c>
      <c r="J1884" s="8">
        <f>IF(ISNA(MATCH(1875,'Transfer Engine'!$C$2:$C$1960,0)),"",INDEX('Compliance Database'!$J$2:$J$1960,MATCH(1875,'Transfer Engine'!$C$2:$C$1960,0)))</f>
        <v/>
      </c>
      <c r="K1884" s="9">
        <f>IF(ISNA(MATCH(1875,'Transfer Engine'!$C$2:$C$1960,0)),"",INDEX('Compliance Database'!$K$2:$K$1960,MATCH(1875,'Transfer Engine'!$C$2:$C$1960,0)))</f>
        <v/>
      </c>
      <c r="L1884" s="9">
        <f>IF(ISNA(MATCH(1875,'Transfer Engine'!$C$2:$C$1960,0)),"",INDEX('Compliance Database'!$L$2:$L$1960,MATCH(1875,'Transfer Engine'!$C$2:$C$1960,0)))</f>
        <v/>
      </c>
      <c r="M1884" s="9">
        <f>IF(ISNA(MATCH(1875,'Transfer Engine'!$C$2:$C$1960,0)),"",INDEX('Compliance Database'!$M$2:$M$1960,MATCH(1875,'Transfer Engine'!$C$2:$C$1960,0)))</f>
        <v/>
      </c>
      <c r="N1884" s="9">
        <f>IF(ISNA(MATCH(1875,'Transfer Engine'!$C$2:$C$1960,0)),"",INDEX('Compliance Database'!$N$2:$N$1960,MATCH(1875,'Transfer Engine'!$C$2:$C$1960,0)))</f>
        <v/>
      </c>
      <c r="O1884" s="9">
        <f>IF(ISNA(MATCH(1875,'Transfer Engine'!$C$2:$C$1960,0)),"",INDEX('Compliance Database'!$O$2:$O$1960,MATCH(1875,'Transfer Engine'!$C$2:$C$1960,0)))</f>
        <v/>
      </c>
      <c r="P1884" s="8">
        <f>IF(ISNA(MATCH(1875,'Transfer Engine'!$C$2:$C$1960,0)),"",HYPERLINK("#Acts!A"&amp;INDEX('Compliance Database'!$P$2:$P$1960,MATCH(1875,'Transfer Engine'!$C$2:$C$1960,0)),"Go to Act"))</f>
        <v/>
      </c>
    </row>
    <row r="1885" ht="158" customHeight="1">
      <c r="A1885" s="8">
        <f>IF(ISNA(MATCH(1876,'Transfer Engine'!$C$2:$C$1960,0)),"",INDEX('Compliance Database'!$A$2:$A$1960,MATCH(1876,'Transfer Engine'!$C$2:$C$1960,0)))</f>
        <v/>
      </c>
      <c r="B1885" s="8">
        <f>IF(ISNA(MATCH(1876,'Transfer Engine'!$C$2:$C$1960,0)),"",INDEX('Compliance Database'!$B$2:$B$1960,MATCH(1876,'Transfer Engine'!$C$2:$C$1960,0)))</f>
        <v/>
      </c>
      <c r="C1885" s="8">
        <f>IF(ISNA(MATCH(1876,'Transfer Engine'!$C$2:$C$1960,0)),"",INDEX('Compliance Database'!$C$2:$C$1960,MATCH(1876,'Transfer Engine'!$C$2:$C$1960,0)))</f>
        <v/>
      </c>
      <c r="D1885" s="9">
        <f>IF(ISNA(MATCH(1876,'Transfer Engine'!$C$2:$C$1960,0)),"",INDEX('Compliance Database'!$D$2:$D$1960,MATCH(1876,'Transfer Engine'!$C$2:$C$1960,0)))</f>
        <v/>
      </c>
      <c r="E1885" s="8">
        <f>IF(ISNA(MATCH(1876,'Transfer Engine'!$C$2:$C$1960,0)),"",INDEX('Compliance Database'!$E$2:$E$1960,MATCH(1876,'Transfer Engine'!$C$2:$C$1960,0)))</f>
        <v/>
      </c>
      <c r="F1885" s="8">
        <f>IF(ISNA(MATCH(1876,'Transfer Engine'!$C$2:$C$1960,0)),"",INDEX('Compliance Database'!$F$2:$F$1960,MATCH(1876,'Transfer Engine'!$C$2:$C$1960,0)))</f>
        <v/>
      </c>
      <c r="G1885" s="8">
        <f>IF(ISNA(MATCH(1876,'Transfer Engine'!$C$2:$C$1960,0)),"",INDEX('Compliance Database'!$G$2:$G$1960,MATCH(1876,'Transfer Engine'!$C$2:$C$1960,0)))</f>
        <v/>
      </c>
      <c r="H1885" s="9">
        <f>IF(ISNA(MATCH(1876,'Transfer Engine'!$C$2:$C$1960,0)),"",INDEX('Compliance Database'!$H$2:$H$1960,MATCH(1876,'Transfer Engine'!$C$2:$C$1960,0)))</f>
        <v/>
      </c>
      <c r="I1885" s="9">
        <f>IF(ISNA(MATCH(1876,'Transfer Engine'!$C$2:$C$1960,0)),"",INDEX('Compliance Database'!$I$2:$I$1960,MATCH(1876,'Transfer Engine'!$C$2:$C$1960,0)))</f>
        <v/>
      </c>
      <c r="J1885" s="8">
        <f>IF(ISNA(MATCH(1876,'Transfer Engine'!$C$2:$C$1960,0)),"",INDEX('Compliance Database'!$J$2:$J$1960,MATCH(1876,'Transfer Engine'!$C$2:$C$1960,0)))</f>
        <v/>
      </c>
      <c r="K1885" s="9">
        <f>IF(ISNA(MATCH(1876,'Transfer Engine'!$C$2:$C$1960,0)),"",INDEX('Compliance Database'!$K$2:$K$1960,MATCH(1876,'Transfer Engine'!$C$2:$C$1960,0)))</f>
        <v/>
      </c>
      <c r="L1885" s="9">
        <f>IF(ISNA(MATCH(1876,'Transfer Engine'!$C$2:$C$1960,0)),"",INDEX('Compliance Database'!$L$2:$L$1960,MATCH(1876,'Transfer Engine'!$C$2:$C$1960,0)))</f>
        <v/>
      </c>
      <c r="M1885" s="9">
        <f>IF(ISNA(MATCH(1876,'Transfer Engine'!$C$2:$C$1960,0)),"",INDEX('Compliance Database'!$M$2:$M$1960,MATCH(1876,'Transfer Engine'!$C$2:$C$1960,0)))</f>
        <v/>
      </c>
      <c r="N1885" s="9">
        <f>IF(ISNA(MATCH(1876,'Transfer Engine'!$C$2:$C$1960,0)),"",INDEX('Compliance Database'!$N$2:$N$1960,MATCH(1876,'Transfer Engine'!$C$2:$C$1960,0)))</f>
        <v/>
      </c>
      <c r="O1885" s="9">
        <f>IF(ISNA(MATCH(1876,'Transfer Engine'!$C$2:$C$1960,0)),"",INDEX('Compliance Database'!$O$2:$O$1960,MATCH(1876,'Transfer Engine'!$C$2:$C$1960,0)))</f>
        <v/>
      </c>
      <c r="P1885" s="8">
        <f>IF(ISNA(MATCH(1876,'Transfer Engine'!$C$2:$C$1960,0)),"",HYPERLINK("#Acts!A"&amp;INDEX('Compliance Database'!$P$2:$P$1960,MATCH(1876,'Transfer Engine'!$C$2:$C$1960,0)),"Go to Act"))</f>
        <v/>
      </c>
    </row>
    <row r="1886" ht="158" customHeight="1">
      <c r="A1886" s="8">
        <f>IF(ISNA(MATCH(1877,'Transfer Engine'!$C$2:$C$1960,0)),"",INDEX('Compliance Database'!$A$2:$A$1960,MATCH(1877,'Transfer Engine'!$C$2:$C$1960,0)))</f>
        <v/>
      </c>
      <c r="B1886" s="8">
        <f>IF(ISNA(MATCH(1877,'Transfer Engine'!$C$2:$C$1960,0)),"",INDEX('Compliance Database'!$B$2:$B$1960,MATCH(1877,'Transfer Engine'!$C$2:$C$1960,0)))</f>
        <v/>
      </c>
      <c r="C1886" s="8">
        <f>IF(ISNA(MATCH(1877,'Transfer Engine'!$C$2:$C$1960,0)),"",INDEX('Compliance Database'!$C$2:$C$1960,MATCH(1877,'Transfer Engine'!$C$2:$C$1960,0)))</f>
        <v/>
      </c>
      <c r="D1886" s="9">
        <f>IF(ISNA(MATCH(1877,'Transfer Engine'!$C$2:$C$1960,0)),"",INDEX('Compliance Database'!$D$2:$D$1960,MATCH(1877,'Transfer Engine'!$C$2:$C$1960,0)))</f>
        <v/>
      </c>
      <c r="E1886" s="8">
        <f>IF(ISNA(MATCH(1877,'Transfer Engine'!$C$2:$C$1960,0)),"",INDEX('Compliance Database'!$E$2:$E$1960,MATCH(1877,'Transfer Engine'!$C$2:$C$1960,0)))</f>
        <v/>
      </c>
      <c r="F1886" s="8">
        <f>IF(ISNA(MATCH(1877,'Transfer Engine'!$C$2:$C$1960,0)),"",INDEX('Compliance Database'!$F$2:$F$1960,MATCH(1877,'Transfer Engine'!$C$2:$C$1960,0)))</f>
        <v/>
      </c>
      <c r="G1886" s="8">
        <f>IF(ISNA(MATCH(1877,'Transfer Engine'!$C$2:$C$1960,0)),"",INDEX('Compliance Database'!$G$2:$G$1960,MATCH(1877,'Transfer Engine'!$C$2:$C$1960,0)))</f>
        <v/>
      </c>
      <c r="H1886" s="9">
        <f>IF(ISNA(MATCH(1877,'Transfer Engine'!$C$2:$C$1960,0)),"",INDEX('Compliance Database'!$H$2:$H$1960,MATCH(1877,'Transfer Engine'!$C$2:$C$1960,0)))</f>
        <v/>
      </c>
      <c r="I1886" s="9">
        <f>IF(ISNA(MATCH(1877,'Transfer Engine'!$C$2:$C$1960,0)),"",INDEX('Compliance Database'!$I$2:$I$1960,MATCH(1877,'Transfer Engine'!$C$2:$C$1960,0)))</f>
        <v/>
      </c>
      <c r="J1886" s="8">
        <f>IF(ISNA(MATCH(1877,'Transfer Engine'!$C$2:$C$1960,0)),"",INDEX('Compliance Database'!$J$2:$J$1960,MATCH(1877,'Transfer Engine'!$C$2:$C$1960,0)))</f>
        <v/>
      </c>
      <c r="K1886" s="9">
        <f>IF(ISNA(MATCH(1877,'Transfer Engine'!$C$2:$C$1960,0)),"",INDEX('Compliance Database'!$K$2:$K$1960,MATCH(1877,'Transfer Engine'!$C$2:$C$1960,0)))</f>
        <v/>
      </c>
      <c r="L1886" s="9">
        <f>IF(ISNA(MATCH(1877,'Transfer Engine'!$C$2:$C$1960,0)),"",INDEX('Compliance Database'!$L$2:$L$1960,MATCH(1877,'Transfer Engine'!$C$2:$C$1960,0)))</f>
        <v/>
      </c>
      <c r="M1886" s="9">
        <f>IF(ISNA(MATCH(1877,'Transfer Engine'!$C$2:$C$1960,0)),"",INDEX('Compliance Database'!$M$2:$M$1960,MATCH(1877,'Transfer Engine'!$C$2:$C$1960,0)))</f>
        <v/>
      </c>
      <c r="N1886" s="9">
        <f>IF(ISNA(MATCH(1877,'Transfer Engine'!$C$2:$C$1960,0)),"",INDEX('Compliance Database'!$N$2:$N$1960,MATCH(1877,'Transfer Engine'!$C$2:$C$1960,0)))</f>
        <v/>
      </c>
      <c r="O1886" s="9">
        <f>IF(ISNA(MATCH(1877,'Transfer Engine'!$C$2:$C$1960,0)),"",INDEX('Compliance Database'!$O$2:$O$1960,MATCH(1877,'Transfer Engine'!$C$2:$C$1960,0)))</f>
        <v/>
      </c>
      <c r="P1886" s="8">
        <f>IF(ISNA(MATCH(1877,'Transfer Engine'!$C$2:$C$1960,0)),"",HYPERLINK("#Acts!A"&amp;INDEX('Compliance Database'!$P$2:$P$1960,MATCH(1877,'Transfer Engine'!$C$2:$C$1960,0)),"Go to Act"))</f>
        <v/>
      </c>
    </row>
    <row r="1887" ht="158" customHeight="1">
      <c r="A1887" s="8">
        <f>IF(ISNA(MATCH(1878,'Transfer Engine'!$C$2:$C$1960,0)),"",INDEX('Compliance Database'!$A$2:$A$1960,MATCH(1878,'Transfer Engine'!$C$2:$C$1960,0)))</f>
        <v/>
      </c>
      <c r="B1887" s="8">
        <f>IF(ISNA(MATCH(1878,'Transfer Engine'!$C$2:$C$1960,0)),"",INDEX('Compliance Database'!$B$2:$B$1960,MATCH(1878,'Transfer Engine'!$C$2:$C$1960,0)))</f>
        <v/>
      </c>
      <c r="C1887" s="8">
        <f>IF(ISNA(MATCH(1878,'Transfer Engine'!$C$2:$C$1960,0)),"",INDEX('Compliance Database'!$C$2:$C$1960,MATCH(1878,'Transfer Engine'!$C$2:$C$1960,0)))</f>
        <v/>
      </c>
      <c r="D1887" s="9">
        <f>IF(ISNA(MATCH(1878,'Transfer Engine'!$C$2:$C$1960,0)),"",INDEX('Compliance Database'!$D$2:$D$1960,MATCH(1878,'Transfer Engine'!$C$2:$C$1960,0)))</f>
        <v/>
      </c>
      <c r="E1887" s="8">
        <f>IF(ISNA(MATCH(1878,'Transfer Engine'!$C$2:$C$1960,0)),"",INDEX('Compliance Database'!$E$2:$E$1960,MATCH(1878,'Transfer Engine'!$C$2:$C$1960,0)))</f>
        <v/>
      </c>
      <c r="F1887" s="8">
        <f>IF(ISNA(MATCH(1878,'Transfer Engine'!$C$2:$C$1960,0)),"",INDEX('Compliance Database'!$F$2:$F$1960,MATCH(1878,'Transfer Engine'!$C$2:$C$1960,0)))</f>
        <v/>
      </c>
      <c r="G1887" s="8">
        <f>IF(ISNA(MATCH(1878,'Transfer Engine'!$C$2:$C$1960,0)),"",INDEX('Compliance Database'!$G$2:$G$1960,MATCH(1878,'Transfer Engine'!$C$2:$C$1960,0)))</f>
        <v/>
      </c>
      <c r="H1887" s="9">
        <f>IF(ISNA(MATCH(1878,'Transfer Engine'!$C$2:$C$1960,0)),"",INDEX('Compliance Database'!$H$2:$H$1960,MATCH(1878,'Transfer Engine'!$C$2:$C$1960,0)))</f>
        <v/>
      </c>
      <c r="I1887" s="9">
        <f>IF(ISNA(MATCH(1878,'Transfer Engine'!$C$2:$C$1960,0)),"",INDEX('Compliance Database'!$I$2:$I$1960,MATCH(1878,'Transfer Engine'!$C$2:$C$1960,0)))</f>
        <v/>
      </c>
      <c r="J1887" s="8">
        <f>IF(ISNA(MATCH(1878,'Transfer Engine'!$C$2:$C$1960,0)),"",INDEX('Compliance Database'!$J$2:$J$1960,MATCH(1878,'Transfer Engine'!$C$2:$C$1960,0)))</f>
        <v/>
      </c>
      <c r="K1887" s="9">
        <f>IF(ISNA(MATCH(1878,'Transfer Engine'!$C$2:$C$1960,0)),"",INDEX('Compliance Database'!$K$2:$K$1960,MATCH(1878,'Transfer Engine'!$C$2:$C$1960,0)))</f>
        <v/>
      </c>
      <c r="L1887" s="9">
        <f>IF(ISNA(MATCH(1878,'Transfer Engine'!$C$2:$C$1960,0)),"",INDEX('Compliance Database'!$L$2:$L$1960,MATCH(1878,'Transfer Engine'!$C$2:$C$1960,0)))</f>
        <v/>
      </c>
      <c r="M1887" s="9">
        <f>IF(ISNA(MATCH(1878,'Transfer Engine'!$C$2:$C$1960,0)),"",INDEX('Compliance Database'!$M$2:$M$1960,MATCH(1878,'Transfer Engine'!$C$2:$C$1960,0)))</f>
        <v/>
      </c>
      <c r="N1887" s="9">
        <f>IF(ISNA(MATCH(1878,'Transfer Engine'!$C$2:$C$1960,0)),"",INDEX('Compliance Database'!$N$2:$N$1960,MATCH(1878,'Transfer Engine'!$C$2:$C$1960,0)))</f>
        <v/>
      </c>
      <c r="O1887" s="9">
        <f>IF(ISNA(MATCH(1878,'Transfer Engine'!$C$2:$C$1960,0)),"",INDEX('Compliance Database'!$O$2:$O$1960,MATCH(1878,'Transfer Engine'!$C$2:$C$1960,0)))</f>
        <v/>
      </c>
      <c r="P1887" s="8">
        <f>IF(ISNA(MATCH(1878,'Transfer Engine'!$C$2:$C$1960,0)),"",HYPERLINK("#Acts!A"&amp;INDEX('Compliance Database'!$P$2:$P$1960,MATCH(1878,'Transfer Engine'!$C$2:$C$1960,0)),"Go to Act"))</f>
        <v/>
      </c>
    </row>
    <row r="1888" ht="158" customHeight="1">
      <c r="A1888" s="8">
        <f>IF(ISNA(MATCH(1879,'Transfer Engine'!$C$2:$C$1960,0)),"",INDEX('Compliance Database'!$A$2:$A$1960,MATCH(1879,'Transfer Engine'!$C$2:$C$1960,0)))</f>
        <v/>
      </c>
      <c r="B1888" s="8">
        <f>IF(ISNA(MATCH(1879,'Transfer Engine'!$C$2:$C$1960,0)),"",INDEX('Compliance Database'!$B$2:$B$1960,MATCH(1879,'Transfer Engine'!$C$2:$C$1960,0)))</f>
        <v/>
      </c>
      <c r="C1888" s="8">
        <f>IF(ISNA(MATCH(1879,'Transfer Engine'!$C$2:$C$1960,0)),"",INDEX('Compliance Database'!$C$2:$C$1960,MATCH(1879,'Transfer Engine'!$C$2:$C$1960,0)))</f>
        <v/>
      </c>
      <c r="D1888" s="9">
        <f>IF(ISNA(MATCH(1879,'Transfer Engine'!$C$2:$C$1960,0)),"",INDEX('Compliance Database'!$D$2:$D$1960,MATCH(1879,'Transfer Engine'!$C$2:$C$1960,0)))</f>
        <v/>
      </c>
      <c r="E1888" s="8">
        <f>IF(ISNA(MATCH(1879,'Transfer Engine'!$C$2:$C$1960,0)),"",INDEX('Compliance Database'!$E$2:$E$1960,MATCH(1879,'Transfer Engine'!$C$2:$C$1960,0)))</f>
        <v/>
      </c>
      <c r="F1888" s="8">
        <f>IF(ISNA(MATCH(1879,'Transfer Engine'!$C$2:$C$1960,0)),"",INDEX('Compliance Database'!$F$2:$F$1960,MATCH(1879,'Transfer Engine'!$C$2:$C$1960,0)))</f>
        <v/>
      </c>
      <c r="G1888" s="8">
        <f>IF(ISNA(MATCH(1879,'Transfer Engine'!$C$2:$C$1960,0)),"",INDEX('Compliance Database'!$G$2:$G$1960,MATCH(1879,'Transfer Engine'!$C$2:$C$1960,0)))</f>
        <v/>
      </c>
      <c r="H1888" s="9">
        <f>IF(ISNA(MATCH(1879,'Transfer Engine'!$C$2:$C$1960,0)),"",INDEX('Compliance Database'!$H$2:$H$1960,MATCH(1879,'Transfer Engine'!$C$2:$C$1960,0)))</f>
        <v/>
      </c>
      <c r="I1888" s="9">
        <f>IF(ISNA(MATCH(1879,'Transfer Engine'!$C$2:$C$1960,0)),"",INDEX('Compliance Database'!$I$2:$I$1960,MATCH(1879,'Transfer Engine'!$C$2:$C$1960,0)))</f>
        <v/>
      </c>
      <c r="J1888" s="8">
        <f>IF(ISNA(MATCH(1879,'Transfer Engine'!$C$2:$C$1960,0)),"",INDEX('Compliance Database'!$J$2:$J$1960,MATCH(1879,'Transfer Engine'!$C$2:$C$1960,0)))</f>
        <v/>
      </c>
      <c r="K1888" s="9">
        <f>IF(ISNA(MATCH(1879,'Transfer Engine'!$C$2:$C$1960,0)),"",INDEX('Compliance Database'!$K$2:$K$1960,MATCH(1879,'Transfer Engine'!$C$2:$C$1960,0)))</f>
        <v/>
      </c>
      <c r="L1888" s="9">
        <f>IF(ISNA(MATCH(1879,'Transfer Engine'!$C$2:$C$1960,0)),"",INDEX('Compliance Database'!$L$2:$L$1960,MATCH(1879,'Transfer Engine'!$C$2:$C$1960,0)))</f>
        <v/>
      </c>
      <c r="M1888" s="9">
        <f>IF(ISNA(MATCH(1879,'Transfer Engine'!$C$2:$C$1960,0)),"",INDEX('Compliance Database'!$M$2:$M$1960,MATCH(1879,'Transfer Engine'!$C$2:$C$1960,0)))</f>
        <v/>
      </c>
      <c r="N1888" s="9">
        <f>IF(ISNA(MATCH(1879,'Transfer Engine'!$C$2:$C$1960,0)),"",INDEX('Compliance Database'!$N$2:$N$1960,MATCH(1879,'Transfer Engine'!$C$2:$C$1960,0)))</f>
        <v/>
      </c>
      <c r="O1888" s="9">
        <f>IF(ISNA(MATCH(1879,'Transfer Engine'!$C$2:$C$1960,0)),"",INDEX('Compliance Database'!$O$2:$O$1960,MATCH(1879,'Transfer Engine'!$C$2:$C$1960,0)))</f>
        <v/>
      </c>
      <c r="P1888" s="8">
        <f>IF(ISNA(MATCH(1879,'Transfer Engine'!$C$2:$C$1960,0)),"",HYPERLINK("#Acts!A"&amp;INDEX('Compliance Database'!$P$2:$P$1960,MATCH(1879,'Transfer Engine'!$C$2:$C$1960,0)),"Go to Act"))</f>
        <v/>
      </c>
    </row>
    <row r="1889" ht="158" customHeight="1">
      <c r="A1889" s="8">
        <f>IF(ISNA(MATCH(1880,'Transfer Engine'!$C$2:$C$1960,0)),"",INDEX('Compliance Database'!$A$2:$A$1960,MATCH(1880,'Transfer Engine'!$C$2:$C$1960,0)))</f>
        <v/>
      </c>
      <c r="B1889" s="8">
        <f>IF(ISNA(MATCH(1880,'Transfer Engine'!$C$2:$C$1960,0)),"",INDEX('Compliance Database'!$B$2:$B$1960,MATCH(1880,'Transfer Engine'!$C$2:$C$1960,0)))</f>
        <v/>
      </c>
      <c r="C1889" s="8">
        <f>IF(ISNA(MATCH(1880,'Transfer Engine'!$C$2:$C$1960,0)),"",INDEX('Compliance Database'!$C$2:$C$1960,MATCH(1880,'Transfer Engine'!$C$2:$C$1960,0)))</f>
        <v/>
      </c>
      <c r="D1889" s="9">
        <f>IF(ISNA(MATCH(1880,'Transfer Engine'!$C$2:$C$1960,0)),"",INDEX('Compliance Database'!$D$2:$D$1960,MATCH(1880,'Transfer Engine'!$C$2:$C$1960,0)))</f>
        <v/>
      </c>
      <c r="E1889" s="8">
        <f>IF(ISNA(MATCH(1880,'Transfer Engine'!$C$2:$C$1960,0)),"",INDEX('Compliance Database'!$E$2:$E$1960,MATCH(1880,'Transfer Engine'!$C$2:$C$1960,0)))</f>
        <v/>
      </c>
      <c r="F1889" s="8">
        <f>IF(ISNA(MATCH(1880,'Transfer Engine'!$C$2:$C$1960,0)),"",INDEX('Compliance Database'!$F$2:$F$1960,MATCH(1880,'Transfer Engine'!$C$2:$C$1960,0)))</f>
        <v/>
      </c>
      <c r="G1889" s="8">
        <f>IF(ISNA(MATCH(1880,'Transfer Engine'!$C$2:$C$1960,0)),"",INDEX('Compliance Database'!$G$2:$G$1960,MATCH(1880,'Transfer Engine'!$C$2:$C$1960,0)))</f>
        <v/>
      </c>
      <c r="H1889" s="9">
        <f>IF(ISNA(MATCH(1880,'Transfer Engine'!$C$2:$C$1960,0)),"",INDEX('Compliance Database'!$H$2:$H$1960,MATCH(1880,'Transfer Engine'!$C$2:$C$1960,0)))</f>
        <v/>
      </c>
      <c r="I1889" s="9">
        <f>IF(ISNA(MATCH(1880,'Transfer Engine'!$C$2:$C$1960,0)),"",INDEX('Compliance Database'!$I$2:$I$1960,MATCH(1880,'Transfer Engine'!$C$2:$C$1960,0)))</f>
        <v/>
      </c>
      <c r="J1889" s="8">
        <f>IF(ISNA(MATCH(1880,'Transfer Engine'!$C$2:$C$1960,0)),"",INDEX('Compliance Database'!$J$2:$J$1960,MATCH(1880,'Transfer Engine'!$C$2:$C$1960,0)))</f>
        <v/>
      </c>
      <c r="K1889" s="9">
        <f>IF(ISNA(MATCH(1880,'Transfer Engine'!$C$2:$C$1960,0)),"",INDEX('Compliance Database'!$K$2:$K$1960,MATCH(1880,'Transfer Engine'!$C$2:$C$1960,0)))</f>
        <v/>
      </c>
      <c r="L1889" s="9">
        <f>IF(ISNA(MATCH(1880,'Transfer Engine'!$C$2:$C$1960,0)),"",INDEX('Compliance Database'!$L$2:$L$1960,MATCH(1880,'Transfer Engine'!$C$2:$C$1960,0)))</f>
        <v/>
      </c>
      <c r="M1889" s="9">
        <f>IF(ISNA(MATCH(1880,'Transfer Engine'!$C$2:$C$1960,0)),"",INDEX('Compliance Database'!$M$2:$M$1960,MATCH(1880,'Transfer Engine'!$C$2:$C$1960,0)))</f>
        <v/>
      </c>
      <c r="N1889" s="9">
        <f>IF(ISNA(MATCH(1880,'Transfer Engine'!$C$2:$C$1960,0)),"",INDEX('Compliance Database'!$N$2:$N$1960,MATCH(1880,'Transfer Engine'!$C$2:$C$1960,0)))</f>
        <v/>
      </c>
      <c r="O1889" s="9">
        <f>IF(ISNA(MATCH(1880,'Transfer Engine'!$C$2:$C$1960,0)),"",INDEX('Compliance Database'!$O$2:$O$1960,MATCH(1880,'Transfer Engine'!$C$2:$C$1960,0)))</f>
        <v/>
      </c>
      <c r="P1889" s="8">
        <f>IF(ISNA(MATCH(1880,'Transfer Engine'!$C$2:$C$1960,0)),"",HYPERLINK("#Acts!A"&amp;INDEX('Compliance Database'!$P$2:$P$1960,MATCH(1880,'Transfer Engine'!$C$2:$C$1960,0)),"Go to Act"))</f>
        <v/>
      </c>
    </row>
    <row r="1890" ht="158" customHeight="1">
      <c r="A1890" s="8">
        <f>IF(ISNA(MATCH(1881,'Transfer Engine'!$C$2:$C$1960,0)),"",INDEX('Compliance Database'!$A$2:$A$1960,MATCH(1881,'Transfer Engine'!$C$2:$C$1960,0)))</f>
        <v/>
      </c>
      <c r="B1890" s="8">
        <f>IF(ISNA(MATCH(1881,'Transfer Engine'!$C$2:$C$1960,0)),"",INDEX('Compliance Database'!$B$2:$B$1960,MATCH(1881,'Transfer Engine'!$C$2:$C$1960,0)))</f>
        <v/>
      </c>
      <c r="C1890" s="8">
        <f>IF(ISNA(MATCH(1881,'Transfer Engine'!$C$2:$C$1960,0)),"",INDEX('Compliance Database'!$C$2:$C$1960,MATCH(1881,'Transfer Engine'!$C$2:$C$1960,0)))</f>
        <v/>
      </c>
      <c r="D1890" s="9">
        <f>IF(ISNA(MATCH(1881,'Transfer Engine'!$C$2:$C$1960,0)),"",INDEX('Compliance Database'!$D$2:$D$1960,MATCH(1881,'Transfer Engine'!$C$2:$C$1960,0)))</f>
        <v/>
      </c>
      <c r="E1890" s="8">
        <f>IF(ISNA(MATCH(1881,'Transfer Engine'!$C$2:$C$1960,0)),"",INDEX('Compliance Database'!$E$2:$E$1960,MATCH(1881,'Transfer Engine'!$C$2:$C$1960,0)))</f>
        <v/>
      </c>
      <c r="F1890" s="8">
        <f>IF(ISNA(MATCH(1881,'Transfer Engine'!$C$2:$C$1960,0)),"",INDEX('Compliance Database'!$F$2:$F$1960,MATCH(1881,'Transfer Engine'!$C$2:$C$1960,0)))</f>
        <v/>
      </c>
      <c r="G1890" s="8">
        <f>IF(ISNA(MATCH(1881,'Transfer Engine'!$C$2:$C$1960,0)),"",INDEX('Compliance Database'!$G$2:$G$1960,MATCH(1881,'Transfer Engine'!$C$2:$C$1960,0)))</f>
        <v/>
      </c>
      <c r="H1890" s="9">
        <f>IF(ISNA(MATCH(1881,'Transfer Engine'!$C$2:$C$1960,0)),"",INDEX('Compliance Database'!$H$2:$H$1960,MATCH(1881,'Transfer Engine'!$C$2:$C$1960,0)))</f>
        <v/>
      </c>
      <c r="I1890" s="9">
        <f>IF(ISNA(MATCH(1881,'Transfer Engine'!$C$2:$C$1960,0)),"",INDEX('Compliance Database'!$I$2:$I$1960,MATCH(1881,'Transfer Engine'!$C$2:$C$1960,0)))</f>
        <v/>
      </c>
      <c r="J1890" s="8">
        <f>IF(ISNA(MATCH(1881,'Transfer Engine'!$C$2:$C$1960,0)),"",INDEX('Compliance Database'!$J$2:$J$1960,MATCH(1881,'Transfer Engine'!$C$2:$C$1960,0)))</f>
        <v/>
      </c>
      <c r="K1890" s="9">
        <f>IF(ISNA(MATCH(1881,'Transfer Engine'!$C$2:$C$1960,0)),"",INDEX('Compliance Database'!$K$2:$K$1960,MATCH(1881,'Transfer Engine'!$C$2:$C$1960,0)))</f>
        <v/>
      </c>
      <c r="L1890" s="9">
        <f>IF(ISNA(MATCH(1881,'Transfer Engine'!$C$2:$C$1960,0)),"",INDEX('Compliance Database'!$L$2:$L$1960,MATCH(1881,'Transfer Engine'!$C$2:$C$1960,0)))</f>
        <v/>
      </c>
      <c r="M1890" s="9">
        <f>IF(ISNA(MATCH(1881,'Transfer Engine'!$C$2:$C$1960,0)),"",INDEX('Compliance Database'!$M$2:$M$1960,MATCH(1881,'Transfer Engine'!$C$2:$C$1960,0)))</f>
        <v/>
      </c>
      <c r="N1890" s="9">
        <f>IF(ISNA(MATCH(1881,'Transfer Engine'!$C$2:$C$1960,0)),"",INDEX('Compliance Database'!$N$2:$N$1960,MATCH(1881,'Transfer Engine'!$C$2:$C$1960,0)))</f>
        <v/>
      </c>
      <c r="O1890" s="9">
        <f>IF(ISNA(MATCH(1881,'Transfer Engine'!$C$2:$C$1960,0)),"",INDEX('Compliance Database'!$O$2:$O$1960,MATCH(1881,'Transfer Engine'!$C$2:$C$1960,0)))</f>
        <v/>
      </c>
      <c r="P1890" s="8">
        <f>IF(ISNA(MATCH(1881,'Transfer Engine'!$C$2:$C$1960,0)),"",HYPERLINK("#Acts!A"&amp;INDEX('Compliance Database'!$P$2:$P$1960,MATCH(1881,'Transfer Engine'!$C$2:$C$1960,0)),"Go to Act"))</f>
        <v/>
      </c>
    </row>
    <row r="1891" ht="158" customHeight="1">
      <c r="A1891" s="8">
        <f>IF(ISNA(MATCH(1882,'Transfer Engine'!$C$2:$C$1960,0)),"",INDEX('Compliance Database'!$A$2:$A$1960,MATCH(1882,'Transfer Engine'!$C$2:$C$1960,0)))</f>
        <v/>
      </c>
      <c r="B1891" s="8">
        <f>IF(ISNA(MATCH(1882,'Transfer Engine'!$C$2:$C$1960,0)),"",INDEX('Compliance Database'!$B$2:$B$1960,MATCH(1882,'Transfer Engine'!$C$2:$C$1960,0)))</f>
        <v/>
      </c>
      <c r="C1891" s="8">
        <f>IF(ISNA(MATCH(1882,'Transfer Engine'!$C$2:$C$1960,0)),"",INDEX('Compliance Database'!$C$2:$C$1960,MATCH(1882,'Transfer Engine'!$C$2:$C$1960,0)))</f>
        <v/>
      </c>
      <c r="D1891" s="9">
        <f>IF(ISNA(MATCH(1882,'Transfer Engine'!$C$2:$C$1960,0)),"",INDEX('Compliance Database'!$D$2:$D$1960,MATCH(1882,'Transfer Engine'!$C$2:$C$1960,0)))</f>
        <v/>
      </c>
      <c r="E1891" s="8">
        <f>IF(ISNA(MATCH(1882,'Transfer Engine'!$C$2:$C$1960,0)),"",INDEX('Compliance Database'!$E$2:$E$1960,MATCH(1882,'Transfer Engine'!$C$2:$C$1960,0)))</f>
        <v/>
      </c>
      <c r="F1891" s="8">
        <f>IF(ISNA(MATCH(1882,'Transfer Engine'!$C$2:$C$1960,0)),"",INDEX('Compliance Database'!$F$2:$F$1960,MATCH(1882,'Transfer Engine'!$C$2:$C$1960,0)))</f>
        <v/>
      </c>
      <c r="G1891" s="8">
        <f>IF(ISNA(MATCH(1882,'Transfer Engine'!$C$2:$C$1960,0)),"",INDEX('Compliance Database'!$G$2:$G$1960,MATCH(1882,'Transfer Engine'!$C$2:$C$1960,0)))</f>
        <v/>
      </c>
      <c r="H1891" s="9">
        <f>IF(ISNA(MATCH(1882,'Transfer Engine'!$C$2:$C$1960,0)),"",INDEX('Compliance Database'!$H$2:$H$1960,MATCH(1882,'Transfer Engine'!$C$2:$C$1960,0)))</f>
        <v/>
      </c>
      <c r="I1891" s="9">
        <f>IF(ISNA(MATCH(1882,'Transfer Engine'!$C$2:$C$1960,0)),"",INDEX('Compliance Database'!$I$2:$I$1960,MATCH(1882,'Transfer Engine'!$C$2:$C$1960,0)))</f>
        <v/>
      </c>
      <c r="J1891" s="8">
        <f>IF(ISNA(MATCH(1882,'Transfer Engine'!$C$2:$C$1960,0)),"",INDEX('Compliance Database'!$J$2:$J$1960,MATCH(1882,'Transfer Engine'!$C$2:$C$1960,0)))</f>
        <v/>
      </c>
      <c r="K1891" s="9">
        <f>IF(ISNA(MATCH(1882,'Transfer Engine'!$C$2:$C$1960,0)),"",INDEX('Compliance Database'!$K$2:$K$1960,MATCH(1882,'Transfer Engine'!$C$2:$C$1960,0)))</f>
        <v/>
      </c>
      <c r="L1891" s="9">
        <f>IF(ISNA(MATCH(1882,'Transfer Engine'!$C$2:$C$1960,0)),"",INDEX('Compliance Database'!$L$2:$L$1960,MATCH(1882,'Transfer Engine'!$C$2:$C$1960,0)))</f>
        <v/>
      </c>
      <c r="M1891" s="9">
        <f>IF(ISNA(MATCH(1882,'Transfer Engine'!$C$2:$C$1960,0)),"",INDEX('Compliance Database'!$M$2:$M$1960,MATCH(1882,'Transfer Engine'!$C$2:$C$1960,0)))</f>
        <v/>
      </c>
      <c r="N1891" s="9">
        <f>IF(ISNA(MATCH(1882,'Transfer Engine'!$C$2:$C$1960,0)),"",INDEX('Compliance Database'!$N$2:$N$1960,MATCH(1882,'Transfer Engine'!$C$2:$C$1960,0)))</f>
        <v/>
      </c>
      <c r="O1891" s="9">
        <f>IF(ISNA(MATCH(1882,'Transfer Engine'!$C$2:$C$1960,0)),"",INDEX('Compliance Database'!$O$2:$O$1960,MATCH(1882,'Transfer Engine'!$C$2:$C$1960,0)))</f>
        <v/>
      </c>
      <c r="P1891" s="8">
        <f>IF(ISNA(MATCH(1882,'Transfer Engine'!$C$2:$C$1960,0)),"",HYPERLINK("#Acts!A"&amp;INDEX('Compliance Database'!$P$2:$P$1960,MATCH(1882,'Transfer Engine'!$C$2:$C$1960,0)),"Go to Act"))</f>
        <v/>
      </c>
    </row>
    <row r="1892" ht="158" customHeight="1">
      <c r="A1892" s="8">
        <f>IF(ISNA(MATCH(1883,'Transfer Engine'!$C$2:$C$1960,0)),"",INDEX('Compliance Database'!$A$2:$A$1960,MATCH(1883,'Transfer Engine'!$C$2:$C$1960,0)))</f>
        <v/>
      </c>
      <c r="B1892" s="8">
        <f>IF(ISNA(MATCH(1883,'Transfer Engine'!$C$2:$C$1960,0)),"",INDEX('Compliance Database'!$B$2:$B$1960,MATCH(1883,'Transfer Engine'!$C$2:$C$1960,0)))</f>
        <v/>
      </c>
      <c r="C1892" s="8">
        <f>IF(ISNA(MATCH(1883,'Transfer Engine'!$C$2:$C$1960,0)),"",INDEX('Compliance Database'!$C$2:$C$1960,MATCH(1883,'Transfer Engine'!$C$2:$C$1960,0)))</f>
        <v/>
      </c>
      <c r="D1892" s="9">
        <f>IF(ISNA(MATCH(1883,'Transfer Engine'!$C$2:$C$1960,0)),"",INDEX('Compliance Database'!$D$2:$D$1960,MATCH(1883,'Transfer Engine'!$C$2:$C$1960,0)))</f>
        <v/>
      </c>
      <c r="E1892" s="8">
        <f>IF(ISNA(MATCH(1883,'Transfer Engine'!$C$2:$C$1960,0)),"",INDEX('Compliance Database'!$E$2:$E$1960,MATCH(1883,'Transfer Engine'!$C$2:$C$1960,0)))</f>
        <v/>
      </c>
      <c r="F1892" s="8">
        <f>IF(ISNA(MATCH(1883,'Transfer Engine'!$C$2:$C$1960,0)),"",INDEX('Compliance Database'!$F$2:$F$1960,MATCH(1883,'Transfer Engine'!$C$2:$C$1960,0)))</f>
        <v/>
      </c>
      <c r="G1892" s="8">
        <f>IF(ISNA(MATCH(1883,'Transfer Engine'!$C$2:$C$1960,0)),"",INDEX('Compliance Database'!$G$2:$G$1960,MATCH(1883,'Transfer Engine'!$C$2:$C$1960,0)))</f>
        <v/>
      </c>
      <c r="H1892" s="9">
        <f>IF(ISNA(MATCH(1883,'Transfer Engine'!$C$2:$C$1960,0)),"",INDEX('Compliance Database'!$H$2:$H$1960,MATCH(1883,'Transfer Engine'!$C$2:$C$1960,0)))</f>
        <v/>
      </c>
      <c r="I1892" s="9">
        <f>IF(ISNA(MATCH(1883,'Transfer Engine'!$C$2:$C$1960,0)),"",INDEX('Compliance Database'!$I$2:$I$1960,MATCH(1883,'Transfer Engine'!$C$2:$C$1960,0)))</f>
        <v/>
      </c>
      <c r="J1892" s="8">
        <f>IF(ISNA(MATCH(1883,'Transfer Engine'!$C$2:$C$1960,0)),"",INDEX('Compliance Database'!$J$2:$J$1960,MATCH(1883,'Transfer Engine'!$C$2:$C$1960,0)))</f>
        <v/>
      </c>
      <c r="K1892" s="9">
        <f>IF(ISNA(MATCH(1883,'Transfer Engine'!$C$2:$C$1960,0)),"",INDEX('Compliance Database'!$K$2:$K$1960,MATCH(1883,'Transfer Engine'!$C$2:$C$1960,0)))</f>
        <v/>
      </c>
      <c r="L1892" s="9">
        <f>IF(ISNA(MATCH(1883,'Transfer Engine'!$C$2:$C$1960,0)),"",INDEX('Compliance Database'!$L$2:$L$1960,MATCH(1883,'Transfer Engine'!$C$2:$C$1960,0)))</f>
        <v/>
      </c>
      <c r="M1892" s="9">
        <f>IF(ISNA(MATCH(1883,'Transfer Engine'!$C$2:$C$1960,0)),"",INDEX('Compliance Database'!$M$2:$M$1960,MATCH(1883,'Transfer Engine'!$C$2:$C$1960,0)))</f>
        <v/>
      </c>
      <c r="N1892" s="9">
        <f>IF(ISNA(MATCH(1883,'Transfer Engine'!$C$2:$C$1960,0)),"",INDEX('Compliance Database'!$N$2:$N$1960,MATCH(1883,'Transfer Engine'!$C$2:$C$1960,0)))</f>
        <v/>
      </c>
      <c r="O1892" s="9">
        <f>IF(ISNA(MATCH(1883,'Transfer Engine'!$C$2:$C$1960,0)),"",INDEX('Compliance Database'!$O$2:$O$1960,MATCH(1883,'Transfer Engine'!$C$2:$C$1960,0)))</f>
        <v/>
      </c>
      <c r="P1892" s="8">
        <f>IF(ISNA(MATCH(1883,'Transfer Engine'!$C$2:$C$1960,0)),"",HYPERLINK("#Acts!A"&amp;INDEX('Compliance Database'!$P$2:$P$1960,MATCH(1883,'Transfer Engine'!$C$2:$C$1960,0)),"Go to Act"))</f>
        <v/>
      </c>
    </row>
    <row r="1893" ht="158" customHeight="1">
      <c r="A1893" s="8">
        <f>IF(ISNA(MATCH(1884,'Transfer Engine'!$C$2:$C$1960,0)),"",INDEX('Compliance Database'!$A$2:$A$1960,MATCH(1884,'Transfer Engine'!$C$2:$C$1960,0)))</f>
        <v/>
      </c>
      <c r="B1893" s="8">
        <f>IF(ISNA(MATCH(1884,'Transfer Engine'!$C$2:$C$1960,0)),"",INDEX('Compliance Database'!$B$2:$B$1960,MATCH(1884,'Transfer Engine'!$C$2:$C$1960,0)))</f>
        <v/>
      </c>
      <c r="C1893" s="8">
        <f>IF(ISNA(MATCH(1884,'Transfer Engine'!$C$2:$C$1960,0)),"",INDEX('Compliance Database'!$C$2:$C$1960,MATCH(1884,'Transfer Engine'!$C$2:$C$1960,0)))</f>
        <v/>
      </c>
      <c r="D1893" s="9">
        <f>IF(ISNA(MATCH(1884,'Transfer Engine'!$C$2:$C$1960,0)),"",INDEX('Compliance Database'!$D$2:$D$1960,MATCH(1884,'Transfer Engine'!$C$2:$C$1960,0)))</f>
        <v/>
      </c>
      <c r="E1893" s="8">
        <f>IF(ISNA(MATCH(1884,'Transfer Engine'!$C$2:$C$1960,0)),"",INDEX('Compliance Database'!$E$2:$E$1960,MATCH(1884,'Transfer Engine'!$C$2:$C$1960,0)))</f>
        <v/>
      </c>
      <c r="F1893" s="8">
        <f>IF(ISNA(MATCH(1884,'Transfer Engine'!$C$2:$C$1960,0)),"",INDEX('Compliance Database'!$F$2:$F$1960,MATCH(1884,'Transfer Engine'!$C$2:$C$1960,0)))</f>
        <v/>
      </c>
      <c r="G1893" s="8">
        <f>IF(ISNA(MATCH(1884,'Transfer Engine'!$C$2:$C$1960,0)),"",INDEX('Compliance Database'!$G$2:$G$1960,MATCH(1884,'Transfer Engine'!$C$2:$C$1960,0)))</f>
        <v/>
      </c>
      <c r="H1893" s="9">
        <f>IF(ISNA(MATCH(1884,'Transfer Engine'!$C$2:$C$1960,0)),"",INDEX('Compliance Database'!$H$2:$H$1960,MATCH(1884,'Transfer Engine'!$C$2:$C$1960,0)))</f>
        <v/>
      </c>
      <c r="I1893" s="9">
        <f>IF(ISNA(MATCH(1884,'Transfer Engine'!$C$2:$C$1960,0)),"",INDEX('Compliance Database'!$I$2:$I$1960,MATCH(1884,'Transfer Engine'!$C$2:$C$1960,0)))</f>
        <v/>
      </c>
      <c r="J1893" s="8">
        <f>IF(ISNA(MATCH(1884,'Transfer Engine'!$C$2:$C$1960,0)),"",INDEX('Compliance Database'!$J$2:$J$1960,MATCH(1884,'Transfer Engine'!$C$2:$C$1960,0)))</f>
        <v/>
      </c>
      <c r="K1893" s="9">
        <f>IF(ISNA(MATCH(1884,'Transfer Engine'!$C$2:$C$1960,0)),"",INDEX('Compliance Database'!$K$2:$K$1960,MATCH(1884,'Transfer Engine'!$C$2:$C$1960,0)))</f>
        <v/>
      </c>
      <c r="L1893" s="9">
        <f>IF(ISNA(MATCH(1884,'Transfer Engine'!$C$2:$C$1960,0)),"",INDEX('Compliance Database'!$L$2:$L$1960,MATCH(1884,'Transfer Engine'!$C$2:$C$1960,0)))</f>
        <v/>
      </c>
      <c r="M1893" s="9">
        <f>IF(ISNA(MATCH(1884,'Transfer Engine'!$C$2:$C$1960,0)),"",INDEX('Compliance Database'!$M$2:$M$1960,MATCH(1884,'Transfer Engine'!$C$2:$C$1960,0)))</f>
        <v/>
      </c>
      <c r="N1893" s="9">
        <f>IF(ISNA(MATCH(1884,'Transfer Engine'!$C$2:$C$1960,0)),"",INDEX('Compliance Database'!$N$2:$N$1960,MATCH(1884,'Transfer Engine'!$C$2:$C$1960,0)))</f>
        <v/>
      </c>
      <c r="O1893" s="9">
        <f>IF(ISNA(MATCH(1884,'Transfer Engine'!$C$2:$C$1960,0)),"",INDEX('Compliance Database'!$O$2:$O$1960,MATCH(1884,'Transfer Engine'!$C$2:$C$1960,0)))</f>
        <v/>
      </c>
      <c r="P1893" s="8">
        <f>IF(ISNA(MATCH(1884,'Transfer Engine'!$C$2:$C$1960,0)),"",HYPERLINK("#Acts!A"&amp;INDEX('Compliance Database'!$P$2:$P$1960,MATCH(1884,'Transfer Engine'!$C$2:$C$1960,0)),"Go to Act"))</f>
        <v/>
      </c>
    </row>
    <row r="1894" ht="158" customHeight="1">
      <c r="A1894" s="8">
        <f>IF(ISNA(MATCH(1885,'Transfer Engine'!$C$2:$C$1960,0)),"",INDEX('Compliance Database'!$A$2:$A$1960,MATCH(1885,'Transfer Engine'!$C$2:$C$1960,0)))</f>
        <v/>
      </c>
      <c r="B1894" s="8">
        <f>IF(ISNA(MATCH(1885,'Transfer Engine'!$C$2:$C$1960,0)),"",INDEX('Compliance Database'!$B$2:$B$1960,MATCH(1885,'Transfer Engine'!$C$2:$C$1960,0)))</f>
        <v/>
      </c>
      <c r="C1894" s="8">
        <f>IF(ISNA(MATCH(1885,'Transfer Engine'!$C$2:$C$1960,0)),"",INDEX('Compliance Database'!$C$2:$C$1960,MATCH(1885,'Transfer Engine'!$C$2:$C$1960,0)))</f>
        <v/>
      </c>
      <c r="D1894" s="9">
        <f>IF(ISNA(MATCH(1885,'Transfer Engine'!$C$2:$C$1960,0)),"",INDEX('Compliance Database'!$D$2:$D$1960,MATCH(1885,'Transfer Engine'!$C$2:$C$1960,0)))</f>
        <v/>
      </c>
      <c r="E1894" s="8">
        <f>IF(ISNA(MATCH(1885,'Transfer Engine'!$C$2:$C$1960,0)),"",INDEX('Compliance Database'!$E$2:$E$1960,MATCH(1885,'Transfer Engine'!$C$2:$C$1960,0)))</f>
        <v/>
      </c>
      <c r="F1894" s="8">
        <f>IF(ISNA(MATCH(1885,'Transfer Engine'!$C$2:$C$1960,0)),"",INDEX('Compliance Database'!$F$2:$F$1960,MATCH(1885,'Transfer Engine'!$C$2:$C$1960,0)))</f>
        <v/>
      </c>
      <c r="G1894" s="8">
        <f>IF(ISNA(MATCH(1885,'Transfer Engine'!$C$2:$C$1960,0)),"",INDEX('Compliance Database'!$G$2:$G$1960,MATCH(1885,'Transfer Engine'!$C$2:$C$1960,0)))</f>
        <v/>
      </c>
      <c r="H1894" s="9">
        <f>IF(ISNA(MATCH(1885,'Transfer Engine'!$C$2:$C$1960,0)),"",INDEX('Compliance Database'!$H$2:$H$1960,MATCH(1885,'Transfer Engine'!$C$2:$C$1960,0)))</f>
        <v/>
      </c>
      <c r="I1894" s="9">
        <f>IF(ISNA(MATCH(1885,'Transfer Engine'!$C$2:$C$1960,0)),"",INDEX('Compliance Database'!$I$2:$I$1960,MATCH(1885,'Transfer Engine'!$C$2:$C$1960,0)))</f>
        <v/>
      </c>
      <c r="J1894" s="8">
        <f>IF(ISNA(MATCH(1885,'Transfer Engine'!$C$2:$C$1960,0)),"",INDEX('Compliance Database'!$J$2:$J$1960,MATCH(1885,'Transfer Engine'!$C$2:$C$1960,0)))</f>
        <v/>
      </c>
      <c r="K1894" s="9">
        <f>IF(ISNA(MATCH(1885,'Transfer Engine'!$C$2:$C$1960,0)),"",INDEX('Compliance Database'!$K$2:$K$1960,MATCH(1885,'Transfer Engine'!$C$2:$C$1960,0)))</f>
        <v/>
      </c>
      <c r="L1894" s="9">
        <f>IF(ISNA(MATCH(1885,'Transfer Engine'!$C$2:$C$1960,0)),"",INDEX('Compliance Database'!$L$2:$L$1960,MATCH(1885,'Transfer Engine'!$C$2:$C$1960,0)))</f>
        <v/>
      </c>
      <c r="M1894" s="9">
        <f>IF(ISNA(MATCH(1885,'Transfer Engine'!$C$2:$C$1960,0)),"",INDEX('Compliance Database'!$M$2:$M$1960,MATCH(1885,'Transfer Engine'!$C$2:$C$1960,0)))</f>
        <v/>
      </c>
      <c r="N1894" s="9">
        <f>IF(ISNA(MATCH(1885,'Transfer Engine'!$C$2:$C$1960,0)),"",INDEX('Compliance Database'!$N$2:$N$1960,MATCH(1885,'Transfer Engine'!$C$2:$C$1960,0)))</f>
        <v/>
      </c>
      <c r="O1894" s="9">
        <f>IF(ISNA(MATCH(1885,'Transfer Engine'!$C$2:$C$1960,0)),"",INDEX('Compliance Database'!$O$2:$O$1960,MATCH(1885,'Transfer Engine'!$C$2:$C$1960,0)))</f>
        <v/>
      </c>
      <c r="P1894" s="8">
        <f>IF(ISNA(MATCH(1885,'Transfer Engine'!$C$2:$C$1960,0)),"",HYPERLINK("#Acts!A"&amp;INDEX('Compliance Database'!$P$2:$P$1960,MATCH(1885,'Transfer Engine'!$C$2:$C$1960,0)),"Go to Act"))</f>
        <v/>
      </c>
    </row>
    <row r="1895" ht="158" customHeight="1">
      <c r="A1895" s="8">
        <f>IF(ISNA(MATCH(1886,'Transfer Engine'!$C$2:$C$1960,0)),"",INDEX('Compliance Database'!$A$2:$A$1960,MATCH(1886,'Transfer Engine'!$C$2:$C$1960,0)))</f>
        <v/>
      </c>
      <c r="B1895" s="8">
        <f>IF(ISNA(MATCH(1886,'Transfer Engine'!$C$2:$C$1960,0)),"",INDEX('Compliance Database'!$B$2:$B$1960,MATCH(1886,'Transfer Engine'!$C$2:$C$1960,0)))</f>
        <v/>
      </c>
      <c r="C1895" s="8">
        <f>IF(ISNA(MATCH(1886,'Transfer Engine'!$C$2:$C$1960,0)),"",INDEX('Compliance Database'!$C$2:$C$1960,MATCH(1886,'Transfer Engine'!$C$2:$C$1960,0)))</f>
        <v/>
      </c>
      <c r="D1895" s="9">
        <f>IF(ISNA(MATCH(1886,'Transfer Engine'!$C$2:$C$1960,0)),"",INDEX('Compliance Database'!$D$2:$D$1960,MATCH(1886,'Transfer Engine'!$C$2:$C$1960,0)))</f>
        <v/>
      </c>
      <c r="E1895" s="8">
        <f>IF(ISNA(MATCH(1886,'Transfer Engine'!$C$2:$C$1960,0)),"",INDEX('Compliance Database'!$E$2:$E$1960,MATCH(1886,'Transfer Engine'!$C$2:$C$1960,0)))</f>
        <v/>
      </c>
      <c r="F1895" s="8">
        <f>IF(ISNA(MATCH(1886,'Transfer Engine'!$C$2:$C$1960,0)),"",INDEX('Compliance Database'!$F$2:$F$1960,MATCH(1886,'Transfer Engine'!$C$2:$C$1960,0)))</f>
        <v/>
      </c>
      <c r="G1895" s="8">
        <f>IF(ISNA(MATCH(1886,'Transfer Engine'!$C$2:$C$1960,0)),"",INDEX('Compliance Database'!$G$2:$G$1960,MATCH(1886,'Transfer Engine'!$C$2:$C$1960,0)))</f>
        <v/>
      </c>
      <c r="H1895" s="9">
        <f>IF(ISNA(MATCH(1886,'Transfer Engine'!$C$2:$C$1960,0)),"",INDEX('Compliance Database'!$H$2:$H$1960,MATCH(1886,'Transfer Engine'!$C$2:$C$1960,0)))</f>
        <v/>
      </c>
      <c r="I1895" s="9">
        <f>IF(ISNA(MATCH(1886,'Transfer Engine'!$C$2:$C$1960,0)),"",INDEX('Compliance Database'!$I$2:$I$1960,MATCH(1886,'Transfer Engine'!$C$2:$C$1960,0)))</f>
        <v/>
      </c>
      <c r="J1895" s="8">
        <f>IF(ISNA(MATCH(1886,'Transfer Engine'!$C$2:$C$1960,0)),"",INDEX('Compliance Database'!$J$2:$J$1960,MATCH(1886,'Transfer Engine'!$C$2:$C$1960,0)))</f>
        <v/>
      </c>
      <c r="K1895" s="9">
        <f>IF(ISNA(MATCH(1886,'Transfer Engine'!$C$2:$C$1960,0)),"",INDEX('Compliance Database'!$K$2:$K$1960,MATCH(1886,'Transfer Engine'!$C$2:$C$1960,0)))</f>
        <v/>
      </c>
      <c r="L1895" s="9">
        <f>IF(ISNA(MATCH(1886,'Transfer Engine'!$C$2:$C$1960,0)),"",INDEX('Compliance Database'!$L$2:$L$1960,MATCH(1886,'Transfer Engine'!$C$2:$C$1960,0)))</f>
        <v/>
      </c>
      <c r="M1895" s="9">
        <f>IF(ISNA(MATCH(1886,'Transfer Engine'!$C$2:$C$1960,0)),"",INDEX('Compliance Database'!$M$2:$M$1960,MATCH(1886,'Transfer Engine'!$C$2:$C$1960,0)))</f>
        <v/>
      </c>
      <c r="N1895" s="9">
        <f>IF(ISNA(MATCH(1886,'Transfer Engine'!$C$2:$C$1960,0)),"",INDEX('Compliance Database'!$N$2:$N$1960,MATCH(1886,'Transfer Engine'!$C$2:$C$1960,0)))</f>
        <v/>
      </c>
      <c r="O1895" s="9">
        <f>IF(ISNA(MATCH(1886,'Transfer Engine'!$C$2:$C$1960,0)),"",INDEX('Compliance Database'!$O$2:$O$1960,MATCH(1886,'Transfer Engine'!$C$2:$C$1960,0)))</f>
        <v/>
      </c>
      <c r="P1895" s="8">
        <f>IF(ISNA(MATCH(1886,'Transfer Engine'!$C$2:$C$1960,0)),"",HYPERLINK("#Acts!A"&amp;INDEX('Compliance Database'!$P$2:$P$1960,MATCH(1886,'Transfer Engine'!$C$2:$C$1960,0)),"Go to Act"))</f>
        <v/>
      </c>
    </row>
    <row r="1896" ht="158" customHeight="1">
      <c r="A1896" s="8">
        <f>IF(ISNA(MATCH(1887,'Transfer Engine'!$C$2:$C$1960,0)),"",INDEX('Compliance Database'!$A$2:$A$1960,MATCH(1887,'Transfer Engine'!$C$2:$C$1960,0)))</f>
        <v/>
      </c>
      <c r="B1896" s="8">
        <f>IF(ISNA(MATCH(1887,'Transfer Engine'!$C$2:$C$1960,0)),"",INDEX('Compliance Database'!$B$2:$B$1960,MATCH(1887,'Transfer Engine'!$C$2:$C$1960,0)))</f>
        <v/>
      </c>
      <c r="C1896" s="8">
        <f>IF(ISNA(MATCH(1887,'Transfer Engine'!$C$2:$C$1960,0)),"",INDEX('Compliance Database'!$C$2:$C$1960,MATCH(1887,'Transfer Engine'!$C$2:$C$1960,0)))</f>
        <v/>
      </c>
      <c r="D1896" s="9">
        <f>IF(ISNA(MATCH(1887,'Transfer Engine'!$C$2:$C$1960,0)),"",INDEX('Compliance Database'!$D$2:$D$1960,MATCH(1887,'Transfer Engine'!$C$2:$C$1960,0)))</f>
        <v/>
      </c>
      <c r="E1896" s="8">
        <f>IF(ISNA(MATCH(1887,'Transfer Engine'!$C$2:$C$1960,0)),"",INDEX('Compliance Database'!$E$2:$E$1960,MATCH(1887,'Transfer Engine'!$C$2:$C$1960,0)))</f>
        <v/>
      </c>
      <c r="F1896" s="8">
        <f>IF(ISNA(MATCH(1887,'Transfer Engine'!$C$2:$C$1960,0)),"",INDEX('Compliance Database'!$F$2:$F$1960,MATCH(1887,'Transfer Engine'!$C$2:$C$1960,0)))</f>
        <v/>
      </c>
      <c r="G1896" s="8">
        <f>IF(ISNA(MATCH(1887,'Transfer Engine'!$C$2:$C$1960,0)),"",INDEX('Compliance Database'!$G$2:$G$1960,MATCH(1887,'Transfer Engine'!$C$2:$C$1960,0)))</f>
        <v/>
      </c>
      <c r="H1896" s="9">
        <f>IF(ISNA(MATCH(1887,'Transfer Engine'!$C$2:$C$1960,0)),"",INDEX('Compliance Database'!$H$2:$H$1960,MATCH(1887,'Transfer Engine'!$C$2:$C$1960,0)))</f>
        <v/>
      </c>
      <c r="I1896" s="9">
        <f>IF(ISNA(MATCH(1887,'Transfer Engine'!$C$2:$C$1960,0)),"",INDEX('Compliance Database'!$I$2:$I$1960,MATCH(1887,'Transfer Engine'!$C$2:$C$1960,0)))</f>
        <v/>
      </c>
      <c r="J1896" s="8">
        <f>IF(ISNA(MATCH(1887,'Transfer Engine'!$C$2:$C$1960,0)),"",INDEX('Compliance Database'!$J$2:$J$1960,MATCH(1887,'Transfer Engine'!$C$2:$C$1960,0)))</f>
        <v/>
      </c>
      <c r="K1896" s="9">
        <f>IF(ISNA(MATCH(1887,'Transfer Engine'!$C$2:$C$1960,0)),"",INDEX('Compliance Database'!$K$2:$K$1960,MATCH(1887,'Transfer Engine'!$C$2:$C$1960,0)))</f>
        <v/>
      </c>
      <c r="L1896" s="9">
        <f>IF(ISNA(MATCH(1887,'Transfer Engine'!$C$2:$C$1960,0)),"",INDEX('Compliance Database'!$L$2:$L$1960,MATCH(1887,'Transfer Engine'!$C$2:$C$1960,0)))</f>
        <v/>
      </c>
      <c r="M1896" s="9">
        <f>IF(ISNA(MATCH(1887,'Transfer Engine'!$C$2:$C$1960,0)),"",INDEX('Compliance Database'!$M$2:$M$1960,MATCH(1887,'Transfer Engine'!$C$2:$C$1960,0)))</f>
        <v/>
      </c>
      <c r="N1896" s="9">
        <f>IF(ISNA(MATCH(1887,'Transfer Engine'!$C$2:$C$1960,0)),"",INDEX('Compliance Database'!$N$2:$N$1960,MATCH(1887,'Transfer Engine'!$C$2:$C$1960,0)))</f>
        <v/>
      </c>
      <c r="O1896" s="9">
        <f>IF(ISNA(MATCH(1887,'Transfer Engine'!$C$2:$C$1960,0)),"",INDEX('Compliance Database'!$O$2:$O$1960,MATCH(1887,'Transfer Engine'!$C$2:$C$1960,0)))</f>
        <v/>
      </c>
      <c r="P1896" s="8">
        <f>IF(ISNA(MATCH(1887,'Transfer Engine'!$C$2:$C$1960,0)),"",HYPERLINK("#Acts!A"&amp;INDEX('Compliance Database'!$P$2:$P$1960,MATCH(1887,'Transfer Engine'!$C$2:$C$1960,0)),"Go to Act"))</f>
        <v/>
      </c>
    </row>
    <row r="1897" ht="158" customHeight="1">
      <c r="A1897" s="8">
        <f>IF(ISNA(MATCH(1888,'Transfer Engine'!$C$2:$C$1960,0)),"",INDEX('Compliance Database'!$A$2:$A$1960,MATCH(1888,'Transfer Engine'!$C$2:$C$1960,0)))</f>
        <v/>
      </c>
      <c r="B1897" s="8">
        <f>IF(ISNA(MATCH(1888,'Transfer Engine'!$C$2:$C$1960,0)),"",INDEX('Compliance Database'!$B$2:$B$1960,MATCH(1888,'Transfer Engine'!$C$2:$C$1960,0)))</f>
        <v/>
      </c>
      <c r="C1897" s="8">
        <f>IF(ISNA(MATCH(1888,'Transfer Engine'!$C$2:$C$1960,0)),"",INDEX('Compliance Database'!$C$2:$C$1960,MATCH(1888,'Transfer Engine'!$C$2:$C$1960,0)))</f>
        <v/>
      </c>
      <c r="D1897" s="9">
        <f>IF(ISNA(MATCH(1888,'Transfer Engine'!$C$2:$C$1960,0)),"",INDEX('Compliance Database'!$D$2:$D$1960,MATCH(1888,'Transfer Engine'!$C$2:$C$1960,0)))</f>
        <v/>
      </c>
      <c r="E1897" s="8">
        <f>IF(ISNA(MATCH(1888,'Transfer Engine'!$C$2:$C$1960,0)),"",INDEX('Compliance Database'!$E$2:$E$1960,MATCH(1888,'Transfer Engine'!$C$2:$C$1960,0)))</f>
        <v/>
      </c>
      <c r="F1897" s="8">
        <f>IF(ISNA(MATCH(1888,'Transfer Engine'!$C$2:$C$1960,0)),"",INDEX('Compliance Database'!$F$2:$F$1960,MATCH(1888,'Transfer Engine'!$C$2:$C$1960,0)))</f>
        <v/>
      </c>
      <c r="G1897" s="8">
        <f>IF(ISNA(MATCH(1888,'Transfer Engine'!$C$2:$C$1960,0)),"",INDEX('Compliance Database'!$G$2:$G$1960,MATCH(1888,'Transfer Engine'!$C$2:$C$1960,0)))</f>
        <v/>
      </c>
      <c r="H1897" s="9">
        <f>IF(ISNA(MATCH(1888,'Transfer Engine'!$C$2:$C$1960,0)),"",INDEX('Compliance Database'!$H$2:$H$1960,MATCH(1888,'Transfer Engine'!$C$2:$C$1960,0)))</f>
        <v/>
      </c>
      <c r="I1897" s="9">
        <f>IF(ISNA(MATCH(1888,'Transfer Engine'!$C$2:$C$1960,0)),"",INDEX('Compliance Database'!$I$2:$I$1960,MATCH(1888,'Transfer Engine'!$C$2:$C$1960,0)))</f>
        <v/>
      </c>
      <c r="J1897" s="8">
        <f>IF(ISNA(MATCH(1888,'Transfer Engine'!$C$2:$C$1960,0)),"",INDEX('Compliance Database'!$J$2:$J$1960,MATCH(1888,'Transfer Engine'!$C$2:$C$1960,0)))</f>
        <v/>
      </c>
      <c r="K1897" s="9">
        <f>IF(ISNA(MATCH(1888,'Transfer Engine'!$C$2:$C$1960,0)),"",INDEX('Compliance Database'!$K$2:$K$1960,MATCH(1888,'Transfer Engine'!$C$2:$C$1960,0)))</f>
        <v/>
      </c>
      <c r="L1897" s="9">
        <f>IF(ISNA(MATCH(1888,'Transfer Engine'!$C$2:$C$1960,0)),"",INDEX('Compliance Database'!$L$2:$L$1960,MATCH(1888,'Transfer Engine'!$C$2:$C$1960,0)))</f>
        <v/>
      </c>
      <c r="M1897" s="9">
        <f>IF(ISNA(MATCH(1888,'Transfer Engine'!$C$2:$C$1960,0)),"",INDEX('Compliance Database'!$M$2:$M$1960,MATCH(1888,'Transfer Engine'!$C$2:$C$1960,0)))</f>
        <v/>
      </c>
      <c r="N1897" s="9">
        <f>IF(ISNA(MATCH(1888,'Transfer Engine'!$C$2:$C$1960,0)),"",INDEX('Compliance Database'!$N$2:$N$1960,MATCH(1888,'Transfer Engine'!$C$2:$C$1960,0)))</f>
        <v/>
      </c>
      <c r="O1897" s="9">
        <f>IF(ISNA(MATCH(1888,'Transfer Engine'!$C$2:$C$1960,0)),"",INDEX('Compliance Database'!$O$2:$O$1960,MATCH(1888,'Transfer Engine'!$C$2:$C$1960,0)))</f>
        <v/>
      </c>
      <c r="P1897" s="8">
        <f>IF(ISNA(MATCH(1888,'Transfer Engine'!$C$2:$C$1960,0)),"",HYPERLINK("#Acts!A"&amp;INDEX('Compliance Database'!$P$2:$P$1960,MATCH(1888,'Transfer Engine'!$C$2:$C$1960,0)),"Go to Act"))</f>
        <v/>
      </c>
    </row>
    <row r="1898" ht="158" customHeight="1">
      <c r="A1898" s="8">
        <f>IF(ISNA(MATCH(1889,'Transfer Engine'!$C$2:$C$1960,0)),"",INDEX('Compliance Database'!$A$2:$A$1960,MATCH(1889,'Transfer Engine'!$C$2:$C$1960,0)))</f>
        <v/>
      </c>
      <c r="B1898" s="8">
        <f>IF(ISNA(MATCH(1889,'Transfer Engine'!$C$2:$C$1960,0)),"",INDEX('Compliance Database'!$B$2:$B$1960,MATCH(1889,'Transfer Engine'!$C$2:$C$1960,0)))</f>
        <v/>
      </c>
      <c r="C1898" s="8">
        <f>IF(ISNA(MATCH(1889,'Transfer Engine'!$C$2:$C$1960,0)),"",INDEX('Compliance Database'!$C$2:$C$1960,MATCH(1889,'Transfer Engine'!$C$2:$C$1960,0)))</f>
        <v/>
      </c>
      <c r="D1898" s="9">
        <f>IF(ISNA(MATCH(1889,'Transfer Engine'!$C$2:$C$1960,0)),"",INDEX('Compliance Database'!$D$2:$D$1960,MATCH(1889,'Transfer Engine'!$C$2:$C$1960,0)))</f>
        <v/>
      </c>
      <c r="E1898" s="8">
        <f>IF(ISNA(MATCH(1889,'Transfer Engine'!$C$2:$C$1960,0)),"",INDEX('Compliance Database'!$E$2:$E$1960,MATCH(1889,'Transfer Engine'!$C$2:$C$1960,0)))</f>
        <v/>
      </c>
      <c r="F1898" s="8">
        <f>IF(ISNA(MATCH(1889,'Transfer Engine'!$C$2:$C$1960,0)),"",INDEX('Compliance Database'!$F$2:$F$1960,MATCH(1889,'Transfer Engine'!$C$2:$C$1960,0)))</f>
        <v/>
      </c>
      <c r="G1898" s="8">
        <f>IF(ISNA(MATCH(1889,'Transfer Engine'!$C$2:$C$1960,0)),"",INDEX('Compliance Database'!$G$2:$G$1960,MATCH(1889,'Transfer Engine'!$C$2:$C$1960,0)))</f>
        <v/>
      </c>
      <c r="H1898" s="9">
        <f>IF(ISNA(MATCH(1889,'Transfer Engine'!$C$2:$C$1960,0)),"",INDEX('Compliance Database'!$H$2:$H$1960,MATCH(1889,'Transfer Engine'!$C$2:$C$1960,0)))</f>
        <v/>
      </c>
      <c r="I1898" s="9">
        <f>IF(ISNA(MATCH(1889,'Transfer Engine'!$C$2:$C$1960,0)),"",INDEX('Compliance Database'!$I$2:$I$1960,MATCH(1889,'Transfer Engine'!$C$2:$C$1960,0)))</f>
        <v/>
      </c>
      <c r="J1898" s="8">
        <f>IF(ISNA(MATCH(1889,'Transfer Engine'!$C$2:$C$1960,0)),"",INDEX('Compliance Database'!$J$2:$J$1960,MATCH(1889,'Transfer Engine'!$C$2:$C$1960,0)))</f>
        <v/>
      </c>
      <c r="K1898" s="9">
        <f>IF(ISNA(MATCH(1889,'Transfer Engine'!$C$2:$C$1960,0)),"",INDEX('Compliance Database'!$K$2:$K$1960,MATCH(1889,'Transfer Engine'!$C$2:$C$1960,0)))</f>
        <v/>
      </c>
      <c r="L1898" s="9">
        <f>IF(ISNA(MATCH(1889,'Transfer Engine'!$C$2:$C$1960,0)),"",INDEX('Compliance Database'!$L$2:$L$1960,MATCH(1889,'Transfer Engine'!$C$2:$C$1960,0)))</f>
        <v/>
      </c>
      <c r="M1898" s="9">
        <f>IF(ISNA(MATCH(1889,'Transfer Engine'!$C$2:$C$1960,0)),"",INDEX('Compliance Database'!$M$2:$M$1960,MATCH(1889,'Transfer Engine'!$C$2:$C$1960,0)))</f>
        <v/>
      </c>
      <c r="N1898" s="9">
        <f>IF(ISNA(MATCH(1889,'Transfer Engine'!$C$2:$C$1960,0)),"",INDEX('Compliance Database'!$N$2:$N$1960,MATCH(1889,'Transfer Engine'!$C$2:$C$1960,0)))</f>
        <v/>
      </c>
      <c r="O1898" s="9">
        <f>IF(ISNA(MATCH(1889,'Transfer Engine'!$C$2:$C$1960,0)),"",INDEX('Compliance Database'!$O$2:$O$1960,MATCH(1889,'Transfer Engine'!$C$2:$C$1960,0)))</f>
        <v/>
      </c>
      <c r="P1898" s="8">
        <f>IF(ISNA(MATCH(1889,'Transfer Engine'!$C$2:$C$1960,0)),"",HYPERLINK("#Acts!A"&amp;INDEX('Compliance Database'!$P$2:$P$1960,MATCH(1889,'Transfer Engine'!$C$2:$C$1960,0)),"Go to Act"))</f>
        <v/>
      </c>
    </row>
    <row r="1899" ht="158" customHeight="1">
      <c r="A1899" s="8">
        <f>IF(ISNA(MATCH(1890,'Transfer Engine'!$C$2:$C$1960,0)),"",INDEX('Compliance Database'!$A$2:$A$1960,MATCH(1890,'Transfer Engine'!$C$2:$C$1960,0)))</f>
        <v/>
      </c>
      <c r="B1899" s="8">
        <f>IF(ISNA(MATCH(1890,'Transfer Engine'!$C$2:$C$1960,0)),"",INDEX('Compliance Database'!$B$2:$B$1960,MATCH(1890,'Transfer Engine'!$C$2:$C$1960,0)))</f>
        <v/>
      </c>
      <c r="C1899" s="8">
        <f>IF(ISNA(MATCH(1890,'Transfer Engine'!$C$2:$C$1960,0)),"",INDEX('Compliance Database'!$C$2:$C$1960,MATCH(1890,'Transfer Engine'!$C$2:$C$1960,0)))</f>
        <v/>
      </c>
      <c r="D1899" s="9">
        <f>IF(ISNA(MATCH(1890,'Transfer Engine'!$C$2:$C$1960,0)),"",INDEX('Compliance Database'!$D$2:$D$1960,MATCH(1890,'Transfer Engine'!$C$2:$C$1960,0)))</f>
        <v/>
      </c>
      <c r="E1899" s="8">
        <f>IF(ISNA(MATCH(1890,'Transfer Engine'!$C$2:$C$1960,0)),"",INDEX('Compliance Database'!$E$2:$E$1960,MATCH(1890,'Transfer Engine'!$C$2:$C$1960,0)))</f>
        <v/>
      </c>
      <c r="F1899" s="8">
        <f>IF(ISNA(MATCH(1890,'Transfer Engine'!$C$2:$C$1960,0)),"",INDEX('Compliance Database'!$F$2:$F$1960,MATCH(1890,'Transfer Engine'!$C$2:$C$1960,0)))</f>
        <v/>
      </c>
      <c r="G1899" s="8">
        <f>IF(ISNA(MATCH(1890,'Transfer Engine'!$C$2:$C$1960,0)),"",INDEX('Compliance Database'!$G$2:$G$1960,MATCH(1890,'Transfer Engine'!$C$2:$C$1960,0)))</f>
        <v/>
      </c>
      <c r="H1899" s="9">
        <f>IF(ISNA(MATCH(1890,'Transfer Engine'!$C$2:$C$1960,0)),"",INDEX('Compliance Database'!$H$2:$H$1960,MATCH(1890,'Transfer Engine'!$C$2:$C$1960,0)))</f>
        <v/>
      </c>
      <c r="I1899" s="9">
        <f>IF(ISNA(MATCH(1890,'Transfer Engine'!$C$2:$C$1960,0)),"",INDEX('Compliance Database'!$I$2:$I$1960,MATCH(1890,'Transfer Engine'!$C$2:$C$1960,0)))</f>
        <v/>
      </c>
      <c r="J1899" s="8">
        <f>IF(ISNA(MATCH(1890,'Transfer Engine'!$C$2:$C$1960,0)),"",INDEX('Compliance Database'!$J$2:$J$1960,MATCH(1890,'Transfer Engine'!$C$2:$C$1960,0)))</f>
        <v/>
      </c>
      <c r="K1899" s="9">
        <f>IF(ISNA(MATCH(1890,'Transfer Engine'!$C$2:$C$1960,0)),"",INDEX('Compliance Database'!$K$2:$K$1960,MATCH(1890,'Transfer Engine'!$C$2:$C$1960,0)))</f>
        <v/>
      </c>
      <c r="L1899" s="9">
        <f>IF(ISNA(MATCH(1890,'Transfer Engine'!$C$2:$C$1960,0)),"",INDEX('Compliance Database'!$L$2:$L$1960,MATCH(1890,'Transfer Engine'!$C$2:$C$1960,0)))</f>
        <v/>
      </c>
      <c r="M1899" s="9">
        <f>IF(ISNA(MATCH(1890,'Transfer Engine'!$C$2:$C$1960,0)),"",INDEX('Compliance Database'!$M$2:$M$1960,MATCH(1890,'Transfer Engine'!$C$2:$C$1960,0)))</f>
        <v/>
      </c>
      <c r="N1899" s="9">
        <f>IF(ISNA(MATCH(1890,'Transfer Engine'!$C$2:$C$1960,0)),"",INDEX('Compliance Database'!$N$2:$N$1960,MATCH(1890,'Transfer Engine'!$C$2:$C$1960,0)))</f>
        <v/>
      </c>
      <c r="O1899" s="9">
        <f>IF(ISNA(MATCH(1890,'Transfer Engine'!$C$2:$C$1960,0)),"",INDEX('Compliance Database'!$O$2:$O$1960,MATCH(1890,'Transfer Engine'!$C$2:$C$1960,0)))</f>
        <v/>
      </c>
      <c r="P1899" s="8">
        <f>IF(ISNA(MATCH(1890,'Transfer Engine'!$C$2:$C$1960,0)),"",HYPERLINK("#Acts!A"&amp;INDEX('Compliance Database'!$P$2:$P$1960,MATCH(1890,'Transfer Engine'!$C$2:$C$1960,0)),"Go to Act"))</f>
        <v/>
      </c>
    </row>
    <row r="1900" ht="158" customHeight="1">
      <c r="A1900" s="8">
        <f>IF(ISNA(MATCH(1891,'Transfer Engine'!$C$2:$C$1960,0)),"",INDEX('Compliance Database'!$A$2:$A$1960,MATCH(1891,'Transfer Engine'!$C$2:$C$1960,0)))</f>
        <v/>
      </c>
      <c r="B1900" s="8">
        <f>IF(ISNA(MATCH(1891,'Transfer Engine'!$C$2:$C$1960,0)),"",INDEX('Compliance Database'!$B$2:$B$1960,MATCH(1891,'Transfer Engine'!$C$2:$C$1960,0)))</f>
        <v/>
      </c>
      <c r="C1900" s="8">
        <f>IF(ISNA(MATCH(1891,'Transfer Engine'!$C$2:$C$1960,0)),"",INDEX('Compliance Database'!$C$2:$C$1960,MATCH(1891,'Transfer Engine'!$C$2:$C$1960,0)))</f>
        <v/>
      </c>
      <c r="D1900" s="9">
        <f>IF(ISNA(MATCH(1891,'Transfer Engine'!$C$2:$C$1960,0)),"",INDEX('Compliance Database'!$D$2:$D$1960,MATCH(1891,'Transfer Engine'!$C$2:$C$1960,0)))</f>
        <v/>
      </c>
      <c r="E1900" s="8">
        <f>IF(ISNA(MATCH(1891,'Transfer Engine'!$C$2:$C$1960,0)),"",INDEX('Compliance Database'!$E$2:$E$1960,MATCH(1891,'Transfer Engine'!$C$2:$C$1960,0)))</f>
        <v/>
      </c>
      <c r="F1900" s="8">
        <f>IF(ISNA(MATCH(1891,'Transfer Engine'!$C$2:$C$1960,0)),"",INDEX('Compliance Database'!$F$2:$F$1960,MATCH(1891,'Transfer Engine'!$C$2:$C$1960,0)))</f>
        <v/>
      </c>
      <c r="G1900" s="8">
        <f>IF(ISNA(MATCH(1891,'Transfer Engine'!$C$2:$C$1960,0)),"",INDEX('Compliance Database'!$G$2:$G$1960,MATCH(1891,'Transfer Engine'!$C$2:$C$1960,0)))</f>
        <v/>
      </c>
      <c r="H1900" s="9">
        <f>IF(ISNA(MATCH(1891,'Transfer Engine'!$C$2:$C$1960,0)),"",INDEX('Compliance Database'!$H$2:$H$1960,MATCH(1891,'Transfer Engine'!$C$2:$C$1960,0)))</f>
        <v/>
      </c>
      <c r="I1900" s="9">
        <f>IF(ISNA(MATCH(1891,'Transfer Engine'!$C$2:$C$1960,0)),"",INDEX('Compliance Database'!$I$2:$I$1960,MATCH(1891,'Transfer Engine'!$C$2:$C$1960,0)))</f>
        <v/>
      </c>
      <c r="J1900" s="8">
        <f>IF(ISNA(MATCH(1891,'Transfer Engine'!$C$2:$C$1960,0)),"",INDEX('Compliance Database'!$J$2:$J$1960,MATCH(1891,'Transfer Engine'!$C$2:$C$1960,0)))</f>
        <v/>
      </c>
      <c r="K1900" s="9">
        <f>IF(ISNA(MATCH(1891,'Transfer Engine'!$C$2:$C$1960,0)),"",INDEX('Compliance Database'!$K$2:$K$1960,MATCH(1891,'Transfer Engine'!$C$2:$C$1960,0)))</f>
        <v/>
      </c>
      <c r="L1900" s="9">
        <f>IF(ISNA(MATCH(1891,'Transfer Engine'!$C$2:$C$1960,0)),"",INDEX('Compliance Database'!$L$2:$L$1960,MATCH(1891,'Transfer Engine'!$C$2:$C$1960,0)))</f>
        <v/>
      </c>
      <c r="M1900" s="9">
        <f>IF(ISNA(MATCH(1891,'Transfer Engine'!$C$2:$C$1960,0)),"",INDEX('Compliance Database'!$M$2:$M$1960,MATCH(1891,'Transfer Engine'!$C$2:$C$1960,0)))</f>
        <v/>
      </c>
      <c r="N1900" s="9">
        <f>IF(ISNA(MATCH(1891,'Transfer Engine'!$C$2:$C$1960,0)),"",INDEX('Compliance Database'!$N$2:$N$1960,MATCH(1891,'Transfer Engine'!$C$2:$C$1960,0)))</f>
        <v/>
      </c>
      <c r="O1900" s="9">
        <f>IF(ISNA(MATCH(1891,'Transfer Engine'!$C$2:$C$1960,0)),"",INDEX('Compliance Database'!$O$2:$O$1960,MATCH(1891,'Transfer Engine'!$C$2:$C$1960,0)))</f>
        <v/>
      </c>
      <c r="P1900" s="8">
        <f>IF(ISNA(MATCH(1891,'Transfer Engine'!$C$2:$C$1960,0)),"",HYPERLINK("#Acts!A"&amp;INDEX('Compliance Database'!$P$2:$P$1960,MATCH(1891,'Transfer Engine'!$C$2:$C$1960,0)),"Go to Act"))</f>
        <v/>
      </c>
    </row>
    <row r="1901" ht="158" customHeight="1">
      <c r="A1901" s="8">
        <f>IF(ISNA(MATCH(1892,'Transfer Engine'!$C$2:$C$1960,0)),"",INDEX('Compliance Database'!$A$2:$A$1960,MATCH(1892,'Transfer Engine'!$C$2:$C$1960,0)))</f>
        <v/>
      </c>
      <c r="B1901" s="8">
        <f>IF(ISNA(MATCH(1892,'Transfer Engine'!$C$2:$C$1960,0)),"",INDEX('Compliance Database'!$B$2:$B$1960,MATCH(1892,'Transfer Engine'!$C$2:$C$1960,0)))</f>
        <v/>
      </c>
      <c r="C1901" s="8">
        <f>IF(ISNA(MATCH(1892,'Transfer Engine'!$C$2:$C$1960,0)),"",INDEX('Compliance Database'!$C$2:$C$1960,MATCH(1892,'Transfer Engine'!$C$2:$C$1960,0)))</f>
        <v/>
      </c>
      <c r="D1901" s="9">
        <f>IF(ISNA(MATCH(1892,'Transfer Engine'!$C$2:$C$1960,0)),"",INDEX('Compliance Database'!$D$2:$D$1960,MATCH(1892,'Transfer Engine'!$C$2:$C$1960,0)))</f>
        <v/>
      </c>
      <c r="E1901" s="8">
        <f>IF(ISNA(MATCH(1892,'Transfer Engine'!$C$2:$C$1960,0)),"",INDEX('Compliance Database'!$E$2:$E$1960,MATCH(1892,'Transfer Engine'!$C$2:$C$1960,0)))</f>
        <v/>
      </c>
      <c r="F1901" s="8">
        <f>IF(ISNA(MATCH(1892,'Transfer Engine'!$C$2:$C$1960,0)),"",INDEX('Compliance Database'!$F$2:$F$1960,MATCH(1892,'Transfer Engine'!$C$2:$C$1960,0)))</f>
        <v/>
      </c>
      <c r="G1901" s="8">
        <f>IF(ISNA(MATCH(1892,'Transfer Engine'!$C$2:$C$1960,0)),"",INDEX('Compliance Database'!$G$2:$G$1960,MATCH(1892,'Transfer Engine'!$C$2:$C$1960,0)))</f>
        <v/>
      </c>
      <c r="H1901" s="9">
        <f>IF(ISNA(MATCH(1892,'Transfer Engine'!$C$2:$C$1960,0)),"",INDEX('Compliance Database'!$H$2:$H$1960,MATCH(1892,'Transfer Engine'!$C$2:$C$1960,0)))</f>
        <v/>
      </c>
      <c r="I1901" s="9">
        <f>IF(ISNA(MATCH(1892,'Transfer Engine'!$C$2:$C$1960,0)),"",INDEX('Compliance Database'!$I$2:$I$1960,MATCH(1892,'Transfer Engine'!$C$2:$C$1960,0)))</f>
        <v/>
      </c>
      <c r="J1901" s="8">
        <f>IF(ISNA(MATCH(1892,'Transfer Engine'!$C$2:$C$1960,0)),"",INDEX('Compliance Database'!$J$2:$J$1960,MATCH(1892,'Transfer Engine'!$C$2:$C$1960,0)))</f>
        <v/>
      </c>
      <c r="K1901" s="9">
        <f>IF(ISNA(MATCH(1892,'Transfer Engine'!$C$2:$C$1960,0)),"",INDEX('Compliance Database'!$K$2:$K$1960,MATCH(1892,'Transfer Engine'!$C$2:$C$1960,0)))</f>
        <v/>
      </c>
      <c r="L1901" s="9">
        <f>IF(ISNA(MATCH(1892,'Transfer Engine'!$C$2:$C$1960,0)),"",INDEX('Compliance Database'!$L$2:$L$1960,MATCH(1892,'Transfer Engine'!$C$2:$C$1960,0)))</f>
        <v/>
      </c>
      <c r="M1901" s="9">
        <f>IF(ISNA(MATCH(1892,'Transfer Engine'!$C$2:$C$1960,0)),"",INDEX('Compliance Database'!$M$2:$M$1960,MATCH(1892,'Transfer Engine'!$C$2:$C$1960,0)))</f>
        <v/>
      </c>
      <c r="N1901" s="9">
        <f>IF(ISNA(MATCH(1892,'Transfer Engine'!$C$2:$C$1960,0)),"",INDEX('Compliance Database'!$N$2:$N$1960,MATCH(1892,'Transfer Engine'!$C$2:$C$1960,0)))</f>
        <v/>
      </c>
      <c r="O1901" s="9">
        <f>IF(ISNA(MATCH(1892,'Transfer Engine'!$C$2:$C$1960,0)),"",INDEX('Compliance Database'!$O$2:$O$1960,MATCH(1892,'Transfer Engine'!$C$2:$C$1960,0)))</f>
        <v/>
      </c>
      <c r="P1901" s="8">
        <f>IF(ISNA(MATCH(1892,'Transfer Engine'!$C$2:$C$1960,0)),"",HYPERLINK("#Acts!A"&amp;INDEX('Compliance Database'!$P$2:$P$1960,MATCH(1892,'Transfer Engine'!$C$2:$C$1960,0)),"Go to Act"))</f>
        <v/>
      </c>
    </row>
    <row r="1902" ht="158" customHeight="1">
      <c r="A1902" s="8">
        <f>IF(ISNA(MATCH(1893,'Transfer Engine'!$C$2:$C$1960,0)),"",INDEX('Compliance Database'!$A$2:$A$1960,MATCH(1893,'Transfer Engine'!$C$2:$C$1960,0)))</f>
        <v/>
      </c>
      <c r="B1902" s="8">
        <f>IF(ISNA(MATCH(1893,'Transfer Engine'!$C$2:$C$1960,0)),"",INDEX('Compliance Database'!$B$2:$B$1960,MATCH(1893,'Transfer Engine'!$C$2:$C$1960,0)))</f>
        <v/>
      </c>
      <c r="C1902" s="8">
        <f>IF(ISNA(MATCH(1893,'Transfer Engine'!$C$2:$C$1960,0)),"",INDEX('Compliance Database'!$C$2:$C$1960,MATCH(1893,'Transfer Engine'!$C$2:$C$1960,0)))</f>
        <v/>
      </c>
      <c r="D1902" s="9">
        <f>IF(ISNA(MATCH(1893,'Transfer Engine'!$C$2:$C$1960,0)),"",INDEX('Compliance Database'!$D$2:$D$1960,MATCH(1893,'Transfer Engine'!$C$2:$C$1960,0)))</f>
        <v/>
      </c>
      <c r="E1902" s="8">
        <f>IF(ISNA(MATCH(1893,'Transfer Engine'!$C$2:$C$1960,0)),"",INDEX('Compliance Database'!$E$2:$E$1960,MATCH(1893,'Transfer Engine'!$C$2:$C$1960,0)))</f>
        <v/>
      </c>
      <c r="F1902" s="8">
        <f>IF(ISNA(MATCH(1893,'Transfer Engine'!$C$2:$C$1960,0)),"",INDEX('Compliance Database'!$F$2:$F$1960,MATCH(1893,'Transfer Engine'!$C$2:$C$1960,0)))</f>
        <v/>
      </c>
      <c r="G1902" s="8">
        <f>IF(ISNA(MATCH(1893,'Transfer Engine'!$C$2:$C$1960,0)),"",INDEX('Compliance Database'!$G$2:$G$1960,MATCH(1893,'Transfer Engine'!$C$2:$C$1960,0)))</f>
        <v/>
      </c>
      <c r="H1902" s="9">
        <f>IF(ISNA(MATCH(1893,'Transfer Engine'!$C$2:$C$1960,0)),"",INDEX('Compliance Database'!$H$2:$H$1960,MATCH(1893,'Transfer Engine'!$C$2:$C$1960,0)))</f>
        <v/>
      </c>
      <c r="I1902" s="9">
        <f>IF(ISNA(MATCH(1893,'Transfer Engine'!$C$2:$C$1960,0)),"",INDEX('Compliance Database'!$I$2:$I$1960,MATCH(1893,'Transfer Engine'!$C$2:$C$1960,0)))</f>
        <v/>
      </c>
      <c r="J1902" s="8">
        <f>IF(ISNA(MATCH(1893,'Transfer Engine'!$C$2:$C$1960,0)),"",INDEX('Compliance Database'!$J$2:$J$1960,MATCH(1893,'Transfer Engine'!$C$2:$C$1960,0)))</f>
        <v/>
      </c>
      <c r="K1902" s="9">
        <f>IF(ISNA(MATCH(1893,'Transfer Engine'!$C$2:$C$1960,0)),"",INDEX('Compliance Database'!$K$2:$K$1960,MATCH(1893,'Transfer Engine'!$C$2:$C$1960,0)))</f>
        <v/>
      </c>
      <c r="L1902" s="9">
        <f>IF(ISNA(MATCH(1893,'Transfer Engine'!$C$2:$C$1960,0)),"",INDEX('Compliance Database'!$L$2:$L$1960,MATCH(1893,'Transfer Engine'!$C$2:$C$1960,0)))</f>
        <v/>
      </c>
      <c r="M1902" s="9">
        <f>IF(ISNA(MATCH(1893,'Transfer Engine'!$C$2:$C$1960,0)),"",INDEX('Compliance Database'!$M$2:$M$1960,MATCH(1893,'Transfer Engine'!$C$2:$C$1960,0)))</f>
        <v/>
      </c>
      <c r="N1902" s="9">
        <f>IF(ISNA(MATCH(1893,'Transfer Engine'!$C$2:$C$1960,0)),"",INDEX('Compliance Database'!$N$2:$N$1960,MATCH(1893,'Transfer Engine'!$C$2:$C$1960,0)))</f>
        <v/>
      </c>
      <c r="O1902" s="9">
        <f>IF(ISNA(MATCH(1893,'Transfer Engine'!$C$2:$C$1960,0)),"",INDEX('Compliance Database'!$O$2:$O$1960,MATCH(1893,'Transfer Engine'!$C$2:$C$1960,0)))</f>
        <v/>
      </c>
      <c r="P1902" s="8">
        <f>IF(ISNA(MATCH(1893,'Transfer Engine'!$C$2:$C$1960,0)),"",HYPERLINK("#Acts!A"&amp;INDEX('Compliance Database'!$P$2:$P$1960,MATCH(1893,'Transfer Engine'!$C$2:$C$1960,0)),"Go to Act"))</f>
        <v/>
      </c>
    </row>
    <row r="1903" ht="158" customHeight="1">
      <c r="A1903" s="8">
        <f>IF(ISNA(MATCH(1894,'Transfer Engine'!$C$2:$C$1960,0)),"",INDEX('Compliance Database'!$A$2:$A$1960,MATCH(1894,'Transfer Engine'!$C$2:$C$1960,0)))</f>
        <v/>
      </c>
      <c r="B1903" s="8">
        <f>IF(ISNA(MATCH(1894,'Transfer Engine'!$C$2:$C$1960,0)),"",INDEX('Compliance Database'!$B$2:$B$1960,MATCH(1894,'Transfer Engine'!$C$2:$C$1960,0)))</f>
        <v/>
      </c>
      <c r="C1903" s="8">
        <f>IF(ISNA(MATCH(1894,'Transfer Engine'!$C$2:$C$1960,0)),"",INDEX('Compliance Database'!$C$2:$C$1960,MATCH(1894,'Transfer Engine'!$C$2:$C$1960,0)))</f>
        <v/>
      </c>
      <c r="D1903" s="9">
        <f>IF(ISNA(MATCH(1894,'Transfer Engine'!$C$2:$C$1960,0)),"",INDEX('Compliance Database'!$D$2:$D$1960,MATCH(1894,'Transfer Engine'!$C$2:$C$1960,0)))</f>
        <v/>
      </c>
      <c r="E1903" s="8">
        <f>IF(ISNA(MATCH(1894,'Transfer Engine'!$C$2:$C$1960,0)),"",INDEX('Compliance Database'!$E$2:$E$1960,MATCH(1894,'Transfer Engine'!$C$2:$C$1960,0)))</f>
        <v/>
      </c>
      <c r="F1903" s="8">
        <f>IF(ISNA(MATCH(1894,'Transfer Engine'!$C$2:$C$1960,0)),"",INDEX('Compliance Database'!$F$2:$F$1960,MATCH(1894,'Transfer Engine'!$C$2:$C$1960,0)))</f>
        <v/>
      </c>
      <c r="G1903" s="8">
        <f>IF(ISNA(MATCH(1894,'Transfer Engine'!$C$2:$C$1960,0)),"",INDEX('Compliance Database'!$G$2:$G$1960,MATCH(1894,'Transfer Engine'!$C$2:$C$1960,0)))</f>
        <v/>
      </c>
      <c r="H1903" s="9">
        <f>IF(ISNA(MATCH(1894,'Transfer Engine'!$C$2:$C$1960,0)),"",INDEX('Compliance Database'!$H$2:$H$1960,MATCH(1894,'Transfer Engine'!$C$2:$C$1960,0)))</f>
        <v/>
      </c>
      <c r="I1903" s="9">
        <f>IF(ISNA(MATCH(1894,'Transfer Engine'!$C$2:$C$1960,0)),"",INDEX('Compliance Database'!$I$2:$I$1960,MATCH(1894,'Transfer Engine'!$C$2:$C$1960,0)))</f>
        <v/>
      </c>
      <c r="J1903" s="8">
        <f>IF(ISNA(MATCH(1894,'Transfer Engine'!$C$2:$C$1960,0)),"",INDEX('Compliance Database'!$J$2:$J$1960,MATCH(1894,'Transfer Engine'!$C$2:$C$1960,0)))</f>
        <v/>
      </c>
      <c r="K1903" s="9">
        <f>IF(ISNA(MATCH(1894,'Transfer Engine'!$C$2:$C$1960,0)),"",INDEX('Compliance Database'!$K$2:$K$1960,MATCH(1894,'Transfer Engine'!$C$2:$C$1960,0)))</f>
        <v/>
      </c>
      <c r="L1903" s="9">
        <f>IF(ISNA(MATCH(1894,'Transfer Engine'!$C$2:$C$1960,0)),"",INDEX('Compliance Database'!$L$2:$L$1960,MATCH(1894,'Transfer Engine'!$C$2:$C$1960,0)))</f>
        <v/>
      </c>
      <c r="M1903" s="9">
        <f>IF(ISNA(MATCH(1894,'Transfer Engine'!$C$2:$C$1960,0)),"",INDEX('Compliance Database'!$M$2:$M$1960,MATCH(1894,'Transfer Engine'!$C$2:$C$1960,0)))</f>
        <v/>
      </c>
      <c r="N1903" s="9">
        <f>IF(ISNA(MATCH(1894,'Transfer Engine'!$C$2:$C$1960,0)),"",INDEX('Compliance Database'!$N$2:$N$1960,MATCH(1894,'Transfer Engine'!$C$2:$C$1960,0)))</f>
        <v/>
      </c>
      <c r="O1903" s="9">
        <f>IF(ISNA(MATCH(1894,'Transfer Engine'!$C$2:$C$1960,0)),"",INDEX('Compliance Database'!$O$2:$O$1960,MATCH(1894,'Transfer Engine'!$C$2:$C$1960,0)))</f>
        <v/>
      </c>
      <c r="P1903" s="8">
        <f>IF(ISNA(MATCH(1894,'Transfer Engine'!$C$2:$C$1960,0)),"",HYPERLINK("#Acts!A"&amp;INDEX('Compliance Database'!$P$2:$P$1960,MATCH(1894,'Transfer Engine'!$C$2:$C$1960,0)),"Go to Act"))</f>
        <v/>
      </c>
    </row>
    <row r="1904" ht="158" customHeight="1">
      <c r="A1904" s="8">
        <f>IF(ISNA(MATCH(1895,'Transfer Engine'!$C$2:$C$1960,0)),"",INDEX('Compliance Database'!$A$2:$A$1960,MATCH(1895,'Transfer Engine'!$C$2:$C$1960,0)))</f>
        <v/>
      </c>
      <c r="B1904" s="8">
        <f>IF(ISNA(MATCH(1895,'Transfer Engine'!$C$2:$C$1960,0)),"",INDEX('Compliance Database'!$B$2:$B$1960,MATCH(1895,'Transfer Engine'!$C$2:$C$1960,0)))</f>
        <v/>
      </c>
      <c r="C1904" s="8">
        <f>IF(ISNA(MATCH(1895,'Transfer Engine'!$C$2:$C$1960,0)),"",INDEX('Compliance Database'!$C$2:$C$1960,MATCH(1895,'Transfer Engine'!$C$2:$C$1960,0)))</f>
        <v/>
      </c>
      <c r="D1904" s="9">
        <f>IF(ISNA(MATCH(1895,'Transfer Engine'!$C$2:$C$1960,0)),"",INDEX('Compliance Database'!$D$2:$D$1960,MATCH(1895,'Transfer Engine'!$C$2:$C$1960,0)))</f>
        <v/>
      </c>
      <c r="E1904" s="8">
        <f>IF(ISNA(MATCH(1895,'Transfer Engine'!$C$2:$C$1960,0)),"",INDEX('Compliance Database'!$E$2:$E$1960,MATCH(1895,'Transfer Engine'!$C$2:$C$1960,0)))</f>
        <v/>
      </c>
      <c r="F1904" s="8">
        <f>IF(ISNA(MATCH(1895,'Transfer Engine'!$C$2:$C$1960,0)),"",INDEX('Compliance Database'!$F$2:$F$1960,MATCH(1895,'Transfer Engine'!$C$2:$C$1960,0)))</f>
        <v/>
      </c>
      <c r="G1904" s="8">
        <f>IF(ISNA(MATCH(1895,'Transfer Engine'!$C$2:$C$1960,0)),"",INDEX('Compliance Database'!$G$2:$G$1960,MATCH(1895,'Transfer Engine'!$C$2:$C$1960,0)))</f>
        <v/>
      </c>
      <c r="H1904" s="9">
        <f>IF(ISNA(MATCH(1895,'Transfer Engine'!$C$2:$C$1960,0)),"",INDEX('Compliance Database'!$H$2:$H$1960,MATCH(1895,'Transfer Engine'!$C$2:$C$1960,0)))</f>
        <v/>
      </c>
      <c r="I1904" s="9">
        <f>IF(ISNA(MATCH(1895,'Transfer Engine'!$C$2:$C$1960,0)),"",INDEX('Compliance Database'!$I$2:$I$1960,MATCH(1895,'Transfer Engine'!$C$2:$C$1960,0)))</f>
        <v/>
      </c>
      <c r="J1904" s="8">
        <f>IF(ISNA(MATCH(1895,'Transfer Engine'!$C$2:$C$1960,0)),"",INDEX('Compliance Database'!$J$2:$J$1960,MATCH(1895,'Transfer Engine'!$C$2:$C$1960,0)))</f>
        <v/>
      </c>
      <c r="K1904" s="9">
        <f>IF(ISNA(MATCH(1895,'Transfer Engine'!$C$2:$C$1960,0)),"",INDEX('Compliance Database'!$K$2:$K$1960,MATCH(1895,'Transfer Engine'!$C$2:$C$1960,0)))</f>
        <v/>
      </c>
      <c r="L1904" s="9">
        <f>IF(ISNA(MATCH(1895,'Transfer Engine'!$C$2:$C$1960,0)),"",INDEX('Compliance Database'!$L$2:$L$1960,MATCH(1895,'Transfer Engine'!$C$2:$C$1960,0)))</f>
        <v/>
      </c>
      <c r="M1904" s="9">
        <f>IF(ISNA(MATCH(1895,'Transfer Engine'!$C$2:$C$1960,0)),"",INDEX('Compliance Database'!$M$2:$M$1960,MATCH(1895,'Transfer Engine'!$C$2:$C$1960,0)))</f>
        <v/>
      </c>
      <c r="N1904" s="9">
        <f>IF(ISNA(MATCH(1895,'Transfer Engine'!$C$2:$C$1960,0)),"",INDEX('Compliance Database'!$N$2:$N$1960,MATCH(1895,'Transfer Engine'!$C$2:$C$1960,0)))</f>
        <v/>
      </c>
      <c r="O1904" s="9">
        <f>IF(ISNA(MATCH(1895,'Transfer Engine'!$C$2:$C$1960,0)),"",INDEX('Compliance Database'!$O$2:$O$1960,MATCH(1895,'Transfer Engine'!$C$2:$C$1960,0)))</f>
        <v/>
      </c>
      <c r="P1904" s="8">
        <f>IF(ISNA(MATCH(1895,'Transfer Engine'!$C$2:$C$1960,0)),"",HYPERLINK("#Acts!A"&amp;INDEX('Compliance Database'!$P$2:$P$1960,MATCH(1895,'Transfer Engine'!$C$2:$C$1960,0)),"Go to Act"))</f>
        <v/>
      </c>
    </row>
    <row r="1905" ht="158" customHeight="1">
      <c r="A1905" s="8">
        <f>IF(ISNA(MATCH(1896,'Transfer Engine'!$C$2:$C$1960,0)),"",INDEX('Compliance Database'!$A$2:$A$1960,MATCH(1896,'Transfer Engine'!$C$2:$C$1960,0)))</f>
        <v/>
      </c>
      <c r="B1905" s="8">
        <f>IF(ISNA(MATCH(1896,'Transfer Engine'!$C$2:$C$1960,0)),"",INDEX('Compliance Database'!$B$2:$B$1960,MATCH(1896,'Transfer Engine'!$C$2:$C$1960,0)))</f>
        <v/>
      </c>
      <c r="C1905" s="8">
        <f>IF(ISNA(MATCH(1896,'Transfer Engine'!$C$2:$C$1960,0)),"",INDEX('Compliance Database'!$C$2:$C$1960,MATCH(1896,'Transfer Engine'!$C$2:$C$1960,0)))</f>
        <v/>
      </c>
      <c r="D1905" s="9">
        <f>IF(ISNA(MATCH(1896,'Transfer Engine'!$C$2:$C$1960,0)),"",INDEX('Compliance Database'!$D$2:$D$1960,MATCH(1896,'Transfer Engine'!$C$2:$C$1960,0)))</f>
        <v/>
      </c>
      <c r="E1905" s="8">
        <f>IF(ISNA(MATCH(1896,'Transfer Engine'!$C$2:$C$1960,0)),"",INDEX('Compliance Database'!$E$2:$E$1960,MATCH(1896,'Transfer Engine'!$C$2:$C$1960,0)))</f>
        <v/>
      </c>
      <c r="F1905" s="8">
        <f>IF(ISNA(MATCH(1896,'Transfer Engine'!$C$2:$C$1960,0)),"",INDEX('Compliance Database'!$F$2:$F$1960,MATCH(1896,'Transfer Engine'!$C$2:$C$1960,0)))</f>
        <v/>
      </c>
      <c r="G1905" s="8">
        <f>IF(ISNA(MATCH(1896,'Transfer Engine'!$C$2:$C$1960,0)),"",INDEX('Compliance Database'!$G$2:$G$1960,MATCH(1896,'Transfer Engine'!$C$2:$C$1960,0)))</f>
        <v/>
      </c>
      <c r="H1905" s="9">
        <f>IF(ISNA(MATCH(1896,'Transfer Engine'!$C$2:$C$1960,0)),"",INDEX('Compliance Database'!$H$2:$H$1960,MATCH(1896,'Transfer Engine'!$C$2:$C$1960,0)))</f>
        <v/>
      </c>
      <c r="I1905" s="9">
        <f>IF(ISNA(MATCH(1896,'Transfer Engine'!$C$2:$C$1960,0)),"",INDEX('Compliance Database'!$I$2:$I$1960,MATCH(1896,'Transfer Engine'!$C$2:$C$1960,0)))</f>
        <v/>
      </c>
      <c r="J1905" s="8">
        <f>IF(ISNA(MATCH(1896,'Transfer Engine'!$C$2:$C$1960,0)),"",INDEX('Compliance Database'!$J$2:$J$1960,MATCH(1896,'Transfer Engine'!$C$2:$C$1960,0)))</f>
        <v/>
      </c>
      <c r="K1905" s="9">
        <f>IF(ISNA(MATCH(1896,'Transfer Engine'!$C$2:$C$1960,0)),"",INDEX('Compliance Database'!$K$2:$K$1960,MATCH(1896,'Transfer Engine'!$C$2:$C$1960,0)))</f>
        <v/>
      </c>
      <c r="L1905" s="9">
        <f>IF(ISNA(MATCH(1896,'Transfer Engine'!$C$2:$C$1960,0)),"",INDEX('Compliance Database'!$L$2:$L$1960,MATCH(1896,'Transfer Engine'!$C$2:$C$1960,0)))</f>
        <v/>
      </c>
      <c r="M1905" s="9">
        <f>IF(ISNA(MATCH(1896,'Transfer Engine'!$C$2:$C$1960,0)),"",INDEX('Compliance Database'!$M$2:$M$1960,MATCH(1896,'Transfer Engine'!$C$2:$C$1960,0)))</f>
        <v/>
      </c>
      <c r="N1905" s="9">
        <f>IF(ISNA(MATCH(1896,'Transfer Engine'!$C$2:$C$1960,0)),"",INDEX('Compliance Database'!$N$2:$N$1960,MATCH(1896,'Transfer Engine'!$C$2:$C$1960,0)))</f>
        <v/>
      </c>
      <c r="O1905" s="9">
        <f>IF(ISNA(MATCH(1896,'Transfer Engine'!$C$2:$C$1960,0)),"",INDEX('Compliance Database'!$O$2:$O$1960,MATCH(1896,'Transfer Engine'!$C$2:$C$1960,0)))</f>
        <v/>
      </c>
      <c r="P1905" s="8">
        <f>IF(ISNA(MATCH(1896,'Transfer Engine'!$C$2:$C$1960,0)),"",HYPERLINK("#Acts!A"&amp;INDEX('Compliance Database'!$P$2:$P$1960,MATCH(1896,'Transfer Engine'!$C$2:$C$1960,0)),"Go to Act"))</f>
        <v/>
      </c>
    </row>
    <row r="1906" ht="158" customHeight="1">
      <c r="A1906" s="8">
        <f>IF(ISNA(MATCH(1897,'Transfer Engine'!$C$2:$C$1960,0)),"",INDEX('Compliance Database'!$A$2:$A$1960,MATCH(1897,'Transfer Engine'!$C$2:$C$1960,0)))</f>
        <v/>
      </c>
      <c r="B1906" s="8">
        <f>IF(ISNA(MATCH(1897,'Transfer Engine'!$C$2:$C$1960,0)),"",INDEX('Compliance Database'!$B$2:$B$1960,MATCH(1897,'Transfer Engine'!$C$2:$C$1960,0)))</f>
        <v/>
      </c>
      <c r="C1906" s="8">
        <f>IF(ISNA(MATCH(1897,'Transfer Engine'!$C$2:$C$1960,0)),"",INDEX('Compliance Database'!$C$2:$C$1960,MATCH(1897,'Transfer Engine'!$C$2:$C$1960,0)))</f>
        <v/>
      </c>
      <c r="D1906" s="9">
        <f>IF(ISNA(MATCH(1897,'Transfer Engine'!$C$2:$C$1960,0)),"",INDEX('Compliance Database'!$D$2:$D$1960,MATCH(1897,'Transfer Engine'!$C$2:$C$1960,0)))</f>
        <v/>
      </c>
      <c r="E1906" s="8">
        <f>IF(ISNA(MATCH(1897,'Transfer Engine'!$C$2:$C$1960,0)),"",INDEX('Compliance Database'!$E$2:$E$1960,MATCH(1897,'Transfer Engine'!$C$2:$C$1960,0)))</f>
        <v/>
      </c>
      <c r="F1906" s="8">
        <f>IF(ISNA(MATCH(1897,'Transfer Engine'!$C$2:$C$1960,0)),"",INDEX('Compliance Database'!$F$2:$F$1960,MATCH(1897,'Transfer Engine'!$C$2:$C$1960,0)))</f>
        <v/>
      </c>
      <c r="G1906" s="8">
        <f>IF(ISNA(MATCH(1897,'Transfer Engine'!$C$2:$C$1960,0)),"",INDEX('Compliance Database'!$G$2:$G$1960,MATCH(1897,'Transfer Engine'!$C$2:$C$1960,0)))</f>
        <v/>
      </c>
      <c r="H1906" s="9">
        <f>IF(ISNA(MATCH(1897,'Transfer Engine'!$C$2:$C$1960,0)),"",INDEX('Compliance Database'!$H$2:$H$1960,MATCH(1897,'Transfer Engine'!$C$2:$C$1960,0)))</f>
        <v/>
      </c>
      <c r="I1906" s="9">
        <f>IF(ISNA(MATCH(1897,'Transfer Engine'!$C$2:$C$1960,0)),"",INDEX('Compliance Database'!$I$2:$I$1960,MATCH(1897,'Transfer Engine'!$C$2:$C$1960,0)))</f>
        <v/>
      </c>
      <c r="J1906" s="8">
        <f>IF(ISNA(MATCH(1897,'Transfer Engine'!$C$2:$C$1960,0)),"",INDEX('Compliance Database'!$J$2:$J$1960,MATCH(1897,'Transfer Engine'!$C$2:$C$1960,0)))</f>
        <v/>
      </c>
      <c r="K1906" s="9">
        <f>IF(ISNA(MATCH(1897,'Transfer Engine'!$C$2:$C$1960,0)),"",INDEX('Compliance Database'!$K$2:$K$1960,MATCH(1897,'Transfer Engine'!$C$2:$C$1960,0)))</f>
        <v/>
      </c>
      <c r="L1906" s="9">
        <f>IF(ISNA(MATCH(1897,'Transfer Engine'!$C$2:$C$1960,0)),"",INDEX('Compliance Database'!$L$2:$L$1960,MATCH(1897,'Transfer Engine'!$C$2:$C$1960,0)))</f>
        <v/>
      </c>
      <c r="M1906" s="9">
        <f>IF(ISNA(MATCH(1897,'Transfer Engine'!$C$2:$C$1960,0)),"",INDEX('Compliance Database'!$M$2:$M$1960,MATCH(1897,'Transfer Engine'!$C$2:$C$1960,0)))</f>
        <v/>
      </c>
      <c r="N1906" s="9">
        <f>IF(ISNA(MATCH(1897,'Transfer Engine'!$C$2:$C$1960,0)),"",INDEX('Compliance Database'!$N$2:$N$1960,MATCH(1897,'Transfer Engine'!$C$2:$C$1960,0)))</f>
        <v/>
      </c>
      <c r="O1906" s="9">
        <f>IF(ISNA(MATCH(1897,'Transfer Engine'!$C$2:$C$1960,0)),"",INDEX('Compliance Database'!$O$2:$O$1960,MATCH(1897,'Transfer Engine'!$C$2:$C$1960,0)))</f>
        <v/>
      </c>
      <c r="P1906" s="8">
        <f>IF(ISNA(MATCH(1897,'Transfer Engine'!$C$2:$C$1960,0)),"",HYPERLINK("#Acts!A"&amp;INDEX('Compliance Database'!$P$2:$P$1960,MATCH(1897,'Transfer Engine'!$C$2:$C$1960,0)),"Go to Act"))</f>
        <v/>
      </c>
    </row>
    <row r="1907" ht="158" customHeight="1">
      <c r="A1907" s="8">
        <f>IF(ISNA(MATCH(1898,'Transfer Engine'!$C$2:$C$1960,0)),"",INDEX('Compliance Database'!$A$2:$A$1960,MATCH(1898,'Transfer Engine'!$C$2:$C$1960,0)))</f>
        <v/>
      </c>
      <c r="B1907" s="8">
        <f>IF(ISNA(MATCH(1898,'Transfer Engine'!$C$2:$C$1960,0)),"",INDEX('Compliance Database'!$B$2:$B$1960,MATCH(1898,'Transfer Engine'!$C$2:$C$1960,0)))</f>
        <v/>
      </c>
      <c r="C1907" s="8">
        <f>IF(ISNA(MATCH(1898,'Transfer Engine'!$C$2:$C$1960,0)),"",INDEX('Compliance Database'!$C$2:$C$1960,MATCH(1898,'Transfer Engine'!$C$2:$C$1960,0)))</f>
        <v/>
      </c>
      <c r="D1907" s="9">
        <f>IF(ISNA(MATCH(1898,'Transfer Engine'!$C$2:$C$1960,0)),"",INDEX('Compliance Database'!$D$2:$D$1960,MATCH(1898,'Transfer Engine'!$C$2:$C$1960,0)))</f>
        <v/>
      </c>
      <c r="E1907" s="8">
        <f>IF(ISNA(MATCH(1898,'Transfer Engine'!$C$2:$C$1960,0)),"",INDEX('Compliance Database'!$E$2:$E$1960,MATCH(1898,'Transfer Engine'!$C$2:$C$1960,0)))</f>
        <v/>
      </c>
      <c r="F1907" s="8">
        <f>IF(ISNA(MATCH(1898,'Transfer Engine'!$C$2:$C$1960,0)),"",INDEX('Compliance Database'!$F$2:$F$1960,MATCH(1898,'Transfer Engine'!$C$2:$C$1960,0)))</f>
        <v/>
      </c>
      <c r="G1907" s="8">
        <f>IF(ISNA(MATCH(1898,'Transfer Engine'!$C$2:$C$1960,0)),"",INDEX('Compliance Database'!$G$2:$G$1960,MATCH(1898,'Transfer Engine'!$C$2:$C$1960,0)))</f>
        <v/>
      </c>
      <c r="H1907" s="9">
        <f>IF(ISNA(MATCH(1898,'Transfer Engine'!$C$2:$C$1960,0)),"",INDEX('Compliance Database'!$H$2:$H$1960,MATCH(1898,'Transfer Engine'!$C$2:$C$1960,0)))</f>
        <v/>
      </c>
      <c r="I1907" s="9">
        <f>IF(ISNA(MATCH(1898,'Transfer Engine'!$C$2:$C$1960,0)),"",INDEX('Compliance Database'!$I$2:$I$1960,MATCH(1898,'Transfer Engine'!$C$2:$C$1960,0)))</f>
        <v/>
      </c>
      <c r="J1907" s="8">
        <f>IF(ISNA(MATCH(1898,'Transfer Engine'!$C$2:$C$1960,0)),"",INDEX('Compliance Database'!$J$2:$J$1960,MATCH(1898,'Transfer Engine'!$C$2:$C$1960,0)))</f>
        <v/>
      </c>
      <c r="K1907" s="9">
        <f>IF(ISNA(MATCH(1898,'Transfer Engine'!$C$2:$C$1960,0)),"",INDEX('Compliance Database'!$K$2:$K$1960,MATCH(1898,'Transfer Engine'!$C$2:$C$1960,0)))</f>
        <v/>
      </c>
      <c r="L1907" s="9">
        <f>IF(ISNA(MATCH(1898,'Transfer Engine'!$C$2:$C$1960,0)),"",INDEX('Compliance Database'!$L$2:$L$1960,MATCH(1898,'Transfer Engine'!$C$2:$C$1960,0)))</f>
        <v/>
      </c>
      <c r="M1907" s="9">
        <f>IF(ISNA(MATCH(1898,'Transfer Engine'!$C$2:$C$1960,0)),"",INDEX('Compliance Database'!$M$2:$M$1960,MATCH(1898,'Transfer Engine'!$C$2:$C$1960,0)))</f>
        <v/>
      </c>
      <c r="N1907" s="9">
        <f>IF(ISNA(MATCH(1898,'Transfer Engine'!$C$2:$C$1960,0)),"",INDEX('Compliance Database'!$N$2:$N$1960,MATCH(1898,'Transfer Engine'!$C$2:$C$1960,0)))</f>
        <v/>
      </c>
      <c r="O1907" s="9">
        <f>IF(ISNA(MATCH(1898,'Transfer Engine'!$C$2:$C$1960,0)),"",INDEX('Compliance Database'!$O$2:$O$1960,MATCH(1898,'Transfer Engine'!$C$2:$C$1960,0)))</f>
        <v/>
      </c>
      <c r="P1907" s="8">
        <f>IF(ISNA(MATCH(1898,'Transfer Engine'!$C$2:$C$1960,0)),"",HYPERLINK("#Acts!A"&amp;INDEX('Compliance Database'!$P$2:$P$1960,MATCH(1898,'Transfer Engine'!$C$2:$C$1960,0)),"Go to Act"))</f>
        <v/>
      </c>
    </row>
    <row r="1908" ht="158" customHeight="1">
      <c r="A1908" s="8">
        <f>IF(ISNA(MATCH(1899,'Transfer Engine'!$C$2:$C$1960,0)),"",INDEX('Compliance Database'!$A$2:$A$1960,MATCH(1899,'Transfer Engine'!$C$2:$C$1960,0)))</f>
        <v/>
      </c>
      <c r="B1908" s="8">
        <f>IF(ISNA(MATCH(1899,'Transfer Engine'!$C$2:$C$1960,0)),"",INDEX('Compliance Database'!$B$2:$B$1960,MATCH(1899,'Transfer Engine'!$C$2:$C$1960,0)))</f>
        <v/>
      </c>
      <c r="C1908" s="8">
        <f>IF(ISNA(MATCH(1899,'Transfer Engine'!$C$2:$C$1960,0)),"",INDEX('Compliance Database'!$C$2:$C$1960,MATCH(1899,'Transfer Engine'!$C$2:$C$1960,0)))</f>
        <v/>
      </c>
      <c r="D1908" s="9">
        <f>IF(ISNA(MATCH(1899,'Transfer Engine'!$C$2:$C$1960,0)),"",INDEX('Compliance Database'!$D$2:$D$1960,MATCH(1899,'Transfer Engine'!$C$2:$C$1960,0)))</f>
        <v/>
      </c>
      <c r="E1908" s="8">
        <f>IF(ISNA(MATCH(1899,'Transfer Engine'!$C$2:$C$1960,0)),"",INDEX('Compliance Database'!$E$2:$E$1960,MATCH(1899,'Transfer Engine'!$C$2:$C$1960,0)))</f>
        <v/>
      </c>
      <c r="F1908" s="8">
        <f>IF(ISNA(MATCH(1899,'Transfer Engine'!$C$2:$C$1960,0)),"",INDEX('Compliance Database'!$F$2:$F$1960,MATCH(1899,'Transfer Engine'!$C$2:$C$1960,0)))</f>
        <v/>
      </c>
      <c r="G1908" s="8">
        <f>IF(ISNA(MATCH(1899,'Transfer Engine'!$C$2:$C$1960,0)),"",INDEX('Compliance Database'!$G$2:$G$1960,MATCH(1899,'Transfer Engine'!$C$2:$C$1960,0)))</f>
        <v/>
      </c>
      <c r="H1908" s="9">
        <f>IF(ISNA(MATCH(1899,'Transfer Engine'!$C$2:$C$1960,0)),"",INDEX('Compliance Database'!$H$2:$H$1960,MATCH(1899,'Transfer Engine'!$C$2:$C$1960,0)))</f>
        <v/>
      </c>
      <c r="I1908" s="9">
        <f>IF(ISNA(MATCH(1899,'Transfer Engine'!$C$2:$C$1960,0)),"",INDEX('Compliance Database'!$I$2:$I$1960,MATCH(1899,'Transfer Engine'!$C$2:$C$1960,0)))</f>
        <v/>
      </c>
      <c r="J1908" s="8">
        <f>IF(ISNA(MATCH(1899,'Transfer Engine'!$C$2:$C$1960,0)),"",INDEX('Compliance Database'!$J$2:$J$1960,MATCH(1899,'Transfer Engine'!$C$2:$C$1960,0)))</f>
        <v/>
      </c>
      <c r="K1908" s="9">
        <f>IF(ISNA(MATCH(1899,'Transfer Engine'!$C$2:$C$1960,0)),"",INDEX('Compliance Database'!$K$2:$K$1960,MATCH(1899,'Transfer Engine'!$C$2:$C$1960,0)))</f>
        <v/>
      </c>
      <c r="L1908" s="9">
        <f>IF(ISNA(MATCH(1899,'Transfer Engine'!$C$2:$C$1960,0)),"",INDEX('Compliance Database'!$L$2:$L$1960,MATCH(1899,'Transfer Engine'!$C$2:$C$1960,0)))</f>
        <v/>
      </c>
      <c r="M1908" s="9">
        <f>IF(ISNA(MATCH(1899,'Transfer Engine'!$C$2:$C$1960,0)),"",INDEX('Compliance Database'!$M$2:$M$1960,MATCH(1899,'Transfer Engine'!$C$2:$C$1960,0)))</f>
        <v/>
      </c>
      <c r="N1908" s="9">
        <f>IF(ISNA(MATCH(1899,'Transfer Engine'!$C$2:$C$1960,0)),"",INDEX('Compliance Database'!$N$2:$N$1960,MATCH(1899,'Transfer Engine'!$C$2:$C$1960,0)))</f>
        <v/>
      </c>
      <c r="O1908" s="9">
        <f>IF(ISNA(MATCH(1899,'Transfer Engine'!$C$2:$C$1960,0)),"",INDEX('Compliance Database'!$O$2:$O$1960,MATCH(1899,'Transfer Engine'!$C$2:$C$1960,0)))</f>
        <v/>
      </c>
      <c r="P1908" s="8">
        <f>IF(ISNA(MATCH(1899,'Transfer Engine'!$C$2:$C$1960,0)),"",HYPERLINK("#Acts!A"&amp;INDEX('Compliance Database'!$P$2:$P$1960,MATCH(1899,'Transfer Engine'!$C$2:$C$1960,0)),"Go to Act"))</f>
        <v/>
      </c>
    </row>
    <row r="1909" ht="158" customHeight="1">
      <c r="A1909" s="8">
        <f>IF(ISNA(MATCH(1900,'Transfer Engine'!$C$2:$C$1960,0)),"",INDEX('Compliance Database'!$A$2:$A$1960,MATCH(1900,'Transfer Engine'!$C$2:$C$1960,0)))</f>
        <v/>
      </c>
      <c r="B1909" s="8">
        <f>IF(ISNA(MATCH(1900,'Transfer Engine'!$C$2:$C$1960,0)),"",INDEX('Compliance Database'!$B$2:$B$1960,MATCH(1900,'Transfer Engine'!$C$2:$C$1960,0)))</f>
        <v/>
      </c>
      <c r="C1909" s="8">
        <f>IF(ISNA(MATCH(1900,'Transfer Engine'!$C$2:$C$1960,0)),"",INDEX('Compliance Database'!$C$2:$C$1960,MATCH(1900,'Transfer Engine'!$C$2:$C$1960,0)))</f>
        <v/>
      </c>
      <c r="D1909" s="9">
        <f>IF(ISNA(MATCH(1900,'Transfer Engine'!$C$2:$C$1960,0)),"",INDEX('Compliance Database'!$D$2:$D$1960,MATCH(1900,'Transfer Engine'!$C$2:$C$1960,0)))</f>
        <v/>
      </c>
      <c r="E1909" s="8">
        <f>IF(ISNA(MATCH(1900,'Transfer Engine'!$C$2:$C$1960,0)),"",INDEX('Compliance Database'!$E$2:$E$1960,MATCH(1900,'Transfer Engine'!$C$2:$C$1960,0)))</f>
        <v/>
      </c>
      <c r="F1909" s="8">
        <f>IF(ISNA(MATCH(1900,'Transfer Engine'!$C$2:$C$1960,0)),"",INDEX('Compliance Database'!$F$2:$F$1960,MATCH(1900,'Transfer Engine'!$C$2:$C$1960,0)))</f>
        <v/>
      </c>
      <c r="G1909" s="8">
        <f>IF(ISNA(MATCH(1900,'Transfer Engine'!$C$2:$C$1960,0)),"",INDEX('Compliance Database'!$G$2:$G$1960,MATCH(1900,'Transfer Engine'!$C$2:$C$1960,0)))</f>
        <v/>
      </c>
      <c r="H1909" s="9">
        <f>IF(ISNA(MATCH(1900,'Transfer Engine'!$C$2:$C$1960,0)),"",INDEX('Compliance Database'!$H$2:$H$1960,MATCH(1900,'Transfer Engine'!$C$2:$C$1960,0)))</f>
        <v/>
      </c>
      <c r="I1909" s="9">
        <f>IF(ISNA(MATCH(1900,'Transfer Engine'!$C$2:$C$1960,0)),"",INDEX('Compliance Database'!$I$2:$I$1960,MATCH(1900,'Transfer Engine'!$C$2:$C$1960,0)))</f>
        <v/>
      </c>
      <c r="J1909" s="8">
        <f>IF(ISNA(MATCH(1900,'Transfer Engine'!$C$2:$C$1960,0)),"",INDEX('Compliance Database'!$J$2:$J$1960,MATCH(1900,'Transfer Engine'!$C$2:$C$1960,0)))</f>
        <v/>
      </c>
      <c r="K1909" s="9">
        <f>IF(ISNA(MATCH(1900,'Transfer Engine'!$C$2:$C$1960,0)),"",INDEX('Compliance Database'!$K$2:$K$1960,MATCH(1900,'Transfer Engine'!$C$2:$C$1960,0)))</f>
        <v/>
      </c>
      <c r="L1909" s="9">
        <f>IF(ISNA(MATCH(1900,'Transfer Engine'!$C$2:$C$1960,0)),"",INDEX('Compliance Database'!$L$2:$L$1960,MATCH(1900,'Transfer Engine'!$C$2:$C$1960,0)))</f>
        <v/>
      </c>
      <c r="M1909" s="9">
        <f>IF(ISNA(MATCH(1900,'Transfer Engine'!$C$2:$C$1960,0)),"",INDEX('Compliance Database'!$M$2:$M$1960,MATCH(1900,'Transfer Engine'!$C$2:$C$1960,0)))</f>
        <v/>
      </c>
      <c r="N1909" s="9">
        <f>IF(ISNA(MATCH(1900,'Transfer Engine'!$C$2:$C$1960,0)),"",INDEX('Compliance Database'!$N$2:$N$1960,MATCH(1900,'Transfer Engine'!$C$2:$C$1960,0)))</f>
        <v/>
      </c>
      <c r="O1909" s="9">
        <f>IF(ISNA(MATCH(1900,'Transfer Engine'!$C$2:$C$1960,0)),"",INDEX('Compliance Database'!$O$2:$O$1960,MATCH(1900,'Transfer Engine'!$C$2:$C$1960,0)))</f>
        <v/>
      </c>
      <c r="P1909" s="8">
        <f>IF(ISNA(MATCH(1900,'Transfer Engine'!$C$2:$C$1960,0)),"",HYPERLINK("#Acts!A"&amp;INDEX('Compliance Database'!$P$2:$P$1960,MATCH(1900,'Transfer Engine'!$C$2:$C$1960,0)),"Go to Act"))</f>
        <v/>
      </c>
    </row>
    <row r="1910" ht="158" customHeight="1">
      <c r="A1910" s="8">
        <f>IF(ISNA(MATCH(1901,'Transfer Engine'!$C$2:$C$1960,0)),"",INDEX('Compliance Database'!$A$2:$A$1960,MATCH(1901,'Transfer Engine'!$C$2:$C$1960,0)))</f>
        <v/>
      </c>
      <c r="B1910" s="8">
        <f>IF(ISNA(MATCH(1901,'Transfer Engine'!$C$2:$C$1960,0)),"",INDEX('Compliance Database'!$B$2:$B$1960,MATCH(1901,'Transfer Engine'!$C$2:$C$1960,0)))</f>
        <v/>
      </c>
      <c r="C1910" s="8">
        <f>IF(ISNA(MATCH(1901,'Transfer Engine'!$C$2:$C$1960,0)),"",INDEX('Compliance Database'!$C$2:$C$1960,MATCH(1901,'Transfer Engine'!$C$2:$C$1960,0)))</f>
        <v/>
      </c>
      <c r="D1910" s="9">
        <f>IF(ISNA(MATCH(1901,'Transfer Engine'!$C$2:$C$1960,0)),"",INDEX('Compliance Database'!$D$2:$D$1960,MATCH(1901,'Transfer Engine'!$C$2:$C$1960,0)))</f>
        <v/>
      </c>
      <c r="E1910" s="8">
        <f>IF(ISNA(MATCH(1901,'Transfer Engine'!$C$2:$C$1960,0)),"",INDEX('Compliance Database'!$E$2:$E$1960,MATCH(1901,'Transfer Engine'!$C$2:$C$1960,0)))</f>
        <v/>
      </c>
      <c r="F1910" s="8">
        <f>IF(ISNA(MATCH(1901,'Transfer Engine'!$C$2:$C$1960,0)),"",INDEX('Compliance Database'!$F$2:$F$1960,MATCH(1901,'Transfer Engine'!$C$2:$C$1960,0)))</f>
        <v/>
      </c>
      <c r="G1910" s="8">
        <f>IF(ISNA(MATCH(1901,'Transfer Engine'!$C$2:$C$1960,0)),"",INDEX('Compliance Database'!$G$2:$G$1960,MATCH(1901,'Transfer Engine'!$C$2:$C$1960,0)))</f>
        <v/>
      </c>
      <c r="H1910" s="9">
        <f>IF(ISNA(MATCH(1901,'Transfer Engine'!$C$2:$C$1960,0)),"",INDEX('Compliance Database'!$H$2:$H$1960,MATCH(1901,'Transfer Engine'!$C$2:$C$1960,0)))</f>
        <v/>
      </c>
      <c r="I1910" s="9">
        <f>IF(ISNA(MATCH(1901,'Transfer Engine'!$C$2:$C$1960,0)),"",INDEX('Compliance Database'!$I$2:$I$1960,MATCH(1901,'Transfer Engine'!$C$2:$C$1960,0)))</f>
        <v/>
      </c>
      <c r="J1910" s="8">
        <f>IF(ISNA(MATCH(1901,'Transfer Engine'!$C$2:$C$1960,0)),"",INDEX('Compliance Database'!$J$2:$J$1960,MATCH(1901,'Transfer Engine'!$C$2:$C$1960,0)))</f>
        <v/>
      </c>
      <c r="K1910" s="9">
        <f>IF(ISNA(MATCH(1901,'Transfer Engine'!$C$2:$C$1960,0)),"",INDEX('Compliance Database'!$K$2:$K$1960,MATCH(1901,'Transfer Engine'!$C$2:$C$1960,0)))</f>
        <v/>
      </c>
      <c r="L1910" s="9">
        <f>IF(ISNA(MATCH(1901,'Transfer Engine'!$C$2:$C$1960,0)),"",INDEX('Compliance Database'!$L$2:$L$1960,MATCH(1901,'Transfer Engine'!$C$2:$C$1960,0)))</f>
        <v/>
      </c>
      <c r="M1910" s="9">
        <f>IF(ISNA(MATCH(1901,'Transfer Engine'!$C$2:$C$1960,0)),"",INDEX('Compliance Database'!$M$2:$M$1960,MATCH(1901,'Transfer Engine'!$C$2:$C$1960,0)))</f>
        <v/>
      </c>
      <c r="N1910" s="9">
        <f>IF(ISNA(MATCH(1901,'Transfer Engine'!$C$2:$C$1960,0)),"",INDEX('Compliance Database'!$N$2:$N$1960,MATCH(1901,'Transfer Engine'!$C$2:$C$1960,0)))</f>
        <v/>
      </c>
      <c r="O1910" s="9">
        <f>IF(ISNA(MATCH(1901,'Transfer Engine'!$C$2:$C$1960,0)),"",INDEX('Compliance Database'!$O$2:$O$1960,MATCH(1901,'Transfer Engine'!$C$2:$C$1960,0)))</f>
        <v/>
      </c>
      <c r="P1910" s="8">
        <f>IF(ISNA(MATCH(1901,'Transfer Engine'!$C$2:$C$1960,0)),"",HYPERLINK("#Acts!A"&amp;INDEX('Compliance Database'!$P$2:$P$1960,MATCH(1901,'Transfer Engine'!$C$2:$C$1960,0)),"Go to Act"))</f>
        <v/>
      </c>
    </row>
    <row r="1911" ht="158" customHeight="1">
      <c r="A1911" s="8">
        <f>IF(ISNA(MATCH(1902,'Transfer Engine'!$C$2:$C$1960,0)),"",INDEX('Compliance Database'!$A$2:$A$1960,MATCH(1902,'Transfer Engine'!$C$2:$C$1960,0)))</f>
        <v/>
      </c>
      <c r="B1911" s="8">
        <f>IF(ISNA(MATCH(1902,'Transfer Engine'!$C$2:$C$1960,0)),"",INDEX('Compliance Database'!$B$2:$B$1960,MATCH(1902,'Transfer Engine'!$C$2:$C$1960,0)))</f>
        <v/>
      </c>
      <c r="C1911" s="8">
        <f>IF(ISNA(MATCH(1902,'Transfer Engine'!$C$2:$C$1960,0)),"",INDEX('Compliance Database'!$C$2:$C$1960,MATCH(1902,'Transfer Engine'!$C$2:$C$1960,0)))</f>
        <v/>
      </c>
      <c r="D1911" s="9">
        <f>IF(ISNA(MATCH(1902,'Transfer Engine'!$C$2:$C$1960,0)),"",INDEX('Compliance Database'!$D$2:$D$1960,MATCH(1902,'Transfer Engine'!$C$2:$C$1960,0)))</f>
        <v/>
      </c>
      <c r="E1911" s="8">
        <f>IF(ISNA(MATCH(1902,'Transfer Engine'!$C$2:$C$1960,0)),"",INDEX('Compliance Database'!$E$2:$E$1960,MATCH(1902,'Transfer Engine'!$C$2:$C$1960,0)))</f>
        <v/>
      </c>
      <c r="F1911" s="8">
        <f>IF(ISNA(MATCH(1902,'Transfer Engine'!$C$2:$C$1960,0)),"",INDEX('Compliance Database'!$F$2:$F$1960,MATCH(1902,'Transfer Engine'!$C$2:$C$1960,0)))</f>
        <v/>
      </c>
      <c r="G1911" s="8">
        <f>IF(ISNA(MATCH(1902,'Transfer Engine'!$C$2:$C$1960,0)),"",INDEX('Compliance Database'!$G$2:$G$1960,MATCH(1902,'Transfer Engine'!$C$2:$C$1960,0)))</f>
        <v/>
      </c>
      <c r="H1911" s="9">
        <f>IF(ISNA(MATCH(1902,'Transfer Engine'!$C$2:$C$1960,0)),"",INDEX('Compliance Database'!$H$2:$H$1960,MATCH(1902,'Transfer Engine'!$C$2:$C$1960,0)))</f>
        <v/>
      </c>
      <c r="I1911" s="9">
        <f>IF(ISNA(MATCH(1902,'Transfer Engine'!$C$2:$C$1960,0)),"",INDEX('Compliance Database'!$I$2:$I$1960,MATCH(1902,'Transfer Engine'!$C$2:$C$1960,0)))</f>
        <v/>
      </c>
      <c r="J1911" s="8">
        <f>IF(ISNA(MATCH(1902,'Transfer Engine'!$C$2:$C$1960,0)),"",INDEX('Compliance Database'!$J$2:$J$1960,MATCH(1902,'Transfer Engine'!$C$2:$C$1960,0)))</f>
        <v/>
      </c>
      <c r="K1911" s="9">
        <f>IF(ISNA(MATCH(1902,'Transfer Engine'!$C$2:$C$1960,0)),"",INDEX('Compliance Database'!$K$2:$K$1960,MATCH(1902,'Transfer Engine'!$C$2:$C$1960,0)))</f>
        <v/>
      </c>
      <c r="L1911" s="9">
        <f>IF(ISNA(MATCH(1902,'Transfer Engine'!$C$2:$C$1960,0)),"",INDEX('Compliance Database'!$L$2:$L$1960,MATCH(1902,'Transfer Engine'!$C$2:$C$1960,0)))</f>
        <v/>
      </c>
      <c r="M1911" s="9">
        <f>IF(ISNA(MATCH(1902,'Transfer Engine'!$C$2:$C$1960,0)),"",INDEX('Compliance Database'!$M$2:$M$1960,MATCH(1902,'Transfer Engine'!$C$2:$C$1960,0)))</f>
        <v/>
      </c>
      <c r="N1911" s="9">
        <f>IF(ISNA(MATCH(1902,'Transfer Engine'!$C$2:$C$1960,0)),"",INDEX('Compliance Database'!$N$2:$N$1960,MATCH(1902,'Transfer Engine'!$C$2:$C$1960,0)))</f>
        <v/>
      </c>
      <c r="O1911" s="9">
        <f>IF(ISNA(MATCH(1902,'Transfer Engine'!$C$2:$C$1960,0)),"",INDEX('Compliance Database'!$O$2:$O$1960,MATCH(1902,'Transfer Engine'!$C$2:$C$1960,0)))</f>
        <v/>
      </c>
      <c r="P1911" s="8">
        <f>IF(ISNA(MATCH(1902,'Transfer Engine'!$C$2:$C$1960,0)),"",HYPERLINK("#Acts!A"&amp;INDEX('Compliance Database'!$P$2:$P$1960,MATCH(1902,'Transfer Engine'!$C$2:$C$1960,0)),"Go to Act"))</f>
        <v/>
      </c>
    </row>
    <row r="1912" ht="158" customHeight="1">
      <c r="A1912" s="8">
        <f>IF(ISNA(MATCH(1903,'Transfer Engine'!$C$2:$C$1960,0)),"",INDEX('Compliance Database'!$A$2:$A$1960,MATCH(1903,'Transfer Engine'!$C$2:$C$1960,0)))</f>
        <v/>
      </c>
      <c r="B1912" s="8">
        <f>IF(ISNA(MATCH(1903,'Transfer Engine'!$C$2:$C$1960,0)),"",INDEX('Compliance Database'!$B$2:$B$1960,MATCH(1903,'Transfer Engine'!$C$2:$C$1960,0)))</f>
        <v/>
      </c>
      <c r="C1912" s="8">
        <f>IF(ISNA(MATCH(1903,'Transfer Engine'!$C$2:$C$1960,0)),"",INDEX('Compliance Database'!$C$2:$C$1960,MATCH(1903,'Transfer Engine'!$C$2:$C$1960,0)))</f>
        <v/>
      </c>
      <c r="D1912" s="9">
        <f>IF(ISNA(MATCH(1903,'Transfer Engine'!$C$2:$C$1960,0)),"",INDEX('Compliance Database'!$D$2:$D$1960,MATCH(1903,'Transfer Engine'!$C$2:$C$1960,0)))</f>
        <v/>
      </c>
      <c r="E1912" s="8">
        <f>IF(ISNA(MATCH(1903,'Transfer Engine'!$C$2:$C$1960,0)),"",INDEX('Compliance Database'!$E$2:$E$1960,MATCH(1903,'Transfer Engine'!$C$2:$C$1960,0)))</f>
        <v/>
      </c>
      <c r="F1912" s="8">
        <f>IF(ISNA(MATCH(1903,'Transfer Engine'!$C$2:$C$1960,0)),"",INDEX('Compliance Database'!$F$2:$F$1960,MATCH(1903,'Transfer Engine'!$C$2:$C$1960,0)))</f>
        <v/>
      </c>
      <c r="G1912" s="8">
        <f>IF(ISNA(MATCH(1903,'Transfer Engine'!$C$2:$C$1960,0)),"",INDEX('Compliance Database'!$G$2:$G$1960,MATCH(1903,'Transfer Engine'!$C$2:$C$1960,0)))</f>
        <v/>
      </c>
      <c r="H1912" s="9">
        <f>IF(ISNA(MATCH(1903,'Transfer Engine'!$C$2:$C$1960,0)),"",INDEX('Compliance Database'!$H$2:$H$1960,MATCH(1903,'Transfer Engine'!$C$2:$C$1960,0)))</f>
        <v/>
      </c>
      <c r="I1912" s="9">
        <f>IF(ISNA(MATCH(1903,'Transfer Engine'!$C$2:$C$1960,0)),"",INDEX('Compliance Database'!$I$2:$I$1960,MATCH(1903,'Transfer Engine'!$C$2:$C$1960,0)))</f>
        <v/>
      </c>
      <c r="J1912" s="8">
        <f>IF(ISNA(MATCH(1903,'Transfer Engine'!$C$2:$C$1960,0)),"",INDEX('Compliance Database'!$J$2:$J$1960,MATCH(1903,'Transfer Engine'!$C$2:$C$1960,0)))</f>
        <v/>
      </c>
      <c r="K1912" s="9">
        <f>IF(ISNA(MATCH(1903,'Transfer Engine'!$C$2:$C$1960,0)),"",INDEX('Compliance Database'!$K$2:$K$1960,MATCH(1903,'Transfer Engine'!$C$2:$C$1960,0)))</f>
        <v/>
      </c>
      <c r="L1912" s="9">
        <f>IF(ISNA(MATCH(1903,'Transfer Engine'!$C$2:$C$1960,0)),"",INDEX('Compliance Database'!$L$2:$L$1960,MATCH(1903,'Transfer Engine'!$C$2:$C$1960,0)))</f>
        <v/>
      </c>
      <c r="M1912" s="9">
        <f>IF(ISNA(MATCH(1903,'Transfer Engine'!$C$2:$C$1960,0)),"",INDEX('Compliance Database'!$M$2:$M$1960,MATCH(1903,'Transfer Engine'!$C$2:$C$1960,0)))</f>
        <v/>
      </c>
      <c r="N1912" s="9">
        <f>IF(ISNA(MATCH(1903,'Transfer Engine'!$C$2:$C$1960,0)),"",INDEX('Compliance Database'!$N$2:$N$1960,MATCH(1903,'Transfer Engine'!$C$2:$C$1960,0)))</f>
        <v/>
      </c>
      <c r="O1912" s="9">
        <f>IF(ISNA(MATCH(1903,'Transfer Engine'!$C$2:$C$1960,0)),"",INDEX('Compliance Database'!$O$2:$O$1960,MATCH(1903,'Transfer Engine'!$C$2:$C$1960,0)))</f>
        <v/>
      </c>
      <c r="P1912" s="8">
        <f>IF(ISNA(MATCH(1903,'Transfer Engine'!$C$2:$C$1960,0)),"",HYPERLINK("#Acts!A"&amp;INDEX('Compliance Database'!$P$2:$P$1960,MATCH(1903,'Transfer Engine'!$C$2:$C$1960,0)),"Go to Act"))</f>
        <v/>
      </c>
    </row>
    <row r="1913" ht="158" customHeight="1">
      <c r="A1913" s="8">
        <f>IF(ISNA(MATCH(1904,'Transfer Engine'!$C$2:$C$1960,0)),"",INDEX('Compliance Database'!$A$2:$A$1960,MATCH(1904,'Transfer Engine'!$C$2:$C$1960,0)))</f>
        <v/>
      </c>
      <c r="B1913" s="8">
        <f>IF(ISNA(MATCH(1904,'Transfer Engine'!$C$2:$C$1960,0)),"",INDEX('Compliance Database'!$B$2:$B$1960,MATCH(1904,'Transfer Engine'!$C$2:$C$1960,0)))</f>
        <v/>
      </c>
      <c r="C1913" s="8">
        <f>IF(ISNA(MATCH(1904,'Transfer Engine'!$C$2:$C$1960,0)),"",INDEX('Compliance Database'!$C$2:$C$1960,MATCH(1904,'Transfer Engine'!$C$2:$C$1960,0)))</f>
        <v/>
      </c>
      <c r="D1913" s="9">
        <f>IF(ISNA(MATCH(1904,'Transfer Engine'!$C$2:$C$1960,0)),"",INDEX('Compliance Database'!$D$2:$D$1960,MATCH(1904,'Transfer Engine'!$C$2:$C$1960,0)))</f>
        <v/>
      </c>
      <c r="E1913" s="8">
        <f>IF(ISNA(MATCH(1904,'Transfer Engine'!$C$2:$C$1960,0)),"",INDEX('Compliance Database'!$E$2:$E$1960,MATCH(1904,'Transfer Engine'!$C$2:$C$1960,0)))</f>
        <v/>
      </c>
      <c r="F1913" s="8">
        <f>IF(ISNA(MATCH(1904,'Transfer Engine'!$C$2:$C$1960,0)),"",INDEX('Compliance Database'!$F$2:$F$1960,MATCH(1904,'Transfer Engine'!$C$2:$C$1960,0)))</f>
        <v/>
      </c>
      <c r="G1913" s="8">
        <f>IF(ISNA(MATCH(1904,'Transfer Engine'!$C$2:$C$1960,0)),"",INDEX('Compliance Database'!$G$2:$G$1960,MATCH(1904,'Transfer Engine'!$C$2:$C$1960,0)))</f>
        <v/>
      </c>
      <c r="H1913" s="9">
        <f>IF(ISNA(MATCH(1904,'Transfer Engine'!$C$2:$C$1960,0)),"",INDEX('Compliance Database'!$H$2:$H$1960,MATCH(1904,'Transfer Engine'!$C$2:$C$1960,0)))</f>
        <v/>
      </c>
      <c r="I1913" s="9">
        <f>IF(ISNA(MATCH(1904,'Transfer Engine'!$C$2:$C$1960,0)),"",INDEX('Compliance Database'!$I$2:$I$1960,MATCH(1904,'Transfer Engine'!$C$2:$C$1960,0)))</f>
        <v/>
      </c>
      <c r="J1913" s="8">
        <f>IF(ISNA(MATCH(1904,'Transfer Engine'!$C$2:$C$1960,0)),"",INDEX('Compliance Database'!$J$2:$J$1960,MATCH(1904,'Transfer Engine'!$C$2:$C$1960,0)))</f>
        <v/>
      </c>
      <c r="K1913" s="9">
        <f>IF(ISNA(MATCH(1904,'Transfer Engine'!$C$2:$C$1960,0)),"",INDEX('Compliance Database'!$K$2:$K$1960,MATCH(1904,'Transfer Engine'!$C$2:$C$1960,0)))</f>
        <v/>
      </c>
      <c r="L1913" s="9">
        <f>IF(ISNA(MATCH(1904,'Transfer Engine'!$C$2:$C$1960,0)),"",INDEX('Compliance Database'!$L$2:$L$1960,MATCH(1904,'Transfer Engine'!$C$2:$C$1960,0)))</f>
        <v/>
      </c>
      <c r="M1913" s="9">
        <f>IF(ISNA(MATCH(1904,'Transfer Engine'!$C$2:$C$1960,0)),"",INDEX('Compliance Database'!$M$2:$M$1960,MATCH(1904,'Transfer Engine'!$C$2:$C$1960,0)))</f>
        <v/>
      </c>
      <c r="N1913" s="9">
        <f>IF(ISNA(MATCH(1904,'Transfer Engine'!$C$2:$C$1960,0)),"",INDEX('Compliance Database'!$N$2:$N$1960,MATCH(1904,'Transfer Engine'!$C$2:$C$1960,0)))</f>
        <v/>
      </c>
      <c r="O1913" s="9">
        <f>IF(ISNA(MATCH(1904,'Transfer Engine'!$C$2:$C$1960,0)),"",INDEX('Compliance Database'!$O$2:$O$1960,MATCH(1904,'Transfer Engine'!$C$2:$C$1960,0)))</f>
        <v/>
      </c>
      <c r="P1913" s="8">
        <f>IF(ISNA(MATCH(1904,'Transfer Engine'!$C$2:$C$1960,0)),"",HYPERLINK("#Acts!A"&amp;INDEX('Compliance Database'!$P$2:$P$1960,MATCH(1904,'Transfer Engine'!$C$2:$C$1960,0)),"Go to Act"))</f>
        <v/>
      </c>
    </row>
    <row r="1914" ht="158" customHeight="1">
      <c r="A1914" s="8">
        <f>IF(ISNA(MATCH(1905,'Transfer Engine'!$C$2:$C$1960,0)),"",INDEX('Compliance Database'!$A$2:$A$1960,MATCH(1905,'Transfer Engine'!$C$2:$C$1960,0)))</f>
        <v/>
      </c>
      <c r="B1914" s="8">
        <f>IF(ISNA(MATCH(1905,'Transfer Engine'!$C$2:$C$1960,0)),"",INDEX('Compliance Database'!$B$2:$B$1960,MATCH(1905,'Transfer Engine'!$C$2:$C$1960,0)))</f>
        <v/>
      </c>
      <c r="C1914" s="8">
        <f>IF(ISNA(MATCH(1905,'Transfer Engine'!$C$2:$C$1960,0)),"",INDEX('Compliance Database'!$C$2:$C$1960,MATCH(1905,'Transfer Engine'!$C$2:$C$1960,0)))</f>
        <v/>
      </c>
      <c r="D1914" s="9">
        <f>IF(ISNA(MATCH(1905,'Transfer Engine'!$C$2:$C$1960,0)),"",INDEX('Compliance Database'!$D$2:$D$1960,MATCH(1905,'Transfer Engine'!$C$2:$C$1960,0)))</f>
        <v/>
      </c>
      <c r="E1914" s="8">
        <f>IF(ISNA(MATCH(1905,'Transfer Engine'!$C$2:$C$1960,0)),"",INDEX('Compliance Database'!$E$2:$E$1960,MATCH(1905,'Transfer Engine'!$C$2:$C$1960,0)))</f>
        <v/>
      </c>
      <c r="F1914" s="8">
        <f>IF(ISNA(MATCH(1905,'Transfer Engine'!$C$2:$C$1960,0)),"",INDEX('Compliance Database'!$F$2:$F$1960,MATCH(1905,'Transfer Engine'!$C$2:$C$1960,0)))</f>
        <v/>
      </c>
      <c r="G1914" s="8">
        <f>IF(ISNA(MATCH(1905,'Transfer Engine'!$C$2:$C$1960,0)),"",INDEX('Compliance Database'!$G$2:$G$1960,MATCH(1905,'Transfer Engine'!$C$2:$C$1960,0)))</f>
        <v/>
      </c>
      <c r="H1914" s="9">
        <f>IF(ISNA(MATCH(1905,'Transfer Engine'!$C$2:$C$1960,0)),"",INDEX('Compliance Database'!$H$2:$H$1960,MATCH(1905,'Transfer Engine'!$C$2:$C$1960,0)))</f>
        <v/>
      </c>
      <c r="I1914" s="9">
        <f>IF(ISNA(MATCH(1905,'Transfer Engine'!$C$2:$C$1960,0)),"",INDEX('Compliance Database'!$I$2:$I$1960,MATCH(1905,'Transfer Engine'!$C$2:$C$1960,0)))</f>
        <v/>
      </c>
      <c r="J1914" s="8">
        <f>IF(ISNA(MATCH(1905,'Transfer Engine'!$C$2:$C$1960,0)),"",INDEX('Compliance Database'!$J$2:$J$1960,MATCH(1905,'Transfer Engine'!$C$2:$C$1960,0)))</f>
        <v/>
      </c>
      <c r="K1914" s="9">
        <f>IF(ISNA(MATCH(1905,'Transfer Engine'!$C$2:$C$1960,0)),"",INDEX('Compliance Database'!$K$2:$K$1960,MATCH(1905,'Transfer Engine'!$C$2:$C$1960,0)))</f>
        <v/>
      </c>
      <c r="L1914" s="9">
        <f>IF(ISNA(MATCH(1905,'Transfer Engine'!$C$2:$C$1960,0)),"",INDEX('Compliance Database'!$L$2:$L$1960,MATCH(1905,'Transfer Engine'!$C$2:$C$1960,0)))</f>
        <v/>
      </c>
      <c r="M1914" s="9">
        <f>IF(ISNA(MATCH(1905,'Transfer Engine'!$C$2:$C$1960,0)),"",INDEX('Compliance Database'!$M$2:$M$1960,MATCH(1905,'Transfer Engine'!$C$2:$C$1960,0)))</f>
        <v/>
      </c>
      <c r="N1914" s="9">
        <f>IF(ISNA(MATCH(1905,'Transfer Engine'!$C$2:$C$1960,0)),"",INDEX('Compliance Database'!$N$2:$N$1960,MATCH(1905,'Transfer Engine'!$C$2:$C$1960,0)))</f>
        <v/>
      </c>
      <c r="O1914" s="9">
        <f>IF(ISNA(MATCH(1905,'Transfer Engine'!$C$2:$C$1960,0)),"",INDEX('Compliance Database'!$O$2:$O$1960,MATCH(1905,'Transfer Engine'!$C$2:$C$1960,0)))</f>
        <v/>
      </c>
      <c r="P1914" s="8">
        <f>IF(ISNA(MATCH(1905,'Transfer Engine'!$C$2:$C$1960,0)),"",HYPERLINK("#Acts!A"&amp;INDEX('Compliance Database'!$P$2:$P$1960,MATCH(1905,'Transfer Engine'!$C$2:$C$1960,0)),"Go to Act"))</f>
        <v/>
      </c>
    </row>
    <row r="1915" ht="158" customHeight="1">
      <c r="A1915" s="8">
        <f>IF(ISNA(MATCH(1906,'Transfer Engine'!$C$2:$C$1960,0)),"",INDEX('Compliance Database'!$A$2:$A$1960,MATCH(1906,'Transfer Engine'!$C$2:$C$1960,0)))</f>
        <v/>
      </c>
      <c r="B1915" s="8">
        <f>IF(ISNA(MATCH(1906,'Transfer Engine'!$C$2:$C$1960,0)),"",INDEX('Compliance Database'!$B$2:$B$1960,MATCH(1906,'Transfer Engine'!$C$2:$C$1960,0)))</f>
        <v/>
      </c>
      <c r="C1915" s="8">
        <f>IF(ISNA(MATCH(1906,'Transfer Engine'!$C$2:$C$1960,0)),"",INDEX('Compliance Database'!$C$2:$C$1960,MATCH(1906,'Transfer Engine'!$C$2:$C$1960,0)))</f>
        <v/>
      </c>
      <c r="D1915" s="9">
        <f>IF(ISNA(MATCH(1906,'Transfer Engine'!$C$2:$C$1960,0)),"",INDEX('Compliance Database'!$D$2:$D$1960,MATCH(1906,'Transfer Engine'!$C$2:$C$1960,0)))</f>
        <v/>
      </c>
      <c r="E1915" s="8">
        <f>IF(ISNA(MATCH(1906,'Transfer Engine'!$C$2:$C$1960,0)),"",INDEX('Compliance Database'!$E$2:$E$1960,MATCH(1906,'Transfer Engine'!$C$2:$C$1960,0)))</f>
        <v/>
      </c>
      <c r="F1915" s="8">
        <f>IF(ISNA(MATCH(1906,'Transfer Engine'!$C$2:$C$1960,0)),"",INDEX('Compliance Database'!$F$2:$F$1960,MATCH(1906,'Transfer Engine'!$C$2:$C$1960,0)))</f>
        <v/>
      </c>
      <c r="G1915" s="8">
        <f>IF(ISNA(MATCH(1906,'Transfer Engine'!$C$2:$C$1960,0)),"",INDEX('Compliance Database'!$G$2:$G$1960,MATCH(1906,'Transfer Engine'!$C$2:$C$1960,0)))</f>
        <v/>
      </c>
      <c r="H1915" s="9">
        <f>IF(ISNA(MATCH(1906,'Transfer Engine'!$C$2:$C$1960,0)),"",INDEX('Compliance Database'!$H$2:$H$1960,MATCH(1906,'Transfer Engine'!$C$2:$C$1960,0)))</f>
        <v/>
      </c>
      <c r="I1915" s="9">
        <f>IF(ISNA(MATCH(1906,'Transfer Engine'!$C$2:$C$1960,0)),"",INDEX('Compliance Database'!$I$2:$I$1960,MATCH(1906,'Transfer Engine'!$C$2:$C$1960,0)))</f>
        <v/>
      </c>
      <c r="J1915" s="8">
        <f>IF(ISNA(MATCH(1906,'Transfer Engine'!$C$2:$C$1960,0)),"",INDEX('Compliance Database'!$J$2:$J$1960,MATCH(1906,'Transfer Engine'!$C$2:$C$1960,0)))</f>
        <v/>
      </c>
      <c r="K1915" s="9">
        <f>IF(ISNA(MATCH(1906,'Transfer Engine'!$C$2:$C$1960,0)),"",INDEX('Compliance Database'!$K$2:$K$1960,MATCH(1906,'Transfer Engine'!$C$2:$C$1960,0)))</f>
        <v/>
      </c>
      <c r="L1915" s="9">
        <f>IF(ISNA(MATCH(1906,'Transfer Engine'!$C$2:$C$1960,0)),"",INDEX('Compliance Database'!$L$2:$L$1960,MATCH(1906,'Transfer Engine'!$C$2:$C$1960,0)))</f>
        <v/>
      </c>
      <c r="M1915" s="9">
        <f>IF(ISNA(MATCH(1906,'Transfer Engine'!$C$2:$C$1960,0)),"",INDEX('Compliance Database'!$M$2:$M$1960,MATCH(1906,'Transfer Engine'!$C$2:$C$1960,0)))</f>
        <v/>
      </c>
      <c r="N1915" s="9">
        <f>IF(ISNA(MATCH(1906,'Transfer Engine'!$C$2:$C$1960,0)),"",INDEX('Compliance Database'!$N$2:$N$1960,MATCH(1906,'Transfer Engine'!$C$2:$C$1960,0)))</f>
        <v/>
      </c>
      <c r="O1915" s="9">
        <f>IF(ISNA(MATCH(1906,'Transfer Engine'!$C$2:$C$1960,0)),"",INDEX('Compliance Database'!$O$2:$O$1960,MATCH(1906,'Transfer Engine'!$C$2:$C$1960,0)))</f>
        <v/>
      </c>
      <c r="P1915" s="8">
        <f>IF(ISNA(MATCH(1906,'Transfer Engine'!$C$2:$C$1960,0)),"",HYPERLINK("#Acts!A"&amp;INDEX('Compliance Database'!$P$2:$P$1960,MATCH(1906,'Transfer Engine'!$C$2:$C$1960,0)),"Go to Act"))</f>
        <v/>
      </c>
    </row>
    <row r="1916" ht="158" customHeight="1">
      <c r="A1916" s="8">
        <f>IF(ISNA(MATCH(1907,'Transfer Engine'!$C$2:$C$1960,0)),"",INDEX('Compliance Database'!$A$2:$A$1960,MATCH(1907,'Transfer Engine'!$C$2:$C$1960,0)))</f>
        <v/>
      </c>
      <c r="B1916" s="8">
        <f>IF(ISNA(MATCH(1907,'Transfer Engine'!$C$2:$C$1960,0)),"",INDEX('Compliance Database'!$B$2:$B$1960,MATCH(1907,'Transfer Engine'!$C$2:$C$1960,0)))</f>
        <v/>
      </c>
      <c r="C1916" s="8">
        <f>IF(ISNA(MATCH(1907,'Transfer Engine'!$C$2:$C$1960,0)),"",INDEX('Compliance Database'!$C$2:$C$1960,MATCH(1907,'Transfer Engine'!$C$2:$C$1960,0)))</f>
        <v/>
      </c>
      <c r="D1916" s="9">
        <f>IF(ISNA(MATCH(1907,'Transfer Engine'!$C$2:$C$1960,0)),"",INDEX('Compliance Database'!$D$2:$D$1960,MATCH(1907,'Transfer Engine'!$C$2:$C$1960,0)))</f>
        <v/>
      </c>
      <c r="E1916" s="8">
        <f>IF(ISNA(MATCH(1907,'Transfer Engine'!$C$2:$C$1960,0)),"",INDEX('Compliance Database'!$E$2:$E$1960,MATCH(1907,'Transfer Engine'!$C$2:$C$1960,0)))</f>
        <v/>
      </c>
      <c r="F1916" s="8">
        <f>IF(ISNA(MATCH(1907,'Transfer Engine'!$C$2:$C$1960,0)),"",INDEX('Compliance Database'!$F$2:$F$1960,MATCH(1907,'Transfer Engine'!$C$2:$C$1960,0)))</f>
        <v/>
      </c>
      <c r="G1916" s="8">
        <f>IF(ISNA(MATCH(1907,'Transfer Engine'!$C$2:$C$1960,0)),"",INDEX('Compliance Database'!$G$2:$G$1960,MATCH(1907,'Transfer Engine'!$C$2:$C$1960,0)))</f>
        <v/>
      </c>
      <c r="H1916" s="9">
        <f>IF(ISNA(MATCH(1907,'Transfer Engine'!$C$2:$C$1960,0)),"",INDEX('Compliance Database'!$H$2:$H$1960,MATCH(1907,'Transfer Engine'!$C$2:$C$1960,0)))</f>
        <v/>
      </c>
      <c r="I1916" s="9">
        <f>IF(ISNA(MATCH(1907,'Transfer Engine'!$C$2:$C$1960,0)),"",INDEX('Compliance Database'!$I$2:$I$1960,MATCH(1907,'Transfer Engine'!$C$2:$C$1960,0)))</f>
        <v/>
      </c>
      <c r="J1916" s="8">
        <f>IF(ISNA(MATCH(1907,'Transfer Engine'!$C$2:$C$1960,0)),"",INDEX('Compliance Database'!$J$2:$J$1960,MATCH(1907,'Transfer Engine'!$C$2:$C$1960,0)))</f>
        <v/>
      </c>
      <c r="K1916" s="9">
        <f>IF(ISNA(MATCH(1907,'Transfer Engine'!$C$2:$C$1960,0)),"",INDEX('Compliance Database'!$K$2:$K$1960,MATCH(1907,'Transfer Engine'!$C$2:$C$1960,0)))</f>
        <v/>
      </c>
      <c r="L1916" s="9">
        <f>IF(ISNA(MATCH(1907,'Transfer Engine'!$C$2:$C$1960,0)),"",INDEX('Compliance Database'!$L$2:$L$1960,MATCH(1907,'Transfer Engine'!$C$2:$C$1960,0)))</f>
        <v/>
      </c>
      <c r="M1916" s="9">
        <f>IF(ISNA(MATCH(1907,'Transfer Engine'!$C$2:$C$1960,0)),"",INDEX('Compliance Database'!$M$2:$M$1960,MATCH(1907,'Transfer Engine'!$C$2:$C$1960,0)))</f>
        <v/>
      </c>
      <c r="N1916" s="9">
        <f>IF(ISNA(MATCH(1907,'Transfer Engine'!$C$2:$C$1960,0)),"",INDEX('Compliance Database'!$N$2:$N$1960,MATCH(1907,'Transfer Engine'!$C$2:$C$1960,0)))</f>
        <v/>
      </c>
      <c r="O1916" s="9">
        <f>IF(ISNA(MATCH(1907,'Transfer Engine'!$C$2:$C$1960,0)),"",INDEX('Compliance Database'!$O$2:$O$1960,MATCH(1907,'Transfer Engine'!$C$2:$C$1960,0)))</f>
        <v/>
      </c>
      <c r="P1916" s="8">
        <f>IF(ISNA(MATCH(1907,'Transfer Engine'!$C$2:$C$1960,0)),"",HYPERLINK("#Acts!A"&amp;INDEX('Compliance Database'!$P$2:$P$1960,MATCH(1907,'Transfer Engine'!$C$2:$C$1960,0)),"Go to Act"))</f>
        <v/>
      </c>
    </row>
    <row r="1917" ht="158" customHeight="1">
      <c r="A1917" s="8">
        <f>IF(ISNA(MATCH(1908,'Transfer Engine'!$C$2:$C$1960,0)),"",INDEX('Compliance Database'!$A$2:$A$1960,MATCH(1908,'Transfer Engine'!$C$2:$C$1960,0)))</f>
        <v/>
      </c>
      <c r="B1917" s="8">
        <f>IF(ISNA(MATCH(1908,'Transfer Engine'!$C$2:$C$1960,0)),"",INDEX('Compliance Database'!$B$2:$B$1960,MATCH(1908,'Transfer Engine'!$C$2:$C$1960,0)))</f>
        <v/>
      </c>
      <c r="C1917" s="8">
        <f>IF(ISNA(MATCH(1908,'Transfer Engine'!$C$2:$C$1960,0)),"",INDEX('Compliance Database'!$C$2:$C$1960,MATCH(1908,'Transfer Engine'!$C$2:$C$1960,0)))</f>
        <v/>
      </c>
      <c r="D1917" s="9">
        <f>IF(ISNA(MATCH(1908,'Transfer Engine'!$C$2:$C$1960,0)),"",INDEX('Compliance Database'!$D$2:$D$1960,MATCH(1908,'Transfer Engine'!$C$2:$C$1960,0)))</f>
        <v/>
      </c>
      <c r="E1917" s="8">
        <f>IF(ISNA(MATCH(1908,'Transfer Engine'!$C$2:$C$1960,0)),"",INDEX('Compliance Database'!$E$2:$E$1960,MATCH(1908,'Transfer Engine'!$C$2:$C$1960,0)))</f>
        <v/>
      </c>
      <c r="F1917" s="8">
        <f>IF(ISNA(MATCH(1908,'Transfer Engine'!$C$2:$C$1960,0)),"",INDEX('Compliance Database'!$F$2:$F$1960,MATCH(1908,'Transfer Engine'!$C$2:$C$1960,0)))</f>
        <v/>
      </c>
      <c r="G1917" s="8">
        <f>IF(ISNA(MATCH(1908,'Transfer Engine'!$C$2:$C$1960,0)),"",INDEX('Compliance Database'!$G$2:$G$1960,MATCH(1908,'Transfer Engine'!$C$2:$C$1960,0)))</f>
        <v/>
      </c>
      <c r="H1917" s="9">
        <f>IF(ISNA(MATCH(1908,'Transfer Engine'!$C$2:$C$1960,0)),"",INDEX('Compliance Database'!$H$2:$H$1960,MATCH(1908,'Transfer Engine'!$C$2:$C$1960,0)))</f>
        <v/>
      </c>
      <c r="I1917" s="9">
        <f>IF(ISNA(MATCH(1908,'Transfer Engine'!$C$2:$C$1960,0)),"",INDEX('Compliance Database'!$I$2:$I$1960,MATCH(1908,'Transfer Engine'!$C$2:$C$1960,0)))</f>
        <v/>
      </c>
      <c r="J1917" s="8">
        <f>IF(ISNA(MATCH(1908,'Transfer Engine'!$C$2:$C$1960,0)),"",INDEX('Compliance Database'!$J$2:$J$1960,MATCH(1908,'Transfer Engine'!$C$2:$C$1960,0)))</f>
        <v/>
      </c>
      <c r="K1917" s="9">
        <f>IF(ISNA(MATCH(1908,'Transfer Engine'!$C$2:$C$1960,0)),"",INDEX('Compliance Database'!$K$2:$K$1960,MATCH(1908,'Transfer Engine'!$C$2:$C$1960,0)))</f>
        <v/>
      </c>
      <c r="L1917" s="9">
        <f>IF(ISNA(MATCH(1908,'Transfer Engine'!$C$2:$C$1960,0)),"",INDEX('Compliance Database'!$L$2:$L$1960,MATCH(1908,'Transfer Engine'!$C$2:$C$1960,0)))</f>
        <v/>
      </c>
      <c r="M1917" s="9">
        <f>IF(ISNA(MATCH(1908,'Transfer Engine'!$C$2:$C$1960,0)),"",INDEX('Compliance Database'!$M$2:$M$1960,MATCH(1908,'Transfer Engine'!$C$2:$C$1960,0)))</f>
        <v/>
      </c>
      <c r="N1917" s="9">
        <f>IF(ISNA(MATCH(1908,'Transfer Engine'!$C$2:$C$1960,0)),"",INDEX('Compliance Database'!$N$2:$N$1960,MATCH(1908,'Transfer Engine'!$C$2:$C$1960,0)))</f>
        <v/>
      </c>
      <c r="O1917" s="9">
        <f>IF(ISNA(MATCH(1908,'Transfer Engine'!$C$2:$C$1960,0)),"",INDEX('Compliance Database'!$O$2:$O$1960,MATCH(1908,'Transfer Engine'!$C$2:$C$1960,0)))</f>
        <v/>
      </c>
      <c r="P1917" s="8">
        <f>IF(ISNA(MATCH(1908,'Transfer Engine'!$C$2:$C$1960,0)),"",HYPERLINK("#Acts!A"&amp;INDEX('Compliance Database'!$P$2:$P$1960,MATCH(1908,'Transfer Engine'!$C$2:$C$1960,0)),"Go to Act"))</f>
        <v/>
      </c>
    </row>
    <row r="1918" ht="158" customHeight="1">
      <c r="A1918" s="8">
        <f>IF(ISNA(MATCH(1909,'Transfer Engine'!$C$2:$C$1960,0)),"",INDEX('Compliance Database'!$A$2:$A$1960,MATCH(1909,'Transfer Engine'!$C$2:$C$1960,0)))</f>
        <v/>
      </c>
      <c r="B1918" s="8">
        <f>IF(ISNA(MATCH(1909,'Transfer Engine'!$C$2:$C$1960,0)),"",INDEX('Compliance Database'!$B$2:$B$1960,MATCH(1909,'Transfer Engine'!$C$2:$C$1960,0)))</f>
        <v/>
      </c>
      <c r="C1918" s="8">
        <f>IF(ISNA(MATCH(1909,'Transfer Engine'!$C$2:$C$1960,0)),"",INDEX('Compliance Database'!$C$2:$C$1960,MATCH(1909,'Transfer Engine'!$C$2:$C$1960,0)))</f>
        <v/>
      </c>
      <c r="D1918" s="9">
        <f>IF(ISNA(MATCH(1909,'Transfer Engine'!$C$2:$C$1960,0)),"",INDEX('Compliance Database'!$D$2:$D$1960,MATCH(1909,'Transfer Engine'!$C$2:$C$1960,0)))</f>
        <v/>
      </c>
      <c r="E1918" s="8">
        <f>IF(ISNA(MATCH(1909,'Transfer Engine'!$C$2:$C$1960,0)),"",INDEX('Compliance Database'!$E$2:$E$1960,MATCH(1909,'Transfer Engine'!$C$2:$C$1960,0)))</f>
        <v/>
      </c>
      <c r="F1918" s="8">
        <f>IF(ISNA(MATCH(1909,'Transfer Engine'!$C$2:$C$1960,0)),"",INDEX('Compliance Database'!$F$2:$F$1960,MATCH(1909,'Transfer Engine'!$C$2:$C$1960,0)))</f>
        <v/>
      </c>
      <c r="G1918" s="8">
        <f>IF(ISNA(MATCH(1909,'Transfer Engine'!$C$2:$C$1960,0)),"",INDEX('Compliance Database'!$G$2:$G$1960,MATCH(1909,'Transfer Engine'!$C$2:$C$1960,0)))</f>
        <v/>
      </c>
      <c r="H1918" s="9">
        <f>IF(ISNA(MATCH(1909,'Transfer Engine'!$C$2:$C$1960,0)),"",INDEX('Compliance Database'!$H$2:$H$1960,MATCH(1909,'Transfer Engine'!$C$2:$C$1960,0)))</f>
        <v/>
      </c>
      <c r="I1918" s="9">
        <f>IF(ISNA(MATCH(1909,'Transfer Engine'!$C$2:$C$1960,0)),"",INDEX('Compliance Database'!$I$2:$I$1960,MATCH(1909,'Transfer Engine'!$C$2:$C$1960,0)))</f>
        <v/>
      </c>
      <c r="J1918" s="8">
        <f>IF(ISNA(MATCH(1909,'Transfer Engine'!$C$2:$C$1960,0)),"",INDEX('Compliance Database'!$J$2:$J$1960,MATCH(1909,'Transfer Engine'!$C$2:$C$1960,0)))</f>
        <v/>
      </c>
      <c r="K1918" s="9">
        <f>IF(ISNA(MATCH(1909,'Transfer Engine'!$C$2:$C$1960,0)),"",INDEX('Compliance Database'!$K$2:$K$1960,MATCH(1909,'Transfer Engine'!$C$2:$C$1960,0)))</f>
        <v/>
      </c>
      <c r="L1918" s="9">
        <f>IF(ISNA(MATCH(1909,'Transfer Engine'!$C$2:$C$1960,0)),"",INDEX('Compliance Database'!$L$2:$L$1960,MATCH(1909,'Transfer Engine'!$C$2:$C$1960,0)))</f>
        <v/>
      </c>
      <c r="M1918" s="9">
        <f>IF(ISNA(MATCH(1909,'Transfer Engine'!$C$2:$C$1960,0)),"",INDEX('Compliance Database'!$M$2:$M$1960,MATCH(1909,'Transfer Engine'!$C$2:$C$1960,0)))</f>
        <v/>
      </c>
      <c r="N1918" s="9">
        <f>IF(ISNA(MATCH(1909,'Transfer Engine'!$C$2:$C$1960,0)),"",INDEX('Compliance Database'!$N$2:$N$1960,MATCH(1909,'Transfer Engine'!$C$2:$C$1960,0)))</f>
        <v/>
      </c>
      <c r="O1918" s="9">
        <f>IF(ISNA(MATCH(1909,'Transfer Engine'!$C$2:$C$1960,0)),"",INDEX('Compliance Database'!$O$2:$O$1960,MATCH(1909,'Transfer Engine'!$C$2:$C$1960,0)))</f>
        <v/>
      </c>
      <c r="P1918" s="8">
        <f>IF(ISNA(MATCH(1909,'Transfer Engine'!$C$2:$C$1960,0)),"",HYPERLINK("#Acts!A"&amp;INDEX('Compliance Database'!$P$2:$P$1960,MATCH(1909,'Transfer Engine'!$C$2:$C$1960,0)),"Go to Act"))</f>
        <v/>
      </c>
    </row>
    <row r="1919" ht="158" customHeight="1">
      <c r="A1919" s="8">
        <f>IF(ISNA(MATCH(1910,'Transfer Engine'!$C$2:$C$1960,0)),"",INDEX('Compliance Database'!$A$2:$A$1960,MATCH(1910,'Transfer Engine'!$C$2:$C$1960,0)))</f>
        <v/>
      </c>
      <c r="B1919" s="8">
        <f>IF(ISNA(MATCH(1910,'Transfer Engine'!$C$2:$C$1960,0)),"",INDEX('Compliance Database'!$B$2:$B$1960,MATCH(1910,'Transfer Engine'!$C$2:$C$1960,0)))</f>
        <v/>
      </c>
      <c r="C1919" s="8">
        <f>IF(ISNA(MATCH(1910,'Transfer Engine'!$C$2:$C$1960,0)),"",INDEX('Compliance Database'!$C$2:$C$1960,MATCH(1910,'Transfer Engine'!$C$2:$C$1960,0)))</f>
        <v/>
      </c>
      <c r="D1919" s="9">
        <f>IF(ISNA(MATCH(1910,'Transfer Engine'!$C$2:$C$1960,0)),"",INDEX('Compliance Database'!$D$2:$D$1960,MATCH(1910,'Transfer Engine'!$C$2:$C$1960,0)))</f>
        <v/>
      </c>
      <c r="E1919" s="8">
        <f>IF(ISNA(MATCH(1910,'Transfer Engine'!$C$2:$C$1960,0)),"",INDEX('Compliance Database'!$E$2:$E$1960,MATCH(1910,'Transfer Engine'!$C$2:$C$1960,0)))</f>
        <v/>
      </c>
      <c r="F1919" s="8">
        <f>IF(ISNA(MATCH(1910,'Transfer Engine'!$C$2:$C$1960,0)),"",INDEX('Compliance Database'!$F$2:$F$1960,MATCH(1910,'Transfer Engine'!$C$2:$C$1960,0)))</f>
        <v/>
      </c>
      <c r="G1919" s="8">
        <f>IF(ISNA(MATCH(1910,'Transfer Engine'!$C$2:$C$1960,0)),"",INDEX('Compliance Database'!$G$2:$G$1960,MATCH(1910,'Transfer Engine'!$C$2:$C$1960,0)))</f>
        <v/>
      </c>
      <c r="H1919" s="9">
        <f>IF(ISNA(MATCH(1910,'Transfer Engine'!$C$2:$C$1960,0)),"",INDEX('Compliance Database'!$H$2:$H$1960,MATCH(1910,'Transfer Engine'!$C$2:$C$1960,0)))</f>
        <v/>
      </c>
      <c r="I1919" s="9">
        <f>IF(ISNA(MATCH(1910,'Transfer Engine'!$C$2:$C$1960,0)),"",INDEX('Compliance Database'!$I$2:$I$1960,MATCH(1910,'Transfer Engine'!$C$2:$C$1960,0)))</f>
        <v/>
      </c>
      <c r="J1919" s="8">
        <f>IF(ISNA(MATCH(1910,'Transfer Engine'!$C$2:$C$1960,0)),"",INDEX('Compliance Database'!$J$2:$J$1960,MATCH(1910,'Transfer Engine'!$C$2:$C$1960,0)))</f>
        <v/>
      </c>
      <c r="K1919" s="9">
        <f>IF(ISNA(MATCH(1910,'Transfer Engine'!$C$2:$C$1960,0)),"",INDEX('Compliance Database'!$K$2:$K$1960,MATCH(1910,'Transfer Engine'!$C$2:$C$1960,0)))</f>
        <v/>
      </c>
      <c r="L1919" s="9">
        <f>IF(ISNA(MATCH(1910,'Transfer Engine'!$C$2:$C$1960,0)),"",INDEX('Compliance Database'!$L$2:$L$1960,MATCH(1910,'Transfer Engine'!$C$2:$C$1960,0)))</f>
        <v/>
      </c>
      <c r="M1919" s="9">
        <f>IF(ISNA(MATCH(1910,'Transfer Engine'!$C$2:$C$1960,0)),"",INDEX('Compliance Database'!$M$2:$M$1960,MATCH(1910,'Transfer Engine'!$C$2:$C$1960,0)))</f>
        <v/>
      </c>
      <c r="N1919" s="9">
        <f>IF(ISNA(MATCH(1910,'Transfer Engine'!$C$2:$C$1960,0)),"",INDEX('Compliance Database'!$N$2:$N$1960,MATCH(1910,'Transfer Engine'!$C$2:$C$1960,0)))</f>
        <v/>
      </c>
      <c r="O1919" s="9">
        <f>IF(ISNA(MATCH(1910,'Transfer Engine'!$C$2:$C$1960,0)),"",INDEX('Compliance Database'!$O$2:$O$1960,MATCH(1910,'Transfer Engine'!$C$2:$C$1960,0)))</f>
        <v/>
      </c>
      <c r="P1919" s="8">
        <f>IF(ISNA(MATCH(1910,'Transfer Engine'!$C$2:$C$1960,0)),"",HYPERLINK("#Acts!A"&amp;INDEX('Compliance Database'!$P$2:$P$1960,MATCH(1910,'Transfer Engine'!$C$2:$C$1960,0)),"Go to Act"))</f>
        <v/>
      </c>
    </row>
    <row r="1920" ht="158" customHeight="1">
      <c r="A1920" s="8">
        <f>IF(ISNA(MATCH(1911,'Transfer Engine'!$C$2:$C$1960,0)),"",INDEX('Compliance Database'!$A$2:$A$1960,MATCH(1911,'Transfer Engine'!$C$2:$C$1960,0)))</f>
        <v/>
      </c>
      <c r="B1920" s="8">
        <f>IF(ISNA(MATCH(1911,'Transfer Engine'!$C$2:$C$1960,0)),"",INDEX('Compliance Database'!$B$2:$B$1960,MATCH(1911,'Transfer Engine'!$C$2:$C$1960,0)))</f>
        <v/>
      </c>
      <c r="C1920" s="8">
        <f>IF(ISNA(MATCH(1911,'Transfer Engine'!$C$2:$C$1960,0)),"",INDEX('Compliance Database'!$C$2:$C$1960,MATCH(1911,'Transfer Engine'!$C$2:$C$1960,0)))</f>
        <v/>
      </c>
      <c r="D1920" s="9">
        <f>IF(ISNA(MATCH(1911,'Transfer Engine'!$C$2:$C$1960,0)),"",INDEX('Compliance Database'!$D$2:$D$1960,MATCH(1911,'Transfer Engine'!$C$2:$C$1960,0)))</f>
        <v/>
      </c>
      <c r="E1920" s="8">
        <f>IF(ISNA(MATCH(1911,'Transfer Engine'!$C$2:$C$1960,0)),"",INDEX('Compliance Database'!$E$2:$E$1960,MATCH(1911,'Transfer Engine'!$C$2:$C$1960,0)))</f>
        <v/>
      </c>
      <c r="F1920" s="8">
        <f>IF(ISNA(MATCH(1911,'Transfer Engine'!$C$2:$C$1960,0)),"",INDEX('Compliance Database'!$F$2:$F$1960,MATCH(1911,'Transfer Engine'!$C$2:$C$1960,0)))</f>
        <v/>
      </c>
      <c r="G1920" s="8">
        <f>IF(ISNA(MATCH(1911,'Transfer Engine'!$C$2:$C$1960,0)),"",INDEX('Compliance Database'!$G$2:$G$1960,MATCH(1911,'Transfer Engine'!$C$2:$C$1960,0)))</f>
        <v/>
      </c>
      <c r="H1920" s="9">
        <f>IF(ISNA(MATCH(1911,'Transfer Engine'!$C$2:$C$1960,0)),"",INDEX('Compliance Database'!$H$2:$H$1960,MATCH(1911,'Transfer Engine'!$C$2:$C$1960,0)))</f>
        <v/>
      </c>
      <c r="I1920" s="9">
        <f>IF(ISNA(MATCH(1911,'Transfer Engine'!$C$2:$C$1960,0)),"",INDEX('Compliance Database'!$I$2:$I$1960,MATCH(1911,'Transfer Engine'!$C$2:$C$1960,0)))</f>
        <v/>
      </c>
      <c r="J1920" s="8">
        <f>IF(ISNA(MATCH(1911,'Transfer Engine'!$C$2:$C$1960,0)),"",INDEX('Compliance Database'!$J$2:$J$1960,MATCH(1911,'Transfer Engine'!$C$2:$C$1960,0)))</f>
        <v/>
      </c>
      <c r="K1920" s="9">
        <f>IF(ISNA(MATCH(1911,'Transfer Engine'!$C$2:$C$1960,0)),"",INDEX('Compliance Database'!$K$2:$K$1960,MATCH(1911,'Transfer Engine'!$C$2:$C$1960,0)))</f>
        <v/>
      </c>
      <c r="L1920" s="9">
        <f>IF(ISNA(MATCH(1911,'Transfer Engine'!$C$2:$C$1960,0)),"",INDEX('Compliance Database'!$L$2:$L$1960,MATCH(1911,'Transfer Engine'!$C$2:$C$1960,0)))</f>
        <v/>
      </c>
      <c r="M1920" s="9">
        <f>IF(ISNA(MATCH(1911,'Transfer Engine'!$C$2:$C$1960,0)),"",INDEX('Compliance Database'!$M$2:$M$1960,MATCH(1911,'Transfer Engine'!$C$2:$C$1960,0)))</f>
        <v/>
      </c>
      <c r="N1920" s="9">
        <f>IF(ISNA(MATCH(1911,'Transfer Engine'!$C$2:$C$1960,0)),"",INDEX('Compliance Database'!$N$2:$N$1960,MATCH(1911,'Transfer Engine'!$C$2:$C$1960,0)))</f>
        <v/>
      </c>
      <c r="O1920" s="9">
        <f>IF(ISNA(MATCH(1911,'Transfer Engine'!$C$2:$C$1960,0)),"",INDEX('Compliance Database'!$O$2:$O$1960,MATCH(1911,'Transfer Engine'!$C$2:$C$1960,0)))</f>
        <v/>
      </c>
      <c r="P1920" s="8">
        <f>IF(ISNA(MATCH(1911,'Transfer Engine'!$C$2:$C$1960,0)),"",HYPERLINK("#Acts!A"&amp;INDEX('Compliance Database'!$P$2:$P$1960,MATCH(1911,'Transfer Engine'!$C$2:$C$1960,0)),"Go to Act"))</f>
        <v/>
      </c>
    </row>
    <row r="1921" ht="158" customHeight="1">
      <c r="A1921" s="8">
        <f>IF(ISNA(MATCH(1912,'Transfer Engine'!$C$2:$C$1960,0)),"",INDEX('Compliance Database'!$A$2:$A$1960,MATCH(1912,'Transfer Engine'!$C$2:$C$1960,0)))</f>
        <v/>
      </c>
      <c r="B1921" s="8">
        <f>IF(ISNA(MATCH(1912,'Transfer Engine'!$C$2:$C$1960,0)),"",INDEX('Compliance Database'!$B$2:$B$1960,MATCH(1912,'Transfer Engine'!$C$2:$C$1960,0)))</f>
        <v/>
      </c>
      <c r="C1921" s="8">
        <f>IF(ISNA(MATCH(1912,'Transfer Engine'!$C$2:$C$1960,0)),"",INDEX('Compliance Database'!$C$2:$C$1960,MATCH(1912,'Transfer Engine'!$C$2:$C$1960,0)))</f>
        <v/>
      </c>
      <c r="D1921" s="9">
        <f>IF(ISNA(MATCH(1912,'Transfer Engine'!$C$2:$C$1960,0)),"",INDEX('Compliance Database'!$D$2:$D$1960,MATCH(1912,'Transfer Engine'!$C$2:$C$1960,0)))</f>
        <v/>
      </c>
      <c r="E1921" s="8">
        <f>IF(ISNA(MATCH(1912,'Transfer Engine'!$C$2:$C$1960,0)),"",INDEX('Compliance Database'!$E$2:$E$1960,MATCH(1912,'Transfer Engine'!$C$2:$C$1960,0)))</f>
        <v/>
      </c>
      <c r="F1921" s="8">
        <f>IF(ISNA(MATCH(1912,'Transfer Engine'!$C$2:$C$1960,0)),"",INDEX('Compliance Database'!$F$2:$F$1960,MATCH(1912,'Transfer Engine'!$C$2:$C$1960,0)))</f>
        <v/>
      </c>
      <c r="G1921" s="8">
        <f>IF(ISNA(MATCH(1912,'Transfer Engine'!$C$2:$C$1960,0)),"",INDEX('Compliance Database'!$G$2:$G$1960,MATCH(1912,'Transfer Engine'!$C$2:$C$1960,0)))</f>
        <v/>
      </c>
      <c r="H1921" s="9">
        <f>IF(ISNA(MATCH(1912,'Transfer Engine'!$C$2:$C$1960,0)),"",INDEX('Compliance Database'!$H$2:$H$1960,MATCH(1912,'Transfer Engine'!$C$2:$C$1960,0)))</f>
        <v/>
      </c>
      <c r="I1921" s="9">
        <f>IF(ISNA(MATCH(1912,'Transfer Engine'!$C$2:$C$1960,0)),"",INDEX('Compliance Database'!$I$2:$I$1960,MATCH(1912,'Transfer Engine'!$C$2:$C$1960,0)))</f>
        <v/>
      </c>
      <c r="J1921" s="8">
        <f>IF(ISNA(MATCH(1912,'Transfer Engine'!$C$2:$C$1960,0)),"",INDEX('Compliance Database'!$J$2:$J$1960,MATCH(1912,'Transfer Engine'!$C$2:$C$1960,0)))</f>
        <v/>
      </c>
      <c r="K1921" s="9">
        <f>IF(ISNA(MATCH(1912,'Transfer Engine'!$C$2:$C$1960,0)),"",INDEX('Compliance Database'!$K$2:$K$1960,MATCH(1912,'Transfer Engine'!$C$2:$C$1960,0)))</f>
        <v/>
      </c>
      <c r="L1921" s="9">
        <f>IF(ISNA(MATCH(1912,'Transfer Engine'!$C$2:$C$1960,0)),"",INDEX('Compliance Database'!$L$2:$L$1960,MATCH(1912,'Transfer Engine'!$C$2:$C$1960,0)))</f>
        <v/>
      </c>
      <c r="M1921" s="9">
        <f>IF(ISNA(MATCH(1912,'Transfer Engine'!$C$2:$C$1960,0)),"",INDEX('Compliance Database'!$M$2:$M$1960,MATCH(1912,'Transfer Engine'!$C$2:$C$1960,0)))</f>
        <v/>
      </c>
      <c r="N1921" s="9">
        <f>IF(ISNA(MATCH(1912,'Transfer Engine'!$C$2:$C$1960,0)),"",INDEX('Compliance Database'!$N$2:$N$1960,MATCH(1912,'Transfer Engine'!$C$2:$C$1960,0)))</f>
        <v/>
      </c>
      <c r="O1921" s="9">
        <f>IF(ISNA(MATCH(1912,'Transfer Engine'!$C$2:$C$1960,0)),"",INDEX('Compliance Database'!$O$2:$O$1960,MATCH(1912,'Transfer Engine'!$C$2:$C$1960,0)))</f>
        <v/>
      </c>
      <c r="P1921" s="8">
        <f>IF(ISNA(MATCH(1912,'Transfer Engine'!$C$2:$C$1960,0)),"",HYPERLINK("#Acts!A"&amp;INDEX('Compliance Database'!$P$2:$P$1960,MATCH(1912,'Transfer Engine'!$C$2:$C$1960,0)),"Go to Act"))</f>
        <v/>
      </c>
    </row>
    <row r="1922" ht="158" customHeight="1">
      <c r="A1922" s="8">
        <f>IF(ISNA(MATCH(1913,'Transfer Engine'!$C$2:$C$1960,0)),"",INDEX('Compliance Database'!$A$2:$A$1960,MATCH(1913,'Transfer Engine'!$C$2:$C$1960,0)))</f>
        <v/>
      </c>
      <c r="B1922" s="8">
        <f>IF(ISNA(MATCH(1913,'Transfer Engine'!$C$2:$C$1960,0)),"",INDEX('Compliance Database'!$B$2:$B$1960,MATCH(1913,'Transfer Engine'!$C$2:$C$1960,0)))</f>
        <v/>
      </c>
      <c r="C1922" s="8">
        <f>IF(ISNA(MATCH(1913,'Transfer Engine'!$C$2:$C$1960,0)),"",INDEX('Compliance Database'!$C$2:$C$1960,MATCH(1913,'Transfer Engine'!$C$2:$C$1960,0)))</f>
        <v/>
      </c>
      <c r="D1922" s="9">
        <f>IF(ISNA(MATCH(1913,'Transfer Engine'!$C$2:$C$1960,0)),"",INDEX('Compliance Database'!$D$2:$D$1960,MATCH(1913,'Transfer Engine'!$C$2:$C$1960,0)))</f>
        <v/>
      </c>
      <c r="E1922" s="8">
        <f>IF(ISNA(MATCH(1913,'Transfer Engine'!$C$2:$C$1960,0)),"",INDEX('Compliance Database'!$E$2:$E$1960,MATCH(1913,'Transfer Engine'!$C$2:$C$1960,0)))</f>
        <v/>
      </c>
      <c r="F1922" s="8">
        <f>IF(ISNA(MATCH(1913,'Transfer Engine'!$C$2:$C$1960,0)),"",INDEX('Compliance Database'!$F$2:$F$1960,MATCH(1913,'Transfer Engine'!$C$2:$C$1960,0)))</f>
        <v/>
      </c>
      <c r="G1922" s="8">
        <f>IF(ISNA(MATCH(1913,'Transfer Engine'!$C$2:$C$1960,0)),"",INDEX('Compliance Database'!$G$2:$G$1960,MATCH(1913,'Transfer Engine'!$C$2:$C$1960,0)))</f>
        <v/>
      </c>
      <c r="H1922" s="9">
        <f>IF(ISNA(MATCH(1913,'Transfer Engine'!$C$2:$C$1960,0)),"",INDEX('Compliance Database'!$H$2:$H$1960,MATCH(1913,'Transfer Engine'!$C$2:$C$1960,0)))</f>
        <v/>
      </c>
      <c r="I1922" s="9">
        <f>IF(ISNA(MATCH(1913,'Transfer Engine'!$C$2:$C$1960,0)),"",INDEX('Compliance Database'!$I$2:$I$1960,MATCH(1913,'Transfer Engine'!$C$2:$C$1960,0)))</f>
        <v/>
      </c>
      <c r="J1922" s="8">
        <f>IF(ISNA(MATCH(1913,'Transfer Engine'!$C$2:$C$1960,0)),"",INDEX('Compliance Database'!$J$2:$J$1960,MATCH(1913,'Transfer Engine'!$C$2:$C$1960,0)))</f>
        <v/>
      </c>
      <c r="K1922" s="9">
        <f>IF(ISNA(MATCH(1913,'Transfer Engine'!$C$2:$C$1960,0)),"",INDEX('Compliance Database'!$K$2:$K$1960,MATCH(1913,'Transfer Engine'!$C$2:$C$1960,0)))</f>
        <v/>
      </c>
      <c r="L1922" s="9">
        <f>IF(ISNA(MATCH(1913,'Transfer Engine'!$C$2:$C$1960,0)),"",INDEX('Compliance Database'!$L$2:$L$1960,MATCH(1913,'Transfer Engine'!$C$2:$C$1960,0)))</f>
        <v/>
      </c>
      <c r="M1922" s="9">
        <f>IF(ISNA(MATCH(1913,'Transfer Engine'!$C$2:$C$1960,0)),"",INDEX('Compliance Database'!$M$2:$M$1960,MATCH(1913,'Transfer Engine'!$C$2:$C$1960,0)))</f>
        <v/>
      </c>
      <c r="N1922" s="9">
        <f>IF(ISNA(MATCH(1913,'Transfer Engine'!$C$2:$C$1960,0)),"",INDEX('Compliance Database'!$N$2:$N$1960,MATCH(1913,'Transfer Engine'!$C$2:$C$1960,0)))</f>
        <v/>
      </c>
      <c r="O1922" s="9">
        <f>IF(ISNA(MATCH(1913,'Transfer Engine'!$C$2:$C$1960,0)),"",INDEX('Compliance Database'!$O$2:$O$1960,MATCH(1913,'Transfer Engine'!$C$2:$C$1960,0)))</f>
        <v/>
      </c>
      <c r="P1922" s="8">
        <f>IF(ISNA(MATCH(1913,'Transfer Engine'!$C$2:$C$1960,0)),"",HYPERLINK("#Acts!A"&amp;INDEX('Compliance Database'!$P$2:$P$1960,MATCH(1913,'Transfer Engine'!$C$2:$C$1960,0)),"Go to Act"))</f>
        <v/>
      </c>
    </row>
    <row r="1923" ht="158" customHeight="1">
      <c r="A1923" s="8">
        <f>IF(ISNA(MATCH(1914,'Transfer Engine'!$C$2:$C$1960,0)),"",INDEX('Compliance Database'!$A$2:$A$1960,MATCH(1914,'Transfer Engine'!$C$2:$C$1960,0)))</f>
        <v/>
      </c>
      <c r="B1923" s="8">
        <f>IF(ISNA(MATCH(1914,'Transfer Engine'!$C$2:$C$1960,0)),"",INDEX('Compliance Database'!$B$2:$B$1960,MATCH(1914,'Transfer Engine'!$C$2:$C$1960,0)))</f>
        <v/>
      </c>
      <c r="C1923" s="8">
        <f>IF(ISNA(MATCH(1914,'Transfer Engine'!$C$2:$C$1960,0)),"",INDEX('Compliance Database'!$C$2:$C$1960,MATCH(1914,'Transfer Engine'!$C$2:$C$1960,0)))</f>
        <v/>
      </c>
      <c r="D1923" s="9">
        <f>IF(ISNA(MATCH(1914,'Transfer Engine'!$C$2:$C$1960,0)),"",INDEX('Compliance Database'!$D$2:$D$1960,MATCH(1914,'Transfer Engine'!$C$2:$C$1960,0)))</f>
        <v/>
      </c>
      <c r="E1923" s="8">
        <f>IF(ISNA(MATCH(1914,'Transfer Engine'!$C$2:$C$1960,0)),"",INDEX('Compliance Database'!$E$2:$E$1960,MATCH(1914,'Transfer Engine'!$C$2:$C$1960,0)))</f>
        <v/>
      </c>
      <c r="F1923" s="8">
        <f>IF(ISNA(MATCH(1914,'Transfer Engine'!$C$2:$C$1960,0)),"",INDEX('Compliance Database'!$F$2:$F$1960,MATCH(1914,'Transfer Engine'!$C$2:$C$1960,0)))</f>
        <v/>
      </c>
      <c r="G1923" s="8">
        <f>IF(ISNA(MATCH(1914,'Transfer Engine'!$C$2:$C$1960,0)),"",INDEX('Compliance Database'!$G$2:$G$1960,MATCH(1914,'Transfer Engine'!$C$2:$C$1960,0)))</f>
        <v/>
      </c>
      <c r="H1923" s="9">
        <f>IF(ISNA(MATCH(1914,'Transfer Engine'!$C$2:$C$1960,0)),"",INDEX('Compliance Database'!$H$2:$H$1960,MATCH(1914,'Transfer Engine'!$C$2:$C$1960,0)))</f>
        <v/>
      </c>
      <c r="I1923" s="9">
        <f>IF(ISNA(MATCH(1914,'Transfer Engine'!$C$2:$C$1960,0)),"",INDEX('Compliance Database'!$I$2:$I$1960,MATCH(1914,'Transfer Engine'!$C$2:$C$1960,0)))</f>
        <v/>
      </c>
      <c r="J1923" s="8">
        <f>IF(ISNA(MATCH(1914,'Transfer Engine'!$C$2:$C$1960,0)),"",INDEX('Compliance Database'!$J$2:$J$1960,MATCH(1914,'Transfer Engine'!$C$2:$C$1960,0)))</f>
        <v/>
      </c>
      <c r="K1923" s="9">
        <f>IF(ISNA(MATCH(1914,'Transfer Engine'!$C$2:$C$1960,0)),"",INDEX('Compliance Database'!$K$2:$K$1960,MATCH(1914,'Transfer Engine'!$C$2:$C$1960,0)))</f>
        <v/>
      </c>
      <c r="L1923" s="9">
        <f>IF(ISNA(MATCH(1914,'Transfer Engine'!$C$2:$C$1960,0)),"",INDEX('Compliance Database'!$L$2:$L$1960,MATCH(1914,'Transfer Engine'!$C$2:$C$1960,0)))</f>
        <v/>
      </c>
      <c r="M1923" s="9">
        <f>IF(ISNA(MATCH(1914,'Transfer Engine'!$C$2:$C$1960,0)),"",INDEX('Compliance Database'!$M$2:$M$1960,MATCH(1914,'Transfer Engine'!$C$2:$C$1960,0)))</f>
        <v/>
      </c>
      <c r="N1923" s="9">
        <f>IF(ISNA(MATCH(1914,'Transfer Engine'!$C$2:$C$1960,0)),"",INDEX('Compliance Database'!$N$2:$N$1960,MATCH(1914,'Transfer Engine'!$C$2:$C$1960,0)))</f>
        <v/>
      </c>
      <c r="O1923" s="9">
        <f>IF(ISNA(MATCH(1914,'Transfer Engine'!$C$2:$C$1960,0)),"",INDEX('Compliance Database'!$O$2:$O$1960,MATCH(1914,'Transfer Engine'!$C$2:$C$1960,0)))</f>
        <v/>
      </c>
      <c r="P1923" s="8">
        <f>IF(ISNA(MATCH(1914,'Transfer Engine'!$C$2:$C$1960,0)),"",HYPERLINK("#Acts!A"&amp;INDEX('Compliance Database'!$P$2:$P$1960,MATCH(1914,'Transfer Engine'!$C$2:$C$1960,0)),"Go to Act"))</f>
        <v/>
      </c>
    </row>
    <row r="1924" ht="158" customHeight="1">
      <c r="A1924" s="8">
        <f>IF(ISNA(MATCH(1915,'Transfer Engine'!$C$2:$C$1960,0)),"",INDEX('Compliance Database'!$A$2:$A$1960,MATCH(1915,'Transfer Engine'!$C$2:$C$1960,0)))</f>
        <v/>
      </c>
      <c r="B1924" s="8">
        <f>IF(ISNA(MATCH(1915,'Transfer Engine'!$C$2:$C$1960,0)),"",INDEX('Compliance Database'!$B$2:$B$1960,MATCH(1915,'Transfer Engine'!$C$2:$C$1960,0)))</f>
        <v/>
      </c>
      <c r="C1924" s="8">
        <f>IF(ISNA(MATCH(1915,'Transfer Engine'!$C$2:$C$1960,0)),"",INDEX('Compliance Database'!$C$2:$C$1960,MATCH(1915,'Transfer Engine'!$C$2:$C$1960,0)))</f>
        <v/>
      </c>
      <c r="D1924" s="9">
        <f>IF(ISNA(MATCH(1915,'Transfer Engine'!$C$2:$C$1960,0)),"",INDEX('Compliance Database'!$D$2:$D$1960,MATCH(1915,'Transfer Engine'!$C$2:$C$1960,0)))</f>
        <v/>
      </c>
      <c r="E1924" s="8">
        <f>IF(ISNA(MATCH(1915,'Transfer Engine'!$C$2:$C$1960,0)),"",INDEX('Compliance Database'!$E$2:$E$1960,MATCH(1915,'Transfer Engine'!$C$2:$C$1960,0)))</f>
        <v/>
      </c>
      <c r="F1924" s="8">
        <f>IF(ISNA(MATCH(1915,'Transfer Engine'!$C$2:$C$1960,0)),"",INDEX('Compliance Database'!$F$2:$F$1960,MATCH(1915,'Transfer Engine'!$C$2:$C$1960,0)))</f>
        <v/>
      </c>
      <c r="G1924" s="8">
        <f>IF(ISNA(MATCH(1915,'Transfer Engine'!$C$2:$C$1960,0)),"",INDEX('Compliance Database'!$G$2:$G$1960,MATCH(1915,'Transfer Engine'!$C$2:$C$1960,0)))</f>
        <v/>
      </c>
      <c r="H1924" s="9">
        <f>IF(ISNA(MATCH(1915,'Transfer Engine'!$C$2:$C$1960,0)),"",INDEX('Compliance Database'!$H$2:$H$1960,MATCH(1915,'Transfer Engine'!$C$2:$C$1960,0)))</f>
        <v/>
      </c>
      <c r="I1924" s="9">
        <f>IF(ISNA(MATCH(1915,'Transfer Engine'!$C$2:$C$1960,0)),"",INDEX('Compliance Database'!$I$2:$I$1960,MATCH(1915,'Transfer Engine'!$C$2:$C$1960,0)))</f>
        <v/>
      </c>
      <c r="J1924" s="8">
        <f>IF(ISNA(MATCH(1915,'Transfer Engine'!$C$2:$C$1960,0)),"",INDEX('Compliance Database'!$J$2:$J$1960,MATCH(1915,'Transfer Engine'!$C$2:$C$1960,0)))</f>
        <v/>
      </c>
      <c r="K1924" s="9">
        <f>IF(ISNA(MATCH(1915,'Transfer Engine'!$C$2:$C$1960,0)),"",INDEX('Compliance Database'!$K$2:$K$1960,MATCH(1915,'Transfer Engine'!$C$2:$C$1960,0)))</f>
        <v/>
      </c>
      <c r="L1924" s="9">
        <f>IF(ISNA(MATCH(1915,'Transfer Engine'!$C$2:$C$1960,0)),"",INDEX('Compliance Database'!$L$2:$L$1960,MATCH(1915,'Transfer Engine'!$C$2:$C$1960,0)))</f>
        <v/>
      </c>
      <c r="M1924" s="9">
        <f>IF(ISNA(MATCH(1915,'Transfer Engine'!$C$2:$C$1960,0)),"",INDEX('Compliance Database'!$M$2:$M$1960,MATCH(1915,'Transfer Engine'!$C$2:$C$1960,0)))</f>
        <v/>
      </c>
      <c r="N1924" s="9">
        <f>IF(ISNA(MATCH(1915,'Transfer Engine'!$C$2:$C$1960,0)),"",INDEX('Compliance Database'!$N$2:$N$1960,MATCH(1915,'Transfer Engine'!$C$2:$C$1960,0)))</f>
        <v/>
      </c>
      <c r="O1924" s="9">
        <f>IF(ISNA(MATCH(1915,'Transfer Engine'!$C$2:$C$1960,0)),"",INDEX('Compliance Database'!$O$2:$O$1960,MATCH(1915,'Transfer Engine'!$C$2:$C$1960,0)))</f>
        <v/>
      </c>
      <c r="P1924" s="8">
        <f>IF(ISNA(MATCH(1915,'Transfer Engine'!$C$2:$C$1960,0)),"",HYPERLINK("#Acts!A"&amp;INDEX('Compliance Database'!$P$2:$P$1960,MATCH(1915,'Transfer Engine'!$C$2:$C$1960,0)),"Go to Act"))</f>
        <v/>
      </c>
    </row>
    <row r="1925" ht="158" customHeight="1">
      <c r="A1925" s="8">
        <f>IF(ISNA(MATCH(1916,'Transfer Engine'!$C$2:$C$1960,0)),"",INDEX('Compliance Database'!$A$2:$A$1960,MATCH(1916,'Transfer Engine'!$C$2:$C$1960,0)))</f>
        <v/>
      </c>
      <c r="B1925" s="8">
        <f>IF(ISNA(MATCH(1916,'Transfer Engine'!$C$2:$C$1960,0)),"",INDEX('Compliance Database'!$B$2:$B$1960,MATCH(1916,'Transfer Engine'!$C$2:$C$1960,0)))</f>
        <v/>
      </c>
      <c r="C1925" s="8">
        <f>IF(ISNA(MATCH(1916,'Transfer Engine'!$C$2:$C$1960,0)),"",INDEX('Compliance Database'!$C$2:$C$1960,MATCH(1916,'Transfer Engine'!$C$2:$C$1960,0)))</f>
        <v/>
      </c>
      <c r="D1925" s="9">
        <f>IF(ISNA(MATCH(1916,'Transfer Engine'!$C$2:$C$1960,0)),"",INDEX('Compliance Database'!$D$2:$D$1960,MATCH(1916,'Transfer Engine'!$C$2:$C$1960,0)))</f>
        <v/>
      </c>
      <c r="E1925" s="8">
        <f>IF(ISNA(MATCH(1916,'Transfer Engine'!$C$2:$C$1960,0)),"",INDEX('Compliance Database'!$E$2:$E$1960,MATCH(1916,'Transfer Engine'!$C$2:$C$1960,0)))</f>
        <v/>
      </c>
      <c r="F1925" s="8">
        <f>IF(ISNA(MATCH(1916,'Transfer Engine'!$C$2:$C$1960,0)),"",INDEX('Compliance Database'!$F$2:$F$1960,MATCH(1916,'Transfer Engine'!$C$2:$C$1960,0)))</f>
        <v/>
      </c>
      <c r="G1925" s="8">
        <f>IF(ISNA(MATCH(1916,'Transfer Engine'!$C$2:$C$1960,0)),"",INDEX('Compliance Database'!$G$2:$G$1960,MATCH(1916,'Transfer Engine'!$C$2:$C$1960,0)))</f>
        <v/>
      </c>
      <c r="H1925" s="9">
        <f>IF(ISNA(MATCH(1916,'Transfer Engine'!$C$2:$C$1960,0)),"",INDEX('Compliance Database'!$H$2:$H$1960,MATCH(1916,'Transfer Engine'!$C$2:$C$1960,0)))</f>
        <v/>
      </c>
      <c r="I1925" s="9">
        <f>IF(ISNA(MATCH(1916,'Transfer Engine'!$C$2:$C$1960,0)),"",INDEX('Compliance Database'!$I$2:$I$1960,MATCH(1916,'Transfer Engine'!$C$2:$C$1960,0)))</f>
        <v/>
      </c>
      <c r="J1925" s="8">
        <f>IF(ISNA(MATCH(1916,'Transfer Engine'!$C$2:$C$1960,0)),"",INDEX('Compliance Database'!$J$2:$J$1960,MATCH(1916,'Transfer Engine'!$C$2:$C$1960,0)))</f>
        <v/>
      </c>
      <c r="K1925" s="9">
        <f>IF(ISNA(MATCH(1916,'Transfer Engine'!$C$2:$C$1960,0)),"",INDEX('Compliance Database'!$K$2:$K$1960,MATCH(1916,'Transfer Engine'!$C$2:$C$1960,0)))</f>
        <v/>
      </c>
      <c r="L1925" s="9">
        <f>IF(ISNA(MATCH(1916,'Transfer Engine'!$C$2:$C$1960,0)),"",INDEX('Compliance Database'!$L$2:$L$1960,MATCH(1916,'Transfer Engine'!$C$2:$C$1960,0)))</f>
        <v/>
      </c>
      <c r="M1925" s="9">
        <f>IF(ISNA(MATCH(1916,'Transfer Engine'!$C$2:$C$1960,0)),"",INDEX('Compliance Database'!$M$2:$M$1960,MATCH(1916,'Transfer Engine'!$C$2:$C$1960,0)))</f>
        <v/>
      </c>
      <c r="N1925" s="9">
        <f>IF(ISNA(MATCH(1916,'Transfer Engine'!$C$2:$C$1960,0)),"",INDEX('Compliance Database'!$N$2:$N$1960,MATCH(1916,'Transfer Engine'!$C$2:$C$1960,0)))</f>
        <v/>
      </c>
      <c r="O1925" s="9">
        <f>IF(ISNA(MATCH(1916,'Transfer Engine'!$C$2:$C$1960,0)),"",INDEX('Compliance Database'!$O$2:$O$1960,MATCH(1916,'Transfer Engine'!$C$2:$C$1960,0)))</f>
        <v/>
      </c>
      <c r="P1925" s="8">
        <f>IF(ISNA(MATCH(1916,'Transfer Engine'!$C$2:$C$1960,0)),"",HYPERLINK("#Acts!A"&amp;INDEX('Compliance Database'!$P$2:$P$1960,MATCH(1916,'Transfer Engine'!$C$2:$C$1960,0)),"Go to Act"))</f>
        <v/>
      </c>
    </row>
    <row r="1926" ht="158" customHeight="1">
      <c r="A1926" s="8">
        <f>IF(ISNA(MATCH(1917,'Transfer Engine'!$C$2:$C$1960,0)),"",INDEX('Compliance Database'!$A$2:$A$1960,MATCH(1917,'Transfer Engine'!$C$2:$C$1960,0)))</f>
        <v/>
      </c>
      <c r="B1926" s="8">
        <f>IF(ISNA(MATCH(1917,'Transfer Engine'!$C$2:$C$1960,0)),"",INDEX('Compliance Database'!$B$2:$B$1960,MATCH(1917,'Transfer Engine'!$C$2:$C$1960,0)))</f>
        <v/>
      </c>
      <c r="C1926" s="8">
        <f>IF(ISNA(MATCH(1917,'Transfer Engine'!$C$2:$C$1960,0)),"",INDEX('Compliance Database'!$C$2:$C$1960,MATCH(1917,'Transfer Engine'!$C$2:$C$1960,0)))</f>
        <v/>
      </c>
      <c r="D1926" s="9">
        <f>IF(ISNA(MATCH(1917,'Transfer Engine'!$C$2:$C$1960,0)),"",INDEX('Compliance Database'!$D$2:$D$1960,MATCH(1917,'Transfer Engine'!$C$2:$C$1960,0)))</f>
        <v/>
      </c>
      <c r="E1926" s="8">
        <f>IF(ISNA(MATCH(1917,'Transfer Engine'!$C$2:$C$1960,0)),"",INDEX('Compliance Database'!$E$2:$E$1960,MATCH(1917,'Transfer Engine'!$C$2:$C$1960,0)))</f>
        <v/>
      </c>
      <c r="F1926" s="8">
        <f>IF(ISNA(MATCH(1917,'Transfer Engine'!$C$2:$C$1960,0)),"",INDEX('Compliance Database'!$F$2:$F$1960,MATCH(1917,'Transfer Engine'!$C$2:$C$1960,0)))</f>
        <v/>
      </c>
      <c r="G1926" s="8">
        <f>IF(ISNA(MATCH(1917,'Transfer Engine'!$C$2:$C$1960,0)),"",INDEX('Compliance Database'!$G$2:$G$1960,MATCH(1917,'Transfer Engine'!$C$2:$C$1960,0)))</f>
        <v/>
      </c>
      <c r="H1926" s="9">
        <f>IF(ISNA(MATCH(1917,'Transfer Engine'!$C$2:$C$1960,0)),"",INDEX('Compliance Database'!$H$2:$H$1960,MATCH(1917,'Transfer Engine'!$C$2:$C$1960,0)))</f>
        <v/>
      </c>
      <c r="I1926" s="9">
        <f>IF(ISNA(MATCH(1917,'Transfer Engine'!$C$2:$C$1960,0)),"",INDEX('Compliance Database'!$I$2:$I$1960,MATCH(1917,'Transfer Engine'!$C$2:$C$1960,0)))</f>
        <v/>
      </c>
      <c r="J1926" s="8">
        <f>IF(ISNA(MATCH(1917,'Transfer Engine'!$C$2:$C$1960,0)),"",INDEX('Compliance Database'!$J$2:$J$1960,MATCH(1917,'Transfer Engine'!$C$2:$C$1960,0)))</f>
        <v/>
      </c>
      <c r="K1926" s="9">
        <f>IF(ISNA(MATCH(1917,'Transfer Engine'!$C$2:$C$1960,0)),"",INDEX('Compliance Database'!$K$2:$K$1960,MATCH(1917,'Transfer Engine'!$C$2:$C$1960,0)))</f>
        <v/>
      </c>
      <c r="L1926" s="9">
        <f>IF(ISNA(MATCH(1917,'Transfer Engine'!$C$2:$C$1960,0)),"",INDEX('Compliance Database'!$L$2:$L$1960,MATCH(1917,'Transfer Engine'!$C$2:$C$1960,0)))</f>
        <v/>
      </c>
      <c r="M1926" s="9">
        <f>IF(ISNA(MATCH(1917,'Transfer Engine'!$C$2:$C$1960,0)),"",INDEX('Compliance Database'!$M$2:$M$1960,MATCH(1917,'Transfer Engine'!$C$2:$C$1960,0)))</f>
        <v/>
      </c>
      <c r="N1926" s="9">
        <f>IF(ISNA(MATCH(1917,'Transfer Engine'!$C$2:$C$1960,0)),"",INDEX('Compliance Database'!$N$2:$N$1960,MATCH(1917,'Transfer Engine'!$C$2:$C$1960,0)))</f>
        <v/>
      </c>
      <c r="O1926" s="9">
        <f>IF(ISNA(MATCH(1917,'Transfer Engine'!$C$2:$C$1960,0)),"",INDEX('Compliance Database'!$O$2:$O$1960,MATCH(1917,'Transfer Engine'!$C$2:$C$1960,0)))</f>
        <v/>
      </c>
      <c r="P1926" s="8">
        <f>IF(ISNA(MATCH(1917,'Transfer Engine'!$C$2:$C$1960,0)),"",HYPERLINK("#Acts!A"&amp;INDEX('Compliance Database'!$P$2:$P$1960,MATCH(1917,'Transfer Engine'!$C$2:$C$1960,0)),"Go to Act"))</f>
        <v/>
      </c>
    </row>
    <row r="1927" ht="158" customHeight="1">
      <c r="A1927" s="8">
        <f>IF(ISNA(MATCH(1918,'Transfer Engine'!$C$2:$C$1960,0)),"",INDEX('Compliance Database'!$A$2:$A$1960,MATCH(1918,'Transfer Engine'!$C$2:$C$1960,0)))</f>
        <v/>
      </c>
      <c r="B1927" s="8">
        <f>IF(ISNA(MATCH(1918,'Transfer Engine'!$C$2:$C$1960,0)),"",INDEX('Compliance Database'!$B$2:$B$1960,MATCH(1918,'Transfer Engine'!$C$2:$C$1960,0)))</f>
        <v/>
      </c>
      <c r="C1927" s="8">
        <f>IF(ISNA(MATCH(1918,'Transfer Engine'!$C$2:$C$1960,0)),"",INDEX('Compliance Database'!$C$2:$C$1960,MATCH(1918,'Transfer Engine'!$C$2:$C$1960,0)))</f>
        <v/>
      </c>
      <c r="D1927" s="9">
        <f>IF(ISNA(MATCH(1918,'Transfer Engine'!$C$2:$C$1960,0)),"",INDEX('Compliance Database'!$D$2:$D$1960,MATCH(1918,'Transfer Engine'!$C$2:$C$1960,0)))</f>
        <v/>
      </c>
      <c r="E1927" s="8">
        <f>IF(ISNA(MATCH(1918,'Transfer Engine'!$C$2:$C$1960,0)),"",INDEX('Compliance Database'!$E$2:$E$1960,MATCH(1918,'Transfer Engine'!$C$2:$C$1960,0)))</f>
        <v/>
      </c>
      <c r="F1927" s="8">
        <f>IF(ISNA(MATCH(1918,'Transfer Engine'!$C$2:$C$1960,0)),"",INDEX('Compliance Database'!$F$2:$F$1960,MATCH(1918,'Transfer Engine'!$C$2:$C$1960,0)))</f>
        <v/>
      </c>
      <c r="G1927" s="8">
        <f>IF(ISNA(MATCH(1918,'Transfer Engine'!$C$2:$C$1960,0)),"",INDEX('Compliance Database'!$G$2:$G$1960,MATCH(1918,'Transfer Engine'!$C$2:$C$1960,0)))</f>
        <v/>
      </c>
      <c r="H1927" s="9">
        <f>IF(ISNA(MATCH(1918,'Transfer Engine'!$C$2:$C$1960,0)),"",INDEX('Compliance Database'!$H$2:$H$1960,MATCH(1918,'Transfer Engine'!$C$2:$C$1960,0)))</f>
        <v/>
      </c>
      <c r="I1927" s="9">
        <f>IF(ISNA(MATCH(1918,'Transfer Engine'!$C$2:$C$1960,0)),"",INDEX('Compliance Database'!$I$2:$I$1960,MATCH(1918,'Transfer Engine'!$C$2:$C$1960,0)))</f>
        <v/>
      </c>
      <c r="J1927" s="8">
        <f>IF(ISNA(MATCH(1918,'Transfer Engine'!$C$2:$C$1960,0)),"",INDEX('Compliance Database'!$J$2:$J$1960,MATCH(1918,'Transfer Engine'!$C$2:$C$1960,0)))</f>
        <v/>
      </c>
      <c r="K1927" s="9">
        <f>IF(ISNA(MATCH(1918,'Transfer Engine'!$C$2:$C$1960,0)),"",INDEX('Compliance Database'!$K$2:$K$1960,MATCH(1918,'Transfer Engine'!$C$2:$C$1960,0)))</f>
        <v/>
      </c>
      <c r="L1927" s="9">
        <f>IF(ISNA(MATCH(1918,'Transfer Engine'!$C$2:$C$1960,0)),"",INDEX('Compliance Database'!$L$2:$L$1960,MATCH(1918,'Transfer Engine'!$C$2:$C$1960,0)))</f>
        <v/>
      </c>
      <c r="M1927" s="9">
        <f>IF(ISNA(MATCH(1918,'Transfer Engine'!$C$2:$C$1960,0)),"",INDEX('Compliance Database'!$M$2:$M$1960,MATCH(1918,'Transfer Engine'!$C$2:$C$1960,0)))</f>
        <v/>
      </c>
      <c r="N1927" s="9">
        <f>IF(ISNA(MATCH(1918,'Transfer Engine'!$C$2:$C$1960,0)),"",INDEX('Compliance Database'!$N$2:$N$1960,MATCH(1918,'Transfer Engine'!$C$2:$C$1960,0)))</f>
        <v/>
      </c>
      <c r="O1927" s="9">
        <f>IF(ISNA(MATCH(1918,'Transfer Engine'!$C$2:$C$1960,0)),"",INDEX('Compliance Database'!$O$2:$O$1960,MATCH(1918,'Transfer Engine'!$C$2:$C$1960,0)))</f>
        <v/>
      </c>
      <c r="P1927" s="8">
        <f>IF(ISNA(MATCH(1918,'Transfer Engine'!$C$2:$C$1960,0)),"",HYPERLINK("#Acts!A"&amp;INDEX('Compliance Database'!$P$2:$P$1960,MATCH(1918,'Transfer Engine'!$C$2:$C$1960,0)),"Go to Act"))</f>
        <v/>
      </c>
    </row>
    <row r="1928" ht="158" customHeight="1">
      <c r="A1928" s="8">
        <f>IF(ISNA(MATCH(1919,'Transfer Engine'!$C$2:$C$1960,0)),"",INDEX('Compliance Database'!$A$2:$A$1960,MATCH(1919,'Transfer Engine'!$C$2:$C$1960,0)))</f>
        <v/>
      </c>
      <c r="B1928" s="8">
        <f>IF(ISNA(MATCH(1919,'Transfer Engine'!$C$2:$C$1960,0)),"",INDEX('Compliance Database'!$B$2:$B$1960,MATCH(1919,'Transfer Engine'!$C$2:$C$1960,0)))</f>
        <v/>
      </c>
      <c r="C1928" s="8">
        <f>IF(ISNA(MATCH(1919,'Transfer Engine'!$C$2:$C$1960,0)),"",INDEX('Compliance Database'!$C$2:$C$1960,MATCH(1919,'Transfer Engine'!$C$2:$C$1960,0)))</f>
        <v/>
      </c>
      <c r="D1928" s="9">
        <f>IF(ISNA(MATCH(1919,'Transfer Engine'!$C$2:$C$1960,0)),"",INDEX('Compliance Database'!$D$2:$D$1960,MATCH(1919,'Transfer Engine'!$C$2:$C$1960,0)))</f>
        <v/>
      </c>
      <c r="E1928" s="8">
        <f>IF(ISNA(MATCH(1919,'Transfer Engine'!$C$2:$C$1960,0)),"",INDEX('Compliance Database'!$E$2:$E$1960,MATCH(1919,'Transfer Engine'!$C$2:$C$1960,0)))</f>
        <v/>
      </c>
      <c r="F1928" s="8">
        <f>IF(ISNA(MATCH(1919,'Transfer Engine'!$C$2:$C$1960,0)),"",INDEX('Compliance Database'!$F$2:$F$1960,MATCH(1919,'Transfer Engine'!$C$2:$C$1960,0)))</f>
        <v/>
      </c>
      <c r="G1928" s="8">
        <f>IF(ISNA(MATCH(1919,'Transfer Engine'!$C$2:$C$1960,0)),"",INDEX('Compliance Database'!$G$2:$G$1960,MATCH(1919,'Transfer Engine'!$C$2:$C$1960,0)))</f>
        <v/>
      </c>
      <c r="H1928" s="9">
        <f>IF(ISNA(MATCH(1919,'Transfer Engine'!$C$2:$C$1960,0)),"",INDEX('Compliance Database'!$H$2:$H$1960,MATCH(1919,'Transfer Engine'!$C$2:$C$1960,0)))</f>
        <v/>
      </c>
      <c r="I1928" s="9">
        <f>IF(ISNA(MATCH(1919,'Transfer Engine'!$C$2:$C$1960,0)),"",INDEX('Compliance Database'!$I$2:$I$1960,MATCH(1919,'Transfer Engine'!$C$2:$C$1960,0)))</f>
        <v/>
      </c>
      <c r="J1928" s="8">
        <f>IF(ISNA(MATCH(1919,'Transfer Engine'!$C$2:$C$1960,0)),"",INDEX('Compliance Database'!$J$2:$J$1960,MATCH(1919,'Transfer Engine'!$C$2:$C$1960,0)))</f>
        <v/>
      </c>
      <c r="K1928" s="9">
        <f>IF(ISNA(MATCH(1919,'Transfer Engine'!$C$2:$C$1960,0)),"",INDEX('Compliance Database'!$K$2:$K$1960,MATCH(1919,'Transfer Engine'!$C$2:$C$1960,0)))</f>
        <v/>
      </c>
      <c r="L1928" s="9">
        <f>IF(ISNA(MATCH(1919,'Transfer Engine'!$C$2:$C$1960,0)),"",INDEX('Compliance Database'!$L$2:$L$1960,MATCH(1919,'Transfer Engine'!$C$2:$C$1960,0)))</f>
        <v/>
      </c>
      <c r="M1928" s="9">
        <f>IF(ISNA(MATCH(1919,'Transfer Engine'!$C$2:$C$1960,0)),"",INDEX('Compliance Database'!$M$2:$M$1960,MATCH(1919,'Transfer Engine'!$C$2:$C$1960,0)))</f>
        <v/>
      </c>
      <c r="N1928" s="9">
        <f>IF(ISNA(MATCH(1919,'Transfer Engine'!$C$2:$C$1960,0)),"",INDEX('Compliance Database'!$N$2:$N$1960,MATCH(1919,'Transfer Engine'!$C$2:$C$1960,0)))</f>
        <v/>
      </c>
      <c r="O1928" s="9">
        <f>IF(ISNA(MATCH(1919,'Transfer Engine'!$C$2:$C$1960,0)),"",INDEX('Compliance Database'!$O$2:$O$1960,MATCH(1919,'Transfer Engine'!$C$2:$C$1960,0)))</f>
        <v/>
      </c>
      <c r="P1928" s="8">
        <f>IF(ISNA(MATCH(1919,'Transfer Engine'!$C$2:$C$1960,0)),"",HYPERLINK("#Acts!A"&amp;INDEX('Compliance Database'!$P$2:$P$1960,MATCH(1919,'Transfer Engine'!$C$2:$C$1960,0)),"Go to Act"))</f>
        <v/>
      </c>
    </row>
    <row r="1929" ht="158" customHeight="1">
      <c r="A1929" s="8">
        <f>IF(ISNA(MATCH(1920,'Transfer Engine'!$C$2:$C$1960,0)),"",INDEX('Compliance Database'!$A$2:$A$1960,MATCH(1920,'Transfer Engine'!$C$2:$C$1960,0)))</f>
        <v/>
      </c>
      <c r="B1929" s="8">
        <f>IF(ISNA(MATCH(1920,'Transfer Engine'!$C$2:$C$1960,0)),"",INDEX('Compliance Database'!$B$2:$B$1960,MATCH(1920,'Transfer Engine'!$C$2:$C$1960,0)))</f>
        <v/>
      </c>
      <c r="C1929" s="8">
        <f>IF(ISNA(MATCH(1920,'Transfer Engine'!$C$2:$C$1960,0)),"",INDEX('Compliance Database'!$C$2:$C$1960,MATCH(1920,'Transfer Engine'!$C$2:$C$1960,0)))</f>
        <v/>
      </c>
      <c r="D1929" s="9">
        <f>IF(ISNA(MATCH(1920,'Transfer Engine'!$C$2:$C$1960,0)),"",INDEX('Compliance Database'!$D$2:$D$1960,MATCH(1920,'Transfer Engine'!$C$2:$C$1960,0)))</f>
        <v/>
      </c>
      <c r="E1929" s="8">
        <f>IF(ISNA(MATCH(1920,'Transfer Engine'!$C$2:$C$1960,0)),"",INDEX('Compliance Database'!$E$2:$E$1960,MATCH(1920,'Transfer Engine'!$C$2:$C$1960,0)))</f>
        <v/>
      </c>
      <c r="F1929" s="8">
        <f>IF(ISNA(MATCH(1920,'Transfer Engine'!$C$2:$C$1960,0)),"",INDEX('Compliance Database'!$F$2:$F$1960,MATCH(1920,'Transfer Engine'!$C$2:$C$1960,0)))</f>
        <v/>
      </c>
      <c r="G1929" s="8">
        <f>IF(ISNA(MATCH(1920,'Transfer Engine'!$C$2:$C$1960,0)),"",INDEX('Compliance Database'!$G$2:$G$1960,MATCH(1920,'Transfer Engine'!$C$2:$C$1960,0)))</f>
        <v/>
      </c>
      <c r="H1929" s="9">
        <f>IF(ISNA(MATCH(1920,'Transfer Engine'!$C$2:$C$1960,0)),"",INDEX('Compliance Database'!$H$2:$H$1960,MATCH(1920,'Transfer Engine'!$C$2:$C$1960,0)))</f>
        <v/>
      </c>
      <c r="I1929" s="9">
        <f>IF(ISNA(MATCH(1920,'Transfer Engine'!$C$2:$C$1960,0)),"",INDEX('Compliance Database'!$I$2:$I$1960,MATCH(1920,'Transfer Engine'!$C$2:$C$1960,0)))</f>
        <v/>
      </c>
      <c r="J1929" s="8">
        <f>IF(ISNA(MATCH(1920,'Transfer Engine'!$C$2:$C$1960,0)),"",INDEX('Compliance Database'!$J$2:$J$1960,MATCH(1920,'Transfer Engine'!$C$2:$C$1960,0)))</f>
        <v/>
      </c>
      <c r="K1929" s="9">
        <f>IF(ISNA(MATCH(1920,'Transfer Engine'!$C$2:$C$1960,0)),"",INDEX('Compliance Database'!$K$2:$K$1960,MATCH(1920,'Transfer Engine'!$C$2:$C$1960,0)))</f>
        <v/>
      </c>
      <c r="L1929" s="9">
        <f>IF(ISNA(MATCH(1920,'Transfer Engine'!$C$2:$C$1960,0)),"",INDEX('Compliance Database'!$L$2:$L$1960,MATCH(1920,'Transfer Engine'!$C$2:$C$1960,0)))</f>
        <v/>
      </c>
      <c r="M1929" s="9">
        <f>IF(ISNA(MATCH(1920,'Transfer Engine'!$C$2:$C$1960,0)),"",INDEX('Compliance Database'!$M$2:$M$1960,MATCH(1920,'Transfer Engine'!$C$2:$C$1960,0)))</f>
        <v/>
      </c>
      <c r="N1929" s="9">
        <f>IF(ISNA(MATCH(1920,'Transfer Engine'!$C$2:$C$1960,0)),"",INDEX('Compliance Database'!$N$2:$N$1960,MATCH(1920,'Transfer Engine'!$C$2:$C$1960,0)))</f>
        <v/>
      </c>
      <c r="O1929" s="9">
        <f>IF(ISNA(MATCH(1920,'Transfer Engine'!$C$2:$C$1960,0)),"",INDEX('Compliance Database'!$O$2:$O$1960,MATCH(1920,'Transfer Engine'!$C$2:$C$1960,0)))</f>
        <v/>
      </c>
      <c r="P1929" s="8">
        <f>IF(ISNA(MATCH(1920,'Transfer Engine'!$C$2:$C$1960,0)),"",HYPERLINK("#Acts!A"&amp;INDEX('Compliance Database'!$P$2:$P$1960,MATCH(1920,'Transfer Engine'!$C$2:$C$1960,0)),"Go to Act"))</f>
        <v/>
      </c>
    </row>
    <row r="1930" ht="158" customHeight="1">
      <c r="A1930" s="8">
        <f>IF(ISNA(MATCH(1921,'Transfer Engine'!$C$2:$C$1960,0)),"",INDEX('Compliance Database'!$A$2:$A$1960,MATCH(1921,'Transfer Engine'!$C$2:$C$1960,0)))</f>
        <v/>
      </c>
      <c r="B1930" s="8">
        <f>IF(ISNA(MATCH(1921,'Transfer Engine'!$C$2:$C$1960,0)),"",INDEX('Compliance Database'!$B$2:$B$1960,MATCH(1921,'Transfer Engine'!$C$2:$C$1960,0)))</f>
        <v/>
      </c>
      <c r="C1930" s="8">
        <f>IF(ISNA(MATCH(1921,'Transfer Engine'!$C$2:$C$1960,0)),"",INDEX('Compliance Database'!$C$2:$C$1960,MATCH(1921,'Transfer Engine'!$C$2:$C$1960,0)))</f>
        <v/>
      </c>
      <c r="D1930" s="9">
        <f>IF(ISNA(MATCH(1921,'Transfer Engine'!$C$2:$C$1960,0)),"",INDEX('Compliance Database'!$D$2:$D$1960,MATCH(1921,'Transfer Engine'!$C$2:$C$1960,0)))</f>
        <v/>
      </c>
      <c r="E1930" s="8">
        <f>IF(ISNA(MATCH(1921,'Transfer Engine'!$C$2:$C$1960,0)),"",INDEX('Compliance Database'!$E$2:$E$1960,MATCH(1921,'Transfer Engine'!$C$2:$C$1960,0)))</f>
        <v/>
      </c>
      <c r="F1930" s="8">
        <f>IF(ISNA(MATCH(1921,'Transfer Engine'!$C$2:$C$1960,0)),"",INDEX('Compliance Database'!$F$2:$F$1960,MATCH(1921,'Transfer Engine'!$C$2:$C$1960,0)))</f>
        <v/>
      </c>
      <c r="G1930" s="8">
        <f>IF(ISNA(MATCH(1921,'Transfer Engine'!$C$2:$C$1960,0)),"",INDEX('Compliance Database'!$G$2:$G$1960,MATCH(1921,'Transfer Engine'!$C$2:$C$1960,0)))</f>
        <v/>
      </c>
      <c r="H1930" s="9">
        <f>IF(ISNA(MATCH(1921,'Transfer Engine'!$C$2:$C$1960,0)),"",INDEX('Compliance Database'!$H$2:$H$1960,MATCH(1921,'Transfer Engine'!$C$2:$C$1960,0)))</f>
        <v/>
      </c>
      <c r="I1930" s="9">
        <f>IF(ISNA(MATCH(1921,'Transfer Engine'!$C$2:$C$1960,0)),"",INDEX('Compliance Database'!$I$2:$I$1960,MATCH(1921,'Transfer Engine'!$C$2:$C$1960,0)))</f>
        <v/>
      </c>
      <c r="J1930" s="8">
        <f>IF(ISNA(MATCH(1921,'Transfer Engine'!$C$2:$C$1960,0)),"",INDEX('Compliance Database'!$J$2:$J$1960,MATCH(1921,'Transfer Engine'!$C$2:$C$1960,0)))</f>
        <v/>
      </c>
      <c r="K1930" s="9">
        <f>IF(ISNA(MATCH(1921,'Transfer Engine'!$C$2:$C$1960,0)),"",INDEX('Compliance Database'!$K$2:$K$1960,MATCH(1921,'Transfer Engine'!$C$2:$C$1960,0)))</f>
        <v/>
      </c>
      <c r="L1930" s="9">
        <f>IF(ISNA(MATCH(1921,'Transfer Engine'!$C$2:$C$1960,0)),"",INDEX('Compliance Database'!$L$2:$L$1960,MATCH(1921,'Transfer Engine'!$C$2:$C$1960,0)))</f>
        <v/>
      </c>
      <c r="M1930" s="9">
        <f>IF(ISNA(MATCH(1921,'Transfer Engine'!$C$2:$C$1960,0)),"",INDEX('Compliance Database'!$M$2:$M$1960,MATCH(1921,'Transfer Engine'!$C$2:$C$1960,0)))</f>
        <v/>
      </c>
      <c r="N1930" s="9">
        <f>IF(ISNA(MATCH(1921,'Transfer Engine'!$C$2:$C$1960,0)),"",INDEX('Compliance Database'!$N$2:$N$1960,MATCH(1921,'Transfer Engine'!$C$2:$C$1960,0)))</f>
        <v/>
      </c>
      <c r="O1930" s="9">
        <f>IF(ISNA(MATCH(1921,'Transfer Engine'!$C$2:$C$1960,0)),"",INDEX('Compliance Database'!$O$2:$O$1960,MATCH(1921,'Transfer Engine'!$C$2:$C$1960,0)))</f>
        <v/>
      </c>
      <c r="P1930" s="8">
        <f>IF(ISNA(MATCH(1921,'Transfer Engine'!$C$2:$C$1960,0)),"",HYPERLINK("#Acts!A"&amp;INDEX('Compliance Database'!$P$2:$P$1960,MATCH(1921,'Transfer Engine'!$C$2:$C$1960,0)),"Go to Act"))</f>
        <v/>
      </c>
    </row>
    <row r="1931" ht="158" customHeight="1">
      <c r="A1931" s="8">
        <f>IF(ISNA(MATCH(1922,'Transfer Engine'!$C$2:$C$1960,0)),"",INDEX('Compliance Database'!$A$2:$A$1960,MATCH(1922,'Transfer Engine'!$C$2:$C$1960,0)))</f>
        <v/>
      </c>
      <c r="B1931" s="8">
        <f>IF(ISNA(MATCH(1922,'Transfer Engine'!$C$2:$C$1960,0)),"",INDEX('Compliance Database'!$B$2:$B$1960,MATCH(1922,'Transfer Engine'!$C$2:$C$1960,0)))</f>
        <v/>
      </c>
      <c r="C1931" s="8">
        <f>IF(ISNA(MATCH(1922,'Transfer Engine'!$C$2:$C$1960,0)),"",INDEX('Compliance Database'!$C$2:$C$1960,MATCH(1922,'Transfer Engine'!$C$2:$C$1960,0)))</f>
        <v/>
      </c>
      <c r="D1931" s="9">
        <f>IF(ISNA(MATCH(1922,'Transfer Engine'!$C$2:$C$1960,0)),"",INDEX('Compliance Database'!$D$2:$D$1960,MATCH(1922,'Transfer Engine'!$C$2:$C$1960,0)))</f>
        <v/>
      </c>
      <c r="E1931" s="8">
        <f>IF(ISNA(MATCH(1922,'Transfer Engine'!$C$2:$C$1960,0)),"",INDEX('Compliance Database'!$E$2:$E$1960,MATCH(1922,'Transfer Engine'!$C$2:$C$1960,0)))</f>
        <v/>
      </c>
      <c r="F1931" s="8">
        <f>IF(ISNA(MATCH(1922,'Transfer Engine'!$C$2:$C$1960,0)),"",INDEX('Compliance Database'!$F$2:$F$1960,MATCH(1922,'Transfer Engine'!$C$2:$C$1960,0)))</f>
        <v/>
      </c>
      <c r="G1931" s="8">
        <f>IF(ISNA(MATCH(1922,'Transfer Engine'!$C$2:$C$1960,0)),"",INDEX('Compliance Database'!$G$2:$G$1960,MATCH(1922,'Transfer Engine'!$C$2:$C$1960,0)))</f>
        <v/>
      </c>
      <c r="H1931" s="9">
        <f>IF(ISNA(MATCH(1922,'Transfer Engine'!$C$2:$C$1960,0)),"",INDEX('Compliance Database'!$H$2:$H$1960,MATCH(1922,'Transfer Engine'!$C$2:$C$1960,0)))</f>
        <v/>
      </c>
      <c r="I1931" s="9">
        <f>IF(ISNA(MATCH(1922,'Transfer Engine'!$C$2:$C$1960,0)),"",INDEX('Compliance Database'!$I$2:$I$1960,MATCH(1922,'Transfer Engine'!$C$2:$C$1960,0)))</f>
        <v/>
      </c>
      <c r="J1931" s="8">
        <f>IF(ISNA(MATCH(1922,'Transfer Engine'!$C$2:$C$1960,0)),"",INDEX('Compliance Database'!$J$2:$J$1960,MATCH(1922,'Transfer Engine'!$C$2:$C$1960,0)))</f>
        <v/>
      </c>
      <c r="K1931" s="9">
        <f>IF(ISNA(MATCH(1922,'Transfer Engine'!$C$2:$C$1960,0)),"",INDEX('Compliance Database'!$K$2:$K$1960,MATCH(1922,'Transfer Engine'!$C$2:$C$1960,0)))</f>
        <v/>
      </c>
      <c r="L1931" s="9">
        <f>IF(ISNA(MATCH(1922,'Transfer Engine'!$C$2:$C$1960,0)),"",INDEX('Compliance Database'!$L$2:$L$1960,MATCH(1922,'Transfer Engine'!$C$2:$C$1960,0)))</f>
        <v/>
      </c>
      <c r="M1931" s="9">
        <f>IF(ISNA(MATCH(1922,'Transfer Engine'!$C$2:$C$1960,0)),"",INDEX('Compliance Database'!$M$2:$M$1960,MATCH(1922,'Transfer Engine'!$C$2:$C$1960,0)))</f>
        <v/>
      </c>
      <c r="N1931" s="9">
        <f>IF(ISNA(MATCH(1922,'Transfer Engine'!$C$2:$C$1960,0)),"",INDEX('Compliance Database'!$N$2:$N$1960,MATCH(1922,'Transfer Engine'!$C$2:$C$1960,0)))</f>
        <v/>
      </c>
      <c r="O1931" s="9">
        <f>IF(ISNA(MATCH(1922,'Transfer Engine'!$C$2:$C$1960,0)),"",INDEX('Compliance Database'!$O$2:$O$1960,MATCH(1922,'Transfer Engine'!$C$2:$C$1960,0)))</f>
        <v/>
      </c>
      <c r="P1931" s="8">
        <f>IF(ISNA(MATCH(1922,'Transfer Engine'!$C$2:$C$1960,0)),"",HYPERLINK("#Acts!A"&amp;INDEX('Compliance Database'!$P$2:$P$1960,MATCH(1922,'Transfer Engine'!$C$2:$C$1960,0)),"Go to Act"))</f>
        <v/>
      </c>
    </row>
    <row r="1932" ht="158" customHeight="1">
      <c r="A1932" s="8">
        <f>IF(ISNA(MATCH(1923,'Transfer Engine'!$C$2:$C$1960,0)),"",INDEX('Compliance Database'!$A$2:$A$1960,MATCH(1923,'Transfer Engine'!$C$2:$C$1960,0)))</f>
        <v/>
      </c>
      <c r="B1932" s="8">
        <f>IF(ISNA(MATCH(1923,'Transfer Engine'!$C$2:$C$1960,0)),"",INDEX('Compliance Database'!$B$2:$B$1960,MATCH(1923,'Transfer Engine'!$C$2:$C$1960,0)))</f>
        <v/>
      </c>
      <c r="C1932" s="8">
        <f>IF(ISNA(MATCH(1923,'Transfer Engine'!$C$2:$C$1960,0)),"",INDEX('Compliance Database'!$C$2:$C$1960,MATCH(1923,'Transfer Engine'!$C$2:$C$1960,0)))</f>
        <v/>
      </c>
      <c r="D1932" s="9">
        <f>IF(ISNA(MATCH(1923,'Transfer Engine'!$C$2:$C$1960,0)),"",INDEX('Compliance Database'!$D$2:$D$1960,MATCH(1923,'Transfer Engine'!$C$2:$C$1960,0)))</f>
        <v/>
      </c>
      <c r="E1932" s="8">
        <f>IF(ISNA(MATCH(1923,'Transfer Engine'!$C$2:$C$1960,0)),"",INDEX('Compliance Database'!$E$2:$E$1960,MATCH(1923,'Transfer Engine'!$C$2:$C$1960,0)))</f>
        <v/>
      </c>
      <c r="F1932" s="8">
        <f>IF(ISNA(MATCH(1923,'Transfer Engine'!$C$2:$C$1960,0)),"",INDEX('Compliance Database'!$F$2:$F$1960,MATCH(1923,'Transfer Engine'!$C$2:$C$1960,0)))</f>
        <v/>
      </c>
      <c r="G1932" s="8">
        <f>IF(ISNA(MATCH(1923,'Transfer Engine'!$C$2:$C$1960,0)),"",INDEX('Compliance Database'!$G$2:$G$1960,MATCH(1923,'Transfer Engine'!$C$2:$C$1960,0)))</f>
        <v/>
      </c>
      <c r="H1932" s="9">
        <f>IF(ISNA(MATCH(1923,'Transfer Engine'!$C$2:$C$1960,0)),"",INDEX('Compliance Database'!$H$2:$H$1960,MATCH(1923,'Transfer Engine'!$C$2:$C$1960,0)))</f>
        <v/>
      </c>
      <c r="I1932" s="9">
        <f>IF(ISNA(MATCH(1923,'Transfer Engine'!$C$2:$C$1960,0)),"",INDEX('Compliance Database'!$I$2:$I$1960,MATCH(1923,'Transfer Engine'!$C$2:$C$1960,0)))</f>
        <v/>
      </c>
      <c r="J1932" s="8">
        <f>IF(ISNA(MATCH(1923,'Transfer Engine'!$C$2:$C$1960,0)),"",INDEX('Compliance Database'!$J$2:$J$1960,MATCH(1923,'Transfer Engine'!$C$2:$C$1960,0)))</f>
        <v/>
      </c>
      <c r="K1932" s="9">
        <f>IF(ISNA(MATCH(1923,'Transfer Engine'!$C$2:$C$1960,0)),"",INDEX('Compliance Database'!$K$2:$K$1960,MATCH(1923,'Transfer Engine'!$C$2:$C$1960,0)))</f>
        <v/>
      </c>
      <c r="L1932" s="9">
        <f>IF(ISNA(MATCH(1923,'Transfer Engine'!$C$2:$C$1960,0)),"",INDEX('Compliance Database'!$L$2:$L$1960,MATCH(1923,'Transfer Engine'!$C$2:$C$1960,0)))</f>
        <v/>
      </c>
      <c r="M1932" s="9">
        <f>IF(ISNA(MATCH(1923,'Transfer Engine'!$C$2:$C$1960,0)),"",INDEX('Compliance Database'!$M$2:$M$1960,MATCH(1923,'Transfer Engine'!$C$2:$C$1960,0)))</f>
        <v/>
      </c>
      <c r="N1932" s="9">
        <f>IF(ISNA(MATCH(1923,'Transfer Engine'!$C$2:$C$1960,0)),"",INDEX('Compliance Database'!$N$2:$N$1960,MATCH(1923,'Transfer Engine'!$C$2:$C$1960,0)))</f>
        <v/>
      </c>
      <c r="O1932" s="9">
        <f>IF(ISNA(MATCH(1923,'Transfer Engine'!$C$2:$C$1960,0)),"",INDEX('Compliance Database'!$O$2:$O$1960,MATCH(1923,'Transfer Engine'!$C$2:$C$1960,0)))</f>
        <v/>
      </c>
      <c r="P1932" s="8">
        <f>IF(ISNA(MATCH(1923,'Transfer Engine'!$C$2:$C$1960,0)),"",HYPERLINK("#Acts!A"&amp;INDEX('Compliance Database'!$P$2:$P$1960,MATCH(1923,'Transfer Engine'!$C$2:$C$1960,0)),"Go to Act"))</f>
        <v/>
      </c>
    </row>
    <row r="1933" ht="158" customHeight="1">
      <c r="A1933" s="8">
        <f>IF(ISNA(MATCH(1924,'Transfer Engine'!$C$2:$C$1960,0)),"",INDEX('Compliance Database'!$A$2:$A$1960,MATCH(1924,'Transfer Engine'!$C$2:$C$1960,0)))</f>
        <v/>
      </c>
      <c r="B1933" s="8">
        <f>IF(ISNA(MATCH(1924,'Transfer Engine'!$C$2:$C$1960,0)),"",INDEX('Compliance Database'!$B$2:$B$1960,MATCH(1924,'Transfer Engine'!$C$2:$C$1960,0)))</f>
        <v/>
      </c>
      <c r="C1933" s="8">
        <f>IF(ISNA(MATCH(1924,'Transfer Engine'!$C$2:$C$1960,0)),"",INDEX('Compliance Database'!$C$2:$C$1960,MATCH(1924,'Transfer Engine'!$C$2:$C$1960,0)))</f>
        <v/>
      </c>
      <c r="D1933" s="9">
        <f>IF(ISNA(MATCH(1924,'Transfer Engine'!$C$2:$C$1960,0)),"",INDEX('Compliance Database'!$D$2:$D$1960,MATCH(1924,'Transfer Engine'!$C$2:$C$1960,0)))</f>
        <v/>
      </c>
      <c r="E1933" s="8">
        <f>IF(ISNA(MATCH(1924,'Transfer Engine'!$C$2:$C$1960,0)),"",INDEX('Compliance Database'!$E$2:$E$1960,MATCH(1924,'Transfer Engine'!$C$2:$C$1960,0)))</f>
        <v/>
      </c>
      <c r="F1933" s="8">
        <f>IF(ISNA(MATCH(1924,'Transfer Engine'!$C$2:$C$1960,0)),"",INDEX('Compliance Database'!$F$2:$F$1960,MATCH(1924,'Transfer Engine'!$C$2:$C$1960,0)))</f>
        <v/>
      </c>
      <c r="G1933" s="8">
        <f>IF(ISNA(MATCH(1924,'Transfer Engine'!$C$2:$C$1960,0)),"",INDEX('Compliance Database'!$G$2:$G$1960,MATCH(1924,'Transfer Engine'!$C$2:$C$1960,0)))</f>
        <v/>
      </c>
      <c r="H1933" s="9">
        <f>IF(ISNA(MATCH(1924,'Transfer Engine'!$C$2:$C$1960,0)),"",INDEX('Compliance Database'!$H$2:$H$1960,MATCH(1924,'Transfer Engine'!$C$2:$C$1960,0)))</f>
        <v/>
      </c>
      <c r="I1933" s="9">
        <f>IF(ISNA(MATCH(1924,'Transfer Engine'!$C$2:$C$1960,0)),"",INDEX('Compliance Database'!$I$2:$I$1960,MATCH(1924,'Transfer Engine'!$C$2:$C$1960,0)))</f>
        <v/>
      </c>
      <c r="J1933" s="8">
        <f>IF(ISNA(MATCH(1924,'Transfer Engine'!$C$2:$C$1960,0)),"",INDEX('Compliance Database'!$J$2:$J$1960,MATCH(1924,'Transfer Engine'!$C$2:$C$1960,0)))</f>
        <v/>
      </c>
      <c r="K1933" s="9">
        <f>IF(ISNA(MATCH(1924,'Transfer Engine'!$C$2:$C$1960,0)),"",INDEX('Compliance Database'!$K$2:$K$1960,MATCH(1924,'Transfer Engine'!$C$2:$C$1960,0)))</f>
        <v/>
      </c>
      <c r="L1933" s="9">
        <f>IF(ISNA(MATCH(1924,'Transfer Engine'!$C$2:$C$1960,0)),"",INDEX('Compliance Database'!$L$2:$L$1960,MATCH(1924,'Transfer Engine'!$C$2:$C$1960,0)))</f>
        <v/>
      </c>
      <c r="M1933" s="9">
        <f>IF(ISNA(MATCH(1924,'Transfer Engine'!$C$2:$C$1960,0)),"",INDEX('Compliance Database'!$M$2:$M$1960,MATCH(1924,'Transfer Engine'!$C$2:$C$1960,0)))</f>
        <v/>
      </c>
      <c r="N1933" s="9">
        <f>IF(ISNA(MATCH(1924,'Transfer Engine'!$C$2:$C$1960,0)),"",INDEX('Compliance Database'!$N$2:$N$1960,MATCH(1924,'Transfer Engine'!$C$2:$C$1960,0)))</f>
        <v/>
      </c>
      <c r="O1933" s="9">
        <f>IF(ISNA(MATCH(1924,'Transfer Engine'!$C$2:$C$1960,0)),"",INDEX('Compliance Database'!$O$2:$O$1960,MATCH(1924,'Transfer Engine'!$C$2:$C$1960,0)))</f>
        <v/>
      </c>
      <c r="P1933" s="8">
        <f>IF(ISNA(MATCH(1924,'Transfer Engine'!$C$2:$C$1960,0)),"",HYPERLINK("#Acts!A"&amp;INDEX('Compliance Database'!$P$2:$P$1960,MATCH(1924,'Transfer Engine'!$C$2:$C$1960,0)),"Go to Act"))</f>
        <v/>
      </c>
    </row>
    <row r="1934" ht="158" customHeight="1">
      <c r="A1934" s="8">
        <f>IF(ISNA(MATCH(1925,'Transfer Engine'!$C$2:$C$1960,0)),"",INDEX('Compliance Database'!$A$2:$A$1960,MATCH(1925,'Transfer Engine'!$C$2:$C$1960,0)))</f>
        <v/>
      </c>
      <c r="B1934" s="8">
        <f>IF(ISNA(MATCH(1925,'Transfer Engine'!$C$2:$C$1960,0)),"",INDEX('Compliance Database'!$B$2:$B$1960,MATCH(1925,'Transfer Engine'!$C$2:$C$1960,0)))</f>
        <v/>
      </c>
      <c r="C1934" s="8">
        <f>IF(ISNA(MATCH(1925,'Transfer Engine'!$C$2:$C$1960,0)),"",INDEX('Compliance Database'!$C$2:$C$1960,MATCH(1925,'Transfer Engine'!$C$2:$C$1960,0)))</f>
        <v/>
      </c>
      <c r="D1934" s="9">
        <f>IF(ISNA(MATCH(1925,'Transfer Engine'!$C$2:$C$1960,0)),"",INDEX('Compliance Database'!$D$2:$D$1960,MATCH(1925,'Transfer Engine'!$C$2:$C$1960,0)))</f>
        <v/>
      </c>
      <c r="E1934" s="8">
        <f>IF(ISNA(MATCH(1925,'Transfer Engine'!$C$2:$C$1960,0)),"",INDEX('Compliance Database'!$E$2:$E$1960,MATCH(1925,'Transfer Engine'!$C$2:$C$1960,0)))</f>
        <v/>
      </c>
      <c r="F1934" s="8">
        <f>IF(ISNA(MATCH(1925,'Transfer Engine'!$C$2:$C$1960,0)),"",INDEX('Compliance Database'!$F$2:$F$1960,MATCH(1925,'Transfer Engine'!$C$2:$C$1960,0)))</f>
        <v/>
      </c>
      <c r="G1934" s="8">
        <f>IF(ISNA(MATCH(1925,'Transfer Engine'!$C$2:$C$1960,0)),"",INDEX('Compliance Database'!$G$2:$G$1960,MATCH(1925,'Transfer Engine'!$C$2:$C$1960,0)))</f>
        <v/>
      </c>
      <c r="H1934" s="9">
        <f>IF(ISNA(MATCH(1925,'Transfer Engine'!$C$2:$C$1960,0)),"",INDEX('Compliance Database'!$H$2:$H$1960,MATCH(1925,'Transfer Engine'!$C$2:$C$1960,0)))</f>
        <v/>
      </c>
      <c r="I1934" s="9">
        <f>IF(ISNA(MATCH(1925,'Transfer Engine'!$C$2:$C$1960,0)),"",INDEX('Compliance Database'!$I$2:$I$1960,MATCH(1925,'Transfer Engine'!$C$2:$C$1960,0)))</f>
        <v/>
      </c>
      <c r="J1934" s="8">
        <f>IF(ISNA(MATCH(1925,'Transfer Engine'!$C$2:$C$1960,0)),"",INDEX('Compliance Database'!$J$2:$J$1960,MATCH(1925,'Transfer Engine'!$C$2:$C$1960,0)))</f>
        <v/>
      </c>
      <c r="K1934" s="9">
        <f>IF(ISNA(MATCH(1925,'Transfer Engine'!$C$2:$C$1960,0)),"",INDEX('Compliance Database'!$K$2:$K$1960,MATCH(1925,'Transfer Engine'!$C$2:$C$1960,0)))</f>
        <v/>
      </c>
      <c r="L1934" s="9">
        <f>IF(ISNA(MATCH(1925,'Transfer Engine'!$C$2:$C$1960,0)),"",INDEX('Compliance Database'!$L$2:$L$1960,MATCH(1925,'Transfer Engine'!$C$2:$C$1960,0)))</f>
        <v/>
      </c>
      <c r="M1934" s="9">
        <f>IF(ISNA(MATCH(1925,'Transfer Engine'!$C$2:$C$1960,0)),"",INDEX('Compliance Database'!$M$2:$M$1960,MATCH(1925,'Transfer Engine'!$C$2:$C$1960,0)))</f>
        <v/>
      </c>
      <c r="N1934" s="9">
        <f>IF(ISNA(MATCH(1925,'Transfer Engine'!$C$2:$C$1960,0)),"",INDEX('Compliance Database'!$N$2:$N$1960,MATCH(1925,'Transfer Engine'!$C$2:$C$1960,0)))</f>
        <v/>
      </c>
      <c r="O1934" s="9">
        <f>IF(ISNA(MATCH(1925,'Transfer Engine'!$C$2:$C$1960,0)),"",INDEX('Compliance Database'!$O$2:$O$1960,MATCH(1925,'Transfer Engine'!$C$2:$C$1960,0)))</f>
        <v/>
      </c>
      <c r="P1934" s="8">
        <f>IF(ISNA(MATCH(1925,'Transfer Engine'!$C$2:$C$1960,0)),"",HYPERLINK("#Acts!A"&amp;INDEX('Compliance Database'!$P$2:$P$1960,MATCH(1925,'Transfer Engine'!$C$2:$C$1960,0)),"Go to Act"))</f>
        <v/>
      </c>
    </row>
    <row r="1935" ht="158" customHeight="1">
      <c r="A1935" s="8">
        <f>IF(ISNA(MATCH(1926,'Transfer Engine'!$C$2:$C$1960,0)),"",INDEX('Compliance Database'!$A$2:$A$1960,MATCH(1926,'Transfer Engine'!$C$2:$C$1960,0)))</f>
        <v/>
      </c>
      <c r="B1935" s="8">
        <f>IF(ISNA(MATCH(1926,'Transfer Engine'!$C$2:$C$1960,0)),"",INDEX('Compliance Database'!$B$2:$B$1960,MATCH(1926,'Transfer Engine'!$C$2:$C$1960,0)))</f>
        <v/>
      </c>
      <c r="C1935" s="8">
        <f>IF(ISNA(MATCH(1926,'Transfer Engine'!$C$2:$C$1960,0)),"",INDEX('Compliance Database'!$C$2:$C$1960,MATCH(1926,'Transfer Engine'!$C$2:$C$1960,0)))</f>
        <v/>
      </c>
      <c r="D1935" s="9">
        <f>IF(ISNA(MATCH(1926,'Transfer Engine'!$C$2:$C$1960,0)),"",INDEX('Compliance Database'!$D$2:$D$1960,MATCH(1926,'Transfer Engine'!$C$2:$C$1960,0)))</f>
        <v/>
      </c>
      <c r="E1935" s="8">
        <f>IF(ISNA(MATCH(1926,'Transfer Engine'!$C$2:$C$1960,0)),"",INDEX('Compliance Database'!$E$2:$E$1960,MATCH(1926,'Transfer Engine'!$C$2:$C$1960,0)))</f>
        <v/>
      </c>
      <c r="F1935" s="8">
        <f>IF(ISNA(MATCH(1926,'Transfer Engine'!$C$2:$C$1960,0)),"",INDEX('Compliance Database'!$F$2:$F$1960,MATCH(1926,'Transfer Engine'!$C$2:$C$1960,0)))</f>
        <v/>
      </c>
      <c r="G1935" s="8">
        <f>IF(ISNA(MATCH(1926,'Transfer Engine'!$C$2:$C$1960,0)),"",INDEX('Compliance Database'!$G$2:$G$1960,MATCH(1926,'Transfer Engine'!$C$2:$C$1960,0)))</f>
        <v/>
      </c>
      <c r="H1935" s="9">
        <f>IF(ISNA(MATCH(1926,'Transfer Engine'!$C$2:$C$1960,0)),"",INDEX('Compliance Database'!$H$2:$H$1960,MATCH(1926,'Transfer Engine'!$C$2:$C$1960,0)))</f>
        <v/>
      </c>
      <c r="I1935" s="9">
        <f>IF(ISNA(MATCH(1926,'Transfer Engine'!$C$2:$C$1960,0)),"",INDEX('Compliance Database'!$I$2:$I$1960,MATCH(1926,'Transfer Engine'!$C$2:$C$1960,0)))</f>
        <v/>
      </c>
      <c r="J1935" s="8">
        <f>IF(ISNA(MATCH(1926,'Transfer Engine'!$C$2:$C$1960,0)),"",INDEX('Compliance Database'!$J$2:$J$1960,MATCH(1926,'Transfer Engine'!$C$2:$C$1960,0)))</f>
        <v/>
      </c>
      <c r="K1935" s="9">
        <f>IF(ISNA(MATCH(1926,'Transfer Engine'!$C$2:$C$1960,0)),"",INDEX('Compliance Database'!$K$2:$K$1960,MATCH(1926,'Transfer Engine'!$C$2:$C$1960,0)))</f>
        <v/>
      </c>
      <c r="L1935" s="9">
        <f>IF(ISNA(MATCH(1926,'Transfer Engine'!$C$2:$C$1960,0)),"",INDEX('Compliance Database'!$L$2:$L$1960,MATCH(1926,'Transfer Engine'!$C$2:$C$1960,0)))</f>
        <v/>
      </c>
      <c r="M1935" s="9">
        <f>IF(ISNA(MATCH(1926,'Transfer Engine'!$C$2:$C$1960,0)),"",INDEX('Compliance Database'!$M$2:$M$1960,MATCH(1926,'Transfer Engine'!$C$2:$C$1960,0)))</f>
        <v/>
      </c>
      <c r="N1935" s="9">
        <f>IF(ISNA(MATCH(1926,'Transfer Engine'!$C$2:$C$1960,0)),"",INDEX('Compliance Database'!$N$2:$N$1960,MATCH(1926,'Transfer Engine'!$C$2:$C$1960,0)))</f>
        <v/>
      </c>
      <c r="O1935" s="9">
        <f>IF(ISNA(MATCH(1926,'Transfer Engine'!$C$2:$C$1960,0)),"",INDEX('Compliance Database'!$O$2:$O$1960,MATCH(1926,'Transfer Engine'!$C$2:$C$1960,0)))</f>
        <v/>
      </c>
      <c r="P1935" s="8">
        <f>IF(ISNA(MATCH(1926,'Transfer Engine'!$C$2:$C$1960,0)),"",HYPERLINK("#Acts!A"&amp;INDEX('Compliance Database'!$P$2:$P$1960,MATCH(1926,'Transfer Engine'!$C$2:$C$1960,0)),"Go to Act"))</f>
        <v/>
      </c>
    </row>
    <row r="1936" ht="158" customHeight="1">
      <c r="A1936" s="8">
        <f>IF(ISNA(MATCH(1927,'Transfer Engine'!$C$2:$C$1960,0)),"",INDEX('Compliance Database'!$A$2:$A$1960,MATCH(1927,'Transfer Engine'!$C$2:$C$1960,0)))</f>
        <v/>
      </c>
      <c r="B1936" s="8">
        <f>IF(ISNA(MATCH(1927,'Transfer Engine'!$C$2:$C$1960,0)),"",INDEX('Compliance Database'!$B$2:$B$1960,MATCH(1927,'Transfer Engine'!$C$2:$C$1960,0)))</f>
        <v/>
      </c>
      <c r="C1936" s="8">
        <f>IF(ISNA(MATCH(1927,'Transfer Engine'!$C$2:$C$1960,0)),"",INDEX('Compliance Database'!$C$2:$C$1960,MATCH(1927,'Transfer Engine'!$C$2:$C$1960,0)))</f>
        <v/>
      </c>
      <c r="D1936" s="9">
        <f>IF(ISNA(MATCH(1927,'Transfer Engine'!$C$2:$C$1960,0)),"",INDEX('Compliance Database'!$D$2:$D$1960,MATCH(1927,'Transfer Engine'!$C$2:$C$1960,0)))</f>
        <v/>
      </c>
      <c r="E1936" s="8">
        <f>IF(ISNA(MATCH(1927,'Transfer Engine'!$C$2:$C$1960,0)),"",INDEX('Compliance Database'!$E$2:$E$1960,MATCH(1927,'Transfer Engine'!$C$2:$C$1960,0)))</f>
        <v/>
      </c>
      <c r="F1936" s="8">
        <f>IF(ISNA(MATCH(1927,'Transfer Engine'!$C$2:$C$1960,0)),"",INDEX('Compliance Database'!$F$2:$F$1960,MATCH(1927,'Transfer Engine'!$C$2:$C$1960,0)))</f>
        <v/>
      </c>
      <c r="G1936" s="8">
        <f>IF(ISNA(MATCH(1927,'Transfer Engine'!$C$2:$C$1960,0)),"",INDEX('Compliance Database'!$G$2:$G$1960,MATCH(1927,'Transfer Engine'!$C$2:$C$1960,0)))</f>
        <v/>
      </c>
      <c r="H1936" s="9">
        <f>IF(ISNA(MATCH(1927,'Transfer Engine'!$C$2:$C$1960,0)),"",INDEX('Compliance Database'!$H$2:$H$1960,MATCH(1927,'Transfer Engine'!$C$2:$C$1960,0)))</f>
        <v/>
      </c>
      <c r="I1936" s="9">
        <f>IF(ISNA(MATCH(1927,'Transfer Engine'!$C$2:$C$1960,0)),"",INDEX('Compliance Database'!$I$2:$I$1960,MATCH(1927,'Transfer Engine'!$C$2:$C$1960,0)))</f>
        <v/>
      </c>
      <c r="J1936" s="8">
        <f>IF(ISNA(MATCH(1927,'Transfer Engine'!$C$2:$C$1960,0)),"",INDEX('Compliance Database'!$J$2:$J$1960,MATCH(1927,'Transfer Engine'!$C$2:$C$1960,0)))</f>
        <v/>
      </c>
      <c r="K1936" s="9">
        <f>IF(ISNA(MATCH(1927,'Transfer Engine'!$C$2:$C$1960,0)),"",INDEX('Compliance Database'!$K$2:$K$1960,MATCH(1927,'Transfer Engine'!$C$2:$C$1960,0)))</f>
        <v/>
      </c>
      <c r="L1936" s="9">
        <f>IF(ISNA(MATCH(1927,'Transfer Engine'!$C$2:$C$1960,0)),"",INDEX('Compliance Database'!$L$2:$L$1960,MATCH(1927,'Transfer Engine'!$C$2:$C$1960,0)))</f>
        <v/>
      </c>
      <c r="M1936" s="9">
        <f>IF(ISNA(MATCH(1927,'Transfer Engine'!$C$2:$C$1960,0)),"",INDEX('Compliance Database'!$M$2:$M$1960,MATCH(1927,'Transfer Engine'!$C$2:$C$1960,0)))</f>
        <v/>
      </c>
      <c r="N1936" s="9">
        <f>IF(ISNA(MATCH(1927,'Transfer Engine'!$C$2:$C$1960,0)),"",INDEX('Compliance Database'!$N$2:$N$1960,MATCH(1927,'Transfer Engine'!$C$2:$C$1960,0)))</f>
        <v/>
      </c>
      <c r="O1936" s="9">
        <f>IF(ISNA(MATCH(1927,'Transfer Engine'!$C$2:$C$1960,0)),"",INDEX('Compliance Database'!$O$2:$O$1960,MATCH(1927,'Transfer Engine'!$C$2:$C$1960,0)))</f>
        <v/>
      </c>
      <c r="P1936" s="8">
        <f>IF(ISNA(MATCH(1927,'Transfer Engine'!$C$2:$C$1960,0)),"",HYPERLINK("#Acts!A"&amp;INDEX('Compliance Database'!$P$2:$P$1960,MATCH(1927,'Transfer Engine'!$C$2:$C$1960,0)),"Go to Act"))</f>
        <v/>
      </c>
    </row>
    <row r="1937" ht="158" customHeight="1">
      <c r="A1937" s="8">
        <f>IF(ISNA(MATCH(1928,'Transfer Engine'!$C$2:$C$1960,0)),"",INDEX('Compliance Database'!$A$2:$A$1960,MATCH(1928,'Transfer Engine'!$C$2:$C$1960,0)))</f>
        <v/>
      </c>
      <c r="B1937" s="8">
        <f>IF(ISNA(MATCH(1928,'Transfer Engine'!$C$2:$C$1960,0)),"",INDEX('Compliance Database'!$B$2:$B$1960,MATCH(1928,'Transfer Engine'!$C$2:$C$1960,0)))</f>
        <v/>
      </c>
      <c r="C1937" s="8">
        <f>IF(ISNA(MATCH(1928,'Transfer Engine'!$C$2:$C$1960,0)),"",INDEX('Compliance Database'!$C$2:$C$1960,MATCH(1928,'Transfer Engine'!$C$2:$C$1960,0)))</f>
        <v/>
      </c>
      <c r="D1937" s="9">
        <f>IF(ISNA(MATCH(1928,'Transfer Engine'!$C$2:$C$1960,0)),"",INDEX('Compliance Database'!$D$2:$D$1960,MATCH(1928,'Transfer Engine'!$C$2:$C$1960,0)))</f>
        <v/>
      </c>
      <c r="E1937" s="8">
        <f>IF(ISNA(MATCH(1928,'Transfer Engine'!$C$2:$C$1960,0)),"",INDEX('Compliance Database'!$E$2:$E$1960,MATCH(1928,'Transfer Engine'!$C$2:$C$1960,0)))</f>
        <v/>
      </c>
      <c r="F1937" s="8">
        <f>IF(ISNA(MATCH(1928,'Transfer Engine'!$C$2:$C$1960,0)),"",INDEX('Compliance Database'!$F$2:$F$1960,MATCH(1928,'Transfer Engine'!$C$2:$C$1960,0)))</f>
        <v/>
      </c>
      <c r="G1937" s="8">
        <f>IF(ISNA(MATCH(1928,'Transfer Engine'!$C$2:$C$1960,0)),"",INDEX('Compliance Database'!$G$2:$G$1960,MATCH(1928,'Transfer Engine'!$C$2:$C$1960,0)))</f>
        <v/>
      </c>
      <c r="H1937" s="9">
        <f>IF(ISNA(MATCH(1928,'Transfer Engine'!$C$2:$C$1960,0)),"",INDEX('Compliance Database'!$H$2:$H$1960,MATCH(1928,'Transfer Engine'!$C$2:$C$1960,0)))</f>
        <v/>
      </c>
      <c r="I1937" s="9">
        <f>IF(ISNA(MATCH(1928,'Transfer Engine'!$C$2:$C$1960,0)),"",INDEX('Compliance Database'!$I$2:$I$1960,MATCH(1928,'Transfer Engine'!$C$2:$C$1960,0)))</f>
        <v/>
      </c>
      <c r="J1937" s="8">
        <f>IF(ISNA(MATCH(1928,'Transfer Engine'!$C$2:$C$1960,0)),"",INDEX('Compliance Database'!$J$2:$J$1960,MATCH(1928,'Transfer Engine'!$C$2:$C$1960,0)))</f>
        <v/>
      </c>
      <c r="K1937" s="9">
        <f>IF(ISNA(MATCH(1928,'Transfer Engine'!$C$2:$C$1960,0)),"",INDEX('Compliance Database'!$K$2:$K$1960,MATCH(1928,'Transfer Engine'!$C$2:$C$1960,0)))</f>
        <v/>
      </c>
      <c r="L1937" s="9">
        <f>IF(ISNA(MATCH(1928,'Transfer Engine'!$C$2:$C$1960,0)),"",INDEX('Compliance Database'!$L$2:$L$1960,MATCH(1928,'Transfer Engine'!$C$2:$C$1960,0)))</f>
        <v/>
      </c>
      <c r="M1937" s="9">
        <f>IF(ISNA(MATCH(1928,'Transfer Engine'!$C$2:$C$1960,0)),"",INDEX('Compliance Database'!$M$2:$M$1960,MATCH(1928,'Transfer Engine'!$C$2:$C$1960,0)))</f>
        <v/>
      </c>
      <c r="N1937" s="9">
        <f>IF(ISNA(MATCH(1928,'Transfer Engine'!$C$2:$C$1960,0)),"",INDEX('Compliance Database'!$N$2:$N$1960,MATCH(1928,'Transfer Engine'!$C$2:$C$1960,0)))</f>
        <v/>
      </c>
      <c r="O1937" s="9">
        <f>IF(ISNA(MATCH(1928,'Transfer Engine'!$C$2:$C$1960,0)),"",INDEX('Compliance Database'!$O$2:$O$1960,MATCH(1928,'Transfer Engine'!$C$2:$C$1960,0)))</f>
        <v/>
      </c>
      <c r="P1937" s="8">
        <f>IF(ISNA(MATCH(1928,'Transfer Engine'!$C$2:$C$1960,0)),"",HYPERLINK("#Acts!A"&amp;INDEX('Compliance Database'!$P$2:$P$1960,MATCH(1928,'Transfer Engine'!$C$2:$C$1960,0)),"Go to Act"))</f>
        <v/>
      </c>
    </row>
    <row r="1938" ht="158" customHeight="1">
      <c r="A1938" s="8">
        <f>IF(ISNA(MATCH(1929,'Transfer Engine'!$C$2:$C$1960,0)),"",INDEX('Compliance Database'!$A$2:$A$1960,MATCH(1929,'Transfer Engine'!$C$2:$C$1960,0)))</f>
        <v/>
      </c>
      <c r="B1938" s="8">
        <f>IF(ISNA(MATCH(1929,'Transfer Engine'!$C$2:$C$1960,0)),"",INDEX('Compliance Database'!$B$2:$B$1960,MATCH(1929,'Transfer Engine'!$C$2:$C$1960,0)))</f>
        <v/>
      </c>
      <c r="C1938" s="8">
        <f>IF(ISNA(MATCH(1929,'Transfer Engine'!$C$2:$C$1960,0)),"",INDEX('Compliance Database'!$C$2:$C$1960,MATCH(1929,'Transfer Engine'!$C$2:$C$1960,0)))</f>
        <v/>
      </c>
      <c r="D1938" s="9">
        <f>IF(ISNA(MATCH(1929,'Transfer Engine'!$C$2:$C$1960,0)),"",INDEX('Compliance Database'!$D$2:$D$1960,MATCH(1929,'Transfer Engine'!$C$2:$C$1960,0)))</f>
        <v/>
      </c>
      <c r="E1938" s="8">
        <f>IF(ISNA(MATCH(1929,'Transfer Engine'!$C$2:$C$1960,0)),"",INDEX('Compliance Database'!$E$2:$E$1960,MATCH(1929,'Transfer Engine'!$C$2:$C$1960,0)))</f>
        <v/>
      </c>
      <c r="F1938" s="8">
        <f>IF(ISNA(MATCH(1929,'Transfer Engine'!$C$2:$C$1960,0)),"",INDEX('Compliance Database'!$F$2:$F$1960,MATCH(1929,'Transfer Engine'!$C$2:$C$1960,0)))</f>
        <v/>
      </c>
      <c r="G1938" s="8">
        <f>IF(ISNA(MATCH(1929,'Transfer Engine'!$C$2:$C$1960,0)),"",INDEX('Compliance Database'!$G$2:$G$1960,MATCH(1929,'Transfer Engine'!$C$2:$C$1960,0)))</f>
        <v/>
      </c>
      <c r="H1938" s="9">
        <f>IF(ISNA(MATCH(1929,'Transfer Engine'!$C$2:$C$1960,0)),"",INDEX('Compliance Database'!$H$2:$H$1960,MATCH(1929,'Transfer Engine'!$C$2:$C$1960,0)))</f>
        <v/>
      </c>
      <c r="I1938" s="9">
        <f>IF(ISNA(MATCH(1929,'Transfer Engine'!$C$2:$C$1960,0)),"",INDEX('Compliance Database'!$I$2:$I$1960,MATCH(1929,'Transfer Engine'!$C$2:$C$1960,0)))</f>
        <v/>
      </c>
      <c r="J1938" s="8">
        <f>IF(ISNA(MATCH(1929,'Transfer Engine'!$C$2:$C$1960,0)),"",INDEX('Compliance Database'!$J$2:$J$1960,MATCH(1929,'Transfer Engine'!$C$2:$C$1960,0)))</f>
        <v/>
      </c>
      <c r="K1938" s="9">
        <f>IF(ISNA(MATCH(1929,'Transfer Engine'!$C$2:$C$1960,0)),"",INDEX('Compliance Database'!$K$2:$K$1960,MATCH(1929,'Transfer Engine'!$C$2:$C$1960,0)))</f>
        <v/>
      </c>
      <c r="L1938" s="9">
        <f>IF(ISNA(MATCH(1929,'Transfer Engine'!$C$2:$C$1960,0)),"",INDEX('Compliance Database'!$L$2:$L$1960,MATCH(1929,'Transfer Engine'!$C$2:$C$1960,0)))</f>
        <v/>
      </c>
      <c r="M1938" s="9">
        <f>IF(ISNA(MATCH(1929,'Transfer Engine'!$C$2:$C$1960,0)),"",INDEX('Compliance Database'!$M$2:$M$1960,MATCH(1929,'Transfer Engine'!$C$2:$C$1960,0)))</f>
        <v/>
      </c>
      <c r="N1938" s="9">
        <f>IF(ISNA(MATCH(1929,'Transfer Engine'!$C$2:$C$1960,0)),"",INDEX('Compliance Database'!$N$2:$N$1960,MATCH(1929,'Transfer Engine'!$C$2:$C$1960,0)))</f>
        <v/>
      </c>
      <c r="O1938" s="9">
        <f>IF(ISNA(MATCH(1929,'Transfer Engine'!$C$2:$C$1960,0)),"",INDEX('Compliance Database'!$O$2:$O$1960,MATCH(1929,'Transfer Engine'!$C$2:$C$1960,0)))</f>
        <v/>
      </c>
      <c r="P1938" s="8">
        <f>IF(ISNA(MATCH(1929,'Transfer Engine'!$C$2:$C$1960,0)),"",HYPERLINK("#Acts!A"&amp;INDEX('Compliance Database'!$P$2:$P$1960,MATCH(1929,'Transfer Engine'!$C$2:$C$1960,0)),"Go to Act"))</f>
        <v/>
      </c>
    </row>
    <row r="1939" ht="158" customHeight="1">
      <c r="A1939" s="8">
        <f>IF(ISNA(MATCH(1930,'Transfer Engine'!$C$2:$C$1960,0)),"",INDEX('Compliance Database'!$A$2:$A$1960,MATCH(1930,'Transfer Engine'!$C$2:$C$1960,0)))</f>
        <v/>
      </c>
      <c r="B1939" s="8">
        <f>IF(ISNA(MATCH(1930,'Transfer Engine'!$C$2:$C$1960,0)),"",INDEX('Compliance Database'!$B$2:$B$1960,MATCH(1930,'Transfer Engine'!$C$2:$C$1960,0)))</f>
        <v/>
      </c>
      <c r="C1939" s="8">
        <f>IF(ISNA(MATCH(1930,'Transfer Engine'!$C$2:$C$1960,0)),"",INDEX('Compliance Database'!$C$2:$C$1960,MATCH(1930,'Transfer Engine'!$C$2:$C$1960,0)))</f>
        <v/>
      </c>
      <c r="D1939" s="9">
        <f>IF(ISNA(MATCH(1930,'Transfer Engine'!$C$2:$C$1960,0)),"",INDEX('Compliance Database'!$D$2:$D$1960,MATCH(1930,'Transfer Engine'!$C$2:$C$1960,0)))</f>
        <v/>
      </c>
      <c r="E1939" s="8">
        <f>IF(ISNA(MATCH(1930,'Transfer Engine'!$C$2:$C$1960,0)),"",INDEX('Compliance Database'!$E$2:$E$1960,MATCH(1930,'Transfer Engine'!$C$2:$C$1960,0)))</f>
        <v/>
      </c>
      <c r="F1939" s="8">
        <f>IF(ISNA(MATCH(1930,'Transfer Engine'!$C$2:$C$1960,0)),"",INDEX('Compliance Database'!$F$2:$F$1960,MATCH(1930,'Transfer Engine'!$C$2:$C$1960,0)))</f>
        <v/>
      </c>
      <c r="G1939" s="8">
        <f>IF(ISNA(MATCH(1930,'Transfer Engine'!$C$2:$C$1960,0)),"",INDEX('Compliance Database'!$G$2:$G$1960,MATCH(1930,'Transfer Engine'!$C$2:$C$1960,0)))</f>
        <v/>
      </c>
      <c r="H1939" s="9">
        <f>IF(ISNA(MATCH(1930,'Transfer Engine'!$C$2:$C$1960,0)),"",INDEX('Compliance Database'!$H$2:$H$1960,MATCH(1930,'Transfer Engine'!$C$2:$C$1960,0)))</f>
        <v/>
      </c>
      <c r="I1939" s="9">
        <f>IF(ISNA(MATCH(1930,'Transfer Engine'!$C$2:$C$1960,0)),"",INDEX('Compliance Database'!$I$2:$I$1960,MATCH(1930,'Transfer Engine'!$C$2:$C$1960,0)))</f>
        <v/>
      </c>
      <c r="J1939" s="8">
        <f>IF(ISNA(MATCH(1930,'Transfer Engine'!$C$2:$C$1960,0)),"",INDEX('Compliance Database'!$J$2:$J$1960,MATCH(1930,'Transfer Engine'!$C$2:$C$1960,0)))</f>
        <v/>
      </c>
      <c r="K1939" s="9">
        <f>IF(ISNA(MATCH(1930,'Transfer Engine'!$C$2:$C$1960,0)),"",INDEX('Compliance Database'!$K$2:$K$1960,MATCH(1930,'Transfer Engine'!$C$2:$C$1960,0)))</f>
        <v/>
      </c>
      <c r="L1939" s="9">
        <f>IF(ISNA(MATCH(1930,'Transfer Engine'!$C$2:$C$1960,0)),"",INDEX('Compliance Database'!$L$2:$L$1960,MATCH(1930,'Transfer Engine'!$C$2:$C$1960,0)))</f>
        <v/>
      </c>
      <c r="M1939" s="9">
        <f>IF(ISNA(MATCH(1930,'Transfer Engine'!$C$2:$C$1960,0)),"",INDEX('Compliance Database'!$M$2:$M$1960,MATCH(1930,'Transfer Engine'!$C$2:$C$1960,0)))</f>
        <v/>
      </c>
      <c r="N1939" s="9">
        <f>IF(ISNA(MATCH(1930,'Transfer Engine'!$C$2:$C$1960,0)),"",INDEX('Compliance Database'!$N$2:$N$1960,MATCH(1930,'Transfer Engine'!$C$2:$C$1960,0)))</f>
        <v/>
      </c>
      <c r="O1939" s="9">
        <f>IF(ISNA(MATCH(1930,'Transfer Engine'!$C$2:$C$1960,0)),"",INDEX('Compliance Database'!$O$2:$O$1960,MATCH(1930,'Transfer Engine'!$C$2:$C$1960,0)))</f>
        <v/>
      </c>
      <c r="P1939" s="8">
        <f>IF(ISNA(MATCH(1930,'Transfer Engine'!$C$2:$C$1960,0)),"",HYPERLINK("#Acts!A"&amp;INDEX('Compliance Database'!$P$2:$P$1960,MATCH(1930,'Transfer Engine'!$C$2:$C$1960,0)),"Go to Act"))</f>
        <v/>
      </c>
    </row>
    <row r="1940" ht="158" customHeight="1">
      <c r="A1940" s="8">
        <f>IF(ISNA(MATCH(1931,'Transfer Engine'!$C$2:$C$1960,0)),"",INDEX('Compliance Database'!$A$2:$A$1960,MATCH(1931,'Transfer Engine'!$C$2:$C$1960,0)))</f>
        <v/>
      </c>
      <c r="B1940" s="8">
        <f>IF(ISNA(MATCH(1931,'Transfer Engine'!$C$2:$C$1960,0)),"",INDEX('Compliance Database'!$B$2:$B$1960,MATCH(1931,'Transfer Engine'!$C$2:$C$1960,0)))</f>
        <v/>
      </c>
      <c r="C1940" s="8">
        <f>IF(ISNA(MATCH(1931,'Transfer Engine'!$C$2:$C$1960,0)),"",INDEX('Compliance Database'!$C$2:$C$1960,MATCH(1931,'Transfer Engine'!$C$2:$C$1960,0)))</f>
        <v/>
      </c>
      <c r="D1940" s="9">
        <f>IF(ISNA(MATCH(1931,'Transfer Engine'!$C$2:$C$1960,0)),"",INDEX('Compliance Database'!$D$2:$D$1960,MATCH(1931,'Transfer Engine'!$C$2:$C$1960,0)))</f>
        <v/>
      </c>
      <c r="E1940" s="8">
        <f>IF(ISNA(MATCH(1931,'Transfer Engine'!$C$2:$C$1960,0)),"",INDEX('Compliance Database'!$E$2:$E$1960,MATCH(1931,'Transfer Engine'!$C$2:$C$1960,0)))</f>
        <v/>
      </c>
      <c r="F1940" s="8">
        <f>IF(ISNA(MATCH(1931,'Transfer Engine'!$C$2:$C$1960,0)),"",INDEX('Compliance Database'!$F$2:$F$1960,MATCH(1931,'Transfer Engine'!$C$2:$C$1960,0)))</f>
        <v/>
      </c>
      <c r="G1940" s="8">
        <f>IF(ISNA(MATCH(1931,'Transfer Engine'!$C$2:$C$1960,0)),"",INDEX('Compliance Database'!$G$2:$G$1960,MATCH(1931,'Transfer Engine'!$C$2:$C$1960,0)))</f>
        <v/>
      </c>
      <c r="H1940" s="9">
        <f>IF(ISNA(MATCH(1931,'Transfer Engine'!$C$2:$C$1960,0)),"",INDEX('Compliance Database'!$H$2:$H$1960,MATCH(1931,'Transfer Engine'!$C$2:$C$1960,0)))</f>
        <v/>
      </c>
      <c r="I1940" s="9">
        <f>IF(ISNA(MATCH(1931,'Transfer Engine'!$C$2:$C$1960,0)),"",INDEX('Compliance Database'!$I$2:$I$1960,MATCH(1931,'Transfer Engine'!$C$2:$C$1960,0)))</f>
        <v/>
      </c>
      <c r="J1940" s="8">
        <f>IF(ISNA(MATCH(1931,'Transfer Engine'!$C$2:$C$1960,0)),"",INDEX('Compliance Database'!$J$2:$J$1960,MATCH(1931,'Transfer Engine'!$C$2:$C$1960,0)))</f>
        <v/>
      </c>
      <c r="K1940" s="9">
        <f>IF(ISNA(MATCH(1931,'Transfer Engine'!$C$2:$C$1960,0)),"",INDEX('Compliance Database'!$K$2:$K$1960,MATCH(1931,'Transfer Engine'!$C$2:$C$1960,0)))</f>
        <v/>
      </c>
      <c r="L1940" s="9">
        <f>IF(ISNA(MATCH(1931,'Transfer Engine'!$C$2:$C$1960,0)),"",INDEX('Compliance Database'!$L$2:$L$1960,MATCH(1931,'Transfer Engine'!$C$2:$C$1960,0)))</f>
        <v/>
      </c>
      <c r="M1940" s="9">
        <f>IF(ISNA(MATCH(1931,'Transfer Engine'!$C$2:$C$1960,0)),"",INDEX('Compliance Database'!$M$2:$M$1960,MATCH(1931,'Transfer Engine'!$C$2:$C$1960,0)))</f>
        <v/>
      </c>
      <c r="N1940" s="9">
        <f>IF(ISNA(MATCH(1931,'Transfer Engine'!$C$2:$C$1960,0)),"",INDEX('Compliance Database'!$N$2:$N$1960,MATCH(1931,'Transfer Engine'!$C$2:$C$1960,0)))</f>
        <v/>
      </c>
      <c r="O1940" s="9">
        <f>IF(ISNA(MATCH(1931,'Transfer Engine'!$C$2:$C$1960,0)),"",INDEX('Compliance Database'!$O$2:$O$1960,MATCH(1931,'Transfer Engine'!$C$2:$C$1960,0)))</f>
        <v/>
      </c>
      <c r="P1940" s="8">
        <f>IF(ISNA(MATCH(1931,'Transfer Engine'!$C$2:$C$1960,0)),"",HYPERLINK("#Acts!A"&amp;INDEX('Compliance Database'!$P$2:$P$1960,MATCH(1931,'Transfer Engine'!$C$2:$C$1960,0)),"Go to Act"))</f>
        <v/>
      </c>
    </row>
    <row r="1941" ht="158" customHeight="1">
      <c r="A1941" s="8">
        <f>IF(ISNA(MATCH(1932,'Transfer Engine'!$C$2:$C$1960,0)),"",INDEX('Compliance Database'!$A$2:$A$1960,MATCH(1932,'Transfer Engine'!$C$2:$C$1960,0)))</f>
        <v/>
      </c>
      <c r="B1941" s="8">
        <f>IF(ISNA(MATCH(1932,'Transfer Engine'!$C$2:$C$1960,0)),"",INDEX('Compliance Database'!$B$2:$B$1960,MATCH(1932,'Transfer Engine'!$C$2:$C$1960,0)))</f>
        <v/>
      </c>
      <c r="C1941" s="8">
        <f>IF(ISNA(MATCH(1932,'Transfer Engine'!$C$2:$C$1960,0)),"",INDEX('Compliance Database'!$C$2:$C$1960,MATCH(1932,'Transfer Engine'!$C$2:$C$1960,0)))</f>
        <v/>
      </c>
      <c r="D1941" s="9">
        <f>IF(ISNA(MATCH(1932,'Transfer Engine'!$C$2:$C$1960,0)),"",INDEX('Compliance Database'!$D$2:$D$1960,MATCH(1932,'Transfer Engine'!$C$2:$C$1960,0)))</f>
        <v/>
      </c>
      <c r="E1941" s="8">
        <f>IF(ISNA(MATCH(1932,'Transfer Engine'!$C$2:$C$1960,0)),"",INDEX('Compliance Database'!$E$2:$E$1960,MATCH(1932,'Transfer Engine'!$C$2:$C$1960,0)))</f>
        <v/>
      </c>
      <c r="F1941" s="8">
        <f>IF(ISNA(MATCH(1932,'Transfer Engine'!$C$2:$C$1960,0)),"",INDEX('Compliance Database'!$F$2:$F$1960,MATCH(1932,'Transfer Engine'!$C$2:$C$1960,0)))</f>
        <v/>
      </c>
      <c r="G1941" s="8">
        <f>IF(ISNA(MATCH(1932,'Transfer Engine'!$C$2:$C$1960,0)),"",INDEX('Compliance Database'!$G$2:$G$1960,MATCH(1932,'Transfer Engine'!$C$2:$C$1960,0)))</f>
        <v/>
      </c>
      <c r="H1941" s="9">
        <f>IF(ISNA(MATCH(1932,'Transfer Engine'!$C$2:$C$1960,0)),"",INDEX('Compliance Database'!$H$2:$H$1960,MATCH(1932,'Transfer Engine'!$C$2:$C$1960,0)))</f>
        <v/>
      </c>
      <c r="I1941" s="9">
        <f>IF(ISNA(MATCH(1932,'Transfer Engine'!$C$2:$C$1960,0)),"",INDEX('Compliance Database'!$I$2:$I$1960,MATCH(1932,'Transfer Engine'!$C$2:$C$1960,0)))</f>
        <v/>
      </c>
      <c r="J1941" s="8">
        <f>IF(ISNA(MATCH(1932,'Transfer Engine'!$C$2:$C$1960,0)),"",INDEX('Compliance Database'!$J$2:$J$1960,MATCH(1932,'Transfer Engine'!$C$2:$C$1960,0)))</f>
        <v/>
      </c>
      <c r="K1941" s="9">
        <f>IF(ISNA(MATCH(1932,'Transfer Engine'!$C$2:$C$1960,0)),"",INDEX('Compliance Database'!$K$2:$K$1960,MATCH(1932,'Transfer Engine'!$C$2:$C$1960,0)))</f>
        <v/>
      </c>
      <c r="L1941" s="9">
        <f>IF(ISNA(MATCH(1932,'Transfer Engine'!$C$2:$C$1960,0)),"",INDEX('Compliance Database'!$L$2:$L$1960,MATCH(1932,'Transfer Engine'!$C$2:$C$1960,0)))</f>
        <v/>
      </c>
      <c r="M1941" s="9">
        <f>IF(ISNA(MATCH(1932,'Transfer Engine'!$C$2:$C$1960,0)),"",INDEX('Compliance Database'!$M$2:$M$1960,MATCH(1932,'Transfer Engine'!$C$2:$C$1960,0)))</f>
        <v/>
      </c>
      <c r="N1941" s="9">
        <f>IF(ISNA(MATCH(1932,'Transfer Engine'!$C$2:$C$1960,0)),"",INDEX('Compliance Database'!$N$2:$N$1960,MATCH(1932,'Transfer Engine'!$C$2:$C$1960,0)))</f>
        <v/>
      </c>
      <c r="O1941" s="9">
        <f>IF(ISNA(MATCH(1932,'Transfer Engine'!$C$2:$C$1960,0)),"",INDEX('Compliance Database'!$O$2:$O$1960,MATCH(1932,'Transfer Engine'!$C$2:$C$1960,0)))</f>
        <v/>
      </c>
      <c r="P1941" s="8">
        <f>IF(ISNA(MATCH(1932,'Transfer Engine'!$C$2:$C$1960,0)),"",HYPERLINK("#Acts!A"&amp;INDEX('Compliance Database'!$P$2:$P$1960,MATCH(1932,'Transfer Engine'!$C$2:$C$1960,0)),"Go to Act"))</f>
        <v/>
      </c>
    </row>
    <row r="1942" ht="158" customHeight="1">
      <c r="A1942" s="8">
        <f>IF(ISNA(MATCH(1933,'Transfer Engine'!$C$2:$C$1960,0)),"",INDEX('Compliance Database'!$A$2:$A$1960,MATCH(1933,'Transfer Engine'!$C$2:$C$1960,0)))</f>
        <v/>
      </c>
      <c r="B1942" s="8">
        <f>IF(ISNA(MATCH(1933,'Transfer Engine'!$C$2:$C$1960,0)),"",INDEX('Compliance Database'!$B$2:$B$1960,MATCH(1933,'Transfer Engine'!$C$2:$C$1960,0)))</f>
        <v/>
      </c>
      <c r="C1942" s="8">
        <f>IF(ISNA(MATCH(1933,'Transfer Engine'!$C$2:$C$1960,0)),"",INDEX('Compliance Database'!$C$2:$C$1960,MATCH(1933,'Transfer Engine'!$C$2:$C$1960,0)))</f>
        <v/>
      </c>
      <c r="D1942" s="9">
        <f>IF(ISNA(MATCH(1933,'Transfer Engine'!$C$2:$C$1960,0)),"",INDEX('Compliance Database'!$D$2:$D$1960,MATCH(1933,'Transfer Engine'!$C$2:$C$1960,0)))</f>
        <v/>
      </c>
      <c r="E1942" s="8">
        <f>IF(ISNA(MATCH(1933,'Transfer Engine'!$C$2:$C$1960,0)),"",INDEX('Compliance Database'!$E$2:$E$1960,MATCH(1933,'Transfer Engine'!$C$2:$C$1960,0)))</f>
        <v/>
      </c>
      <c r="F1942" s="8">
        <f>IF(ISNA(MATCH(1933,'Transfer Engine'!$C$2:$C$1960,0)),"",INDEX('Compliance Database'!$F$2:$F$1960,MATCH(1933,'Transfer Engine'!$C$2:$C$1960,0)))</f>
        <v/>
      </c>
      <c r="G1942" s="8">
        <f>IF(ISNA(MATCH(1933,'Transfer Engine'!$C$2:$C$1960,0)),"",INDEX('Compliance Database'!$G$2:$G$1960,MATCH(1933,'Transfer Engine'!$C$2:$C$1960,0)))</f>
        <v/>
      </c>
      <c r="H1942" s="9">
        <f>IF(ISNA(MATCH(1933,'Transfer Engine'!$C$2:$C$1960,0)),"",INDEX('Compliance Database'!$H$2:$H$1960,MATCH(1933,'Transfer Engine'!$C$2:$C$1960,0)))</f>
        <v/>
      </c>
      <c r="I1942" s="9">
        <f>IF(ISNA(MATCH(1933,'Transfer Engine'!$C$2:$C$1960,0)),"",INDEX('Compliance Database'!$I$2:$I$1960,MATCH(1933,'Transfer Engine'!$C$2:$C$1960,0)))</f>
        <v/>
      </c>
      <c r="J1942" s="8">
        <f>IF(ISNA(MATCH(1933,'Transfer Engine'!$C$2:$C$1960,0)),"",INDEX('Compliance Database'!$J$2:$J$1960,MATCH(1933,'Transfer Engine'!$C$2:$C$1960,0)))</f>
        <v/>
      </c>
      <c r="K1942" s="9">
        <f>IF(ISNA(MATCH(1933,'Transfer Engine'!$C$2:$C$1960,0)),"",INDEX('Compliance Database'!$K$2:$K$1960,MATCH(1933,'Transfer Engine'!$C$2:$C$1960,0)))</f>
        <v/>
      </c>
      <c r="L1942" s="9">
        <f>IF(ISNA(MATCH(1933,'Transfer Engine'!$C$2:$C$1960,0)),"",INDEX('Compliance Database'!$L$2:$L$1960,MATCH(1933,'Transfer Engine'!$C$2:$C$1960,0)))</f>
        <v/>
      </c>
      <c r="M1942" s="9">
        <f>IF(ISNA(MATCH(1933,'Transfer Engine'!$C$2:$C$1960,0)),"",INDEX('Compliance Database'!$M$2:$M$1960,MATCH(1933,'Transfer Engine'!$C$2:$C$1960,0)))</f>
        <v/>
      </c>
      <c r="N1942" s="9">
        <f>IF(ISNA(MATCH(1933,'Transfer Engine'!$C$2:$C$1960,0)),"",INDEX('Compliance Database'!$N$2:$N$1960,MATCH(1933,'Transfer Engine'!$C$2:$C$1960,0)))</f>
        <v/>
      </c>
      <c r="O1942" s="9">
        <f>IF(ISNA(MATCH(1933,'Transfer Engine'!$C$2:$C$1960,0)),"",INDEX('Compliance Database'!$O$2:$O$1960,MATCH(1933,'Transfer Engine'!$C$2:$C$1960,0)))</f>
        <v/>
      </c>
      <c r="P1942" s="8">
        <f>IF(ISNA(MATCH(1933,'Transfer Engine'!$C$2:$C$1960,0)),"",HYPERLINK("#Acts!A"&amp;INDEX('Compliance Database'!$P$2:$P$1960,MATCH(1933,'Transfer Engine'!$C$2:$C$1960,0)),"Go to Act"))</f>
        <v/>
      </c>
    </row>
    <row r="1943" ht="158" customHeight="1">
      <c r="A1943" s="8">
        <f>IF(ISNA(MATCH(1934,'Transfer Engine'!$C$2:$C$1960,0)),"",INDEX('Compliance Database'!$A$2:$A$1960,MATCH(1934,'Transfer Engine'!$C$2:$C$1960,0)))</f>
        <v/>
      </c>
      <c r="B1943" s="8">
        <f>IF(ISNA(MATCH(1934,'Transfer Engine'!$C$2:$C$1960,0)),"",INDEX('Compliance Database'!$B$2:$B$1960,MATCH(1934,'Transfer Engine'!$C$2:$C$1960,0)))</f>
        <v/>
      </c>
      <c r="C1943" s="8">
        <f>IF(ISNA(MATCH(1934,'Transfer Engine'!$C$2:$C$1960,0)),"",INDEX('Compliance Database'!$C$2:$C$1960,MATCH(1934,'Transfer Engine'!$C$2:$C$1960,0)))</f>
        <v/>
      </c>
      <c r="D1943" s="9">
        <f>IF(ISNA(MATCH(1934,'Transfer Engine'!$C$2:$C$1960,0)),"",INDEX('Compliance Database'!$D$2:$D$1960,MATCH(1934,'Transfer Engine'!$C$2:$C$1960,0)))</f>
        <v/>
      </c>
      <c r="E1943" s="8">
        <f>IF(ISNA(MATCH(1934,'Transfer Engine'!$C$2:$C$1960,0)),"",INDEX('Compliance Database'!$E$2:$E$1960,MATCH(1934,'Transfer Engine'!$C$2:$C$1960,0)))</f>
        <v/>
      </c>
      <c r="F1943" s="8">
        <f>IF(ISNA(MATCH(1934,'Transfer Engine'!$C$2:$C$1960,0)),"",INDEX('Compliance Database'!$F$2:$F$1960,MATCH(1934,'Transfer Engine'!$C$2:$C$1960,0)))</f>
        <v/>
      </c>
      <c r="G1943" s="8">
        <f>IF(ISNA(MATCH(1934,'Transfer Engine'!$C$2:$C$1960,0)),"",INDEX('Compliance Database'!$G$2:$G$1960,MATCH(1934,'Transfer Engine'!$C$2:$C$1960,0)))</f>
        <v/>
      </c>
      <c r="H1943" s="9">
        <f>IF(ISNA(MATCH(1934,'Transfer Engine'!$C$2:$C$1960,0)),"",INDEX('Compliance Database'!$H$2:$H$1960,MATCH(1934,'Transfer Engine'!$C$2:$C$1960,0)))</f>
        <v/>
      </c>
      <c r="I1943" s="9">
        <f>IF(ISNA(MATCH(1934,'Transfer Engine'!$C$2:$C$1960,0)),"",INDEX('Compliance Database'!$I$2:$I$1960,MATCH(1934,'Transfer Engine'!$C$2:$C$1960,0)))</f>
        <v/>
      </c>
      <c r="J1943" s="8">
        <f>IF(ISNA(MATCH(1934,'Transfer Engine'!$C$2:$C$1960,0)),"",INDEX('Compliance Database'!$J$2:$J$1960,MATCH(1934,'Transfer Engine'!$C$2:$C$1960,0)))</f>
        <v/>
      </c>
      <c r="K1943" s="9">
        <f>IF(ISNA(MATCH(1934,'Transfer Engine'!$C$2:$C$1960,0)),"",INDEX('Compliance Database'!$K$2:$K$1960,MATCH(1934,'Transfer Engine'!$C$2:$C$1960,0)))</f>
        <v/>
      </c>
      <c r="L1943" s="9">
        <f>IF(ISNA(MATCH(1934,'Transfer Engine'!$C$2:$C$1960,0)),"",INDEX('Compliance Database'!$L$2:$L$1960,MATCH(1934,'Transfer Engine'!$C$2:$C$1960,0)))</f>
        <v/>
      </c>
      <c r="M1943" s="9">
        <f>IF(ISNA(MATCH(1934,'Transfer Engine'!$C$2:$C$1960,0)),"",INDEX('Compliance Database'!$M$2:$M$1960,MATCH(1934,'Transfer Engine'!$C$2:$C$1960,0)))</f>
        <v/>
      </c>
      <c r="N1943" s="9">
        <f>IF(ISNA(MATCH(1934,'Transfer Engine'!$C$2:$C$1960,0)),"",INDEX('Compliance Database'!$N$2:$N$1960,MATCH(1934,'Transfer Engine'!$C$2:$C$1960,0)))</f>
        <v/>
      </c>
      <c r="O1943" s="9">
        <f>IF(ISNA(MATCH(1934,'Transfer Engine'!$C$2:$C$1960,0)),"",INDEX('Compliance Database'!$O$2:$O$1960,MATCH(1934,'Transfer Engine'!$C$2:$C$1960,0)))</f>
        <v/>
      </c>
      <c r="P1943" s="8">
        <f>IF(ISNA(MATCH(1934,'Transfer Engine'!$C$2:$C$1960,0)),"",HYPERLINK("#Acts!A"&amp;INDEX('Compliance Database'!$P$2:$P$1960,MATCH(1934,'Transfer Engine'!$C$2:$C$1960,0)),"Go to Act"))</f>
        <v/>
      </c>
    </row>
    <row r="1944" ht="158" customHeight="1">
      <c r="A1944" s="8">
        <f>IF(ISNA(MATCH(1935,'Transfer Engine'!$C$2:$C$1960,0)),"",INDEX('Compliance Database'!$A$2:$A$1960,MATCH(1935,'Transfer Engine'!$C$2:$C$1960,0)))</f>
        <v/>
      </c>
      <c r="B1944" s="8">
        <f>IF(ISNA(MATCH(1935,'Transfer Engine'!$C$2:$C$1960,0)),"",INDEX('Compliance Database'!$B$2:$B$1960,MATCH(1935,'Transfer Engine'!$C$2:$C$1960,0)))</f>
        <v/>
      </c>
      <c r="C1944" s="8">
        <f>IF(ISNA(MATCH(1935,'Transfer Engine'!$C$2:$C$1960,0)),"",INDEX('Compliance Database'!$C$2:$C$1960,MATCH(1935,'Transfer Engine'!$C$2:$C$1960,0)))</f>
        <v/>
      </c>
      <c r="D1944" s="9">
        <f>IF(ISNA(MATCH(1935,'Transfer Engine'!$C$2:$C$1960,0)),"",INDEX('Compliance Database'!$D$2:$D$1960,MATCH(1935,'Transfer Engine'!$C$2:$C$1960,0)))</f>
        <v/>
      </c>
      <c r="E1944" s="8">
        <f>IF(ISNA(MATCH(1935,'Transfer Engine'!$C$2:$C$1960,0)),"",INDEX('Compliance Database'!$E$2:$E$1960,MATCH(1935,'Transfer Engine'!$C$2:$C$1960,0)))</f>
        <v/>
      </c>
      <c r="F1944" s="8">
        <f>IF(ISNA(MATCH(1935,'Transfer Engine'!$C$2:$C$1960,0)),"",INDEX('Compliance Database'!$F$2:$F$1960,MATCH(1935,'Transfer Engine'!$C$2:$C$1960,0)))</f>
        <v/>
      </c>
      <c r="G1944" s="8">
        <f>IF(ISNA(MATCH(1935,'Transfer Engine'!$C$2:$C$1960,0)),"",INDEX('Compliance Database'!$G$2:$G$1960,MATCH(1935,'Transfer Engine'!$C$2:$C$1960,0)))</f>
        <v/>
      </c>
      <c r="H1944" s="9">
        <f>IF(ISNA(MATCH(1935,'Transfer Engine'!$C$2:$C$1960,0)),"",INDEX('Compliance Database'!$H$2:$H$1960,MATCH(1935,'Transfer Engine'!$C$2:$C$1960,0)))</f>
        <v/>
      </c>
      <c r="I1944" s="9">
        <f>IF(ISNA(MATCH(1935,'Transfer Engine'!$C$2:$C$1960,0)),"",INDEX('Compliance Database'!$I$2:$I$1960,MATCH(1935,'Transfer Engine'!$C$2:$C$1960,0)))</f>
        <v/>
      </c>
      <c r="J1944" s="8">
        <f>IF(ISNA(MATCH(1935,'Transfer Engine'!$C$2:$C$1960,0)),"",INDEX('Compliance Database'!$J$2:$J$1960,MATCH(1935,'Transfer Engine'!$C$2:$C$1960,0)))</f>
        <v/>
      </c>
      <c r="K1944" s="9">
        <f>IF(ISNA(MATCH(1935,'Transfer Engine'!$C$2:$C$1960,0)),"",INDEX('Compliance Database'!$K$2:$K$1960,MATCH(1935,'Transfer Engine'!$C$2:$C$1960,0)))</f>
        <v/>
      </c>
      <c r="L1944" s="9">
        <f>IF(ISNA(MATCH(1935,'Transfer Engine'!$C$2:$C$1960,0)),"",INDEX('Compliance Database'!$L$2:$L$1960,MATCH(1935,'Transfer Engine'!$C$2:$C$1960,0)))</f>
        <v/>
      </c>
      <c r="M1944" s="9">
        <f>IF(ISNA(MATCH(1935,'Transfer Engine'!$C$2:$C$1960,0)),"",INDEX('Compliance Database'!$M$2:$M$1960,MATCH(1935,'Transfer Engine'!$C$2:$C$1960,0)))</f>
        <v/>
      </c>
      <c r="N1944" s="9">
        <f>IF(ISNA(MATCH(1935,'Transfer Engine'!$C$2:$C$1960,0)),"",INDEX('Compliance Database'!$N$2:$N$1960,MATCH(1935,'Transfer Engine'!$C$2:$C$1960,0)))</f>
        <v/>
      </c>
      <c r="O1944" s="9">
        <f>IF(ISNA(MATCH(1935,'Transfer Engine'!$C$2:$C$1960,0)),"",INDEX('Compliance Database'!$O$2:$O$1960,MATCH(1935,'Transfer Engine'!$C$2:$C$1960,0)))</f>
        <v/>
      </c>
      <c r="P1944" s="8">
        <f>IF(ISNA(MATCH(1935,'Transfer Engine'!$C$2:$C$1960,0)),"",HYPERLINK("#Acts!A"&amp;INDEX('Compliance Database'!$P$2:$P$1960,MATCH(1935,'Transfer Engine'!$C$2:$C$1960,0)),"Go to Act"))</f>
        <v/>
      </c>
    </row>
    <row r="1945" ht="158" customHeight="1">
      <c r="A1945" s="8">
        <f>IF(ISNA(MATCH(1936,'Transfer Engine'!$C$2:$C$1960,0)),"",INDEX('Compliance Database'!$A$2:$A$1960,MATCH(1936,'Transfer Engine'!$C$2:$C$1960,0)))</f>
        <v/>
      </c>
      <c r="B1945" s="8">
        <f>IF(ISNA(MATCH(1936,'Transfer Engine'!$C$2:$C$1960,0)),"",INDEX('Compliance Database'!$B$2:$B$1960,MATCH(1936,'Transfer Engine'!$C$2:$C$1960,0)))</f>
        <v/>
      </c>
      <c r="C1945" s="8">
        <f>IF(ISNA(MATCH(1936,'Transfer Engine'!$C$2:$C$1960,0)),"",INDEX('Compliance Database'!$C$2:$C$1960,MATCH(1936,'Transfer Engine'!$C$2:$C$1960,0)))</f>
        <v/>
      </c>
      <c r="D1945" s="9">
        <f>IF(ISNA(MATCH(1936,'Transfer Engine'!$C$2:$C$1960,0)),"",INDEX('Compliance Database'!$D$2:$D$1960,MATCH(1936,'Transfer Engine'!$C$2:$C$1960,0)))</f>
        <v/>
      </c>
      <c r="E1945" s="8">
        <f>IF(ISNA(MATCH(1936,'Transfer Engine'!$C$2:$C$1960,0)),"",INDEX('Compliance Database'!$E$2:$E$1960,MATCH(1936,'Transfer Engine'!$C$2:$C$1960,0)))</f>
        <v/>
      </c>
      <c r="F1945" s="8">
        <f>IF(ISNA(MATCH(1936,'Transfer Engine'!$C$2:$C$1960,0)),"",INDEX('Compliance Database'!$F$2:$F$1960,MATCH(1936,'Transfer Engine'!$C$2:$C$1960,0)))</f>
        <v/>
      </c>
      <c r="G1945" s="8">
        <f>IF(ISNA(MATCH(1936,'Transfer Engine'!$C$2:$C$1960,0)),"",INDEX('Compliance Database'!$G$2:$G$1960,MATCH(1936,'Transfer Engine'!$C$2:$C$1960,0)))</f>
        <v/>
      </c>
      <c r="H1945" s="9">
        <f>IF(ISNA(MATCH(1936,'Transfer Engine'!$C$2:$C$1960,0)),"",INDEX('Compliance Database'!$H$2:$H$1960,MATCH(1936,'Transfer Engine'!$C$2:$C$1960,0)))</f>
        <v/>
      </c>
      <c r="I1945" s="9">
        <f>IF(ISNA(MATCH(1936,'Transfer Engine'!$C$2:$C$1960,0)),"",INDEX('Compliance Database'!$I$2:$I$1960,MATCH(1936,'Transfer Engine'!$C$2:$C$1960,0)))</f>
        <v/>
      </c>
      <c r="J1945" s="8">
        <f>IF(ISNA(MATCH(1936,'Transfer Engine'!$C$2:$C$1960,0)),"",INDEX('Compliance Database'!$J$2:$J$1960,MATCH(1936,'Transfer Engine'!$C$2:$C$1960,0)))</f>
        <v/>
      </c>
      <c r="K1945" s="9">
        <f>IF(ISNA(MATCH(1936,'Transfer Engine'!$C$2:$C$1960,0)),"",INDEX('Compliance Database'!$K$2:$K$1960,MATCH(1936,'Transfer Engine'!$C$2:$C$1960,0)))</f>
        <v/>
      </c>
      <c r="L1945" s="9">
        <f>IF(ISNA(MATCH(1936,'Transfer Engine'!$C$2:$C$1960,0)),"",INDEX('Compliance Database'!$L$2:$L$1960,MATCH(1936,'Transfer Engine'!$C$2:$C$1960,0)))</f>
        <v/>
      </c>
      <c r="M1945" s="9">
        <f>IF(ISNA(MATCH(1936,'Transfer Engine'!$C$2:$C$1960,0)),"",INDEX('Compliance Database'!$M$2:$M$1960,MATCH(1936,'Transfer Engine'!$C$2:$C$1960,0)))</f>
        <v/>
      </c>
      <c r="N1945" s="9">
        <f>IF(ISNA(MATCH(1936,'Transfer Engine'!$C$2:$C$1960,0)),"",INDEX('Compliance Database'!$N$2:$N$1960,MATCH(1936,'Transfer Engine'!$C$2:$C$1960,0)))</f>
        <v/>
      </c>
      <c r="O1945" s="9">
        <f>IF(ISNA(MATCH(1936,'Transfer Engine'!$C$2:$C$1960,0)),"",INDEX('Compliance Database'!$O$2:$O$1960,MATCH(1936,'Transfer Engine'!$C$2:$C$1960,0)))</f>
        <v/>
      </c>
      <c r="P1945" s="8">
        <f>IF(ISNA(MATCH(1936,'Transfer Engine'!$C$2:$C$1960,0)),"",HYPERLINK("#Acts!A"&amp;INDEX('Compliance Database'!$P$2:$P$1960,MATCH(1936,'Transfer Engine'!$C$2:$C$1960,0)),"Go to Act"))</f>
        <v/>
      </c>
    </row>
    <row r="1946" ht="158" customHeight="1">
      <c r="A1946" s="8">
        <f>IF(ISNA(MATCH(1937,'Transfer Engine'!$C$2:$C$1960,0)),"",INDEX('Compliance Database'!$A$2:$A$1960,MATCH(1937,'Transfer Engine'!$C$2:$C$1960,0)))</f>
        <v/>
      </c>
      <c r="B1946" s="8">
        <f>IF(ISNA(MATCH(1937,'Transfer Engine'!$C$2:$C$1960,0)),"",INDEX('Compliance Database'!$B$2:$B$1960,MATCH(1937,'Transfer Engine'!$C$2:$C$1960,0)))</f>
        <v/>
      </c>
      <c r="C1946" s="8">
        <f>IF(ISNA(MATCH(1937,'Transfer Engine'!$C$2:$C$1960,0)),"",INDEX('Compliance Database'!$C$2:$C$1960,MATCH(1937,'Transfer Engine'!$C$2:$C$1960,0)))</f>
        <v/>
      </c>
      <c r="D1946" s="9">
        <f>IF(ISNA(MATCH(1937,'Transfer Engine'!$C$2:$C$1960,0)),"",INDEX('Compliance Database'!$D$2:$D$1960,MATCH(1937,'Transfer Engine'!$C$2:$C$1960,0)))</f>
        <v/>
      </c>
      <c r="E1946" s="8">
        <f>IF(ISNA(MATCH(1937,'Transfer Engine'!$C$2:$C$1960,0)),"",INDEX('Compliance Database'!$E$2:$E$1960,MATCH(1937,'Transfer Engine'!$C$2:$C$1960,0)))</f>
        <v/>
      </c>
      <c r="F1946" s="8">
        <f>IF(ISNA(MATCH(1937,'Transfer Engine'!$C$2:$C$1960,0)),"",INDEX('Compliance Database'!$F$2:$F$1960,MATCH(1937,'Transfer Engine'!$C$2:$C$1960,0)))</f>
        <v/>
      </c>
      <c r="G1946" s="8">
        <f>IF(ISNA(MATCH(1937,'Transfer Engine'!$C$2:$C$1960,0)),"",INDEX('Compliance Database'!$G$2:$G$1960,MATCH(1937,'Transfer Engine'!$C$2:$C$1960,0)))</f>
        <v/>
      </c>
      <c r="H1946" s="9">
        <f>IF(ISNA(MATCH(1937,'Transfer Engine'!$C$2:$C$1960,0)),"",INDEX('Compliance Database'!$H$2:$H$1960,MATCH(1937,'Transfer Engine'!$C$2:$C$1960,0)))</f>
        <v/>
      </c>
      <c r="I1946" s="9">
        <f>IF(ISNA(MATCH(1937,'Transfer Engine'!$C$2:$C$1960,0)),"",INDEX('Compliance Database'!$I$2:$I$1960,MATCH(1937,'Transfer Engine'!$C$2:$C$1960,0)))</f>
        <v/>
      </c>
      <c r="J1946" s="8">
        <f>IF(ISNA(MATCH(1937,'Transfer Engine'!$C$2:$C$1960,0)),"",INDEX('Compliance Database'!$J$2:$J$1960,MATCH(1937,'Transfer Engine'!$C$2:$C$1960,0)))</f>
        <v/>
      </c>
      <c r="K1946" s="9">
        <f>IF(ISNA(MATCH(1937,'Transfer Engine'!$C$2:$C$1960,0)),"",INDEX('Compliance Database'!$K$2:$K$1960,MATCH(1937,'Transfer Engine'!$C$2:$C$1960,0)))</f>
        <v/>
      </c>
      <c r="L1946" s="9">
        <f>IF(ISNA(MATCH(1937,'Transfer Engine'!$C$2:$C$1960,0)),"",INDEX('Compliance Database'!$L$2:$L$1960,MATCH(1937,'Transfer Engine'!$C$2:$C$1960,0)))</f>
        <v/>
      </c>
      <c r="M1946" s="9">
        <f>IF(ISNA(MATCH(1937,'Transfer Engine'!$C$2:$C$1960,0)),"",INDEX('Compliance Database'!$M$2:$M$1960,MATCH(1937,'Transfer Engine'!$C$2:$C$1960,0)))</f>
        <v/>
      </c>
      <c r="N1946" s="9">
        <f>IF(ISNA(MATCH(1937,'Transfer Engine'!$C$2:$C$1960,0)),"",INDEX('Compliance Database'!$N$2:$N$1960,MATCH(1937,'Transfer Engine'!$C$2:$C$1960,0)))</f>
        <v/>
      </c>
      <c r="O1946" s="9">
        <f>IF(ISNA(MATCH(1937,'Transfer Engine'!$C$2:$C$1960,0)),"",INDEX('Compliance Database'!$O$2:$O$1960,MATCH(1937,'Transfer Engine'!$C$2:$C$1960,0)))</f>
        <v/>
      </c>
      <c r="P1946" s="8">
        <f>IF(ISNA(MATCH(1937,'Transfer Engine'!$C$2:$C$1960,0)),"",HYPERLINK("#Acts!A"&amp;INDEX('Compliance Database'!$P$2:$P$1960,MATCH(1937,'Transfer Engine'!$C$2:$C$1960,0)),"Go to Act"))</f>
        <v/>
      </c>
    </row>
    <row r="1947" ht="158" customHeight="1">
      <c r="A1947" s="8">
        <f>IF(ISNA(MATCH(1938,'Transfer Engine'!$C$2:$C$1960,0)),"",INDEX('Compliance Database'!$A$2:$A$1960,MATCH(1938,'Transfer Engine'!$C$2:$C$1960,0)))</f>
        <v/>
      </c>
      <c r="B1947" s="8">
        <f>IF(ISNA(MATCH(1938,'Transfer Engine'!$C$2:$C$1960,0)),"",INDEX('Compliance Database'!$B$2:$B$1960,MATCH(1938,'Transfer Engine'!$C$2:$C$1960,0)))</f>
        <v/>
      </c>
      <c r="C1947" s="8">
        <f>IF(ISNA(MATCH(1938,'Transfer Engine'!$C$2:$C$1960,0)),"",INDEX('Compliance Database'!$C$2:$C$1960,MATCH(1938,'Transfer Engine'!$C$2:$C$1960,0)))</f>
        <v/>
      </c>
      <c r="D1947" s="9">
        <f>IF(ISNA(MATCH(1938,'Transfer Engine'!$C$2:$C$1960,0)),"",INDEX('Compliance Database'!$D$2:$D$1960,MATCH(1938,'Transfer Engine'!$C$2:$C$1960,0)))</f>
        <v/>
      </c>
      <c r="E1947" s="8">
        <f>IF(ISNA(MATCH(1938,'Transfer Engine'!$C$2:$C$1960,0)),"",INDEX('Compliance Database'!$E$2:$E$1960,MATCH(1938,'Transfer Engine'!$C$2:$C$1960,0)))</f>
        <v/>
      </c>
      <c r="F1947" s="8">
        <f>IF(ISNA(MATCH(1938,'Transfer Engine'!$C$2:$C$1960,0)),"",INDEX('Compliance Database'!$F$2:$F$1960,MATCH(1938,'Transfer Engine'!$C$2:$C$1960,0)))</f>
        <v/>
      </c>
      <c r="G1947" s="8">
        <f>IF(ISNA(MATCH(1938,'Transfer Engine'!$C$2:$C$1960,0)),"",INDEX('Compliance Database'!$G$2:$G$1960,MATCH(1938,'Transfer Engine'!$C$2:$C$1960,0)))</f>
        <v/>
      </c>
      <c r="H1947" s="9">
        <f>IF(ISNA(MATCH(1938,'Transfer Engine'!$C$2:$C$1960,0)),"",INDEX('Compliance Database'!$H$2:$H$1960,MATCH(1938,'Transfer Engine'!$C$2:$C$1960,0)))</f>
        <v/>
      </c>
      <c r="I1947" s="9">
        <f>IF(ISNA(MATCH(1938,'Transfer Engine'!$C$2:$C$1960,0)),"",INDEX('Compliance Database'!$I$2:$I$1960,MATCH(1938,'Transfer Engine'!$C$2:$C$1960,0)))</f>
        <v/>
      </c>
      <c r="J1947" s="8">
        <f>IF(ISNA(MATCH(1938,'Transfer Engine'!$C$2:$C$1960,0)),"",INDEX('Compliance Database'!$J$2:$J$1960,MATCH(1938,'Transfer Engine'!$C$2:$C$1960,0)))</f>
        <v/>
      </c>
      <c r="K1947" s="9">
        <f>IF(ISNA(MATCH(1938,'Transfer Engine'!$C$2:$C$1960,0)),"",INDEX('Compliance Database'!$K$2:$K$1960,MATCH(1938,'Transfer Engine'!$C$2:$C$1960,0)))</f>
        <v/>
      </c>
      <c r="L1947" s="9">
        <f>IF(ISNA(MATCH(1938,'Transfer Engine'!$C$2:$C$1960,0)),"",INDEX('Compliance Database'!$L$2:$L$1960,MATCH(1938,'Transfer Engine'!$C$2:$C$1960,0)))</f>
        <v/>
      </c>
      <c r="M1947" s="9">
        <f>IF(ISNA(MATCH(1938,'Transfer Engine'!$C$2:$C$1960,0)),"",INDEX('Compliance Database'!$M$2:$M$1960,MATCH(1938,'Transfer Engine'!$C$2:$C$1960,0)))</f>
        <v/>
      </c>
      <c r="N1947" s="9">
        <f>IF(ISNA(MATCH(1938,'Transfer Engine'!$C$2:$C$1960,0)),"",INDEX('Compliance Database'!$N$2:$N$1960,MATCH(1938,'Transfer Engine'!$C$2:$C$1960,0)))</f>
        <v/>
      </c>
      <c r="O1947" s="9">
        <f>IF(ISNA(MATCH(1938,'Transfer Engine'!$C$2:$C$1960,0)),"",INDEX('Compliance Database'!$O$2:$O$1960,MATCH(1938,'Transfer Engine'!$C$2:$C$1960,0)))</f>
        <v/>
      </c>
      <c r="P1947" s="8">
        <f>IF(ISNA(MATCH(1938,'Transfer Engine'!$C$2:$C$1960,0)),"",HYPERLINK("#Acts!A"&amp;INDEX('Compliance Database'!$P$2:$P$1960,MATCH(1938,'Transfer Engine'!$C$2:$C$1960,0)),"Go to Act"))</f>
        <v/>
      </c>
    </row>
    <row r="1948" ht="158" customHeight="1">
      <c r="A1948" s="8">
        <f>IF(ISNA(MATCH(1939,'Transfer Engine'!$C$2:$C$1960,0)),"",INDEX('Compliance Database'!$A$2:$A$1960,MATCH(1939,'Transfer Engine'!$C$2:$C$1960,0)))</f>
        <v/>
      </c>
      <c r="B1948" s="8">
        <f>IF(ISNA(MATCH(1939,'Transfer Engine'!$C$2:$C$1960,0)),"",INDEX('Compliance Database'!$B$2:$B$1960,MATCH(1939,'Transfer Engine'!$C$2:$C$1960,0)))</f>
        <v/>
      </c>
      <c r="C1948" s="8">
        <f>IF(ISNA(MATCH(1939,'Transfer Engine'!$C$2:$C$1960,0)),"",INDEX('Compliance Database'!$C$2:$C$1960,MATCH(1939,'Transfer Engine'!$C$2:$C$1960,0)))</f>
        <v/>
      </c>
      <c r="D1948" s="9">
        <f>IF(ISNA(MATCH(1939,'Transfer Engine'!$C$2:$C$1960,0)),"",INDEX('Compliance Database'!$D$2:$D$1960,MATCH(1939,'Transfer Engine'!$C$2:$C$1960,0)))</f>
        <v/>
      </c>
      <c r="E1948" s="8">
        <f>IF(ISNA(MATCH(1939,'Transfer Engine'!$C$2:$C$1960,0)),"",INDEX('Compliance Database'!$E$2:$E$1960,MATCH(1939,'Transfer Engine'!$C$2:$C$1960,0)))</f>
        <v/>
      </c>
      <c r="F1948" s="8">
        <f>IF(ISNA(MATCH(1939,'Transfer Engine'!$C$2:$C$1960,0)),"",INDEX('Compliance Database'!$F$2:$F$1960,MATCH(1939,'Transfer Engine'!$C$2:$C$1960,0)))</f>
        <v/>
      </c>
      <c r="G1948" s="8">
        <f>IF(ISNA(MATCH(1939,'Transfer Engine'!$C$2:$C$1960,0)),"",INDEX('Compliance Database'!$G$2:$G$1960,MATCH(1939,'Transfer Engine'!$C$2:$C$1960,0)))</f>
        <v/>
      </c>
      <c r="H1948" s="9">
        <f>IF(ISNA(MATCH(1939,'Transfer Engine'!$C$2:$C$1960,0)),"",INDEX('Compliance Database'!$H$2:$H$1960,MATCH(1939,'Transfer Engine'!$C$2:$C$1960,0)))</f>
        <v/>
      </c>
      <c r="I1948" s="9">
        <f>IF(ISNA(MATCH(1939,'Transfer Engine'!$C$2:$C$1960,0)),"",INDEX('Compliance Database'!$I$2:$I$1960,MATCH(1939,'Transfer Engine'!$C$2:$C$1960,0)))</f>
        <v/>
      </c>
      <c r="J1948" s="8">
        <f>IF(ISNA(MATCH(1939,'Transfer Engine'!$C$2:$C$1960,0)),"",INDEX('Compliance Database'!$J$2:$J$1960,MATCH(1939,'Transfer Engine'!$C$2:$C$1960,0)))</f>
        <v/>
      </c>
      <c r="K1948" s="9">
        <f>IF(ISNA(MATCH(1939,'Transfer Engine'!$C$2:$C$1960,0)),"",INDEX('Compliance Database'!$K$2:$K$1960,MATCH(1939,'Transfer Engine'!$C$2:$C$1960,0)))</f>
        <v/>
      </c>
      <c r="L1948" s="9">
        <f>IF(ISNA(MATCH(1939,'Transfer Engine'!$C$2:$C$1960,0)),"",INDEX('Compliance Database'!$L$2:$L$1960,MATCH(1939,'Transfer Engine'!$C$2:$C$1960,0)))</f>
        <v/>
      </c>
      <c r="M1948" s="9">
        <f>IF(ISNA(MATCH(1939,'Transfer Engine'!$C$2:$C$1960,0)),"",INDEX('Compliance Database'!$M$2:$M$1960,MATCH(1939,'Transfer Engine'!$C$2:$C$1960,0)))</f>
        <v/>
      </c>
      <c r="N1948" s="9">
        <f>IF(ISNA(MATCH(1939,'Transfer Engine'!$C$2:$C$1960,0)),"",INDEX('Compliance Database'!$N$2:$N$1960,MATCH(1939,'Transfer Engine'!$C$2:$C$1960,0)))</f>
        <v/>
      </c>
      <c r="O1948" s="9">
        <f>IF(ISNA(MATCH(1939,'Transfer Engine'!$C$2:$C$1960,0)),"",INDEX('Compliance Database'!$O$2:$O$1960,MATCH(1939,'Transfer Engine'!$C$2:$C$1960,0)))</f>
        <v/>
      </c>
      <c r="P1948" s="8">
        <f>IF(ISNA(MATCH(1939,'Transfer Engine'!$C$2:$C$1960,0)),"",HYPERLINK("#Acts!A"&amp;INDEX('Compliance Database'!$P$2:$P$1960,MATCH(1939,'Transfer Engine'!$C$2:$C$1960,0)),"Go to Act"))</f>
        <v/>
      </c>
    </row>
    <row r="1949" ht="158" customHeight="1">
      <c r="A1949" s="8">
        <f>IF(ISNA(MATCH(1940,'Transfer Engine'!$C$2:$C$1960,0)),"",INDEX('Compliance Database'!$A$2:$A$1960,MATCH(1940,'Transfer Engine'!$C$2:$C$1960,0)))</f>
        <v/>
      </c>
      <c r="B1949" s="8">
        <f>IF(ISNA(MATCH(1940,'Transfer Engine'!$C$2:$C$1960,0)),"",INDEX('Compliance Database'!$B$2:$B$1960,MATCH(1940,'Transfer Engine'!$C$2:$C$1960,0)))</f>
        <v/>
      </c>
      <c r="C1949" s="8">
        <f>IF(ISNA(MATCH(1940,'Transfer Engine'!$C$2:$C$1960,0)),"",INDEX('Compliance Database'!$C$2:$C$1960,MATCH(1940,'Transfer Engine'!$C$2:$C$1960,0)))</f>
        <v/>
      </c>
      <c r="D1949" s="9">
        <f>IF(ISNA(MATCH(1940,'Transfer Engine'!$C$2:$C$1960,0)),"",INDEX('Compliance Database'!$D$2:$D$1960,MATCH(1940,'Transfer Engine'!$C$2:$C$1960,0)))</f>
        <v/>
      </c>
      <c r="E1949" s="8">
        <f>IF(ISNA(MATCH(1940,'Transfer Engine'!$C$2:$C$1960,0)),"",INDEX('Compliance Database'!$E$2:$E$1960,MATCH(1940,'Transfer Engine'!$C$2:$C$1960,0)))</f>
        <v/>
      </c>
      <c r="F1949" s="8">
        <f>IF(ISNA(MATCH(1940,'Transfer Engine'!$C$2:$C$1960,0)),"",INDEX('Compliance Database'!$F$2:$F$1960,MATCH(1940,'Transfer Engine'!$C$2:$C$1960,0)))</f>
        <v/>
      </c>
      <c r="G1949" s="8">
        <f>IF(ISNA(MATCH(1940,'Transfer Engine'!$C$2:$C$1960,0)),"",INDEX('Compliance Database'!$G$2:$G$1960,MATCH(1940,'Transfer Engine'!$C$2:$C$1960,0)))</f>
        <v/>
      </c>
      <c r="H1949" s="9">
        <f>IF(ISNA(MATCH(1940,'Transfer Engine'!$C$2:$C$1960,0)),"",INDEX('Compliance Database'!$H$2:$H$1960,MATCH(1940,'Transfer Engine'!$C$2:$C$1960,0)))</f>
        <v/>
      </c>
      <c r="I1949" s="9">
        <f>IF(ISNA(MATCH(1940,'Transfer Engine'!$C$2:$C$1960,0)),"",INDEX('Compliance Database'!$I$2:$I$1960,MATCH(1940,'Transfer Engine'!$C$2:$C$1960,0)))</f>
        <v/>
      </c>
      <c r="J1949" s="8">
        <f>IF(ISNA(MATCH(1940,'Transfer Engine'!$C$2:$C$1960,0)),"",INDEX('Compliance Database'!$J$2:$J$1960,MATCH(1940,'Transfer Engine'!$C$2:$C$1960,0)))</f>
        <v/>
      </c>
      <c r="K1949" s="9">
        <f>IF(ISNA(MATCH(1940,'Transfer Engine'!$C$2:$C$1960,0)),"",INDEX('Compliance Database'!$K$2:$K$1960,MATCH(1940,'Transfer Engine'!$C$2:$C$1960,0)))</f>
        <v/>
      </c>
      <c r="L1949" s="9">
        <f>IF(ISNA(MATCH(1940,'Transfer Engine'!$C$2:$C$1960,0)),"",INDEX('Compliance Database'!$L$2:$L$1960,MATCH(1940,'Transfer Engine'!$C$2:$C$1960,0)))</f>
        <v/>
      </c>
      <c r="M1949" s="9">
        <f>IF(ISNA(MATCH(1940,'Transfer Engine'!$C$2:$C$1960,0)),"",INDEX('Compliance Database'!$M$2:$M$1960,MATCH(1940,'Transfer Engine'!$C$2:$C$1960,0)))</f>
        <v/>
      </c>
      <c r="N1949" s="9">
        <f>IF(ISNA(MATCH(1940,'Transfer Engine'!$C$2:$C$1960,0)),"",INDEX('Compliance Database'!$N$2:$N$1960,MATCH(1940,'Transfer Engine'!$C$2:$C$1960,0)))</f>
        <v/>
      </c>
      <c r="O1949" s="9">
        <f>IF(ISNA(MATCH(1940,'Transfer Engine'!$C$2:$C$1960,0)),"",INDEX('Compliance Database'!$O$2:$O$1960,MATCH(1940,'Transfer Engine'!$C$2:$C$1960,0)))</f>
        <v/>
      </c>
      <c r="P1949" s="8">
        <f>IF(ISNA(MATCH(1940,'Transfer Engine'!$C$2:$C$1960,0)),"",HYPERLINK("#Acts!A"&amp;INDEX('Compliance Database'!$P$2:$P$1960,MATCH(1940,'Transfer Engine'!$C$2:$C$1960,0)),"Go to Act"))</f>
        <v/>
      </c>
    </row>
    <row r="1950" ht="158" customHeight="1">
      <c r="A1950" s="8">
        <f>IF(ISNA(MATCH(1941,'Transfer Engine'!$C$2:$C$1960,0)),"",INDEX('Compliance Database'!$A$2:$A$1960,MATCH(1941,'Transfer Engine'!$C$2:$C$1960,0)))</f>
        <v/>
      </c>
      <c r="B1950" s="8">
        <f>IF(ISNA(MATCH(1941,'Transfer Engine'!$C$2:$C$1960,0)),"",INDEX('Compliance Database'!$B$2:$B$1960,MATCH(1941,'Transfer Engine'!$C$2:$C$1960,0)))</f>
        <v/>
      </c>
      <c r="C1950" s="8">
        <f>IF(ISNA(MATCH(1941,'Transfer Engine'!$C$2:$C$1960,0)),"",INDEX('Compliance Database'!$C$2:$C$1960,MATCH(1941,'Transfer Engine'!$C$2:$C$1960,0)))</f>
        <v/>
      </c>
      <c r="D1950" s="9">
        <f>IF(ISNA(MATCH(1941,'Transfer Engine'!$C$2:$C$1960,0)),"",INDEX('Compliance Database'!$D$2:$D$1960,MATCH(1941,'Transfer Engine'!$C$2:$C$1960,0)))</f>
        <v/>
      </c>
      <c r="E1950" s="8">
        <f>IF(ISNA(MATCH(1941,'Transfer Engine'!$C$2:$C$1960,0)),"",INDEX('Compliance Database'!$E$2:$E$1960,MATCH(1941,'Transfer Engine'!$C$2:$C$1960,0)))</f>
        <v/>
      </c>
      <c r="F1950" s="8">
        <f>IF(ISNA(MATCH(1941,'Transfer Engine'!$C$2:$C$1960,0)),"",INDEX('Compliance Database'!$F$2:$F$1960,MATCH(1941,'Transfer Engine'!$C$2:$C$1960,0)))</f>
        <v/>
      </c>
      <c r="G1950" s="8">
        <f>IF(ISNA(MATCH(1941,'Transfer Engine'!$C$2:$C$1960,0)),"",INDEX('Compliance Database'!$G$2:$G$1960,MATCH(1941,'Transfer Engine'!$C$2:$C$1960,0)))</f>
        <v/>
      </c>
      <c r="H1950" s="9">
        <f>IF(ISNA(MATCH(1941,'Transfer Engine'!$C$2:$C$1960,0)),"",INDEX('Compliance Database'!$H$2:$H$1960,MATCH(1941,'Transfer Engine'!$C$2:$C$1960,0)))</f>
        <v/>
      </c>
      <c r="I1950" s="9">
        <f>IF(ISNA(MATCH(1941,'Transfer Engine'!$C$2:$C$1960,0)),"",INDEX('Compliance Database'!$I$2:$I$1960,MATCH(1941,'Transfer Engine'!$C$2:$C$1960,0)))</f>
        <v/>
      </c>
      <c r="J1950" s="8">
        <f>IF(ISNA(MATCH(1941,'Transfer Engine'!$C$2:$C$1960,0)),"",INDEX('Compliance Database'!$J$2:$J$1960,MATCH(1941,'Transfer Engine'!$C$2:$C$1960,0)))</f>
        <v/>
      </c>
      <c r="K1950" s="9">
        <f>IF(ISNA(MATCH(1941,'Transfer Engine'!$C$2:$C$1960,0)),"",INDEX('Compliance Database'!$K$2:$K$1960,MATCH(1941,'Transfer Engine'!$C$2:$C$1960,0)))</f>
        <v/>
      </c>
      <c r="L1950" s="9">
        <f>IF(ISNA(MATCH(1941,'Transfer Engine'!$C$2:$C$1960,0)),"",INDEX('Compliance Database'!$L$2:$L$1960,MATCH(1941,'Transfer Engine'!$C$2:$C$1960,0)))</f>
        <v/>
      </c>
      <c r="M1950" s="9">
        <f>IF(ISNA(MATCH(1941,'Transfer Engine'!$C$2:$C$1960,0)),"",INDEX('Compliance Database'!$M$2:$M$1960,MATCH(1941,'Transfer Engine'!$C$2:$C$1960,0)))</f>
        <v/>
      </c>
      <c r="N1950" s="9">
        <f>IF(ISNA(MATCH(1941,'Transfer Engine'!$C$2:$C$1960,0)),"",INDEX('Compliance Database'!$N$2:$N$1960,MATCH(1941,'Transfer Engine'!$C$2:$C$1960,0)))</f>
        <v/>
      </c>
      <c r="O1950" s="9">
        <f>IF(ISNA(MATCH(1941,'Transfer Engine'!$C$2:$C$1960,0)),"",INDEX('Compliance Database'!$O$2:$O$1960,MATCH(1941,'Transfer Engine'!$C$2:$C$1960,0)))</f>
        <v/>
      </c>
      <c r="P1950" s="8">
        <f>IF(ISNA(MATCH(1941,'Transfer Engine'!$C$2:$C$1960,0)),"",HYPERLINK("#Acts!A"&amp;INDEX('Compliance Database'!$P$2:$P$1960,MATCH(1941,'Transfer Engine'!$C$2:$C$1960,0)),"Go to Act"))</f>
        <v/>
      </c>
    </row>
    <row r="1951" ht="158" customHeight="1">
      <c r="A1951" s="8">
        <f>IF(ISNA(MATCH(1942,'Transfer Engine'!$C$2:$C$1960,0)),"",INDEX('Compliance Database'!$A$2:$A$1960,MATCH(1942,'Transfer Engine'!$C$2:$C$1960,0)))</f>
        <v/>
      </c>
      <c r="B1951" s="8">
        <f>IF(ISNA(MATCH(1942,'Transfer Engine'!$C$2:$C$1960,0)),"",INDEX('Compliance Database'!$B$2:$B$1960,MATCH(1942,'Transfer Engine'!$C$2:$C$1960,0)))</f>
        <v/>
      </c>
      <c r="C1951" s="8">
        <f>IF(ISNA(MATCH(1942,'Transfer Engine'!$C$2:$C$1960,0)),"",INDEX('Compliance Database'!$C$2:$C$1960,MATCH(1942,'Transfer Engine'!$C$2:$C$1960,0)))</f>
        <v/>
      </c>
      <c r="D1951" s="9">
        <f>IF(ISNA(MATCH(1942,'Transfer Engine'!$C$2:$C$1960,0)),"",INDEX('Compliance Database'!$D$2:$D$1960,MATCH(1942,'Transfer Engine'!$C$2:$C$1960,0)))</f>
        <v/>
      </c>
      <c r="E1951" s="8">
        <f>IF(ISNA(MATCH(1942,'Transfer Engine'!$C$2:$C$1960,0)),"",INDEX('Compliance Database'!$E$2:$E$1960,MATCH(1942,'Transfer Engine'!$C$2:$C$1960,0)))</f>
        <v/>
      </c>
      <c r="F1951" s="8">
        <f>IF(ISNA(MATCH(1942,'Transfer Engine'!$C$2:$C$1960,0)),"",INDEX('Compliance Database'!$F$2:$F$1960,MATCH(1942,'Transfer Engine'!$C$2:$C$1960,0)))</f>
        <v/>
      </c>
      <c r="G1951" s="8">
        <f>IF(ISNA(MATCH(1942,'Transfer Engine'!$C$2:$C$1960,0)),"",INDEX('Compliance Database'!$G$2:$G$1960,MATCH(1942,'Transfer Engine'!$C$2:$C$1960,0)))</f>
        <v/>
      </c>
      <c r="H1951" s="9">
        <f>IF(ISNA(MATCH(1942,'Transfer Engine'!$C$2:$C$1960,0)),"",INDEX('Compliance Database'!$H$2:$H$1960,MATCH(1942,'Transfer Engine'!$C$2:$C$1960,0)))</f>
        <v/>
      </c>
      <c r="I1951" s="9">
        <f>IF(ISNA(MATCH(1942,'Transfer Engine'!$C$2:$C$1960,0)),"",INDEX('Compliance Database'!$I$2:$I$1960,MATCH(1942,'Transfer Engine'!$C$2:$C$1960,0)))</f>
        <v/>
      </c>
      <c r="J1951" s="8">
        <f>IF(ISNA(MATCH(1942,'Transfer Engine'!$C$2:$C$1960,0)),"",INDEX('Compliance Database'!$J$2:$J$1960,MATCH(1942,'Transfer Engine'!$C$2:$C$1960,0)))</f>
        <v/>
      </c>
      <c r="K1951" s="9">
        <f>IF(ISNA(MATCH(1942,'Transfer Engine'!$C$2:$C$1960,0)),"",INDEX('Compliance Database'!$K$2:$K$1960,MATCH(1942,'Transfer Engine'!$C$2:$C$1960,0)))</f>
        <v/>
      </c>
      <c r="L1951" s="9">
        <f>IF(ISNA(MATCH(1942,'Transfer Engine'!$C$2:$C$1960,0)),"",INDEX('Compliance Database'!$L$2:$L$1960,MATCH(1942,'Transfer Engine'!$C$2:$C$1960,0)))</f>
        <v/>
      </c>
      <c r="M1951" s="9">
        <f>IF(ISNA(MATCH(1942,'Transfer Engine'!$C$2:$C$1960,0)),"",INDEX('Compliance Database'!$M$2:$M$1960,MATCH(1942,'Transfer Engine'!$C$2:$C$1960,0)))</f>
        <v/>
      </c>
      <c r="N1951" s="9">
        <f>IF(ISNA(MATCH(1942,'Transfer Engine'!$C$2:$C$1960,0)),"",INDEX('Compliance Database'!$N$2:$N$1960,MATCH(1942,'Transfer Engine'!$C$2:$C$1960,0)))</f>
        <v/>
      </c>
      <c r="O1951" s="9">
        <f>IF(ISNA(MATCH(1942,'Transfer Engine'!$C$2:$C$1960,0)),"",INDEX('Compliance Database'!$O$2:$O$1960,MATCH(1942,'Transfer Engine'!$C$2:$C$1960,0)))</f>
        <v/>
      </c>
      <c r="P1951" s="8">
        <f>IF(ISNA(MATCH(1942,'Transfer Engine'!$C$2:$C$1960,0)),"",HYPERLINK("#Acts!A"&amp;INDEX('Compliance Database'!$P$2:$P$1960,MATCH(1942,'Transfer Engine'!$C$2:$C$1960,0)),"Go to Act"))</f>
        <v/>
      </c>
    </row>
    <row r="1952" ht="158" customHeight="1">
      <c r="A1952" s="8">
        <f>IF(ISNA(MATCH(1943,'Transfer Engine'!$C$2:$C$1960,0)),"",INDEX('Compliance Database'!$A$2:$A$1960,MATCH(1943,'Transfer Engine'!$C$2:$C$1960,0)))</f>
        <v/>
      </c>
      <c r="B1952" s="8">
        <f>IF(ISNA(MATCH(1943,'Transfer Engine'!$C$2:$C$1960,0)),"",INDEX('Compliance Database'!$B$2:$B$1960,MATCH(1943,'Transfer Engine'!$C$2:$C$1960,0)))</f>
        <v/>
      </c>
      <c r="C1952" s="8">
        <f>IF(ISNA(MATCH(1943,'Transfer Engine'!$C$2:$C$1960,0)),"",INDEX('Compliance Database'!$C$2:$C$1960,MATCH(1943,'Transfer Engine'!$C$2:$C$1960,0)))</f>
        <v/>
      </c>
      <c r="D1952" s="9">
        <f>IF(ISNA(MATCH(1943,'Transfer Engine'!$C$2:$C$1960,0)),"",INDEX('Compliance Database'!$D$2:$D$1960,MATCH(1943,'Transfer Engine'!$C$2:$C$1960,0)))</f>
        <v/>
      </c>
      <c r="E1952" s="8">
        <f>IF(ISNA(MATCH(1943,'Transfer Engine'!$C$2:$C$1960,0)),"",INDEX('Compliance Database'!$E$2:$E$1960,MATCH(1943,'Transfer Engine'!$C$2:$C$1960,0)))</f>
        <v/>
      </c>
      <c r="F1952" s="8">
        <f>IF(ISNA(MATCH(1943,'Transfer Engine'!$C$2:$C$1960,0)),"",INDEX('Compliance Database'!$F$2:$F$1960,MATCH(1943,'Transfer Engine'!$C$2:$C$1960,0)))</f>
        <v/>
      </c>
      <c r="G1952" s="8">
        <f>IF(ISNA(MATCH(1943,'Transfer Engine'!$C$2:$C$1960,0)),"",INDEX('Compliance Database'!$G$2:$G$1960,MATCH(1943,'Transfer Engine'!$C$2:$C$1960,0)))</f>
        <v/>
      </c>
      <c r="H1952" s="9">
        <f>IF(ISNA(MATCH(1943,'Transfer Engine'!$C$2:$C$1960,0)),"",INDEX('Compliance Database'!$H$2:$H$1960,MATCH(1943,'Transfer Engine'!$C$2:$C$1960,0)))</f>
        <v/>
      </c>
      <c r="I1952" s="9">
        <f>IF(ISNA(MATCH(1943,'Transfer Engine'!$C$2:$C$1960,0)),"",INDEX('Compliance Database'!$I$2:$I$1960,MATCH(1943,'Transfer Engine'!$C$2:$C$1960,0)))</f>
        <v/>
      </c>
      <c r="J1952" s="8">
        <f>IF(ISNA(MATCH(1943,'Transfer Engine'!$C$2:$C$1960,0)),"",INDEX('Compliance Database'!$J$2:$J$1960,MATCH(1943,'Transfer Engine'!$C$2:$C$1960,0)))</f>
        <v/>
      </c>
      <c r="K1952" s="9">
        <f>IF(ISNA(MATCH(1943,'Transfer Engine'!$C$2:$C$1960,0)),"",INDEX('Compliance Database'!$K$2:$K$1960,MATCH(1943,'Transfer Engine'!$C$2:$C$1960,0)))</f>
        <v/>
      </c>
      <c r="L1952" s="9">
        <f>IF(ISNA(MATCH(1943,'Transfer Engine'!$C$2:$C$1960,0)),"",INDEX('Compliance Database'!$L$2:$L$1960,MATCH(1943,'Transfer Engine'!$C$2:$C$1960,0)))</f>
        <v/>
      </c>
      <c r="M1952" s="9">
        <f>IF(ISNA(MATCH(1943,'Transfer Engine'!$C$2:$C$1960,0)),"",INDEX('Compliance Database'!$M$2:$M$1960,MATCH(1943,'Transfer Engine'!$C$2:$C$1960,0)))</f>
        <v/>
      </c>
      <c r="N1952" s="9">
        <f>IF(ISNA(MATCH(1943,'Transfer Engine'!$C$2:$C$1960,0)),"",INDEX('Compliance Database'!$N$2:$N$1960,MATCH(1943,'Transfer Engine'!$C$2:$C$1960,0)))</f>
        <v/>
      </c>
      <c r="O1952" s="9">
        <f>IF(ISNA(MATCH(1943,'Transfer Engine'!$C$2:$C$1960,0)),"",INDEX('Compliance Database'!$O$2:$O$1960,MATCH(1943,'Transfer Engine'!$C$2:$C$1960,0)))</f>
        <v/>
      </c>
      <c r="P1952" s="8">
        <f>IF(ISNA(MATCH(1943,'Transfer Engine'!$C$2:$C$1960,0)),"",HYPERLINK("#Acts!A"&amp;INDEX('Compliance Database'!$P$2:$P$1960,MATCH(1943,'Transfer Engine'!$C$2:$C$1960,0)),"Go to Act"))</f>
        <v/>
      </c>
    </row>
    <row r="1953" ht="158" customHeight="1">
      <c r="A1953" s="8">
        <f>IF(ISNA(MATCH(1944,'Transfer Engine'!$C$2:$C$1960,0)),"",INDEX('Compliance Database'!$A$2:$A$1960,MATCH(1944,'Transfer Engine'!$C$2:$C$1960,0)))</f>
        <v/>
      </c>
      <c r="B1953" s="8">
        <f>IF(ISNA(MATCH(1944,'Transfer Engine'!$C$2:$C$1960,0)),"",INDEX('Compliance Database'!$B$2:$B$1960,MATCH(1944,'Transfer Engine'!$C$2:$C$1960,0)))</f>
        <v/>
      </c>
      <c r="C1953" s="8">
        <f>IF(ISNA(MATCH(1944,'Transfer Engine'!$C$2:$C$1960,0)),"",INDEX('Compliance Database'!$C$2:$C$1960,MATCH(1944,'Transfer Engine'!$C$2:$C$1960,0)))</f>
        <v/>
      </c>
      <c r="D1953" s="9">
        <f>IF(ISNA(MATCH(1944,'Transfer Engine'!$C$2:$C$1960,0)),"",INDEX('Compliance Database'!$D$2:$D$1960,MATCH(1944,'Transfer Engine'!$C$2:$C$1960,0)))</f>
        <v/>
      </c>
      <c r="E1953" s="8">
        <f>IF(ISNA(MATCH(1944,'Transfer Engine'!$C$2:$C$1960,0)),"",INDEX('Compliance Database'!$E$2:$E$1960,MATCH(1944,'Transfer Engine'!$C$2:$C$1960,0)))</f>
        <v/>
      </c>
      <c r="F1953" s="8">
        <f>IF(ISNA(MATCH(1944,'Transfer Engine'!$C$2:$C$1960,0)),"",INDEX('Compliance Database'!$F$2:$F$1960,MATCH(1944,'Transfer Engine'!$C$2:$C$1960,0)))</f>
        <v/>
      </c>
      <c r="G1953" s="8">
        <f>IF(ISNA(MATCH(1944,'Transfer Engine'!$C$2:$C$1960,0)),"",INDEX('Compliance Database'!$G$2:$G$1960,MATCH(1944,'Transfer Engine'!$C$2:$C$1960,0)))</f>
        <v/>
      </c>
      <c r="H1953" s="9">
        <f>IF(ISNA(MATCH(1944,'Transfer Engine'!$C$2:$C$1960,0)),"",INDEX('Compliance Database'!$H$2:$H$1960,MATCH(1944,'Transfer Engine'!$C$2:$C$1960,0)))</f>
        <v/>
      </c>
      <c r="I1953" s="9">
        <f>IF(ISNA(MATCH(1944,'Transfer Engine'!$C$2:$C$1960,0)),"",INDEX('Compliance Database'!$I$2:$I$1960,MATCH(1944,'Transfer Engine'!$C$2:$C$1960,0)))</f>
        <v/>
      </c>
      <c r="J1953" s="8">
        <f>IF(ISNA(MATCH(1944,'Transfer Engine'!$C$2:$C$1960,0)),"",INDEX('Compliance Database'!$J$2:$J$1960,MATCH(1944,'Transfer Engine'!$C$2:$C$1960,0)))</f>
        <v/>
      </c>
      <c r="K1953" s="9">
        <f>IF(ISNA(MATCH(1944,'Transfer Engine'!$C$2:$C$1960,0)),"",INDEX('Compliance Database'!$K$2:$K$1960,MATCH(1944,'Transfer Engine'!$C$2:$C$1960,0)))</f>
        <v/>
      </c>
      <c r="L1953" s="9">
        <f>IF(ISNA(MATCH(1944,'Transfer Engine'!$C$2:$C$1960,0)),"",INDEX('Compliance Database'!$L$2:$L$1960,MATCH(1944,'Transfer Engine'!$C$2:$C$1960,0)))</f>
        <v/>
      </c>
      <c r="M1953" s="9">
        <f>IF(ISNA(MATCH(1944,'Transfer Engine'!$C$2:$C$1960,0)),"",INDEX('Compliance Database'!$M$2:$M$1960,MATCH(1944,'Transfer Engine'!$C$2:$C$1960,0)))</f>
        <v/>
      </c>
      <c r="N1953" s="9">
        <f>IF(ISNA(MATCH(1944,'Transfer Engine'!$C$2:$C$1960,0)),"",INDEX('Compliance Database'!$N$2:$N$1960,MATCH(1944,'Transfer Engine'!$C$2:$C$1960,0)))</f>
        <v/>
      </c>
      <c r="O1953" s="9">
        <f>IF(ISNA(MATCH(1944,'Transfer Engine'!$C$2:$C$1960,0)),"",INDEX('Compliance Database'!$O$2:$O$1960,MATCH(1944,'Transfer Engine'!$C$2:$C$1960,0)))</f>
        <v/>
      </c>
      <c r="P1953" s="8">
        <f>IF(ISNA(MATCH(1944,'Transfer Engine'!$C$2:$C$1960,0)),"",HYPERLINK("#Acts!A"&amp;INDEX('Compliance Database'!$P$2:$P$1960,MATCH(1944,'Transfer Engine'!$C$2:$C$1960,0)),"Go to Act"))</f>
        <v/>
      </c>
    </row>
    <row r="1954" ht="158" customHeight="1">
      <c r="A1954" s="8">
        <f>IF(ISNA(MATCH(1945,'Transfer Engine'!$C$2:$C$1960,0)),"",INDEX('Compliance Database'!$A$2:$A$1960,MATCH(1945,'Transfer Engine'!$C$2:$C$1960,0)))</f>
        <v/>
      </c>
      <c r="B1954" s="8">
        <f>IF(ISNA(MATCH(1945,'Transfer Engine'!$C$2:$C$1960,0)),"",INDEX('Compliance Database'!$B$2:$B$1960,MATCH(1945,'Transfer Engine'!$C$2:$C$1960,0)))</f>
        <v/>
      </c>
      <c r="C1954" s="8">
        <f>IF(ISNA(MATCH(1945,'Transfer Engine'!$C$2:$C$1960,0)),"",INDEX('Compliance Database'!$C$2:$C$1960,MATCH(1945,'Transfer Engine'!$C$2:$C$1960,0)))</f>
        <v/>
      </c>
      <c r="D1954" s="9">
        <f>IF(ISNA(MATCH(1945,'Transfer Engine'!$C$2:$C$1960,0)),"",INDEX('Compliance Database'!$D$2:$D$1960,MATCH(1945,'Transfer Engine'!$C$2:$C$1960,0)))</f>
        <v/>
      </c>
      <c r="E1954" s="8">
        <f>IF(ISNA(MATCH(1945,'Transfer Engine'!$C$2:$C$1960,0)),"",INDEX('Compliance Database'!$E$2:$E$1960,MATCH(1945,'Transfer Engine'!$C$2:$C$1960,0)))</f>
        <v/>
      </c>
      <c r="F1954" s="8">
        <f>IF(ISNA(MATCH(1945,'Transfer Engine'!$C$2:$C$1960,0)),"",INDEX('Compliance Database'!$F$2:$F$1960,MATCH(1945,'Transfer Engine'!$C$2:$C$1960,0)))</f>
        <v/>
      </c>
      <c r="G1954" s="8">
        <f>IF(ISNA(MATCH(1945,'Transfer Engine'!$C$2:$C$1960,0)),"",INDEX('Compliance Database'!$G$2:$G$1960,MATCH(1945,'Transfer Engine'!$C$2:$C$1960,0)))</f>
        <v/>
      </c>
      <c r="H1954" s="9">
        <f>IF(ISNA(MATCH(1945,'Transfer Engine'!$C$2:$C$1960,0)),"",INDEX('Compliance Database'!$H$2:$H$1960,MATCH(1945,'Transfer Engine'!$C$2:$C$1960,0)))</f>
        <v/>
      </c>
      <c r="I1954" s="9">
        <f>IF(ISNA(MATCH(1945,'Transfer Engine'!$C$2:$C$1960,0)),"",INDEX('Compliance Database'!$I$2:$I$1960,MATCH(1945,'Transfer Engine'!$C$2:$C$1960,0)))</f>
        <v/>
      </c>
      <c r="J1954" s="8">
        <f>IF(ISNA(MATCH(1945,'Transfer Engine'!$C$2:$C$1960,0)),"",INDEX('Compliance Database'!$J$2:$J$1960,MATCH(1945,'Transfer Engine'!$C$2:$C$1960,0)))</f>
        <v/>
      </c>
      <c r="K1954" s="9">
        <f>IF(ISNA(MATCH(1945,'Transfer Engine'!$C$2:$C$1960,0)),"",INDEX('Compliance Database'!$K$2:$K$1960,MATCH(1945,'Transfer Engine'!$C$2:$C$1960,0)))</f>
        <v/>
      </c>
      <c r="L1954" s="9">
        <f>IF(ISNA(MATCH(1945,'Transfer Engine'!$C$2:$C$1960,0)),"",INDEX('Compliance Database'!$L$2:$L$1960,MATCH(1945,'Transfer Engine'!$C$2:$C$1960,0)))</f>
        <v/>
      </c>
      <c r="M1954" s="9">
        <f>IF(ISNA(MATCH(1945,'Transfer Engine'!$C$2:$C$1960,0)),"",INDEX('Compliance Database'!$M$2:$M$1960,MATCH(1945,'Transfer Engine'!$C$2:$C$1960,0)))</f>
        <v/>
      </c>
      <c r="N1954" s="9">
        <f>IF(ISNA(MATCH(1945,'Transfer Engine'!$C$2:$C$1960,0)),"",INDEX('Compliance Database'!$N$2:$N$1960,MATCH(1945,'Transfer Engine'!$C$2:$C$1960,0)))</f>
        <v/>
      </c>
      <c r="O1954" s="9">
        <f>IF(ISNA(MATCH(1945,'Transfer Engine'!$C$2:$C$1960,0)),"",INDEX('Compliance Database'!$O$2:$O$1960,MATCH(1945,'Transfer Engine'!$C$2:$C$1960,0)))</f>
        <v/>
      </c>
      <c r="P1954" s="8">
        <f>IF(ISNA(MATCH(1945,'Transfer Engine'!$C$2:$C$1960,0)),"",HYPERLINK("#Acts!A"&amp;INDEX('Compliance Database'!$P$2:$P$1960,MATCH(1945,'Transfer Engine'!$C$2:$C$1960,0)),"Go to Act"))</f>
        <v/>
      </c>
    </row>
    <row r="1955" ht="158" customHeight="1">
      <c r="A1955" s="8">
        <f>IF(ISNA(MATCH(1946,'Transfer Engine'!$C$2:$C$1960,0)),"",INDEX('Compliance Database'!$A$2:$A$1960,MATCH(1946,'Transfer Engine'!$C$2:$C$1960,0)))</f>
        <v/>
      </c>
      <c r="B1955" s="8">
        <f>IF(ISNA(MATCH(1946,'Transfer Engine'!$C$2:$C$1960,0)),"",INDEX('Compliance Database'!$B$2:$B$1960,MATCH(1946,'Transfer Engine'!$C$2:$C$1960,0)))</f>
        <v/>
      </c>
      <c r="C1955" s="8">
        <f>IF(ISNA(MATCH(1946,'Transfer Engine'!$C$2:$C$1960,0)),"",INDEX('Compliance Database'!$C$2:$C$1960,MATCH(1946,'Transfer Engine'!$C$2:$C$1960,0)))</f>
        <v/>
      </c>
      <c r="D1955" s="9">
        <f>IF(ISNA(MATCH(1946,'Transfer Engine'!$C$2:$C$1960,0)),"",INDEX('Compliance Database'!$D$2:$D$1960,MATCH(1946,'Transfer Engine'!$C$2:$C$1960,0)))</f>
        <v/>
      </c>
      <c r="E1955" s="8">
        <f>IF(ISNA(MATCH(1946,'Transfer Engine'!$C$2:$C$1960,0)),"",INDEX('Compliance Database'!$E$2:$E$1960,MATCH(1946,'Transfer Engine'!$C$2:$C$1960,0)))</f>
        <v/>
      </c>
      <c r="F1955" s="8">
        <f>IF(ISNA(MATCH(1946,'Transfer Engine'!$C$2:$C$1960,0)),"",INDEX('Compliance Database'!$F$2:$F$1960,MATCH(1946,'Transfer Engine'!$C$2:$C$1960,0)))</f>
        <v/>
      </c>
      <c r="G1955" s="8">
        <f>IF(ISNA(MATCH(1946,'Transfer Engine'!$C$2:$C$1960,0)),"",INDEX('Compliance Database'!$G$2:$G$1960,MATCH(1946,'Transfer Engine'!$C$2:$C$1960,0)))</f>
        <v/>
      </c>
      <c r="H1955" s="9">
        <f>IF(ISNA(MATCH(1946,'Transfer Engine'!$C$2:$C$1960,0)),"",INDEX('Compliance Database'!$H$2:$H$1960,MATCH(1946,'Transfer Engine'!$C$2:$C$1960,0)))</f>
        <v/>
      </c>
      <c r="I1955" s="9">
        <f>IF(ISNA(MATCH(1946,'Transfer Engine'!$C$2:$C$1960,0)),"",INDEX('Compliance Database'!$I$2:$I$1960,MATCH(1946,'Transfer Engine'!$C$2:$C$1960,0)))</f>
        <v/>
      </c>
      <c r="J1955" s="8">
        <f>IF(ISNA(MATCH(1946,'Transfer Engine'!$C$2:$C$1960,0)),"",INDEX('Compliance Database'!$J$2:$J$1960,MATCH(1946,'Transfer Engine'!$C$2:$C$1960,0)))</f>
        <v/>
      </c>
      <c r="K1955" s="9">
        <f>IF(ISNA(MATCH(1946,'Transfer Engine'!$C$2:$C$1960,0)),"",INDEX('Compliance Database'!$K$2:$K$1960,MATCH(1946,'Transfer Engine'!$C$2:$C$1960,0)))</f>
        <v/>
      </c>
      <c r="L1955" s="9">
        <f>IF(ISNA(MATCH(1946,'Transfer Engine'!$C$2:$C$1960,0)),"",INDEX('Compliance Database'!$L$2:$L$1960,MATCH(1946,'Transfer Engine'!$C$2:$C$1960,0)))</f>
        <v/>
      </c>
      <c r="M1955" s="9">
        <f>IF(ISNA(MATCH(1946,'Transfer Engine'!$C$2:$C$1960,0)),"",INDEX('Compliance Database'!$M$2:$M$1960,MATCH(1946,'Transfer Engine'!$C$2:$C$1960,0)))</f>
        <v/>
      </c>
      <c r="N1955" s="9">
        <f>IF(ISNA(MATCH(1946,'Transfer Engine'!$C$2:$C$1960,0)),"",INDEX('Compliance Database'!$N$2:$N$1960,MATCH(1946,'Transfer Engine'!$C$2:$C$1960,0)))</f>
        <v/>
      </c>
      <c r="O1955" s="9">
        <f>IF(ISNA(MATCH(1946,'Transfer Engine'!$C$2:$C$1960,0)),"",INDEX('Compliance Database'!$O$2:$O$1960,MATCH(1946,'Transfer Engine'!$C$2:$C$1960,0)))</f>
        <v/>
      </c>
      <c r="P1955" s="8">
        <f>IF(ISNA(MATCH(1946,'Transfer Engine'!$C$2:$C$1960,0)),"",HYPERLINK("#Acts!A"&amp;INDEX('Compliance Database'!$P$2:$P$1960,MATCH(1946,'Transfer Engine'!$C$2:$C$1960,0)),"Go to Act"))</f>
        <v/>
      </c>
    </row>
    <row r="1956" ht="158" customHeight="1">
      <c r="A1956" s="8">
        <f>IF(ISNA(MATCH(1947,'Transfer Engine'!$C$2:$C$1960,0)),"",INDEX('Compliance Database'!$A$2:$A$1960,MATCH(1947,'Transfer Engine'!$C$2:$C$1960,0)))</f>
        <v/>
      </c>
      <c r="B1956" s="8">
        <f>IF(ISNA(MATCH(1947,'Transfer Engine'!$C$2:$C$1960,0)),"",INDEX('Compliance Database'!$B$2:$B$1960,MATCH(1947,'Transfer Engine'!$C$2:$C$1960,0)))</f>
        <v/>
      </c>
      <c r="C1956" s="8">
        <f>IF(ISNA(MATCH(1947,'Transfer Engine'!$C$2:$C$1960,0)),"",INDEX('Compliance Database'!$C$2:$C$1960,MATCH(1947,'Transfer Engine'!$C$2:$C$1960,0)))</f>
        <v/>
      </c>
      <c r="D1956" s="9">
        <f>IF(ISNA(MATCH(1947,'Transfer Engine'!$C$2:$C$1960,0)),"",INDEX('Compliance Database'!$D$2:$D$1960,MATCH(1947,'Transfer Engine'!$C$2:$C$1960,0)))</f>
        <v/>
      </c>
      <c r="E1956" s="8">
        <f>IF(ISNA(MATCH(1947,'Transfer Engine'!$C$2:$C$1960,0)),"",INDEX('Compliance Database'!$E$2:$E$1960,MATCH(1947,'Transfer Engine'!$C$2:$C$1960,0)))</f>
        <v/>
      </c>
      <c r="F1956" s="8">
        <f>IF(ISNA(MATCH(1947,'Transfer Engine'!$C$2:$C$1960,0)),"",INDEX('Compliance Database'!$F$2:$F$1960,MATCH(1947,'Transfer Engine'!$C$2:$C$1960,0)))</f>
        <v/>
      </c>
      <c r="G1956" s="8">
        <f>IF(ISNA(MATCH(1947,'Transfer Engine'!$C$2:$C$1960,0)),"",INDEX('Compliance Database'!$G$2:$G$1960,MATCH(1947,'Transfer Engine'!$C$2:$C$1960,0)))</f>
        <v/>
      </c>
      <c r="H1956" s="9">
        <f>IF(ISNA(MATCH(1947,'Transfer Engine'!$C$2:$C$1960,0)),"",INDEX('Compliance Database'!$H$2:$H$1960,MATCH(1947,'Transfer Engine'!$C$2:$C$1960,0)))</f>
        <v/>
      </c>
      <c r="I1956" s="9">
        <f>IF(ISNA(MATCH(1947,'Transfer Engine'!$C$2:$C$1960,0)),"",INDEX('Compliance Database'!$I$2:$I$1960,MATCH(1947,'Transfer Engine'!$C$2:$C$1960,0)))</f>
        <v/>
      </c>
      <c r="J1956" s="8">
        <f>IF(ISNA(MATCH(1947,'Transfer Engine'!$C$2:$C$1960,0)),"",INDEX('Compliance Database'!$J$2:$J$1960,MATCH(1947,'Transfer Engine'!$C$2:$C$1960,0)))</f>
        <v/>
      </c>
      <c r="K1956" s="9">
        <f>IF(ISNA(MATCH(1947,'Transfer Engine'!$C$2:$C$1960,0)),"",INDEX('Compliance Database'!$K$2:$K$1960,MATCH(1947,'Transfer Engine'!$C$2:$C$1960,0)))</f>
        <v/>
      </c>
      <c r="L1956" s="9">
        <f>IF(ISNA(MATCH(1947,'Transfer Engine'!$C$2:$C$1960,0)),"",INDEX('Compliance Database'!$L$2:$L$1960,MATCH(1947,'Transfer Engine'!$C$2:$C$1960,0)))</f>
        <v/>
      </c>
      <c r="M1956" s="9">
        <f>IF(ISNA(MATCH(1947,'Transfer Engine'!$C$2:$C$1960,0)),"",INDEX('Compliance Database'!$M$2:$M$1960,MATCH(1947,'Transfer Engine'!$C$2:$C$1960,0)))</f>
        <v/>
      </c>
      <c r="N1956" s="9">
        <f>IF(ISNA(MATCH(1947,'Transfer Engine'!$C$2:$C$1960,0)),"",INDEX('Compliance Database'!$N$2:$N$1960,MATCH(1947,'Transfer Engine'!$C$2:$C$1960,0)))</f>
        <v/>
      </c>
      <c r="O1956" s="9">
        <f>IF(ISNA(MATCH(1947,'Transfer Engine'!$C$2:$C$1960,0)),"",INDEX('Compliance Database'!$O$2:$O$1960,MATCH(1947,'Transfer Engine'!$C$2:$C$1960,0)))</f>
        <v/>
      </c>
      <c r="P1956" s="8">
        <f>IF(ISNA(MATCH(1947,'Transfer Engine'!$C$2:$C$1960,0)),"",HYPERLINK("#Acts!A"&amp;INDEX('Compliance Database'!$P$2:$P$1960,MATCH(1947,'Transfer Engine'!$C$2:$C$1960,0)),"Go to Act"))</f>
        <v/>
      </c>
    </row>
    <row r="1957" ht="158" customHeight="1">
      <c r="A1957" s="8">
        <f>IF(ISNA(MATCH(1948,'Transfer Engine'!$C$2:$C$1960,0)),"",INDEX('Compliance Database'!$A$2:$A$1960,MATCH(1948,'Transfer Engine'!$C$2:$C$1960,0)))</f>
        <v/>
      </c>
      <c r="B1957" s="8">
        <f>IF(ISNA(MATCH(1948,'Transfer Engine'!$C$2:$C$1960,0)),"",INDEX('Compliance Database'!$B$2:$B$1960,MATCH(1948,'Transfer Engine'!$C$2:$C$1960,0)))</f>
        <v/>
      </c>
      <c r="C1957" s="8">
        <f>IF(ISNA(MATCH(1948,'Transfer Engine'!$C$2:$C$1960,0)),"",INDEX('Compliance Database'!$C$2:$C$1960,MATCH(1948,'Transfer Engine'!$C$2:$C$1960,0)))</f>
        <v/>
      </c>
      <c r="D1957" s="9">
        <f>IF(ISNA(MATCH(1948,'Transfer Engine'!$C$2:$C$1960,0)),"",INDEX('Compliance Database'!$D$2:$D$1960,MATCH(1948,'Transfer Engine'!$C$2:$C$1960,0)))</f>
        <v/>
      </c>
      <c r="E1957" s="8">
        <f>IF(ISNA(MATCH(1948,'Transfer Engine'!$C$2:$C$1960,0)),"",INDEX('Compliance Database'!$E$2:$E$1960,MATCH(1948,'Transfer Engine'!$C$2:$C$1960,0)))</f>
        <v/>
      </c>
      <c r="F1957" s="8">
        <f>IF(ISNA(MATCH(1948,'Transfer Engine'!$C$2:$C$1960,0)),"",INDEX('Compliance Database'!$F$2:$F$1960,MATCH(1948,'Transfer Engine'!$C$2:$C$1960,0)))</f>
        <v/>
      </c>
      <c r="G1957" s="8">
        <f>IF(ISNA(MATCH(1948,'Transfer Engine'!$C$2:$C$1960,0)),"",INDEX('Compliance Database'!$G$2:$G$1960,MATCH(1948,'Transfer Engine'!$C$2:$C$1960,0)))</f>
        <v/>
      </c>
      <c r="H1957" s="9">
        <f>IF(ISNA(MATCH(1948,'Transfer Engine'!$C$2:$C$1960,0)),"",INDEX('Compliance Database'!$H$2:$H$1960,MATCH(1948,'Transfer Engine'!$C$2:$C$1960,0)))</f>
        <v/>
      </c>
      <c r="I1957" s="9">
        <f>IF(ISNA(MATCH(1948,'Transfer Engine'!$C$2:$C$1960,0)),"",INDEX('Compliance Database'!$I$2:$I$1960,MATCH(1948,'Transfer Engine'!$C$2:$C$1960,0)))</f>
        <v/>
      </c>
      <c r="J1957" s="8">
        <f>IF(ISNA(MATCH(1948,'Transfer Engine'!$C$2:$C$1960,0)),"",INDEX('Compliance Database'!$J$2:$J$1960,MATCH(1948,'Transfer Engine'!$C$2:$C$1960,0)))</f>
        <v/>
      </c>
      <c r="K1957" s="9">
        <f>IF(ISNA(MATCH(1948,'Transfer Engine'!$C$2:$C$1960,0)),"",INDEX('Compliance Database'!$K$2:$K$1960,MATCH(1948,'Transfer Engine'!$C$2:$C$1960,0)))</f>
        <v/>
      </c>
      <c r="L1957" s="9">
        <f>IF(ISNA(MATCH(1948,'Transfer Engine'!$C$2:$C$1960,0)),"",INDEX('Compliance Database'!$L$2:$L$1960,MATCH(1948,'Transfer Engine'!$C$2:$C$1960,0)))</f>
        <v/>
      </c>
      <c r="M1957" s="9">
        <f>IF(ISNA(MATCH(1948,'Transfer Engine'!$C$2:$C$1960,0)),"",INDEX('Compliance Database'!$M$2:$M$1960,MATCH(1948,'Transfer Engine'!$C$2:$C$1960,0)))</f>
        <v/>
      </c>
      <c r="N1957" s="9">
        <f>IF(ISNA(MATCH(1948,'Transfer Engine'!$C$2:$C$1960,0)),"",INDEX('Compliance Database'!$N$2:$N$1960,MATCH(1948,'Transfer Engine'!$C$2:$C$1960,0)))</f>
        <v/>
      </c>
      <c r="O1957" s="9">
        <f>IF(ISNA(MATCH(1948,'Transfer Engine'!$C$2:$C$1960,0)),"",INDEX('Compliance Database'!$O$2:$O$1960,MATCH(1948,'Transfer Engine'!$C$2:$C$1960,0)))</f>
        <v/>
      </c>
      <c r="P1957" s="8">
        <f>IF(ISNA(MATCH(1948,'Transfer Engine'!$C$2:$C$1960,0)),"",HYPERLINK("#Acts!A"&amp;INDEX('Compliance Database'!$P$2:$P$1960,MATCH(1948,'Transfer Engine'!$C$2:$C$1960,0)),"Go to Act"))</f>
        <v/>
      </c>
    </row>
    <row r="1958" ht="158" customHeight="1">
      <c r="A1958" s="8">
        <f>IF(ISNA(MATCH(1949,'Transfer Engine'!$C$2:$C$1960,0)),"",INDEX('Compliance Database'!$A$2:$A$1960,MATCH(1949,'Transfer Engine'!$C$2:$C$1960,0)))</f>
        <v/>
      </c>
      <c r="B1958" s="8">
        <f>IF(ISNA(MATCH(1949,'Transfer Engine'!$C$2:$C$1960,0)),"",INDEX('Compliance Database'!$B$2:$B$1960,MATCH(1949,'Transfer Engine'!$C$2:$C$1960,0)))</f>
        <v/>
      </c>
      <c r="C1958" s="8">
        <f>IF(ISNA(MATCH(1949,'Transfer Engine'!$C$2:$C$1960,0)),"",INDEX('Compliance Database'!$C$2:$C$1960,MATCH(1949,'Transfer Engine'!$C$2:$C$1960,0)))</f>
        <v/>
      </c>
      <c r="D1958" s="9">
        <f>IF(ISNA(MATCH(1949,'Transfer Engine'!$C$2:$C$1960,0)),"",INDEX('Compliance Database'!$D$2:$D$1960,MATCH(1949,'Transfer Engine'!$C$2:$C$1960,0)))</f>
        <v/>
      </c>
      <c r="E1958" s="8">
        <f>IF(ISNA(MATCH(1949,'Transfer Engine'!$C$2:$C$1960,0)),"",INDEX('Compliance Database'!$E$2:$E$1960,MATCH(1949,'Transfer Engine'!$C$2:$C$1960,0)))</f>
        <v/>
      </c>
      <c r="F1958" s="8">
        <f>IF(ISNA(MATCH(1949,'Transfer Engine'!$C$2:$C$1960,0)),"",INDEX('Compliance Database'!$F$2:$F$1960,MATCH(1949,'Transfer Engine'!$C$2:$C$1960,0)))</f>
        <v/>
      </c>
      <c r="G1958" s="8">
        <f>IF(ISNA(MATCH(1949,'Transfer Engine'!$C$2:$C$1960,0)),"",INDEX('Compliance Database'!$G$2:$G$1960,MATCH(1949,'Transfer Engine'!$C$2:$C$1960,0)))</f>
        <v/>
      </c>
      <c r="H1958" s="9">
        <f>IF(ISNA(MATCH(1949,'Transfer Engine'!$C$2:$C$1960,0)),"",INDEX('Compliance Database'!$H$2:$H$1960,MATCH(1949,'Transfer Engine'!$C$2:$C$1960,0)))</f>
        <v/>
      </c>
      <c r="I1958" s="9">
        <f>IF(ISNA(MATCH(1949,'Transfer Engine'!$C$2:$C$1960,0)),"",INDEX('Compliance Database'!$I$2:$I$1960,MATCH(1949,'Transfer Engine'!$C$2:$C$1960,0)))</f>
        <v/>
      </c>
      <c r="J1958" s="8">
        <f>IF(ISNA(MATCH(1949,'Transfer Engine'!$C$2:$C$1960,0)),"",INDEX('Compliance Database'!$J$2:$J$1960,MATCH(1949,'Transfer Engine'!$C$2:$C$1960,0)))</f>
        <v/>
      </c>
      <c r="K1958" s="9">
        <f>IF(ISNA(MATCH(1949,'Transfer Engine'!$C$2:$C$1960,0)),"",INDEX('Compliance Database'!$K$2:$K$1960,MATCH(1949,'Transfer Engine'!$C$2:$C$1960,0)))</f>
        <v/>
      </c>
      <c r="L1958" s="9">
        <f>IF(ISNA(MATCH(1949,'Transfer Engine'!$C$2:$C$1960,0)),"",INDEX('Compliance Database'!$L$2:$L$1960,MATCH(1949,'Transfer Engine'!$C$2:$C$1960,0)))</f>
        <v/>
      </c>
      <c r="M1958" s="9">
        <f>IF(ISNA(MATCH(1949,'Transfer Engine'!$C$2:$C$1960,0)),"",INDEX('Compliance Database'!$M$2:$M$1960,MATCH(1949,'Transfer Engine'!$C$2:$C$1960,0)))</f>
        <v/>
      </c>
      <c r="N1958" s="9">
        <f>IF(ISNA(MATCH(1949,'Transfer Engine'!$C$2:$C$1960,0)),"",INDEX('Compliance Database'!$N$2:$N$1960,MATCH(1949,'Transfer Engine'!$C$2:$C$1960,0)))</f>
        <v/>
      </c>
      <c r="O1958" s="9">
        <f>IF(ISNA(MATCH(1949,'Transfer Engine'!$C$2:$C$1960,0)),"",INDEX('Compliance Database'!$O$2:$O$1960,MATCH(1949,'Transfer Engine'!$C$2:$C$1960,0)))</f>
        <v/>
      </c>
      <c r="P1958" s="8">
        <f>IF(ISNA(MATCH(1949,'Transfer Engine'!$C$2:$C$1960,0)),"",HYPERLINK("#Acts!A"&amp;INDEX('Compliance Database'!$P$2:$P$1960,MATCH(1949,'Transfer Engine'!$C$2:$C$1960,0)),"Go to Act"))</f>
        <v/>
      </c>
    </row>
    <row r="1959" ht="158" customHeight="1">
      <c r="A1959" s="8">
        <f>IF(ISNA(MATCH(1950,'Transfer Engine'!$C$2:$C$1960,0)),"",INDEX('Compliance Database'!$A$2:$A$1960,MATCH(1950,'Transfer Engine'!$C$2:$C$1960,0)))</f>
        <v/>
      </c>
      <c r="B1959" s="8">
        <f>IF(ISNA(MATCH(1950,'Transfer Engine'!$C$2:$C$1960,0)),"",INDEX('Compliance Database'!$B$2:$B$1960,MATCH(1950,'Transfer Engine'!$C$2:$C$1960,0)))</f>
        <v/>
      </c>
      <c r="C1959" s="8">
        <f>IF(ISNA(MATCH(1950,'Transfer Engine'!$C$2:$C$1960,0)),"",INDEX('Compliance Database'!$C$2:$C$1960,MATCH(1950,'Transfer Engine'!$C$2:$C$1960,0)))</f>
        <v/>
      </c>
      <c r="D1959" s="9">
        <f>IF(ISNA(MATCH(1950,'Transfer Engine'!$C$2:$C$1960,0)),"",INDEX('Compliance Database'!$D$2:$D$1960,MATCH(1950,'Transfer Engine'!$C$2:$C$1960,0)))</f>
        <v/>
      </c>
      <c r="E1959" s="8">
        <f>IF(ISNA(MATCH(1950,'Transfer Engine'!$C$2:$C$1960,0)),"",INDEX('Compliance Database'!$E$2:$E$1960,MATCH(1950,'Transfer Engine'!$C$2:$C$1960,0)))</f>
        <v/>
      </c>
      <c r="F1959" s="8">
        <f>IF(ISNA(MATCH(1950,'Transfer Engine'!$C$2:$C$1960,0)),"",INDEX('Compliance Database'!$F$2:$F$1960,MATCH(1950,'Transfer Engine'!$C$2:$C$1960,0)))</f>
        <v/>
      </c>
      <c r="G1959" s="8">
        <f>IF(ISNA(MATCH(1950,'Transfer Engine'!$C$2:$C$1960,0)),"",INDEX('Compliance Database'!$G$2:$G$1960,MATCH(1950,'Transfer Engine'!$C$2:$C$1960,0)))</f>
        <v/>
      </c>
      <c r="H1959" s="9">
        <f>IF(ISNA(MATCH(1950,'Transfer Engine'!$C$2:$C$1960,0)),"",INDEX('Compliance Database'!$H$2:$H$1960,MATCH(1950,'Transfer Engine'!$C$2:$C$1960,0)))</f>
        <v/>
      </c>
      <c r="I1959" s="9">
        <f>IF(ISNA(MATCH(1950,'Transfer Engine'!$C$2:$C$1960,0)),"",INDEX('Compliance Database'!$I$2:$I$1960,MATCH(1950,'Transfer Engine'!$C$2:$C$1960,0)))</f>
        <v/>
      </c>
      <c r="J1959" s="8">
        <f>IF(ISNA(MATCH(1950,'Transfer Engine'!$C$2:$C$1960,0)),"",INDEX('Compliance Database'!$J$2:$J$1960,MATCH(1950,'Transfer Engine'!$C$2:$C$1960,0)))</f>
        <v/>
      </c>
      <c r="K1959" s="9">
        <f>IF(ISNA(MATCH(1950,'Transfer Engine'!$C$2:$C$1960,0)),"",INDEX('Compliance Database'!$K$2:$K$1960,MATCH(1950,'Transfer Engine'!$C$2:$C$1960,0)))</f>
        <v/>
      </c>
      <c r="L1959" s="9">
        <f>IF(ISNA(MATCH(1950,'Transfer Engine'!$C$2:$C$1960,0)),"",INDEX('Compliance Database'!$L$2:$L$1960,MATCH(1950,'Transfer Engine'!$C$2:$C$1960,0)))</f>
        <v/>
      </c>
      <c r="M1959" s="9">
        <f>IF(ISNA(MATCH(1950,'Transfer Engine'!$C$2:$C$1960,0)),"",INDEX('Compliance Database'!$M$2:$M$1960,MATCH(1950,'Transfer Engine'!$C$2:$C$1960,0)))</f>
        <v/>
      </c>
      <c r="N1959" s="9">
        <f>IF(ISNA(MATCH(1950,'Transfer Engine'!$C$2:$C$1960,0)),"",INDEX('Compliance Database'!$N$2:$N$1960,MATCH(1950,'Transfer Engine'!$C$2:$C$1960,0)))</f>
        <v/>
      </c>
      <c r="O1959" s="9">
        <f>IF(ISNA(MATCH(1950,'Transfer Engine'!$C$2:$C$1960,0)),"",INDEX('Compliance Database'!$O$2:$O$1960,MATCH(1950,'Transfer Engine'!$C$2:$C$1960,0)))</f>
        <v/>
      </c>
      <c r="P1959" s="8">
        <f>IF(ISNA(MATCH(1950,'Transfer Engine'!$C$2:$C$1960,0)),"",HYPERLINK("#Acts!A"&amp;INDEX('Compliance Database'!$P$2:$P$1960,MATCH(1950,'Transfer Engine'!$C$2:$C$1960,0)),"Go to Act"))</f>
        <v/>
      </c>
    </row>
    <row r="1960" ht="158" customHeight="1">
      <c r="A1960" s="8">
        <f>IF(ISNA(MATCH(1951,'Transfer Engine'!$C$2:$C$1960,0)),"",INDEX('Compliance Database'!$A$2:$A$1960,MATCH(1951,'Transfer Engine'!$C$2:$C$1960,0)))</f>
        <v/>
      </c>
      <c r="B1960" s="8">
        <f>IF(ISNA(MATCH(1951,'Transfer Engine'!$C$2:$C$1960,0)),"",INDEX('Compliance Database'!$B$2:$B$1960,MATCH(1951,'Transfer Engine'!$C$2:$C$1960,0)))</f>
        <v/>
      </c>
      <c r="C1960" s="8">
        <f>IF(ISNA(MATCH(1951,'Transfer Engine'!$C$2:$C$1960,0)),"",INDEX('Compliance Database'!$C$2:$C$1960,MATCH(1951,'Transfer Engine'!$C$2:$C$1960,0)))</f>
        <v/>
      </c>
      <c r="D1960" s="9">
        <f>IF(ISNA(MATCH(1951,'Transfer Engine'!$C$2:$C$1960,0)),"",INDEX('Compliance Database'!$D$2:$D$1960,MATCH(1951,'Transfer Engine'!$C$2:$C$1960,0)))</f>
        <v/>
      </c>
      <c r="E1960" s="8">
        <f>IF(ISNA(MATCH(1951,'Transfer Engine'!$C$2:$C$1960,0)),"",INDEX('Compliance Database'!$E$2:$E$1960,MATCH(1951,'Transfer Engine'!$C$2:$C$1960,0)))</f>
        <v/>
      </c>
      <c r="F1960" s="8">
        <f>IF(ISNA(MATCH(1951,'Transfer Engine'!$C$2:$C$1960,0)),"",INDEX('Compliance Database'!$F$2:$F$1960,MATCH(1951,'Transfer Engine'!$C$2:$C$1960,0)))</f>
        <v/>
      </c>
      <c r="G1960" s="8">
        <f>IF(ISNA(MATCH(1951,'Transfer Engine'!$C$2:$C$1960,0)),"",INDEX('Compliance Database'!$G$2:$G$1960,MATCH(1951,'Transfer Engine'!$C$2:$C$1960,0)))</f>
        <v/>
      </c>
      <c r="H1960" s="9">
        <f>IF(ISNA(MATCH(1951,'Transfer Engine'!$C$2:$C$1960,0)),"",INDEX('Compliance Database'!$H$2:$H$1960,MATCH(1951,'Transfer Engine'!$C$2:$C$1960,0)))</f>
        <v/>
      </c>
      <c r="I1960" s="9">
        <f>IF(ISNA(MATCH(1951,'Transfer Engine'!$C$2:$C$1960,0)),"",INDEX('Compliance Database'!$I$2:$I$1960,MATCH(1951,'Transfer Engine'!$C$2:$C$1960,0)))</f>
        <v/>
      </c>
      <c r="J1960" s="8">
        <f>IF(ISNA(MATCH(1951,'Transfer Engine'!$C$2:$C$1960,0)),"",INDEX('Compliance Database'!$J$2:$J$1960,MATCH(1951,'Transfer Engine'!$C$2:$C$1960,0)))</f>
        <v/>
      </c>
      <c r="K1960" s="9">
        <f>IF(ISNA(MATCH(1951,'Transfer Engine'!$C$2:$C$1960,0)),"",INDEX('Compliance Database'!$K$2:$K$1960,MATCH(1951,'Transfer Engine'!$C$2:$C$1960,0)))</f>
        <v/>
      </c>
      <c r="L1960" s="9">
        <f>IF(ISNA(MATCH(1951,'Transfer Engine'!$C$2:$C$1960,0)),"",INDEX('Compliance Database'!$L$2:$L$1960,MATCH(1951,'Transfer Engine'!$C$2:$C$1960,0)))</f>
        <v/>
      </c>
      <c r="M1960" s="9">
        <f>IF(ISNA(MATCH(1951,'Transfer Engine'!$C$2:$C$1960,0)),"",INDEX('Compliance Database'!$M$2:$M$1960,MATCH(1951,'Transfer Engine'!$C$2:$C$1960,0)))</f>
        <v/>
      </c>
      <c r="N1960" s="9">
        <f>IF(ISNA(MATCH(1951,'Transfer Engine'!$C$2:$C$1960,0)),"",INDEX('Compliance Database'!$N$2:$N$1960,MATCH(1951,'Transfer Engine'!$C$2:$C$1960,0)))</f>
        <v/>
      </c>
      <c r="O1960" s="9">
        <f>IF(ISNA(MATCH(1951,'Transfer Engine'!$C$2:$C$1960,0)),"",INDEX('Compliance Database'!$O$2:$O$1960,MATCH(1951,'Transfer Engine'!$C$2:$C$1960,0)))</f>
        <v/>
      </c>
      <c r="P1960" s="8">
        <f>IF(ISNA(MATCH(1951,'Transfer Engine'!$C$2:$C$1960,0)),"",HYPERLINK("#Acts!A"&amp;INDEX('Compliance Database'!$P$2:$P$1960,MATCH(1951,'Transfer Engine'!$C$2:$C$1960,0)),"Go to Act"))</f>
        <v/>
      </c>
    </row>
    <row r="1961" ht="158" customHeight="1">
      <c r="A1961" s="8">
        <f>IF(ISNA(MATCH(1952,'Transfer Engine'!$C$2:$C$1960,0)),"",INDEX('Compliance Database'!$A$2:$A$1960,MATCH(1952,'Transfer Engine'!$C$2:$C$1960,0)))</f>
        <v/>
      </c>
      <c r="B1961" s="8">
        <f>IF(ISNA(MATCH(1952,'Transfer Engine'!$C$2:$C$1960,0)),"",INDEX('Compliance Database'!$B$2:$B$1960,MATCH(1952,'Transfer Engine'!$C$2:$C$1960,0)))</f>
        <v/>
      </c>
      <c r="C1961" s="8">
        <f>IF(ISNA(MATCH(1952,'Transfer Engine'!$C$2:$C$1960,0)),"",INDEX('Compliance Database'!$C$2:$C$1960,MATCH(1952,'Transfer Engine'!$C$2:$C$1960,0)))</f>
        <v/>
      </c>
      <c r="D1961" s="9">
        <f>IF(ISNA(MATCH(1952,'Transfer Engine'!$C$2:$C$1960,0)),"",INDEX('Compliance Database'!$D$2:$D$1960,MATCH(1952,'Transfer Engine'!$C$2:$C$1960,0)))</f>
        <v/>
      </c>
      <c r="E1961" s="8">
        <f>IF(ISNA(MATCH(1952,'Transfer Engine'!$C$2:$C$1960,0)),"",INDEX('Compliance Database'!$E$2:$E$1960,MATCH(1952,'Transfer Engine'!$C$2:$C$1960,0)))</f>
        <v/>
      </c>
      <c r="F1961" s="8">
        <f>IF(ISNA(MATCH(1952,'Transfer Engine'!$C$2:$C$1960,0)),"",INDEX('Compliance Database'!$F$2:$F$1960,MATCH(1952,'Transfer Engine'!$C$2:$C$1960,0)))</f>
        <v/>
      </c>
      <c r="G1961" s="8">
        <f>IF(ISNA(MATCH(1952,'Transfer Engine'!$C$2:$C$1960,0)),"",INDEX('Compliance Database'!$G$2:$G$1960,MATCH(1952,'Transfer Engine'!$C$2:$C$1960,0)))</f>
        <v/>
      </c>
      <c r="H1961" s="9">
        <f>IF(ISNA(MATCH(1952,'Transfer Engine'!$C$2:$C$1960,0)),"",INDEX('Compliance Database'!$H$2:$H$1960,MATCH(1952,'Transfer Engine'!$C$2:$C$1960,0)))</f>
        <v/>
      </c>
      <c r="I1961" s="9">
        <f>IF(ISNA(MATCH(1952,'Transfer Engine'!$C$2:$C$1960,0)),"",INDEX('Compliance Database'!$I$2:$I$1960,MATCH(1952,'Transfer Engine'!$C$2:$C$1960,0)))</f>
        <v/>
      </c>
      <c r="J1961" s="8">
        <f>IF(ISNA(MATCH(1952,'Transfer Engine'!$C$2:$C$1960,0)),"",INDEX('Compliance Database'!$J$2:$J$1960,MATCH(1952,'Transfer Engine'!$C$2:$C$1960,0)))</f>
        <v/>
      </c>
      <c r="K1961" s="9">
        <f>IF(ISNA(MATCH(1952,'Transfer Engine'!$C$2:$C$1960,0)),"",INDEX('Compliance Database'!$K$2:$K$1960,MATCH(1952,'Transfer Engine'!$C$2:$C$1960,0)))</f>
        <v/>
      </c>
      <c r="L1961" s="9">
        <f>IF(ISNA(MATCH(1952,'Transfer Engine'!$C$2:$C$1960,0)),"",INDEX('Compliance Database'!$L$2:$L$1960,MATCH(1952,'Transfer Engine'!$C$2:$C$1960,0)))</f>
        <v/>
      </c>
      <c r="M1961" s="9">
        <f>IF(ISNA(MATCH(1952,'Transfer Engine'!$C$2:$C$1960,0)),"",INDEX('Compliance Database'!$M$2:$M$1960,MATCH(1952,'Transfer Engine'!$C$2:$C$1960,0)))</f>
        <v/>
      </c>
      <c r="N1961" s="9">
        <f>IF(ISNA(MATCH(1952,'Transfer Engine'!$C$2:$C$1960,0)),"",INDEX('Compliance Database'!$N$2:$N$1960,MATCH(1952,'Transfer Engine'!$C$2:$C$1960,0)))</f>
        <v/>
      </c>
      <c r="O1961" s="9">
        <f>IF(ISNA(MATCH(1952,'Transfer Engine'!$C$2:$C$1960,0)),"",INDEX('Compliance Database'!$O$2:$O$1960,MATCH(1952,'Transfer Engine'!$C$2:$C$1960,0)))</f>
        <v/>
      </c>
      <c r="P1961" s="8">
        <f>IF(ISNA(MATCH(1952,'Transfer Engine'!$C$2:$C$1960,0)),"",HYPERLINK("#Acts!A"&amp;INDEX('Compliance Database'!$P$2:$P$1960,MATCH(1952,'Transfer Engine'!$C$2:$C$1960,0)),"Go to Act"))</f>
        <v/>
      </c>
    </row>
    <row r="1962" ht="158" customHeight="1">
      <c r="A1962" s="8">
        <f>IF(ISNA(MATCH(1953,'Transfer Engine'!$C$2:$C$1960,0)),"",INDEX('Compliance Database'!$A$2:$A$1960,MATCH(1953,'Transfer Engine'!$C$2:$C$1960,0)))</f>
        <v/>
      </c>
      <c r="B1962" s="8">
        <f>IF(ISNA(MATCH(1953,'Transfer Engine'!$C$2:$C$1960,0)),"",INDEX('Compliance Database'!$B$2:$B$1960,MATCH(1953,'Transfer Engine'!$C$2:$C$1960,0)))</f>
        <v/>
      </c>
      <c r="C1962" s="8">
        <f>IF(ISNA(MATCH(1953,'Transfer Engine'!$C$2:$C$1960,0)),"",INDEX('Compliance Database'!$C$2:$C$1960,MATCH(1953,'Transfer Engine'!$C$2:$C$1960,0)))</f>
        <v/>
      </c>
      <c r="D1962" s="9">
        <f>IF(ISNA(MATCH(1953,'Transfer Engine'!$C$2:$C$1960,0)),"",INDEX('Compliance Database'!$D$2:$D$1960,MATCH(1953,'Transfer Engine'!$C$2:$C$1960,0)))</f>
        <v/>
      </c>
      <c r="E1962" s="8">
        <f>IF(ISNA(MATCH(1953,'Transfer Engine'!$C$2:$C$1960,0)),"",INDEX('Compliance Database'!$E$2:$E$1960,MATCH(1953,'Transfer Engine'!$C$2:$C$1960,0)))</f>
        <v/>
      </c>
      <c r="F1962" s="8">
        <f>IF(ISNA(MATCH(1953,'Transfer Engine'!$C$2:$C$1960,0)),"",INDEX('Compliance Database'!$F$2:$F$1960,MATCH(1953,'Transfer Engine'!$C$2:$C$1960,0)))</f>
        <v/>
      </c>
      <c r="G1962" s="8">
        <f>IF(ISNA(MATCH(1953,'Transfer Engine'!$C$2:$C$1960,0)),"",INDEX('Compliance Database'!$G$2:$G$1960,MATCH(1953,'Transfer Engine'!$C$2:$C$1960,0)))</f>
        <v/>
      </c>
      <c r="H1962" s="9">
        <f>IF(ISNA(MATCH(1953,'Transfer Engine'!$C$2:$C$1960,0)),"",INDEX('Compliance Database'!$H$2:$H$1960,MATCH(1953,'Transfer Engine'!$C$2:$C$1960,0)))</f>
        <v/>
      </c>
      <c r="I1962" s="9">
        <f>IF(ISNA(MATCH(1953,'Transfer Engine'!$C$2:$C$1960,0)),"",INDEX('Compliance Database'!$I$2:$I$1960,MATCH(1953,'Transfer Engine'!$C$2:$C$1960,0)))</f>
        <v/>
      </c>
      <c r="J1962" s="8">
        <f>IF(ISNA(MATCH(1953,'Transfer Engine'!$C$2:$C$1960,0)),"",INDEX('Compliance Database'!$J$2:$J$1960,MATCH(1953,'Transfer Engine'!$C$2:$C$1960,0)))</f>
        <v/>
      </c>
      <c r="K1962" s="9">
        <f>IF(ISNA(MATCH(1953,'Transfer Engine'!$C$2:$C$1960,0)),"",INDEX('Compliance Database'!$K$2:$K$1960,MATCH(1953,'Transfer Engine'!$C$2:$C$1960,0)))</f>
        <v/>
      </c>
      <c r="L1962" s="9">
        <f>IF(ISNA(MATCH(1953,'Transfer Engine'!$C$2:$C$1960,0)),"",INDEX('Compliance Database'!$L$2:$L$1960,MATCH(1953,'Transfer Engine'!$C$2:$C$1960,0)))</f>
        <v/>
      </c>
      <c r="M1962" s="9">
        <f>IF(ISNA(MATCH(1953,'Transfer Engine'!$C$2:$C$1960,0)),"",INDEX('Compliance Database'!$M$2:$M$1960,MATCH(1953,'Transfer Engine'!$C$2:$C$1960,0)))</f>
        <v/>
      </c>
      <c r="N1962" s="9">
        <f>IF(ISNA(MATCH(1953,'Transfer Engine'!$C$2:$C$1960,0)),"",INDEX('Compliance Database'!$N$2:$N$1960,MATCH(1953,'Transfer Engine'!$C$2:$C$1960,0)))</f>
        <v/>
      </c>
      <c r="O1962" s="9">
        <f>IF(ISNA(MATCH(1953,'Transfer Engine'!$C$2:$C$1960,0)),"",INDEX('Compliance Database'!$O$2:$O$1960,MATCH(1953,'Transfer Engine'!$C$2:$C$1960,0)))</f>
        <v/>
      </c>
      <c r="P1962" s="8">
        <f>IF(ISNA(MATCH(1953,'Transfer Engine'!$C$2:$C$1960,0)),"",HYPERLINK("#Acts!A"&amp;INDEX('Compliance Database'!$P$2:$P$1960,MATCH(1953,'Transfer Engine'!$C$2:$C$1960,0)),"Go to Act"))</f>
        <v/>
      </c>
    </row>
    <row r="1963" ht="158" customHeight="1">
      <c r="A1963" s="8">
        <f>IF(ISNA(MATCH(1954,'Transfer Engine'!$C$2:$C$1960,0)),"",INDEX('Compliance Database'!$A$2:$A$1960,MATCH(1954,'Transfer Engine'!$C$2:$C$1960,0)))</f>
        <v/>
      </c>
      <c r="B1963" s="8">
        <f>IF(ISNA(MATCH(1954,'Transfer Engine'!$C$2:$C$1960,0)),"",INDEX('Compliance Database'!$B$2:$B$1960,MATCH(1954,'Transfer Engine'!$C$2:$C$1960,0)))</f>
        <v/>
      </c>
      <c r="C1963" s="8">
        <f>IF(ISNA(MATCH(1954,'Transfer Engine'!$C$2:$C$1960,0)),"",INDEX('Compliance Database'!$C$2:$C$1960,MATCH(1954,'Transfer Engine'!$C$2:$C$1960,0)))</f>
        <v/>
      </c>
      <c r="D1963" s="9">
        <f>IF(ISNA(MATCH(1954,'Transfer Engine'!$C$2:$C$1960,0)),"",INDEX('Compliance Database'!$D$2:$D$1960,MATCH(1954,'Transfer Engine'!$C$2:$C$1960,0)))</f>
        <v/>
      </c>
      <c r="E1963" s="8">
        <f>IF(ISNA(MATCH(1954,'Transfer Engine'!$C$2:$C$1960,0)),"",INDEX('Compliance Database'!$E$2:$E$1960,MATCH(1954,'Transfer Engine'!$C$2:$C$1960,0)))</f>
        <v/>
      </c>
      <c r="F1963" s="8">
        <f>IF(ISNA(MATCH(1954,'Transfer Engine'!$C$2:$C$1960,0)),"",INDEX('Compliance Database'!$F$2:$F$1960,MATCH(1954,'Transfer Engine'!$C$2:$C$1960,0)))</f>
        <v/>
      </c>
      <c r="G1963" s="8">
        <f>IF(ISNA(MATCH(1954,'Transfer Engine'!$C$2:$C$1960,0)),"",INDEX('Compliance Database'!$G$2:$G$1960,MATCH(1954,'Transfer Engine'!$C$2:$C$1960,0)))</f>
        <v/>
      </c>
      <c r="H1963" s="9">
        <f>IF(ISNA(MATCH(1954,'Transfer Engine'!$C$2:$C$1960,0)),"",INDEX('Compliance Database'!$H$2:$H$1960,MATCH(1954,'Transfer Engine'!$C$2:$C$1960,0)))</f>
        <v/>
      </c>
      <c r="I1963" s="9">
        <f>IF(ISNA(MATCH(1954,'Transfer Engine'!$C$2:$C$1960,0)),"",INDEX('Compliance Database'!$I$2:$I$1960,MATCH(1954,'Transfer Engine'!$C$2:$C$1960,0)))</f>
        <v/>
      </c>
      <c r="J1963" s="8">
        <f>IF(ISNA(MATCH(1954,'Transfer Engine'!$C$2:$C$1960,0)),"",INDEX('Compliance Database'!$J$2:$J$1960,MATCH(1954,'Transfer Engine'!$C$2:$C$1960,0)))</f>
        <v/>
      </c>
      <c r="K1963" s="9">
        <f>IF(ISNA(MATCH(1954,'Transfer Engine'!$C$2:$C$1960,0)),"",INDEX('Compliance Database'!$K$2:$K$1960,MATCH(1954,'Transfer Engine'!$C$2:$C$1960,0)))</f>
        <v/>
      </c>
      <c r="L1963" s="9">
        <f>IF(ISNA(MATCH(1954,'Transfer Engine'!$C$2:$C$1960,0)),"",INDEX('Compliance Database'!$L$2:$L$1960,MATCH(1954,'Transfer Engine'!$C$2:$C$1960,0)))</f>
        <v/>
      </c>
      <c r="M1963" s="9">
        <f>IF(ISNA(MATCH(1954,'Transfer Engine'!$C$2:$C$1960,0)),"",INDEX('Compliance Database'!$M$2:$M$1960,MATCH(1954,'Transfer Engine'!$C$2:$C$1960,0)))</f>
        <v/>
      </c>
      <c r="N1963" s="9">
        <f>IF(ISNA(MATCH(1954,'Transfer Engine'!$C$2:$C$1960,0)),"",INDEX('Compliance Database'!$N$2:$N$1960,MATCH(1954,'Transfer Engine'!$C$2:$C$1960,0)))</f>
        <v/>
      </c>
      <c r="O1963" s="9">
        <f>IF(ISNA(MATCH(1954,'Transfer Engine'!$C$2:$C$1960,0)),"",INDEX('Compliance Database'!$O$2:$O$1960,MATCH(1954,'Transfer Engine'!$C$2:$C$1960,0)))</f>
        <v/>
      </c>
      <c r="P1963" s="8">
        <f>IF(ISNA(MATCH(1954,'Transfer Engine'!$C$2:$C$1960,0)),"",HYPERLINK("#Acts!A"&amp;INDEX('Compliance Database'!$P$2:$P$1960,MATCH(1954,'Transfer Engine'!$C$2:$C$1960,0)),"Go to Act"))</f>
        <v/>
      </c>
    </row>
    <row r="1964" ht="158" customHeight="1">
      <c r="A1964" s="8">
        <f>IF(ISNA(MATCH(1955,'Transfer Engine'!$C$2:$C$1960,0)),"",INDEX('Compliance Database'!$A$2:$A$1960,MATCH(1955,'Transfer Engine'!$C$2:$C$1960,0)))</f>
        <v/>
      </c>
      <c r="B1964" s="8">
        <f>IF(ISNA(MATCH(1955,'Transfer Engine'!$C$2:$C$1960,0)),"",INDEX('Compliance Database'!$B$2:$B$1960,MATCH(1955,'Transfer Engine'!$C$2:$C$1960,0)))</f>
        <v/>
      </c>
      <c r="C1964" s="8">
        <f>IF(ISNA(MATCH(1955,'Transfer Engine'!$C$2:$C$1960,0)),"",INDEX('Compliance Database'!$C$2:$C$1960,MATCH(1955,'Transfer Engine'!$C$2:$C$1960,0)))</f>
        <v/>
      </c>
      <c r="D1964" s="9">
        <f>IF(ISNA(MATCH(1955,'Transfer Engine'!$C$2:$C$1960,0)),"",INDEX('Compliance Database'!$D$2:$D$1960,MATCH(1955,'Transfer Engine'!$C$2:$C$1960,0)))</f>
        <v/>
      </c>
      <c r="E1964" s="8">
        <f>IF(ISNA(MATCH(1955,'Transfer Engine'!$C$2:$C$1960,0)),"",INDEX('Compliance Database'!$E$2:$E$1960,MATCH(1955,'Transfer Engine'!$C$2:$C$1960,0)))</f>
        <v/>
      </c>
      <c r="F1964" s="8">
        <f>IF(ISNA(MATCH(1955,'Transfer Engine'!$C$2:$C$1960,0)),"",INDEX('Compliance Database'!$F$2:$F$1960,MATCH(1955,'Transfer Engine'!$C$2:$C$1960,0)))</f>
        <v/>
      </c>
      <c r="G1964" s="8">
        <f>IF(ISNA(MATCH(1955,'Transfer Engine'!$C$2:$C$1960,0)),"",INDEX('Compliance Database'!$G$2:$G$1960,MATCH(1955,'Transfer Engine'!$C$2:$C$1960,0)))</f>
        <v/>
      </c>
      <c r="H1964" s="9">
        <f>IF(ISNA(MATCH(1955,'Transfer Engine'!$C$2:$C$1960,0)),"",INDEX('Compliance Database'!$H$2:$H$1960,MATCH(1955,'Transfer Engine'!$C$2:$C$1960,0)))</f>
        <v/>
      </c>
      <c r="I1964" s="9">
        <f>IF(ISNA(MATCH(1955,'Transfer Engine'!$C$2:$C$1960,0)),"",INDEX('Compliance Database'!$I$2:$I$1960,MATCH(1955,'Transfer Engine'!$C$2:$C$1960,0)))</f>
        <v/>
      </c>
      <c r="J1964" s="8">
        <f>IF(ISNA(MATCH(1955,'Transfer Engine'!$C$2:$C$1960,0)),"",INDEX('Compliance Database'!$J$2:$J$1960,MATCH(1955,'Transfer Engine'!$C$2:$C$1960,0)))</f>
        <v/>
      </c>
      <c r="K1964" s="9">
        <f>IF(ISNA(MATCH(1955,'Transfer Engine'!$C$2:$C$1960,0)),"",INDEX('Compliance Database'!$K$2:$K$1960,MATCH(1955,'Transfer Engine'!$C$2:$C$1960,0)))</f>
        <v/>
      </c>
      <c r="L1964" s="9">
        <f>IF(ISNA(MATCH(1955,'Transfer Engine'!$C$2:$C$1960,0)),"",INDEX('Compliance Database'!$L$2:$L$1960,MATCH(1955,'Transfer Engine'!$C$2:$C$1960,0)))</f>
        <v/>
      </c>
      <c r="M1964" s="9">
        <f>IF(ISNA(MATCH(1955,'Transfer Engine'!$C$2:$C$1960,0)),"",INDEX('Compliance Database'!$M$2:$M$1960,MATCH(1955,'Transfer Engine'!$C$2:$C$1960,0)))</f>
        <v/>
      </c>
      <c r="N1964" s="9">
        <f>IF(ISNA(MATCH(1955,'Transfer Engine'!$C$2:$C$1960,0)),"",INDEX('Compliance Database'!$N$2:$N$1960,MATCH(1955,'Transfer Engine'!$C$2:$C$1960,0)))</f>
        <v/>
      </c>
      <c r="O1964" s="9">
        <f>IF(ISNA(MATCH(1955,'Transfer Engine'!$C$2:$C$1960,0)),"",INDEX('Compliance Database'!$O$2:$O$1960,MATCH(1955,'Transfer Engine'!$C$2:$C$1960,0)))</f>
        <v/>
      </c>
      <c r="P1964" s="8">
        <f>IF(ISNA(MATCH(1955,'Transfer Engine'!$C$2:$C$1960,0)),"",HYPERLINK("#Acts!A"&amp;INDEX('Compliance Database'!$P$2:$P$1960,MATCH(1955,'Transfer Engine'!$C$2:$C$1960,0)),"Go to Act"))</f>
        <v/>
      </c>
    </row>
    <row r="1965" ht="158" customHeight="1">
      <c r="A1965" s="8">
        <f>IF(ISNA(MATCH(1956,'Transfer Engine'!$C$2:$C$1960,0)),"",INDEX('Compliance Database'!$A$2:$A$1960,MATCH(1956,'Transfer Engine'!$C$2:$C$1960,0)))</f>
        <v/>
      </c>
      <c r="B1965" s="8">
        <f>IF(ISNA(MATCH(1956,'Transfer Engine'!$C$2:$C$1960,0)),"",INDEX('Compliance Database'!$B$2:$B$1960,MATCH(1956,'Transfer Engine'!$C$2:$C$1960,0)))</f>
        <v/>
      </c>
      <c r="C1965" s="8">
        <f>IF(ISNA(MATCH(1956,'Transfer Engine'!$C$2:$C$1960,0)),"",INDEX('Compliance Database'!$C$2:$C$1960,MATCH(1956,'Transfer Engine'!$C$2:$C$1960,0)))</f>
        <v/>
      </c>
      <c r="D1965" s="9">
        <f>IF(ISNA(MATCH(1956,'Transfer Engine'!$C$2:$C$1960,0)),"",INDEX('Compliance Database'!$D$2:$D$1960,MATCH(1956,'Transfer Engine'!$C$2:$C$1960,0)))</f>
        <v/>
      </c>
      <c r="E1965" s="8">
        <f>IF(ISNA(MATCH(1956,'Transfer Engine'!$C$2:$C$1960,0)),"",INDEX('Compliance Database'!$E$2:$E$1960,MATCH(1956,'Transfer Engine'!$C$2:$C$1960,0)))</f>
        <v/>
      </c>
      <c r="F1965" s="8">
        <f>IF(ISNA(MATCH(1956,'Transfer Engine'!$C$2:$C$1960,0)),"",INDEX('Compliance Database'!$F$2:$F$1960,MATCH(1956,'Transfer Engine'!$C$2:$C$1960,0)))</f>
        <v/>
      </c>
      <c r="G1965" s="8">
        <f>IF(ISNA(MATCH(1956,'Transfer Engine'!$C$2:$C$1960,0)),"",INDEX('Compliance Database'!$G$2:$G$1960,MATCH(1956,'Transfer Engine'!$C$2:$C$1960,0)))</f>
        <v/>
      </c>
      <c r="H1965" s="9">
        <f>IF(ISNA(MATCH(1956,'Transfer Engine'!$C$2:$C$1960,0)),"",INDEX('Compliance Database'!$H$2:$H$1960,MATCH(1956,'Transfer Engine'!$C$2:$C$1960,0)))</f>
        <v/>
      </c>
      <c r="I1965" s="9">
        <f>IF(ISNA(MATCH(1956,'Transfer Engine'!$C$2:$C$1960,0)),"",INDEX('Compliance Database'!$I$2:$I$1960,MATCH(1956,'Transfer Engine'!$C$2:$C$1960,0)))</f>
        <v/>
      </c>
      <c r="J1965" s="8">
        <f>IF(ISNA(MATCH(1956,'Transfer Engine'!$C$2:$C$1960,0)),"",INDEX('Compliance Database'!$J$2:$J$1960,MATCH(1956,'Transfer Engine'!$C$2:$C$1960,0)))</f>
        <v/>
      </c>
      <c r="K1965" s="9">
        <f>IF(ISNA(MATCH(1956,'Transfer Engine'!$C$2:$C$1960,0)),"",INDEX('Compliance Database'!$K$2:$K$1960,MATCH(1956,'Transfer Engine'!$C$2:$C$1960,0)))</f>
        <v/>
      </c>
      <c r="L1965" s="9">
        <f>IF(ISNA(MATCH(1956,'Transfer Engine'!$C$2:$C$1960,0)),"",INDEX('Compliance Database'!$L$2:$L$1960,MATCH(1956,'Transfer Engine'!$C$2:$C$1960,0)))</f>
        <v/>
      </c>
      <c r="M1965" s="9">
        <f>IF(ISNA(MATCH(1956,'Transfer Engine'!$C$2:$C$1960,0)),"",INDEX('Compliance Database'!$M$2:$M$1960,MATCH(1956,'Transfer Engine'!$C$2:$C$1960,0)))</f>
        <v/>
      </c>
      <c r="N1965" s="9">
        <f>IF(ISNA(MATCH(1956,'Transfer Engine'!$C$2:$C$1960,0)),"",INDEX('Compliance Database'!$N$2:$N$1960,MATCH(1956,'Transfer Engine'!$C$2:$C$1960,0)))</f>
        <v/>
      </c>
      <c r="O1965" s="9">
        <f>IF(ISNA(MATCH(1956,'Transfer Engine'!$C$2:$C$1960,0)),"",INDEX('Compliance Database'!$O$2:$O$1960,MATCH(1956,'Transfer Engine'!$C$2:$C$1960,0)))</f>
        <v/>
      </c>
      <c r="P1965" s="8">
        <f>IF(ISNA(MATCH(1956,'Transfer Engine'!$C$2:$C$1960,0)),"",HYPERLINK("#Acts!A"&amp;INDEX('Compliance Database'!$P$2:$P$1960,MATCH(1956,'Transfer Engine'!$C$2:$C$1960,0)),"Go to Act"))</f>
        <v/>
      </c>
    </row>
    <row r="1966" ht="158" customHeight="1">
      <c r="A1966" s="8">
        <f>IF(ISNA(MATCH(1957,'Transfer Engine'!$C$2:$C$1960,0)),"",INDEX('Compliance Database'!$A$2:$A$1960,MATCH(1957,'Transfer Engine'!$C$2:$C$1960,0)))</f>
        <v/>
      </c>
      <c r="B1966" s="8">
        <f>IF(ISNA(MATCH(1957,'Transfer Engine'!$C$2:$C$1960,0)),"",INDEX('Compliance Database'!$B$2:$B$1960,MATCH(1957,'Transfer Engine'!$C$2:$C$1960,0)))</f>
        <v/>
      </c>
      <c r="C1966" s="8">
        <f>IF(ISNA(MATCH(1957,'Transfer Engine'!$C$2:$C$1960,0)),"",INDEX('Compliance Database'!$C$2:$C$1960,MATCH(1957,'Transfer Engine'!$C$2:$C$1960,0)))</f>
        <v/>
      </c>
      <c r="D1966" s="9">
        <f>IF(ISNA(MATCH(1957,'Transfer Engine'!$C$2:$C$1960,0)),"",INDEX('Compliance Database'!$D$2:$D$1960,MATCH(1957,'Transfer Engine'!$C$2:$C$1960,0)))</f>
        <v/>
      </c>
      <c r="E1966" s="8">
        <f>IF(ISNA(MATCH(1957,'Transfer Engine'!$C$2:$C$1960,0)),"",INDEX('Compliance Database'!$E$2:$E$1960,MATCH(1957,'Transfer Engine'!$C$2:$C$1960,0)))</f>
        <v/>
      </c>
      <c r="F1966" s="8">
        <f>IF(ISNA(MATCH(1957,'Transfer Engine'!$C$2:$C$1960,0)),"",INDEX('Compliance Database'!$F$2:$F$1960,MATCH(1957,'Transfer Engine'!$C$2:$C$1960,0)))</f>
        <v/>
      </c>
      <c r="G1966" s="8">
        <f>IF(ISNA(MATCH(1957,'Transfer Engine'!$C$2:$C$1960,0)),"",INDEX('Compliance Database'!$G$2:$G$1960,MATCH(1957,'Transfer Engine'!$C$2:$C$1960,0)))</f>
        <v/>
      </c>
      <c r="H1966" s="9">
        <f>IF(ISNA(MATCH(1957,'Transfer Engine'!$C$2:$C$1960,0)),"",INDEX('Compliance Database'!$H$2:$H$1960,MATCH(1957,'Transfer Engine'!$C$2:$C$1960,0)))</f>
        <v/>
      </c>
      <c r="I1966" s="9">
        <f>IF(ISNA(MATCH(1957,'Transfer Engine'!$C$2:$C$1960,0)),"",INDEX('Compliance Database'!$I$2:$I$1960,MATCH(1957,'Transfer Engine'!$C$2:$C$1960,0)))</f>
        <v/>
      </c>
      <c r="J1966" s="8">
        <f>IF(ISNA(MATCH(1957,'Transfer Engine'!$C$2:$C$1960,0)),"",INDEX('Compliance Database'!$J$2:$J$1960,MATCH(1957,'Transfer Engine'!$C$2:$C$1960,0)))</f>
        <v/>
      </c>
      <c r="K1966" s="9">
        <f>IF(ISNA(MATCH(1957,'Transfer Engine'!$C$2:$C$1960,0)),"",INDEX('Compliance Database'!$K$2:$K$1960,MATCH(1957,'Transfer Engine'!$C$2:$C$1960,0)))</f>
        <v/>
      </c>
      <c r="L1966" s="9">
        <f>IF(ISNA(MATCH(1957,'Transfer Engine'!$C$2:$C$1960,0)),"",INDEX('Compliance Database'!$L$2:$L$1960,MATCH(1957,'Transfer Engine'!$C$2:$C$1960,0)))</f>
        <v/>
      </c>
      <c r="M1966" s="9">
        <f>IF(ISNA(MATCH(1957,'Transfer Engine'!$C$2:$C$1960,0)),"",INDEX('Compliance Database'!$M$2:$M$1960,MATCH(1957,'Transfer Engine'!$C$2:$C$1960,0)))</f>
        <v/>
      </c>
      <c r="N1966" s="9">
        <f>IF(ISNA(MATCH(1957,'Transfer Engine'!$C$2:$C$1960,0)),"",INDEX('Compliance Database'!$N$2:$N$1960,MATCH(1957,'Transfer Engine'!$C$2:$C$1960,0)))</f>
        <v/>
      </c>
      <c r="O1966" s="9">
        <f>IF(ISNA(MATCH(1957,'Transfer Engine'!$C$2:$C$1960,0)),"",INDEX('Compliance Database'!$O$2:$O$1960,MATCH(1957,'Transfer Engine'!$C$2:$C$1960,0)))</f>
        <v/>
      </c>
      <c r="P1966" s="8">
        <f>IF(ISNA(MATCH(1957,'Transfer Engine'!$C$2:$C$1960,0)),"",HYPERLINK("#Acts!A"&amp;INDEX('Compliance Database'!$P$2:$P$1960,MATCH(1957,'Transfer Engine'!$C$2:$C$1960,0)),"Go to Act"))</f>
        <v/>
      </c>
    </row>
    <row r="1967" ht="158" customHeight="1">
      <c r="A1967" s="8">
        <f>IF(ISNA(MATCH(1958,'Transfer Engine'!$C$2:$C$1960,0)),"",INDEX('Compliance Database'!$A$2:$A$1960,MATCH(1958,'Transfer Engine'!$C$2:$C$1960,0)))</f>
        <v/>
      </c>
      <c r="B1967" s="8">
        <f>IF(ISNA(MATCH(1958,'Transfer Engine'!$C$2:$C$1960,0)),"",INDEX('Compliance Database'!$B$2:$B$1960,MATCH(1958,'Transfer Engine'!$C$2:$C$1960,0)))</f>
        <v/>
      </c>
      <c r="C1967" s="8">
        <f>IF(ISNA(MATCH(1958,'Transfer Engine'!$C$2:$C$1960,0)),"",INDEX('Compliance Database'!$C$2:$C$1960,MATCH(1958,'Transfer Engine'!$C$2:$C$1960,0)))</f>
        <v/>
      </c>
      <c r="D1967" s="9">
        <f>IF(ISNA(MATCH(1958,'Transfer Engine'!$C$2:$C$1960,0)),"",INDEX('Compliance Database'!$D$2:$D$1960,MATCH(1958,'Transfer Engine'!$C$2:$C$1960,0)))</f>
        <v/>
      </c>
      <c r="E1967" s="8">
        <f>IF(ISNA(MATCH(1958,'Transfer Engine'!$C$2:$C$1960,0)),"",INDEX('Compliance Database'!$E$2:$E$1960,MATCH(1958,'Transfer Engine'!$C$2:$C$1960,0)))</f>
        <v/>
      </c>
      <c r="F1967" s="8">
        <f>IF(ISNA(MATCH(1958,'Transfer Engine'!$C$2:$C$1960,0)),"",INDEX('Compliance Database'!$F$2:$F$1960,MATCH(1958,'Transfer Engine'!$C$2:$C$1960,0)))</f>
        <v/>
      </c>
      <c r="G1967" s="8">
        <f>IF(ISNA(MATCH(1958,'Transfer Engine'!$C$2:$C$1960,0)),"",INDEX('Compliance Database'!$G$2:$G$1960,MATCH(1958,'Transfer Engine'!$C$2:$C$1960,0)))</f>
        <v/>
      </c>
      <c r="H1967" s="9">
        <f>IF(ISNA(MATCH(1958,'Transfer Engine'!$C$2:$C$1960,0)),"",INDEX('Compliance Database'!$H$2:$H$1960,MATCH(1958,'Transfer Engine'!$C$2:$C$1960,0)))</f>
        <v/>
      </c>
      <c r="I1967" s="9">
        <f>IF(ISNA(MATCH(1958,'Transfer Engine'!$C$2:$C$1960,0)),"",INDEX('Compliance Database'!$I$2:$I$1960,MATCH(1958,'Transfer Engine'!$C$2:$C$1960,0)))</f>
        <v/>
      </c>
      <c r="J1967" s="8">
        <f>IF(ISNA(MATCH(1958,'Transfer Engine'!$C$2:$C$1960,0)),"",INDEX('Compliance Database'!$J$2:$J$1960,MATCH(1958,'Transfer Engine'!$C$2:$C$1960,0)))</f>
        <v/>
      </c>
      <c r="K1967" s="9">
        <f>IF(ISNA(MATCH(1958,'Transfer Engine'!$C$2:$C$1960,0)),"",INDEX('Compliance Database'!$K$2:$K$1960,MATCH(1958,'Transfer Engine'!$C$2:$C$1960,0)))</f>
        <v/>
      </c>
      <c r="L1967" s="9">
        <f>IF(ISNA(MATCH(1958,'Transfer Engine'!$C$2:$C$1960,0)),"",INDEX('Compliance Database'!$L$2:$L$1960,MATCH(1958,'Transfer Engine'!$C$2:$C$1960,0)))</f>
        <v/>
      </c>
      <c r="M1967" s="9">
        <f>IF(ISNA(MATCH(1958,'Transfer Engine'!$C$2:$C$1960,0)),"",INDEX('Compliance Database'!$M$2:$M$1960,MATCH(1958,'Transfer Engine'!$C$2:$C$1960,0)))</f>
        <v/>
      </c>
      <c r="N1967" s="9">
        <f>IF(ISNA(MATCH(1958,'Transfer Engine'!$C$2:$C$1960,0)),"",INDEX('Compliance Database'!$N$2:$N$1960,MATCH(1958,'Transfer Engine'!$C$2:$C$1960,0)))</f>
        <v/>
      </c>
      <c r="O1967" s="9">
        <f>IF(ISNA(MATCH(1958,'Transfer Engine'!$C$2:$C$1960,0)),"",INDEX('Compliance Database'!$O$2:$O$1960,MATCH(1958,'Transfer Engine'!$C$2:$C$1960,0)))</f>
        <v/>
      </c>
      <c r="P1967" s="8">
        <f>IF(ISNA(MATCH(1958,'Transfer Engine'!$C$2:$C$1960,0)),"",HYPERLINK("#Acts!A"&amp;INDEX('Compliance Database'!$P$2:$P$1960,MATCH(1958,'Transfer Engine'!$C$2:$C$1960,0)),"Go to Act"))</f>
        <v/>
      </c>
    </row>
    <row r="1968" ht="158" customHeight="1">
      <c r="A1968" s="8">
        <f>IF(ISNA(MATCH(1959,'Transfer Engine'!$C$2:$C$1960,0)),"",INDEX('Compliance Database'!$A$2:$A$1960,MATCH(1959,'Transfer Engine'!$C$2:$C$1960,0)))</f>
        <v/>
      </c>
      <c r="B1968" s="8">
        <f>IF(ISNA(MATCH(1959,'Transfer Engine'!$C$2:$C$1960,0)),"",INDEX('Compliance Database'!$B$2:$B$1960,MATCH(1959,'Transfer Engine'!$C$2:$C$1960,0)))</f>
        <v/>
      </c>
      <c r="C1968" s="8">
        <f>IF(ISNA(MATCH(1959,'Transfer Engine'!$C$2:$C$1960,0)),"",INDEX('Compliance Database'!$C$2:$C$1960,MATCH(1959,'Transfer Engine'!$C$2:$C$1960,0)))</f>
        <v/>
      </c>
      <c r="D1968" s="9">
        <f>IF(ISNA(MATCH(1959,'Transfer Engine'!$C$2:$C$1960,0)),"",INDEX('Compliance Database'!$D$2:$D$1960,MATCH(1959,'Transfer Engine'!$C$2:$C$1960,0)))</f>
        <v/>
      </c>
      <c r="E1968" s="8">
        <f>IF(ISNA(MATCH(1959,'Transfer Engine'!$C$2:$C$1960,0)),"",INDEX('Compliance Database'!$E$2:$E$1960,MATCH(1959,'Transfer Engine'!$C$2:$C$1960,0)))</f>
        <v/>
      </c>
      <c r="F1968" s="8">
        <f>IF(ISNA(MATCH(1959,'Transfer Engine'!$C$2:$C$1960,0)),"",INDEX('Compliance Database'!$F$2:$F$1960,MATCH(1959,'Transfer Engine'!$C$2:$C$1960,0)))</f>
        <v/>
      </c>
      <c r="G1968" s="8">
        <f>IF(ISNA(MATCH(1959,'Transfer Engine'!$C$2:$C$1960,0)),"",INDEX('Compliance Database'!$G$2:$G$1960,MATCH(1959,'Transfer Engine'!$C$2:$C$1960,0)))</f>
        <v/>
      </c>
      <c r="H1968" s="9">
        <f>IF(ISNA(MATCH(1959,'Transfer Engine'!$C$2:$C$1960,0)),"",INDEX('Compliance Database'!$H$2:$H$1960,MATCH(1959,'Transfer Engine'!$C$2:$C$1960,0)))</f>
        <v/>
      </c>
      <c r="I1968" s="9">
        <f>IF(ISNA(MATCH(1959,'Transfer Engine'!$C$2:$C$1960,0)),"",INDEX('Compliance Database'!$I$2:$I$1960,MATCH(1959,'Transfer Engine'!$C$2:$C$1960,0)))</f>
        <v/>
      </c>
      <c r="J1968" s="8">
        <f>IF(ISNA(MATCH(1959,'Transfer Engine'!$C$2:$C$1960,0)),"",INDEX('Compliance Database'!$J$2:$J$1960,MATCH(1959,'Transfer Engine'!$C$2:$C$1960,0)))</f>
        <v/>
      </c>
      <c r="K1968" s="9">
        <f>IF(ISNA(MATCH(1959,'Transfer Engine'!$C$2:$C$1960,0)),"",INDEX('Compliance Database'!$K$2:$K$1960,MATCH(1959,'Transfer Engine'!$C$2:$C$1960,0)))</f>
        <v/>
      </c>
      <c r="L1968" s="9">
        <f>IF(ISNA(MATCH(1959,'Transfer Engine'!$C$2:$C$1960,0)),"",INDEX('Compliance Database'!$L$2:$L$1960,MATCH(1959,'Transfer Engine'!$C$2:$C$1960,0)))</f>
        <v/>
      </c>
      <c r="M1968" s="9">
        <f>IF(ISNA(MATCH(1959,'Transfer Engine'!$C$2:$C$1960,0)),"",INDEX('Compliance Database'!$M$2:$M$1960,MATCH(1959,'Transfer Engine'!$C$2:$C$1960,0)))</f>
        <v/>
      </c>
      <c r="N1968" s="9">
        <f>IF(ISNA(MATCH(1959,'Transfer Engine'!$C$2:$C$1960,0)),"",INDEX('Compliance Database'!$N$2:$N$1960,MATCH(1959,'Transfer Engine'!$C$2:$C$1960,0)))</f>
        <v/>
      </c>
      <c r="O1968" s="9">
        <f>IF(ISNA(MATCH(1959,'Transfer Engine'!$C$2:$C$1960,0)),"",INDEX('Compliance Database'!$O$2:$O$1960,MATCH(1959,'Transfer Engine'!$C$2:$C$1960,0)))</f>
        <v/>
      </c>
      <c r="P1968" s="8">
        <f>IF(ISNA(MATCH(1959,'Transfer Engine'!$C$2:$C$1960,0)),"",HYPERLINK("#Acts!A"&amp;INDEX('Compliance Database'!$P$2:$P$1960,MATCH(1959,'Transfer Engine'!$C$2:$C$1960,0)),"Go to Act"))</f>
        <v/>
      </c>
    </row>
  </sheetData>
  <mergeCells count="1">
    <mergeCell ref="A1:D1"/>
  </mergeCells>
  <dataValidations count="2">
    <dataValidation sqref="B4" showDropDown="0" showInputMessage="0" showErrorMessage="0" allowBlank="1" type="list">
      <formula1>Lists!$A$3:$A$9</formula1>
    </dataValidation>
    <dataValidation sqref="B5" showDropDown="0" showInputMessage="0" showErrorMessage="0" allowBlank="1" type="list">
      <formula1>Lists!$A$3:$A$9</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1960"/>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6" customWidth="1" min="3" max="3"/>
    <col width="45" customWidth="1" min="4" max="4"/>
    <col width="12" customWidth="1" min="5" max="5"/>
    <col width="21" customWidth="1" min="6" max="6"/>
    <col width="31" customWidth="1" min="7" max="7"/>
    <col width="45" customWidth="1" min="8" max="8"/>
    <col width="45" customWidth="1" min="9" max="9"/>
    <col width="60" customWidth="1" min="10" max="10"/>
    <col width="45" customWidth="1" min="11" max="11"/>
    <col width="45" customWidth="1" min="12" max="12"/>
    <col width="78" customWidth="1" min="13" max="13"/>
    <col width="78" customWidth="1" min="14" max="14"/>
    <col width="45" customWidth="1" min="15" max="15"/>
    <col width="12" customWidth="1" min="16" max="16"/>
  </cols>
  <sheetData>
    <row r="1">
      <c r="A1" s="10" t="inlineStr">
        <is>
          <t>Country</t>
        </is>
      </c>
      <c r="B1" s="10" t="inlineStr">
        <is>
          <t>Act</t>
        </is>
      </c>
      <c r="C1" s="10" t="inlineStr">
        <is>
          <t>Section</t>
        </is>
      </c>
      <c r="D1" s="10" t="inlineStr">
        <is>
          <t>Heading</t>
        </is>
      </c>
      <c r="E1" s="10" t="inlineStr">
        <is>
          <t>Pages</t>
        </is>
      </c>
      <c r="F1" s="10" t="inlineStr">
        <is>
          <t>Financial Relevance</t>
        </is>
      </c>
      <c r="G1" s="10" t="inlineStr">
        <is>
          <t>Confidence</t>
        </is>
      </c>
      <c r="H1" s="10" t="inlineStr">
        <is>
          <t>Topics</t>
        </is>
      </c>
      <c r="I1" s="10" t="inlineStr">
        <is>
          <t>Data Types</t>
        </is>
      </c>
      <c r="J1" s="10" t="inlineStr">
        <is>
          <t>Authority</t>
        </is>
      </c>
      <c r="K1" s="10" t="inlineStr">
        <is>
          <t>Summary</t>
        </is>
      </c>
      <c r="L1" s="10" t="inlineStr">
        <is>
          <t>DTIA Summary</t>
        </is>
      </c>
      <c r="M1" s="10" t="inlineStr">
        <is>
          <t>Requirements</t>
        </is>
      </c>
      <c r="N1" s="10" t="inlineStr">
        <is>
          <t>Requirements (2)</t>
        </is>
      </c>
      <c r="O1" s="10" t="inlineStr">
        <is>
          <t>Source Quote</t>
        </is>
      </c>
      <c r="P1" s="10" t="inlineStr">
        <is>
          <t>Source</t>
        </is>
      </c>
    </row>
    <row r="2">
      <c r="A2" t="inlineStr">
        <is>
          <t>Australia</t>
        </is>
      </c>
      <c r="B2" t="inlineStr">
        <is>
          <t>C2004A01182 (Australia - Row 25)</t>
        </is>
      </c>
      <c r="C2" t="inlineStr">
        <is>
          <t>4</t>
        </is>
      </c>
      <c r="D2" s="11" t="inlineStr">
        <is>
          <t>Amendment of Vocational Education and Training Funding Act 1992</t>
        </is>
      </c>
      <c r="E2" t="inlineStr">
        <is>
          <t>3–10</t>
        </is>
      </c>
      <c r="F2" t="inlineStr">
        <is>
          <t>Medium</t>
        </is>
      </c>
      <c r="G2" t="inlineStr">
        <is>
          <t>High (explicit)</t>
        </is>
      </c>
      <c r="H2" s="11" t="inlineStr">
        <is>
          <t>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2" s="11" t="inlineStr">
        <is>
          <t>Personal Information, Financial Data, Customer Data, Employee Data, Health Data, Children's Data, Biometric Data, Special Personal Information</t>
        </is>
      </c>
      <c r="J2" t="inlineStr"/>
      <c r="K2" s="11" t="inlineStr">
        <is>
          <t>This section amends the Australian National Training Authority Act 1992 by altering membership requirements and definitions within the Australian National Training Authority (ANTA) Agreement. It specifies changes to the number of members, the structure of the agreement, and the procedures for presenting and publishing the agreement to Parliament. The amendments aim to update the ANTA Agreement to replace the 2001-2003 version with a new agreement framework effective from 2004.</t>
        </is>
      </c>
      <c r="L2" s="11" t="inlineStr"/>
      <c r="M2" s="11" t="inlineStr">
        <is>
          <t>• [Must] Omit '5', substitute '7' in paragraph 24(1)(c)
• [Must] Omit '3', substitute '4' in subsection 24(2)
• [Must] Omit '4 members', substitute '5 members' in subsections 36(3) and (5)
• [Must] Omit '4', substitute '5' in section 38
• [Must] Repeal the definition of Agreement, substitute a new definition
• [Must] Insert subsection 18A: Present agreement to Parliament within 15 sitting days</t>
        </is>
      </c>
      <c r="N2" s="11" t="inlineStr">
        <is>
          <t>• [Must] Insert subsection 18B: Publish agreement on website within 15 sitting days
• [Must] Repeal Schedule 1
• [Must] Savings provisions for Ministerial Council actions and decisions
• [Must] Before 'ANTA agreement', insert 'applicable' in subsection 9AB(1)
• [Must] Repeal subsection 9AB(3), substitute new definition of applicable ANTA agreement</t>
        </is>
      </c>
      <c r="O2" s="11" t="inlineStr">
        <is>
          <t>Australian National Training Authority Amendment Act 2003, 2003</t>
        </is>
      </c>
      <c r="P2" s="12" t="n">
        <v>2</v>
      </c>
    </row>
    <row r="3">
      <c r="A3" t="inlineStr">
        <is>
          <t>Australia</t>
        </is>
      </c>
      <c r="B3" t="inlineStr">
        <is>
          <t>C2004C01271-1 (Australia - Row 7)</t>
        </is>
      </c>
      <c r="C3" t="inlineStr">
        <is>
          <t>7</t>
        </is>
      </c>
      <c r="D3" s="11" t="inlineStr">
        <is>
          <t>Tax deductions for film licensed investment company shares</t>
        </is>
      </c>
      <c r="E3" t="inlineStr">
        <is>
          <t>3–11</t>
        </is>
      </c>
      <c r="F3" t="inlineStr">
        <is>
          <t>Medium</t>
        </is>
      </c>
      <c r="G3" t="inlineStr">
        <is>
          <t>High (explicit)</t>
        </is>
      </c>
      <c r="H3" s="11" t="inlineStr">
        <is>
          <t>Financial Data, Customer Information, Employee Information</t>
        </is>
      </c>
      <c r="I3" s="11" t="inlineStr">
        <is>
          <t>Financial Data</t>
        </is>
      </c>
      <c r="J3" t="inlineStr">
        <is>
          <t>Arts Minister</t>
        </is>
      </c>
      <c r="K3" s="11" t="inlineStr">
        <is>
          <t>This section amends the Taxation Laws to allow deductions for shares in film licensed investment companies (FLICs) issued during the period the FLIC's concessional capital licence is active. Deductions apply only to shares issued before July 1, 2000, and are subject to specific conditions regarding the FLIC's licence status and the timing of share issuance. The deduction is available to individuals and partnerships holding shares in FLICs, with special rules for partners and partnerships.</t>
        </is>
      </c>
      <c r="L3" s="11" t="inlineStr"/>
      <c r="M3" s="11" t="inlineStr">
        <is>
          <t>• [Must] You can deduct money paid for shares in a film licensed investment company issued to you by the FLIC during the period the FLIC's concessional capital licence is in force.
• [Definition] A film licensed investment company is a company granted a licence to raise concessional capital under the Film Licensed Investment Company Act 1998.
• [Must Not] You lose entitlement to the deduction if the Arts Minister decides to remove the concessional status of your shares.</t>
        </is>
      </c>
      <c r="N3" s="11" t="inlineStr">
        <is>
          <t>• [Must Not] You lose entitlement to the deduction if the Commissioner is satisfied the FLIC breached conditions under the Film Licensed Investment Company Act 1998 and the Arts Minister has not acted within 6 months.
• [Must] The Commissioner must notify the Arts Minister within 28 days if the Commissioner is satisfied of the matters in subsection (2).
• [May] If you lose entitlement after claiming the deduction, your assessment may be amended to disallow the deduction.</t>
        </is>
      </c>
      <c r="O3" s="11" t="inlineStr">
        <is>
          <t>You can deduct amounts you have paid for shares issued to you by a film licensed investment company (FLIC). The deduction does not apply to shares issued after 1 July 2000.</t>
        </is>
      </c>
      <c r="P3" s="12" t="n">
        <v>3</v>
      </c>
    </row>
    <row r="4">
      <c r="A4" t="inlineStr">
        <is>
          <t>Australia</t>
        </is>
      </c>
      <c r="B4" t="inlineStr">
        <is>
          <t>C2012C00866 (Australia - Row 12)</t>
        </is>
      </c>
      <c r="C4" t="inlineStr">
        <is>
          <t>2</t>
        </is>
      </c>
      <c r="D4" s="11" t="inlineStr">
        <is>
          <t>Schedule 1 commencement timing</t>
        </is>
      </c>
      <c r="E4" t="inlineStr">
        <is>
          <t>5</t>
        </is>
      </c>
      <c r="F4" t="inlineStr">
        <is>
          <t>None</t>
        </is>
      </c>
      <c r="G4" t="inlineStr">
        <is>
          <t>High (explicit)</t>
        </is>
      </c>
      <c r="H4" s="11" t="inlineStr"/>
      <c r="I4" s="11" t="inlineStr"/>
      <c r="J4" t="inlineStr"/>
      <c r="K4" s="11" t="inlineStr">
        <is>
          <t>This section specifies the commencement date for Schedule 1 of the Act. It states that Schedule 1 commences immediately after section 3 of the Australian Information Commissioner Act 2010 commences, with a fallback date of 1 November 2010 if section 3 does not commence. The provision is conditional on the commencement of section 3.</t>
        </is>
      </c>
      <c r="L4" s="11" t="inlineStr"/>
      <c r="M4" s="11" t="inlineStr">
        <is>
          <t>• [Condition] Schedule 1 commences immediately after section 3 of the Australian Information Commissioner Act 2010 commences</t>
        </is>
      </c>
      <c r="N4" s="11" t="inlineStr">
        <is>
          <t>• [Condition] If section 3 of the Australian Information Commissioner Act 2010 does not commence, Schedule 1 does not commence at all</t>
        </is>
      </c>
      <c r="O4" s="11" t="inlineStr">
        <is>
          <t>2. Schedule 1 Immediately after the commencement of section 3 of the Australian Information Commissioner Act 2010. However, if section 3 of the Australian Information Commissioner Act 2010 does not commence, the provision(s) do not commence at all.</t>
        </is>
      </c>
      <c r="P4" s="12" t="n">
        <v>4</v>
      </c>
    </row>
    <row r="5">
      <c r="A5" t="inlineStr">
        <is>
          <t>Australia</t>
        </is>
      </c>
      <c r="B5" t="inlineStr">
        <is>
          <t>C2012C00866 (Australia - Row 12)</t>
        </is>
      </c>
      <c r="C5" t="inlineStr">
        <is>
          <t>3</t>
        </is>
      </c>
      <c r="D5" s="11" t="inlineStr">
        <is>
          <t>Schedule 2 commencement timing</t>
        </is>
      </c>
      <c r="E5" t="inlineStr">
        <is>
          <t>5–6</t>
        </is>
      </c>
      <c r="F5" t="inlineStr">
        <is>
          <t>None</t>
        </is>
      </c>
      <c r="G5" t="inlineStr">
        <is>
          <t>High (explicit)</t>
        </is>
      </c>
      <c r="H5" s="11" t="inlineStr"/>
      <c r="I5" s="11" t="inlineStr"/>
      <c r="J5" t="inlineStr"/>
      <c r="K5" s="11" t="inlineStr">
        <is>
          <t>This section specifies the commencement date for Schedule 2 of the Act. It states that Schedule 2 commences the day after the end of a 6-month period beginning from the commencement date of section 3 of the Australian Information Commissioner Act 2010, with a fallback date of 1 May 2011 if section 3 does not commence. The provision is conditional on the commencement of section 3.</t>
        </is>
      </c>
      <c r="L5" s="11" t="inlineStr"/>
      <c r="M5" s="11" t="inlineStr">
        <is>
          <t>• [Condition] Schedule 2 commences the day after the end of the period of 6 months beginning on the day section 3 of the Australian Information Commissioner Act 2010 commences</t>
        </is>
      </c>
      <c r="N5" s="11" t="inlineStr">
        <is>
          <t>• [Condition] If section 3 of the Australian Information Commissioner Act 2010 does not commence, Schedule 2 does not commence at all</t>
        </is>
      </c>
      <c r="O5" s="11" t="inlineStr">
        <is>
          <t>3. Schedule 2 The day after the end of the period of 6 months beginning on the day section 3 of the Australian Information Commissioner Act 2010 commences. However, if section 3 of the Australian Information Commissioner Act 2010 does not commence, the provision(s) do not commence at all.</t>
        </is>
      </c>
      <c r="P5" s="12" t="n">
        <v>4</v>
      </c>
    </row>
    <row r="6">
      <c r="A6" t="inlineStr">
        <is>
          <t>Australia</t>
        </is>
      </c>
      <c r="B6" t="inlineStr">
        <is>
          <t>C2012C00866 (Australia - Row 12)</t>
        </is>
      </c>
      <c r="C6" t="inlineStr">
        <is>
          <t>4</t>
        </is>
      </c>
      <c r="D6" s="11" t="inlineStr">
        <is>
          <t>Schedule 3 items 1-14 commencement timing</t>
        </is>
      </c>
      <c r="E6" t="inlineStr">
        <is>
          <t>6</t>
        </is>
      </c>
      <c r="F6" t="inlineStr">
        <is>
          <t>None</t>
        </is>
      </c>
      <c r="G6" t="inlineStr">
        <is>
          <t>High (explicit)</t>
        </is>
      </c>
      <c r="H6" s="11" t="inlineStr"/>
      <c r="I6" s="11" t="inlineStr"/>
      <c r="J6" t="inlineStr"/>
      <c r="K6" s="11" t="inlineStr">
        <is>
          <t>This section specifies the commencement date for items 1 to 14 of Schedule 3. It states that these items commence immediately after section 3 of the Australian Information Commissioner Act 2010 commences, with a fallback date of 1 November 2010 if section 3 does not commence. The provision is conditional on the commencement of section 3.</t>
        </is>
      </c>
      <c r="L6" s="11" t="inlineStr"/>
      <c r="M6" s="11" t="inlineStr">
        <is>
          <t>• [Condition] Items 1 to 14 of Schedule 3 commence immediately after section 3 of the Australian Information Commissioner Act 2010 commences</t>
        </is>
      </c>
      <c r="N6" s="11" t="inlineStr">
        <is>
          <t>• [Condition] If section 3 of the Australian Information Commissioner Act 2010 does not commence, items 1 to 14 of Schedule 3 do not commence at all</t>
        </is>
      </c>
      <c r="O6" s="11" t="inlineStr">
        <is>
          <t>4. Schedule 3, items 1 to 14 Immediately after the commencement of section 3 of the Australian Information Commissioner Act 2010. However, if section 3 of the Australian Information Commissioner Act 2010 does not commence, the provision(s) do not commence at all.</t>
        </is>
      </c>
      <c r="P6" s="12" t="n">
        <v>4</v>
      </c>
    </row>
    <row r="7">
      <c r="A7" t="inlineStr">
        <is>
          <t>Australia</t>
        </is>
      </c>
      <c r="B7" t="inlineStr">
        <is>
          <t>C2012C00866 (Australia - Row 12)</t>
        </is>
      </c>
      <c r="C7" t="inlineStr">
        <is>
          <t>5</t>
        </is>
      </c>
      <c r="D7" s="11" t="inlineStr">
        <is>
          <t>Schedule 3 item 15 commencement timing</t>
        </is>
      </c>
      <c r="E7" t="inlineStr">
        <is>
          <t>6</t>
        </is>
      </c>
      <c r="F7" t="inlineStr">
        <is>
          <t>None</t>
        </is>
      </c>
      <c r="G7" t="inlineStr">
        <is>
          <t>High (explicit)</t>
        </is>
      </c>
      <c r="H7" s="11" t="inlineStr"/>
      <c r="I7" s="11" t="inlineStr"/>
      <c r="J7" t="inlineStr"/>
      <c r="K7" s="11" t="inlineStr">
        <is>
          <t>This section specifies the commencement date for item 15 of Schedule 3. It states that this item commences the day after the end of a 6-month period beginning from the commencement date of section 3 of the Australian Information Commissioner Act 2010, with a fallback date of 1 May 2011 if section 3 does not commence. The provision is conditional on the commencement of section 3.</t>
        </is>
      </c>
      <c r="L7" s="11" t="inlineStr"/>
      <c r="M7" s="11" t="inlineStr">
        <is>
          <t>• [Condition] Item 15 of Schedule 3 commences the day after the end of the period of 6 months beginning on the day section 3 of the Australian Information Commissioner Act 2010 commences</t>
        </is>
      </c>
      <c r="N7" s="11" t="inlineStr">
        <is>
          <t>• [Condition] If section 3 of the Australian Information Commissioner Act 2010 does not commence, item 15 of Schedule 3 does not commence at all</t>
        </is>
      </c>
      <c r="O7" s="11" t="inlineStr">
        <is>
          <t>5. Schedule 3, item 15 The day after the end of the period of 6 months beginning on the day section 3 of the Australian Information Commissioner Act 2010 commences. However, if section 3 of the Australian Information Commissioner Act 2010 does not commence, the provision(s) do not commence at all.</t>
        </is>
      </c>
      <c r="P7" s="12" t="n">
        <v>4</v>
      </c>
    </row>
    <row r="8">
      <c r="A8" t="inlineStr">
        <is>
          <t>Australia</t>
        </is>
      </c>
      <c r="B8" t="inlineStr">
        <is>
          <t>C2012C00866 (Australia - Row 12)</t>
        </is>
      </c>
      <c r="C8" t="inlineStr">
        <is>
          <t>6</t>
        </is>
      </c>
      <c r="D8" s="11" t="inlineStr">
        <is>
          <t>Schedule 3 items 16-40 commencement timing</t>
        </is>
      </c>
      <c r="E8" t="inlineStr">
        <is>
          <t>6</t>
        </is>
      </c>
      <c r="F8" t="inlineStr">
        <is>
          <t>None</t>
        </is>
      </c>
      <c r="G8" t="inlineStr">
        <is>
          <t>High (explicit)</t>
        </is>
      </c>
      <c r="H8" s="11" t="inlineStr"/>
      <c r="I8" s="11" t="inlineStr"/>
      <c r="J8" t="inlineStr"/>
      <c r="K8" s="11" t="inlineStr">
        <is>
          <t>This section specifies the commencement date for items 16 to 40 of Schedule 3. It states that these items commence immediately after section 3 of the Australian Information Commissioner Act 2010 commences, with a fallback date of 1 November 2010 if section 3 does not commence. The provision is conditional on the commencement of section 3.</t>
        </is>
      </c>
      <c r="L8" s="11" t="inlineStr"/>
      <c r="M8" s="11" t="inlineStr">
        <is>
          <t>• [Condition] Items 16 to 40 of Schedule 3 commence immediately after section 3 of the Australian Information Commissioner Act 2010 commences</t>
        </is>
      </c>
      <c r="N8" s="11" t="inlineStr">
        <is>
          <t>• [Condition] If section 3 of the Australian Information Commissioner Act 2010 does not commence, items 16 to 40 of Schedule 3 do not commence at all</t>
        </is>
      </c>
      <c r="O8" s="11" t="inlineStr">
        <is>
          <t>6. Schedule 3, items 16 to 40 Immediately after the commencement of section 3 of the Australian Information Commissioner Act 2010. However, if section 3 of the Australian Information Commissioner Act 2010 does not commence, the provision(s) do not commence at all.</t>
        </is>
      </c>
      <c r="P8" s="12" t="n">
        <v>4</v>
      </c>
    </row>
    <row r="9">
      <c r="A9" t="inlineStr">
        <is>
          <t>Australia</t>
        </is>
      </c>
      <c r="B9" t="inlineStr">
        <is>
          <t>C2012C00866 (Australia - Row 12)</t>
        </is>
      </c>
      <c r="C9" t="inlineStr">
        <is>
          <t>7</t>
        </is>
      </c>
      <c r="D9" s="11" t="inlineStr">
        <is>
          <t>Schedules 4-7 commencement timing</t>
        </is>
      </c>
      <c r="E9" t="inlineStr">
        <is>
          <t>6–14</t>
        </is>
      </c>
      <c r="F9" t="inlineStr">
        <is>
          <t>None</t>
        </is>
      </c>
      <c r="G9" t="inlineStr">
        <is>
          <t>High (explicit)</t>
        </is>
      </c>
      <c r="H9" s="11" t="inlineStr"/>
      <c r="I9" s="11" t="inlineStr"/>
      <c r="J9" t="inlineStr"/>
      <c r="K9" s="11" t="inlineStr">
        <is>
          <t>This section specifies the commencement date for Schedules 4 to 7. It states that these schedules commence immediately after section 3 of the Australian Information Commissioner Act 2010 commences, with a fallback date of 1 November 2010 if section 3 does not commence. The provision is conditional on the commencement of section 3.</t>
        </is>
      </c>
      <c r="L9" s="11" t="inlineStr"/>
      <c r="M9" s="11" t="inlineStr">
        <is>
          <t>• [Condition] Schedules 4 to 7 commence immediately after section 3 of the Australian Information Commissioner Act 2010 commences</t>
        </is>
      </c>
      <c r="N9" s="11" t="inlineStr">
        <is>
          <t>• [Condition] If section 3 of the Australian Information Commissioner Act 2010 does not commence, Schedules 4 to 7 do not commence at all</t>
        </is>
      </c>
      <c r="O9" s="11" t="inlineStr">
        <is>
          <t>7. Schedules 4 to 7 Immediately after the commencement of section 3 of the Australian Information Commissioner Act 2010. However, if section 3 of the Australian Information Commissioner Act 2010 does not commence, the provision(s) do not commence at all.</t>
        </is>
      </c>
      <c r="P9" s="12" t="n">
        <v>4</v>
      </c>
    </row>
    <row r="10">
      <c r="A10" t="inlineStr">
        <is>
          <t>Australia</t>
        </is>
      </c>
      <c r="B10" t="inlineStr">
        <is>
          <t>C2012C00866 (Australia - Row 12)</t>
        </is>
      </c>
      <c r="C10" t="inlineStr">
        <is>
          <t>7 (part 2)</t>
        </is>
      </c>
      <c r="D10" s="11" t="inlineStr">
        <is>
          <t>Publication of information requirements for agencies</t>
        </is>
      </c>
      <c r="E10" t="inlineStr">
        <is>
          <t>14–20</t>
        </is>
      </c>
      <c r="F10" t="inlineStr">
        <is>
          <t>Medium</t>
        </is>
      </c>
      <c r="G10" t="inlineStr">
        <is>
          <t>High (explicit)</t>
        </is>
      </c>
      <c r="H10" s="11" t="inlineStr"/>
      <c r="I10" s="11" t="inlineStr">
        <is>
          <t>Personal Information</t>
        </is>
      </c>
      <c r="J10" t="inlineStr">
        <is>
          <t>Information Commissioner</t>
        </is>
      </c>
      <c r="K10" s="11" t="inlineStr">
        <is>
          <t>Agencies must publish required information to the public generally, with optional publication to specific groups. Information must be accessible via website downloads or links. Agencies may charge for access only if the person doesn't download directly and the charge covers specific reproduction costs. Charges must be published alongside the information. The Information Commissioner may assist agencies with identifying and preparing information for publication.</t>
        </is>
      </c>
      <c r="L10" s="11" t="inlineStr">
        <is>
          <t>Requires agencies to publish information publicly via websites, with specific conditions on charges and access. Relevant for assessing how information is shared across borders when agencies publish data.</t>
        </is>
      </c>
      <c r="M10" s="11" t="inlineStr">
        <is>
          <t>• [Must] Agency must publish information required or permitted under this Part to members of the public generally
• [Must] Agency must publish information to particular classes of persons or entities if appropriate
• [Must] Agency must publish information on website by making available for download or providing links to download
• [May] Agency may impose charge for accessing information only if person does not download directly</t>
        </is>
      </c>
      <c r="N10" s="11" t="inlineStr">
        <is>
          <t>• [Must] Agency may impose charge only if charge covers specific reproduction costs
• [Must] Agency must publish details of charge in same way as information is published
• [May] Information Commissioner may provide assistance to agencies in identifying and preparing information for publication
• [May] Information Commissioner may determine how information is published</t>
        </is>
      </c>
      <c r="O10" s="11" t="inlineStr">
        <is>
          <t>An agency must publish information that is required or permitted to be published under this Part in accordance with this section. The agency must publish the information: (a) to members of the public generally; and (b) if the agency considers that it is appropriate to do so—to particular classes of persons or entities.</t>
        </is>
      </c>
      <c r="P10" s="12" t="n">
        <v>4</v>
      </c>
    </row>
    <row r="11">
      <c r="A11" t="inlineStr">
        <is>
          <t>Australia</t>
        </is>
      </c>
      <c r="B11" t="inlineStr">
        <is>
          <t>C2012C00866 (Australia - Row 12)</t>
        </is>
      </c>
      <c r="C11" t="inlineStr">
        <is>
          <t>7 (part 3)</t>
        </is>
      </c>
      <c r="D11" s="11" t="inlineStr">
        <is>
          <t>Exemptions for information access periods</t>
        </is>
      </c>
      <c r="E11" t="inlineStr">
        <is>
          <t>20–26</t>
        </is>
      </c>
      <c r="F11" t="inlineStr">
        <is>
          <t>Low</t>
        </is>
      </c>
      <c r="G11" t="inlineStr">
        <is>
          <t>High (explicit)</t>
        </is>
      </c>
      <c r="H11" s="11" t="inlineStr">
        <is>
          <t>Retention</t>
        </is>
      </c>
      <c r="I11" s="11" t="inlineStr"/>
      <c r="J11" t="inlineStr"/>
      <c r="K11" s="11" t="inlineStr">
        <is>
          <t>This section amends the open access periods for records and Cabinet notebooks. It reduces the standard open access period from 25 to 15 years for most records, with specific calculations for different record creation years. Cabinet notebooks have different open access periods, with some requiring 31 years after creation for full access.</t>
        </is>
      </c>
      <c r="L11" s="11" t="inlineStr">
        <is>
          <t>Sets specific timeframes for when government records become publicly accessible after creation, relevant for data retention and publication timelines in cross-border contexts.</t>
        </is>
      </c>
      <c r="M11" s="11" t="inlineStr">
        <is>
          <t>• [Must] Open access period for records: 15 years after creation for records from 2000 onwards
• [Must] Open access period for records: 21 years after creation for records from 2001 onwards</t>
        </is>
      </c>
      <c r="N11" s="11" t="inlineStr">
        <is>
          <t>• [Must] Open access period for Cabinet notebooks: 31 years after creation for records from 1991 onwards</t>
        </is>
      </c>
      <c r="O11" s="11" t="inlineStr">
        <is>
          <t>For the purposes of this Act, subject to sections 22A and 22B, work out when a record is in the open access period in accordance with the following table: Open access period for records Item If the record came into existence in any of the following years (ending on 31 December): the record is in the open access period on and after the following day: 13 a year (the creation year) after 2000 1 January in the year that is 21 years after the creation year.</t>
        </is>
      </c>
      <c r="P11" s="12" t="n">
        <v>4</v>
      </c>
    </row>
    <row r="12">
      <c r="A12" t="inlineStr">
        <is>
          <t>Australia</t>
        </is>
      </c>
      <c r="B12" t="inlineStr">
        <is>
          <t>C2012C00866 (Australia - Row 12)</t>
        </is>
      </c>
      <c r="C12" t="inlineStr">
        <is>
          <t>7 (part 4)</t>
        </is>
      </c>
      <c r="D12" s="11" t="inlineStr">
        <is>
          <t>Exemptions for information disclosure requests</t>
        </is>
      </c>
      <c r="E12" t="inlineStr">
        <is>
          <t>26–32</t>
        </is>
      </c>
      <c r="F12" t="inlineStr">
        <is>
          <t>Low</t>
        </is>
      </c>
      <c r="G12" t="inlineStr">
        <is>
          <t>High (explicit)</t>
        </is>
      </c>
      <c r="H12" s="11" t="inlineStr"/>
      <c r="I12" s="11" t="inlineStr">
        <is>
          <t>Personal Information</t>
        </is>
      </c>
      <c r="J12" t="inlineStr">
        <is>
          <t>Information Commissioner</t>
        </is>
      </c>
      <c r="K12" s="11" t="inlineStr">
        <is>
          <t>This section outlines conditions under which agencies or Ministers may refuse access to documents. It specifies that exempt information may be withheld if disclosure would be unreasonable, impracticable, or if the document contains irrelevant information. Agencies must publish information on websites, provide edited copies where necessary, and charge only for specific reproduction costs. The section also sets a 10-day publication deadline and defines working days for compliance.</t>
        </is>
      </c>
      <c r="L12" s="11" t="inlineStr">
        <is>
          <t>This section establishes conditions for exempting information from disclosure, including when edited copies must be provided and when charges can be imposed. It impacts DTIAs by defining when information can be withheld and the requirements for publishing edited copies.</t>
        </is>
      </c>
      <c r="M12" s="11" t="inlineStr">
        <is>
          <t>• [Must] The agency or Minister must publish the information on a website by making it available for downloading
• [Must] The agency or Minister must publish a link to another website where the information can be downloaded
• [Must] The agency or Minister must publish other details of how the information may be obtained
• [Must] The agency may impose a charge for accessing information only if the person does not directly download it from the website</t>
        </is>
      </c>
      <c r="N12" s="11" t="inlineStr">
        <is>
          <t>• [Must] The agency may impose a charge only if it reimburses specific reproduction costs or incidental costs
• [Must] The agency or Minister must publish details of any charge in the same way as the information
• [Must] The agency or Minister must comply with this section within 10 working days after the person is given access to the document</t>
        </is>
      </c>
      <c r="O12" s="11" t="inlineStr">
        <is>
          <t>The agency, or the Minister, must publish the information to members of the public generally on a website by: (a) making the information available for downloading from the website; or (b) publishing on the website a link to another website, from which the information can be downloaded; or (c) publishing on the website other details of how the information may be obtained.</t>
        </is>
      </c>
      <c r="P12" s="12" t="n">
        <v>4</v>
      </c>
    </row>
    <row r="13">
      <c r="A13" t="inlineStr">
        <is>
          <t>Australia</t>
        </is>
      </c>
      <c r="B13" t="inlineStr">
        <is>
          <t>C2012C00866 (Australia - Row 12)</t>
        </is>
      </c>
      <c r="C13" t="inlineStr">
        <is>
          <t>7 (part 6)</t>
        </is>
      </c>
      <c r="D13" s="11" t="inlineStr">
        <is>
          <t>Exemptions for documents disclosing deliberative processes</t>
        </is>
      </c>
      <c r="E13" t="inlineStr">
        <is>
          <t>38–43</t>
        </is>
      </c>
      <c r="F13" t="inlineStr">
        <is>
          <t>Low</t>
        </is>
      </c>
      <c r="G13" t="inlineStr">
        <is>
          <t>High (explicit)</t>
        </is>
      </c>
      <c r="H13" s="11" t="inlineStr"/>
      <c r="I13" s="11" t="inlineStr">
        <is>
          <t>Personal Information</t>
        </is>
      </c>
      <c r="J13" t="inlineStr">
        <is>
          <t>Commonwealth</t>
        </is>
      </c>
      <c r="K13" s="11" t="inlineStr">
        <is>
          <t>This section specifies that documents involving deliberative processes (e.g., opinions, advice, recommendations) are conditionally exempt from disclosure unless disclosure would be contrary to the public interest. It excludes operational information and purely factual material. The exemption applies to Commonwealth and State agencies, with specific exceptions for certain types of reports and decisions.</t>
        </is>
      </c>
      <c r="L13" s="11" t="inlineStr">
        <is>
          <t>This section creates conditions for exempting documents involving internal deliberations, which may impact data transfer assessments when handling sensitive internal communications across jurisdictions.</t>
        </is>
      </c>
      <c r="M13" s="11" t="inlineStr">
        <is>
          <t>• [Must] A document is conditionally exempt if its disclosure would disclose matter in the nature of, or relating to, opinion, advice or recommendation obtained, prepared or recorded, or consultation or deliberation
• [Must Not] Deliberative matter does not include operational information
• [Must Not] Deliberative matter does not include purely factual material</t>
        </is>
      </c>
      <c r="N13" s="11" t="inlineStr">
        <is>
          <t>• [Must Not] This section does not apply to reports of scientific or technical experts
• [Must Not] This section does not apply to reports of bodies or organisations established within an agency
• [Must Not] This section does not apply to the record of final decisions</t>
        </is>
      </c>
      <c r="O13" s="11" t="inlineStr">
        <is>
          <t>A document is conditionally exempt if its disclosure under this Act would disclose matter (deliberative matter) in the nature of, or relating to, opinion, advice or recommendation obtained, prepared or recorded, or consultation or deliberation that has taken place, in the course of, or for the purposes of, the deliberative processes involved in the functions of an agency or Minister or of the Government of the Commonwealth.</t>
        </is>
      </c>
      <c r="P13" s="12" t="n">
        <v>4</v>
      </c>
    </row>
    <row r="14">
      <c r="A14" t="inlineStr">
        <is>
          <t>Australia</t>
        </is>
      </c>
      <c r="B14" t="inlineStr">
        <is>
          <t>C2012C00866 (Australia - Row 12)</t>
        </is>
      </c>
      <c r="C14" t="inlineStr">
        <is>
          <t>7 (part 7)</t>
        </is>
      </c>
      <c r="D14" s="11" t="inlineStr">
        <is>
          <t>Exemptions for documents concerning business and professional affairs</t>
        </is>
      </c>
      <c r="E14" t="inlineStr">
        <is>
          <t>43–49</t>
        </is>
      </c>
      <c r="F14" t="inlineStr">
        <is>
          <t>High</t>
        </is>
      </c>
      <c r="G14" t="inlineStr">
        <is>
          <t>High (explicit)</t>
        </is>
      </c>
      <c r="H14" s="11" t="inlineStr"/>
      <c r="I14" s="11" t="inlineStr">
        <is>
          <t>Financial Data, Customer Data</t>
        </is>
      </c>
      <c r="J14" t="inlineStr">
        <is>
          <t>Commonwealth</t>
        </is>
      </c>
      <c r="K14" s="11" t="inlineStr">
        <is>
          <t>This section establishes that documents containing information about a person's business or professional affairs, or an organisation's business, commercial or financial affairs, may be conditionally exempt if disclosure would unreasonably affect that person or organisation. It excludes trade secrets and applies to Commonwealth and State agencies, with specific exceptions for certain types of requests.</t>
        </is>
      </c>
      <c r="L14" s="11" t="inlineStr">
        <is>
          <t>This section affects data transfer assessments by defining when business-related information can be exempted, which may impact cross-border data sharing involving sensitive commercial information.</t>
        </is>
      </c>
      <c r="M14" s="11" t="inlineStr">
        <is>
          <t>• [Must] A document is conditionally exempt if its disclosure would unreasonably affect a person's business or professional affairs
• [Must] A document is conditionally exempt if its disclosure would unreasonably affect an organisation's business, commercial or financial affairs
• [Must Not] Subsection (1) does not apply to trade secrets or other information covered by section 47</t>
        </is>
      </c>
      <c r="N14" s="11" t="inlineStr">
        <is>
          <t>• [Must Not] Subsection (1) does not apply to requests by a person for information concerning their own business or professional affairs
• [Must Not] Subsection (1) does not apply to requests by a person for information concerning an organisation they own or act for</t>
        </is>
      </c>
      <c r="O14" s="11" t="inlineStr">
        <is>
          <t>A document is conditionally exempt if its disclosure under this Act would disclose information concerning a person in respect of his or her business or professional affairs or concerning the business, commercial or financial affairs of an organisation or undertaking, in a case in which the disclosure of the information: would, or could reasonably be expected to, unreasonably affect that person adversely in respect of his or her lawful business or professional affairs or that organisation or undertaking in respect of its lawful business, commercial or financial affairs</t>
        </is>
      </c>
      <c r="P14" s="12" t="n">
        <v>4</v>
      </c>
    </row>
    <row r="15">
      <c r="A15" t="inlineStr">
        <is>
          <t>Australia</t>
        </is>
      </c>
      <c r="B15" t="inlineStr">
        <is>
          <t>C2012C00866 (Australia - Row 12)</t>
        </is>
      </c>
      <c r="C15" t="inlineStr">
        <is>
          <t>7 (part 8)</t>
        </is>
      </c>
      <c r="D15" s="11" t="inlineStr">
        <is>
          <t>Definitions for Information Commissioner and Access Decisions</t>
        </is>
      </c>
      <c r="E15" t="inlineStr">
        <is>
          <t>49–57</t>
        </is>
      </c>
      <c r="F15" t="inlineStr">
        <is>
          <t>Low</t>
        </is>
      </c>
      <c r="G15" t="inlineStr">
        <is>
          <t>High (explicit)</t>
        </is>
      </c>
      <c r="H15" s="11" t="inlineStr">
        <is>
          <t>Third Party Processing</t>
        </is>
      </c>
      <c r="I15" s="11" t="inlineStr">
        <is>
          <t>Personal Information</t>
        </is>
      </c>
      <c r="J15" t="inlineStr">
        <is>
          <t>Information Commissioner</t>
        </is>
      </c>
      <c r="K15" s="11" t="inlineStr">
        <is>
          <t>This section adds specific definitions to the Freedom of Information Act 1982, including terms like 'access grant decision', 'access refusal decision', 'affected third party', and 'internal review'. These definitions clarify the scope of decisions subject to internal review and the parties involved in the review process. The definitions apply to agencies and the Information Commissioner when handling access requests to documents.</t>
        </is>
      </c>
      <c r="L15" s="11" t="inlineStr">
        <is>
          <t>Defines key terms used in internal and external reviews of access decisions, which impacts how data transfer impact assessments must account for decision-making processes and third-party involvement in data access requests.</t>
        </is>
      </c>
      <c r="M15" s="11" t="inlineStr">
        <is>
          <t>• [Definition] access grant decision has the meaning given by section 53B
• [Definition] access refusal decision has the meaning given by section 53A
• [Definition] affected third party has the meaning given by section 53C
• [Definition] internal review has the meaning given by sections 54 and 54A
• [Definition] IC review applicant has the meaning given by section 54J
• [Definition] IC review application has the meaning given by section 54H
• [Definition] implementation notice has the meaning given by section 89</t>
        </is>
      </c>
      <c r="N15" s="11" t="inlineStr">
        <is>
          <t>• [Definition] Information Commissioner has the meaning given by the Australian Information Commissioner Act 2010
• [Definition] internal review applicant has the meaning given by section 54B
• [Definition] investigation recommendations has the meaning given by section 88
• [Definition] investigation results has the meaning given by section 87
• [Definition] respondent agency has the meaning given by subsections 69(2) and 70(2)
• [Definition] review parties has the meaning given by section 55A
• [Definition] vexatious applicant declaration has the meaning given by section 89K</t>
        </is>
      </c>
      <c r="O15" s="11" t="inlineStr">
        <is>
          <t>access grant decision has the meaning given by section 53B. access refusal decision has the meaning given by section 53A. affected third party has the meaning given by section 53C. internal review has the meaning given by sections 54 and 54A.</t>
        </is>
      </c>
      <c r="P15" s="12" t="n">
        <v>4</v>
      </c>
    </row>
    <row r="16">
      <c r="A16" t="inlineStr">
        <is>
          <t>Australia</t>
        </is>
      </c>
      <c r="B16" t="inlineStr">
        <is>
          <t>C2012C00866 (Australia - Row 12)</t>
        </is>
      </c>
      <c r="C16" t="inlineStr">
        <is>
          <t>7 (part 10)</t>
        </is>
      </c>
      <c r="D16" s="11" t="inlineStr">
        <is>
          <t>Information Commissioner review applications for access decisions</t>
        </is>
      </c>
      <c r="E16" t="inlineStr">
        <is>
          <t>62–68</t>
        </is>
      </c>
      <c r="F16" t="inlineStr">
        <is>
          <t>Low</t>
        </is>
      </c>
      <c r="G16" t="inlineStr">
        <is>
          <t>High (explicit)</t>
        </is>
      </c>
      <c r="H16" s="11" t="inlineStr"/>
      <c r="I16" s="11" t="inlineStr">
        <is>
          <t>Personal Information</t>
        </is>
      </c>
      <c r="J16" t="inlineStr">
        <is>
          <t>Information Commissioner</t>
        </is>
      </c>
      <c r="K16" s="11" t="inlineStr">
        <is>
          <t>This section establishes procedures for applying to the Information Commissioner for review of access refusal or access grant decisions. Agencies or Ministers must make decisions within specified timeframes after notice of the decision. Review applications must include copies of notices and details for communication. The Information Commissioner may extend time for applications if reasonable, and must notify affected third parties if required. The review process includes preliminary inquiries, discretion to not review, and procedures for handling applications.</t>
        </is>
      </c>
      <c r="L16" s="11" t="inlineStr">
        <is>
          <t>This section outlines review procedures for access decisions that impact data transfer and disclosure processes. It specifies time limits for applications, requirements for notifying affected third parties, and conditions under which the Information Commissioner may extend time or decide not to review a case. These elements affect how data access decisions are challenged and reviewed across jurisdictions.</t>
        </is>
      </c>
      <c r="M16" s="11" t="inlineStr">
        <is>
          <t>• [Must] IC review application must be in writing and include details of how notices may be sent
• [Must] IC review application must include a copy of the notice given under section 26 of the IC reviewable decision
• [May] IC review application may contain particulars of the basis for disputing the IC reviewable decision
• [Must] Information Commissioner must provide assistance to persons making IC review applications
• [Must] IC review application must be sent to the Information Commissioner via delivery, postage, or electronic communication
• [Must] Agency or Minister must notify affected third parties as soon as practicable if an IC review application is made for an access refusal decision</t>
        </is>
      </c>
      <c r="N16" s="11" t="inlineStr">
        <is>
          <t>• [Must] Agency or Minister must give copy of notice to Information Commissioner
• [May] Information Commissioner may extend time for making IC review application if reasonable
• [May] Information Commissioner may require IC review applicant to notify specified persons affected by application
• [May] Person notified under subsection (4) may oppose application within time required by Information Commissioner
• [Must] Information Commissioner must give reasonable opportunity to present cases if opposition is made</t>
        </is>
      </c>
      <c r="O16" s="11" t="inlineStr">
        <is>
          <t>An IC review application must be in writing, and must: (a) give details of how notices under this Part may be sent to the IC review applicant; and (b) include a copy of the notice given under section 26 of the IC reviewable decision for which an IC review is sought.</t>
        </is>
      </c>
      <c r="P16" s="12" t="n">
        <v>4</v>
      </c>
    </row>
    <row r="17">
      <c r="A17" t="inlineStr">
        <is>
          <t>Australia</t>
        </is>
      </c>
      <c r="B17" t="inlineStr">
        <is>
          <t>C2012C00866 (Australia - Row 12)</t>
        </is>
      </c>
      <c r="C17" t="inlineStr">
        <is>
          <t>7 (part 12)</t>
        </is>
      </c>
      <c r="D17" s="11" t="inlineStr">
        <is>
          <t>IC review procedures for hearings and participation</t>
        </is>
      </c>
      <c r="E17" t="inlineStr">
        <is>
          <t>73–78</t>
        </is>
      </c>
      <c r="F17" t="inlineStr">
        <is>
          <t>Low</t>
        </is>
      </c>
      <c r="G17" t="inlineStr">
        <is>
          <t>High (explicit)</t>
        </is>
      </c>
      <c r="H17" s="11" t="inlineStr"/>
      <c r="I17" s="11" t="inlineStr">
        <is>
          <t>Personal Information</t>
        </is>
      </c>
      <c r="J17" t="inlineStr">
        <is>
          <t>Information Commissioner</t>
        </is>
      </c>
      <c r="K17" s="11" t="inlineStr">
        <is>
          <t>This section outlines procedures for conducting IC reviews, including conducting reviews with minimal formality, ensuring reasonable opportunity for review parties to present cases, and timely completion of reviews. The Information Commissioner must conduct reviews with minimal formality, provide review parties with reasonable opportunity to present their case, and complete reviews as promptly as possible given applicable laws and considerations. The Information Commissioner may also hold hearings publicly unless confidential matters prevent it, and may allow participation via alternative means such as telephone.</t>
        </is>
      </c>
      <c r="L17" s="11" t="inlineStr">
        <is>
          <t>This section details procedural requirements for IC reviews that impact data transfer impact assessments by specifying how the Information Commissioner conducts reviews with review parties, including hearing procedures and participation methods.</t>
        </is>
      </c>
      <c r="M17" s="11" t="inlineStr">
        <is>
          <t>• [Must] The Information Commissioner must conduct IC reviews with minimal formality and technicality given applicable laws and considerations
• [Must] The Information Commissioner must ensure each review party is given reasonable opportunity to present their case
• [Must] The Information Commissioner must conduct IC reviews in as timely a manner as possible given applicable considerations</t>
        </is>
      </c>
      <c r="N17" s="11" t="inlineStr">
        <is>
          <t>• [May] The Information Commissioner may hold hearings publicly unless satisfied that confidentiality prevents it
• [May] The Information Commissioner may allow review parties to participate in hearings via alternative communication methods
• [May] The Information Commissioner may give written directions on IC review procedures</t>
        </is>
      </c>
      <c r="O17" s="11" t="inlineStr">
        <is>
          <t>The Information Commissioner must, in relation to an IC review: (a) conduct the IC review with as little formality and as little technicality as is possible given: (i) the requirements of this Act; (ii) the requirements of any other law; and (iii) a proper consideration of the matters before the Information Commissioner; (b) ensure that each review party is given a reasonable opportunity to present his or her case; and (c) conduct the IC review in as timely a manner as is possible given the matters mentioned in subparagraphs (a)(i) to (iii).</t>
        </is>
      </c>
      <c r="P17" s="12" t="n">
        <v>4</v>
      </c>
    </row>
    <row r="18">
      <c r="A18" t="inlineStr">
        <is>
          <t>Australia</t>
        </is>
      </c>
      <c r="B18" t="inlineStr">
        <is>
          <t>C2012C00866 (Australia - Row 12)</t>
        </is>
      </c>
      <c r="C18" t="inlineStr">
        <is>
          <t>7 (part 13)</t>
        </is>
      </c>
      <c r="D18" s="11" t="inlineStr">
        <is>
          <t>IC review procedures for legal questions and document handling</t>
        </is>
      </c>
      <c r="E18" t="inlineStr">
        <is>
          <t>78–83</t>
        </is>
      </c>
      <c r="F18" t="inlineStr">
        <is>
          <t>Low</t>
        </is>
      </c>
      <c r="G18" t="inlineStr">
        <is>
          <t>High (explicit)</t>
        </is>
      </c>
      <c r="H18" s="11" t="inlineStr"/>
      <c r="I18" s="11" t="inlineStr">
        <is>
          <t>Personal Information</t>
        </is>
      </c>
      <c r="J18" t="inlineStr">
        <is>
          <t>Information Commissioner</t>
        </is>
      </c>
      <c r="K18" s="11" t="inlineStr">
        <is>
          <t>This section details procedures for IC reviews, including the ability to refer questions of law to the Federal Court of Australia, sending relevant documents to the Federal Court, and the Information Commissioner's authority to make decisions on IC reviews. The Information Commissioner may refer questions of law to the Federal Court, send documents to the court, and publish decisions on IC reviews to the public. The Information Commissioner must also ensure compliance with decisions made during IC reviews.</t>
        </is>
      </c>
      <c r="L18" s="11" t="inlineStr">
        <is>
          <t>This section specifies procedures for IC reviews that impact data transfer impact assessments by detailing how the Information Commissioner handles legal questions, documents, and decisions during reviews.</t>
        </is>
      </c>
      <c r="M18" s="11" t="inlineStr">
        <is>
          <t>• [May] The Information Commissioner may refer questions of law to the Federal Court of Australia during an IC review
• [Must] The Information Commissioner must send all relevant documents to the Federal Court of Australia</t>
        </is>
      </c>
      <c r="N18" s="11" t="inlineStr">
        <is>
          <t>• [Must] The Information Commissioner must publish IC review decisions to the public</t>
        </is>
      </c>
      <c r="O18" s="11" t="inlineStr">
        <is>
          <t>The Information Commissioner may, at any time during an IC review, refer a question of law arising in an IC review to the Federal Court of Australia for decision. The Information Commissioner must cause all documents and information in the possession of the Information Commissioner that relate to the IC review and to the reference to be sent to the Federal Court of Australia.</t>
        </is>
      </c>
      <c r="P18" s="12" t="n">
        <v>4</v>
      </c>
    </row>
    <row r="19">
      <c r="A19" t="inlineStr">
        <is>
          <t>Australia</t>
        </is>
      </c>
      <c r="B19" t="inlineStr">
        <is>
          <t>C2012C00866 (Australia - Row 12)</t>
        </is>
      </c>
      <c r="C19" t="inlineStr">
        <is>
          <t>7 (part 14)</t>
        </is>
      </c>
      <c r="D19" s="11" t="inlineStr">
        <is>
          <t>Information Commissioner's document handling powers during IC reviews</t>
        </is>
      </c>
      <c r="E19" t="inlineStr">
        <is>
          <t>83–89</t>
        </is>
      </c>
      <c r="F19" t="inlineStr">
        <is>
          <t>Low</t>
        </is>
      </c>
      <c r="G19" t="inlineStr">
        <is>
          <t>High (explicit)</t>
        </is>
      </c>
      <c r="H19" s="11" t="inlineStr"/>
      <c r="I19" s="11" t="inlineStr">
        <is>
          <t>Personal Information</t>
        </is>
      </c>
      <c r="J19" t="inlineStr">
        <is>
          <t>Information Commissioner</t>
        </is>
      </c>
      <c r="K19" s="11" t="inlineStr">
        <is>
          <t>This section outlines the Information Commissioner's authority to handle documents during IC reviews, including taking possession, making copies, extracting information, and holding documents for review purposes. It also mandates that the Commissioner must permit inspection by entitled parties at reasonable times. The provisions establish specific conditions for document access and production, particularly for exempt documents under national security or cabinet categories.</t>
        </is>
      </c>
      <c r="L19" s="11" t="inlineStr">
        <is>
          <t>These provisions define document handling procedures during IC reviews, impacting data transfer and storage by requiring specific access controls and document handling protocols for exempt documents, which may affect cross-border data flows involving sensitive national security information.</t>
        </is>
      </c>
      <c r="M19" s="11" t="inlineStr">
        <is>
          <t>• [Must] The Information Commissioner may take possession of documents produced in accordance with a notice
• [Must] The Information Commissioner may make copies of documents
• [Must] The Information Commissioner may take extracts from documents</t>
        </is>
      </c>
      <c r="N19" s="11" t="inlineStr">
        <is>
          <t>• [Must] The Information Commissioner may hold documents for a period necessary for IC review
• [Must] The Information Commissioner must permit inspection by entitled parties for IC review
• [Must] The Information Commissioner must permit inspection at any reasonable time</t>
        </is>
      </c>
      <c r="O19" s="11" t="inlineStr">
        <is>
          <t>The Information Commissioner may do any of the following in relation to any documents produced in accordance with a notice under subsection 55R(3): (a) take possession of the documents; (b) make copies of the documents; (c) take extracts from the documents; (d) hold the documents for a period that is necessary for the purposes of the IC review.</t>
        </is>
      </c>
      <c r="P19" s="12" t="n">
        <v>4</v>
      </c>
    </row>
    <row r="20">
      <c r="A20" t="inlineStr">
        <is>
          <t>Australia</t>
        </is>
      </c>
      <c r="B20" t="inlineStr">
        <is>
          <t>C2012C00866 (Australia - Row 12)</t>
        </is>
      </c>
      <c r="C20" t="inlineStr">
        <is>
          <t>7 (part 16)</t>
        </is>
      </c>
      <c r="D20" s="11" t="inlineStr">
        <is>
          <t>Tribunal powers for document searches and record amendments</t>
        </is>
      </c>
      <c r="E20" t="inlineStr">
        <is>
          <t>94–99</t>
        </is>
      </c>
      <c r="F20" t="inlineStr">
        <is>
          <t>Low</t>
        </is>
      </c>
      <c r="G20" t="inlineStr">
        <is>
          <t>High (explicit)</t>
        </is>
      </c>
      <c r="H20" s="11" t="inlineStr"/>
      <c r="I20" s="11" t="inlineStr">
        <is>
          <t>Personal Information</t>
        </is>
      </c>
      <c r="J20" t="inlineStr">
        <is>
          <t>Information Commissioner</t>
        </is>
      </c>
      <c r="K20" s="11" t="inlineStr">
        <is>
          <t>This section amends the Administrative Appeals Tribunal Act 1975 by inserting new powers for the Tribunal to require further searches for documents when access is refused or purportedly granted. It also establishes conditions under which amendments to records of opinions can be made, including requirements that the opinion was based on a mistake of fact or the author was biased. The Tribunal must not amend records that are court decisions or involve matters already determined by internal review, the Information Commissioner, courts, or tribunals.</t>
        </is>
      </c>
      <c r="L20" s="11" t="inlineStr">
        <is>
          <t>This section affects data transfer impact assessments by establishing conditions under which the Tribunal may require further document searches and amend records of opinions, with specific restrictions on amending court-related records or decisions involving prior determinations.</t>
        </is>
      </c>
      <c r="M20" s="11" t="inlineStr">
        <is>
          <t>• [Must] Tribunal may require further searches for documents when access is refused or purportedly granted
• [Must] Tribunal may make a decision requiring amendment to a record of an opinion if the opinion was based on a mistake of fact or the author was biased</t>
        </is>
      </c>
      <c r="N20" s="11" t="inlineStr">
        <is>
          <t>• [Must Not] Tribunal must not amend records that are court decisions
• [Must Not] Tribunal must not amend records if the decision involves matters already determined by internal review, Information Commissioner, courts, or tribunals</t>
        </is>
      </c>
      <c r="O20" s="11" t="inlineStr">
        <is>
          <t>58AA (1) The Tribunal may, in a decision on an application to the Tribunal under section 57A, make a decision that requires, or that has the effect of requiring, that an amendment be made to a record that relates to a record of an opinion only if the Tribunal is satisfied of either (or both) of the following: (a) the opinion was based on a mistake of fact; (b) the author of the opinion was biased, unqualified to form the opinion or acted improperly in conducting the factual inquiries that led to the formation of the opinion. (2) The Tribunal must not, in a decision on an application under section 57A, make a decision that requires, or that has the effect of requiring, that an amendment be made to a record if it is satisfied of either of the following: (a) the record is a record of a decision, under an enactment, by a court, tribunal, authority or person; (b) the decision whether to amend the record involves the determination of a question that the person seeking amendment of the record is, or has been, entitled to have determined by the agency (on internal review), the Information Commissioner, a court or tribunal.</t>
        </is>
      </c>
      <c r="P20" s="12" t="n">
        <v>4</v>
      </c>
    </row>
    <row r="21">
      <c r="A21" t="inlineStr">
        <is>
          <t>Australia</t>
        </is>
      </c>
      <c r="B21" t="inlineStr">
        <is>
          <t>C2012C00866 (Australia - Row 12)</t>
        </is>
      </c>
      <c r="C21" t="inlineStr">
        <is>
          <t>7 (part 17)</t>
        </is>
      </c>
      <c r="D21" s="11" t="inlineStr">
        <is>
          <t>Tribunal procedures for third-party notifications and onus of proof</t>
        </is>
      </c>
      <c r="E21" t="inlineStr">
        <is>
          <t>99–105</t>
        </is>
      </c>
      <c r="F21" t="inlineStr">
        <is>
          <t>Low</t>
        </is>
      </c>
      <c r="G21" t="inlineStr">
        <is>
          <t>High (explicit)</t>
        </is>
      </c>
      <c r="H21" s="11" t="inlineStr"/>
      <c r="I21" s="11" t="inlineStr">
        <is>
          <t>Personal Information</t>
        </is>
      </c>
      <c r="J21" t="inlineStr">
        <is>
          <t>Information Commissioner</t>
        </is>
      </c>
      <c r="K21" s="11" t="inlineStr">
        <is>
          <t>This section amends the Administrative Appeals Tribunal Act 1975 by requiring agencies or Ministers to notify affected third parties when a review application is made for document access. It also specifies circumstances where notification is not required, such as when notifying would prejudice legal investigations, enforcement, confidential sources, safety, or national security. The onus of proof shifts to the agency or Minister when they apply for review, or to the affected third party when they are a party to the proceeding.</t>
        </is>
      </c>
      <c r="L21" s="11" t="inlineStr">
        <is>
          <t>This section impacts data transfer impact assessments by requiring notification of affected third parties in certain cross-border data access reviews, with specific exemptions related to legal investigations, confidential sources, safety, and national security.</t>
        </is>
      </c>
      <c r="M21" s="11" t="inlineStr">
        <is>
          <t>• [Must] Agency or Minister must notify affected third parties as soon as practicable when a review application is made for document access
• [Must Not] Notification is not required if notifying would prejudice legal investigations, enforcement, confidential sources, safety, or national security</t>
        </is>
      </c>
      <c r="N21" s="11" t="inlineStr">
        <is>
          <t>• [Must] Affected third party has onus of proof if they are a party to the proceeding</t>
        </is>
      </c>
      <c r="O21" s="11" t="inlineStr">
        <is>
          <t>60AA (2) The agency to which, or the Minister to whom, the request was made for access to the document must, as soon as practicable, take all reasonable steps to notify the affected third party for the document of the application to the Tribunal. (2) An agency or Minister is not required to notify an affected third party for the document under subsection 60AA(2) if: (a) the agency or the Minister applies to the Tribunal for an order that it would not be appropriate to notify the affected third party in the circumstances covered by subsection (3); and (b) the Tribunal makes the order. (3) The circumstances covered by this subsection are whether notifying the affected third party would, or could reasonably be expected to, do any of the following: (a) prejudice the conduct of an investigation of a breach, or possible breach, of the law, or a failure, or possible failure, to comply with a law relating to taxation; (b) prejudice the enforcement or proper administration of the law in a particular instance; (c) disclose, or enable a person to ascertain, the existence or identity of a confidential source of information, or the non-existence of a confidential source of information, in relation to the enforcement or administration of the law; (d) endanger the life or physical safety of any person; (e) cause damage to the security, defence or international relations of the Commonwealth.</t>
        </is>
      </c>
      <c r="P21" s="12" t="n">
        <v>4</v>
      </c>
    </row>
    <row r="22">
      <c r="A22" t="inlineStr">
        <is>
          <t>Australia</t>
        </is>
      </c>
      <c r="B22" t="inlineStr">
        <is>
          <t>C2012C00866 (Australia - Row 12)</t>
        </is>
      </c>
      <c r="C22" t="inlineStr">
        <is>
          <t>7 (part 18)</t>
        </is>
      </c>
      <c r="D22" s="11" t="inlineStr">
        <is>
          <t>Information Commissioner investigations and complaints procedures</t>
        </is>
      </c>
      <c r="E22" t="inlineStr">
        <is>
          <t>105</t>
        </is>
      </c>
      <c r="F22" t="inlineStr">
        <is>
          <t>Low</t>
        </is>
      </c>
      <c r="G22" t="inlineStr">
        <is>
          <t>High (explicit)</t>
        </is>
      </c>
      <c r="H22" s="11" t="inlineStr"/>
      <c r="I22" s="11" t="inlineStr">
        <is>
          <t>Personal Information</t>
        </is>
      </c>
      <c r="J22" t="inlineStr">
        <is>
          <t>Information Commissioner</t>
        </is>
      </c>
      <c r="K22" s="11" t="inlineStr">
        <is>
          <t>This section establishes procedures for the Information Commissioner to investigate complaints about agency actions under the Freedom of Information Act. It requires complaints to be in writing and identify the agency, allows the Information Commissioner to conduct preliminary inquiries, and provides discretion to not investigate complaints if the action is not within the agency's functions, the complainant has rights to review or complain elsewhere, or the complaint is frivolous. It also outlines procedures for transferring complaints to the Ombudsman when appropriate.</t>
        </is>
      </c>
      <c r="L22" s="11" t="inlineStr">
        <is>
          <t>This section affects data transfer impact assessments by defining procedures for investigating complaints about data access decisions, including when to transfer complaints to the Ombudsman for cross-border or multi-jurisdictional matters.</t>
        </is>
      </c>
      <c r="M22" s="11" t="inlineStr">
        <is>
          <t>• [Must] Complaints must be in writing and identify the agency
• [May] Information Commissioner may investigate complaints about agency actions
• [Must Not] Information Commissioner may decide not to investigate if the action is not within agency functions</t>
        </is>
      </c>
      <c r="N22" s="11" t="inlineStr">
        <is>
          <t>• [Must Not] Information Commissioner may decide not to investigate if the complainant has rights to review or complain elsewhere
• [May] Information Commissioner may transfer complaints to Ombudsman if more effectively handled there</t>
        </is>
      </c>
      <c r="O22" s="11" t="inlineStr">
        <is>
          <t>70 (1) A person (the complainant) may complain to the Information Commissioner about an action taken by an agency in the performance of functions, or the exercise of powers, under this Act. (2) A complaint must: (a) be in writing; and (b) identify the agency (also the respondent agency) in respect of which the complaint is made. (3) The Office of the Australian Information Commissioner must provide appropriate assistance to a person who: (a) wishes to make a complaint; and (b) requires assistance to formulate the complaint. 74 (1) This section applies if the Information Commissioner is satisfied that a complaint about an action could be more effectively or appropriately dealt with by the Ombudsman under the Ombudsman Act 1976. (2) The Information Commissioner: (a) must consult the Ombudsman about the complaint with a view to avoiding inquiries being conducted into that matter by both the Information Commissioner and the Ombudsman; and (b) may decide not to investigate the action, or not to continue to investigate the action.</t>
        </is>
      </c>
      <c r="P22" s="12" t="n">
        <v>4</v>
      </c>
    </row>
    <row r="23">
      <c r="A23" t="inlineStr">
        <is>
          <t>Australia</t>
        </is>
      </c>
      <c r="B23" t="inlineStr">
        <is>
          <t>C2012C00866 (Australia - Row 12)</t>
        </is>
      </c>
      <c r="C23" t="inlineStr">
        <is>
          <t>16</t>
        </is>
      </c>
      <c r="D23" s="11" t="inlineStr">
        <is>
          <t>Commencement date for Schedule 2 item 16</t>
        </is>
      </c>
      <c r="E23" t="inlineStr">
        <is>
          <t>176</t>
        </is>
      </c>
      <c r="F23" t="inlineStr">
        <is>
          <t>None</t>
        </is>
      </c>
      <c r="G23" t="inlineStr">
        <is>
          <t>High (explicit)</t>
        </is>
      </c>
      <c r="H23" s="11" t="inlineStr"/>
      <c r="I23" s="11" t="inlineStr"/>
      <c r="J23" t="inlineStr"/>
      <c r="K23" s="11" t="inlineStr">
        <is>
          <t>This section specifies that Schedule 2, item 16 commences immediately after the commencement date of item 23 in Schedule 3 of the Freedom of Information Amendment (Reform) Act 2010, which is set for 1 November 2010.</t>
        </is>
      </c>
      <c r="L23" s="11" t="inlineStr"/>
      <c r="M23" s="11" t="inlineStr">
        <is>
          <t>• [Condition] Schedule 2, item 16 commences immediately after the time specified in the Freedom of Information Amendment (Reform) Act 2010 for the commencement of item 23 of Schedule 3 to that Act.</t>
        </is>
      </c>
      <c r="N23" s="11" t="inlineStr"/>
      <c r="O23" s="11" t="inlineStr">
        <is>
          <t>16. Schedule 2, item 16 Immediately after the time specified in the Freedom of Information Amendment (Reform) Act 2010 for the commencement of item 23 of Schedule 3 to that Act. 1 November 2010</t>
        </is>
      </c>
      <c r="P23" s="12" t="n">
        <v>4</v>
      </c>
    </row>
    <row r="24">
      <c r="A24" t="inlineStr">
        <is>
          <t>Australia</t>
        </is>
      </c>
      <c r="B24" t="inlineStr">
        <is>
          <t>C2012C00866 (Australia - Row 12)</t>
        </is>
      </c>
      <c r="C24" t="inlineStr">
        <is>
          <t>17</t>
        </is>
      </c>
      <c r="D24" s="11" t="inlineStr">
        <is>
          <t>Commencement date for Schedule 2 items 17 and 18</t>
        </is>
      </c>
      <c r="E24" t="inlineStr">
        <is>
          <t>176–177</t>
        </is>
      </c>
      <c r="F24" t="inlineStr">
        <is>
          <t>None</t>
        </is>
      </c>
      <c r="G24" t="inlineStr">
        <is>
          <t>High (explicit)</t>
        </is>
      </c>
      <c r="H24" s="11" t="inlineStr"/>
      <c r="I24" s="11" t="inlineStr"/>
      <c r="J24" t="inlineStr"/>
      <c r="K24" s="11" t="inlineStr">
        <is>
          <t>This section specifies that Schedule 2, items 17 and 18 commence immediately after the commencement date of Schedule 4 to the Freedom of Information Amendment (Reform) Act 2010, which is set for 1 November 2010.</t>
        </is>
      </c>
      <c r="L24" s="11" t="inlineStr"/>
      <c r="M24" s="11" t="inlineStr">
        <is>
          <t>• [Condition] Schedule 2, items 17 and 18 commence immediately after the time specified in the Freedom of Information Amendment (Reform) Act 2010 for the commencement of Schedule 4 to that Act.</t>
        </is>
      </c>
      <c r="N24" s="11" t="inlineStr"/>
      <c r="O24" s="11" t="inlineStr">
        <is>
          <t>17. Schedule 2, items 17 and 18 Immediately after the time specified in the Freedom of Information Amendment (Reform) Act 2010 for the commencement of Schedule 4 to that Act. 1 November 2010</t>
        </is>
      </c>
      <c r="P24" s="12" t="n">
        <v>4</v>
      </c>
    </row>
    <row r="25">
      <c r="A25" t="inlineStr">
        <is>
          <t>Australia</t>
        </is>
      </c>
      <c r="B25" t="inlineStr">
        <is>
          <t>C2012C00866 (Australia - Row 12)</t>
        </is>
      </c>
      <c r="C25" t="inlineStr">
        <is>
          <t>1976</t>
        </is>
      </c>
      <c r="D25" s="11" t="inlineStr">
        <is>
          <t>Notice requirements for Information Commissioner investigations</t>
        </is>
      </c>
      <c r="E25" t="inlineStr">
        <is>
          <t>105–111</t>
        </is>
      </c>
      <c r="F25" t="inlineStr">
        <is>
          <t>Low</t>
        </is>
      </c>
      <c r="G25" t="inlineStr">
        <is>
          <t>High (explicit)</t>
        </is>
      </c>
      <c r="H25" s="11" t="inlineStr"/>
      <c r="I25" s="11" t="inlineStr">
        <is>
          <t>Personal Information</t>
        </is>
      </c>
      <c r="J25" t="inlineStr">
        <is>
          <t>Information Commissioner</t>
        </is>
      </c>
      <c r="K25" s="11" t="inlineStr">
        <is>
          <t>Before starting an investigation, the Information Commissioner must notify the respondent agency in writing. If the Commissioner decides not to investigate or stop an investigation, they must notify the complainant and respondent agency within 14 days, including reasons for the decision. This ensures transparency and accountability in the investigation process.</t>
        </is>
      </c>
      <c r="L25" s="11" t="inlineStr">
        <is>
          <t>Requires written notification to respondent agency before investigation start and decision on non-investigation must be communicated with reasons. Relevant for DTIA as it sets procedural safeguards for investigations.</t>
        </is>
      </c>
      <c r="M25" s="11" t="inlineStr">
        <is>
          <t>• [Must] Before beginning an investigation, the Information Commissioner must notify the respondent agency in writing.</t>
        </is>
      </c>
      <c r="N25" s="11" t="inlineStr">
        <is>
          <t>• [Must] If the Information Commissioner decides not to investigate or not to continue an investigation, they must notify the complainant and respondent agency within 14 days with reasons.</t>
        </is>
      </c>
      <c r="O25" s="11" t="inlineStr">
        <is>
          <t>Before beginning an investigation, the Information Commissioner must notify the respondent agency in writing. Notice of decision not to investigate, or not to continue to investigate must be notified to complainant and respondent agency within 14 days with reasons.</t>
        </is>
      </c>
      <c r="P25" s="12" t="n">
        <v>4</v>
      </c>
    </row>
    <row r="26">
      <c r="A26" t="inlineStr">
        <is>
          <t>Australia</t>
        </is>
      </c>
      <c r="B26" t="inlineStr">
        <is>
          <t>C2012C00866 (Australia - Row 12)</t>
        </is>
      </c>
      <c r="C26" t="inlineStr">
        <is>
          <t>1976 (part 3)</t>
        </is>
      </c>
      <c r="D26" s="11" t="inlineStr">
        <is>
          <t>Complaints to Ombudsman: Reporting Restrictions</t>
        </is>
      </c>
      <c r="E26" t="inlineStr">
        <is>
          <t>117–122</t>
        </is>
      </c>
      <c r="F26" t="inlineStr">
        <is>
          <t>Medium</t>
        </is>
      </c>
      <c r="G26" t="inlineStr">
        <is>
          <t>High (explicit)</t>
        </is>
      </c>
      <c r="H26" s="11" t="inlineStr"/>
      <c r="I26" s="11" t="inlineStr">
        <is>
          <t>Personal Information</t>
        </is>
      </c>
      <c r="J26" t="inlineStr">
        <is>
          <t>Ombudsman</t>
        </is>
      </c>
      <c r="K26" s="11" t="inlineStr">
        <is>
          <t>This section requires that reports to the Ombudsman under the Ombudsman Act 1976 must exclude exempt matters and information specified in subsection 25(1) of the Ombudsman Act. The restriction applies to reports related to actions taken under the Freedom of Information Act 1982. Complaints must be made in good faith to trigger these obligations.</t>
        </is>
      </c>
      <c r="L26" s="11" t="inlineStr">
        <is>
          <t>Reports involving cross-border data transfers must exclude exempt information to prevent disclosure of sensitive data. This affects data sharing with third parties and international data flows.</t>
        </is>
      </c>
      <c r="M26" s="11" t="inlineStr">
        <is>
          <t>• [Must Not] A report under subsection 12(3) or section 15 or 17 of the Ombudsman Act 1976 in relation to an action taken under this Act must not include exempt matter</t>
        </is>
      </c>
      <c r="N26" s="11" t="inlineStr">
        <is>
          <t>• [Must Not] A report under subsection 12(3) or section 15 or 17 of the Ombudsman Act 1976 in relation to an action taken under this Act must not include information of the kind referred to in subsection 25(1)</t>
        </is>
      </c>
      <c r="O26" s="11" t="inlineStr">
        <is>
          <t>A report under subsection 12(3) or section 15 or 17 of the Ombudsman Act 1976 in relation to an action taken under this Act must not include: (a) exempt matter; or (b) information of the kind referred to in subsection 25(1).</t>
        </is>
      </c>
      <c r="P26" s="12" t="n">
        <v>4</v>
      </c>
    </row>
    <row r="27">
      <c r="A27" t="inlineStr">
        <is>
          <t>Australia</t>
        </is>
      </c>
      <c r="B27" t="inlineStr">
        <is>
          <t>C2012C00866 (Australia - Row 12)</t>
        </is>
      </c>
      <c r="C27" t="inlineStr">
        <is>
          <t>1976 (part 4)</t>
        </is>
      </c>
      <c r="D27" s="11" t="inlineStr">
        <is>
          <t>Vexatious Applicants: Declaration and Restrictions</t>
        </is>
      </c>
      <c r="E27" t="inlineStr">
        <is>
          <t>122–129</t>
        </is>
      </c>
      <c r="F27" t="inlineStr">
        <is>
          <t>High</t>
        </is>
      </c>
      <c r="G27" t="inlineStr">
        <is>
          <t>High (explicit)</t>
        </is>
      </c>
      <c r="H27" s="11" t="inlineStr"/>
      <c r="I27" s="11" t="inlineStr">
        <is>
          <t>Personal Information</t>
        </is>
      </c>
      <c r="J27" t="inlineStr">
        <is>
          <t>Information Commissioner</t>
        </is>
      </c>
      <c r="K27" s="11" t="inlineStr">
        <is>
          <t>This section allows the Information Commissioner to declare a person a vexatious applicant if they repeatedly engage in access actions with abuse of process, manifestly unreasonable actions, or specific abusive behaviors. The declaration may restrict the person from making requests, amendments to records, internal reviews, or IC reviews without written permission from the Information Commissioner.</t>
        </is>
      </c>
      <c r="L27" s="11" t="inlineStr">
        <is>
          <t>Vexatious applicants cannot access sensitive data without authorization, impacting data sharing and cross-border transfers. This affects data subject rights and third-party processing.</t>
        </is>
      </c>
      <c r="M27" s="11" t="inlineStr">
        <is>
          <t>• [May] The Information Commissioner may declare a person a vexatious applicant if they repeatedly engage in access actions involving abuse of the process
• [May] The Information Commissioner may declare a person a vexatious applicant if a particular access action involves abuse of the process
• [May] The Information Commissioner may declare a person a vexatious applicant if a particular access action would be manifestly unreasonable</t>
        </is>
      </c>
      <c r="N27" s="11" t="inlineStr">
        <is>
          <t>• [May] A vexatious applicant declaration may restrict an agency or Minister from considering requests without written permission from the Information Commissioner
• [May] A vexatious applicant declaration may restrict the Information Commissioner from considering IC review applications made by the person</t>
        </is>
      </c>
      <c r="O27" s="11" t="inlineStr">
        <is>
          <t>The Information Commissioner may, by written instrument (a vexatious applicant declaration), declare a person to be a vexatious applicant.</t>
        </is>
      </c>
      <c r="P27" s="12" t="n">
        <v>4</v>
      </c>
    </row>
    <row r="28">
      <c r="A28" t="inlineStr">
        <is>
          <t>Australia</t>
        </is>
      </c>
      <c r="B28" t="inlineStr">
        <is>
          <t>C2012C00866 (Australia - Row 12)</t>
        </is>
      </c>
      <c r="C28" t="inlineStr">
        <is>
          <t>1976 (part 5)</t>
        </is>
      </c>
      <c r="D28" s="11" t="inlineStr">
        <is>
          <t>Replaces Privacy Commissioner with Information Commissioner in multiple acts</t>
        </is>
      </c>
      <c r="E28" t="inlineStr">
        <is>
          <t>129–131</t>
        </is>
      </c>
      <c r="F28" t="inlineStr">
        <is>
          <t>Low</t>
        </is>
      </c>
      <c r="G28" t="inlineStr">
        <is>
          <t>High (explicit)</t>
        </is>
      </c>
      <c r="H28" s="11" t="inlineStr">
        <is>
          <t>Cross-border Transfer, International Processing, Data Storage, Data Residency, Security, Consent, Customer Information, Employee Information, Special Personal Information, Children, Financial Data, KYC, AML, Governance, Record Keeping</t>
        </is>
      </c>
      <c r="I28" s="11" t="inlineStr">
        <is>
          <t>Personal Information</t>
        </is>
      </c>
      <c r="J28" t="inlineStr"/>
      <c r="K28" s="11" t="inlineStr">
        <is>
          <t>This section lists amendments to various Australian laws that replace references to the 'Privacy Commissioner' with 'Information Commissioner' in specific sections or definitions. The changes apply across multiple acts including the Australian Citizenship Act, Australian Human Rights Commission Act, Crimes Act, and others. These amendments update the legal references to align with the establishment of the Office of the Australian Information Commissioner.</t>
        </is>
      </c>
      <c r="L28" s="11" t="inlineStr">
        <is>
          <t>This section updates legal references to the Information Commissioner across multiple acts, which may affect data transfer mechanisms where the Commissioner's role is involved in privacy functions. However, it does not directly impose new transfer restrictions.</t>
        </is>
      </c>
      <c r="M28" s="11" t="inlineStr">
        <is>
          <t>• [Must] Omit 'Privacy Commissioner', substitute 'Information Commissioner in relation to matters that relate to the privacy functions (within the meaning of the Australian Information Commissioner Act 2010)'
• [Must] Omit 'Privacy Commissioner', substitute 'Information Commissioner'
• [Must] Repeal the definition of Privacy Commissioner</t>
        </is>
      </c>
      <c r="N28" s="11" t="inlineStr">
        <is>
          <t>• [Must] Omit 'Privacy Commissioner' (wherever occurring), substitute 'Information Commissioner'
• [Must] Omit 'Privacy Commissioner' (first occurring), substitute 'Information Commissioner in relation to matters that relate to the privacy functions (within the meaning of the Australian Information Commissioner Act 2010)'
• [Must] Omit 'Privacy Commissioner' (last occurring), substitute 'Information Commissioner'</t>
        </is>
      </c>
      <c r="O28" s="11" t="inlineStr">
        <is>
          <t>Amendments consequential on the establishment of the Office of the Australian Information Commissioner Schedule 5</t>
        </is>
      </c>
      <c r="P28" s="12" t="n">
        <v>4</v>
      </c>
    </row>
    <row r="29">
      <c r="A29" t="inlineStr">
        <is>
          <t>Australia</t>
        </is>
      </c>
      <c r="B29" t="inlineStr">
        <is>
          <t>C2012C00866 (Australia - Row 12)</t>
        </is>
      </c>
      <c r="C29" t="inlineStr">
        <is>
          <t>2010</t>
        </is>
      </c>
      <c r="D29" s="11" t="inlineStr">
        <is>
          <t>Replaces Privacy Commissioner with Information Commissioner in Freedom of Information Act</t>
        </is>
      </c>
      <c r="E29" t="inlineStr">
        <is>
          <t>131–132</t>
        </is>
      </c>
      <c r="F29" t="inlineStr">
        <is>
          <t>Low</t>
        </is>
      </c>
      <c r="G29" t="inlineStr">
        <is>
          <t>High (explicit)</t>
        </is>
      </c>
      <c r="H29" s="11" t="inlineStr">
        <is>
          <t>Cross-border Transfer, International Processing, Data Storage, Data Residency, Security, Consent, Customer Information, Employee Information, Special Personal Information, Children, Financial Data, KYC, AML, Governance, Record Keeping</t>
        </is>
      </c>
      <c r="I29" s="11" t="inlineStr">
        <is>
          <t>Personal Information</t>
        </is>
      </c>
      <c r="J29" t="inlineStr"/>
      <c r="K29" s="11" t="inlineStr">
        <is>
          <t>This section lists amendments to the Freedom of Information Act 1982 that replace references to the 'Privacy Commissioner' with 'Information Commissioner' in specific sections and definitions. The changes include updating definitions, headings, and sections to align with the new Information Commissioner role, ensuring consistency across Commonwealth contracts and agency documents.</t>
        </is>
      </c>
      <c r="L29" s="11" t="inlineStr">
        <is>
          <t>These amendments update legal references to the Information Commissioner in the Freedom of Information Act, which may impact data handling and disclosure practices but do not directly affect cross-border data transfers.</t>
        </is>
      </c>
      <c r="M29" s="11" t="inlineStr">
        <is>
          <t>• [Must] Omit 'Privacy Commissioner', substitute 'Information Commissioner'
• [Must] Omit 'Privacy Commissioner's', substitute 'Information Commissioner's'</t>
        </is>
      </c>
      <c r="N29" s="11" t="inlineStr">
        <is>
          <t>• [Must] Omit 'Privacy Commissioner', substitute 'Information Commissioner in relation to matters that relate to the privacy functions (within the meaning of the Australian Information Commissioner Act 2010)'
• [Must] Repeal the section, substitute: Guidelines relating to privacy</t>
        </is>
      </c>
      <c r="O29" s="11" t="inlineStr">
        <is>
          <t>Amendments consequential on the establishment of the Office of the Australian Information Commissioner Schedule 5</t>
        </is>
      </c>
      <c r="P29" s="12" t="n">
        <v>4</v>
      </c>
    </row>
    <row r="30">
      <c r="A30" t="inlineStr">
        <is>
          <t>Australia</t>
        </is>
      </c>
      <c r="B30" t="inlineStr">
        <is>
          <t>C2012C00866 (Australia - Row 12)</t>
        </is>
      </c>
      <c r="C30" t="inlineStr">
        <is>
          <t>2010 (part 2)</t>
        </is>
      </c>
      <c r="D30" s="11" t="inlineStr">
        <is>
          <t>Exemptions for intelligence and defense intelligence documents</t>
        </is>
      </c>
      <c r="E30" t="inlineStr">
        <is>
          <t>143–149</t>
        </is>
      </c>
      <c r="F30" t="inlineStr">
        <is>
          <t>Low</t>
        </is>
      </c>
      <c r="G30" t="inlineStr">
        <is>
          <t>High (explicit)</t>
        </is>
      </c>
      <c r="H30" s="11" t="inlineStr"/>
      <c r="I30" s="11" t="inlineStr">
        <is>
          <t>Special Personal Information</t>
        </is>
      </c>
      <c r="J30" t="inlineStr">
        <is>
          <t>Information Commissioner</t>
        </is>
      </c>
      <c r="K30" s="11" t="inlineStr">
        <is>
          <t>This section defines exemptions for intelligence and defense intelligence documents under the Freedom of Information Act 1982. It specifies that agencies and ministers are exempt from the Act's requirements for documents originating from specific intelligence agencies, defense intelligence organizations, or related materials. The exemptions cover both the original documents and summaries/extracts of these documents, with clear definitions of intelligence agency documents and defense intelligence documents.</t>
        </is>
      </c>
      <c r="L30" s="11" t="inlineStr">
        <is>
          <t>This section establishes exemptions for certain sensitive government documents, which may impact data transfer assessments when handling intelligence or defense-related information across borders. The exemptions apply to specific document types and require careful assessment to avoid unintended disclosure of classified information.</t>
        </is>
      </c>
      <c r="M30" s="11" t="inlineStr">
        <is>
          <t>• [Exemption] An agency is exempt from the operation of this Act in relation to a document that has originated with, or has been received from, any of the specified intelligence agencies
• [Exemption] A document containing a summary of, or an extract from, an intelligence agency document is exempt to the extent it contains such summary or extract
• [Exemption] A Minister is exempt from the operation of this Act in relation to intelligence agency documents</t>
        </is>
      </c>
      <c r="N30" s="11" t="inlineStr">
        <is>
          <t>• [Exemption] A document containing a summary of, or an extract from, an intelligence agency document is exempt to the extent it contains such summary or extract
• [Exemption] An agency is exempt from the operation of this Act in relation to defense intelligence documents
• [Exemption] A document containing a summary of, or an extract from, a defense intelligence document is exempt to the extent it contains such summary or extract</t>
        </is>
      </c>
      <c r="O30" s="11" t="inlineStr">
        <is>
          <t>An agency is exempt from the operation of this Act in relation to a document (an intelligence agency document) that has originated with, or has been received from, any of the following: (i) the Australian Secret Intelligence Service; (ii) the Australian Security Intelligence Organisation; (iii) the Inspector-General of Intelligence and Security; (iv) the Office of National Assessments; (v) the Defence Imagery and Geospatial Organisation; (vi) the Defence Intelligence Organisation; (vii) the Defence Signals Directorate</t>
        </is>
      </c>
      <c r="P30" s="12" t="n">
        <v>4</v>
      </c>
    </row>
    <row r="31">
      <c r="A31" t="inlineStr">
        <is>
          <t>Australia</t>
        </is>
      </c>
      <c r="B31" t="inlineStr">
        <is>
          <t>C2012C00866 (Australia - Row 12)</t>
        </is>
      </c>
      <c r="C31" t="inlineStr">
        <is>
          <t>2010 (part 3)</t>
        </is>
      </c>
      <c r="D31" s="11" t="inlineStr">
        <is>
          <t>Request consultation process for practical refusal reasons</t>
        </is>
      </c>
      <c r="E31" t="inlineStr">
        <is>
          <t>149–154</t>
        </is>
      </c>
      <c r="F31" t="inlineStr">
        <is>
          <t>Low</t>
        </is>
      </c>
      <c r="G31" t="inlineStr">
        <is>
          <t>High (explicit)</t>
        </is>
      </c>
      <c r="H31" s="11" t="inlineStr"/>
      <c r="I31" s="11" t="inlineStr">
        <is>
          <t>Special Personal Information</t>
        </is>
      </c>
      <c r="J31" t="inlineStr">
        <is>
          <t>Information Commissioner</t>
        </is>
      </c>
      <c r="K31" s="11" t="inlineStr">
        <is>
          <t>This section establishes a request consultation process that must be undertaken when an agency or minister determines that a practical refusal reason exists for a document request. The process requires written notification to the applicant, identification of the practical refusal reason, and a 14-day consultation period during which the applicant can revise their request. The process aims to allow applicants to modify their requests to overcome practical refusal reasons before a final decision is made.</t>
        </is>
      </c>
      <c r="L31" s="11" t="inlineStr">
        <is>
          <t>This section outlines a specific consultation process that must be followed when handling requests involving sensitive or non-existent documents, which may impact data transfer assessments when dealing with government records across borders. The process ensures applicants have a chance to revise requests before final refusal decisions are made.</t>
        </is>
      </c>
      <c r="M31" s="11" t="inlineStr">
        <is>
          <t>• [Notification] The agency or Minister must give the applicant written notice stating intention to refuse access, practical refusal reason, contact person details, and consultation period duration
• [Condition] The consultation period is 14 days after the applicant receives the notice</t>
        </is>
      </c>
      <c r="N31" s="11" t="inlineStr">
        <is>
          <t>• [Assistance] The agency or Minister must take reasonable steps to assist the applicant in revising the request to eliminate the practical refusal reason
• [Action] The applicant must withdraw the request, make a revised request, or indicate they do not wish to revise the request within the consultation period</t>
        </is>
      </c>
      <c r="O31" s="11" t="inlineStr">
        <is>
          <t>The agency or Minister must give the applicant a written notice stating: (a) an intention to refuse access to a document in accordance with a request; (b) the practical refusal reason; (c) the name of an officer of the agency or member of staff of the Minister (the contact person) with whom the applicant may consult during a period; (d) details of how the applicant may contact the contact person; (e) that the period (the consultation period) during which the applicant may consult with the contact person is 14 days after the day the applicant is given the notice.</t>
        </is>
      </c>
      <c r="P31" s="12" t="n">
        <v>4</v>
      </c>
    </row>
    <row r="32">
      <c r="A32" t="inlineStr">
        <is>
          <t>Australia</t>
        </is>
      </c>
      <c r="B32" t="inlineStr">
        <is>
          <t>C2012C00866 (Australia - Row 12)</t>
        </is>
      </c>
      <c r="C32" t="inlineStr">
        <is>
          <t>2010 (part 4)</t>
        </is>
      </c>
      <c r="D32" s="11" t="inlineStr">
        <is>
          <t>Transition of Privacy Commissioner responsibilities to Information Commissioner</t>
        </is>
      </c>
      <c r="E32" t="inlineStr">
        <is>
          <t>154–162</t>
        </is>
      </c>
      <c r="F32" t="inlineStr">
        <is>
          <t>Medium</t>
        </is>
      </c>
      <c r="G32" t="inlineStr">
        <is>
          <t>High (explicit)</t>
        </is>
      </c>
      <c r="H32" s="11" t="inlineStr">
        <is>
          <t>Cross-border Transfer, International Processing, Data Storage, Data Residency, Security, Incident Reporting, Breach Notification, Governance, Record Keeping</t>
        </is>
      </c>
      <c r="I32" s="11" t="inlineStr">
        <is>
          <t>Personal Information, Financial Data, Customer Data, Employee Data</t>
        </is>
      </c>
      <c r="J32" t="inlineStr">
        <is>
          <t>Australian Information Commissioner</t>
        </is>
      </c>
      <c r="K32" s="11" t="inlineStr">
        <is>
          <t>This section amends the Freedom of Information Act 1982 by transitioning responsibilities from the Privacy Commissioner to the Information Commissioner. It ensures continuity of functions, including the handling of ongoing investigations, consultations, and decisions made before the commencement date. The Information Commissioner assumes all obligations and powers previously held by the Privacy Commissioner for matters that were initiated prior to the transition date.</t>
        </is>
      </c>
      <c r="L32" s="11" t="inlineStr">
        <is>
          <t>This section ensures that transitional obligations from the Privacy Commissioner to the Information Commissioner are maintained, which is critical for data transfer impact assessments involving cross-border data flows that may have been initiated before the transition date.</t>
        </is>
      </c>
      <c r="M32" s="11" t="inlineStr">
        <is>
          <t>• [Must] The Privacy Commissioner's actions before the commencement day are treated as actions by the Information Commissioner for the same purpose.
• [May] The Information Commissioner may determine exceptions to the transition for specific actions.
• [Must] Consultations initiated by the Privacy Commissioner before the commencement day may continue with the Information Commissioner.</t>
        </is>
      </c>
      <c r="N32" s="11" t="inlineStr">
        <is>
          <t>• [Must] Decisions made by the Privacy Commissioner before the commencement day may be implemented by the Information Commissioner.
• [Must] The Information Commissioner must handle submissions and evidence as required by the Privacy Commissioner before the transition date.</t>
        </is>
      </c>
      <c r="O32" s="11" t="inlineStr">
        <is>
          <t>This item applies if: (a) the Privacy Commissioner made a decision in accordance with a provision of the Privacy Act 1988; and (b) having made the decision, the Privacy Commissioner was required to take a step to implement it; and (c) the Privacy Commissioner did not take the step before the commencement day. The Information Commissioner may take the step in accordance with the provision to implement the decision on or after the commencement day.</t>
        </is>
      </c>
      <c r="P32" s="12" t="n">
        <v>4</v>
      </c>
    </row>
    <row r="33">
      <c r="A33" t="inlineStr">
        <is>
          <t>Australia</t>
        </is>
      </c>
      <c r="B33" t="inlineStr">
        <is>
          <t>C2012C00866 (Australia - Row 12)</t>
        </is>
      </c>
      <c r="C33" t="inlineStr">
        <is>
          <t>2010 (part 6)</t>
        </is>
      </c>
      <c r="D33" s="11" t="inlineStr">
        <is>
          <t>Transition of Privacy Commissioner's pending proceedings to Information Commissioner</t>
        </is>
      </c>
      <c r="E33" t="inlineStr">
        <is>
          <t>169–176</t>
        </is>
      </c>
      <c r="F33" t="inlineStr">
        <is>
          <t>Low</t>
        </is>
      </c>
      <c r="G33" t="inlineStr">
        <is>
          <t>High (explicit)</t>
        </is>
      </c>
      <c r="H33" s="11" t="inlineStr"/>
      <c r="I33" s="11" t="inlineStr"/>
      <c r="J33" t="inlineStr">
        <is>
          <t>Information Commissioner</t>
        </is>
      </c>
      <c r="K33" s="11" t="inlineStr">
        <is>
          <t>This section mandates that any pending court or tribunal proceedings where the Privacy Commissioner was a party before the commencement date automatically substitute the Information Commissioner as the party from the commencement date onward. It also outlines specific scenarios where the Information Commissioner may continue or complete actions initiated by the Privacy Commissioner under the Privacy Act 1988, such as reviews, examinations, conciliation processes, and conferences, without interruption to the legal process.</t>
        </is>
      </c>
      <c r="L33" s="11" t="inlineStr">
        <is>
          <t>This section ensures continuity of legal proceedings involving the Privacy Commissioner by transitioning responsibilities to the Information Commissioner, which is relevant for DTIAs when assessing the impact of regulatory transitions on cross-border data handling in legal contexts.</t>
        </is>
      </c>
      <c r="M33" s="11" t="inlineStr">
        <is>
          <t>• [Must] The Information Commissioner substitutes for the Privacy Commissioner as a party to pending proceedings on and after the commencement day.
• [May] The Information Commissioner may complete reviews, examinations, conciliation processes, research, or record examinations initiated by the Privacy Commissioner before the commencement day.</t>
        </is>
      </c>
      <c r="N33" s="11" t="inlineStr">
        <is>
          <t>• [May] The Information Commissioner may hold conferences convened by the Privacy Commissioner before the commencement day but not held.
• [May] The Information Commissioner may make determinations in relation to matters raised at conferences held by the Privacy Commissioner before the commencement day.</t>
        </is>
      </c>
      <c r="O33" s="11" t="inlineStr">
        <is>
          <t>If any proceedings to which the Privacy Commissioner was a party were pending in any court or tribunal immediately before the commencement day, the Information Commissioner is substituted for the Privacy Commissioner as a party to the proceedings on and after the commencement day.</t>
        </is>
      </c>
      <c r="P33" s="12" t="n">
        <v>4</v>
      </c>
    </row>
    <row r="34">
      <c r="A34" t="inlineStr">
        <is>
          <t>Australia</t>
        </is>
      </c>
      <c r="B34" t="inlineStr">
        <is>
          <t>C2016C00614 (Australia - Row 23)</t>
        </is>
      </c>
      <c r="C34" t="inlineStr">
        <is>
          <t>3</t>
        </is>
      </c>
      <c r="D34" s="11" t="inlineStr">
        <is>
          <t>Users authorized to consent on behalf of account holders</t>
        </is>
      </c>
      <c r="E34" t="inlineStr">
        <is>
          <t>5</t>
        </is>
      </c>
      <c r="F34" t="inlineStr">
        <is>
          <t>Medium</t>
        </is>
      </c>
      <c r="G34" t="inlineStr">
        <is>
          <t>High (explicit)</t>
        </is>
      </c>
      <c r="H34" s="11" t="inlineStr">
        <is>
          <t>Consent</t>
        </is>
      </c>
      <c r="I34" s="11" t="inlineStr">
        <is>
          <t>Customer Data</t>
        </is>
      </c>
      <c r="J34" t="inlineStr"/>
      <c r="K34" s="11" t="inlineStr">
        <is>
          <t>This section establishes that individuals authorized to consent on behalf of relevant account holders can act as their representatives for consent purposes. The authorization must be specific to the account type and must not be a general delegation. This applies to account holders who are unable to consent directly themselves.</t>
        </is>
      </c>
      <c r="L34" s="11" t="inlineStr">
        <is>
          <t>This section clarifies who can legally consent on behalf of account holders, which is relevant for determining consent validity in cross-border data transfers involving account-related information.</t>
        </is>
      </c>
      <c r="M34" s="11" t="inlineStr">
        <is>
          <t>• [Must] Users of account authorised to consent on behalf of relevant</t>
        </is>
      </c>
      <c r="N34" s="11" t="inlineStr"/>
      <c r="O34" s="11" t="inlineStr">
        <is>
          <t>Users of account authorised to consent on behalf of relevant</t>
        </is>
      </c>
      <c r="P34" s="12" t="n">
        <v>5</v>
      </c>
    </row>
    <row r="35">
      <c r="A35" t="inlineStr">
        <is>
          <t>Australia</t>
        </is>
      </c>
      <c r="B35" t="inlineStr">
        <is>
          <t>C2016C00614 (Australia - Row 23)</t>
        </is>
      </c>
      <c r="C35" t="inlineStr">
        <is>
          <t>14</t>
        </is>
      </c>
      <c r="D35" s="11" t="inlineStr">
        <is>
          <t>Effective date of the Act</t>
        </is>
      </c>
      <c r="E35" t="inlineStr">
        <is>
          <t>7–14</t>
        </is>
      </c>
      <c r="F35" t="inlineStr">
        <is>
          <t>None</t>
        </is>
      </c>
      <c r="G35" t="inlineStr">
        <is>
          <t>High (explicit)</t>
        </is>
      </c>
      <c r="H35" s="11" t="inlineStr"/>
      <c r="I35" s="11" t="inlineStr"/>
      <c r="J35" t="inlineStr"/>
      <c r="K35" s="11" t="inlineStr">
        <is>
          <t>This section specifies the effective dates for various provisions of the Act, including the day the Act receives Royal Assent and the 120-day period after that date. It details when different sections and schedules come into effect, with specific dates provided for the Act's commencement.</t>
        </is>
      </c>
      <c r="L35" s="11" t="inlineStr"/>
      <c r="M35" s="11" t="inlineStr">
        <is>
          <t>• [Must] The day on which this Act receives the Royal Assent. 12 December 2003</t>
        </is>
      </c>
      <c r="N35" s="11" t="inlineStr">
        <is>
          <t>• [Must] On the day after the end of the period of 120 days beginning on the day on which this Act receives the Royal Assent. 10 April 2004</t>
        </is>
      </c>
      <c r="O35" s="11" t="inlineStr">
        <is>
          <t>The day on which this Act receives the Royal Assent. 12 December 2003</t>
        </is>
      </c>
      <c r="P35" s="12" t="n">
        <v>5</v>
      </c>
    </row>
    <row r="36">
      <c r="A36" t="inlineStr">
        <is>
          <t>Australia</t>
        </is>
      </c>
      <c r="B36" t="inlineStr">
        <is>
          <t>C2016C00614 (Australia - Row 23)</t>
        </is>
      </c>
      <c r="C36" t="inlineStr">
        <is>
          <t>25</t>
        </is>
      </c>
      <c r="D36" s="11" t="inlineStr">
        <is>
          <t>Civil penalties for contraventions of civil penalty provisions</t>
        </is>
      </c>
      <c r="E36" t="inlineStr">
        <is>
          <t>31–33</t>
        </is>
      </c>
      <c r="F36" t="inlineStr">
        <is>
          <t>High</t>
        </is>
      </c>
      <c r="G36" t="inlineStr">
        <is>
          <t>High (explicit)</t>
        </is>
      </c>
      <c r="H36" s="11" t="inlineStr"/>
      <c r="I36" s="11" t="inlineStr">
        <is>
          <t>Financial Data</t>
        </is>
      </c>
      <c r="J36" t="inlineStr">
        <is>
          <t>Federal Court</t>
        </is>
      </c>
      <c r="K36" s="11" t="inlineStr">
        <is>
          <t>Section 25(4) states that subsections (1) and (3) of the Spam Act 2003 are civil penalty provisions. These provisions establish pecuniary penalties payable for contraventions, with proceedings for recovery instituted in the Federal Court. The court may also order compensation to victims and payment to the Commonwealth for financial benefits attributable to contraventions.</t>
        </is>
      </c>
      <c r="L36" s="11" t="inlineStr">
        <is>
          <t>This section establishes the legal framework for civil penalties and compensation in cases of contraventions, relevant to DTIA assessments for financial institutions handling unsolicited commercial electronic messages.</t>
        </is>
      </c>
      <c r="M36" s="11" t="inlineStr">
        <is>
          <t>• [Must] Subsections (1) and (3) are civil penalty provisions
• [Must] Pecuniary penalties are payable for contraventions of civil penalty provisions
• [Must] Proceedings for recovery of penalties are to be instituted in the Federal Court</t>
        </is>
      </c>
      <c r="N36" s="11" t="inlineStr">
        <is>
          <t>• [Must] The Federal Court may direct payment of compensation to a victim of a contravention
• [Must] The Federal Court may direct payment to the Commonwealth of an amount up to financial benefits attributable to contraventions</t>
        </is>
      </c>
      <c r="O36" s="11" t="inlineStr">
        <is>
          <t>Subsections (1) and (3) are civil penalty provisions. Pecuniary penalties are payable for contraventions of civil penalty provisions. Proceedings for the recovery of penalties are to be instituted in the Federal Court. The Federal Court may make ancillary orders: (a) directing the payment of compensation to a victim of a contravention of a civil penalty provision; and (b) directing the payment to the Commonwealth of an amount up to the amount of any financial benefit that is attributable to a contravention of a civil penalty provision.</t>
        </is>
      </c>
      <c r="P36" s="12" t="n">
        <v>5</v>
      </c>
    </row>
    <row r="37">
      <c r="A37" t="inlineStr">
        <is>
          <t>Australia</t>
        </is>
      </c>
      <c r="B37" t="inlineStr">
        <is>
          <t>C2016C00614 (Australia - Row 23)</t>
        </is>
      </c>
      <c r="C37" t="inlineStr">
        <is>
          <t>35</t>
        </is>
      </c>
      <c r="D37" s="11" t="inlineStr">
        <is>
          <t>Performance injunctions for non-compliance with obligations</t>
        </is>
      </c>
      <c r="E37" t="inlineStr">
        <is>
          <t>41–43</t>
        </is>
      </c>
      <c r="F37" t="inlineStr">
        <is>
          <t>Medium</t>
        </is>
      </c>
      <c r="G37" t="inlineStr">
        <is>
          <t>High (explicit)</t>
        </is>
      </c>
      <c r="H37" s="11" t="inlineStr"/>
      <c r="I37" s="11" t="inlineStr">
        <is>
          <t>Customer Data</t>
        </is>
      </c>
      <c r="J37" t="inlineStr">
        <is>
          <t>Federal Court</t>
        </is>
      </c>
      <c r="K37" s="11" t="inlineStr">
        <is>
          <t>Section 35(2) outlines conditions under which the Federal Court may grant performance injunctions. The court can exercise this power if a person has refused or failed to comply with an act or thing, or if it is likely they will refuse or fail to comply, even if they have previously refused or failed. The court may also consider imminent danger of substantial damage.</t>
        </is>
      </c>
      <c r="L37" s="11" t="inlineStr">
        <is>
          <t>This section details when performance injunctions can be granted, relevant for DTIA assessments involving third-party compliance with data transfer obligations.</t>
        </is>
      </c>
      <c r="M37" s="11" t="inlineStr">
        <is>
          <t>• [Must] The Federal Court may grant an injunction requiring a person to do an act or thing
• [Must] The court may exercise this power if the person has refused or failed to do that act or thing</t>
        </is>
      </c>
      <c r="N37" s="11" t="inlineStr">
        <is>
          <t>• [Must] The court may exercise this power if it appears likely the person will refuse or fail to do that act or thing</t>
        </is>
      </c>
      <c r="O37" s="11" t="inlineStr">
        <is>
          <t>The power of the Federal Court to grant an injunction requiring a person to do an act or thing may be exercised: (a) if the Court is satisfied that the person has refused or failed to do that act or thing—whether or not it appears to the Court that the person intends to refuse or fail again, or to continue to refuse or fail, to do that act or thing; or (b) if it appears to the Court that, if an injunction is not granted, it is likely that the person will refuse or fail to do that act or thing—whether or not the person has previously refused or failed to do that act or thing and whether or not there is an imminent danger of substantial damage to any person if the person refuses or fails to do that act or thing.</t>
        </is>
      </c>
      <c r="P37" s="12" t="n">
        <v>5</v>
      </c>
    </row>
    <row r="38">
      <c r="A38" t="inlineStr">
        <is>
          <t>Australia</t>
        </is>
      </c>
      <c r="B38" t="inlineStr">
        <is>
          <t>C2016C00614 (Australia - Row 23)</t>
        </is>
      </c>
      <c r="C38" t="inlineStr">
        <is>
          <t>37</t>
        </is>
      </c>
      <c r="D38" s="11" t="inlineStr">
        <is>
          <t>Enforceable undertakings for commercial electronic messages</t>
        </is>
      </c>
      <c r="E38" t="inlineStr">
        <is>
          <t>43–45</t>
        </is>
      </c>
      <c r="F38" t="inlineStr">
        <is>
          <t>High</t>
        </is>
      </c>
      <c r="G38" t="inlineStr">
        <is>
          <t>High (explicit)</t>
        </is>
      </c>
      <c r="H38" s="11" t="inlineStr"/>
      <c r="I38" s="11" t="inlineStr">
        <is>
          <t>Customer Data</t>
        </is>
      </c>
      <c r="J38" t="inlineStr">
        <is>
          <t>ACMA</t>
        </is>
      </c>
      <c r="K38" s="11" t="inlineStr">
        <is>
          <t>Section 37 allows a person to give the ACMA an enforceable undertaking regarding commercial electronic messages or address-harvesting software. The ACMA may accept such undertakings, and the person may withdraw or vary them with consent. The ACMA can apply to the Federal Court for enforcement if a breach occurs.</t>
        </is>
      </c>
      <c r="L38" s="11" t="inlineStr">
        <is>
          <t>This section provides a mechanism for enforceable undertakings related to unsolicited commercial electronic messages, relevant for DTIA assessments involving third-party data transfers.</t>
        </is>
      </c>
      <c r="M38" s="11" t="inlineStr">
        <is>
          <t>• [May] A person may give the ACMA an enforceable undertaking in connection with commercial electronic messages or address-harvesting software
• [May] The ACMA may accept a written undertaking for the purposes of this section</t>
        </is>
      </c>
      <c r="N38" s="11" t="inlineStr">
        <is>
          <t>• [May] The person may withdraw or vary the undertaking at any time with ACMA consent</t>
        </is>
      </c>
      <c r="O38" s="11" t="inlineStr">
        <is>
          <t>A person may give the ACMA an enforceable undertaking in connection with a matter relating to: (a) commercial electronic messages; or (b) address-harvesting software.</t>
        </is>
      </c>
      <c r="P38" s="12" t="n">
        <v>5</v>
      </c>
    </row>
    <row r="39">
      <c r="A39" t="inlineStr">
        <is>
          <t>Australia</t>
        </is>
      </c>
      <c r="B39" t="inlineStr">
        <is>
          <t>C2016C00614 (Australia - Row 23)</t>
        </is>
      </c>
      <c r="C39" t="inlineStr">
        <is>
          <t>41</t>
        </is>
      </c>
      <c r="D39" s="11" t="inlineStr">
        <is>
          <t>Formal warnings for civil penalty contraventions</t>
        </is>
      </c>
      <c r="E39" t="inlineStr">
        <is>
          <t>47–49</t>
        </is>
      </c>
      <c r="F39" t="inlineStr">
        <is>
          <t>High</t>
        </is>
      </c>
      <c r="G39" t="inlineStr">
        <is>
          <t>High (explicit)</t>
        </is>
      </c>
      <c r="H39" s="11" t="inlineStr"/>
      <c r="I39" s="11" t="inlineStr">
        <is>
          <t>Customer Data</t>
        </is>
      </c>
      <c r="J39" t="inlineStr">
        <is>
          <t>ACMA</t>
        </is>
      </c>
      <c r="K39" s="11" t="inlineStr">
        <is>
          <t>Section 41 authorizes the ACMA to issue formal warnings when a person contravenes a civil penalty provision. This mechanism serves as a warning and potential enforcement step for non-compliance with the Spam Act 2003.</t>
        </is>
      </c>
      <c r="L39" s="11" t="inlineStr">
        <is>
          <t>This section enables formal warnings for contraventions, relevant for DTIA assessments when handling unsolicited commercial electronic messages.</t>
        </is>
      </c>
      <c r="M39" s="11" t="inlineStr">
        <is>
          <t>• [May] The ACMA may issue a formal warning if a person contravenes a civil penalty provision</t>
        </is>
      </c>
      <c r="N39" s="11" t="inlineStr"/>
      <c r="O39" s="11" t="inlineStr">
        <is>
          <t>The ACMA may issue a formal warning if a person contravenes a civil penalty provision.</t>
        </is>
      </c>
      <c r="P39" s="12" t="n">
        <v>5</v>
      </c>
    </row>
    <row r="40">
      <c r="A40" t="inlineStr">
        <is>
          <t>Australia</t>
        </is>
      </c>
      <c r="B40" t="inlineStr">
        <is>
          <t>C2016C00614 (Australia - Row 23)</t>
        </is>
      </c>
      <c r="C40" t="inlineStr">
        <is>
          <t>43</t>
        </is>
      </c>
      <c r="D40" s="11" t="inlineStr">
        <is>
          <t>Designated commercial electronic messages</t>
        </is>
      </c>
      <c r="E40" t="inlineStr">
        <is>
          <t>49–51</t>
        </is>
      </c>
      <c r="F40" t="inlineStr">
        <is>
          <t>High</t>
        </is>
      </c>
      <c r="G40" t="inlineStr">
        <is>
          <t>High (explicit)</t>
        </is>
      </c>
      <c r="H40" s="11" t="inlineStr">
        <is>
          <t>Consent</t>
        </is>
      </c>
      <c r="I40" s="11" t="inlineStr">
        <is>
          <t>Customer Data</t>
        </is>
      </c>
      <c r="J40" t="inlineStr">
        <is>
          <t>ACMA</t>
        </is>
      </c>
      <c r="K40" s="11" t="inlineStr">
        <is>
          <t>Section 43 defines when an electronic message is a designated commercial electronic message. This includes messages authorized by government bodies, political parties, charities, educational institutions, and specific conditions related to the recipient's enrollment status and the message's relevance to goods or services.</t>
        </is>
      </c>
      <c r="L40" s="11" t="inlineStr">
        <is>
          <t>This section specifies conditions for designated commercial electronic messages, relevant for DTIA assessments involving third-party data transfers and compliance with consent requirements.</t>
        </is>
      </c>
      <c r="M40" s="11" t="inlineStr">
        <is>
          <t>• [Must] An electronic message is a designated commercial electronic message if the sending is authorized by a government body, registered political party, or registered charity
• [Must] The message relates to goods or services</t>
        </is>
      </c>
      <c r="N40" s="11" t="inlineStr">
        <is>
          <t>• [Must] The body is the supplier or prospective supplier of the goods or services</t>
        </is>
      </c>
      <c r="O40" s="11" t="inlineStr">
        <is>
          <t>For the purposes of this Act, an electronic message is a designated commercial electronic message if: (a) the sending of the message is authorised by any of the following bodies: (i) a government body; (ii) a registered political party; (iii) a registered charity; and (b) the message relates to goods or services; and (c) the body is the supplier, or prospective supplier, of the goods or services concerned.</t>
        </is>
      </c>
      <c r="P40" s="12" t="n">
        <v>5</v>
      </c>
    </row>
    <row r="41">
      <c r="A41" t="inlineStr">
        <is>
          <t>Australia</t>
        </is>
      </c>
      <c r="B41" t="inlineStr">
        <is>
          <t>C2016C00614 (Australia - Row 23)</t>
        </is>
      </c>
      <c r="C41" t="inlineStr">
        <is>
          <t>47</t>
        </is>
      </c>
      <c r="D41" s="11" t="inlineStr">
        <is>
          <t>Infringement notices for civil penalty contraventions</t>
        </is>
      </c>
      <c r="E41" t="inlineStr">
        <is>
          <t>53–55</t>
        </is>
      </c>
      <c r="F41" t="inlineStr">
        <is>
          <t>Medium</t>
        </is>
      </c>
      <c r="G41" t="inlineStr">
        <is>
          <t>High (explicit)</t>
        </is>
      </c>
      <c r="H41" s="11" t="inlineStr"/>
      <c r="I41" s="11" t="inlineStr">
        <is>
          <t>Personal Information</t>
        </is>
      </c>
      <c r="J41" t="inlineStr">
        <is>
          <t>ACMA</t>
        </is>
      </c>
      <c r="K41" s="11" t="inlineStr">
        <is>
          <t>This Schedule establishes a system for issuing infringement notices as an alternative to Federal Court proceedings for civil penalty contraventions. An authorised ACMA person may issue an infringement notice if they have reasonable grounds to believe a person committed one or more contraventions within the past 12 months. The notice must include the recipient's name, the authorised person's name, brief details of the alleged contraventions, a payment deadline, payment instructions, and other specified matters.</t>
        </is>
      </c>
      <c r="L41" s="11" t="inlineStr">
        <is>
          <t>This section outlines the procedural requirements for issuing infringement notices, which could impact data transfer assessments if the notices involve cross-border data sharing or processing of personal information.</t>
        </is>
      </c>
      <c r="M41" s="11" t="inlineStr">
        <is>
          <t>• [Must] An authorised person may give an infringement notice if they have reasonable grounds to believe a person committed one or more contraventions of a civil penalty provision
• [Must] An infringement notice must be given within 12 months after the day on which the civil contraventions are alleged to have taken place
• [Must] An infringement notice must set out the name of the person to whom the notice is given
• [Must] An infringement notice must set out the name of the authorised person who gave the notice</t>
        </is>
      </c>
      <c r="N41" s="11" t="inlineStr">
        <is>
          <t>• [Must] An infringement notice must either set out brief details of each alleged civil contravention or be accompanied by data processing devices containing brief details
• [Must] An infringement notice must contain a statement that the matter will not be dealt with by the Federal Court if the penalty is paid within 28 days or a longer period allowed by ACMA
• [Must] An infringement notice must give an explanation of how payment of the penalty is to be made
• [Must] An infringement notice must include the date of the alleged contravention and the civil penalty provision allegedly contravened for each contravention</t>
        </is>
      </c>
      <c r="O41" s="11" t="inlineStr">
        <is>
          <t>The object of this Schedule is to set up a system of infringement notices for contraventions of civil penalty provisions as an alternative to the institution of proceedings in the Federal Court.</t>
        </is>
      </c>
      <c r="P41" s="12" t="n">
        <v>5</v>
      </c>
    </row>
    <row r="42">
      <c r="A42" t="inlineStr">
        <is>
          <t>Australia</t>
        </is>
      </c>
      <c r="B42" t="inlineStr">
        <is>
          <t>C2024C00719 (Australia - Row 15)</t>
        </is>
      </c>
      <c r="C42" t="inlineStr">
        <is>
          <t>49</t>
        </is>
      </c>
      <c r="D42" s="11" t="inlineStr">
        <is>
          <t>Taking investment instruments or intermediated securities free</t>
        </is>
      </c>
      <c r="E42" t="inlineStr">
        <is>
          <t>5</t>
        </is>
      </c>
      <c r="F42" t="inlineStr">
        <is>
          <t>High</t>
        </is>
      </c>
      <c r="G42" t="inlineStr">
        <is>
          <t>High (explicit)</t>
        </is>
      </c>
      <c r="H42" s="11" t="inlineStr"/>
      <c r="I42" s="11" t="inlineStr"/>
      <c r="J42" t="inlineStr"/>
      <c r="K42" s="11" t="inlineStr">
        <is>
          <t>This section specifies conditions under which investment instruments or intermediated securities can be taken free of security interests. It outlines the circumstances where such assets are no longer subject to a security interest, typically when the security interest is no longer enforceable or has been discharged.</t>
        </is>
      </c>
      <c r="L42" s="11" t="inlineStr"/>
      <c r="M42" s="11" t="inlineStr">
        <is>
          <t>• [Must] Investment instruments or intermediated securities can be taken free of security interests under specified conditions</t>
        </is>
      </c>
      <c r="N42" s="11" t="inlineStr"/>
      <c r="O42" s="11" t="inlineStr">
        <is>
          <t>Taking investment instrument or intermediated security free</t>
        </is>
      </c>
      <c r="P42" s="12" t="n">
        <v>6</v>
      </c>
    </row>
    <row r="43">
      <c r="A43" t="inlineStr">
        <is>
          <t>Australia</t>
        </is>
      </c>
      <c r="B43" t="inlineStr">
        <is>
          <t>C2024C00719 (Australia - Row 15)</t>
        </is>
      </c>
      <c r="C43" t="inlineStr">
        <is>
          <t>74</t>
        </is>
      </c>
      <c r="D43" s="11" t="inlineStr">
        <is>
          <t>Execution creditor priority over unperfected security</t>
        </is>
      </c>
      <c r="E43" t="inlineStr">
        <is>
          <t>6</t>
        </is>
      </c>
      <c r="F43" t="inlineStr">
        <is>
          <t>High</t>
        </is>
      </c>
      <c r="G43" t="inlineStr">
        <is>
          <t>High (explicit)</t>
        </is>
      </c>
      <c r="H43" s="11" t="inlineStr"/>
      <c r="I43" s="11" t="inlineStr"/>
      <c r="J43" t="inlineStr"/>
      <c r="K43" s="11" t="inlineStr">
        <is>
          <t>This section establishes that an execution creditor has priority over unperfected security interests when enforcing a security interest. It ensures that creditors who have executed on collateral can take priority over less perfected security interests in the event of default.</t>
        </is>
      </c>
      <c r="L43" s="11" t="inlineStr"/>
      <c r="M43" s="11" t="inlineStr">
        <is>
          <t>• [Must] Execution creditor has priority over unperfected security interests when enforcing a security interest</t>
        </is>
      </c>
      <c r="N43" s="11" t="inlineStr"/>
      <c r="O43" s="11" t="inlineStr">
        <is>
          <t>Execution creditor has priority over unperfected security</t>
        </is>
      </c>
      <c r="P43" s="12" t="n">
        <v>6</v>
      </c>
    </row>
    <row r="44">
      <c r="A44" t="inlineStr">
        <is>
          <t>Australia</t>
        </is>
      </c>
      <c r="B44" t="inlineStr">
        <is>
          <t>C2024C00719 (Australia - Row 15)</t>
        </is>
      </c>
      <c r="C44" t="inlineStr">
        <is>
          <t>81</t>
        </is>
      </c>
      <c r="D44" s="11" t="inlineStr">
        <is>
          <t>Contractual rights on transfer of account or chattel paper</t>
        </is>
      </c>
      <c r="E44" t="inlineStr">
        <is>
          <t>6</t>
        </is>
      </c>
      <c r="F44" t="inlineStr">
        <is>
          <t>High</t>
        </is>
      </c>
      <c r="G44" t="inlineStr">
        <is>
          <t>High (explicit)</t>
        </is>
      </c>
      <c r="H44" s="11" t="inlineStr"/>
      <c r="I44" s="11" t="inlineStr"/>
      <c r="J44" t="inlineStr"/>
      <c r="K44" s="11" t="inlineStr">
        <is>
          <t>This section details contractual rights that arise upon the transfer of accounts or chattel paper. It specifies the conditions under which parties can retain rights to the transferred property, typically through contractual agreements rather than legal security interests.</t>
        </is>
      </c>
      <c r="L44" s="11" t="inlineStr"/>
      <c r="M44" s="11" t="inlineStr">
        <is>
          <t>• [Must] Contractual rights on transfer of account or chattel paper are established under specified conditions</t>
        </is>
      </c>
      <c r="N44" s="11" t="inlineStr"/>
      <c r="O44" s="11" t="inlineStr">
        <is>
          <t>Rights on transfer of account or chattel paper—contractual</t>
        </is>
      </c>
      <c r="P44" s="12" t="n">
        <v>6</v>
      </c>
    </row>
    <row r="45">
      <c r="A45" t="inlineStr">
        <is>
          <t>Australia</t>
        </is>
      </c>
      <c r="B45" t="inlineStr">
        <is>
          <t>C2024C00719 (Australia - Row 15)</t>
        </is>
      </c>
      <c r="C45" t="inlineStr">
        <is>
          <t>103</t>
        </is>
      </c>
      <c r="D45" s="11" t="inlineStr">
        <is>
          <t>Priority of purchase money security interest in processed property</t>
        </is>
      </c>
      <c r="E45" t="inlineStr">
        <is>
          <t>7</t>
        </is>
      </c>
      <c r="F45" t="inlineStr">
        <is>
          <t>High</t>
        </is>
      </c>
      <c r="G45" t="inlineStr">
        <is>
          <t>High (explicit)</t>
        </is>
      </c>
      <c r="H45" s="11" t="inlineStr"/>
      <c r="I45" s="11" t="inlineStr"/>
      <c r="J45" t="inlineStr"/>
      <c r="K45" s="11" t="inlineStr">
        <is>
          <t>This section addresses the priority of purchase money security interests in processed or commingled personal property. It specifies that such security interests take priority over other unperfected interests in the event of a dispute over the property.</t>
        </is>
      </c>
      <c r="L45" s="11" t="inlineStr"/>
      <c r="M45" s="11" t="inlineStr">
        <is>
          <t>• [Must] Purchase money security interest in processed or commingled property takes priority over other unperfected interests</t>
        </is>
      </c>
      <c r="N45" s="11" t="inlineStr"/>
      <c r="O45" s="11" t="inlineStr">
        <is>
          <t>Priority of purchase money security interest in processed or</t>
        </is>
      </c>
      <c r="P45" s="12" t="n">
        <v>6</v>
      </c>
    </row>
    <row r="46">
      <c r="A46" t="inlineStr">
        <is>
          <t>Australia</t>
        </is>
      </c>
      <c r="B46" t="inlineStr">
        <is>
          <t>C2024C00719 (Australia - Row 15)</t>
        </is>
      </c>
      <c r="C46" t="inlineStr">
        <is>
          <t>345</t>
        </is>
      </c>
      <c r="D46" s="11" t="inlineStr">
        <is>
          <t>Personal Property Securities Act 2009 compilation section</t>
        </is>
      </c>
      <c r="E46" t="inlineStr">
        <is>
          <t>18–26</t>
        </is>
      </c>
      <c r="F46" t="inlineStr">
        <is>
          <t>High</t>
        </is>
      </c>
      <c r="G46" t="inlineStr">
        <is>
          <t>High (explicit)</t>
        </is>
      </c>
      <c r="H46" s="11" t="inlineStr">
        <is>
          <t>Security, Processing</t>
        </is>
      </c>
      <c r="I46" s="11" t="inlineStr">
        <is>
          <t>Personal Information</t>
        </is>
      </c>
      <c r="J46" t="inlineStr">
        <is>
          <t>Personal Property Securities Act 2009</t>
        </is>
      </c>
      <c r="K46" s="11" t="inlineStr">
        <is>
          <t>This section provides a compilation of the Personal Property Securities Act 2009, including its general application, the definition of personal property, security interests, and the conditions for perfection and priority of security interests. It outlines the scope of the Act and its applicability to various types of property and interests.</t>
        </is>
      </c>
      <c r="L46" s="11" t="inlineStr"/>
      <c r="M46" s="11" t="inlineStr">
        <is>
          <t>• [Must] Personal property includes tangible and intangible property other than real property
• [Must] A security interest is enforceable against a grantor when it attaches to collateral
• [Must] A security interest is enforceable against third parties when it has attached to collateral and either the secured party has possession or control of the collateral, or a security agreement covers the collateral</t>
        </is>
      </c>
      <c r="N46" s="11" t="inlineStr">
        <is>
          <t>• [Must] A security interest is perfected if it has attached to collateral, is enforceable against third parties, and certain extra steps (possession or control of the collateral, or registration on the Register of Personal Property Securities) have been taken
• [Must] The Register of Personal Property Securities enables secured parties to give notice of actual or prospective security interests</t>
        </is>
      </c>
      <c r="O46" s="11" t="inlineStr">
        <is>
          <t>Section 1: Compilation An Act relating to personal property securities, and for related purposes</t>
        </is>
      </c>
      <c r="P46" s="12" t="n">
        <v>6</v>
      </c>
    </row>
    <row r="47">
      <c r="A47" t="inlineStr">
        <is>
          <t>Australia</t>
        </is>
      </c>
      <c r="B47" t="inlineStr">
        <is>
          <t>C2024C00719 (Australia - Row 15)</t>
        </is>
      </c>
      <c r="C47" t="inlineStr">
        <is>
          <t>345 (part 3)</t>
        </is>
      </c>
      <c r="D47" s="11" t="inlineStr">
        <is>
          <t>Definitions of financial and property terms in the Australian Securities and Investments Commission Act</t>
        </is>
      </c>
      <c r="E47" t="inlineStr">
        <is>
          <t>32–40</t>
        </is>
      </c>
      <c r="F47" t="inlineStr">
        <is>
          <t>High</t>
        </is>
      </c>
      <c r="G47" t="inlineStr">
        <is>
          <t>High (explicit)</t>
        </is>
      </c>
      <c r="H47" s="11" t="inlineStr">
        <is>
          <t>Financial Data, Data Storage, Data Sharing, Cross-border Transfer</t>
        </is>
      </c>
      <c r="I47" s="11" t="inlineStr">
        <is>
          <t>Financial Data, Personal Information</t>
        </is>
      </c>
      <c r="J47" t="inlineStr"/>
      <c r="K47" s="11" t="inlineStr">
        <is>
          <t>This section defines key terms related to financial and property matters, including accounts, ADI accounts, advances, and security interests. It specifies that a security interest secures payment or performance of an obligation and may arise from certain transactions like transfers of accounts. The definitions cover terms such as account debtor, Australian entity, and business day, with examples provided for clarity.</t>
        </is>
      </c>
      <c r="L47" s="11" t="inlineStr">
        <is>
          <t>These definitions establish foundational terms for financial and property transactions that could impact data transfers, particularly regarding security interests and accounts. They help clarify what constitutes personal property and financial instruments relevant to cross-border data flows.</t>
        </is>
      </c>
      <c r="M47" s="11" t="inlineStr">
        <is>
          <t>• [Must] A security interest is an interest in personal property provided for by a transaction that secures payment or the performance of an obligation
• [Must] Certain transactions that do not secure payment or the performance of an obligation may also give rise to a security interest: transfers of accounts, consignments and certain long-term leases and bailments (called PPS leases)
• [Must] An account means a monetary obligation arising from disposing of property, granting a right, providing services, an ADI account, chattel paper, an intermediated security, an investment instrument, or a negotiable instrument
• [Must] An account debtor means a person who is obligated under an account or chattel paper
• [Must] ADI (short for authorised deposit-taking institution) has the same meaning as in the Banking Act 1959
• [Must] ADI account means an account kept by a person with an ADI that is payable on demand or at some time in the future
• [Must] Advance means the payment of currency, the provision of credit or the giving of value, including any liability of a debtor to pay interest, credit costs and other charges
• [Must] After-acquired property means personal property acquired by the grantor after a security agreement is made
• [Must] Australian entity means any individual located in Australia, a company registered under the Corporations Act 2001, a corporation sole, or a public authority
• [Must] Business day means a day other than Saturdays, Sundays, public holidays, Christmas Day to New Year's Day, or days when the Registrar has refused access to the register</t>
        </is>
      </c>
      <c r="N47" s="11" t="inlineStr">
        <is>
          <t>• [Must] Chattel paper means one or more writings that evidence a monetary obligation and either or both of the following: a security interest in specific goods, specific intellectual property, a document of title, an intermediated security, an investment instrument, or a negotiable instrument
• [Must] Commercial consignment means a consignment if the consignor retains an interest in goods delivered to the consignee for sale, lease or other disposal in the ordinary course of business
• [Must] Commercial property means personal property other than consumer property
• [Must] Company means a company registered under Part 2A.2 or Part 5B.1 of the Corporations Act 2: a registrable body registered under Division 1 or 2 of Part 5B.2 of that Act
• [Must] Crops means crops (whether matured or not and whether naturally grown or planted) that have not been harvested
• [Must] Currency means currency authorised as a medium of exchange by the law of Australia or of any other country
• [Must] Debtor means a person who owes payment or performance of an obligation secured by a security interest in personal property, or a transferee of, or successor to, an obligation
• [Must] Defect, in relation to a registration, includes an irregularity, omission or error in the registration
• [Must] Description of personal property (including collateral and proceeds) means a description that identifies the item or class of personal property
• [Must] Document of title means a writing issued by or addressed to a bailee that covers goods in the bailee's possession that are identified or fungible portions of an identified mass</t>
        </is>
      </c>
      <c r="O47" s="11" t="inlineStr">
        <is>
          <t>Section 10: A security interest is an interest in personal property provided for by a transaction that secures payment or the performance of an obligation. The form of the transaction and the identity of the person who has title to the property do not affect whether an interest is a security interest. Certain transactions that do not secure payment or the performance of an obligation may also give rise to a security interest: transfers of accounts, consignments and certain long-term leases and bailments (called PPS leases).</t>
        </is>
      </c>
      <c r="P47" s="12" t="n">
        <v>6</v>
      </c>
    </row>
    <row r="48">
      <c r="A48" t="inlineStr">
        <is>
          <t>Australia</t>
        </is>
      </c>
      <c r="B48" t="inlineStr">
        <is>
          <t>C2024C00719 (Australia - Row 15)</t>
        </is>
      </c>
      <c r="C48" t="inlineStr">
        <is>
          <t>345 (part 5)</t>
        </is>
      </c>
      <c r="D48" s="11" t="inlineStr">
        <is>
          <t>Definitions of security interests and personal property terms</t>
        </is>
      </c>
      <c r="E48" t="inlineStr">
        <is>
          <t>46–53</t>
        </is>
      </c>
      <c r="F48" t="inlineStr">
        <is>
          <t>High</t>
        </is>
      </c>
      <c r="G48" t="inlineStr">
        <is>
          <t>High (explicit)</t>
        </is>
      </c>
      <c r="H48" s="11" t="inlineStr">
        <is>
          <t>Security</t>
        </is>
      </c>
      <c r="I48" s="11" t="inlineStr">
        <is>
          <t>Financial Data</t>
        </is>
      </c>
      <c r="J48" t="inlineStr">
        <is>
          <t>Australian Government</t>
        </is>
      </c>
      <c r="K48" s="11" t="inlineStr">
        <is>
          <t>This section defines key terms related to security interests and personal property under Australian law. It specifies that a security interest secures payment or performance of an obligation without regard to transaction form. It lists examples including fixed charges, floating charges, chattel mortgages, and conditional sales. The section also clarifies that security interests exclude licenses and certain regulated interests, and specifies conditions under which security interests are created.</t>
        </is>
      </c>
      <c r="L48" s="11" t="inlineStr">
        <is>
          <t>This section defines critical terms for data transfers involving security interests, but does not directly impact cross-border data transfers or DTIA requirements as it focuses on financial security interests rather than personal data.</t>
        </is>
      </c>
      <c r="M48" s="11" t="inlineStr">
        <is>
          <t>• [Must] A security interest means an interest in personal property provided for by a transaction that secures payment or performance of an obligation
• [Must] A security interest includes fixed charges, floating charges, chattel mortgages, conditional sales, hire purchase agreements, pledges, trust receipts, consignments, leases of goods, assignments, transfers of title, and flawed asset arrangements
• [Must] A security interest also includes interests of transferees under transfers of accounts or chattel paper
• [Must] A security interest includes the interest of consignors under commercial consignments
• [Must] A security interest includes the interest of lessors or bailors under PPS leases
• [Must] A person who owes payment to another may take a security interest in the other person's right to payment</t>
        </is>
      </c>
      <c r="N48" s="11" t="inlineStr">
        <is>
          <t>• [Must] An account debtor may take a security interest in an account or chattel paper
• [Must] An ADI may take a security interest in an ADI account
• [Must Not] A security interest does not include licenses
• [Must Not] A security interest does not include interests prescribed by regulations
• [Must Not] A security interest is not created only by agreements to postpone or subordinate rights</t>
        </is>
      </c>
      <c r="O48" s="11" t="inlineStr">
        <is>
          <t>Section 12: A security interest means an interest in personal property provided for by a transaction that, in substance, secures payment or performance of an obligation (without regard to the form of the transaction or the identity of the person who has title to the property).</t>
        </is>
      </c>
      <c r="P48" s="12" t="n">
        <v>6</v>
      </c>
    </row>
    <row r="49">
      <c r="A49" t="inlineStr">
        <is>
          <t>Australia</t>
        </is>
      </c>
      <c r="B49" t="inlineStr">
        <is>
          <t>C2024C00719 (Australia - Row 15)</t>
        </is>
      </c>
      <c r="C49" t="inlineStr">
        <is>
          <t>345 (part 7)</t>
        </is>
      </c>
      <c r="D49" s="11" t="inlineStr">
        <is>
          <t>Definition of intermediary and securities account</t>
        </is>
      </c>
      <c r="E49" t="inlineStr">
        <is>
          <t>59–66</t>
        </is>
      </c>
      <c r="F49" t="inlineStr">
        <is>
          <t>High</t>
        </is>
      </c>
      <c r="G49" t="inlineStr">
        <is>
          <t>High (explicit)</t>
        </is>
      </c>
      <c r="H49" s="11" t="inlineStr">
        <is>
          <t>Cross-border Transfer, International Processing, Data Storage, Security</t>
        </is>
      </c>
      <c r="I49" s="11" t="inlineStr">
        <is>
          <t>Financial Data, Customer Data</t>
        </is>
      </c>
      <c r="J49" t="inlineStr"/>
      <c r="K49" s="11" t="inlineStr">
        <is>
          <t>This section defines what constitutes an intermediary and a securities account. An intermediary is only active in that role when acting as such, and a person is not considered an intermediary merely because they maintain a securities account for an issuer. A securities account is defined as an account where interests in financial products can be credited or debited, or for intermediaries, a record of holdings and transfers.</t>
        </is>
      </c>
      <c r="L49" s="11" t="inlineStr">
        <is>
          <t>Defines key terms for security interests, critical for understanding who qualifies as an intermediary and how securities accounts function in cross-border data contexts.</t>
        </is>
      </c>
      <c r="M49" s="11" t="inlineStr">
        <is>
          <t>• [Must] An intermediary is only active in that role while acting as an intermediary
• [Must Not] A person is not an intermediary for the purposes of paragraph (2)(a) or (c) merely because they maintain a securities account on behalf of an issuer
• [Must Not] A person is not an intermediary for the purposes of paragraph (2)(a) or (c) merely because they act as a central securities depository, registrar or transfer agent</t>
        </is>
      </c>
      <c r="N49" s="11" t="inlineStr">
        <is>
          <t>• [Must Not] A person is not an intermediary for the purposes of paragraph (2)(a) or (c) merely because they record details of interests in financial products in their own books
• [Definition] A securities account means an account to which interests in financial products may be credited or debited
• [Definition] For intermediaries, a securities account means a record of holdings and transfers of interests in financial products</t>
        </is>
      </c>
      <c r="O49" s="11" t="inlineStr">
        <is>
          <t>Section 15(4) to (7) of the Act: An intermediary (including a central securities depository) is an intermediary only while acting in the capacity of an intermediary. A person is not an intermediary for the purposes of paragraph (2)(a) or (c) merely because the person maintains a securities account on behalf of the issuer of the financial products to which the account relates. A securities account means: (a) an account to which interests in financial products may be credited or debited; or (b) in the case of an intermediary mentioned in paragraph 15(2)(b)—a record of holdings and transfers of interests in financial products.</t>
        </is>
      </c>
      <c r="P49" s="12" t="n">
        <v>6</v>
      </c>
    </row>
    <row r="50">
      <c r="A50" t="inlineStr">
        <is>
          <t>Australia</t>
        </is>
      </c>
      <c r="B50" t="inlineStr">
        <is>
          <t>C2024C00719 (Australia - Row 15)</t>
        </is>
      </c>
      <c r="C50" t="inlineStr">
        <is>
          <t>345 (part 8)</t>
        </is>
      </c>
      <c r="D50" s="11" t="inlineStr">
        <is>
          <t>Security interest perfection rules for collateral</t>
        </is>
      </c>
      <c r="E50" t="inlineStr">
        <is>
          <t>66–73</t>
        </is>
      </c>
      <c r="F50" t="inlineStr">
        <is>
          <t>High</t>
        </is>
      </c>
      <c r="G50" t="inlineStr">
        <is>
          <t>High (explicit)</t>
        </is>
      </c>
      <c r="H50" s="11" t="inlineStr">
        <is>
          <t>Security</t>
        </is>
      </c>
      <c r="I50" s="11" t="inlineStr">
        <is>
          <t>Financial Data, Customer Data</t>
        </is>
      </c>
      <c r="J50" t="inlineStr"/>
      <c r="K50" s="11" t="inlineStr">
        <is>
          <t>This section outlines how security interests are perfected for different types of collateral. Perfection occurs through registration, possession, or control of collateral. It specifies that a security interest is perfected if it is temporarily perfected by registration, possession, or control, and that certain types of collateral like ADI accounts, intermediated securities, and negotiable instruments have specific perfection rules.</t>
        </is>
      </c>
      <c r="L50" s="11" t="inlineStr">
        <is>
          <t>Details how security interests are perfected across different collateral types, critical for understanding data transfer safeguards when assets are held by intermediaries.</t>
        </is>
      </c>
      <c r="M50" s="11" t="inlineStr">
        <is>
          <t>• [Must] A security interest is perfected if it is temporarily perfected or otherwise perfected by force of the Act
• [Must] A security interest is perfected if the security interest is attached to collateral and enforceable against third parties
• [Must] A security interest is perfected if registration is effective with respect to the collateral
• [Must] A security interest is perfected if the secured party has possession of the collateral (other than possession as a result of seizure or repossession)</t>
        </is>
      </c>
      <c r="N50" s="11" t="inlineStr">
        <is>
          <t>• [Must] A security interest is perfected if the secured party has control of the collateral, including ADI accounts, intermediated securities, investment instruments, negotiable instruments not evidenced by a certificate, and letters of credit
• [May] A security interest may be perfected regardless of the order in which attachment and perfection steps occur
• [Must] A single registration may perfect one or more security interests</t>
        </is>
      </c>
      <c r="O50" s="11" t="inlineStr">
        <is>
          <t>Section 21(1) to (4) of the Act: A security interest in particular collateral is perfected if: (a) the security interest is temporarily perfected, or otherwise perfected, by force of this Act; or (b) all of the following apply: (i) the security interest is attached to the collateral; (ii) the security interest is enforceable against a third party; (iii) subsection (2) applies. This subsection applies if: (a) for any collateral, a registration is effective with respect to the collateral; or (b) for any collateral, the secured party has possession of the collateral (other than possession as a result of seizure or repossession); or (c) for the following kinds of collateral, the secured party has control of the collateral: (i) an ADI account; (ii) an intermediated security; (iii) an investment instrument; (iv) a negotiable instrument that is not evidenced by a certificate; (v) a right evidenced by a letter of credit that states that the letter of credit must be presented on claiming payment or requiring the performance of an obligation; (vi) satellites and other space objects.</t>
        </is>
      </c>
      <c r="P50" s="12" t="n">
        <v>6</v>
      </c>
    </row>
    <row r="51">
      <c r="A51" t="inlineStr">
        <is>
          <t>Australia</t>
        </is>
      </c>
      <c r="B51" t="inlineStr">
        <is>
          <t>C2024C00719 (Australia - Row 15)</t>
        </is>
      </c>
      <c r="C51" t="inlineStr">
        <is>
          <t>345 (part 9)</t>
        </is>
      </c>
      <c r="D51" s="11" t="inlineStr">
        <is>
          <t>Control of investment instruments and negotiable instruments</t>
        </is>
      </c>
      <c r="E51" t="inlineStr">
        <is>
          <t>73–80</t>
        </is>
      </c>
      <c r="F51" t="inlineStr">
        <is>
          <t>High</t>
        </is>
      </c>
      <c r="G51" t="inlineStr">
        <is>
          <t>High (explicit)</t>
        </is>
      </c>
      <c r="H51" s="11" t="inlineStr"/>
      <c r="I51" s="11" t="inlineStr">
        <is>
          <t>Financial Data</t>
        </is>
      </c>
      <c r="J51" t="inlineStr">
        <is>
          <t>Australian Securities and Investments Commission</t>
        </is>
      </c>
      <c r="K51" s="11" t="inlineStr">
        <is>
          <t>This section defines when a person has control over investment instruments, including those evidenced by certificates or not. Control is established through registration as the registered owner, possession of the instrument, or an agreement allowing the person to initiate transfers or deal with the instrument. The rules specify conditions for control in different scenarios, including electronic messaging and agreements with issuers.</t>
        </is>
      </c>
      <c r="L51" s="11" t="inlineStr">
        <is>
          <t>Defines control mechanisms for investment instruments, critical for determining data transfer authority across borders where instruments are involved in financial transactions.</t>
        </is>
      </c>
      <c r="M51" s="11" t="inlineStr">
        <is>
          <t>• [Must] A person has control of an investment instrument if the issuer registers the person as the registered owner
• [Must] A person has control of an investment instrument evidenced by a certificate if they possess it and can transfer or deal with it
• [Must] A person has control of an investment instrument not evidenced by a certificate if there is an agreement allowing them to initiate transfers</t>
        </is>
      </c>
      <c r="N51" s="11" t="inlineStr">
        <is>
          <t>• [Must Not] A secured party does not have control of a letter of credit unless the issuer consents to assigning proceeds
• [Must] A secured party has control of a negotiable instrument not evidenced by a certificate if it can be transferred via clearing facility rules and there is an agreement controlling electronic messages</t>
        </is>
      </c>
      <c r="O51" s="11" t="inlineStr">
        <is>
          <t>Section 27(2): A person, other than the debtor or grantor, has control of an investment instrument if the issuer of the instrument registers the person as the registered owner of the instrument.</t>
        </is>
      </c>
      <c r="P51" s="12" t="n">
        <v>6</v>
      </c>
    </row>
    <row r="52">
      <c r="A52" t="inlineStr">
        <is>
          <t>Australia</t>
        </is>
      </c>
      <c r="B52" t="inlineStr">
        <is>
          <t>C2024C00719 (Australia - Row 15)</t>
        </is>
      </c>
      <c r="C52" t="inlineStr">
        <is>
          <t>345 (part 10)</t>
        </is>
      </c>
      <c r="D52" s="11" t="inlineStr">
        <is>
          <t>Temporary perfection of security interests in collateral</t>
        </is>
      </c>
      <c r="E52" t="inlineStr">
        <is>
          <t>80–87</t>
        </is>
      </c>
      <c r="F52" t="inlineStr">
        <is>
          <t>High</t>
        </is>
      </c>
      <c r="G52" t="inlineStr">
        <is>
          <t>High (explicit)</t>
        </is>
      </c>
      <c r="H52" s="11" t="inlineStr"/>
      <c r="I52" s="11" t="inlineStr">
        <is>
          <t>Financial Data</t>
        </is>
      </c>
      <c r="J52" t="inlineStr">
        <is>
          <t>Australian Securities and Investments Commission</t>
        </is>
      </c>
      <c r="K52" s="11" t="inlineStr">
        <is>
          <t>This section outlines temporary perfection rules for security interests in collateral when goods or instruments are returned to the grantor or debtor. It specifies that security interests become temporarily perfected for 5 business days after the action time (e.g., sale, exchange) and revert to unperfected status unless perfected otherwise within that period. The rules apply to both physical goods and negotiable instruments.</t>
        </is>
      </c>
      <c r="L52" s="11" t="inlineStr">
        <is>
          <t>Critical for DTIAs as it defines temporary perfection periods for security interests in cross-border data transfers involving collateral, ensuring timely reattachment and compliance with temporary perfection rules.</t>
        </is>
      </c>
      <c r="M52" s="11" t="inlineStr">
        <is>
          <t>• [Condition] A security interest in goods temporarily perfected for 5 business days after action time (e.g., sale, exchange)
• [Condition] Security interest becomes unperfected after 5 business days unless perfected otherwise</t>
        </is>
      </c>
      <c r="N52" s="11" t="inlineStr">
        <is>
          <t>• [Must] Security interest reattaches to goods if they come into possession of grantor or debtor after sale or lease</t>
        </is>
      </c>
      <c r="O52" s="11" t="inlineStr">
        <is>
          <t>Section 35(2): This subsection covers the period starting at the action time and ending at the end of 5 business days after the day the action time occurs.</t>
        </is>
      </c>
      <c r="P52" s="12" t="n">
        <v>6</v>
      </c>
    </row>
    <row r="53">
      <c r="A53" t="inlineStr">
        <is>
          <t>Australia</t>
        </is>
      </c>
      <c r="B53" t="inlineStr">
        <is>
          <t>C2024C00719 (Australia - Row 15)</t>
        </is>
      </c>
      <c r="C53" t="inlineStr">
        <is>
          <t>345 (part 11)</t>
        </is>
      </c>
      <c r="D53" s="11" t="inlineStr">
        <is>
          <t>Deemed goods security interest and temporary perfection periods</t>
        </is>
      </c>
      <c r="E53" t="inlineStr">
        <is>
          <t>87–94</t>
        </is>
      </c>
      <c r="F53" t="inlineStr">
        <is>
          <t>High</t>
        </is>
      </c>
      <c r="G53" t="inlineStr">
        <is>
          <t>High (explicit)</t>
        </is>
      </c>
      <c r="H53" s="11" t="inlineStr">
        <is>
          <t>Security</t>
        </is>
      </c>
      <c r="I53" s="11" t="inlineStr">
        <is>
          <t>Personal Information</t>
        </is>
      </c>
      <c r="J53" t="inlineStr">
        <is>
          <t>Australian Securities and Investments Commission</t>
        </is>
      </c>
      <c r="K53" s="11" t="inlineStr">
        <is>
          <t>This section establishes that when goods are sold or leased and the account or chattel paper is transferred, the transferee acquires a deemed security interest in the goods if they return to the transferor or transferee under specific circumstances. The security interest attaches at repossession time and is temporarily perfected for 5 business days from that time, after which it becomes unperfected unless otherwise perfected.</t>
        </is>
      </c>
      <c r="L53" s="11" t="inlineStr">
        <is>
          <t>This section defines temporary perfection periods for security interests in goods when relocated across borders, impacting how data transfers involving collateral must be assessed for temporary security interest validity.</t>
        </is>
      </c>
      <c r="M53" s="11" t="inlineStr">
        <is>
          <t>• [Must] If a sale or lease creates an account or chattel paper and it is transferred, the transferee has a deemed security interest in the goods if they return to transferor or transferee under specified circumstances
• [Must] The deemed security interest attaches to goods at repossession time</t>
        </is>
      </c>
      <c r="N53" s="11" t="inlineStr">
        <is>
          <t>• [Must] The deemed security interest is temporarily perfected for 5 business days from repossession time
• [Must] The deemed security interest becomes unperfected after 5 business days unless otherwise perfected</t>
        </is>
      </c>
      <c r="O53" s="11" t="inlineStr">
        <is>
          <t>If a sale or lease of goods creates an account or chattel paper, and the account or chattel paper is transferred to another person, the transferee is taken to have a security interest in the goods if, at a particular time (the repossession time) the goods come into the possession of the transferor, or of the transferee, in any of the following circumstances</t>
        </is>
      </c>
      <c r="P53" s="12" t="n">
        <v>6</v>
      </c>
    </row>
    <row r="54">
      <c r="A54" t="inlineStr">
        <is>
          <t>Australia</t>
        </is>
      </c>
      <c r="B54" t="inlineStr">
        <is>
          <t>C2024C00719 (Australia - Row 15)</t>
        </is>
      </c>
      <c r="C54" t="inlineStr">
        <is>
          <t>345 (part 12)</t>
        </is>
      </c>
      <c r="D54" s="11" t="inlineStr">
        <is>
          <t>Taking personal property free of security interests</t>
        </is>
      </c>
      <c r="E54" t="inlineStr">
        <is>
          <t>94–101</t>
        </is>
      </c>
      <c r="F54" t="inlineStr">
        <is>
          <t>High</t>
        </is>
      </c>
      <c r="G54" t="inlineStr">
        <is>
          <t>High (explicit)</t>
        </is>
      </c>
      <c r="H54" s="11" t="inlineStr">
        <is>
          <t>Security</t>
        </is>
      </c>
      <c r="I54" s="11" t="inlineStr">
        <is>
          <t>Personal Information</t>
        </is>
      </c>
      <c r="J54" t="inlineStr">
        <is>
          <t>Australian Securities and Investments Commission</t>
        </is>
      </c>
      <c r="K54" s="11" t="inlineStr">
        <is>
          <t>This section outlines rules for when personal property may be acquired free of security interests, including unperfected interests, serial number defects, motor vehicles, and transactions in the ordinary course of business. It specifies conditions under which buyers or lessees take property free of security interests without subrogation rights.</t>
        </is>
      </c>
      <c r="L54" s="11" t="inlineStr">
        <is>
          <t>This section governs when personal property can be transferred without security interests, relevant for data transfers involving physical assets across borders.</t>
        </is>
      </c>
      <c r="M54" s="11" t="inlineStr">
        <is>
          <t>• [Must] A buyer or lessee takes personal property free of unperfected security interest if not part of a transaction they created
• [Must] A buyer or lessee takes personal property free of security interest if serial number is correct and not registered
• [Must] A buyer or lessee takes motor vehicles free of security interest if serial number is correct and seller is authorized</t>
        </is>
      </c>
      <c r="N54" s="11" t="inlineStr">
        <is>
          <t>• [Must] A buyer or lessee takes personal property free of security interest in ordinary course of business
• [Must] A buyer or lessee takes personal property free of security interest for personal use if market value is $5,000 or less
• [Must] A holder takes currency free of security interest if no knowledge of security interest</t>
        </is>
      </c>
      <c r="O54" s="11" t="inlineStr">
        <is>
          <t>A buyer or lessee of personal property, for value, takes the personal property free of an unperfected security interest in the property.</t>
        </is>
      </c>
      <c r="P54" s="12" t="n">
        <v>6</v>
      </c>
    </row>
    <row r="55">
      <c r="A55" t="inlineStr">
        <is>
          <t>Australia</t>
        </is>
      </c>
      <c r="B55" t="inlineStr">
        <is>
          <t>C2024C00719 (Australia - Row 15)</t>
        </is>
      </c>
      <c r="C55" t="inlineStr">
        <is>
          <t>345 (part 13)</t>
        </is>
      </c>
      <c r="D55" s="11" t="inlineStr">
        <is>
          <t>Security interest priority in financial collateral</t>
        </is>
      </c>
      <c r="E55" t="inlineStr">
        <is>
          <t>101–109</t>
        </is>
      </c>
      <c r="F55" t="inlineStr">
        <is>
          <t>High</t>
        </is>
      </c>
      <c r="G55" t="inlineStr">
        <is>
          <t>High (explicit)</t>
        </is>
      </c>
      <c r="H55" s="11" t="inlineStr"/>
      <c r="I55" s="11" t="inlineStr">
        <is>
          <t>Financial Data</t>
        </is>
      </c>
      <c r="J55" t="inlineStr">
        <is>
          <t>Australian Securities and Investments Commission</t>
        </is>
      </c>
      <c r="K55" s="11" t="inlineStr">
        <is>
          <t>This section establishes priority rules for security interests in financial collateral. It specifies that perfected security interests take priority over unperfected ones, and that perfected interests are prioritized based on the order of perfection. The rules also address how security interests in proceeds of collateral are treated relative to the original collateral, and include exceptions for purchase money security interests and control-based perfection.</t>
        </is>
      </c>
      <c r="L55" s="11" t="inlineStr">
        <is>
          <t>This section impacts DTIAs by defining priority rules for security interests across borders, particularly for financial collateral and proceeds. It requires careful assessment of security interest perfection methods and timing to ensure compliance with cross-border data transfer requirements.</t>
        </is>
      </c>
      <c r="M55" s="11" t="inlineStr">
        <is>
          <t>• [Must] A perfected security interest in collateral has priority over an unperfected security interest in the same collateral
• [Must] Priority between unperfected security interests in the same collateral is determined by the order of attachment
• [Must] A security interest perfected by control has priority over a security interest perfected by other means
• [Must] A security interest in proceeds of original collateral has the same priority as the security interest in the original collateral</t>
        </is>
      </c>
      <c r="N55" s="11" t="inlineStr">
        <is>
          <t>• [Must] A purchase money security interest in inventory has priority over other perfected security interests in the same inventory
• [Must] A purchase money security interest in personal property has priority over other perfected security interests if perfected by registration within 15 business days
• [Must] A non-purchase money security interest in an account has priority over a purchase money security interest in the account as proceeds of inventory
• [May] A secured party may subordinate their security interest to another interest in the collateral</t>
        </is>
      </c>
      <c r="O55" s="11" t="inlineStr">
        <is>
          <t>Section 55(3): A perfected security interest in collateral has priority over an unperfected security interest in the same collateral.</t>
        </is>
      </c>
      <c r="P55" s="12" t="n">
        <v>6</v>
      </c>
    </row>
    <row r="56">
      <c r="A56" t="inlineStr">
        <is>
          <t>Australia</t>
        </is>
      </c>
      <c r="B56" t="inlineStr">
        <is>
          <t>C2024C00719 (Australia - Row 15)</t>
        </is>
      </c>
      <c r="C56" t="inlineStr">
        <is>
          <t>345 (part 15)</t>
        </is>
      </c>
      <c r="D56" s="11" t="inlineStr">
        <is>
          <t>Priority of security interests in transferred collateral</t>
        </is>
      </c>
      <c r="E56" t="inlineStr">
        <is>
          <t>115–122</t>
        </is>
      </c>
      <c r="F56" t="inlineStr">
        <is>
          <t>High</t>
        </is>
      </c>
      <c r="G56" t="inlineStr">
        <is>
          <t>High (explicit)</t>
        </is>
      </c>
      <c r="H56" s="11" t="inlineStr">
        <is>
          <t>Security</t>
        </is>
      </c>
      <c r="I56" s="11" t="inlineStr">
        <is>
          <t>Financial Data</t>
        </is>
      </c>
      <c r="J56" t="inlineStr">
        <is>
          <t>Australian Securities and Investments Commission</t>
        </is>
      </c>
      <c r="K56" s="11" t="inlineStr">
        <is>
          <t>This section establishes priority rules between security interests (transferor-granted and transferee-granted) when collateral is transferred. It specifies conditions under which the transferor-granted interest has priority, including continuous perfection since transfer, and when the transferee-granted interest takes priority after re-perfection and notification to other secured parties. The rules also address exceptions for specific scenarios like negotiable instruments and chattel paper.</t>
        </is>
      </c>
      <c r="L56" s="11" t="inlineStr">
        <is>
          <t>This section defines priority rules for security interests in transferred collateral, which could impact cross-border data transfers if data is treated as collateral. It specifies conditions for priority between security interests that may affect data transfer arrangements.</t>
        </is>
      </c>
      <c r="M56" s="11" t="inlineStr">
        <is>
          <t>• [Must] The transferor-granted interest has priority if it was perfected immediately before transfer and has been continuously perfected since transfer.
• [Must] The transferor-granted interest has priority if it was perfected by registration immediately before transfer, becomes unperfected, is later re-perfected, and a notice is given to all other secured parties who have a registration describing the collateral.
• [Must] The transferee-granted interest has priority if the transferor-granted interest is re-perfected, the transferee acquires collateral without actual or constructive knowledge of breach, and the transferee-granted interest secures performance of an advance made before re-perfection.
• [Must] The interest of a creditor who receives payment of a debt through electronic funds transfer has priority over security interests in funds paid and intangible sources.
• [Must] A person who acquires a negotiable instrument without actual or constructive knowledge of breach has priority over a perfected security interest in the instrument.</t>
        </is>
      </c>
      <c r="N56" s="11" t="inlineStr">
        <is>
          <t>• [Must] A person who acquires chattel paper in the ordinary course of business for new value has priority over a perfected security interest in the chattel paper.
• [Must] The holder of a negotiable document of title has priority over a perfected security interest if they acquired it without actual or constructive knowledge of breach.
• [Must] An execution creditor has priority over any unperfected security interest in collateral at the time of seizure.
• [Must] A perfected security interest held by an ADI in an ADI account has priority over other perfected security interests in the account.</t>
        </is>
      </c>
      <c r="O56" s="11" t="inlineStr">
        <is>
          <t>Section 66: The transferor-granted interest has priority if it was perfected immediately before the transfer and has been continuously perfected since the transfer.</t>
        </is>
      </c>
      <c r="P56" s="12" t="n">
        <v>6</v>
      </c>
    </row>
    <row r="57">
      <c r="A57" t="inlineStr">
        <is>
          <t>Australia</t>
        </is>
      </c>
      <c r="B57" t="inlineStr">
        <is>
          <t>C2024C00719 (Australia - Row 15)</t>
        </is>
      </c>
      <c r="C57" t="inlineStr">
        <is>
          <t>345 (part 17)</t>
        </is>
      </c>
      <c r="D57" s="11" t="inlineStr">
        <is>
          <t>Security interests in agricultural products and livestock</t>
        </is>
      </c>
      <c r="E57" t="inlineStr">
        <is>
          <t>128–136</t>
        </is>
      </c>
      <c r="F57" t="inlineStr">
        <is>
          <t>Medium</t>
        </is>
      </c>
      <c r="G57" t="inlineStr">
        <is>
          <t>High (explicit)</t>
        </is>
      </c>
      <c r="H57" s="11" t="inlineStr"/>
      <c r="I57" s="11" t="inlineStr">
        <is>
          <t>Special Personal Information</t>
        </is>
      </c>
      <c r="J57" t="inlineStr">
        <is>
          <t>Australian Securities and Investments Commission</t>
        </is>
      </c>
      <c r="K57" s="11" t="inlineStr">
        <is>
          <t>This section establishes rules for security interests in agricultural products and livestock. It specifies that security interests can attach to crops while growing and to livestock products before they become proceeds. It also outlines priority rules for security interests in crops and livestock, requiring that priority interests be granted for value and to enable production or development of the assets.</t>
        </is>
      </c>
      <c r="L57" s="11" t="inlineStr">
        <is>
          <t>This section impacts DTIAs by defining conditions under which security interests in agricultural products and livestock can be established without prejudice to land rights or other interests, affecting cross-border transfers of such assets.</t>
        </is>
      </c>
      <c r="M57" s="11" t="inlineStr">
        <is>
          <t>• [Must] A security interest may attach to crops while they are growing
• [Must] A security interest may attach to the products of livestock before they become proceeds
• [Must] A perfected security interest in crops has priority over other interests if granted for value and to enable production</t>
        </is>
      </c>
      <c r="N57" s="11" t="inlineStr">
        <is>
          <t>• [Must] A perfected security interest in livestock has priority over other interests if granted for value and to enable development
• [Condition] The priority interest must be granted within 6 months of the security agreement for crops or livestock</t>
        </is>
      </c>
      <c r="O57" s="11" t="inlineStr">
        <is>
          <t>A security interest may attach to crops while they are growing. A security interest may attach to the products of livestock before they become proceeds (for example, the wool on a sheep's back before the sheep is shorn).</t>
        </is>
      </c>
      <c r="P57" s="12" t="n">
        <v>6</v>
      </c>
    </row>
    <row r="58">
      <c r="A58" t="inlineStr">
        <is>
          <t>Australia</t>
        </is>
      </c>
      <c r="B58" t="inlineStr">
        <is>
          <t>C2024C00719 (Australia - Row 15)</t>
        </is>
      </c>
      <c r="C58" t="inlineStr">
        <is>
          <t>345 (part 18)</t>
        </is>
      </c>
      <c r="D58" s="11" t="inlineStr">
        <is>
          <t>Security interests in processed or commingled goods</t>
        </is>
      </c>
      <c r="E58" t="inlineStr">
        <is>
          <t>136–143</t>
        </is>
      </c>
      <c r="F58" t="inlineStr">
        <is>
          <t>Low</t>
        </is>
      </c>
      <c r="G58" t="inlineStr">
        <is>
          <t>High (explicit)</t>
        </is>
      </c>
      <c r="H58" s="11" t="inlineStr"/>
      <c r="I58" s="11" t="inlineStr">
        <is>
          <t>Special Personal Information</t>
        </is>
      </c>
      <c r="J58" t="inlineStr">
        <is>
          <t>Australian Securities and Investments Commission</t>
        </is>
      </c>
      <c r="K58" s="11" t="inlineStr">
        <is>
          <t>This section addresses security interests in goods that become part of a product or mass through processing or commingling. It states that security interests continue in the product or mass if the identity of the original goods is lost, and perfection of the security interest applies to the product or mass for default priority rules.</t>
        </is>
      </c>
      <c r="L58" s="11" t="inlineStr">
        <is>
          <t>This section affects DTIAs by specifying that security interests in processed or commingled goods continue in the resulting product, which may impact cross-border data transfers involving such goods.</t>
        </is>
      </c>
      <c r="M58" s="11" t="inlineStr">
        <is>
          <t>• [Must] A security interest in goods that become part of a product or mass continues in the product or mass if identity is lost
• [Must] The identity of goods is lost in a product or mass if it is not commercially practical to restore the goods to their original state</t>
        </is>
      </c>
      <c r="N58" s="11" t="inlineStr">
        <is>
          <t>• [Must] Perfection of a security interest in processed or commingled goods applies to the product or mass for default priority rules</t>
        </is>
      </c>
      <c r="O58" s="11" t="inlineStr">
        <is>
          <t>A security interest in goods that subsequently become part of a product or mass continues in the product or mass if the goods are so manufactured, processed, assembled or commingled that their identity is lost in the product or mass.</t>
        </is>
      </c>
      <c r="P58" s="12" t="n">
        <v>6</v>
      </c>
    </row>
    <row r="59">
      <c r="A59" t="inlineStr">
        <is>
          <t>Australia</t>
        </is>
      </c>
      <c r="B59" t="inlineStr">
        <is>
          <t>C2024C00719 (Australia - Row 15)</t>
        </is>
      </c>
      <c r="C59" t="inlineStr">
        <is>
          <t>345 (part 19)</t>
        </is>
      </c>
      <c r="D59" s="11" t="inlineStr">
        <is>
          <t>Priority rules for security interests in processed or commingled goods</t>
        </is>
      </c>
      <c r="E59" t="inlineStr">
        <is>
          <t>143–152</t>
        </is>
      </c>
      <c r="F59" t="inlineStr">
        <is>
          <t>High</t>
        </is>
      </c>
      <c r="G59" t="inlineStr">
        <is>
          <t>High (explicit)</t>
        </is>
      </c>
      <c r="H59" s="11" t="inlineStr">
        <is>
          <t>Cross-border Transfer, International Processing, Data Storage, Security</t>
        </is>
      </c>
      <c r="I59" s="11" t="inlineStr">
        <is>
          <t>Financial Data</t>
        </is>
      </c>
      <c r="J59" t="inlineStr"/>
      <c r="K59" s="11" t="inlineStr">
        <is>
          <t>This section establishes priority rules for security interests in processed or commingled goods. It limits the priority of any security interest to the value of the goods on the day they became part of the product or mass. It also specifies that perfected security interests have priority over unperfected ones, and outlines how multiple perfected or unperfected interests share the product or mass proportionally based on the obligations they secure. The obligation secured by a security interest does not exceed the value of the goods on the day they became part of the product or mass.</t>
        </is>
      </c>
      <c r="L59" s="11" t="inlineStr">
        <is>
          <t>This section affects data transfer impact assessments by establishing priority rules for security interests in processed or commingled goods, which could impact how data is shared or transferred across borders when goods are processed or commingled.</t>
        </is>
      </c>
      <c r="M59" s="11" t="inlineStr">
        <is>
          <t>• [Must] Any priority that a security interest continuing in the product or mass has over another security interest in the product or mass is limited to the value of the goods on the day they became part of the product or mass.
• [Must] A perfected security interest continuing in a product or mass has priority over an unperfected security interest continuing in the same product or mass.
• [Must] If more than one perfected security interest continues in the same product or mass, each perfected security interest is entitled to share in the product or mass according to the ratio that the obligation secured by the perfected security interest bears to the sum of the obligations secured by all perfected security interests in the same product or…</t>
        </is>
      </c>
      <c r="N59" s="11" t="inlineStr">
        <is>
          <t>• [Must] If more than one unperfected security interest continues in the same product or mass, each unperfected security interest is entitled to share in the product or mass according to the ratio that the obligation secured by the unperfected security interest bears to the sum of the obligations secured by all unperfected security interests in the same pr…
• [Must] The obligation secured by a security interest does not exceed the value of the goods on the day the goods became part of the product or mass.</t>
        </is>
      </c>
      <c r="O59" s="11" t="inlineStr">
        <is>
          <t>Any priority that a security interest continuing in the product or mass has over another security interest in the product or mass is limited to the value of the goods on the day on which they became part of the product or mass.</t>
        </is>
      </c>
      <c r="P59" s="12" t="n">
        <v>6</v>
      </c>
    </row>
    <row r="60">
      <c r="A60" t="inlineStr">
        <is>
          <t>Australia</t>
        </is>
      </c>
      <c r="B60" t="inlineStr">
        <is>
          <t>C2024C00719 (Australia - Row 15)</t>
        </is>
      </c>
      <c r="C60" t="inlineStr">
        <is>
          <t>345 (part 20)</t>
        </is>
      </c>
      <c r="D60" s="11" t="inlineStr">
        <is>
          <t>Rights and remedies for security interests in collateral</t>
        </is>
      </c>
      <c r="E60" t="inlineStr">
        <is>
          <t>152–158</t>
        </is>
      </c>
      <c r="F60" t="inlineStr">
        <is>
          <t>High</t>
        </is>
      </c>
      <c r="G60" t="inlineStr">
        <is>
          <t>High (explicit)</t>
        </is>
      </c>
      <c r="H60" s="11" t="inlineStr">
        <is>
          <t>Cross-border Transfer, International Processing, Data Storage, Security</t>
        </is>
      </c>
      <c r="I60" s="11" t="inlineStr">
        <is>
          <t>Financial Data</t>
        </is>
      </c>
      <c r="J60" t="inlineStr"/>
      <c r="K60" s="11" t="inlineStr">
        <is>
          <t>This section outlines the rights and remedies available to secured parties when enforcing security interests in collateral. It specifies that secured parties may deal with collateral only to the extent the grantor would be entitled to do so, with exceptions for when the secured party had title to the collateral or when a transfer by the grantor would be prohibited. It also states that secured parties may only seize, purchase, or dispose of licenses subject to the terms of the license and applicable laws.</t>
        </is>
      </c>
      <c r="L60" s="11" t="inlineStr">
        <is>
          <t>This section is relevant for data transfer impact assessments as it governs the enforcement of security interests in collateral, which could impact how data is handled or transferred across borders when security interests are involved.</t>
        </is>
      </c>
      <c r="M60" s="11" t="inlineStr">
        <is>
          <t>• [Must] In exercising rights and remedies provided by this Chapter, a secured party may deal with collateral only to the same extent as the grantor would be entitled to so deal with the collateral.
• [Must] Subsection (1) does not apply if the secured party had title to the collateral immediately before starting to exercise any right or remedy provided by this Part.</t>
        </is>
      </c>
      <c r="N60" s="11" t="inlineStr">
        <is>
          <t>• [Must] Subsection (1) does not apply to the extent that it would otherwise prevent the secured party from dealing with the collateral by way of transfer because a transfer by the grantor would be prohibited or declared to be a default under a security agreement.
• [Must] A secured party may only seize, purchase or dispose of a licence subject to the terms and conditions of the licence and any applicable law of the Commonwealth, a State or a Territory.</t>
        </is>
      </c>
      <c r="O60" s="11" t="inlineStr">
        <is>
          <t>In exercising rights and remedies provided by this Chapter, a secured party may deal with collateral only to the same extent as the grantor would be entitled to so deal with the collateral.</t>
        </is>
      </c>
      <c r="P60" s="12" t="n">
        <v>6</v>
      </c>
    </row>
    <row r="61">
      <c r="A61" t="inlineStr">
        <is>
          <t>Australia</t>
        </is>
      </c>
      <c r="B61" t="inlineStr">
        <is>
          <t>C2024C00719 (Australia - Row 15)</t>
        </is>
      </c>
      <c r="C61" t="inlineStr">
        <is>
          <t>345 (part 21)</t>
        </is>
      </c>
      <c r="D61" s="11" t="inlineStr">
        <is>
          <t>Enforcement of security interests in personal property</t>
        </is>
      </c>
      <c r="E61" t="inlineStr">
        <is>
          <t>158–165</t>
        </is>
      </c>
      <c r="F61" t="inlineStr">
        <is>
          <t>High</t>
        </is>
      </c>
      <c r="G61" t="inlineStr">
        <is>
          <t>High (explicit)</t>
        </is>
      </c>
      <c r="H61" s="11" t="inlineStr">
        <is>
          <t>Security</t>
        </is>
      </c>
      <c r="I61" s="11" t="inlineStr">
        <is>
          <t>Personal Information</t>
        </is>
      </c>
      <c r="J61" t="inlineStr">
        <is>
          <t>Minister</t>
        </is>
      </c>
      <c r="K61" s="11" t="inlineStr">
        <is>
          <t>This section outlines how a secured party may enforce a security interest in personal property. It permits enforcement methods similar to land law, allows for the application of land law principles with modifications, and specifies that the decision of the first secured party does not limit the rights of other secured parties. The section also includes provisions for higher priority parties to have standing in proceedings and the ability to apply for judicially supervised sales.</t>
        </is>
      </c>
      <c r="L61" s="11" t="inlineStr">
        <is>
          <t>This section affects DTIAs by requiring that security interests in personal property be enforced with similar methods to land law, allowing for the application of land law principles with modifications, and ensuring that higher priority parties retain rights to enforce their security interests.</t>
        </is>
      </c>
      <c r="M61" s="11" t="inlineStr">
        <is>
          <t>• [Must] A notice must contain a description of the personal property to which the notice relates
• [Must] A notice must set out the effect of this section
• [May] The secured party may enforce the security interest in the same way as the interest in land may be enforced under land law
• [Must] Law in the same terms as land law applies for enforcement of security interests in personal property
• [Must] The decision of the secured party under paragraph 117(2)(b) does not limit the rights of other secured parties</t>
        </is>
      </c>
      <c r="N61" s="11" t="inlineStr">
        <is>
          <t>• [Must] The other secured party has standing in proceedings taken by the first secured party
• [May] The other secured party may apply to a court for judicially supervised sale
• [May] The court may grant the application for judicially supervised sale
• [May] The regulations may modify the law that applies by virtue of subsection (4)</t>
        </is>
      </c>
      <c r="O61" s="11" t="inlineStr">
        <is>
          <t>The secured party may enforce the security interest in the same way, with any necessary modification, as the interest in the land may be enforced under the land law.</t>
        </is>
      </c>
      <c r="P61" s="12" t="n">
        <v>6</v>
      </c>
    </row>
    <row r="62">
      <c r="A62" t="inlineStr">
        <is>
          <t>Australia</t>
        </is>
      </c>
      <c r="B62" t="inlineStr">
        <is>
          <t>C2024C00719 (Australia - Row 15)</t>
        </is>
      </c>
      <c r="C62" t="inlineStr">
        <is>
          <t>345 (part 23)</t>
        </is>
      </c>
      <c r="D62" s="11" t="inlineStr">
        <is>
          <t>Secured party's duty to obtain market value before disposing collateral</t>
        </is>
      </c>
      <c r="E62" t="inlineStr">
        <is>
          <t>172–179</t>
        </is>
      </c>
      <c r="F62" t="inlineStr">
        <is>
          <t>High</t>
        </is>
      </c>
      <c r="G62" t="inlineStr">
        <is>
          <t>High (explicit)</t>
        </is>
      </c>
      <c r="H62" s="11" t="inlineStr">
        <is>
          <t>Cross-border Transfer, Data Storage, Financial Data</t>
        </is>
      </c>
      <c r="I62" s="11" t="inlineStr">
        <is>
          <t>Financial Data</t>
        </is>
      </c>
      <c r="J62" t="inlineStr">
        <is>
          <t>Australian Securities and Investments Commission</t>
        </is>
      </c>
      <c r="K62" s="11" t="inlineStr">
        <is>
          <t>A secured party disposing of collateral under section 128 (excluding purchases) must exercise reasonable care to obtain at least the market value of the collateral before disposal. This duty applies to the secured party and the grantor, and requires the secured party to consider the market value at the time of disposal. The duty does not apply to disposals by purchase as specified in the note.</t>
        </is>
      </c>
      <c r="L62" s="11" t="inlineStr">
        <is>
          <t>This section establishes a duty for secured parties to maximize collateral value before disposal, which impacts data transfer impact assessments when collateral includes personal data. The obligation to obtain market value affects how data is valued and transferred across borders.</t>
        </is>
      </c>
      <c r="M62" s="11" t="inlineStr">
        <is>
          <t>• [Must] A secured party who disposes of collateral under section 128 (other than by purchasing the collateral) owes a duty to exercise all reasonable care
• [Must] To obtain at least the market value of the collateral if it has a market value at the time of disposal</t>
        </is>
      </c>
      <c r="N62" s="11" t="inlineStr">
        <is>
          <t>• [Must] To obtain the best price reasonably obtainable at the time of disposal if the collateral does not have a market value</t>
        </is>
      </c>
      <c r="O62" s="11" t="inlineStr">
        <is>
          <t>A secured party who disposes of collateral under section 128 (other than by purchasing the collateral) owes a duty, to any other person with a security interest in the collateral, and to the grantor, immediately before the disposal, to exercise all reasonable care: (a) if the collateral has a market value at the time of disposal—to obtain at least that market value; or (b) otherwise—to obtain the best price that is reasonably obtainable at the time of disposal, having regard to the circumstances existing at that time.</t>
        </is>
      </c>
      <c r="P62" s="12" t="n">
        <v>6</v>
      </c>
    </row>
    <row r="63">
      <c r="A63" t="inlineStr">
        <is>
          <t>Australia</t>
        </is>
      </c>
      <c r="B63" t="inlineStr">
        <is>
          <t>C2024C00719 (Australia - Row 15)</t>
        </is>
      </c>
      <c r="C63" t="inlineStr">
        <is>
          <t>345 (part 24)</t>
        </is>
      </c>
      <c r="D63" s="11" t="inlineStr">
        <is>
          <t>Secured party's statement of account obligations after collateral disposal</t>
        </is>
      </c>
      <c r="E63" t="inlineStr">
        <is>
          <t>179–186</t>
        </is>
      </c>
      <c r="F63" t="inlineStr">
        <is>
          <t>High</t>
        </is>
      </c>
      <c r="G63" t="inlineStr">
        <is>
          <t>High (explicit)</t>
        </is>
      </c>
      <c r="H63" s="11" t="inlineStr">
        <is>
          <t>Data Sharing, Financial Data</t>
        </is>
      </c>
      <c r="I63" s="11" t="inlineStr">
        <is>
          <t>Financial Data</t>
        </is>
      </c>
      <c r="J63" t="inlineStr">
        <is>
          <t>Australian Securities and Investments Commission</t>
        </is>
      </c>
      <c r="K63" s="11" t="inlineStr">
        <is>
          <t>A secured party must provide a written statement of account to any other person with a security interest in the collateral or the grantor within 20 business days after request. The statement must detail the amount received, expenses, amounts paid to other secured parties, and the balance owed. This applies to disposals under section 128, including purchases, and must be provided before the end of the 20 business day period.</t>
        </is>
      </c>
      <c r="L63" s="11" t="inlineStr">
        <is>
          <t>This section requires detailed accounting for collateral transactions, which is critical for data transfer impact assessments involving financial data. The obligation to provide statements affects how data is tracked and shared across borders.</t>
        </is>
      </c>
      <c r="M63" s="11" t="inlineStr">
        <is>
          <t>• [Must] A secured party must provide a written statement of account to any other person with a security interest in the collateral or the grantor within 20 business days after request
• [Must] The statement must show the total amount received from disposal of collateral during the period starting when the collateral was seized and ending at disposal
• [Must] The statement must show the amount of expenses relating to disposal</t>
        </is>
      </c>
      <c r="N63" s="11" t="inlineStr">
        <is>
          <t>• [Must] The statement must show any amounts paid to other secured parties
• [Must] The statement must show the balance owing by the secured party to the grantor or by the debtor to the secured party</t>
        </is>
      </c>
      <c r="O63" s="11" t="inlineStr">
        <is>
          <t>A secured party must, on request by any other person with a security interest in the collateral, or the grantor, give the person (or grantor) a written statement of account, if the first-mentioned secured party disposes of collateral under section 128 (including by purchasing the collateral in accordance with section 129).</t>
        </is>
      </c>
      <c r="P63" s="12" t="n">
        <v>6</v>
      </c>
    </row>
    <row r="64">
      <c r="A64" t="inlineStr">
        <is>
          <t>Australia</t>
        </is>
      </c>
      <c r="B64" t="inlineStr">
        <is>
          <t>C2024C00719 (Australia - Row 15)</t>
        </is>
      </c>
      <c r="C64" t="inlineStr">
        <is>
          <t>345 (part 25)</t>
        </is>
      </c>
      <c r="D64" s="11" t="inlineStr">
        <is>
          <t>Security agreement reinstatement and enforcement notices</t>
        </is>
      </c>
      <c r="E64" t="inlineStr">
        <is>
          <t>186–194</t>
        </is>
      </c>
      <c r="F64" t="inlineStr">
        <is>
          <t>High</t>
        </is>
      </c>
      <c r="G64" t="inlineStr">
        <is>
          <t>High (explicit)</t>
        </is>
      </c>
      <c r="H64" s="11" t="inlineStr">
        <is>
          <t>Security</t>
        </is>
      </c>
      <c r="I64" s="11" t="inlineStr">
        <is>
          <t>Personal Information</t>
        </is>
      </c>
      <c r="J64" t="inlineStr">
        <is>
          <t>Commonwealth</t>
        </is>
      </c>
      <c r="K64" s="11" t="inlineStr">
        <is>
          <t>A person may reinstate a security agreement by paying arrears and enforcement expenses, or remedying defaults. The grantor's right to redeem collateral has priority over other rights. A security agreement may be reinstated only once during its term. Secured parties are exempt from giving notices under specific conditions like failed attempts to locate persons or written waivers.</t>
        </is>
      </c>
      <c r="L64" s="11" t="inlineStr">
        <is>
          <t>Reinstatement rules and enforcement notice exemptions impact cross-border security interests by defining when collateral can be reclaimed and when notices are unnecessary, affecting data transfer safeguards for international security agreements.</t>
        </is>
      </c>
      <c r="M64" s="11" t="inlineStr">
        <is>
          <t>• [Must] A person may reinstate the security agreement by paying arrears and enforcement expenses
• [Must] A person may reinstate the security agreement by remedying any other default
• [Must] The grantor's right to redeem collateral has priority over any other person's right
• [Condition] A security agreement may be reinstated only once during the period in which the security agreement is in force</t>
        </is>
      </c>
      <c r="N64" s="11" t="inlineStr">
        <is>
          <t>• [Must Not] A secured party is not required to give a notice if they failed to locate the person after reasonable attempts
• [Must Not] A secured party is not required to give a notice if the grantor waives the right to receive the notice in writing
• [Must Not] A secured party is not required to give a notice if a person other than the grantor waives the right to receive the notice in writing
• [Must Not] A secured party is not required to give a notice if a court is satisfied that a notice is not required for any other reason</t>
        </is>
      </c>
      <c r="O64" s="11" t="inlineStr">
        <is>
          <t>A person may reinstate the security agreement by: (a) paying arrears and enforcement expenses; (b) remedying any other default as a result of which the secured party proposes to dispose of, or retain, the collateral.</t>
        </is>
      </c>
      <c r="P64" s="12" t="n">
        <v>6</v>
      </c>
    </row>
    <row r="65">
      <c r="A65" t="inlineStr">
        <is>
          <t>Australia</t>
        </is>
      </c>
      <c r="B65" t="inlineStr">
        <is>
          <t>C2024C00719 (Australia - Row 15)</t>
        </is>
      </c>
      <c r="C65" t="inlineStr">
        <is>
          <t>345 (part 26)</t>
        </is>
      </c>
      <c r="D65" s="11" t="inlineStr">
        <is>
          <t>Registration of security interests across borders</t>
        </is>
      </c>
      <c r="E65" t="inlineStr">
        <is>
          <t>194–200</t>
        </is>
      </c>
      <c r="F65" t="inlineStr">
        <is>
          <t>High</t>
        </is>
      </c>
      <c r="G65" t="inlineStr">
        <is>
          <t>High (explicit)</t>
        </is>
      </c>
      <c r="H65" s="11" t="inlineStr">
        <is>
          <t>Cross-border Transfer, Security</t>
        </is>
      </c>
      <c r="I65" s="11" t="inlineStr">
        <is>
          <t>Financial Data</t>
        </is>
      </c>
      <c r="J65" t="inlineStr">
        <is>
          <t>Commonwealth</t>
        </is>
      </c>
      <c r="K65" s="11" t="inlineStr">
        <is>
          <t>Financing statements for security interests can be registered regardless of whether personal property is located in Australia or persons owning the property are located in Australia. Registrations must include specific data about secured parties, grantors, collateral descriptions, and end times. The registration process requires the applicant to believe on reasonable grounds that the secured party will take a security interest in the collateral.</t>
        </is>
      </c>
      <c r="L65" s="11" t="inlineStr">
        <is>
          <t>Cross-border registration rules for security interests affect data transfers by allowing international collateral descriptions and requiring specific data elements, impacting how financial data is secured across jurisdictions.</t>
        </is>
      </c>
      <c r="M65" s="11" t="inlineStr">
        <is>
          <t>• [Must] A financing statement may be registered whether personal property is located in Australia or persons owning the property are located in Australia
• [Must] The collateral must be described as consumer property or commercial property
• [Must] The collateral must belong to a single class of collateral prescribed by regulations</t>
        </is>
      </c>
      <c r="N65" s="11" t="inlineStr">
        <is>
          <t>• [Must] The applicant must believe on reasonable grounds that the secured party will take a security interest in the collateral
• [Must] The applicant must apply to amend the registration to end its effect with respect to the collateral if the secured party has never been a secured party in relation to the collateral</t>
        </is>
      </c>
      <c r="O65" s="11" t="inlineStr">
        <is>
          <t>A financing statement, or a financing change statement, may be registered whether or not the personal property to which the statement relates is located in Australia or any person who owns or has rights in that property is located in Australia.</t>
        </is>
      </c>
      <c r="P65" s="12" t="n">
        <v>6</v>
      </c>
    </row>
    <row r="66">
      <c r="A66" t="inlineStr">
        <is>
          <t>Australia</t>
        </is>
      </c>
      <c r="B66" t="inlineStr">
        <is>
          <t>C2024C00719 (Australia - Row 15)</t>
        </is>
      </c>
      <c r="C66" t="inlineStr">
        <is>
          <t>345 (part 27)</t>
        </is>
      </c>
      <c r="D66" s="11" t="inlineStr">
        <is>
          <t>Verification statements for security registrations</t>
        </is>
      </c>
      <c r="E66" t="inlineStr">
        <is>
          <t>200–206</t>
        </is>
      </c>
      <c r="F66" t="inlineStr">
        <is>
          <t>High</t>
        </is>
      </c>
      <c r="G66" t="inlineStr">
        <is>
          <t>High (explicit)</t>
        </is>
      </c>
      <c r="H66" s="11" t="inlineStr">
        <is>
          <t>Cross-border Transfer, Data Sharing, Third Party Processing, Security</t>
        </is>
      </c>
      <c r="I66" s="11" t="inlineStr">
        <is>
          <t>Personal Information</t>
        </is>
      </c>
      <c r="J66" t="inlineStr">
        <is>
          <t>Registrar</t>
        </is>
      </c>
      <c r="K66" s="11" t="inlineStr">
        <is>
          <t>The Registrar must provide verification statements to secured parties before and after registration events. If a registration event changes an address, the statement must be given to the previous and new addresses. If a secured party is omitted, the statement must be given to their previous address. Statement holders must notify grantors of the verification statement within reasonable time, with exceptions for commercial property and written waivers.</t>
        </is>
      </c>
      <c r="L66" s="11" t="inlineStr">
        <is>
          <t>This section requires verification statements to be provided to secured parties and grantors, impacting data transfer assessments for security interest registrations across borders.</t>
        </is>
      </c>
      <c r="M66" s="11" t="inlineStr">
        <is>
          <t>• [Must] Registrar must provide verification statement to secured parties registered before and after registration event
• [Must] If address changes, verification statement must be given to previous and new addresses
• [Must] If secured party is omitted, verification statement must be given to previous address</t>
        </is>
      </c>
      <c r="N66" s="11" t="inlineStr">
        <is>
          <t>• [Must] Statement holder must notify grantors of verification statement within reasonable time
• [May] Verification statement may exclude specified data but must include other data
• [May] Statement holder may waive right to receive notice for commercial property</t>
        </is>
      </c>
      <c r="O66" s="11" t="inlineStr">
        <is>
          <t>The Registrar must ensure that a verification statement in relation to a registration event is given to the following persons: (a) a person registered as a secured party in the registration immediately before the time of the registration event; (b) a person registered as a secured party in the registration immediately after the time of the registration event.</t>
        </is>
      </c>
      <c r="P66" s="12" t="n">
        <v>6</v>
      </c>
    </row>
    <row r="67">
      <c r="A67" t="inlineStr">
        <is>
          <t>Australia</t>
        </is>
      </c>
      <c r="B67" t="inlineStr">
        <is>
          <t>C2024C00719 (Australia - Row 15)</t>
        </is>
      </c>
      <c r="C67" t="inlineStr">
        <is>
          <t>345 (part 28)</t>
        </is>
      </c>
      <c r="D67" s="11" t="inlineStr">
        <is>
          <t>Registration effectiveness and defects</t>
        </is>
      </c>
      <c r="E67" t="inlineStr">
        <is>
          <t>206–213</t>
        </is>
      </c>
      <c r="F67" t="inlineStr">
        <is>
          <t>High</t>
        </is>
      </c>
      <c r="G67" t="inlineStr">
        <is>
          <t>High (explicit)</t>
        </is>
      </c>
      <c r="H67" s="11" t="inlineStr">
        <is>
          <t>Data Storage, Security, Data Sharing, Third Party Processing</t>
        </is>
      </c>
      <c r="I67" s="11" t="inlineStr">
        <is>
          <t>Personal Information</t>
        </is>
      </c>
      <c r="J67" t="inlineStr">
        <is>
          <t>Registrar</t>
        </is>
      </c>
      <c r="K67" s="11" t="inlineStr">
        <is>
          <t>A registration is effective from registration time until the earliest of end time, amendment time, or when registration stops being available for search. Registrations become ineffective due to defects like seriously misleading data or specific defects outlined in section 165. Temporary effectiveness periods apply for certain defects, and secured parties must correct defects within 5 business days to maintain effectiveness.</t>
        </is>
      </c>
      <c r="L67" s="11" t="inlineStr">
        <is>
          <t>This section defines registration effectiveness and defect scenarios, impacting data transfer assessments for security interest registrations across borders.</t>
        </is>
      </c>
      <c r="M67" s="11" t="inlineStr">
        <is>
          <t>• [Must] Registration effective from registration time until earliest of end time, amendment time, or when registration stops being available for search
• [Must] Registration ineffective due to seriously misleading data or specific defects in section 165</t>
        </is>
      </c>
      <c r="N67" s="11" t="inlineStr">
        <is>
          <t>• [Must] Defects may be temporary for up to 60 months or 5 business days after discovery
• [Must] Secured party must amend registration within 5 business days to correct defects</t>
        </is>
      </c>
      <c r="O67" s="11" t="inlineStr">
        <is>
          <t>A registration is effective from the registration time until the earliest of: (a) the registered end time; (b) an amendment time; (c) the time when the registration stops being available for search in the register.</t>
        </is>
      </c>
      <c r="P67" s="12" t="n">
        <v>6</v>
      </c>
    </row>
    <row r="68">
      <c r="A68" t="inlineStr">
        <is>
          <t>Australia</t>
        </is>
      </c>
      <c r="B68" t="inlineStr">
        <is>
          <t>C2024C00719 (Australia - Row 15)</t>
        </is>
      </c>
      <c r="C68" t="inlineStr">
        <is>
          <t>345 (part 29)</t>
        </is>
      </c>
      <c r="D68" s="11" t="inlineStr">
        <is>
          <t>Authorized data access for financial and legal purposes</t>
        </is>
      </c>
      <c r="E68" t="inlineStr">
        <is>
          <t>213–220</t>
        </is>
      </c>
      <c r="F68" t="inlineStr">
        <is>
          <t>High</t>
        </is>
      </c>
      <c r="G68" t="inlineStr">
        <is>
          <t>High (explicit)</t>
        </is>
      </c>
      <c r="H68" s="11" t="inlineStr">
        <is>
          <t>Cross-border Transfer, Financial Data</t>
        </is>
      </c>
      <c r="I68" s="11" t="inlineStr">
        <is>
          <t>Financial Data</t>
        </is>
      </c>
      <c r="J68" t="inlineStr">
        <is>
          <t>Registrar</t>
        </is>
      </c>
      <c r="K68" s="11" t="inlineStr">
        <is>
          <t>This section defines permissible purposes for accessing the Australian Register of Financial Interests. It specifies that searchers like the Registrar, official receivers, legal representatives, and government entities may access data for purposes such as administering the Act, enforcing liens, bankruptcy proceedings, or maintaining legal order. The section prohibits unauthorized access or use of data beyond the specified purposes, with civil penalties for contraventions.</t>
        </is>
      </c>
      <c r="L68" s="11" t="inlineStr">
        <is>
          <t>This section establishes conditions for lawful data access that must be considered in cross-border data transfers involving financial records, ensuring only authorized entities can access data for specific legal purposes.</t>
        </is>
      </c>
      <c r="M68" s="11" t="inlineStr">
        <is>
          <t>• [Must Not] Searchers must not access the register otherwise than for the purpose specified in the item
• [Must Not] Searchers must not use data obtained from accessing the register unless lawfully obtained from another source</t>
        </is>
      </c>
      <c r="N68" s="11" t="inlineStr">
        <is>
          <t>• [May] The Registrar may investigate suspected contraventions of section 172(3)
• [Condition] Compliance with section 172(3) is taken as an obligation to the grantor</t>
        </is>
      </c>
      <c r="O68" s="11" t="inlineStr">
        <is>
          <t>A searcher mentioned in an item in the table in subsection (2) must not, otherwise than for the purpose specified in the item: (a) access the register to search for data; or (b) use data obtained as a result of accessing the register, unless the searcher has also obtained the data lawfully from another source.</t>
        </is>
      </c>
      <c r="P68" s="12" t="n">
        <v>6</v>
      </c>
    </row>
    <row r="69">
      <c r="A69" t="inlineStr">
        <is>
          <t>Australia</t>
        </is>
      </c>
      <c r="B69" t="inlineStr">
        <is>
          <t>C2024C00719 (Australia - Row 15)</t>
        </is>
      </c>
      <c r="C69" t="inlineStr">
        <is>
          <t>345 (part 30)</t>
        </is>
      </c>
      <c r="D69" s="11" t="inlineStr">
        <is>
          <t>Conditions for third-party data access in financial registries</t>
        </is>
      </c>
      <c r="E69" t="inlineStr">
        <is>
          <t>220–227</t>
        </is>
      </c>
      <c r="F69" t="inlineStr">
        <is>
          <t>High</t>
        </is>
      </c>
      <c r="G69" t="inlineStr">
        <is>
          <t>High (explicit)</t>
        </is>
      </c>
      <c r="H69" s="11" t="inlineStr">
        <is>
          <t>Cross-border Transfer, Third Party Processing, Financial Data</t>
        </is>
      </c>
      <c r="I69" s="11" t="inlineStr">
        <is>
          <t>Financial Data</t>
        </is>
      </c>
      <c r="J69" t="inlineStr">
        <is>
          <t>Registrar</t>
        </is>
      </c>
      <c r="K69" s="11" t="inlineStr">
        <is>
          <t>This section outlines conditions that must be met when accessing third-party data through the Australian Register of Financial Interests. It specifies that third-party data (e.g., motor vehicle information) may be included in search results and verification statements, but only if the applicant complies with conditions related to the use of such data. The section ensures that third-party data is not considered personal information under the Privacy Act and establishes obligations for both applicants and principals.</t>
        </is>
      </c>
      <c r="L69" s="11" t="inlineStr">
        <is>
          <t>This section defines conditions for accessing third-party data in financial registries, which are critical for DTIAs involving cross-border transfers of data that includes non-registered information.</t>
        </is>
      </c>
      <c r="M69" s="11" t="inlineStr">
        <is>
          <t>• [May] The Registrar may arrange with third parties to provide access to non-registered data through the register
• [Must] Third-party data does not include personal information under the Privacy Act 1988</t>
        </is>
      </c>
      <c r="N69" s="11" t="inlineStr">
        <is>
          <t>• [Must] Applicants must comply with third-party data conditions when applying for registration or access
• [Condition] Compliance with third-party data conditions is taken as an obligation to the third party</t>
        </is>
      </c>
      <c r="O69" s="11" t="inlineStr">
        <is>
          <t>The Registrar may arrange with a third party (prescribed by the regulations) under this Part for the provision of access to non-registered data, held by the third party, through the register (as a portal).</t>
        </is>
      </c>
      <c r="P69" s="12" t="n">
        <v>6</v>
      </c>
    </row>
    <row r="70">
      <c r="A70" t="inlineStr">
        <is>
          <t>Australia</t>
        </is>
      </c>
      <c r="B70" t="inlineStr">
        <is>
          <t>C2024C00719 (Australia - Row 15)</t>
        </is>
      </c>
      <c r="C70" t="inlineStr">
        <is>
          <t>345 (part 31)</t>
        </is>
      </c>
      <c r="D70" s="11" t="inlineStr">
        <is>
          <t>Amendment notices and registration changes for secured parties</t>
        </is>
      </c>
      <c r="E70" t="inlineStr">
        <is>
          <t>227–235</t>
        </is>
      </c>
      <c r="F70" t="inlineStr">
        <is>
          <t>High</t>
        </is>
      </c>
      <c r="G70" t="inlineStr">
        <is>
          <t>High (explicit)</t>
        </is>
      </c>
      <c r="H70" s="11" t="inlineStr">
        <is>
          <t>Cross-border Transfer,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70" s="11" t="inlineStr">
        <is>
          <t>Personal Information, Financial Data, Customer Data, Employee Data, Health Data, Children's Data, Biometric Data, Special Personal Information</t>
        </is>
      </c>
      <c r="J70" t="inlineStr">
        <is>
          <t>Registrar</t>
        </is>
      </c>
      <c r="K70" s="11" t="inlineStr">
        <is>
          <t>This section outlines the administrative process for amendment notices and registration changes when a secured party requests modifications to a registration. The Registrar may issue amendment notices if they suspect the amendment is authorized under section 178. The amendment notice must be given within 5 business days after receiving a statement from the person who made the amendment demand. The Registrar must register a financing change statement amending the registration if the amendment notice is not responded to within the specified period, unless the Registrar suspects the amendment is unauthorized. The process includes judicial review options for disputes.</t>
        </is>
      </c>
      <c r="L70" s="11" t="inlineStr">
        <is>
          <t>This section affects data transfer impact assessments by detailing the administrative procedures for modifying registrations, including the requirement for amendment notices and the Registrar's role in registering changes. It specifies timeframes and conditions for registration amendments, which could impact cross-border data transfers involving secured parties.</t>
        </is>
      </c>
      <c r="M70" s="11" t="inlineStr">
        <is>
          <t>• [Must] The Registrar may give the secured party an amendment notice if the Registrar suspects on reasonable grounds that the amendment demanded is authorized under section 178
• [Must] An amendment notice must be given in response to a statement under subsection (3) as soon as practicable after the statement is given
• [Must] An amendment notice must state the amendment demanded and invite the secured party to submit a response in writing within 5 business days
• [Must] An amendment notice must set out the effect of section 181 (amendment of registration)
• [Must] An amendment notice must include a copy of the statement if a statement is given under subsection (3)</t>
        </is>
      </c>
      <c r="N70" s="11" t="inlineStr">
        <is>
          <t>• [Must] If an amendment notice is given to a secured party after the end of the period covered by subsection (3), the Registrar must register a financing change statement amending the registration unless the Registrar suspects the amendment is unauthorized
• [May] The Registrar may register a financing change statement before the end of the period covered by subsection (3) if the secured party has responded and the Registrar has no reason to believe the secured party intends to give a further response
• [Condition] The period for the secured party to respond to an amendment notice is 5 business days unless extended by the Registrar
• [Must] Data removed from the register because of an amendment must not be made available for search in the register by reference to any time before or after the time of removal</t>
        </is>
      </c>
      <c r="O70" s="11" t="inlineStr">
        <is>
          <t>Section 180(1): The Registrar may give the secured party a notice (an amendment notice) of the amendment demanded.</t>
        </is>
      </c>
      <c r="P70" s="12" t="n">
        <v>6</v>
      </c>
    </row>
    <row r="71">
      <c r="A71" t="inlineStr">
        <is>
          <t>Australia</t>
        </is>
      </c>
      <c r="B71" t="inlineStr">
        <is>
          <t>C2024C00719 (Australia - Row 15)</t>
        </is>
      </c>
      <c r="C71" t="inlineStr">
        <is>
          <t>345 (part 32)</t>
        </is>
      </c>
      <c r="D71" s="11" t="inlineStr">
        <is>
          <t>Fees, administrative review and annual reporting for registration</t>
        </is>
      </c>
      <c r="E71" t="inlineStr">
        <is>
          <t>235–242</t>
        </is>
      </c>
      <c r="F71" t="inlineStr">
        <is>
          <t>High</t>
        </is>
      </c>
      <c r="G71" t="inlineStr">
        <is>
          <t>High (explicit)</t>
        </is>
      </c>
      <c r="H71" s="11" t="inlineStr">
        <is>
          <t>Cross-border Transfer,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71" s="11" t="inlineStr">
        <is>
          <t>Personal Information, Financial Data, Customer Data, Employee Data, Health Data, Children's Data, Biometric Data, Special Personal Information</t>
        </is>
      </c>
      <c r="J71" t="inlineStr">
        <is>
          <t>Minister</t>
        </is>
      </c>
      <c r="K71" s="11" t="inlineStr">
        <is>
          <t>This section establishes the fee structure for registration and searching the register, the administrative review process for registration decisions, and the obligation for the Registrar to prepare annual reports on the operation of the Act. The Minister may determine fees through legislative instruments, and the Registrar may approve payment arrangements for these fees. The Registrar must prepare annual reports detailing access refusals and fee compliance to demonstrate that fees do not constitute taxation.</t>
        </is>
      </c>
      <c r="L71" s="11" t="inlineStr">
        <is>
          <t>This section is relevant for data transfer impact assessments as it governs the administrative processes and fees associated with registration, which could impact the cost and feasibility of cross-border data transfers involving secured parties.</t>
        </is>
      </c>
      <c r="M71" s="11" t="inlineStr">
        <is>
          <t>• [May] The Minister may determine fees for registration and searching the register through legislative instruments
• [May] The Registrar may approve payment arrangements for fees by application in the approved form accompanied by the fee
• [Must] Fees determined under this section must not amount to taxation
• [Must] The amount of a fee is a debt due to the Commonwealth and may be recovered by application to court</t>
        </is>
      </c>
      <c r="N71" s="11" t="inlineStr">
        <is>
          <t>• [Must] The Registrar must prepare annual reports on the operation of the Act for presentation to Parliament
• [Must] The annual report must include details of each occasion access to the register was refused or the operation suspended
• [Must] The annual report must include information demonstrating fees do not constitute taxation</t>
        </is>
      </c>
      <c r="O71" s="11" t="inlineStr">
        <is>
          <t>Section 190(1): The Minister may, by legislative instrument, determine fees for registration and searching the register.</t>
        </is>
      </c>
      <c r="P71" s="12" t="n">
        <v>6</v>
      </c>
    </row>
    <row r="72">
      <c r="A72" t="inlineStr">
        <is>
          <t>Australia</t>
        </is>
      </c>
      <c r="B72" t="inlineStr">
        <is>
          <t>C2024C00719 (Australia - Row 15)</t>
        </is>
      </c>
      <c r="C72" t="inlineStr">
        <is>
          <t>345 (part 33)</t>
        </is>
      </c>
      <c r="D72" s="11" t="inlineStr">
        <is>
          <t>Deputy Registrar resignation and termination procedures</t>
        </is>
      </c>
      <c r="E72" t="inlineStr">
        <is>
          <t>242–251</t>
        </is>
      </c>
      <c r="F72" t="inlineStr">
        <is>
          <t>None</t>
        </is>
      </c>
      <c r="G72" t="inlineStr">
        <is>
          <t>High (explicit)</t>
        </is>
      </c>
      <c r="H72" s="11" t="inlineStr"/>
      <c r="I72" s="11" t="inlineStr"/>
      <c r="J72" t="inlineStr"/>
      <c r="K72" s="11" t="inlineStr">
        <is>
          <t>This section outlines the resignation process for Deputy Registrars, requiring written resignation to the Minister with effect from receipt or a specified later date. It also details termination of appointments by the Minister through written instrument, with termination occurring if the Deputy Registrar ceases employment under the Public Service Act 1999.</t>
        </is>
      </c>
      <c r="L72" s="11" t="inlineStr"/>
      <c r="M72" s="11" t="inlineStr">
        <is>
          <t>• [Must] A Deputy Registrar may resign by writing signed by him or her and given to the Minister
• [Must] The resignation takes effect on the day it is received by the Minister or, if a later day is specified in the resignation, on that later day</t>
        </is>
      </c>
      <c r="N72" s="11" t="inlineStr">
        <is>
          <t>• [Must] The Minister may terminate the appointment of a Deputy Registrar by written instrument
• [Must] The appointment of a Deputy Registrar is terminated if the Deputy Registrar stops being engaged under the Public Service Act 1999 for any reason</t>
        </is>
      </c>
      <c r="O72" s="11" t="inlineStr">
        <is>
          <t>Section 202(1) and (2): A Deputy Registrar may resign by writing signed by him or her and given to the Minister. The resignation takes effect on the day it is received by the Minister or, if a later day is specified in the resignation, on that later day. Section 202(3): The Minister may terminate the appointment of a Deputy Registrar by written instrument. Section 202(4): The appointment of a Deputy Registrar is terminated if the Deputy Registrar stops being engaged under the Public Service Act 1999 for any reason.</t>
        </is>
      </c>
      <c r="P72" s="12" t="n">
        <v>6</v>
      </c>
    </row>
    <row r="73">
      <c r="A73" t="inlineStr">
        <is>
          <t>Australia</t>
        </is>
      </c>
      <c r="B73" t="inlineStr">
        <is>
          <t>C2024C00719 (Australia - Row 15)</t>
        </is>
      </c>
      <c r="C73" t="inlineStr">
        <is>
          <t>345 (part 34)</t>
        </is>
      </c>
      <c r="D73" s="11" t="inlineStr">
        <is>
          <t>Court jurisdiction and transfer procedures for PPS matters</t>
        </is>
      </c>
      <c r="E73" t="inlineStr">
        <is>
          <t>251–259</t>
        </is>
      </c>
      <c r="F73" t="inlineStr">
        <is>
          <t>Low</t>
        </is>
      </c>
      <c r="G73" t="inlineStr">
        <is>
          <t>High (explicit)</t>
        </is>
      </c>
      <c r="H73" s="11" t="inlineStr"/>
      <c r="I73" s="11" t="inlineStr"/>
      <c r="J73" t="inlineStr"/>
      <c r="K73" s="11" t="inlineStr">
        <is>
          <t>This section establishes jurisdictional rules for courts handling Personal Property Security (PPS) matters, including which courts have authority, limits on jurisdiction, and procedures for transferring cases between courts. It specifies that transfers must be made to courts with appropriate jurisdiction and that the transferring court may recommend transfers to superior courts.</t>
        </is>
      </c>
      <c r="L73" s="11" t="inlineStr"/>
      <c r="M73" s="11" t="inlineStr">
        <is>
          <t>• [Must] Jurisdiction is conferred on the Federal Court, the Federal Circuit and Family Court of Australia (Division 1), the Federal Circuit and Family Court of Australia (Division 2), and courts of States and Territories for PPS matters
• [Must] The Federal Circuit and Family Court of Australia (Division 2) cannot award amounts exceeding $750,000 or a prescribed amount
• [Must] Transfers between courts must follow specific criteria including the principal location of parties, place of events, and desirability of related proceedings in the same State or Territory</t>
        </is>
      </c>
      <c r="N73" s="11" t="inlineStr">
        <is>
          <t>• [Must] The transferring court may transfer the matter to the relevant superior court and recommend that the superior court transfer it to another court
• [Must] The Registrar may intervene in judicial proceedings related to PPS matters</t>
        </is>
      </c>
      <c r="O73" s="11" t="inlineStr">
        <is>
          <t>Section 205: Jurisdiction is conferred on the Federal Court, the Federal Circuit and Family Court of Australia (Division 1), the Federal Circuit and Family Court of Australia (Division 2), and courts of States and Territories. Section 212: The transferring court may make a transfer under section 211 only if it appears to the transferring court that the transfer matter arises out of, or is related to, another proceeding pending before a receiving court or it is otherwise in the interests of justice that the transfer matter be determined by a receiving court.</t>
        </is>
      </c>
      <c r="P73" s="12" t="n">
        <v>6</v>
      </c>
    </row>
    <row r="74">
      <c r="A74" t="inlineStr">
        <is>
          <t>Australia</t>
        </is>
      </c>
      <c r="B74" t="inlineStr">
        <is>
          <t>C2024C00719 (Australia - Row 15)</t>
        </is>
      </c>
      <c r="C74" t="inlineStr">
        <is>
          <t>345 (part 35)</t>
        </is>
      </c>
      <c r="D74" s="11" t="inlineStr">
        <is>
          <t>Security interest governing law determination</t>
        </is>
      </c>
      <c r="E74" t="inlineStr">
        <is>
          <t>259–266</t>
        </is>
      </c>
      <c r="F74" t="inlineStr">
        <is>
          <t>High</t>
        </is>
      </c>
      <c r="G74" t="inlineStr">
        <is>
          <t>High (explicit)</t>
        </is>
      </c>
      <c r="H74" s="11" t="inlineStr"/>
      <c r="I74" s="11" t="inlineStr">
        <is>
          <t>Financial Data</t>
        </is>
      </c>
      <c r="J74" t="inlineStr">
        <is>
          <t>Australian Government</t>
        </is>
      </c>
      <c r="K74" s="11" t="inlineStr">
        <is>
          <t>This section establishes rules for determining which jurisdiction's law governs security interests in various property types. It specifies that for goods, the law of the jurisdiction where the goods are located at attachment time governs validity and perfection. For intangible property, the law of the grantor's location governs. It includes exceptions for ADI accounts, intellectual property, and financial property, with specific rules for negotiable instruments and proceeds. The rules differ based on the type of property and whether the security interest is express or implied.</t>
        </is>
      </c>
      <c r="L74" s="11" t="inlineStr">
        <is>
          <t>This section defines how jurisdictional law applies to security interests across different property types, impacting cross-border data transfers involving financial assets by determining applicable legal frameworks for security interests.</t>
        </is>
      </c>
      <c r="M74" s="11" t="inlineStr">
        <is>
          <t>• [Must] The validity of a security interest in goods is governed by the law of the jurisdiction in which the goods are located when the security interest attaches
• [Must] The perfection of a security interest in goods is governed by the law of the jurisdiction in which the goods are located at the time of perfection
• [Must] The validity of a security interest in intangible property is governed by the law of the jurisdiction where the grantor is located when the security interest attaches
• [Must] The perfection of a security interest in intangible property is governed by the law of the jurisdiction where the grantor is located at the time of perfection</t>
        </is>
      </c>
      <c r="N74" s="11" t="inlineStr">
        <is>
          <t>• [Must] A security interest in an ADI account is governed by the law of the jurisdiction that governs the ADI account
• [Must] A security interest in a non-negotiable document of title is governed by the law of the jurisdiction where the goods are located when the security interest attaches
• [Must] A security interest in a negotiable instrument not evidenced by a certificate is governed by the law of the jurisdiction that governs the negotiable instrument</t>
        </is>
      </c>
      <c r="O74" s="11" t="inlineStr">
        <is>
          <t>Section 238: The validity of a security interest in goods is governed by the law of the jurisdiction (other than the law relating to conflict of laws) in which the goods are located when the security interest attaches, under that law, to the goods.</t>
        </is>
      </c>
      <c r="P74" s="12" t="n">
        <v>6</v>
      </c>
    </row>
    <row r="75">
      <c r="A75" t="inlineStr">
        <is>
          <t>Australia</t>
        </is>
      </c>
      <c r="B75" t="inlineStr">
        <is>
          <t>C2024C00719 (Australia - Row 15)</t>
        </is>
      </c>
      <c r="C75" t="inlineStr">
        <is>
          <t>345 (part 37)</t>
        </is>
      </c>
      <c r="D75" s="11" t="inlineStr">
        <is>
          <t>State referral status and amendment references for personal property</t>
        </is>
      </c>
      <c r="E75" t="inlineStr">
        <is>
          <t>273–279</t>
        </is>
      </c>
      <c r="F75" t="inlineStr">
        <is>
          <t>Medium</t>
        </is>
      </c>
      <c r="G75" t="inlineStr">
        <is>
          <t>High (explicit)</t>
        </is>
      </c>
      <c r="H75" s="11" t="inlineStr">
        <is>
          <t>Cross-border Transfer, International Processing, Data Storage, Security</t>
        </is>
      </c>
      <c r="I75" s="11" t="inlineStr">
        <is>
          <t>Personal Information</t>
        </is>
      </c>
      <c r="J75" t="inlineStr">
        <is>
          <t>Australian Government</t>
        </is>
      </c>
      <c r="K75" s="11" t="inlineStr">
        <is>
          <t>This section defines when a State remains a referring State under the Personal Property Securities Act. A State continues as a referring State if its referral law is active, its amendment references have commenced, and the relevant version of the Act has not been terminated. It specifies that termination occurs when the referral reference ends, the amendment reference terminates or becomes restricted, or when the State's amendment reference for personal property (other than fixtures or water rights) terminates. The section also clarifies that termination of amendment references for fixtures or transferable water rights does not end the referring status.</t>
        </is>
      </c>
      <c r="L75" s="11" t="inlineStr">
        <is>
          <t>This section establishes conditions under which a State's referral status for personal property securities ends, impacting cross-border data transfers involving security interests. It defines when amendment references terminate and specifies exceptions for fixtures and water rights, which are relevant for data transfers involving property rights across jurisdictions.</t>
        </is>
      </c>
      <c r="M75" s="11" t="inlineStr">
        <is>
          <t>• [Must] A State is a referring State even if the State's referral law provides that the reference to the Commonwealth of a matter covered by subsection (3) or (4) terminates in particular circumstances
• [Must] A State is a referring State even if the State's referral law provides that the adoption of the relevant version of this Act terminates in particular circumstances
• [Must] A State is a referring State even if the State's referral law provides that any or all of the State's amendment references have not commenced in relation to a particular kind of personal property
• [Must] A State is a referring State even if the reference to the Commonwealth Parliament of a matter covered by subsection (3) or (4) has effect only if the matter is not otherwise included in the legislative powers of the Commonwealth Parliament
• [Must] A State is a referring State even if the reference to the Commonwealth Parliament of a matter covered by subsection (3) or (4) has effect only if the matter is included in the legislative powers of the Parliament of the State
• [Must] A State stops being a referring State if the reference terminates
• [Must] A State stops being a referring State if the adoption terminates</t>
        </is>
      </c>
      <c r="N75" s="11" t="inlineStr">
        <is>
          <t>• [Must] A State stops being a referring State if the State's amendment reference in relation to personal property (other than fixtures or water rights) terminates
• [Must] A State stops being a referring State if the State's amendment reference in relation to personal property (other than fixtures or water rights) is qualified or restricted to any degree
• [Must] A State does not stop being a referring State only because the State's amendment reference in relation to fixtures terminates
• [Must] A State does not stop being a referring State only because the State's amendment reference in relation to transferable water rights terminates
• [Must] A State does not stop being a referring State only because the State's amendment reference in relation to fixtures is qualified or restricted to any degree
• [Must] A State does not stop being a referring State only because the State's amendment reference in relation to transferable water rights is qualified or restricted to any degree</t>
        </is>
      </c>
      <c r="O75" s="11" t="inlineStr">
        <is>
          <t>Section 244(2) states: 'A State is a referring State even if the State's referral law provides that: (a) the reference to the Commonwealth of a matter covered by subsection (3) or (4) is to terminate in particular circumstances; or (b) the adoption of the relevant version of this Act is to terminate in particular circumstances; or (c) any or all of the State's amendment references have not commenced in relation to a particular kind (or kinds) of personal property (or so commence at or after the registration commencement time); or (d) the reference to the Commonwealth Parliament of a matter covered by subsection (3) or (4) has effect only: (i) if, and to the extent that, the matter is not otherwise included in the legislative powers of the Commonwealth Parliament (otherwise than by a reference under paragraph 51(xxxvii) of the Constitution); or (ii) if and to the extent that the matter is included in the legislative powers of the Parliament of the State.'</t>
        </is>
      </c>
      <c r="P75" s="12" t="n">
        <v>6</v>
      </c>
    </row>
    <row r="76">
      <c r="A76" t="inlineStr">
        <is>
          <t>Australia</t>
        </is>
      </c>
      <c r="B76" t="inlineStr">
        <is>
          <t>C2024C00719 (Australia - Row 15)</t>
        </is>
      </c>
      <c r="C76" t="inlineStr">
        <is>
          <t>345 (part 39)</t>
        </is>
      </c>
      <c r="D76" s="11" t="inlineStr">
        <is>
          <t>Security agreements: Effect of other laws on security interests</t>
        </is>
      </c>
      <c r="E76" t="inlineStr">
        <is>
          <t>286–294</t>
        </is>
      </c>
      <c r="F76" t="inlineStr">
        <is>
          <t>High</t>
        </is>
      </c>
      <c r="G76" t="inlineStr">
        <is>
          <t>High (explicit)</t>
        </is>
      </c>
      <c r="H76" s="11" t="inlineStr">
        <is>
          <t>Security, Cross-border Transfer, International Processing</t>
        </is>
      </c>
      <c r="I76" s="11" t="inlineStr">
        <is>
          <t>Financial Data</t>
        </is>
      </c>
      <c r="J76" t="inlineStr">
        <is>
          <t>Australian Competition and Consumer Commission</t>
        </is>
      </c>
      <c r="K76" s="11" t="inlineStr">
        <is>
          <t>This section establishes that security agreements are subject to other laws where there is inconsistency between the Act and those laws. It specifies that certain Commonwealth Acts, including the Payment Systems and Netting Act 1998, prevail over this Act to the extent of inconsistency. The section also outlines restrictions on security agreements where state or territory laws apply, ensuring that security interests remain valid and enforceable despite conflicting laws.</t>
        </is>
      </c>
      <c r="L76" s="11" t="inlineStr">
        <is>
          <t>This section affects DTIAs by clarifying that security interests must comply with both federal and state/territory laws, requiring assessments of potential conflicts in registration, perfection, and enforceability across jurisdictions.</t>
        </is>
      </c>
      <c r="M76" s="11" t="inlineStr">
        <is>
          <t>• [Must] If there is inconsistency between this Act and one of the specified Acts, the other Act prevails to the extent of the inconsistency
• [Must] Subsection 18(1) is subject to each of the following laws: Commonwealth law, State/Territory law, and general law</t>
        </is>
      </c>
      <c r="N76" s="11" t="inlineStr">
        <is>
          <t>• [Condition] A law mentioned in subsection (2) does not apply to the extent affected by Division 4 (when this Act prevails)
• [Condition] A law mentioned in subsection (2) does not apply to the extent prescribed by regulations</t>
        </is>
      </c>
      <c r="O76" s="11" t="inlineStr">
        <is>
          <t>If there is any inconsistency between this Act and one of the following Acts (the other Act), the other Act prevails to the extent of the inconsistency: (a) the Payment Systems and Netting Act 1998; (b) the Cheques Act 1986; (c) the Bills of Exchange Act 1909; (d) the International Interests in Mobile Equipment (Cape Town Convention) Act 2013.</t>
        </is>
      </c>
      <c r="P76" s="12" t="n">
        <v>6</v>
      </c>
    </row>
    <row r="77">
      <c r="A77" t="inlineStr">
        <is>
          <t>Australia</t>
        </is>
      </c>
      <c r="B77" t="inlineStr">
        <is>
          <t>C2024C00719 (Australia - Row 15)</t>
        </is>
      </c>
      <c r="C77" t="inlineStr">
        <is>
          <t>345 (part 40)</t>
        </is>
      </c>
      <c r="D77" s="11" t="inlineStr">
        <is>
          <t>Vesting of unperfected security interests in grantors during bankruptcy</t>
        </is>
      </c>
      <c r="E77" t="inlineStr">
        <is>
          <t>294–301</t>
        </is>
      </c>
      <c r="F77" t="inlineStr">
        <is>
          <t>High</t>
        </is>
      </c>
      <c r="G77" t="inlineStr">
        <is>
          <t>High (explicit)</t>
        </is>
      </c>
      <c r="H77" s="11" t="inlineStr">
        <is>
          <t>Security, Cross-border Transfer, International Processing</t>
        </is>
      </c>
      <c r="I77" s="11" t="inlineStr">
        <is>
          <t>Financial Data</t>
        </is>
      </c>
      <c r="J77" t="inlineStr">
        <is>
          <t>Australian Competition and Consumer Commission</t>
        </is>
      </c>
      <c r="K77" s="11" t="inlineStr">
        <is>
          <t>This section details when unperfected security interests vest in the grantor upon events like bankruptcy, winding up, or restructuring. It specifies that security interests vest in the grantor immediately before certain events occur, such as the winding up of a company or the appointment of a bankruptcy administrator. The section also addresses exceptions where the security interest remains unaffected by these events.</t>
        </is>
      </c>
      <c r="L77" s="11" t="inlineStr">
        <is>
          <t>This section impacts DTIAs by defining when security interests transfer to grantors during insolvency, requiring assessments of jurisdictional conflicts in security registration and perfection across different legal systems.</t>
        </is>
      </c>
      <c r="M77" s="11" t="inlineStr">
        <is>
          <t>• [Must] In the event of a company's bankruptcy or winding up, a secured party's unperfected security interest vests in the grantor
• [Must] Security interests vest in the grantor immediately before the event that triggers winding up or bankruptcy</t>
        </is>
      </c>
      <c r="N77" s="11" t="inlineStr">
        <is>
          <t>• [Must] The security interest vests in the grantor when it attaches to the collateral if the grantor enters into a security agreement before the critical time
• [Must Not] The security interest does not affect the title of a person who acquires property for new value without knowledge of the event</t>
        </is>
      </c>
      <c r="O77" s="11" t="inlineStr">
        <is>
          <t>In the event of the bankruptcy of an individual grantor, or the winding up or the entry into administration of a body corporate grantor, a secured party's unperfected security interest vests in the grantor.</t>
        </is>
      </c>
      <c r="P77" s="12" t="n">
        <v>6</v>
      </c>
    </row>
    <row r="78">
      <c r="A78" t="inlineStr">
        <is>
          <t>Australia</t>
        </is>
      </c>
      <c r="B78" t="inlineStr">
        <is>
          <t>C2024C00719 (Australia - Row 15)</t>
        </is>
      </c>
      <c r="C78" t="inlineStr">
        <is>
          <t>345 (part 41)</t>
        </is>
      </c>
      <c r="D78" s="11" t="inlineStr">
        <is>
          <t>Security interests unaffected by section 267</t>
        </is>
      </c>
      <c r="E78" t="inlineStr">
        <is>
          <t>301–309</t>
        </is>
      </c>
      <c r="F78" t="inlineStr">
        <is>
          <t>High</t>
        </is>
      </c>
      <c r="G78" t="inlineStr">
        <is>
          <t>High (explicit)</t>
        </is>
      </c>
      <c r="H78" s="11" t="inlineStr">
        <is>
          <t>Security, Cross-border Transfer, International Processing</t>
        </is>
      </c>
      <c r="I78" s="11" t="inlineStr">
        <is>
          <t>Financial Data</t>
        </is>
      </c>
      <c r="J78" t="inlineStr">
        <is>
          <t>Corporations Act 2001</t>
        </is>
      </c>
      <c r="K78" s="11" t="inlineStr">
        <is>
          <t>Section 268 specifies security interests that remain unaffected by section 267's vesting rules. These include security interests from transfers of accounts or chattel paper, commercial consignments, and security interests governed by foreign jurisdiction law. It also covers security interests under subsection (2) that involve subordinated debts between creditors.</t>
        </is>
      </c>
      <c r="L78" s="11" t="inlineStr">
        <is>
          <t>This section clarifies which security interests are exempt from the vesting rules in section 267, impacting cross-border security interest transfers and international debt structures.</t>
        </is>
      </c>
      <c r="M78" s="11" t="inlineStr">
        <is>
          <t>• [Must] Security interests provided for by transfers of accounts or chattel paper do not apply to section 267(2) and section 267A
• [Must] Security interests in commercial consignments are exempt from section 267(2) and section 267A</t>
        </is>
      </c>
      <c r="N78" s="11" t="inlineStr">
        <is>
          <t>• [Must] Security interests governed by foreign jurisdiction law at the time mentioned in paragraph 267(1)(b) are exempt
• [Must] Security interests covered by subsection (2) of this section are exempt</t>
        </is>
      </c>
      <c r="O78" s="11" t="inlineStr">
        <is>
          <t>Section 268: (1) Subsection 267(2) and section 267A (security interests vested in grantor) do not apply to the following security interests: (a) a security interest provided for by any of the following transactions, if the interest does not secure the payment or performance of an obligation: (i) a transfer of an account or chattel paper; (iii) a commercial consignment; (aa) a security interest for which perfection, and the effect of perfection or non-perfection, is governed by the law of a foreign jurisdiction at the time mentioned in paragraph 267(1)(b); (b) a security interest covered by subsection (2) of this section.</t>
        </is>
      </c>
      <c r="P78" s="12" t="n">
        <v>6</v>
      </c>
    </row>
    <row r="79">
      <c r="A79" t="inlineStr">
        <is>
          <t>Australia</t>
        </is>
      </c>
      <c r="B79" t="inlineStr">
        <is>
          <t>C2024C00719 (Australia - Row 15)</t>
        </is>
      </c>
      <c r="C79" t="inlineStr">
        <is>
          <t>345 (part 42)</t>
        </is>
      </c>
      <c r="D79" s="11" t="inlineStr">
        <is>
          <t>Secured parties' information disclosure obligations</t>
        </is>
      </c>
      <c r="E79" t="inlineStr">
        <is>
          <t>309–316</t>
        </is>
      </c>
      <c r="F79" t="inlineStr">
        <is>
          <t>High</t>
        </is>
      </c>
      <c r="G79" t="inlineStr">
        <is>
          <t>High (explicit)</t>
        </is>
      </c>
      <c r="H79" s="11" t="inlineStr">
        <is>
          <t>Security, Cross-border Transfer</t>
        </is>
      </c>
      <c r="I79" s="11" t="inlineStr">
        <is>
          <t>Financial Data</t>
        </is>
      </c>
      <c r="J79" t="inlineStr">
        <is>
          <t>Corporations Act 2001</t>
        </is>
      </c>
      <c r="K79" s="11" t="inlineStr">
        <is>
          <t>Section 275 mandates that secured parties disclose specific information to interested persons upon request, including security agreements, secured obligations, and property details. Requests must specify an address and be responded to within 20 business days. Secured parties may exempt responses if confidentiality agreements exist or if disclosure would contravene laws or duties of confidence.</t>
        </is>
      </c>
      <c r="L79" s="11" t="inlineStr">
        <is>
          <t>This section establishes disclosure requirements for secured parties, affecting data transfer impact assessments by defining when and how information about security interests must be shared across borders.</t>
        </is>
      </c>
      <c r="M79" s="11" t="inlineStr">
        <is>
          <t>• [Must] Secured parties must provide a copy of the security agreement upon request
• [Must] Secured parties must provide a written statement of the amount or obligation secured by the interest
• [Must] Secured parties must provide an itemised list of personal property attached to the security interest</t>
        </is>
      </c>
      <c r="N79" s="11" t="inlineStr">
        <is>
          <t>• [Must] Secured parties must respond to requests within 20 business days
• [Condition] Secured parties may exempt responses if confidentiality agreements exist
• [Condition] Secured parties may exempt responses if disclosure would contravene laws or duties of confidence</t>
        </is>
      </c>
      <c r="O79" s="11" t="inlineStr">
        <is>
          <t>Section 275: (1) An interested person may request a secured party who holds a security interest in collateral to send or make available to the interested person, or any other person, any of the following: (a) a copy of the security agreement that provides for the security interest; (b) a statement in writing setting out the amount or the obligation that is secured by the security interest and the terms of payment or performance of the obligation, as at the day specified in the request; (c) a written approval or correction of an itemised list of personal property attached to the request indicating in which items of property the security interest is granted, as at the day specified in the request; (d) a written approval or correction of the following attached to the request, as at the day specified in the request: (i) the amount or the obligation that is secured by the security interest; (ii) the terms of payment or performance of the obligation.</t>
        </is>
      </c>
      <c r="P79" s="12" t="n">
        <v>6</v>
      </c>
    </row>
    <row r="80">
      <c r="A80" t="inlineStr">
        <is>
          <t>Australia</t>
        </is>
      </c>
      <c r="B80" t="inlineStr">
        <is>
          <t>C2024C00719 (Australia - Row 15)</t>
        </is>
      </c>
      <c r="C80" t="inlineStr">
        <is>
          <t>345 (part 43)</t>
        </is>
      </c>
      <c r="D80" s="11" t="inlineStr">
        <is>
          <t>Notices to secured parties: delivery methods and court orders</t>
        </is>
      </c>
      <c r="E80" t="inlineStr">
        <is>
          <t>316–323</t>
        </is>
      </c>
      <c r="F80" t="inlineStr">
        <is>
          <t>Medium</t>
        </is>
      </c>
      <c r="G80" t="inlineStr">
        <is>
          <t>High (explicit)</t>
        </is>
      </c>
      <c r="H80" s="11" t="inlineStr"/>
      <c r="I80" s="11" t="inlineStr">
        <is>
          <t>Personal Information</t>
        </is>
      </c>
      <c r="J80" t="inlineStr">
        <is>
          <t>Australian Securities and Investments Commission</t>
        </is>
      </c>
      <c r="K80" s="11" t="inlineStr">
        <is>
          <t>This section specifies how notices must be delivered to registered secured parties: by physical delivery, pre-paid post, fax, or email. It allows a single notice to cover multiple secured parties. It also permits courts to order alternative notice methods or dispensing with notices entirely, considering efficient administration and relevant factors.</t>
        </is>
      </c>
      <c r="L80" s="11" t="inlineStr">
        <is>
          <t>Notices to secured parties must follow specific delivery methods but can be streamlined for multiple parties. Courts may override notice requirements under certain conditions, impacting cross-border data transfer compliance if notices involve international entities.</t>
        </is>
      </c>
      <c r="M80" s="11" t="inlineStr">
        <is>
          <t>• [Must] Notices must be delivered to secured parties by physical delivery, pre-paid post, fax, or email
• [Must] A single notice may cover multiple secured parties</t>
        </is>
      </c>
      <c r="N80" s="11" t="inlineStr">
        <is>
          <t>• [May] Courts may order alternative notice methods or dispense with notices entirely</t>
        </is>
      </c>
      <c r="O80" s="11" t="inlineStr">
        <is>
          <t>Part 8.5  Notices and timing
Section 288: a notice or document is required or permitted to be given to each of the secured parties. (2) The notice or document may be given to each of the secured parties by giving a single notice in accordance with section 287.</t>
        </is>
      </c>
      <c r="P80" s="12" t="n">
        <v>6</v>
      </c>
    </row>
    <row r="81">
      <c r="A81" t="inlineStr">
        <is>
          <t>Australia</t>
        </is>
      </c>
      <c r="B81" t="inlineStr">
        <is>
          <t>C2024C00719 (Australia - Row 15)</t>
        </is>
      </c>
      <c r="C81" t="inlineStr">
        <is>
          <t>345 (part 44)</t>
        </is>
      </c>
      <c r="D81" s="11" t="inlineStr">
        <is>
          <t>Onus of proof and constructive knowledge for secured parties</t>
        </is>
      </c>
      <c r="E81" t="inlineStr">
        <is>
          <t>323–332</t>
        </is>
      </c>
      <c r="F81" t="inlineStr">
        <is>
          <t>High</t>
        </is>
      </c>
      <c r="G81" t="inlineStr">
        <is>
          <t>High (explicit)</t>
        </is>
      </c>
      <c r="H81" s="11" t="inlineStr"/>
      <c r="I81" s="11" t="inlineStr">
        <is>
          <t>Personal Information</t>
        </is>
      </c>
      <c r="J81" t="inlineStr">
        <is>
          <t>Australian Securities and Investments Commission</t>
        </is>
      </c>
      <c r="K81" s="11" t="inlineStr">
        <is>
          <t>This section outlines who bears the burden of proof for certain facts in secured transactions, including security interest attachment, perfection by registration, and knowledge requirements. It defines constructive knowledge as knowledge an honest and prudent person would have under the circumstances, and specifies how knowledge applies to bodies corporate and related entities.</t>
        </is>
      </c>
      <c r="L81" s="11" t="inlineStr">
        <is>
          <t>The onus of proof for security interests and knowledge requirements impacts data transfer compliance, particularly when determining whether data transfers constitute breaches of security agreements across jurisdictions.</t>
        </is>
      </c>
      <c r="M81" s="11" t="inlineStr">
        <is>
          <t>• [Must] The onus of proving security interest attachment, perfection, and knowledge lies with the person asserting those facts
• [Must] Constructive knowledge means knowledge an honest and prudent person would have under the circumstances</t>
        </is>
      </c>
      <c r="N81" s="11" t="inlineStr">
        <is>
          <t>• [Must] For bodies corporate, knowledge is established if a director, employee, or agent had knowledge or if circumstances were communicated and would have been noticed with reasonable care</t>
        </is>
      </c>
      <c r="O81" s="11" t="inlineStr">
        <is>
          <t>Part 8.6—Onus of proof and knowledge
Section 295: This Part provides that the onus of proving certain facts lies with the person asserting those facts.</t>
        </is>
      </c>
      <c r="P81" s="12" t="n">
        <v>6</v>
      </c>
    </row>
    <row r="82">
      <c r="A82" t="inlineStr">
        <is>
          <t>Australia</t>
        </is>
      </c>
      <c r="B82" t="inlineStr">
        <is>
          <t>C2024C00719 (Australia - Row 15)</t>
        </is>
      </c>
      <c r="C82" t="inlineStr">
        <is>
          <t>345 (part 45)</t>
        </is>
      </c>
      <c r="D82" s="11" t="inlineStr">
        <is>
          <t>Initial application of security interests to personal property</t>
        </is>
      </c>
      <c r="E82" t="inlineStr">
        <is>
          <t>332–339</t>
        </is>
      </c>
      <c r="F82" t="inlineStr">
        <is>
          <t>High</t>
        </is>
      </c>
      <c r="G82" t="inlineStr">
        <is>
          <t>High (explicit)</t>
        </is>
      </c>
      <c r="H82" s="11" t="inlineStr">
        <is>
          <t>Cross-border Transfer, International Processing, Data Storage, Security</t>
        </is>
      </c>
      <c r="I82" s="11" t="inlineStr">
        <is>
          <t>Personal Information</t>
        </is>
      </c>
      <c r="J82" t="inlineStr">
        <is>
          <t>Australian Securities and Investments Commission</t>
        </is>
      </c>
      <c r="K82" s="11" t="inlineStr">
        <is>
          <t>This section specifies when the Australian Security Interests Act starts applying to new security agreements, security interests arising after commencement, transitional security agreements, interests in personal property, and migrated data from Commonwealth, State and Territory registers. It outlines specific provisions for the enforceability of transitional security interests, declared statutory interests, intellectual property licences, enforcement of security agreements, starting times for registrations, governing laws, and constitutional and non-constitutional interests. The Act applies at the registration commencement time (26 months after Royal Assent) for these matters.</t>
        </is>
      </c>
      <c r="L82" s="11" t="inlineStr">
        <is>
          <t>This section defines the timeline and scope for when security interests in personal property become subject to the new Act, critical for determining when data transfers from existing registers to the Personal Property Securities Register occur and how transitional security interests are treated across borders.</t>
        </is>
      </c>
      <c r="M82" s="11" t="inlineStr">
        <is>
          <t>• [Must] This Act starts to apply to new security agreements at the registration commencement time
• [Must] This Act starts to apply to security interests arising after commencement at the registration commencement time
• [Must] This Act starts to apply to transitional security agreements at the registration commencement time
• [Must] This Act starts to apply to new interests in personal property at the registration commencement time
• [Must] This Act starts to apply to prescribed personal property at the registration commencement time
• [Must] This Act starts to apply to migrated personal property data from Commonwealth, State and Territory registers at the registration commencement time
• [Must] Transitional security interests are enforceable against third parties if they would have been enforceable under law before registration commencement
• [Must] Section 73 (priority between security interests and declared statutory interests) applies to declared statutory interests</t>
        </is>
      </c>
      <c r="N82" s="11" t="inlineStr">
        <is>
          <t>• [Must] Section 106 applies to security interests in intellectual property licences made at or after registration commencement
• [Must] Chapter 4 (enforcement of security interests) applies only to security interests provided for by security agreements made at or after registration commencement
• [Must] A person may only apply to the Registrar for registration of financing statements at or after registration commencement time
• [Must] The Registrar may only register financing statements at or after registration commencement time
• [Must] Part 7.2 (Australian laws and those of other jurisdictions) applies only to security interests in collateral that arise at or after registration commencement time
• [Must] Section 251 applies only to security interests in collateral that arise at or after registration commencement time
• [Must] Section 252 applies only to security interests in collateral that arise at or after registration commencement time</t>
        </is>
      </c>
      <c r="O82" s="11" t="inlineStr">
        <is>
          <t>Part 9.3—Initial application of this Act. This Act starts to apply to the following at the registration commencement time (26 months after the Act is given the Royal Assent, or another time determined by the Minister): (a) new security agreements; (b) security interests arising after commencement; (c) transitional security agreements and interests; (d) new interests in personal property; (e) prescribed personal property; (f) migrated personal property data from Commonwealth, State and Territory registers.</t>
        </is>
      </c>
      <c r="P82" s="12" t="n">
        <v>6</v>
      </c>
    </row>
    <row r="83">
      <c r="A83" t="inlineStr">
        <is>
          <t>Australia</t>
        </is>
      </c>
      <c r="B83" t="inlineStr">
        <is>
          <t>C2024C00719 (Australia - Row 15)</t>
        </is>
      </c>
      <c r="C83" t="inlineStr">
        <is>
          <t>345 (part 47)</t>
        </is>
      </c>
      <c r="D83" s="11" t="inlineStr">
        <is>
          <t>Transitional security interest registration requirements</t>
        </is>
      </c>
      <c r="E83" t="inlineStr">
        <is>
          <t>345–352</t>
        </is>
      </c>
      <c r="F83" t="inlineStr">
        <is>
          <t>High</t>
        </is>
      </c>
      <c r="G83" t="inlineStr">
        <is>
          <t>High (explicit)</t>
        </is>
      </c>
      <c r="H83" s="11" t="inlineStr">
        <is>
          <t>Cross-border Transfer, International Processing, Data Storage, Security</t>
        </is>
      </c>
      <c r="I83" s="11" t="inlineStr">
        <is>
          <t>Personal Information</t>
        </is>
      </c>
      <c r="J83" t="inlineStr">
        <is>
          <t>Registrar</t>
        </is>
      </c>
      <c r="K83" s="11" t="inlineStr">
        <is>
          <t>This section establishes rules for registering transitional security interests in personal property. Registrars must specify registration end times if applicable, disclose transitional security agreements, and ensure migrated security interests are perfected before registration commencement. The section defines when registrations are effective despite defects and specifies conditions for registration of transitional security interests.</t>
        </is>
      </c>
      <c r="L83" s="11" t="inlineStr">
        <is>
          <t>Requires specific disclosures for transitional security interests to ensure proper cross-border data handling during migration periods. Defines when registrations remain effective despite defects, critical for assessing data transfer impacts during transitional periods.</t>
        </is>
      </c>
      <c r="M83" s="11" t="inlineStr">
        <is>
          <t>• [Must] State transitional registration end time as effective registration end time if subsection (4) applies
• [Must] Disclose personal property is covered by transitional security agreement
• [Must] Disclose transitional security agreement provides migrated security interest
• [Must] Registration time is effective registration time for collateral</t>
        </is>
      </c>
      <c r="N83" s="11" t="inlineStr">
        <is>
          <t>• [Must] Transitional security interest perfected from immediately before registration commencement time
• [Must] Registration effective despite defects if Registrar determines it
• [Must] Registration becomes ineffective after defect correction period</t>
        </is>
      </c>
      <c r="O83" s="11" t="inlineStr">
        <is>
          <t>Section 334(1) states: 'If data is registered with respect to personal property in a financing statement under subsection 333(2) on the basis that the property is in a class determined under subsection 333(1), but the personal property is not, in fact, in the determined class, this Act applies as if the data is not, and never has been, included in the register.'</t>
        </is>
      </c>
      <c r="P83" s="12" t="n">
        <v>6</v>
      </c>
    </row>
    <row r="84">
      <c r="A84" t="inlineStr">
        <is>
          <t>Australia</t>
        </is>
      </c>
      <c r="B84" t="inlineStr">
        <is>
          <t>C2024C00719 (Australia - Row 15)</t>
        </is>
      </c>
      <c r="C84" t="inlineStr">
        <is>
          <t>345 (part 48)</t>
        </is>
      </c>
      <c r="D84" s="11" t="inlineStr">
        <is>
          <t>Circulating asset definitions for security interests</t>
        </is>
      </c>
      <c r="E84" t="inlineStr">
        <is>
          <t>352–360</t>
        </is>
      </c>
      <c r="F84" t="inlineStr">
        <is>
          <t>High</t>
        </is>
      </c>
      <c r="G84" t="inlineStr">
        <is>
          <t>High (explicit)</t>
        </is>
      </c>
      <c r="H84" s="11" t="inlineStr">
        <is>
          <t>Cross-border Transfer, International Processing, Data Storage, Security</t>
        </is>
      </c>
      <c r="I84" s="11" t="inlineStr">
        <is>
          <t>Personal Information</t>
        </is>
      </c>
      <c r="J84" t="inlineStr">
        <is>
          <t>Registrar</t>
        </is>
      </c>
      <c r="K84" s="11" t="inlineStr">
        <is>
          <t>This section defines what constitutes a circulating asset for security interests, specifying conditions under which personal property is considered a circulating asset. It outlines control requirements for inventory and accounts, and establishes rules for ADI accounts. The section clarifies how security interests are treated in relation to different types of property.</t>
        </is>
      </c>
      <c r="L84" s="11" t="inlineStr">
        <is>
          <t>Defines key terms for security interests across borders, critical for assessing how data transfers are handled under transitional security agreements. Specifies conditions for when security interests are perfected.</t>
        </is>
      </c>
      <c r="M84" s="11" t="inlineStr">
        <is>
          <t>• [Must] Personal property is a circulating asset if secured party has authority for transfers free of security interest
• [Must] Circulating asset not applicable if effective registration discloses secured party control
• [Must] Circulating asset not applicable if security interest perfected by possession</t>
        </is>
      </c>
      <c r="N84" s="11" t="inlineStr">
        <is>
          <t>• [Must] Control of inventory requires written agreement on specific appropriation
• [Must] Control of accounts requires written agreement on deposits to ADI account</t>
        </is>
      </c>
      <c r="O84" s="11" t="inlineStr">
        <is>
          <t>Section 340(1) states: 'For the purposes of this Act, if a grantor grants a security interest in personal property to a secured party, the personal property is a circulating asset if: (a) the personal property is covered by subsection (5) (unless subsection (2) or (3) applies); or (b) in any other case—the secured party has given the grantor express or implied authority for any transfer of the personal property to be made, in the ordinary course of the grantor's business, free of the security interest.'</t>
        </is>
      </c>
      <c r="P84" s="12" t="n">
        <v>6</v>
      </c>
    </row>
    <row r="85">
      <c r="A85" t="inlineStr">
        <is>
          <t>Australia</t>
        </is>
      </c>
      <c r="B85" t="inlineStr">
        <is>
          <t>C2024C00719-1 (Australia - Row 20)</t>
        </is>
      </c>
      <c r="C85" t="inlineStr">
        <is>
          <t>49</t>
        </is>
      </c>
      <c r="D85" s="11" t="inlineStr">
        <is>
          <t>Taking investment instruments or intermediated securities free</t>
        </is>
      </c>
      <c r="E85" t="inlineStr">
        <is>
          <t>5</t>
        </is>
      </c>
      <c r="F85" t="inlineStr">
        <is>
          <t>High</t>
        </is>
      </c>
      <c r="G85" t="inlineStr">
        <is>
          <t>High (explicit)</t>
        </is>
      </c>
      <c r="H85" s="11" t="inlineStr"/>
      <c r="I85" s="11" t="inlineStr"/>
      <c r="J85" t="inlineStr"/>
      <c r="K85" s="11" t="inlineStr">
        <is>
          <t>This section specifies conditions under which investment instruments or intermediated securities can be taken free of security interests. It outlines the circumstances where such assets are no longer subject to a security interest, typically when the security interest is no longer enforceable or has been discharged.</t>
        </is>
      </c>
      <c r="L85" s="11" t="inlineStr"/>
      <c r="M85" s="11" t="inlineStr">
        <is>
          <t>• [Must] Investment instruments or intermediated securities can be taken free of security interests under specified conditions</t>
        </is>
      </c>
      <c r="N85" s="11" t="inlineStr"/>
      <c r="O85" s="11" t="inlineStr">
        <is>
          <t>Taking investment instrument or intermediated security free</t>
        </is>
      </c>
      <c r="P85" s="12" t="n">
        <v>7</v>
      </c>
    </row>
    <row r="86">
      <c r="A86" t="inlineStr">
        <is>
          <t>Australia</t>
        </is>
      </c>
      <c r="B86" t="inlineStr">
        <is>
          <t>C2024C00719-1 (Australia - Row 20)</t>
        </is>
      </c>
      <c r="C86" t="inlineStr">
        <is>
          <t>74</t>
        </is>
      </c>
      <c r="D86" s="11" t="inlineStr">
        <is>
          <t>Execution creditor priority over unperfected security</t>
        </is>
      </c>
      <c r="E86" t="inlineStr">
        <is>
          <t>6</t>
        </is>
      </c>
      <c r="F86" t="inlineStr">
        <is>
          <t>High</t>
        </is>
      </c>
      <c r="G86" t="inlineStr">
        <is>
          <t>High (explicit)</t>
        </is>
      </c>
      <c r="H86" s="11" t="inlineStr"/>
      <c r="I86" s="11" t="inlineStr"/>
      <c r="J86" t="inlineStr"/>
      <c r="K86" s="11" t="inlineStr">
        <is>
          <t>This section establishes that an execution creditor has priority over unperfected security interests when enforcing a security interest. It ensures that creditors who have executed on collateral can take precedence over less perfected security interests.</t>
        </is>
      </c>
      <c r="L86" s="11" t="inlineStr"/>
      <c r="M86" s="11" t="inlineStr">
        <is>
          <t>• [Must] Execution creditor has priority over unperfected security interests when enforcing a security interest</t>
        </is>
      </c>
      <c r="N86" s="11" t="inlineStr"/>
      <c r="O86" s="11" t="inlineStr">
        <is>
          <t>Execution creditor has priority over unperfected security</t>
        </is>
      </c>
      <c r="P86" s="12" t="n">
        <v>7</v>
      </c>
    </row>
    <row r="87">
      <c r="A87" t="inlineStr">
        <is>
          <t>Australia</t>
        </is>
      </c>
      <c r="B87" t="inlineStr">
        <is>
          <t>C2024C00719-1 (Australia - Row 20)</t>
        </is>
      </c>
      <c r="C87" t="inlineStr">
        <is>
          <t>81</t>
        </is>
      </c>
      <c r="D87" s="11" t="inlineStr">
        <is>
          <t>Contractual rights on transfer of account or chattel paper</t>
        </is>
      </c>
      <c r="E87" t="inlineStr">
        <is>
          <t>6</t>
        </is>
      </c>
      <c r="F87" t="inlineStr">
        <is>
          <t>High</t>
        </is>
      </c>
      <c r="G87" t="inlineStr">
        <is>
          <t>High (explicit)</t>
        </is>
      </c>
      <c r="H87" s="11" t="inlineStr"/>
      <c r="I87" s="11" t="inlineStr"/>
      <c r="J87" t="inlineStr"/>
      <c r="K87" s="11" t="inlineStr">
        <is>
          <t>This section details contractual rights that arise when accounts or chattel paper are transferred. It specifies the conditions under which parties can retain rights to the transferred property without a security interest.</t>
        </is>
      </c>
      <c r="L87" s="11" t="inlineStr"/>
      <c r="M87" s="11" t="inlineStr">
        <is>
          <t>• [Must] Contractual rights on transfer of account or chattel paper are established under specific conditions</t>
        </is>
      </c>
      <c r="N87" s="11" t="inlineStr"/>
      <c r="O87" s="11" t="inlineStr">
        <is>
          <t>Rights on transfer of account or chattel paper—contractual</t>
        </is>
      </c>
      <c r="P87" s="12" t="n">
        <v>7</v>
      </c>
    </row>
    <row r="88">
      <c r="A88" t="inlineStr">
        <is>
          <t>Australia</t>
        </is>
      </c>
      <c r="B88" t="inlineStr">
        <is>
          <t>C2024C00719-1 (Australia - Row 20)</t>
        </is>
      </c>
      <c r="C88" t="inlineStr">
        <is>
          <t>103</t>
        </is>
      </c>
      <c r="D88" s="11" t="inlineStr">
        <is>
          <t>Priority of purchase money security interest in processed property</t>
        </is>
      </c>
      <c r="E88" t="inlineStr">
        <is>
          <t>7</t>
        </is>
      </c>
      <c r="F88" t="inlineStr">
        <is>
          <t>High</t>
        </is>
      </c>
      <c r="G88" t="inlineStr">
        <is>
          <t>High (explicit)</t>
        </is>
      </c>
      <c r="H88" s="11" t="inlineStr"/>
      <c r="I88" s="11" t="inlineStr"/>
      <c r="J88" t="inlineStr"/>
      <c r="K88" s="11" t="inlineStr">
        <is>
          <t>This section addresses the priority of purchase money security interests in processed or commingled personal property. It states that such security interests take priority over other unperfected interests in the property.</t>
        </is>
      </c>
      <c r="L88" s="11" t="inlineStr"/>
      <c r="M88" s="11" t="inlineStr">
        <is>
          <t>• [Must] Purchase money security interest in processed or commingled property takes priority over unperfected interests</t>
        </is>
      </c>
      <c r="N88" s="11" t="inlineStr"/>
      <c r="O88" s="11" t="inlineStr">
        <is>
          <t>Priority of purchase money security interest in processed or</t>
        </is>
      </c>
      <c r="P88" s="12" t="n">
        <v>7</v>
      </c>
    </row>
    <row r="89">
      <c r="A89" t="inlineStr">
        <is>
          <t>Australia</t>
        </is>
      </c>
      <c r="B89" t="inlineStr">
        <is>
          <t>C2024C00719-1 (Australia - Row 20)</t>
        </is>
      </c>
      <c r="C89" t="inlineStr">
        <is>
          <t>345</t>
        </is>
      </c>
      <c r="D89" s="11" t="inlineStr">
        <is>
          <t>Personal Property Securities Act 2009: General application rules</t>
        </is>
      </c>
      <c r="E89" t="inlineStr">
        <is>
          <t>18–26</t>
        </is>
      </c>
      <c r="F89" t="inlineStr">
        <is>
          <t>High</t>
        </is>
      </c>
      <c r="G89" t="inlineStr">
        <is>
          <t>High (explicit)</t>
        </is>
      </c>
      <c r="H89" s="11" t="inlineStr">
        <is>
          <t>Cross-border Transfer, International Processing, Data Storage, Security</t>
        </is>
      </c>
      <c r="I89" s="11" t="inlineStr">
        <is>
          <t>Financial Data</t>
        </is>
      </c>
      <c r="J89" t="inlineStr">
        <is>
          <t>Australian Securities and Investments Commission</t>
        </is>
      </c>
      <c r="K89" s="11" t="inlineStr">
        <is>
          <t>This section outlines the general application of the Personal Property Securities Act 2009, including which security interests are covered by the Act. It specifies that the Act applies to security interests in goods, financial property, and intangible property under certain conditions, such as the location of the property or the entity involved.</t>
        </is>
      </c>
      <c r="L89" s="11" t="inlineStr"/>
      <c r="M89" s="11" t="inlineStr">
        <is>
          <t>• [Must] This Act applies to security interests in goods or financial property if located in Australia or granted by an Australian entity
• [Must] This Act applies to security interests in intangible property if the grantor is an Australian entity or the property is payable in Australia</t>
        </is>
      </c>
      <c r="N89" s="11" t="inlineStr">
        <is>
          <t>• [Must] This Act applies to security interests in intermediated securities if the intermediary is located in Australia or the grantor is an Australian entity</t>
        </is>
      </c>
      <c r="O89" s="11" t="inlineStr">
        <is>
          <t>This Act applies to a security interest in goods or financial property if: (a) the location of the goods or property is in Australia; or (b) the grantor is an Australian entity.</t>
        </is>
      </c>
      <c r="P89" s="12" t="n">
        <v>7</v>
      </c>
    </row>
    <row r="90">
      <c r="A90" t="inlineStr">
        <is>
          <t>Australia</t>
        </is>
      </c>
      <c r="B90" t="inlineStr">
        <is>
          <t>C2024C00719-1 (Australia - Row 20)</t>
        </is>
      </c>
      <c r="C90" t="inlineStr">
        <is>
          <t>345 (part 3)</t>
        </is>
      </c>
      <c r="D90" s="11" t="inlineStr">
        <is>
          <t>Definitions of financial and property terms in the Australian Securities and Investments Commission Act</t>
        </is>
      </c>
      <c r="E90" t="inlineStr">
        <is>
          <t>32–40</t>
        </is>
      </c>
      <c r="F90" t="inlineStr">
        <is>
          <t>High</t>
        </is>
      </c>
      <c r="G90" t="inlineStr">
        <is>
          <t>High (explicit)</t>
        </is>
      </c>
      <c r="H90" s="11" t="inlineStr">
        <is>
          <t>Financial Data, Data Storage, Data Sharing</t>
        </is>
      </c>
      <c r="I90" s="11" t="inlineStr">
        <is>
          <t>Financial Data, Customer Data</t>
        </is>
      </c>
      <c r="J90" t="inlineStr"/>
      <c r="K90" s="11" t="inlineStr">
        <is>
          <t>This section defines key terms related to financial and property matters, including accounts, ADI accounts, advances, and security interests. It specifies that a security interest secures payment or performance of an obligation and includes certain transactions like transfers of accounts and consignments. The definitions cover terms such as Australian entities, bankruptcy, business days, and collateral, with examples provided for clarity.</t>
        </is>
      </c>
      <c r="L90" s="11" t="inlineStr">
        <is>
          <t>These definitions establish the legal framework for understanding financial and property terms critical to data transfers involving security interests, accounts, and collateral. They help clarify what constitutes personal property and security interests that may be relevant to cross-border data transfers.</t>
        </is>
      </c>
      <c r="M90" s="11" t="inlineStr">
        <is>
          <t>• [Must] A security interest is an interest in personal property provided for by a transaction that secures payment or the performance of an obligation.
• [Must] Certain transactions that do not secure payment or the performance of an obligation may also give rise to a security interest: transfers of accounts, consignments and certain long-term leases and bailments (called PPS leases).
• [Must] An account means a monetary obligation arising from disposing of property, granting a right, or providing services in the ordinary course of business.
• [Must] An ADI account means an account kept by a person with an ADI that is payable on demand or at some time in the future.
• [Must] Advance includes any liability of a debtor to pay interest, credit costs and other charges or costs payable by the debtor in connection with the advance or the enforcement of a security interest securing the advance.
• [Must] After-acquired property means personal property acquired by the grantor after a security agreement is made.
• [Must] Collateral means personal property to which a security interest is attached.
• [Must] Commercial consignment means a consignment if the consignor retains an interest in goods delivered to the consignee for the purpose of sale, lease or other disposal.
• [Must] Commercial property means personal property other than consumer property.
• [Must] Crops means crops that have not been harvested, including products of agriculture or aquaculture.
• [Must] Currency means currency authorised as a medium of exchange by the law of Australia or of any other country.
• [Must] Debtor means a person who owes payment or performance of an obligation secured by a security interest in personal property.
• [Must] Defect, in relation to a registration, includes an irregularity, omission or error in the registration.</t>
        </is>
      </c>
      <c r="N90" s="11" t="inlineStr">
        <is>
          <t>• [Must] Description of personal property (including collateral and proceeds) means a description that identifies the item or class of personal property.
• [Must] Document of title means a writing issued by or addressed to a bailee that covers goods in the bailee's possession.
• [Must] Financial product means any of the following, or an interest in any of the following, other than cash: shares, bonds, any other financial instrument, any other financial asset.
• [Must] Financial property means any of the following personal property: chattel paper, currency, document of title, investment instrument, negotiable instrument.
• [Must] Financing statement means data registered (or that is to be registered) pursuant to an application for registration under subsection 150(1).
• [Must] Future advance means an advance secured by a security interest made after the security agreement was made, or expenses in relation to the enforcement of a security interest that are secured by the security interest.
• [Must] Goods means personal property that is tangible property, including crops, livestock, wool, minerals, satellites and other space objects.
• [Must] Grantor means a person who has the interest in the personal property to which a security interest is attached.
• [Must] Intangible property means personal property that is not financial property, goods, or an intermediated security.
• [Must] Intellectual property means any of the following rights: design rights, patent rights, trade mark rights, plant breeder's rights, circuit layout rights, copyright rights, and rights under foreign laws.
• [Must] Intellectual property licence means an authority or licence to exercise rights comprising intellectual property.
• [Must] Investment instrument means any of the following financial products: shares, debentures, bonds, derivatives, foreign exchange contracts, assignable options, managed investment schemes, units in shares, financial products traded on Australian markets, and combinations of financial products.</t>
        </is>
      </c>
      <c r="O90" s="11" t="inlineStr">
        <is>
          <t>Section 10: A security interest is an interest in personal property provided for by a transaction that secures payment or the performance of an obligation. The form of the transaction and the identity of the person who has title to the property do not affect whether an interest is a security interest. Certain transactions that do not secure payment or the performance of an obligation may also give rise to a security interest: transfers of accounts, consignments and certain long-term leases and bailments (called PPS leases).</t>
        </is>
      </c>
      <c r="P90" s="12" t="n">
        <v>7</v>
      </c>
    </row>
    <row r="91">
      <c r="A91" t="inlineStr">
        <is>
          <t>Australia</t>
        </is>
      </c>
      <c r="B91" t="inlineStr">
        <is>
          <t>C2024C00719-1 (Australia - Row 20)</t>
        </is>
      </c>
      <c r="C91" t="inlineStr">
        <is>
          <t>345 (part 5)</t>
        </is>
      </c>
      <c r="D91" s="11" t="inlineStr">
        <is>
          <t>Definitions of security interests and personal property terms</t>
        </is>
      </c>
      <c r="E91" t="inlineStr">
        <is>
          <t>46–53</t>
        </is>
      </c>
      <c r="F91" t="inlineStr">
        <is>
          <t>High</t>
        </is>
      </c>
      <c r="G91" t="inlineStr">
        <is>
          <t>High (explicit)</t>
        </is>
      </c>
      <c r="H91" s="11" t="inlineStr">
        <is>
          <t>Security</t>
        </is>
      </c>
      <c r="I91" s="11" t="inlineStr">
        <is>
          <t>Personal Information</t>
        </is>
      </c>
      <c r="J91" t="inlineStr">
        <is>
          <t>Australian Government</t>
        </is>
      </c>
      <c r="K91" s="11" t="inlineStr">
        <is>
          <t>This section defines key terms related to security interests and personal property under Australian law. It specifies that a security interest secures payment or performance of an obligation without regard to transaction form. It lists examples including fixed charges, floating charges, chattel mortgages, and conditional sales. The section also clarifies that security interests exclude licenses and certain regulated interests, and specifies conditions under which security interests are created.</t>
        </is>
      </c>
      <c r="L91" s="11" t="inlineStr">
        <is>
          <t>This section defines critical terms for data transfer impact assessments, particularly regarding security interests and personal property. It establishes the scope of what constitutes a security interest and excludes certain types of interests, which is relevant for determining data transfer mechanisms and safeguards.</t>
        </is>
      </c>
      <c r="M91" s="11" t="inlineStr">
        <is>
          <t>• [Must] A security interest means an interest in personal property provided for by a transaction that secures payment or performance of an obligation
• [Must] A security interest includes fixed charges, floating charges, chattel mortgages, conditional sales, hire purchases, pledges, trust receipts, consignments, leases of goods, assignments, transfers of title, and flawed asset arrangements
• [Must] A security interest also includes interests of transferees under transfers of accounts or chattel paper
• [Must] A security interest includes interests of consignors under commercial consignments
• [Must] A security interest includes interests of lessors or bailors under PPS leases
• [Must] A person who owes payment to another may take a security interest in the other's right to payment</t>
        </is>
      </c>
      <c r="N91" s="11" t="inlineStr">
        <is>
          <t>• [Must] An account debtor may take a security interest in an account or chattel paper
• [Must] An ADI may take a security interest in an ADI account
• [Must Not] A security interest does not include licenses
• [Must Not] A security interest does not include interests prescribed by regulations
• [Must Not] A security interest is not created by agreements to postpone or subordinate rights
• [Must Not] A security interest is not created by agreements to subordinate secured parties' rights</t>
        </is>
      </c>
      <c r="O91" s="11" t="inlineStr">
        <is>
          <t>Section 12: A security interest means an interest in personal property provided for by a transaction that, in substance, secures payment or performance of an obligation (without regard to the form of the transaction or the identity of the person who has title to the property).</t>
        </is>
      </c>
      <c r="P91" s="12" t="n">
        <v>7</v>
      </c>
    </row>
    <row r="92">
      <c r="A92" t="inlineStr">
        <is>
          <t>Australia</t>
        </is>
      </c>
      <c r="B92" t="inlineStr">
        <is>
          <t>C2024C00719-1 (Australia - Row 20)</t>
        </is>
      </c>
      <c r="C92" t="inlineStr">
        <is>
          <t>345 (part 7)</t>
        </is>
      </c>
      <c r="D92" s="11" t="inlineStr">
        <is>
          <t>Definition of intermediary and securities account</t>
        </is>
      </c>
      <c r="E92" t="inlineStr">
        <is>
          <t>59–66</t>
        </is>
      </c>
      <c r="F92" t="inlineStr">
        <is>
          <t>High</t>
        </is>
      </c>
      <c r="G92" t="inlineStr">
        <is>
          <t>High (explicit)</t>
        </is>
      </c>
      <c r="H92" s="11" t="inlineStr">
        <is>
          <t>Cross-border Transfer, International Processing, Data Storage, Security</t>
        </is>
      </c>
      <c r="I92" s="11" t="inlineStr">
        <is>
          <t>Financial Data, Customer Data</t>
        </is>
      </c>
      <c r="J92" t="inlineStr"/>
      <c r="K92" s="11" t="inlineStr">
        <is>
          <t>This section defines what constitutes an intermediary and a securities account. An intermediary is only active in that role when acting as such, and a person is not considered an intermediary merely because they maintain a securities account for an issuer. A securities account is defined as an account where interests in financial products can be credited or debited, or for intermediaries, a record of holdings and transfers.</t>
        </is>
      </c>
      <c r="L92" s="11" t="inlineStr">
        <is>
          <t>Defines key terms for security interests, critical for understanding who qualifies as an intermediary and how securities accounts function in cross-border data contexts.</t>
        </is>
      </c>
      <c r="M92" s="11" t="inlineStr">
        <is>
          <t>• [Must] An intermediary is only active in that role while acting as an intermediary
• [Must Not] A person is not an intermediary for the purposes of paragraph (2)(a) or (c) merely because they maintain a securities account on behalf of an issuer
• [Must Not] A person is not an intermediary for the purposes of paragraph (2)(a) or (c) merely because they act as a central securities depository, registrar or transfer agent for an issuer</t>
        </is>
      </c>
      <c r="N92" s="11" t="inlineStr">
        <is>
          <t>• [Must Not] A person is not an intermediary for the purposes of paragraph (2)(a) or (c) merely because they record details of interests in financial products in their own books in an administrative capacity
• [Definition] A securities account means an account to which interests in financial products may be credited or debited
• [Definition] For intermediaries, a securities account means a record of holdings and transfers of interests in financial products</t>
        </is>
      </c>
      <c r="O92" s="11" t="inlineStr">
        <is>
          <t>Section 15(4) to (7) of the Act: An intermediary (including a central securities depository) is an intermediary only while acting in the capacity of an intermediary. A person is not an intermediary for the purposes of paragraph (2)(a) or (c) merely because the person maintains a securities account on behalf of the issuer of the financial products to which the account relates. A securities account means: (a) an account to which interests in financial products may be credited or debited; or (b) in the case of an intermediary mentioned in paragraph 15(2)(b)—a record of holdings and transfers of interests in financial products.</t>
        </is>
      </c>
      <c r="P92" s="12" t="n">
        <v>7</v>
      </c>
    </row>
    <row r="93">
      <c r="A93" t="inlineStr">
        <is>
          <t>Australia</t>
        </is>
      </c>
      <c r="B93" t="inlineStr">
        <is>
          <t>C2024C00719-1 (Australia - Row 20)</t>
        </is>
      </c>
      <c r="C93" t="inlineStr">
        <is>
          <t>345 (part 8)</t>
        </is>
      </c>
      <c r="D93" s="11" t="inlineStr">
        <is>
          <t>Security interest perfection rules for collateral</t>
        </is>
      </c>
      <c r="E93" t="inlineStr">
        <is>
          <t>66–73</t>
        </is>
      </c>
      <c r="F93" t="inlineStr">
        <is>
          <t>High</t>
        </is>
      </c>
      <c r="G93" t="inlineStr">
        <is>
          <t>High (explicit)</t>
        </is>
      </c>
      <c r="H93" s="11" t="inlineStr">
        <is>
          <t>Security</t>
        </is>
      </c>
      <c r="I93" s="11" t="inlineStr">
        <is>
          <t>Financial Data, Customer Data</t>
        </is>
      </c>
      <c r="J93" t="inlineStr"/>
      <c r="K93" s="11" t="inlineStr">
        <is>
          <t>This section outlines how security interests are perfected for different types of collateral. Perfection occurs through registration, possession, or control of collateral. It specifies that a security interest in goods possessed by a bailee can be perfected through registration, possession, or by issuing documents of title. The section also details temporary perfection for negotiable documents of title in transit.</t>
        </is>
      </c>
      <c r="L93" s="11" t="inlineStr">
        <is>
          <t>Defines conditions for perfecting security interests across different collateral types, critical for assessing data transfer risks when security interests are involved in cross-border data flows.</t>
        </is>
      </c>
      <c r="M93" s="11" t="inlineStr">
        <is>
          <t>• [Must] A security interest in particular collateral is perfected if it is temporarily perfected or otherwise perfected by force of the Act
• [Must] A security interest in particular collateral is perfected if the security interest is attached to the collateral and is enforceable against a third party
• [Must] A security interest in particular collateral is perfected if registration is effective with respect to the collateral
• [Must] A security interest in particular collateral is perfected if the secured party has possession of the collateral (other than possession as a result of seizure or repossession)</t>
        </is>
      </c>
      <c r="N93" s="11" t="inlineStr">
        <is>
          <t>• [Must] A security interest in particular collateral is perfected if the secured party has control of the collateral for ADI accounts, intermediated securities, investment instruments, or negotiable instruments not evidenced by a certificate
• [Must] A security interest that has attached to goods in the possession of a bailee is perfected if the security interest is perfected by registration, possession, or by issuing a document of title to the goods in the name of the secured party
• [Must] A security interest in goods in the possession of a bailee is temporarily perfected for the period starting when the bailee issues a negotiable document of title and ending when the secured party takes possession of the document
• [Must] The security interest in goods becomes unperfected at the end of the 5 business day period unless perfected otherwise</t>
        </is>
      </c>
      <c r="O93" s="11" t="inlineStr">
        <is>
          <t>Section 21(1) to (4) of the Act: A security interest in particular collateral is perfected if: (a) the security interest is temporarily perfected, or otherwise perfected, by force of this Act; or (b) all of the following apply: (i) the security interest is attached to the collateral; (ii) the security interest is enforceable against a third party; (iii) subsection (2) applies. A security interest in particular collateral is perfected if the secured party has possession of the collateral (other than possession as a result of seizure or repossession).</t>
        </is>
      </c>
      <c r="P93" s="12" t="n">
        <v>7</v>
      </c>
    </row>
    <row r="94">
      <c r="A94" t="inlineStr">
        <is>
          <t>Australia</t>
        </is>
      </c>
      <c r="B94" t="inlineStr">
        <is>
          <t>C2024C00719-1 (Australia - Row 20)</t>
        </is>
      </c>
      <c r="C94" t="inlineStr">
        <is>
          <t>345 (part 9)</t>
        </is>
      </c>
      <c r="D94" s="11" t="inlineStr">
        <is>
          <t>Control of investment instruments and negotiable instruments</t>
        </is>
      </c>
      <c r="E94" t="inlineStr">
        <is>
          <t>73–80</t>
        </is>
      </c>
      <c r="F94" t="inlineStr">
        <is>
          <t>High</t>
        </is>
      </c>
      <c r="G94" t="inlineStr">
        <is>
          <t>High (explicit)</t>
        </is>
      </c>
      <c r="H94" s="11" t="inlineStr">
        <is>
          <t>Cross-border Transfer, International Processing, Data Storage, Security</t>
        </is>
      </c>
      <c r="I94" s="11" t="inlineStr">
        <is>
          <t>Financial Data</t>
        </is>
      </c>
      <c r="J94" t="inlineStr">
        <is>
          <t>Australian Securities and Investments Commission</t>
        </is>
      </c>
      <c r="K94" s="11" t="inlineStr">
        <is>
          <t>This section defines when a person has control over investment instruments, including those evidenced by certificates or not. Control is established through registration as the registered owner, possession of the instrument, or an agreement allowing the person to initiate transfers or deal with the instrument. The rules specify conditions for control in different scenarios, including electronic messaging and agreements with issuers.</t>
        </is>
      </c>
      <c r="L94" s="11" t="inlineStr">
        <is>
          <t>Defines control mechanisms for investment instruments, critical for determining data transfer authority and cross-border data handling in financial instruments.</t>
        </is>
      </c>
      <c r="M94" s="11" t="inlineStr">
        <is>
          <t>• [Must] A person has control of an investment instrument if the issuer registers the person as the registered owner of the instrument
• [Must] A person has control of an investment instrument evidenced by a certificate if they possess it and can transfer or deal with it</t>
        </is>
      </c>
      <c r="N94" s="11" t="inlineStr">
        <is>
          <t>• [Must] A person has control of an investment instrument not evidenced by a certificate if there is an agreement allowing them to initiate or control sending instructions for transfers
• [Must] A secured party has control of a negotiable instrument not evidenced by a certificate if it can be transferred via clearing facility rules and there is an agreement controlling electronic messages</t>
        </is>
      </c>
      <c r="O94" s="11" t="inlineStr">
        <is>
          <t>Section 27(2): A person, other than the debtor or grantor, has control of an investment instrument if the issuer of the instrument registers the person as the registered owner of the instrument.</t>
        </is>
      </c>
      <c r="P94" s="12" t="n">
        <v>7</v>
      </c>
    </row>
    <row r="95">
      <c r="A95" t="inlineStr">
        <is>
          <t>Australia</t>
        </is>
      </c>
      <c r="B95" t="inlineStr">
        <is>
          <t>C2024C00719-1 (Australia - Row 20)</t>
        </is>
      </c>
      <c r="C95" t="inlineStr">
        <is>
          <t>345 (part 10)</t>
        </is>
      </c>
      <c r="D95" s="11" t="inlineStr">
        <is>
          <t>Temporary perfection of security interests in collateral</t>
        </is>
      </c>
      <c r="E95" t="inlineStr">
        <is>
          <t>80–87</t>
        </is>
      </c>
      <c r="F95" t="inlineStr">
        <is>
          <t>High</t>
        </is>
      </c>
      <c r="G95" t="inlineStr">
        <is>
          <t>High (explicit)</t>
        </is>
      </c>
      <c r="H95" s="11" t="inlineStr">
        <is>
          <t>Cross-border Transfer, International Processing, Data Storage, Security</t>
        </is>
      </c>
      <c r="I95" s="11" t="inlineStr">
        <is>
          <t>Financial Data</t>
        </is>
      </c>
      <c r="J95" t="inlineStr">
        <is>
          <t>Australian Securities and Investments Commission</t>
        </is>
      </c>
      <c r="K95" s="11" t="inlineStr">
        <is>
          <t>This section outlines temporary perfection rules for security interests in collateral when goods or instruments are returned to the grantor or debtor. It specifies 5-business-day temporary perfection periods for security interests in goods, negotiable instruments, and investment instruments following actions like sale, exchange, or repossession. The security interest reattaches to the collateral if the goods are returned to the grantor or debtor under specific circumstances.</t>
        </is>
      </c>
      <c r="L95" s="11" t="inlineStr">
        <is>
          <t>Defines temporary perfection periods for security interests in returned collateral, critical for assessing data transfer risks when assets are repossessed or transferred across borders.</t>
        </is>
      </c>
      <c r="M95" s="11" t="inlineStr">
        <is>
          <t>• [Must] A security interest in goods temporarily perfected for 5 business days after possession is given to the grantor or debtor for sale, exchange, or other preparation actions
• [Must] A security interest in negotiable instruments or investment instruments temporarily perfected for 5 business days after possession or control is given to the grantor or debtor for sale, exchange, presentation, collection, renewal, or registration</t>
        </is>
      </c>
      <c r="N95" s="11" t="inlineStr">
        <is>
          <t>• [Must] The security interest reattaches to goods if the grantor or debtor repossesses them after a sale or lease</t>
        </is>
      </c>
      <c r="O95" s="11" t="inlineStr">
        <is>
          <t>Section 35(1): A security interest in goods that is perfected by possession... is temporarily perfected for the period covered by subsection (2) if possession... is given to the grantor or the debtor at a particular time for the purpose of sale, exchange, or other actions.</t>
        </is>
      </c>
      <c r="P95" s="12" t="n">
        <v>7</v>
      </c>
    </row>
    <row r="96">
      <c r="A96" t="inlineStr">
        <is>
          <t>Australia</t>
        </is>
      </c>
      <c r="B96" t="inlineStr">
        <is>
          <t>C2024C00719-1 (Australia - Row 20)</t>
        </is>
      </c>
      <c r="C96" t="inlineStr">
        <is>
          <t>345 (part 11)</t>
        </is>
      </c>
      <c r="D96" s="11" t="inlineStr">
        <is>
          <t>Deemed goods security interest and temporary perfection periods</t>
        </is>
      </c>
      <c r="E96" t="inlineStr">
        <is>
          <t>87–94</t>
        </is>
      </c>
      <c r="F96" t="inlineStr">
        <is>
          <t>High</t>
        </is>
      </c>
      <c r="G96" t="inlineStr">
        <is>
          <t>High (explicit)</t>
        </is>
      </c>
      <c r="H96" s="11" t="inlineStr">
        <is>
          <t>Security</t>
        </is>
      </c>
      <c r="I96" s="11" t="inlineStr">
        <is>
          <t>Personal Information</t>
        </is>
      </c>
      <c r="J96" t="inlineStr">
        <is>
          <t>Australian Securities and Investments Commission</t>
        </is>
      </c>
      <c r="K96" s="11" t="inlineStr">
        <is>
          <t>This section establishes that when goods are transferred in a sale or lease and later returned to the transferor or transferee, the transferee acquires a deemed security interest in the goods under specific circumstances. The security interest attaches at repossession time and is temporarily perfected for 5 business days from that time. If not perfected within this period, it becomes unperfected. The section also outlines conditions for continuous perfection when collateral is relocated to Australia, including requirements for effectiveness and enforceability against third parties.</t>
        </is>
      </c>
      <c r="L96" s="11" t="inlineStr">
        <is>
          <t>This section defines temporary perfection periods for security interests in goods and collateral relocated to Australia, impacting how data transfers across borders must be structured to maintain security interest validity without prolonged perfection.</t>
        </is>
      </c>
      <c r="M96" s="11" t="inlineStr">
        <is>
          <t>• [Must] If a sale or lease creates an account or chattel paper and it is transferred, the transferee has a deemed security interest in the goods if they return to transferor or transferee at repossession time
• [Must] The deemed security interest attaches to goods at repossession time
• [Must] The deemed security interest is temporarily perfected for 5 business days from repossession time if perfected by possession or registration
• [Must] The deemed security interest becomes unperfected after 5 business days unless otherwise perfected</t>
        </is>
      </c>
      <c r="N96" s="11" t="inlineStr">
        <is>
          <t>• [Must] A security interest in collateral relocated to Australia is continuously perfected if effective and enforceable against third parties before relocation
• [Must] Continuous perfection period ends when collateral becomes located in Australia
• [Must] Security interest is temporarily perfected for 56 days or 5 business days after relocation to Australia, whichever is earlier</t>
        </is>
      </c>
      <c r="O96" s="11" t="inlineStr">
        <is>
          <t>If a sale or lease of goods creates an account or chattel paper, and the account or chattel paper is transferred to another person, the transferee is taken to have a security interest in the goods if, at a particular time (the repossession time) the goods come into the possession of the transferor, or of the transferee, in any of the following circumstances: (a) in the case of a sale—the contract of sale is rescinded; (b) in the case of a lease—the lease expires or is rescinded; (c) the transferee seizes the goods in the exercise of a right in enforcing a security agreement; (d) the transferor repossesses the goods in the exercise of a right in enforcing the contract of sale or the lease; (e) any other circumstances prescribed by the regulations.</t>
        </is>
      </c>
      <c r="P96" s="12" t="n">
        <v>7</v>
      </c>
    </row>
    <row r="97">
      <c r="A97" t="inlineStr">
        <is>
          <t>Australia</t>
        </is>
      </c>
      <c r="B97" t="inlineStr">
        <is>
          <t>C2024C00719-1 (Australia - Row 20)</t>
        </is>
      </c>
      <c r="C97" t="inlineStr">
        <is>
          <t>345 (part 12)</t>
        </is>
      </c>
      <c r="D97" s="11" t="inlineStr">
        <is>
          <t>Taking personal property free of security interests</t>
        </is>
      </c>
      <c r="E97" t="inlineStr">
        <is>
          <t>94–101</t>
        </is>
      </c>
      <c r="F97" t="inlineStr">
        <is>
          <t>High</t>
        </is>
      </c>
      <c r="G97" t="inlineStr">
        <is>
          <t>High (explicit)</t>
        </is>
      </c>
      <c r="H97" s="11" t="inlineStr">
        <is>
          <t>Security</t>
        </is>
      </c>
      <c r="I97" s="11" t="inlineStr">
        <is>
          <t>Personal Information</t>
        </is>
      </c>
      <c r="J97" t="inlineStr">
        <is>
          <t>Australian Securities and Investments Commission</t>
        </is>
      </c>
      <c r="K97" s="11" t="inlineStr">
        <is>
          <t>This section outlines rules for when personal property can be acquired free of security interests, including unperfected interests, serial number defects, motor vehicles, and transactions in the ordinary course of business. It specifies that buyers or lessees take property free of unperfected security interests unless they are parties to the transaction creating the interest. The rules also address exceptions for serial number errors, motor vehicles, and personal property used for domestic purposes.</t>
        </is>
      </c>
      <c r="L97" s="11" t="inlineStr">
        <is>
          <t>This section governs when data transfers can occur without security interest interference, critical for cross-border data transfers involving personal property where security interests might otherwise impede data flow.</t>
        </is>
      </c>
      <c r="M97" s="11" t="inlineStr">
        <is>
          <t>• [Must] A buyer or lessee takes personal property free of unperfected security interest if not party to transaction creating it
• [Must] Buyer or lessee takes property free of security interest if serial number correct and not registered
• [Must] Motor vehicle buyer takes it free of security interest if serial number correct and seller is authorized</t>
        </is>
      </c>
      <c r="N97" s="11" t="inlineStr">
        <is>
          <t>• [Must] Buyer takes personal property free of security interest in ordinary course of business
• [Must] Buyer takes personal property free of security interest for domestic use if value ≤ $5,000
• [Must] Holder takes currency free of security interest if no knowledge of security interest</t>
        </is>
      </c>
      <c r="O97" s="11" t="inlineStr">
        <is>
          <t>A buyer or lessee of personal property, for value, takes the personal property free of an unperfected security interest in the property.</t>
        </is>
      </c>
      <c r="P97" s="12" t="n">
        <v>7</v>
      </c>
    </row>
    <row r="98">
      <c r="A98" t="inlineStr">
        <is>
          <t>Australia</t>
        </is>
      </c>
      <c r="B98" t="inlineStr">
        <is>
          <t>C2024C00719-1 (Australia - Row 20)</t>
        </is>
      </c>
      <c r="C98" t="inlineStr">
        <is>
          <t>345 (part 13)</t>
        </is>
      </c>
      <c r="D98" s="11" t="inlineStr">
        <is>
          <t>Security interest priority in financial transactions</t>
        </is>
      </c>
      <c r="E98" t="inlineStr">
        <is>
          <t>101–109</t>
        </is>
      </c>
      <c r="F98" t="inlineStr">
        <is>
          <t>High</t>
        </is>
      </c>
      <c r="G98" t="inlineStr">
        <is>
          <t>High (explicit)</t>
        </is>
      </c>
      <c r="H98" s="11" t="inlineStr"/>
      <c r="I98" s="11" t="inlineStr">
        <is>
          <t>Financial Data</t>
        </is>
      </c>
      <c r="J98" t="inlineStr">
        <is>
          <t>Australian Securities and Investments Commission</t>
        </is>
      </c>
      <c r="K98" s="11" t="inlineStr">
        <is>
          <t>This section establishes rules for determining priority between competing security interests in financial collateral. It specifies that perfected security interests take priority over unperfected ones, and that perfected interests are prioritized based on the order of perfection. The rules also address how security interests in proceeds of collateral are treated relative to the original collateral, and include exceptions for purchase money security interests and control-based perfection.</t>
        </is>
      </c>
      <c r="L98" s="11" t="inlineStr">
        <is>
          <t>This section impacts DTIAs by defining priority rules for security interests across borders, particularly for financial collateral and proceeds. It requires careful assessment of security interest perfection methods and timing to avoid conflicts in cross-border transactions.</t>
        </is>
      </c>
      <c r="M98" s="11" t="inlineStr">
        <is>
          <t>• [Must] A perfected security interest in collateral has priority over an unperfected security interest in the same collateral
• [Must] Priority between unperfected security interests in the same collateral is determined by the order of attachment
• [Must] A security interest perfected by control has priority over a security interest perfected by other means
• [Must] A security interest in proceeds of original collateral has the same priority as the security interest in the original collateral</t>
        </is>
      </c>
      <c r="N98" s="11" t="inlineStr">
        <is>
          <t>• [Must] A purchase money security interest in inventory has priority over other perfected security interests in the same inventory
• [Must] A purchase money security interest in personal property has priority over other perfected security interests if perfected by registration within 15 business days
• [Must] A non-purchase money security interest in an account as original collateral has priority over a purchase money security interest in the account as proceeds of inventory
• [Must] A notice must be given to the secured party holding a purchase money security interest at least 15 business days before registration</t>
        </is>
      </c>
      <c r="O98" s="11" t="inlineStr">
        <is>
          <t>Section 55(3): A perfected security interest in collateral has priority over an unperfected security interest in the same collateral.</t>
        </is>
      </c>
      <c r="P98" s="12" t="n">
        <v>7</v>
      </c>
    </row>
    <row r="99">
      <c r="A99" t="inlineStr">
        <is>
          <t>Australia</t>
        </is>
      </c>
      <c r="B99" t="inlineStr">
        <is>
          <t>C2024C00719-1 (Australia - Row 20)</t>
        </is>
      </c>
      <c r="C99" t="inlineStr">
        <is>
          <t>345 (part 15)</t>
        </is>
      </c>
      <c r="D99" s="11" t="inlineStr">
        <is>
          <t>Priority of security interests in transferred collateral</t>
        </is>
      </c>
      <c r="E99" t="inlineStr">
        <is>
          <t>115–122</t>
        </is>
      </c>
      <c r="F99" t="inlineStr">
        <is>
          <t>High</t>
        </is>
      </c>
      <c r="G99" t="inlineStr">
        <is>
          <t>High (explicit)</t>
        </is>
      </c>
      <c r="H99" s="11" t="inlineStr">
        <is>
          <t>Cross-border Transfer, International Processing, Data Storage, Security</t>
        </is>
      </c>
      <c r="I99" s="11" t="inlineStr">
        <is>
          <t>Financial Data</t>
        </is>
      </c>
      <c r="J99" t="inlineStr">
        <is>
          <t>Australian Securities and Investments Commission</t>
        </is>
      </c>
      <c r="K99" s="11" t="inlineStr">
        <is>
          <t>This section establishes priority rules between security interests (transferor-granted and transferee-granted) when collateral is transferred. It specifies conditions under which the transferor-granted interest has priority, including continuous perfection since transfer, and when the transferee-granted interest takes priority after re-perfection and notice to other secured parties. The rules also address exceptions for specific scenarios like negotiable instruments and chattel paper.</t>
        </is>
      </c>
      <c r="L99" s="11" t="inlineStr">
        <is>
          <t>This section defines priority rules for security interests in transferred collateral, which impacts cross-border data transfers involving financial assets by determining which security interest takes precedence in jurisdictions with similar registration systems.</t>
        </is>
      </c>
      <c r="M99" s="11" t="inlineStr">
        <is>
          <t>• [Must] The transferor-granted interest has priority if it was perfected immediately before transfer and has been continuously perfected since transfer.
• [Must] The transferor-granted interest has priority if it was perfected by registration immediately before transfer, becomes unperfected, is later re-perfected, and notice is given to all other secured parties who have registration describing the collateral.
• [Must] The transferee-granted interest has priority if the transferor-granted interest is re-perfected, the transferee acquires collateral without actual or constructive knowledge of breach, and the transferee-granted interest secures performance of an advance or obligation.
• [Must] The interest of a creditor who receives payment of a debt through electronic funds transfer has priority over security interests in funds paid and intangible sources.
• [Must] A person who acquires a negotiable instrument or interest in one has priority over perfected security interests if they gave value and acquired without actual or constructive knowledge of breach.</t>
        </is>
      </c>
      <c r="N99" s="11" t="inlineStr">
        <is>
          <t>• [Must] A person who acquires chattel paper in the ordinary course of business for new value has priority over perfected security interests in the chattel paper.
• [Must] The holder of a negotiable document of title has priority over perfected security interests if they gave value and acquired without actual or constructive knowledge of breach.
• [Must] An execution creditor has priority over unperfected security interests in collateral at the time of seizure or execution.
• [Must] A perfected security interest held by an ADI in an ADI account has priority over other perfected security interests in the ADI account.</t>
        </is>
      </c>
      <c r="O99" s="11" t="inlineStr">
        <is>
          <t>Section 66: The transferor-granted interest has priority if it was perfected immediately before the transfer and has been continuously perfected since the transfer.</t>
        </is>
      </c>
      <c r="P99" s="12" t="n">
        <v>7</v>
      </c>
    </row>
    <row r="100">
      <c r="A100" t="inlineStr">
        <is>
          <t>Australia</t>
        </is>
      </c>
      <c r="B100" t="inlineStr">
        <is>
          <t>C2024C00719-1 (Australia - Row 20)</t>
        </is>
      </c>
      <c r="C100" t="inlineStr">
        <is>
          <t>345 (part 17)</t>
        </is>
      </c>
      <c r="D100" s="11" t="inlineStr">
        <is>
          <t>Transfer of interests in collateral: rights and conditions for transferees</t>
        </is>
      </c>
      <c r="E100" t="inlineStr">
        <is>
          <t>128–136</t>
        </is>
      </c>
      <c r="F100" t="inlineStr">
        <is>
          <t>High</t>
        </is>
      </c>
      <c r="G100" t="inlineStr">
        <is>
          <t>High (explicit)</t>
        </is>
      </c>
      <c r="H100" s="11" t="inlineStr">
        <is>
          <t>Cross-border Transfer, Data Storage, Security</t>
        </is>
      </c>
      <c r="I100" s="11" t="inlineStr">
        <is>
          <t>Financial Data</t>
        </is>
      </c>
      <c r="J100" t="inlineStr">
        <is>
          <t>Australian Securities and Investments Commission</t>
        </is>
      </c>
      <c r="K100" s="11" t="inlineStr">
        <is>
          <t>This section outlines the rights of transferees of accounts or chattel paper, subject to contractual terms and defences between the account debtor and transferor. It specifies that modifications to the underlying contract are effective against transferees if made honestly, commercially reasonably, and without material adverse effects. Payments by the account debtor to the transferor continue until notified otherwise, and payments to transferees discharge obligations to that extent.</t>
        </is>
      </c>
      <c r="L100" s="11" t="inlineStr">
        <is>
          <t>This section establishes conditions for transferring collateral interests across borders, including contractual defences, payment continuity, and modification rules that impact cross-border security interest transfers.</t>
        </is>
      </c>
      <c r="M100" s="11" t="inlineStr">
        <is>
          <t>• [Must] Rights of transferee are subject to contractual terms and defences between account debtor and transferor
• [Must] Modification of contract is effective against transferee if made honestly, commercially reasonably, and without material adverse effects</t>
        </is>
      </c>
      <c r="N100" s="11" t="inlineStr">
        <is>
          <t>• [Must] Payments by account debtor to transferor continue until notified otherwise
• [Must] Payment to transferee discharges obligation to that extent</t>
        </is>
      </c>
      <c r="O100" s="11" t="inlineStr">
        <is>
          <t>Rights of transferee subject to: (a) terms of contract between account debtor and transferor; (b) any other equity, defence or claim of account debtor against transferor.</t>
        </is>
      </c>
      <c r="P100" s="12" t="n">
        <v>7</v>
      </c>
    </row>
    <row r="101">
      <c r="A101" t="inlineStr">
        <is>
          <t>Australia</t>
        </is>
      </c>
      <c r="B101" t="inlineStr">
        <is>
          <t>C2024C00719-1 (Australia - Row 20)</t>
        </is>
      </c>
      <c r="C101" t="inlineStr">
        <is>
          <t>345 (part 18)</t>
        </is>
      </c>
      <c r="D101" s="11" t="inlineStr">
        <is>
          <t>Security interests in agricultural and processed goods</t>
        </is>
      </c>
      <c r="E101" t="inlineStr">
        <is>
          <t>136–143</t>
        </is>
      </c>
      <c r="F101" t="inlineStr">
        <is>
          <t>High</t>
        </is>
      </c>
      <c r="G101" t="inlineStr">
        <is>
          <t>High (explicit)</t>
        </is>
      </c>
      <c r="H101" s="11" t="inlineStr">
        <is>
          <t>Cross-border Transfer, Data Storage, Security</t>
        </is>
      </c>
      <c r="I101" s="11" t="inlineStr">
        <is>
          <t>Financial Data</t>
        </is>
      </c>
      <c r="J101" t="inlineStr">
        <is>
          <t>Australian Securities and Investments Commission</t>
        </is>
      </c>
      <c r="K101" s="11" t="inlineStr">
        <is>
          <t>This section details rules for security interests in agricultural products, accessions, and processed goods. It specifies that security interests in crops while growing or livestock products before shorn may attach, and establishes priority rules for security interests in crops and livestock. It also outlines conditions for removing accessions without causing damage to other goods.</t>
        </is>
      </c>
      <c r="L101" s="11" t="inlineStr">
        <is>
          <t>This section governs cross-border security interests in agricultural and processed goods, including attachment conditions and priority rules that affect data transfer across borders involving physical assets.</t>
        </is>
      </c>
      <c r="M101" s="11" t="inlineStr">
        <is>
          <t>• [Must] Security interest may attach to crops while growing
• [Must] Security interest may attach to livestock products before shorn
• [Must] Security interest in crops has priority if granted for value to enable production</t>
        </is>
      </c>
      <c r="N101" s="11" t="inlineStr">
        <is>
          <t>• [Must] Security interest in livestock has priority if granted for value to enable feeding/development
• [Must] Secured party must remove accession without causing damage to other goods</t>
        </is>
      </c>
      <c r="O101" s="11" t="inlineStr">
        <is>
          <t>A security interest may attach to crops while they are growing.</t>
        </is>
      </c>
      <c r="P101" s="12" t="n">
        <v>7</v>
      </c>
    </row>
    <row r="102">
      <c r="A102" t="inlineStr">
        <is>
          <t>Australia</t>
        </is>
      </c>
      <c r="B102" t="inlineStr">
        <is>
          <t>C2024C00719-1 (Australia - Row 20)</t>
        </is>
      </c>
      <c r="C102" t="inlineStr">
        <is>
          <t>345 (part 19)</t>
        </is>
      </c>
      <c r="D102" s="11" t="inlineStr">
        <is>
          <t>Priority rules for security interests in processed or commingled goods</t>
        </is>
      </c>
      <c r="E102" t="inlineStr">
        <is>
          <t>143–152</t>
        </is>
      </c>
      <c r="F102" t="inlineStr">
        <is>
          <t>High</t>
        </is>
      </c>
      <c r="G102" t="inlineStr">
        <is>
          <t>High (explicit)</t>
        </is>
      </c>
      <c r="H102" s="11" t="inlineStr">
        <is>
          <t>Cross-border Transfer, International Processing, Data Storage, Security</t>
        </is>
      </c>
      <c r="I102" s="11" t="inlineStr">
        <is>
          <t>Financial Data</t>
        </is>
      </c>
      <c r="J102" t="inlineStr">
        <is>
          <t>Australian Securities and Investments Commission</t>
        </is>
      </c>
      <c r="K102" s="11" t="inlineStr">
        <is>
          <t>This section establishes priority rules for security interests in processed or commingled goods. It limits the priority of any security interest to the value of the goods on the day they became part of the product or mass. It also specifies that perfected security interests have priority over unperfected ones, and outlines how multiple perfected or unperfected interests share the product or mass proportionally based on the obligations they secure. The obligation secured by a security interest does not exceed the value of the goods on the day they became part of the product or mass.</t>
        </is>
      </c>
      <c r="L102" s="11" t="inlineStr">
        <is>
          <t>This section affects data transfer impact assessments by establishing priority rules for security interests in processed or commingled goods, which could impact how data is shared or transferred across borders when goods are processed or commingled.</t>
        </is>
      </c>
      <c r="M102" s="11" t="inlineStr">
        <is>
          <t>• [Must] Any priority that a security interest continuing in the product or mass has over another security interest in the product or mass is limited to the value of the goods on the day they became part of the product or mass.
• [Must] A perfected security interest continuing in a product or mass has priority over an unperfected security interest continuing in the same product or mass.
• [Must] If more than one perfected security interest continues in the same product or mass, each perfected security interest is entitled to share in the product or mass according to the ratio that the obligation secured by the perfected security interest bears to the sum of the obligations secured by all perfected security interests in the same product or…</t>
        </is>
      </c>
      <c r="N102" s="11" t="inlineStr">
        <is>
          <t>• [Must] If more than one unperfected security interest continues in the same product or mass, each unperfected security interest is entitled to share in the product or mass according to the ratio that the obligation secured by the unperfected security interest bears to the sum of the obligations secured by all unperfected security interests in the same pr…
• [Must] The obligation secured by a security interest does not exceed the value of the goods on the day the goods became part of the product or mass.</t>
        </is>
      </c>
      <c r="O102" s="11" t="inlineStr">
        <is>
          <t>Any priority that a security interest continuing in the product or mass has over another security interest in the product or mass is limited to the value of the goods on the day on which they became part of the product or mass.</t>
        </is>
      </c>
      <c r="P102" s="12" t="n">
        <v>7</v>
      </c>
    </row>
    <row r="103">
      <c r="A103" t="inlineStr">
        <is>
          <t>Australia</t>
        </is>
      </c>
      <c r="B103" t="inlineStr">
        <is>
          <t>C2024C00719-1 (Australia - Row 20)</t>
        </is>
      </c>
      <c r="C103" t="inlineStr">
        <is>
          <t>345 (part 20)</t>
        </is>
      </c>
      <c r="D103" s="11" t="inlineStr">
        <is>
          <t>Enforcement of security interests in personal property</t>
        </is>
      </c>
      <c r="E103" t="inlineStr">
        <is>
          <t>152–158</t>
        </is>
      </c>
      <c r="F103" t="inlineStr">
        <is>
          <t>High</t>
        </is>
      </c>
      <c r="G103" t="inlineStr">
        <is>
          <t>High (explicit)</t>
        </is>
      </c>
      <c r="H103" s="11" t="inlineStr">
        <is>
          <t>Cross-border Transfer, International Processing, Data Storage, Security</t>
        </is>
      </c>
      <c r="I103" s="11" t="inlineStr">
        <is>
          <t>Financial Data</t>
        </is>
      </c>
      <c r="J103" t="inlineStr">
        <is>
          <t>Australian Securities and Investments Commission</t>
        </is>
      </c>
      <c r="K103" s="11" t="inlineStr">
        <is>
          <t>This section outlines the rights and remedies for enforcing security interests in personal property. It specifies that a secured party may deal with collateral only to the extent the grantor would be entitled to do so, with exceptions for when the secured party had title to the collateral or when a transfer by the grantor would be prohibited. It also states that rights and remedies under this Chapter are cumulative and that recovering judgment or issuing execution does not extinguish a security interest in collateral.</t>
        </is>
      </c>
      <c r="L103" s="11" t="inlineStr">
        <is>
          <t>This section is relevant for data transfer impact assessments as it governs the enforcement of security interests in personal property, which could impact how data is handled or transferred across borders when security interests are involved.</t>
        </is>
      </c>
      <c r="M103" s="11" t="inlineStr">
        <is>
          <t>• [Must] In exercising rights and remedies provided by this Chapter, a secured party may deal with collateral only to the same extent as the grantor would be entitled to so deal with the collateral.
• [Must] Subsection (1) does not apply if the secured party had title to the collateral immediately before starting to exercise any right or remedy provided by this Part.
• [Must] Subsection (1) does not apply to the extent that it would otherwise prevent the secured party from dealing with the collateral by way of transfer because a transfer by the grantor would be prohibited or declared to be a default under a security agreement.</t>
        </is>
      </c>
      <c r="N103" s="11" t="inlineStr">
        <is>
          <t>• [Must] A secured party may only seize, purchase or dispose of a licence subject to the terms and conditions of the licence and any applicable law of the Commonwealth, a State or a Territory.
• [Must] The fact that a secured party has recovered judgment, or issued execution, against a grantor in relation to collateral does not extinguish the security interest in the collateral.
• [Must] The rights and remedies provided by this Chapter are cumulative.</t>
        </is>
      </c>
      <c r="O103" s="11" t="inlineStr">
        <is>
          <t>In exercising rights and remedies provided by this Chapter, a secured party may deal with collateral only to the same extent as the grantor would be entitled to so deal with the collateral.</t>
        </is>
      </c>
      <c r="P103" s="12" t="n">
        <v>7</v>
      </c>
    </row>
    <row r="104">
      <c r="A104" t="inlineStr">
        <is>
          <t>Australia</t>
        </is>
      </c>
      <c r="B104" t="inlineStr">
        <is>
          <t>C2024C00719-1 (Australia - Row 20)</t>
        </is>
      </c>
      <c r="C104" t="inlineStr">
        <is>
          <t>345 (part 21)</t>
        </is>
      </c>
      <c r="D104" s="11" t="inlineStr">
        <is>
          <t>Enforcement of security interests in personal property</t>
        </is>
      </c>
      <c r="E104" t="inlineStr">
        <is>
          <t>158–165</t>
        </is>
      </c>
      <c r="F104" t="inlineStr">
        <is>
          <t>High</t>
        </is>
      </c>
      <c r="G104" t="inlineStr">
        <is>
          <t>High (explicit)</t>
        </is>
      </c>
      <c r="H104" s="11" t="inlineStr">
        <is>
          <t>Security</t>
        </is>
      </c>
      <c r="I104" s="11" t="inlineStr">
        <is>
          <t>Personal Information</t>
        </is>
      </c>
      <c r="J104" t="inlineStr">
        <is>
          <t>Minister</t>
        </is>
      </c>
      <c r="K104" s="11" t="inlineStr">
        <is>
          <t>This section outlines how a secured party may enforce a security interest in personal property, mirroring land law enforcement mechanisms with necessary modifications. It specifies that enforcement proceeds must follow the same legal principles as land law, with the exception of this section. The secured party must notify higher priority parties and the grantor before taking enforcement actions, and the court may intervene to modify enforcement procedures. The section also clarifies that the law does not affect existing land laws.</t>
        </is>
      </c>
      <c r="L104" s="11" t="inlineStr">
        <is>
          <t>This section establishes that security interests in personal property can be enforced similarly to land interests, requiring notification to higher priority parties and the grantor before enforcement actions. It impacts DTIAs by mandating clear communication channels and potential judicial oversight during enforcement.</t>
        </is>
      </c>
      <c r="M104" s="11" t="inlineStr">
        <is>
          <t>• [Must] A secured party may enforce the security interest in the same way as the interest in land may be enforced under land law with necessary modifications
• [Must] Law in the same terms as land law applies for enforcement of security interests in personal property
• [Must] The secured party must notify higher priority parties with a security interest in the collateral that has higher priority</t>
        </is>
      </c>
      <c r="N104" s="11" t="inlineStr">
        <is>
          <t>• [Must] The secured party must notify the grantor of any action taken in accordance with enforcement procedures
• [Must] The secured party must give written notice to higher priority parties at least 10 business days before taking enforcement action
• [Must] The secured party must apply any proceeds from collateral disposal towards the secured obligation</t>
        </is>
      </c>
      <c r="O104" s="11" t="inlineStr">
        <is>
          <t>The secured party may enforce the security interest in the same way, with any necessary modification, as the interest in the land may be enforced under the land law.</t>
        </is>
      </c>
      <c r="P104" s="12" t="n">
        <v>7</v>
      </c>
    </row>
    <row r="105">
      <c r="A105" t="inlineStr">
        <is>
          <t>Australia</t>
        </is>
      </c>
      <c r="B105" t="inlineStr">
        <is>
          <t>C2024C00719-1 (Australia - Row 20)</t>
        </is>
      </c>
      <c r="C105" t="inlineStr">
        <is>
          <t>345 (part 23)</t>
        </is>
      </c>
      <c r="D105" s="11" t="inlineStr">
        <is>
          <t>Secured party's duty to obtain market value before disposing collateral</t>
        </is>
      </c>
      <c r="E105" t="inlineStr">
        <is>
          <t>172–179</t>
        </is>
      </c>
      <c r="F105" t="inlineStr">
        <is>
          <t>High</t>
        </is>
      </c>
      <c r="G105" t="inlineStr">
        <is>
          <t>High (explicit)</t>
        </is>
      </c>
      <c r="H105" s="11" t="inlineStr">
        <is>
          <t>Cross-border Transfer, Data Storage, Financial Data</t>
        </is>
      </c>
      <c r="I105" s="11" t="inlineStr">
        <is>
          <t>Financial Data</t>
        </is>
      </c>
      <c r="J105" t="inlineStr">
        <is>
          <t>Australian Securities and Investments Commission</t>
        </is>
      </c>
      <c r="K105" s="11" t="inlineStr">
        <is>
          <t>A secured party disposing of collateral under section 128 (excluding purchase) must exercise reasonable care to obtain at least the market value of the collateral before disposal. This duty applies to the secured party and the grantor, and requires the secured party to consider the collateral's market value at the time of disposal to ensure they obtain the best possible price. The duty does not apply to disposals by purchase as specified in the note.</t>
        </is>
      </c>
      <c r="L105" s="11" t="inlineStr">
        <is>
          <t>This section establishes a duty for secured parties to maximize value before disposing collateral, which impacts data transfer impact assessments when collateral includes personal data. The obligation to obtain market value affects how data is valued and transferred across borders.</t>
        </is>
      </c>
      <c r="M105" s="11" t="inlineStr">
        <is>
          <t>• [Must] A secured party who disposes of collateral under section 128 (other than by purchasing the collateral) owes a duty to any other person with a security interest in the collateral, and to the grantor, immediately before the disposal, to exercise all reasonable care
• [Must] If the collateral has a market value at the time of disposal, the secured party must obtain at least that market value</t>
        </is>
      </c>
      <c r="N105" s="11" t="inlineStr">
        <is>
          <t>• [Must] Otherwise, the secured party must obtain the best price reasonably obtainable at the time of disposal, considering existing circumstances</t>
        </is>
      </c>
      <c r="O105" s="11" t="inlineStr">
        <is>
          <t>A secured party who disposes of collateral under section 128 (other than by purchasing the collateral) owes a duty, to any other person with a security interest in the collateral, and to the grantor, immediately before the disposal, to exercise all reasonable care: (a) if the collateral has a market value at the time of disposal—to obtain at least that market value; or (b) otherwise—to obtain the best price that is reasonably obtainable at the time of disposal, having regard to the circumstances existing at that time.</t>
        </is>
      </c>
      <c r="P105" s="12" t="n">
        <v>7</v>
      </c>
    </row>
    <row r="106">
      <c r="A106" t="inlineStr">
        <is>
          <t>Australia</t>
        </is>
      </c>
      <c r="B106" t="inlineStr">
        <is>
          <t>C2024C00719-1 (Australia - Row 20)</t>
        </is>
      </c>
      <c r="C106" t="inlineStr">
        <is>
          <t>345 (part 24)</t>
        </is>
      </c>
      <c r="D106" s="11" t="inlineStr">
        <is>
          <t>Secured party's statement of account obligations after collateral disposal</t>
        </is>
      </c>
      <c r="E106" t="inlineStr">
        <is>
          <t>179–186</t>
        </is>
      </c>
      <c r="F106" t="inlineStr">
        <is>
          <t>High</t>
        </is>
      </c>
      <c r="G106" t="inlineStr">
        <is>
          <t>High (explicit)</t>
        </is>
      </c>
      <c r="H106" s="11" t="inlineStr">
        <is>
          <t>Data Sharing, Financial Data</t>
        </is>
      </c>
      <c r="I106" s="11" t="inlineStr">
        <is>
          <t>Financial Data</t>
        </is>
      </c>
      <c r="J106" t="inlineStr">
        <is>
          <t>Australian Securities and Investments Commission</t>
        </is>
      </c>
      <c r="K106" s="11" t="inlineStr">
        <is>
          <t>A secured party must provide a written statement of account to any other person with a security interest in the collateral or the grantor within 20 business days after request. The statement must detail the total amount received from disposal, expenses incurred, amounts paid to other secured parties, and the balance owed to the grantor or debtor. This applies to disposals under section 128, including purchases, and must be provided before the end of the 20-day period.</t>
        </is>
      </c>
      <c r="L106" s="11" t="inlineStr">
        <is>
          <t>This section mandates detailed accounting for collateral disposals, which is critical for data transfer impact assessments involving financial data. The requirement to provide transparent statements affects how financial data is shared and tracked across borders.</t>
        </is>
      </c>
      <c r="M106" s="11" t="inlineStr">
        <is>
          <t>• [Must] A secured party must, on request by any other person with a security interest in the collateral, or the grantor, give a written statement of account if the secured party disposes of collateral under section 128 (including by purchasing the collateral in accordance with section 129)
• [Must] A statement of account must be given to a person before the end of 20 business days after the day the person requests the statement
• [Must] The statement must show the total amount received from disposal during the period starting when the secured party seized the collateral and ending at the time of disposal</t>
        </is>
      </c>
      <c r="N106" s="11" t="inlineStr">
        <is>
          <t>• [Must] The statement must show the amount of expenses relating to the disposal
• [Must] The statement must show any amounts paid to other secured parties
• [Must] The statement must show the balance owing by the secured party to the grantor, or by the debtor to the secured party</t>
        </is>
      </c>
      <c r="O106" s="11" t="inlineStr">
        <is>
          <t>A secured party must, on request by any other person with a security interest in the collateral, or the grantor, give the person (or grantor) a written statement of account, if the first-mentioned secured party disposes of collateral under section 128 (including by purchasing the collateral in accordance with section 129).</t>
        </is>
      </c>
      <c r="P106" s="12" t="n">
        <v>7</v>
      </c>
    </row>
    <row r="107">
      <c r="A107" t="inlineStr">
        <is>
          <t>Australia</t>
        </is>
      </c>
      <c r="B107" t="inlineStr">
        <is>
          <t>C2024C00719-1 (Australia - Row 20)</t>
        </is>
      </c>
      <c r="C107" t="inlineStr">
        <is>
          <t>345 (part 25)</t>
        </is>
      </c>
      <c r="D107" s="11" t="inlineStr">
        <is>
          <t>Security agreement redemption and reinstatement rules</t>
        </is>
      </c>
      <c r="E107" t="inlineStr">
        <is>
          <t>186–194</t>
        </is>
      </c>
      <c r="F107" t="inlineStr">
        <is>
          <t>High</t>
        </is>
      </c>
      <c r="G107" t="inlineStr">
        <is>
          <t>High (explicit)</t>
        </is>
      </c>
      <c r="H107" s="11" t="inlineStr">
        <is>
          <t>Security</t>
        </is>
      </c>
      <c r="I107" s="11" t="inlineStr">
        <is>
          <t>Financial Data</t>
        </is>
      </c>
      <c r="J107" t="inlineStr">
        <is>
          <t>Commonwealth</t>
        </is>
      </c>
      <c r="K107" s="11" t="inlineStr">
        <is>
          <t>This section outlines conditions for redeeming collateral under a security agreement after default, including payment of arrears and enforcement expenses. It specifies that redemption is prohibited if written agreement to not redeem exists post-default. The grantor retains priority over other parties' redemption rights. The section also details procedures for reinstating security agreements before collateral disposal, requiring payment of arrears, enforcement expenses, and remediation of defaults.</t>
        </is>
      </c>
      <c r="L107" s="11" t="inlineStr">
        <is>
          <t>This section affects DTIAs by establishing conditions for collateral redemption and security agreement reinstatement, which may impact cross-border transfers involving secured assets or collateral.</t>
        </is>
      </c>
      <c r="M107" s="11" t="inlineStr">
        <is>
          <t>• [Must] Pay amounts in arrears (disregarding acceleration clause results) to discharge obligations
• [Must] Pay enforcement expenses secured by the security interest
• [Must] Remediate defaults causing collateral disposal or retention</t>
        </is>
      </c>
      <c r="N107" s="11" t="inlineStr">
        <is>
          <t>• [Must Not] Cannot redeem collateral if written agreement post-default states not to redeem
• [Must] Grantor's redemption right has priority over other parties' redemption rights</t>
        </is>
      </c>
      <c r="O107" s="11" t="inlineStr">
        <is>
          <t>Part 4.4 Rules applying after enforcement: (a) by paying the amounts required to discharge the obligations, or by performing the obligations, secured by security interests in the collateral; and (b) by paying the amount of any expenses in relation to the enforcement of the security interest, the payment of which is secured by the security interest.</t>
        </is>
      </c>
      <c r="P107" s="12" t="n">
        <v>7</v>
      </c>
    </row>
    <row r="108">
      <c r="A108" t="inlineStr">
        <is>
          <t>Australia</t>
        </is>
      </c>
      <c r="B108" t="inlineStr">
        <is>
          <t>C2024C00719-1 (Australia - Row 20)</t>
        </is>
      </c>
      <c r="C108" t="inlineStr">
        <is>
          <t>345 (part 26)</t>
        </is>
      </c>
      <c r="D108" s="11" t="inlineStr">
        <is>
          <t>Registration of security interests across borders</t>
        </is>
      </c>
      <c r="E108" t="inlineStr">
        <is>
          <t>194–200</t>
        </is>
      </c>
      <c r="F108" t="inlineStr">
        <is>
          <t>High</t>
        </is>
      </c>
      <c r="G108" t="inlineStr">
        <is>
          <t>High (explicit)</t>
        </is>
      </c>
      <c r="H108" s="11" t="inlineStr">
        <is>
          <t>Cross-border Transfer, Security</t>
        </is>
      </c>
      <c r="I108" s="11" t="inlineStr">
        <is>
          <t>Financial Data</t>
        </is>
      </c>
      <c r="J108" t="inlineStr">
        <is>
          <t>Commonwealth</t>
        </is>
      </c>
      <c r="K108" s="11" t="inlineStr">
        <is>
          <t>This section establishes rules for registering security interests in personal property located outside Australia, including requirements for financing statements and financing change statements. It specifies that registrations may cover property or persons outside Australia, and outlines data requirements for security interests and prescribed property. The section also details procedures for belief about security interests and registration amendments.</t>
        </is>
      </c>
      <c r="L108" s="11" t="inlineStr">
        <is>
          <t>This section matters for DTIAs as it governs cross-border registration of security interests, affecting data transfers involving international collateral or secured parties.</t>
        </is>
      </c>
      <c r="M108" s="11" t="inlineStr">
        <is>
          <t>• [Must] Registration may cover personal property located outside Australia
• [Must] Registration may cover persons outside Australia
• [Must] Financing statements must comply with data requirements for security interests</t>
        </is>
      </c>
      <c r="N108" s="11" t="inlineStr">
        <is>
          <t>• [Must] Applicant must believe on reasonable grounds secured party will take security interest in collateral
• [Must] Must amend registration within 5 business days if secured party no longer has security interest</t>
        </is>
      </c>
      <c r="O108" s="11" t="inlineStr">
        <is>
          <t>Section 152: A financing statement, or a financing change statement, may be registered whether or not: (a) the personal property to which the statement relates is located in Australia; or (b) any person who owns or has rights in that property is located in Australia.</t>
        </is>
      </c>
      <c r="P108" s="12" t="n">
        <v>7</v>
      </c>
    </row>
    <row r="109">
      <c r="A109" t="inlineStr">
        <is>
          <t>Australia</t>
        </is>
      </c>
      <c r="B109" t="inlineStr">
        <is>
          <t>C2024C00719-1 (Australia - Row 20)</t>
        </is>
      </c>
      <c r="C109" t="inlineStr">
        <is>
          <t>345 (part 27)</t>
        </is>
      </c>
      <c r="D109" s="11" t="inlineStr">
        <is>
          <t>Verification statements for security registrations</t>
        </is>
      </c>
      <c r="E109" t="inlineStr">
        <is>
          <t>200–206</t>
        </is>
      </c>
      <c r="F109" t="inlineStr">
        <is>
          <t>High</t>
        </is>
      </c>
      <c r="G109" t="inlineStr">
        <is>
          <t>High (explicit)</t>
        </is>
      </c>
      <c r="H109" s="11" t="inlineStr">
        <is>
          <t>Cross-border Transfer, International Processing, Data Sharing, Third Party Processing</t>
        </is>
      </c>
      <c r="I109" s="11" t="inlineStr">
        <is>
          <t>Personal Information</t>
        </is>
      </c>
      <c r="J109" t="inlineStr">
        <is>
          <t>Registrar</t>
        </is>
      </c>
      <c r="K109" s="11" t="inlineStr">
        <is>
          <t>The Registrar must provide verification statements to secured parties before and after registration events, including amendments to addresses or omissions of secured parties. Statement holders must notify grantors of verification statements as soon as reasonably practicable. The Registrar may publish verification statements for multiple events if inconvenient, and contraventions may constitute privacy interference under the Privacy Act 1988.</t>
        </is>
      </c>
      <c r="L109" s="11" t="inlineStr">
        <is>
          <t>This section establishes requirements for verification statements in security registrations, impacting cross-border data transfers involving security interests by defining notification obligations and registration event handling.</t>
        </is>
      </c>
      <c r="M109" s="11" t="inlineStr">
        <is>
          <t>• [Must] Registrar must provide verification statements to secured parties before and after registration events
• [Must] Verification statements must include data approved by Registrar for registration events
• [Must] Statement holders must notify grantors of verification statements as soon as reasonably practicable
• [Must] Verification statements must include all data in the verification statement except specified data</t>
        </is>
      </c>
      <c r="N109" s="11" t="inlineStr">
        <is>
          <t>• [May] Statement holders may waive right to receive notice if collateral is commercial property
• [May] Registrar may publish verification statements for multiple events if inconvenient
• [Must] Contraventions constitute privacy interference under Privacy Act 1988</t>
        </is>
      </c>
      <c r="O109" s="11" t="inlineStr">
        <is>
          <t>The Registrar must ensure that a verification statement in relation to a registration event is given to the following persons: (a) a person registered as a secured party in the registration immediately before the time of the registration event; (b) a person registered as a secured party in the registration immediately after the time of the registration event.</t>
        </is>
      </c>
      <c r="P109" s="12" t="n">
        <v>7</v>
      </c>
    </row>
    <row r="110">
      <c r="A110" t="inlineStr">
        <is>
          <t>Australia</t>
        </is>
      </c>
      <c r="B110" t="inlineStr">
        <is>
          <t>C2024C00719-1 (Australia - Row 20)</t>
        </is>
      </c>
      <c r="C110" t="inlineStr">
        <is>
          <t>345 (part 28)</t>
        </is>
      </c>
      <c r="D110" s="11" t="inlineStr">
        <is>
          <t>Registration timing and effectiveness for security interests</t>
        </is>
      </c>
      <c r="E110" t="inlineStr">
        <is>
          <t>206–213</t>
        </is>
      </c>
      <c r="F110" t="inlineStr">
        <is>
          <t>High</t>
        </is>
      </c>
      <c r="G110" t="inlineStr">
        <is>
          <t>High (explicit)</t>
        </is>
      </c>
      <c r="H110" s="11" t="inlineStr">
        <is>
          <t>Data Storage, Data Residency, Security, Data Sharing</t>
        </is>
      </c>
      <c r="I110" s="11" t="inlineStr">
        <is>
          <t>Personal Information</t>
        </is>
      </c>
      <c r="J110" t="inlineStr"/>
      <c r="K110" s="11" t="inlineStr">
        <is>
          <t>This section defines registration timing, effective periods, and defects in security registrations. Registrations become effective from registration time until the earliest of end time, amendment time, or when registration stops being available for search. Defects in registration may temporarily affect effectiveness but can be corrected within 60 months or 5 business days.</t>
        </is>
      </c>
      <c r="L110" s="11" t="inlineStr">
        <is>
          <t>Defines critical timing mechanisms for security registrations that impact data transfer impact assessments by establishing when registrations become effective and how defects affect cross-border security interests.</t>
        </is>
      </c>
      <c r="M110" s="11" t="inlineStr">
        <is>
          <t>• [Must] Registration becomes effective from registration time until earliest of end time, amendment time, or when registration stops being available for search
• [Must] Registration is ineffective due to defect if there is seriously misleading data or specific defects</t>
        </is>
      </c>
      <c r="N110" s="11" t="inlineStr">
        <is>
          <t>• [Must] Defects may temporarily affect registration effectiveness for up to 60 months or 5 business days
• [Must] Secured party must amend registration within 5 business days if collateral becomes unperfected</t>
        </is>
      </c>
      <c r="O110" s="11" t="inlineStr">
        <is>
          <t>A registration with respect to a security interest that describes particular collateral, in relation to a secured party, is effective with respect to that collateral from the registration time for the description of the collateral until the earliest of the following times: (a) the end time (if any) registered for the collateral; (b) if the registration is amended to omit the collateral description—the amendment time; (c) the time when the description of the collateral in the registration stops being available for search in the register (by reference to that time) in respect of the secured party.</t>
        </is>
      </c>
      <c r="P110" s="12" t="n">
        <v>7</v>
      </c>
    </row>
    <row r="111">
      <c r="A111" t="inlineStr">
        <is>
          <t>Australia</t>
        </is>
      </c>
      <c r="B111" t="inlineStr">
        <is>
          <t>C2024C00719-1 (Australia - Row 20)</t>
        </is>
      </c>
      <c r="C111" t="inlineStr">
        <is>
          <t>345 (part 29)</t>
        </is>
      </c>
      <c r="D111" s="11" t="inlineStr">
        <is>
          <t>Authorized data access for financial and legal purposes</t>
        </is>
      </c>
      <c r="E111" t="inlineStr">
        <is>
          <t>213–220</t>
        </is>
      </c>
      <c r="F111" t="inlineStr">
        <is>
          <t>High</t>
        </is>
      </c>
      <c r="G111" t="inlineStr">
        <is>
          <t>High (explicit)</t>
        </is>
      </c>
      <c r="H111" s="11" t="inlineStr">
        <is>
          <t>Cross-border Transfer, Data Storage, Security</t>
        </is>
      </c>
      <c r="I111" s="11" t="inlineStr">
        <is>
          <t>Financial Data</t>
        </is>
      </c>
      <c r="J111" t="inlineStr">
        <is>
          <t>Registrar</t>
        </is>
      </c>
      <c r="K111" s="11" t="inlineStr">
        <is>
          <t>This section defines permissible purposes for accessing the register to search for data. It specifies that searchers must have a legitimate purpose related to the administration of the Act, enforcement of liens, bankruptcy proceedings, or other authorized activities. The search must not be conducted for unauthorized purposes, and data obtained must be used only for the specified purpose unless lawfully obtained from another source.</t>
        </is>
      </c>
      <c r="L111" s="11" t="inlineStr">
        <is>
          <t>This section establishes conditions for lawful data access that must be considered in cross-border data transfers involving financial records, ensuring compliance with privacy and legal requirements.</t>
        </is>
      </c>
      <c r="M111" s="11" t="inlineStr">
        <is>
          <t>• [Must] Searchers must not access the register otherwise than for the purpose specified in the item</t>
        </is>
      </c>
      <c r="N111" s="11" t="inlineStr">
        <is>
          <t>• [Must] Searchers must not use data obtained from the register otherwise than for the purpose specified in the item unless lawfully obtained from another source</t>
        </is>
      </c>
      <c r="O111" s="11" t="inlineStr">
        <is>
          <t>Search otherwise than for authorised purpose (3) A searcher mentioned in an item in the table in subsection (2) must not, otherwise than for the purpose specified in the item: (a) access the register to search for data; or (b) use data obtained as a result of accessing the register, unless the searcher has also obtained the data lawfully from another source.</t>
        </is>
      </c>
      <c r="P111" s="12" t="n">
        <v>7</v>
      </c>
    </row>
    <row r="112">
      <c r="A112" t="inlineStr">
        <is>
          <t>Australia</t>
        </is>
      </c>
      <c r="B112" t="inlineStr">
        <is>
          <t>C2024C00719-1 (Australia - Row 20)</t>
        </is>
      </c>
      <c r="C112" t="inlineStr">
        <is>
          <t>345 (part 30)</t>
        </is>
      </c>
      <c r="D112" s="11" t="inlineStr">
        <is>
          <t>Conditions for third-party data access in financial registries</t>
        </is>
      </c>
      <c r="E112" t="inlineStr">
        <is>
          <t>220–227</t>
        </is>
      </c>
      <c r="F112" t="inlineStr">
        <is>
          <t>High</t>
        </is>
      </c>
      <c r="G112" t="inlineStr">
        <is>
          <t>High (explicit)</t>
        </is>
      </c>
      <c r="H112" s="11" t="inlineStr">
        <is>
          <t>Cross-border Transfer, Third Party Processing, Data Sharing, Data Storage</t>
        </is>
      </c>
      <c r="I112" s="11" t="inlineStr">
        <is>
          <t>Financial Data</t>
        </is>
      </c>
      <c r="J112" t="inlineStr">
        <is>
          <t>Registrar</t>
        </is>
      </c>
      <c r="K112" s="11" t="inlineStr">
        <is>
          <t>This section outlines conditions that must be met when accessing third-party data through the register. It specifies that third-party data may be included in verification statements and search results, but only if the data is not personal information under the Privacy Act 1988. The conditions for use of third-party data must be adhered to by applicants to ensure lawful processing.</t>
        </is>
      </c>
      <c r="L112" s="11" t="inlineStr">
        <is>
          <t>This section imposes conditions on third-party data access that must be evaluated in data transfer impact assessments to ensure compliance with privacy and data use restrictions.</t>
        </is>
      </c>
      <c r="M112" s="11" t="inlineStr">
        <is>
          <t>• [Must] Third party data does not include personal information under the Privacy Act 1988</t>
        </is>
      </c>
      <c r="N112" s="11" t="inlineStr">
        <is>
          <t>• [Must] Third party data conditions must be complied with when applying for registration or access to the register</t>
        </is>
      </c>
      <c r="O112" s="11" t="inlineStr">
        <is>
          <t>Third party data does not include personal information, within the meaning of the Privacy Act 1988, about an individual.</t>
        </is>
      </c>
      <c r="P112" s="12" t="n">
        <v>7</v>
      </c>
    </row>
    <row r="113">
      <c r="A113" t="inlineStr">
        <is>
          <t>Australia</t>
        </is>
      </c>
      <c r="B113" t="inlineStr">
        <is>
          <t>C2024C00719-1 (Australia - Row 20)</t>
        </is>
      </c>
      <c r="C113" t="inlineStr">
        <is>
          <t>345 (part 31)</t>
        </is>
      </c>
      <c r="D113" s="11" t="inlineStr">
        <is>
          <t>Amendment notices and registration changes for secured parties</t>
        </is>
      </c>
      <c r="E113" t="inlineStr">
        <is>
          <t>227–235</t>
        </is>
      </c>
      <c r="F113" t="inlineStr">
        <is>
          <t>High</t>
        </is>
      </c>
      <c r="G113" t="inlineStr">
        <is>
          <t>High (explicit)</t>
        </is>
      </c>
      <c r="H113" s="11" t="inlineStr">
        <is>
          <t>Cross-border Transfer, Data Storage, Data Residency, Security, Data Sharing, Third Party Processing, Cloud Services, Incident Reporting, Breach Notification, Consent, Customer Information, Employee Information, Special Personal Information, Children, Financial Data, KYC, AML, Governance, Record Keeping</t>
        </is>
      </c>
      <c r="I113" s="11" t="inlineStr">
        <is>
          <t>Personal Information, Financial Data, Customer Data, Employee Data, Health Data, Children's Data, Biometric Data, Special Personal Information</t>
        </is>
      </c>
      <c r="J113" t="inlineStr">
        <is>
          <t>Registrar</t>
        </is>
      </c>
      <c r="K113" s="11" t="inlineStr">
        <is>
          <t>The Registrar may issue amendment notices to secured parties when amendments are demanded, following a statement from the amendment demand giver. Amendment notices must be issued within 5 business days after receiving a statement, unless initiated by the Registrar. The Registrar must register financing change statements amending registrations if the amendment is authorized under section 178, with exceptions for timely responses from secured parties. The Registrar must consider responses and relevant information when deciding on registration changes. Data removed due to amendments cannot be searched in the register before or after removal if the Registrar decides so.</t>
        </is>
      </c>
      <c r="L113" s="11" t="inlineStr">
        <is>
          <t>This section governs the process for amending registrations when secured parties require changes, including amendment notices, registration of changes, and data removal. It affects cross-border data transfers by specifying when data can be removed from the register and how it is treated post-removal.</t>
        </is>
      </c>
      <c r="M113" s="11" t="inlineStr">
        <is>
          <t>• [Must] The Registrar may give the secured party an amendment notice stating the amendment demanded
• [Must] An amendment notice must be issued within 5 business days after receiving a statement unless initiated by the Registrar
• [Must] The Registrar must register a financing change statement amending the registration if the amendment is authorized under section 178</t>
        </is>
      </c>
      <c r="N113" s="11" t="inlineStr">
        <is>
          <t>• [May] The Registrar may register a financing change statement before the 5-day period if the secured party has responded and the Registrar has no reason to believe further responses
• [Must] Data removed from the register due to amendment must not be searchable before or after removal if the Registrar decides so</t>
        </is>
      </c>
      <c r="O113" s="11" t="inlineStr">
        <is>
          <t>Section 180(1): The Registrar may give the secured party a notice (an amendment notice) of the amendment demanded.</t>
        </is>
      </c>
      <c r="P113" s="12" t="n">
        <v>7</v>
      </c>
    </row>
    <row r="114">
      <c r="A114" t="inlineStr">
        <is>
          <t>Australia</t>
        </is>
      </c>
      <c r="B114" t="inlineStr">
        <is>
          <t>C2024C00719-1 (Australia - Row 20)</t>
        </is>
      </c>
      <c r="C114" t="inlineStr">
        <is>
          <t>345 (part 32)</t>
        </is>
      </c>
      <c r="D114" s="11" t="inlineStr">
        <is>
          <t>Fees, administrative review and annual reports for registration</t>
        </is>
      </c>
      <c r="E114" t="inlineStr">
        <is>
          <t>235–242</t>
        </is>
      </c>
      <c r="F114" t="inlineStr">
        <is>
          <t>High</t>
        </is>
      </c>
      <c r="G114" t="inlineStr">
        <is>
          <t>High (explicit)</t>
        </is>
      </c>
      <c r="H114" s="11" t="inlineStr">
        <is>
          <t>Cross-border Transfer, Data Storage, Data Residency, Security, Data Sharing, Third Party Processing, Cloud Services, Incident Reporting, Breach Notification, Consent, Customer Information, Employee Information, Special Personal Information, Children, Financial Data, KYC, AML, Governance, Record Keeping</t>
        </is>
      </c>
      <c r="I114" s="11" t="inlineStr">
        <is>
          <t>Personal Information, Financial Data, Customer Data, Employee Data, Health Data, Children's Data, Biometric Data, Special Personal Information</t>
        </is>
      </c>
      <c r="J114" t="inlineStr">
        <is>
          <t>Registrar</t>
        </is>
      </c>
      <c r="K114" s="11" t="inlineStr">
        <is>
          <t>This section outlines fee determination for registration and search services, approval of fee payment arrangements, and the obligation to prepare annual reports on the Act's operation. The Registrar must prepare annual reports detailing access refusals and fee structures that do not constitute taxation. The Minister may determine fees through legislative instruments, and the Registrar may approve payment arrangements for these fees.</t>
        </is>
      </c>
      <c r="L114" s="11" t="inlineStr">
        <is>
          <t>This section specifies fee structures and reporting requirements for data registration, which impacts financial institutions by defining costs for data transfers and maintaining records.</t>
        </is>
      </c>
      <c r="M114" s="11" t="inlineStr">
        <is>
          <t>• [May] The Minister may determine fees for registration and searching the register through legislative instruments
• [May] The Registrar may approve fee payment arrangements for registered persons</t>
        </is>
      </c>
      <c r="N114" s="11" t="inlineStr">
        <is>
          <t>• [Must] The Registrar must prepare annual reports on the Act's operation within a financial year
• [Must] Annual reports must detail access refusals and confirm fees do not constitute taxation</t>
        </is>
      </c>
      <c r="O114" s="11" t="inlineStr">
        <is>
          <t>Section 192(1): The Registrar must prepare and give to the Minister an annual report on the operation of this Act as soon as practicable after the end of each financial year.</t>
        </is>
      </c>
      <c r="P114" s="12" t="n">
        <v>7</v>
      </c>
    </row>
    <row r="115">
      <c r="A115" t="inlineStr">
        <is>
          <t>Australia</t>
        </is>
      </c>
      <c r="B115" t="inlineStr">
        <is>
          <t>C2024C00719-1 (Australia - Row 20)</t>
        </is>
      </c>
      <c r="C115" t="inlineStr">
        <is>
          <t>345 (part 33)</t>
        </is>
      </c>
      <c r="D115" s="11" t="inlineStr">
        <is>
          <t>Deputy Registrar resignation and termination procedures</t>
        </is>
      </c>
      <c r="E115" t="inlineStr">
        <is>
          <t>242–251</t>
        </is>
      </c>
      <c r="F115" t="inlineStr">
        <is>
          <t>Low</t>
        </is>
      </c>
      <c r="G115" t="inlineStr">
        <is>
          <t>High (explicit)</t>
        </is>
      </c>
      <c r="H115" s="11" t="inlineStr">
        <is>
          <t>Cross-border Transfer, International Processing, Data Storage, Security</t>
        </is>
      </c>
      <c r="I115" s="11" t="inlineStr">
        <is>
          <t>Personal Information</t>
        </is>
      </c>
      <c r="J115" t="inlineStr">
        <is>
          <t>Minister</t>
        </is>
      </c>
      <c r="K115" s="11" t="inlineStr">
        <is>
          <t>This section outlines the resignation process for Deputy Registrars, requiring written resignation to the Minister with effect from receipt or a specified later date. It also details termination conditions, including termination by the Minister via written instrument or if the Deputy Registrar ceases employment under the Public Service Act 1999. These provisions define the administrative framework for Deputy Registrar appointments and their exit.</t>
        </is>
      </c>
      <c r="L115" s="11" t="inlineStr">
        <is>
          <t>These provisions establish the administrative framework for Deputy Registrar appointments and their exit, which may impact the continuity of judicial proceedings and data handling processes in cross-jurisdictional contexts.</t>
        </is>
      </c>
      <c r="M115" s="11" t="inlineStr">
        <is>
          <t>• [Must] A Deputy Registrar may resign by writing signed by him or her and given to the Minister
• [Must] The resignation takes effect on the day it is received by the Minister or, if a later day is specified in the resignation, on that later day</t>
        </is>
      </c>
      <c r="N115" s="11" t="inlineStr">
        <is>
          <t>• [May] The Minister may terminate the appointment of a Deputy Registrar by written instrument
• [Condition] The appointment of a Deputy Registrar is terminated if the Deputy Registrar stops being engaged under the Public Service Act 1999 for any reason</t>
        </is>
      </c>
      <c r="O115" s="11" t="inlineStr">
        <is>
          <t>Section 202(1) and (2): A Deputy Registrar may resign by writing signed by him or her and given to the Minister. The resignation takes effect on the day it is received by the Minister or, if a later day is specified in the resignation, on that later day.</t>
        </is>
      </c>
      <c r="P115" s="12" t="n">
        <v>7</v>
      </c>
    </row>
    <row r="116">
      <c r="A116" t="inlineStr">
        <is>
          <t>Australia</t>
        </is>
      </c>
      <c r="B116" t="inlineStr">
        <is>
          <t>C2024C00719-1 (Australia - Row 20)</t>
        </is>
      </c>
      <c r="C116" t="inlineStr">
        <is>
          <t>345 (part 34)</t>
        </is>
      </c>
      <c r="D116" s="11" t="inlineStr">
        <is>
          <t>Court jurisdiction and transfer procedures for PPS matters</t>
        </is>
      </c>
      <c r="E116" t="inlineStr">
        <is>
          <t>251–259</t>
        </is>
      </c>
      <c r="F116" t="inlineStr">
        <is>
          <t>Medium</t>
        </is>
      </c>
      <c r="G116" t="inlineStr">
        <is>
          <t>High (explicit)</t>
        </is>
      </c>
      <c r="H116" s="11" t="inlineStr">
        <is>
          <t>Cross-border Transfer, International Processing, Data Storage, Security</t>
        </is>
      </c>
      <c r="I116" s="11" t="inlineStr">
        <is>
          <t>Personal Information</t>
        </is>
      </c>
      <c r="J116" t="inlineStr">
        <is>
          <t>Courts</t>
        </is>
      </c>
      <c r="K116" s="11" t="inlineStr">
        <is>
          <t>This section details the jurisdiction of courts for matters related to security interests in personal property, including the Federal Court, Federal Circuit and Family Courts, and State/Territory courts. It specifies transfer procedures between courts, criteria for transfers, and the role of the Registrar in judicial proceedings. The provisions ensure that PPS matters can be handled efficiently across jurisdictions while maintaining legal continuity.</t>
        </is>
      </c>
      <c r="L116" s="11" t="inlineStr">
        <is>
          <t>These provisions define the jurisdictional framework for court transfers in PPS matters, which may impact data handling and processing across jurisdictions in financial and regulatory contexts.</t>
        </is>
      </c>
      <c r="M116" s="11" t="inlineStr">
        <is>
          <t>• [Must] Jurisdiction is conferred on the Federal Court, the Federal Circuit and Family Court of Australia (Division 1), the Federal Circuit and Family Court of Australia (Division 2), and courts of States and Territories for PPS matters
• [May] The Registrar may intervene in judicial proceedings
• [May] A court may make a transfer under section 211 on the application of a party or at the court's own initiative</t>
        </is>
      </c>
      <c r="N116" s="11" t="inlineStr">
        <is>
          <t>• [Must] The transferring court must provide all documents filed in the transferring court to the receiving court
• [Must] The receiving court must proceed as if the proceeding had been originally instituted in the other court</t>
        </is>
      </c>
      <c r="O116" s="11" t="inlineStr">
        <is>
          <t>Section 205: Jurisdiction is conferred on the Federal Court, the Federal Circuit and Family Court of Australia (Division 1), the Federal Circuit and Family Court of Australia (Division 2), and courts of States and Territories for PPS matters. The Registrar may intervene in judicial proceedings.</t>
        </is>
      </c>
      <c r="P116" s="12" t="n">
        <v>7</v>
      </c>
    </row>
    <row r="117">
      <c r="A117" t="inlineStr">
        <is>
          <t>Australia</t>
        </is>
      </c>
      <c r="B117" t="inlineStr">
        <is>
          <t>C2024C00719-1 (Australia - Row 20)</t>
        </is>
      </c>
      <c r="C117" t="inlineStr">
        <is>
          <t>345 (part 35)</t>
        </is>
      </c>
      <c r="D117" s="11" t="inlineStr">
        <is>
          <t>Security interest governing law determination</t>
        </is>
      </c>
      <c r="E117" t="inlineStr">
        <is>
          <t>259–266</t>
        </is>
      </c>
      <c r="F117" t="inlineStr">
        <is>
          <t>High</t>
        </is>
      </c>
      <c r="G117" t="inlineStr">
        <is>
          <t>High (explicit)</t>
        </is>
      </c>
      <c r="H117" s="11" t="inlineStr"/>
      <c r="I117" s="11" t="inlineStr">
        <is>
          <t>Financial Data</t>
        </is>
      </c>
      <c r="J117" t="inlineStr">
        <is>
          <t>Australian Government</t>
        </is>
      </c>
      <c r="K117" s="11" t="inlineStr">
        <is>
          <t>This section establishes rules for determining which jurisdiction's law governs security interests in various property types. It specifies that for goods, the law of the jurisdiction where the goods are located at attachment time governs validity and perfection. For intangible property, the law of the grantor's location governs. Financial property follows similar rules with specific exceptions for ADI accounts and letters of credit. The section also outlines conditions under which parties may agree to use Commonwealth law instead.</t>
        </is>
      </c>
      <c r="L117" s="11" t="inlineStr">
        <is>
          <t>This section defines jurisdictional rules for security interests across different property types, impacting cross-border data transfers involving financial assets by determining applicable law for security interests in international transactions.</t>
        </is>
      </c>
      <c r="M117" s="11" t="inlineStr">
        <is>
          <t>• [Must] The validity of a security interest in goods is governed by the law of the jurisdiction where the goods are located when the security interest attaches
• [Must] The perfection of a security interest in goods is governed by the law of the jurisdiction where the goods are located at the time of perfection
• [Must] The validity of a security interest in intangible property is governed by the law of the jurisdiction where the grantor is located when the security interest attaches
• [Must] The perfection of a security interest in intangible property is governed by the law of the jurisdiction where the grantor is located at the time of perfection</t>
        </is>
      </c>
      <c r="N117" s="11" t="inlineStr">
        <is>
          <t>• [Must] The validity of a security interest in financial property is governed by the law of the jurisdiction where the grantor is located when the security interest attaches
• [Must] The perfection of a security interest in financial property is governed by the law of the jurisdiction where the grantor is located at the time of perfection
• [Must] A security interest in an ADI account is governed by the law of the jurisdiction that governs the ADI account
• [May] Parties may agree in writing that another jurisdiction's law governs an ADI account security interest if the ADI consents and applying that law would not be manifestly contrary to public policy</t>
        </is>
      </c>
      <c r="O117" s="11" t="inlineStr">
        <is>
          <t>Section 239: The validity of a security interest in intangible property is governed by the law of the jurisdiction (other than the law relating to conflict of laws) in which the grantor is located when the security interest attaches, under that law, to the property.</t>
        </is>
      </c>
      <c r="P117" s="12" t="n">
        <v>7</v>
      </c>
    </row>
    <row r="118">
      <c r="A118" t="inlineStr">
        <is>
          <t>Australia</t>
        </is>
      </c>
      <c r="B118" t="inlineStr">
        <is>
          <t>C2024C00719-1 (Australia - Row 20)</t>
        </is>
      </c>
      <c r="C118" t="inlineStr">
        <is>
          <t>345 (part 37)</t>
        </is>
      </c>
      <c r="D118" s="11" t="inlineStr">
        <is>
          <t>State referral status and amendment references for personal property</t>
        </is>
      </c>
      <c r="E118" t="inlineStr">
        <is>
          <t>273–279</t>
        </is>
      </c>
      <c r="F118" t="inlineStr">
        <is>
          <t>Medium</t>
        </is>
      </c>
      <c r="G118" t="inlineStr">
        <is>
          <t>High (explicit)</t>
        </is>
      </c>
      <c r="H118" s="11" t="inlineStr">
        <is>
          <t>Cross-border Transfer, International Processing, Data Storage, Security</t>
        </is>
      </c>
      <c r="I118" s="11" t="inlineStr">
        <is>
          <t>Personal Information</t>
        </is>
      </c>
      <c r="J118" t="inlineStr">
        <is>
          <t>Australian Government</t>
        </is>
      </c>
      <c r="K118" s="11" t="inlineStr">
        <is>
          <t>This section defines when a State remains a referring State for personal property matters under the Personal Property Securities Act. A State continues as a referring State if its referral law remains active, its amendment references have not terminated or been restricted, and the relevant version of the Act has not been adopted. It specifies that States stop being referring States when their referral references terminate or become qualified, except for fixtures and transferable water rights which maintain referring status even if amendment references terminate or are restricted.</t>
        </is>
      </c>
      <c r="L118" s="11" t="inlineStr">
        <is>
          <t>This section establishes conditions under which States retain or lose their status as referring States for personal property security interests, impacting cross-border data transfers involving security interests in movable assets.</t>
        </is>
      </c>
      <c r="M118" s="11" t="inlineStr">
        <is>
          <t>• [Must] A State is a referring State even if the State's referral law provides that the reference to the Commonwealth of a matter covered by subsection (3) or (4) terminates in particular circumstances
• [Must] A State is a referring State even if the State's referral law provides that the adoption of the relevant version of this Act terminates in particular circumstances
• [Must] A State is a referring State even if the State's referral law provides that any or all of the State's amendment references have not commenced in relation to a particular kind of personal property
• [Must] A State is a referring State even if the State's referral law provides that the reference to the Commonwealth Parliament of a matter covered by subsection (3) or (4) has effect only if the matter is not otherwise included in the legislative powers of the Commonwealth Parliament
• [Must] A State is a referring State even if the State's referral law provides that the reference to the Commonwealth Parliament of a matter covered by subsection (3) or (4) has effect only if the matter is included in the legislative powers of the Parliament of the State
• [Must] A State stops being a referring State if the reference to the Commonwealth Parliament terminates
• [Must] A State stops being a referring State if the adoption of the relevant version of this Act terminates</t>
        </is>
      </c>
      <c r="N118" s="11" t="inlineStr">
        <is>
          <t>• [Must] A State stops being a referring State if the State's amendment reference in relation to personal property (other than fixtures or water rights) terminates
• [Must] A State stops being a referring State if the State's amendment reference in relation to personal property (other than fixtures or water rights) is qualified or restricted to any degree
• [Must Not] A State does not stop being a referring State because the State's amendment reference in relation to fixtures terminates
• [Must Not] A State does not stop being a referring State because the State's amendment reference in relation to fixtures is qualified or restricted to any degree
• [Must Not] A State does not stop being a referring State because the State's amendment reference in relation to transferable water rights terminates
• [Must Not] A State does not stop being a referring State because the State's amendment reference in relation to transferable water rights is qualified or restricted to any degree</t>
        </is>
      </c>
      <c r="O118" s="11" t="inlineStr">
        <is>
          <t>Section 244(2) of the Personal Property Securities Act 2009: A State is a referring State even if the State's referral law provides that: (a) the reference to the Commonwealth of a matter covered by subsection (3) or (4) is to terminate in particular circumstances; or (b) the adoption of the relevant version of this Act is to terminate in particular circumstances; or (c) any or all of the State's amendment references have not commenced in relation to a particular kind (or kinds) of personal property (or so commence at or after the registration commencement time); or (d) the reference to the Commonwealth Parliament of a matter covered by subsection (3) or (4) has effect only: (i) if, and to the extent that, the matter is not otherwise included in the legislative powers of the Commonwealth Parliament (otherwise than by a reference under paragraph 51(xxxvii) of the Constitution); or (ii) if and to the extent that the matter is included in the legislative powers of the Parliament of the State.</t>
        </is>
      </c>
      <c r="P118" s="12" t="n">
        <v>7</v>
      </c>
    </row>
    <row r="119">
      <c r="A119" t="inlineStr">
        <is>
          <t>Australia</t>
        </is>
      </c>
      <c r="B119" t="inlineStr">
        <is>
          <t>C2024C00719-1 (Australia - Row 20)</t>
        </is>
      </c>
      <c r="C119" t="inlineStr">
        <is>
          <t>345 (part 39)</t>
        </is>
      </c>
      <c r="D119" s="11" t="inlineStr">
        <is>
          <t>Security agreements: Effect of other laws on security interests</t>
        </is>
      </c>
      <c r="E119" t="inlineStr">
        <is>
          <t>286–294</t>
        </is>
      </c>
      <c r="F119" t="inlineStr">
        <is>
          <t>High</t>
        </is>
      </c>
      <c r="G119" t="inlineStr">
        <is>
          <t>High (explicit)</t>
        </is>
      </c>
      <c r="H119" s="11" t="inlineStr">
        <is>
          <t>Security, Cross-border Transfer, International Processing</t>
        </is>
      </c>
      <c r="I119" s="11" t="inlineStr">
        <is>
          <t>Financial Data</t>
        </is>
      </c>
      <c r="J119" t="inlineStr">
        <is>
          <t>Australian Securities and Investments Commission</t>
        </is>
      </c>
      <c r="K119" s="11" t="inlineStr">
        <is>
          <t>This section establishes that security agreements are subject to other laws where there is inconsistency between the Act and those laws. It specifies that certain Commonwealth Acts, including the Payment Systems and Netting Act 1998, prevail over this Act to the extent of inconsistency. The section also outlines that security agreements are subject to state and territory laws, general law, and regulations, with exceptions for when Division 4 (this Act prevailing) applies. It clarifies that certain effects of laws, such as prohibitions on creating security interests, are excluded from the scope of this section.</t>
        </is>
      </c>
      <c r="L119" s="11" t="inlineStr">
        <is>
          <t>This section affects data transfer impact assessments by clarifying that security interests may be subject to state and territory laws, requiring assessments to consider how these laws interact with cross-border security agreements and registrations.</t>
        </is>
      </c>
      <c r="M119" s="11" t="inlineStr">
        <is>
          <t>• [Condition] If there is inconsistency between this Act and one of the specified Acts, the other Act prevails to the extent of the inconsistency
• [Condition] Subsection 18(1) is subject to each of the following laws: Commonwealth law (other than this Act), State or Territory law, and general law</t>
        </is>
      </c>
      <c r="N119" s="11" t="inlineStr">
        <is>
          <t>• [Condition] A law mentioned in subsection (2) does not apply to the extent affected by Division 4 (when this Act prevails) or as prescribed by regulations</t>
        </is>
      </c>
      <c r="O119" s="11" t="inlineStr">
        <is>
          <t>If there is any inconsistency between this Act and one of the following Acts (the other Act), the other Act prevails to the extent of the inconsistency: (a) the Payment Systems and Netting Act 1998; (b) the Cheques Act 1986; (c) the Bills of Exchange Act 1909; (d) the International Interests in Mobile Equipment (Cape Town Convention) Act 2013.</t>
        </is>
      </c>
      <c r="P119" s="12" t="n">
        <v>7</v>
      </c>
    </row>
    <row r="120">
      <c r="A120" t="inlineStr">
        <is>
          <t>Australia</t>
        </is>
      </c>
      <c r="B120" t="inlineStr">
        <is>
          <t>C2024C00719-1 (Australia - Row 20)</t>
        </is>
      </c>
      <c r="C120" t="inlineStr">
        <is>
          <t>345 (part 40)</t>
        </is>
      </c>
      <c r="D120" s="11" t="inlineStr">
        <is>
          <t>Vesting of unperfected security interests in grantors during bankruptcy</t>
        </is>
      </c>
      <c r="E120" t="inlineStr">
        <is>
          <t>294–301</t>
        </is>
      </c>
      <c r="F120" t="inlineStr">
        <is>
          <t>High</t>
        </is>
      </c>
      <c r="G120" t="inlineStr">
        <is>
          <t>High (explicit)</t>
        </is>
      </c>
      <c r="H120" s="11" t="inlineStr">
        <is>
          <t>Security, Cross-border Transfer, Financial Data</t>
        </is>
      </c>
      <c r="I120" s="11" t="inlineStr">
        <is>
          <t>Financial Data</t>
        </is>
      </c>
      <c r="J120" t="inlineStr">
        <is>
          <t>Australian Securities and Investments Commission</t>
        </is>
      </c>
      <c r="K120" s="11" t="inlineStr">
        <is>
          <t>This section details when unperfected security interests vest in the grantor upon the grantor's bankruptcy or winding up. It specifies events such as company winding up, sequestration orders, and bankruptcy under the Bankruptcy Act 1966. The security interest vests immediately before the event occurs, but does not affect title if the person acquires property for new value without knowledge of the event.</t>
        </is>
      </c>
      <c r="L120" s="11" t="inlineStr">
        <is>
          <t>This section is relevant for data transfer impact assessments as it governs the vesting of security interests during bankruptcy, which may impact data transfers involving financial institutions and cross-border assets.</t>
        </is>
      </c>
      <c r="M120" s="11" t="inlineStr">
        <is>
          <t>• [Must] In the event of the bankruptcy of an individual grantor, or the winding up or entry into administration of a body corporate grantor, a secured party's unperfected security interest vests in the grantor
• [Must] The security interest vests immediately before the event mentioned in paragraph (1)(a) occurs</t>
        </is>
      </c>
      <c r="N120" s="11" t="inlineStr">
        <is>
          <t>• [Must Not] Subsection (2) does not affect the title of a person to personal property if the person acquires it for new value without knowledge of the event</t>
        </is>
      </c>
      <c r="O120" s="11" t="inlineStr">
        <is>
          <t>In the event of the bankruptcy of an individual grantor, or the winding up or the entry into administration of a body corporate grantor, a secured party's unperfected security interest vests in the grantor.</t>
        </is>
      </c>
      <c r="P120" s="12" t="n">
        <v>7</v>
      </c>
    </row>
    <row r="121">
      <c r="A121" t="inlineStr">
        <is>
          <t>Australia</t>
        </is>
      </c>
      <c r="B121" t="inlineStr">
        <is>
          <t>C2024C00719-1 (Australia - Row 20)</t>
        </is>
      </c>
      <c r="C121" t="inlineStr">
        <is>
          <t>345 (part 41)</t>
        </is>
      </c>
      <c r="D121" s="11" t="inlineStr">
        <is>
          <t>Security interests unaffected by section 267</t>
        </is>
      </c>
      <c r="E121" t="inlineStr">
        <is>
          <t>301–309</t>
        </is>
      </c>
      <c r="F121" t="inlineStr">
        <is>
          <t>High</t>
        </is>
      </c>
      <c r="G121" t="inlineStr">
        <is>
          <t>High (explicit)</t>
        </is>
      </c>
      <c r="H121" s="11" t="inlineStr">
        <is>
          <t>Security, Cross-border Transfer, International Processing</t>
        </is>
      </c>
      <c r="I121" s="11" t="inlineStr">
        <is>
          <t>Financial Data</t>
        </is>
      </c>
      <c r="J121" t="inlineStr">
        <is>
          <t>Corporations Act 2001</t>
        </is>
      </c>
      <c r="K121" s="11" t="inlineStr">
        <is>
          <t>This section specifies security interests that remain unaffected by the vesting rules in section 267. It covers security interests that do not secure payment or performance of obligations, including transfers of accounts or chattel paper, commercial consignments, and security interests governed by foreign jurisdiction law. It also addresses subordinated debts where a junior creditor's obligations are postponed to a senior creditor's debt.</t>
        </is>
      </c>
      <c r="L121" s="11" t="inlineStr">
        <is>
          <t>This section defines specific security interests that bypass the vesting rules in section 267, which is critical for DTIAs involving cross-border security interests where foreign jurisdiction law applies or where security interests are subordinated.</t>
        </is>
      </c>
      <c r="M121" s="11" t="inlineStr">
        <is>
          <t>• [Must] Security interests provided for by transactions that do not secure payment or performance of obligations are unaffected by section 267
• [Must] Security interests governed by foreign jurisdiction law at the time mentioned in paragraph 267(1)(b) are unaffected by section 267
• [Must] Security interests covered by subsection (2) of this section are unaffected by section 267
• [Must] A security interest in an account is subordinated if the obligor owes money to a senior creditor and junior creditor</t>
        </is>
      </c>
      <c r="N121" s="11" t="inlineStr">
        <is>
          <t>• [Must] The junior creditor must postpone the obligor's debt to the senior creditor
• [Must] The junior creditor must transfer property or proceeds to the senior creditor to the value of the debt
• [Must] The junior creditor must hold property or proceeds on trust for the senior creditor</t>
        </is>
      </c>
      <c r="O121" s="11" t="inlineStr">
        <is>
          <t>Security interests to which vesting rule does not apply (1) Subsection 267(2) and section 267A (security interests vested in grantor) do not apply to the following security interests: (a) a security interest provided for by any of the following transactions, if the interest does not secure the payment or performance of an obligation: (i) a transfer of an account or chattel paper; (iii) a commercial consignment; (aa) a security interest for which perfection, and the effect of perfection or non-perfection, is governed by the law of a foreign jurisdiction at the time mentioned in paragraph 267(1)(b); (b) a security interest covered by subsection (2) of this section.</t>
        </is>
      </c>
      <c r="P121" s="12" t="n">
        <v>7</v>
      </c>
    </row>
    <row r="122">
      <c r="A122" t="inlineStr">
        <is>
          <t>Australia</t>
        </is>
      </c>
      <c r="B122" t="inlineStr">
        <is>
          <t>C2024C00719-1 (Australia - Row 20)</t>
        </is>
      </c>
      <c r="C122" t="inlineStr">
        <is>
          <t>345 (part 42)</t>
        </is>
      </c>
      <c r="D122" s="11" t="inlineStr">
        <is>
          <t>Secured parties must disclose information to interested persons</t>
        </is>
      </c>
      <c r="E122" t="inlineStr">
        <is>
          <t>309–316</t>
        </is>
      </c>
      <c r="F122" t="inlineStr">
        <is>
          <t>High</t>
        </is>
      </c>
      <c r="G122" t="inlineStr">
        <is>
          <t>High (explicit)</t>
        </is>
      </c>
      <c r="H122" s="11" t="inlineStr">
        <is>
          <t>Security, Data Sharing, Cross-border Transfer</t>
        </is>
      </c>
      <c r="I122" s="11" t="inlineStr">
        <is>
          <t>Financial Data</t>
        </is>
      </c>
      <c r="J122" t="inlineStr">
        <is>
          <t>Corporations Act 2001</t>
        </is>
      </c>
      <c r="K122" s="11" t="inlineStr">
        <is>
          <t>This section outlines the obligations for secured parties to provide information to interested persons upon request. It specifies the types of information that must be disclosed, including security agreements, amounts secured, and property details. It also sets timeframes for responses and conditions under which disclosure may be exempted, such as confidentiality agreements or legal obligations.</t>
        </is>
      </c>
      <c r="L122" s="11" t="inlineStr">
        <is>
          <t>This section requires secured parties to disclose specific information to interested persons, which is critical for DTIAs involving cross-border data transfers where security interests may affect data access and control.</t>
        </is>
      </c>
      <c r="M122" s="11" t="inlineStr">
        <is>
          <t>• [Must] Secured parties must provide a copy of the security agreement
• [Must] Secured parties must provide a statement of the amount or obligation secured by the interest
• [Must] Secured parties must provide an itemised list of personal property attached to the security interest
• [Must] Secured parties must respond to requests within 10 business days</t>
        </is>
      </c>
      <c r="N122" s="11" t="inlineStr">
        <is>
          <t>• [May] Secured parties may indicate a security interest in all present and after-acquired property
• [May] Secured parties may exempt responses if a confidentiality agreement exists
• [May] Secured parties may exempt responses if the response would contravene law or duty of confidence</t>
        </is>
      </c>
      <c r="O122" s="11" t="inlineStr">
        <is>
          <t>Secured party to provide certain information relating to security interest (1) An interested person mentioned in subsection (9) may request a secured party who holds a security interest in collateral to send or make available to the interested person, or any other person, any of the following: (a) a copy of the security agreement that provides for the security interest; (b) a statement in writing setting out the amount or the obligation that is secured by the security interest and the terms of payment or performance of the obligation, as at the day specified in the request; (c) a written approval or correction of an itemised list of personal property attached to the request indicating in which items of property the security interest is granted, as at the day specified in the request; (d) a written approval or correction of the following attached to the request, as at the day specified in the request: (i) the amount or the obligation that is secured by the security interest; (ii) the terms of payment or performance of the obligation.</t>
        </is>
      </c>
      <c r="P122" s="12" t="n">
        <v>7</v>
      </c>
    </row>
    <row r="123">
      <c r="A123" t="inlineStr">
        <is>
          <t>Australia</t>
        </is>
      </c>
      <c r="B123" t="inlineStr">
        <is>
          <t>C2024C00719-1 (Australia - Row 20)</t>
        </is>
      </c>
      <c r="C123" t="inlineStr">
        <is>
          <t>345 (part 43)</t>
        </is>
      </c>
      <c r="D123" s="11" t="inlineStr">
        <is>
          <t>Notices to secured parties: delivery methods and recipient requirements</t>
        </is>
      </c>
      <c r="E123" t="inlineStr">
        <is>
          <t>316–323</t>
        </is>
      </c>
      <c r="F123" t="inlineStr">
        <is>
          <t>Medium</t>
        </is>
      </c>
      <c r="G123" t="inlineStr">
        <is>
          <t>High (explicit)</t>
        </is>
      </c>
      <c r="H123" s="11" t="inlineStr"/>
      <c r="I123" s="11" t="inlineStr">
        <is>
          <t>Personal Information</t>
        </is>
      </c>
      <c r="J123" t="inlineStr">
        <is>
          <t>Registrar</t>
        </is>
      </c>
      <c r="K123" s="11" t="inlineStr">
        <is>
          <t>This section specifies how notices must be delivered to registered secured parties: by physical delivery, pre-paid post, fax, or email. It requires notices to be given to each secured party when multiple parties are registered. A single notice can be given to all secured parties if it complies with section 287. The Registrar may approve specific identifiers for notices to ensure they are properly directed to the correct party.</t>
        </is>
      </c>
      <c r="L123" s="11" t="inlineStr">
        <is>
          <t>Notices to secured parties must be delivered via specific methods to ensure proper identification and receipt, which impacts cross-border data transfers involving secured parties.</t>
        </is>
      </c>
      <c r="M123" s="11" t="inlineStr">
        <is>
          <t>• [Must] Notices must be delivered to a secured party by leaving at the address
• [Must] Notices must be delivered to a secured party by pre-paid post to the address</t>
        </is>
      </c>
      <c r="N123" s="11" t="inlineStr">
        <is>
          <t>• [Must] Notices must be delivered to a secured party by fax or email to the address
• [May] A single notice may be given to all secured parties if it complies with section 287</t>
        </is>
      </c>
      <c r="O123" s="11" t="inlineStr">
        <is>
          <t>Part 8.5  Notices and timing
Section 288
(a) a registration includes 2 or more secured parties; and
(b) a notice or document is required or permitted to be given to each of the secured parties.</t>
        </is>
      </c>
      <c r="P123" s="12" t="n">
        <v>7</v>
      </c>
    </row>
    <row r="124">
      <c r="A124" t="inlineStr">
        <is>
          <t>Australia</t>
        </is>
      </c>
      <c r="B124" t="inlineStr">
        <is>
          <t>C2024C00719-1 (Australia - Row 20)</t>
        </is>
      </c>
      <c r="C124" t="inlineStr">
        <is>
          <t>345 (part 44)</t>
        </is>
      </c>
      <c r="D124" s="11" t="inlineStr">
        <is>
          <t>Onus of proof and constructive knowledge for secured parties</t>
        </is>
      </c>
      <c r="E124" t="inlineStr">
        <is>
          <t>323–332</t>
        </is>
      </c>
      <c r="F124" t="inlineStr">
        <is>
          <t>High</t>
        </is>
      </c>
      <c r="G124" t="inlineStr">
        <is>
          <t>High (explicit)</t>
        </is>
      </c>
      <c r="H124" s="11" t="inlineStr"/>
      <c r="I124" s="11" t="inlineStr">
        <is>
          <t>Personal Information</t>
        </is>
      </c>
      <c r="J124" t="inlineStr">
        <is>
          <t>Registrar</t>
        </is>
      </c>
      <c r="K124" s="11" t="inlineStr">
        <is>
          <t>This section outlines the onus of proof for certain facts in secured transactions, including the attachment of security interests, perfection by registration, and knowledge requirements. It defines constructive knowledge as knowledge that would be had by an honest and prudent person under the circumstances. The onus of proof lies with the person asserting facts related to security interests and knowledge.</t>
        </is>
      </c>
      <c r="L124" s="11" t="inlineStr">
        <is>
          <t>The onus of proof and constructive knowledge rules impact data transfer assessments by defining how knowledge of data is established in cross-border transactions involving secured parties.</t>
        </is>
      </c>
      <c r="M124" s="11" t="inlineStr">
        <is>
          <t>• [Must] The onus of proving security interest attachment lies with the asserting party
• [Must] The onus of proving security interest perfection by registration lies with the asserting party</t>
        </is>
      </c>
      <c r="N124" s="11" t="inlineStr">
        <is>
          <t>• [Must] The onus of proving free of security interest lies with the asserting party
• [Must] Constructive knowledge is defined as knowledge an honest and prudent person would have</t>
        </is>
      </c>
      <c r="O124" s="11" t="inlineStr">
        <is>
          <t>Part 8.6—Onus of proof and knowledge
Section 295
This Part provides that the onus of proving certain facts lies with the person asserting those facts.</t>
        </is>
      </c>
      <c r="P124" s="12" t="n">
        <v>7</v>
      </c>
    </row>
    <row r="125">
      <c r="A125" t="inlineStr">
        <is>
          <t>Australia</t>
        </is>
      </c>
      <c r="B125" t="inlineStr">
        <is>
          <t>C2024C00719-1 (Australia - Row 20)</t>
        </is>
      </c>
      <c r="C125" t="inlineStr">
        <is>
          <t>345 (part 45)</t>
        </is>
      </c>
      <c r="D125" s="11" t="inlineStr">
        <is>
          <t>Initial application of security interests to personal property</t>
        </is>
      </c>
      <c r="E125" t="inlineStr">
        <is>
          <t>332–339</t>
        </is>
      </c>
      <c r="F125" t="inlineStr">
        <is>
          <t>High</t>
        </is>
      </c>
      <c r="G125" t="inlineStr">
        <is>
          <t>High (explicit)</t>
        </is>
      </c>
      <c r="H125" s="11" t="inlineStr">
        <is>
          <t>Security</t>
        </is>
      </c>
      <c r="I125" s="11" t="inlineStr">
        <is>
          <t>Personal Information</t>
        </is>
      </c>
      <c r="J125" t="inlineStr">
        <is>
          <t>Australian Securities and Investments Commission</t>
        </is>
      </c>
      <c r="K125" s="11" t="inlineStr">
        <is>
          <t>This section specifies when the Australian Security Interests Act starts applying to new security agreements, interests arising after commencement, transitional agreements, and personal property data. It outlines specific provisions for enforceability, statutory interests, intellectual property licenses, and the starting time for registrations. The Act applies to security interests created at or after the registration commencement time, with transitional security interests having special rules for enforceability and perfection.</t>
        </is>
      </c>
      <c r="L125" s="11" t="inlineStr">
        <is>
          <t>This section defines the timeline and conditions for when security interests in personal property become enforceable under Australian law, impacting cross-border data transfers involving security interests in movable assets.</t>
        </is>
      </c>
      <c r="M125" s="11" t="inlineStr">
        <is>
          <t>• [Must] This Act starts to apply to new security agreements at the registration commencement time
• [Must] This Act starts to apply to security interests arising after commencement
• [Must] This Act starts to apply to transitional security agreements and interests
• [Must] This Act starts to apply to new interests in personal property
• [Must] This Act starts to apply to prescribed personal property
• [Must] This Act starts to apply to migrated personal property data from Commonwealth, State and Territory registers
• [Must] Transitional security interests are enforceable against third parties if they would have been so enforceable under law before commencement
• [Must] Section 73 (priority between security interests and declared statutory interests) applies to declared statutory interests</t>
        </is>
      </c>
      <c r="N125" s="11" t="inlineStr">
        <is>
          <t>• [Must] Section 106 applies to security interests in intellectual property licences made at or after commencement
• [Must] Chapter 4 (enforcement of security interests) applies only to security interests provided for by security agreements made at or after commencement
• [Must] A person may only apply to the Registrar for registration of financing statements at or after registration commencement time
• [Must] The Registrar may only register financing statements at or after registration commencement time
• [Must] Part 7.2 (Australian laws and those of other jurisdictions) applies only to security interests in collateral that arise at or after commencement
• [Must] Section 251 applies only to security interests in collateral that arise at or after commencement
• [Must] Section 252 applies only to security interests in collateral that arise at or after commencement</t>
        </is>
      </c>
      <c r="O125" s="11" t="inlineStr">
        <is>
          <t>Part 9.3—Initial application of this Act. This Act starts to apply to the following at the registration commencement time (26 months after the Act is given the Royal Assent, or another time determined by the Minister): (a) new security agreements; (b) security interests arising after commencement; (c) transitional security agreements and interests; (d) new interests in personal property; (e) prescribed personal property; (f) migrated personal property data from Commonwealth, State and Territory registers.</t>
        </is>
      </c>
      <c r="P125" s="12" t="n">
        <v>7</v>
      </c>
    </row>
    <row r="126">
      <c r="A126" t="inlineStr">
        <is>
          <t>Australia</t>
        </is>
      </c>
      <c r="B126" t="inlineStr">
        <is>
          <t>C2024C00719-1 (Australia - Row 20)</t>
        </is>
      </c>
      <c r="C126" t="inlineStr">
        <is>
          <t>345 (part 47)</t>
        </is>
      </c>
      <c r="D126" s="11" t="inlineStr">
        <is>
          <t>Transitional security interest registration requirements</t>
        </is>
      </c>
      <c r="E126" t="inlineStr">
        <is>
          <t>345–352</t>
        </is>
      </c>
      <c r="F126" t="inlineStr">
        <is>
          <t>High</t>
        </is>
      </c>
      <c r="G126" t="inlineStr">
        <is>
          <t>High (explicit)</t>
        </is>
      </c>
      <c r="H126" s="11" t="inlineStr">
        <is>
          <t>Cross-border Transfer, International Processing, Data Storage, Security</t>
        </is>
      </c>
      <c r="I126" s="11" t="inlineStr">
        <is>
          <t>Personal Information</t>
        </is>
      </c>
      <c r="J126" t="inlineStr">
        <is>
          <t>Registrar</t>
        </is>
      </c>
      <c r="K126" s="11" t="inlineStr">
        <is>
          <t>This section establishes rules for registering transitional security interests in personal property. Registrars must specify registration end times if applicable, disclose transitional security agreements, and ensure migrated security interests are perfected before registration commencement. The section defines when registrations are ineffective due to defects and outlines procedures for correcting registration errors.</t>
        </is>
      </c>
      <c r="L126" s="11" t="inlineStr">
        <is>
          <t>Requires specific disclosures for transitional security interests and defines when registrations become ineffective due to defects, impacting cross-border data transfers involving security interests.</t>
        </is>
      </c>
      <c r="M126" s="11" t="inlineStr">
        <is>
          <t>• [Must] State the transitional registration end time as the end time for effective registration if subsection (4) applies
• [Must] Disclose that personal property is covered by a transitional security agreement
• [Must] Disclose that the transitional security agreement provides for a migrated security interest
• [May] Register financing change statements to remove data if the data is incorrectly registered
• [May] Determine a time for removal of data from the register if the data is incorrectly registered</t>
        </is>
      </c>
      <c r="N126" s="11" t="inlineStr">
        <is>
          <t>• [May] Register financing statements for transitional security interests before registration commencement time
• [Must] Ensure registration discloses collateral is covered by a transitional security agreement
• [Must] Registration time for collateral is the registration time
• [Must] Registration becomes ineffective after the defect correction period unless amended
• [Must] Registration is ineffective if collateral is not covered by transitional security agreement</t>
        </is>
      </c>
      <c r="O126" s="11" t="inlineStr">
        <is>
          <t>Section 334(1): If data is registered with respect to personal property in a financing statement under subsection 333(2) on the basis that the property is in a class determined under subsection 333(1), but the personal property is not, in fact, in the determined class, this Act applies as if the data is not, and never has been, included in the register.</t>
        </is>
      </c>
      <c r="P126" s="12" t="n">
        <v>7</v>
      </c>
    </row>
    <row r="127">
      <c r="A127" t="inlineStr">
        <is>
          <t>Australia</t>
        </is>
      </c>
      <c r="B127" t="inlineStr">
        <is>
          <t>C2024C00719-1 (Australia - Row 20)</t>
        </is>
      </c>
      <c r="C127" t="inlineStr">
        <is>
          <t>345 (part 48)</t>
        </is>
      </c>
      <c r="D127" s="11" t="inlineStr">
        <is>
          <t>Circulating asset definitions and control mechanisms</t>
        </is>
      </c>
      <c r="E127" t="inlineStr">
        <is>
          <t>352–360</t>
        </is>
      </c>
      <c r="F127" t="inlineStr">
        <is>
          <t>High</t>
        </is>
      </c>
      <c r="G127" t="inlineStr">
        <is>
          <t>High (explicit)</t>
        </is>
      </c>
      <c r="H127" s="11" t="inlineStr">
        <is>
          <t>Cross-border Transfer, Data Storage, Security</t>
        </is>
      </c>
      <c r="I127" s="11" t="inlineStr">
        <is>
          <t>Financial Data</t>
        </is>
      </c>
      <c r="J127" t="inlineStr"/>
      <c r="K127" s="11" t="inlineStr">
        <is>
          <t>This section defines circulating assets and control mechanisms for security interests. It specifies when personal property is considered a circulating asset, outlines conditions for control over inventory and accounts, and details how security interests are perfected through control. The rules apply to both physical and financial assets.</t>
        </is>
      </c>
      <c r="L127" s="11" t="inlineStr">
        <is>
          <t>Defines what constitutes a circulating asset and control mechanisms for security interests, which impacts how data is transferred and secured across borders.</t>
        </is>
      </c>
      <c r="M127" s="11" t="inlineStr">
        <is>
          <t>• [Must] Personal property is a circulating asset if the secured party has given express or implied authority for transfers free of security interest
• [Must] Personal property covered by subsection (5) is not a circulating asset if the secured party has control of the property
• [Must] Personal property is not a circulating asset if it is goods and the security interest is perfected by possession</t>
        </is>
      </c>
      <c r="N127" s="11" t="inlineStr">
        <is>
          <t>• [Must] Secured party has control of inventory if grantor agrees to specific appropriation and compliance with written agreement
• [Must] Secured party has control of accounts if amounts paid must be deposited into a specified ADI account</t>
        </is>
      </c>
      <c r="O127" s="11" t="inlineStr">
        <is>
          <t>Section 340(1): For the purposes of this Act, if a grantor grants a security interest in personal property to a secured party, the personal property is a circulating asset if: (a) the personal property is covered by subsection (5) (unless subsection (2) or (3) applies); or (b) in any other case—the secured party has given the grantor express or implied authority for any transfer of the personal property to be made, in the ordinary course of the grantor's business, free of the security interest.</t>
        </is>
      </c>
      <c r="P127" s="12" t="n">
        <v>7</v>
      </c>
    </row>
    <row r="128">
      <c r="A128" t="inlineStr">
        <is>
          <t>Australia</t>
        </is>
      </c>
      <c r="B128" t="inlineStr">
        <is>
          <t>C2025C00672 (Australia - Row 17)</t>
        </is>
      </c>
      <c r="C128" t="inlineStr">
        <is>
          <t>119</t>
        </is>
      </c>
      <c r="D128" s="11" t="inlineStr">
        <is>
          <t>Confidentiality of information handling</t>
        </is>
      </c>
      <c r="E128" t="inlineStr">
        <is>
          <t>11</t>
        </is>
      </c>
      <c r="F128" t="inlineStr">
        <is>
          <t>High</t>
        </is>
      </c>
      <c r="G128" t="inlineStr">
        <is>
          <t>High (explicit)</t>
        </is>
      </c>
      <c r="H128" s="11" t="inlineStr">
        <is>
          <t>Data Storage, Data Sharing, Record Keeping</t>
        </is>
      </c>
      <c r="I128" s="11" t="inlineStr">
        <is>
          <t>Personal Information, Financial Data</t>
        </is>
      </c>
      <c r="J128" t="inlineStr">
        <is>
          <t>Treasurer</t>
        </is>
      </c>
      <c r="K128" s="11" t="inlineStr">
        <is>
          <t>Protected information obtained for this Act's purposes may only be disclosed for specific authorized purposes. Unauthorized use or disclosure of such information constitutes an offence with civil penalties. Records must be maintained for the purposes of this Act, including significant and notifiable actions.</t>
        </is>
      </c>
      <c r="L128" s="11" t="inlineStr">
        <is>
          <t>Requires strict confidentiality for information related to foreign acquisitions and takeovers, impacting data storage practices for sensitive cross-border information.</t>
        </is>
      </c>
      <c r="M128" s="11" t="inlineStr">
        <is>
          <t>• [Must] Protected information may be disclosed only for certain purposes
• [Must Not] A person who obtains, uses or discloses protected information without authorization commits an offence</t>
        </is>
      </c>
      <c r="N128" s="11" t="inlineStr">
        <is>
          <t>• [Must] Records must be made and kept for the purposes of this Act</t>
        </is>
      </c>
      <c r="O128" s="11" t="inlineStr">
        <is>
          <t>Information that is obtained for the purposes of this Act (called protected information) may be disclosed only for certain purposes.</t>
        </is>
      </c>
      <c r="P128" s="12" t="n">
        <v>8</v>
      </c>
    </row>
    <row r="129">
      <c r="A129" t="inlineStr">
        <is>
          <t>Australia</t>
        </is>
      </c>
      <c r="B129" t="inlineStr">
        <is>
          <t>C2025C00672 (Australia - Row 17)</t>
        </is>
      </c>
      <c r="C129" t="inlineStr">
        <is>
          <t>126</t>
        </is>
      </c>
      <c r="D129" s="11" t="inlineStr">
        <is>
          <t>Authorisation of disclosures with consent</t>
        </is>
      </c>
      <c r="E129" t="inlineStr">
        <is>
          <t>12</t>
        </is>
      </c>
      <c r="F129" t="inlineStr">
        <is>
          <t>High</t>
        </is>
      </c>
      <c r="G129" t="inlineStr">
        <is>
          <t>High (explicit)</t>
        </is>
      </c>
      <c r="H129" s="11" t="inlineStr">
        <is>
          <t>Data Sharing, Data Storage</t>
        </is>
      </c>
      <c r="I129" s="11" t="inlineStr">
        <is>
          <t>Financial Data</t>
        </is>
      </c>
      <c r="J129" t="inlineStr"/>
      <c r="K129" s="11" t="inlineStr">
        <is>
          <t>Disclosures of information must be authorized by consent or to specific persons as permitted by this Act. The Act establishes conditions for when disclosures are permissible without consent, including for national security purposes. Unauthorized disclosures constitute offences with civil penalties.</t>
        </is>
      </c>
      <c r="L129" s="11" t="inlineStr">
        <is>
          <t>Requires explicit authorization for disclosures involving sensitive foreign acquisition information, impacting data sharing practices across borders.</t>
        </is>
      </c>
      <c r="M129" s="11" t="inlineStr">
        <is>
          <t>• [Must] Disclosures of information must be authorized by consent or to specific persons</t>
        </is>
      </c>
      <c r="N129" s="11" t="inlineStr"/>
      <c r="O129" s="11" t="inlineStr">
        <is>
          <t>Authorisation of disclosures where consent or to person who</t>
        </is>
      </c>
      <c r="P129" s="12" t="n">
        <v>8</v>
      </c>
    </row>
    <row r="130">
      <c r="A130" t="inlineStr">
        <is>
          <t>Australia</t>
        </is>
      </c>
      <c r="B130" t="inlineStr">
        <is>
          <t>C2025C00672 (Australia - Row 17)</t>
        </is>
      </c>
      <c r="C130" t="inlineStr">
        <is>
          <t>139</t>
        </is>
      </c>
      <c r="D130" s="11" t="inlineStr">
        <is>
          <t>Regulations for tax administration</t>
        </is>
      </c>
      <c r="E130" t="inlineStr">
        <is>
          <t>14–22</t>
        </is>
      </c>
      <c r="F130" t="inlineStr">
        <is>
          <t>High</t>
        </is>
      </c>
      <c r="G130" t="inlineStr">
        <is>
          <t>High (explicit)</t>
        </is>
      </c>
      <c r="H130" s="11" t="inlineStr"/>
      <c r="I130" s="11" t="inlineStr">
        <is>
          <t>Financial Data</t>
        </is>
      </c>
      <c r="J130" t="inlineStr">
        <is>
          <t>Governor-General</t>
        </is>
      </c>
      <c r="K130" s="11" t="inlineStr">
        <is>
          <t>This section allows the Governor-General to make regulations for matters required or permitted by the Act, including indexing values or amounts. It permits regulations to incorporate other instruments without modification.</t>
        </is>
      </c>
      <c r="L130" s="11" t="inlineStr">
        <is>
          <t>This section is relevant for data transfer impact assessments as it governs regulatory frameworks for tax data, affecting cross-border data processing.</t>
        </is>
      </c>
      <c r="M130" s="11" t="inlineStr">
        <is>
          <t>• [May] Governor-General may make regulations prescribing matters required or permitted by Act
• [May] Regulations may provide for indexing a value or amount</t>
        </is>
      </c>
      <c r="N130" s="11" t="inlineStr">
        <is>
          <t>• [May] Regulations may incorporate other instruments without modification</t>
        </is>
      </c>
      <c r="O130" s="11" t="inlineStr">
        <is>
          <t>The Governor-General may make regulations prescribing matters: (a) required or permitted by this Act to be prescribed by the regulations; or (b) necessary or convenient to be prescribed for carrying out or giving effect to this Act.</t>
        </is>
      </c>
      <c r="P130" s="12" t="n">
        <v>8</v>
      </c>
    </row>
    <row r="131">
      <c r="A131" t="inlineStr">
        <is>
          <t>Australia</t>
        </is>
      </c>
      <c r="B131" t="inlineStr">
        <is>
          <t>C2025C00672 (Australia - Row 17)</t>
        </is>
      </c>
      <c r="C131" t="inlineStr">
        <is>
          <t>139 (part 3)</t>
        </is>
      </c>
      <c r="D131" s="11" t="inlineStr">
        <is>
          <t>Definitions of key terms for regulatory compliance</t>
        </is>
      </c>
      <c r="E131" t="inlineStr">
        <is>
          <t>28–35</t>
        </is>
      </c>
      <c r="F131" t="inlineStr">
        <is>
          <t>Medium</t>
        </is>
      </c>
      <c r="G131" t="inlineStr">
        <is>
          <t>High (explicit)</t>
        </is>
      </c>
      <c r="H131" s="11" t="inlineStr"/>
      <c r="I131" s="11" t="inlineStr">
        <is>
          <t>Personal Information, Financial Data, Customer Data</t>
        </is>
      </c>
      <c r="J131" t="inlineStr"/>
      <c r="K131" s="11" t="inlineStr">
        <is>
          <t>This section defines numerous terms used throughout the Act, including 'officer of an entity', 'residential land', 'relevant entity', and 'subsidiary'. It specifies the conditions under which individuals or entities qualify as officers, the criteria for residential land, and the scope of relevant entities that hold Australian assets. The definitions are critical for understanding the regulatory framework and determining who is subject to the Act's provisions.</t>
        </is>
      </c>
      <c r="L131" s="11" t="inlineStr">
        <is>
          <t>These definitions establish the scope of entities and individuals subject to the Act, which is essential for determining whether data transfers or processing activities fall under the regulatory framework. They help identify who qualifies as an 'officer' or 'relevant entity' for compliance purposes.</t>
        </is>
      </c>
      <c r="M131" s="11" t="inlineStr">
        <is>
          <t>• [Definition] officer of an entity includes the following: (a) for a corporation—a director of the corporation; (b) for a unit trust: (i) the trustee of which is an individual—the trustee; (ii) the trustee of which is a corporation—a director of the trustee; (iii) in any case—any other individual involved in the central management and control of the trust; (c)…
• [Definition] residential land means land in Australia if: (i) there is at least one dwelling on the land; or (ii) the number of dwellings that could reasonably be built on the land is less than the number prescribed by the regulations; and does not include land: (i) used wholly and exclusively for a primary production business; or (ii) on which the only dwelli…</t>
        </is>
      </c>
      <c r="N131" s="11" t="inlineStr">
        <is>
          <t>• [Definition] relevant entity means any of the following: (a) an Australian entity; (b) a foreign corporation: (i) that holds relevant Australian assets; or (ii) that is a holding corporation of one or more Australian corporations; (c) a holding entity of such a foreign corporation or of an Australian unit trust.
• [Definition] subsidiary has the meaning given by subsections 21(1) to (3).</t>
        </is>
      </c>
      <c r="O131" s="11" t="inlineStr">
        <is>
          <t>Section 4: Compilation notice imposing conditions means a written notice given under subsection 79H(1) and includes such a notice as varied under section 79J, 79P or 79Q.</t>
        </is>
      </c>
      <c r="P131" s="12" t="n">
        <v>8</v>
      </c>
    </row>
    <row r="132">
      <c r="A132" t="inlineStr">
        <is>
          <t>Australia</t>
        </is>
      </c>
      <c r="B132" t="inlineStr">
        <is>
          <t>C2025C00672 (Australia - Row 17)</t>
        </is>
      </c>
      <c r="C132" t="inlineStr">
        <is>
          <t>139 (part 4)</t>
        </is>
      </c>
      <c r="D132" s="11" t="inlineStr">
        <is>
          <t>Definitions of associates and independent directors for regulatory compliance</t>
        </is>
      </c>
      <c r="E132" t="inlineStr">
        <is>
          <t>35–41</t>
        </is>
      </c>
      <c r="F132" t="inlineStr">
        <is>
          <t>Medium</t>
        </is>
      </c>
      <c r="G132" t="inlineStr">
        <is>
          <t>High (explicit)</t>
        </is>
      </c>
      <c r="H132" s="11" t="inlineStr"/>
      <c r="I132" s="11" t="inlineStr">
        <is>
          <t>Personal Information, Financial Data</t>
        </is>
      </c>
      <c r="J132" t="inlineStr"/>
      <c r="K132" s="11" t="inlineStr">
        <is>
          <t>This section defines 'associate' and 'independent director', specifying who qualifies as an associate in the context of regulatory actions and who is considered an independent director for listed entities. It outlines the conditions under which individuals or entities are deemed associates, including relationships with substantial interests, senior officers, and trusts. The definitions are crucial for determining the scope of regulatory oversight and accountability.</t>
        </is>
      </c>
      <c r="L132" s="11" t="inlineStr">
        <is>
          <t>These definitions clarify who qualifies as an 'associate' and 'independent director', which is critical for assessing the scope of data transfers and processing activities involving related entities. They help identify when entities are subject to joint regulatory oversight.</t>
        </is>
      </c>
      <c r="M132" s="11" t="inlineStr">
        <is>
          <t>• [Definition] Each of the following persons is an associate of a person: (a) any relative of the person; (b) any person with whom the person is acting, or proposes to act, in concert in relation to an action to which this Act may apply; (c) any person with whom the person carries on a business in partnership; (d) any entity of which the person is a senior offic…</t>
        </is>
      </c>
      <c r="N132" s="11" t="inlineStr">
        <is>
          <t>• [Definition] A person is an independent director of an entity if: (i) a director of the entity; or (ii) for a unit trust—a director of a trustee of the entity; and (b) the entity is listed for quotation in the official list of a stock exchange (whether or not in Australia); and (c) the director meets the criteria of that stock exchange for a director to be ind…</t>
        </is>
      </c>
      <c r="O132" s="11" t="inlineStr">
        <is>
          <t>Section 6: 6 Meaning of associate (1) Each of the following persons is an associate of a person: (a) any relative of the person; (b) any person with whom the person is acting, or proposes to act, in concert in relation to an action to which this Act may apply; ...</t>
        </is>
      </c>
      <c r="P132" s="12" t="n">
        <v>8</v>
      </c>
    </row>
    <row r="133">
      <c r="A133" t="inlineStr">
        <is>
          <t>Australia</t>
        </is>
      </c>
      <c r="B133" t="inlineStr">
        <is>
          <t>C2025C00672 (Australia - Row 17)</t>
        </is>
      </c>
      <c r="C133" t="inlineStr">
        <is>
          <t>139 (part 5)</t>
        </is>
      </c>
      <c r="D133" s="11" t="inlineStr">
        <is>
          <t>Definitions of business and interest types for regulatory purposes</t>
        </is>
      </c>
      <c r="E133" t="inlineStr">
        <is>
          <t>41–47</t>
        </is>
      </c>
      <c r="F133" t="inlineStr">
        <is>
          <t>Medium</t>
        </is>
      </c>
      <c r="G133" t="inlineStr">
        <is>
          <t>High (explicit)</t>
        </is>
      </c>
      <c r="H133" s="11" t="inlineStr"/>
      <c r="I133" s="11" t="inlineStr">
        <is>
          <t>Personal Information, Financial Data</t>
        </is>
      </c>
      <c r="J133" t="inlineStr"/>
      <c r="K133" s="11" t="inlineStr">
        <is>
          <t>This section defines when a foreign person starts an Australian business and specifies what constitutes an interest in securities, assets, trusts, or Australian land. It clarifies that starting a new business activity or acquiring interests in entities does not automatically constitute starting a business. The definitions also cover how interests in securities, assets, trusts, and land are determined, including joint holdings and remote interests.</t>
        </is>
      </c>
      <c r="L133" s="11" t="inlineStr">
        <is>
          <t>These definitions clarify what constitutes an interest in assets or entities for regulatory purposes, which may impact how data transfers involving business entities are assessed under cross-border data transfer mechanisms.</t>
        </is>
      </c>
      <c r="M133" s="11" t="inlineStr">
        <is>
          <t>• [Must] A foreign person starts an Australian business if they start to carry on an Australian business or for a foreign person who already carries on an Australian business, the business starts a new activity that is not incidental to an existing activity and is within a different Division under the Australian and New Zealand Standard Industrial Classifi…
• [Must] A person holds or acquires an interest in a security if they have any legal or equitable interest in that security.
• [Must] A person holds or acquires an interest in an asset if they have any legal or equitable interest in that asset.</t>
        </is>
      </c>
      <c r="N133" s="11" t="inlineStr">
        <is>
          <t>• [Must] A person holds or acquires an interest in a trust if they hold or acquire a beneficial interest in the income or property of the trust or an interest in a unit in a unit trust.
• [Must] An interest in Australian land includes legal or equitable interests in Australian land, except for certain types of interests like leases, trusts, and agreements involving profits from land.</t>
        </is>
      </c>
      <c r="O133" s="11" t="inlineStr">
        <is>
          <t>Section 8B(1) and (2): A foreign person starts an Australian business if they start to carry on an Australian business or for a foreign person who already carries on an Australian business, the business starts a new activity that is not incidental to an existing activity and is within a different Division under the Australian and New Zealand Standard Industrial Classification Codes from the current activities.</t>
        </is>
      </c>
      <c r="P133" s="12" t="n">
        <v>8</v>
      </c>
    </row>
    <row r="134">
      <c r="A134" t="inlineStr">
        <is>
          <t>Australia</t>
        </is>
      </c>
      <c r="B134" t="inlineStr">
        <is>
          <t>C2025C00672 (Australia - Row 17)</t>
        </is>
      </c>
      <c r="C134" t="inlineStr">
        <is>
          <t>139 (part 6)</t>
        </is>
      </c>
      <c r="D134" s="11" t="inlineStr">
        <is>
          <t>Definitions of business interests and percentage thresholds</t>
        </is>
      </c>
      <c r="E134" t="inlineStr">
        <is>
          <t>47–54</t>
        </is>
      </c>
      <c r="F134" t="inlineStr">
        <is>
          <t>Medium</t>
        </is>
      </c>
      <c r="G134" t="inlineStr">
        <is>
          <t>High (explicit)</t>
        </is>
      </c>
      <c r="H134" s="11" t="inlineStr"/>
      <c r="I134" s="11" t="inlineStr">
        <is>
          <t>Financial Data</t>
        </is>
      </c>
      <c r="J134" t="inlineStr"/>
      <c r="K134" s="11" t="inlineStr">
        <is>
          <t>This section defines what constitutes an interest of a specified percentage in a business, entity, or unincorporated limited partnership. It specifies that a person holds such an interest if their value of assets constitutes the specified percentage of the total assets of the business. The definitions also cover how voting power, distributions, and potential increases in interest percentages are determined for regulatory purposes.</t>
        </is>
      </c>
      <c r="L134" s="11" t="inlineStr">
        <is>
          <t>These definitions clarify how interest percentages in entities are calculated, which may impact cross-border data transfers involving business entities and their data.</t>
        </is>
      </c>
      <c r="M134" s="11" t="inlineStr">
        <is>
          <t>• [Must] A person holds an interest of a specified percentage in a business if the value of the interests in assets held by the person, alone or together with one or more associates, is that specified percentage of the value of the total assets of the business.
• [Must] A person holds an interest of a specified percentage in an entity if they are in a position to control at least that percentage of the voting power or potential voting power in the entity or hold interests in at least that percentage of the issued securities.</t>
        </is>
      </c>
      <c r="N134" s="11" t="inlineStr">
        <is>
          <t>• [Must] A person holds an interest of a specified percentage in an unincorporated limited partnership if they are in a position to control at least that percentage of the voting power or potential voting power in the partnership or are entitled to at least that percentage of the total distributions of capital, assets or profits.</t>
        </is>
      </c>
      <c r="O134" s="11" t="inlineStr">
        <is>
          <t>Section 16A: A person holds an interest of a specified percentage in a business if the value of the interests in assets of the business held by the person, alone or together with one or more associates of the person, is that specified percentage of the value of the total assets of the business.</t>
        </is>
      </c>
      <c r="P134" s="12" t="n">
        <v>8</v>
      </c>
    </row>
    <row r="135">
      <c r="A135" t="inlineStr">
        <is>
          <t>Australia</t>
        </is>
      </c>
      <c r="B135" t="inlineStr">
        <is>
          <t>C2025C00672 (Australia - Row 17)</t>
        </is>
      </c>
      <c r="C135" t="inlineStr">
        <is>
          <t>139 (part 13)</t>
        </is>
      </c>
      <c r="D135" s="11" t="inlineStr">
        <is>
          <t>Revocation of exemption certificates and action classification</t>
        </is>
      </c>
      <c r="E135" t="inlineStr">
        <is>
          <t>98–107</t>
        </is>
      </c>
      <c r="F135" t="inlineStr">
        <is>
          <t>High</t>
        </is>
      </c>
      <c r="G135" t="inlineStr">
        <is>
          <t>High (explicit)</t>
        </is>
      </c>
      <c r="H135" s="11" t="inlineStr">
        <is>
          <t>Cross-border Transfer, International Processing, Data Storage, Security, Financial Data, AML</t>
        </is>
      </c>
      <c r="I135" s="11" t="inlineStr">
        <is>
          <t>Financial Data, Special Personal Information</t>
        </is>
      </c>
      <c r="J135" t="inlineStr">
        <is>
          <t>Treasurer</t>
        </is>
      </c>
      <c r="K135" s="11" t="inlineStr">
        <is>
          <t>This section specifies that the Treasurer must notify a person in writing of exemption certificate variations or revocations within 10 days. It clarifies that revocation or variation of an exemption certificate that no longer relates to an action does not prevent the action from being a notifiable action, a notifiable national security action, or a reviewable national security action. The time for the action to be classified is determined by the revocation or variation's effective date or the date of the revocation/variation. The section also states that the Treasurer may make disposal orders despite the action not being a core Part 3 action or contrary to national interest/security at the time of taking.</t>
        </is>
      </c>
      <c r="L135" s="11" t="inlineStr">
        <is>
          <t>Revocation of exemption certificates affects classification of actions as notifiable or national security actions, requiring specific timeframes for classification and notification to ensure actions remain compliant with security and national interest thresholds.</t>
        </is>
      </c>
      <c r="M135" s="11" t="inlineStr">
        <is>
          <t>• [Must] Treasurer must notify person in writing of exemption certificate variation or revocation within 10 days
• [Must] Exemption certificate variation or revocation does not prevent action from being a notifiable action
• [Must] Exemption certificate variation or revocation does not prevent action from being a notifiable national security action
• [Must] Exemption certificate variation or revocation does not prevent action from being a reviewable national security action</t>
        </is>
      </c>
      <c r="N135" s="11" t="inlineStr">
        <is>
          <t>• [Must] Time for action classification is the effective date of revocation/variation or the date of revocation/variation
• [May] Treasurer may make disposal orders despite action not being a core Part 3 action
• [May] Treasurer may make disposal orders despite action not being contrary to national interest or national security</t>
        </is>
      </c>
      <c r="O135" s="11" t="inlineStr">
        <is>
          <t>Section 62B(5): The Treasurer must notify the person, in writing, of the variation or revocation before the end of 10 days after the revocation is made.</t>
        </is>
      </c>
      <c r="P135" s="12" t="n">
        <v>8</v>
      </c>
    </row>
    <row r="136">
      <c r="A136" t="inlineStr">
        <is>
          <t>Australia</t>
        </is>
      </c>
      <c r="B136" t="inlineStr">
        <is>
          <t>C2025C00672 (Australia - Row 17)</t>
        </is>
      </c>
      <c r="C136" t="inlineStr">
        <is>
          <t>139 (part 14)</t>
        </is>
      </c>
      <c r="D136" s="11" t="inlineStr">
        <is>
          <t>Prohibitions and disposal orders for foreign actions</t>
        </is>
      </c>
      <c r="E136" t="inlineStr">
        <is>
          <t>107–116</t>
        </is>
      </c>
      <c r="F136" t="inlineStr">
        <is>
          <t>High</t>
        </is>
      </c>
      <c r="G136" t="inlineStr">
        <is>
          <t>High (explicit)</t>
        </is>
      </c>
      <c r="H136" s="11" t="inlineStr">
        <is>
          <t>Cross-border Transfer, International Processing, Data Storage, Security, Financial Data, AML</t>
        </is>
      </c>
      <c r="I136" s="11" t="inlineStr">
        <is>
          <t>Financial Data, Special Personal Information</t>
        </is>
      </c>
      <c r="J136" t="inlineStr">
        <is>
          <t>Treasurer</t>
        </is>
      </c>
      <c r="K136" s="11" t="inlineStr">
        <is>
          <t>This section outlines prohibitions on foreign persons taking certain actions, including acquisitions of agribusinesses, issuing securities, altering constituent documents, and entering significant agreements. It also details disposal orders that require foreign persons to dispose of interests within a specified period, with conditions to restore control or prevent changes in control. The Treasurer may make interim orders to restrict actions for up to 90 days and impose conditions on actions to ensure compliance with national security interests.</t>
        </is>
      </c>
      <c r="L136" s="11" t="inlineStr">
        <is>
          <t>Prohibitions and disposal orders for foreign actions impact cross-border data transfers by restricting foreign entities from taking certain actions, requiring disposal orders to restore control, and imposing time limits on actions to ensure national security compliance.</t>
        </is>
      </c>
      <c r="M136" s="11" t="inlineStr">
        <is>
          <t>• [Must] Treasurer may prohibit foreign persons from acquiring agribusinesses
• [Must] Treasurer may prohibit foreign persons from issuing securities in entities
• [Must] Treasurer may prohibit foreign persons from altering constituent documents of entities
• [Must] Treasurer may prohibit foreign persons from entering significant agreements</t>
        </is>
      </c>
      <c r="N136" s="11" t="inlineStr">
        <is>
          <t>• [Must] Treasurer may require foreign persons to dispose of interests within a specified period
• [May] Treasurer may make interim orders to restrict actions for up to 90 days
• [May] Treasurer may impose conditions to restore control of entities
• [May] Treasurer may require foreign persons to restore their position in entity management</t>
        </is>
      </c>
      <c r="O136" s="11" t="inlineStr">
        <is>
          <t>Section 67: The Treasurer may, by notifiable instrument, make an order under (a) a significant action (other than a significant action covered by subparagraph (1A)(a)(ii)) is proposed to be taken; and (b) taking the significant action would be contrary to the national interest.</t>
        </is>
      </c>
      <c r="P136" s="12" t="n">
        <v>8</v>
      </c>
    </row>
    <row r="137">
      <c r="A137" t="inlineStr">
        <is>
          <t>Australia</t>
        </is>
      </c>
      <c r="B137" t="inlineStr">
        <is>
          <t>C2025C00672 (Australia - Row 17)</t>
        </is>
      </c>
      <c r="C137" t="inlineStr">
        <is>
          <t>139 (part 15)</t>
        </is>
      </c>
      <c r="D137" s="11" t="inlineStr">
        <is>
          <t>No objection notifications for national security actions</t>
        </is>
      </c>
      <c r="E137" t="inlineStr">
        <is>
          <t>116–122</t>
        </is>
      </c>
      <c r="F137" t="inlineStr">
        <is>
          <t>Medium</t>
        </is>
      </c>
      <c r="G137" t="inlineStr">
        <is>
          <t>High (explicit)</t>
        </is>
      </c>
      <c r="H137" s="11" t="inlineStr">
        <is>
          <t>Cross-border Transfer, Data Residency, Security</t>
        </is>
      </c>
      <c r="I137" s="11" t="inlineStr">
        <is>
          <t>Special Personal Information</t>
        </is>
      </c>
      <c r="J137" t="inlineStr">
        <is>
          <t>Treasurer</t>
        </is>
      </c>
      <c r="K137" s="11" t="inlineStr">
        <is>
          <t>This section outlines conditions for no objection notifications regarding actions that may affect national security. The Treasurer must ensure actions are not contrary to national security before granting no objection notifications. Notifications must specify actions, foreign persons, and include time limits for taking actions. The Treasurer may review actions under Division 3 if conditions are met.</t>
        </is>
      </c>
      <c r="L137" s="11" t="inlineStr">
        <is>
          <t>No objection notifications for national security actions require the Treasurer to verify actions are not contrary to national security before approval. This affects cross-border data transfers involving national security risks.</t>
        </is>
      </c>
      <c r="M137" s="11" t="inlineStr">
        <is>
          <t>• [Must] Treasurer must ensure actions are not contrary to national security before granting no objection notifications
• [Must] No objection notification must specify actions and foreign persons</t>
        </is>
      </c>
      <c r="N137" s="11" t="inlineStr">
        <is>
          <t>• [Must] No objection notification must include time limit for taking actions
• [May] Treasurer may review actions under Division 3 if conditions are met</t>
        </is>
      </c>
      <c r="O137" s="11" t="inlineStr">
        <is>
          <t>Section 74(1A) and 75(1A) require the Treasurer to ensure actions are not contrary to national security before granting no objection notifications.</t>
        </is>
      </c>
      <c r="P137" s="12" t="n">
        <v>8</v>
      </c>
    </row>
    <row r="138">
      <c r="A138" t="inlineStr">
        <is>
          <t>Australia</t>
        </is>
      </c>
      <c r="B138" t="inlineStr">
        <is>
          <t>C2025C00672 (Australia - Row 17)</t>
        </is>
      </c>
      <c r="C138" t="inlineStr">
        <is>
          <t>139 (part 17)</t>
        </is>
      </c>
      <c r="D138" s="11" t="inlineStr">
        <is>
          <t>National security review for actions with potential risks</t>
        </is>
      </c>
      <c r="E138" t="inlineStr">
        <is>
          <t>128–134</t>
        </is>
      </c>
      <c r="F138" t="inlineStr">
        <is>
          <t>High</t>
        </is>
      </c>
      <c r="G138" t="inlineStr">
        <is>
          <t>High (explicit)</t>
        </is>
      </c>
      <c r="H138" s="11" t="inlineStr"/>
      <c r="I138" s="11" t="inlineStr">
        <is>
          <t>Financial Data, Customer Data</t>
        </is>
      </c>
      <c r="J138" t="inlineStr">
        <is>
          <t>Treasurer</t>
        </is>
      </c>
      <c r="K138" s="11" t="inlineStr">
        <is>
          <t>This section requires the Treasurer to review actions that may pose national security risks before making orders. The review considers factors like false statements, material changes in business structure, or market conditions. The Treasurer must obtain national intelligence community advice and may notify the person involved, prohibiting the action until review completion unless specific conditions are met.</t>
        </is>
      </c>
      <c r="L138" s="11" t="inlineStr">
        <is>
          <t>This section mandates a national security review for actions that could pose risks, requiring the Treasurer to assess whether an action creates a national security risk before imposing restrictions. It impacts DTIAs by introducing a review process for actions involving foreign entities.</t>
        </is>
      </c>
      <c r="M138" s="11" t="inlineStr">
        <is>
          <t>• [Must] Treasurer must review actions if specific conditions apply, including false statements or material changes
• [Must] Treasurer must obtain national intelligence community advice on national security risks
• [Must] Treasurer must notify the person in writing if reviewing an action, unless it prejudices national security</t>
        </is>
      </c>
      <c r="N138" s="11" t="inlineStr">
        <is>
          <t>• [May] Treasurer may prohibit the action until review completion if no event occurs to end the prohibition
• [May] Treasurer may direct the person to take actions to address national security risks</t>
        </is>
      </c>
      <c r="O138" s="11" t="inlineStr">
        <is>
          <t>The Treasurer may review an action if the Treasurer is satisfied that: (a) any of the following apply: (i) a no objection notification in relation to the action has been given and has not been revoked under section 76A; (ii) the action has been taken and, at the time it was taken, the action or the kind of action was specified in an exemption certificate in force under Division 5 of Part 2 or the regulations; etc.</t>
        </is>
      </c>
      <c r="P138" s="12" t="n">
        <v>8</v>
      </c>
    </row>
    <row r="139">
      <c r="A139" t="inlineStr">
        <is>
          <t>Australia</t>
        </is>
      </c>
      <c r="B139" t="inlineStr">
        <is>
          <t>C2025C00672 (Australia - Row 17)</t>
        </is>
      </c>
      <c r="C139" t="inlineStr">
        <is>
          <t>139 (part 19)</t>
        </is>
      </c>
      <c r="D139" s="11" t="inlineStr">
        <is>
          <t>Treasurer's authority to vary notices imposing conditions</t>
        </is>
      </c>
      <c r="E139" t="inlineStr">
        <is>
          <t>143–151</t>
        </is>
      </c>
      <c r="F139" t="inlineStr">
        <is>
          <t>High</t>
        </is>
      </c>
      <c r="G139" t="inlineStr">
        <is>
          <t>High (explicit)</t>
        </is>
      </c>
      <c r="H139" s="11" t="inlineStr"/>
      <c r="I139" s="11" t="inlineStr">
        <is>
          <t>Special Personal Information</t>
        </is>
      </c>
      <c r="J139" t="inlineStr">
        <is>
          <t>Treasurer</t>
        </is>
      </c>
      <c r="K139" s="11" t="inlineStr">
        <is>
          <t>The Treasurer may vary notices imposing conditions on actions if satisfied the variation is reasonably necessary to eliminate or reduce national security risks. The variation must not disadvantage the person unless the Treasurer is satisfied it is necessary for national security. This applies to specific orders under sections 67, 68, and 69.</t>
        </is>
      </c>
      <c r="L139" s="11" t="inlineStr">
        <is>
          <t>This section allows the Treasurer to adjust conditions on actions to address national security risks without disadvantaging individuals, relevant for assessing cross-border data transfers involving security-sensitive actions.</t>
        </is>
      </c>
      <c r="M139" s="11" t="inlineStr">
        <is>
          <t>• [Must] Treasurer may vary information specified under section 79H if satisfied variation is reasonably necessary for eliminating or reducing national security risk</t>
        </is>
      </c>
      <c r="N139" s="11" t="inlineStr">
        <is>
          <t>• [Must] Variation must not disadvantage the person unless Treasurer is satisfied it is necessary for national security</t>
        </is>
      </c>
      <c r="O139" s="11" t="inlineStr">
        <is>
          <t>If a person was given a notice imposing conditions in relation to an action, the Treasurer may decide to vary the notice imposing conditions by: varying the information specified under section 79H; if the Treasurer is satisfied that the variation is reasonably necessary for purposes relating to eliminating or reducing the national security risk relating to the action.</t>
        </is>
      </c>
      <c r="P139" s="12" t="n">
        <v>8</v>
      </c>
    </row>
    <row r="140">
      <c r="A140" t="inlineStr">
        <is>
          <t>Australia</t>
        </is>
      </c>
      <c r="B140" t="inlineStr">
        <is>
          <t>C2025C00672 (Australia - Row 17)</t>
        </is>
      </c>
      <c r="C140" t="inlineStr">
        <is>
          <t>141</t>
        </is>
      </c>
      <c r="D140" s="11" t="inlineStr">
        <is>
          <t>Foreign persons must notify Treasurer before taking notifiable actions</t>
        </is>
      </c>
      <c r="E140" t="inlineStr">
        <is>
          <t>155–156</t>
        </is>
      </c>
      <c r="F140" t="inlineStr">
        <is>
          <t>High</t>
        </is>
      </c>
      <c r="G140" t="inlineStr">
        <is>
          <t>High (explicit)</t>
        </is>
      </c>
      <c r="H140" s="11" t="inlineStr"/>
      <c r="I140" s="11" t="inlineStr">
        <is>
          <t>Special Personal Information</t>
        </is>
      </c>
      <c r="J140" t="inlineStr">
        <is>
          <t>Treasurer</t>
        </is>
      </c>
      <c r="K140" s="11" t="inlineStr">
        <is>
          <t>Foreign persons must notify the Treasurer before taking notifiable actions or notifiable national security actions. If section 18A applies, they must notify within 30 days of the action. The notice period is typically 40 days from receiving the notice or up to 90 days from registration of an interim order.</t>
        </is>
      </c>
      <c r="L140" s="11" t="inlineStr">
        <is>
          <t>This section establishes notification requirements for foreign persons taking actions that could impact national security, relevant for assessing data transfers involving foreign entities.</t>
        </is>
      </c>
      <c r="M140" s="11" t="inlineStr">
        <is>
          <t>• [Must] Foreign person must give notice to Treasurer before taking notifiable action or notifiable national security action</t>
        </is>
      </c>
      <c r="N140" s="11" t="inlineStr">
        <is>
          <t>• [Must] If section 18A applies, foreign person must notify within 30 days after action</t>
        </is>
      </c>
      <c r="O140" s="11" t="inlineStr">
        <is>
          <t>A foreign person must give the Treasurer a notice before taking a notifiable action or notifiable national security action or, if section 18A (increasing percentage of interests without acquiring additional interests in securities) applies, before the end of 30 days after the action is taken.</t>
        </is>
      </c>
      <c r="P140" s="12" t="n">
        <v>8</v>
      </c>
    </row>
    <row r="141">
      <c r="A141" t="inlineStr">
        <is>
          <t>Australia</t>
        </is>
      </c>
      <c r="B141" t="inlineStr">
        <is>
          <t>C2025C00672 (Australia - Row 17)</t>
        </is>
      </c>
      <c r="C141" t="inlineStr">
        <is>
          <t>142</t>
        </is>
      </c>
      <c r="D141" s="11" t="inlineStr">
        <is>
          <t>Foreign persons cannot take actions before notice period ends</t>
        </is>
      </c>
      <c r="E141" t="inlineStr">
        <is>
          <t>156–157</t>
        </is>
      </c>
      <c r="F141" t="inlineStr">
        <is>
          <t>High</t>
        </is>
      </c>
      <c r="G141" t="inlineStr">
        <is>
          <t>High (explicit)</t>
        </is>
      </c>
      <c r="H141" s="11" t="inlineStr"/>
      <c r="I141" s="11" t="inlineStr">
        <is>
          <t>Special Personal Information</t>
        </is>
      </c>
      <c r="J141" t="inlineStr">
        <is>
          <t>Treasurer</t>
        </is>
      </c>
      <c r="K141" s="11" t="inlineStr">
        <is>
          <t>Foreign persons cannot take actions during a specified period after giving notice to the Treasurer unless they receive a no objection notification or section 18A applies. The period is 40 days from receiving the notice or up to 90 days from registration of an interim order. The person may be prevented from taking the action by an order under Part 3.</t>
        </is>
      </c>
      <c r="L141" s="11" t="inlineStr">
        <is>
          <t>This section restricts foreign persons from taking actions until the notice period ends, relevant for assessing timelines and compliance in cross-border data transfers.</t>
        </is>
      </c>
      <c r="M141" s="11" t="inlineStr">
        <is>
          <t>• [Must Not] Foreign person must not take action before earliest of: 10 days after decision period ends, end of interim order period, or no objection notification</t>
        </is>
      </c>
      <c r="N141" s="11" t="inlineStr"/>
      <c r="O141" s="11" t="inlineStr">
        <is>
          <t>A foreign person must not take the action before the earliest of the following: the day that is 10 days after the end of the decision period mentioned in section 77; if an interim order is made—the end of the period specified in the order; the day a no objection notification is given to the person.</t>
        </is>
      </c>
      <c r="P141" s="12" t="n">
        <v>8</v>
      </c>
    </row>
    <row r="142">
      <c r="A142" t="inlineStr">
        <is>
          <t>Australia</t>
        </is>
      </c>
      <c r="B142" t="inlineStr">
        <is>
          <t>C2025C00672 (Australia - Row 17)</t>
        </is>
      </c>
      <c r="C142" t="inlineStr">
        <is>
          <t>164</t>
        </is>
      </c>
      <c r="D142" s="11" t="inlineStr">
        <is>
          <t>Failure to notify after no objection notification</t>
        </is>
      </c>
      <c r="E142" t="inlineStr">
        <is>
          <t>178–179</t>
        </is>
      </c>
      <c r="F142" t="inlineStr">
        <is>
          <t>High</t>
        </is>
      </c>
      <c r="G142" t="inlineStr">
        <is>
          <t>High (explicit)</t>
        </is>
      </c>
      <c r="H142" s="11" t="inlineStr"/>
      <c r="I142" s="11" t="inlineStr">
        <is>
          <t>Special Personal Information</t>
        </is>
      </c>
      <c r="J142" t="inlineStr">
        <is>
          <t>Treasurer</t>
        </is>
      </c>
      <c r="K142" s="11" t="inlineStr">
        <is>
          <t>A person who takes a core Part 3 action specified in a no objection notification must notify the Treasurer within 30 days of the latest of: the day they took the action, the day the no objection notification was given, or (for acquisitions) the acquisition date. Failure to notify incurs a civil penalty.</t>
        </is>
      </c>
      <c r="L142" s="11" t="inlineStr">
        <is>
          <t>This section requires timely notification after actions specified in no objection notifications, relevant for assessing compliance with data transfer conditions.</t>
        </is>
      </c>
      <c r="M142" s="11" t="inlineStr">
        <is>
          <t>• [Must] Person must notify Treasurer within 30 days of latest of: action date, no objection notification date, or acquisition date (for securities, assets, trusts, or land)</t>
        </is>
      </c>
      <c r="N142" s="11" t="inlineStr"/>
      <c r="O142" s="11" t="inlineStr">
        <is>
          <t>A person must give the Treasurer a notice in accordance with subsection (3) no later than 30 days after the latest of the following days: (a) the day on which the person took the core Part 3 action; (b) the day on which the no objection notice was given; (c) if the core Part  3 action is the acquisition of an interest in a security, asset, trust or Australian land, and section 15 applies in relation to the acquisition—the day on which the person acquired the interest in a security, asset, trust or Australian land (disregarding section 15).</t>
        </is>
      </c>
      <c r="P142" s="12" t="n">
        <v>8</v>
      </c>
    </row>
    <row r="143">
      <c r="A143" t="inlineStr">
        <is>
          <t>Australia</t>
        </is>
      </c>
      <c r="B143" t="inlineStr">
        <is>
          <t>C2025C00672 (Australia - Row 17)</t>
        </is>
      </c>
      <c r="C143" t="inlineStr">
        <is>
          <t>165</t>
        </is>
      </c>
      <c r="D143" s="11" t="inlineStr">
        <is>
          <t>Failure to notify after exemption certificate</t>
        </is>
      </c>
      <c r="E143" t="inlineStr">
        <is>
          <t>179–180</t>
        </is>
      </c>
      <c r="F143" t="inlineStr">
        <is>
          <t>High</t>
        </is>
      </c>
      <c r="G143" t="inlineStr">
        <is>
          <t>High (explicit)</t>
        </is>
      </c>
      <c r="H143" s="11" t="inlineStr"/>
      <c r="I143" s="11" t="inlineStr">
        <is>
          <t>Special Personal Information</t>
        </is>
      </c>
      <c r="J143" t="inlineStr">
        <is>
          <t>Treasurer</t>
        </is>
      </c>
      <c r="K143" s="11" t="inlineStr">
        <is>
          <t>A person who takes an exempt core Part 3 action specified in an exemption certificate must notify the Treasurer within 30 days of the latest of: the day they took the action, or (for acquisitions) the acquisition date. Failure to notify incurs a civil penalty.</t>
        </is>
      </c>
      <c r="L143" s="11" t="inlineStr">
        <is>
          <t>This section requires timely notification after actions specified in exemption certificates, relevant for assessing compliance with data transfer conditions.</t>
        </is>
      </c>
      <c r="M143" s="11" t="inlineStr">
        <is>
          <t>• [Must] Person must notify Treasurer within 30 days of latest of: action date, no objection notification date, or acquisition date (for securities, assets, trusts, or land)</t>
        </is>
      </c>
      <c r="N143" s="11" t="inlineStr"/>
      <c r="O143" s="11" t="inlineStr">
        <is>
          <t>A person must give the Treasurer a notice in accordance with subsection (3) no later than 30 days after the latest of the following days: (a) the day on which the person took the exempt core Part 3 action; (b) if the exempt core Part 3 action is the acquisition of an interest in a security, asset, trust or Australian land, and section 15 applies in relation to the acquisition—the day on which the person acquired the interest in a security, asset, trust or Australian land (disregarding section 15).</t>
        </is>
      </c>
      <c r="P143" s="12" t="n">
        <v>8</v>
      </c>
    </row>
    <row r="144">
      <c r="A144" t="inlineStr">
        <is>
          <t>Australia</t>
        </is>
      </c>
      <c r="B144" t="inlineStr">
        <is>
          <t>C2025C00672 (Australia - Row 17)</t>
        </is>
      </c>
      <c r="C144" t="inlineStr">
        <is>
          <t>175</t>
        </is>
      </c>
      <c r="D144" s="11" t="inlineStr">
        <is>
          <t>Infringement notices for civil penalties</t>
        </is>
      </c>
      <c r="E144" t="inlineStr">
        <is>
          <t>189–190</t>
        </is>
      </c>
      <c r="F144" t="inlineStr">
        <is>
          <t>High</t>
        </is>
      </c>
      <c r="G144" t="inlineStr">
        <is>
          <t>High (explicit)</t>
        </is>
      </c>
      <c r="H144" s="11" t="inlineStr"/>
      <c r="I144" s="11" t="inlineStr">
        <is>
          <t>Special Personal Information</t>
        </is>
      </c>
      <c r="J144" t="inlineStr">
        <is>
          <t>Treasurer</t>
        </is>
      </c>
      <c r="K144" s="11" t="inlineStr">
        <is>
          <t>Provisions related to civil penalties are subject to infringement notices under the Regulatory Powers Act. This includes civil penalties for failing to notify the Treasurer, false or misleading information, and record-keeping requirements. These infringement notices apply to specific sections and subsections of the Act.</t>
        </is>
      </c>
      <c r="L144" s="11" t="inlineStr">
        <is>
          <t>This section specifies that civil penalty provisions are subject to infringement notices, relevant for assessing enforcement mechanisms in data transfer compliance.</t>
        </is>
      </c>
      <c r="M144" s="11" t="inlineStr">
        <is>
          <t>• [Must] Provisions of Division 3 (civil penalties) are subject to infringement notices</t>
        </is>
      </c>
      <c r="N144" s="11" t="inlineStr">
        <is>
          <t>• [Must] Subsection 115D(1) (vacancy fee liability) is subject to infringement notices</t>
        </is>
      </c>
      <c r="O144" s="11" t="inlineStr">
        <is>
          <t>The following provisions are subject to an infringement notice under Part 5 of the Regulatory Powers Act: (a) the provisions of Division 3 (civil penalties); (b) subsection 115D(1) (vacancy fee liability—vacancy fee return); (ba) subsection 115DA(1) (vacancy fee liability—false or misleading vacancy fee return); (c) subsection 115G(1) (vacancy fee liability—requirement to keep records); (d) section 130ZV (civil penalty for failing to give notice to Registrar).</t>
        </is>
      </c>
      <c r="P144" s="12" t="n">
        <v>8</v>
      </c>
    </row>
    <row r="145">
      <c r="A145" t="inlineStr">
        <is>
          <t>Australia</t>
        </is>
      </c>
      <c r="B145" t="inlineStr">
        <is>
          <t>C2025C00672 (Australia - Row 17)</t>
        </is>
      </c>
      <c r="C145" t="inlineStr">
        <is>
          <t>178</t>
        </is>
      </c>
      <c r="D145" s="11" t="inlineStr">
        <is>
          <t>Infringement notice penalties for regulatory violations</t>
        </is>
      </c>
      <c r="E145" t="inlineStr">
        <is>
          <t>192–193</t>
        </is>
      </c>
      <c r="F145" t="inlineStr">
        <is>
          <t>High</t>
        </is>
      </c>
      <c r="G145" t="inlineStr">
        <is>
          <t>High (explicit)</t>
        </is>
      </c>
      <c r="H145" s="11" t="inlineStr">
        <is>
          <t>Financial Data</t>
        </is>
      </c>
      <c r="I145" s="11" t="inlineStr">
        <is>
          <t>Financial Data</t>
        </is>
      </c>
      <c r="J145" t="inlineStr">
        <is>
          <t>Treasurer</t>
        </is>
      </c>
      <c r="K145" s="11" t="inlineStr">
        <is>
          <t>This section specifies penalty units for infringement notices under the Regulatory Powers Act. Tier 1 notices impose 12 units on individuals and 60 on corporations. Tier 2 notices impose 60 units on individuals and 300 on corporations. Tier 3 notices impose 300 units on individuals and 1,500 on corporations. The penalties apply to contraventions of civil penalty provisions listed in subsection (1).</t>
        </is>
      </c>
      <c r="L145" s="11" t="inlineStr">
        <is>
          <t>Specifies penalty structures for regulatory violations that could impact cross-border data transfer compliance if penalties apply to data handling activities.</t>
        </is>
      </c>
      <c r="M145" s="11" t="inlineStr">
        <is>
          <t>• [Must] Tier 1 infringement notices impose 12 penalty units on individuals and 60 on corporations
• [Must] Tier 2 infringement notices impose 60 penalty units on individuals and 300 on corporations</t>
        </is>
      </c>
      <c r="N145" s="11" t="inlineStr">
        <is>
          <t>• [Must] Tier 3 infringement notices impose 300 penalty units on individuals and 1,500 on corporations</t>
        </is>
      </c>
      <c r="O145" s="11" t="inlineStr">
        <is>
          <t>The amount to be stated in an infringement notice for the purposes of paragraph 104(1)(f) of the Regulatory Powers Act for the alleged contravention of a civil penalty provision mentioned in subsection (1) of this section is: (a) for a tier 1 infringement notice (see subsection 101(1)): (i) given to an individual—12 penalty units; and (ii) given to a corporation—60 penalty units; and (b) for a tier 2 infringement notice (see subsection 101(2)): (i) given to an individual—60 penalty units; and (ii) given to a corporation—300 penalty units; and (c) for a tier 3 infringement notice (see subsection 101(4)): (i) given to an individual—300 penalty units; and (ii) given to a corporation—1,500 penalty units.</t>
        </is>
      </c>
      <c r="P145" s="12" t="n">
        <v>8</v>
      </c>
    </row>
    <row r="146">
      <c r="A146" t="inlineStr">
        <is>
          <t>Australia</t>
        </is>
      </c>
      <c r="B146" t="inlineStr">
        <is>
          <t>C2025C00672 (Australia - Row 17)</t>
        </is>
      </c>
      <c r="C146" t="inlineStr">
        <is>
          <t>189</t>
        </is>
      </c>
      <c r="D146" s="11" t="inlineStr">
        <is>
          <t>Issuing officer consent and nomination requirements</t>
        </is>
      </c>
      <c r="E146" t="inlineStr">
        <is>
          <t>203–204</t>
        </is>
      </c>
      <c r="F146" t="inlineStr">
        <is>
          <t>Low</t>
        </is>
      </c>
      <c r="G146" t="inlineStr">
        <is>
          <t>High (explicit)</t>
        </is>
      </c>
      <c r="H146" s="11" t="inlineStr"/>
      <c r="I146" s="11" t="inlineStr"/>
      <c r="J146" t="inlineStr">
        <is>
          <t>Minister</t>
        </is>
      </c>
      <c r="K146" s="11" t="inlineStr">
        <is>
          <t>This section outlines conditions for a person to be an issuing officer under the Regulatory Powers Act. An issuing officer must be nominated in writing by the Minister and have consented to the role with active consent. The Secretary serves as the relevant chief executive for these provisions. Relevant courts include Division 2 of specified courts.</t>
        </is>
      </c>
      <c r="L146" s="11" t="inlineStr">
        <is>
          <t>Defines who can act as an issuing officer for data-related actions, relevant for cross-border data transfers involving regulatory authorities.</t>
        </is>
      </c>
      <c r="M146" s="11" t="inlineStr">
        <is>
          <t>• [Must] The Minister must nominate the person in writing to be an issuing officer</t>
        </is>
      </c>
      <c r="N146" s="11" t="inlineStr">
        <is>
          <t>• [Must] The person must consent to be an issuing officer with active consent</t>
        </is>
      </c>
      <c r="O146" s="11" t="inlineStr">
        <is>
          <t>(i) the Minister has, in writing, nominated the person to be such an issuing officer; and (ii) the person has consented to be such an issuing officer and the consent is in force.</t>
        </is>
      </c>
      <c r="P146" s="12" t="n">
        <v>8</v>
      </c>
    </row>
    <row r="147">
      <c r="A147" t="inlineStr">
        <is>
          <t>Australia</t>
        </is>
      </c>
      <c r="B147" t="inlineStr">
        <is>
          <t>C2025C00672 (Australia - Row 17)</t>
        </is>
      </c>
      <c r="C147" t="inlineStr">
        <is>
          <t>191</t>
        </is>
      </c>
      <c r="D147" s="11" t="inlineStr">
        <is>
          <t>Authorized officer and issuing officer definitions</t>
        </is>
      </c>
      <c r="E147" t="inlineStr">
        <is>
          <t>205–206</t>
        </is>
      </c>
      <c r="F147" t="inlineStr">
        <is>
          <t>Low</t>
        </is>
      </c>
      <c r="G147" t="inlineStr">
        <is>
          <t>High (explicit)</t>
        </is>
      </c>
      <c r="H147" s="11" t="inlineStr"/>
      <c r="I147" s="11" t="inlineStr"/>
      <c r="J147" t="inlineStr">
        <is>
          <t>Secretary</t>
        </is>
      </c>
      <c r="K147" s="11" t="inlineStr">
        <is>
          <t>This section defines authorized officers and issuing officers for evidential material under the Regulatory Powers Act. An authorized officer must be a magistrate, judge of a state or territory court, or judge of the Federal Circuit and Family Court of Australia (Division 2). The Secretary serves as the relevant chief executive for these provisions. Relevant courts include Division 2 of specified courts.</t>
        </is>
      </c>
      <c r="L147" s="11" t="inlineStr">
        <is>
          <t>Specifies who can act as authorized officers for evidential material, relevant for cross-border data transfers involving regulatory authorities.</t>
        </is>
      </c>
      <c r="M147" s="11" t="inlineStr">
        <is>
          <t>• [Must] An authorized officer must be a magistrate
• [Must] An authorized officer must be a judge of a state or territory court</t>
        </is>
      </c>
      <c r="N147" s="11" t="inlineStr">
        <is>
          <t>• [Must] An authorized officer must be a judge of the Federal Circuit and Family Court of Australia (Division 2) or Federal Court of Australia</t>
        </is>
      </c>
      <c r="O147" s="11" t="inlineStr">
        <is>
          <t>a person is an issuing officer in relation to evidential material that relates to the provisions mentioned in subsection (1) if: (i) a magistrate; or (ii) a Judge of a court of a State or Territory; or (iii) a Judge of the Federal Circuit and Family Court of Australia (Division 2) or of the Federal Court of Australia</t>
        </is>
      </c>
      <c r="P147" s="12" t="n">
        <v>8</v>
      </c>
    </row>
    <row r="148">
      <c r="A148" t="inlineStr">
        <is>
          <t>Australia</t>
        </is>
      </c>
      <c r="B148" t="inlineStr">
        <is>
          <t>C2025C00672 (Australia - Row 17)</t>
        </is>
      </c>
      <c r="C148" t="inlineStr">
        <is>
          <t>207</t>
        </is>
      </c>
      <c r="D148" s="11" t="inlineStr">
        <is>
          <t>Fees for actions under foreign acquisitions regulations</t>
        </is>
      </c>
      <c r="E148" t="inlineStr">
        <is>
          <t>221–223</t>
        </is>
      </c>
      <c r="F148" t="inlineStr">
        <is>
          <t>High</t>
        </is>
      </c>
      <c r="G148" t="inlineStr">
        <is>
          <t>High (explicit)</t>
        </is>
      </c>
      <c r="H148" s="11" t="inlineStr">
        <is>
          <t>Financial Data</t>
        </is>
      </c>
      <c r="I148" s="11" t="inlineStr">
        <is>
          <t>Financial Data</t>
        </is>
      </c>
      <c r="J148" t="inlineStr">
        <is>
          <t>Treasurer</t>
        </is>
      </c>
      <c r="K148" s="11" t="inlineStr">
        <is>
          <t>This section outlines fees payable for actions related to foreign acquisitions and takeovers. Fees apply for applying for exemption certificates, giving notices of notifiable actions, significant actions, reviewable national security actions, and variations of no objection notifications. The Treasurer is not required to act before fees are paid, and fees may be waived or remitted.</t>
        </is>
      </c>
      <c r="L148" s="11" t="inlineStr">
        <is>
          <t>Specifies fees for actions that could impact cross-border data transfers involving foreign entities and regulatory compliance.</t>
        </is>
      </c>
      <c r="M148" s="11" t="inlineStr">
        <is>
          <t>• [Must] Fees are payable for applying for an exemption certificate
• [Must] Fees are payable for giving a notice of a notifiable action
• [Must] Fees are payable for giving a notice relating to a significant action</t>
        </is>
      </c>
      <c r="N148" s="11" t="inlineStr">
        <is>
          <t>• [Must] Fees are payable for giving a notice relating to a reviewable national security action
• [Must] Fees are payable for being given a notice under subsection 66A(4)
• [Must] Fees are payable for applying for a variation of a no objection notification</t>
        </is>
      </c>
      <c r="O148" s="11" t="inlineStr">
        <is>
          <t>Fees are payable for: (a) applying for an exemption certificate or a variation of an exemption certificate; and (b) giving a notice of a notifiable action or notifiable national security action; and (c) giving a notice relating to a significant action that is not a notifiable action or notifiable national security action; and (d) giving a notice relating to a reviewable national security action; and (e) being given a notice under subsection 66A(4); and (f) applying for a variation of a no objection notification or notice imposing conditions.</t>
        </is>
      </c>
      <c r="P148" s="12" t="n">
        <v>8</v>
      </c>
    </row>
    <row r="149">
      <c r="A149" t="inlineStr">
        <is>
          <t>Australia</t>
        </is>
      </c>
      <c r="B149" t="inlineStr">
        <is>
          <t>C2025C00672 (Australia - Row 17)</t>
        </is>
      </c>
      <c r="C149" t="inlineStr">
        <is>
          <t>211</t>
        </is>
      </c>
      <c r="D149" s="11" t="inlineStr">
        <is>
          <t>Vacancy fees for foreign residential land acquisitions</t>
        </is>
      </c>
      <c r="E149" t="inlineStr">
        <is>
          <t>225–226</t>
        </is>
      </c>
      <c r="F149" t="inlineStr">
        <is>
          <t>High</t>
        </is>
      </c>
      <c r="G149" t="inlineStr">
        <is>
          <t>High (explicit)</t>
        </is>
      </c>
      <c r="H149" s="11" t="inlineStr">
        <is>
          <t>Financial Data</t>
        </is>
      </c>
      <c r="I149" s="11" t="inlineStr">
        <is>
          <t>Financial Data</t>
        </is>
      </c>
      <c r="J149" t="inlineStr">
        <is>
          <t>Commissioner of Taxation</t>
        </is>
      </c>
      <c r="K149" s="11" t="inlineStr">
        <is>
          <t>This section specifies vacancy fees payable by foreign persons for residential land where dwellings are occupied for less than 183 days in a year. The fee applies if the dwelling is genuinely occupied by the foreign person or their relative, under a lease/licence with 30+ days term, or available for occupation under such a lease/licence. The fee amount is set by regulations and may be waived or remitted. Foreign persons must submit vacancy fee returns to the Commissioner of Taxation annually and keep records for 5 years.</t>
        </is>
      </c>
      <c r="L149" s="11" t="inlineStr">
        <is>
          <t>Defines vacancy fees for foreign residential land acquisitions that could impact cross-border data transfers involving property data.</t>
        </is>
      </c>
      <c r="M149" s="11" t="inlineStr">
        <is>
          <t>• [Must] A vacancy fee is payable by a foreign person for any dwelling on residential land if occupied for less than 183 days in a year
• [Must] The dwelling must be genuinely occupied by the foreign person or their relative as a residence
• [Must] The dwelling must be genuinely occupied under a lease or licence with 30+ days term</t>
        </is>
      </c>
      <c r="N149" s="11" t="inlineStr">
        <is>
          <t>• [Must] The dwelling must be genuinely available for occupation under a lease or licence with 30+ days term
• [Must] The foreign person must submit a vacancy fee return to the Commissioner of Taxation after each vacancy year
• [Must] The foreign person must keep all relevant records for 5 years after disposal of residential land interest</t>
        </is>
      </c>
      <c r="O149" s="11" t="inlineStr">
        <is>
          <t>A vacancy fee is payable by a foreign person for any dwelling on residential land, for any year (called a vacancy year), if the dwelling is residentially occupied for less than 183 days in the year.</t>
        </is>
      </c>
      <c r="P149" s="12" t="n">
        <v>8</v>
      </c>
    </row>
    <row r="150">
      <c r="A150" t="inlineStr">
        <is>
          <t>Australia</t>
        </is>
      </c>
      <c r="B150" t="inlineStr">
        <is>
          <t>C2025C00672 (Australia - Row 17)</t>
        </is>
      </c>
      <c r="C150" t="inlineStr">
        <is>
          <t>212</t>
        </is>
      </c>
      <c r="D150" s="11" t="inlineStr">
        <is>
          <t>Recovery of unpaid vacancy fees</t>
        </is>
      </c>
      <c r="E150" t="inlineStr">
        <is>
          <t>226–227</t>
        </is>
      </c>
      <c r="F150" t="inlineStr">
        <is>
          <t>High</t>
        </is>
      </c>
      <c r="G150" t="inlineStr">
        <is>
          <t>High (explicit)</t>
        </is>
      </c>
      <c r="H150" s="11" t="inlineStr">
        <is>
          <t>Financial Data</t>
        </is>
      </c>
      <c r="I150" s="11" t="inlineStr">
        <is>
          <t>Financial Data</t>
        </is>
      </c>
      <c r="J150" t="inlineStr"/>
      <c r="K150" s="11" t="inlineStr">
        <is>
          <t>This section states that unpaid vacancy fees for a dwelling may be recovered as a debt or by creating a charge over Australian land held by the foreign person. This charge also secures any unpaid penalties for contraventions of civil penalty provisions related to annual returns and record-keeping.</t>
        </is>
      </c>
      <c r="L150" s="11" t="inlineStr">
        <is>
          <t>Specifies mechanisms for recovering unpaid vacancy fees, relevant for cross-border data transfers involving property data.</t>
        </is>
      </c>
      <c r="M150" s="11" t="inlineStr">
        <is>
          <t>• [Must] Unpaid vacancy fees may be recovered as a debt
• [Must] Unpaid vacancy fees may be recovered by creating a charge over Australian land</t>
        </is>
      </c>
      <c r="N150" s="11" t="inlineStr">
        <is>
          <t>• [Must] The charge secures unpaid penalties for contraventions of civil penalty provisions</t>
        </is>
      </c>
      <c r="O150" s="11" t="inlineStr">
        <is>
          <t>Unpaid vacancy fees for a dwelling may be recovered as a debt, or by the creation of a charge over Australian land in which an interest is held by the foreign person. The charge also secures any unpaid penalties for contraventions of civil penalty provisions under this Part relating to giving annual returns and keeping records.</t>
        </is>
      </c>
      <c r="P150" s="12" t="n">
        <v>8</v>
      </c>
    </row>
    <row r="151">
      <c r="A151" t="inlineStr">
        <is>
          <t>Australia</t>
        </is>
      </c>
      <c r="B151" t="inlineStr">
        <is>
          <t>C2025C00672 (Australia - Row 17)</t>
        </is>
      </c>
      <c r="C151" t="inlineStr">
        <is>
          <t>217</t>
        </is>
      </c>
      <c r="D151" s="11" t="inlineStr">
        <is>
          <t>Vacancy fee payment due date and record retention</t>
        </is>
      </c>
      <c r="E151" t="inlineStr">
        <is>
          <t>231–232</t>
        </is>
      </c>
      <c r="F151" t="inlineStr">
        <is>
          <t>Low</t>
        </is>
      </c>
      <c r="G151" t="inlineStr">
        <is>
          <t>High (explicit)</t>
        </is>
      </c>
      <c r="H151" s="11" t="inlineStr">
        <is>
          <t>Record Keeping, Retention</t>
        </is>
      </c>
      <c r="I151" s="11" t="inlineStr">
        <is>
          <t>Financial Data</t>
        </is>
      </c>
      <c r="J151" t="inlineStr">
        <is>
          <t>Commissioner of Taxation</t>
        </is>
      </c>
      <c r="K151" s="11" t="inlineStr">
        <is>
          <t>A person must pay a vacancy fee on a date specified in a notice at least 21 days after notice is given. The person must keep records of all transactions relevant to vacancy fee liability for each dwelling for at least 5 years after the end of each vacancy year. Records must be in English or readily convertible to English. The requirement does not apply if the Commissioner notifies the person they don't need to retain records or if the person is a finally dissolved company.</t>
        </is>
      </c>
      <c r="L151" s="11" t="inlineStr"/>
      <c r="M151" s="11" t="inlineStr">
        <is>
          <t>• [Must] Vacancy fee payment due on a date specified in notice at least 21 days after notice is given
• [Must] Keep records of transactions relevant to vacancy fee liability for each dwelling for each vacancy year
• [Must] Retain records for at least 5 years after end of each vacancy year</t>
        </is>
      </c>
      <c r="N151" s="11" t="inlineStr">
        <is>
          <t>• [Must] Records must be in English or readily convertible to English
• [Must Not] Do not retain records if Commissioner notifies person they don't need to retain records
• [Must Not] Do not retain records if person is a finally dissolved company</t>
        </is>
      </c>
      <c r="O151" s="11" t="inlineStr">
        <is>
          <t>A vacancy fee for a dwelling becomes due for payment on a day specified in the notice under section 115E, which must be at least 21 days after the notice is given to the person.</t>
        </is>
      </c>
      <c r="P151" s="12" t="n">
        <v>8</v>
      </c>
    </row>
    <row r="152">
      <c r="A152" t="inlineStr">
        <is>
          <t>Australia</t>
        </is>
      </c>
      <c r="B152" t="inlineStr">
        <is>
          <t>C2025C00672 (Australia - Row 17)</t>
        </is>
      </c>
      <c r="C152" t="inlineStr">
        <is>
          <t>219</t>
        </is>
      </c>
      <c r="D152" s="11" t="inlineStr">
        <is>
          <t>Vacancy fee penalties and recovery mechanisms</t>
        </is>
      </c>
      <c r="E152" t="inlineStr">
        <is>
          <t>233–234</t>
        </is>
      </c>
      <c r="F152" t="inlineStr">
        <is>
          <t>High</t>
        </is>
      </c>
      <c r="G152" t="inlineStr">
        <is>
          <t>Medium (minor interpretation)</t>
        </is>
      </c>
      <c r="H152" s="11" t="inlineStr">
        <is>
          <t>Financial Data</t>
        </is>
      </c>
      <c r="I152" s="11" t="inlineStr">
        <is>
          <t>Financial Data</t>
        </is>
      </c>
      <c r="J152" t="inlineStr">
        <is>
          <t>Treasurer</t>
        </is>
      </c>
      <c r="K152" s="11" t="inlineStr">
        <is>
          <t>This section establishes a charge for unpaid vacancy penalties when a person fails to comply with vacancy fee returns, false returns, or record-keeping requirements. The charge is created when a declaration under section 115L comes into force. The section does not apply if the declaration under section 115L is not in effect at the time the charge is created.</t>
        </is>
      </c>
      <c r="L152" s="11" t="inlineStr"/>
      <c r="M152" s="11" t="inlineStr">
        <is>
          <t>• [Must] Charge for unpaid vacancy penalties when person fails to comply with vacancy fee returns
• [Must] Charge for unpaid vacancy penalties when person fails to comply with false or misleading returns
• [Must] Charge for unpaid vacancy penalties when person fails to keep records</t>
        </is>
      </c>
      <c r="N152" s="11" t="inlineStr">
        <is>
          <t>• [Must] Charge created at time declaration under section 115L comes into force
• [Must Not] Section does not apply if declaration under section 115L is not in effect</t>
        </is>
      </c>
      <c r="O152" s="11" t="inlineStr">
        <is>
          <t>any amounts of pecuniary penalties (unpaid vacancy penalties) payable for contravention by the person of the following provisions, if the amounts have not been paid</t>
        </is>
      </c>
      <c r="P152" s="12" t="n">
        <v>8</v>
      </c>
    </row>
    <row r="153">
      <c r="A153" t="inlineStr">
        <is>
          <t>Australia</t>
        </is>
      </c>
      <c r="B153" t="inlineStr">
        <is>
          <t>C2025C00672 (Australia - Row 17)</t>
        </is>
      </c>
      <c r="C153" t="inlineStr">
        <is>
          <t>226</t>
        </is>
      </c>
      <c r="D153" s="11" t="inlineStr">
        <is>
          <t>Record-keeping for administrative actions</t>
        </is>
      </c>
      <c r="E153" t="inlineStr">
        <is>
          <t>240–241</t>
        </is>
      </c>
      <c r="F153" t="inlineStr">
        <is>
          <t>Low</t>
        </is>
      </c>
      <c r="G153" t="inlineStr">
        <is>
          <t>High (explicit)</t>
        </is>
      </c>
      <c r="H153" s="11" t="inlineStr">
        <is>
          <t>Record Keeping, Retention</t>
        </is>
      </c>
      <c r="I153" s="11" t="inlineStr">
        <is>
          <t>Financial Data</t>
        </is>
      </c>
      <c r="J153" t="inlineStr"/>
      <c r="K153" s="11" t="inlineStr">
        <is>
          <t>A person must keep records of actions specified in exemption certificates, compliance with conditions in no objection notifications, certain disposals of residential land interests, and register notices for 5 years (except for conditions requiring 2 years retention). Failure to maintain these records is an offence. Protected information obtained under this Act may only be disclosed for authorized purposes.</t>
        </is>
      </c>
      <c r="L153" s="11" t="inlineStr"/>
      <c r="M153" s="11" t="inlineStr">
        <is>
          <t>• [Must] Make and keep records of actions specified in exemption certificates
• [Must] Make and keep records of compliance with conditions in no objection notifications
• [Must] Make and keep records of certain disposals of residential land interests</t>
        </is>
      </c>
      <c r="N153" s="11" t="inlineStr">
        <is>
          <t>• [Must] Make and keep records of register notices
• [Must] Keep records for 5 years (except conditions requiring 2 years retention)
• [Must] Protected information may only be disclosed for authorized purposes</t>
        </is>
      </c>
      <c r="O153" s="11" t="inlineStr">
        <is>
          <t>A person must make and keep records relating to: (a) actions specified in exemption certificates; and (b) compliance with conditions in no objection notifications and exemption certificates; and (c) certain disposals of interests in residential land; and (d) register notices.</t>
        </is>
      </c>
      <c r="P153" s="12" t="n">
        <v>8</v>
      </c>
    </row>
    <row r="154">
      <c r="A154" t="inlineStr">
        <is>
          <t>Australia</t>
        </is>
      </c>
      <c r="B154" t="inlineStr">
        <is>
          <t>C2025C00672 (Australia - Row 17)</t>
        </is>
      </c>
      <c r="C154" t="inlineStr">
        <is>
          <t>227</t>
        </is>
      </c>
      <c r="D154" s="11" t="inlineStr">
        <is>
          <t>Records for national security actions</t>
        </is>
      </c>
      <c r="E154" t="inlineStr">
        <is>
          <t>241–242</t>
        </is>
      </c>
      <c r="F154" t="inlineStr">
        <is>
          <t>Low</t>
        </is>
      </c>
      <c r="G154" t="inlineStr">
        <is>
          <t>High (explicit)</t>
        </is>
      </c>
      <c r="H154" s="11" t="inlineStr">
        <is>
          <t>Record Keeping, Retention</t>
        </is>
      </c>
      <c r="I154" s="11" t="inlineStr">
        <is>
          <t>Financial Data</t>
        </is>
      </c>
      <c r="J154" t="inlineStr"/>
      <c r="K154" s="11" t="inlineStr">
        <is>
          <t>A person must maintain records of significant actions, notifiable actions, reviewable national security actions, exemption certificates, compliance with conditions, disposals of residential land interests, and register notices. Records must be in English or readily convertible to English and enable the relevant actions to be ascertained. The records must be retained for specific periods depending on the type of action.</t>
        </is>
      </c>
      <c r="L154" s="11" t="inlineStr"/>
      <c r="M154" s="11" t="inlineStr">
        <is>
          <t>• [Must] Make and keep records of significant actions, notifiable actions, notifiable national security actions
• [Must] Make and keep records of reviewable national security actions
• [Must] Make and keep records of actions specified in exemption certificates
• [Must] Make and keep records of compliance with conditions in no objection notifications
• [Must] Make and keep records of compliance with conditions in notices imposing conditions</t>
        </is>
      </c>
      <c r="N154" s="11" t="inlineStr">
        <is>
          <t>• [Must] Make and keep records of disposals of residential land interests meeting specific criteria
• [Must] Make and keep records of register notices
• [Must] Records must be in English or readily convertible to English
• [Must] Records must enable relevant actions to be readily ascertained</t>
        </is>
      </c>
      <c r="O154" s="11" t="inlineStr">
        <is>
          <t>A person must make and keep records of every act, transaction, event or circumstance relating to the following: (a) any action taken by the person that is a significant action, notifiable action or notifiable national security action to the extent that the records are relevant to an order or decision under Part 3; (aa) any action taken by the person that is a reviewable national security action notified to the Treasurer to the extent that the records are relevant to an order or decision under Part 3;</t>
        </is>
      </c>
      <c r="P154" s="12" t="n">
        <v>8</v>
      </c>
    </row>
    <row r="155">
      <c r="A155" t="inlineStr">
        <is>
          <t>Australia</t>
        </is>
      </c>
      <c r="B155" t="inlineStr">
        <is>
          <t>C2025C00672 (Australia - Row 17)</t>
        </is>
      </c>
      <c r="C155" t="inlineStr">
        <is>
          <t>228</t>
        </is>
      </c>
      <c r="D155" s="11" t="inlineStr">
        <is>
          <t>Record retention periods for different actions</t>
        </is>
      </c>
      <c r="E155" t="inlineStr">
        <is>
          <t>242–243</t>
        </is>
      </c>
      <c r="F155" t="inlineStr">
        <is>
          <t>Low</t>
        </is>
      </c>
      <c r="G155" t="inlineStr">
        <is>
          <t>High (explicit)</t>
        </is>
      </c>
      <c r="H155" s="11" t="inlineStr">
        <is>
          <t>Record Keeping, Retention</t>
        </is>
      </c>
      <c r="I155" s="11" t="inlineStr">
        <is>
          <t>Financial Data</t>
        </is>
      </c>
      <c r="J155" t="inlineStr"/>
      <c r="K155" s="11" t="inlineStr">
        <is>
          <t>Records must be retained for specific periods: 5 years for significant actions, notifiable actions, notifiable national security actions, and disposals of residential land interests; 2 years for compliance with conditions; and 5 years for register notices. The records must be in English or readily convertible to English and enable the relevant actions to be ascertained.</t>
        </is>
      </c>
      <c r="L155" s="11" t="inlineStr"/>
      <c r="M155" s="11" t="inlineStr">
        <is>
          <t>• [Must] Retain records for 5 years after action for significant actions, notifiable actions, notifiable national security actions
• [Must] Retain records for 2 years after condition ceases to apply for compliance with conditions
• [Must] Retain records for 5 years after disposal of residential land interest</t>
        </is>
      </c>
      <c r="N155" s="11" t="inlineStr">
        <is>
          <t>• [Must] Retain records for 5 years after register notice is given
• [Must] Records must be in English or readily convertible to English
• [Must] Records must enable relevant actions to be readily ascertained</t>
        </is>
      </c>
      <c r="O155" s="11" t="inlineStr">
        <is>
          <t>A person must make and keep records of every act, transaction, event or circumstance relating to the following: (a) any action taken by the person that is a significant action, notifiable action or notifiable national security action to the extent that the records are relevant to an order or decision under Part 3; (aa) any action taken by the person that is a reviewable national security action notified to the Treasurer to the extent that the records are relevant to an order or decision under Part 3;</t>
        </is>
      </c>
      <c r="P155" s="12" t="n">
        <v>8</v>
      </c>
    </row>
    <row r="156">
      <c r="A156" t="inlineStr">
        <is>
          <t>Australia</t>
        </is>
      </c>
      <c r="B156" t="inlineStr">
        <is>
          <t>C2025C00672 (Australia - Row 17)</t>
        </is>
      </c>
      <c r="C156" t="inlineStr">
        <is>
          <t>229</t>
        </is>
      </c>
      <c r="D156" s="11" t="inlineStr">
        <is>
          <t>Protected information definition</t>
        </is>
      </c>
      <c r="E156" t="inlineStr">
        <is>
          <t>243–244</t>
        </is>
      </c>
      <c r="F156" t="inlineStr">
        <is>
          <t>Low</t>
        </is>
      </c>
      <c r="G156" t="inlineStr">
        <is>
          <t>High (explicit)</t>
        </is>
      </c>
      <c r="H156" s="11" t="inlineStr">
        <is>
          <t>Record Keeping</t>
        </is>
      </c>
      <c r="I156" s="11" t="inlineStr">
        <is>
          <t>Financial Data</t>
        </is>
      </c>
      <c r="J156" t="inlineStr"/>
      <c r="K156" s="11" t="inlineStr">
        <is>
          <t>Information obtained under, in accordance with, or for the purposes of this Act is protected information, except for information specified in exemption certificates or information obtained by certain public service employees under specific delegation or subdelegation arrangements. Protected information may only be disclosed for authorized purposes as defined in Division 355 of Schedule 1 to the Taxation Administration Act 1953.</t>
        </is>
      </c>
      <c r="L156" s="11" t="inlineStr"/>
      <c r="M156" s="11" t="inlineStr">
        <is>
          <t>• [Must] Information obtained under, in accordance with, or for purposes of this Act is protected information
• [Must Not] Protected information excludes information specified in exemption certificates</t>
        </is>
      </c>
      <c r="N156" s="11" t="inlineStr">
        <is>
          <t>• [Must Not] Protected information excludes information obtained by certain public service employees
• [Must] Protected information may only be disclosed for authorized purposes</t>
        </is>
      </c>
      <c r="O156" s="11" t="inlineStr">
        <is>
          <t>Information is protected information if the information is obtained under, in accordance with or for the purposes of this Act, except: (a) information specified in an exemption certificate given under: (i) section 57 (exemption certificates for new dwellings); or (ii) regulations made for the purposes of section 63; or (b) subject to subsection (2), information that is: (i) obtained by a person appointed to a position in the Australian Taxation Office, or a person engaged under the Public Service Act 1999 who is employed in the Australian Taxation Office; and (ii) obtained under, in accordance with or for the purposes of this Act as a result of a delegation or subdelegation under section 137, or a request under subsection 138(4).</t>
        </is>
      </c>
      <c r="P156" s="12" t="n">
        <v>8</v>
      </c>
    </row>
    <row r="157">
      <c r="A157" t="inlineStr">
        <is>
          <t>Australia</t>
        </is>
      </c>
      <c r="B157" t="inlineStr">
        <is>
          <t>C2025C00672 (Australia - Row 17)</t>
        </is>
      </c>
      <c r="C157" t="inlineStr">
        <is>
          <t>230</t>
        </is>
      </c>
      <c r="D157" s="11" t="inlineStr">
        <is>
          <t>Authorisation of disclosures of protected information for Commonwealth functions</t>
        </is>
      </c>
      <c r="E157" t="inlineStr">
        <is>
          <t>244–245</t>
        </is>
      </c>
      <c r="F157" t="inlineStr">
        <is>
          <t>High</t>
        </is>
      </c>
      <c r="G157" t="inlineStr">
        <is>
          <t>High (explicit)</t>
        </is>
      </c>
      <c r="H157" s="11" t="inlineStr">
        <is>
          <t>Cross-border Transfer, International Processing, Data Sharing</t>
        </is>
      </c>
      <c r="I157" s="11" t="inlineStr">
        <is>
          <t>Personal Information</t>
        </is>
      </c>
      <c r="J157" t="inlineStr">
        <is>
          <t>Commonwealth</t>
        </is>
      </c>
      <c r="K157" s="11" t="inlineStr">
        <is>
          <t>A person may record, disclose, or use protected information if they perform functions under the Act or exercise powers. Disclosures must be to Commonwealth, State, Australian Capital Territory, Northern Territory officials, officers, employees, or persons appointed by the Commonwealth for this Act. The information must be used for the original purpose of disclosure.</t>
        </is>
      </c>
      <c r="L157" s="11" t="inlineStr">
        <is>
          <t>Defines permissible disclosures of protected information to Commonwealth entities, relevant for cross-border data transfers involving government bodies.</t>
        </is>
      </c>
      <c r="M157" s="11" t="inlineStr">
        <is>
          <t>• [Must] A person may make a record of, disclose or otherwise use protected information if they perform functions or duties under this Act
• [Must] Disclosures must be to a Minister, officer, or employee of Commonwealth, State, Australian Capital Territory, or Northern Territory
• [Must] Disclosures must be to an officer or employee of a Commonwealth, State, or Territory body</t>
        </is>
      </c>
      <c r="N157" s="11" t="inlineStr">
        <is>
          <t>• [Must] Disclosures must be to a person appointed by the Commonwealth for the purposes of this Act
• [Must] The information must be used for the purposes for which it was disclosed</t>
        </is>
      </c>
      <c r="O157" s="11" t="inlineStr">
        <is>
          <t>230 Compilation of the information that arise from the disclosure mentioned in paragraph (b) of this subsection.</t>
        </is>
      </c>
      <c r="P157" s="12" t="n">
        <v>8</v>
      </c>
    </row>
    <row r="158">
      <c r="A158" t="inlineStr">
        <is>
          <t>Australia</t>
        </is>
      </c>
      <c r="B158" t="inlineStr">
        <is>
          <t>C2025C00672 (Australia - Row 17)</t>
        </is>
      </c>
      <c r="C158" t="inlineStr">
        <is>
          <t>231</t>
        </is>
      </c>
      <c r="D158" s="11" t="inlineStr">
        <is>
          <t>Authorisation of disclosures to Commonwealth Ministers and bodies for law enforcement</t>
        </is>
      </c>
      <c r="E158" t="inlineStr">
        <is>
          <t>245–246</t>
        </is>
      </c>
      <c r="F158" t="inlineStr">
        <is>
          <t>High</t>
        </is>
      </c>
      <c r="G158" t="inlineStr">
        <is>
          <t>High (explicit)</t>
        </is>
      </c>
      <c r="H158" s="11" t="inlineStr">
        <is>
          <t>Cross-border Transfer, International Processing, Data Sharing</t>
        </is>
      </c>
      <c r="I158" s="11" t="inlineStr">
        <is>
          <t>Personal Information</t>
        </is>
      </c>
      <c r="J158" t="inlineStr">
        <is>
          <t>Commonwealth</t>
        </is>
      </c>
      <c r="K158" s="11" t="inlineStr">
        <is>
          <t>Permits disclosures of protected information to Commonwealth Ministers, their staff, or Commonwealth bodies for administering covered laws or discharging ministerial responsibilities. The relevant laws and matters are specified in subsections (3) and (5).</t>
        </is>
      </c>
      <c r="L158" s="11" t="inlineStr">
        <is>
          <t>Specifies who can receive protected information disclosures for law enforcement purposes, relevant for cross-border data transfers involving government entities.</t>
        </is>
      </c>
      <c r="M158" s="11" t="inlineStr">
        <is>
          <t>• [Must] A person may disclose protected information to persons covered by subsection (2) for administering covered laws
• [Must] A person may disclose protected information to persons covered by subsection (2) for discharging ministerial responsibilities
• [Must] Persons covered include Ministers with responsibility for administering laws or matters
• [Must] Persons covered include employees of Ministers under the Members of Parliament (Staff) Act 1984</t>
        </is>
      </c>
      <c r="N158" s="11" t="inlineStr">
        <is>
          <t>• [Must] Persons covered include officers or employees of Commonwealth departments administered by Ministers
• [Must] Covered laws include Airports Act 1996, Australian Crime Commission Act 2002, and others
• [Must] Covered matters include agriculture, water, infrastructure, telecommunications, industry policy, investment promotion, taxation policy, foreign investment, defence, and national security</t>
        </is>
      </c>
      <c r="O158" s="11" t="inlineStr">
        <is>
          <t>231 Compilation 122 Authorisation of disclosures to Commonwealth Ministers and Commonwealth bodies</t>
        </is>
      </c>
      <c r="P158" s="12" t="n">
        <v>8</v>
      </c>
    </row>
    <row r="159">
      <c r="A159" t="inlineStr">
        <is>
          <t>Australia</t>
        </is>
      </c>
      <c r="B159" t="inlineStr">
        <is>
          <t>C2025C00672 (Australia - Row 17)</t>
        </is>
      </c>
      <c r="C159" t="inlineStr">
        <is>
          <t>232</t>
        </is>
      </c>
      <c r="D159" s="11" t="inlineStr">
        <is>
          <t>Authorisation of disclosures to foreign governments and entities for national security</t>
        </is>
      </c>
      <c r="E159" t="inlineStr">
        <is>
          <t>246–247</t>
        </is>
      </c>
      <c r="F159" t="inlineStr">
        <is>
          <t>High</t>
        </is>
      </c>
      <c r="G159" t="inlineStr">
        <is>
          <t>High (explicit)</t>
        </is>
      </c>
      <c r="H159" s="11" t="inlineStr">
        <is>
          <t>Cross-border Transfer, International Processing, Data Sharing</t>
        </is>
      </c>
      <c r="I159" s="11" t="inlineStr">
        <is>
          <t>Personal Information</t>
        </is>
      </c>
      <c r="J159" t="inlineStr">
        <is>
          <t>Commonwealth</t>
        </is>
      </c>
      <c r="K159" s="11" t="inlineStr">
        <is>
          <t>Permits disclosures of protected information to foreign governments or separate government entities if the Treasurer is satisfied there is a national security risk, the disclosure is not contrary to international law, and the information will be used per an agreement. The agreement must be between Commonwealth entities and foreign governments or entities.</t>
        </is>
      </c>
      <c r="L159" s="11" t="inlineStr">
        <is>
          <t>Sets conditions for cross-border disclosures to foreign governments for national security, critical for DTIAs involving international data transfers.</t>
        </is>
      </c>
      <c r="M159" s="11" t="inlineStr">
        <is>
          <t>• [Must] A person may disclose protected information to a foreign government or separate government entity if they perform functions under this Act
• [Must] A person may disclose protected information to a foreign government or separate government entity if they believe the disclosure will assist the foreign entity
• [Must] The Treasurer must be satisfied that the information relates to a matter with a national security risk for Australia or the foreign country
• [Must] The Treasurer must be satisfied that the disclosure is not contrary to international law</t>
        </is>
      </c>
      <c r="N159" s="11" t="inlineStr">
        <is>
          <t>• [Must] The person must be satisfied that the information will be used per an agreement
• [Must] The foreign government or entity must undertake not to use or further disclose the information except per the agreement or as required by law
• [Must] The agreement must be between Commonwealth entities and foreign governments or separate government entities</t>
        </is>
      </c>
      <c r="O159" s="11" t="inlineStr">
        <is>
          <t>234 Compilation 123B Authorisation of disclosures to foreign governments and separate government entities</t>
        </is>
      </c>
      <c r="P159" s="12" t="n">
        <v>8</v>
      </c>
    </row>
    <row r="160">
      <c r="A160" t="inlineStr">
        <is>
          <t>Australia</t>
        </is>
      </c>
      <c r="B160" t="inlineStr">
        <is>
          <t>C2025C00672 (Australia - Row 17)</t>
        </is>
      </c>
      <c r="C160" t="inlineStr">
        <is>
          <t>233</t>
        </is>
      </c>
      <c r="D160" s="11" t="inlineStr">
        <is>
          <t>Authorisation of disclosures for law enforcement activities</t>
        </is>
      </c>
      <c r="E160" t="inlineStr">
        <is>
          <t>247–248</t>
        </is>
      </c>
      <c r="F160" t="inlineStr">
        <is>
          <t>High</t>
        </is>
      </c>
      <c r="G160" t="inlineStr">
        <is>
          <t>High (explicit)</t>
        </is>
      </c>
      <c r="H160" s="11" t="inlineStr">
        <is>
          <t>Cross-border Transfer, International Processing, Data Sharing</t>
        </is>
      </c>
      <c r="I160" s="11" t="inlineStr">
        <is>
          <t>Personal Information</t>
        </is>
      </c>
      <c r="J160" t="inlineStr">
        <is>
          <t>Commonwealth</t>
        </is>
      </c>
      <c r="K160" s="11" t="inlineStr">
        <is>
          <t>Permits disclosures of protected information to enforcement bodies if the person reasonably believes the disclosure is necessary for enforcement activities. The disclosure must be for law enforcement purposes under the Privacy Act 1988.</t>
        </is>
      </c>
      <c r="L160" s="11" t="inlineStr">
        <is>
          <t>Defines when protected information can be disclosed to law enforcement bodies, relevant for cross-border data transfers involving law enforcement agencies.</t>
        </is>
      </c>
      <c r="M160" s="11" t="inlineStr">
        <is>
          <t>• [Must] A person may disclose protected information to an enforcement body if they reasonably believe the disclosure is necessary for enforcement activities</t>
        </is>
      </c>
      <c r="N160" s="11" t="inlineStr">
        <is>
          <t>• [Must] The disclosure must be for law enforcement activities under the Privacy Act 1988</t>
        </is>
      </c>
      <c r="O160" s="11" t="inlineStr">
        <is>
          <t>233 Compilation 123 Authorisation of disclosures relating to law enforcement</t>
        </is>
      </c>
      <c r="P160" s="12" t="n">
        <v>8</v>
      </c>
    </row>
    <row r="161">
      <c r="A161" t="inlineStr">
        <is>
          <t>Australia</t>
        </is>
      </c>
      <c r="B161" t="inlineStr">
        <is>
          <t>C2025C00672 (Australia - Row 17)</t>
        </is>
      </c>
      <c r="C161" t="inlineStr">
        <is>
          <t>234</t>
        </is>
      </c>
      <c r="D161" s="11" t="inlineStr">
        <is>
          <t>Authorisation of disclosures to foreign governments for national security</t>
        </is>
      </c>
      <c r="E161" t="inlineStr">
        <is>
          <t>248–249</t>
        </is>
      </c>
      <c r="F161" t="inlineStr">
        <is>
          <t>High</t>
        </is>
      </c>
      <c r="G161" t="inlineStr">
        <is>
          <t>High (explicit)</t>
        </is>
      </c>
      <c r="H161" s="11" t="inlineStr">
        <is>
          <t>Cross-border Transfer, International Processing, Data Sharing</t>
        </is>
      </c>
      <c r="I161" s="11" t="inlineStr">
        <is>
          <t>Personal Information</t>
        </is>
      </c>
      <c r="J161" t="inlineStr">
        <is>
          <t>Commonwealth</t>
        </is>
      </c>
      <c r="K161" s="11" t="inlineStr">
        <is>
          <t>Permits disclosures of protected information to foreign governments if the Treasurer is satisfied there is a national security risk, the disclosure is not contrary to international law, and the information will be used per an agreement. The agreement must be between Commonwealth entities and foreign governments or entities.</t>
        </is>
      </c>
      <c r="L161" s="11" t="inlineStr">
        <is>
          <t>Sets conditions for cross-border disclosures to foreign governments for national security, critical for DTIAs involving international data transfers.</t>
        </is>
      </c>
      <c r="M161" s="11" t="inlineStr">
        <is>
          <t>• [Must] A person may disclose protected information to a foreign government or separate government entity if they perform functions under this Act
• [Must] A person may disclose protected information to a foreign government or separate government entity if they believe the disclosure will assist the foreign entity
• [Must] The Treasurer must be satisfied that the information relates to a matter with a national security risk for Australia or the foreign country
• [Must] The Treasurer must be satisfied that the disclosure is not contrary to international law</t>
        </is>
      </c>
      <c r="N161" s="11" t="inlineStr">
        <is>
          <t>• [Must] The person must be satisfied that the information will be used per an agreement
• [Must] The foreign government or entity must undertake not to use or further disclose the information except per the agreement or as required by law
• [Must] The agreement must be between Commonwealth entities and foreign governments or separate government entities</t>
        </is>
      </c>
      <c r="O161" s="11" t="inlineStr">
        <is>
          <t>234 Compilation 123B Authorisation of disclosures to foreign governments and separate government entities</t>
        </is>
      </c>
      <c r="P161" s="12" t="n">
        <v>8</v>
      </c>
    </row>
    <row r="162">
      <c r="A162" t="inlineStr">
        <is>
          <t>Australia</t>
        </is>
      </c>
      <c r="B162" t="inlineStr">
        <is>
          <t>C2025C00672 (Australia - Row 17)</t>
        </is>
      </c>
      <c r="C162" t="inlineStr">
        <is>
          <t>235</t>
        </is>
      </c>
      <c r="D162" s="11" t="inlineStr">
        <is>
          <t>Authorisation of disclosures of non-identifying and public domain information</t>
        </is>
      </c>
      <c r="E162" t="inlineStr">
        <is>
          <t>249–250</t>
        </is>
      </c>
      <c r="F162" t="inlineStr">
        <is>
          <t>High</t>
        </is>
      </c>
      <c r="G162" t="inlineStr">
        <is>
          <t>High (explicit)</t>
        </is>
      </c>
      <c r="H162" s="11" t="inlineStr">
        <is>
          <t>Cross-border Transfer, Data Sharing</t>
        </is>
      </c>
      <c r="I162" s="11" t="inlineStr">
        <is>
          <t>Personal Information</t>
        </is>
      </c>
      <c r="J162" t="inlineStr">
        <is>
          <t>Commonwealth</t>
        </is>
      </c>
      <c r="K162" s="11" t="inlineStr">
        <is>
          <t>Permits disclosures of protected information that do not identify individuals or are already in the public domain, except where the disclosure contravenes this Division. Consents from individuals or related entities are also permitted for disclosures.</t>
        </is>
      </c>
      <c r="L162" s="11" t="inlineStr">
        <is>
          <t>Allows disclosures of non-identifying or public domain information without additional restrictions, relevant for DTIAs involving anonymized or publicly available data.</t>
        </is>
      </c>
      <c r="M162" s="11" t="inlineStr">
        <is>
          <t>• [Must] A person may disclose protected information if it does not identify and is not reasonably capable of identifying a person
• [Must] A person may disclose protected information if it is already in the public domain
• [Must] A person may disclose protected information if the person to whom it relates gives written consent</t>
        </is>
      </c>
      <c r="N162" s="11" t="inlineStr">
        <is>
          <t>• [Must] A person may disclose protected information to the person or agent who provided it under this Act
• [Must] A person may disclose protected information to an entity that is a member of the same wholly-owned group as the person who provided it</t>
        </is>
      </c>
      <c r="O162" s="11" t="inlineStr">
        <is>
          <t>235 Compilation 124 Authorisation of disclosures of non-identifying information</t>
        </is>
      </c>
      <c r="P162" s="12" t="n">
        <v>8</v>
      </c>
    </row>
    <row r="163">
      <c r="A163" t="inlineStr">
        <is>
          <t>Australia</t>
        </is>
      </c>
      <c r="B163" t="inlineStr">
        <is>
          <t>C2025C00672 (Australia - Row 17)</t>
        </is>
      </c>
      <c r="C163" t="inlineStr">
        <is>
          <t>236</t>
        </is>
      </c>
      <c r="D163" s="11" t="inlineStr">
        <is>
          <t>Authorisation for disclosure of protected information in legal proceedings</t>
        </is>
      </c>
      <c r="E163" t="inlineStr">
        <is>
          <t>250–251</t>
        </is>
      </c>
      <c r="F163" t="inlineStr">
        <is>
          <t>High</t>
        </is>
      </c>
      <c r="G163" t="inlineStr">
        <is>
          <t>High (explicit)</t>
        </is>
      </c>
      <c r="H163" s="11" t="inlineStr">
        <is>
          <t>Cross-border Transfer, Data Sharing</t>
        </is>
      </c>
      <c r="I163" s="11" t="inlineStr">
        <is>
          <t>Personal Information</t>
        </is>
      </c>
      <c r="J163" t="inlineStr">
        <is>
          <t>Treasurer</t>
        </is>
      </c>
      <c r="K163" s="11" t="inlineStr">
        <is>
          <t>This section authorises disclosure of protected information to courts or tribunals for legal proceedings if the Commonwealth is a party and the Treasurer confirms it aligns with national interests. Disclosed information may only be used for the specific purpose of the disclosure. Individuals must not be compelled to provide protected information to courts or tribunals outside the scope of this Act.</t>
        </is>
      </c>
      <c r="L163" s="11" t="inlineStr">
        <is>
          <t>Requires explicit authorisation for cross-border disclosure of sensitive information in legal proceedings, impacting data transfer to foreign courts.</t>
        </is>
      </c>
      <c r="M163" s="11" t="inlineStr">
        <is>
          <t>• [Must] A person who obtains protected information may disclose it to a court or tribunal for proceedings if Commonwealth is a party
• [Condition] Treasurer must be satisfied disclosure is not contrary to national interest</t>
        </is>
      </c>
      <c r="N163" s="11" t="inlineStr">
        <is>
          <t>• [Must] Disclosed information may only be used for the specific purpose of disclosure</t>
        </is>
      </c>
      <c r="O163" s="11" t="inlineStr">
        <is>
          <t>A person who obtains protected information may disclose the information to a court or tribunal, or in accordance with an order of a court or tribunal, (whether within or outside Australia) for the purposes of proceedings if: (a) the Commonwealth is a party to the proceedings; and (b) the Treasurer is satisfied that it is not contrary to the national interest.</t>
        </is>
      </c>
      <c r="P163" s="12" t="n">
        <v>8</v>
      </c>
    </row>
    <row r="164">
      <c r="A164" t="inlineStr">
        <is>
          <t>Australia</t>
        </is>
      </c>
      <c r="B164" t="inlineStr">
        <is>
          <t>C2025C00672 (Australia - Row 17)</t>
        </is>
      </c>
      <c r="C164" t="inlineStr">
        <is>
          <t>237</t>
        </is>
      </c>
      <c r="D164" s="11" t="inlineStr">
        <is>
          <t>Good faith exception for protected information use</t>
        </is>
      </c>
      <c r="E164" t="inlineStr">
        <is>
          <t>251–252</t>
        </is>
      </c>
      <c r="F164" t="inlineStr">
        <is>
          <t>High</t>
        </is>
      </c>
      <c r="G164" t="inlineStr">
        <is>
          <t>High (explicit)</t>
        </is>
      </c>
      <c r="H164" s="11" t="inlineStr">
        <is>
          <t>Data Sharing</t>
        </is>
      </c>
      <c r="I164" s="11" t="inlineStr">
        <is>
          <t>Personal Information</t>
        </is>
      </c>
      <c r="J164" t="inlineStr"/>
      <c r="K164" s="11" t="inlineStr">
        <is>
          <t>This section provides an exception to section 128 where protected information may be used in good faith when performing official duties or exercising powers under the Act. The defendant bears an evidential burden to prove good faith compliance.</t>
        </is>
      </c>
      <c r="L164" s="11" t="inlineStr">
        <is>
          <t>Allows use of protected information across borders without penalty if used in good faith for official functions, relevant for cross-border data sharing.</t>
        </is>
      </c>
      <c r="M164" s="11" t="inlineStr">
        <is>
          <t>• [May] Protected information may be used in good faith when performing or purportedly performing functions under the Act</t>
        </is>
      </c>
      <c r="N164" s="11" t="inlineStr">
        <is>
          <t>• [May] Protected information may be used in good faith when exercising or purportedly exercising powers under the Act</t>
        </is>
      </c>
      <c r="O164" s="11" t="inlineStr">
        <is>
          <t>Section 128 does not apply if the person makes a record of, discloses or otherwise uses protected information in good faith: (a) in performing, or purportedly performing, his or her functions or duties under this Act; or (b) in exercising, or purportedly exercising, his or her powers under this Act.</t>
        </is>
      </c>
      <c r="P164" s="12" t="n">
        <v>8</v>
      </c>
    </row>
    <row r="165">
      <c r="A165" t="inlineStr">
        <is>
          <t>Australia</t>
        </is>
      </c>
      <c r="B165" t="inlineStr">
        <is>
          <t>C2025C00672 (Australia - Row 17)</t>
        </is>
      </c>
      <c r="C165" t="inlineStr">
        <is>
          <t>240</t>
        </is>
      </c>
      <c r="D165" s="11" t="inlineStr">
        <is>
          <t>Foreign ownership registration requirements</t>
        </is>
      </c>
      <c r="E165" t="inlineStr">
        <is>
          <t>254–255</t>
        </is>
      </c>
      <c r="F165" t="inlineStr">
        <is>
          <t>High</t>
        </is>
      </c>
      <c r="G165" t="inlineStr">
        <is>
          <t>High (explicit)</t>
        </is>
      </c>
      <c r="H165" s="11" t="inlineStr">
        <is>
          <t>Cross-border Transfer, Data Storage</t>
        </is>
      </c>
      <c r="I165" s="11" t="inlineStr">
        <is>
          <t>Financial Data</t>
        </is>
      </c>
      <c r="J165" t="inlineStr">
        <is>
          <t>Registrar</t>
        </is>
      </c>
      <c r="K165" s="11" t="inlineStr">
        <is>
          <t>This section establishes that foreign persons acquiring or disposing of Australian assets must register with the Registrar. The Register records relevant actions and may require additional notices if circumstances change. No fee applies for registration, and civil penalties apply for non-compliance.</t>
        </is>
      </c>
      <c r="L165" s="11" t="inlineStr">
        <is>
          <t>Requires foreign ownership data to be registered with Australian authorities, impacting cross-border asset transfers and data residency.</t>
        </is>
      </c>
      <c r="M165" s="11" t="inlineStr">
        <is>
          <t>• [Must] Foreign person must give register notice to Registrar when acquiring or disposing of Australian assets
• [May] Register may require further notices if asset interest changes or registered circumstance ceases</t>
        </is>
      </c>
      <c r="N165" s="11" t="inlineStr">
        <is>
          <t>• [Must Not] No fee payable for giving register notices</t>
        </is>
      </c>
      <c r="O165" s="11" t="inlineStr">
        <is>
          <t>Generally, a foreign person who acquires or disposes of such an interest must give a register notice to the Registrar. The register notice may result in there being a registered circumstance in relation to the person, and the person may be required to give further register notices in relation to the registered circumstance.</t>
        </is>
      </c>
      <c r="P165" s="12" t="n">
        <v>8</v>
      </c>
    </row>
    <row r="166">
      <c r="A166" t="inlineStr">
        <is>
          <t>Australia</t>
        </is>
      </c>
      <c r="B166" t="inlineStr">
        <is>
          <t>C2025C00672 (Australia - Row 17)</t>
        </is>
      </c>
      <c r="C166" t="inlineStr">
        <is>
          <t>241</t>
        </is>
      </c>
      <c r="D166" s="11" t="inlineStr">
        <is>
          <t>Register commencement and obligations</t>
        </is>
      </c>
      <c r="E166" t="inlineStr">
        <is>
          <t>255–256</t>
        </is>
      </c>
      <c r="F166" t="inlineStr">
        <is>
          <t>High</t>
        </is>
      </c>
      <c r="G166" t="inlineStr">
        <is>
          <t>High (explicit)</t>
        </is>
      </c>
      <c r="H166" s="11" t="inlineStr">
        <is>
          <t>Data Storage, Cross-border Transfer</t>
        </is>
      </c>
      <c r="I166" s="11" t="inlineStr">
        <is>
          <t>Financial Data</t>
        </is>
      </c>
      <c r="J166" t="inlineStr">
        <is>
          <t>Registrar</t>
        </is>
      </c>
      <c r="K166" s="11" t="inlineStr">
        <is>
          <t>This section specifies that the Register of Foreign Ownership of Australian Assets must be maintained by the Registrar from the Register commencement day. It requires persons to give register notices to the Registrar for specific events, with some notices applicable to events occurring before the commencement date.</t>
        </is>
      </c>
      <c r="L166" s="11" t="inlineStr">
        <is>
          <t>Establishes when foreign ownership data must be stored and registered, affecting data residency and cross-border transfer timelines.</t>
        </is>
      </c>
      <c r="M166" s="11" t="inlineStr">
        <is>
          <t>• [Must] Registrar must keep Register of Foreign Ownership of Australian Assets
• [Must] Person must give register notice to Registrar on or after Register commencement day</t>
        </is>
      </c>
      <c r="N166" s="11" t="inlineStr">
        <is>
          <t>• [May] Register notices may apply to events occurring before Register commencement day</t>
        </is>
      </c>
      <c r="O166" s="11" t="inlineStr">
        <is>
          <t>The following apply on and after the day (the Register commencement day) that Part 2 of Schedule 3 to the Foreign Investment Reform (Protecting Australia's National Security) Act 2020 commences: (a) the Registrar's obligation under section 130S to keep the Register; (b) a requirement for a person to give a register notice to the Registrar.</t>
        </is>
      </c>
      <c r="P166" s="12" t="n">
        <v>8</v>
      </c>
    </row>
    <row r="167">
      <c r="A167" t="inlineStr">
        <is>
          <t>Australia</t>
        </is>
      </c>
      <c r="B167" t="inlineStr">
        <is>
          <t>C2025C00672 (Australia - Row 17)</t>
        </is>
      </c>
      <c r="C167" t="inlineStr">
        <is>
          <t>242</t>
        </is>
      </c>
      <c r="D167" s="11" t="inlineStr">
        <is>
          <t>Registrar's authority to add information to Register</t>
        </is>
      </c>
      <c r="E167" t="inlineStr">
        <is>
          <t>256–257</t>
        </is>
      </c>
      <c r="F167" t="inlineStr">
        <is>
          <t>High</t>
        </is>
      </c>
      <c r="G167" t="inlineStr">
        <is>
          <t>High (explicit)</t>
        </is>
      </c>
      <c r="H167" s="11" t="inlineStr">
        <is>
          <t>Data Storage, Cross-border Transfer</t>
        </is>
      </c>
      <c r="I167" s="11" t="inlineStr">
        <is>
          <t>Financial Data</t>
        </is>
      </c>
      <c r="J167" t="inlineStr">
        <is>
          <t>Registrar</t>
        </is>
      </c>
      <c r="K167" s="11" t="inlineStr">
        <is>
          <t>The Registrar may add information to the Register from sources other than Division 3, including information obtained from registered circumstances or other relevant assets. Information obtained under Division 3 must be included in the Register as required by section 130T.</t>
        </is>
      </c>
      <c r="L167" s="11" t="inlineStr">
        <is>
          <t>Allows Registrar to expand the Register with additional data sources, impacting data storage scope and cross-border data sharing.</t>
        </is>
      </c>
      <c r="M167" s="11" t="inlineStr">
        <is>
          <t>• [May] Registrar may add information obtained under Division 3 to the Register
• [May] Registrar may add information related to registered circumstances</t>
        </is>
      </c>
      <c r="N167" s="11" t="inlineStr">
        <is>
          <t>• [May] Registrar may add information obtained under Part 4 of Schedule 3</t>
        </is>
      </c>
      <c r="O167" s="11" t="inlineStr">
        <is>
          <t>The Registrar may add to the Register any information obtained by the Registrar (other than information obtained under Division 3) relating to: (a) information obtained by the Registrar under Division 3; or (b) a registered circumstance (including a registered circumstance that has ceased); or (c) information obtained by the Registrar under Part 4 of Schedule 3 to the Foreign Investment Reform (Protecting Australia's National Security) Act 2020.</t>
        </is>
      </c>
      <c r="P167" s="12" t="n">
        <v>8</v>
      </c>
    </row>
    <row r="168">
      <c r="A168" t="inlineStr">
        <is>
          <t>Australia</t>
        </is>
      </c>
      <c r="B168" t="inlineStr">
        <is>
          <t>C2025C00672 (Australia - Row 17)</t>
        </is>
      </c>
      <c r="C168" t="inlineStr">
        <is>
          <t>248</t>
        </is>
      </c>
      <c r="D168" s="11" t="inlineStr">
        <is>
          <t>Change in nature of interest in land</t>
        </is>
      </c>
      <c r="E168" t="inlineStr">
        <is>
          <t>262–263</t>
        </is>
      </c>
      <c r="F168" t="inlineStr">
        <is>
          <t>High</t>
        </is>
      </c>
      <c r="G168" t="inlineStr">
        <is>
          <t>High (explicit)</t>
        </is>
      </c>
      <c r="H168" s="11" t="inlineStr">
        <is>
          <t>Cross-border Transfer, Data Storage</t>
        </is>
      </c>
      <c r="I168" s="11" t="inlineStr">
        <is>
          <t>Financial Data</t>
        </is>
      </c>
      <c r="J168" t="inlineStr">
        <is>
          <t>Registrar</t>
        </is>
      </c>
      <c r="K168" s="11" t="inlineStr">
        <is>
          <t>This section requires that if a foreign person's interest in land changes from one type to another, the Registrar must record the new registered circumstance. The foreign person must be aware or reasonably aware of the change to trigger this requirement.</t>
        </is>
      </c>
      <c r="L168" s="11" t="inlineStr">
        <is>
          <t>Triggers updated registration when foreign ownership interests change, impacting cross-border data transfers and asset tracking.</t>
        </is>
      </c>
      <c r="M168" s="11" t="inlineStr">
        <is>
          <t>• [Must] Registered circumstance must exist in relation to person holding interest in land
• [Must] Register must record new interest type when change occurs</t>
        </is>
      </c>
      <c r="N168" s="11" t="inlineStr">
        <is>
          <t>• [Must] Foreign person must be aware or reasonably aware of interest change</t>
        </is>
      </c>
      <c r="O168" s="11" t="inlineStr">
        <is>
          <t>The Register records the registered circumstance as relating to the person holding any of the following kinds of interest: (i) an interest in residential land; (ii) an interest in commercial land; (iii) an interest in agricultural land; (iv) an interest in a mining or production tenement; (v) an interest (within the meaning of section 130ZB) in an exploration tenement.</t>
        </is>
      </c>
      <c r="P168" s="12" t="n">
        <v>8</v>
      </c>
    </row>
    <row r="169">
      <c r="A169" t="inlineStr">
        <is>
          <t>Australia</t>
        </is>
      </c>
      <c r="B169" t="inlineStr">
        <is>
          <t>C2025C00672 (Australia - Row 17)</t>
        </is>
      </c>
      <c r="C169" t="inlineStr">
        <is>
          <t>251</t>
        </is>
      </c>
      <c r="D169" s="11" t="inlineStr">
        <is>
          <t>Change in water resource share triggering registration</t>
        </is>
      </c>
      <c r="E169" t="inlineStr">
        <is>
          <t>265–266</t>
        </is>
      </c>
      <c r="F169" t="inlineStr">
        <is>
          <t>Low</t>
        </is>
      </c>
      <c r="G169" t="inlineStr">
        <is>
          <t>High (explicit)</t>
        </is>
      </c>
      <c r="H169" s="11" t="inlineStr">
        <is>
          <t>Cross-border Transfer, Data Storage, Retention</t>
        </is>
      </c>
      <c r="I169" s="11" t="inlineStr">
        <is>
          <t>Personal Information</t>
        </is>
      </c>
      <c r="J169" t="inlineStr"/>
      <c r="K169" s="11" t="inlineStr">
        <is>
          <t>This section specifies conditions under which a registrable water interest change requires registration. It requires that the volume or share of a water resource changes, and the person holds the interest at the end of the financial year. The registrable event day is defined as the last day of the financial year.</t>
        </is>
      </c>
      <c r="L169" s="11" t="inlineStr"/>
      <c r="M169" s="11" t="inlineStr">
        <is>
          <t>• [Must] The volume of water or share of a water resource changes</t>
        </is>
      </c>
      <c r="N169" s="11" t="inlineStr">
        <is>
          <t>• [Must] The person holds the registrable water interest at the end of the last day of the financial year</t>
        </is>
      </c>
      <c r="O169" s="11" t="inlineStr">
        <is>
          <t>251 Compilation (b) on that day or any of those days, the volume of water or the share of a water resource referred to in the registrable water interest changes; and (c) the person holds the registrable water interest at the end of the last day of the financial year.</t>
        </is>
      </c>
      <c r="P169" s="12" t="n">
        <v>8</v>
      </c>
    </row>
    <row r="170">
      <c r="A170" t="inlineStr">
        <is>
          <t>Australia</t>
        </is>
      </c>
      <c r="B170" t="inlineStr">
        <is>
          <t>C2025C00672 (Australia - Row 17)</t>
        </is>
      </c>
      <c r="C170" t="inlineStr">
        <is>
          <t>261</t>
        </is>
      </c>
      <c r="D170" s="11" t="inlineStr">
        <is>
          <t>Foreign person takes notifiable national security action</t>
        </is>
      </c>
      <c r="E170" t="inlineStr">
        <is>
          <t>275–276</t>
        </is>
      </c>
      <c r="F170" t="inlineStr">
        <is>
          <t>Low</t>
        </is>
      </c>
      <c r="G170" t="inlineStr">
        <is>
          <t>High (explicit)</t>
        </is>
      </c>
      <c r="H170" s="11" t="inlineStr">
        <is>
          <t>Cross-border Transfer, Data Storage, Retention</t>
        </is>
      </c>
      <c r="I170" s="11" t="inlineStr">
        <is>
          <t>Personal Information</t>
        </is>
      </c>
      <c r="J170" t="inlineStr"/>
      <c r="K170" s="11" t="inlineStr">
        <is>
          <t>This section defines the conditions for when a foreign person's action constitutes a notifiable national security action. It requires that the foreign person takes an action that is a reviewable national security action under section 55D, and that they provided proposed actions to the Treasurer before taking the action.</t>
        </is>
      </c>
      <c r="L170" s="11" t="inlineStr"/>
      <c r="M170" s="11" t="inlineStr">
        <is>
          <t>• [Must] The foreign person takes an action that is a reviewable national security action under section 55D</t>
        </is>
      </c>
      <c r="N170" s="11" t="inlineStr">
        <is>
          <t>• [Must] Before the action was taken, the foreign person gave a proposed action to the Treasurer</t>
        </is>
      </c>
      <c r="O170" s="11" t="inlineStr">
        <is>
          <t>261 Compilation the day on which the foreign person takes the notifiable national security action.</t>
        </is>
      </c>
      <c r="P170" s="12" t="n">
        <v>8</v>
      </c>
    </row>
    <row r="171">
      <c r="A171" t="inlineStr">
        <is>
          <t>Australia</t>
        </is>
      </c>
      <c r="B171" t="inlineStr">
        <is>
          <t>C2025C00672 (Australia - Row 17)</t>
        </is>
      </c>
      <c r="C171" t="inlineStr">
        <is>
          <t>264</t>
        </is>
      </c>
      <c r="D171" s="11" t="inlineStr">
        <is>
          <t>Foreign person takes reviewable national security action</t>
        </is>
      </c>
      <c r="E171" t="inlineStr">
        <is>
          <t>278–279</t>
        </is>
      </c>
      <c r="F171" t="inlineStr">
        <is>
          <t>Low</t>
        </is>
      </c>
      <c r="G171" t="inlineStr">
        <is>
          <t>High (explicit)</t>
        </is>
      </c>
      <c r="H171" s="11" t="inlineStr">
        <is>
          <t>Cross-border Transfer, Data Storage, Retention</t>
        </is>
      </c>
      <c r="I171" s="11" t="inlineStr">
        <is>
          <t>Personal Information</t>
        </is>
      </c>
      <c r="J171" t="inlineStr"/>
      <c r="K171" s="11" t="inlineStr">
        <is>
          <t>This section outlines conditions for when a foreign person's action constitutes a reviewable national security action under section 55E. It requires that the foreign person takes an action that is a reviewable national security action under section 55E, and that they provided proposed actions to the Treasurer before taking the action.</t>
        </is>
      </c>
      <c r="L171" s="11" t="inlineStr"/>
      <c r="M171" s="11" t="inlineStr">
        <is>
          <t>• [Must] The foreign person takes an action that is a reviewable national security action under section 55E</t>
        </is>
      </c>
      <c r="N171" s="11" t="inlineStr">
        <is>
          <t>• [Must] Before the action was taken, the foreign person gave a proposed action to the Treasurer</t>
        </is>
      </c>
      <c r="O171" s="11" t="inlineStr">
        <is>
          <t>264 Compilation 130ZM  Foreign person takes action that is a reviewable national security action under section 55E—businesses (a) the foreign person takes an action that is a reviewable national security action under section 55E, and: (ii) before the action was taken, the foreign person gave a proposed to be taken; or</t>
        </is>
      </c>
      <c r="P171" s="12" t="n">
        <v>8</v>
      </c>
    </row>
    <row r="172">
      <c r="A172" t="inlineStr">
        <is>
          <t>Australia</t>
        </is>
      </c>
      <c r="B172" t="inlineStr">
        <is>
          <t>C2025C00672 (Australia - Row 17)</t>
        </is>
      </c>
      <c r="C172" t="inlineStr">
        <is>
          <t>266</t>
        </is>
      </c>
      <c r="D172" s="11" t="inlineStr">
        <is>
          <t>Change in interest in entity or business triggering registration</t>
        </is>
      </c>
      <c r="E172" t="inlineStr">
        <is>
          <t>280–281</t>
        </is>
      </c>
      <c r="F172" t="inlineStr">
        <is>
          <t>None</t>
        </is>
      </c>
      <c r="G172" t="inlineStr">
        <is>
          <t>High (explicit)</t>
        </is>
      </c>
      <c r="H172" s="11" t="inlineStr">
        <is>
          <t>Cross-border Transfer, Data Storage, Retention</t>
        </is>
      </c>
      <c r="I172" s="11" t="inlineStr">
        <is>
          <t>Personal Information</t>
        </is>
      </c>
      <c r="J172" t="inlineStr"/>
      <c r="K172" s="11" t="inlineStr">
        <is>
          <t>This section specifies conditions for when a change in interest in an entity or business requires registration. It requires that there is a registered circumstance in relation to the foreign person, the Register records the interest percentage, the percentage differs by 5% or more, and the foreign person is aware of the difference.</t>
        </is>
      </c>
      <c r="L172" s="11" t="inlineStr"/>
      <c r="M172" s="11" t="inlineStr">
        <is>
          <t>• [Must] There is a registered circumstance in relation to the foreign person under a provision mentioned in subsection (4)
• [Must] The Register records the foreign person as holding an interest in an entity or business of a particular percentage</t>
        </is>
      </c>
      <c r="N172" s="11" t="inlineStr">
        <is>
          <t>• [Must] The percentage interest differs from the percentage mentioned by 5% or more
• [Must] The foreign person is aware, or ought reasonably to have become aware, of the difference</t>
        </is>
      </c>
      <c r="O172" s="11" t="inlineStr">
        <is>
          <t>266 Compilation (a) there is a registered circumstance in relation to the foreign person under a provision mentioned in subsection (4); and (b) in relation to that registered circumstance, the Register records the foreign person as holding an interest in an entity or business of a particular percentage; and (c) the percentage interest that the foreign person holds in the entity or business differs from the percentage mentioned in paragraph (b) by 5% or more; and (d) the foreign person is aware, or ought reasonably to have become aware, of the difference mentioned in paragraph (1)(c).</t>
        </is>
      </c>
      <c r="P172" s="12" t="n">
        <v>8</v>
      </c>
    </row>
    <row r="173">
      <c r="A173" t="inlineStr">
        <is>
          <t>Australia</t>
        </is>
      </c>
      <c r="B173" t="inlineStr">
        <is>
          <t>C2025C00672 (Australia - Row 17)</t>
        </is>
      </c>
      <c r="C173" t="inlineStr">
        <is>
          <t>276</t>
        </is>
      </c>
      <c r="D173" s="11" t="inlineStr">
        <is>
          <t>Registrar's annual report to Parliament</t>
        </is>
      </c>
      <c r="E173" t="inlineStr">
        <is>
          <t>290–291</t>
        </is>
      </c>
      <c r="F173" t="inlineStr">
        <is>
          <t>Low</t>
        </is>
      </c>
      <c r="G173" t="inlineStr">
        <is>
          <t>High (explicit)</t>
        </is>
      </c>
      <c r="H173" s="11" t="inlineStr">
        <is>
          <t>Cross-border Transfer, Data Storage, Retention</t>
        </is>
      </c>
      <c r="I173" s="11" t="inlineStr">
        <is>
          <t>Personal Information</t>
        </is>
      </c>
      <c r="J173" t="inlineStr"/>
      <c r="K173" s="11" t="inlineStr">
        <is>
          <t>This section requires the Registrar to provide the Treasurer with an annual report detailing the operation of the Part during the financial year. The report must include statistics derived from the Register but must not identify or be capable of identifying a person. The report must be submitted by 30 June of the following financial year.</t>
        </is>
      </c>
      <c r="L173" s="11" t="inlineStr"/>
      <c r="M173" s="11" t="inlineStr">
        <is>
          <t>• [Must] The Registrar must give the Treasurer a report for each financial year on the operation of this Part
• [Must] The report must include statistics derived from information in the Register</t>
        </is>
      </c>
      <c r="N173" s="11" t="inlineStr">
        <is>
          <t>• [Must] The statistics must not identify or be capable of identifying a person
• [Must] The Registrar must submit the report to the Treasurer by 30 June of the following financial year</t>
        </is>
      </c>
      <c r="O173" s="11" t="inlineStr">
        <is>
          <t>276 Compilation (1) The Registrar must give the Treasurer, for presentation to the Parliament, a report for each financial year that: (a) is on the operation of this Part during the financial year; and (b) includes statistics derived by the Registrar from information in the Register.</t>
        </is>
      </c>
      <c r="P173" s="12" t="n">
        <v>8</v>
      </c>
    </row>
    <row r="174">
      <c r="A174" t="inlineStr">
        <is>
          <t>Australia</t>
        </is>
      </c>
      <c r="B174" t="inlineStr">
        <is>
          <t>C2025C00672 (Australia - Row 17)</t>
        </is>
      </c>
      <c r="C174" t="inlineStr">
        <is>
          <t>279</t>
        </is>
      </c>
      <c r="D174" s="11" t="inlineStr">
        <is>
          <t>Court orders for contraventions of foreign person rules</t>
        </is>
      </c>
      <c r="E174" t="inlineStr">
        <is>
          <t>293–295</t>
        </is>
      </c>
      <c r="F174" t="inlineStr">
        <is>
          <t>Low</t>
        </is>
      </c>
      <c r="G174" t="inlineStr">
        <is>
          <t>High (explicit)</t>
        </is>
      </c>
      <c r="H174" s="11" t="inlineStr">
        <is>
          <t>Cross-border Transfer, Data Storage, Retention</t>
        </is>
      </c>
      <c r="I174" s="11" t="inlineStr">
        <is>
          <t>Personal Information</t>
        </is>
      </c>
      <c r="J174" t="inlineStr"/>
      <c r="K174" s="11" t="inlineStr">
        <is>
          <t>This section details court orders that may be made regarding contraventions of foreign person rules. It specifies conditions for when the court may order changes in control of Australian entities, acquisition of interests in securities, disposal of securities, or restrictions on senior officers.</t>
        </is>
      </c>
      <c r="L174" s="11" t="inlineStr"/>
      <c r="M174" s="11" t="inlineStr">
        <is>
          <t>• [May] The court may order whether the offender has been convicted of an offence
• [May] The court may order whether the contravention still continues
• [May] The court may order whether other proceedings relating to the contravention have been or are to be instituted
• [May] The court may order a change of control of an Australian entity or acquisition of interests in securities</t>
        </is>
      </c>
      <c r="N174" s="11" t="inlineStr">
        <is>
          <t>• [May] The court may order the disposal of securities or assets
• [May] The court may order that any exercise of rights attached to securities be disregarded
• [May] The court may prohibit a person from acting as a senior officer of an entity</t>
        </is>
      </c>
      <c r="O174" s="11" t="inlineStr">
        <is>
          <t>279 Compilation (2) To avoid doubt, the court may make an order: (a) whether or not the offender has been convicted of an offence, or a civil penalty order has been made against the offender, in relation to the contravention; and (b) whether or not the contravention still continues; and (c) whether or not other proceedings relating to the contravention have been or are to be instituted.</t>
        </is>
      </c>
      <c r="P174" s="12" t="n">
        <v>8</v>
      </c>
    </row>
    <row r="175">
      <c r="A175" t="inlineStr">
        <is>
          <t>Australia</t>
        </is>
      </c>
      <c r="B175" t="inlineStr">
        <is>
          <t>C2025C00672 (Australia - Row 17)</t>
        </is>
      </c>
      <c r="C175" t="inlineStr">
        <is>
          <t>285</t>
        </is>
      </c>
      <c r="D175" s="11" t="inlineStr">
        <is>
          <t>Notice compliance exceptions for tax notices</t>
        </is>
      </c>
      <c r="E175" t="inlineStr">
        <is>
          <t>299–301</t>
        </is>
      </c>
      <c r="F175" t="inlineStr">
        <is>
          <t>High</t>
        </is>
      </c>
      <c r="G175" t="inlineStr">
        <is>
          <t>High (explicit)</t>
        </is>
      </c>
      <c r="H175" s="11" t="inlineStr"/>
      <c r="I175" s="11" t="inlineStr">
        <is>
          <t>Financial Data</t>
        </is>
      </c>
      <c r="J175" t="inlineStr">
        <is>
          <t>Secretary</t>
        </is>
      </c>
      <c r="K175" s="11" t="inlineStr">
        <is>
          <t>This section allows tax notices or applications to be considered effective if the Secretary is satisfied they substantially comply with approved forms and it is appropriate to treat them as effective. It defines what constitutes a notice under the Act, including notices required by exemptions, conditions, and specific sections. It explicitly excludes register notices from this provision.</t>
        </is>
      </c>
      <c r="L175" s="11" t="inlineStr">
        <is>
          <t>This section clarifies when tax notices are considered valid without full compliance, relevant for cross-border tax data transfers where notices are issued internationally.</t>
        </is>
      </c>
      <c r="M175" s="11" t="inlineStr">
        <is>
          <t>• [Must] Secretary must be satisfied notice substantially complies with approved form
• [Must] Secretary must be satisfied it is appropriate to treat notice as effective
• [Must] Notice includes notices required by exemption certificates
• [Must] Notice includes notices required by conditions in notices imposing conditions
• [Must] Notice includes notices under section 81</t>
        </is>
      </c>
      <c r="N175" s="11" t="inlineStr">
        <is>
          <t>• [Must] Notice includes notifications for paragraph 101(1)(b)
• [Must] Notice includes notifications for subsections 98C(2), 98D(2) or 98E(3)
• [Must] Notice includes notices mentioned in item 4 of table in subsection 113(1)
• [Must Not] Section does not apply to register notices</t>
        </is>
      </c>
      <c r="O175" s="11" t="inlineStr">
        <is>
          <t>Strict compliance with an approved manner or an approved form is required, unless the Secretary is satisfied in relation to a particular notice or application that: (a) the notice or application substantially complies with the approved manner or form; and (b) it is appropriate in the circumstances to treat the notice or application as being effective for the purposes of this Act.</t>
        </is>
      </c>
      <c r="P175" s="12" t="n">
        <v>8</v>
      </c>
    </row>
    <row r="176">
      <c r="A176" t="inlineStr">
        <is>
          <t>Australia</t>
        </is>
      </c>
      <c r="B176" t="inlineStr">
        <is>
          <t>C2025C00672 (Australia - Row 17)</t>
        </is>
      </c>
      <c r="C176" t="inlineStr">
        <is>
          <t>289</t>
        </is>
      </c>
      <c r="D176" s="11" t="inlineStr">
        <is>
          <t>Taxation laws and enforcement provisions</t>
        </is>
      </c>
      <c r="E176" t="inlineStr">
        <is>
          <t>303–305</t>
        </is>
      </c>
      <c r="F176" t="inlineStr">
        <is>
          <t>High</t>
        </is>
      </c>
      <c r="G176" t="inlineStr">
        <is>
          <t>High (explicit)</t>
        </is>
      </c>
      <c r="H176" s="11" t="inlineStr"/>
      <c r="I176" s="11" t="inlineStr">
        <is>
          <t>Financial Data</t>
        </is>
      </c>
      <c r="J176" t="inlineStr">
        <is>
          <t>Secretary</t>
        </is>
      </c>
      <c r="K176" s="11" t="inlineStr">
        <is>
          <t>This section clarifies that certain provisions of the Taxation Administration Act 1953 do not apply to tax matters under this Act. It also defines taxation officers under this Act and specifies that certain powers can be delegated to the Commissioner of Taxation.</t>
        </is>
      </c>
      <c r="L176" s="11" t="inlineStr">
        <is>
          <t>This section is relevant for data transfer impact assessments as it defines the scope of tax enforcement and delegation, affecting cross-border tax data processing.</t>
        </is>
      </c>
      <c r="M176" s="11" t="inlineStr">
        <is>
          <t>• [Must Not] Sections 255-10, Subdivision 255-D, Part 4-25 (except sections 288-35 and Division 298), Part 4-50, paragraph 355-15(c), Part 5-5, Division 444 do not apply
• [May] Secretary or public servant may be taxation officer under Taxation Administration Act 1953</t>
        </is>
      </c>
      <c r="N176" s="11" t="inlineStr">
        <is>
          <t>• [May] Sections 353-10 and 353-15 may be delegated to Commissioner of Taxation</t>
        </is>
      </c>
      <c r="O176" s="11" t="inlineStr">
        <is>
          <t>The following provisions of Schedule 1 to the Taxation Administration Act 1953 do not apply in relation to this Act: (a) section 255-10 (to defer the payment time); (b) Subdivision 255-D in that Schedule (security deposits); (c) Part 4-25 (charges and penalties), other than section  288-35 and Division 298 to the extent that it relates to that section; (d) Part 4-50 (release from particular liabilities); (e) paragraph 355-15(c) (application of Division 355); (f) Part 5-5 (rulings); (g) Division 444 (obligations of entities on behalf of other entities).</t>
        </is>
      </c>
      <c r="P176" s="12" t="n">
        <v>8</v>
      </c>
    </row>
    <row r="177">
      <c r="A177" t="inlineStr">
        <is>
          <t>Australia</t>
        </is>
      </c>
      <c r="B177" t="inlineStr">
        <is>
          <t>C2025C00672 (Australia - Row 17)</t>
        </is>
      </c>
      <c r="C177" t="inlineStr">
        <is>
          <t>295</t>
        </is>
      </c>
      <c r="D177" s="11" t="inlineStr">
        <is>
          <t>List of amending acts for tax legislation</t>
        </is>
      </c>
      <c r="E177" t="inlineStr">
        <is>
          <t>309–311</t>
        </is>
      </c>
      <c r="F177" t="inlineStr">
        <is>
          <t>High</t>
        </is>
      </c>
      <c r="G177" t="inlineStr">
        <is>
          <t>Medium (minor interpretation)</t>
        </is>
      </c>
      <c r="H177" s="11" t="inlineStr"/>
      <c r="I177" s="11" t="inlineStr">
        <is>
          <t>Financial Data</t>
        </is>
      </c>
      <c r="J177" t="inlineStr"/>
      <c r="K177" s="11" t="inlineStr">
        <is>
          <t>This section provides a list of acts that amend tax legislation, including their numbers, years, assent dates, commencement dates, and application provisions. It details how these acts affect the tax administration framework.</t>
        </is>
      </c>
      <c r="L177" s="11" t="inlineStr">
        <is>
          <t>This section is relevant for data transfer impact assessments as it outlines legislative amendments affecting tax data processing across borders.</t>
        </is>
      </c>
      <c r="M177" s="11" t="inlineStr">
        <is>
          <t>• [May] List of acts amending tax legislation with their details</t>
        </is>
      </c>
      <c r="N177" s="11" t="inlineStr"/>
      <c r="O177" s="11" t="inlineStr">
        <is>
          <t>Treasury Legislation Amendment (Application of Criminal Code) Act () 2001</t>
        </is>
      </c>
      <c r="P177" s="12" t="n">
        <v>8</v>
      </c>
    </row>
    <row r="178">
      <c r="A178" t="inlineStr">
        <is>
          <t>Australia</t>
        </is>
      </c>
      <c r="B178" t="inlineStr">
        <is>
          <t>C2025C00672 (Australia - Row 17)</t>
        </is>
      </c>
      <c r="C178" t="inlineStr">
        <is>
          <t>297</t>
        </is>
      </c>
      <c r="D178" s="11" t="inlineStr">
        <is>
          <t>List of consequential amendment acts for tax legislation</t>
        </is>
      </c>
      <c r="E178" t="inlineStr">
        <is>
          <t>311–313</t>
        </is>
      </c>
      <c r="F178" t="inlineStr">
        <is>
          <t>High</t>
        </is>
      </c>
      <c r="G178" t="inlineStr">
        <is>
          <t>Medium (minor interpretation)</t>
        </is>
      </c>
      <c r="H178" s="11" t="inlineStr"/>
      <c r="I178" s="11" t="inlineStr">
        <is>
          <t>Financial Data</t>
        </is>
      </c>
      <c r="J178" t="inlineStr"/>
      <c r="K178" s="11" t="inlineStr">
        <is>
          <t>This section provides a list of acts that make consequential amendments to tax legislation, including their numbers, years, assent dates, commencement dates, and application provisions. It details how these acts affect the tax administration framework.</t>
        </is>
      </c>
      <c r="L178" s="11" t="inlineStr">
        <is>
          <t>This section is relevant for data transfer impact assessments as it outlines legislative amendments affecting tax data processing across borders.</t>
        </is>
      </c>
      <c r="M178" s="11" t="inlineStr">
        <is>
          <t>• [May] List of acts making consequential amendments to tax legislation with their details</t>
        </is>
      </c>
      <c r="N178" s="11" t="inlineStr"/>
      <c r="O178" s="11" t="inlineStr">
        <is>
          <t>Australia's Foreign Relations (State and Territory Arrangements) (Consequential Amendments) Act 2020</t>
        </is>
      </c>
      <c r="P178" s="12" t="n">
        <v>8</v>
      </c>
    </row>
    <row r="179">
      <c r="A179" t="inlineStr">
        <is>
          <t>Australia</t>
        </is>
      </c>
      <c r="B179" t="inlineStr">
        <is>
          <t>C2026C00058VOL01 (Australia - Row 13)</t>
        </is>
      </c>
      <c r="C179" t="inlineStr">
        <is>
          <t>1</t>
        </is>
      </c>
      <c r="D179" s="11" t="inlineStr">
        <is>
          <t>Legal entity and shareholder protections for small businesses</t>
        </is>
      </c>
      <c r="E179" t="inlineStr">
        <is>
          <t>269–275</t>
        </is>
      </c>
      <c r="F179" t="inlineStr">
        <is>
          <t>High</t>
        </is>
      </c>
      <c r="G179" t="inlineStr">
        <is>
          <t>High (explicit)</t>
        </is>
      </c>
      <c r="H179" s="11" t="inlineStr"/>
      <c r="I179" s="11" t="inlineStr">
        <is>
          <t>Personal Information, Financial Data</t>
        </is>
      </c>
      <c r="J179" t="inlineStr">
        <is>
          <t>ASIC</t>
        </is>
      </c>
      <c r="K179" s="11" t="inlineStr">
        <is>
          <t>This section explains that a company has a separate legal existence distinct from its owners, managers, and employees. Shareholders are not personally liable for company debts beyond unpaid shares. Directors may be liable for company debts if the company cannot pay them, but this liability is limited in certain circumstances. The section also covers the continuous existence of companies even after shareholders or directors leave, and the rules for internal management.</t>
        </is>
      </c>
      <c r="L179" s="11" t="inlineStr">
        <is>
          <t>This section establishes the legal foundation for company structures, which is critical for DTIAs as it defines how data subjects and entities interact with company structures during cross-border data transfers.</t>
        </is>
      </c>
      <c r="M179" s="11" t="inlineStr">
        <is>
          <t>• [Must] A company has a separate legal existence distinct from its owners, managers, employees, and agents
• [Must] Shareholders are not liable for company debts beyond unpaid shares</t>
        </is>
      </c>
      <c r="N179" s="11" t="inlineStr">
        <is>
          <t>• [Must] Directors may be liable for company debts if the company cannot pay them
• [Must] A company continues to exist even if shareholders or directors leave</t>
        </is>
      </c>
      <c r="O179" s="11" t="inlineStr">
        <is>
          <t>A company has a separate legal existence that is distinct from that of its owners, managers, operators, employees and agents. A company has its own property, its own rights and its own obligations.</t>
        </is>
      </c>
      <c r="P179" s="12" t="n">
        <v>9</v>
      </c>
    </row>
    <row r="180">
      <c r="A180" t="inlineStr">
        <is>
          <t>Australia</t>
        </is>
      </c>
      <c r="B180" t="inlineStr">
        <is>
          <t>C2026C00058VOL01 (Australia - Row 13)</t>
        </is>
      </c>
      <c r="C180" t="inlineStr">
        <is>
          <t>3</t>
        </is>
      </c>
      <c r="D180" s="11" t="inlineStr">
        <is>
          <t>Company registration and basic requirements for small businesses</t>
        </is>
      </c>
      <c r="E180" t="inlineStr">
        <is>
          <t>275–279</t>
        </is>
      </c>
      <c r="F180" t="inlineStr">
        <is>
          <t>High</t>
        </is>
      </c>
      <c r="G180" t="inlineStr">
        <is>
          <t>High (explicit)</t>
        </is>
      </c>
      <c r="H180" s="11" t="inlineStr"/>
      <c r="I180" s="11" t="inlineStr">
        <is>
          <t>Personal Information, Financial Data</t>
        </is>
      </c>
      <c r="J180" t="inlineStr">
        <is>
          <t>ASIC</t>
        </is>
      </c>
      <c r="K180" s="11" t="inlineStr">
        <is>
          <t>This section outlines the process for setting up a company, including the requirement to apply to ASIC for registration, the need for at least one shareholder, and the rules for company names and Australian Company Numbers (ACNs). It also covers the use of 'shelf' companies and the implications of contracts entered into before registration.</t>
        </is>
      </c>
      <c r="L180" s="11" t="inlineStr">
        <is>
          <t>This section is relevant for DTIAs as it defines the legal structure of companies and the requirements for registration, which impact how data is structured and transferred across borders.</t>
        </is>
      </c>
      <c r="M180" s="11" t="inlineStr">
        <is>
          <t>• [Must] A proprietary company must have at least one shareholder
• [Must] A company must have a name different from existing companies</t>
        </is>
      </c>
      <c r="N180" s="11" t="inlineStr">
        <is>
          <t>• [Must] A proprietary company must include 'Proprietary Limited' or 'Pty Ltd' in its name
• [Must] A company must have a unique 9-digit Australian Company Number (ACN)</t>
        </is>
      </c>
      <c r="O180" s="11" t="inlineStr">
        <is>
          <t>A proprietary company limited by shares must have at least 1 shareholder. To obtain registration, a person must lodge a properly completed application form with ASIC.</t>
        </is>
      </c>
      <c r="P180" s="12" t="n">
        <v>9</v>
      </c>
    </row>
    <row r="181">
      <c r="A181" t="inlineStr">
        <is>
          <t>Australia</t>
        </is>
      </c>
      <c r="B181" t="inlineStr">
        <is>
          <t>C2026C00058VOL01 (Australia - Row 13)</t>
        </is>
      </c>
      <c r="C181" t="inlineStr">
        <is>
          <t>4</t>
        </is>
      </c>
      <c r="D181" s="11" t="inlineStr">
        <is>
          <t>Ongoing obligations for registered companies</t>
        </is>
      </c>
      <c r="E181" t="inlineStr">
        <is>
          <t>279–281</t>
        </is>
      </c>
      <c r="F181" t="inlineStr">
        <is>
          <t>High</t>
        </is>
      </c>
      <c r="G181" t="inlineStr">
        <is>
          <t>High (explicit)</t>
        </is>
      </c>
      <c r="H181" s="11" t="inlineStr">
        <is>
          <t>Record Keeping</t>
        </is>
      </c>
      <c r="I181" s="11" t="inlineStr">
        <is>
          <t>Personal Information, Financial Data</t>
        </is>
      </c>
      <c r="J181" t="inlineStr">
        <is>
          <t>ASIC</t>
        </is>
      </c>
      <c r="K181" s="11" t="inlineStr">
        <is>
          <t>This section details the ongoing obligations for companies after registration, including the use of company names and ACNs, annual extracts of particulars, review fees, and notification requirements for changes to company details. It emphasizes the need for companies to maintain accurate records with ASIC.</t>
        </is>
      </c>
      <c r="L181" s="11" t="inlineStr">
        <is>
          <t>This section is relevant for DTIAs as it outlines the ongoing compliance requirements for companies, which impact data retention, record-keeping, and cross-border data transfers.</t>
        </is>
      </c>
      <c r="M181" s="11" t="inlineStr">
        <is>
          <t>• [Must] A company must display its name at all business premises
• [Must] A company must pay an annual review fee to ASIC</t>
        </is>
      </c>
      <c r="N181" s="11" t="inlineStr">
        <is>
          <t>• [Must] A company must notify ASIC of changes to directors, company secretaries, or registered office within 28 days</t>
        </is>
      </c>
      <c r="O181" s="11" t="inlineStr">
        <is>
          <t>Each year, ASIC issues each company with an extract of particulars within 2 weeks of the company's review date.</t>
        </is>
      </c>
      <c r="P181" s="12" t="n">
        <v>9</v>
      </c>
    </row>
    <row r="182">
      <c r="A182" t="inlineStr">
        <is>
          <t>Australia</t>
        </is>
      </c>
      <c r="B182" t="inlineStr">
        <is>
          <t>C2026C00058VOL01 (Australia - Row 13)</t>
        </is>
      </c>
      <c r="C182" t="inlineStr">
        <is>
          <t>5</t>
        </is>
      </c>
      <c r="D182" s="11" t="inlineStr">
        <is>
          <t>Director and company secretary responsibilities</t>
        </is>
      </c>
      <c r="E182" t="inlineStr">
        <is>
          <t>281–285</t>
        </is>
      </c>
      <c r="F182" t="inlineStr">
        <is>
          <t>High</t>
        </is>
      </c>
      <c r="G182" t="inlineStr">
        <is>
          <t>High (explicit)</t>
        </is>
      </c>
      <c r="H182" s="11" t="inlineStr"/>
      <c r="I182" s="11" t="inlineStr">
        <is>
          <t>Personal Information</t>
        </is>
      </c>
      <c r="J182" t="inlineStr">
        <is>
          <t>ASIC</t>
        </is>
      </c>
      <c r="K182" s="11" t="inlineStr">
        <is>
          <t>This section covers the qualifications, appointment, and duties of directors and company secretaries, including their legal responsibilities, potential liabilities, and the requirements for their registration with ASIC. It emphasizes the importance of directors acting in good faith and the company's obligations to maintain accurate records.</t>
        </is>
      </c>
      <c r="L182" s="11" t="inlineStr">
        <is>
          <t>This section is relevant for DTIAs as it defines the roles and responsibilities of individuals involved in company operations, which impact data handling and transfer processes.</t>
        </is>
      </c>
      <c r="M182" s="11" t="inlineStr">
        <is>
          <t>• [Must] Directors must act in good faith and in the best interests of the company
• [Must] Directors must avoid conflicts of interest</t>
        </is>
      </c>
      <c r="N182" s="11" t="inlineStr">
        <is>
          <t>• [Must] Directors must notify ASIC of changes to directors or company secretaries within 28 days</t>
        </is>
      </c>
      <c r="O182" s="11" t="inlineStr">
        <is>
          <t>Directors must act in good faith, act in the best interests of the company, avoid conflicts between the interests of the company and the director's interests.</t>
        </is>
      </c>
      <c r="P182" s="12" t="n">
        <v>9</v>
      </c>
    </row>
    <row r="183">
      <c r="A183" t="inlineStr">
        <is>
          <t>Australia</t>
        </is>
      </c>
      <c r="B183" t="inlineStr">
        <is>
          <t>C2026C00058VOL01 (Australia - Row 13)</t>
        </is>
      </c>
      <c r="C183" t="inlineStr">
        <is>
          <t>6</t>
        </is>
      </c>
      <c r="D183" s="11" t="inlineStr">
        <is>
          <t>Shareholder registration and share transfer mechanisms</t>
        </is>
      </c>
      <c r="E183" t="inlineStr">
        <is>
          <t>285–293</t>
        </is>
      </c>
      <c r="F183" t="inlineStr">
        <is>
          <t>Medium</t>
        </is>
      </c>
      <c r="G183" t="inlineStr">
        <is>
          <t>High (explicit)</t>
        </is>
      </c>
      <c r="H183" s="11" t="inlineStr"/>
      <c r="I183" s="11" t="inlineStr"/>
      <c r="J183" t="inlineStr">
        <is>
          <t>ASIC</t>
        </is>
      </c>
      <c r="K183" s="11" t="inlineStr">
        <is>
          <t>A person may become a shareholder through company registration, share issuance, or purchase from existing shareholders. Shareholders cease to be shareholders by selling all shares, company buyback, or ASIC cancellation. The section outlines specific transfer mechanisms and conditions for share transfers, including the requirement for company registration of transfers. Shareholders with at least 5% voting rights can call meetings and request meeting records.</t>
        </is>
      </c>
      <c r="L183" s="11" t="inlineStr">
        <is>
          <t>This section defines share transfer mechanisms relevant to cross-border data transfers involving shareholder information, but does not directly impact data transfer impact assessments as it concerns company structures rather than data flows.</t>
        </is>
      </c>
      <c r="M183" s="11" t="inlineStr">
        <is>
          <t>• [Must] A person may become a shareholder through company registration, share issuance, or purchase from existing shareholders
• [Must] The company must register transfers of shares</t>
        </is>
      </c>
      <c r="N183" s="11" t="inlineStr">
        <is>
          <t>• [May] Shareholders with at least 5% voting rights may call meetings
• [May] Shareholders may request copies of meeting records</t>
        </is>
      </c>
      <c r="O183" s="11" t="inlineStr">
        <is>
          <t>A person may become a shareholder of a company in several ways, including the following: the person being listed as a shareholder of the company in the application for registration of the company, the company issuing shares to the person, the person buying shares in the company from an existing shareholder and the company registering the transfer.</t>
        </is>
      </c>
      <c r="P183" s="12" t="n">
        <v>9</v>
      </c>
    </row>
    <row r="184">
      <c r="A184" t="inlineStr">
        <is>
          <t>Australia</t>
        </is>
      </c>
      <c r="B184" t="inlineStr">
        <is>
          <t>C2026C00058VOL01 (Australia - Row 13)</t>
        </is>
      </c>
      <c r="C184" t="inlineStr">
        <is>
          <t>6 (part 3)</t>
        </is>
      </c>
      <c r="D184" s="11" t="inlineStr">
        <is>
          <t>Types of companies that can be registered</t>
        </is>
      </c>
      <c r="E184" t="inlineStr">
        <is>
          <t>301–308</t>
        </is>
      </c>
      <c r="F184" t="inlineStr">
        <is>
          <t>Low</t>
        </is>
      </c>
      <c r="G184" t="inlineStr">
        <is>
          <t>High (explicit)</t>
        </is>
      </c>
      <c r="H184" s="11" t="inlineStr"/>
      <c r="I184" s="11" t="inlineStr"/>
      <c r="J184" t="inlineStr"/>
      <c r="K184" s="11" t="inlineStr">
        <is>
          <t>This section specifies the types of companies that can be registered under the Act, including limited by shares, unlimited with share capital, limited by guarantee, no liability companies, and corporate collective investment vehicles. It also outlines conditions for registering a no liability company, such as having share capital, specific constitutional requirements, and restrictions on activities outside mining purposes.</t>
        </is>
      </c>
      <c r="L184" s="11" t="inlineStr">
        <is>
          <t>This section defines company types relevant to data processing structures but does not directly impact data transfer mechanisms or international data flows.</t>
        </is>
      </c>
      <c r="M184" s="11" t="inlineStr">
        <is>
          <t>• [Must] A company may be registered as a no liability company only if it has share capital
• [Must] A company's constitution states that its sole objects are mining purposes
• [Must] A company has no contractual right to recover calls made on shares from shareholders who fail to pay
• [Must Not] A no liability company must not engage in activities outside its mining purposes</t>
        </is>
      </c>
      <c r="N184" s="11" t="inlineStr">
        <is>
          <t>• [Must Not] Directors must not let whole or proportion of a mine on tribute without special resolution approval
• [Must Not] Directors must not make contracts for working land on tribute without special resolution approval
• [Must] A company must have no more than 50 non-employee shareholders to be registered as a proprietary company</t>
        </is>
      </c>
      <c r="O184" s="11" t="inlineStr">
        <is>
          <t>Section 112(2) states: A company may be registered as a no liability company only if: (a) the company has a share capital; and (b) the company's constitution states that its sole objects are mining purposes; and (c) the company has no contractual right under its constitution to recover calls made on its shares from a shareholder who fails to pay them.</t>
        </is>
      </c>
      <c r="P184" s="12" t="n">
        <v>9</v>
      </c>
    </row>
    <row r="185">
      <c r="A185" t="inlineStr">
        <is>
          <t>Australia</t>
        </is>
      </c>
      <c r="B185" t="inlineStr">
        <is>
          <t>C2026C00058VOL01 (Australia - Row 13)</t>
        </is>
      </c>
      <c r="C185" t="inlineStr">
        <is>
          <t>6 (part 4)</t>
        </is>
      </c>
      <c r="D185" s="11" t="inlineStr">
        <is>
          <t>Application requirements for company registration</t>
        </is>
      </c>
      <c r="E185" t="inlineStr">
        <is>
          <t>308–315</t>
        </is>
      </c>
      <c r="F185" t="inlineStr">
        <is>
          <t>Low</t>
        </is>
      </c>
      <c r="G185" t="inlineStr">
        <is>
          <t>High (explicit)</t>
        </is>
      </c>
      <c r="H185" s="11" t="inlineStr"/>
      <c r="I185" s="11" t="inlineStr"/>
      <c r="J185" t="inlineStr">
        <is>
          <t>ASIC</t>
        </is>
      </c>
      <c r="K185" s="11" t="inlineStr">
        <is>
          <t>This section details the information required for applying to register a company with ASIC, including company type, proposed name, member and director details, registered office address, and share information. It specifies that the application must be in prescribed form and that consents and agreements must be provided by applicants.</t>
        </is>
      </c>
      <c r="L185" s="11" t="inlineStr">
        <is>
          <t>This section outlines registration requirements but does not directly impact data transfer mechanisms or international data flows.</t>
        </is>
      </c>
      <c r="M185" s="11" t="inlineStr">
        <is>
          <t>• [Must] The application must state the type of company proposed to be registered
• [Must] The application must specify the company's proposed name (unless ACN is used)
• [Must] The application must list the name and address of each person consenting to become a member
• [Must] The application must include present and former given and family names, dates and places of birth for directors and company secretaries</t>
        </is>
      </c>
      <c r="N185" s="11" t="inlineStr">
        <is>
          <t>• The application must state the address of the company's proposed registered office
• [Must] The application must specify the address of the company's principal place of business (if different from registered office)
• [Must] The application must include share details for companies limited by shares or unlimited companies</t>
        </is>
      </c>
      <c r="O185" s="11" t="inlineStr">
        <is>
          <t>Section 117(2) requires: The application must state: (a) the type of company; (b) the company's proposed name; (c) the name and address of each person who consents to become a member; (d) the present given and family name, all former given and family names and date and place of birth of each person who consents to become a director; etc.</t>
        </is>
      </c>
      <c r="P185" s="12" t="n">
        <v>9</v>
      </c>
    </row>
    <row r="186">
      <c r="A186" t="inlineStr">
        <is>
          <t>Australia</t>
        </is>
      </c>
      <c r="B186" t="inlineStr">
        <is>
          <t>C2026C00058VOL01 (Australia - Row 13)</t>
        </is>
      </c>
      <c r="C186" t="inlineStr">
        <is>
          <t>6 (part 6)</t>
        </is>
      </c>
      <c r="D186" s="11" t="inlineStr">
        <is>
          <t>Contracts entered before company registration</t>
        </is>
      </c>
      <c r="E186" t="inlineStr">
        <is>
          <t>321–328</t>
        </is>
      </c>
      <c r="F186" t="inlineStr">
        <is>
          <t>High</t>
        </is>
      </c>
      <c r="G186" t="inlineStr">
        <is>
          <t>High (explicit)</t>
        </is>
      </c>
      <c r="H186" s="11" t="inlineStr">
        <is>
          <t>Cross-border Transfer, International Processing, Data Storage, Security, Consent, Customer Information, Financial Data, KYC, AML, Governance, Record Keeping</t>
        </is>
      </c>
      <c r="I186" s="11" t="inlineStr">
        <is>
          <t>Financial Data, Customer Data</t>
        </is>
      </c>
      <c r="J186" t="inlineStr">
        <is>
          <t>ASIC</t>
        </is>
      </c>
      <c r="K186" s="11" t="inlineStr">
        <is>
          <t>A person entering into a contract on behalf of or for a company before registration becomes bound by the contract if the company later registers and ratifies it within a reasonable time. The person is liable for damages if the company fails to register or ratify. Courts may order the company to pay damages, transfer property, or pay an amount to contract parties. A party may release the person from liability through a written release, but the person has no right of indemnity against the company regardless of acting as trustee.</t>
        </is>
      </c>
      <c r="L186" s="11" t="inlineStr">
        <is>
          <t>This section establishes contractual obligations for pre-registration agreements, requiring ratification by the company within a reasonable time to avoid liability. It impacts DTIAs by defining when contracts are binding and the remedies available if the company fails to ratify.</t>
        </is>
      </c>
      <c r="M186" s="11" t="inlineStr">
        <is>
          <t>• [Must] If a person enters into a contract before company registration, the company becomes bound by the contract if it registers and ratifies within a reasonable time.
• [Must] The person is liable to pay damages to contract parties if the company fails to register or ratify the contract.
• [Must] The amount of damages is the amount the company would pay if it ratified and failed to perform.</t>
        </is>
      </c>
      <c r="N186" s="11" t="inlineStr">
        <is>
          <t>• [May] Courts may order the company to pay damages, transfer property, or pay an amount to contract parties.
• [May] A party may release the person from liability through a written release.
• [Must Not] The person has no right of indemnity against the company regardless of acting as trustee.</t>
        </is>
      </c>
      <c r="O186" s="11" t="inlineStr">
        <is>
          <t>Section 131(1): If a person enters into, or purports to enter into, a contract on behalf of, or for the benefit of, a company before it is registered, the company becomes bound by the contract and entitled to its benefit if the company, or a company that is reasonably identifiable with it, is registered and ratifies the contract: (a) within the time agreed to by the parties to the contract; or (b) if there is no agreed time—within a reasonable time after the contract is entered into.</t>
        </is>
      </c>
      <c r="P186" s="12" t="n">
        <v>9</v>
      </c>
    </row>
    <row r="187">
      <c r="A187" t="inlineStr">
        <is>
          <t>Australia</t>
        </is>
      </c>
      <c r="B187" t="inlineStr">
        <is>
          <t>C2026C00058VOL01 (Australia - Row 13)</t>
        </is>
      </c>
      <c r="C187" t="inlineStr">
        <is>
          <t>6 (part 7)</t>
        </is>
      </c>
      <c r="D187" s="11" t="inlineStr">
        <is>
          <t>Replaceable rules for company governance</t>
        </is>
      </c>
      <c r="E187" t="inlineStr">
        <is>
          <t>328–336</t>
        </is>
      </c>
      <c r="F187" t="inlineStr">
        <is>
          <t>High</t>
        </is>
      </c>
      <c r="G187" t="inlineStr">
        <is>
          <t>High (explicit)</t>
        </is>
      </c>
      <c r="H187" s="11" t="inlineStr">
        <is>
          <t>Cross-border Transfer, International Processing, Data Storage, Security, Consent, Customer Information, Financial Data, KYC, AML, Governance, Record Keeping</t>
        </is>
      </c>
      <c r="I187" s="11" t="inlineStr">
        <is>
          <t>Financial Data, Customer Data</t>
        </is>
      </c>
      <c r="J187" t="inlineStr">
        <is>
          <t>ASIC</t>
        </is>
      </c>
      <c r="K187" s="11" t="inlineStr">
        <is>
          <t>This section lists replaceable rules that govern company operations, including director powers, meetings, share transfers, and registered office requirements. These rules apply to companies registered after July 1, 1998, and can be modified by the company's constitution. Failure to comply with replaceable rules does not constitute a contravention of the Act, but the rules have effect as contracts between the company and its members, directors, and other members.</t>
        </is>
      </c>
      <c r="L187" s="11" t="inlineStr">
        <is>
          <t>Replaceable rules define operational frameworks for companies, impacting DTIAs by establishing contractual obligations and governance structures that affect data handling and cross-border transfers.</t>
        </is>
      </c>
      <c r="M187" s="11" t="inlineStr">
        <is>
          <t>• [Must] Replaceable rules apply to companies registered after July 1, 1998, and those that repealed constitutions after that date.
• [May] A company's constitution can displace or modify replaceable rules.</t>
        </is>
      </c>
      <c r="N187" s="11" t="inlineStr">
        <is>
          <t>• [Must Not] Failure to comply with replaceable rules does not constitute a contravention of the Act.
• [Must] Replaceable rules have effect as contracts between the company and each member, director, and other members.</t>
        </is>
      </c>
      <c r="O187" s="11" t="inlineStr">
        <is>
          <t>Section 141: The following table sets out the provisions of this Act that apply as replaceable rules. These rules govern company operations and have effect as contracts between the company and its members, directors, and other members.</t>
        </is>
      </c>
      <c r="P187" s="12" t="n">
        <v>9</v>
      </c>
    </row>
    <row r="188">
      <c r="A188" t="inlineStr">
        <is>
          <t>Australia</t>
        </is>
      </c>
      <c r="B188" t="inlineStr">
        <is>
          <t>C2026C00058VOL01 (Australia - Row 13)</t>
        </is>
      </c>
      <c r="C188" t="inlineStr">
        <is>
          <t>6 (part 8)</t>
        </is>
      </c>
      <c r="D188" s="11" t="inlineStr">
        <is>
          <t>Company name requirements and name change procedures</t>
        </is>
      </c>
      <c r="E188" t="inlineStr">
        <is>
          <t>336–344</t>
        </is>
      </c>
      <c r="F188" t="inlineStr">
        <is>
          <t>Medium</t>
        </is>
      </c>
      <c r="G188" t="inlineStr">
        <is>
          <t>High (explicit)</t>
        </is>
      </c>
      <c r="H188" s="11" t="inlineStr"/>
      <c r="I188" s="11" t="inlineStr">
        <is>
          <t>Personal Information</t>
        </is>
      </c>
      <c r="J188" t="inlineStr">
        <is>
          <t>ASIC</t>
        </is>
      </c>
      <c r="K188" s="11" t="inlineStr">
        <is>
          <t>Companies in Australia must have names that include specific words like 'Limited', 'Proprietary', or 'No Liability' depending on their type. Limited companies must end with 'Limited' or 'Proprietary Limited', unlimited proprietary companies must end with 'Proprietary', and no liability companies must end with 'No Liability'. Companies must also include their Australian Company Number (ACN) in their names or documents. Name changes require special resolutions and ASIC approval, with specific rules for companies under administration, liquidation, or restructuring. ASIC can direct companies to change names if they breach conditions.</t>
        </is>
      </c>
      <c r="L188" s="11" t="inlineStr">
        <is>
          <t>This section governs company naming conventions and name change procedures, which are relevant for DTIAs when assessing the impact of name changes on data processing across borders, particularly for companies operating internationally with Australian entities.</t>
        </is>
      </c>
      <c r="M188" s="11" t="inlineStr">
        <is>
          <t>• [Must] A company may have as its name an available name or the expression 'Australian Company Number' followed by the company's ACN.
• [Must] A limited public company must have the word 'Limited' at the end of its name unless section 150 or 151 applies.
• [Must] A limited proprietary company must have the words 'Proprietary Limited' at the end of its name.
• An unlimited proprietary company must have the word 'Propri
• [Must] A no liability company must have the words 'No Liability' at the end of its name.
• [Must Not] A public company must not include the word 'Proprietary' (or an abbreviation of it) in its name unless it was a public company before 1 July 1998 and included 'Proprietary' in its name before that date.
• [Must] A company must set out its name on all public documents and negotiable instruments.</t>
        </is>
      </c>
      <c r="N188" s="11" t="inlineStr">
        <is>
          <t>• [Must] If the company's ACN is not used in its name, the company must also set out 'Australian Company Number' followed by the ACN or 'Australian Business Number' followed by the ABN (if the last 9 digits match).
• [Must] A company must pass a special resolution adopting a new name to change its name.
• [Must] A company must lodge an application with ASIC to change its name after passing a special resolution.
• [Must] ASIC must change the company's name by altering the registration details if the proposed name is available.
• [May] ASIC may direct a company to change its name within 2 months if the name should not have been registered or the company breaches conditions on name usage.
• [Must] A company must comply with ASIC's name change direction within 2 months.
• [May] ASIC may change a company's name to include 'Limited' if the company contravenes constitutional requirements or modifies its constitution to remove them.</t>
        </is>
      </c>
      <c r="O188" s="11" t="inlineStr">
        <is>
          <t>Section 148: A company may have as its name: (a) an available name; or (b) the expression 'Australian Company Number' followed by the company's ACN.</t>
        </is>
      </c>
      <c r="P188" s="12" t="n">
        <v>9</v>
      </c>
    </row>
    <row r="189">
      <c r="A189" t="inlineStr">
        <is>
          <t>Australia</t>
        </is>
      </c>
      <c r="B189" t="inlineStr">
        <is>
          <t>C2026C00058VOL01 (Australia - Row 13)</t>
        </is>
      </c>
      <c r="C189" t="inlineStr">
        <is>
          <t>6 (part 10)</t>
        </is>
      </c>
      <c r="D189" s="11" t="inlineStr">
        <is>
          <t>Company type conversion requirements and applications</t>
        </is>
      </c>
      <c r="E189" t="inlineStr">
        <is>
          <t>351–357</t>
        </is>
      </c>
      <c r="F189" t="inlineStr">
        <is>
          <t>Medium</t>
        </is>
      </c>
      <c r="G189" t="inlineStr">
        <is>
          <t>High (explicit)</t>
        </is>
      </c>
      <c r="H189" s="11" t="inlineStr"/>
      <c r="I189" s="11" t="inlineStr"/>
      <c r="J189" t="inlineStr">
        <is>
          <t>ASIC</t>
        </is>
      </c>
      <c r="K189" s="11" t="inlineStr">
        <is>
          <t>This section outlines the process for companies to change their legal structure, including specific requirements for applications to ASIC. It mandates that companies must lodge applications with ASIC, include special resolutions, and provide detailed information about share changes. The section also specifies conditions under which certain types of companies can convert to others, such as public companies converting to proprietary companies with fully paid shares.</t>
        </is>
      </c>
      <c r="L189" s="11" t="inlineStr">
        <is>
          <t>This section is relevant for DTIAs as it details the conditions and documentation required when companies change their legal structure, which may impact data storage and processing across borders due to changes in company type and associated data handling requirements.</t>
        </is>
      </c>
      <c r="M189" s="11" t="inlineStr">
        <is>
          <t>• [Must] A company must lodge an application with ASIC to change its type
• [Must] The application must include a copy of the special resolution resolving to change the type
• [Must] For a company limited by guarantee changing to a company limited by shares, the application must include a statement signed by directors that creditors are not likely to be materially prejudiced
• [Must] For companies changing to an unlimited company, the application must include an assent to the change signed by all members
• [Must] For proprietary companies changing to public companies, the application must include a consolidated copy of the constitution</t>
        </is>
      </c>
      <c r="N189" s="11" t="inlineStr">
        <is>
          <t>• [Must] The company must lodge a copy of any special resolution modifying its constitution after the application is lodged
• [Must] The company must lodge information relating to any change of rights attached to shares after the application is lodged
• [Must] For a company limited by guarantee changing to a company limited by shares, the application must include a list of details about persons receiving shares
• [Must] The company must have consents from persons receiving shares when the application is lodged</t>
        </is>
      </c>
      <c r="O189" s="11" t="inlineStr">
        <is>
          <t>Section 163: To change its type, a company must lodge an application with ASIC.</t>
        </is>
      </c>
      <c r="P189" s="12" t="n">
        <v>9</v>
      </c>
    </row>
    <row r="190">
      <c r="A190" t="inlineStr">
        <is>
          <t>Australia</t>
        </is>
      </c>
      <c r="B190" t="inlineStr">
        <is>
          <t>C2026C00058VOL01 (Australia - Row 13)</t>
        </is>
      </c>
      <c r="C190" t="inlineStr">
        <is>
          <t>6 (part 11)</t>
        </is>
      </c>
      <c r="D190" s="11" t="inlineStr">
        <is>
          <t>ASIC authority to direct company type changes and effect of conversion</t>
        </is>
      </c>
      <c r="E190" t="inlineStr">
        <is>
          <t>357–365</t>
        </is>
      </c>
      <c r="F190" t="inlineStr">
        <is>
          <t>Medium</t>
        </is>
      </c>
      <c r="G190" t="inlineStr">
        <is>
          <t>High (explicit)</t>
        </is>
      </c>
      <c r="H190" s="11" t="inlineStr"/>
      <c r="I190" s="11" t="inlineStr"/>
      <c r="J190" t="inlineStr">
        <is>
          <t>ASIC</t>
        </is>
      </c>
      <c r="K190" s="11" t="inlineStr">
        <is>
          <t>This section details ASIC's authority to direct proprietary companies to change to public companies if they contravene proprietary company requirements. It specifies that the company must comply within two months, and failure to do so results in ASIC automatically changing the company type. The section also clarifies that a change of type does not create a new legal entity or affect existing property, rights, or obligations.</t>
        </is>
      </c>
      <c r="L190" s="11" t="inlineStr">
        <is>
          <t>This section is relevant for DTIAs as it outlines the conditions under which company type changes occur, which may impact data storage and processing across borders due to changes in company structure and associated data handling requirements.</t>
        </is>
      </c>
      <c r="M190" s="11" t="inlineStr">
        <is>
          <t>• [Must] ASIC may direct a proprietary company to change to a public company within 2 months if it contravenes section 113
• [Must] The company must comply with the direction within 2 months by changing to a public company under section 164</t>
        </is>
      </c>
      <c r="N190" s="11" t="inlineStr">
        <is>
          <t>• [Must] A change of type does not create a new legal entity
• [Must] A change of type does not affect the company's existing property, rights or obligations</t>
        </is>
      </c>
      <c r="O190" s="11" t="inlineStr">
        <is>
          <t>Section 165: ASIC may direct a proprietary company in writing to change to a public company within 2 months if it is satisfied that the company has contravened section 113.</t>
        </is>
      </c>
      <c r="P190" s="12" t="n">
        <v>9</v>
      </c>
    </row>
    <row r="191">
      <c r="A191" t="inlineStr">
        <is>
          <t>Australia</t>
        </is>
      </c>
      <c r="B191" t="inlineStr">
        <is>
          <t>C2026C00058VOL01 (Australia - Row 13)</t>
        </is>
      </c>
      <c r="C191" t="inlineStr">
        <is>
          <t>6 (part 12)</t>
        </is>
      </c>
      <c r="D191" s="11" t="inlineStr">
        <is>
          <t>Registration of members and option holders for companies and schemes</t>
        </is>
      </c>
      <c r="E191" t="inlineStr">
        <is>
          <t>365–372</t>
        </is>
      </c>
      <c r="F191" t="inlineStr">
        <is>
          <t>High</t>
        </is>
      </c>
      <c r="G191" t="inlineStr">
        <is>
          <t>High (explicit)</t>
        </is>
      </c>
      <c r="H191" s="11" t="inlineStr">
        <is>
          <t>Data Storage, Data Residency, Record Keeping</t>
        </is>
      </c>
      <c r="I191" s="11" t="inlineStr">
        <is>
          <t>Personal Information, Financial Data</t>
        </is>
      </c>
      <c r="J191" t="inlineStr">
        <is>
          <t>ASIC</t>
        </is>
      </c>
      <c r="K191" s="11" t="inlineStr">
        <is>
          <t>This section mandates that companies and registered schemes maintain specific registers, including a register of members, option holders, and debenture holders. The registers must contain detailed information about members, such as names, addresses, share details, and dates of entry. For companies with share capital, the register must also include share allotment dates, share numbers, and the status of shares. The section specifies that registers must be updated for transfers and options, and that companies must keep these records at designated locations within Australia.</t>
        </is>
      </c>
      <c r="L191" s="11" t="inlineStr">
        <is>
          <t>This section establishes requirements for maintaining detailed member and option registers, which are critical for data storage compliance. It specifies data retention periods, update procedures, and geographic constraints on where registers must be kept, directly impacting cross-border data storage and transfer scenarios.</t>
        </is>
      </c>
      <c r="M191" s="11" t="inlineStr">
        <is>
          <t>• [Must] A company or registered scheme must set up and maintain a register of members
• [Must] The register of members must contain the name, address, and date of entry for each member
• [Must] For companies with share capital, the register must show allotment dates, share numbers, and share status
• [Must] The register must include information about option holders, including grant dates and exercise terms</t>
        </is>
      </c>
      <c r="N191" s="11" t="inlineStr">
        <is>
          <t>• [Must] The register must be updated whenever options are exercised or expire
• [Must] The company must keep the register at its registered office or principal place of business in Australia
• [Must] A company must notify ASIC within 7 days of moving the register from its registered office to another location</t>
        </is>
      </c>
      <c r="O191" s="11" t="inlineStr">
        <is>
          <t>Section 167A(1) This Chapter covers: (a) all companies; and (b) all registered schemes.</t>
        </is>
      </c>
      <c r="P191" s="12" t="n">
        <v>9</v>
      </c>
    </row>
    <row r="192">
      <c r="A192" t="inlineStr">
        <is>
          <t>Australia</t>
        </is>
      </c>
      <c r="B192" t="inlineStr">
        <is>
          <t>C2026C00058VOL01 (Australia - Row 13)</t>
        </is>
      </c>
      <c r="C192" t="inlineStr">
        <is>
          <t>6 (part 14)</t>
        </is>
      </c>
      <c r="D192" s="11" t="inlineStr">
        <is>
          <t>Notification of member register changes to ASIC within timeframes</t>
        </is>
      </c>
      <c r="E192" t="inlineStr">
        <is>
          <t>379–386</t>
        </is>
      </c>
      <c r="F192" t="inlineStr">
        <is>
          <t>Medium</t>
        </is>
      </c>
      <c r="G192" t="inlineStr">
        <is>
          <t>High (explicit)</t>
        </is>
      </c>
      <c r="H192" s="11" t="inlineStr">
        <is>
          <t>Data Sharing, Data Residency, Cross-border Transfer</t>
        </is>
      </c>
      <c r="I192" s="11" t="inlineStr">
        <is>
          <t>Customer Data</t>
        </is>
      </c>
      <c r="J192" t="inlineStr">
        <is>
          <t>ASIC</t>
        </is>
      </c>
      <c r="K192" s="11" t="inlineStr">
        <is>
          <t>Proprietary companies must notify ASIC within specified timeframes when they add or alter entries in their member register following certain events, including court orders for corrections, share divisions, share conversions, share issuances, or share capital reductions. The notification deadlines are tied to the company's existing notification obligations under other sections of the Corporations Act. This applies to proprietary companies and requires adherence to specific timeframes for each event type.</t>
        </is>
      </c>
      <c r="L192" s="11" t="inlineStr">
        <is>
          <t>Requires timely notification of member register changes to ASIC, which impacts data transfer impact assessments by establishing time-bound obligations for sharing corporate information across borders where ASIC is the regulator.</t>
        </is>
      </c>
      <c r="M192" s="11" t="inlineStr">
        <is>
          <t>• [Must] Company must notify ASIC within timeframes for member register changes following court orders for corrections
• [Must] Company must notify ASIC within timeframes for member register changes following share divisions
• [Must] Company must notify ASIC within timeframes for member register changes following share conversions</t>
        </is>
      </c>
      <c r="N192" s="11" t="inlineStr">
        <is>
          <t>• [Must] Company must notify ASIC within timeframes for member register changes following share issuances
• [Must] Company must notify ASIC within timeframes for member register changes following share capital reductions
• [Must] Company must notify ASIC within 28 days after adding or altering member register entries for events not covered by items 1-4</t>
        </is>
      </c>
      <c r="O192" s="11" t="inlineStr">
        <is>
          <t>The company must notify ASIC within this time... within 28 days after the day on which it adds or alters the particular in the register</t>
        </is>
      </c>
      <c r="P192" s="12" t="n">
        <v>9</v>
      </c>
    </row>
    <row r="193">
      <c r="A193" t="inlineStr">
        <is>
          <t>Australia</t>
        </is>
      </c>
      <c r="B193" t="inlineStr">
        <is>
          <t>C2026C00058VOL01 (Australia - Row 13)</t>
        </is>
      </c>
      <c r="C193" t="inlineStr">
        <is>
          <t>6 (part 15)</t>
        </is>
      </c>
      <c r="D193" s="11" t="inlineStr">
        <is>
          <t>Corporate directors' and secretaries' civil obligations</t>
        </is>
      </c>
      <c r="E193" t="inlineStr">
        <is>
          <t>386–393</t>
        </is>
      </c>
      <c r="F193" t="inlineStr">
        <is>
          <t>High</t>
        </is>
      </c>
      <c r="G193" t="inlineStr">
        <is>
          <t>High (explicit)</t>
        </is>
      </c>
      <c r="H193" s="11" t="inlineStr">
        <is>
          <t>Governance, Data Sharing, Data Residency</t>
        </is>
      </c>
      <c r="I193" s="11" t="inlineStr">
        <is>
          <t>Customer Data</t>
        </is>
      </c>
      <c r="J193" t="inlineStr"/>
      <c r="K193" s="11" t="inlineStr">
        <is>
          <t>Directors, secretaries, and other officers of corporations must exercise care, diligence, and good faith in their duties, avoiding improper use of position or information, and not causing detriment to the corporation. These obligations apply to civil liabilities and are distinct from criminal offenses. The duties include acting in good faith for the corporation's best interests, avoiding conflicts of interest, and ensuring proper use of information obtained in their capacity as officers.</t>
        </is>
      </c>
      <c r="L193" s="11" t="inlineStr">
        <is>
          <t>Establishes civil obligations for corporate officers that impact data transfer impact assessments by requiring adherence to governance standards when handling corporate data across borders.</t>
        </is>
      </c>
      <c r="M193" s="11" t="inlineStr">
        <is>
          <t>• [Must] Directors and officers must exercise care and diligence with the degree a reasonable person would exercise
• [Must] Directors and officers must make business judgments in good faith for proper purposes
• [Must Not] Directors and officers must not improperly use their position to gain advantage or cause detriment</t>
        </is>
      </c>
      <c r="N193" s="11" t="inlineStr">
        <is>
          <t>• [Must Not] Directors and officers must not improperly use information obtained in their capacity as officers
• [Must] Directors and officers must act in good faith in the best interests of the corporation
• [Must] Directors and officers must act for a proper purpose</t>
        </is>
      </c>
      <c r="O193" s="11" t="inlineStr">
        <is>
          <t>A director or other officer of a corporation must exercise their powers and discharge their duties with the degree of care and diligence that a reasonable person would exercise if they: (a) were a director or officer of a corporation in the corporation's circumstances; and (b) occupied the office held by, and had the same responsibilities within the corporation as, the director or officer.</t>
        </is>
      </c>
      <c r="P193" s="12" t="n">
        <v>9</v>
      </c>
    </row>
    <row r="194">
      <c r="A194" t="inlineStr">
        <is>
          <t>Australia</t>
        </is>
      </c>
      <c r="B194" t="inlineStr">
        <is>
          <t>C2026C00058VOL01 (Australia - Row 13)</t>
        </is>
      </c>
      <c r="C194" t="inlineStr">
        <is>
          <t>6 (part 16)</t>
        </is>
      </c>
      <c r="D194" s="11" t="inlineStr">
        <is>
          <t>Director disclosure of personal interests in company matters</t>
        </is>
      </c>
      <c r="E194" t="inlineStr">
        <is>
          <t>393–400</t>
        </is>
      </c>
      <c r="F194" t="inlineStr">
        <is>
          <t>High</t>
        </is>
      </c>
      <c r="G194" t="inlineStr">
        <is>
          <t>High (explicit)</t>
        </is>
      </c>
      <c r="H194" s="11" t="inlineStr">
        <is>
          <t>Cross-border Transfer, International Processing, Data Sharing, Data Storage</t>
        </is>
      </c>
      <c r="I194" s="11" t="inlineStr">
        <is>
          <t>Personal Information</t>
        </is>
      </c>
      <c r="J194" t="inlineStr">
        <is>
          <t>ASIC</t>
        </is>
      </c>
      <c r="K194" s="11" t="inlineStr">
        <is>
          <t>Directors must disclose material personal interests in company matters to other directors. The disclosure must be made in writing to individual directors if given to directors, and recorded in meeting minutes. The standing notice takes effect immediately upon disclosure and ceases if a new director is appointed who wasn't a director at the time of disclosure. If the interest materially increases, the standing notice ceases to apply. This section also specifies that directors may vote and proceed with transactions related to their interest if disclosure is made before the transaction, but they must not be present or vote on matters involving their interest unless specific conditions are met.</t>
        </is>
      </c>
      <c r="L194" s="11" t="inlineStr">
        <is>
          <t>This section establishes disclosure requirements for directors with material personal interests in company matters, which could impact data transfer assessments when directors handle personal data across borders. The disclosure process and conditions for voting on transactions involving personal interests affect how data is processed by directors in cross-border contexts.</t>
        </is>
      </c>
      <c r="M194" s="11" t="inlineStr">
        <is>
          <t>• [Must] Standing notice must be given to every director
• [Must] Standing notice must be tabled at next directors' meeting if given to directors individually
• [Must] Nature and extent of interest disclosed in standing notice must be recorded in meeting minutes
• [Must] Standing notice takes effect immediately upon disclosure
• [Must] Standing notice ceases to have effect if a new director is appointed who wasn't a director at time of disclosure
• [Must] Standing notice reactivates if given to the new director
• [Must] Standing notice ceases if interest materially increases above disclosed level
• [May] Directors may vote on matters related to interest if disclosure made before transaction</t>
        </is>
      </c>
      <c r="N194" s="11" t="inlineStr">
        <is>
          <t>• [May] Transactions related to interest may proceed if disclosure made before transaction
• [May] Directors may retain benefits from transactions related to interest
• [May] Company cannot avoid transaction due to director's interest
• [Must Not] Directors must not be present while considering matters involving their interest
• [Must Not] Directors must not vote on matters involving their interest
• [May] Directors may be present and vote if other directors pass resolution identifying interest and confirming it doesn't disqualify them
• [May] ASIC may declare director may be present and vote despite interest if quorum would be less than required without director
• [May] ASIC may make class orders allowing directors with interest to be present and vote</t>
        </is>
      </c>
      <c r="O194" s="11" t="inlineStr">
        <is>
          <t>Section 192(3): If the standing notice is given to the other directors individually in writing, it must be tabled at the next directors' meeting after it is given.</t>
        </is>
      </c>
      <c r="P194" s="12" t="n">
        <v>9</v>
      </c>
    </row>
    <row r="195">
      <c r="A195" t="inlineStr">
        <is>
          <t>Australia</t>
        </is>
      </c>
      <c r="B195" t="inlineStr">
        <is>
          <t>C2026C00058VOL01 (Australia - Row 13)</t>
        </is>
      </c>
      <c r="C195" t="inlineStr">
        <is>
          <t>6 (part 17)</t>
        </is>
      </c>
      <c r="D195" s="11" t="inlineStr">
        <is>
          <t>Directors' powers to manage company affairs</t>
        </is>
      </c>
      <c r="E195" t="inlineStr">
        <is>
          <t>400–407</t>
        </is>
      </c>
      <c r="F195" t="inlineStr">
        <is>
          <t>High</t>
        </is>
      </c>
      <c r="G195" t="inlineStr">
        <is>
          <t>High (explicit)</t>
        </is>
      </c>
      <c r="H195" s="11" t="inlineStr">
        <is>
          <t>Cross-border Transfer, International Processing, Data Storage, Data Sharing</t>
        </is>
      </c>
      <c r="I195" s="11" t="inlineStr">
        <is>
          <t>Personal Information</t>
        </is>
      </c>
      <c r="J195" t="inlineStr"/>
      <c r="K195" s="11" t="inlineStr">
        <is>
          <t>Directors may exercise all company powers except those requiring general meeting approval. Directors can delegate powers to committees, directors, employees, or others. Directors may sign negotiable instruments, appoint managing directors, and access company books for legal proceedings. Directors who are sole shareholders may exercise all powers without general meeting approval. This section also covers restrictions on officers' powers during external administration.</t>
        </is>
      </c>
      <c r="L195" s="11" t="inlineStr">
        <is>
          <t>This section defines directors' authority to manage company affairs, which impacts data transfer assessments by establishing who can access and process personal data across borders. The delegation of powers and access to company books affect how data is handled by directors in cross-border contexts.</t>
        </is>
      </c>
      <c r="M195" s="11" t="inlineStr">
        <is>
          <t>• [May] Directors may exercise all company powers except those requiring general meeting approval
• [May] Any 2 directors may sign negotiable instruments
• [May] Directors may confer powers on managing directors
• [May] Directors may delegate powers to committees, directors, employees, or others
• [Must] Delegated powers must be exercised according to directors' directions</t>
        </is>
      </c>
      <c r="N195" s="11" t="inlineStr">
        <is>
          <t>• [May] Directors may inspect company books for legal proceedings
• [May] Directors may take copies of books for legal proceedings
• [Must] Company must allow access to books for legal proceedings
• [May] Sole directors may exercise all company powers without general meeting approval
• [May] Sole directors may sign negotiable instruments</t>
        </is>
      </c>
      <c r="O195" s="11" t="inlineStr">
        <is>
          <t>Section 198A(1): The business of a company is to be managed by or under the direction of the directors.</t>
        </is>
      </c>
      <c r="P195" s="12" t="n">
        <v>9</v>
      </c>
    </row>
    <row r="196">
      <c r="A196" t="inlineStr">
        <is>
          <t>Australia</t>
        </is>
      </c>
      <c r="B196" t="inlineStr">
        <is>
          <t>C2026C00058VOL01 (Australia - Row 13)</t>
        </is>
      </c>
      <c r="C196" t="inlineStr">
        <is>
          <t>6 (part 18)</t>
        </is>
      </c>
      <c r="D196" s="11" t="inlineStr">
        <is>
          <t>Indemnity and insurance restrictions for officers and auditors</t>
        </is>
      </c>
      <c r="E196" t="inlineStr">
        <is>
          <t>407–413</t>
        </is>
      </c>
      <c r="F196" t="inlineStr">
        <is>
          <t>High</t>
        </is>
      </c>
      <c r="G196" t="inlineStr">
        <is>
          <t>High (explicit)</t>
        </is>
      </c>
      <c r="H196" s="11" t="inlineStr">
        <is>
          <t>Cross-border Transfer, International Processing, Data Storage, Security</t>
        </is>
      </c>
      <c r="I196" s="11" t="inlineStr">
        <is>
          <t>Personal Information</t>
        </is>
      </c>
      <c r="J196" t="inlineStr">
        <is>
          <t>ASIC</t>
        </is>
      </c>
      <c r="K196" s="11" t="inlineStr">
        <is>
          <t>A company cannot indemnify a person against legal costs incurred in defending actions where the person is found liable for which they could not be indemnified under section 199A. This includes defending criminal proceedings, proceedings by ASIC or liquidators for court orders, and proceedings for relief under the Act where the court denies relief. The company may provide loans or advances for legal costs instead. The outcome of proceedings includes any related appeals.</t>
        </is>
      </c>
      <c r="L196" s="11" t="inlineStr">
        <is>
          <t>Restricts indemnification of officers and auditors against legal costs in specific scenarios, impacting cross-border data transfer where legal costs are involved in disputes over data processing.</t>
        </is>
      </c>
      <c r="M196" s="11" t="inlineStr">
        <is>
          <t>• [Must Not] A company must not indemnify a person against legal costs incurred in defending actions where the person is found liable for which they could not be indemnified under subsection (2)
• [Must Not] A company must not indemnify a person against legal costs incurred in defending criminal proceedings where the person is found guilty
• [Must Not] A company must not indemnify a person against legal costs incurred in defending proceedings by ASIC or liquidators for court orders where the grounds for the order are established</t>
        </is>
      </c>
      <c r="N196" s="11" t="inlineStr">
        <is>
          <t>• [Must Not] A company must not indemnify a person against legal costs incurred in proceedings for relief under this Act where the court denies the relief
• [May] The company may provide a loan or advance for legal costs</t>
        </is>
      </c>
      <c r="O196" s="11" t="inlineStr">
        <is>
          <t>A company or related body corporate must not indemnify a person against legal costs incurred in defending an action for a liability incurred as an officer or auditor of the company if the costs are incurred: (a) in defending or resisting proceedings in which the person is found to have a liability for which they could not be indemnified under subsection (2); or (b) in defending or resisting criminal proceedings in which the person is found guilty; or (c) in defending or resisting proceedings brought by ASIC or a liquidator for a court order if the grounds for making the order are found by the court to have been established; or (d) in connection with proceedings for relief to the person under this Act in which the Court denies the relief.</t>
        </is>
      </c>
      <c r="P196" s="12" t="n">
        <v>9</v>
      </c>
    </row>
    <row r="197">
      <c r="A197" t="inlineStr">
        <is>
          <t>Australia</t>
        </is>
      </c>
      <c r="B197" t="inlineStr">
        <is>
          <t>C2026C00058VOL01 (Australia - Row 13)</t>
        </is>
      </c>
      <c r="C197" t="inlineStr">
        <is>
          <t>6 (part 20)</t>
        </is>
      </c>
      <c r="D197" s="11" t="inlineStr">
        <is>
          <t>Pension and lump sum payment calculations for retirement benefits</t>
        </is>
      </c>
      <c r="E197" t="inlineStr">
        <is>
          <t>419–426</t>
        </is>
      </c>
      <c r="F197" t="inlineStr">
        <is>
          <t>High</t>
        </is>
      </c>
      <c r="G197" t="inlineStr">
        <is>
          <t>High (explicit)</t>
        </is>
      </c>
      <c r="H197" s="11" t="inlineStr"/>
      <c r="I197" s="11" t="inlineStr">
        <is>
          <t>Financial Data</t>
        </is>
      </c>
      <c r="J197" t="inlineStr">
        <is>
          <t>ASIC</t>
        </is>
      </c>
      <c r="K197" s="11" t="inlineStr">
        <is>
          <t>This section defines the calculation method for pension and lump sum payments upon retirement from a company or related body corporate. It specifies that the value of benefits must not exceed the amount calculated based on the relevant period, which is determined by the duration the person held managerial or executive office. The calculation varies depending on the length of the relevant period (less than 1 year, 1-2 years, 2-3 years, or 3+ years) and involves estimating annual base salary. The section also states that any pension or lump sum payment attributable to contributions made by the person or other entities must be disregarded when determining the value for the purpose of this calculation.</t>
        </is>
      </c>
      <c r="L197" s="11" t="inlineStr">
        <is>
          <t>This section specifies how to calculate the value of retirement benefits for data transfer impact assessments, particularly when determining the scope of data that may be transferred across borders related to pension and lump sum payments. The calculation method based on relevant periods and base salary estimates affects the data types and financial relevance of cross-border transfers involving retirement benefits.</t>
        </is>
      </c>
      <c r="M197" s="11" t="inlineStr">
        <is>
          <t>• [Must] The relevant period for a person holding managerial or executive office is the period they held that office throughout a single period or multiple periods.
• [Must Not] For benefits related to retirement, the value must not exceed the amount calculated based on the relevant period and the person's annual base salary.
• [Condition] The calculation for the amount worked out depends on the length of the relevant period (less than 1 year, 1-2 years, 2-3 years, or 3+ years).</t>
        </is>
      </c>
      <c r="N197" s="11" t="inlineStr">
        <is>
          <t>• [Condition] The amount worked out for the relevant period is the average annual base salary over the last 3 years of the relevant period if the period is 3 years or more.
• [Must Not] Any pension or lump sum payment attributable to contributions made by the person must be disregarded when determining the value.
• [Must Not] Any pension or lump sum payment attributable to contributions made by other entities must be disregarded when determining the value.</t>
        </is>
      </c>
      <c r="O197" s="11" t="inlineStr">
        <is>
          <t>Section 200G: (1) Subsection 200B(1) does not apply to a benefit if: (a) the benefit is a payment in connection with a person's retirement from an office or position in a company or a related body corporate; and (b) the payment is for past services the person rendered to: (i) the company; or (ii) a related body corporate; or (iii) a body that was a related body corporate of the company when the past services were rendered; and (c) the value of the benefit, when added to the value of all other benefits (if any) already given in connection with the person's retirement from offices or positions in the company and related bodies corporate does not exceed the amount worked out under whichever of subsections (2) and (3) is applicable.</t>
        </is>
      </c>
      <c r="P197" s="12" t="n">
        <v>9</v>
      </c>
    </row>
    <row r="198">
      <c r="A198" t="inlineStr">
        <is>
          <t>Australia</t>
        </is>
      </c>
      <c r="B198" t="inlineStr">
        <is>
          <t>C2026C00058VOL01 (Australia - Row 13)</t>
        </is>
      </c>
      <c r="C198" t="inlineStr">
        <is>
          <t>6 (part 21)</t>
        </is>
      </c>
      <c r="D198" s="11" t="inlineStr">
        <is>
          <t>Director appointments and confirmations for proprietary and public companies</t>
        </is>
      </c>
      <c r="E198" t="inlineStr">
        <is>
          <t>426–432</t>
        </is>
      </c>
      <c r="F198" t="inlineStr">
        <is>
          <t>High</t>
        </is>
      </c>
      <c r="G198" t="inlineStr">
        <is>
          <t>High (explicit)</t>
        </is>
      </c>
      <c r="H198" s="11" t="inlineStr"/>
      <c r="I198" s="11" t="inlineStr"/>
      <c r="J198" t="inlineStr">
        <is>
          <t>ASIC</t>
        </is>
      </c>
      <c r="K198" s="11" t="inlineStr">
        <is>
          <t>This section outlines the rules for appointing directors, including the requirement for a company to confirm appointments within 2 months for proprietary companies or at the next general meeting for public companies. It specifies that a director may appoint an alternate director to exercise some or all of their powers for a specified period, and that such appointments must be in writing and notified to ASIC. The section also addresses the effectiveness of acts by directors even if their appointment is invalid due to non-compliance with the company's constitution.</t>
        </is>
      </c>
      <c r="L198" s="11" t="inlineStr">
        <is>
          <t>This section impacts data transfer impact assessments by defining the conditions under which director appointments and confirmations must occur, particularly for proprietary and public companies. The requirement for written confirmations and ASIC notifications affects the data types and financial relevance of cross-border transfers involving director information.</t>
        </is>
      </c>
      <c r="M198" s="11" t="inlineStr">
        <is>
          <t>• [Must] A company may appoint a person as a director by resolution passed in general meeting.
• [Must] If a person is appointed as a director of a proprietary company, the company must confirm the appointment by resolution within 2 months after the appointment.
• [Must] If a person is appointed as a director of a public company by other directors, the company must confirm the appointment by resolution at the next general meeting.
• [Must] A director may appoint an alternate to exercise some or all of their powers for a specified period with the other directors' approval.</t>
        </is>
      </c>
      <c r="N198" s="11" t="inlineStr">
        <is>
          <t>• [Must] The appointment of an alternate director must be in writing and a copy must be given to the company.
• [Must] The company must notify ASIC within 28 days if a person is appointed as a director or alternate director.
• [Must] An act done by a director is effective even if their appointment is invalid due to non-compliance with the company's constitution.</t>
        </is>
      </c>
      <c r="O198" s="11" t="inlineStr">
        <is>
          <t>Section 201G: A company may appoint a person as a director by resolution passed in general meeting. Section 201H: The directors of a company may appoint a person as a director. A person can be appointed as a director in order to make up a quorum for a directors' meeting even if the total number of directors of the company is not enough to make up that quorum.</t>
        </is>
      </c>
      <c r="P198" s="12" t="n">
        <v>9</v>
      </c>
    </row>
    <row r="199">
      <c r="A199" t="inlineStr">
        <is>
          <t>Australia</t>
        </is>
      </c>
      <c r="B199" t="inlineStr">
        <is>
          <t>C2026C00058VOL01 (Australia - Row 13)</t>
        </is>
      </c>
      <c r="C199" t="inlineStr">
        <is>
          <t>6 (part 22)</t>
        </is>
      </c>
      <c r="D199" s="11" t="inlineStr">
        <is>
          <t>Director resignation and effectiveness conditions</t>
        </is>
      </c>
      <c r="E199" t="inlineStr">
        <is>
          <t>432–439</t>
        </is>
      </c>
      <c r="F199" t="inlineStr">
        <is>
          <t>Medium</t>
        </is>
      </c>
      <c r="G199" t="inlineStr">
        <is>
          <t>High (explicit)</t>
        </is>
      </c>
      <c r="H199" s="11" t="inlineStr"/>
      <c r="I199" s="11" t="inlineStr">
        <is>
          <t>Personal Information</t>
        </is>
      </c>
      <c r="J199" t="inlineStr">
        <is>
          <t>ASIC</t>
        </is>
      </c>
      <c r="K199" s="11" t="inlineStr">
        <is>
          <t>This section outlines conditions under which a director's resignation takes effect. It specifies that resignation takes effect on the day the person stops being a director unless ASIC or the Court fixes a different day. The Court may adjust the resignation date if the resignation takes effect on a day that is not the day the person stopped being a director, provided the applicant satisfies the conditions for equity and fairness. The resignation does not take effect if the company has no directors remaining after the resignation.</t>
        </is>
      </c>
      <c r="L199" s="11" t="inlineStr">
        <is>
          <t>This section affects data transfer impact assessments by establishing conditions for director resignation effectiveness, which could impact data handling continuity if directors are involved in data processing activities across borders.</t>
        </is>
      </c>
      <c r="M199" s="11" t="inlineStr">
        <is>
          <t>• [Must] A person's resignation as a director takes effect on the day they stopped being a director unless ASIC or the Court fixes a different day
• [Must] ASIC or the Court may fix the resignation day as the day the person's resignation takes effect if the applicant satisfies conditions for equity and fairness</t>
        </is>
      </c>
      <c r="N199" s="11" t="inlineStr">
        <is>
          <t>• [Must] The resignation does not take effect if the company has no directors remaining after the resignation</t>
        </is>
      </c>
      <c r="O199" s="11" t="inlineStr">
        <is>
          <t>A person's resignation as a director of a company takes effect on: (a) if, within 28 days after the day the person stopped being a director of the company, ASIC is notified of that fact under subsection 205A(1) or 205B(5)—the day the person stopped being a director of the company; or (b) in any other case—the day written notice is lodged with ASIC stating that the person has stopped being a director of the company.</t>
        </is>
      </c>
      <c r="P199" s="12" t="n">
        <v>9</v>
      </c>
    </row>
    <row r="200">
      <c r="A200" t="inlineStr">
        <is>
          <t>Australia</t>
        </is>
      </c>
      <c r="B200" t="inlineStr">
        <is>
          <t>C2026C00058VOL01 (Australia - Row 13)</t>
        </is>
      </c>
      <c r="C200" t="inlineStr">
        <is>
          <t>6 (part 23)</t>
        </is>
      </c>
      <c r="D200" s="11" t="inlineStr">
        <is>
          <t>Director resignation and effectiveness conditions for public companies</t>
        </is>
      </c>
      <c r="E200" t="inlineStr">
        <is>
          <t>439–447</t>
        </is>
      </c>
      <c r="F200" t="inlineStr">
        <is>
          <t>Medium</t>
        </is>
      </c>
      <c r="G200" t="inlineStr">
        <is>
          <t>High (explicit)</t>
        </is>
      </c>
      <c r="H200" s="11" t="inlineStr"/>
      <c r="I200" s="11" t="inlineStr">
        <is>
          <t>Personal Information</t>
        </is>
      </c>
      <c r="J200" t="inlineStr">
        <is>
          <t>ASIC</t>
        </is>
      </c>
      <c r="K200" s="11" t="inlineStr">
        <is>
          <t>This section specifies that a director's resignation takes effect on the day they stop being a director unless ASIC or the Court fixes a different day. The Court may adjust the resignation date if the resignation takes effect on a day that is not the day the person stopped being a director, provided the applicant satisfies conditions for equity and fairness. The resignation does not take effect if the company has no directors remaining after the resignation.</t>
        </is>
      </c>
      <c r="L200" s="11" t="inlineStr">
        <is>
          <t>This section affects data transfer impact assessments by establishing conditions for director resignation effectiveness, which could impact data handling continuity if directors are involved in data processing activities across borders.</t>
        </is>
      </c>
      <c r="M200" s="11" t="inlineStr">
        <is>
          <t>• [Must] A person's resignation as a director takes effect on the day they stopped being a director unless ASIC or the Court fixes a different day
• [Must] ASIC or the Court may fix the resignation day as the day the person's resignation takes effect if the applicant satisfies conditions for equity and fairness</t>
        </is>
      </c>
      <c r="N200" s="11" t="inlineStr">
        <is>
          <t>• [Must] The resignation does not take effect if the company has no directors remaining after the resignation</t>
        </is>
      </c>
      <c r="O200" s="11" t="inlineStr">
        <is>
          <t>A person's resignation as a director of a company takes effect on: (a) if, within 28 days after the day the person stopped being a director of the company, ASIC is notified of that fact under subsection 205A(1) or 205B(5)—the day the person stopped being a director of the company; or (b) in any other case—the day written notice is lodged with ASIC stating that the person has stopped being a director of the company.</t>
        </is>
      </c>
      <c r="P200" s="12" t="n">
        <v>9</v>
      </c>
    </row>
    <row r="201">
      <c r="A201" t="inlineStr">
        <is>
          <t>Australia</t>
        </is>
      </c>
      <c r="B201" t="inlineStr">
        <is>
          <t>C2026C00058VOL01 (Australia - Row 13)</t>
        </is>
      </c>
      <c r="C201" t="inlineStr">
        <is>
          <t>6 (part 24)</t>
        </is>
      </c>
      <c r="D201" s="11" t="inlineStr">
        <is>
          <t>Alternative address for service in legal notices</t>
        </is>
      </c>
      <c r="E201" t="inlineStr">
        <is>
          <t>447–454</t>
        </is>
      </c>
      <c r="F201" t="inlineStr">
        <is>
          <t>Low</t>
        </is>
      </c>
      <c r="G201" t="inlineStr">
        <is>
          <t>High (explicit)</t>
        </is>
      </c>
      <c r="H201" s="11" t="inlineStr">
        <is>
          <t>Cross-border Transfer, Data Storage, Security</t>
        </is>
      </c>
      <c r="I201" s="11" t="inlineStr">
        <is>
          <t>Personal Information</t>
        </is>
      </c>
      <c r="J201" t="inlineStr">
        <is>
          <t>ASIC</t>
        </is>
      </c>
      <c r="K201" s="11" t="inlineStr">
        <is>
          <t>This section allows individuals to provide an alternative Australian address for receiving legal notices if their residential address is not on an electoral roll or if ASIC determines including their residential address risks their safety. The alternative address must be within Australia and must be a valid address for service. Individuals must notify ASIC of their usual residential address before using the alternative address and must update ASIC within 14 days of any change. ASIC may disclose the usual residential address to courts to enforce judgments.</t>
        </is>
      </c>
      <c r="L201" s="11" t="inlineStr">
        <is>
          <t>This section establishes conditions for alternative addresses used in legal notices, which could impact data transfer if addresses are shared across borders for service purposes.</t>
        </is>
      </c>
      <c r="M201" s="11" t="inlineStr">
        <is>
          <t>• [Must] Alternative address must be in Australia and be one at which documents can be served on the person
• [Must] A person is entitled to have only 1 alternative address under this section
• [Must] Before or at the same time as the alternative address is first included in a notice or application, lodge with ASIC notice of the person's usual residential address</t>
        </is>
      </c>
      <c r="N201" s="11" t="inlineStr">
        <is>
          <t>• [Must] Lodge with ASIC notice of any change in the person's usual residential address within 14 days after the change
• [May] ASIC may give details of the person's usual residential address to an officer of the court for the purposes of enforcing the judgment debt</t>
        </is>
      </c>
      <c r="O201" s="11" t="inlineStr">
        <is>
          <t>Section 205E(2) - A person who takes advantage of subsection (2) must: (a) before or at the same time as the alternative address is first included in a notice or application, lodge with ASIC notice of the person's usual residential address; and (b) lodge with ASIC notice of any change in the person's usual residential address within 14 days after the change.</t>
        </is>
      </c>
      <c r="P201" s="12" t="n">
        <v>9</v>
      </c>
    </row>
    <row r="202">
      <c r="A202" t="inlineStr">
        <is>
          <t>Australia</t>
        </is>
      </c>
      <c r="B202" t="inlineStr">
        <is>
          <t>C2026C00058VOL01 (Australia - Row 13)</t>
        </is>
      </c>
      <c r="C202" t="inlineStr">
        <is>
          <t>6 (part 25)</t>
        </is>
      </c>
      <c r="D202" s="11" t="inlineStr">
        <is>
          <t>Court power to disqualify for repeated contraventions</t>
        </is>
      </c>
      <c r="E202" t="inlineStr">
        <is>
          <t>454–461</t>
        </is>
      </c>
      <c r="F202" t="inlineStr">
        <is>
          <t>High</t>
        </is>
      </c>
      <c r="G202" t="inlineStr">
        <is>
          <t>High (explicit)</t>
        </is>
      </c>
      <c r="H202" s="11" t="inlineStr">
        <is>
          <t>Data Storage, Governance</t>
        </is>
      </c>
      <c r="I202" s="11" t="inlineStr">
        <is>
          <t>Personal Information</t>
        </is>
      </c>
      <c r="J202" t="inlineStr">
        <is>
          <t>Court</t>
        </is>
      </c>
      <c r="K202" s="11" t="inlineStr">
        <is>
          <t>Courts may disqualify persons who have at least twice been officers of a body corporate that has contravened the Act or Corporations Act, failed to take reasonable steps to prevent contraventions, or have repeated contraventions while in office. The disqualification period is determined by the court.</t>
        </is>
      </c>
      <c r="L202" s="11" t="inlineStr">
        <is>
          <t>This section allows courts to disqualify persons for repeated contraventions, which could impact data transfer if corporate compliance details are shared across borders.</t>
        </is>
      </c>
      <c r="M202" s="11" t="inlineStr">
        <is>
          <t>• [May] Courts may disqualify persons who have at least twice been officers of a body corporate that has contravened this Act or the Corporations Act</t>
        </is>
      </c>
      <c r="N202" s="11" t="inlineStr">
        <is>
          <t>• [May] Courts may disqualify persons who have at: (i) at least twice failed to take reasonable steps to prevent contraventions; (ii) at least twice contravened this Act or the Corporations Act while in office; (iii) done something that would have contravened subsection 180(1) or section 181 if the body corporate had been a corporation</t>
        </is>
      </c>
      <c r="O202" s="11" t="inlineStr">
        <is>
          <t>Section 206E(3) - Courts may disqualify persons who have at least twice been officers of a body corporate that has contravened this Act or the Corporations Act, failed to take reasonable steps to prevent contraventions, or have repeated contraventions while in office.</t>
        </is>
      </c>
      <c r="P202" s="12" t="n">
        <v>9</v>
      </c>
    </row>
    <row r="203">
      <c r="A203" t="inlineStr">
        <is>
          <t>Australia</t>
        </is>
      </c>
      <c r="B203" t="inlineStr">
        <is>
          <t>C2026C00058VOL01 (Australia - Row 13)</t>
        </is>
      </c>
      <c r="C203" t="inlineStr">
        <is>
          <t>6 (part 26)</t>
        </is>
      </c>
      <c r="D203" s="11" t="inlineStr">
        <is>
          <t>Disqualification of corporate officers under competition and consumer laws</t>
        </is>
      </c>
      <c r="E203" t="inlineStr">
        <is>
          <t>461–468</t>
        </is>
      </c>
      <c r="F203" t="inlineStr">
        <is>
          <t>High</t>
        </is>
      </c>
      <c r="G203" t="inlineStr">
        <is>
          <t>High (explicit)</t>
        </is>
      </c>
      <c r="H203" s="11" t="inlineStr"/>
      <c r="I203" s="11" t="inlineStr">
        <is>
          <t>Financial Data</t>
        </is>
      </c>
      <c r="J203" t="inlineStr">
        <is>
          <t>ASIC</t>
        </is>
      </c>
      <c r="K203" s="11" t="inlineStr">
        <is>
          <t>A person is disqualified from managing corporations if a court order under the Competition and Consumer Act 2010 or ASIC Act is in force. ASIC may disqualify a person for up to 5 years if they were an officer of multiple corporations that wound up within 7 years, with specific conditions on financial recoveries and employee entitlements. Disqualification takes effect immediately after notice is served and may be subject to court review for leave to manage corporations.</t>
        </is>
      </c>
      <c r="L203" s="11" t="inlineStr">
        <is>
          <t>This section establishes conditions for disqualifying corporate officers, which could impact data transfer if disqualified individuals handle sensitive financial data across borders.</t>
        </is>
      </c>
      <c r="M203" s="11" t="inlineStr">
        <is>
          <t>• [Must] A person is disqualified from managing corporations if a court order disqualifying the person from managing corporations is in force under section 86E of the Competition and Consumer Act 2010
• [Must] A person is disqualified from managing corporations if a court order disqualifying the person from managing corporations is in force under section 248 of Schedule 2 to the ASIC Act
• [Must] ASIC may disqualify a person from managing corporations for up to 5 years if within 7 years before notice, the person was an officer of 2 or more corporations that wound up with liquidators reporting inability to pay debts
• [Must] ASIC must give the person a notice in prescribed form requiring them to demonstrate why they should not be disqualified</t>
        </is>
      </c>
      <c r="N203" s="11" t="inlineStr">
        <is>
          <t>• [Must] ASIC must give the person an opportunity to be heard on the question
• [Must] ASIC must be satisfied that disqualification is justified
• [Must] Disqualification takes effect from the time when ASIC serves notice on the person</t>
        </is>
      </c>
      <c r="O203" s="11" t="inlineStr">
        <is>
          <t>A person is disqualified from managing corporations if a court order disqualifying the person from managing corporations is in force under: (a) section 86E of the Competition and Consumer Act 2010; or (b) section 248 of Schedule 2 to that Act, as that section applies as a law of the Commonwealth, a State or a Territory.</t>
        </is>
      </c>
      <c r="P203" s="12" t="n">
        <v>9</v>
      </c>
    </row>
    <row r="204">
      <c r="A204" t="inlineStr">
        <is>
          <t>Australia</t>
        </is>
      </c>
      <c r="B204" t="inlineStr">
        <is>
          <t>C2026C00058VOL01 (Australia - Row 13)</t>
        </is>
      </c>
      <c r="C204" t="inlineStr">
        <is>
          <t>6 (part 27)</t>
        </is>
      </c>
      <c r="D204" s="11" t="inlineStr">
        <is>
          <t>Ban on hedging remuneration of key management personnel</t>
        </is>
      </c>
      <c r="E204" t="inlineStr">
        <is>
          <t>468–478</t>
        </is>
      </c>
      <c r="F204" t="inlineStr">
        <is>
          <t>High</t>
        </is>
      </c>
      <c r="G204" t="inlineStr">
        <is>
          <t>High (explicit)</t>
        </is>
      </c>
      <c r="H204" s="11" t="inlineStr"/>
      <c r="I204" s="11" t="inlineStr">
        <is>
          <t>Financial Data</t>
        </is>
      </c>
      <c r="J204" t="inlineStr">
        <is>
          <t>ASIC</t>
        </is>
      </c>
      <c r="K204" s="11" t="inlineStr">
        <is>
          <t>Key management personnel for disclosing entities cannot enter into arrangements that limit their exposure to risk related to remuneration that has not vested or remains subject to a holding lock. Remuneration not payable until a specific date is considered unvested until that date. Contravention is an offence of strict liability, with additional offences for reckless or intentional contraventions by closely related parties.</t>
        </is>
      </c>
      <c r="L204" s="11" t="inlineStr">
        <is>
          <t>This section restricts remuneration arrangements for key management personnel, which could affect data transfer if remuneration involves cross-border financial transactions.</t>
        </is>
      </c>
      <c r="M204" s="11" t="inlineStr">
        <is>
          <t>• [Must Not] A member of key management personnel for a disclosing entity must not enter into arrangements limiting exposure to risk relating to remuneration that has not vested or remains subject to a holding lock
• [Must] Remuneration not payable until a specific date is considered unvested until that date</t>
        </is>
      </c>
      <c r="N204" s="11" t="inlineStr">
        <is>
          <t>• [Must] Contravention of subsection (1) is an offence of strict liability
• [Must] A closely related party of a key management personnel member commits an offence if they intentionally contravene subsection (1)</t>
        </is>
      </c>
      <c r="O204" s="11" t="inlineStr">
        <is>
          <t>A member of the key management personnel for a company that is a disclosing entity, or a closely related party of such a member, must not enter into an arrangement (with anyone) if the arrangement would have the effect of limiting the exposure of the member to risk relating to an element of the member's remuneration that: (a) has not vested in the member; or (b) has vested in the member but remains subject to a holding lock.</t>
        </is>
      </c>
      <c r="P204" s="12" t="n">
        <v>9</v>
      </c>
    </row>
    <row r="205">
      <c r="A205" t="inlineStr">
        <is>
          <t>Australia</t>
        </is>
      </c>
      <c r="B205" t="inlineStr">
        <is>
          <t>C2026C00058VOL01 (Australia - Row 13)</t>
        </is>
      </c>
      <c r="C205" t="inlineStr">
        <is>
          <t>6 (part 28)</t>
        </is>
      </c>
      <c r="D205" s="11" t="inlineStr">
        <is>
          <t>Exceptions to member approval for financial benefits to related parties</t>
        </is>
      </c>
      <c r="E205" t="inlineStr">
        <is>
          <t>478–485</t>
        </is>
      </c>
      <c r="F205" t="inlineStr">
        <is>
          <t>High</t>
        </is>
      </c>
      <c r="G205" t="inlineStr">
        <is>
          <t>High (explicit)</t>
        </is>
      </c>
      <c r="H205"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205" s="11" t="inlineStr">
        <is>
          <t>Financial Data</t>
        </is>
      </c>
      <c r="J205" t="inlineStr">
        <is>
          <t>ASIC</t>
        </is>
      </c>
      <c r="K205" s="11" t="inlineStr">
        <is>
          <t>This section outlines exceptions where member approval is not required for financial benefits to related parties. It specifies that benefits for related parties acting as officers, indemnities, exemptions, insurance premiums, legal costs, and small amounts under certain thresholds do not require approval if they are reasonable and meet specific conditions. The section also defines related parties and the circumstances under which benefits are considered to be given.</t>
        </is>
      </c>
      <c r="L205" s="11" t="inlineStr">
        <is>
          <t>This section provides exceptions for financial benefits to related parties without requiring member approval, which can impact data transfer assessments when related parties are involved in financial transactions.</t>
        </is>
      </c>
      <c r="M205" s="11" t="inlineStr">
        <is>
          <t>• [Must] Member approval is not needed for financial benefits to related parties who are officers of the public company or entity
• [Must] The benefit must be an indemnity, exemption, or insurance premium for liabilities incurred as an officer
• [Must] The benefit must be reasonable in the circumstances of the public company or entity giving the benefit
• [Must] Member approval is not needed for payments in respect of legal costs incurred by officers defending actions for liabilities incurred as officers
• [Must] The officer must repay the amount paid if costs become costs for which the company must not give indemnity under section 199A</t>
        </is>
      </c>
      <c r="N205" s="11" t="inlineStr">
        <is>
          <t>• [Must] Member approval is not needed for financial benefits to related parties if the total amount is less than or equal to the prescribed amount for the financial year
• [Must] The financial benefit must be given by a body corporate to a closely-held subsidiary or vice versa
• [Must] A body corporate is a closely-held subsidiary if no member is a person other than the other body, a nominee of the other body, or a closely-held subsidiary of the other body
• [Must] Member approval is not needed for financial benefits to members if the benefit does not discriminate unfairly against other members
• [Must] Member approval is not needed for financial benefits under a court order</t>
        </is>
      </c>
      <c r="O205" s="11" t="inlineStr">
        <is>
          <t>Member approval is not needed to give a financial benefit if: (a) the benefit is for a related party who is an officer of the public company or entity; and (b) the benefit is an indemnity, exemption or insurance premium in respect of a liability incurred as an officer of the public company or entity; and (c) to give the benefit would be reasonable in the circumstances of the public company or entity giving the benefit.</t>
        </is>
      </c>
      <c r="P205" s="12" t="n">
        <v>9</v>
      </c>
    </row>
    <row r="206">
      <c r="A206" t="inlineStr">
        <is>
          <t>Australia</t>
        </is>
      </c>
      <c r="B206" t="inlineStr">
        <is>
          <t>C2026C00058VOL01 (Australia - Row 13)</t>
        </is>
      </c>
      <c r="C206" t="inlineStr">
        <is>
          <t>6 (part 30)</t>
        </is>
      </c>
      <c r="D206" s="11" t="inlineStr">
        <is>
          <t>Membership and oppressive conduct of company affairs</t>
        </is>
      </c>
      <c r="E206" t="inlineStr">
        <is>
          <t>493–500</t>
        </is>
      </c>
      <c r="F206" t="inlineStr">
        <is>
          <t>Medium</t>
        </is>
      </c>
      <c r="G206" t="inlineStr">
        <is>
          <t>High (explicit)</t>
        </is>
      </c>
      <c r="H206" s="11" t="inlineStr">
        <is>
          <t>Cross-border Transfer, International Processing, Data Storage, Security, Consent, Customer Information, Employee Information, Financial Data, KYC, AML, Governance, Record Keeping</t>
        </is>
      </c>
      <c r="I206" s="11" t="inlineStr">
        <is>
          <t>Personal Information, Financial Data</t>
        </is>
      </c>
      <c r="J206" t="inlineStr">
        <is>
          <t>Court</t>
        </is>
      </c>
      <c r="K206" s="11" t="inlineStr">
        <is>
          <t>A person becomes a company member if registered, agrees to join after registration, or joins via conversion from a guarantee company. The court may order remedies if company conduct is oppressive to members, unfairly prejudicial, or discriminatory. A person inheriting shares is treated as a member. The court can order winding up, constitutional changes, future conduct regulation, share purchases, legal proceedings, or appointments of receivers. The company cannot change its constitution if inconsistent with court orders without court permission.</t>
        </is>
      </c>
      <c r="L206" s="11" t="inlineStr">
        <is>
          <t>This section establishes conditions for court intervention when company conduct is oppressive to members, relevant for DTIAs involving cross-border company structures where member rights or constitutional changes affect data flows.</t>
        </is>
      </c>
      <c r="M206" s="11" t="inlineStr">
        <is>
          <t>• [Must] A person is a member of a company if they are registered, agree to join after registration, or become a member under section 167
• [Must] The court may make orders if company conduct is oppressive to members, unfairly prejudicial, or discriminatory
• [Must] The court can order winding up of the company
• [Must] The court can order modification or repeal of the company's constitution
• [Must] The court can regulate future conduct of the company's affairs
• [Must] The court can order purchase of shares by members or persons inheriting shares</t>
        </is>
      </c>
      <c r="N206" s="11" t="inlineStr">
        <is>
          <t>• [Must] The court can order purchase of shares with reduction of company share capital
• [Must] The court can authorize members or persons inheriting shares to institute proceedings on behalf of the company
• [Must] The court can appoint a receiver or receiver and manager of company property
• [Must] The court can restrain a person from engaging in specified conduct
• [Must] The court can require a person to do a specified act
• [Must] A person inheriting shares is treated as a member of the company</t>
        </is>
      </c>
      <c r="O206" s="11" t="inlineStr">
        <is>
          <t>Section 231: A person is a member of a company if they: (a) are a member of the company on its registration; or (b) agree to become a member of the company after its registration and their name is entered on the register of members; or (c) become a member of the company under section 167 (membership arising from conversion of a company from one limited by guarantee to one limited by shares).</t>
        </is>
      </c>
      <c r="P206" s="12" t="n">
        <v>9</v>
      </c>
    </row>
    <row r="207">
      <c r="A207" t="inlineStr">
        <is>
          <t>Australia</t>
        </is>
      </c>
      <c r="B207" t="inlineStr">
        <is>
          <t>C2026C00058VOL01 (Australia - Row 13)</t>
        </is>
      </c>
      <c r="C207" t="inlineStr">
        <is>
          <t>6 (part 32)</t>
        </is>
      </c>
      <c r="D207" s="11" t="inlineStr">
        <is>
          <t>Company must lodge share division or conversion documents with ASIC</t>
        </is>
      </c>
      <c r="E207" t="inlineStr">
        <is>
          <t>507–516</t>
        </is>
      </c>
      <c r="F207" t="inlineStr">
        <is>
          <t>Medium</t>
        </is>
      </c>
      <c r="G207" t="inlineStr">
        <is>
          <t>High (explicit)</t>
        </is>
      </c>
      <c r="H207" s="11" t="inlineStr">
        <is>
          <t>Record Keeping</t>
        </is>
      </c>
      <c r="I207" s="11" t="inlineStr"/>
      <c r="J207" t="inlineStr">
        <is>
          <t>ASIC</t>
        </is>
      </c>
      <c r="K207" s="11" t="inlineStr">
        <is>
          <t>A company must lodge with ASIC a notice in prescribed form when dividing shares into classes or converting shares between classes. The notice must be lodged within 14 days after the division or conversion. Public companies must also lodge copies of documents or resolutions that attach, vary or cancel share rights or bind classes of members. The company must send members copies of documents within 7 days after payment or approval by ASIC.</t>
        </is>
      </c>
      <c r="L207" s="11" t="inlineStr">
        <is>
          <t>Requires companies to notify ASIC of share class changes and provide members with document copies within 14 or 7 days. Relevant for DTIA as it involves record-keeping and member access to company documents.</t>
        </is>
      </c>
      <c r="M207" s="11" t="inlineStr">
        <is>
          <t>• [Must] A company must lodge with ASIC a notice in prescribed form when dividing shares into classes or converting shares between classes
• [Must] The notice must be lodged within 14 days after the division or conversion</t>
        </is>
      </c>
      <c r="N207" s="11" t="inlineStr">
        <is>
          <t>• [Must] Public companies must lodge copies of documents or resolutions that attach, vary or cancel share rights or bind classes of members
• [Must] A company must send members copies of documents within 7 days after payment or approval by ASIC</t>
        </is>
      </c>
      <c r="O207" s="11" t="inlineStr">
        <is>
          <t>Section 246F(1): A company must lodge with ASIC a notice in the prescribed form setting out particulars of any of the following: (a) a division of shares in the company into classes if the shares were not previously so divided; (b) a conversion of shares in a class of shares in the company into shares in another class. Note: (2) The notice must be lodged within 14 days after the division or conversion.</t>
        </is>
      </c>
      <c r="P207" s="12" t="n">
        <v>9</v>
      </c>
    </row>
    <row r="208">
      <c r="A208" t="inlineStr">
        <is>
          <t>Australia</t>
        </is>
      </c>
      <c r="B208" t="inlineStr">
        <is>
          <t>C2026C00058VOL01 (Australia - Row 13)</t>
        </is>
      </c>
      <c r="C208" t="inlineStr">
        <is>
          <t>6 (part 34)</t>
        </is>
      </c>
      <c r="D208" s="11" t="inlineStr">
        <is>
          <t>Members' right to request company to distribute statements</t>
        </is>
      </c>
      <c r="E208" t="inlineStr">
        <is>
          <t>524–531</t>
        </is>
      </c>
      <c r="F208" t="inlineStr">
        <is>
          <t>Low</t>
        </is>
      </c>
      <c r="G208" t="inlineStr">
        <is>
          <t>High (explicit)</t>
        </is>
      </c>
      <c r="H208" s="11" t="inlineStr"/>
      <c r="I208" s="11" t="inlineStr"/>
      <c r="J208" t="inlineStr"/>
      <c r="K208" s="11" t="inlineStr">
        <is>
          <t>Members may request a company to distribute statements about resolutions or other matters to all members. The request must be in writing and signed by at least 100 members entitled to vote. The company must distribute the statement within 7 days after receipt, unless the statement is over 1,000 words or defamatory. Members are liable for distribution costs if the company doesn't receive the request in time.</t>
        </is>
      </c>
      <c r="L208" s="11" t="inlineStr">
        <is>
          <t>Allows members to request company statements for distribution. Relevant for DTIA as it involves member access to company information and distribution requirements.</t>
        </is>
      </c>
      <c r="M208" s="11" t="inlineStr">
        <is>
          <t>• [May] Members may request a company to give to all its members a statement provided by the members making the request about a resolution or other matter
• [Must] The request must be in writing and signed by at least 100 members entitled to vote</t>
        </is>
      </c>
      <c r="N208" s="11" t="inlineStr">
        <is>
          <t>• [Must] The company must distribute the statement within 7 days after receipt
• [Must Not] The company need not comply if the statement is over 1,000 words or defamatory</t>
        </is>
      </c>
      <c r="O208" s="11" t="inlineStr">
        <is>
          <t>Section 249P(1): Members may request a company to give to all its members a statement provided by the members making the request about: (a) a resolution that is proposed to be moved at a general meeting; or (b) any other matter that may be properly considered at a general meeting.</t>
        </is>
      </c>
      <c r="P208" s="12" t="n">
        <v>9</v>
      </c>
    </row>
    <row r="209">
      <c r="A209" t="inlineStr">
        <is>
          <t>Australia</t>
        </is>
      </c>
      <c r="B209" t="inlineStr">
        <is>
          <t>C2026C00058VOL01 (Australia - Row 13)</t>
        </is>
      </c>
      <c r="C209" t="inlineStr">
        <is>
          <t>6 (part 35)</t>
        </is>
      </c>
      <c r="D209" s="11" t="inlineStr">
        <is>
          <t>Member participation and quorum requirements for company meetings</t>
        </is>
      </c>
      <c r="E209" t="inlineStr">
        <is>
          <t>531–538</t>
        </is>
      </c>
      <c r="F209" t="inlineStr">
        <is>
          <t>Low</t>
        </is>
      </c>
      <c r="G209" t="inlineStr">
        <is>
          <t>High (explicit)</t>
        </is>
      </c>
      <c r="H209" s="11" t="inlineStr">
        <is>
          <t>Cross-border Transfer</t>
        </is>
      </c>
      <c r="I209" s="11" t="inlineStr">
        <is>
          <t>Customer Data</t>
        </is>
      </c>
      <c r="J209" t="inlineStr">
        <is>
          <t>ASIC</t>
        </is>
      </c>
      <c r="K209" s="11" t="inlineStr">
        <is>
          <t>Companies must provide members entitled to attend meetings with a reasonable opportunity to participate. Meetings must be held at a reasonable physical venue, with a quorum of at least two members present at all times. If a meeting is adjourned, the resumed meeting must address unfinished business and follow specific rules for venue, time, and virtual technology use. Proxies may be appointed but their authority is suspended if the member attends.</t>
        </is>
      </c>
      <c r="L209" s="11" t="inlineStr">
        <is>
          <t>This section establishes requirements for meeting participation and quorum that could impact data transfer if members' participation data is shared across borders, though it is not directly relevant to cross-border data transfers.</t>
        </is>
      </c>
      <c r="M209" s="11" t="inlineStr">
        <is>
          <t>• [Must] A company must give members entitled to attend meetings a reasonable opportunity to participate
• [Must] Meetings must be held at a reasonable physical venue
• [Must] Quorum for meetings is two members present at all times</t>
        </is>
      </c>
      <c r="N209" s="11" t="inlineStr">
        <is>
          <t>• [Must] If a meeting is adjourned, the resumed meeting must address unfinished business
• [Must] Proxies' authority is suspended if the member attends the meeting</t>
        </is>
      </c>
      <c r="O209" s="11" t="inlineStr">
        <is>
          <t>Section 249S(1): A company that holds a meeting of its members must give the members entitled to attend the meeting, as a whole, a reasonable opportunity to participate in the meeting.</t>
        </is>
      </c>
      <c r="P209" s="12" t="n">
        <v>9</v>
      </c>
    </row>
    <row r="210">
      <c r="A210" t="inlineStr">
        <is>
          <t>Australia</t>
        </is>
      </c>
      <c r="B210" t="inlineStr">
        <is>
          <t>C2026C00058VOL01 (Australia - Row 13)</t>
        </is>
      </c>
      <c r="C210" t="inlineStr">
        <is>
          <t>6 (part 37)</t>
        </is>
      </c>
      <c r="D210" s="11" t="inlineStr">
        <is>
          <t>Proxy voting validity and representative appointments</t>
        </is>
      </c>
      <c r="E210" t="inlineStr">
        <is>
          <t>544–552</t>
        </is>
      </c>
      <c r="F210" t="inlineStr">
        <is>
          <t>Low</t>
        </is>
      </c>
      <c r="G210" t="inlineStr">
        <is>
          <t>High (explicit)</t>
        </is>
      </c>
      <c r="H210" s="11" t="inlineStr"/>
      <c r="I210" s="11" t="inlineStr"/>
      <c r="J210" t="inlineStr"/>
      <c r="K210" s="11" t="inlineStr">
        <is>
          <t>This section establishes that a proxy vote remains valid even if the appointing member dies, becomes mentally incapacitated, revokes the proxy appointment, or transfers shares. It also permits a body corporate to appoint representatives for voting purposes at meetings, with specific rules on the number of representatives, their powers, and the requirement that a representative may exercise all powers of the body corporate unless restricted.</t>
        </is>
      </c>
      <c r="L210" s="11" t="inlineStr">
        <is>
          <t>This section does not directly impact data transfer impact assessments as it concerns corporate voting mechanisms and does not address data flows, transfers, or processing across borders.</t>
        </is>
      </c>
      <c r="M210" s="11" t="inlineStr">
        <is>
          <t>• [Must] A proxy who is not entitled to vote on a resolution as a member may vote as a proxy for another member who can vote if their appointment specifies the way they are to vote on the resolution and they vote that way.
• [Must] A vote cast by a proxy will be valid even if the appointing member dies, becomes mentally incapacitated, revokes the proxy's appointment, or transfers shares before voting.
• [May] A body corporate may appoint an individual as a representative to exercise powers at meetings of members, creditors, debenture holders, or for resolutions without meetings.</t>
        </is>
      </c>
      <c r="N210" s="11" t="inlineStr">
        <is>
          <t>• [May] The appointment may set out restrictions on the representative's powers, and if by reference to a position, must identify the position.
• [May] A body corporate may appoint more than one representative but only one may exercise powers at any time.
• [May] Unless otherwise specified, the representative may exercise all powers the body corporate could exercise at a meeting or in voting on a resolution.</t>
        </is>
      </c>
      <c r="O210" s="11" t="inlineStr">
        <is>
          <t>Section 250C(1): A proxy who is not entitled to vote on a resolution as a member may vote as a proxy for another member who can vote if their appointment specifies the way they are to vote on the resolution and they vote that way.</t>
        </is>
      </c>
      <c r="P210" s="12" t="n">
        <v>9</v>
      </c>
    </row>
    <row r="211">
      <c r="A211" t="inlineStr">
        <is>
          <t>Australia</t>
        </is>
      </c>
      <c r="B211" t="inlineStr">
        <is>
          <t>C2026C00058VOL01 (Australia - Row 13)</t>
        </is>
      </c>
      <c r="C211" t="inlineStr">
        <is>
          <t>6 (part 38)</t>
        </is>
      </c>
      <c r="D211" s="11" t="inlineStr">
        <is>
          <t>AGM requirements and auditor questions for listed companies</t>
        </is>
      </c>
      <c r="E211" t="inlineStr">
        <is>
          <t>552–559</t>
        </is>
      </c>
      <c r="F211" t="inlineStr">
        <is>
          <t>Low</t>
        </is>
      </c>
      <c r="G211" t="inlineStr">
        <is>
          <t>High (explicit)</t>
        </is>
      </c>
      <c r="H211" s="11" t="inlineStr"/>
      <c r="I211" s="11" t="inlineStr"/>
      <c r="J211" t="inlineStr"/>
      <c r="K211" s="11" t="inlineStr">
        <is>
          <t>This section mandates that public companies hold annual general meetings (AGMs) within specific timeframes, including holding at least one AGM per calendar year. It also outlines procedures for members to submit written questions to auditors before AGMs, requiring the company to pass these questions to the auditor and the auditor to prepare a question list for members at the AGM.</t>
        </is>
      </c>
      <c r="L211" s="11" t="inlineStr">
        <is>
          <t>This section does not directly impact data transfer impact assessments as it concerns corporate governance and AGM procedures without addressing data flows or transfers.</t>
        </is>
      </c>
      <c r="M211" s="11" t="inlineStr">
        <is>
          <t>• [Must] A public company must hold an annual general meeting (AGM) within 18 months after registration and at least once per calendar year within 5 months after the financial year ends.
• [May] A member of a listed company may submit written questions to the auditor relevant to auditor reports or audit conduct before the AGM, no later than the fifth business day before the AGM.</t>
        </is>
      </c>
      <c r="N211" s="11" t="inlineStr">
        <is>
          <t>• [Must] The listed company must pass the submitted questions to the auditor as soon as practicable.
• [Must] The auditor must prepare a question list that includes relevant questions from the company and their assessment of relevance, available to members at the AGM.</t>
        </is>
      </c>
      <c r="O211" s="11" t="inlineStr">
        <is>
          <t>Section 250N(1): A public company must hold an annual general meeting (AGM) within 18 months after its registration.</t>
        </is>
      </c>
      <c r="P211" s="12" t="n">
        <v>9</v>
      </c>
    </row>
    <row r="212">
      <c r="A212" t="inlineStr">
        <is>
          <t>Australia</t>
        </is>
      </c>
      <c r="B212" t="inlineStr">
        <is>
          <t>C2026C00058VOL01 (Australia - Row 13)</t>
        </is>
      </c>
      <c r="C212" t="inlineStr">
        <is>
          <t>6 (part 39)</t>
        </is>
      </c>
      <c r="D212" s="11" t="inlineStr">
        <is>
          <t>Remuneration report voting thresholds for special meetings</t>
        </is>
      </c>
      <c r="E212" t="inlineStr">
        <is>
          <t>559–566</t>
        </is>
      </c>
      <c r="F212" t="inlineStr">
        <is>
          <t>High</t>
        </is>
      </c>
      <c r="G212" t="inlineStr">
        <is>
          <t>High (explicit)</t>
        </is>
      </c>
      <c r="H212" s="11" t="inlineStr"/>
      <c r="I212" s="11" t="inlineStr">
        <is>
          <t>Customer Data</t>
        </is>
      </c>
      <c r="J212" t="inlineStr">
        <is>
          <t>ASIC</t>
        </is>
      </c>
      <c r="K212" s="11" t="inlineStr">
        <is>
          <t>This section establishes conditions for holding special meetings when at least 25% of votes oppose remuneration reports at two consecutive annual general meetings. It requires a resolution to hold fresh elections for directors within 90 days if the voting thresholds are met, with specific rules for director appointments and the spill meeting timeline. The company must ensure the spill meeting occurs within 90 days after the resolution passes, and directors who meet the criteria cease holding office immediately before the spill meeting.</t>
        </is>
      </c>
      <c r="L212" s="11" t="inlineStr">
        <is>
          <t>This section creates specific conditions for holding special meetings when remuneration report voting thresholds are met, requiring a 90-day timeline for the spill meeting and specific director appointment rules that could impact cross-border data transfers if the company operates internationally.</t>
        </is>
      </c>
      <c r="M212" s="11" t="inlineStr">
        <is>
          <t>• [Must] At the later AGM, there must be put to vote a resolution that another meeting be held within 90 days
• [Must] All directors who were directors when the resolution was passed and are not managing directors may continue indefinitely without re-election
• [Must] Directors described in paragraph 250V(1)(b) cease holding office immediately before the spill meeting</t>
        </is>
      </c>
      <c r="N212" s="11" t="inlineStr">
        <is>
          <t>• [Must] The company must hold the spill meeting within 90 days after the spill resolution is passed
• [Must] If the company does not hold the spill meeting within 90 days, directors commit an offence</t>
        </is>
      </c>
      <c r="O212" s="11" t="inlineStr">
        <is>
          <t>Section 250V(1) requires a resolution to hold fresh elections for directors at special meeting to be put to vote at AGM within 90 days.</t>
        </is>
      </c>
      <c r="P212" s="12" t="n">
        <v>9</v>
      </c>
    </row>
    <row r="213">
      <c r="A213" t="inlineStr">
        <is>
          <t>Australia</t>
        </is>
      </c>
      <c r="B213" t="inlineStr">
        <is>
          <t>C2026C00058VOL01 (Australia - Row 13)</t>
        </is>
      </c>
      <c r="C213" t="inlineStr">
        <is>
          <t>6 (part 40)</t>
        </is>
      </c>
      <c r="D213" s="11" t="inlineStr">
        <is>
          <t>Minutes and members' access to minutes for listed companies</t>
        </is>
      </c>
      <c r="E213" t="inlineStr">
        <is>
          <t>566–573</t>
        </is>
      </c>
      <c r="F213" t="inlineStr">
        <is>
          <t>High</t>
        </is>
      </c>
      <c r="G213" t="inlineStr">
        <is>
          <t>High (explicit)</t>
        </is>
      </c>
      <c r="H213" s="11" t="inlineStr"/>
      <c r="I213" s="11" t="inlineStr">
        <is>
          <t>Customer Data</t>
        </is>
      </c>
      <c r="J213" t="inlineStr">
        <is>
          <t>ASIC</t>
        </is>
      </c>
      <c r="K213" s="11" t="inlineStr">
        <is>
          <t>This section mandates that companies must maintain minute books recording meetings and resolutions, ensure minutes are signed by appropriate individuals, and provide members with access to minutes within 14 days for free. It also requires recording proxy votes and resolutions in minutes, with specific rules for when companies must notify market operators about resolutions passed by members.</t>
        </is>
      </c>
      <c r="L213" s="11" t="inlineStr">
        <is>
          <t>This section requires detailed record-keeping of company meetings and resolutions, which could impact data transfer impact assessments by creating obligations for maintaining and sharing minute records across borders.</t>
        </is>
      </c>
      <c r="M213" s="11" t="inlineStr">
        <is>
          <t>• [Must] A company must keep minute books recording proceedings and resolutions of meetings within 1 month
• [Must] Minutes of meetings must be signed by the chair or chair of next meeting within reasonable time
• [Must] A company must ensure members can access minute books free of charge</t>
        </is>
      </c>
      <c r="N213" s="11" t="inlineStr">
        <is>
          <t>• [Must] A company must provide copies of minutes within 14 days after request
• [Must] A company must record proxy votes in minutes for each resolution</t>
        </is>
      </c>
      <c r="O213" s="11" t="inlineStr">
        <is>
          <t>Section 251A(1) requires a company to keep minute books recording proceedings and resolutions of meetings within 1 month.</t>
        </is>
      </c>
      <c r="P213" s="12" t="n">
        <v>9</v>
      </c>
    </row>
    <row r="214">
      <c r="A214" t="inlineStr">
        <is>
          <t>Australia</t>
        </is>
      </c>
      <c r="B214" t="inlineStr">
        <is>
          <t>C2026C00058VOL01 (Australia - Row 13)</t>
        </is>
      </c>
      <c r="C214" t="inlineStr">
        <is>
          <t>6 (part 41)</t>
        </is>
      </c>
      <c r="D214" s="11" t="inlineStr">
        <is>
          <t>Member meeting notices and proxy arrangements</t>
        </is>
      </c>
      <c r="E214" t="inlineStr">
        <is>
          <t>573–581</t>
        </is>
      </c>
      <c r="F214" t="inlineStr">
        <is>
          <t>None</t>
        </is>
      </c>
      <c r="G214" t="inlineStr">
        <is>
          <t>High (explicit)</t>
        </is>
      </c>
      <c r="H214" s="11" t="inlineStr"/>
      <c r="I214" s="11" t="inlineStr"/>
      <c r="J214" t="inlineStr">
        <is>
          <t>ASIC</t>
        </is>
      </c>
      <c r="K214" s="11" t="inlineStr">
        <is>
          <t>This section specifies when a notice of meeting is deemed given for members of a registered scheme. It outlines the timeframes for different notification methods: 3 days after posting for postal notices, 3 days after information is posted for member information via postal, and the business day after sending for electronic communications. It also requires the responsible entity to provide auditors with any communications a member is entitled to receive.</t>
        </is>
      </c>
      <c r="L214" s="11" t="inlineStr"/>
      <c r="M214" s="11" t="inlineStr">
        <is>
          <t>• [Must] Notice of meeting is taken to be given 3 days after posting if sent by post
• [Must] Notice of meeting is taken to be given 3 days after information is posted if sent by member information via post
• [Must] Notice of meeting is taken to be given on the business day after sending if sent by electronic communication</t>
        </is>
      </c>
      <c r="N214" s="11" t="inlineStr">
        <is>
          <t>• [Must] Notice of meeting is taken to be given on the business day after information is sent to the member if sent by giving member information
• [Must] Responsible entity must give auditors any communications a member is entitled to receive</t>
        </is>
      </c>
      <c r="O214" s="11" t="inlineStr">
        <is>
          <t>Unless the scheme's constitution provides otherwise, a notice of meeting is taken to be given: (a) if it is sent by post—3 days after it is posted; or (aa) if it is sent by sending the member information in accordance with paragraph 110D(1)(b) by post—3 days after the information is posted; or (b) if it is sent by means of an electronic communication in accordance with paragraph 110D(1)(c)—on the business day after it is sent; or (c) if it is sent by giving the member information in accordance with paragraph 110D(1)(d)—on the business day after the day on which the information is sent to the member.</t>
        </is>
      </c>
      <c r="P214" s="12" t="n">
        <v>9</v>
      </c>
    </row>
    <row r="215">
      <c r="A215" t="inlineStr">
        <is>
          <t>Australia</t>
        </is>
      </c>
      <c r="B215" t="inlineStr">
        <is>
          <t>C2026C00058VOL01 (Australia - Row 13)</t>
        </is>
      </c>
      <c r="C215" t="inlineStr">
        <is>
          <t>6 (part 43)</t>
        </is>
      </c>
      <c r="D215" s="11" t="inlineStr">
        <is>
          <t>Proxy voting and member resolutions</t>
        </is>
      </c>
      <c r="E215" t="inlineStr">
        <is>
          <t>588–596</t>
        </is>
      </c>
      <c r="F215" t="inlineStr">
        <is>
          <t>None</t>
        </is>
      </c>
      <c r="G215" t="inlineStr">
        <is>
          <t>High (explicit)</t>
        </is>
      </c>
      <c r="H215" s="11" t="inlineStr"/>
      <c r="I215" s="11" t="inlineStr"/>
      <c r="J215" t="inlineStr">
        <is>
          <t>ASIC</t>
        </is>
      </c>
      <c r="K215" s="11" t="inlineStr">
        <is>
          <t>This section details the conditions under which proxy votes are valid, including the ability to vote even if the appointing member dies, becomes mentally incapacitated, revokes the proxy, or transfers their interest. It also specifies that a proxy who is not entitled to vote on a resolution may vote for another member if their appointment specifies how they should vote. Additionally, it outlines the requirements for members to request statements from the responsible entity for resolutions or other matters.</t>
        </is>
      </c>
      <c r="L215" s="11" t="inlineStr"/>
      <c r="M215" s="11" t="inlineStr">
        <is>
          <t>• [Must] Proxy vote is valid even if appointing member dies, is mentally incapacitated, revokes proxy, or transfers interest
• [Must] Proxy who is not entitled to vote may vote for another member if appointment specifies voting method</t>
        </is>
      </c>
      <c r="N215" s="11" t="inlineStr">
        <is>
          <t>• [Must] Members may request responsible entity to distribute statements about resolutions or other matters</t>
        </is>
      </c>
      <c r="O215" s="11" t="inlineStr">
        <is>
          <t>Unless the responsible entity has received written notice of the matter before the start or resumption of the meeting at which a proxy votes, a vote cast by the proxy will be valid even if, before the proxy votes: (a) the appointing member dies; or (b) the member is mentally incapacitated; or (c) the member revokes the proxy's appointment; or (d) the member revokes the authority under which the proxy was appointed by a third party; or (e) the member transfers the interest in respect of which the proxy was given.</t>
        </is>
      </c>
      <c r="P215" s="12" t="n">
        <v>9</v>
      </c>
    </row>
    <row r="216">
      <c r="A216" t="inlineStr">
        <is>
          <t>Australia</t>
        </is>
      </c>
      <c r="B216" t="inlineStr">
        <is>
          <t>C2026C00058VOL01 (Australia - Row 13)</t>
        </is>
      </c>
      <c r="C216" t="inlineStr">
        <is>
          <t>6 (part 44)</t>
        </is>
      </c>
      <c r="D216" s="11" t="inlineStr">
        <is>
          <t>Electronic minute books and independent observer rights for shareholder meetings</t>
        </is>
      </c>
      <c r="E216" t="inlineStr">
        <is>
          <t>596–604</t>
        </is>
      </c>
      <c r="F216" t="inlineStr">
        <is>
          <t>Medium</t>
        </is>
      </c>
      <c r="G216" t="inlineStr">
        <is>
          <t>High (explicit)</t>
        </is>
      </c>
      <c r="H216" s="11" t="inlineStr"/>
      <c r="I216" s="11" t="inlineStr">
        <is>
          <t>Personal Information</t>
        </is>
      </c>
      <c r="J216" t="inlineStr">
        <is>
          <t>ASIC</t>
        </is>
      </c>
      <c r="K216" s="11" t="inlineStr">
        <is>
          <t>This section requires companies to maintain minute books in electronic form if the information is reasonably accessible for subsequent reference. It also mandates that companies appoint independent persons to observe and report on shareholder meetings when members hold at least 5% of voting rights. Companies must respond to such requests within 5 business days and provide reasonable steps to ensure independent observers. Failure to comply constitutes an offence of strict liability.</t>
        </is>
      </c>
      <c r="L216" s="11" t="inlineStr">
        <is>
          <t>This section establishes requirements for electronic minute books and independent observer rights for shareholder meetings, which may impact data transfer assessments when companies store or share meeting records across borders.</t>
        </is>
      </c>
      <c r="M216" s="11" t="inlineStr">
        <is>
          <t>• [Must] Minute books may be recorded electronically if reasonably accessible for subsequent reference
• [Must] Electronic minute books must be open for inspection at the place of keeping
• [Must] Electronic minute books must maintain integrity of information
• [Must] Companies must appoint independent persons to observe shareholder meetings</t>
        </is>
      </c>
      <c r="N216" s="11" t="inlineStr">
        <is>
          <t>• [Must] Companies must respond to independent observer requests within 5 business days
• [Must] Companies must take reasonable steps to ensure independent observers
• [Must] Companies must pay independent persons' fees</t>
        </is>
      </c>
      <c r="O216" s="11" t="inlineStr">
        <is>
          <t>Section 253S(1): If information is required to be recorded in a minute book, the information may be recorded in electronic form if, at the time of the recording of the information, it was reasonable to expect that the information would be readily accessible so as to be useable for subsequent reference.</t>
        </is>
      </c>
      <c r="P216" s="12" t="n">
        <v>9</v>
      </c>
    </row>
    <row r="217">
      <c r="A217" t="inlineStr">
        <is>
          <t>Australia</t>
        </is>
      </c>
      <c r="B217" t="inlineStr">
        <is>
          <t>C2026C00058VOL01 (Australia - Row 13)</t>
        </is>
      </c>
      <c r="C217" t="inlineStr">
        <is>
          <t>6 (part 45)</t>
        </is>
      </c>
      <c r="D217" s="11" t="inlineStr">
        <is>
          <t>Shareholder meeting exceptions and independent observer rights</t>
        </is>
      </c>
      <c r="E217" t="inlineStr">
        <is>
          <t>604–611</t>
        </is>
      </c>
      <c r="F217" t="inlineStr">
        <is>
          <t>Medium</t>
        </is>
      </c>
      <c r="G217" t="inlineStr">
        <is>
          <t>High (explicit)</t>
        </is>
      </c>
      <c r="H217" s="11" t="inlineStr"/>
      <c r="I217" s="11" t="inlineStr">
        <is>
          <t>Personal Information</t>
        </is>
      </c>
      <c r="J217" t="inlineStr">
        <is>
          <t>ASIC</t>
        </is>
      </c>
      <c r="K217" s="11" t="inlineStr">
        <is>
          <t>This section provides exceptions for holding shareholder meetings in exceptional circumstances, including virtual meetings. It also establishes independent observer rights for shareholders to request independent persons to observe and report on shareholder meetings. Companies and registered schemes must appoint independent observers within 5 business days of receiving requests and provide reports to shareholders within a reasonable time. Failure to comply constitutes an offence of strict liability.</t>
        </is>
      </c>
      <c r="L217" s="11" t="inlineStr">
        <is>
          <t>This section allows for virtual shareholder meetings and independent observer rights, which may impact data transfer assessments when companies store meeting records across borders.</t>
        </is>
      </c>
      <c r="M217" s="11" t="inlineStr">
        <is>
          <t>• [May] Companies may hold virtual meetings if specified in ASIC determination
• [Must] Companies must appoint independent persons to observe shareholder meetings
• [Must] Companies must respond to independent observer requests within 5 business days</t>
        </is>
      </c>
      <c r="N217" s="11" t="inlineStr">
        <is>
          <t>• [Must] Companies must take reasonable steps to ensure independent observers
• [Must] Companies must pay independent persons' fees</t>
        </is>
      </c>
      <c r="O217" s="11" t="inlineStr">
        <is>
          <t>Section 253TA(1): An entity may hold a meeting of its members, using virtual meeting technology only (even if this is not required or permitted by the entity's constitution expressly), if: (a) the entity is specified in a determination under subsection (2); or (b) the entity is in a class of entities specified in a determination under subsection (2).</t>
        </is>
      </c>
      <c r="P217" s="12" t="n">
        <v>9</v>
      </c>
    </row>
    <row r="218">
      <c r="A218" t="inlineStr">
        <is>
          <t>Australia</t>
        </is>
      </c>
      <c r="B218" t="inlineStr">
        <is>
          <t>C2026C00058VOL01 (Australia - Row 13)</t>
        </is>
      </c>
      <c r="C218" t="inlineStr">
        <is>
          <t>6 (part 46)</t>
        </is>
      </c>
      <c r="D218" s="11" t="inlineStr">
        <is>
          <t>Share conversion and redemption rules for companies</t>
        </is>
      </c>
      <c r="E218" t="inlineStr">
        <is>
          <t>611–619</t>
        </is>
      </c>
      <c r="F218" t="inlineStr">
        <is>
          <t>High</t>
        </is>
      </c>
      <c r="G218" t="inlineStr">
        <is>
          <t>High (explicit)</t>
        </is>
      </c>
      <c r="H218" s="11" t="inlineStr"/>
      <c r="I218" s="11" t="inlineStr">
        <is>
          <t>Financial Data</t>
        </is>
      </c>
      <c r="J218" t="inlineStr">
        <is>
          <t>ASIC</t>
        </is>
      </c>
      <c r="K218" s="11" t="inlineStr">
        <is>
          <t>Companies may convert ordinary shares to preference shares or vice versa, but must specify repayment of capital, profit participation, dividend terms, voting rights, and priority of payment in their constitution or by special resolution. Redeemable preference shares cannot be converted into redeemable preference shares after issuance. Redemption must follow terms of issue, be fully paid-up, and use profits or new share proceeds. Forfeited shares in no liability companies are sold after 14 days of unpaid calls, with specific procedures for sale, notice, and redemption.</t>
        </is>
      </c>
      <c r="L218" s="11" t="inlineStr">
        <is>
          <t>This section governs share conversion and redemption processes, which may impact data transfer if company structures involve cross-border data processing or storage of financial records. Specific rules on share conversions and forfeitures could affect data residency and retention.</t>
        </is>
      </c>
      <c r="M218" s="11" t="inlineStr">
        <is>
          <t>• [Must] A company may convert an ordinary share into a preference share
• [Must] A company may convert a preference share into an ordinary share
• [Must] The holders' rights with respect to repayment of capital, participation in surplus assets and profits, cumulative and non-cumulative dividends, voting, and priority of payment must be set out in the company's constitution or approved by special resolution
• [Must Not] A share that is not a redeemable preference share when issued cannot afterwards be converted into a redeemable preference share
• [Must] A company may redeem redeemable preference shares only on the terms on which they are on issue</t>
        </is>
      </c>
      <c r="N218" s="11" t="inlineStr">
        <is>
          <t>• [Must] A company may only redeem redeemable preference shares if the shares are fully paid-up
• [Must] A company may only redeem redeemable preference shares out of profits or the proceeds of a new issue of shares made for the purpose of the redemption
• [Must] A share in a no liability company is immediately forfeited if a call is made on the share and the call is unpaid at the end of 14 days after it became payable
• [Must] The forfeited share must be offered for sale by public auction within 6 weeks after the call became payable
• [May] A person may redeem a forfeited share by paying all calls due on the share and any expenses incurred by the company in respect of the forfeiture</t>
        </is>
      </c>
      <c r="O218" s="11" t="inlineStr">
        <is>
          <t>Section 254G(1): A company may: (a) convert an ordinary share into a preference share; and (b) convert a preference share into an ordinary share.</t>
        </is>
      </c>
      <c r="P218" s="12" t="n">
        <v>9</v>
      </c>
    </row>
    <row r="219">
      <c r="A219" t="inlineStr">
        <is>
          <t>Australia</t>
        </is>
      </c>
      <c r="B219" t="inlineStr">
        <is>
          <t>C2026C00058VOL01 (Australia - Row 13)</t>
        </is>
      </c>
      <c r="C219" t="inlineStr">
        <is>
          <t>6 (part 48)</t>
        </is>
      </c>
      <c r="D219" s="11" t="inlineStr">
        <is>
          <t>Share capital reductions and buy-backs: shareholder approval and procedures</t>
        </is>
      </c>
      <c r="E219" t="inlineStr">
        <is>
          <t>627–635</t>
        </is>
      </c>
      <c r="F219" t="inlineStr">
        <is>
          <t>High</t>
        </is>
      </c>
      <c r="G219" t="inlineStr">
        <is>
          <t>High (explicit)</t>
        </is>
      </c>
      <c r="H219" s="11" t="inlineStr"/>
      <c r="I219" s="11" t="inlineStr"/>
      <c r="J219" t="inlineStr">
        <is>
          <t>ASIC</t>
        </is>
      </c>
      <c r="K219" s="11" t="inlineStr">
        <is>
          <t>This section outlines rules for companies reducing share capital or buying back shares without legal authorization. It requires reductions to be fair and reasonable to shareholders, not materially prejudicial to creditors, and approved by shareholders. Cancellations of shares for no consideration are treated as reductions but exempt from creditor protection. The rules specify whether reductions are equal or selective, and mandate shareholder approval through ordinary or special resolutions depending on the type of reduction. Companies must also lodge resolutions with ASIC within 14 days.</t>
        </is>
      </c>
      <c r="L219" s="11" t="inlineStr">
        <is>
          <t>This section establishes requirements for shareholder approval and procedural compliance for share capital reductions and buy-backs, which may impact data transfers if a company's share structure affects data processing or storage across borders.</t>
        </is>
      </c>
      <c r="M219" s="11" t="inlineStr">
        <is>
          <t>• [Must] A company may reduce its share capital in a way not otherwise authorized by law if the reduction is fair and reasonable to shareholders as a whole
• [Must] The reduction must not materially prejudice the company's ability to pay creditors
• [Must] The reduction must be approved by shareholders under section 256C
• [Must] A cancellation of a share for no consideration is a reduction of share capital
• [Must] The reduction is an equal reduction if it relates only to ordinary shares and applies proportionally to each holder</t>
        </is>
      </c>
      <c r="N219" s="11" t="inlineStr">
        <is>
          <t>• [Must] The reduction is a selective reduction if it does not apply proportionally
• [Must] For equal reductions, shareholder approval requires ordinary resolution
• [Must] For selective reductions, shareholder approval requires special or unanimous resolution
• [Must] The company must lodge with ASIC a copy of any resolution within 14 days after passing
• [Must] The company must not make the reduction until 14 days after lodgment</t>
        </is>
      </c>
      <c r="O219" s="11" t="inlineStr">
        <is>
          <t>Section 256B(1): A company may reduce its share capital in a way that is not otherwise authorised by law if the reduction: (a) is fair and reasonable to the company's shareholders as a whole; and (b) does not materially prejudice the company's ability to pay its creditors; and (c) is approved by shareholders under section 256C.</t>
        </is>
      </c>
      <c r="P219" s="12" t="n">
        <v>9</v>
      </c>
    </row>
    <row r="220">
      <c r="A220" t="inlineStr">
        <is>
          <t>Australia</t>
        </is>
      </c>
      <c r="B220" t="inlineStr">
        <is>
          <t>C2026C00058VOL01 (Australia - Row 13)</t>
        </is>
      </c>
      <c r="C220" t="inlineStr">
        <is>
          <t>6 (part 49)</t>
        </is>
      </c>
      <c r="D220" s="11" t="inlineStr">
        <is>
          <t>Share buy-back procedures: shareholder approval and regulatory compliance</t>
        </is>
      </c>
      <c r="E220" t="inlineStr">
        <is>
          <t>635–643</t>
        </is>
      </c>
      <c r="F220" t="inlineStr">
        <is>
          <t>High</t>
        </is>
      </c>
      <c r="G220" t="inlineStr">
        <is>
          <t>High (explicit)</t>
        </is>
      </c>
      <c r="H220" s="11" t="inlineStr"/>
      <c r="I220" s="11" t="inlineStr"/>
      <c r="J220" t="inlineStr">
        <is>
          <t>ASIC</t>
        </is>
      </c>
      <c r="K220" s="11" t="inlineStr">
        <is>
          <t>This section details procedures for share buy-backs, including shareholder approval requirements, disclosure obligations, and ASIC lodgments. It specifies that buy-backs must not materially prejudice creditors, follow defined procedures, and require shareholder approval through ordinary or special resolutions depending on the type of buy-back. Companies must lodge documents with ASIC 14 days before the buy-back agreement is entered into or the resolution is passed, and include material information in the buy-back offer.</t>
        </is>
      </c>
      <c r="L220" s="11" t="inlineStr">
        <is>
          <t>This section governs share buy-back procedures that may affect data transfers if a company's share structure influences data processing or storage across borders.</t>
        </is>
      </c>
      <c r="M220" s="11" t="inlineStr">
        <is>
          <t>• [Must] A company may buy back its own shares if the buy-back does not materially prejudice the company's ability to pay creditors
• [Must] The company must follow procedures laid down in this Division
• [Must] The company must lodge with ASIC a copy of the terms of the offer before the buy-back agreement is entered into
• [Must] The company must satisfy the lodgment requirement at least 14 days before the resolution is passed or the agreement is entered into</t>
        </is>
      </c>
      <c r="N220" s="11" t="inlineStr">
        <is>
          <t>• [Must] The company must include with the offer a statement of all material information known to the company
• [Must] Once a buy-back agreement is entered into, all rights attaching to the shares are suspended
• [Must] The company must not dispose of shares it buys back; agreements in contravention are void</t>
        </is>
      </c>
      <c r="O220" s="11" t="inlineStr">
        <is>
          <t>Section 257A(1): A company may buy back its own shares if: (a) the buy-back does not materially prejudice the company's ability to pay its creditors; and (b) the company follows the procedures laid down in this Division.</t>
        </is>
      </c>
      <c r="P220" s="12" t="n">
        <v>9</v>
      </c>
    </row>
    <row r="221">
      <c r="A221" t="inlineStr">
        <is>
          <t>Australia</t>
        </is>
      </c>
      <c r="B221" t="inlineStr">
        <is>
          <t>C2026C00058VOL01 (Australia - Row 13)</t>
        </is>
      </c>
      <c r="C221" t="inlineStr">
        <is>
          <t>6 (part 50)</t>
        </is>
      </c>
      <c r="D221" s="11" t="inlineStr">
        <is>
          <t>Share capital reductions and cancellations for companies</t>
        </is>
      </c>
      <c r="E221" t="inlineStr">
        <is>
          <t>643–650</t>
        </is>
      </c>
      <c r="F221" t="inlineStr">
        <is>
          <t>High</t>
        </is>
      </c>
      <c r="G221" t="inlineStr">
        <is>
          <t>High (explicit)</t>
        </is>
      </c>
      <c r="H221" s="11" t="inlineStr"/>
      <c r="I221" s="11" t="inlineStr">
        <is>
          <t>Financial Data</t>
        </is>
      </c>
      <c r="J221" t="inlineStr">
        <is>
          <t>ASIC</t>
        </is>
      </c>
      <c r="K221" s="11" t="inlineStr">
        <is>
          <t>This section authorizes share capital reductions from redemption of redeemable preference shares using new share issues, buying back shares with share capital, and cancellations under specific sections. It also permits reductions due to lost capital or orders under section 1325A. The section specifies conditions under which share cancellations are authorized, including accounting standards compliance.</t>
        </is>
      </c>
      <c r="L221" s="11" t="inlineStr">
        <is>
          <t>This section outlines conditions for share capital reductions that could impact data transfers if shares contain personal or financial data, particularly regarding cancellations and capital reductions affecting data subjects.</t>
        </is>
      </c>
      <c r="M221" s="11" t="inlineStr">
        <is>
          <t>• [Must] Any reduction in share capital involving redemption of redeemable preference shares out of proceeds of new share issues for redemption is authorized
• [Must] Any reduction in share capital from buying back shares with share capital is authorized
• [May] A company may cancel shares returned under section 651C, 724(2), 737 or 738
• [Must] Any reduction in share capital due to an order under section 1325A is authorized</t>
        </is>
      </c>
      <c r="N221" s="11" t="inlineStr">
        <is>
          <t>• [May] A company may reduce share capital by cancelling paid-up shares lost or not represented by assets
• [Condition] This power does not apply if the company cancels shares
• [Condition] This power does not apply if cancellation of paid-up share capital is inconsistent with accounting standards</t>
        </is>
      </c>
      <c r="O221" s="11" t="inlineStr">
        <is>
          <t>Any reduction in share capital involved in: (a) the redemption of redeemable preference shares out of the proceeds of a new issue of shares made for the purpose of the redemption (see section 254K); or (b) a company's buying-back of its own shares under sections 257A to 257J if the shares are paid for out of share capital.</t>
        </is>
      </c>
      <c r="P221" s="12" t="n">
        <v>9</v>
      </c>
    </row>
    <row r="222">
      <c r="A222" t="inlineStr">
        <is>
          <t>Australia</t>
        </is>
      </c>
      <c r="B222" t="inlineStr">
        <is>
          <t>C2026C00058VOL01 (Australia - Row 13)</t>
        </is>
      </c>
      <c r="C222" t="inlineStr">
        <is>
          <t>6 (part 51)</t>
        </is>
      </c>
      <c r="D222" s="11" t="inlineStr">
        <is>
          <t>Financial assistance for share acquisitions and exemptions</t>
        </is>
      </c>
      <c r="E222" t="inlineStr">
        <is>
          <t>650–657</t>
        </is>
      </c>
      <c r="F222" t="inlineStr">
        <is>
          <t>High</t>
        </is>
      </c>
      <c r="G222" t="inlineStr">
        <is>
          <t>High (explicit)</t>
        </is>
      </c>
      <c r="H222" s="11" t="inlineStr"/>
      <c r="I222" s="11" t="inlineStr">
        <is>
          <t>Financial Data</t>
        </is>
      </c>
      <c r="J222" t="inlineStr">
        <is>
          <t>ASIC</t>
        </is>
      </c>
      <c r="K222" s="11" t="inlineStr">
        <is>
          <t>This section details financial assistance rules for companies acquiring shares in themselves or holding companies, requiring shareholder approval, exemptions for ordinary commercial dealing, financial institutions, and subsidiaries of debenture issuers. It specifies conditions for exemptions and the consequences of non-compliance.</t>
        </is>
      </c>
      <c r="L222" s="11" t="inlineStr">
        <is>
          <t>This section governs financial assistance for share acquisitions, which could impact data transfers if shares contain personal or financial data, particularly through exemptions for financial institutions and their operations.</t>
        </is>
      </c>
      <c r="M222" s="11" t="inlineStr">
        <is>
          <t>• [Must] A company may financially assist a person to acquire shares in the company or holding company only if giving assistance does not materially prejudice company interests or ability to pay creditors
• [Must] Financial assistance must be approved by shareholders under section 260B
• [May] Financial assistance may be given before or after acquisition of shares
• [May] Financial assistance may take the form of paying a dividend</t>
        </is>
      </c>
      <c r="N222" s="11" t="inlineStr">
        <is>
          <t>• [Exemption] Financial assistance is exempted if given in ordinary course of commercial dealing for partly-paid shares
• [Exemption] Financial assistance is exempted if given in ordinary course of business for finance provision
• [Exemption] Financial assistance is exempted if given by a subsidiary of a debenture borrower for repayment
• [Exemption] Financial assistance is exempted under approved employee share schemes</t>
        </is>
      </c>
      <c r="O222" s="11" t="inlineStr">
        <is>
          <t>A company may financially assist a person to acquire shares (or units of shares) in the company or a holding company of the company only if: (a) giving the assistance does not materially prejudice: (i) the interests of the company or its shareholders; or (ii) the company's ability to pay its creditors; or (b) the assistance is approved by shareholders under section 260B (that section also requires advance notice to ASIC); or (c) the assistance is exempted under section 2: 260C.</t>
        </is>
      </c>
      <c r="P222" s="12" t="n">
        <v>9</v>
      </c>
    </row>
    <row r="223">
      <c r="A223" t="inlineStr">
        <is>
          <t>Australia</t>
        </is>
      </c>
      <c r="B223" t="inlineStr">
        <is>
          <t>C2026C00058VOL01 (Australia - Row 8)</t>
        </is>
      </c>
      <c r="C223" t="inlineStr">
        <is>
          <t>1</t>
        </is>
      </c>
      <c r="D223" s="11" t="inlineStr">
        <is>
          <t>Legal entity and shareholder protections for small businesses</t>
        </is>
      </c>
      <c r="E223" t="inlineStr">
        <is>
          <t>269–275</t>
        </is>
      </c>
      <c r="F223" t="inlineStr">
        <is>
          <t>High</t>
        </is>
      </c>
      <c r="G223" t="inlineStr">
        <is>
          <t>High (explicit)</t>
        </is>
      </c>
      <c r="H223" s="11" t="inlineStr">
        <is>
          <t>Cross-border Transfer, Data Storage, Security, Data Sharing</t>
        </is>
      </c>
      <c r="I223" s="11" t="inlineStr">
        <is>
          <t>Personal Information, Financial Data</t>
        </is>
      </c>
      <c r="J223" t="inlineStr">
        <is>
          <t>ASIC</t>
        </is>
      </c>
      <c r="K223" s="11" t="inlineStr">
        <is>
          <t>This section explains that a proprietary company has a separate legal existence distinct from its owners, managers, and employees. It owns property, rights, and obligations, and can enter contracts, sue, and be sued. Shareholders are not liable for company debts beyond unpaid shares, though directors may be personally liable for company debts or breaches of duty. Directors can also be liable for losses if acting as trustees.</t>
        </is>
      </c>
      <c r="L223" s="11" t="inlineStr">
        <is>
          <t>This section establishes the legal separation of a company from its owners, which is critical for data transfer impact assessments as it defines the entity responsible for data processing and the scope of liability in cross-border contexts.</t>
        </is>
      </c>
      <c r="M223" s="11" t="inlineStr">
        <is>
          <t>• [Must] A company has a separate legal existence distinct from its owners, managers, employees, and agents
• [Must] A company has its own property, rights, and obligations
• [Must] Shareholders are not liable for company debts beyond unpaid shares</t>
        </is>
      </c>
      <c r="N223" s="11" t="inlineStr">
        <is>
          <t>• [Must] Directors may be liable for company debts if the company cannot pay them
• [Must] Directors may be liable for losses from breaches of duty to the company</t>
        </is>
      </c>
      <c r="O223" s="11" t="inlineStr">
        <is>
          <t>A company has a separate legal existence that is distinct from that of its owners, managers, operators, employees and agents. A company has its own property, its own rights and its own obligations.</t>
        </is>
      </c>
      <c r="P223" s="12" t="n">
        <v>10</v>
      </c>
    </row>
    <row r="224">
      <c r="A224" t="inlineStr">
        <is>
          <t>Australia</t>
        </is>
      </c>
      <c r="B224" t="inlineStr">
        <is>
          <t>C2026C00058VOL01 (Australia - Row 8)</t>
        </is>
      </c>
      <c r="C224" t="inlineStr">
        <is>
          <t>3</t>
        </is>
      </c>
      <c r="D224" s="11" t="inlineStr">
        <is>
          <t>Company registration and basic operational requirements</t>
        </is>
      </c>
      <c r="E224" t="inlineStr">
        <is>
          <t>275–279</t>
        </is>
      </c>
      <c r="F224" t="inlineStr">
        <is>
          <t>High</t>
        </is>
      </c>
      <c r="G224" t="inlineStr">
        <is>
          <t>High (explicit)</t>
        </is>
      </c>
      <c r="H224" s="11" t="inlineStr">
        <is>
          <t>Data Storage, Data Sharing, Cross-border Transfer</t>
        </is>
      </c>
      <c r="I224" s="11" t="inlineStr">
        <is>
          <t>Personal Information, Financial Data</t>
        </is>
      </c>
      <c r="J224" t="inlineStr">
        <is>
          <t>ASIC</t>
        </is>
      </c>
      <c r="K224" s="11" t="inlineStr">
        <is>
          <t>This section outlines the process for setting up a company, including registration with ASIC, naming requirements, and the use of ACNs. It specifies that a company must have a unique Australian Company Number (ACN), must include 'Proprietary Limited' or 'Pty Ltd' in its name, and must maintain registers of shareholders and directors. Companies can ratify contracts entered before registration.</t>
        </is>
      </c>
      <c r="L224" s="11" t="inlineStr">
        <is>
          <t>This section is relevant for DTIAs as it defines the legal entity structure and registration process, which impacts data ownership and transfer responsibilities in cross-border contexts.</t>
        </is>
      </c>
      <c r="M224" s="11" t="inlineStr">
        <is>
          <t>• [Must] A company must have a unique Australian Company Number (ACN)
• [Must] A company name must include 'Proprietary Limited' or 'Pty Ltd'</t>
        </is>
      </c>
      <c r="N224" s="11" t="inlineStr">
        <is>
          <t>• [Must] A company must maintain a register of shareholders
• [May] A company can ratify contracts entered before registration</t>
        </is>
      </c>
      <c r="O224" s="11" t="inlineStr">
        <is>
          <t>When a company is registered, ASIC allocates to it a unique 9 digit number called the Australian Company Number (ACN).</t>
        </is>
      </c>
      <c r="P224" s="12" t="n">
        <v>10</v>
      </c>
    </row>
    <row r="225">
      <c r="A225" t="inlineStr">
        <is>
          <t>Australia</t>
        </is>
      </c>
      <c r="B225" t="inlineStr">
        <is>
          <t>C2026C00058VOL01 (Australia - Row 8)</t>
        </is>
      </c>
      <c r="C225" t="inlineStr">
        <is>
          <t>4</t>
        </is>
      </c>
      <c r="D225" s="11" t="inlineStr">
        <is>
          <t>Ongoing obligations for registered companies</t>
        </is>
      </c>
      <c r="E225" t="inlineStr">
        <is>
          <t>279–281</t>
        </is>
      </c>
      <c r="F225" t="inlineStr">
        <is>
          <t>High</t>
        </is>
      </c>
      <c r="G225" t="inlineStr">
        <is>
          <t>High (explicit)</t>
        </is>
      </c>
      <c r="H225" s="11" t="inlineStr">
        <is>
          <t>Data Storage, Data Sharing, Cross-border Transfer</t>
        </is>
      </c>
      <c r="I225" s="11" t="inlineStr">
        <is>
          <t>Personal Information, Financial Data</t>
        </is>
      </c>
      <c r="J225" t="inlineStr">
        <is>
          <t>ASIC</t>
        </is>
      </c>
      <c r="K225" s="11" t="inlineStr">
        <is>
          <t>This section details annual obligations for companies, including the use of company names and ACNs, the submission of extracts of particulars to ASIC, payment of review fees, and notification requirements for changes to company details. Companies must update ASIC within specific timeframes for changes to directors, shareholders, and registered office addresses.</t>
        </is>
      </c>
      <c r="L225" s="11" t="inlineStr">
        <is>
          <t>This section is relevant for DTIAs as it establishes ongoing compliance obligations that affect data retention, storage, and transfer processes across borders.</t>
        </is>
      </c>
      <c r="M225" s="11" t="inlineStr">
        <is>
          <t>• [Must] A company must display its name at business premises
• [Must] A company must pay an annual review fee to ASIC</t>
        </is>
      </c>
      <c r="N225" s="11" t="inlineStr">
        <is>
          <t>• [Must] A company must notify ASIC of changes to directors within 28 days
• [Must] A company must notify ASIC of changes to registered office within 28 days</t>
        </is>
      </c>
      <c r="O225" s="11" t="inlineStr">
        <is>
          <t>Each year, ASIC issues each company with an extract of particulars within 2 weeks of the company's review date.</t>
        </is>
      </c>
      <c r="P225" s="12" t="n">
        <v>10</v>
      </c>
    </row>
    <row r="226">
      <c r="A226" t="inlineStr">
        <is>
          <t>Australia</t>
        </is>
      </c>
      <c r="B226" t="inlineStr">
        <is>
          <t>C2026C00058VOL01 (Australia - Row 8)</t>
        </is>
      </c>
      <c r="C226" t="inlineStr">
        <is>
          <t>5</t>
        </is>
      </c>
      <c r="D226" s="11" t="inlineStr">
        <is>
          <t>Director and company secretary responsibilities</t>
        </is>
      </c>
      <c r="E226" t="inlineStr">
        <is>
          <t>281–285</t>
        </is>
      </c>
      <c r="F226" t="inlineStr">
        <is>
          <t>High</t>
        </is>
      </c>
      <c r="G226" t="inlineStr">
        <is>
          <t>High (explicit)</t>
        </is>
      </c>
      <c r="H226" s="11" t="inlineStr">
        <is>
          <t>Data Storage, Data Sharing, Cross-border Transfer</t>
        </is>
      </c>
      <c r="I226" s="11" t="inlineStr">
        <is>
          <t>Personal Information, Financial Data</t>
        </is>
      </c>
      <c r="J226" t="inlineStr">
        <is>
          <t>ASIC</t>
        </is>
      </c>
      <c r="K226" s="11" t="inlineStr">
        <is>
          <t>This section specifies the requirements for directors and company secretaries, including age restrictions, residency requirements, consent procedures, and specific duties such as acting in good faith, avoiding conflicts of interest, and maintaining records. Directors may face criminal penalties for failing to meet their duties, and their obligations continue even after company deregistration.</t>
        </is>
      </c>
      <c r="L226" s="11" t="inlineStr">
        <is>
          <t>This section is critical for DTIAs as it defines the roles and responsibilities of individuals handling data, impacting accountability and data processing practices in cross-border contexts.</t>
        </is>
      </c>
      <c r="M226" s="11" t="inlineStr">
        <is>
          <t>• [Must] Directors must act in good faith and in the best interests of the company
• [Must] Directors must avoid conflicts of interest</t>
        </is>
      </c>
      <c r="N226" s="11" t="inlineStr">
        <is>
          <t>• [Must] Directors must exercise care and diligence
• [Must] Directors must prevent company trading while unable to pay debts</t>
        </is>
      </c>
      <c r="O226" s="11" t="inlineStr">
        <is>
          <t>In managing the business of a company, each of its directors is subject to a wide range of duties under the Corporations Act and other laws.</t>
        </is>
      </c>
      <c r="P226" s="12" t="n">
        <v>10</v>
      </c>
    </row>
    <row r="227">
      <c r="A227" t="inlineStr">
        <is>
          <t>Australia</t>
        </is>
      </c>
      <c r="B227" t="inlineStr">
        <is>
          <t>C2026C00058VOL01 (Australia - Row 8)</t>
        </is>
      </c>
      <c r="C227" t="inlineStr">
        <is>
          <t>6</t>
        </is>
      </c>
      <c r="D227" s="11" t="inlineStr">
        <is>
          <t>Shareholder registration and share transfer mechanisms</t>
        </is>
      </c>
      <c r="E227" t="inlineStr">
        <is>
          <t>285–293</t>
        </is>
      </c>
      <c r="F227" t="inlineStr">
        <is>
          <t>Medium</t>
        </is>
      </c>
      <c r="G227" t="inlineStr">
        <is>
          <t>High (explicit)</t>
        </is>
      </c>
      <c r="H227" s="11" t="inlineStr"/>
      <c r="I227" s="11" t="inlineStr"/>
      <c r="J227" t="inlineStr">
        <is>
          <t>ASIC</t>
        </is>
      </c>
      <c r="K227" s="11" t="inlineStr">
        <is>
          <t>A person may become a shareholder through company registration, share issuance, or purchase from existing shareholders. Shareholders cease to be shareholders by selling all shares, company buyback, or ASIC cancellation. The section outlines specific transfer mechanisms and conditions for share transfers, with directors having discretion to refuse registration.</t>
        </is>
      </c>
      <c r="L227" s="11" t="inlineStr">
        <is>
          <t>Defines share transfer procedures and conditions that may impact cross-border data transfers involving shareholder information, though not directly relevant to data transfers.</t>
        </is>
      </c>
      <c r="M227" s="11" t="inlineStr">
        <is>
          <t>• [Must] A person may become a shareholder of a company in several ways, including being listed in the application for registration of the company
• [Must] A person may become a shareholder of a company by the company issuing shares to the person
• [Must] A person may become a shareholder of a company by buying shares from an existing shareholder and having the company register the transfer
• [Must] A person ceases to be a shareholder by selling all shares and having the company register the transfer</t>
        </is>
      </c>
      <c r="N227" s="11" t="inlineStr">
        <is>
          <t>• [Must] A person ceases to be a shareholder by the company buying back all shares
• [Must] A person ceases to be a shareholder by ASIC cancelling the company's registration
• [May] The directors have a discretion to refuse to register a transfer of shares</t>
        </is>
      </c>
      <c r="O227" s="11" t="inlineStr">
        <is>
          <t>A person may become a shareholder of a company in several ways, including the following: • the person being listed as a shareholder of the company in the application for registration of the company • the company issuing shares to the person • the person buying shares in the company from an existing shareholder and the company registering the transfer.</t>
        </is>
      </c>
      <c r="P227" s="12" t="n">
        <v>10</v>
      </c>
    </row>
    <row r="228">
      <c r="A228" t="inlineStr">
        <is>
          <t>Australia</t>
        </is>
      </c>
      <c r="B228" t="inlineStr">
        <is>
          <t>C2026C00058VOL01 (Australia - Row 8)</t>
        </is>
      </c>
      <c r="C228" t="inlineStr">
        <is>
          <t>6 (part 3)</t>
        </is>
      </c>
      <c r="D228" s="11" t="inlineStr">
        <is>
          <t>Types of companies that can be registered</t>
        </is>
      </c>
      <c r="E228" t="inlineStr">
        <is>
          <t>301–308</t>
        </is>
      </c>
      <c r="F228" t="inlineStr">
        <is>
          <t>Low</t>
        </is>
      </c>
      <c r="G228" t="inlineStr">
        <is>
          <t>High (explicit)</t>
        </is>
      </c>
      <c r="H228" s="11" t="inlineStr"/>
      <c r="I228" s="11" t="inlineStr"/>
      <c r="J228" t="inlineStr"/>
      <c r="K228" s="11" t="inlineStr">
        <is>
          <t>This section specifies the types of companies that can be registered under the Act, including limited by shares, unlimited with share capital, limited by guarantee, no liability companies, and corporate collective investment vehicles. It also outlines conditions for registering a no liability company, such as having share capital, specific constitutional requirements, and restrictions on activities outside mining purposes.</t>
        </is>
      </c>
      <c r="L228" s="11" t="inlineStr">
        <is>
          <t>This section defines company types relevant to data processing structures but does not directly impact data transfer mechanisms or international data flows.</t>
        </is>
      </c>
      <c r="M228" s="11" t="inlineStr">
        <is>
          <t>• [Must] A company may be registered as a no liability company only if it has share capital
• [Must] A company's constitution states that its sole objects are mining purposes
• [Must] A company has no contractual right to recover calls made on shares from shareholders who fail to pay
• [Must Not] A no liability company must not engage in activities outside its mining purposes</t>
        </is>
      </c>
      <c r="N228" s="11" t="inlineStr">
        <is>
          <t>• [Must Not] A no liability company's directors must not let whole or proportion of a mine on tribute without special resolution approval
• [Must Not] A no liability company's directors must not make contracts for working land on tribute without special resolution approval
• [Must] A company must have no more than 50 non-employee shareholders to be registered as a proprietary company</t>
        </is>
      </c>
      <c r="O228" s="11" t="inlineStr">
        <is>
          <t>Section 112(2) of the Australian Charities and Not-for-profits Commission Act 2: A company may be registered as a no liability company only if: (a) the company has a share capital; and (b) the company's constitution states that its sole objects are mining purposes; and (c) the company has no contractual right under its constitution to recover calls made on its shares from a shareholder who fails to pay them.</t>
        </is>
      </c>
      <c r="P228" s="12" t="n">
        <v>10</v>
      </c>
    </row>
    <row r="229">
      <c r="A229" t="inlineStr">
        <is>
          <t>Australia</t>
        </is>
      </c>
      <c r="B229" t="inlineStr">
        <is>
          <t>C2026C00058VOL01 (Australia - Row 8)</t>
        </is>
      </c>
      <c r="C229" t="inlineStr">
        <is>
          <t>6 (part 4)</t>
        </is>
      </c>
      <c r="D229" s="11" t="inlineStr">
        <is>
          <t>Application requirements for company registration</t>
        </is>
      </c>
      <c r="E229" t="inlineStr">
        <is>
          <t>308–315</t>
        </is>
      </c>
      <c r="F229" t="inlineStr">
        <is>
          <t>Low</t>
        </is>
      </c>
      <c r="G229" t="inlineStr">
        <is>
          <t>High (explicit)</t>
        </is>
      </c>
      <c r="H229" s="11" t="inlineStr"/>
      <c r="I229" s="11" t="inlineStr"/>
      <c r="J229" t="inlineStr">
        <is>
          <t>ASIC</t>
        </is>
      </c>
      <c r="K229" s="11" t="inlineStr">
        <is>
          <t>This section details the information required for applying to register a company with ASIC, including company type, name, members, directors, company secretary, registered office address, and share details. It specifies that the application must be in prescribed form and that consents and agreements must be provided by applicants.</t>
        </is>
      </c>
      <c r="L229" s="11" t="inlineStr">
        <is>
          <t>This section outlines the registration process but does not directly address data transfer mechanisms or international data flows.</t>
        </is>
      </c>
      <c r="M229" s="11" t="inlineStr">
        <is>
          <t>• [Must] The application must state the type of company proposed to be registered
• [Must] The application must state the company's proposed name (unless ACN is used)
• [Must] The application must state the name and address of each person who consents to become a member
• [Must] The application must state the present and former given and family names and date of birth of each person who consents to become a director</t>
        </is>
      </c>
      <c r="N229" s="11" t="inlineStr">
        <is>
          <t>• [Must] The application must state the present and former given and family names and date of birth of each person who consents to become a company secretary
• [Must] The application must state the address of each person who consents to become a director or company secretary
• [Must] The application must state the address of the company's proposed registered office
• [Must] The application must state the address of the company's proposed principal place of business (if different from registered office)</t>
        </is>
      </c>
      <c r="O229" s="11" t="inlineStr">
        <is>
          <t>Section 117(2) of the Australian Charities and Not-for-profits Commission Act 2: The application must state: (a) the type of company that is proposed to be registered under this Act; (b) the company's proposed name (unless the ACN is to be used in its name); (c) the name and address of each person who consents to become a member; (d) the present given and family name, all former given and family names and the date and place of birth of each person who consents in writing to become a director; (e) the present given and family name, all former given and family names and the date and place of birth of each person who consents in writing to become a company secretary; (f) the address of each person who consents in writing to become a director or company secretary; (g) the address of the company's proposed registered office; (h) for a public company—the proposed opening hours of its registered office (if not standard hours); (i) for a company limited by shares or unlimited company—the number and class of shares each member agrees to take up; (j) the State or Territory in which the company is to be taken to be registered.</t>
        </is>
      </c>
      <c r="P229" s="12" t="n">
        <v>10</v>
      </c>
    </row>
    <row r="230">
      <c r="A230" t="inlineStr">
        <is>
          <t>Australia</t>
        </is>
      </c>
      <c r="B230" t="inlineStr">
        <is>
          <t>C2026C00058VOL01 (Australia - Row 8)</t>
        </is>
      </c>
      <c r="C230" t="inlineStr">
        <is>
          <t>6 (part 6)</t>
        </is>
      </c>
      <c r="D230" s="11" t="inlineStr">
        <is>
          <t>Assumptions people dealing with companies are entitled to make</t>
        </is>
      </c>
      <c r="E230" t="inlineStr">
        <is>
          <t>321–328</t>
        </is>
      </c>
      <c r="F230" t="inlineStr">
        <is>
          <t>None</t>
        </is>
      </c>
      <c r="G230" t="inlineStr">
        <is>
          <t>High (explicit)</t>
        </is>
      </c>
      <c r="H230" s="11" t="inlineStr"/>
      <c r="I230" s="11" t="inlineStr">
        <is>
          <t>Personal Information</t>
        </is>
      </c>
      <c r="J230" t="inlineStr"/>
      <c r="K230" s="11" t="inlineStr">
        <is>
          <t>This section states that assumptions made under it apply for the purposes of the section itself. It clarifies that public information from ASIC does not constitute constructive notice of a company's existence or status. A person is not deemed to have information about a company merely because such information is publicly available from ASIC.</t>
        </is>
      </c>
      <c r="L230" s="11" t="inlineStr"/>
      <c r="M230" s="11" t="inlineStr">
        <is>
          <t>• [Must] Assumptions made under this section apply for the purposes of this section</t>
        </is>
      </c>
      <c r="N230" s="11" t="inlineStr"/>
      <c r="O230" s="11" t="inlineStr">
        <is>
          <t>Assumptions people dealing with companies are entitled to make Part 2B.2
Section 130 (8) Without limiting the generality of this section, the assumptions that may be made under this section apply for the purposes of this section.</t>
        </is>
      </c>
      <c r="P230" s="12" t="n">
        <v>10</v>
      </c>
    </row>
    <row r="231">
      <c r="A231" t="inlineStr">
        <is>
          <t>Australia</t>
        </is>
      </c>
      <c r="B231" t="inlineStr">
        <is>
          <t>C2026C00058VOL01 (Australia - Row 8)</t>
        </is>
      </c>
      <c r="C231" t="inlineStr">
        <is>
          <t>6 (part 7)</t>
        </is>
      </c>
      <c r="D231" s="11" t="inlineStr">
        <is>
          <t>Table of replaceable rules for company governance</t>
        </is>
      </c>
      <c r="E231" t="inlineStr">
        <is>
          <t>328–336</t>
        </is>
      </c>
      <c r="F231" t="inlineStr">
        <is>
          <t>None</t>
        </is>
      </c>
      <c r="G231" t="inlineStr">
        <is>
          <t>High (explicit)</t>
        </is>
      </c>
      <c r="H231" s="11" t="inlineStr"/>
      <c r="I231" s="11" t="inlineStr">
        <is>
          <t>Personal Information</t>
        </is>
      </c>
      <c r="J231" t="inlineStr"/>
      <c r="K231" s="11" t="inlineStr">
        <is>
          <t>This section provides a table listing replaceable rules applicable to companies, including provisions related to directors, meetings, and shares. These rules govern internal management and have effect as contracts between the company and its members, directors, and other members.</t>
        </is>
      </c>
      <c r="L231" s="11" t="inlineStr"/>
      <c r="M231" s="11" t="inlineStr">
        <is>
          <t>• [Must] Replaceable rules apply to companies as specified in the table</t>
        </is>
      </c>
      <c r="N231" s="11" t="inlineStr"/>
      <c r="O231" s="11" t="inlineStr">
        <is>
          <t>Section 141 (1) The following table sets out the provisions of this Act that apply as replaceable rules.</t>
        </is>
      </c>
      <c r="P231" s="12" t="n">
        <v>10</v>
      </c>
    </row>
    <row r="232">
      <c r="A232" t="inlineStr">
        <is>
          <t>Australia</t>
        </is>
      </c>
      <c r="B232" t="inlineStr">
        <is>
          <t>C2026C00058VOL01 (Australia - Row 8)</t>
        </is>
      </c>
      <c r="C232" t="inlineStr">
        <is>
          <t>6 (part 8)</t>
        </is>
      </c>
      <c r="D232" s="11" t="inlineStr">
        <is>
          <t>Company name requirements and name change procedures</t>
        </is>
      </c>
      <c r="E232" t="inlineStr">
        <is>
          <t>336–344</t>
        </is>
      </c>
      <c r="F232" t="inlineStr">
        <is>
          <t>Medium</t>
        </is>
      </c>
      <c r="G232" t="inlineStr">
        <is>
          <t>High (explicit)</t>
        </is>
      </c>
      <c r="H232" s="11" t="inlineStr"/>
      <c r="I232" s="11" t="inlineStr">
        <is>
          <t>Personal Information</t>
        </is>
      </c>
      <c r="J232" t="inlineStr">
        <is>
          <t>ASIC</t>
        </is>
      </c>
      <c r="K232" s="11" t="inlineStr">
        <is>
          <t>Companies must use available names or 'Australian Company Number' followed by their ACN. Limited companies must include 'Limited' or 'Proprietary Limited' in their name. Unlimited proprietary companies must include 'Proprietary'. No liability companies must include 'No Liability'. Public companies may not include 'Proprietary' unless they were public companies before 1 July 1998. Companies must notify ASIC if they cease to meet the conditions for omitting 'Limited' from their name. Name changes require special resolutions and ASIC applications, with specific rules for companies under administration or liquidation.</t>
        </is>
      </c>
      <c r="L232" s="11" t="inlineStr">
        <is>
          <t>This section governs company name requirements and name changes, which may impact data transfer if company names are used in international documents or data processing activities. Name changes require ASIC approval and may affect data residency and cross-border data handling.</t>
        </is>
      </c>
      <c r="M232" s="11" t="inlineStr">
        <is>
          <t>• [Must] A company may have as its name an available name or the expression 'Australian Company Number' followed by the company's ACN
• [Must] A limited public company must have the word 'Limited' at the end of its name unless section 150 or 151 applies
• [Must] A limited proprietary company must have the words 'Proprietary Limited' at the end of its name
• [Must] An unlimited proprietary company must have the word 'Proprietary' at the end of its name
• [Must] A no liability company must have the words 'No Liability' at the end of its name
• [Must Not] A public company must not include the word 'Proprietary' (or an abbreviation) in its name unless it was a public company before 1 July 1998 and included 'Proprietary' in its name before 1 July 1998</t>
        </is>
      </c>
      <c r="N232" s="11" t="inlineStr">
        <is>
          <t>• [Must] A company that does not have 'Limited' at the end of its name must notify ASIC if it ceases to be registered as a charity or if its constitution changes
• [May] A company may omit 'Limited' from its name if it is registered as a charity under the Australian Charities and Not-for-profits Commission Act 2012 and its constitution prohibits paying fees to directors
• [May] A company may omit 'Limited' from its name if it had a licence that allowed it to do so before 1 July 1998
• [Must] A company must pass a special resolution adopting a new name and lodge an application with ASIC to change its name
• [Must] A company must lodge a copy of the special resolution with ASIC within 14 days after it is passed
• [Must] ASIC must change the company's name by altering the details of the company's registration to reflect the change if the proposed name is available</t>
        </is>
      </c>
      <c r="O232" s="11" t="inlineStr">
        <is>
          <t>Section 148: A company may have as its name: (a) an available name; or (b) the expression 'Australian Company Number' followed by the company's ACN.</t>
        </is>
      </c>
      <c r="P232" s="12" t="n">
        <v>10</v>
      </c>
    </row>
    <row r="233">
      <c r="A233" t="inlineStr">
        <is>
          <t>Australia</t>
        </is>
      </c>
      <c r="B233" t="inlineStr">
        <is>
          <t>C2026C00058VOL01 (Australia - Row 8)</t>
        </is>
      </c>
      <c r="C233" t="inlineStr">
        <is>
          <t>6 (part 10)</t>
        </is>
      </c>
      <c r="D233" s="11" t="inlineStr">
        <is>
          <t>Company type conversion requirements and applications</t>
        </is>
      </c>
      <c r="E233" t="inlineStr">
        <is>
          <t>351–357</t>
        </is>
      </c>
      <c r="F233" t="inlineStr">
        <is>
          <t>Medium</t>
        </is>
      </c>
      <c r="G233" t="inlineStr">
        <is>
          <t>High (explicit)</t>
        </is>
      </c>
      <c r="H233" s="11" t="inlineStr"/>
      <c r="I233" s="11" t="inlineStr"/>
      <c r="J233" t="inlineStr">
        <is>
          <t>ASIC</t>
        </is>
      </c>
      <c r="K233" s="11" t="inlineStr">
        <is>
          <t>This section outlines the process for companies to change their legal structure, including specific requirements for applications to ASIC. It mandates that companies lodge applications with ASIC, include special resolutions, and provide detailed information about share changes. The section also specifies conditions under which companies may convert to different types, such as proprietary companies or public companies, and requires compliance with certain constitutional provisions and share capital rules.</t>
        </is>
      </c>
      <c r="L233" s="11" t="inlineStr">
        <is>
          <t>This section is relevant for DTIAs as it details the requirements for company type conversions, which may impact data storage and processing structures across borders if the company operates internationally. The conversion process involves specific documentation and regulatory compliance that could affect data handling.</t>
        </is>
      </c>
      <c r="M233" s="11" t="inlineStr">
        <is>
          <t>• [Must] A company must lodge an application with ASIC to change its type
• [Must] The application must include a copy of the special resolution resolving to change the type
• [Must] For companies limited by guarantee changing to companies limited by shares, the application must include a statement signed by directors that creditors are not likely to be materially prejudiced
• [Must] For companies limited by shares or companies limited by guarantee changing to unlimited companies, the application must include an assent to the change signed by all members</t>
        </is>
      </c>
      <c r="N233" s="11" t="inlineStr">
        <is>
          <t>• [Must] For proprietary companies changing to public companies, the application must include a consolidated copy of the constitution
• [Must] The company must have consents from persons to whom shares will be issued when changing from a company limited by guarantee to a company limited by shares
• [Must] ASIC must give notice to creditors if a company limited by guarantee is changing to a company limited by shares
• [Must] The company must lodge a copy of the special resolution with ASIC within 14 days after it is passed</t>
        </is>
      </c>
      <c r="O233" s="11" t="inlineStr">
        <is>
          <t>Section 163(1): To change its type, a company must lodge an application with ASIC.</t>
        </is>
      </c>
      <c r="P233" s="12" t="n">
        <v>10</v>
      </c>
    </row>
    <row r="234">
      <c r="A234" t="inlineStr">
        <is>
          <t>Australia</t>
        </is>
      </c>
      <c r="B234" t="inlineStr">
        <is>
          <t>C2026C00058VOL01 (Australia - Row 8)</t>
        </is>
      </c>
      <c r="C234" t="inlineStr">
        <is>
          <t>6 (part 11)</t>
        </is>
      </c>
      <c r="D234" s="11" t="inlineStr">
        <is>
          <t>Mutual capital instruments and MCI mutual entities</t>
        </is>
      </c>
      <c r="E234" t="inlineStr">
        <is>
          <t>357–365</t>
        </is>
      </c>
      <c r="F234" t="inlineStr">
        <is>
          <t>High</t>
        </is>
      </c>
      <c r="G234" t="inlineStr">
        <is>
          <t>High (explicit)</t>
        </is>
      </c>
      <c r="H234" s="11" t="inlineStr"/>
      <c r="I234" s="11" t="inlineStr">
        <is>
          <t>Financial Data</t>
        </is>
      </c>
      <c r="J234" t="inlineStr"/>
      <c r="K234" s="11" t="inlineStr">
        <is>
          <t>This section defines mutual capital instruments (MCIs) and MCI mutual entities, specifying requirements for their issuance and operation. It outlines the conditions under which a mutual entity can issue MCIs, including constitutional provisions and voting rights. The section also details the special procedures for amending constitutions to allow MCI issuance and the requirements for MCI cancellation during demutualization.</t>
        </is>
      </c>
      <c r="L234" s="11" t="inlineStr">
        <is>
          <t>This section is relevant for DTIAs as it establishes specific data structures and governance requirements for mutual entities issuing MCIs, which could impact data storage and processing across borders. The MCI framework may affect how data is handled in international contexts.</t>
        </is>
      </c>
      <c r="M234" s="11" t="inlineStr">
        <is>
          <t>• [Must] An MCI mutual entity must be a public company
• [Must] An MCI mutual entity must not have voting shares quoted on a declared financial market
• [Must] An MCI mutual entity must not be a registered entity within the meaning of the Australian Charities and Not-for-profits Commission Act 2012
• [Must] An MCI mutual entity's constitution must state it is intended to be an MCI mutual entity</t>
        </is>
      </c>
      <c r="N234" s="11" t="inlineStr">
        <is>
          <t>• [Must] An MCI must be a share in a mutual entity that meets voting rights and other requirements
• [Must] MCIs must be fully paid shares
• [Must] Dividends for MCIs must be non-cumulative
• [Must] MCIs must be cancelled before the entity demutualizes</t>
        </is>
      </c>
      <c r="O234" s="11" t="inlineStr">
        <is>
          <t>Section 167AC: A mutual entity is an MCI mutual entity if: (a) the entity is a public company; (b) the entity does not have voting shares (other than MCIs) quoted on a declared financial market; ...</t>
        </is>
      </c>
      <c r="P234" s="12" t="n">
        <v>10</v>
      </c>
    </row>
    <row r="235">
      <c r="A235" t="inlineStr">
        <is>
          <t>Australia</t>
        </is>
      </c>
      <c r="B235" t="inlineStr">
        <is>
          <t>C2026C00058VOL01 (Australia - Row 8)</t>
        </is>
      </c>
      <c r="C235" t="inlineStr">
        <is>
          <t>6 (part 12)</t>
        </is>
      </c>
      <c r="D235" s="11" t="inlineStr">
        <is>
          <t>Registration of members and option holders for companies and schemes</t>
        </is>
      </c>
      <c r="E235" t="inlineStr">
        <is>
          <t>365–372</t>
        </is>
      </c>
      <c r="F235" t="inlineStr">
        <is>
          <t>High</t>
        </is>
      </c>
      <c r="G235" t="inlineStr">
        <is>
          <t>High (explicit)</t>
        </is>
      </c>
      <c r="H235" s="11" t="inlineStr">
        <is>
          <t>Data Storage, Data Residency, Record Keeping</t>
        </is>
      </c>
      <c r="I235" s="11" t="inlineStr">
        <is>
          <t>Personal Information, Financial Data</t>
        </is>
      </c>
      <c r="J235" t="inlineStr">
        <is>
          <t>ASIC</t>
        </is>
      </c>
      <c r="K235" s="11" t="inlineStr">
        <is>
          <t>This section mandates that companies and registered schemes maintain specific registers, including a register of members, option holders, and debenture holders. The registers must contain detailed information about members, such as names, addresses, share details, and dates of entry. For companies with more than 50 members, an index of members' names must be maintained. The registers must be updated for transfers and changes, and the company must notify ASIC of changes within specified timeframes.</t>
        </is>
      </c>
      <c r="L235" s="11" t="inlineStr">
        <is>
          <t>This section establishes requirements for maintaining detailed member and option registers, which are critical for data storage compliance. It specifies data retention periods, update procedures, and notification obligations that impact cross-border data transfers involving member information.</t>
        </is>
      </c>
      <c r="M235" s="11" t="inlineStr">
        <is>
          <t>• [Must] A company or registered scheme must set up and maintain a register of members
• [Must] The register must contain the name, address, and date of entry for each member
• [Must] For companies with more than 50 members, an index of members' names must be maintained
• [Must] The register must show share details including allotment dates, share numbers, and class of shares</t>
        </is>
      </c>
      <c r="N235" s="11" t="inlineStr">
        <is>
          <t>• [Must] The register must indicate whether shares are held beneficially or non-beneficially
• [Must] The register must show the amount paid on shares and whether shares are fully paid
• [Must] The register must be updated whenever options are exercised or expire
• [Must] The company must notify ASIC within 7 days of changes to the register</t>
        </is>
      </c>
      <c r="O235" s="11" t="inlineStr">
        <is>
          <t>Section 167A(1) and (2) and Section 169(1) to (8)</t>
        </is>
      </c>
      <c r="P235" s="12" t="n">
        <v>10</v>
      </c>
    </row>
    <row r="236">
      <c r="A236" t="inlineStr">
        <is>
          <t>Australia</t>
        </is>
      </c>
      <c r="B236" t="inlineStr">
        <is>
          <t>C2026C00058VOL01 (Australia - Row 8)</t>
        </is>
      </c>
      <c r="C236" t="inlineStr">
        <is>
          <t>6 (part 14)</t>
        </is>
      </c>
      <c r="D236" s="11" t="inlineStr">
        <is>
          <t>Notification of member register changes to ASIC within specified timeframes</t>
        </is>
      </c>
      <c r="E236" t="inlineStr">
        <is>
          <t>379–386</t>
        </is>
      </c>
      <c r="F236" t="inlineStr">
        <is>
          <t>Medium</t>
        </is>
      </c>
      <c r="G236" t="inlineStr">
        <is>
          <t>High (explicit)</t>
        </is>
      </c>
      <c r="H236" s="11" t="inlineStr">
        <is>
          <t>Data Sharing, Cross-border Transfer, Data Storage</t>
        </is>
      </c>
      <c r="I236" s="11" t="inlineStr">
        <is>
          <t>Customer Data</t>
        </is>
      </c>
      <c r="J236" t="inlineStr">
        <is>
          <t>ASIC</t>
        </is>
      </c>
      <c r="K236" s="11" t="inlineStr">
        <is>
          <t>Proprietary companies must notify ASIC within specific timeframes when they add or alter entries in their member register following certain events, including court orders for corrections, share divisions, share conversions, share issuances, or share capital reductions. The notification deadlines are tied to the company's existing notification obligations under other sections of the Corporations Act. For events not covered by the listed items, companies have 28 days to notify ASIC after making the change.</t>
        </is>
      </c>
      <c r="L236" s="11" t="inlineStr">
        <is>
          <t>This section establishes time-bound notification requirements for member register updates, which could impact data transfer impact assessments when cross-border transfers involve corporate member registers or shareholding data.</t>
        </is>
      </c>
      <c r="M236" s="11" t="inlineStr">
        <is>
          <t>• [Must] Company must notify ASIC within time frame for correction under subsection 175(3) when court orders correction of member register
• [Must] Company must notify ASIC within time frame for share division or conversion under subsection 246F(1) when dividing shares into classes or converting shares
• [Must] Company must notify ASIC within time frame for share issue under subsection 254X(1) when issuing shares</t>
        </is>
      </c>
      <c r="N236" s="11" t="inlineStr">
        <is>
          <t>• [Must] Company must notify ASIC within time frame for share capital reduction under subsection 256C(3) when reducing share capital
• [Must] Company must notify ASIC within 28 days after adding or altering member register entries for events not covered by items 1-4</t>
        </is>
      </c>
      <c r="O236" s="11" t="inlineStr">
        <is>
          <t>The company must notify ASIC within this time... 1 the Court orders the company to correct its member register kept under section 169 at the same time that it notifies ASIC of the correction under subsection 175(3)</t>
        </is>
      </c>
      <c r="P236" s="12" t="n">
        <v>10</v>
      </c>
    </row>
    <row r="237">
      <c r="A237" t="inlineStr">
        <is>
          <t>Australia</t>
        </is>
      </c>
      <c r="B237" t="inlineStr">
        <is>
          <t>C2026C00058VOL01 (Australia - Row 8)</t>
        </is>
      </c>
      <c r="C237" t="inlineStr">
        <is>
          <t>6 (part 15)</t>
        </is>
      </c>
      <c r="D237" s="11" t="inlineStr">
        <is>
          <t>Corporate directors' and secretaries' responsibilities for compliance with corporate obligations</t>
        </is>
      </c>
      <c r="E237" t="inlineStr">
        <is>
          <t>386–393</t>
        </is>
      </c>
      <c r="F237" t="inlineStr">
        <is>
          <t>High</t>
        </is>
      </c>
      <c r="G237" t="inlineStr">
        <is>
          <t>High (explicit)</t>
        </is>
      </c>
      <c r="H237" s="11" t="inlineStr">
        <is>
          <t>Data Sharing, Cross-border Transfer, Data Storage</t>
        </is>
      </c>
      <c r="I237" s="11" t="inlineStr">
        <is>
          <t>Customer Data</t>
        </is>
      </c>
      <c r="J237" t="inlineStr">
        <is>
          <t>ASIC</t>
        </is>
      </c>
      <c r="K237" s="11" t="inlineStr">
        <is>
          <t>Directors and secretaries of proprietary companies are personally liable for corporate contraventions of specific provisions related to registered offices, share structures, and other corporate responsibilities. This includes obligations to ensure compliance with sections on registered office accessibility, share changes, and annual reporting. Directors must also demonstrate they took reasonable steps to ensure compliance with these provisions to avoid liability.</t>
        </is>
      </c>
      <c r="L237" s="11" t="inlineStr">
        <is>
          <t>This section creates personal liability for directors and secretaries when corporate obligations are not met, which could affect data transfer impact assessments involving corporate data sharing or cross-border transfers of corporate information.</t>
        </is>
      </c>
      <c r="M237" s="11" t="inlineStr">
        <is>
          <t>• [Must] Secretary of a company contravenes if company contravenes section 142 (registered office)
• [Must] Secretary of a company contravenes if company contravenes section 145 (public company's registered office to be open to public)
• [Must] Secretary of a company contravenes if company contravenes section 146 (change of principal place of business)
• [Must] Secretary of a company contravenes if company contravenes section 178A (change to proprietary company's member register)
• [Must] Secretary of a company contravenes if company contravenes section 178C (change to proprietary company's share structure)
• [Must] Secretary of a company contravenes if company contravenes subsection 203AA(6) (notification of resignation day)
• [Must] Secretary of a company contravenes if company contravenes section 205B (lodgement of notices with ASIC)</t>
        </is>
      </c>
      <c r="N237" s="11" t="inlineStr">
        <is>
          <t>• [Must] Secretary of a company contravenes if company contravenes section 254X (issue of shares)
• [Must] Secretary of a company contravenes if company contravenes section 319 (lodgement of annual reports with ASIC)
• [Must] Secretary of a company contravenes if company contravenes section 320 (lodgement of half-year reports with ASIC)
• [Must] Secretary of a company contravenes if company contravenes section 346C (response to extract of particulars)
• [Must] Secretary of a company contravenes if company contravenes section 348D (response to return of particulars)
• [Must] Secretary of a company contravenes if company contravenes section 349A (change to proprietary company's ultimate holding company)</t>
        </is>
      </c>
      <c r="O237" s="11" t="inlineStr">
        <is>
          <t>A secretary of a company contravenes this subsection if the company contravenes any of the following provisions (each of which is a corporate responsibility provision)</t>
        </is>
      </c>
      <c r="P237" s="12" t="n">
        <v>10</v>
      </c>
    </row>
    <row r="238">
      <c r="A238" t="inlineStr">
        <is>
          <t>Australia</t>
        </is>
      </c>
      <c r="B238" t="inlineStr">
        <is>
          <t>C2026C00058VOL01 (Australia - Row 8)</t>
        </is>
      </c>
      <c r="C238" t="inlineStr">
        <is>
          <t>6 (part 16)</t>
        </is>
      </c>
      <c r="D238" s="11" t="inlineStr">
        <is>
          <t>Director disclosure of personal interests in company matters</t>
        </is>
      </c>
      <c r="E238" t="inlineStr">
        <is>
          <t>393–400</t>
        </is>
      </c>
      <c r="F238" t="inlineStr">
        <is>
          <t>High</t>
        </is>
      </c>
      <c r="G238" t="inlineStr">
        <is>
          <t>High (explicit)</t>
        </is>
      </c>
      <c r="H238" s="11" t="inlineStr">
        <is>
          <t>Cross-border Transfer, International Processing, Data Sharing, Data Storage</t>
        </is>
      </c>
      <c r="I238" s="11" t="inlineStr">
        <is>
          <t>Financial Data, Customer Data</t>
        </is>
      </c>
      <c r="J238" t="inlineStr">
        <is>
          <t>ASIC</t>
        </is>
      </c>
      <c r="K238" s="11" t="inlineStr">
        <is>
          <t>Directors must disclose material personal interests in company matters to other directors. The disclosure must be made in writing to individual directors if given to directors, and the nature and extent of the interest must be recorded in meeting minutes. The standing notice takes effect immediately upon disclosure and ceases to have effect if a new director with no prior interest is appointed. If the interest materially increases, the standing notice ceases to apply. This section applies to directors of proprietary companies and public companies, with specific rules for voting and transactions involving conflicts of interest.</t>
        </is>
      </c>
      <c r="L238" s="11" t="inlineStr">
        <is>
          <t>This section establishes disclosure requirements for directors with material personal interests in company matters, which could impact data transfer assessments when directors handle sensitive financial or personal information across borders.</t>
        </is>
      </c>
      <c r="M238" s="11" t="inlineStr">
        <is>
          <t>• [Must] Standing notice must be given to other directors individually in writing
• [Must] Standing notice must be tabled at next directors' meeting after being given
• [Must] Nature and extent of interest disclosed in standing notice must be recorded in meeting minutes
• [Must] Standing notice takes effect immediately upon disclosure</t>
        </is>
      </c>
      <c r="N238" s="11" t="inlineStr">
        <is>
          <t>• [Must] Standing notice ceases to have effect if a new director with no prior interest is appointed
• [Must] Standing notice reactivates if new director with interest is appointed
• [Must] Standing notice ceases to apply if interest materially increases</t>
        </is>
      </c>
      <c r="O238" s="11" t="inlineStr">
        <is>
          <t>Section 192(3): If the standing notice is given to the other directors individually in writing, it must be tabled at the next directors' meeting after it is given.</t>
        </is>
      </c>
      <c r="P238" s="12" t="n">
        <v>10</v>
      </c>
    </row>
    <row r="239">
      <c r="A239" t="inlineStr">
        <is>
          <t>Australia</t>
        </is>
      </c>
      <c r="B239" t="inlineStr">
        <is>
          <t>C2026C00058VOL01 (Australia - Row 8)</t>
        </is>
      </c>
      <c r="C239" t="inlineStr">
        <is>
          <t>6 (part 17)</t>
        </is>
      </c>
      <c r="D239" s="11" t="inlineStr">
        <is>
          <t>Directors' powers to delegate authority and access company records</t>
        </is>
      </c>
      <c r="E239" t="inlineStr">
        <is>
          <t>400–407</t>
        </is>
      </c>
      <c r="F239" t="inlineStr">
        <is>
          <t>High</t>
        </is>
      </c>
      <c r="G239" t="inlineStr">
        <is>
          <t>High (explicit)</t>
        </is>
      </c>
      <c r="H239" s="11" t="inlineStr">
        <is>
          <t>Data Sharing, Data Storage, Access Control</t>
        </is>
      </c>
      <c r="I239" s="11" t="inlineStr">
        <is>
          <t>Financial Data, Customer Data</t>
        </is>
      </c>
      <c r="J239" t="inlineStr"/>
      <c r="K239" s="11" t="inlineStr">
        <is>
          <t>Directors may delegate powers to committees, directors, employees, or other persons, with delegation recorded in minutes. Directors have the right to inspect company books (excluding financial records) for legal proceedings, and this right extends for seven years after ceasing to be a director. The delegation must be recorded in the company's minute book and the delegate must exercise powers according to directors' directions.</t>
        </is>
      </c>
      <c r="L239" s="11" t="inlineStr">
        <is>
          <t>This section governs directors' authority delegation and access to company records, which could affect data transfer assessments when sensitive financial or personal information is handled across borders.</t>
        </is>
      </c>
      <c r="M239" s="11" t="inlineStr">
        <is>
          <t>• [May] Directors may delegate powers to committees, directors, employees, or other persons
• [Must] Delegation must be recorded in company's minute book
• [Must] Delegate must exercise powers according to directors' directions</t>
        </is>
      </c>
      <c r="N239" s="11" t="inlineStr">
        <is>
          <t>• [May] Director may inspect company books (excluding financial records) for legal proceedings
• [Must] Right to inspect books continues for 7 years after ceasing to be director</t>
        </is>
      </c>
      <c r="O239" s="11" t="inlineStr">
        <is>
          <t>Section 198E(1): The director of a proprietary company who is its only director and only shareholder may exercise all the powers of the company except any powers that this Act or the company's constitution (if any) requires the company to exercise in general meeting.</t>
        </is>
      </c>
      <c r="P239" s="12" t="n">
        <v>10</v>
      </c>
    </row>
    <row r="240">
      <c r="A240" t="inlineStr">
        <is>
          <t>Australia</t>
        </is>
      </c>
      <c r="B240" t="inlineStr">
        <is>
          <t>C2026C00058VOL01 (Australia - Row 8)</t>
        </is>
      </c>
      <c r="C240" t="inlineStr">
        <is>
          <t>6 (part 18)</t>
        </is>
      </c>
      <c r="D240" s="11" t="inlineStr">
        <is>
          <t>Indemnity and insurance restrictions for officers and auditors</t>
        </is>
      </c>
      <c r="E240" t="inlineStr">
        <is>
          <t>407–413</t>
        </is>
      </c>
      <c r="F240" t="inlineStr">
        <is>
          <t>High</t>
        </is>
      </c>
      <c r="G240" t="inlineStr">
        <is>
          <t>High (explicit)</t>
        </is>
      </c>
      <c r="H240" s="11" t="inlineStr">
        <is>
          <t>Cross-border Transfer, International Processing, Data Storage, Security</t>
        </is>
      </c>
      <c r="I240" s="11" t="inlineStr">
        <is>
          <t>Personal Information</t>
        </is>
      </c>
      <c r="J240" t="inlineStr">
        <is>
          <t>ASIC</t>
        </is>
      </c>
      <c r="K240" s="11" t="inlineStr">
        <is>
          <t>A company cannot indemnify a person against legal costs incurred in defending actions where the person is found liable for which they could not be indemnified under section 199B(2), in criminal proceedings, or in proceedings brought by ASIC or a liquidator for court orders. The outcome of proceedings includes any related appeals. This applies to legal costs in specific contexts such as disqualification, oppression, or civil penalties.</t>
        </is>
      </c>
      <c r="L240" s="11" t="inlineStr">
        <is>
          <t>Restricts indemnification of officers/auditors against legal costs in certain cross-border or regulatory proceedings, impacting data transfer where legal costs are involved in international disputes.</t>
        </is>
      </c>
      <c r="M240" s="11" t="inlineStr">
        <is>
          <t>• [Must Not] A company must not indemnify a person against legal costs incurred in defending actions where the person is found liable for which they could not be indemnified under subsection (2)
• [Must Not] A company must not indemnify a person against legal costs incurred in defending criminal proceedings where the person is found guilty</t>
        </is>
      </c>
      <c r="N240" s="11" t="inlineStr">
        <is>
          <t>• [Must Not] A company must not indemnify a person against legal costs incurred in defending proceedings brought by ASIC or a liquidator for court orders</t>
        </is>
      </c>
      <c r="O240" s="11" t="inlineStr">
        <is>
          <t>When indemnity for legal costs not allowed (3) A company or related body corporate must not indemnify a person against legal costs incurred in defending an action for a liability incurred as an officer or auditor of the company if the costs are incurred: (a) in defending or resisting proceedings in which the person is found to have a liability for which they could not be indemnified under subsection (2); or (b) in defending or resisting criminal proceedings in which the person is found guilty; or (c) in defending or resisting proceedings brought by ASIC or a liquidator for a court order if the grounds for making the order are found by the court to have been established</t>
        </is>
      </c>
      <c r="P240" s="12" t="n">
        <v>10</v>
      </c>
    </row>
    <row r="241">
      <c r="A241" t="inlineStr">
        <is>
          <t>Australia</t>
        </is>
      </c>
      <c r="B241" t="inlineStr">
        <is>
          <t>C2026C00058VOL01 (Australia - Row 8)</t>
        </is>
      </c>
      <c r="C241" t="inlineStr">
        <is>
          <t>6 (part 20)</t>
        </is>
      </c>
      <c r="D241" s="11" t="inlineStr">
        <is>
          <t>Pension and lump sum payment calculations for retirement benefits</t>
        </is>
      </c>
      <c r="E241" t="inlineStr">
        <is>
          <t>419–426</t>
        </is>
      </c>
      <c r="F241" t="inlineStr">
        <is>
          <t>High</t>
        </is>
      </c>
      <c r="G241" t="inlineStr">
        <is>
          <t>High (explicit)</t>
        </is>
      </c>
      <c r="H241" s="11" t="inlineStr">
        <is>
          <t>Financial Data</t>
        </is>
      </c>
      <c r="I241" s="11" t="inlineStr">
        <is>
          <t>Financial Data</t>
        </is>
      </c>
      <c r="J241" t="inlineStr">
        <is>
          <t>ASIC</t>
        </is>
      </c>
      <c r="K241" s="11" t="inlineStr">
        <is>
          <t>This section defines the calculation method for pension and lump sum payments upon retirement from a company or related body corporate. It specifies that the value of benefits must not exceed the amount calculated based on the relevant period, which is determined by the duration the person held managerial or executive office. The calculation varies depending on the length of the relevant period (less than 1 year, 1-2 years, 2-3 years, or 3+ years) and involves estimating annual base salary. The section also requires disregarding certain contributions when determining the value of payments.</t>
        </is>
      </c>
      <c r="L241" s="11" t="inlineStr">
        <is>
          <t>This section specifies how to calculate pension and lump sum payments for retirement, which affects cross-border data transfers involving financial data of employees. The calculation method must be applied consistently to ensure compliance with retirement benefit structures.</t>
        </is>
      </c>
      <c r="M241" s="11" t="inlineStr">
        <is>
          <t>• [Must] The relevant period for a person holding managerial or executive office is the period they held that office throughout a single period or multiple periods.
• [Must Not] For pension and lump sum payments, the value must not exceed the amount calculated under subsection (2) or (3) based on the relevant period.
• [Must] The amount calculated for a relevant period less than 1 year is a reasonable estimate of the base salary for 1 year.
• [Must] The amount calculated for a relevant period of 1-2 years is the average annual base salary worked out as if the period were 2 years.</t>
        </is>
      </c>
      <c r="N241" s="11" t="inlineStr">
        <is>
          <t>• [Must] The amount calculated for a relevant period of 2-3 years is the average annual base salary worked out as if the period were 3 years.
• [Must] The amount calculated for a relevant period of 3+ years is the average annual base salary from the last 3 years.
• [Must Not] When determining the value of a pension or lump sum payment, disregard contributions made by the person or other entities.</t>
        </is>
      </c>
      <c r="O241" s="11" t="inlineStr">
        <is>
          <t>Section 200G: (1) Subsection 200B(1) does not apply to a benefit if: (a) the benefit is a payment in connection with a person's retirement from an office or position in a company or a related body corporate; and (b) the payment is for past services the person rendered to: (i) the company; or (ii) a related body corporate; or (iii) a body that was a related body corporate of the company when the past services were rendered; and (c) the value of the benefit, when added to the value of all other benefits (if any) already given in connection with the person's retirement from offices or positions in the company and related bodies corporate does not exceed the amount worked out under whichever of subsections (2) and (3) is applicable.</t>
        </is>
      </c>
      <c r="P241" s="12" t="n">
        <v>10</v>
      </c>
    </row>
    <row r="242">
      <c r="A242" t="inlineStr">
        <is>
          <t>Australia</t>
        </is>
      </c>
      <c r="B242" t="inlineStr">
        <is>
          <t>C2026C00058VOL01 (Australia - Row 8)</t>
        </is>
      </c>
      <c r="C242" t="inlineStr">
        <is>
          <t>6 (part 21)</t>
        </is>
      </c>
      <c r="D242" s="11" t="inlineStr">
        <is>
          <t>Director appointments and confirmations for proprietary and public companies</t>
        </is>
      </c>
      <c r="E242" t="inlineStr">
        <is>
          <t>426–432</t>
        </is>
      </c>
      <c r="F242" t="inlineStr">
        <is>
          <t>High</t>
        </is>
      </c>
      <c r="G242" t="inlineStr">
        <is>
          <t>High (explicit)</t>
        </is>
      </c>
      <c r="H242" s="11" t="inlineStr">
        <is>
          <t>Employee Information</t>
        </is>
      </c>
      <c r="I242" s="11" t="inlineStr"/>
      <c r="J242" t="inlineStr">
        <is>
          <t>ASIC</t>
        </is>
      </c>
      <c r="K242" s="11" t="inlineStr">
        <is>
          <t>This section outlines the rules for appointing directors, including the requirement for proprietary companies to confirm appointments within 2 months and public companies to confirm appointments at the next general meeting. It also covers the appointment of alternate directors, managing directors, and the conditions under which appointments are valid. The section specifies that directors may appoint themselves as managing directors and that appointments must be in writing with copies given to the company.</t>
        </is>
      </c>
      <c r="L242" s="11" t="inlineStr">
        <is>
          <t>This section governs director appointments and confirmations, which impacts data transfers involving employee information and company governance data. The rules ensure that director appointments are properly documented and confirmed, affecting data storage and processing practices.</t>
        </is>
      </c>
      <c r="M242" s="11" t="inlineStr">
        <is>
          <t>• [Must] A company may appoint a person as a director by resolution passed in general meeting.
• [Must] If a person is appointed as a director of a proprietary company, the company must confirm the appointment by resolution within 2 months.
• [Must] If a person is appointed as a director of a public company, the company must confirm the appointment by resolution at the next general meeting.
• [Must] The directors may appoint 1 or more of themselves to the office of managing director for the period and on terms as they see fit.</t>
        </is>
      </c>
      <c r="N242" s="11" t="inlineStr">
        <is>
          <t>• [Must] With the other directors' approval, a director may appoint an alternate to exercise some or all of their powers for a specified period.
• [Must] The appointing director may terminate the alternate's appointment at any time.
• [Must] An appointment or its termination must be in writing and a copy must be given to the company.</t>
        </is>
      </c>
      <c r="O242" s="11" t="inlineStr">
        <is>
          <t>Section 201G: A company may appoint a person as a director by resolution passed in general meeting.</t>
        </is>
      </c>
      <c r="P242" s="12" t="n">
        <v>10</v>
      </c>
    </row>
    <row r="243">
      <c r="A243" t="inlineStr">
        <is>
          <t>Australia</t>
        </is>
      </c>
      <c r="B243" t="inlineStr">
        <is>
          <t>C2026C00058VOL01 (Australia - Row 8)</t>
        </is>
      </c>
      <c r="C243" t="inlineStr">
        <is>
          <t>6 (part 22)</t>
        </is>
      </c>
      <c r="D243" s="11" t="inlineStr">
        <is>
          <t>Director resignation and compensation mechanisms</t>
        </is>
      </c>
      <c r="E243" t="inlineStr">
        <is>
          <t>432–439</t>
        </is>
      </c>
      <c r="F243" t="inlineStr">
        <is>
          <t>Medium</t>
        </is>
      </c>
      <c r="G243" t="inlineStr">
        <is>
          <t>High (explicit)</t>
        </is>
      </c>
      <c r="H243" s="11" t="inlineStr"/>
      <c r="I243" s="11" t="inlineStr">
        <is>
          <t>Personal Information</t>
        </is>
      </c>
      <c r="J243" t="inlineStr">
        <is>
          <t>ASIC</t>
        </is>
      </c>
      <c r="K243" s="11" t="inlineStr">
        <is>
          <t>This section establishes that a company may compensate a director if the board limit prevents the company from appointing them as a director. The suffering party (company or candidate) can seek court remedies for losses caused by the board limit contravention. The contravention does not constitute an offence, and the court may order compensation under section 1325.</t>
        </is>
      </c>
      <c r="L243" s="11" t="inlineStr">
        <is>
          <t>This section addresses potential financial compensation claims arising from board limit restrictions, which could impact data transfer impact assessments when directors' data is affected by appointment limitations.</t>
        </is>
      </c>
      <c r="M243" s="11" t="inlineStr">
        <is>
          <t>• [Must] The company may compensate a director if the board limit prevents the company from appointing them as a director
• [May] The suffering party may institute a court proceeding for contravention of the board limit</t>
        </is>
      </c>
      <c r="N243" s="11" t="inlineStr">
        <is>
          <t>• [Must Not] The contravention does not constitute an offence</t>
        </is>
      </c>
      <c r="O243" s="11" t="inlineStr">
        <is>
          <t>Section 201U(5) and (6): The suffering party may institute a proceeding in the Court for the contravention. Contravention does not give rise to an offence</t>
        </is>
      </c>
      <c r="P243" s="12" t="n">
        <v>10</v>
      </c>
    </row>
    <row r="244">
      <c r="A244" t="inlineStr">
        <is>
          <t>Australia</t>
        </is>
      </c>
      <c r="B244" t="inlineStr">
        <is>
          <t>C2026C00058VOL01 (Australia - Row 8)</t>
        </is>
      </c>
      <c r="C244" t="inlineStr">
        <is>
          <t>6 (part 23)</t>
        </is>
      </c>
      <c r="D244" s="11" t="inlineStr">
        <is>
          <t>Director resignation procedures and effectiveness</t>
        </is>
      </c>
      <c r="E244" t="inlineStr">
        <is>
          <t>439–447</t>
        </is>
      </c>
      <c r="F244" t="inlineStr">
        <is>
          <t>Low</t>
        </is>
      </c>
      <c r="G244" t="inlineStr">
        <is>
          <t>High (explicit)</t>
        </is>
      </c>
      <c r="H244" s="11" t="inlineStr"/>
      <c r="I244" s="11" t="inlineStr">
        <is>
          <t>Personal Information</t>
        </is>
      </c>
      <c r="J244" t="inlineStr">
        <is>
          <t>ASIC</t>
        </is>
      </c>
      <c r="K244" s="11" t="inlineStr">
        <is>
          <t>This section outlines the procedures for directors to resign, including the effective date of resignation. Resignation takes effect on the day the person stops being a director unless a court or ASIC fixes a different date. The resignation is void if the company has no directors after the resignation takes effect. The company must notify ASIC of resignation within 28 days.</t>
        </is>
      </c>
      <c r="L244" s="11" t="inlineStr">
        <is>
          <t>This section impacts data transfer impact assessments by defining the effective date of director resignation, which affects data ownership and responsibility periods for personal information.</t>
        </is>
      </c>
      <c r="M244" s="11" t="inlineStr">
        <is>
          <t>• [Must] A director may resign by giving written notice to the company
• [Must] Resignation takes effect on the day the person stops being a director unless ASIC or the Court fixes a different date</t>
        </is>
      </c>
      <c r="N244" s="11" t="inlineStr">
        <is>
          <t>• [Must Not] The resignation is void if the company has no directors after the resignation takes effect
• [Must] The company must notify ASIC of resignation within 28 days</t>
        </is>
      </c>
      <c r="O244" s="11" t="inlineStr">
        <is>
          <t>Section 203AA(1): A person's resignation as a director takes effect on the day they stopped being a director unless ASIC or the Court fixes a different date</t>
        </is>
      </c>
      <c r="P244" s="12" t="n">
        <v>10</v>
      </c>
    </row>
    <row r="245">
      <c r="A245" t="inlineStr">
        <is>
          <t>Australia</t>
        </is>
      </c>
      <c r="B245" t="inlineStr">
        <is>
          <t>C2026C00058VOL01 (Australia - Row 8)</t>
        </is>
      </c>
      <c r="C245" t="inlineStr">
        <is>
          <t>6 (part 24)</t>
        </is>
      </c>
      <c r="D245" s="11" t="inlineStr">
        <is>
          <t>Alternative address for service in legal notices</t>
        </is>
      </c>
      <c r="E245" t="inlineStr">
        <is>
          <t>447–454</t>
        </is>
      </c>
      <c r="F245" t="inlineStr">
        <is>
          <t>Medium</t>
        </is>
      </c>
      <c r="G245" t="inlineStr">
        <is>
          <t>High (explicit)</t>
        </is>
      </c>
      <c r="H245" s="11" t="inlineStr">
        <is>
          <t>Cross-border Transfer, Data Storage, Security</t>
        </is>
      </c>
      <c r="I245" s="11" t="inlineStr">
        <is>
          <t>Personal Information</t>
        </is>
      </c>
      <c r="J245" t="inlineStr">
        <is>
          <t>ASIC</t>
        </is>
      </c>
      <c r="K245" s="11" t="inlineStr">
        <is>
          <t>This section specifies conditions under which a person may provide an alternative address for service of legal notices. The address must be in Australia, must be a valid address for service, and a person may have only one such address at any time. The person must notify ASIC of their usual residential address before using the alternative address and must update ASIC within 14 days of any change. ASIC may disclose the address to courts to enforce judgments.</t>
        </is>
      </c>
      <c r="L245" s="11" t="inlineStr">
        <is>
          <t>This section establishes requirements for alternative service addresses that could impact cross-border data transfers if addresses are used for international legal notices.</t>
        </is>
      </c>
      <c r="M245" s="11" t="inlineStr">
        <is>
          <t>• [Must] Alternative address must be in Australia and be one at which documents can be served on the person
• [Must] A person is entitled to have only 1 alternative address under this section
• [Must] Before using the alternative address, must lodge with ASIC notice of usual residential address</t>
        </is>
      </c>
      <c r="N245" s="11" t="inlineStr">
        <is>
          <t>• [Must] Within 14 days of any change in usual residential address, must lodge with ASIC notice of the change
• [May] ASIC may disclose the person's usual residential address to a court officer for enforcing judgments</t>
        </is>
      </c>
      <c r="O245" s="11" t="inlineStr">
        <is>
          <t>Section 205E(2) - A person who takes advantage of subsection (2) must: (a) before or at the same time as the alternative address is first included in a notice or application, lodge with ASIC notice of the person's usual residential address; and (b) lodge with ASIC notice of any change in the person's usual residential address within 14 days after the change.</t>
        </is>
      </c>
      <c r="P245" s="12" t="n">
        <v>10</v>
      </c>
    </row>
    <row r="246">
      <c r="A246" t="inlineStr">
        <is>
          <t>Australia</t>
        </is>
      </c>
      <c r="B246" t="inlineStr">
        <is>
          <t>C2026C00058VOL01 (Australia - Row 8)</t>
        </is>
      </c>
      <c r="C246" t="inlineStr">
        <is>
          <t>6 (part 25)</t>
        </is>
      </c>
      <c r="D246" s="11" t="inlineStr">
        <is>
          <t>Disqualification for repeated contraventions</t>
        </is>
      </c>
      <c r="E246" t="inlineStr">
        <is>
          <t>454–461</t>
        </is>
      </c>
      <c r="F246" t="inlineStr">
        <is>
          <t>High</t>
        </is>
      </c>
      <c r="G246" t="inlineStr">
        <is>
          <t>High (explicit)</t>
        </is>
      </c>
      <c r="H246" s="11" t="inlineStr">
        <is>
          <t>Financial Data, Data Sharing</t>
        </is>
      </c>
      <c r="I246" s="11" t="inlineStr">
        <is>
          <t>Financial Data</t>
        </is>
      </c>
      <c r="J246" t="inlineStr"/>
      <c r="K246" s="11" t="inlineStr">
        <is>
          <t>This section provides for disqualification of individuals who have repeatedly failed to prevent contraventions of the Act while acting as officers of corporations, including at least two instances of contraventions or failure to take reasonable steps to prevent contraventions.</t>
        </is>
      </c>
      <c r="L246" s="11" t="inlineStr">
        <is>
          <t>This section establishes mechanisms for disqualification based on repeated contraventions that could impact data transfers involving individuals with a history of regulatory breaches.</t>
        </is>
      </c>
      <c r="M246" s="11" t="inlineStr">
        <is>
          <t>• [Must] Person becomes disqualified from managing corporations if they have at least twice been an officer of a body corporate that has contravened this Act and failed to take reasonable steps to prevent contravention
• [Must] Person becomes disqualified from managing corporations if they have at least twice contravened this Act or the Corporations Act while being an officer of a body corporate</t>
        </is>
      </c>
      <c r="N246" s="11" t="inlineStr">
        <is>
          <t>• [Must] Person becomes disqualified from managing corporations if they have been an officer of a body corporate and done something that would have contravened subsection 180(1) or section 181 if the body corporate had been a corporation</t>
        </is>
      </c>
      <c r="O246" s="11" t="inlineStr">
        <is>
          <t>Section 206E(1) - (a) the person: (i) has at least twice been an officer of a body corporate that has contravened this Act or the Corporations Act they were an officer of the body corporate and each time the person has failed to take reasonable steps to prevent the contravention; or (ii) has at least twice contravened this Act or the Corporations Act while they were an officer of a body corporate; or (iii) has been an officer of a body corporate and has done something that would have contravened subsection 180(1) or section 181 if the body corporate had been a corporation.</t>
        </is>
      </c>
      <c r="P246" s="12" t="n">
        <v>10</v>
      </c>
    </row>
    <row r="247">
      <c r="A247" t="inlineStr">
        <is>
          <t>Australia</t>
        </is>
      </c>
      <c r="B247" t="inlineStr">
        <is>
          <t>C2026C00058VOL01 (Australia - Row 8)</t>
        </is>
      </c>
      <c r="C247" t="inlineStr">
        <is>
          <t>6 (part 26)</t>
        </is>
      </c>
      <c r="D247" s="11" t="inlineStr">
        <is>
          <t>Disqualification of corporate officers under competition and consumer laws</t>
        </is>
      </c>
      <c r="E247" t="inlineStr">
        <is>
          <t>461–468</t>
        </is>
      </c>
      <c r="F247" t="inlineStr">
        <is>
          <t>High</t>
        </is>
      </c>
      <c r="G247" t="inlineStr">
        <is>
          <t>High (explicit)</t>
        </is>
      </c>
      <c r="H247" s="11" t="inlineStr"/>
      <c r="I247" s="11" t="inlineStr">
        <is>
          <t>Financial Data</t>
        </is>
      </c>
      <c r="J247" t="inlineStr">
        <is>
          <t>ASIC</t>
        </is>
      </c>
      <c r="K247" s="11" t="inlineStr">
        <is>
          <t>A person is disqualified from managing corporations if a court order under the Competition and Consumer Act 2010 or ASIC Act is in force. ASIC may disqualify a person for up to 5 years if they were an officer of multiple corporations that wound up within 7 years, with specific conditions on financial recoveries and employee entitlements. The disqualification takes effect immediately after notice is served and may be subject to court review for leave to manage corporations.</t>
        </is>
      </c>
      <c r="L247" s="11" t="inlineStr">
        <is>
          <t>This section establishes conditions for disqualifying corporate officers, which could impact data transfer if disqualified individuals handle sensitive financial data across borders.</t>
        </is>
      </c>
      <c r="M247" s="11" t="inlineStr">
        <is>
          <t>• [Must] A person is disqualified from managing corporations if a court order disqualifying the person from managing corporations is in force under section 86E of the Competition and Consumer Act 2010
• [Must] A person is disqualified from managing corporations if a court order disqualifying the person from managing corporations is in force under section 248 of Schedule 2 to the Competition and Consumer Act 2010
• [Must] ASIC may disqualify a person from managing corporations for up to 5 years if within 7 years before notice, the person was an officer of 2 or more corporations that wound up
• [Must] ASIC must give the person a notice in prescribed form requiring them to demonstrate why they should not be disqualified</t>
        </is>
      </c>
      <c r="N247" s="11" t="inlineStr">
        <is>
          <t>• [Must] ASIC must give the person an opportunity to be heard on the question
• [Must] ASIC must be satisfied that disqualification is justified
• [Must] ASIC must serve a notice on the person advising them of disqualification in prescribed form
• [Must] Disqualification takes effect from the time when notice is served on the person</t>
        </is>
      </c>
      <c r="O247" s="11" t="inlineStr">
        <is>
          <t>Section 206EA: A person is disqualified from managing corporations if a court order disqualifying the person from managing corporations is in force under: (a) section 86E of the Competition and Consumer Act 2010; or (b) section 248 of Schedule 2 to that Act, as that section applies as a law of the Commonwealth, a State or a Territory.</t>
        </is>
      </c>
      <c r="P247" s="12" t="n">
        <v>10</v>
      </c>
    </row>
    <row r="248">
      <c r="A248" t="inlineStr">
        <is>
          <t>Australia</t>
        </is>
      </c>
      <c r="B248" t="inlineStr">
        <is>
          <t>C2026C00058VOL01 (Australia - Row 8)</t>
        </is>
      </c>
      <c r="C248" t="inlineStr">
        <is>
          <t>6 (part 27)</t>
        </is>
      </c>
      <c r="D248" s="11" t="inlineStr">
        <is>
          <t>Ban on hedging remuneration of key management personnel</t>
        </is>
      </c>
      <c r="E248" t="inlineStr">
        <is>
          <t>468–478</t>
        </is>
      </c>
      <c r="F248" t="inlineStr">
        <is>
          <t>High</t>
        </is>
      </c>
      <c r="G248" t="inlineStr">
        <is>
          <t>High (explicit)</t>
        </is>
      </c>
      <c r="H248" s="11" t="inlineStr"/>
      <c r="I248" s="11" t="inlineStr">
        <is>
          <t>Financial Data</t>
        </is>
      </c>
      <c r="J248" t="inlineStr">
        <is>
          <t>ASIC</t>
        </is>
      </c>
      <c r="K248" s="11" t="inlineStr">
        <is>
          <t>Key management personnel for disclosing entities cannot enter into arrangements that limit their exposure to risk related to remuneration that has not vested or remains subject to a holding lock. Remuneration not payable until a specific date is considered unvested until that date. Contravention is an offence of strict liability, with additional offences for closely related parties and reckless conduct.</t>
        </is>
      </c>
      <c r="L248" s="11" t="inlineStr">
        <is>
          <t>This section restricts financial arrangements affecting key personnel remuneration, which could impact data transfer if personnel handle sensitive financial data across borders.</t>
        </is>
      </c>
      <c r="M248" s="11" t="inlineStr">
        <is>
          <t>• [Must Not] A member of key management personnel for a disclosing entity must not enter into arrangements limiting exposure to risk relating to remuneration that has not vested or remains subject to a holding lock
• [Must] Remuneration not payable until a specific date is considered unvested until that date</t>
        </is>
      </c>
      <c r="N248" s="11" t="inlineStr">
        <is>
          <t>• [Must] Contravention of subsection (1) is an offence of strict liability
• [Must] A closely related party of a key management personnel commits an offence if they intentionally contravene subsection (1)</t>
        </is>
      </c>
      <c r="O248" s="11" t="inlineStr">
        <is>
          <t>Section 206J: A member of the key management personnel for a company that is a disclosing entity, or a closely related party of such a member, must not enter into an arrangement (with anyone) if the arrangement would have the effect of limiting the exposure of the member to risk relating to an element of the member's remuneration that: (a) has not vested in the member; or (b) has vested in the member but remains subject to a holding lock.</t>
        </is>
      </c>
      <c r="P248" s="12" t="n">
        <v>10</v>
      </c>
    </row>
    <row r="249">
      <c r="A249" t="inlineStr">
        <is>
          <t>Australia</t>
        </is>
      </c>
      <c r="B249" t="inlineStr">
        <is>
          <t>C2026C00058VOL01 (Australia - Row 8)</t>
        </is>
      </c>
      <c r="C249" t="inlineStr">
        <is>
          <t>6 (part 28)</t>
        </is>
      </c>
      <c r="D249" s="11" t="inlineStr">
        <is>
          <t>Exceptions to member approval for financial benefits to related parties</t>
        </is>
      </c>
      <c r="E249" t="inlineStr">
        <is>
          <t>478–485</t>
        </is>
      </c>
      <c r="F249" t="inlineStr">
        <is>
          <t>High</t>
        </is>
      </c>
      <c r="G249" t="inlineStr">
        <is>
          <t>High (explicit)</t>
        </is>
      </c>
      <c r="H249" s="11" t="inlineStr">
        <is>
          <t>Cross-border Transfer, Financial Data</t>
        </is>
      </c>
      <c r="I249" s="11" t="inlineStr">
        <is>
          <t>Financial Data</t>
        </is>
      </c>
      <c r="J249" t="inlineStr">
        <is>
          <t>ASIC</t>
        </is>
      </c>
      <c r="K249" s="11" t="inlineStr">
        <is>
          <t>This section outlines exceptions where member approval is not required for financial benefits to related parties. It specifies that benefits like indemnities, exemptions, insurance premiums, and legal costs for officers are exempt if they are reasonable and given to related parties who are officers. It also includes thresholds for small amounts and benefits to closely-held subsidiaries without discrimination.</t>
        </is>
      </c>
      <c r="L249" s="11" t="inlineStr">
        <is>
          <t>This section provides exceptions for financial transfers to related parties without requiring member approval, relevant for DTIAs when assessing whether cross-border transfers to related entities need additional safeguards.</t>
        </is>
      </c>
      <c r="M249" s="11" t="inlineStr">
        <is>
          <t>• [Must Not] Member approval not needed for indemnities, exemptions, or insurance premiums for officers if reasonable
• [Must Not] Member approval not needed for legal costs payments if reasonable and section 199A does not apply
• [Must] Total small financial benefits must be less than or equal to the prescribed amount</t>
        </is>
      </c>
      <c r="N249" s="11" t="inlineStr">
        <is>
          <t>• [Must Not] Benefits to closely-held subsidiaries do not require member approval
• [Must] Benefits must not discriminate unfairly against other members
• [Must Not] Court orders do not require member approval for financial benefits</t>
        </is>
      </c>
      <c r="O249" s="11" t="inlineStr">
        <is>
          <t>Member approval is not needed to give a financial benefit if: (a) the benefit is for a related party who is an officer of the public company or entity; and (b) the benefit is an indemnity, exemption or insurance premium in respect of a liability incurred as an officer of the public company or entity; and (c) to give the benefit would be reasonable in the circumstances of the public company or entity giving the benefit.</t>
        </is>
      </c>
      <c r="P249" s="12" t="n">
        <v>10</v>
      </c>
    </row>
    <row r="250">
      <c r="A250" t="inlineStr">
        <is>
          <t>Australia</t>
        </is>
      </c>
      <c r="B250" t="inlineStr">
        <is>
          <t>C2026C00058VOL01 (Australia - Row 8)</t>
        </is>
      </c>
      <c r="C250" t="inlineStr">
        <is>
          <t>6 (part 30)</t>
        </is>
      </c>
      <c r="D250" s="11" t="inlineStr">
        <is>
          <t>Membership and oppressive conduct of company affairs</t>
        </is>
      </c>
      <c r="E250" t="inlineStr">
        <is>
          <t>493–500</t>
        </is>
      </c>
      <c r="F250" t="inlineStr">
        <is>
          <t>Medium</t>
        </is>
      </c>
      <c r="G250" t="inlineStr">
        <is>
          <t>High (explicit)</t>
        </is>
      </c>
      <c r="H250"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250" s="11" t="inlineStr">
        <is>
          <t>Personal Information, Financial Data, Customer Data, Employee Data, Health Data, Children's Data, Biometric Data, Special Personal Information</t>
        </is>
      </c>
      <c r="J250" t="inlineStr">
        <is>
          <t>Court</t>
        </is>
      </c>
      <c r="K250" s="11" t="inlineStr">
        <is>
          <t>A person is a member of a company if registered on the members' register or becomes a member through conversion from a guarantee company. The court may order remedies for oppressive conduct affecting members, including winding up the company, modifying its constitution, or purchasing shares. The court considers whether conduct is contrary to members' interests or unfairly prejudicial to individual members. A person who inherits shares by will or operation of law is treated as a member for these purposes.</t>
        </is>
      </c>
      <c r="L250" s="11" t="inlineStr">
        <is>
          <t>This section establishes conditions under which courts can intervene in company affairs to prevent oppressive conduct, relevant to data transfers involving company members or third parties.</t>
        </is>
      </c>
      <c r="M250" s="11" t="inlineStr">
        <is>
          <t>• [Must] A person is a member of a company if they are registered on the members' register or become a member through conversion from a guarantee company
• [Must] The court may order winding up the company if conduct is oppressive to members
• [Must] The court may modify or repeal the company's constitution to address oppressive conduct
• [Must] The court may order the purchase of shares by members or persons who inherit shares
• [Must] The court may order the purchase of shares with a reduction in the company's share capital</t>
        </is>
      </c>
      <c r="N250" s="11" t="inlineStr">
        <is>
          <t>• [Must] The court may authorize members or inheritors to institute proceedings on behalf of the company
• [Must] The court may appoint a receiver or receiver and manager for company property
• [Must] The court may restrain a person from engaging in specified conduct
• [Must] The court may require a person to do a specified act
• [Must] A person who inherits shares by will or operation of law is treated as a member</t>
        </is>
      </c>
      <c r="O250" s="11" t="inlineStr">
        <is>
          <t>Section 231: A person is a member of a company if they: (a) are a member of the company on its registration; or (b) agree to become a member of the company after its registration and their name is entered on the register of members; or (c) become a member of the company under section 167 (membership arising from conversion of a company from one limited by guarantee to one limited by shares).</t>
        </is>
      </c>
      <c r="P250" s="12" t="n">
        <v>10</v>
      </c>
    </row>
    <row r="251">
      <c r="A251" t="inlineStr">
        <is>
          <t>Australia</t>
        </is>
      </c>
      <c r="B251" t="inlineStr">
        <is>
          <t>C2026C00058VOL01 (Australia - Row 8)</t>
        </is>
      </c>
      <c r="C251" t="inlineStr">
        <is>
          <t>6 (part 32)</t>
        </is>
      </c>
      <c r="D251" s="11" t="inlineStr">
        <is>
          <t>Company must lodge share division or conversion documents with ASIC</t>
        </is>
      </c>
      <c r="E251" t="inlineStr">
        <is>
          <t>507–516</t>
        </is>
      </c>
      <c r="F251" t="inlineStr">
        <is>
          <t>Medium</t>
        </is>
      </c>
      <c r="G251" t="inlineStr">
        <is>
          <t>High (explicit)</t>
        </is>
      </c>
      <c r="H251" s="11" t="inlineStr"/>
      <c r="I251" s="11" t="inlineStr"/>
      <c r="J251" t="inlineStr">
        <is>
          <t>ASIC</t>
        </is>
      </c>
      <c r="K251" s="11" t="inlineStr">
        <is>
          <t>A company must lodge with ASIC a notice in prescribed form when dividing shares into classes or converting shares between classes. The notice must be lodged within 14 days after the division or conversion. Public companies must also lodge copies of documents that attach, vary or cancel share rights or bind classes of members. The company must send members copies of documents within 7 days after payment or approval by ASIC.</t>
        </is>
      </c>
      <c r="L251" s="11" t="inlineStr">
        <is>
          <t>Requires companies to notify ASIC about share class changes, which may impact data transfer if share structures affect data classification or ownership.</t>
        </is>
      </c>
      <c r="M251" s="11" t="inlineStr">
        <is>
          <t>• [Must] A company must lodge with ASIC a notice in prescribed form when dividing shares into classes or converting shares between classes
• [Must] The notice must be lodged within 14 days after the division or conversion</t>
        </is>
      </c>
      <c r="N251" s="11" t="inlineStr">
        <is>
          <t>• [Must] Public companies must lodge copies of documents that attach, vary or cancel share rights or bind classes of members
• [Must] A company must send members copies of documents within 7 days after payment or approval by ASIC</t>
        </is>
      </c>
      <c r="O251" s="11" t="inlineStr">
        <is>
          <t>Section 246F(1): A company must lodge with ASIC a notice in the prescribed form setting out particulars of any of the following: (a) a division of shares in the company into classes if the shares were not previously so divided; (b) a conversion of shares in a class of shares in the company into shares in another class.</t>
        </is>
      </c>
      <c r="P251" s="12" t="n">
        <v>10</v>
      </c>
    </row>
    <row r="252">
      <c r="A252" t="inlineStr">
        <is>
          <t>Australia</t>
        </is>
      </c>
      <c r="B252" t="inlineStr">
        <is>
          <t>C2026C00058VOL01 (Australia - Row 8)</t>
        </is>
      </c>
      <c r="C252" t="inlineStr">
        <is>
          <t>6 (part 34)</t>
        </is>
      </c>
      <c r="D252" s="11" t="inlineStr">
        <is>
          <t>Members' right to request company to distribute statements</t>
        </is>
      </c>
      <c r="E252" t="inlineStr">
        <is>
          <t>524–531</t>
        </is>
      </c>
      <c r="F252" t="inlineStr">
        <is>
          <t>Low</t>
        </is>
      </c>
      <c r="G252" t="inlineStr">
        <is>
          <t>High (explicit)</t>
        </is>
      </c>
      <c r="H252" s="11" t="inlineStr"/>
      <c r="I252" s="11" t="inlineStr"/>
      <c r="J252" t="inlineStr"/>
      <c r="K252" s="11" t="inlineStr">
        <is>
          <t>Members may request a company to distribute statements about resolutions or other matters to all members. The request must be in writing and signed by at least 100 members entitled to vote. The company must distribute the statement within 7 days after receipt, unless the statement is over 1,000 words or defamatory. Members are liable for distribution costs if the company does not receive the request in time.</t>
        </is>
      </c>
      <c r="L252" s="11" t="inlineStr">
        <is>
          <t>Allows members to distribute statements about resolutions, which could affect data sharing if statements contain personal information.</t>
        </is>
      </c>
      <c r="M252" s="11" t="inlineStr">
        <is>
          <t>• [May] Members may request a company to give to all its members a statement provided by the members making the request about a resolution or other matter
• [Must] The request must be in writing and signed by at least 100 members entitled to vote</t>
        </is>
      </c>
      <c r="N252" s="11" t="inlineStr">
        <is>
          <t>• [Must] The company must distribute the statement within 7 days after receipt
• [Must Not] The company need not comply if the statement is over 1,000 words or defamatory</t>
        </is>
      </c>
      <c r="O252" s="11" t="inlineStr">
        <is>
          <t>Section 249P(1): Members may request a company to give to all its members a statement provided by the members making the request about: (a) a resolution that is proposed to be moved at a general meeting; or (b) any other matter that may be properly considered at a general meeting.</t>
        </is>
      </c>
      <c r="P252" s="12" t="n">
        <v>10</v>
      </c>
    </row>
    <row r="253">
      <c r="A253" t="inlineStr">
        <is>
          <t>Australia</t>
        </is>
      </c>
      <c r="B253" t="inlineStr">
        <is>
          <t>C2026C00058VOL01 (Australia - Row 8)</t>
        </is>
      </c>
      <c r="C253" t="inlineStr">
        <is>
          <t>6 (part 35)</t>
        </is>
      </c>
      <c r="D253" s="11" t="inlineStr">
        <is>
          <t>Member participation in meetings: physical and virtual venue requirements</t>
        </is>
      </c>
      <c r="E253" t="inlineStr">
        <is>
          <t>531–538</t>
        </is>
      </c>
      <c r="F253" t="inlineStr">
        <is>
          <t>Low</t>
        </is>
      </c>
      <c r="G253" t="inlineStr">
        <is>
          <t>High (explicit)</t>
        </is>
      </c>
      <c r="H253"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253" s="11" t="inlineStr">
        <is>
          <t>Personal Information</t>
        </is>
      </c>
      <c r="J253" t="inlineStr">
        <is>
          <t>ASIC</t>
        </is>
      </c>
      <c r="K253" s="11" t="inlineStr">
        <is>
          <t>Companies must provide members entitled to attend meetings with a reasonable opportunity to participate. Meetings must be held at a reasonable physical venue, and if held at multiple venues, the main venue must be specified in the notice. Virtual meeting technology must be reasonable and allow members to exercise rights to ask questions and make comments orally and in writing. Quorum requires at least two members present, with proxies counted as one individual per member. Meetings adjourned after 30 minutes without quorum must be rescheduled with specific rules for location and technology.</t>
        </is>
      </c>
      <c r="L253" s="11" t="inlineStr">
        <is>
          <t>This section establishes requirements for meeting venues and virtual technology to ensure member participation, relevant for DTIAs involving cross-border meetings where physical or virtual participation is required.</t>
        </is>
      </c>
      <c r="M253" s="11" t="inlineStr">
        <is>
          <t>• [Must] A company must give members entitled to attend meetings a reasonable opportunity to participate
• [Must] The meeting must be held at a reasonable physical venue
• [Must] If held at multiple physical venues, the main venue must be specified in the notice
• [Must] Virtual meeting technology must be reasonable</t>
        </is>
      </c>
      <c r="N253" s="11" t="inlineStr">
        <is>
          <t>• [Must] Virtual meeting technology must allow members to exercise rights to ask questions and make comments orally and in writing
• [Must] Quorum requires at least two members present at all times during the meeting
• [Must] Proxies count as one individual per member
• [Must] Meetings adjourned after 30 minutes without quorum must be rescheduled</t>
        </is>
      </c>
      <c r="O253" s="11" t="inlineStr">
        <is>
          <t>Section 249S(1): A company that holds a meeting of its members must give the members entitled to attend the meeting, as a whole, a reasonable opportunity to participate in the meeting.</t>
        </is>
      </c>
      <c r="P253" s="12" t="n">
        <v>10</v>
      </c>
    </row>
    <row r="254">
      <c r="A254" t="inlineStr">
        <is>
          <t>Australia</t>
        </is>
      </c>
      <c r="B254" t="inlineStr">
        <is>
          <t>C2026C00058VOL01 (Australia - Row 8)</t>
        </is>
      </c>
      <c r="C254" t="inlineStr">
        <is>
          <t>6 (part 36)</t>
        </is>
      </c>
      <c r="D254" s="11" t="inlineStr">
        <is>
          <t>Proxy appointments and voting rules for company meetings</t>
        </is>
      </c>
      <c r="E254" t="inlineStr">
        <is>
          <t>538–544</t>
        </is>
      </c>
      <c r="F254" t="inlineStr">
        <is>
          <t>High</t>
        </is>
      </c>
      <c r="G254" t="inlineStr">
        <is>
          <t>High (explicit)</t>
        </is>
      </c>
      <c r="H254"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254" s="11" t="inlineStr">
        <is>
          <t>Personal Information, Financial Data</t>
        </is>
      </c>
      <c r="J254" t="inlineStr">
        <is>
          <t>ASIC</t>
        </is>
      </c>
      <c r="K254" s="11" t="inlineStr">
        <is>
          <t>Companies must send proxy appointment forms or lists to members who request them or are entitled to appoint proxies. Proxy appointments must include specific details such as the company's name, proxy's name, and meetings at which the appointment may be used. Proxies have the same rights as members but may be restricted by company constitutions. Proxies cannot vote on resolutions related to key management remuneration if they are closely related or part of key management unless the appointment specifies voting instructions.</t>
        </is>
      </c>
      <c r="L254" s="11" t="inlineStr">
        <is>
          <t>This section governs proxy appointments and voting, relevant for DTIAs involving third-party data processing where proxies may access sensitive financial information.</t>
        </is>
      </c>
      <c r="M254" s="11" t="inlineStr">
        <is>
          <t>• [Must] Companies must send proxy appointment forms or lists to members who request them or are entitled to appoint proxies
• [Must] Proxy appointments must include the company's name, proxy's name, and meetings at which the appointment may be used</t>
        </is>
      </c>
      <c r="N254" s="11" t="inlineStr">
        <is>
          <t>• [Must] Proxies have the same rights as members but may be restricted by company constitutions
• [Must Not] Proxies cannot vote on resolutions related to key management remuneration if they are closely related or part of key management unless the appointment specifies voting instructions</t>
        </is>
      </c>
      <c r="O254" s="11" t="inlineStr">
        <is>
          <t>Section 250B(1): For an appointment of a proxy for a meeting of a company's members to be effective, the following documents must be received by the company at least 48 hours before the meeting: (a) the proxy's appointment; (b) if the appointment is signed, or otherwise authenticated in a manner prescribed by regulations made for the purposes of subsection 250A(1), by the appointor's attorney—the authority under which the appointment was signed or authenticated or a certified copy of the authority.</t>
        </is>
      </c>
      <c r="P254" s="12" t="n">
        <v>10</v>
      </c>
    </row>
    <row r="255">
      <c r="A255" t="inlineStr">
        <is>
          <t>Australia</t>
        </is>
      </c>
      <c r="B255" t="inlineStr">
        <is>
          <t>C2026C00058VOL01 (Australia - Row 8)</t>
        </is>
      </c>
      <c r="C255" t="inlineStr">
        <is>
          <t>6 (part 37)</t>
        </is>
      </c>
      <c r="D255" s="11" t="inlineStr">
        <is>
          <t>Proxy voting validity and representative appointments</t>
        </is>
      </c>
      <c r="E255" t="inlineStr">
        <is>
          <t>544–552</t>
        </is>
      </c>
      <c r="F255" t="inlineStr">
        <is>
          <t>High</t>
        </is>
      </c>
      <c r="G255" t="inlineStr">
        <is>
          <t>High (explicit)</t>
        </is>
      </c>
      <c r="H255" s="11" t="inlineStr"/>
      <c r="I255" s="11" t="inlineStr">
        <is>
          <t>Personal Information</t>
        </is>
      </c>
      <c r="J255" t="inlineStr">
        <is>
          <t>ASIC</t>
        </is>
      </c>
      <c r="K255" s="11" t="inlineStr">
        <is>
          <t>A proxy vote remains valid even if the appointing member dies, becomes mentally incapacitated, revokes the proxy, or transfers shares. The proxy must specify how they vote on a resolution. A body corporate may appoint a representative to exercise powers at meetings, with restrictions on the representative's authority. Multiple representatives can be appointed but only one may exercise powers at any time. The representative may vote as the body corporate on all matters unless restricted.</t>
        </is>
      </c>
      <c r="L255" s="11" t="inlineStr">
        <is>
          <t>Proxy voting rules ensure valid votes can be cast even if the appointing member changes status, relevant for cross-border voting mechanisms where members may be located internationally.</t>
        </is>
      </c>
      <c r="M255" s="11" t="inlineStr">
        <is>
          <t>• [Must] Proxy vote valid even if proxy cannot vote as member
• [Must] Proxy must specify how they vote on a resolution
• [Must] Proxy vote valid even if appointing member dies
• [Must] Proxy vote valid even if appointing member is mentally incapacitated
• [Must] Proxy vote valid even if appointing member revokes proxy</t>
        </is>
      </c>
      <c r="N255" s="11" t="inlineStr">
        <is>
          <t>• [Must] Proxy vote valid even if appointing member transfers shares
• [May] Body corporate may appoint representative to exercise powers
• [May] Representative may exercise all powers at meetings
• [Must] Only one representative may exercise powers at any time</t>
        </is>
      </c>
      <c r="O255" s="11" t="inlineStr">
        <is>
          <t>A proxy who is not entitled to vote on a resolution as a member may vote as a proxy for another member who can vote if their appointment specifies the way they are to vote on the resolution and they vote that way.</t>
        </is>
      </c>
      <c r="P255" s="12" t="n">
        <v>10</v>
      </c>
    </row>
    <row r="256">
      <c r="A256" t="inlineStr">
        <is>
          <t>Australia</t>
        </is>
      </c>
      <c r="B256" t="inlineStr">
        <is>
          <t>C2026C00058VOL01 (Australia - Row 8)</t>
        </is>
      </c>
      <c r="C256" t="inlineStr">
        <is>
          <t>6 (part 38)</t>
        </is>
      </c>
      <c r="D256" s="11" t="inlineStr">
        <is>
          <t>AGM requirements and auditor questions</t>
        </is>
      </c>
      <c r="E256" t="inlineStr">
        <is>
          <t>552–559</t>
        </is>
      </c>
      <c r="F256" t="inlineStr">
        <is>
          <t>High</t>
        </is>
      </c>
      <c r="G256" t="inlineStr">
        <is>
          <t>High (explicit)</t>
        </is>
      </c>
      <c r="H256" s="11" t="inlineStr"/>
      <c r="I256" s="11" t="inlineStr">
        <is>
          <t>Financial Data</t>
        </is>
      </c>
      <c r="J256" t="inlineStr">
        <is>
          <t>ASIC</t>
        </is>
      </c>
      <c r="K256" s="11" t="inlineStr">
        <is>
          <t>Public companies must hold annual general meetings (AGMs) within 18 months of registration and at least once yearly within 5 months of financial year end. Listed companies must submit written questions to auditors before AGMs, which the company must pass to the auditor. The auditor must prepare a question list for members attending the AGM to review.</t>
        </is>
      </c>
      <c r="L256" s="11" t="inlineStr">
        <is>
          <t>AGM requirements and auditor questions ensure transparency in financial reporting, relevant for data transfers involving financial disclosures across borders.</t>
        </is>
      </c>
      <c r="M256" s="11" t="inlineStr">
        <is>
          <t>• [Must] Public company must hold AGM within 18 months of registration
• [Must] Public company must hold AGM at least once yearly within 5 months of financial year end
• [May] Member may submit written question to auditor relevant to auditor's report</t>
        </is>
      </c>
      <c r="N256" s="11" t="inlineStr">
        <is>
          <t>• [Must] Company must pass question to auditor within 5 business days before AGM
• [Must] Auditor must prepare question list for members at AGM</t>
        </is>
      </c>
      <c r="O256" s="11" t="inlineStr">
        <is>
          <t>A member of a listed company who is entitled to cast a vote at the AGM may submit a written question to the auditor under this section if the question is relevant to the content of any auditor's report to be considered at the AGM.</t>
        </is>
      </c>
      <c r="P256" s="12" t="n">
        <v>10</v>
      </c>
    </row>
    <row r="257">
      <c r="A257" t="inlineStr">
        <is>
          <t>Australia</t>
        </is>
      </c>
      <c r="B257" t="inlineStr">
        <is>
          <t>C2026C00058VOL01 (Australia - Row 8)</t>
        </is>
      </c>
      <c r="C257" t="inlineStr">
        <is>
          <t>6 (part 39)</t>
        </is>
      </c>
      <c r="D257" s="11" t="inlineStr">
        <is>
          <t>Remuneration report voting thresholds for special meetings</t>
        </is>
      </c>
      <c r="E257" t="inlineStr">
        <is>
          <t>559–566</t>
        </is>
      </c>
      <c r="F257" t="inlineStr">
        <is>
          <t>High</t>
        </is>
      </c>
      <c r="G257" t="inlineStr">
        <is>
          <t>High (explicit)</t>
        </is>
      </c>
      <c r="H257" s="11" t="inlineStr"/>
      <c r="I257" s="11" t="inlineStr">
        <is>
          <t>Customer Data</t>
        </is>
      </c>
      <c r="J257" t="inlineStr">
        <is>
          <t>ASIC</t>
        </is>
      </c>
      <c r="K257" s="11" t="inlineStr">
        <is>
          <t>This section establishes conditions for holding special meetings when at least 25% of votes oppose remuneration reports at two consecutive annual general meetings. It requires a resolution to hold fresh elections for directors within 90 days if the voting thresholds are met, with specific rules for director appointments and the spill meeting timeline. The company must ensure the spill meeting occurs within 90 days unless directors cease holding office before the deadline, and failure to hold the meeting within this period constitutes an offence.</t>
        </is>
      </c>
      <c r="L257" s="11" t="inlineStr">
        <is>
          <t>This section creates specific conditions for holding special meetings when remuneration report voting thresholds are met, requiring a 90-day deadline for the spill meeting and imposing strict liability for failure to hold it within the timeframe. These conditions directly impact data transfer impact assessments for companies needing to coordinate meetings across jurisdictions.</t>
        </is>
      </c>
      <c r="M257" s="11" t="inlineStr">
        <is>
          <t>• [Must] At the later AGM, there must be put to vote a resolution that another meeting be held within 90 days
• [Must] All directors who were directors when the resolution was passed and are not managing directors must cease holding office immediately before the spill meeting
• [Must] Resolutions to appoint persons to offices vacated by the spill meeting must be put to vote at the spill meeting</t>
        </is>
      </c>
      <c r="N257" s="11" t="inlineStr">
        <is>
          <t>• [Must] The company must hold the spill meeting within 90 days after the spill resolution is passed
• [Condition] If directors cease holding office before the deadline, the company need not hold the spill meeting within 90 days
• [Condition] Failure to hold the spill meeting within 90 days commits each director to an offence of strict liability</t>
        </is>
      </c>
      <c r="O257" s="11" t="inlineStr">
        <is>
          <t>Section 250V(1) requires a resolution to hold fresh elections for directors at special meeting to be put to vote at AGM within 90 days if voting thresholds are met.</t>
        </is>
      </c>
      <c r="P257" s="12" t="n">
        <v>10</v>
      </c>
    </row>
    <row r="258">
      <c r="A258" t="inlineStr">
        <is>
          <t>Australia</t>
        </is>
      </c>
      <c r="B258" t="inlineStr">
        <is>
          <t>C2026C00058VOL01 (Australia - Row 8)</t>
        </is>
      </c>
      <c r="C258" t="inlineStr">
        <is>
          <t>6 (part 40)</t>
        </is>
      </c>
      <c r="D258" s="11" t="inlineStr">
        <is>
          <t>Minutes and members' access to minutes</t>
        </is>
      </c>
      <c r="E258" t="inlineStr">
        <is>
          <t>566–573</t>
        </is>
      </c>
      <c r="F258" t="inlineStr">
        <is>
          <t>High</t>
        </is>
      </c>
      <c r="G258" t="inlineStr">
        <is>
          <t>High (explicit)</t>
        </is>
      </c>
      <c r="H258" s="11" t="inlineStr"/>
      <c r="I258" s="11" t="inlineStr">
        <is>
          <t>Customer Data</t>
        </is>
      </c>
      <c r="J258" t="inlineStr">
        <is>
          <t>ASIC</t>
        </is>
      </c>
      <c r="K258" s="11" t="inlineStr">
        <is>
          <t>This section mandates that companies maintain minute books recording meetings, resolutions, and declarations within one month. It requires minutes to be signed by the chair or next meeting chair within a reasonable time, and ensures minute books are accessible to members free of charge. Companies must provide copies within 14 days or as approved by ASIC, with payment capped at a prescribed amount. Failure to comply constitutes an offence of strict liability.</t>
        </is>
      </c>
      <c r="L258" s="11" t="inlineStr">
        <is>
          <t>This section governs minute-keeping practices that impact data transfer impact assessments by requiring detailed records of member meetings and resolutions, which may be relevant for cross-border data transfers involving corporate governance structures.</t>
        </is>
      </c>
      <c r="M258" s="11" t="inlineStr">
        <is>
          <t>• [Must] A company must keep minute books recording proceedings and resolutions of meetings within 1 month
• [Must] Minutes of meetings must be signed by the chair or next meeting chair within a reasonable time
• [Must] Minutes of resolutions without meetings must be signed by a director within a reasonable time
• [Must] Minute books must be kept at the registered office, principal place of business, or approved location</t>
        </is>
      </c>
      <c r="N258" s="11" t="inlineStr">
        <is>
          <t>• [Must] Companies must ensure minute books are open for inspection by members free of charge
• [Must] Members may request copies of minutes within 14 days or as approved by ASIC
• [Condition] Payment for copies cannot exceed the prescribed amount</t>
        </is>
      </c>
      <c r="O258" s="11" t="inlineStr">
        <is>
          <t>Section 251A(1) requires companies to keep minute books recording proceedings and resolutions of meetings within 1 month.</t>
        </is>
      </c>
      <c r="P258" s="12" t="n">
        <v>10</v>
      </c>
    </row>
    <row r="259">
      <c r="A259" t="inlineStr">
        <is>
          <t>Australia</t>
        </is>
      </c>
      <c r="B259" t="inlineStr">
        <is>
          <t>C2026C00058VOL01 (Australia - Row 8)</t>
        </is>
      </c>
      <c r="C259" t="inlineStr">
        <is>
          <t>6 (part 41)</t>
        </is>
      </c>
      <c r="D259" s="11" t="inlineStr">
        <is>
          <t>Member meeting notices and proxy appointments</t>
        </is>
      </c>
      <c r="E259" t="inlineStr">
        <is>
          <t>573–581</t>
        </is>
      </c>
      <c r="F259" t="inlineStr">
        <is>
          <t>Medium</t>
        </is>
      </c>
      <c r="G259" t="inlineStr">
        <is>
          <t>High (explicit)</t>
        </is>
      </c>
      <c r="H259" s="11" t="inlineStr"/>
      <c r="I259" s="11" t="inlineStr">
        <is>
          <t>Customer Data</t>
        </is>
      </c>
      <c r="J259" t="inlineStr">
        <is>
          <t>ASIC</t>
        </is>
      </c>
      <c r="K259" s="11" t="inlineStr">
        <is>
          <t>A registered scheme must provide members with meeting notices in specific formats, including meeting details, business nature, proxy rights, and electronic communication options. The notice period varies by delivery method, with postal notices taking 3 days and electronic notices effective the next business day. The responsible entity must also distribute member resolutions and statements if requested by at least 100 entitled members, with specific conditions for validity and costs.</t>
        </is>
      </c>
      <c r="L259" s="11" t="inlineStr">
        <is>
          <t>This section establishes requirements for meeting notices and member resolutions, impacting how data is transferred and processed across borders through member communications and proxy mechanisms. It specifies notice formats and delivery timelines that affect data handling practices.</t>
        </is>
      </c>
      <c r="M259" s="11" t="inlineStr">
        <is>
          <t>• [Must] A notice of meeting must set out meeting details, business nature, proxy rights, and electronic communication options
• [Must] Notice sent by post is taken to be given 3 days after posting
• [Must] Notice sent electronically is taken to be given on the business day after sending</t>
        </is>
      </c>
      <c r="N259" s="11" t="inlineStr">
        <is>
          <t>• [Must] The responsible entity must distribute member resolutions if requested by at least 100 entitled members
• [Must] The responsible entity must ensure proxy appointments are valid even if the appointing member dies or revokes the appointment
• [Must] The responsible entity must pay for distribution costs if the notice is sent with the meeting notice</t>
        </is>
      </c>
      <c r="O259" s="11" t="inlineStr">
        <is>
          <t>A notice of a meeting of a registered scheme's members must: (a) set out... (ii) if there are 2 or more locations... (iii) if virtual meeting technology is to be used... (b) state the general nature of the meeting's business; (c) if a special or extraordinary resolution is to be proposed... (d) contain a statement setting out the following information: (i) that the member has a right to appoint a proxy; (ii) that the proxy does not need to be a member of the registered scheme; (iii) that if the member appoints 2 proxies the member may specify the proportion or number of votes the proxy is appointed to exercise; and (e) specify at least one of the following: (i) a place for the purposes of receipt of proxy appointments and proxy appointment authorities; (ii) sufficient information to allow members to comply with section 252Z by means of an electronic communication.</t>
        </is>
      </c>
      <c r="P259" s="12" t="n">
        <v>10</v>
      </c>
    </row>
    <row r="260">
      <c r="A260" t="inlineStr">
        <is>
          <t>Australia</t>
        </is>
      </c>
      <c r="B260" t="inlineStr">
        <is>
          <t>C2026C00058VOL01 (Australia - Row 8)</t>
        </is>
      </c>
      <c r="C260" t="inlineStr">
        <is>
          <t>6 (part 44)</t>
        </is>
      </c>
      <c r="D260" s="11" t="inlineStr">
        <is>
          <t>Electronic minute books and independent observer rights for shareholder meetings</t>
        </is>
      </c>
      <c r="E260" t="inlineStr">
        <is>
          <t>596–604</t>
        </is>
      </c>
      <c r="F260" t="inlineStr">
        <is>
          <t>Medium</t>
        </is>
      </c>
      <c r="G260" t="inlineStr">
        <is>
          <t>High (explicit)</t>
        </is>
      </c>
      <c r="H260" s="11" t="inlineStr"/>
      <c r="I260" s="11" t="inlineStr">
        <is>
          <t>Personal Information</t>
        </is>
      </c>
      <c r="J260" t="inlineStr">
        <is>
          <t>ASIC</t>
        </is>
      </c>
      <c r="K260" s="11" t="inlineStr">
        <is>
          <t>This section requires companies to maintain minute books in electronic form if the information is reasonably accessible for subsequent reference. It also mandates that companies appoint independent persons to observe and report on shareholder meetings when members with at least 5% voting rights request it. Companies must provide reasonable steps to ensure independent observers and report on poll conduct within 5 business days of request. Failure to comply constitutes an offence of strict liability.</t>
        </is>
      </c>
      <c r="L260" s="11" t="inlineStr">
        <is>
          <t>This section establishes requirements for electronic minute books and independent observer rights for shareholder meetings, which may impact data transfer assessments when companies store or share minute book information across borders.</t>
        </is>
      </c>
      <c r="M260" s="11" t="inlineStr">
        <is>
          <t>• [Must] If information is required to be recorded in a minute book, it may be recorded in electronic form if reasonably expected to be accessible for subsequent reference
• [Must] Electronic minute books must be open for inspection at the place where required to be kept
• [Must] Electronic minute books must provide reliable means of assuring information integrity
• [Must] Companies must appoint independent persons to observe and report on poll conduct within 5 business days of request</t>
        </is>
      </c>
      <c r="N260" s="11" t="inlineStr">
        <is>
          <t>• [Must] Companies must ensure independent persons observe poll conduct and prepare reports within reasonable time
• [Must] Companies must pay fees to independent persons appointed for poll observation
• [Must] Companies must provide information to independent persons within reasonable time after request
• [Must] Companies must keep copies of reports on poll conduct for compliance</t>
        </is>
      </c>
      <c r="O260" s="11" t="inlineStr">
        <is>
          <t>Section 253S(1): If information is required to be recorded in a minute book, the information may be recorded in electronic form if, at the time of the recording of the information, it was reasonable to expect that the information would be readily accessible so as to be useable for subsequent reference.</t>
        </is>
      </c>
      <c r="P260" s="12" t="n">
        <v>10</v>
      </c>
    </row>
    <row r="261">
      <c r="A261" t="inlineStr">
        <is>
          <t>Australia</t>
        </is>
      </c>
      <c r="B261" t="inlineStr">
        <is>
          <t>C2026C00058VOL01 (Australia - Row 8)</t>
        </is>
      </c>
      <c r="C261" t="inlineStr">
        <is>
          <t>6 (part 46)</t>
        </is>
      </c>
      <c r="D261" s="11" t="inlineStr">
        <is>
          <t>Share conversion and redemption rules for companies</t>
        </is>
      </c>
      <c r="E261" t="inlineStr">
        <is>
          <t>611–619</t>
        </is>
      </c>
      <c r="F261" t="inlineStr">
        <is>
          <t>High</t>
        </is>
      </c>
      <c r="G261" t="inlineStr">
        <is>
          <t>High (explicit)</t>
        </is>
      </c>
      <c r="H261" s="11" t="inlineStr"/>
      <c r="I261" s="11" t="inlineStr"/>
      <c r="J261" t="inlineStr">
        <is>
          <t>ASIC</t>
        </is>
      </c>
      <c r="K261" s="11" t="inlineStr">
        <is>
          <t>Companies may convert ordinary shares to preference shares and vice versa, but must specify repayment of capital, profit participation, dividend terms, voting rights, and priority of payment in their constitution or by special resolution. Redeemable preference shares cannot be converted from non-redeemable shares. Redemption must follow terms of issue, be fully paid-up, and use profits or new share proceeds. Contraventions of redemption rules do not invalidate transactions but may constitute offences.</t>
        </is>
      </c>
      <c r="L261" s="11" t="inlineStr">
        <is>
          <t>This section governs share conversion and redemption processes, which are relevant to DTIAs when companies transfer or store share data across borders, particularly for financial institutions handling shareholder information.</t>
        </is>
      </c>
      <c r="M261" s="11" t="inlineStr">
        <is>
          <t>• [Must] A company may convert an ordinary share into a preference share
• [Must] A company may convert a preference share into an ordinary share
• [Must] The holders' rights with respect to repayment of capital, participation in surplus assets and profits, cumulative and non-cumulative dividends, voting, and priority of payment must be set out in the company's constitution or approved by special resolution
• [Must] A company may convert all or any of its shares into a larger or smaller number of shares by resolution passed at a general meeting
• [Condition] The conversion takes effect on the day the resolution is passed or a later date specified in the resolution
• [Must] Any amount unpaid on shares being converted is to be divided equally among the replacement shares</t>
        </is>
      </c>
      <c r="N261" s="11" t="inlineStr">
        <is>
          <t>• [Must] The company must lodge a copy of the resolution with ASIC within 1 month after it is passed
• [Must] A company may redeem redeemable preference shares only on the terms on which they are on issue
• [Must] On redemption, the shares are cancelled
• [Must] A company may only redeem redeemable preference shares if the shares are fully paid-up
• [Must] A company may only redeem redeemable preference shares out of profits or the proceeds of a new issue of shares made for the purpose of the redemption
• [Must] If a company redeems shares in contravention of section 254J or 254K, the contravention does not affect the validity of the redemption or of any contract or transaction connected with it</t>
        </is>
      </c>
      <c r="O261" s="11" t="inlineStr">
        <is>
          <t>Section 254G(1): A company may: (a) convert an ordinary share into a preference share; and (b) convert a preference share into an ordinary share.</t>
        </is>
      </c>
      <c r="P261" s="12" t="n">
        <v>10</v>
      </c>
    </row>
    <row r="262">
      <c r="A262" t="inlineStr">
        <is>
          <t>Australia</t>
        </is>
      </c>
      <c r="B262" t="inlineStr">
        <is>
          <t>C2026C00058VOL01 (Australia - Row 8)</t>
        </is>
      </c>
      <c r="C262" t="inlineStr">
        <is>
          <t>6 (part 48)</t>
        </is>
      </c>
      <c r="D262" s="11" t="inlineStr">
        <is>
          <t>Share capital reductions and buy-backs: shareholder approval and procedures</t>
        </is>
      </c>
      <c r="E262" t="inlineStr">
        <is>
          <t>627–635</t>
        </is>
      </c>
      <c r="F262" t="inlineStr">
        <is>
          <t>High</t>
        </is>
      </c>
      <c r="G262" t="inlineStr">
        <is>
          <t>High (explicit)</t>
        </is>
      </c>
      <c r="H262" s="11" t="inlineStr"/>
      <c r="I262" s="11" t="inlineStr">
        <is>
          <t>Financial Data</t>
        </is>
      </c>
      <c r="J262" t="inlineStr">
        <is>
          <t>ASIC</t>
        </is>
      </c>
      <c r="K262" s="11" t="inlineStr">
        <is>
          <t>This section requires companies to follow specific rules when reducing share capital or buying back shares. The rules ensure fairness to shareholders, protect creditors from insolvency risks, and mandate disclosure of material information. Shareholders must approve reductions through ordinary or special resolutions depending on whether the reduction is equal or selective. Companies must also lodge resolutions with ASIC within 14 days and comply with procedural requirements for buy-backs.</t>
        </is>
      </c>
      <c r="L262" s="11" t="inlineStr">
        <is>
          <t>This section establishes requirements for shareholder approval and procedural compliance in share capital reductions and buy-backs, which may impact data transfers if the company handles financial data or customer information through share transactions.</t>
        </is>
      </c>
      <c r="M262" s="11" t="inlineStr">
        <is>
          <t>• [Must] A company may reduce its share capital in a way not otherwise authorised by law if the reduction is fair and reasonable to shareholders as a whole
• [Must] The reduction must not materially prejudice the company's ability to pay creditors
• [Must] The reduction must be approved by shareholders under section 256C
• [Must] The reduction is an equal reduction if it relates only to ordinary shares and applies proportionally to each holder
• [Must] The reduction is a selective reduction if it does not apply proportionally to each holder</t>
        </is>
      </c>
      <c r="N262" s="11" t="inlineStr">
        <is>
          <t>• [Must] For equal reductions, shareholders must approve via ordinary resolution
• [Must] For selective reductions, shareholders must approve via special or unanimous resolution
• [Must] The company must lodge with ASIC a copy of any resolution within 14 days after passing
• [Must] The company must not make the reduction until 14 days after lodgment</t>
        </is>
      </c>
      <c r="O262" s="11" t="inlineStr">
        <is>
          <t>Section 256B(1): A company may reduce its share capital in a way that is not otherwise authorised by law if the reduction: (a) is fair and reasonable to the company's shareholders as a whole; and (b) does not materially prejudice the company's ability to pay its creditors; and (c) is approved by shareholders under section 256C.</t>
        </is>
      </c>
      <c r="P262" s="12" t="n">
        <v>10</v>
      </c>
    </row>
    <row r="263">
      <c r="A263" t="inlineStr">
        <is>
          <t>Australia</t>
        </is>
      </c>
      <c r="B263" t="inlineStr">
        <is>
          <t>C2026C00058VOL01 (Australia - Row 8)</t>
        </is>
      </c>
      <c r="C263" t="inlineStr">
        <is>
          <t>6 (part 49)</t>
        </is>
      </c>
      <c r="D263" s="11" t="inlineStr">
        <is>
          <t>Share buy-back procedures: shareholder approval and regulatory compliance</t>
        </is>
      </c>
      <c r="E263" t="inlineStr">
        <is>
          <t>635–643</t>
        </is>
      </c>
      <c r="F263" t="inlineStr">
        <is>
          <t>High</t>
        </is>
      </c>
      <c r="G263" t="inlineStr">
        <is>
          <t>High (explicit)</t>
        </is>
      </c>
      <c r="H263" s="11" t="inlineStr"/>
      <c r="I263" s="11" t="inlineStr">
        <is>
          <t>Financial Data</t>
        </is>
      </c>
      <c r="J263" t="inlineStr">
        <is>
          <t>ASIC</t>
        </is>
      </c>
      <c r="K263" s="11" t="inlineStr">
        <is>
          <t>This section outlines the procedures for share buy-backs, including shareholder approval requirements, disclosure obligations, and ASIC lodgments. Buy-backs must comply with specific limits on share acquisition (10/12 rule), require shareholder approval depending on the type of buy-back, and involve detailed documentation for ASIC. The rules ensure transparency and prevent conflicts of interest in share transactions.</t>
        </is>
      </c>
      <c r="L263" s="11" t="inlineStr">
        <is>
          <t>This section specifies procedural requirements for share buy-backs that may affect data transfers if the company handles financial data or customer information through share transactions.</t>
        </is>
      </c>
      <c r="M263" s="11" t="inlineStr">
        <is>
          <t>• [Must] The company must satisfy the lodgment requirement with ASIC at least 14 days before the resolution is passed or the agreement is entered into
• [Must] The company must include with the offer a statement of all material information known to the company
• [Must] The company must not dispose of shares it buys back; agreements in contravention are void</t>
        </is>
      </c>
      <c r="N263" s="11" t="inlineStr">
        <is>
          <t>• [Must] Shares bought back must be cancelled immediately after registration
• [Must] The 10/12 limit for buy-backs is 10% of the smallest number of votes attaching to voting shares over the last 12 months
• [Must] If the 10/12 limit is exceeded, the buy-back requires special or unanimous shareholder approval</t>
        </is>
      </c>
      <c r="O263" s="11" t="inlineStr">
        <is>
          <t>Section 257F(1): If section 257B applies this section to a buy-back, the company must satisfy the lodgment requirement in subsection (2) at least 14 days before: (a) if the buy-back agreement is conditional on the passing of a resolution under subsection 257C(1) or 257D(1)—the resolution is passed; or (b) if it is not—the agreement is entered into.</t>
        </is>
      </c>
      <c r="P263" s="12" t="n">
        <v>10</v>
      </c>
    </row>
    <row r="264">
      <c r="A264" t="inlineStr">
        <is>
          <t>Australia</t>
        </is>
      </c>
      <c r="B264" t="inlineStr">
        <is>
          <t>C2026C00058VOL01 (Australia - Row 8)</t>
        </is>
      </c>
      <c r="C264" t="inlineStr">
        <is>
          <t>6 (part 50)</t>
        </is>
      </c>
      <c r="D264" s="11" t="inlineStr">
        <is>
          <t>Share capital reductions and cancellations for companies</t>
        </is>
      </c>
      <c r="E264" t="inlineStr">
        <is>
          <t>643–650</t>
        </is>
      </c>
      <c r="F264" t="inlineStr">
        <is>
          <t>High</t>
        </is>
      </c>
      <c r="G264" t="inlineStr">
        <is>
          <t>High (explicit)</t>
        </is>
      </c>
      <c r="H264" s="11" t="inlineStr"/>
      <c r="I264" s="11" t="inlineStr"/>
      <c r="J264" t="inlineStr">
        <is>
          <t>ASIC</t>
        </is>
      </c>
      <c r="K264" s="11" t="inlineStr">
        <is>
          <t>This section authorizes share capital reductions from redemption of redeemable preference shares using new share issues, buying back shares with share capital, and cancellations under specific sections. It also permits reductions due to court orders. The section ensures these reductions are valid and authorized by the company.</t>
        </is>
      </c>
      <c r="L264" s="11" t="inlineStr">
        <is>
          <t>This section outlines conditions for valid share capital reductions, which may impact data transfers if companies adjust share structures or hold data in share-related entities.</t>
        </is>
      </c>
      <c r="M264" s="11" t="inlineStr">
        <is>
          <t>• [Must] Any reduction in share capital involved in redemption of redeemable preference shares out of proceeds of new share issues for redemption is authorized
• [Must] Any reduction in share capital from buying back shares with share capital is authorized</t>
        </is>
      </c>
      <c r="N264" s="11" t="inlineStr">
        <is>
          <t>• [Must] A company may cancel shares returned under specified sections and any share capital reduction is authorized
• [Must] Any reduction in share capital due to an order under section 1325A is authorized</t>
        </is>
      </c>
      <c r="O264" s="11" t="inlineStr">
        <is>
          <t>Any reduction in share capital involved in: (a) the redemption of redeemable preference shares out of the proceeds of a new issue of shares made for the purpose of the redemption (see section 254K); or (b) a company's buying-back of its own shares under sections 257A to 257J if the shares are paid for out of share capital.</t>
        </is>
      </c>
      <c r="P264" s="12" t="n">
        <v>10</v>
      </c>
    </row>
    <row r="265">
      <c r="A265" t="inlineStr">
        <is>
          <t>Australia</t>
        </is>
      </c>
      <c r="B265" t="inlineStr">
        <is>
          <t>C2026C00058VOL01 (Australia - Row 8)</t>
        </is>
      </c>
      <c r="C265" t="inlineStr">
        <is>
          <t>6 (part 51)</t>
        </is>
      </c>
      <c r="D265" s="11" t="inlineStr">
        <is>
          <t>Financial assistance for share acquisitions and exemptions</t>
        </is>
      </c>
      <c r="E265" t="inlineStr">
        <is>
          <t>650–657</t>
        </is>
      </c>
      <c r="F265" t="inlineStr">
        <is>
          <t>High</t>
        </is>
      </c>
      <c r="G265" t="inlineStr">
        <is>
          <t>High (explicit)</t>
        </is>
      </c>
      <c r="H265" s="11" t="inlineStr"/>
      <c r="I265" s="11" t="inlineStr"/>
      <c r="J265" t="inlineStr">
        <is>
          <t>ASIC</t>
        </is>
      </c>
      <c r="K265" s="11" t="inlineStr">
        <is>
          <t>This section details financial assistance rules for acquiring shares, requiring shareholder approval, exemptions for ordinary commercial dealings, financial institutions, and subsidiaries of debenture issuers. It mandates specific approvals and documentation for financial assistance to ensure it does not prejudice company interests or creditors.</t>
        </is>
      </c>
      <c r="L265" s="11" t="inlineStr">
        <is>
          <t>This section governs financial assistance for share acquisitions, which may affect data transfers if companies use financial assistance to acquire shares or related entities holding data.</t>
        </is>
      </c>
      <c r="M265" s="11" t="inlineStr">
        <is>
          <t>• [Must] Financial assistance for share acquisitions must not materially prejudice company interests or ability to pay creditors
• [Must] Financial assistance must be approved by shareholders under section 260B
• [May] Financial assistance may be given before or after share acquisition
• [May] Financial assistance may take the form of paying a dividend</t>
        </is>
      </c>
      <c r="N265" s="11" t="inlineStr">
        <is>
          <t>• [Exempt] Financial assistance is exempted if given in ordinary course of commercial dealing for partly-paid shares
• [Exempt] Financial assistance is exempted if provided by financial institutions in ordinary course of business
• [Exempt] Financial assistance is exempted for subsidiaries of debenture issuers under specific conditions</t>
        </is>
      </c>
      <c r="O265" s="11" t="inlineStr">
        <is>
          <t>A company may financially assist a person to acquire shares (or units of shares) in the company or a holding company of the company only if: (a) giving the assistance does not materially prejudice: (i) the interests of the company or its shareholders; or (ii) the company's ability to pay its creditors; or (b) the assistance is approved by shareholders under section 260B (that section also requires advance notice to ASIC); or (c) the assistance is exempted under section 2: 260C.</t>
        </is>
      </c>
      <c r="P265" s="12" t="n">
        <v>10</v>
      </c>
    </row>
    <row r="266">
      <c r="A266" t="inlineStr">
        <is>
          <t>Australia</t>
        </is>
      </c>
      <c r="B266" t="inlineStr">
        <is>
          <t>C2026C00209VOL01 (Australia - Row 26)</t>
        </is>
      </c>
      <c r="C266" t="inlineStr">
        <is>
          <t>79</t>
        </is>
      </c>
      <c r="D266" s="11" t="inlineStr">
        <is>
          <t>Destruction of restricted records not likely to be retained</t>
        </is>
      </c>
      <c r="E266" t="inlineStr">
        <is>
          <t>8</t>
        </is>
      </c>
      <c r="F266" t="inlineStr">
        <is>
          <t>Low</t>
        </is>
      </c>
      <c r="G266" t="inlineStr">
        <is>
          <t>High (explicit)</t>
        </is>
      </c>
      <c r="H266" s="11" t="inlineStr">
        <is>
          <t>Deletion</t>
        </is>
      </c>
      <c r="I266" s="11" t="inlineStr"/>
      <c r="J266" t="inlineStr"/>
      <c r="K266" s="11" t="inlineStr">
        <is>
          <t>This section requires the destruction of restricted records that are not likely to be retained. The obligation applies to entities responsible for maintaining such records. The specific records must be identified as not requiring retention based on their nature and purpose.</t>
        </is>
      </c>
      <c r="L266" s="11" t="inlineStr">
        <is>
          <t>This section impacts DTIAs by mandating the destruction of certain restricted records, which may affect data retention strategies and data lifecycle management in cross-border contexts.</t>
        </is>
      </c>
      <c r="M266" s="11" t="inlineStr">
        <is>
          <t>• [Must] Destruction of restricted records that are not likely to be retained</t>
        </is>
      </c>
      <c r="N266" s="11" t="inlineStr"/>
      <c r="O266" s="11" t="inlineStr">
        <is>
          <t>79 Destruction of restricted records that are not likely to be</t>
        </is>
      </c>
      <c r="P266" s="12" t="n">
        <v>11</v>
      </c>
    </row>
    <row r="267">
      <c r="A267" t="inlineStr">
        <is>
          <t>Australia</t>
        </is>
      </c>
      <c r="B267" t="inlineStr">
        <is>
          <t>C2026C00209VOL01 (Australia - Row 26)</t>
        </is>
      </c>
      <c r="C267" t="inlineStr">
        <is>
          <t>79A</t>
        </is>
      </c>
      <c r="D267" s="11" t="inlineStr">
        <is>
          <t>Computer network responsible person must ensure interception records are kept</t>
        </is>
      </c>
      <c r="E267" t="inlineStr">
        <is>
          <t>8</t>
        </is>
      </c>
      <c r="F267" t="inlineStr">
        <is>
          <t>High</t>
        </is>
      </c>
      <c r="G267" t="inlineStr">
        <is>
          <t>High (explicit)</t>
        </is>
      </c>
      <c r="H267" s="11" t="inlineStr">
        <is>
          <t>Data Storage, Record Keeping</t>
        </is>
      </c>
      <c r="I267" s="11" t="inlineStr"/>
      <c r="J267" t="inlineStr"/>
      <c r="K267" s="11" t="inlineStr">
        <is>
          <t>This section mandates that the responsible person for a computer network must ensure the keeping and inspection of interception records as per Part 2-7. The obligation applies to entities managing computer networks. The records must be maintained and accessible for inspection as required by law.</t>
        </is>
      </c>
      <c r="L267" s="11" t="inlineStr">
        <is>
          <t>This section impacts DTIAs by requiring the maintenance of interception records, which may affect data storage and retention strategies in cross-border contexts.</t>
        </is>
      </c>
      <c r="M267" s="11" t="inlineStr">
        <is>
          <t>• [Must] Responsible person for a computer network must ensure keeping and inspection of interception records</t>
        </is>
      </c>
      <c r="N267" s="11" t="inlineStr"/>
      <c r="O267" s="11" t="inlineStr">
        <is>
          <t>79A Responsible person for a computer network must ensure Part 2-7—Keeping and inspection of interception records 236</t>
        </is>
      </c>
      <c r="P267" s="12" t="n">
        <v>11</v>
      </c>
    </row>
    <row r="268">
      <c r="A268" t="inlineStr">
        <is>
          <t>Australia</t>
        </is>
      </c>
      <c r="B268" t="inlineStr">
        <is>
          <t>C2026C00209VOL01 (Australia - Row 26)</t>
        </is>
      </c>
      <c r="C268" t="inlineStr">
        <is>
          <t>79AA</t>
        </is>
      </c>
      <c r="D268" s="11" t="inlineStr">
        <is>
          <t>Destruction of restricted records obtained through information</t>
        </is>
      </c>
      <c r="E268" t="inlineStr">
        <is>
          <t>8</t>
        </is>
      </c>
      <c r="F268" t="inlineStr">
        <is>
          <t>Low</t>
        </is>
      </c>
      <c r="G268" t="inlineStr">
        <is>
          <t>High (explicit)</t>
        </is>
      </c>
      <c r="H268" s="11" t="inlineStr">
        <is>
          <t>Deletion</t>
        </is>
      </c>
      <c r="I268" s="11" t="inlineStr"/>
      <c r="J268" t="inlineStr"/>
      <c r="K268" s="11" t="inlineStr">
        <is>
          <t>This section addresses the destruction of restricted records that are obtained through specific information channels. The obligation applies to entities handling such records. The records must be destroyed if they are not likely to be retained based on their purpose and nature.</t>
        </is>
      </c>
      <c r="L268" s="11" t="inlineStr">
        <is>
          <t>This section impacts DTIAs by requiring the destruction of restricted records obtained through specific information channels, affecting data retention and deletion strategies in cross-border data transfers.</t>
        </is>
      </c>
      <c r="M268" s="11" t="inlineStr">
        <is>
          <t>• [Must] Destruction of restricted records—information obtained</t>
        </is>
      </c>
      <c r="N268" s="11" t="inlineStr"/>
      <c r="O268" s="11" t="inlineStr">
        <is>
          <t>79AA Destruction of restricted records—information obtained</t>
        </is>
      </c>
      <c r="P268" s="12" t="n">
        <v>11</v>
      </c>
    </row>
    <row r="269">
      <c r="A269" t="inlineStr">
        <is>
          <t>Australia</t>
        </is>
      </c>
      <c r="B269" t="inlineStr">
        <is>
          <t>C2026C00209VOL01 (Australia - Row 26)</t>
        </is>
      </c>
      <c r="C269" t="inlineStr">
        <is>
          <t>81</t>
        </is>
      </c>
      <c r="D269" s="11" t="inlineStr">
        <is>
          <t>Commonwealth agencies must keep other records</t>
        </is>
      </c>
      <c r="E269" t="inlineStr">
        <is>
          <t>8</t>
        </is>
      </c>
      <c r="F269" t="inlineStr">
        <is>
          <t>High</t>
        </is>
      </c>
      <c r="G269" t="inlineStr">
        <is>
          <t>High (explicit)</t>
        </is>
      </c>
      <c r="H269" s="11" t="inlineStr">
        <is>
          <t>Data Storage, Record Keeping</t>
        </is>
      </c>
      <c r="I269" s="11" t="inlineStr"/>
      <c r="J269" t="inlineStr"/>
      <c r="K269" s="11" t="inlineStr">
        <is>
          <t>This section requires Commonwealth agencies to maintain other records as specified. The obligation applies to government agencies. The records must be kept in accordance with the requirements outlined in the relevant legislation.</t>
        </is>
      </c>
      <c r="L269" s="11" t="inlineStr">
        <is>
          <t>This section impacts DTIAs by mandating the retention of specific records for Commonwealth agencies, affecting data storage and record-keeping practices in cross-border contexts.</t>
        </is>
      </c>
      <c r="M269" s="11" t="inlineStr">
        <is>
          <t>• [Must] Commonwealth agencies must keep other records</t>
        </is>
      </c>
      <c r="N269" s="11" t="inlineStr"/>
      <c r="O269" s="11" t="inlineStr">
        <is>
          <t>81 Other records to be kept by Commonwealth agencies in</t>
        </is>
      </c>
      <c r="P269" s="12" t="n">
        <v>11</v>
      </c>
    </row>
    <row r="270">
      <c r="A270" t="inlineStr">
        <is>
          <t>Australia</t>
        </is>
      </c>
      <c r="B270" t="inlineStr">
        <is>
          <t>C2026C00209VOL01 (Australia - Row 26)</t>
        </is>
      </c>
      <c r="C270" t="inlineStr">
        <is>
          <t>85A</t>
        </is>
      </c>
      <c r="D270" s="11" t="inlineStr">
        <is>
          <t>Annual report may cover notified breaches</t>
        </is>
      </c>
      <c r="E270" t="inlineStr">
        <is>
          <t>8</t>
        </is>
      </c>
      <c r="F270" t="inlineStr">
        <is>
          <t>High</t>
        </is>
      </c>
      <c r="G270" t="inlineStr">
        <is>
          <t>High (explicit)</t>
        </is>
      </c>
      <c r="H270" s="11" t="inlineStr">
        <is>
          <t>Incident Reporting, Breach Notification</t>
        </is>
      </c>
      <c r="I270" s="11" t="inlineStr"/>
      <c r="J270" t="inlineStr"/>
      <c r="K270" s="11" t="inlineStr">
        <is>
          <t>This section allows for the inclusion of notified breaches in annual reports. The obligation applies to entities that have notified breaches. The breaches must be reported in the annual report if they are relevant to the entity's operations.</t>
        </is>
      </c>
      <c r="L270" s="11" t="inlineStr">
        <is>
          <t>This section impacts DTIAs by allowing the inclusion of notified breaches in annual reports, which may affect breach reporting and data handling practices in cross-border contexts.</t>
        </is>
      </c>
      <c r="M270" s="11" t="inlineStr">
        <is>
          <t>• [May] Annual report may cover notified breaches in relation to</t>
        </is>
      </c>
      <c r="N270" s="11" t="inlineStr"/>
      <c r="O270" s="11" t="inlineStr">
        <is>
          <t>85A Annual report may cover notified breaches in relation to</t>
        </is>
      </c>
      <c r="P270" s="12" t="n">
        <v>11</v>
      </c>
    </row>
    <row r="271">
      <c r="A271" t="inlineStr">
        <is>
          <t>Australia</t>
        </is>
      </c>
      <c r="B271" t="inlineStr">
        <is>
          <t>C2026C00209VOL01 (Australia - Row 26)</t>
        </is>
      </c>
      <c r="C271" t="inlineStr">
        <is>
          <t>85B</t>
        </is>
      </c>
      <c r="D271" s="11" t="inlineStr">
        <is>
          <t>Annual reports may include notified breaches</t>
        </is>
      </c>
      <c r="E271" t="inlineStr">
        <is>
          <t>8</t>
        </is>
      </c>
      <c r="F271" t="inlineStr">
        <is>
          <t>Medium</t>
        </is>
      </c>
      <c r="G271" t="inlineStr">
        <is>
          <t>High (explicit)</t>
        </is>
      </c>
      <c r="H271" s="11" t="inlineStr">
        <is>
          <t>Incident Reporting, Breach Notification</t>
        </is>
      </c>
      <c r="I271" s="11" t="inlineStr">
        <is>
          <t>Personal Information</t>
        </is>
      </c>
      <c r="J271" t="inlineStr"/>
      <c r="K271" s="11" t="inlineStr">
        <is>
          <t>This section permits annual reports to include information about notified breaches. It establishes that breach notifications made to relevant authorities may be incorporated into annual reports. The obligation applies to entities that have notified breaches to the appropriate regulatory bodies.</t>
        </is>
      </c>
      <c r="L271" s="11" t="inlineStr">
        <is>
          <t>This section requires that breach notifications be included in annual reports, which impacts data transfer assessments by mandating that breach information be documented and reported in a manner that affects cross-border data handling.</t>
        </is>
      </c>
      <c r="M271" s="11" t="inlineStr">
        <is>
          <t>• [Must] Annual reports may cover notified breaches in relation to</t>
        </is>
      </c>
      <c r="N271" s="11" t="inlineStr"/>
      <c r="O271" s="11" t="inlineStr">
        <is>
          <t>85B Annual report may cover notified breaches in relation to</t>
        </is>
      </c>
      <c r="P271" s="12" t="n">
        <v>11</v>
      </c>
    </row>
    <row r="272">
      <c r="A272" t="inlineStr">
        <is>
          <t>Australia</t>
        </is>
      </c>
      <c r="B272" t="inlineStr">
        <is>
          <t>C2026C00209VOL01 (Australia - Row 26)</t>
        </is>
      </c>
      <c r="C272" t="inlineStr">
        <is>
          <t>92A</t>
        </is>
      </c>
      <c r="D272" s="11" t="inlineStr">
        <is>
          <t>Ombudsman and Intelligence agencies share information</t>
        </is>
      </c>
      <c r="E272" t="inlineStr">
        <is>
          <t>9</t>
        </is>
      </c>
      <c r="F272" t="inlineStr">
        <is>
          <t>Low</t>
        </is>
      </c>
      <c r="G272" t="inlineStr">
        <is>
          <t>High (explicit)</t>
        </is>
      </c>
      <c r="H272" s="11" t="inlineStr">
        <is>
          <t>International Processing</t>
        </is>
      </c>
      <c r="I272" s="11" t="inlineStr">
        <is>
          <t>Personal Information</t>
        </is>
      </c>
      <c r="J272" t="inlineStr"/>
      <c r="K272" s="11" t="inlineStr">
        <is>
          <t>This section outlines the mechanism for information exchange between the Ombudsman and the Inspector-General of Intelligence and Security. It specifies that such information sharing occurs within the context of reports about interceptions under Parts 2-3 and 2-5 of the Act. The obligation applies to the relevant authorities involved in intelligence operations.</t>
        </is>
      </c>
      <c r="L272" s="11" t="inlineStr">
        <is>
          <t>This section establishes a framework for information sharing between intelligence agencies and the Ombudsman, which may impact data transfer assessments by creating pathways for cross-border data flows related to national security.</t>
        </is>
      </c>
      <c r="M272" s="11" t="inlineStr">
        <is>
          <t>• [Must] Exchange of information between Ombudsman or Inspector-General of Intelligence and Security and State</t>
        </is>
      </c>
      <c r="N272" s="11" t="inlineStr"/>
      <c r="O272" s="11" t="inlineStr">
        <is>
          <t>92A Exchange of information between Ombudsman or Inspector-General of Intelligence and Security and State</t>
        </is>
      </c>
      <c r="P272" s="12" t="n">
        <v>11</v>
      </c>
    </row>
    <row r="273">
      <c r="A273" t="inlineStr">
        <is>
          <t>Australia</t>
        </is>
      </c>
      <c r="B273" t="inlineStr">
        <is>
          <t>C2026C00209VOL01 (Australia - Row 26)</t>
        </is>
      </c>
      <c r="C273" t="inlineStr">
        <is>
          <t>149</t>
        </is>
      </c>
      <c r="D273" s="11" t="inlineStr">
        <is>
          <t>Records destruction requirements</t>
        </is>
      </c>
      <c r="E273" t="inlineStr">
        <is>
          <t>12</t>
        </is>
      </c>
      <c r="F273" t="inlineStr">
        <is>
          <t>High</t>
        </is>
      </c>
      <c r="G273" t="inlineStr">
        <is>
          <t>High (explicit)</t>
        </is>
      </c>
      <c r="H273" s="11" t="inlineStr"/>
      <c r="I273" s="11" t="inlineStr">
        <is>
          <t>Personal Information</t>
        </is>
      </c>
      <c r="J273" t="inlineStr"/>
      <c r="K273" s="11" t="inlineStr">
        <is>
          <t>This section mandates the destruction of records as part of the record-keeping obligations. It specifies that records must be destroyed in accordance with the requirements of the Act, ensuring that sensitive information is no longer retained. The obligation applies to entities that maintain records under the Act.</t>
        </is>
      </c>
      <c r="L273" s="11" t="inlineStr">
        <is>
          <t>This section requires the destruction of records, which impacts data transfer assessments by mandating that data be deleted before transfers or storage across borders.</t>
        </is>
      </c>
      <c r="M273" s="11" t="inlineStr">
        <is>
          <t>• [Must] Division 4—Destruction of records</t>
        </is>
      </c>
      <c r="N273" s="11" t="inlineStr"/>
      <c r="O273" s="11" t="inlineStr">
        <is>
          <t>149 Division 4—Destruction of records</t>
        </is>
      </c>
      <c r="P273" s="12" t="n">
        <v>11</v>
      </c>
    </row>
    <row r="274">
      <c r="A274" t="inlineStr">
        <is>
          <t>Australia</t>
        </is>
      </c>
      <c r="B274" t="inlineStr">
        <is>
          <t>C2026C00209VOL01 (Australia - Row 26)</t>
        </is>
      </c>
      <c r="C274" t="inlineStr">
        <is>
          <t>150</t>
        </is>
      </c>
      <c r="D274" s="11" t="inlineStr">
        <is>
          <t>Record retention and inspection obligations</t>
        </is>
      </c>
      <c r="E274" t="inlineStr">
        <is>
          <t>12</t>
        </is>
      </c>
      <c r="F274" t="inlineStr">
        <is>
          <t>High</t>
        </is>
      </c>
      <c r="G274" t="inlineStr">
        <is>
          <t>High (explicit)</t>
        </is>
      </c>
      <c r="H274" s="11" t="inlineStr">
        <is>
          <t>Data Storage, Record Keeping</t>
        </is>
      </c>
      <c r="I274" s="11" t="inlineStr">
        <is>
          <t>Personal Information</t>
        </is>
      </c>
      <c r="J274" t="inlineStr"/>
      <c r="K274" s="11" t="inlineStr">
        <is>
          <t>This section establishes the obligation to keep records and allows for their inspection. It requires entities to maintain records for specified periods and permits authorized personnel to inspect these records as part of regulatory oversight. The obligation applies to entities that handle records under the Act.</t>
        </is>
      </c>
      <c r="L274" s="11" t="inlineStr">
        <is>
          <t>This section requires record retention and inspection, which impacts data transfer assessments by mandating that data be stored for specific periods and accessible for audits, affecting cross-border data flows.</t>
        </is>
      </c>
      <c r="M274" s="11" t="inlineStr">
        <is>
          <t>• [Must] Part 3-5—Keeping and inspection of records</t>
        </is>
      </c>
      <c r="N274" s="11" t="inlineStr"/>
      <c r="O274" s="11" t="inlineStr">
        <is>
          <t>150 Part 3-5—Keeping and inspection of records</t>
        </is>
      </c>
      <c r="P274" s="12" t="n">
        <v>11</v>
      </c>
    </row>
    <row r="275">
      <c r="A275" t="inlineStr">
        <is>
          <t>Australia</t>
        </is>
      </c>
      <c r="B275" t="inlineStr">
        <is>
          <t>C2026C00209VOL01 (Australia - Row 26)</t>
        </is>
      </c>
      <c r="C275" t="inlineStr">
        <is>
          <t>151</t>
        </is>
      </c>
      <c r="D275" s="11" t="inlineStr">
        <is>
          <t>Inspector-General inspection of preservation records</t>
        </is>
      </c>
      <c r="E275" t="inlineStr">
        <is>
          <t>12–13</t>
        </is>
      </c>
      <c r="F275" t="inlineStr">
        <is>
          <t>Low</t>
        </is>
      </c>
      <c r="G275" t="inlineStr">
        <is>
          <t>High (explicit)</t>
        </is>
      </c>
      <c r="H275" s="11" t="inlineStr">
        <is>
          <t>Data Storage, Record Keeping</t>
        </is>
      </c>
      <c r="I275" s="11" t="inlineStr">
        <is>
          <t>Personal Information</t>
        </is>
      </c>
      <c r="J275" t="inlineStr"/>
      <c r="K275" s="11" t="inlineStr">
        <is>
          <t>This section specifies that the Inspector-General of Intelligence and Security has the authority to inspect preservation notices. It outlines the conditions under which records can be inspected by intelligence agencies, ensuring compliance with legal requirements. The obligation applies to entities that maintain preservation notices.</t>
        </is>
      </c>
      <c r="L275" s="11" t="inlineStr">
        <is>
          <t>This section allows the Inspector-General to inspect preservation records, which impacts data transfer assessments by creating specific conditions for data access by intelligence agencies across borders.</t>
        </is>
      </c>
      <c r="M275" s="11" t="inlineStr">
        <is>
          <t>• [Must] Division 3—Inspection of preservation notice records by Inspector-General of Intelligence and Security</t>
        </is>
      </c>
      <c r="N275" s="11" t="inlineStr"/>
      <c r="O275" s="11" t="inlineStr">
        <is>
          <t>151 Division 3—Inspection of preservation notice records by Inspector-General of Intelligence and Security</t>
        </is>
      </c>
      <c r="P275" s="12" t="n">
        <v>11</v>
      </c>
    </row>
    <row r="276">
      <c r="A276" t="inlineStr">
        <is>
          <t>Australia</t>
        </is>
      </c>
      <c r="B276" t="inlineStr">
        <is>
          <t>C2026C00209VOL01 (Australia - Row 26)</t>
        </is>
      </c>
      <c r="C276" t="inlineStr">
        <is>
          <t>186</t>
        </is>
      </c>
      <c r="D276" s="11" t="inlineStr">
        <is>
          <t>Warrant notification to Department and oversight bodies</t>
        </is>
      </c>
      <c r="E276" t="inlineStr">
        <is>
          <t>202–203</t>
        </is>
      </c>
      <c r="F276" t="inlineStr">
        <is>
          <t>Medium</t>
        </is>
      </c>
      <c r="G276" t="inlineStr">
        <is>
          <t>High (explicit)</t>
        </is>
      </c>
      <c r="H276" s="11" t="inlineStr">
        <is>
          <t>Cross-border Transfer, Data Storage, Security</t>
        </is>
      </c>
      <c r="I276" s="11" t="inlineStr">
        <is>
          <t>Personal Information</t>
        </is>
      </c>
      <c r="J276" t="inlineStr">
        <is>
          <t>Chief officer of agency</t>
        </is>
      </c>
      <c r="K276" s="11" t="inlineStr">
        <is>
          <t>This section mandates that the chief officer of an agency must notify the Secretary of the Department and relevant oversight bodies (Ombudsman or Inspector-General of Intelligence and Security) within specific timeframes after warrant issuance. It requires detailed reporting on warrant conditions, restrictions, and compliance with legal provisions, ensuring transparency and accountability in telecommunications interception activities.</t>
        </is>
      </c>
      <c r="L276" s="11" t="inlineStr">
        <is>
          <t>This section requires timely notification to oversight bodies for warrants involving telecommunications interceptions, ensuring compliance with data transfer regulations and accountability mechanisms.</t>
        </is>
      </c>
      <c r="M276" s="11" t="inlineStr">
        <is>
          <t>• [Must] Chief officer must notify Secretary of Department within 6 months of warrant issuance
• [Must] Chief officer must provide copy of warrant to oversight body within 6 months of issuance</t>
        </is>
      </c>
      <c r="N276" s="11" t="inlineStr">
        <is>
          <t>• [Must] Chief officer must report contraventions of warrant conditions to oversight body immediately</t>
        </is>
      </c>
      <c r="O276" s="11" t="inlineStr">
        <is>
          <t>Within 6 months after a Part 5.3 warrant is issued in response to an application by a Commonwealth agency, the chief officer of the agency must: (a) if the agency is the ACC: (i) notify the Inspector-General of Intelligence and Security that the warrant has been issued; and (ii) give to the Inspector-General of Intelligence and Security a copy of the warrant; and (b) otherwise: (i) notify the Ombudsman that the warrant has been issued; and (ii) give to the Ombudsman a copy of the warrant.</t>
        </is>
      </c>
      <c r="P276" s="12" t="n">
        <v>11</v>
      </c>
    </row>
    <row r="277">
      <c r="A277" t="inlineStr">
        <is>
          <t>Australia</t>
        </is>
      </c>
      <c r="B277" t="inlineStr">
        <is>
          <t>C2026C00209VOL01 (Australia - Row 26)</t>
        </is>
      </c>
      <c r="C277" t="inlineStr">
        <is>
          <t>186J</t>
        </is>
      </c>
      <c r="D277" s="11" t="inlineStr">
        <is>
          <t>Preliminary provisions for telecommunications interception</t>
        </is>
      </c>
      <c r="E277" t="inlineStr">
        <is>
          <t>16–25</t>
        </is>
      </c>
      <c r="F277" t="inlineStr">
        <is>
          <t>High</t>
        </is>
      </c>
      <c r="G277" t="inlineStr">
        <is>
          <t>High (explicit)</t>
        </is>
      </c>
      <c r="H277" s="11" t="inlineStr">
        <is>
          <t>Security, Data Storage</t>
        </is>
      </c>
      <c r="I277" s="11" t="inlineStr">
        <is>
          <t>Personal Information</t>
        </is>
      </c>
      <c r="J277" t="inlineStr"/>
      <c r="K277" s="11" t="inlineStr">
        <is>
          <t>This section contains preliminary provisions related to telecommunications interception. It establishes the legal framework for intercepting communications, including the conditions under which such interceptions are authorized. The obligation applies to entities involved in telecommunications and security operations.</t>
        </is>
      </c>
      <c r="L277" s="11" t="inlineStr">
        <is>
          <t>This section sets the foundation for telecommunications interception, which impacts data transfer assessments by defining the legal conditions under which cross-border data interception can occur.</t>
        </is>
      </c>
      <c r="M277" s="11" t="inlineStr">
        <is>
          <t>• [Must] Preliminary Part 1-1</t>
        </is>
      </c>
      <c r="N277" s="11" t="inlineStr"/>
      <c r="O277" s="11" t="inlineStr">
        <is>
          <t>186J Preliminary Part 1-1</t>
        </is>
      </c>
      <c r="P277" s="12" t="n">
        <v>11</v>
      </c>
    </row>
    <row r="278">
      <c r="A278" t="inlineStr">
        <is>
          <t>Australia</t>
        </is>
      </c>
      <c r="B278" t="inlineStr">
        <is>
          <t>C2026C00209VOL01 (Australia - Row 26)</t>
        </is>
      </c>
      <c r="C278" t="inlineStr">
        <is>
          <t>186J (part 2)</t>
        </is>
      </c>
      <c r="D278" s="11" t="inlineStr">
        <is>
          <t>Definitions of key personnel and authorities for law enforcement</t>
        </is>
      </c>
      <c r="E278" t="inlineStr">
        <is>
          <t>25–32</t>
        </is>
      </c>
      <c r="F278" t="inlineStr">
        <is>
          <t>Low</t>
        </is>
      </c>
      <c r="G278" t="inlineStr">
        <is>
          <t>High (explicit)</t>
        </is>
      </c>
      <c r="H278" s="11" t="inlineStr"/>
      <c r="I278" s="11" t="inlineStr">
        <is>
          <t>Personal Information</t>
        </is>
      </c>
      <c r="J278" t="inlineStr"/>
      <c r="K278" s="11" t="inlineStr">
        <is>
          <t>This section defines specific roles and entities relevant to law enforcement, including chief officers, certifying officials, and members of Commonwealth Royal Commissions. It specifies who qualifies as a chief officer for various agencies, such as the Australian Federal Police, National Anti-Corruption Commission, and state police forces. It also outlines the roles of certifying persons, including Deputy Directors-General of Security and authorized personnel.</t>
        </is>
      </c>
      <c r="L278" s="11" t="inlineStr"/>
      <c r="M278" s="11" t="inlineStr">
        <is>
          <t>• [Definition] Chief officer, in relation to an agency, an eligible Commonwealth authority or an eligible authority of a State, means: (a) in the case of the Australian Federal Police—the Commissioner of Police; or the National Anti-Corruption Commissioner; or (b) in the case of the ACC—the Chief Executive Officer of the ACC; or (ba) in the case of an eligible C…
• [Definition] Certifying person means any of the following: (b) a Deputy Director-General of Security; (c) a person authorised to be a certifying person of the Organisation under section 5AD.</t>
        </is>
      </c>
      <c r="N278" s="11" t="inlineStr">
        <is>
          <t>• [Definition] Commonwealth agency means: (aa) the National Anti-Corruption Commission; or (b) the ACC.
• [Definition] Commonwealth Royal Commission means a Royal Commission within the meaning of the Royal Commissions Act 1902.</t>
        </is>
      </c>
      <c r="O278" s="11" t="inlineStr">
        <is>
          <t>Section 5: certifying official, of an issuing agency, means: (a) if the issuing agency is an enforcement agency (including an interception agency)—a certifying officer of the agency; and (b) if the issuing agency is the Organisation—a certifying person of the Organisation. certifying person means any of the following: (b) a Deputy Director-General of Security; (c) a person authorised to be a certifying person of the Organisation under section 5AD. chief officer, in relation to an agency, an eligible Commonwealth authority or an eligible authority of a State, means: (a) in the case of the Australian Federal Police—the Commissioner of Police; or the National Anti-Corruption Commissioner; or (b) in the case of the ACC—the Chief Executive Officer of the ACC; or (ba) in the case of an eligible Commonwealth authority—the member constituting, or the member who generally presides at hearings and other meetings of, the Commonwealth Royal Commission concerned; or (c) in the case of the Police Force of a State—the Commissioner of that Police Force; or (d) in the case of the Crime Commission (NSW)—the Commissioner of the Crime Commission (NSW); or Corruption (NSW)—the Chief Commissioner of the Independent Commission Against Corruption (NSW); or (eb) in the case of the IBAC (Vic.)—the Commissioner of the IBAC (Vic.); or (ec) in the case of the Victorian Inspectorate—the Inspector of the Victorian Inspectorate; or the chairperson of the Crime and Corruption Commission (Qld); or (NSW)—the Chief Commissioner of the Law Enforcement Commission (NSW)—the Inspector of the Law Enforcement Commission (NSW)—the Commissioner of the Corruption and Crime Commission (WA)—the Parliamentary Inspector of the Corruption and Crime Commission (WA); or (la) in the case of the Independent Commission Against Corruption (SA)—the Commissioner of the Independent Commission Against Corruption (SA); or (lb) in the case of the Inspector of the Independent Commission Against Corruption (SA)—the Inspector of the Independent Commission Against Corruption (SA); or (m) in the case of an enforcement agency that is not an interception agency and is not an eligible authority of a State—the chief executive officer or an acting chief executive officer of the agency.</t>
        </is>
      </c>
      <c r="P278" s="12" t="n">
        <v>11</v>
      </c>
    </row>
    <row r="279">
      <c r="A279" t="inlineStr">
        <is>
          <t>Australia</t>
        </is>
      </c>
      <c r="B279" t="inlineStr">
        <is>
          <t>C2026C00209VOL01 (Australia - Row 26)</t>
        </is>
      </c>
      <c r="C279" t="inlineStr">
        <is>
          <t>186J (part 4)</t>
        </is>
      </c>
      <c r="D279" s="11" t="inlineStr">
        <is>
          <t>Definitions of key terms for law enforcement and security operations</t>
        </is>
      </c>
      <c r="E279" t="inlineStr">
        <is>
          <t>39–46</t>
        </is>
      </c>
      <c r="F279" t="inlineStr">
        <is>
          <t>Low</t>
        </is>
      </c>
      <c r="G279" t="inlineStr">
        <is>
          <t>High (explicit)</t>
        </is>
      </c>
      <c r="H279" s="11" t="inlineStr"/>
      <c r="I279" s="11" t="inlineStr">
        <is>
          <t>Personal Information</t>
        </is>
      </c>
      <c r="J279" t="inlineStr"/>
      <c r="K279" s="11" t="inlineStr">
        <is>
          <t>This section defines numerous terms critical to law enforcement and security operations, including 'Minister', 'Minister for Defence', 'Minister for Foreign Affairs', and specific roles within Commonwealth and State agencies. It establishes meanings for terms like 'network activity warrant intercept information', 'network protection duties', and 'officer' across various jurisdictions. The definitions clarify the scope of responsibilities and authorities for different entities involved in security and law enforcement activities.</t>
        </is>
      </c>
      <c r="L279" s="11" t="inlineStr">
        <is>
          <t>These definitions establish the legal framework for identifying relevant authorities and entities during data transfers, ensuring clarity on who can access or process data under specific warrants or operations.</t>
        </is>
      </c>
      <c r="M279" s="11" t="inlineStr">
        <is>
          <t>• [Definition] Minister, in relation to a State, means: except where paragraph (b) applies—a Minister of the Crown of that State
• [Definition] Minister for Defence means the Minister administering the Defence Act 1903
• [Definition] Minister for Foreign Affairs means the Minister administering the Diplomatic Privileges and Immunities Act 1967
• [Definition] missing person information, in relation to a missing person, has the meaning given by section 182
• [Definition] named person warrant means an interception warrant issued or to be issued under section 9A, 11B or 46A
• [Definition] National Anti-Corruption Commissioner means the Commissioner within the meaning of the National Anti-Corruption
• [Definition] National Anti-Corruption Deputy Commissioner means a Deputy Commissioner within the meaning of the National Anti-Corruption
• [Definition] network activity warrant has the same meaning as in the Surveillance Devices Act 2004
• [Definition] network activity warrant intercept information means information obtained under a network activity warrant by intercepting a communication passing over a telecommunications system
• [Definition] network protection duties, in relation to a computer network, means duties relating to: the operation, protection or maintenance of the network
• [Definition] nominated ART member (except when used in Schedule 1) means a member of the Administrative Review Tribunal in respect of whom a nomination is in force under section 6DA to issue warrants under Part 2-5
• [Definition] nominated carriage service provider means a carriage service provider covered by a declaration in force under subsection 197(4)
• [Definition] non-missing person information has the meaning given by section 182
• [Definition] notifiable equipment, in relation to a carrier or nominated carriage service provider, means equipment that: provides all or part of the carrier or provider's telecommunication services
• [Definition] oath includes affirmation
• [Definition] offence means an offence against a law of the Commonwealth or of a State
• [Definition] office holder means a person who holds, occupies or performs the duties of an office, position or appointment
• [Definition] officer, in relation to an agency, an eligible Commonwealth authority or an eligible authority of a State, means: in the case of the Australian Federal Police—a member of the Australian Federal Police
• [Definition] officer of a State has the meaning given by subsection 6G(2)
• [Definition] officer of a Territory has the meaning given by subsection 6G(3)
• [Definition] officer of the Commonwealth has the meaning given by subsection 6G(1)
• [Definition] officer of the Corruption and Crime Commission (WA) means an officer of the Commission (within the meaning of the Corruption, Crime and Misconduct Act (WA))</t>
        </is>
      </c>
      <c r="N279" s="11" t="inlineStr">
        <is>
          <t>• [Definition] officer of the Independent Commission Against Corruption (NSW) means an officer (within the meaning of the Independent Commission Against Corruption Act (NSW)) of that Commission
• [Definition] officer of the Law Enforcement Conduct Commission (NSW) means an officer of the Commission (within the meaning of the Law Enforcement Conduct Commission Act (NSW))
• [Definition] officer of the Parliamentary Inspector of the Corruption and Crime Commission (WA) means an officer of the Parliamentary Inspector (within the meaning of the Corruption, Crime and Misconduct Act (WA))
• [Definition] Ombudsman means the Commonwealth Ombudsman
• [Definition] Ombudsman official means: the Ombudsman
• [Definition] ongoing domestic preservation notice has the meaning given by subparagraph 107H(1)(b)(ii)
• [Definition] Organisation means the Australian Security Intelligence Organisation
• [Definition] organised crime control law means a law of a State, a purpose of which is to combat organised crime or restrict the activities of criminal organisations
• [Definition] original warrant means a warrant other than a renewal of a warrant
• [Definition] Parliamentary Inspector of the Corruption and Crime Commission (WA) means the inspector referred to in section 188 of the Corruption, Crime and Misconduct Act (WA)
• [Definition] Part 2-2 warrant means a warrant issued under Part 2-2
• [Definition] Part 2-5 warrant means a warrant issued under Part 2-5
• [Definition] Part 4-1 issuing authority means a person: in respect of whom an appointment is in force under section 6DC
• [Definition] Part 5.3 object means: in relation to a control order—any of the following: the protection of the public from a terrorist act
• [Definition] Part 5.3 supervisory order means: a control order
• [Definition] Part 5.3 warrant means a warrant issued: under subsection 46(4) or (7) or 46A(2A) or (2C)
• [Definition] Part 5.3 warrant agency means: a Commonwealth agency
• [Definition] Part 9.10 object means the protection of the community from serious harm by addressing the unacceptable risk of a serious offender committing serious violent or sexual offences
• [Definition] Part 9.10 order means a community safety detention order or a community safety supervision order
• [Definition] Part 9.10 warrant means a warrant issued: under subsection 46(9) or (12) or 46A(2E) or (2G)
• [Definition] Part 9.10 warrant agency means: a Commonwealth agency</t>
        </is>
      </c>
      <c r="O279" s="11" t="inlineStr">
        <is>
          <t>Section 5: Compilation of definitions for law enforcement and security operations, including terms like Minister, Minister for Defence, Minister for Foreign Affairs, network activity warrant intercept information, and officer roles across Commonwealth and State jurisdictions.</t>
        </is>
      </c>
      <c r="P279" s="12" t="n">
        <v>11</v>
      </c>
    </row>
    <row r="280">
      <c r="A280" t="inlineStr">
        <is>
          <t>Australia</t>
        </is>
      </c>
      <c r="B280" t="inlineStr">
        <is>
          <t>C2026C00209VOL01 (Australia - Row 26)</t>
        </is>
      </c>
      <c r="C280" t="inlineStr">
        <is>
          <t>186J (part 6)</t>
        </is>
      </c>
      <c r="D280" s="11" t="inlineStr">
        <is>
          <t>Definitions of corruption-related investigations and authorities</t>
        </is>
      </c>
      <c r="E280" t="inlineStr">
        <is>
          <t>52–58</t>
        </is>
      </c>
      <c r="F280" t="inlineStr">
        <is>
          <t>Low</t>
        </is>
      </c>
      <c r="G280" t="inlineStr">
        <is>
          <t>High (explicit)</t>
        </is>
      </c>
      <c r="H280" s="11" t="inlineStr">
        <is>
          <t>Cross-border Transfer, International Processing, Third Party Processing, Data Sharing, Data Storage</t>
        </is>
      </c>
      <c r="I280" s="11" t="inlineStr">
        <is>
          <t>Special Personal Information</t>
        </is>
      </c>
      <c r="J280" t="inlineStr">
        <is>
          <t>Law Enforcement Conduct Commission (NSW), IBAC (Vic.), Corruption and Crime Commission (WA), etc.</t>
        </is>
      </c>
      <c r="K280" s="11" t="inlineStr">
        <is>
          <t>This section defines specific types of investigations and activities related to corruption oversight bodies across Australian states and territories. It specifies that certain investigations under various state and federal anti-corruption commissions, such as the Law Enforcement Conduct Commission (NSW), IBAC (Vic.), and Corruption and Crime Commission (WA), qualify as 'prescribed investigations'. It also outlines the scope of activities that constitute investigations under these bodies, including monitoring compliance, conducting reviews, and making recommendations.</t>
        </is>
      </c>
      <c r="L280" s="11" t="inlineStr">
        <is>
          <t>This section defines what constitutes a 'prescribed investigation' for corruption-related bodies, which is critical for determining whether data transfers involving these entities require specific safeguards under data transfer impact assessments.</t>
        </is>
      </c>
      <c r="M280" s="11" t="inlineStr">
        <is>
          <t>• [Must] An investigation under Part 6 of the Law Enforcement Conduct Commission Act (NSW) in respect of conduct to which subsection (7) of this section applies
• [Must] A report on an investigation covered by subparagraph (i)
• [Must] The tendering to the Governor of New South Wales of advice to terminate, because of misbehaviour or improper conduct, the appointment of the Commissioner of the New South Wales Police Force
• [Must] Deliberations of the Executive Council of New South Wales in connection with advice to the Governor of that State to terminate, because of misbehaviour or improper conduct, the appointment of the Commissioner of the New South Wales Police Force
• [Must] An investigation under the IBAC Act (Vic.) of corrupt conduct (within the meaning of that Act)</t>
        </is>
      </c>
      <c r="N280" s="11" t="inlineStr">
        <is>
          <t>• [Must] An investigation under the IBAC Act (Vic.) of police personnel conduct (within the meaning of that Act)
• [Must] A report or recommendation on an investigation covered by subparagraph (i) or (ii)
• [Must] Monitoring the compliance of the IBAC (Vic.) and IBAC personnel (within the meaning of the Victorian Inspectorate Act) with the IBAC Act (Vic.) and other laws
• [Must] Overseeing the performance by the IBAC (Vic.) of its functions under the Public Interest Disclosures Act 2012 (Vic.)</t>
        </is>
      </c>
      <c r="O280" s="11" t="inlineStr">
        <is>
          <t>Section 5, 36-39: An investigation under Part 6 of the Law Enforcement Conduct Commission Act (NSW) in respect of conduct to which subsection (7) of this section applies; or an investigation under the IBAC Act (Vic.) of corrupt conduct (within the meaning of that Act); or a report on an investigation covered by subparagraph (i).</t>
        </is>
      </c>
      <c r="P280" s="12" t="n">
        <v>11</v>
      </c>
    </row>
    <row r="281">
      <c r="A281" t="inlineStr">
        <is>
          <t>Australia</t>
        </is>
      </c>
      <c r="B281" t="inlineStr">
        <is>
          <t>C2026C00209VOL01 (Australia - Row 26)</t>
        </is>
      </c>
      <c r="C281" t="inlineStr">
        <is>
          <t>186J (part 8)</t>
        </is>
      </c>
      <c r="D281" s="11" t="inlineStr">
        <is>
          <t>Definitions for telecommunications and interception warrants</t>
        </is>
      </c>
      <c r="E281" t="inlineStr">
        <is>
          <t>64–70</t>
        </is>
      </c>
      <c r="F281" t="inlineStr">
        <is>
          <t>Low</t>
        </is>
      </c>
      <c r="G281" t="inlineStr">
        <is>
          <t>High (explicit)</t>
        </is>
      </c>
      <c r="H281"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281" s="11" t="inlineStr">
        <is>
          <t>Personal Information, Financial Data, Customer Data, Employee Data, Health Data, Children's Data, Biometric Data, Special Personal Information</t>
        </is>
      </c>
      <c r="J281" t="inlineStr"/>
      <c r="K281" s="11" t="inlineStr">
        <is>
          <t>This section defines key terms used in telecommunications and interception warrant contexts. It specifies what constitutes a renewal warrant, renewal application, responsible person for a computer network, restricted record, retained data, satellite-based facility, security authority, and other critical terms. These definitions establish the legal framework for understanding telecommunications services, interceptions, and warrant applications under Australian law.</t>
        </is>
      </c>
      <c r="L281" s="11" t="inlineStr">
        <is>
          <t>These definitions clarify the scope of telecommunications systems and data that may be subject to interception warrants, which is relevant for determining what data can be transferred or processed across borders under international data transfer mechanisms.</t>
        </is>
      </c>
      <c r="M281" s="11" t="inlineStr">
        <is>
          <t>• [Definition] A renewal warrant means a warrant issued to the agency in respect of that service or person, being an application made while a warrant issued to the agency in respect of that service or person is still in force.
• [Definition] A renewal application means an application by an agency for a warrant in respect of a telecommunications service or person, being an application made while a warrant issued to the agency in respect of that service or person is still in force.
• [Definition] A responsible person for a computer network means the individual who operates the network or the head of the body that operates the network.
• [Definition] A restricted record means a record obtained by means of an interception of a communication passing over a telecommunications system, excluding specific types of intercept information.
• [Definition] Retained data means information or documents that a service provider is or has been required to keep under Part 5-1A.</t>
        </is>
      </c>
      <c r="N281" s="11" t="inlineStr">
        <is>
          <t>• [Definition] A satellite-based facility means a facility in a satellite.
• [Definition] A security authority means an authority of the Commonwealth with functions primarily relating to security, foreign intelligence, defence, or international affairs.
• [Definition] A service provider has the meaning given by subsection 187A(1).
• [Definition] A stored communication (except when used in Schedule 1) means a communication held on equipment operated by a carrier that cannot be accessed without assistance from a carrier employee.
• [Definition] A telecommunications system means a network within Australia or partly within Australia, including connected equipment and facilities within Australia.</t>
        </is>
      </c>
      <c r="O281" s="11" t="inlineStr">
        <is>
          <t>Section 5: Definitions for telecommunications and interception warrants</t>
        </is>
      </c>
      <c r="P281" s="12" t="n">
        <v>11</v>
      </c>
    </row>
    <row r="282">
      <c r="A282" t="inlineStr">
        <is>
          <t>Australia</t>
        </is>
      </c>
      <c r="B282" t="inlineStr">
        <is>
          <t>C2026C00209VOL01 (Australia - Row 26)</t>
        </is>
      </c>
      <c r="C282" t="inlineStr">
        <is>
          <t>186J (part 9)</t>
        </is>
      </c>
      <c r="D282" s="11" t="inlineStr">
        <is>
          <t>Authorisation of officers and certifying personnel</t>
        </is>
      </c>
      <c r="E282" t="inlineStr">
        <is>
          <t>70–76</t>
        </is>
      </c>
      <c r="F282" t="inlineStr">
        <is>
          <t>Low</t>
        </is>
      </c>
      <c r="G282" t="inlineStr">
        <is>
          <t>High (explicit)</t>
        </is>
      </c>
      <c r="H282"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282" s="11" t="inlineStr">
        <is>
          <t>Personal Information, Financial Data, Customer Data, Employee Data, Health Data, Children's Data, Biometric Data, Special Personal Information</t>
        </is>
      </c>
      <c r="J282" t="inlineStr"/>
      <c r="K282" s="11" t="inlineStr">
        <is>
          <t>This section outlines the process for authorising officers and certifying personnel within enforcement agencies. It specifies that the head of an enforcement agency or the Commissioner of Police may authorise senior executive employees to act as authorised officers or certifying officers, with requirements for documentation and non-legislative status. These definitions are critical for understanding who can perform specific functions related to data interception and processing.</t>
        </is>
      </c>
      <c r="L282" s="11" t="inlineStr">
        <is>
          <t>These definitions establish who can authorise personnel for data interception and processing activities, which is relevant for determining the scope of third-party processing and data handling across borders.</t>
        </is>
      </c>
      <c r="M282" s="11" t="inlineStr">
        <is>
          <t>• [Definition] The head of an enforcement agency may authorise a management office or position for the purposes of being an authorised officer.
• [Definition] The Commissioner of Police may authorise a senior executive AFP employee to be an authorised officer.
• [Definition] The Commissioner of Police may authorise a senior executive AFP employee to be a certifying officer of the Australian Federal Police.</t>
        </is>
      </c>
      <c r="N282" s="11" t="inlineStr">
        <is>
          <t>• [Definition] The National Anti-Corruption Commissioner may authorise a staff member of the National Anti-Corruption Commission to be a certifying officer.
• [Definition] The Chief Executive Officer of the ACC may authorise a staff member of the ACC to be a certifying officer.</t>
        </is>
      </c>
      <c r="O282" s="11" t="inlineStr">
        <is>
          <t>Section 5: Authorisation of officers and certifying personnel</t>
        </is>
      </c>
      <c r="P282" s="12" t="n">
        <v>11</v>
      </c>
    </row>
    <row r="283">
      <c r="A283" t="inlineStr">
        <is>
          <t>Australia</t>
        </is>
      </c>
      <c r="B283" t="inlineStr">
        <is>
          <t>C2026C00209VOL01 (Australia - Row 26)</t>
        </is>
      </c>
      <c r="C283" t="inlineStr">
        <is>
          <t>186J (part 10)</t>
        </is>
      </c>
      <c r="D283" s="11" t="inlineStr">
        <is>
          <t>Exempt proceedings definitions and scope</t>
        </is>
      </c>
      <c r="E283" t="inlineStr">
        <is>
          <t>76–82</t>
        </is>
      </c>
      <c r="F283" t="inlineStr">
        <is>
          <t>High</t>
        </is>
      </c>
      <c r="G283" t="inlineStr">
        <is>
          <t>High (explicit)</t>
        </is>
      </c>
      <c r="H283" s="11" t="inlineStr"/>
      <c r="I283" s="11" t="inlineStr">
        <is>
          <t>Personal Information</t>
        </is>
      </c>
      <c r="J283" t="inlineStr"/>
      <c r="K283" s="11" t="inlineStr">
        <is>
          <t>This section defines 'exempt proceedings' as specific legal proceedings that are exempt from certain data handling requirements. It lists numerous types of proceedings including prosecutions for prescribed offences, security assessments, criminal intelligence assessments, reviews of decisions, and various specialized legal proceedings under different acts. These proceedings are explicitly identified to determine when data can be processed without additional safeguards.</t>
        </is>
      </c>
      <c r="L283" s="11" t="inlineStr">
        <is>
          <t>This section defines specific legal proceedings that are exempt from data transfer requirements, which is critical for determining when cross-border data transfers involving these proceedings can occur without additional safeguards.</t>
        </is>
      </c>
      <c r="M283" s="11" t="inlineStr">
        <is>
          <t>• [Must] A reference to an exempt proceeding includes a proceeding by way of a prosecution for a prescribed offence
• [Must] A reference to an exempt proceeding includes a proceeding by way of review of a decision of the Organisation to make an adverse security assessment
• [Must] A reference to an exempt proceeding includes a proceeding by way of review of a decision of the ACC to make an adverse criminal intelligence assessment
• [Must] A reference to an exempt proceeding includes a proceeding under the Spam Act 2003
• [Must] A reference to an exempt proceeding includes a proceeding under Division 104 (control orders) or Division 105A
• [Must] A reference to an exempt proceeding includes a proceeding under Division 395 of the Criminal Code
• [Must] A reference to an exempt proceeding includes a proceeding under preventative detention order law
• [Must] A reference to an exempt proceeding includes a proceeding under post-sentence detention law or post-sentence supervision law
• [Must] A reference to an exempt proceeding includes a proceeding under unexplained wealth provisions
• [Must] A reference to an exempt proceeding includes a proceeding under unexplained wealth legislation of a participating State
• [Must] A reference to an exempt proceeding includes a proceeding under organised crime control law
• [Must] A reference to an exempt proceeding includes a proceeding for extradition of a person from a State
• [Must] A reference to an exempt proceeding includes a proceeding by way of a coroner's inquest if the event may have resulted from a prescribed offence
• [Must] A reference to an exempt proceeding includes a police disciplinary proceeding
• [Must] A reference to an exempt proceeding includes a proceeding relating to termination of AFP employee employment
• [Must] A reference to an exempt proceeding includes a proceeding relating to termination of police officer employment
• [Must] A reference to an exempt proceeding includes a proceeding relating to disciplinary or legal action for eligible staff members
• [Must] A reference to an exempt proceeding includes a proceeding relating to alleged misbehaviour or improper conduct of Commonwealth or State officers
• [Must] A reference to an exempt proceeding includes a proceeding for recovery of amount due to carrier in telecommunications service</t>
        </is>
      </c>
      <c r="N283" s="11" t="inlineStr">
        <is>
          <t>• [Must] A reference to an exempt proceeding includes a proceeding under Mutual Assistance in Criminal Matters Act 1987 for serious offences
• [Must] A reference to an exempt proceeding includes a proceeding under International Criminal Court Act 2002
• [Must] A reference to an exempt proceeding includes a proceeding before International Criminal Court sitting in Australia
• [Must] A reference to an exempt proceeding includes a proceeding of an eligible Commonwealth authority
• [Must] A reference to an exempt proceeding includes a proceeding of the Independent Commission Against Corruption
• [Must] A reference to an exempt proceeding includes a proceeding of the Inspector of the Independent Commission Against Corruption (NSW)
• [Must] A reference to an exempt proceeding includes a proceeding under subsection 34B(1) of the Australian Crime Commission Act 2002
• [Must] A reference to an exempt proceeding includes a proceeding of the IBAC (Vic.)
• [Must] A reference to an exempt proceeding includes a proceeding of the Victorian Inspectorate
• [Must] A reference to an exempt proceeding includes a proceeding of the Corruption and Crime Commission (WA)
• [Must] A reference to an exempt proceeding includes a proceeding of the Parliamentary Inspector of the Corruption and Crime Commission (WA)
• [Must] A reference to an exempt proceeding includes a proceeding under International War Crimes Tribunals Act 1995
• [Must] A reference to an exempt proceeding includes a proceeding of the Law Enforcement Conduct Commission (NSW)
• [Must] A reference to an exempt proceeding includes a proceeding of the Inspector of the Law Enforcement Conduct Commission
• [Must] A reference to an exempt proceeding includes a proceeding of the Crime and Corruption Commission (Qld)
• [Must] A reference to an exempt proceeding includes a proceeding of the Independent Commission Against Corruption (Qld)
• [Must] A reference to an exempt proceeding includes a proceeding by way of a bail application
• [Must] A reference to an exempt proceeding includes a proceeding by way of review of a decision to refuse bail application
• [Must] A reference to an exempt proceeding includes a proceeding by way of review of a decision to grant bail application</t>
        </is>
      </c>
      <c r="O283" s="11" t="inlineStr">
        <is>
          <t>Section 5B (1) A reference in this Act to an exempt proceeding is a reference to: (a) a proceeding by way of a prosecution for a prescribed offence; or (aa) a proceeding by way of review of a decision of the Organisation to make an adverse security assessment (within the meaning of Part IV of the Australian Security Intelligence Organisation Act 1979) or a qualified security assessment (within the meaning of that Act); or (b) a proceeding under the Spam Act 2003; or (c) a proceeding under Division 104 (control orders) or Division 105A; or (d) a proceeding under Division 395 of the Criminal Code; or (e) a proceeding under preventative detention order law; or (f) a proceeding under post-sentence detention law or post-sentence supervision law; or (g) a proceeding under unexplained wealth provisions; or (h) a proceeding under unexplained wealth legislation of a participating State; or (i) a proceeding under organised crime control law; or (j) a proceeding for extradition of a person from a State; or (k) a proceeding by way of a coroner's inquest if the event may have resulted from a prescribed offence; or (l) a police disciplinary proceeding; or (m) a proceeding relating to termination of AFP employee employment; or (n) a proceeding relating to termination of police officer employment; or (o) a proceeding relating to disciplinary or legal action for eligible staff members; or (p) a proceeding relating to alleged misbehaviour or improper conduct of Commonwealth or State officers; or (q) a proceeding for recovery of amount due to carrier in telecommunications service; or (r) a proceeding under Mutual Assistance in Criminal Matters Act 1:1987 for serious offences; or (s) a proceeding under International Criminal Court Act 2002; or (t) a proceeding before International Criminal Court sitting in Australia; or (u) a proceeding of an eligible Commonwealth authority; or (v) a proceeding of the Independent Commission Against Corruption; or (w) a proceeding of the Inspector of the Independent Commission Against Corruption (NSW); or (x) a proceeding under subsection 34B(1) of the Australian Crime Commission Act 2002; or (y) a proceeding of the IBAC (Vic.); or (z) a proceeding of the Victorian Inspectorate; or (aa) a proceeding of the Corruption and Crime Commission (WA); or (ab) a proceeding of the Parliamentary Inspector of the Corruption and Crime Commission (WA); or (ac) a proceeding under International War Crimes Tribunals Act 1995; or (ad) a proceeding of the Law Enforcement Conduct Commission (NSW); or (ae) a proceeding of the Inspector of the Law Enforcement Conduct Commission; or (af) a proceeding of the Crime and Corruption Commission (Qld); or (ag) a proceeding of the Independent Commission Against Corruption (Qld); or (ah) a proceeding by way of a bail application; or (ai) a proceeding by way of review of a decision to refuse bail application; or (aj) a proceeding by way of review of a decision to grant bail application.</t>
        </is>
      </c>
      <c r="P283" s="12" t="n">
        <v>11</v>
      </c>
    </row>
    <row r="284">
      <c r="A284" t="inlineStr">
        <is>
          <t>Australia</t>
        </is>
      </c>
      <c r="B284" t="inlineStr">
        <is>
          <t>C2026C00209VOL01 (Australia - Row 26)</t>
        </is>
      </c>
      <c r="C284" t="inlineStr">
        <is>
          <t>186J (part 12)</t>
        </is>
      </c>
      <c r="D284" s="11" t="inlineStr">
        <is>
          <t>Telecommunications system communication definitions</t>
        </is>
      </c>
      <c r="E284" t="inlineStr">
        <is>
          <t>89–95</t>
        </is>
      </c>
      <c r="F284" t="inlineStr">
        <is>
          <t>Low</t>
        </is>
      </c>
      <c r="G284" t="inlineStr">
        <is>
          <t>High (explicit)</t>
        </is>
      </c>
      <c r="H284" s="11" t="inlineStr">
        <is>
          <t>Cross-border Transfer, International Processing, Data Storage, Data Residency</t>
        </is>
      </c>
      <c r="I284" s="11" t="inlineStr">
        <is>
          <t>Personal Information</t>
        </is>
      </c>
      <c r="J284" t="inlineStr"/>
      <c r="K284" s="11" t="inlineStr">
        <is>
          <t>This section defines when a communication starts and continues passing over a telecommunications system, and who the intended recipient is. It specifies that a communication starts when sent by the sender and continues until accessible to the recipient. The intended recipient is defined as the individual addressed, the person addressed if not an individual, or the person controlling the service if not addressed.</t>
        </is>
      </c>
      <c r="L284" s="11" t="inlineStr">
        <is>
          <t>Defines key telecommunications terms relevant to data transfers across borders, including when communication starts/ends and who the recipient is, which impacts cross-border data flow analysis.</t>
        </is>
      </c>
      <c r="M284" s="11" t="inlineStr">
        <is>
          <t>• [Must] A communication starts passing over a telecommunications system when sent or transmitted by the sender
• [Must] A communication continues passing over the system until accessible to the intended recipient
• [Must] The intended recipient is the individual addressed if the communication is addressed to an individual</t>
        </is>
      </c>
      <c r="N284" s="11" t="inlineStr">
        <is>
          <t>• [Must] The intended recipient is the person addressed if the communication is not addressed to an individual
• [Must] The intended recipient is the person controlling the telecommunications service if the communication is not addressed to a person</t>
        </is>
      </c>
      <c r="O284" s="11" t="inlineStr">
        <is>
          <t>For the purposes of this Act (other than Schedule 1), a communication: (a) is taken to start passing over a telecommunications system when it is sent or transmitted by the person sending the (b) is taken to continue to pass over the system until it becomes accessible to the intended recipient of the communication.</t>
        </is>
      </c>
      <c r="P284" s="12" t="n">
        <v>11</v>
      </c>
    </row>
    <row r="285">
      <c r="A285" t="inlineStr">
        <is>
          <t>Australia</t>
        </is>
      </c>
      <c r="B285" t="inlineStr">
        <is>
          <t>C2026C00209VOL01 (Australia - Row 26)</t>
        </is>
      </c>
      <c r="C285" t="inlineStr">
        <is>
          <t>186J (part 13)</t>
        </is>
      </c>
      <c r="D285" s="11" t="inlineStr">
        <is>
          <t>Telecommunications interception definitions</t>
        </is>
      </c>
      <c r="E285" t="inlineStr">
        <is>
          <t>95–102</t>
        </is>
      </c>
      <c r="F285" t="inlineStr">
        <is>
          <t>Low</t>
        </is>
      </c>
      <c r="G285" t="inlineStr">
        <is>
          <t>High (explicit)</t>
        </is>
      </c>
      <c r="H285" s="11" t="inlineStr">
        <is>
          <t>Cross-border Transfer, International Processing, Data Storage, Data Residency, Security</t>
        </is>
      </c>
      <c r="I285" s="11" t="inlineStr">
        <is>
          <t>Personal Information</t>
        </is>
      </c>
      <c r="J285" t="inlineStr"/>
      <c r="K285" s="11" t="inlineStr">
        <is>
          <t>This section defines when a communication is accessible to its intended recipient and what constitutes interception of a communication. It specifies that interception involves listening or recording communications without the knowledge of the sender. It also outlines exceptions for emergency services, authorized personnel, and specific regulatory activities where listening/recording does not constitute interception.</t>
        </is>
      </c>
      <c r="L285" s="11" t="inlineStr">
        <is>
          <t>Defines when communications are intercepted and exceptions for emergency services and authorized personnel, critical for assessing risks in cross-border data transfers involving interception.</t>
        </is>
      </c>
      <c r="M285" s="11" t="inlineStr">
        <is>
          <t>• [Must] A communication is accessible to its intended recipient if received by the service provided to the recipient
• [Must] A communication is accessible to its intended recipient if under the control of the recipient
• [Must] A communication is accessible to its intended recipient if delivered to the service provided to the recipient
• [Must] Interception of a communication consists of listening or recording without the knowledge of the sender</t>
        </is>
      </c>
      <c r="N285" s="11" t="inlineStr">
        <is>
          <t>• [Must] Listening/recording by emergency service personnel does not constitute interception if signs are visible
• [Must] Listening/recording by inspectors during spectrum management does not constitute interception
• [Must] Listening/recording by inspectors during regulatory powers does not constitute interception</t>
        </is>
      </c>
      <c r="O285" s="11" t="inlineStr">
        <is>
          <t>Interception of a communication passing over a telecommunications system consists of listening to or recording, by any means, such a communication in its passage over that telecommunications system without the knowledge of the person making the communication.</t>
        </is>
      </c>
      <c r="P285" s="12" t="n">
        <v>11</v>
      </c>
    </row>
    <row r="286">
      <c r="A286" t="inlineStr">
        <is>
          <t>Australia</t>
        </is>
      </c>
      <c r="B286" t="inlineStr">
        <is>
          <t>C2026C00209VOL01 (Australia - Row 26)</t>
        </is>
      </c>
      <c r="C286" t="inlineStr">
        <is>
          <t>186J (part 15)</t>
        </is>
      </c>
      <c r="D286" s="11" t="inlineStr">
        <is>
          <t>Staff member declarations for State Police Forces</t>
        </is>
      </c>
      <c r="E286" t="inlineStr">
        <is>
          <t>108–115</t>
        </is>
      </c>
      <c r="F286" t="inlineStr">
        <is>
          <t>None</t>
        </is>
      </c>
      <c r="G286" t="inlineStr">
        <is>
          <t>High (explicit)</t>
        </is>
      </c>
      <c r="H286" s="11" t="inlineStr"/>
      <c r="I286" s="11" t="inlineStr">
        <is>
          <t>Personal Information</t>
        </is>
      </c>
      <c r="J286" t="inlineStr"/>
      <c r="K286" s="11" t="inlineStr">
        <is>
          <t>This section defines staff members for State Police Forces under the Australian Federal Police Act. It specifies that the Minister may declare certain agency members as staff members corresponding to non-Federal Police employees. These declared members are referred to as staff members in relation to their agency for the purposes of the Act.</t>
        </is>
      </c>
      <c r="L286" s="11" t="inlineStr"/>
      <c r="M286" s="11" t="inlineStr">
        <is>
          <t>• [Must] The Minister may make a written declaration that members of an agency included in a specified class of members of the agency occupy positions corresponding to those of AFP employees who are not members of the Australian Federal Police</t>
        </is>
      </c>
      <c r="N286" s="11" t="inlineStr">
        <is>
          <t>• [Must] Members included in the class of members of an agency specified in a declaration are referred to in this Act, in relation to the agency concerned, as staff members</t>
        </is>
      </c>
      <c r="O286" s="11" t="inlineStr">
        <is>
          <t>Section 6N (1) This section applies to an agency that is the Police Force of a State. (2) The Minister may make a written declaration that members of an agency included in a specified class of members of the agency occupy positions corresponding to those of AFP employees who are not members of the Australian Federal Police. (3) Members included in the class of members of an agency specified in a declaration are referred to in this Act, in relation to the agency concerned, as staff members.</t>
        </is>
      </c>
      <c r="P286" s="12" t="n">
        <v>11</v>
      </c>
    </row>
    <row r="287">
      <c r="A287" t="inlineStr">
        <is>
          <t>Australia</t>
        </is>
      </c>
      <c r="B287" t="inlineStr">
        <is>
          <t>C2026C00209VOL01 (Australia - Row 26)</t>
        </is>
      </c>
      <c r="C287" t="inlineStr">
        <is>
          <t>186J (part 16)</t>
        </is>
      </c>
      <c r="D287" s="11" t="inlineStr">
        <is>
          <t>Prohibition on interception of telecommunications</t>
        </is>
      </c>
      <c r="E287" t="inlineStr">
        <is>
          <t>115–121</t>
        </is>
      </c>
      <c r="F287" t="inlineStr">
        <is>
          <t>High</t>
        </is>
      </c>
      <c r="G287" t="inlineStr">
        <is>
          <t>High (explicit)</t>
        </is>
      </c>
      <c r="H287" s="11" t="inlineStr"/>
      <c r="I287" s="11" t="inlineStr"/>
      <c r="J287" t="inlineStr">
        <is>
          <t>Attorney-General</t>
        </is>
      </c>
      <c r="K287" s="11" t="inlineStr">
        <is>
          <t>This section prohibits unauthorized interception of telecommunications communications. It specifies exceptions for lawful activities such as carrier duties, ASIO operations, warrants, and emergency situations where immediate action is necessary to prevent serious harm. The prohibition applies to telecommunications systems and includes specific conditions for emergency interception without a warrant.</t>
        </is>
      </c>
      <c r="L287" s="11" t="inlineStr">
        <is>
          <t>This section establishes conditions under which telecommunications interception is permitted without a warrant, relevant to data transfer impact assessments involving cross-border communications. It specifies when interception is allowed for security purposes without requiring a warrant, which impacts data transfer compliance.</t>
        </is>
      </c>
      <c r="M287" s="11" t="inlineStr">
        <is>
          <t>• [Must Not] A person shall not intercept, authorize, suffer or permit another person to intercept, or do any act or thing that will enable him or her or another person to intercept a communication passing over a telecommunications system
• [May] Interception is permitted for carrier duties in the installation, operation, or maintenance of telecommunications systems
• [May] Interception is permitted for ASIO employees in lawful performance of duties to discover listening devices
• [May] Interception is permitted for ASIO affiliates in accordance with contracts to determine listening device locations</t>
        </is>
      </c>
      <c r="N287" s="11" t="inlineStr">
        <is>
          <t>• [May] Interception is permitted under warrants issued by the Attorney-General
• [May] Interception is permitted for emergency situations where there are reasonable grounds for suspecting imminent serious harm
• [May] Interception is permitted when a person consents to the action and there are reasonable grounds for believing imminent serious harm
• [Must] An application for a Part 2-5 warrant must be made as soon as practicable after emergency interception</t>
        </is>
      </c>
      <c r="O287" s="11" t="inlineStr">
        <is>
          <t>Section 7 (1) A person shall not intercept, authorize, suffer or permit another person to intercept, or do any act or thing that will enable him or her or another person to intercept a communication passing over a telecommunications system. (2) Subsection (1) does not apply to or in relation to: (a) an act or thing done by an employee of a carrier in the course of his or her duties for or in connection with: (i) the installation of any line, or the installation of any equipment, used or intended for use in connection with a telecommunications service; (ii) the operation or maintenance of a telecommunications system; (iii) the identifying or tracing of any person who has contravened, or is suspected of having contravened or being likely to contravene, a provision of Part 10.6 of the Criminal Code; (aa) the interception of a communication by another person lawfully engaged in duties relating to the installation, connection or maintenance of equipment or a line, where it is reasonably necessary for the person to intercept the communication in order to perform those duties effectively; (aaa) the interception of a communication by a person if: (i) the person is authorised, in writing, by a responsible person for a computer network to engage in network protection duties in relation to the network; and (ii) it is reasonably necessary for the person to intercept the communication in order to perform those duties effectively; (ab) the interception of a communication by a person lawfully engaged in duties relating to the installation, connection or maintenance of equipment used, or to be used, for the interception of communications under warrants; (ac) the interception of a communication where the interception results from, or is incidental to, action taken by an ASIO employee, in the lawful performance of his or her duties, for the purpose of: (i) discovering whether a listening device is being used at, or in relation to, a particular place; or (ii) determining the location of a listening device; (ad) the interception of a communication where the interception results from, or is incidental to, action taken by an ASIO affiliate, in accordance with the contract, agreement or other arrangement under which the ASIO affiliate is performing functions or services for the Organisation, for the purpose of: (i) discovering whether a listening device is being used at, or in relation to, a particular place; or (ii) determining the location of a listening device; (b) the interception of a communication under a warrant; (ba) the interception of a communication under subsection 25A(4) or (8), 27A(1) or (3C), 2:27E(2) or 27E(6) of the Australian Security Intelligence Organisation Act 1979; (bb) the interception of a communication under subsection 27E(7), 27KE(9) or 27KP(8) of the Surveillance Devices Act 2004; (bc) an act or thing done in compliance with an international production order (within the meaning of Schedule 1); (c) the interception of a communication pursuant to a request made, or purporting to be made, under subsection 30(1) or (2); (d) the interception of a communication under an authorisation under section 31A.</t>
        </is>
      </c>
      <c r="P287" s="12" t="n">
        <v>11</v>
      </c>
    </row>
    <row r="288">
      <c r="A288" t="inlineStr">
        <is>
          <t>Australia</t>
        </is>
      </c>
      <c r="B288" t="inlineStr">
        <is>
          <t>C2026C00209VOL01 (Australia - Row 26)</t>
        </is>
      </c>
      <c r="C288" t="inlineStr">
        <is>
          <t>186J (part 17)</t>
        </is>
      </c>
      <c r="D288" s="11" t="inlineStr">
        <is>
          <t>Telecommunications warrant conditions for foreign intelligence interception</t>
        </is>
      </c>
      <c r="E288" t="inlineStr">
        <is>
          <t>121–128</t>
        </is>
      </c>
      <c r="F288" t="inlineStr">
        <is>
          <t>Low</t>
        </is>
      </c>
      <c r="G288" t="inlineStr">
        <is>
          <t>High (explicit)</t>
        </is>
      </c>
      <c r="H288" s="11" t="inlineStr">
        <is>
          <t>Cross-border Transfer, International Processing, Data Storage, Security</t>
        </is>
      </c>
      <c r="I288" s="11" t="inlineStr">
        <is>
          <t>Personal Information</t>
        </is>
      </c>
      <c r="J288" t="inlineStr">
        <is>
          <t>Attorney-General</t>
        </is>
      </c>
      <c r="K288" s="11" t="inlineStr">
        <is>
          <t>This section establishes conditions for warrants authorizing telecommunications interception to obtain foreign intelligence. The warrant must specify the person or telecommunications service, include grounds for suspicion of security threats, and ensure no other practicable methods exist to identify the target. The warrant must also state the period of validity (up to 6 months) and may authorize entry on premises for equipment installation.</t>
        </is>
      </c>
      <c r="L288" s="11" t="inlineStr">
        <is>
          <t>Warrants for foreign intelligence interception require specific conditions including identification of targets, security grounds, and exclusion of alternative methods. These conditions impact data transfer assessments by mandating precise target identification and limiting interception to foreign communications.</t>
        </is>
      </c>
      <c r="M288" s="11" t="inlineStr">
        <is>
          <t>• [Must] Warrant must specify the person or telecommunications service
• [Must] Warrant must include grounds for suspicion of security threats
• [Must] Warrant must ensure no other practicable methods exist to identify target</t>
        </is>
      </c>
      <c r="N288" s="11" t="inlineStr">
        <is>
          <t>• [Must] Warrant must state period of validity (up to 6 months)
• [May] Warrant may authorize entry on premises for equipment installation</t>
        </is>
      </c>
      <c r="O288" s="11" t="inlineStr">
        <is>
          <t>Section 11B(1) authorises warrants for foreign intelligence interception with specific conditions including identification of persons or services, security grounds, and exclusion of alternative methods.</t>
        </is>
      </c>
      <c r="P288" s="12" t="n">
        <v>11</v>
      </c>
    </row>
    <row r="289">
      <c r="A289" t="inlineStr">
        <is>
          <t>Australia</t>
        </is>
      </c>
      <c r="B289" t="inlineStr">
        <is>
          <t>C2026C00209VOL01 (Australia - Row 26)</t>
        </is>
      </c>
      <c r="C289" t="inlineStr">
        <is>
          <t>186J (part 19)</t>
        </is>
      </c>
      <c r="D289" s="11" t="inlineStr">
        <is>
          <t>Authorisation of interception for communications by security officers</t>
        </is>
      </c>
      <c r="E289" t="inlineStr">
        <is>
          <t>135–142</t>
        </is>
      </c>
      <c r="F289" t="inlineStr">
        <is>
          <t>Medium</t>
        </is>
      </c>
      <c r="G289" t="inlineStr">
        <is>
          <t>High (explicit)</t>
        </is>
      </c>
      <c r="H289" s="11" t="inlineStr">
        <is>
          <t>Record Keeping</t>
        </is>
      </c>
      <c r="I289" s="11" t="inlineStr">
        <is>
          <t>Personal Information</t>
        </is>
      </c>
      <c r="J289" t="inlineStr">
        <is>
          <t>Director-General of Security</t>
        </is>
      </c>
      <c r="K289" s="11" t="inlineStr">
        <is>
          <t>This section authorises the Director-General of Security or ASIO employees to approve individuals as interceptors for communications under warrants. It specifies that approval extends to new offices created after approval, requires written records of intercepted communications, and mandates discontinuation of interception if warrant grounds cease. The Organisation must maintain records of all warrants and their execution.</t>
        </is>
      </c>
      <c r="L289" s="11" t="inlineStr">
        <is>
          <t>This section establishes requirements for authorising interception of communications by security personnel, including record-keeping and conditions for warrant discontinuation. It impacts data transfer assessments by defining who can intercept communications and when such interceptions must cease.</t>
        </is>
      </c>
      <c r="M289" s="11" t="inlineStr">
        <is>
          <t>• [Must] Director-General of Security or ASIO employee may approve individuals as interceptors for communications under warrants
• [Must] Approval extends to new offices created after approval</t>
        </is>
      </c>
      <c r="N289" s="11" t="inlineStr">
        <is>
          <t>• [Must] Written records must be made identifying each person who exercised interception authority
• [Must] Interception must cease if warrant grounds cease to exist</t>
        </is>
      </c>
      <c r="O289" s="11" t="inlineStr">
        <is>
          <t>Section 12(1): The Director-General of Security, or an ASIO employee or ASIO affiliate appointed by the Director-General of Security, in writing, to be an authorising officer for the purposes of this subsection, may, by writing under his or her hand, approve any persons, or class of persons, as persons authorized to exercise, on behalf of the Organisation, the authority conferred by Part 2-2 warrants.</t>
        </is>
      </c>
      <c r="P289" s="12" t="n">
        <v>11</v>
      </c>
    </row>
    <row r="290">
      <c r="A290" t="inlineStr">
        <is>
          <t>Australia</t>
        </is>
      </c>
      <c r="B290" t="inlineStr">
        <is>
          <t>C2026C00209VOL01 (Australia - Row 26)</t>
        </is>
      </c>
      <c r="C290" t="inlineStr">
        <is>
          <t>186J (part 20)</t>
        </is>
      </c>
      <c r="D290" s="11" t="inlineStr">
        <is>
          <t>Emergency interception of communications for urgent cases</t>
        </is>
      </c>
      <c r="E290" t="inlineStr">
        <is>
          <t>142–149</t>
        </is>
      </c>
      <c r="F290" t="inlineStr">
        <is>
          <t>Low</t>
        </is>
      </c>
      <c r="G290" t="inlineStr">
        <is>
          <t>High (explicit)</t>
        </is>
      </c>
      <c r="H290" s="11" t="inlineStr"/>
      <c r="I290" s="11" t="inlineStr">
        <is>
          <t>Personal Information</t>
        </is>
      </c>
      <c r="J290" t="inlineStr">
        <is>
          <t>Attorney-General</t>
        </is>
      </c>
      <c r="K290" s="11" t="inlineStr">
        <is>
          <t>This section allows emergency requests for intercepting communications to locate callers in life-threatening situations. It requires police to notify carriers of emergency requests, and carriers to provide location information to police within the emergency context. The process must be documented and limited to specific emergency scenarios.</t>
        </is>
      </c>
      <c r="L290" s="11" t="inlineStr">
        <is>
          <t>This section outlines emergency interception procedures for locating callers in life-threatening situations, requiring coordination between police and carriers. It impacts data transfer assessments by defining when and how emergency communications can be intercepted without formal warrants.</t>
        </is>
      </c>
      <c r="M290" s="11" t="inlineStr">
        <is>
          <t>• [Must] Police may request carrier employees to intercept communications for locating callers in life-threatening emergencies
• [Must] Carriers must communicate caller location to police within the emergency context</t>
        </is>
      </c>
      <c r="N290" s="11" t="inlineStr">
        <is>
          <t>• [Must] Carriers must provide communication details to the Managing Director
• [Must] Police must provide written confirmation of emergency requests to carriers</t>
        </is>
      </c>
      <c r="O290" s="11" t="inlineStr">
        <is>
          <t>Section 30(3): Where, pursuant to a request made, or purporting to be made, by a member of a police force under subsection (1) or (2), an employee of a carrier intercepts a communication passing over a telecommunications system for the purpose of tracing the location of the caller, the employee shall: (a) communicate, or cause another employee of the carrier to communicate, the location of the caller to the person who made the request or to any other member of a police force; and (b) communicate particulars of the interception to the Managing Director of the carrier.</t>
        </is>
      </c>
      <c r="P290" s="12" t="n">
        <v>11</v>
      </c>
    </row>
    <row r="291">
      <c r="A291" t="inlineStr">
        <is>
          <t>Australia</t>
        </is>
      </c>
      <c r="B291" t="inlineStr">
        <is>
          <t>C2026C00209VOL01 (Australia - Row 26)</t>
        </is>
      </c>
      <c r="C291" t="inlineStr">
        <is>
          <t>186J (part 21)</t>
        </is>
      </c>
      <c r="D291" s="11" t="inlineStr">
        <is>
          <t>Destruction of records by security authorities</t>
        </is>
      </c>
      <c r="E291" t="inlineStr">
        <is>
          <t>149–155</t>
        </is>
      </c>
      <c r="F291" t="inlineStr">
        <is>
          <t>High</t>
        </is>
      </c>
      <c r="G291" t="inlineStr">
        <is>
          <t>High (explicit)</t>
        </is>
      </c>
      <c r="H291" s="11" t="inlineStr">
        <is>
          <t>Data Storage</t>
        </is>
      </c>
      <c r="I291" s="11" t="inlineStr">
        <is>
          <t>Special Personal Information</t>
        </is>
      </c>
      <c r="J291" t="inlineStr">
        <is>
          <t>Security Authority</t>
        </is>
      </c>
      <c r="K291" s="11" t="inlineStr">
        <is>
          <t>Security authorities must destroy records obtained through telecommunications interception that are no longer needed for development or testing purposes. This applies to information acquired via interception of communications over telecommunications systems. The destruction must occur as soon as practicable after the records are no longer required.</t>
        </is>
      </c>
      <c r="L291" s="11" t="inlineStr">
        <is>
          <t>Requires timely destruction of intercepted communications data to prevent retention of sensitive information across borders, impacting data storage practices for intelligence agencies.</t>
        </is>
      </c>
      <c r="M291" s="11" t="inlineStr">
        <is>
          <t>• [Must] Security authorities must destroy records obtained through telecommunications interception that are no longer needed for development or testing purposes</t>
        </is>
      </c>
      <c r="N291" s="11" t="inlineStr">
        <is>
          <t>• [Must] Destruction must occur as soon as practicable after records are no longer required</t>
        </is>
      </c>
      <c r="O291" s="11" t="inlineStr">
        <is>
          <t>Section 31C (1) If: (a) information, or a record, that was obtained, in the course of developing or testing technologies or interception capabilities, by interception of communications passing over a telecommunications system is in a security authority's (b) the information or record is no longer required in relation to the development or testing; the head (however described) of the security authority, or a person acting as that head, must cause the information or record to be destroyed as soon as practicable.</t>
        </is>
      </c>
      <c r="P291" s="12" t="n">
        <v>11</v>
      </c>
    </row>
    <row r="292">
      <c r="A292" t="inlineStr">
        <is>
          <t>Australia</t>
        </is>
      </c>
      <c r="B292" t="inlineStr">
        <is>
          <t>C2026C00209VOL01 (Australia - Row 26)</t>
        </is>
      </c>
      <c r="C292" t="inlineStr">
        <is>
          <t>186J (part 22)</t>
        </is>
      </c>
      <c r="D292" s="11" t="inlineStr">
        <is>
          <t>State authorities authorized to apply for warrants</t>
        </is>
      </c>
      <c r="E292" t="inlineStr">
        <is>
          <t>155–162</t>
        </is>
      </c>
      <c r="F292" t="inlineStr">
        <is>
          <t>High</t>
        </is>
      </c>
      <c r="G292" t="inlineStr">
        <is>
          <t>High (explicit)</t>
        </is>
      </c>
      <c r="H292" s="11" t="inlineStr">
        <is>
          <t>Cross-border Transfer, Data Sharing, Incident Reporting</t>
        </is>
      </c>
      <c r="I292" s="11" t="inlineStr">
        <is>
          <t>Special Personal Information</t>
        </is>
      </c>
      <c r="J292" t="inlineStr">
        <is>
          <t>Minister</t>
        </is>
      </c>
      <c r="K292" s="11" t="inlineStr">
        <is>
          <t>State authorities can apply for warrants to intercept telecommunications under specific conditions. The Minister must authorize state authorities to apply for Part 5.3 and Part 9.10 warrants if the Premier requests authorization and the state law meets certain criteria. These criteria include satisfactory provisions for the chief officer of the authority and inspection requirements.</t>
        </is>
      </c>
      <c r="L292" s="11" t="inlineStr">
        <is>
          <t>Defines conditions for state authorities to legally intercept communications across borders, requiring state laws to meet specific oversight and reporting standards for warrant applications.</t>
        </is>
      </c>
      <c r="M292" s="11" t="inlineStr">
        <is>
          <t>• [Must] Minister must authorize state authorities to apply for Part 5.3 warrants if Premier requests and Minister is satisfied with state law provisions
• [Must] Minister must authorize state authorities to apply for Part 9.10 warrants if Premier requests and Minister is satisfied with state law provisions
• [Must] State law must make satisfactory provision for chief officer of authority</t>
        </is>
      </c>
      <c r="N292" s="11" t="inlineStr">
        <is>
          <t>• [Must] State law must impose requirements on chief officer of authority similar to Commonwealth agency requirements
• [Must] State authority must have powers corresponding to Ombudsman's powers for inspections
• [Must] State authority must report inspection results to responsible Minister</t>
        </is>
      </c>
      <c r="O292" s="11" t="inlineStr">
        <is>
          <t>Section 38B (4) For the purposes of paragraph (2)(b) or (3)(c), the Minister must be satisfied that the law of the State makes satisfactory provision: paragraphs 80(f) and (g) and 81(1)(h) and subsection 81(2), so far as that subsection relates to paragraph 81(1)(h), impose on the chief officer of a Commonwealth agency; and imposing on the chief officer of the eligible authority section 59C imposes on the chief officer of a Commonwealth agency; and giving an authority of the State powers corresponding to those that subsections 83(3) and 84(2) and sections 85 and 85B give to the Ombudsman, if the authority of the State receives a notice from the eligible authority because of the requirements mentioned in paragraph (b) of this subsection; and requiring an authority of the State that has made an inspection of the eligible authority's records under the powers mentioned in paragraph (c) to report in writing to the responsible Minister about the results of the inspection; and soon as practicable, a copy of a report that an authority of the State gives to the responsible Minister under a power or requirement mentioned in paragraph (c) or (d).</t>
        </is>
      </c>
      <c r="P292" s="12" t="n">
        <v>11</v>
      </c>
    </row>
    <row r="293">
      <c r="A293" t="inlineStr">
        <is>
          <t>Australia</t>
        </is>
      </c>
      <c r="B293" t="inlineStr">
        <is>
          <t>C2026C00209VOL01 (Australia - Row 26)</t>
        </is>
      </c>
      <c r="C293" t="inlineStr">
        <is>
          <t>186J (part 23)</t>
        </is>
      </c>
      <c r="D293" s="11" t="inlineStr">
        <is>
          <t>Application requirements for interception warrants</t>
        </is>
      </c>
      <c r="E293" t="inlineStr">
        <is>
          <t>162–169</t>
        </is>
      </c>
      <c r="F293" t="inlineStr">
        <is>
          <t>High</t>
        </is>
      </c>
      <c r="G293" t="inlineStr">
        <is>
          <t>High (explicit)</t>
        </is>
      </c>
      <c r="H293" s="11" t="inlineStr">
        <is>
          <t>Cross-border Transfer, International Processing, Data Storage, Security, Incident Reporting, Breach Notification, Consent, Customer Information, Employee Information, Special Personal Information, Children, Financial Data, KYC, AML, Governance, Record Keeping</t>
        </is>
      </c>
      <c r="I293" s="11" t="inlineStr">
        <is>
          <t>Personal Information, Financial Data, Customer Data, Employee Data, Health Data, Children's Data, Biometric Data, Special Personal Information</t>
        </is>
      </c>
      <c r="J293" t="inlineStr">
        <is>
          <t>Australian Federal Police (AFP)</t>
        </is>
      </c>
      <c r="K293" s="11" t="inlineStr">
        <is>
          <t>This section outlines the specific information that must be included in written applications for warrants to intercept telecommunications services or individuals. Applications must state the agency's name and the applicant's name. Affidavits accompanying applications must detail the reasons for the warrant's duration, the specific telecommunications services or individuals involved, and previous warrant applications. For telecommunications services, the affidavit must include historical data on prior applications and warrants, and how the agency has used intercepted information. The section also specifies that multiple affidavits may be used to cover all required information.</t>
        </is>
      </c>
      <c r="L293" s="11" t="inlineStr">
        <is>
          <t>This section establishes detailed requirements for applications to intercept communications, including specific information about telecommunications services or individuals, historical warrant data, and usage of intercepted information. These requirements directly impact data transfer impact assessments by defining the scope and conditions under which interception warrants can be issued, particularly for cross-border data flows involving telecommunications services.</t>
        </is>
      </c>
      <c r="M293" s="11" t="inlineStr">
        <is>
          <t>• [Must] The written application by an agency for a warrant shall set out the name of the agency
• [Must] The written application by an agency for a warrant shall set out the name of the person making the application on the agency's behalf
• [Must] The affidavit shall set out the facts and other grounds on which the application is based
• [Must] The affidavit shall specify the period for which it is requested that the warrant be in force and state why it is considered necessary for the warrant to be in force for that period
• [Must] If the application is for a telecommunications service warrant, the affidavit shall set out the number of previous applications for warrants that the agency has made and that related to the service or to that person
• [Must] If the application is for a telecommunications service warrant, the affidavit shall set out the number of warrants previously issued on such applications
• [Must] If the application is for a telecommunications service warrant, the affidavit shall set out particulars of the use made by the agency of information obtained by interceptions under such warrants</t>
        </is>
      </c>
      <c r="N293" s="11" t="inlineStr">
        <is>
          <t>• [Must] The affidavit must set out the name or names by which the person is known for a named person warrant
• [Must] The affidavit must set out details sufficient to identify the telecommunications services the person is using or likely to use for a named person warrant
• [Must] The affidavit must set out details sufficient to identify the telecommunications device or devices the person is using or likely to use for a named person warrant
• [Must] The affidavit must set out the number of previous applications for warrants that the agency has made and that related to the person or to a service that the person has used
• [Must] The affidavit must set out the number of warrants previously issued on such applications
• [Must] The affidavit must set out particulars of the use made by the agency of information obtained by interceptions under such warrants
• [May] A written application may be accompanied by 2 or more affidavits that together set out each matter that would have required an affidavit to set out, specify or state</t>
        </is>
      </c>
      <c r="O293" s="11" t="inlineStr">
        <is>
          <t>Section 41: A written application by an agency for a warrant shall set out: (a) the name of the agency; and (b) the name of the person making the application on the agency's behalf.</t>
        </is>
      </c>
      <c r="P293" s="12" t="n">
        <v>11</v>
      </c>
    </row>
    <row r="294">
      <c r="A294" t="inlineStr">
        <is>
          <t>Australia</t>
        </is>
      </c>
      <c r="B294" t="inlineStr">
        <is>
          <t>C2026C00209VOL01 (Australia - Row 26)</t>
        </is>
      </c>
      <c r="C294" t="inlineStr">
        <is>
          <t>186J (part 26)</t>
        </is>
      </c>
      <c r="D294" s="11" t="inlineStr">
        <is>
          <t>Warrant issuance conditions for telecommunications interception</t>
        </is>
      </c>
      <c r="E294" t="inlineStr">
        <is>
          <t>193–199</t>
        </is>
      </c>
      <c r="F294" t="inlineStr">
        <is>
          <t>Medium</t>
        </is>
      </c>
      <c r="G294" t="inlineStr">
        <is>
          <t>High (explicit)</t>
        </is>
      </c>
      <c r="H294" s="11" t="inlineStr">
        <is>
          <t>Cross-border Transfer, International Processing, Data Storage, Security</t>
        </is>
      </c>
      <c r="I294" s="11" t="inlineStr">
        <is>
          <t>Personal Information</t>
        </is>
      </c>
      <c r="J294" t="inlineStr">
        <is>
          <t>Judge or nominated ART member</t>
        </is>
      </c>
      <c r="K294" s="11" t="inlineStr">
        <is>
          <t>This section outlines conditions under which a warrant may be issued for telecommunications interception. It specifies that the warrant must be issued by a Judge or nominated ART member after verifying previous applications and warrants, and that the interception must not jeopardize security of an investigation into serious offences. The warrant must detail specific technical reasons or circumstances where interception would be impracticable otherwise. The warrant must also specify the period of validity (up to 45 or 90 days) and include short particulars of serious offences.</t>
        </is>
      </c>
      <c r="L294" s="11" t="inlineStr">
        <is>
          <t>This section establishes conditions for telecommunications interception warrants that require technical justification and security assessments, directly impacting cross-border data transfer scenarios involving telecommunications services.</t>
        </is>
      </c>
      <c r="M294" s="11" t="inlineStr">
        <is>
          <t>• [Must] Warrant must specify technical reasons for interception where it would jeopardize security of serious offence investigation
• [Must] Warrant must detail specific technical reasons or circumstances where interception is impracticable otherwise</t>
        </is>
      </c>
      <c r="N294" s="11" t="inlineStr">
        <is>
          <t>• [Must] Warrant must state period of validity up to 45 days if technical reasons apply, otherwise up to 90 days
• [Must] Warrant must include short particulars of serious offences for which interception is authorized</t>
        </is>
      </c>
      <c r="O294" s="11" t="inlineStr">
        <is>
          <t>Where: (a) an agency applies under this section to an eligible Judge or (b) the Judge or nominated ART member is satisfied that subsection (2) has been complied with in relation to the application, that section 46 would empower the Judge or nominated ART member to issue a warrant if the application had been made under either of those sections; and (ca) Division 3 has been complied with in relation to the application, (d) the Judge or nominated ART member is satisfied, on the basis of the information given to the Judge or nominated ART member under this Part in connection with the application, that: (i) for technical reasons connected with the nature or operation of the service or of a telecommunications system of which the service forms a part; or (ii) where, if the warrant were issued under section 46, communications to or from the telecommunications service would be intercepted while passing over a telecommunications system operated by a carrier—execution of the warrant as a result of action taken by employees of that carrier might jeopardise security of the investigation by the agency of a serious offence in which a person to whom the application relates is involved or, in the case of a warrant issued in the circumstances mentioned in subsection 46(4) or (9), might jeopardise the achievement of an objective for which the warrant was issued</t>
        </is>
      </c>
      <c r="P294" s="12" t="n">
        <v>11</v>
      </c>
    </row>
    <row r="295">
      <c r="A295" t="inlineStr">
        <is>
          <t>Australia</t>
        </is>
      </c>
      <c r="B295" t="inlineStr">
        <is>
          <t>C2026C00209VOL01 (Australia - Row 26)</t>
        </is>
      </c>
      <c r="C295" t="inlineStr">
        <is>
          <t>186J (part 27)</t>
        </is>
      </c>
      <c r="D295" s="11" t="inlineStr">
        <is>
          <t>Warrant revocation procedures for telecommunications interceptions</t>
        </is>
      </c>
      <c r="E295" t="inlineStr">
        <is>
          <t>199–202</t>
        </is>
      </c>
      <c r="F295" t="inlineStr">
        <is>
          <t>Medium</t>
        </is>
      </c>
      <c r="G295" t="inlineStr">
        <is>
          <t>High (explicit)</t>
        </is>
      </c>
      <c r="H295" s="11" t="inlineStr">
        <is>
          <t>Cross-border Transfer, Data Storage, Security</t>
        </is>
      </c>
      <c r="I295" s="11" t="inlineStr">
        <is>
          <t>Personal Information</t>
        </is>
      </c>
      <c r="J295" t="inlineStr">
        <is>
          <t>Chief officer of agency</t>
        </is>
      </c>
      <c r="K295" s="11" t="inlineStr">
        <is>
          <t>This section details procedures for revoking warrants issued for telecommunications interceptions. It requires the chief officer of an agency to revoke warrants if the grounds for issuance cease to exist, and mandates immediate notification to relevant authorities upon revocation. The revocation must be communicated to the Secretary of the Department and other agencies to ensure discontinuation of interceptions. The warrant remains valid until the revocation instrument is received by the Secretary or the warrant expires.</t>
        </is>
      </c>
      <c r="L295" s="11" t="inlineStr">
        <is>
          <t>This section governs the revocation process for telecommunications interception warrants, ensuring timely discontinuation of data transfers and compliance with legal requirements when warrants are no longer valid.</t>
        </is>
      </c>
      <c r="M295" s="11" t="inlineStr">
        <is>
          <t>• [Must] Chief officer must revoke warrant if grounds for issuance cease to exist
• [Must] Chief officer must notify other agencies or Director-General of Security upon revocation</t>
        </is>
      </c>
      <c r="N295" s="11" t="inlineStr">
        <is>
          <t>• [Must] Chief officer must provide copy of revocation to Secretary of the Department
• [Must] Warrant remains in force until revocation instrument is received by Secretary or expires</t>
        </is>
      </c>
      <c r="O295" s="11" t="inlineStr">
        <is>
          <t>A warrant revoked under subsection 52(1) or 57(1) does not cease to be in force until the instrument of revocation is received by or on behalf of the Secretary of the Department or the warrant expires, whichever happens sooner.</t>
        </is>
      </c>
      <c r="P295" s="12" t="n">
        <v>11</v>
      </c>
    </row>
    <row r="296">
      <c r="A296" t="inlineStr">
        <is>
          <t>Australia</t>
        </is>
      </c>
      <c r="B296" t="inlineStr">
        <is>
          <t>C2026C00209VOL01 (Australia - Row 26)</t>
        </is>
      </c>
      <c r="C296" t="inlineStr">
        <is>
          <t>196</t>
        </is>
      </c>
      <c r="D296" s="11" t="inlineStr">
        <is>
          <t>Use of intercepted communication data by authorities</t>
        </is>
      </c>
      <c r="E296" t="inlineStr">
        <is>
          <t>212–213</t>
        </is>
      </c>
      <c r="F296" t="inlineStr">
        <is>
          <t>Low</t>
        </is>
      </c>
      <c r="G296" t="inlineStr">
        <is>
          <t>High (explicit)</t>
        </is>
      </c>
      <c r="H296" s="11" t="inlineStr">
        <is>
          <t>Data Sharing, Data Storage, Data Residency, Security</t>
        </is>
      </c>
      <c r="I296" s="11" t="inlineStr">
        <is>
          <t>Special Personal Information</t>
        </is>
      </c>
      <c r="J296" t="inlineStr">
        <is>
          <t>Ombudsman, National Anti-Corruption Commission (NACC)</t>
        </is>
      </c>
      <c r="K296" s="11" t="inlineStr">
        <is>
          <t>This section permits Ombudsman officials and National Anti-Corruption Commission (NACC) inspectors to communicate, use, or record general computer access intercept information. The information must be obtained through unauthorized interception under a general computer access warrant. The section also states that Ombudsman officials do not bear evidential burden in prosecutions for section 63 offences, with similar protection for IGIS officials.</t>
        </is>
      </c>
      <c r="L296" s="11" t="inlineStr">
        <is>
          <t>Defines when intercepted communication data can be used by authorities without evidential burden, relevant for assessing lawful use of intercepted data in cross-border contexts.</t>
        </is>
      </c>
      <c r="M296" s="11" t="inlineStr">
        <is>
          <t>• [Must] Ombudsman officials may communicate, use, or record general computer access intercept information
• [Must] NACC inspectors may communicate, use, or record general computer access intercept information</t>
        </is>
      </c>
      <c r="N296" s="11" t="inlineStr">
        <is>
          <t>• [Must] Intercepted information must be obtained by unauthorized interception under a general computer access warrant
• [Must] Ombudsman officials do not bear evidential burden in prosecutions for section 63 offences</t>
        </is>
      </c>
      <c r="O296" s="11" t="inlineStr">
        <is>
          <t>communicate to the Inspector or the person assisting (as the case requires), or make use of, or make a record of, general computer access intercept information.</t>
        </is>
      </c>
      <c r="P296" s="12" t="n">
        <v>11</v>
      </c>
    </row>
    <row r="297">
      <c r="A297" t="inlineStr">
        <is>
          <t>Australia</t>
        </is>
      </c>
      <c r="B297" t="inlineStr">
        <is>
          <t>C2026C00209VOL01 (Australia - Row 26)</t>
        </is>
      </c>
      <c r="C297" t="inlineStr">
        <is>
          <t>200</t>
        </is>
      </c>
      <c r="D297" s="11" t="inlineStr">
        <is>
          <t>Use of data disruption intercept information by authorities</t>
        </is>
      </c>
      <c r="E297" t="inlineStr">
        <is>
          <t>216–217</t>
        </is>
      </c>
      <c r="F297" t="inlineStr">
        <is>
          <t>Low</t>
        </is>
      </c>
      <c r="G297" t="inlineStr">
        <is>
          <t>High (explicit)</t>
        </is>
      </c>
      <c r="H297" s="11" t="inlineStr">
        <is>
          <t>Data Sharing, Data Storage, Data Residency, Security</t>
        </is>
      </c>
      <c r="I297" s="11" t="inlineStr">
        <is>
          <t>Special Personal Information</t>
        </is>
      </c>
      <c r="J297" t="inlineStr">
        <is>
          <t>Ombudsman</t>
        </is>
      </c>
      <c r="K297" s="11" t="inlineStr">
        <is>
          <t>This section permits Ombudsman officials to communicate, use, or record data disruption intercept information. The information must be obtained through unauthorized interception under a warrant. The section also specifies that Ombudsman officials do not bear evidential burden in prosecutions for section 63 offences, with similar protection for IGIS officials.</t>
        </is>
      </c>
      <c r="L297" s="11" t="inlineStr">
        <is>
          <t>Defines when data disruption intercept information can be used by authorities without evidential burden, relevant for assessing lawful use of intercepted data in cross-border contexts.</t>
        </is>
      </c>
      <c r="M297" s="11" t="inlineStr">
        <is>
          <t>• [Must] Ombudsman officials may communicate, use, or record data disruption intercept information
• [Must] Intercepted information must be obtained through unauthorized interception under a warrant</t>
        </is>
      </c>
      <c r="N297" s="11" t="inlineStr">
        <is>
          <t>• [Must] Ombudsman officials do not bear evidential burden in prosecutions for section 63 offences</t>
        </is>
      </c>
      <c r="O297" s="11" t="inlineStr">
        <is>
          <t>communicate data disruption intercept information to another person; or make use of data disruption intercept information; or make a record of data disruption intercept information</t>
        </is>
      </c>
      <c r="P297" s="12" t="n">
        <v>11</v>
      </c>
    </row>
    <row r="298">
      <c r="A298" t="inlineStr">
        <is>
          <t>Australia</t>
        </is>
      </c>
      <c r="B298" t="inlineStr">
        <is>
          <t>C2026C00209VOL01 (Australia - Row 26)</t>
        </is>
      </c>
      <c r="C298" t="inlineStr">
        <is>
          <t>203</t>
        </is>
      </c>
      <c r="D298" s="11" t="inlineStr">
        <is>
          <t>Use of network activity warrant intercept information</t>
        </is>
      </c>
      <c r="E298" t="inlineStr">
        <is>
          <t>219–220</t>
        </is>
      </c>
      <c r="F298" t="inlineStr">
        <is>
          <t>Low</t>
        </is>
      </c>
      <c r="G298" t="inlineStr">
        <is>
          <t>High (explicit)</t>
        </is>
      </c>
      <c r="H298" s="11" t="inlineStr">
        <is>
          <t>Data Sharing, Data Storage, Data Residency, Security</t>
        </is>
      </c>
      <c r="I298" s="11" t="inlineStr">
        <is>
          <t>Special Personal Information</t>
        </is>
      </c>
      <c r="J298" t="inlineStr">
        <is>
          <t>Ombudsman</t>
        </is>
      </c>
      <c r="K298" s="11" t="inlineStr">
        <is>
          <t>This section permits Ombudsman officials to communicate, use, or record network activity warrant intercept information. The information must be obtained through unauthorized interception under a network activity warrant. The section also specifies that Ombudsman officials do not bear evidential burden in prosecutions for section 63 offences, with similar protection for IGIS officials.</t>
        </is>
      </c>
      <c r="L298" s="11" t="inlineStr">
        <is>
          <t>Defines when network activity warrant intercept information can be used by authorities without evidential burden, relevant for assessing lawful use of intercepted data in cross-border contexts.</t>
        </is>
      </c>
      <c r="M298" s="11" t="inlineStr">
        <is>
          <t>• [Must] Ombudsman officials may communicate, use, or record network activity warrant intercept information
• [Must] Intercepted information must be obtained through unauthorized interception under a network activity warrant</t>
        </is>
      </c>
      <c r="N298" s="11" t="inlineStr">
        <is>
          <t>• [Must] Ombudsman officials do not bear evidential burden in prosecutions for section 63 offences</t>
        </is>
      </c>
      <c r="O298" s="11" t="inlineStr">
        <is>
          <t>communicate network activity warrant intercept information to another person; or make use of network activity warrant intercept information; or make a record of network activity warrant intercept information</t>
        </is>
      </c>
      <c r="P298" s="12" t="n">
        <v>11</v>
      </c>
    </row>
    <row r="299">
      <c r="A299" t="inlineStr">
        <is>
          <t>Australia</t>
        </is>
      </c>
      <c r="B299" t="inlineStr">
        <is>
          <t>C2026C00209VOL01 (Australia - Row 26)</t>
        </is>
      </c>
      <c r="C299" t="inlineStr">
        <is>
          <t>204</t>
        </is>
      </c>
      <c r="D299" s="11" t="inlineStr">
        <is>
          <t>Use of network activity warrant intercept information in legal proceedings</t>
        </is>
      </c>
      <c r="E299" t="inlineStr">
        <is>
          <t>220–221</t>
        </is>
      </c>
      <c r="F299" t="inlineStr">
        <is>
          <t>Low</t>
        </is>
      </c>
      <c r="G299" t="inlineStr">
        <is>
          <t>High (explicit)</t>
        </is>
      </c>
      <c r="H299" s="11" t="inlineStr">
        <is>
          <t>Data Sharing, Data Storage, Data Residency, Security</t>
        </is>
      </c>
      <c r="I299" s="11" t="inlineStr">
        <is>
          <t>Special Personal Information</t>
        </is>
      </c>
      <c r="J299" t="inlineStr">
        <is>
          <t>Ombudsman</t>
        </is>
      </c>
      <c r="K299" s="11" t="inlineStr">
        <is>
          <t>This section permits the use of network activity warrant intercept information in legal proceedings for specific purposes, including prosecution decisions, compliance with disclosure duties, and representation of defendants. The information may be admitted into evidence if it is necessary for a fair trial.</t>
        </is>
      </c>
      <c r="L299" s="11" t="inlineStr">
        <is>
          <t>Specifies when network activity warrant intercept information can be used in legal proceedings without evidential burden, relevant for assessing admissibility of intercepted data in cross-border contexts.</t>
        </is>
      </c>
      <c r="M299" s="11" t="inlineStr">
        <is>
          <t>• [Must] Network activity warrant intercept information may be used for prosecution decisions
• [Must] Network activity warrant intercept information may be used for compliance with disclosure duties</t>
        </is>
      </c>
      <c r="N299" s="11" t="inlineStr">
        <is>
          <t>• [Must] Network activity warrant intercept information may be used by legal representatives for defendant representation
• [Must] Network activity warrant intercept information may be admitted into evidence if necessary for fair trial</t>
        </is>
      </c>
      <c r="O299" s="11" t="inlineStr">
        <is>
          <t>Network activity warrant intercept information may be used, recorded or communicated for the purposes of the making of a decision whether or not to bring, or continue, a prosecution for a prescribed offence.</t>
        </is>
      </c>
      <c r="P299" s="12" t="n">
        <v>11</v>
      </c>
    </row>
    <row r="300">
      <c r="A300" t="inlineStr">
        <is>
          <t>Australia</t>
        </is>
      </c>
      <c r="B300" t="inlineStr">
        <is>
          <t>C2026C00209VOL01 (Australia - Row 26)</t>
        </is>
      </c>
      <c r="C300" t="inlineStr">
        <is>
          <t>208</t>
        </is>
      </c>
      <c r="D300" s="11" t="inlineStr">
        <is>
          <t>Use of interception warrant information by carrier employees</t>
        </is>
      </c>
      <c r="E300" t="inlineStr">
        <is>
          <t>224–225</t>
        </is>
      </c>
      <c r="F300" t="inlineStr">
        <is>
          <t>Low</t>
        </is>
      </c>
      <c r="G300" t="inlineStr">
        <is>
          <t>High (explicit)</t>
        </is>
      </c>
      <c r="H300" s="11" t="inlineStr">
        <is>
          <t>Data Sharing, Data Storage, Data Residency, Security</t>
        </is>
      </c>
      <c r="I300" s="11" t="inlineStr">
        <is>
          <t>Special Personal Information</t>
        </is>
      </c>
      <c r="J300" t="inlineStr">
        <is>
          <t>Carrier employees</t>
        </is>
      </c>
      <c r="K300" s="11" t="inlineStr">
        <is>
          <t>This section permits carrier employees to communicate, use, or record interception warrant information if it is reasonably necessary for interception under a warrant. The information must be obtained lawfully under a section 31A authorization from a security authority.</t>
        </is>
      </c>
      <c r="L300" s="11" t="inlineStr">
        <is>
          <t>Defines when carrier employees can use intercepted communication data without evidential burden, relevant for assessing lawful use of intercepted data in cross-border contexts.</t>
        </is>
      </c>
      <c r="M300" s="11" t="inlineStr">
        <is>
          <t>• [Must] Carrier employees may communicate, use, or record interception warrant information
• [Must] Interception must be reasonably necessary for communication under a warrant</t>
        </is>
      </c>
      <c r="N300" s="11" t="inlineStr">
        <is>
          <t>• [Must] Information must be obtained lawfully under section 31A authorization</t>
        </is>
      </c>
      <c r="O300" s="11" t="inlineStr">
        <is>
          <t>An employee of a carrier may communicate or cause to be communicated carrier, interception warrant information if the information is reasonably necessary to enable the interception of a communication under a warrant.</t>
        </is>
      </c>
      <c r="P300" s="12" t="n">
        <v>11</v>
      </c>
    </row>
    <row r="301">
      <c r="A301" t="inlineStr">
        <is>
          <t>Australia</t>
        </is>
      </c>
      <c r="B301" t="inlineStr">
        <is>
          <t>C2026C00209VOL01 (Australia - Row 26)</t>
        </is>
      </c>
      <c r="C301" t="inlineStr">
        <is>
          <t>209</t>
        </is>
      </c>
      <c r="D301" s="11" t="inlineStr">
        <is>
          <t>Use of lawfully intercepted information for network protection</t>
        </is>
      </c>
      <c r="E301" t="inlineStr">
        <is>
          <t>225–226</t>
        </is>
      </c>
      <c r="F301" t="inlineStr">
        <is>
          <t>Low</t>
        </is>
      </c>
      <c r="G301" t="inlineStr">
        <is>
          <t>High (explicit)</t>
        </is>
      </c>
      <c r="H301" s="11" t="inlineStr">
        <is>
          <t>Data Sharing, Data Storage, Data Residency, Security</t>
        </is>
      </c>
      <c r="I301" s="11" t="inlineStr">
        <is>
          <t>Special Personal Information</t>
        </is>
      </c>
      <c r="J301" t="inlineStr">
        <is>
          <t>Network protection personnel</t>
        </is>
      </c>
      <c r="K301" s="11" t="inlineStr">
        <is>
          <t>This section permits network protection personnel to communicate or share lawfully intercepted information with responsible persons or other network protection personnel if it is reasonably necessary for their duties. The information must not be converted into voice communication in speech form.</t>
        </is>
      </c>
      <c r="L301" s="11" t="inlineStr">
        <is>
          <t>Specifies when lawfully intercepted information can be shared for network protection purposes without evidential burden, relevant for assessing lawful use of intercepted data in cross-border contexts.</t>
        </is>
      </c>
      <c r="M301" s="11" t="inlineStr">
        <is>
          <t>• [Must] Network protection personnel may communicate lawfully intercepted information to responsible persons
• [Must] Network protection personnel may communicate lawfully intercepted information to other personnel if reasonably necessary</t>
        </is>
      </c>
      <c r="N301" s="11" t="inlineStr">
        <is>
          <t>• [Must Not] Lawfully intercepted information must not be converted into voice communication in speech form</t>
        </is>
      </c>
      <c r="O301" s="11" t="inlineStr">
        <is>
          <t>A person must not communicate or make use of, or cause to be communicated, lawfully intercepted information under subsection (1) or (2) if the information was obtained by converting a communication intercepted under paragraph 7(2)(aaa) into a voice communication in the form of speech</t>
        </is>
      </c>
      <c r="P301" s="12" t="n">
        <v>11</v>
      </c>
    </row>
    <row r="302">
      <c r="A302" t="inlineStr">
        <is>
          <t>Australia</t>
        </is>
      </c>
      <c r="B302" t="inlineStr">
        <is>
          <t>C2026C00209VOL01 (Australia - Row 26)</t>
        </is>
      </c>
      <c r="C302" t="inlineStr">
        <is>
          <t>210</t>
        </is>
      </c>
      <c r="D302" s="11" t="inlineStr">
        <is>
          <t>Lawful interception of communications: restrictions on use</t>
        </is>
      </c>
      <c r="E302" t="inlineStr">
        <is>
          <t>226–227</t>
        </is>
      </c>
      <c r="F302" t="inlineStr">
        <is>
          <t>Low</t>
        </is>
      </c>
      <c r="G302" t="inlineStr">
        <is>
          <t>High (explicit)</t>
        </is>
      </c>
      <c r="H302" s="11" t="inlineStr"/>
      <c r="I302" s="11" t="inlineStr"/>
      <c r="J302" t="inlineStr">
        <is>
          <t>Australian Security Intelligence Organisation Act 1979</t>
        </is>
      </c>
      <c r="K302" s="11" t="inlineStr">
        <is>
          <t>A person must not use lawfully intercepted information obtained by converting intercepted communications into voice communications (including recorded or synthetic speech) for purposes specified in subsection (2). Additionally, a person must not use such information if it would contravene another law of the Commonwealth, a State, or Territory. This applies to individuals handling intercepted communications under the Australian Security Intelligence Organisation Act 1979.</t>
        </is>
      </c>
      <c r="L302" s="11" t="inlineStr">
        <is>
          <t>Restricts use of lawfully intercepted information for voice communications and cross-border transfers where it would violate other laws; relevant for DTIA due to restrictions on data handling.</t>
        </is>
      </c>
      <c r="M302" s="11" t="inlineStr">
        <is>
          <t>• [Must Not] A person must not communicate or make use of lawfully intercepted information obtained by converting intercepted communications into voice communications (including recorded or synthetic speech).</t>
        </is>
      </c>
      <c r="N302" s="11" t="inlineStr">
        <is>
          <t>• [Must Not] A person must not communicate or make use of lawfully intercepted information if it would contravene another law of the Commonwealth, a State, or Territory.</t>
        </is>
      </c>
      <c r="O302" s="11" t="inlineStr">
        <is>
          <t>A person must not communicate or make use of, or cause to be communicated, lawfully intercepted information under subsection (2) if the information was obtained by converting a communication intercepted under paragraph 7(2)(aaa) into a voice communication in the form of speech (including a communication that involves a recorded or synthetic voice). A person must not communicate or make use of, or cause to be communicated, lawfully intercepted information for a purpose referred to in subsection (2) if the person would contravene another law of the Commonwealth, or a law of a State or Territory, in doing so.</t>
        </is>
      </c>
      <c r="P302" s="12" t="n">
        <v>11</v>
      </c>
    </row>
    <row r="303">
      <c r="A303" t="inlineStr">
        <is>
          <t>Australia</t>
        </is>
      </c>
      <c r="B303" t="inlineStr">
        <is>
          <t>C2026C00209VOL01 (Australia - Row 26)</t>
        </is>
      </c>
      <c r="C303" t="inlineStr">
        <is>
          <t>211</t>
        </is>
      </c>
      <c r="D303" s="11" t="inlineStr">
        <is>
          <t>Foreign intelligence information sharing among security officials</t>
        </is>
      </c>
      <c r="E303" t="inlineStr">
        <is>
          <t>227–228</t>
        </is>
      </c>
      <c r="F303" t="inlineStr">
        <is>
          <t>Low</t>
        </is>
      </c>
      <c r="G303" t="inlineStr">
        <is>
          <t>High (explicit)</t>
        </is>
      </c>
      <c r="H303" s="11" t="inlineStr"/>
      <c r="I303" s="11" t="inlineStr"/>
      <c r="J303" t="inlineStr">
        <is>
          <t>Australian Security Intelligence Organisation Act 1979</t>
        </is>
      </c>
      <c r="K303" s="11" t="inlineStr">
        <is>
          <t>The Director-General of Security, ASIO employees, or ASIO affiliates may share foreign intelligence information with other authorized personnel for security purposes. This sharing is restricted to information obtained under specific warrants and does not apply to information intercepted under certain conditions or communicated under section 66.</t>
        </is>
      </c>
      <c r="L303" s="11" t="inlineStr">
        <is>
          <t>Allows controlled sharing of foreign intelligence information among security officials; relevant for DTIA due to restrictions on cross-border data sharing.</t>
        </is>
      </c>
      <c r="M303" s="11" t="inlineStr">
        <is>
          <t>• [May] The Director-General of Security, an ASIO employee or ASIO affiliate may communicate foreign intelligence information to another such person in connection with the performance by the Organisation of its functions.
• [Condition] Subsections (1) and (2) do not apply to information obtained by intercepting communications under warrants issued to agencies.</t>
        </is>
      </c>
      <c r="N303" s="11" t="inlineStr">
        <is>
          <t>• [Condition] Subsections (1) and (2) do not apply to information communicated under section 66 to persons referred to in paragraph 55(3)(c).</t>
        </is>
      </c>
      <c r="O303" s="11" t="inlineStr">
        <is>
          <t>The Director-General of Security, an ASIO employee or ASIO affiliate, in connection with the performance by the Organisation of its functions, may communicate to another such person, make use of, or make a record of, foreign intelligence information.</t>
        </is>
      </c>
      <c r="P303" s="12" t="n">
        <v>11</v>
      </c>
    </row>
    <row r="304">
      <c r="A304" t="inlineStr">
        <is>
          <t>Australia</t>
        </is>
      </c>
      <c r="B304" t="inlineStr">
        <is>
          <t>C2026C00209VOL01 (Australia - Row 26)</t>
        </is>
      </c>
      <c r="C304" t="inlineStr">
        <is>
          <t>212</t>
        </is>
      </c>
      <c r="D304" s="11" t="inlineStr">
        <is>
          <t>Director-General of Security's authority to share foreign intelligence information</t>
        </is>
      </c>
      <c r="E304" t="inlineStr">
        <is>
          <t>228–229</t>
        </is>
      </c>
      <c r="F304" t="inlineStr">
        <is>
          <t>Low</t>
        </is>
      </c>
      <c r="G304" t="inlineStr">
        <is>
          <t>High (explicit)</t>
        </is>
      </c>
      <c r="H304" s="11" t="inlineStr"/>
      <c r="I304" s="11" t="inlineStr"/>
      <c r="J304" t="inlineStr">
        <is>
          <t>Australian Security Intelligence Organisation Act 1979</t>
        </is>
      </c>
      <c r="K304" s="11" t="inlineStr">
        <is>
          <t>The Director-General of Security may share foreign intelligence information with authorized persons for specific purposes approved by the Attorney-General, subject to conditions specified by the Attorney-General. This includes communication to other persons who may further share the information, but restrictions apply to information obtained under certain warrants.</t>
        </is>
      </c>
      <c r="L304" s="11" t="inlineStr">
        <is>
          <t>Allows Director-General of Security to share foreign intelligence information with authorized entities; relevant for DTIA due to restrictions on cross-border data sharing.</t>
        </is>
      </c>
      <c r="M304" s="11" t="inlineStr">
        <is>
          <t>• [May] The Director-General of Security may communicate foreign intelligence information to another person for purposes approved by the Attorney-General in writing.
• [Condition] The Director-General of Security may communicate foreign intelligence information subject to conditions specified by the Attorney-General in writing.</t>
        </is>
      </c>
      <c r="N304" s="11" t="inlineStr">
        <is>
          <t>• [May] The second person to whom foreign intelligence information is communicated may share it with others and use it.</t>
        </is>
      </c>
      <c r="O304" s="11" t="inlineStr">
        <is>
          <t>The Director-General of Security may, personally, or by a person authorised by the Director-General, communicate foreign intelligence information to another person, other than a person to whom the Director-General could communicate the information under subsection (1) or 64(2).</t>
        </is>
      </c>
      <c r="P304" s="12" t="n">
        <v>11</v>
      </c>
    </row>
    <row r="305">
      <c r="A305" t="inlineStr">
        <is>
          <t>Australia</t>
        </is>
      </c>
      <c r="B305" t="inlineStr">
        <is>
          <t>C2026C00209VOL01 (Australia - Row 26)</t>
        </is>
      </c>
      <c r="C305" t="inlineStr">
        <is>
          <t>213</t>
        </is>
      </c>
      <c r="D305" s="11" t="inlineStr">
        <is>
          <t>Restrictions on sharing lawfully intercepted information</t>
        </is>
      </c>
      <c r="E305" t="inlineStr">
        <is>
          <t>229–230</t>
        </is>
      </c>
      <c r="F305" t="inlineStr">
        <is>
          <t>Low</t>
        </is>
      </c>
      <c r="G305" t="inlineStr">
        <is>
          <t>High (explicit)</t>
        </is>
      </c>
      <c r="H305" s="11" t="inlineStr"/>
      <c r="I305" s="11" t="inlineStr"/>
      <c r="J305" t="inlineStr">
        <is>
          <t>Australian Security Intelligence Organisation Act 1979</t>
        </is>
      </c>
      <c r="K305" s="11" t="inlineStr">
        <is>
          <t>Lawfully intercepted information cannot be shared for purposes outside the investigation related to the warrant under which it was obtained, unless it has been communicated to the Director-General of Security under section 68. This applies to information obtained by intercepting communications under warrants or communicated under section 66.</t>
        </is>
      </c>
      <c r="L305" s="11" t="inlineStr">
        <is>
          <t>Restricts sharing of lawfully intercepted information to specific investigations; relevant for DTIA due to restrictions on cross-border data sharing.</t>
        </is>
      </c>
      <c r="M305" s="11" t="inlineStr">
        <is>
          <t>• [Must Not] Lawfully intercepted information cannot be shared for purposes outside the investigation related to the warrant under which it was obtained.</t>
        </is>
      </c>
      <c r="N305" s="11" t="inlineStr">
        <is>
          <t>• [Condition] Information obtained by intercepting communications under warrants must be communicated to the Director-General of Security under section 68.</t>
        </is>
      </c>
      <c r="O305" s="11" t="inlineStr">
        <is>
          <t>Subsections (1), (1A), (1B) and (2) do not apply to information obtained by a person referred to in paragraph 55(3)(c) or (d) by intercepting a communication when exercising authority under a warrant issued to an agency; or communicated, in accordance with section 66, to a person referred to in paragraph 55(3)(c); unless the information has been communicated to the Director-General of Security under section 68.</t>
        </is>
      </c>
      <c r="P305" s="12" t="n">
        <v>11</v>
      </c>
    </row>
    <row r="306">
      <c r="A306" t="inlineStr">
        <is>
          <t>Australia</t>
        </is>
      </c>
      <c r="B306" t="inlineStr">
        <is>
          <t>C2026C00209VOL01 (Australia - Row 26)</t>
        </is>
      </c>
      <c r="C306" t="inlineStr">
        <is>
          <t>214</t>
        </is>
      </c>
      <c r="D306" s="11" t="inlineStr">
        <is>
          <t>Restrictions on sharing foreign intelligence information with specific entities</t>
        </is>
      </c>
      <c r="E306" t="inlineStr">
        <is>
          <t>230–231</t>
        </is>
      </c>
      <c r="F306" t="inlineStr">
        <is>
          <t>Low</t>
        </is>
      </c>
      <c r="G306" t="inlineStr">
        <is>
          <t>High (explicit)</t>
        </is>
      </c>
      <c r="H306" s="11" t="inlineStr"/>
      <c r="I306" s="11" t="inlineStr"/>
      <c r="J306" t="inlineStr">
        <is>
          <t>Australian Security Intelligence Organisation Act 1979</t>
        </is>
      </c>
      <c r="K306" s="11" t="inlineStr">
        <is>
          <t>Foreign intelligence information cannot be shared with Commonwealth, State, ASIS, ASD, or AGO staff members for purposes outside the development or testing of technologies or interception capabilities unless it was obtained under a section 31A authorization.</t>
        </is>
      </c>
      <c r="L306" s="11" t="inlineStr">
        <is>
          <t>Restricts sharing of foreign intelligence information with specific entities; relevant for DTIA due to restrictions on cross-border data sharing.</t>
        </is>
      </c>
      <c r="M306" s="11" t="inlineStr">
        <is>
          <t>• [Must Not] Foreign intelligence information cannot be shared with Commonwealth staff members for purposes outside technology or interception capability development.
• [Must Not] Foreign intelligence information cannot be shared with State staff members for purposes outside technology or interception capability development.</t>
        </is>
      </c>
      <c r="N306" s="11" t="inlineStr">
        <is>
          <t>• [Must Not] Foreign intelligence information cannot be shared with ASIS, ASD, or AGO staff members for purposes outside technology or interception capability development.</t>
        </is>
      </c>
      <c r="O306" s="11" t="inlineStr">
        <is>
          <t>If lawfully intercepted information was obtained under a section 31A authorisation, subsection (1) of this section does not authorise the communication of the information in accordance with subsection 18(3) of the Australian Security Intelligence Organisation Act 1979 to a staff member of an authority of the Commonwealth; unless the communication is for the purpose of the development or testing of technologies, or interception capabilities, of that authority.</t>
        </is>
      </c>
      <c r="P306" s="12" t="n">
        <v>11</v>
      </c>
    </row>
    <row r="307">
      <c r="A307" t="inlineStr">
        <is>
          <t>Australia</t>
        </is>
      </c>
      <c r="B307" t="inlineStr">
        <is>
          <t>C2026C00209VOL01 (Australia - Row 26)</t>
        </is>
      </c>
      <c r="C307" t="inlineStr">
        <is>
          <t>216</t>
        </is>
      </c>
      <c r="D307" s="11" t="inlineStr">
        <is>
          <t>Agency authorizations for lawfully intercepted information</t>
        </is>
      </c>
      <c r="E307" t="inlineStr">
        <is>
          <t>232–233</t>
        </is>
      </c>
      <c r="F307" t="inlineStr">
        <is>
          <t>Low</t>
        </is>
      </c>
      <c r="G307" t="inlineStr">
        <is>
          <t>High (explicit)</t>
        </is>
      </c>
      <c r="H307" s="11" t="inlineStr"/>
      <c r="I307" s="11" t="inlineStr"/>
      <c r="J307" t="inlineStr">
        <is>
          <t>Australian Security Intelligence Organisation Act 1979</t>
        </is>
      </c>
      <c r="K307" s="11" t="inlineStr">
        <is>
          <t>An agency's chief officer or authorising officer may authorize the use of lawfully intercepted information for investigations related to warrants issued to the agency. This authorization is limited to purposes connected with the investigation and applies only to persons not already within the agency.</t>
        </is>
      </c>
      <c r="L307" s="11" t="inlineStr">
        <is>
          <t>Allows agencies to authorize use of intercepted information for specific investigations; relevant for DTIA due to restrictions on cross-border data sharing.</t>
        </is>
      </c>
      <c r="M307" s="11" t="inlineStr">
        <is>
          <t>• [May] An agency's chief officer or authorising officer may make an authorization for a person not an agency staff member for purposes connected with an investigation.</t>
        </is>
      </c>
      <c r="N307" s="11" t="inlineStr">
        <is>
          <t>• [May] An agency's chief officer may appoint an authorising officer in writing.</t>
        </is>
      </c>
      <c r="O307" s="11" t="inlineStr">
        <is>
          <t>The chief officer, or an authorising officer, of an agency may make an authorisation under subsection (2) in relation to a person (or class of person) who is not an officer or staff member of that agency only for a purpose or purposes connected with an investigation to which a warrant issued to that agency relates.</t>
        </is>
      </c>
      <c r="P307" s="12" t="n">
        <v>11</v>
      </c>
    </row>
    <row r="308">
      <c r="A308" t="inlineStr">
        <is>
          <t>Australia</t>
        </is>
      </c>
      <c r="B308" t="inlineStr">
        <is>
          <t>C2026C00209VOL01 (Australia - Row 26)</t>
        </is>
      </c>
      <c r="C308" t="inlineStr">
        <is>
          <t>218</t>
        </is>
      </c>
      <c r="D308" s="11" t="inlineStr">
        <is>
          <t>Permitted communication of intelligence information by ACC officers</t>
        </is>
      </c>
      <c r="E308" t="inlineStr">
        <is>
          <t>234–235</t>
        </is>
      </c>
      <c r="F308" t="inlineStr">
        <is>
          <t>Low</t>
        </is>
      </c>
      <c r="G308" t="inlineStr">
        <is>
          <t>High (explicit)</t>
        </is>
      </c>
      <c r="H308" s="11" t="inlineStr">
        <is>
          <t>Data Sharing</t>
        </is>
      </c>
      <c r="I308" s="11" t="inlineStr">
        <is>
          <t>Special Personal Information</t>
        </is>
      </c>
      <c r="J308" t="inlineStr">
        <is>
          <t>Australian Crime Commission</t>
        </is>
      </c>
      <c r="K308" s="11" t="inlineStr">
        <is>
          <t>Section 218 permits ACC officers to communicate, use, or record intelligence information obtained under specific legal authorities for performance of their functions. This applies only to information covered by paragraph 7A(da) of the Australian Crime Commission Act 2002. The section excludes information obtained through intercepting communications under warrants issued to other agencies or via section 66 communications.</t>
        </is>
      </c>
      <c r="L308" s="11" t="inlineStr">
        <is>
          <t>This section establishes conditions for sharing intelligence information across agencies, requiring specific legal authority and excluding certain interception methods. Relevant for DTIAs involving cross-agency data sharing.</t>
        </is>
      </c>
      <c r="M308" s="11" t="inlineStr">
        <is>
          <t>• [Must] ACC officers may communicate, use, or record intelligence information for performance of ACC functions covered by paragraph 7A(da) of the Australian Crime Commission Act 2002
• [Must Not] Excludes information obtained by intercepting communications under warrants issued to other agencies</t>
        </is>
      </c>
      <c r="N308" s="11" t="inlineStr">
        <is>
          <t>• [Must Not] Excludes information obtained via section 66 communications where interception occurred under other agency warrants</t>
        </is>
      </c>
      <c r="O308" s="11" t="inlineStr">
        <is>
          <t>An officer of the ACC may communicate to another person, make use of, or make a record of information mentioned in paragraph (1A)(c) for the purpose of the performance of the ACC's function covered by paragraph 7A(da) of the Australian Crime Commission Act 2002.</t>
        </is>
      </c>
      <c r="P308" s="12" t="n">
        <v>11</v>
      </c>
    </row>
    <row r="309">
      <c r="A309" t="inlineStr">
        <is>
          <t>Australia</t>
        </is>
      </c>
      <c r="B309" t="inlineStr">
        <is>
          <t>C2026C00209VOL01 (Australia - Row 26)</t>
        </is>
      </c>
      <c r="C309" t="inlineStr">
        <is>
          <t>219</t>
        </is>
      </c>
      <c r="D309" s="11" t="inlineStr">
        <is>
          <t>Permitted sharing of intelligence information with NACC Inspector</t>
        </is>
      </c>
      <c r="E309" t="inlineStr">
        <is>
          <t>235–236</t>
        </is>
      </c>
      <c r="F309" t="inlineStr">
        <is>
          <t>Low</t>
        </is>
      </c>
      <c r="G309" t="inlineStr">
        <is>
          <t>High (explicit)</t>
        </is>
      </c>
      <c r="H309" s="11" t="inlineStr">
        <is>
          <t>Data Sharing</t>
        </is>
      </c>
      <c r="I309" s="11" t="inlineStr">
        <is>
          <t>Special Personal Information</t>
        </is>
      </c>
      <c r="J309" t="inlineStr">
        <is>
          <t>National Anti-Corruption Commission</t>
        </is>
      </c>
      <c r="K309" s="11" t="inlineStr">
        <is>
          <t>This section allows NACC Inspector and assisting personnel to share intelligence information for permitted purposes related to their functions, without sharing for any other purpose. The sharing is restricted to specific intelligence information categories and must be for authorized purposes only.</t>
        </is>
      </c>
      <c r="L309" s="11" t="inlineStr">
        <is>
          <t>This section defines when intelligence information can be shared with NACC Inspectors, requiring specific purpose limitation and exclusivity of sharing.</t>
        </is>
      </c>
      <c r="M309" s="11" t="inlineStr">
        <is>
          <t>• [Must] NACC Inspector or assisting personnel may share intelligence information for permitted purposes related to their functions</t>
        </is>
      </c>
      <c r="N309" s="11" t="inlineStr">
        <is>
          <t>• [Must] Sharing must be for no other purpose than permitted purposes</t>
        </is>
      </c>
      <c r="O309" s="11" t="inlineStr">
        <is>
          <t>The Inspector of the National Anti-Corruption Commission or a person assisting the NACC Inspector may, for a permitted purpose, or permitted purposes, in relation to the performance of a function or duty, or the exercise of a power, of the Inspector or the person assisting, and for no other purpose, communicate to another person, make use of, or make a record of the following: intelligence information;</t>
        </is>
      </c>
      <c r="P309" s="12" t="n">
        <v>11</v>
      </c>
    </row>
    <row r="310">
      <c r="A310" t="inlineStr">
        <is>
          <t>Australia</t>
        </is>
      </c>
      <c r="B310" t="inlineStr">
        <is>
          <t>C2026C00209VOL01 (Australia - Row 26)</t>
        </is>
      </c>
      <c r="C310" t="inlineStr">
        <is>
          <t>223</t>
        </is>
      </c>
      <c r="D310" s="11" t="inlineStr">
        <is>
          <t>Permitted communication of intercepted information to authorized recipients</t>
        </is>
      </c>
      <c r="E310" t="inlineStr">
        <is>
          <t>239–240</t>
        </is>
      </c>
      <c r="F310" t="inlineStr">
        <is>
          <t>Low</t>
        </is>
      </c>
      <c r="G310" t="inlineStr">
        <is>
          <t>High (explicit)</t>
        </is>
      </c>
      <c r="H310" s="11" t="inlineStr">
        <is>
          <t>Data Sharing</t>
        </is>
      </c>
      <c r="I310" s="11" t="inlineStr">
        <is>
          <t>Special Personal Information</t>
        </is>
      </c>
      <c r="J310" t="inlineStr">
        <is>
          <t>Attorney-General</t>
        </is>
      </c>
      <c r="K310" s="11" t="inlineStr">
        <is>
          <t>This section specifies that lawfully intercepted information may be communicated to specific recipients based on the nature of the information, including security matters, relevant offenses, and authorized foreign jurisdictions. The communication must be for permitted purposes and follows strict recipient criteria defined in the section.</t>
        </is>
      </c>
      <c r="L310" s="11" t="inlineStr">
        <is>
          <t>This section details recipient restrictions for intercepted information, including security-related communications and international transfers under Attorney-General authorization.</t>
        </is>
      </c>
      <c r="M310" s="11" t="inlineStr">
        <is>
          <t>• [Must] Lawfully intercepted information may be communicated to Director-General of Security if related to security activities
• [Must] Lawfully intercepted information may be communicated to Chief Executive Officer of ACC if related to 2002 matters
• [Must] Lawfully intercepted information may be communicated to relevant authorities if related to relevant offenses
• [Must] Lawfully intercepted information may be communicated to Inspector of Independent Commission Against Corruption (SA) if related to specific matters
• [Must] Lawfully intercepted information may be communicated to Parliamentary Inspector of Corruption and Crime Commission (WA) if related to specific matters</t>
        </is>
      </c>
      <c r="N310" s="11" t="inlineStr">
        <is>
          <t>• [Must] Lawfully intercepted information may be communicated to foreign countries under Attorney-General authorization
• [Must] Lawfully intercepted information may be communicated to International Criminal Court under Attorney-General authorization
• [Must] Lawfully intercepted information may be communicated to War Crimes Tribunals under Attorney-General authorization
• [Must] Lawfully intercepted information may be communicated to Australian Federal Police or ACC if related to integrity operations</t>
        </is>
      </c>
      <c r="O310" s="11" t="inlineStr">
        <is>
          <t>if the information relates, or appears to relate, to a matter referred to in paragraph (h) of the definition of permitted purpose in subsection 5(1)—to the Parliamentary Inspector of the Corruption and Crime Commission (WA);</t>
        </is>
      </c>
      <c r="P310" s="12" t="n">
        <v>11</v>
      </c>
    </row>
    <row r="311">
      <c r="A311" t="inlineStr">
        <is>
          <t>Australia</t>
        </is>
      </c>
      <c r="B311" t="inlineStr">
        <is>
          <t>C2026C00209VOL01 (Australia - Row 26)</t>
        </is>
      </c>
      <c r="C311" t="inlineStr">
        <is>
          <t>224</t>
        </is>
      </c>
      <c r="D311" s="11" t="inlineStr">
        <is>
          <t>Permitted communication of intercepted information to specific authorities</t>
        </is>
      </c>
      <c r="E311" t="inlineStr">
        <is>
          <t>240–241</t>
        </is>
      </c>
      <c r="F311" t="inlineStr">
        <is>
          <t>Low</t>
        </is>
      </c>
      <c r="G311" t="inlineStr">
        <is>
          <t>High (explicit)</t>
        </is>
      </c>
      <c r="H311" s="11" t="inlineStr">
        <is>
          <t>Data Sharing</t>
        </is>
      </c>
      <c r="I311" s="11" t="inlineStr">
        <is>
          <t>Special Personal Information</t>
        </is>
      </c>
      <c r="J311" t="inlineStr">
        <is>
          <t>Attorney-General</t>
        </is>
      </c>
      <c r="K311" s="11" t="inlineStr">
        <is>
          <t>This section outlines specific recipients for lawfully intercepted information, including National Anti-Corruption Commission, ASIC, and NACC Inspector, based on integrity operations, applications, and specific matters. The communication must be for permitted purposes and restricted to the defined recipients.</t>
        </is>
      </c>
      <c r="L311" s="11" t="inlineStr">
        <is>
          <t>This section specifies recipient restrictions for intercepted information, particularly relevant for cross-agency data sharing in integrity operations.</t>
        </is>
      </c>
      <c r="M311" s="11" t="inlineStr">
        <is>
          <t>• [Must] Lawfully intercepted information may be communicated to National Anti-Corruption Commission if related to integrity operations
• [Must] Lawfully intercepted information may be communicated to ASIC if related to serious offenses</t>
        </is>
      </c>
      <c r="N311" s="11" t="inlineStr">
        <is>
          <t>• [Must] Lawfully intercepted information may be communicated to NACC Inspector if related to NACC corruption issues</t>
        </is>
      </c>
      <c r="O311" s="11" t="inlineStr">
        <is>
          <t>to the Inspector of the National Anti-Corruption Commission or a person assisting the NACC Inspector, if the information relates, or appears to relate, to a NACC corruption issue (within the meaning of the National Anti-Corruption Commission Act 2022).</t>
        </is>
      </c>
      <c r="P311" s="12" t="n">
        <v>11</v>
      </c>
    </row>
    <row r="312">
      <c r="A312" t="inlineStr">
        <is>
          <t>Australia</t>
        </is>
      </c>
      <c r="B312" t="inlineStr">
        <is>
          <t>C2026C00209VOL01 (Australia - Row 26)</t>
        </is>
      </c>
      <c r="C312" t="inlineStr">
        <is>
          <t>226</t>
        </is>
      </c>
      <c r="D312" s="11" t="inlineStr">
        <is>
          <t>Restrictions on communication of intercepted information</t>
        </is>
      </c>
      <c r="E312" t="inlineStr">
        <is>
          <t>242–243</t>
        </is>
      </c>
      <c r="F312" t="inlineStr">
        <is>
          <t>Low</t>
        </is>
      </c>
      <c r="G312" t="inlineStr">
        <is>
          <t>High (explicit)</t>
        </is>
      </c>
      <c r="H312" s="11" t="inlineStr">
        <is>
          <t>Data Sharing</t>
        </is>
      </c>
      <c r="I312" s="11" t="inlineStr">
        <is>
          <t>Special Personal Information</t>
        </is>
      </c>
      <c r="J312" t="inlineStr"/>
      <c r="K312" s="11" t="inlineStr">
        <is>
          <t>This section prohibits communication of intercepted information to eligible authorities when a request under subsection (1) is in force, ensuring that information sharing is restricted to specific circumstances and authorized recipients. The communication must be for permitted purposes only.</t>
        </is>
      </c>
      <c r="L312" s="11" t="inlineStr">
        <is>
          <t>This section restricts cross-agency communication of intercepted information during specific legal requests, relevant for DTIAs involving information sharing protocols.</t>
        </is>
      </c>
      <c r="M312" s="11" t="inlineStr">
        <is>
          <t>• [Must Not] Section 68 does not permit an officer of the other agency to communicate information to an eligible authority when a request under subsection (1) is in force</t>
        </is>
      </c>
      <c r="N312" s="11" t="inlineStr"/>
      <c r="O312" s="11" t="inlineStr">
        <is>
          <t>Where a request under subsection (1) is in force, section 68 does not permit an officer of the other agency to communicate information to an officer of the eligible authority.</t>
        </is>
      </c>
      <c r="P312" s="12" t="n">
        <v>11</v>
      </c>
    </row>
    <row r="313">
      <c r="A313" t="inlineStr">
        <is>
          <t>Australia</t>
        </is>
      </c>
      <c r="B313" t="inlineStr">
        <is>
          <t>C2026C00209VOL01 (Australia - Row 26)</t>
        </is>
      </c>
      <c r="C313" t="inlineStr">
        <is>
          <t>227</t>
        </is>
      </c>
      <c r="D313" s="11" t="inlineStr">
        <is>
          <t>Permitted communication of intercepted information to specific authorities</t>
        </is>
      </c>
      <c r="E313" t="inlineStr">
        <is>
          <t>243–244</t>
        </is>
      </c>
      <c r="F313" t="inlineStr">
        <is>
          <t>Low</t>
        </is>
      </c>
      <c r="G313" t="inlineStr">
        <is>
          <t>High (explicit)</t>
        </is>
      </c>
      <c r="H313" s="11" t="inlineStr">
        <is>
          <t>Data Sharing</t>
        </is>
      </c>
      <c r="I313" s="11" t="inlineStr">
        <is>
          <t>Special Personal Information</t>
        </is>
      </c>
      <c r="J313" t="inlineStr"/>
      <c r="K313" s="11" t="inlineStr">
        <is>
          <t>This section allows individuals to communicate suspected unlawful intercepted information to specific authorities, including the Attorney-General, Minister, Director of Public Prosecutions, Commissioner of Police, and National Anti-Corruption Commissioner, for purposes related to investigations, prosecutions, or proceedings.</t>
        </is>
      </c>
      <c r="L313" s="11" t="inlineStr">
        <is>
          <t>This section defines when intercepted information can be shared with authorities for investigations, relevant for DTIAs involving suspected unlawful communications.</t>
        </is>
      </c>
      <c r="M313" s="11" t="inlineStr">
        <is>
          <t>• [Must] A person may communicate suspected unlawful intercepted information to Attorney-General, Minister, Director of Public Prosecutions, Commissioner of Police, or National Anti-Corruption Commissioner</t>
        </is>
      </c>
      <c r="N313" s="11" t="inlineStr">
        <is>
          <t>• [Must] Communication must be for purposes connected with investigations, prosecutions, or proceedings</t>
        </is>
      </c>
      <c r="O313" s="11" t="inlineStr">
        <is>
          <t>The person may communicate the relevant information to: (a) the Attorney-General; or (aa) the Minister; or (b) the Director of Public Prosecutions; or (c) the Commissioner of Police; or (ca) the National Anti-Corruption Commissioner; or (cb) the Inspector of the National Anti-Corruption Commission; or (d) the Chief Executive Officer of the ACC.</t>
        </is>
      </c>
      <c r="P313" s="12" t="n">
        <v>11</v>
      </c>
    </row>
    <row r="314">
      <c r="A314" t="inlineStr">
        <is>
          <t>Australia</t>
        </is>
      </c>
      <c r="B314" t="inlineStr">
        <is>
          <t>C2026C00209VOL01 (Australia - Row 26)</t>
        </is>
      </c>
      <c r="C314" t="inlineStr">
        <is>
          <t>228</t>
        </is>
      </c>
      <c r="D314" s="11" t="inlineStr">
        <is>
          <t>Restrictions on sharing intercepted information with third parties</t>
        </is>
      </c>
      <c r="E314" t="inlineStr">
        <is>
          <t>244–245</t>
        </is>
      </c>
      <c r="F314" t="inlineStr">
        <is>
          <t>Medium</t>
        </is>
      </c>
      <c r="G314" t="inlineStr">
        <is>
          <t>High (explicit)</t>
        </is>
      </c>
      <c r="H314" s="11" t="inlineStr">
        <is>
          <t>Cross-border Transfer, Data Sharing, Third Party Processing</t>
        </is>
      </c>
      <c r="I314" s="11" t="inlineStr">
        <is>
          <t>Personal Information</t>
        </is>
      </c>
      <c r="J314" t="inlineStr">
        <is>
          <t>Australian Crime Commission Act 2002</t>
        </is>
      </c>
      <c r="K314" s="11" t="inlineStr">
        <is>
          <t>This section prohibits recipients from using, recording, or sharing lawfully intercepted information if such actions would violate another Commonwealth or State/Territory law. It applies to individuals who receive information under subsection (1) of this section and third parties who receive it from such recipients. The restrictions ensure compliance with other applicable laws when handling intercepted data.</t>
        </is>
      </c>
      <c r="L314" s="11" t="inlineStr">
        <is>
          <t>Restricts sharing of intercepted data across borders if it violates other laws; relevant for DTIAs involving international data transfers of intercepted communications.</t>
        </is>
      </c>
      <c r="M314" s="11" t="inlineStr">
        <is>
          <t>• [Must Not] Recipient must not communicate, use, or make a record of the information if recipient would contravene another law of the Commonwealth or a law of a State or Territory</t>
        </is>
      </c>
      <c r="N314" s="11" t="inlineStr">
        <is>
          <t>• [Must Not] Third person must not communicate, use, or make a record of the information if third person would contravene another law of the Commonwealth or a law of a State or Territory</t>
        </is>
      </c>
      <c r="O314" s="11" t="inlineStr">
        <is>
          <t>If a person to whom information has been communicated in accordance with subsection 63D(2) communicates the information to another person (the recipient) under subsection (1) of this section, the recipient must not communicate, use, or make a record of, the information under subsection (1) of this section if the recipient would contravene another law of the Commonwealth, or a law of a State or Territory, in doing so.</t>
        </is>
      </c>
      <c r="P314" s="12" t="n">
        <v>11</v>
      </c>
    </row>
    <row r="315">
      <c r="A315" t="inlineStr">
        <is>
          <t>Australia</t>
        </is>
      </c>
      <c r="B315" t="inlineStr">
        <is>
          <t>C2026C00209VOL01 (Australia - Row 26)</t>
        </is>
      </c>
      <c r="C315" t="inlineStr">
        <is>
          <t>232</t>
        </is>
      </c>
      <c r="D315" s="11" t="inlineStr">
        <is>
          <t>Admissibility of intercepted information in proceedings</t>
        </is>
      </c>
      <c r="E315" t="inlineStr">
        <is>
          <t>248–249</t>
        </is>
      </c>
      <c r="F315" t="inlineStr">
        <is>
          <t>Low</t>
        </is>
      </c>
      <c r="G315" t="inlineStr">
        <is>
          <t>High (explicit)</t>
        </is>
      </c>
      <c r="H315" s="11" t="inlineStr">
        <is>
          <t>Cross-border Transfer, Data Sharing, Data Storage</t>
        </is>
      </c>
      <c r="I315" s="11" t="inlineStr">
        <is>
          <t>Personal Information</t>
        </is>
      </c>
      <c r="J315" t="inlineStr"/>
      <c r="K315" s="11" t="inlineStr">
        <is>
          <t>This section allows lawfully intercepted information (excluding specific types) to be used as evidence in exempt proceedings. It permits the use of interception warrant information in evidence, with the admissibility determined on a balance of probabilities for communications intercepted in contravention of subsection 7(1).</t>
        </is>
      </c>
      <c r="L315" s="11" t="inlineStr">
        <is>
          <t>Allows use of intercepted data in legal proceedings; relevant for DTIAs involving international evidence sharing.</t>
        </is>
      </c>
      <c r="M315" s="11" t="inlineStr">
        <is>
          <t>• [May] A person may give lawfully intercepted information (other than foreign intelligence information, general computer access intercept information, data disruption intercept information, network activity warrant intercept information or ASIO computer access intercept information) in evidence in an exempt proceeding</t>
        </is>
      </c>
      <c r="N315" s="11" t="inlineStr">
        <is>
          <t>• [May] A person may give interception warrant information in evidence in an exempt proceeding</t>
        </is>
      </c>
      <c r="O315" s="11" t="inlineStr">
        <is>
          <t>A person may give lawfully intercepted information (other than foreign intelligence information, general computer access intercept information, data disruption intercept information, network activity warrant intercept information or ASIO computer access intercept information) in evidence in an exempt proceeding.</t>
        </is>
      </c>
      <c r="P315" s="12" t="n">
        <v>11</v>
      </c>
    </row>
    <row r="316">
      <c r="A316" t="inlineStr">
        <is>
          <t>Australia</t>
        </is>
      </c>
      <c r="B316" t="inlineStr">
        <is>
          <t>C2026C00209VOL01 (Australia - Row 26)</t>
        </is>
      </c>
      <c r="C316" t="inlineStr">
        <is>
          <t>233</t>
        </is>
      </c>
      <c r="D316" s="11" t="inlineStr">
        <is>
          <t>Destruction of restricted records from pre-ordered interceptions</t>
        </is>
      </c>
      <c r="E316" t="inlineStr">
        <is>
          <t>249–250</t>
        </is>
      </c>
      <c r="F316" t="inlineStr">
        <is>
          <t>Low</t>
        </is>
      </c>
      <c r="G316" t="inlineStr">
        <is>
          <t>High (explicit)</t>
        </is>
      </c>
      <c r="H316" s="11" t="inlineStr">
        <is>
          <t>Data Storage</t>
        </is>
      </c>
      <c r="I316" s="11" t="inlineStr">
        <is>
          <t>Personal Information</t>
        </is>
      </c>
      <c r="J316" t="inlineStr"/>
      <c r="K316" s="11" t="inlineStr">
        <is>
          <t>This section mandates the destruction of restricted records obtained through interceptions authorized by Part 5.3 supervisory orders that were not likely to assist in compliance with the order. It requires destruction as soon as practicable if the chief officer determines the information does not assist achieving Part 5.3 objectives.</t>
        </is>
      </c>
      <c r="L316" s="11" t="inlineStr">
        <is>
          <t>Requires deletion of intercepted data that no longer serves regulatory purposes; relevant for DTIAs involving data retention and deletion.</t>
        </is>
      </c>
      <c r="M316" s="11" t="inlineStr">
        <is>
          <t>• [Must] Chief officer must destroy restricted record as soon as practicable if information is not likely to assist in achieving a Part 5.3 object</t>
        </is>
      </c>
      <c r="N316" s="11" t="inlineStr"/>
      <c r="O316" s="11" t="inlineStr">
        <is>
          <t>If: (a) a restricted record is in the possession of an agency; (b) the restricted record relates to an interception authorised by a Part 5.3 supervisory order warrant; (c) the warrant was issued for the purpose, or for purposes that include the purpose, of obtaining information that would be likely to assist in connection with determining whether the relevant Part 5.3 supervisory order, or any succeeding Part 5.3 supervisory order, has been, or is being, complied with; (d) the interception occurred when the Part 5.3 supervisory order had been made but had not come into force; (e) the chief officer of the agency is satisfied that none of the information obtained by the interception is likely to assist in connection with achieving a Part 5.3 object; the chief officer of the agency must cause the restricted record to be destroyed as soon as practicable.</t>
        </is>
      </c>
      <c r="P316" s="12" t="n">
        <v>11</v>
      </c>
    </row>
    <row r="317">
      <c r="A317" t="inlineStr">
        <is>
          <t>Australia</t>
        </is>
      </c>
      <c r="B317" t="inlineStr">
        <is>
          <t>C2026C00209VOL01 (Australia - Row 26)</t>
        </is>
      </c>
      <c r="C317" t="inlineStr">
        <is>
          <t>234</t>
        </is>
      </c>
      <c r="D317" s="11" t="inlineStr">
        <is>
          <t>Destruction of restricted records from pre-ordered community safety interceptions</t>
        </is>
      </c>
      <c r="E317" t="inlineStr">
        <is>
          <t>250–251</t>
        </is>
      </c>
      <c r="F317" t="inlineStr">
        <is>
          <t>Low</t>
        </is>
      </c>
      <c r="G317" t="inlineStr">
        <is>
          <t>High (explicit)</t>
        </is>
      </c>
      <c r="H317" s="11" t="inlineStr">
        <is>
          <t>Data Storage</t>
        </is>
      </c>
      <c r="I317" s="11" t="inlineStr">
        <is>
          <t>Personal Information</t>
        </is>
      </c>
      <c r="J317" t="inlineStr"/>
      <c r="K317" s="11" t="inlineStr">
        <is>
          <t>This section requires destruction of restricted records obtained through community safety supervision orders that were not likely to assist in achieving Part 9.10 objectives. It mandates destruction as soon as practicable if the chief officer determines the information does not serve the purpose of the order.</t>
        </is>
      </c>
      <c r="L317" s="11" t="inlineStr">
        <is>
          <t>Requires deletion of intercepted data that no longer serves community safety purposes; relevant for DTIAs involving data retention and deletion.</t>
        </is>
      </c>
      <c r="M317" s="11" t="inlineStr">
        <is>
          <t>• [Must] Chief officer must destroy restricted record as soon as practicable if information is not likely to assist in achieving a Part 9.10 object</t>
        </is>
      </c>
      <c r="N317" s="11" t="inlineStr"/>
      <c r="O317" s="11" t="inlineStr">
        <is>
          <t>If: (a) a restricted record is in the possession of an agency; (b) the restricted record relates to an interception authorised by a community safety supervision order warrant; (c) the warrant was issued for the purpose, or for purposes that include the purpose, of obtaining information that would be likely to assist in connection with determining whether the relevant community safety supervision order, or any succeeding community safety supervision order, has been, or is being, complied with; (d) the interception occurred when the community safety supervision order had been made but had not come into force; (e) the chief officer of the agency is satisfied that none of the information obtained by the interception is likely to assist in connection with achieving a Part 9.10 object; the chief officer of the agency must cause the restricted record to be destroyed as soon as practicable.</t>
        </is>
      </c>
      <c r="P317" s="12" t="n">
        <v>11</v>
      </c>
    </row>
    <row r="318">
      <c r="A318" t="inlineStr">
        <is>
          <t>Australia</t>
        </is>
      </c>
      <c r="B318" t="inlineStr">
        <is>
          <t>C2026C00209VOL01 (Australia - Row 26)</t>
        </is>
      </c>
      <c r="C318" t="inlineStr">
        <is>
          <t>236</t>
        </is>
      </c>
      <c r="D318" s="11" t="inlineStr">
        <is>
          <t>Record-keeping requirements for interception warrants</t>
        </is>
      </c>
      <c r="E318" t="inlineStr">
        <is>
          <t>252–253</t>
        </is>
      </c>
      <c r="F318" t="inlineStr">
        <is>
          <t>Low</t>
        </is>
      </c>
      <c r="G318" t="inlineStr">
        <is>
          <t>High (explicit)</t>
        </is>
      </c>
      <c r="H318" s="11" t="inlineStr">
        <is>
          <t>Data Storage, Record Keeping</t>
        </is>
      </c>
      <c r="I318" s="11" t="inlineStr">
        <is>
          <t>Personal Information</t>
        </is>
      </c>
      <c r="J318" t="inlineStr"/>
      <c r="K318" s="11" t="inlineStr">
        <is>
          <t>This section mandates that Commonwealth agency chief officers maintain records of warrants issued, notifications, revocations, certificates, authorizations, and communications with the Minister. It requires detailed documentation of all interception-related activities to ensure transparency and accountability.</t>
        </is>
      </c>
      <c r="L318" s="11" t="inlineStr">
        <is>
          <t>Requires detailed record-keeping of intercepted data; relevant for DTIAs involving data storage and retention.</t>
        </is>
      </c>
      <c r="M318" s="11" t="inlineStr">
        <is>
          <t>• [Must] Chief officer must keep each warrant issued to the agency
• [Must] Chief officer must keep a copy of each notification under subsection 59A(2)
• [Must] Chief officer must keep each instrument revoking a warrant
• [Must] Chief officer must keep a copy of each certificate issued under subsection 61(4)</t>
        </is>
      </c>
      <c r="N318" s="11" t="inlineStr">
        <is>
          <t>• [Must] Chief officer must keep each authorisation by the chief officer under subsection 66(2)
• [Must] Chief officer must keep a copy of each advice given to the Minister under subsection 103B(2)
• [Must] Chief officer must keep each notice received from the Minister under paragraph 103B(3)(a) or (5)(a)</t>
        </is>
      </c>
      <c r="O318" s="11" t="inlineStr">
        <is>
          <t>The chief officer of a Commonwealth agency must cause to be kept in the agency's records: (a) each warrant issued to the agency; and (b) a copy of each notification under subsection 59A(2), being a notification given to the Secretary of the Department; and (c) each instrument revoking such a warrant; and (d) a copy of each certificate issued under subsection 61(4) by a certifying officer of the agency; and (e) each authorisation by the chief officer under subsection 66(2); and (f) a copy of each advice the chief officer gives to the Minister under subsection 103B(2) or paragraph 103B(4)(b); and (g) each notice the chief officer receives from the Minister under paragraph 103B(3)(a) or (5)(a).</t>
        </is>
      </c>
      <c r="P318" s="12" t="n">
        <v>11</v>
      </c>
    </row>
    <row r="319">
      <c r="A319" t="inlineStr">
        <is>
          <t>Australia</t>
        </is>
      </c>
      <c r="B319" t="inlineStr">
        <is>
          <t>C2026C00209VOL01 (Australia - Row 26)</t>
        </is>
      </c>
      <c r="C319" t="inlineStr">
        <is>
          <t>238</t>
        </is>
      </c>
      <c r="D319" s="11" t="inlineStr">
        <is>
          <t>Recording reconsideration particulars for interception warrants</t>
        </is>
      </c>
      <c r="E319" t="inlineStr">
        <is>
          <t>254–255</t>
        </is>
      </c>
      <c r="F319" t="inlineStr">
        <is>
          <t>Medium</t>
        </is>
      </c>
      <c r="G319" t="inlineStr">
        <is>
          <t>High (explicit)</t>
        </is>
      </c>
      <c r="H319" s="11" t="inlineStr">
        <is>
          <t>Record Keeping, Data Storage</t>
        </is>
      </c>
      <c r="I319" s="11" t="inlineStr">
        <is>
          <t>Personal Information</t>
        </is>
      </c>
      <c r="J319" t="inlineStr">
        <is>
          <t>Chief Officer</t>
        </is>
      </c>
      <c r="K319" s="11" t="inlineStr">
        <is>
          <t>This section requires the chief officer to record in writing or electronically within practicable time any reconsideration by the chief officer under paragraph 103B(4)(a) that does not result in advice under paragraph 103B(4)(b). It also mandates that for named person warrants, the particulars must specify the service where interception occurred. Additionally, it requires the Organisation to record and provide records to the chief officer of the Commonwealth agency when the agency lacks necessary particulars.</t>
        </is>
      </c>
      <c r="L319" s="11" t="inlineStr">
        <is>
          <t>This section mandates detailed record-keeping for interception warrant reconsiderations, which impacts data transfer assessments by requiring specific documentation of warrant-related activities and services.</t>
        </is>
      </c>
      <c r="M319" s="11" t="inlineStr">
        <is>
          <t>• [Must] Record reconsideration particulars in writing or via computer within practicable time after events
• [Must] For named person warrants, indicate the service where interception occurred</t>
        </is>
      </c>
      <c r="N319" s="11" t="inlineStr">
        <is>
          <t>• [Must] Cause particulars to be recorded if Commonwealth agency lacks required details
• [Must] Provide records to chief officer of Commonwealth agency</t>
        </is>
      </c>
      <c r="O319" s="11" t="inlineStr">
        <is>
          <t>238 (h) particulars of each reconsideration by the chief officer under paragraph 103B(4)(a) that does not result in the chief officer giving advice under paragraph 103B(4)(b); to be recorded in writing or by means of a computer as soon as practicable after the happening of the events to which the particulars relate or the statement relates, as the case may be.</t>
        </is>
      </c>
      <c r="P319" s="12" t="n">
        <v>11</v>
      </c>
    </row>
    <row r="320">
      <c r="A320" t="inlineStr">
        <is>
          <t>Australia</t>
        </is>
      </c>
      <c r="B320" t="inlineStr">
        <is>
          <t>C2026C00209VOL01 (Australia - Row 26)</t>
        </is>
      </c>
      <c r="C320" t="inlineStr">
        <is>
          <t>239</t>
        </is>
      </c>
      <c r="D320" s="11" t="inlineStr">
        <is>
          <t>Recording warrant particulars for eligible authorities</t>
        </is>
      </c>
      <c r="E320" t="inlineStr">
        <is>
          <t>255–256</t>
        </is>
      </c>
      <c r="F320" t="inlineStr">
        <is>
          <t>Medium</t>
        </is>
      </c>
      <c r="G320" t="inlineStr">
        <is>
          <t>High (explicit)</t>
        </is>
      </c>
      <c r="H320" s="11" t="inlineStr">
        <is>
          <t>Record Keeping, Data Storage</t>
        </is>
      </c>
      <c r="I320" s="11" t="inlineStr">
        <is>
          <t>Personal Information</t>
        </is>
      </c>
      <c r="J320" t="inlineStr"/>
      <c r="K320" s="11" t="inlineStr">
        <is>
          <t>This section requires eligible authorities to record and provide warrant particulars to the chief officer of the eligible authority when they lack necessary details. It specifies that the particulars must include the date of issue, issuing authority, agency, and relevant telecommunications service information for named person warrants.</t>
        </is>
      </c>
      <c r="L320" s="11" t="inlineStr">
        <is>
          <t>This section ensures eligible authorities maintain detailed records of warrant activities, which is critical for data transfer assessments involving interception warrants and telecommunications data.</t>
        </is>
      </c>
      <c r="M320" s="11" t="inlineStr">
        <is>
          <t>• [Must] Cause particulars to be recorded in accordance with subsections 81(1) and (2)</t>
        </is>
      </c>
      <c r="N320" s="11" t="inlineStr">
        <is>
          <t>• [Must] Provide records to chief officer of eligible authority</t>
        </is>
      </c>
      <c r="O320" s="11" t="inlineStr">
        <is>
          <t>239 (c) cause those particulars to be recorded in accordance with subsections 81(1) and (2); and (d) give the records produced to the chief officer of the eligible authority to which the Part 2-5 warrant was issued.</t>
        </is>
      </c>
      <c r="P320" s="12" t="n">
        <v>11</v>
      </c>
    </row>
    <row r="321">
      <c r="A321" t="inlineStr">
        <is>
          <t>Australia</t>
        </is>
      </c>
      <c r="B321" t="inlineStr">
        <is>
          <t>C2026C00209VOL01 (Australia - Row 26)</t>
        </is>
      </c>
      <c r="C321" t="inlineStr">
        <is>
          <t>240</t>
        </is>
      </c>
      <c r="D321" s="11" t="inlineStr">
        <is>
          <t>General Register of Warrants requirements</t>
        </is>
      </c>
      <c r="E321" t="inlineStr">
        <is>
          <t>256–257</t>
        </is>
      </c>
      <c r="F321" t="inlineStr">
        <is>
          <t>Medium</t>
        </is>
      </c>
      <c r="G321" t="inlineStr">
        <is>
          <t>High (explicit)</t>
        </is>
      </c>
      <c r="H321" s="11" t="inlineStr">
        <is>
          <t>Record Keeping, Data Storage</t>
        </is>
      </c>
      <c r="I321" s="11" t="inlineStr">
        <is>
          <t>Personal Information</t>
        </is>
      </c>
      <c r="J321" t="inlineStr">
        <is>
          <t>Secretary of the Department</t>
        </is>
      </c>
      <c r="K321" s="11" t="inlineStr">
        <is>
          <t>This section mandates the Secretary to maintain a General Register of Warrants containing specific details about each warrant, including the date of issue, issuing authority, agency, telecommunications service information, and the period for which the warrant is valid. It also requires regular submission of the register to the Minister for inspection.</t>
        </is>
      </c>
      <c r="L321" s="11" t="inlineStr">
        <is>
          <t>This section establishes detailed record-keeping for interception warrants, which is essential for data transfer assessments as it specifies the data types and retention periods for warrant-related information.</t>
        </is>
      </c>
      <c r="M321" s="11" t="inlineStr">
        <is>
          <t>• [Must] Maintain General Register of Warrants with details including date of issue, issuing authority, agency, telecommunications service information, and validity period
• [Must] Deliver General Register to Minister within 3 months after commencement of Schedule 5</t>
        </is>
      </c>
      <c r="N321" s="11" t="inlineStr">
        <is>
          <t>• [Must] Submit updated portions of General Register to Minister at least once every 3 months</t>
        </is>
      </c>
      <c r="O321" s="11" t="inlineStr">
        <is>
          <t>81A (1) The Secretary of the Department is to cause a General Register of Warrants to be kept. (2) The Secretary of the Department is to cause to be recorded in the General Register in relation to each Part 2-5 warrant particulars of: (a) the date of issue of the warrant; and (b) the Judge or nominated ART member who issued the warrant; and (c) the agency to which the warrant was issued; and (d) in the case of a telecommunications service warrant: (i) the telecommunications service to which the warrant relates; and (ii) the name of the person specified in the warrant as a person using or likely to use the telecommunications service; and (e) in the case of a named person warrant: (i) the name of the person to whom the warrant relates; and (ii) each telecommunications service that is specified in the warrant, or in relation to which interceptions authorised by the warrant have occurred; and (f) the period for which the warrant is to be in force; and (g) in the case of a warrant issued under subsection 46(1) or 46A(1), or issued under section 48 in the circumstances mentioned in subsection 46(1)—each serious offence in relation to which the Judge or nominated ART member who issued the warrant was satisfied, on the application for the warrant, as mentioned in:</t>
        </is>
      </c>
      <c r="P321" s="12" t="n">
        <v>11</v>
      </c>
    </row>
    <row r="322">
      <c r="A322" t="inlineStr">
        <is>
          <t>Australia</t>
        </is>
      </c>
      <c r="B322" t="inlineStr">
        <is>
          <t>C2026C00209VOL01 (Australia - Row 26)</t>
        </is>
      </c>
      <c r="C322" t="inlineStr">
        <is>
          <t>243</t>
        </is>
      </c>
      <c r="D322" s="11" t="inlineStr">
        <is>
          <t>Special Register of Warrants requirements</t>
        </is>
      </c>
      <c r="E322" t="inlineStr">
        <is>
          <t>259–260</t>
        </is>
      </c>
      <c r="F322" t="inlineStr">
        <is>
          <t>Medium</t>
        </is>
      </c>
      <c r="G322" t="inlineStr">
        <is>
          <t>High (explicit)</t>
        </is>
      </c>
      <c r="H322" s="11" t="inlineStr">
        <is>
          <t>Record Keeping, Data Storage</t>
        </is>
      </c>
      <c r="I322" s="11" t="inlineStr">
        <is>
          <t>Personal Information</t>
        </is>
      </c>
      <c r="J322" t="inlineStr">
        <is>
          <t>Secretary of the Department</t>
        </is>
      </c>
      <c r="K322" s="11" t="inlineStr">
        <is>
          <t>This section requires the Secretary to maintain a Special Register of Warrants for expired warrants, including the date of issue and other relevant details. It mandates regular submission of the register to the Minister for inspection within 3 months after the commencement of Schedule 5 and subsequent updates every 3 months.</t>
        </is>
      </c>
      <c r="L322" s="11" t="inlineStr">
        <is>
          <t>This section ensures detailed record-keeping for expired interception warrants, which is critical for data transfer assessments involving historical warrant data and compliance with retention periods.</t>
        </is>
      </c>
      <c r="M322" s="11" t="inlineStr">
        <is>
          <t>• [Must] Maintain Special Register of Warrants for expired warrants
• [Must] Deliver Special Register to Minister within 3 months after commencement of Schedule 5</t>
        </is>
      </c>
      <c r="N322" s="11" t="inlineStr">
        <is>
          <t>• [Must] Submit updated portions of Special Register to Minister at least once every 3 months</t>
        </is>
      </c>
      <c r="O322" s="11" t="inlineStr">
        <is>
          <t>81D (1) Within 3 months after the commencement of Schedule 5 to the Telecommunications (Interception) Amendment Act 2006, the Secretary of the Department must deliver the Special Register to the Minister for inspection. (2) Once at least within each succeeding period of 3 months, the Secretary of the Department must deliver to the Minister, for inspection by the Minister, any part of the Special Register that represents information recorded since the Special Register, or any part of the Special Register, was last delivered to the Minister.</t>
        </is>
      </c>
      <c r="P322" s="12" t="n">
        <v>11</v>
      </c>
    </row>
    <row r="323">
      <c r="A323" t="inlineStr">
        <is>
          <t>Australia</t>
        </is>
      </c>
      <c r="B323" t="inlineStr">
        <is>
          <t>C2026C00209VOL01 (Australia - Row 26)</t>
        </is>
      </c>
      <c r="C323" t="inlineStr">
        <is>
          <t>244</t>
        </is>
      </c>
      <c r="D323" s="11" t="inlineStr">
        <is>
          <t>Information provision by eligible authorities</t>
        </is>
      </c>
      <c r="E323" t="inlineStr">
        <is>
          <t>260–261</t>
        </is>
      </c>
      <c r="F323" t="inlineStr">
        <is>
          <t>Medium</t>
        </is>
      </c>
      <c r="G323" t="inlineStr">
        <is>
          <t>High (explicit)</t>
        </is>
      </c>
      <c r="H323" s="11" t="inlineStr">
        <is>
          <t>Record Keeping, Data Storage</t>
        </is>
      </c>
      <c r="I323" s="11" t="inlineStr">
        <is>
          <t>Personal Information</t>
        </is>
      </c>
      <c r="J323" t="inlineStr">
        <is>
          <t>Secretary of the Department</t>
        </is>
      </c>
      <c r="K323" s="11" t="inlineStr">
        <is>
          <t>This section allows the Secretary to require eligible authorities to provide specific information to the Secretary for compliance with obligations under section 81C. The chief officer must provide the information within the specified period and manner.</t>
        </is>
      </c>
      <c r="L323" s="11" t="inlineStr">
        <is>
          <t>This section enables the Secretary to obtain necessary information from eligible authorities for warrant compliance assessments, which impacts data transfer assessments by ensuring timely information provision for regulatory oversight.</t>
        </is>
      </c>
      <c r="M323" s="11" t="inlineStr">
        <is>
          <t>• [May] Secretary may require information from chief officer of eligible authority via written notice</t>
        </is>
      </c>
      <c r="N323" s="11" t="inlineStr">
        <is>
          <t>• [Must] Chief officer must provide information within specified period and manner</t>
        </is>
      </c>
      <c r="O323" s="11" t="inlineStr">
        <is>
          <t>244 (2) The Secretary of the Department may, by written notice given to the chief officer of the eligible authority, require the chief officer to give the Secretary such information as the Secretary requires for the purposes of complying with the obligations imposed on him or her by section 81C. (3) The chief officer must give the information within the period, and in the manner, specified in the notice.</t>
        </is>
      </c>
      <c r="P323" s="12" t="n">
        <v>11</v>
      </c>
    </row>
    <row r="324">
      <c r="A324" t="inlineStr">
        <is>
          <t>Australia</t>
        </is>
      </c>
      <c r="B324" t="inlineStr">
        <is>
          <t>C2026C00209VOL01 (Australia - Row 26)</t>
        </is>
      </c>
      <c r="C324" t="inlineStr">
        <is>
          <t>245</t>
        </is>
      </c>
      <c r="D324" s="11" t="inlineStr">
        <is>
          <t>Ombudsman inspections of interception records</t>
        </is>
      </c>
      <c r="E324" t="inlineStr">
        <is>
          <t>261–262</t>
        </is>
      </c>
      <c r="F324" t="inlineStr">
        <is>
          <t>Medium</t>
        </is>
      </c>
      <c r="G324" t="inlineStr">
        <is>
          <t>High (explicit)</t>
        </is>
      </c>
      <c r="H324" s="11" t="inlineStr">
        <is>
          <t>Record Keeping, Data Storage</t>
        </is>
      </c>
      <c r="I324" s="11" t="inlineStr">
        <is>
          <t>Personal Information</t>
        </is>
      </c>
      <c r="J324" t="inlineStr">
        <is>
          <t>Ombudsman</t>
        </is>
      </c>
      <c r="K324" s="11" t="inlineStr">
        <is>
          <t>This section allows the Ombudsman to inspect Commonwealth agency records to assess compliance with interception warrant requirements, including specific conditions related to Part 5.3 and Part 9.10 warrants. The Ombudsman must report findings to the Minister within 3 months after each financial year end.</t>
        </is>
      </c>
      <c r="L324" s="11" t="inlineStr">
        <is>
          <t>This section ensures oversight of interception warrant compliance through Ombudsman inspections, which is critical for data transfer assessments involving warrant-related data and compliance with retention periods.</t>
        </is>
      </c>
      <c r="M324" s="11" t="inlineStr">
        <is>
          <t>• [May] Ombudsman may inspect agency records for compliance with interception warrant requirements</t>
        </is>
      </c>
      <c r="N324" s="11" t="inlineStr">
        <is>
          <t>• [Must] Ombudsman must report inspection results to Minister within 3 months after financial year end</t>
        </is>
      </c>
      <c r="O324" s="11" t="inlineStr">
        <is>
          <t>84 (1) The Ombudsman shall, as soon as practicable, and in any event within 3 months, after the end of each financial year, report to the Minister in writing, in relation to each Commonwealth agency, about the results of the inspections under subsections 83(1), (3) and (4), during that financial year, of the agency's records.</t>
        </is>
      </c>
      <c r="P324" s="12" t="n">
        <v>11</v>
      </c>
    </row>
    <row r="325">
      <c r="A325" t="inlineStr">
        <is>
          <t>Australia</t>
        </is>
      </c>
      <c r="B325" t="inlineStr">
        <is>
          <t>C2026C00209VOL01 (Australia - Row 26)</t>
        </is>
      </c>
      <c r="C325" t="inlineStr">
        <is>
          <t>246</t>
        </is>
      </c>
      <c r="D325" s="11" t="inlineStr">
        <is>
          <t>Ombudsman reporting on agency contraventions and inspections</t>
        </is>
      </c>
      <c r="E325" t="inlineStr">
        <is>
          <t>262–263</t>
        </is>
      </c>
      <c r="F325" t="inlineStr">
        <is>
          <t>Medium</t>
        </is>
      </c>
      <c r="G325" t="inlineStr">
        <is>
          <t>High (explicit)</t>
        </is>
      </c>
      <c r="H325" s="11" t="inlineStr"/>
      <c r="I325" s="11" t="inlineStr">
        <is>
          <t>Personal Information</t>
        </is>
      </c>
      <c r="J325" t="inlineStr">
        <is>
          <t>Ombudsman</t>
        </is>
      </c>
      <c r="K325" s="11" t="inlineStr">
        <is>
          <t>The Ombudsman may report to the Minister in writing about inspection results at any time, including when requested. If an inspection reveals an agency officer has contravened an Act provision, the Ombudsman may include a contravention report. This section excludes contraventions of specific sections (79, 79AA, 79AB, 80, 81) from this reporting requirement. The Ombudsman must comply with disclosure obligations for intercepted information when reporting.</t>
        </is>
      </c>
      <c r="L325" s="11" t="inlineStr">
        <is>
          <t>This section establishes when the Ombudsman must report agency contraventions to the Minister, relevant for DTIAs involving agency compliance with data protection laws.</t>
        </is>
      </c>
      <c r="M325" s="11" t="inlineStr">
        <is>
          <t>• [May] The Ombudsman may report to the Minister in writing at any time about the results of an inspection under this Part
• [Must] The Ombudsman shall give a copy of a report under subsection (1) or (2) to the chief officer of the agency to which the report relates
• [May] If the Ombudsman is of the opinion that an agency officer has contravened an Act provision, the Ombudsman may include a contravention report in the inspection report</t>
        </is>
      </c>
      <c r="N325" s="11" t="inlineStr">
        <is>
          <t>• [Definition] A contravention of a condition or restriction in a warrant is a contravention of an Act provision
• [Exclusion] Subsection (1) does not apply to contraventions of sections 79, 79AA, 79AB, 80, or 81</t>
        </is>
      </c>
      <c r="O325" s="11" t="inlineStr">
        <is>
          <t>The Ombudsman may report to the Minister in writing at any time about the results of an inspection under this Part and shall do so if so requested by the Minister.</t>
        </is>
      </c>
      <c r="P325" s="12" t="n">
        <v>11</v>
      </c>
    </row>
    <row r="326">
      <c r="A326" t="inlineStr">
        <is>
          <t>Australia</t>
        </is>
      </c>
      <c r="B326" t="inlineStr">
        <is>
          <t>C2026C00209VOL01 (Australia - Row 26)</t>
        </is>
      </c>
      <c r="C326" t="inlineStr">
        <is>
          <t>247</t>
        </is>
      </c>
      <c r="D326" s="11" t="inlineStr">
        <is>
          <t>Ombudsman's annual report on agency contraventions</t>
        </is>
      </c>
      <c r="E326" t="inlineStr">
        <is>
          <t>263–264</t>
        </is>
      </c>
      <c r="F326" t="inlineStr">
        <is>
          <t>Medium</t>
        </is>
      </c>
      <c r="G326" t="inlineStr">
        <is>
          <t>High (explicit)</t>
        </is>
      </c>
      <c r="H326" s="11" t="inlineStr"/>
      <c r="I326" s="11" t="inlineStr">
        <is>
          <t>Personal Information</t>
        </is>
      </c>
      <c r="J326" t="inlineStr">
        <is>
          <t>Ombudsman</t>
        </is>
      </c>
      <c r="K326" s="11" t="inlineStr">
        <is>
          <t>The Ombudsman may include reports on contraventions in annual reports if notified under specific subsections but did not conduct inspections during the relevant period. This section clarifies that notification timing (before, during, or after the financial year) does not affect the report inclusion, and does not limit other report content.</t>
        </is>
      </c>
      <c r="L326" s="11" t="inlineStr">
        <is>
          <t>This section specifies when the Ombudsman can include contravention reports in annual reports, relevant for DTIAs involving agency compliance reporting.</t>
        </is>
      </c>
      <c r="M326" s="11" t="inlineStr">
        <is>
          <t>• [May] In a report under subsection 84(1) for a financial year, the Ombudsman may include a contravention report if notified under subsection 59B(2) and did not conduct inspections
• [Condition] Notification under subsection 59B(2) may occur before, during, or after the financial year</t>
        </is>
      </c>
      <c r="N326" s="11" t="inlineStr">
        <is>
          <t>• [Exclusion] Subsection (1) does not limit what the Ombudsman may include in reports under sections 84 or 85</t>
        </is>
      </c>
      <c r="O326" s="11" t="inlineStr">
        <is>
          <t>In a report under subsection 84(1) in relation to a financial year, the Ombudsman may include a report on a contravention of which the Ombudsman is notified under subsection 59B(2) (about Part 5.3 warrants), if the Ombudsman does not conduct an inspection under subsection 83(3) in relation to a period during which the contravention occurred.</t>
        </is>
      </c>
      <c r="P326" s="12" t="n">
        <v>11</v>
      </c>
    </row>
    <row r="327">
      <c r="A327" t="inlineStr">
        <is>
          <t>Australia</t>
        </is>
      </c>
      <c r="B327" t="inlineStr">
        <is>
          <t>C2026C00209VOL01 (Australia - Row 26)</t>
        </is>
      </c>
      <c r="C327" t="inlineStr">
        <is>
          <t>248</t>
        </is>
      </c>
      <c r="D327" s="11" t="inlineStr">
        <is>
          <t>Ombudsman's access to agency records and premises</t>
        </is>
      </c>
      <c r="E327" t="inlineStr">
        <is>
          <t>264–265</t>
        </is>
      </c>
      <c r="F327" t="inlineStr">
        <is>
          <t>Medium</t>
        </is>
      </c>
      <c r="G327" t="inlineStr">
        <is>
          <t>High (explicit)</t>
        </is>
      </c>
      <c r="H327" s="11" t="inlineStr"/>
      <c r="I327" s="11" t="inlineStr">
        <is>
          <t>Personal Information</t>
        </is>
      </c>
      <c r="J327" t="inlineStr">
        <is>
          <t>Ombudsman</t>
        </is>
      </c>
      <c r="K327" s="11" t="inlineStr">
        <is>
          <t>The Ombudsman may enter agency premises, access all records, and make copies of records without restriction. The chief officer must assist the Ombudsman with information relevant to inspections. These powers are not subject to other laws, and include incidental actions necessary for inspections.</t>
        </is>
      </c>
      <c r="L327" s="11" t="inlineStr">
        <is>
          <t>This section grants the Ombudsman broad access to agency records and premises, relevant for DTIAs involving data access and inspection powers.</t>
        </is>
      </c>
      <c r="M327" s="11" t="inlineStr">
        <is>
          <t>• [May] The Ombudsman may enter agency premises after notifying the chief officer
• [Must] The Ombudsman is entitled to full and free access to all agency records at reasonable times
• [Must] The Ombudsman is entitled to full and free access to the General Register and Special Register
• [May] The Ombudsman may make copies of and take extracts from agency records</t>
        </is>
      </c>
      <c r="N327" s="11" t="inlineStr">
        <is>
          <t>• [May] The Ombudsman may require agency officers to provide relevant information
• [Must] The chief officer must ensure agency officers provide assistance to the Ombudsman
• [Must] The Ombudsman's powers include incidental actions necessary for inspections</t>
        </is>
      </c>
      <c r="O327" s="11" t="inlineStr">
        <is>
          <t>The Ombudsman may, after notifying the chief officer of the agency, enter at any reasonable time premises occupied by the agency</t>
        </is>
      </c>
      <c r="P327" s="12" t="n">
        <v>11</v>
      </c>
    </row>
    <row r="328">
      <c r="A328" t="inlineStr">
        <is>
          <t>Australia</t>
        </is>
      </c>
      <c r="B328" t="inlineStr">
        <is>
          <t>C2026C00209VOL01 (Australia - Row 26)</t>
        </is>
      </c>
      <c r="C328" t="inlineStr">
        <is>
          <t>249</t>
        </is>
      </c>
      <c r="D328" s="11" t="inlineStr">
        <is>
          <t>Ombudsman's requirements for officer attendance and information</t>
        </is>
      </c>
      <c r="E328" t="inlineStr">
        <is>
          <t>265–266</t>
        </is>
      </c>
      <c r="F328" t="inlineStr">
        <is>
          <t>Medium</t>
        </is>
      </c>
      <c r="G328" t="inlineStr">
        <is>
          <t>High (explicit)</t>
        </is>
      </c>
      <c r="H328" s="11" t="inlineStr"/>
      <c r="I328" s="11" t="inlineStr">
        <is>
          <t>Personal Information</t>
        </is>
      </c>
      <c r="J328" t="inlineStr">
        <is>
          <t>Ombudsman</t>
        </is>
      </c>
      <c r="K328" s="11" t="inlineStr">
        <is>
          <t>The Ombudsman may require officers to attend for questioning, provide information, or answer questions relevant to inspections. Officers cannot refuse to comply with these requirements. The specified time, place, and period must be reasonable, and the Ombudsman may require the chief officer to attend if the officer's identity is unknown.</t>
        </is>
      </c>
      <c r="L328" s="11" t="inlineStr">
        <is>
          <t>This section details the Ombudsman's authority to require officer attendance and information, relevant for DTIAs involving data access and inspection procedures.</t>
        </is>
      </c>
      <c r="M328" s="11" t="inlineStr">
        <is>
          <t>• [May] The Ombudsman may require an officer to attend before a specified inspecting officer
• [May] The Ombudsman may require an officer to attend at a specified place within a specified period
• [May] The Ombudsman may require the chief officer to attend if the officer's identity is unknown</t>
        </is>
      </c>
      <c r="N328" s="11" t="inlineStr">
        <is>
          <t>• [Condition] The specified time, place, and period must be reasonable
• [Must Not] An officer cannot refuse to attend, provide information, or answer questions</t>
        </is>
      </c>
      <c r="O328" s="11" t="inlineStr">
        <is>
          <t>The Ombudsman may, by writing given to the officer, require the officer to attend: (a) before a specified inspecting officer; (b) at a specified place; and (c) within a specified period or at a specified time on a specified day</t>
        </is>
      </c>
      <c r="P328" s="12" t="n">
        <v>11</v>
      </c>
    </row>
    <row r="329">
      <c r="A329" t="inlineStr">
        <is>
          <t>Australia</t>
        </is>
      </c>
      <c r="B329" t="inlineStr">
        <is>
          <t>C2026C00209VOL01 (Australia - Row 26)</t>
        </is>
      </c>
      <c r="C329" t="inlineStr">
        <is>
          <t>250</t>
        </is>
      </c>
      <c r="D329" s="11" t="inlineStr">
        <is>
          <t>Ombudsman's immunity from legal liability for information</t>
        </is>
      </c>
      <c r="E329" t="inlineStr">
        <is>
          <t>266–267</t>
        </is>
      </c>
      <c r="F329" t="inlineStr">
        <is>
          <t>Medium</t>
        </is>
      </c>
      <c r="G329" t="inlineStr">
        <is>
          <t>High (explicit)</t>
        </is>
      </c>
      <c r="H329" s="11" t="inlineStr"/>
      <c r="I329" s="11" t="inlineStr">
        <is>
          <t>Personal Information</t>
        </is>
      </c>
      <c r="J329" t="inlineStr">
        <is>
          <t>Ombudsman</t>
        </is>
      </c>
      <c r="K329" s="11" t="inlineStr">
        <is>
          <t>The Ombudsman cannot be sued for actions taken in good faith during inspections, as long as the information, answers, or documents are not admissible in evidence against the person except in prosecutions for offenses under section 107. This section also ensures officers can provide information or access to records without legal barriers.</t>
        </is>
      </c>
      <c r="L329" s="11" t="inlineStr">
        <is>
          <t>This section provides immunity for the Ombudsman's actions during inspections, relevant for DTIAs involving data access and reporting.</t>
        </is>
      </c>
      <c r="M329" s="11" t="inlineStr">
        <is>
          <t>• [Must] A person is not excused from giving information, answering questions, or providing access to documents when required by this Part
• [Must Not] Information, answers, or documents obtained under this Part are not admissible in evidence against the person except in prosecutions for offenses under section 107</t>
        </is>
      </c>
      <c r="N329" s="11" t="inlineStr">
        <is>
          <t>• [May] Officers may give information to inspecting officers without legal barriers
• [May] Officers may provide access to agency records without legal barriers</t>
        </is>
      </c>
      <c r="O329" s="11" t="inlineStr">
        <is>
          <t>Notwithstanding any other law, a person is not excused from giving information, answering a question, or giving access to a document, as and when required by or under this Part, on the ground that giving the information, answering the question, or giving access to the document, as the case may be, would contravene a law</t>
        </is>
      </c>
      <c r="P329" s="12" t="n">
        <v>11</v>
      </c>
    </row>
    <row r="330">
      <c r="A330" t="inlineStr">
        <is>
          <t>Australia</t>
        </is>
      </c>
      <c r="B330" t="inlineStr">
        <is>
          <t>C2026C00209VOL01 (Australia - Row 26)</t>
        </is>
      </c>
      <c r="C330" t="inlineStr">
        <is>
          <t>251</t>
        </is>
      </c>
      <c r="D330" s="11" t="inlineStr">
        <is>
          <t>Ombudsman's sharing of information for inspections</t>
        </is>
      </c>
      <c r="E330" t="inlineStr">
        <is>
          <t>267–268</t>
        </is>
      </c>
      <c r="F330" t="inlineStr">
        <is>
          <t>Medium</t>
        </is>
      </c>
      <c r="G330" t="inlineStr">
        <is>
          <t>High (explicit)</t>
        </is>
      </c>
      <c r="H330" s="11" t="inlineStr"/>
      <c r="I330" s="11" t="inlineStr">
        <is>
          <t>Personal Information</t>
        </is>
      </c>
      <c r="J330" t="inlineStr">
        <is>
          <t>Ombudsman</t>
        </is>
      </c>
      <c r="K330" s="11" t="inlineStr">
        <is>
          <t>Information provided to inspecting officers for inspections or reports may be shared with other inspecting officers, used, or recorded for the purpose of inspections or reports. This section ensures that information obtained under this Part is not subject to other laws.</t>
        </is>
      </c>
      <c r="L330" s="11" t="inlineStr">
        <is>
          <t>This section allows sharing of information for inspections, relevant for DTIAs involving data access and reporting procedures.</t>
        </is>
      </c>
      <c r="M330" s="11" t="inlineStr">
        <is>
          <t>• [May] Inspecting officers may communicate information to other inspecting officers for inspections or reports
• [May] Inspecting officers may make use of information obtained during inspections</t>
        </is>
      </c>
      <c r="N330" s="11" t="inlineStr">
        <is>
          <t>• [May] Inspecting officers may make records of information for inspections or reports</t>
        </is>
      </c>
      <c r="O330" s="11" t="inlineStr">
        <is>
          <t>Where information is given or communicated to an inspecting officer, as permitted by subsection 88(2) or this section, for the purposes of an inspection, or of a report on an inspection, under this Part of an agency's records; the inspecting officer may, notwithstanding section 63 or any other law, communicate to another inspecting officer, make use of, or make a record of, the information for the purposes of an inspection, or of a report on an inspection</t>
        </is>
      </c>
      <c r="P330" s="12" t="n">
        <v>11</v>
      </c>
    </row>
    <row r="331">
      <c r="A331" t="inlineStr">
        <is>
          <t>Australia</t>
        </is>
      </c>
      <c r="B331" t="inlineStr">
        <is>
          <t>C2026C00209VOL01 (Australia - Row 26)</t>
        </is>
      </c>
      <c r="C331" t="inlineStr">
        <is>
          <t>253</t>
        </is>
      </c>
      <c r="D331" s="11" t="inlineStr">
        <is>
          <t>State agency definitions and information exchange with inspecting authorities</t>
        </is>
      </c>
      <c r="E331" t="inlineStr">
        <is>
          <t>269–270</t>
        </is>
      </c>
      <c r="F331" t="inlineStr">
        <is>
          <t>Low</t>
        </is>
      </c>
      <c r="G331" t="inlineStr">
        <is>
          <t>High (explicit)</t>
        </is>
      </c>
      <c r="H331" s="11" t="inlineStr"/>
      <c r="I331" s="11" t="inlineStr">
        <is>
          <t>Personal Information</t>
        </is>
      </c>
      <c r="J331" t="inlineStr"/>
      <c r="K331" s="11" t="inlineStr">
        <is>
          <t>This section defines 'State agency' as an eligible authority of a State that is an agency, and 'State inspecting authority' as the authority that inspects State agencies under relevant State law. It establishes that the Ombudsman may share information related to State agencies obtained under this Act with the State inspecting authority, but only if the Ombudsman is satisfied the sharing is necessary for the authority's functions. The Ombudsman may also receive information from State inspecting authorities relevant to their functions.</t>
        </is>
      </c>
      <c r="L331" s="11" t="inlineStr"/>
      <c r="M331" s="11" t="inlineStr">
        <is>
          <t>• [Definition] State agency means an eligible authority of a State that is an agency
• [Definition] State inspecting authority, in relation to a State agency, means the authority that, under the law of the State concerned, has the function of making inspections of the kind referred to in paragraph 35(1)(h) of this Act, or section 9A of the Inspector-General of Intelligence and Security Act 1986, when the State agency is exercising powers under t…
• [Must] The Ombudsman may give information that relates to a State agency and was obtained by the Ombudsman under this Act to the authority that is the State inspecting authority in relation to the agency</t>
        </is>
      </c>
      <c r="N331" s="11" t="inlineStr">
        <is>
          <t>• [Condition] The Ombudsman may only give information to an authority under subsection (2) if the Ombudsman is satisfied that the giving of the information is necessary to enable the authority to perform its functions in relation to the State agency
• [May] The Ombudsman may receive from a State inspecting authority information relevant to the performance of the Ombudsman's functions under this Act</t>
        </is>
      </c>
      <c r="O331" s="11" t="inlineStr">
        <is>
          <t>253 Compilation State agency means an eligible authority of a State that is an agency. State inspecting authority, in relation to a State agency, means the authority that, under the law of the State concerned, has the function of making inspections of the kind referred to in paragraph 35(1)(h) of this Act, or section 9A of the Inspector-General of Intelligence and Security Act 1986, when the State agency is exercising powers under the law of that State that is of a similar nature to this Act.</t>
        </is>
      </c>
      <c r="P331" s="12" t="n">
        <v>11</v>
      </c>
    </row>
    <row r="332">
      <c r="A332" t="inlineStr">
        <is>
          <t>Australia</t>
        </is>
      </c>
      <c r="B332" t="inlineStr">
        <is>
          <t>C2026C00209VOL01 (Australia - Row 26)</t>
        </is>
      </c>
      <c r="C332" t="inlineStr">
        <is>
          <t>254</t>
        </is>
      </c>
      <c r="D332" s="11" t="inlineStr">
        <is>
          <t>Information exchange between IGIS and State inspecting authorities</t>
        </is>
      </c>
      <c r="E332" t="inlineStr">
        <is>
          <t>270–271</t>
        </is>
      </c>
      <c r="F332" t="inlineStr">
        <is>
          <t>Low</t>
        </is>
      </c>
      <c r="G332" t="inlineStr">
        <is>
          <t>High (explicit)</t>
        </is>
      </c>
      <c r="H332" s="11" t="inlineStr"/>
      <c r="I332" s="11" t="inlineStr">
        <is>
          <t>Personal Information</t>
        </is>
      </c>
      <c r="J332" t="inlineStr"/>
      <c r="K332" s="11" t="inlineStr">
        <is>
          <t>This section defines the conditions under which the Inspector-General of Intelligence and Security (IGIS) may share information related to State agencies with State inspecting authorities. The IGIS may provide information that relates to State agencies, was obtained under the IGIS Act 1986, and relates to the use of powers under this Act by an intelligence agency, with the State inspecting authority. The sharing is permitted only if the IGIS is satisfied it is necessary for the authority to perform its functions regarding the State agency.</t>
        </is>
      </c>
      <c r="L332" s="11" t="inlineStr"/>
      <c r="M332" s="11" t="inlineStr">
        <is>
          <t>• [Must] The Inspector-General of Intelligence and Security may give information that relates to a State agency and was obtained by an IGIS official under the Inspector-General of Intelligence and Security Act 1986
• [Must] The Inspector-General of Intelligence and Security may give information that relates to the use of powers under this Act by an intelligence agency (within the meaning of the Inspector-General of Intelligence and Security Act 1986)</t>
        </is>
      </c>
      <c r="N332" s="11" t="inlineStr">
        <is>
          <t>• [Condition] The Inspector-General of Intelligence and Security may only give information to an authority under subsection (5) if the Inspector-General of Intelligence and Security is satisfied that the giving of the information is necessary to enable the authority to perform its functions in relation to the State agency
• [May] The Inspector-General of Intelligence and Security may receive from a State inspecting authority information that relates to the use of powers under this Act by an intelligence agency and is relevant to the performance of the Inspector-General of Intelligence and Security's functions under that Act</t>
        </is>
      </c>
      <c r="O332" s="11" t="inlineStr">
        <is>
          <t>254 Compilation The Inspector-General of Intelligence and Security may give information that: (a) relates to a State agency; and (b) was obtained by an IGIS official under the Inspector-General of Intelligence and Security Act 1986; and (c) relates to the use of powers under this Act by an intelligence agency (within the meaning of the Inspector-General of Intelligence and Security Act 1986); to the State inspecting authority in relation to the State agency.</t>
        </is>
      </c>
      <c r="P332" s="12" t="n">
        <v>11</v>
      </c>
    </row>
    <row r="333">
      <c r="A333" t="inlineStr">
        <is>
          <t>Australia</t>
        </is>
      </c>
      <c r="B333" t="inlineStr">
        <is>
          <t>C2026C00209VOL01 (Australia - Row 26)</t>
        </is>
      </c>
      <c r="C333" t="inlineStr">
        <is>
          <t>256</t>
        </is>
      </c>
      <c r="D333" s="11" t="inlineStr">
        <is>
          <t>Annual reports by State authorities on information derived from records</t>
        </is>
      </c>
      <c r="E333" t="inlineStr">
        <is>
          <t>272–273</t>
        </is>
      </c>
      <c r="F333" t="inlineStr">
        <is>
          <t>None</t>
        </is>
      </c>
      <c r="G333" t="inlineStr">
        <is>
          <t>High (explicit)</t>
        </is>
      </c>
      <c r="H333" s="11" t="inlineStr"/>
      <c r="I333" s="11" t="inlineStr">
        <is>
          <t>Personal Information</t>
        </is>
      </c>
      <c r="J333" t="inlineStr"/>
      <c r="K333" s="11" t="inlineStr">
        <is>
          <t>This section requires State authorities to report to the Minister whether information that section 102 or 102A requires in the Minister's report can be derived from the authority's records. If such information can be derived, the report must set out that information; otherwise, it must state that no such information can be derived. The report must also include a statement of total expenditure incurred by the authority in executing warrants during the year.</t>
        </is>
      </c>
      <c r="L333" s="11" t="inlineStr"/>
      <c r="M333" s="11" t="inlineStr">
        <is>
          <t>• [Must] A report under subsection (3) must include a statement of the total expenditure (including expenditure of a capital nature) incurred by the agency concerned in connection with the execution of warrants during the year to which the report relates</t>
        </is>
      </c>
      <c r="N333" s="11" t="inlineStr">
        <is>
          <t>• [Condition] Section 34C of the Acts Interpretation Act 1901 does not apply in relation to a report under subsection (3) of this section</t>
        </is>
      </c>
      <c r="O333" s="11" t="inlineStr">
        <is>
          <t>256 Compilation (3A) A report under subsection (3) must include a statement of the total expenditure (including expenditure of a capital nature) incurred by the agency concerned in connection with the execution of warrants during the year to which the report relates.</t>
        </is>
      </c>
      <c r="P333" s="12" t="n">
        <v>11</v>
      </c>
    </row>
    <row r="334">
      <c r="A334" t="inlineStr">
        <is>
          <t>Australia</t>
        </is>
      </c>
      <c r="B334" t="inlineStr">
        <is>
          <t>C2026C00209VOL01 (Australia - Row 26)</t>
        </is>
      </c>
      <c r="C334" t="inlineStr">
        <is>
          <t>258</t>
        </is>
      </c>
      <c r="D334" s="11" t="inlineStr">
        <is>
          <t>Annual reports by State authorities on emergency interception actions</t>
        </is>
      </c>
      <c r="E334" t="inlineStr">
        <is>
          <t>274–275</t>
        </is>
      </c>
      <c r="F334" t="inlineStr">
        <is>
          <t>None</t>
        </is>
      </c>
      <c r="G334" t="inlineStr">
        <is>
          <t>High (explicit)</t>
        </is>
      </c>
      <c r="H334" s="11" t="inlineStr"/>
      <c r="I334" s="11" t="inlineStr">
        <is>
          <t>Personal Information</t>
        </is>
      </c>
      <c r="J334" t="inlineStr"/>
      <c r="K334" s="11" t="inlineStr">
        <is>
          <t>This section requires State authorities to report to the Minister on emergency interception actions taken without warrants or after warrant applications were refused. The report must detail the date, time, duration of interceptions, reasons for not intercepting communications under a telecommunications service warrant, information about the use of intercepted information, communication of information to third parties, and the number of arrests made based on intercepted information.</t>
        </is>
      </c>
      <c r="L334" s="11" t="inlineStr"/>
      <c r="M334" s="11" t="inlineStr">
        <is>
          <t>• [Must] The report must contain the following information: (a) if an interception occurred: (i) the date and time at which the interception began; (ii) the duration of the interception
• [Must] The report must contain the following information: (b) if there was no interception but action had been taken to cause a communication to be intercepted—details of the action taken
• [Must] The report must contain the following information: (c) the reasons it would not have been effective to intercept the communications under a telecommunications service warrant
• [Must] The report must contain the following information: (d) information about the use made by the agency of information obtained by each interception</t>
        </is>
      </c>
      <c r="N334" s="11" t="inlineStr">
        <is>
          <t>• [Must] The report must contain the following information: (e) information about the communication of such information to persons other than officers of the agency
• [Must] The report must contain the following information: (f) the number of arrests that have been, or are likely to be, made on the basis of such information
• [Must] The report must contain the following information: (g) an assessment of the usefulness of information obtained by each interception</t>
        </is>
      </c>
      <c r="O334" s="11" t="inlineStr">
        <is>
          <t>258 Compilation (3) The report must contain the following information: (a) if an interception occurred: (i) the date and time at which the interception began; (ii) the duration of the interception; (b) if there was no interception but action had been taken to cause a communication to be intercepted—details of the action taken; (c) the reasons it would not have been effective to intercept the communications under a telecommunications service warrant; (d) information about the use made by the agency of information obtained by each interception; (e) information about the communication of such information to persons other than officers of the agency; (f) the number of arrests that have been, or are likely to be, made on the basis of such information; (g) an assessment of the usefulness of information obtained by each interception.</t>
        </is>
      </c>
      <c r="P334" s="12" t="n">
        <v>11</v>
      </c>
    </row>
    <row r="335">
      <c r="A335" t="inlineStr">
        <is>
          <t>Australia</t>
        </is>
      </c>
      <c r="B335" t="inlineStr">
        <is>
          <t>C2026C00209VOL01 (Australia - Row 26)</t>
        </is>
      </c>
      <c r="C335" t="inlineStr">
        <is>
          <t>259</t>
        </is>
      </c>
      <c r="D335" s="11" t="inlineStr">
        <is>
          <t>Annual reports by State authorities on information derived from records</t>
        </is>
      </c>
      <c r="E335" t="inlineStr">
        <is>
          <t>275–276</t>
        </is>
      </c>
      <c r="F335" t="inlineStr">
        <is>
          <t>None</t>
        </is>
      </c>
      <c r="G335" t="inlineStr">
        <is>
          <t>High (explicit)</t>
        </is>
      </c>
      <c r="H335" s="11" t="inlineStr"/>
      <c r="I335" s="11" t="inlineStr">
        <is>
          <t>Personal Information</t>
        </is>
      </c>
      <c r="J335" t="inlineStr"/>
      <c r="K335" s="11" t="inlineStr">
        <is>
          <t>This section requires State authorities to report to the Minister whether information that section 102 or 102A requires in the Minister's report can be derived from the authority's records. If such information can be derived, the report must set out that information; otherwise, it must state that no such information can be derived. The report must also include a statement of total expenditure incurred by the authority in executing warrants during the year.</t>
        </is>
      </c>
      <c r="L335" s="11" t="inlineStr"/>
      <c r="M335" s="11" t="inlineStr">
        <is>
          <t>• [Must] The chief officer of an eligible authority of a State shall, as soon as practicable, and in any event within 3 months, after each 30 June, give to the Minister a written report that: (a) if information that section 102 or 102A requires to be set out in the Minister's report under Division 2 relating to the year ending on that 30 June can be derive…
• [Must] A report under subsection (1) must include a statement of the total expenditure (including expenditure of a capital nature) incurred by the eligible authority concerned in connection with the execution of warrants during the year to which the report relates</t>
        </is>
      </c>
      <c r="N335" s="11" t="inlineStr">
        <is>
          <t>• [Condition] Where a Minister of a State has given to the Minister a written report that sets out the information that, but for this subsection, subsections (1) and (1A) would require to be set out in a report by the chief officer of an eligible authority of that State, the chief officer need not give to the Minister the last-mentioned report</t>
        </is>
      </c>
      <c r="O335" s="11" t="inlineStr">
        <is>
          <t>259 Compilation The chief officer of an eligible authority of a State shall, as soon as practicable, and in any event within 3 months, after each 30 June, give to the Minister a written report that: (a) if information that section 102 or 102A requires to be set out in the Minister's report under Division 2 relating to the year ending on that 30 June can be derived from the authority's records—sets out that information; or (b) in any other case—states that no such information can be derived.</t>
        </is>
      </c>
      <c r="P335" s="12" t="n">
        <v>11</v>
      </c>
    </row>
    <row r="336">
      <c r="A336" t="inlineStr">
        <is>
          <t>Australia</t>
        </is>
      </c>
      <c r="B336" t="inlineStr">
        <is>
          <t>C2026C00209VOL01 (Australia - Row 26)</t>
        </is>
      </c>
      <c r="C336" t="inlineStr">
        <is>
          <t>260</t>
        </is>
      </c>
      <c r="D336" s="11" t="inlineStr">
        <is>
          <t>Annual report by Minister on warrants under Part 2-5</t>
        </is>
      </c>
      <c r="E336" t="inlineStr">
        <is>
          <t>276–277</t>
        </is>
      </c>
      <c r="F336" t="inlineStr">
        <is>
          <t>None</t>
        </is>
      </c>
      <c r="G336" t="inlineStr">
        <is>
          <t>High (explicit)</t>
        </is>
      </c>
      <c r="H336" s="11" t="inlineStr"/>
      <c r="I336" s="11" t="inlineStr">
        <is>
          <t>Personal Information</t>
        </is>
      </c>
      <c r="J336" t="inlineStr"/>
      <c r="K336" s="11" t="inlineStr">
        <is>
          <t>This section requires the Minister to prepare an annual report that relates to the year ending on 30 June and complies with the Division. The report must include statistics on applications for Part 2-5 warrants, telephone applications, renewal applications, applications with requests for entry on premises, and conditions or restrictions related to interceptions under warrants.</t>
        </is>
      </c>
      <c r="L336" s="11" t="inlineStr"/>
      <c r="M336" s="11" t="inlineStr">
        <is>
          <t>• [Must] The Minister shall, as soon as practicable after each 30 June, cause to be prepared a written report that relates to the year ending on that 30 June and complies with this Division</t>
        </is>
      </c>
      <c r="N336" s="11" t="inlineStr"/>
      <c r="O336" s="11" t="inlineStr">
        <is>
          <t>260 Compilation The Minister shall, as soon as practicable after each 30 June, cause to be prepared a written report that relates to the year ending on that 30 June and complies with this Division.</t>
        </is>
      </c>
      <c r="P336" s="12" t="n">
        <v>11</v>
      </c>
    </row>
    <row r="337">
      <c r="A337" t="inlineStr">
        <is>
          <t>Australia</t>
        </is>
      </c>
      <c r="B337" t="inlineStr">
        <is>
          <t>C2026C00209VOL01 (Australia - Row 26)</t>
        </is>
      </c>
      <c r="C337" t="inlineStr">
        <is>
          <t>263</t>
        </is>
      </c>
      <c r="D337" s="11" t="inlineStr">
        <is>
          <t>Reporting requirements for warrant statistics</t>
        </is>
      </c>
      <c r="E337" t="inlineStr">
        <is>
          <t>279–280</t>
        </is>
      </c>
      <c r="F337" t="inlineStr">
        <is>
          <t>Low</t>
        </is>
      </c>
      <c r="G337" t="inlineStr">
        <is>
          <t>High (explicit)</t>
        </is>
      </c>
      <c r="H337" s="11" t="inlineStr"/>
      <c r="I337" s="11" t="inlineStr">
        <is>
          <t>Personal Information</t>
        </is>
      </c>
      <c r="J337" t="inlineStr"/>
      <c r="K337" s="11" t="inlineStr">
        <is>
          <t>This section mandates that reports must include specific statistics about telecommunications devices, intercepted communications, and serious offences specified in warrants. The report must detail the number of telecommunications services intercepted, the total number of devices, and categories of serious offences for each Commonwealth agency and eligible State authority. The requirements apply to agencies and authorities that were active during the reporting year.</t>
        </is>
      </c>
      <c r="L337" s="11" t="inlineStr">
        <is>
          <t>This section specifies statistical reporting obligations for warrant activities, which could impact data transfer assessments by requiring detailed tracking of intercepted communications and their legal use.</t>
        </is>
      </c>
      <c r="M337" s="11" t="inlineStr">
        <is>
          <t>• [Must] Report must include total number of telecommunications services intercepted under warrants
• [Must] Report must include total number of telecommunications devices by which communications were intercepted</t>
        </is>
      </c>
      <c r="N337" s="11" t="inlineStr">
        <is>
          <t>• [Must] Report must include categories of serious offences specified in warrants
• [Must] Report must include how many serious offences in each category were specified</t>
        </is>
      </c>
      <c r="O337" s="11" t="inlineStr">
        <is>
          <t>263 Compilation ... the total number of telecommunications services intercepted under those of the warrants that did authorise the interception of communications made by means of a telecommunications device or telecommunications devices identified in the warrant; and (iii) the total number of telecommunications devices by which communications were intercepted under those of the warrants that did authorise the interception of communications made by means of a telecommunications device or telecommunications devices identified in the warrant; and</t>
        </is>
      </c>
      <c r="P337" s="12" t="n">
        <v>11</v>
      </c>
    </row>
    <row r="338">
      <c r="A338" t="inlineStr">
        <is>
          <t>Australia</t>
        </is>
      </c>
      <c r="B338" t="inlineStr">
        <is>
          <t>C2026C00209VOL01 (Australia - Row 26)</t>
        </is>
      </c>
      <c r="C338" t="inlineStr">
        <is>
          <t>265</t>
        </is>
      </c>
      <c r="D338" s="11" t="inlineStr">
        <is>
          <t>Warrant renewal duration definitions</t>
        </is>
      </c>
      <c r="E338" t="inlineStr">
        <is>
          <t>281–282</t>
        </is>
      </c>
      <c r="F338" t="inlineStr">
        <is>
          <t>Low</t>
        </is>
      </c>
      <c r="G338" t="inlineStr">
        <is>
          <t>High (explicit)</t>
        </is>
      </c>
      <c r="H338" s="11" t="inlineStr"/>
      <c r="I338" s="11" t="inlineStr">
        <is>
          <t>Personal Information</t>
        </is>
      </c>
      <c r="J338" t="inlineStr"/>
      <c r="K338" s="11" t="inlineStr">
        <is>
          <t>This section defines what constitutes a 90-day, 150-day, or 180-day final renewal warrant. It specifies that such renewals must be the last renewal of an original warrant that ceased to be in force within specific timeframes after the original warrant was issued. The definition applies to the reporting requirements for warrant effectiveness.</t>
        </is>
      </c>
      <c r="L338" s="11" t="inlineStr">
        <is>
          <t>This section clarifies the duration definitions for warrant renewals, which may affect how long data can be retained under warrant authority.</t>
        </is>
      </c>
      <c r="M338" s="11" t="inlineStr">
        <is>
          <t>• [Must] A 90-day final renewal refers to a warrant that ceased to be in force more than 90 days but not more than 150 days after original warrant issuance
• [Must] A 150-day final renewal refers to a warrant that ceased to be in force more than 150 days but not more than 180 days after original warrant issuance</t>
        </is>
      </c>
      <c r="N338" s="11" t="inlineStr">
        <is>
          <t>• [Must] An 180-day final renewal refers to a warrant that ceased to be in force more than 180 days after original warrant issuance</t>
        </is>
      </c>
      <c r="O338" s="11" t="inlineStr">
        <is>
          <t>265 Compilation ... A reference in subsection (1) or (2) to a 90 day final renewal, to a 150 day final renewal or to a 180 day final renewal is a reference to a warrant: (a) that is the last renewal of an original warrant; and (b) that ceased to be in force: (i) more than 90 days but not more than 150 days; (ii) more than 150 days but not more than 180 days; or (iii) more than 180 days; as the case may be, after the day of issue of that original warrant.</t>
        </is>
      </c>
      <c r="P338" s="12" t="n">
        <v>11</v>
      </c>
    </row>
    <row r="339">
      <c r="A339" t="inlineStr">
        <is>
          <t>Australia</t>
        </is>
      </c>
      <c r="B339" t="inlineStr">
        <is>
          <t>C2026C00209VOL01 (Australia - Row 26)</t>
        </is>
      </c>
      <c r="C339" t="inlineStr">
        <is>
          <t>266</t>
        </is>
      </c>
      <c r="D339" s="11" t="inlineStr">
        <is>
          <t>Warrant effectiveness reporting metrics</t>
        </is>
      </c>
      <c r="E339" t="inlineStr">
        <is>
          <t>282–283</t>
        </is>
      </c>
      <c r="F339" t="inlineStr">
        <is>
          <t>Low</t>
        </is>
      </c>
      <c r="G339" t="inlineStr">
        <is>
          <t>High (explicit)</t>
        </is>
      </c>
      <c r="H339" s="11" t="inlineStr"/>
      <c r="I339" s="11" t="inlineStr">
        <is>
          <t>Personal Information</t>
        </is>
      </c>
      <c r="J339" t="inlineStr"/>
      <c r="K339" s="11" t="inlineStr">
        <is>
          <t>This section requires reports to include metrics on the effectiveness of warrants, such as the number of arrests made and prosecutions that ended using lawfully intercepted information. It specifies that the report must detail how many arrests were made in connection with agency functions or based on intercepted information, and the number of prosecutions for specific offence categories with convictions.</t>
        </is>
      </c>
      <c r="L339" s="11" t="inlineStr">
        <is>
          <t>This section defines how warrant effectiveness is measured, which could impact data transfer assessments by requiring tracking of intercepted data's legal use in prosecutions.</t>
        </is>
      </c>
      <c r="M339" s="11" t="inlineStr">
        <is>
          <t>• [Must] Report must include number of arrests made during the year in connection with agency functions
• [Must] Report must include number of arrests made during the year based on lawfully intercepted information</t>
        </is>
      </c>
      <c r="N339" s="11" t="inlineStr">
        <is>
          <t>• [Must] Report must include categories of prescribed offences for which prosecutions ended using intercepted information
• [Must] Report must include number of offences in each category with convictions</t>
        </is>
      </c>
      <c r="O339" s="11" t="inlineStr">
        <is>
          <t>266 Compilation ... the report shall set out, for each Commonwealth agency, for each eligible Commonwealth authority, and for each eligible authority of a State: (a) how many arrests were made during that year: (i) in connection with the performance by the agency or authority of its functions; and (ii) on the basis of information that was or included lawfully intercepted information; (b) the categories of the prescribed offences proceedings by way of prosecutions for which ended during that year, being proceedings in which, according to the records of the agency or authority, lawfully intercepted information was given in evidence; and (c) in relation to each of those categories: (i) the number of such offences in that category; and (ii) the number of such offences in that category in respect of which convictions were recorded.</t>
        </is>
      </c>
      <c r="P339" s="12" t="n">
        <v>11</v>
      </c>
    </row>
    <row r="340">
      <c r="A340" t="inlineStr">
        <is>
          <t>Australia</t>
        </is>
      </c>
      <c r="B340" t="inlineStr">
        <is>
          <t>C2026C00209VOL01 (Australia - Row 26)</t>
        </is>
      </c>
      <c r="C340" t="inlineStr">
        <is>
          <t>267</t>
        </is>
      </c>
      <c r="D340" s="11" t="inlineStr">
        <is>
          <t>Warrant eligibility calculation</t>
        </is>
      </c>
      <c r="E340" t="inlineStr">
        <is>
          <t>283–284</t>
        </is>
      </c>
      <c r="F340" t="inlineStr">
        <is>
          <t>Low</t>
        </is>
      </c>
      <c r="G340" t="inlineStr">
        <is>
          <t>High (explicit)</t>
        </is>
      </c>
      <c r="H340" s="11" t="inlineStr"/>
      <c r="I340" s="11" t="inlineStr">
        <is>
          <t>Personal Information</t>
        </is>
      </c>
      <c r="J340" t="inlineStr"/>
      <c r="K340" s="11" t="inlineStr">
        <is>
          <t>This section defines the calculation for eligible warrants in the report, specifying that eligible warrants are those that were issued to an agency or authority, were in force during the reporting year, and for which a prosecution was instituted or likely to be instituted based on intercepted information. It clarifies how warrants are categorized for effectiveness metrics.</t>
        </is>
      </c>
      <c r="L340" s="11" t="inlineStr">
        <is>
          <t>This section provides the formula for determining eligible warrants, which could impact data transfer assessments by defining when intercepted data is legally actionable.</t>
        </is>
      </c>
      <c r="M340" s="11" t="inlineStr">
        <is>
          <t>• [Must] Eligible warrants are those that were issued to the agency or authority
• [Must] Eligible warrants were in force during the reporting year</t>
        </is>
      </c>
      <c r="N340" s="11" t="inlineStr">
        <is>
          <t>• [Must] Eligible warrants had prosecutions instituted or likely to be instituted based on intercepted information</t>
        </is>
      </c>
      <c r="O340" s="11" t="inlineStr">
        <is>
          <t>267 Compilation ... Eligible warrants means the number of warrants that satisfy the following conditions: (a) the warrant was issued to the agency or authority, as the case requires; (b) the warrant was in force during the year to which the report relates; (c) a prosecution was instituted, or was likely to be instituted, on the basis of information obtained by interceptions under: (i) if the warrant was a renewal of an original warrant: (A) the original warrant; or (B) any other renewal of the original warrant; or (ii) if the warrant was an original warrant—any renewal of the original warrant.</t>
        </is>
      </c>
      <c r="P340" s="12" t="n">
        <v>11</v>
      </c>
    </row>
    <row r="341">
      <c r="A341" t="inlineStr">
        <is>
          <t>Australia</t>
        </is>
      </c>
      <c r="B341" t="inlineStr">
        <is>
          <t>C2026C00209VOL01 (Australia - Row 26)</t>
        </is>
      </c>
      <c r="C341" t="inlineStr">
        <is>
          <t>269</t>
        </is>
      </c>
      <c r="D341" s="11" t="inlineStr">
        <is>
          <t>Warrant expenditure reporting</t>
        </is>
      </c>
      <c r="E341" t="inlineStr">
        <is>
          <t>285–286</t>
        </is>
      </c>
      <c r="F341" t="inlineStr">
        <is>
          <t>Medium</t>
        </is>
      </c>
      <c r="G341" t="inlineStr">
        <is>
          <t>High (explicit)</t>
        </is>
      </c>
      <c r="H341" s="11" t="inlineStr"/>
      <c r="I341" s="11" t="inlineStr">
        <is>
          <t>Personal Information</t>
        </is>
      </c>
      <c r="J341" t="inlineStr"/>
      <c r="K341" s="11" t="inlineStr">
        <is>
          <t>This section requires reports to include the total expenditure incurred by agencies or authorities in executing warrants during the reporting year, the number of warrants, and information about judge availability and interceptions carried out on behalf of other agencies or authorities. It specifies the formula for calculating warrant expenditure per warrant.</t>
        </is>
      </c>
      <c r="L341" s="11" t="inlineStr">
        <is>
          <t>This section details financial reporting obligations for warrant activities, which could impact data transfer assessments by requiring tracking of costs associated with intercepted data use.</t>
        </is>
      </c>
      <c r="M341" s="11" t="inlineStr">
        <is>
          <t>• [Must] Report must include total expenditure incurred by agency or authority in executing warrants during the year
• [Must] Report must include number of warrants to which total expenditure relates</t>
        </is>
      </c>
      <c r="N341" s="11" t="inlineStr">
        <is>
          <t>• [Must] Report must include information about judge availability to issue warrants
• [Must] Report must include number of interceptions carried out on behalf of other agencies or authorities</t>
        </is>
      </c>
      <c r="O341" s="11" t="inlineStr">
        <is>
          <t>269 Compilation ... the amount worked out using the formula: Total warrant expenditure means the total expenditure (including expenditure of a capital nature) incurred by the agency or the authority, as the case requires, in connection with the execution of warrants during the year to which the report relates. Number of warrants means the number of warrants to which the total warrant expenditure relates; and information about the availability of judges to issue warrants under Part 2-5 and the extent to which nominated ART members have been used for that purpose, but not including information that would identify a particular judge or ART member; and the number (if any) of interceptions carried out on behalf of each other such Commonwealth agency or eligible authority</t>
        </is>
      </c>
      <c r="P341" s="12" t="n">
        <v>11</v>
      </c>
    </row>
    <row r="342">
      <c r="A342" t="inlineStr">
        <is>
          <t>Australia</t>
        </is>
      </c>
      <c r="B342" t="inlineStr">
        <is>
          <t>C2026C00209VOL01 (Australia - Row 26)</t>
        </is>
      </c>
      <c r="C342" t="inlineStr">
        <is>
          <t>270</t>
        </is>
      </c>
      <c r="D342" s="11" t="inlineStr">
        <is>
          <t>Deferral of information in reports</t>
        </is>
      </c>
      <c r="E342" t="inlineStr">
        <is>
          <t>286–287</t>
        </is>
      </c>
      <c r="F342" t="inlineStr">
        <is>
          <t>Low</t>
        </is>
      </c>
      <c r="G342" t="inlineStr">
        <is>
          <t>High (explicit)</t>
        </is>
      </c>
      <c r="H342" s="11" t="inlineStr"/>
      <c r="I342" s="11" t="inlineStr">
        <is>
          <t>Personal Information</t>
        </is>
      </c>
      <c r="J342" t="inlineStr"/>
      <c r="K342" s="11" t="inlineStr">
        <is>
          <t>This section allows for the deferral of certain information in reports if the chief officer determines that the information constitutes Part 5.3 or Part 9.10 information. It requires the chief officer to advise the Minister in writing not to include such information in the next Ministerial report.</t>
        </is>
      </c>
      <c r="L342" s="11" t="inlineStr">
        <is>
          <t>This section provides a mechanism to exclude sensitive information from reports, which could impact data transfer assessments by allowing deferral of specific data categories.</t>
        </is>
      </c>
      <c r="M342" s="11" t="inlineStr">
        <is>
          <t>• [Must] Chief officer may advise Minister not to include Part 5.3 or Part 9.10 information in next report</t>
        </is>
      </c>
      <c r="N342" s="11" t="inlineStr"/>
      <c r="O342" s="11" t="inlineStr">
        <is>
          <t>270 Compilation ... (1) This section applies to information: (a) included in a report submitted to the Minister: (i) under section 84 by the Ombudsman in relation to a Commonwealth agency; or (ii) under section 94 by the chief officer of a Commonwealth agency; or (iii) under section 96 by the chief officer of an eligible authority of a State; and (b) that the Minister would, apart from this section, be required to include in the next Ministerial report. (2) If the chief officer of the Commonwealth agency or eligible authority is satisfied that the information is Part 5.3 information or Part 9.10 information, the chief officer must advise the Minister in writing not to include the information in the next Ministerial report.</t>
        </is>
      </c>
      <c r="P342" s="12" t="n">
        <v>11</v>
      </c>
    </row>
    <row r="343">
      <c r="A343" t="inlineStr">
        <is>
          <t>Australia</t>
        </is>
      </c>
      <c r="B343" t="inlineStr">
        <is>
          <t>C2026C00209VOL01 (Australia - Row 26)</t>
        </is>
      </c>
      <c r="C343" t="inlineStr">
        <is>
          <t>271</t>
        </is>
      </c>
      <c r="D343" s="11" t="inlineStr">
        <is>
          <t>Ministerial report exclusion for sensitive information</t>
        </is>
      </c>
      <c r="E343" t="inlineStr">
        <is>
          <t>287–288</t>
        </is>
      </c>
      <c r="F343" t="inlineStr">
        <is>
          <t>None</t>
        </is>
      </c>
      <c r="G343" t="inlineStr">
        <is>
          <t>High (explicit)</t>
        </is>
      </c>
      <c r="H343" s="11" t="inlineStr">
        <is>
          <t>Data Storage, Data Sharing</t>
        </is>
      </c>
      <c r="I343" s="11" t="inlineStr">
        <is>
          <t>Personal Information</t>
        </is>
      </c>
      <c r="J343" t="inlineStr"/>
      <c r="K343" s="11" t="inlineStr">
        <is>
          <t>The Minister must notify the chief officer in writing if the Minister is satisfied that information is Part 5.3 or Part 9.10 information. The Minister must not include such information in any Ministerial report until the Minister decides otherwise under subsection (5). If information is excluded, the chief officer must reconsider whether it qualifies as sensitive information before the next report and advise the Minister to include it if it no longer qualifies.</t>
        </is>
      </c>
      <c r="L343" s="11" t="inlineStr"/>
      <c r="M343" s="11" t="inlineStr">
        <is>
          <t>• [Must] Minister must notify chief officer in writing if satisfied information is Part 5.3 or Part 9.10 information
• [Must Not] Minister must not include information in Ministerial report until decides otherwise under subsection (5)</t>
        </is>
      </c>
      <c r="N343" s="11" t="inlineStr">
        <is>
          <t>• [Must] Chief officer must reconsider whether information is Part 5.3 or Part 9.10 information before next report
• [Must] Chief officer must advise Minister to include information in next report if satisfied it is not Part 5.3 or Part 9.10 information</t>
        </is>
      </c>
      <c r="O343" s="11" t="inlineStr">
        <is>
          <t>271 (3) If the Minister is satisfied, on the advice of the chief officer, that the information is Part 5.3 information or Part 9.10 information (as the case may be), the Minister must: (a) notify the chief officer in writing; and (b) not include the information in any Ministerial report until the Minister decides otherwise under subsection (5).</t>
        </is>
      </c>
      <c r="P343" s="12" t="n">
        <v>11</v>
      </c>
    </row>
    <row r="344">
      <c r="A344" t="inlineStr">
        <is>
          <t>Australia</t>
        </is>
      </c>
      <c r="B344" t="inlineStr">
        <is>
          <t>C2026C00209VOL01 (Australia - Row 26)</t>
        </is>
      </c>
      <c r="C344" t="inlineStr">
        <is>
          <t>281</t>
        </is>
      </c>
      <c r="D344" s="11" t="inlineStr">
        <is>
          <t>Preservation of stored communications for law enforcement</t>
        </is>
      </c>
      <c r="E344" t="inlineStr">
        <is>
          <t>297–298</t>
        </is>
      </c>
      <c r="F344" t="inlineStr">
        <is>
          <t>Low</t>
        </is>
      </c>
      <c r="G344" t="inlineStr">
        <is>
          <t>High (explicit)</t>
        </is>
      </c>
      <c r="H344" s="11" t="inlineStr">
        <is>
          <t>Data Storage, Data Sharing, Data Residency</t>
        </is>
      </c>
      <c r="I344" s="11" t="inlineStr">
        <is>
          <t>Personal Information</t>
        </is>
      </c>
      <c r="J344" t="inlineStr"/>
      <c r="K344" s="11" t="inlineStr">
        <is>
          <t>This section outlines a system for preserving stored communications held by carriers to prevent destruction before access under warrants. Carriers must preserve communications related to specified persons or services when given preservation notices by agencies. There are two types of preservation notices: domestic (for Australian law or security matters) and foreign (for foreign law or international offenses).</t>
        </is>
      </c>
      <c r="L344" s="11" t="inlineStr"/>
      <c r="M344" s="11" t="inlineStr">
        <is>
          <t>• [Must] Carriers must preserve stored communications held that relate to specified person or telecommunications service</t>
        </is>
      </c>
      <c r="N344" s="11" t="inlineStr">
        <is>
          <t>• [Must] Preservation notices can be domestic (for Australian law or security) or foreign (for foreign law or international offenses)</t>
        </is>
      </c>
      <c r="O344" s="11" t="inlineStr">
        <is>
          <t>281 (107G) This Part establishes a system of preserving certain stored communications that are held by a carrier. The purpose of the preservation is to prevent the communications from being destroyed before they can be accessed under certain warrants issued under this Act.</t>
        </is>
      </c>
      <c r="P344" s="12" t="n">
        <v>11</v>
      </c>
    </row>
    <row r="345">
      <c r="A345" t="inlineStr">
        <is>
          <t>Australia</t>
        </is>
      </c>
      <c r="B345" t="inlineStr">
        <is>
          <t>C2026C00209VOL01 (Australia - Row 26)</t>
        </is>
      </c>
      <c r="C345" t="inlineStr">
        <is>
          <t>296</t>
        </is>
      </c>
      <c r="D345" s="11" t="inlineStr">
        <is>
          <t>Access to stored communications for law enforcement</t>
        </is>
      </c>
      <c r="E345" t="inlineStr">
        <is>
          <t>312–313</t>
        </is>
      </c>
      <c r="F345" t="inlineStr">
        <is>
          <t>Low</t>
        </is>
      </c>
      <c r="G345" t="inlineStr">
        <is>
          <t>High (explicit)</t>
        </is>
      </c>
      <c r="H345" s="11" t="inlineStr">
        <is>
          <t>Data Sharing, Data Storage</t>
        </is>
      </c>
      <c r="I345" s="11" t="inlineStr">
        <is>
          <t>Personal Information</t>
        </is>
      </c>
      <c r="J345" t="inlineStr"/>
      <c r="K345" s="11" t="inlineStr">
        <is>
          <t>This section specifies when access to stored communications is permitted by law enforcement agencies. Access is allowed for specific purposes including investigating listening devices, determining device locations, and enforcement activities under the Spam Act 2003. The access must be under warrants or authorizations that meet specific legal criteria.</t>
        </is>
      </c>
      <c r="L345" s="11" t="inlineStr"/>
      <c r="M345" s="11" t="inlineStr">
        <is>
          <t>• [Must] Access to stored communications for discovering listening devices at a place
• [Must] Access to stored communications for determining location of listening device</t>
        </is>
      </c>
      <c r="N345" s="11" t="inlineStr">
        <is>
          <t>• [Must] Access to stored communications by ASIO employees for lawful duties under the Act</t>
        </is>
      </c>
      <c r="O345" s="11" t="inlineStr">
        <is>
          <t>296 (g) accessing a stored communication if the access results from, or is incidental to, action taken by an ASIO employee, in the lawful performance of his or her duties, for the purpose of: (i) discovering whether a listening device is being used at, or in relation to, a particular place; or (ii) determining the location of a listening device</t>
        </is>
      </c>
      <c r="P345" s="12" t="n">
        <v>11</v>
      </c>
    </row>
    <row r="346">
      <c r="A346" t="inlineStr">
        <is>
          <t>Australia</t>
        </is>
      </c>
      <c r="B346" t="inlineStr">
        <is>
          <t>C2026C00209VOL01 (Australia - Row 26)</t>
        </is>
      </c>
      <c r="C346" t="inlineStr">
        <is>
          <t>300</t>
        </is>
      </c>
      <c r="D346" s="11" t="inlineStr">
        <is>
          <t>Law enforcement agencies authorized to access communications</t>
        </is>
      </c>
      <c r="E346" t="inlineStr">
        <is>
          <t>316–317</t>
        </is>
      </c>
      <c r="F346" t="inlineStr">
        <is>
          <t>Low</t>
        </is>
      </c>
      <c r="G346" t="inlineStr">
        <is>
          <t>High (explicit)</t>
        </is>
      </c>
      <c r="H346" s="11" t="inlineStr">
        <is>
          <t>Data Sharing, Data Storage</t>
        </is>
      </c>
      <c r="I346" s="11" t="inlineStr">
        <is>
          <t>Personal Information</t>
        </is>
      </c>
      <c r="J346" t="inlineStr"/>
      <c r="K346" s="11" t="inlineStr">
        <is>
          <t>This section lists specific agencies authorized to access stored communications under certain conditions. The Immigration and Border Protection Department is authorized for specific acts related to customs, crimes, and border laws. Other agencies include the Australian Securities and Investments Commission, Australian Competition and Consumer Commission, and various state-based commissions. Each agency must meet specific criteria to be authorized.</t>
        </is>
      </c>
      <c r="L346" s="11" t="inlineStr"/>
      <c r="M346" s="11" t="inlineStr">
        <is>
          <t>• [Must] Immigration and Border Protection Department may access communications for customs, crimes, and border laws
• [Must] Australian Securities and Investments Commission may access communications</t>
        </is>
      </c>
      <c r="N346" s="11" t="inlineStr">
        <is>
          <t>• [Must] Australian Competition and Consumer Commission may access communications</t>
        </is>
      </c>
      <c r="O346" s="11" t="inlineStr">
        <is>
          <t>300 (e) subject to subsection (1A), the Immigration and Border Protection Department; (ea) the Australian Securities and Investments Commission; (eb) the Australian Competition and Consumer Commission</t>
        </is>
      </c>
      <c r="P346" s="12" t="n">
        <v>11</v>
      </c>
    </row>
    <row r="347">
      <c r="A347" t="inlineStr">
        <is>
          <t>Australia</t>
        </is>
      </c>
      <c r="B347" t="inlineStr">
        <is>
          <t>C2026C00209VOL01 (Australia - Row 26)</t>
        </is>
      </c>
      <c r="C347" t="inlineStr">
        <is>
          <t>301</t>
        </is>
      </c>
      <c r="D347" s="11" t="inlineStr">
        <is>
          <t>Declaration of criminal law-enforcement agencies</t>
        </is>
      </c>
      <c r="E347" t="inlineStr">
        <is>
          <t>317–318</t>
        </is>
      </c>
      <c r="F347" t="inlineStr">
        <is>
          <t>Low</t>
        </is>
      </c>
      <c r="G347" t="inlineStr">
        <is>
          <t>High (explicit)</t>
        </is>
      </c>
      <c r="H347" s="11" t="inlineStr">
        <is>
          <t>Data Sharing, Data Storage</t>
        </is>
      </c>
      <c r="I347" s="11" t="inlineStr">
        <is>
          <t>Personal Information</t>
        </is>
      </c>
      <c r="J347" t="inlineStr"/>
      <c r="K347" s="11" t="inlineStr">
        <is>
          <t>This section details the process for declaring an authority or body as a criminal law-enforcement agency. The Minister may declare an authority or body as such if it meets criteria including investigating serious contraventions, compliance with privacy principles, and having processes to ensure compliance with obligations. The declaration may be subject to conditions and can be revoked if circumstances change.</t>
        </is>
      </c>
      <c r="L347" s="11" t="inlineStr"/>
      <c r="M347" s="11" t="inlineStr">
        <is>
          <t>• [Must] Minister may declare authority or body as criminal law-enforcement agency
• [Must] Minister must be satisfied that authority or body investigates serious contraventions</t>
        </is>
      </c>
      <c r="N347" s="11" t="inlineStr">
        <is>
          <t>• [Must] Authority or body must comply with Australian Privacy Principles or binding schemes</t>
        </is>
      </c>
      <c r="O347" s="11" t="inlineStr">
        <is>
          <t>301 (a) an authority or body to be a criminal law-enforcement agency; and (b) persons specified, or of a kind specified, in the declaration to be officers of the criminal law-enforcement agency for the purposes of this Act.</t>
        </is>
      </c>
      <c r="P347" s="12" t="n">
        <v>11</v>
      </c>
    </row>
    <row r="348">
      <c r="A348" t="inlineStr">
        <is>
          <t>Australia</t>
        </is>
      </c>
      <c r="B348" t="inlineStr">
        <is>
          <t>C2026C00209VOL01 (Australia - Row 26)</t>
        </is>
      </c>
      <c r="C348" t="inlineStr">
        <is>
          <t>302</t>
        </is>
      </c>
      <c r="D348" s="11" t="inlineStr">
        <is>
          <t>Privacy protection requirements for law enforcement agencies</t>
        </is>
      </c>
      <c r="E348" t="inlineStr">
        <is>
          <t>318–319</t>
        </is>
      </c>
      <c r="F348" t="inlineStr">
        <is>
          <t>None</t>
        </is>
      </c>
      <c r="G348" t="inlineStr">
        <is>
          <t>High (explicit)</t>
        </is>
      </c>
      <c r="H348" s="11" t="inlineStr">
        <is>
          <t>Data Sharing, Data Storage</t>
        </is>
      </c>
      <c r="I348" s="11" t="inlineStr">
        <is>
          <t>Personal Information</t>
        </is>
      </c>
      <c r="J348" t="inlineStr"/>
      <c r="K348" s="11" t="inlineStr">
        <is>
          <t>This section specifies that any binding scheme providing protection for personal information must be comparable to the Australian Privacy Principles, include monitoring mechanisms for compliance, and allow individuals to seek recourse if their information is mishandled. The scheme must ensure that the authority or body complies with privacy obligations when accessing personal information.</t>
        </is>
      </c>
      <c r="L348" s="11" t="inlineStr"/>
      <c r="M348" s="11" t="inlineStr">
        <is>
          <t>• [Must] Privacy scheme must be comparable to Australian Privacy Principles
• [Must] Privacy scheme must include monitoring mechanism for compliance</t>
        </is>
      </c>
      <c r="N348" s="11" t="inlineStr">
        <is>
          <t>• [Must] Privacy scheme must include recourse mechanism for mishandled information</t>
        </is>
      </c>
      <c r="O348" s="11" t="inlineStr">
        <is>
          <t>302 (4A) For the purposes of subparagraphs (4)(c)(ii) and (iii), the protection of personal information provided by the scheme must: (a) be comparable to the protection provided by the Australian Privacy Principles; and (b) include a mechanism for monitoring the authority's or body's compliance with the scheme; and (c) include a mechanism that enables an individual to seek recourse if his or her personal information is mishandled.</t>
        </is>
      </c>
      <c r="P348" s="12" t="n">
        <v>11</v>
      </c>
    </row>
    <row r="349">
      <c r="A349" t="inlineStr">
        <is>
          <t>Australia</t>
        </is>
      </c>
      <c r="B349" t="inlineStr">
        <is>
          <t>C2026C00209VOL01 (Australia - Row 26)</t>
        </is>
      </c>
      <c r="C349" t="inlineStr">
        <is>
          <t>303</t>
        </is>
      </c>
      <c r="D349" s="11" t="inlineStr">
        <is>
          <t>Authorisation for legislative declarations</t>
        </is>
      </c>
      <c r="E349" t="inlineStr">
        <is>
          <t>319–320</t>
        </is>
      </c>
      <c r="F349" t="inlineStr">
        <is>
          <t>Low</t>
        </is>
      </c>
      <c r="G349" t="inlineStr">
        <is>
          <t>High (explicit)</t>
        </is>
      </c>
      <c r="H349" s="11" t="inlineStr"/>
      <c r="I349" s="11" t="inlineStr"/>
      <c r="J349" t="inlineStr"/>
      <c r="K349" s="11" t="inlineStr">
        <is>
          <t>This section requires that certain authorisations made by authorised officers under Division 4 of Part 4-1 must have been in force immediately before revocation. It also specifies that declarations under subsection (3) come into force upon making or later specified date and cease after 40 sitting days of a House of Parliament. If a Bill includes an amendment to this section, the Minister must refer it to the Parliamentary Joint Committee on Intelligence and Security for review and cannot specify a reporting period shorter than 15 sitting days after Bill introduction.</t>
        </is>
      </c>
      <c r="L349" s="11" t="inlineStr"/>
      <c r="M349" s="11" t="inlineStr">
        <is>
          <t>• [Must] An authorisation made by an authorised officer under Division 4 of Part 4-1 must have been in force immediately before revocation
• [Must] Declarations under subsection (3) come into force when made or on a later specified date
• [Must] Declarations under subsection (3) cease to be in force after 40 sitting days of a House of Parliament</t>
        </is>
      </c>
      <c r="N349" s="11" t="inlineStr">
        <is>
          <t>• [Must] If a Bill includes an amendment to subsection (1), the Minister must refer it to the Parliamentary Joint Committee on Intelligence and Security
• [Must Not] The Minister cannot specify a reporting period shorter than 15 sitting days after Bill introduction</t>
        </is>
      </c>
      <c r="O349" s="11" t="inlineStr">
        <is>
          <t>303 (c) an authorisation made by an authorised officer of the authority or body under Division 4 of Part 4-1; that was in force immediately before the revocation took effect.</t>
        </is>
      </c>
      <c r="P349" s="12" t="n">
        <v>11</v>
      </c>
    </row>
    <row r="350">
      <c r="A350" t="inlineStr">
        <is>
          <t>Australia</t>
        </is>
      </c>
      <c r="B350" t="inlineStr">
        <is>
          <t>C2026C00209VOL01 (Australia - Row 26)</t>
        </is>
      </c>
      <c r="C350" t="inlineStr">
        <is>
          <t>306</t>
        </is>
      </c>
      <c r="D350" s="11" t="inlineStr">
        <is>
          <t>Conditions for issuing stored communications warrants</t>
        </is>
      </c>
      <c r="E350" t="inlineStr">
        <is>
          <t>322–323</t>
        </is>
      </c>
      <c r="F350" t="inlineStr">
        <is>
          <t>Low</t>
        </is>
      </c>
      <c r="G350" t="inlineStr">
        <is>
          <t>High (explicit)</t>
        </is>
      </c>
      <c r="H350" s="11" t="inlineStr"/>
      <c r="I350" s="11" t="inlineStr"/>
      <c r="J350" t="inlineStr"/>
      <c r="K350" s="11" t="inlineStr">
        <is>
          <t>This section outlines the conditions under which an issuing authority may issue a stored communications warrant. The authority must be satisfied that Division 1 has been complied with, the person has made or another person has made communications for which they are the intended recipient, and that accessing the communications would likely assist in investigating a serious contravention or foreign contravention. The issuing authority must also consider the gravity of the conduct, potential interference with the investigation, and whether alternative investigative methods have been used.</t>
        </is>
      </c>
      <c r="L350" s="11" t="inlineStr"/>
      <c r="M350" s="11" t="inlineStr">
        <is>
          <t>• [Must] The issuing authority must be satisfied that Division 1 has been complied with
• [Must] The person must have made communications or another person must have made communications for which they are the intended recipient
• [Must] Accessing stored communications would likely assist in investigating a serious contravention or foreign contravention</t>
        </is>
      </c>
      <c r="N350" s="11" t="inlineStr">
        <is>
          <t>• [Must] The issuing authority must consider the gravity of the conduct constituting the serious contravention
• [Must] The issuing authority must consider how much information would assist in the investigation
• [Must] The issuing authority must consider whether alternative investigative methods have been used</t>
        </is>
      </c>
      <c r="O350" s="11" t="inlineStr">
        <is>
          <t>116 (1) An issuing authority to whom a criminal law-enforcement agency has applied for a stored communications warrant in respect of a person may, in his or her discretion, issue such a warrant if satisfied, on the basis of the information given to him or her under this Part in connection with the application, that: (a) Division 1 has been complied with in relation to the telephone; and (b) the person has made; or (c) another person has made and for which the person is the intended recipient; and (d) information that would be likely to be obtained by accessing those stored communications under a stored communications warrant would be likely to assist in connection with: (i) unless subparagraph (ii) applies—the investigation by the agency of a serious contravention in which the person is involved (including as a victim of the serious contravention); or (ii) for an international assistance application—the investigation, investigative proceeding, or proceeding by the entity to which the application relates, of a serious foreign contravention to which the application relates and in which the person is involved (including as a victim of the serious foreign contravention);</t>
        </is>
      </c>
      <c r="P350" s="12" t="n">
        <v>11</v>
      </c>
    </row>
    <row r="351">
      <c r="A351" t="inlineStr">
        <is>
          <t>Australia</t>
        </is>
      </c>
      <c r="B351" t="inlineStr">
        <is>
          <t>C2026C00209VOL01 (Australia - Row 26)</t>
        </is>
      </c>
      <c r="C351" t="inlineStr">
        <is>
          <t>307</t>
        </is>
      </c>
      <c r="D351" s="11" t="inlineStr">
        <is>
          <t>Matters to consider for issuing stored communications warrants</t>
        </is>
      </c>
      <c r="E351" t="inlineStr">
        <is>
          <t>323–324</t>
        </is>
      </c>
      <c r="F351" t="inlineStr">
        <is>
          <t>Low</t>
        </is>
      </c>
      <c r="G351" t="inlineStr">
        <is>
          <t>High (explicit)</t>
        </is>
      </c>
      <c r="H351" s="11" t="inlineStr"/>
      <c r="I351" s="11" t="inlineStr"/>
      <c r="J351" t="inlineStr"/>
      <c r="K351" s="11" t="inlineStr">
        <is>
          <t>This section details the specific matters the issuing authority must consider when determining whether to issue a stored communications warrant. For non-international applications, the authority must assess potential interference with the investigation, the gravity of the conduct, the amount of information likely to assist, and whether alternative investigative methods have been used. For international assistance applications, similar considerations apply but with specific focus on foreign contraventions.</t>
        </is>
      </c>
      <c r="L351" s="11" t="inlineStr"/>
      <c r="M351" s="11" t="inlineStr">
        <is>
          <t>• [Must] The issuing authority must consider potential interference with the investigation by accessing stored communications
• [Must] The issuing authority must consider the gravity of the conduct constituting the serious contravention</t>
        </is>
      </c>
      <c r="N351" s="11" t="inlineStr">
        <is>
          <t>• [Must] The issuing authority must consider how much information would assist in the investigation
• [Must] The issuing authority must consider whether alternative investigative methods have been used</t>
        </is>
      </c>
      <c r="O351" s="11" t="inlineStr">
        <is>
          <t>117 (2) For an application other than an international assistance application, the matters to which the issuing authority must have regard are: (a) likely to be interfered with by accessing those stored communications under a stored communications warrant; (b) the gravity of the conduct constituting the serious contravention; (c) how much the information referred to in subparagraph (1)(d)(i) would be likely to assist in connection with the investigation; (d) to what extent methods of investigating the serious contravention that do not involve the use of a stored communications warrant in relation to the person have been used by, or are available to, the agency;</t>
        </is>
      </c>
      <c r="P351" s="12" t="n">
        <v>11</v>
      </c>
    </row>
    <row r="352">
      <c r="A352" t="inlineStr">
        <is>
          <t>Australia</t>
        </is>
      </c>
      <c r="B352" t="inlineStr">
        <is>
          <t>C2026C00209VOL01 (Australia - Row 26)</t>
        </is>
      </c>
      <c r="C352" t="inlineStr">
        <is>
          <t>308</t>
        </is>
      </c>
      <c r="D352" s="11" t="inlineStr">
        <is>
          <t>Scope and form of stored communications warrants</t>
        </is>
      </c>
      <c r="E352" t="inlineStr">
        <is>
          <t>324–325</t>
        </is>
      </c>
      <c r="F352" t="inlineStr">
        <is>
          <t>None</t>
        </is>
      </c>
      <c r="G352" t="inlineStr">
        <is>
          <t>High (explicit)</t>
        </is>
      </c>
      <c r="H352" s="11" t="inlineStr"/>
      <c r="I352" s="11" t="inlineStr"/>
      <c r="J352" t="inlineStr"/>
      <c r="K352" s="11" t="inlineStr">
        <is>
          <t>This section defines what a stored communications warrant authorises and specifies the form and content requirements for such warrants. The warrant authorises access to communications made by the person or another person for whom they are the intended recipient, and must be in accordance with prescribed form and signed by the issuing authority. The warrant becomes effective when issued and must be executed before the communication is accessed.</t>
        </is>
      </c>
      <c r="L352" s="11" t="inlineStr"/>
      <c r="M352" s="11" t="inlineStr">
        <is>
          <t>• [Must] A stored communications warrant authorises access to communications made by the person or another person for whom they are the intended recipient
• [Must] A stored communications warrant must be in accordance with prescribed form</t>
        </is>
      </c>
      <c r="N352" s="11" t="inlineStr">
        <is>
          <t>• [Must] A stored communications warrant must be signed by the issuing authority</t>
        </is>
      </c>
      <c r="O352" s="11" t="inlineStr">
        <is>
          <t>117 A stored communications warrant authorises persons approved under subsection 127(2) in respect of the warrant to access, subject to any conditions or restrictions that are specified in the warrant, a stored communication: (a) that was made by the person in respect of whom the warrant was issued; or (b) that another person has made and for which the intended recipient is the person in respect of whom the warrant was issued; and that becomes, or became, a stored communication before the warrant is first executed in relation to the carrier that holds the communication.</t>
        </is>
      </c>
      <c r="P352" s="12" t="n">
        <v>11</v>
      </c>
    </row>
    <row r="353">
      <c r="A353" t="inlineStr">
        <is>
          <t>Australia</t>
        </is>
      </c>
      <c r="B353" t="inlineStr">
        <is>
          <t>C2026C00209VOL01 (Australia - Row 26)</t>
        </is>
      </c>
      <c r="C353" t="inlineStr">
        <is>
          <t>314</t>
        </is>
      </c>
      <c r="D353" s="11" t="inlineStr">
        <is>
          <t>Execution and limitations of stored communications warrants</t>
        </is>
      </c>
      <c r="E353" t="inlineStr">
        <is>
          <t>330–331</t>
        </is>
      </c>
      <c r="F353" t="inlineStr">
        <is>
          <t>None</t>
        </is>
      </c>
      <c r="G353" t="inlineStr">
        <is>
          <t>High (explicit)</t>
        </is>
      </c>
      <c r="H353" s="11" t="inlineStr"/>
      <c r="I353" s="11" t="inlineStr"/>
      <c r="J353" t="inlineStr"/>
      <c r="K353" s="11" t="inlineStr">
        <is>
          <t>This section specifies the conditions under which stored communications warrants come into force and the limitations on their authority. The warrant comes into effect immediately upon issuance but requires notification of the warrant to the carrier holding the communications. The authority conferred by the warrant may only be exercised by persons approved under subsection (2), and the chief officer of a criminal law-enforcement agency may appoint officers to act as approving officers.</t>
        </is>
      </c>
      <c r="L353" s="11" t="inlineStr"/>
      <c r="M353" s="11" t="inlineStr">
        <is>
          <t>• [Must] A stored communications warrant comes into force when it is issued
• [Must] Notification of the warrant issue must be received by an authorised representative of the carrier holding the communications</t>
        </is>
      </c>
      <c r="N353" s="11" t="inlineStr">
        <is>
          <t>• [Must] The authority conferred by a warrant may only be exercised by persons approved under subsection (2)
• [Must] The chief officer of a criminal law-enforcement agency may appoint officers to act as approving officers</t>
        </is>
      </c>
      <c r="O353" s="11" t="inlineStr">
        <is>
          <t>125 A stored communications warrant comes into force when it is issued. 126 A stored communications warrant does not authorise access to stored communications unless notification of the issue of the warrant has been received under section 121 by an authorised representative of the carrier holding the stored communications.</t>
        </is>
      </c>
      <c r="P353" s="12" t="n">
        <v>11</v>
      </c>
    </row>
    <row r="354">
      <c r="A354" t="inlineStr">
        <is>
          <t>Australia</t>
        </is>
      </c>
      <c r="B354" t="inlineStr">
        <is>
          <t>C2026C00209VOL01 (Australia - Row 26)</t>
        </is>
      </c>
      <c r="C354" t="inlineStr">
        <is>
          <t>315</t>
        </is>
      </c>
      <c r="D354" s="11" t="inlineStr">
        <is>
          <t>Technical assistance for warrant execution</t>
        </is>
      </c>
      <c r="E354" t="inlineStr">
        <is>
          <t>331–332</t>
        </is>
      </c>
      <c r="F354" t="inlineStr">
        <is>
          <t>None</t>
        </is>
      </c>
      <c r="G354" t="inlineStr">
        <is>
          <t>High (explicit)</t>
        </is>
      </c>
      <c r="H354" s="11" t="inlineStr"/>
      <c r="I354" s="11" t="inlineStr"/>
      <c r="J354" t="inlineStr"/>
      <c r="K354" s="11" t="inlineStr">
        <is>
          <t>This section permits designated officers or employees of carriers to provide technical assistance to criminal law-enforcement agency personnel exercising authority under a stored communications warrant. Technical assistance includes installation, maintenance, testing, use, and removal of equipment for accessing communications, as well as incidental acts related to accessing communications. The chief officer of a criminal law-enforcement agency may declare persons to be designated officers.</t>
        </is>
      </c>
      <c r="L354" s="11" t="inlineStr"/>
      <c r="M354" s="11" t="inlineStr">
        <is>
          <t>• [May] Designated officers or employees of carriers may provide technical assistance to criminal law-enforcement agency personnel
• [May] Technical assistance includes installation, maintenance, testing, use, and removal of equipment for accessing communications</t>
        </is>
      </c>
      <c r="N354" s="11" t="inlineStr">
        <is>
          <t>• [May] Technical assistance includes incidental acts related to accessing communications
• [May] The chief officer of a criminal law-enforcement agency may declare persons to be designated officers</t>
        </is>
      </c>
      <c r="O354" s="11" t="inlineStr">
        <is>
          <t>128 (1) Despite subsection 127(1), a designated officer, or an employee of a carrier, may provide technical assistance to an officer or staff member of a criminal law-enforcement agency who is exercising the authority conferred by a stored communications warrant.</t>
        </is>
      </c>
      <c r="P354" s="12" t="n">
        <v>11</v>
      </c>
    </row>
    <row r="355">
      <c r="A355" t="inlineStr">
        <is>
          <t>Australia</t>
        </is>
      </c>
      <c r="B355" t="inlineStr">
        <is>
          <t>C2026C00209VOL01 (Australia - Row 26)</t>
        </is>
      </c>
      <c r="C355" t="inlineStr">
        <is>
          <t>322</t>
        </is>
      </c>
      <c r="D355" s="11" t="inlineStr">
        <is>
          <t>Foreign intelligence information sharing among ASIO personnel</t>
        </is>
      </c>
      <c r="E355" t="inlineStr">
        <is>
          <t>338–339</t>
        </is>
      </c>
      <c r="F355" t="inlineStr">
        <is>
          <t>Low</t>
        </is>
      </c>
      <c r="G355" t="inlineStr">
        <is>
          <t>High (explicit)</t>
        </is>
      </c>
      <c r="H355" s="11" t="inlineStr"/>
      <c r="I355" s="11" t="inlineStr">
        <is>
          <t>Special Personal Information</t>
        </is>
      </c>
      <c r="J355" t="inlineStr">
        <is>
          <t>Director-General of Security</t>
        </is>
      </c>
      <c r="K355" s="11" t="inlineStr">
        <is>
          <t>This section permits the Director-General of Security to share foreign intelligence information with ASIO employees or affiliates during the performance of the Organisation's functions. ASIO employees or affiliates may similarly share such information with the Director-General or other ASIO personnel. The Director-General or ASIO personnel may also use or record foreign intelligence information for these purposes. The section establishes a framework for internal sharing within the Australian Security Intelligence Organisation.</t>
        </is>
      </c>
      <c r="L355" s="11" t="inlineStr"/>
      <c r="M355" s="11" t="inlineStr">
        <is>
          <t>• [Must] The Director-General of Security may communicate foreign intelligence information to an ASIO employee or ASIO affiliate in connection with the performance by the Organisation of its functions
• [Must] An ASIO employee or ASIO affiliate may communicate foreign intelligence information to the Director-General of Security or to another ASIO employee or ASIO affiliate in connection with the performance by the Organisation of its functions</t>
        </is>
      </c>
      <c r="N355" s="11" t="inlineStr">
        <is>
          <t>• [Must] The Director-General of Security or an ASIO employee or ASIO affiliate may make use of or make a record of foreign intelligence information in connection with the performance by the Organisation of its functions</t>
        </is>
      </c>
      <c r="O355" s="11" t="inlineStr">
        <is>
          <t>322 (2) The Director-General of Security may, in connection with the performance by the Organisation of its functions, communicate foreign intelligence information to an ASIO employee or ASIO affiliate.</t>
        </is>
      </c>
      <c r="P355" s="12" t="n">
        <v>11</v>
      </c>
    </row>
    <row r="356">
      <c r="A356" t="inlineStr">
        <is>
          <t>Australia</t>
        </is>
      </c>
      <c r="B356" t="inlineStr">
        <is>
          <t>C2026C00209VOL01 (Australia - Row 26)</t>
        </is>
      </c>
      <c r="C356" t="inlineStr">
        <is>
          <t>323</t>
        </is>
      </c>
      <c r="D356" s="11" t="inlineStr">
        <is>
          <t>Foreign intelligence information sharing with authorized recipients</t>
        </is>
      </c>
      <c r="E356" t="inlineStr">
        <is>
          <t>339–340</t>
        </is>
      </c>
      <c r="F356" t="inlineStr">
        <is>
          <t>Low</t>
        </is>
      </c>
      <c r="G356" t="inlineStr">
        <is>
          <t>High (explicit)</t>
        </is>
      </c>
      <c r="H356" s="11" t="inlineStr"/>
      <c r="I356" s="11" t="inlineStr">
        <is>
          <t>Special Personal Information</t>
        </is>
      </c>
      <c r="J356" t="inlineStr">
        <is>
          <t>Director-General of Security</t>
        </is>
      </c>
      <c r="K356" s="11" t="inlineStr">
        <is>
          <t>This section allows the Director-General of Security to share foreign intelligence information with another person, subject to specific conditions. The recipient may further share the information with others, use it, or make records of it. The communication may be done personally or by an authorized person. The recipient must use the information only for approved purposes and conditions set by the Attorney-General.</t>
        </is>
      </c>
      <c r="L356" s="11" t="inlineStr"/>
      <c r="M356" s="11" t="inlineStr">
        <is>
          <t>• [Must] The Director-General of Security may communicate foreign intelligence information to another person for purposes approved by the Attorney-General in writing
• [Must] The communication may be made by the Director-General of Security personally or by a person authorized by the Director-General</t>
        </is>
      </c>
      <c r="N356" s="11" t="inlineStr">
        <is>
          <t>• [Must] A recipient may communicate the information to another person, use it, or make a record of it for the purposes approved by the Attorney-General</t>
        </is>
      </c>
      <c r="O356" s="11" t="inlineStr">
        <is>
          <t>323 (1) The Director-General of Security may, in accordance with subsection 18(3) or (4A), or subsection 19A(4) of the Australian Security Intelligence Organisation Act 1979, communicate the following to another person: (a) lawfully accessed information;</t>
        </is>
      </c>
      <c r="P356" s="12" t="n">
        <v>11</v>
      </c>
    </row>
    <row r="357">
      <c r="A357" t="inlineStr">
        <is>
          <t>Australia</t>
        </is>
      </c>
      <c r="B357" t="inlineStr">
        <is>
          <t>C2026C00209VOL01 (Australia - Row 26)</t>
        </is>
      </c>
      <c r="C357" t="inlineStr">
        <is>
          <t>324</t>
        </is>
      </c>
      <c r="D357" s="11" t="inlineStr">
        <is>
          <t>Foreign intelligence information sharing for law enforcement purposes</t>
        </is>
      </c>
      <c r="E357" t="inlineStr">
        <is>
          <t>340–341</t>
        </is>
      </c>
      <c r="F357" t="inlineStr">
        <is>
          <t>Low</t>
        </is>
      </c>
      <c r="G357" t="inlineStr">
        <is>
          <t>High (explicit)</t>
        </is>
      </c>
      <c r="H357" s="11" t="inlineStr"/>
      <c r="I357" s="11" t="inlineStr">
        <is>
          <t>Special Personal Information</t>
        </is>
      </c>
      <c r="J357" t="inlineStr"/>
      <c r="K357" s="11" t="inlineStr">
        <is>
          <t>This section outlines the conditions under which foreign intelligence information may be shared with criminal law enforcement agencies. The sharing must be for purposes connected with investigations of serious contraventions or enforcement activities, and only for those specific purposes. The recipient must use the information for approved purposes and conditions set by the Attorney-General.</t>
        </is>
      </c>
      <c r="L357" s="11" t="inlineStr"/>
      <c r="M357" s="11" t="inlineStr">
        <is>
          <t>• [Must] An employee of a carrier may communicate foreign intelligence information to an officer or staff member of a criminal law-enforcement agency for purposes connected with the investigation of a serious contravention</t>
        </is>
      </c>
      <c r="N357" s="11" t="inlineStr">
        <is>
          <t>• [Must] An employee of a carrier may communicate foreign intelligence information to an officer or staff member of a criminal law-enforcement agency for purposes connected with the investigation of a serious contravention</t>
        </is>
      </c>
      <c r="O357" s="11" t="inlineStr">
        <is>
          <t>324 (1) An employee of a carrier may, for a purpose or purposes connected with the investigation by any other criminal law-enforcement agency of a serious contravention, and for no other purpose, communicate to an officer or staff member of the agency the following: information;</t>
        </is>
      </c>
      <c r="P357" s="12" t="n">
        <v>11</v>
      </c>
    </row>
    <row r="358">
      <c r="A358" t="inlineStr">
        <is>
          <t>Australia</t>
        </is>
      </c>
      <c r="B358" t="inlineStr">
        <is>
          <t>C2026C00209VOL01 (Australia - Row 26)</t>
        </is>
      </c>
      <c r="C358" t="inlineStr">
        <is>
          <t>326</t>
        </is>
      </c>
      <c r="D358" s="11" t="inlineStr">
        <is>
          <t>Foreign intelligence information sharing for specific law enforcement purposes</t>
        </is>
      </c>
      <c r="E358" t="inlineStr">
        <is>
          <t>342–343</t>
        </is>
      </c>
      <c r="F358" t="inlineStr">
        <is>
          <t>Low</t>
        </is>
      </c>
      <c r="G358" t="inlineStr">
        <is>
          <t>High (explicit)</t>
        </is>
      </c>
      <c r="H358" s="11" t="inlineStr"/>
      <c r="I358" s="11" t="inlineStr">
        <is>
          <t>Special Personal Information</t>
        </is>
      </c>
      <c r="J358" t="inlineStr"/>
      <c r="K358" s="11" t="inlineStr">
        <is>
          <t>This section details the specific purposes for which foreign intelligence information may be shared with criminal law enforcement agencies. The sharing must be for purposes connected with investigations, proceedings, or record-keeping under the Australian Security Intelligence Organisation Act. The recipient must use the information only for those approved purposes and conditions set by the Attorney-General.</t>
        </is>
      </c>
      <c r="L358" s="11" t="inlineStr"/>
      <c r="M358" s="11" t="inlineStr">
        <is>
          <t>• [Must] The purposes for sharing foreign intelligence information include investigations of contraventions, proceedings, extradition, pecuniary penalties, or police disciplinary proceedings</t>
        </is>
      </c>
      <c r="N358" s="11" t="inlineStr"/>
      <c r="O358" s="11" t="inlineStr">
        <is>
          <t>326 (a) a proceeding under the Spam Act 2003; or (b) a proceeding for the extradition of a person from a State or a proceeding relates to such an offence; or (c) a proceeding for recovery of a pecuniary penalty for a contravention of a kind referred to in paragraph (3)(c); or (d) a police disciplinary proceeding.</t>
        </is>
      </c>
      <c r="P358" s="12" t="n">
        <v>11</v>
      </c>
    </row>
    <row r="359">
      <c r="A359" t="inlineStr">
        <is>
          <t>Australia</t>
        </is>
      </c>
      <c r="B359" t="inlineStr">
        <is>
          <t>C2026C00209VOL01 (Australia - Row 26)</t>
        </is>
      </c>
      <c r="C359" t="inlineStr">
        <is>
          <t>327</t>
        </is>
      </c>
      <c r="D359" s="11" t="inlineStr">
        <is>
          <t>Foreign intelligence information sharing for integrity purposes</t>
        </is>
      </c>
      <c r="E359" t="inlineStr">
        <is>
          <t>343–344</t>
        </is>
      </c>
      <c r="F359" t="inlineStr">
        <is>
          <t>Low</t>
        </is>
      </c>
      <c r="G359" t="inlineStr">
        <is>
          <t>High (explicit)</t>
        </is>
      </c>
      <c r="H359" s="11" t="inlineStr"/>
      <c r="I359" s="11" t="inlineStr">
        <is>
          <t>Special Personal Information</t>
        </is>
      </c>
      <c r="J359" t="inlineStr"/>
      <c r="K359" s="11" t="inlineStr">
        <is>
          <t>This section permits Commonwealth agencies to share lawfully accessed information for purposes related to record-keeping or integrity under the Australian Security Intelligence Organisation Act. The sharing must be for specific purposes approved by the agency and must not be used for any other purpose.</t>
        </is>
      </c>
      <c r="L359" s="11" t="inlineStr"/>
      <c r="M359" s="11" t="inlineStr">
        <is>
          <t>• [Must] A Commonwealth agency may communicate lawfully accessed information to another person for purposes connected with record-keeping under Part 3-5</t>
        </is>
      </c>
      <c r="N359" s="11" t="inlineStr"/>
      <c r="O359" s="11" t="inlineStr">
        <is>
          <t>327 (1) A person may, in connection with an IGIS official exercising a power, or performing a function or duty, as an IGIS official, the following: (a) lawfully accessed information;</t>
        </is>
      </c>
      <c r="P359" s="12" t="n">
        <v>11</v>
      </c>
    </row>
    <row r="360">
      <c r="A360" t="inlineStr">
        <is>
          <t>Australia</t>
        </is>
      </c>
      <c r="B360" t="inlineStr">
        <is>
          <t>C2026C00209VOL01 (Australia - Row 26)</t>
        </is>
      </c>
      <c r="C360" t="inlineStr">
        <is>
          <t>334</t>
        </is>
      </c>
      <c r="D360" s="11" t="inlineStr">
        <is>
          <t>Evidence admissibility in proceedings</t>
        </is>
      </c>
      <c r="E360" t="inlineStr">
        <is>
          <t>350–351</t>
        </is>
      </c>
      <c r="F360" t="inlineStr">
        <is>
          <t>None</t>
        </is>
      </c>
      <c r="G360" t="inlineStr">
        <is>
          <t>High (explicit)</t>
        </is>
      </c>
      <c r="H360" s="11" t="inlineStr"/>
      <c r="I360" s="11" t="inlineStr"/>
      <c r="J360" t="inlineStr"/>
      <c r="K360" s="11" t="inlineStr">
        <is>
          <t>This section specifies that evidence obtained through accessing stored communications is admissible in proceedings only if it would have been admissible without this Part. It explicitly excludes information or records obtained by accessing stored communications from being admissible to a greater extent than they would have been admissible otherwise.</t>
        </is>
      </c>
      <c r="L360" s="11" t="inlineStr"/>
      <c r="M360" s="11" t="inlineStr">
        <is>
          <t>• [Must] Evidence obtained by accessing stored communications is admissible in proceedings only if it would have been admissible without this Part</t>
        </is>
      </c>
      <c r="N360" s="11" t="inlineStr"/>
      <c r="O360" s="11" t="inlineStr">
        <is>
          <t>This Part does not render: (a) information; or (b) any record that was obtained by accessing a stored communication (whether or not in contravention of subsection 108(1)); admissible in evidence in a proceeding to a greater extent than it would have been admissible in evidence in that proceeding if this Part had not been enacted.</t>
        </is>
      </c>
      <c r="P360" s="12" t="n">
        <v>11</v>
      </c>
    </row>
    <row r="361">
      <c r="A361" t="inlineStr">
        <is>
          <t>Australia</t>
        </is>
      </c>
      <c r="B361" t="inlineStr">
        <is>
          <t>C2026C00209VOL01 (Australia - Row 26)</t>
        </is>
      </c>
      <c r="C361" t="inlineStr">
        <is>
          <t>335</t>
        </is>
      </c>
      <c r="D361" s="11" t="inlineStr">
        <is>
          <t>Destruction of records by chief officers</t>
        </is>
      </c>
      <c r="E361" t="inlineStr">
        <is>
          <t>351–352</t>
        </is>
      </c>
      <c r="F361" t="inlineStr">
        <is>
          <t>None</t>
        </is>
      </c>
      <c r="G361" t="inlineStr">
        <is>
          <t>High (explicit)</t>
        </is>
      </c>
      <c r="H361" s="11" t="inlineStr"/>
      <c r="I361" s="11" t="inlineStr"/>
      <c r="J361" t="inlineStr"/>
      <c r="K361" s="11" t="inlineStr">
        <is>
          <t>This section requires the chief officer of a criminal law-enforcement agency to destroy information or records obtained by accessing stored communications if they are not likely to be required for specific legal purposes. The chief officer must also submit a written report to the Minister within three months after each 30 June detailing the extent of destruction.</t>
        </is>
      </c>
      <c r="L361" s="11" t="inlineStr"/>
      <c r="M361" s="11" t="inlineStr">
        <is>
          <t>• [Must] Chief officer must destroy information or records obtained by accessing stored communications if not likely to be required for purposes under subsection 139(2) or (4A), 139A(2) or 139B(2)</t>
        </is>
      </c>
      <c r="N361" s="11" t="inlineStr">
        <is>
          <t>• [Must] Chief officer must submit written report to Minister within 3 months after each 30 June on extent of destruction</t>
        </is>
      </c>
      <c r="O361" s="11" t="inlineStr">
        <is>
          <t>If: (a) information, or a record, that was obtained by accessing a stored communication (whether or not in contravention of subsection 108(1)) is in a criminal law-enforcement agency's; (b) the chief officer of the agency is satisfied that the information or record is not likely to be required for a purpose referred to in subsection 139(2) or (4A), 139A(2) or 139B(2); the chief officer must cause the information or record to be destroyed forthwith.</t>
        </is>
      </c>
      <c r="P361" s="12" t="n">
        <v>11</v>
      </c>
    </row>
    <row r="362">
      <c r="A362" t="inlineStr">
        <is>
          <t>Australia</t>
        </is>
      </c>
      <c r="B362" t="inlineStr">
        <is>
          <t>C2026C00209VOL01 (Australia - Row 26)</t>
        </is>
      </c>
      <c r="C362" t="inlineStr">
        <is>
          <t>336</t>
        </is>
      </c>
      <c r="D362" s="11" t="inlineStr">
        <is>
          <t>Obligation to keep preservation records</t>
        </is>
      </c>
      <c r="E362" t="inlineStr">
        <is>
          <t>352–353</t>
        </is>
      </c>
      <c r="F362" t="inlineStr">
        <is>
          <t>None</t>
        </is>
      </c>
      <c r="G362" t="inlineStr">
        <is>
          <t>High (explicit)</t>
        </is>
      </c>
      <c r="H362" s="11" t="inlineStr"/>
      <c r="I362" s="11" t="inlineStr"/>
      <c r="J362" t="inlineStr"/>
      <c r="K362" s="11" t="inlineStr">
        <is>
          <t>This section mandates that the chief officer of a criminal law-enforcement agency must retain specific preservation notices, revocation notices, warrants, and related documentation for up to three years from their creation, unless the Ombudsman requires a report earlier. The retention period varies based on when the Ombudsman submits reports.</t>
        </is>
      </c>
      <c r="L362" s="11" t="inlineStr"/>
      <c r="M362" s="11" t="inlineStr">
        <is>
          <t>• [Must] Chief officer must keep preservation notices and documentation indicating proper service
• [Must] Chief officer must keep revocation notices and documentation indicating proper revocation
• [Must] Chief officer must keep stored communications warrants and documentation indicating proper application
• [Must] Chief officer must keep revocation of warrants and documentation indicating proper revocation
• [Must] Chief officer must keep documentation of approved persons and appointed approving officers
• [Must] Chief officer must keep authorisations under subsection 135(2)</t>
        </is>
      </c>
      <c r="N362" s="11" t="inlineStr">
        <is>
          <t>• [Must] Chief officer must keep requests for international assistance and documentation indicating lawful status
• [Must] Chief officer must keep documentation indicating compliance with Division 2 of Part 3-4
• [Must] Chief officer must keep documentation indicating destruction in accordance with section 150
• [Must] Chief officer must keep evidentiary certificates
• [Must] Chief officer must keep reports to the Minister under Division 1 of Part 3-6</t>
        </is>
      </c>
      <c r="O362" s="11" t="inlineStr">
        <is>
          <t>The chief officer of a criminal law-enforcement agency must cause the following, or copies of the following, to be kept in the agency's records for the period specified in subsection (3): (a) each preservation notice given by the agency, and documents or other materials that indicate whether the notice was properly given; (b) each notice under subsection 107L(3) of the revocation of such a preservation notice, and documents or other materials that indicate whether the revocation was properly made; (c) each stored communications warrant issued to the agency, and documents or other materials that indicate whether the warrant was properly applied for, including: (i) a copy of each application for such a warrant; and (ii) a copy of each affidavit supporting such an application; and (iii) documents or other materials that indicate whether the applicant for such a warrant complied with the requirements of Division 1 of Part 3-3; (d) each instrument revoking such a warrant under section 122, and documents or other materials that indicate whether the revocation was properly made; (e) documents or other materials that indicate the persons approved under subsection 127(2), and the persons appointed under subsection 127(3) to be approving officers for the purposes of subsection 127(2); (f) each authorisation by the chief officer under subsection 135(2);</t>
        </is>
      </c>
      <c r="P362" s="12" t="n">
        <v>11</v>
      </c>
    </row>
    <row r="363">
      <c r="A363" t="inlineStr">
        <is>
          <t>Australia</t>
        </is>
      </c>
      <c r="B363" t="inlineStr">
        <is>
          <t>C2026C00209VOL01 (Australia - Row 26)</t>
        </is>
      </c>
      <c r="C363" t="inlineStr">
        <is>
          <t>337</t>
        </is>
      </c>
      <c r="D363" s="11" t="inlineStr">
        <is>
          <t>Record retention periods for preservation notices</t>
        </is>
      </c>
      <c r="E363" t="inlineStr">
        <is>
          <t>353–354</t>
        </is>
      </c>
      <c r="F363" t="inlineStr">
        <is>
          <t>None</t>
        </is>
      </c>
      <c r="G363" t="inlineStr">
        <is>
          <t>High (explicit)</t>
        </is>
      </c>
      <c r="H363" s="11" t="inlineStr">
        <is>
          <t>Retention</t>
        </is>
      </c>
      <c r="I363" s="11" t="inlineStr"/>
      <c r="J363" t="inlineStr"/>
      <c r="K363" s="11" t="inlineStr">
        <is>
          <t>This section specifies the retention period for records kept under section 151, which starts when the item is created and ends after three years unless the Ombudsman requires a report earlier. The retention period varies based on when the Ombudsman submits reports about records.</t>
        </is>
      </c>
      <c r="L363" s="11" t="inlineStr"/>
      <c r="M363" s="11" t="inlineStr">
        <is>
          <t>• [Must] Retention period starts when item comes into existence</t>
        </is>
      </c>
      <c r="N363" s="11" t="inlineStr">
        <is>
          <t>• [Must] Retention period ends after 3 years from item creation unless Ombudsman reports earlier</t>
        </is>
      </c>
      <c r="O363" s="11" t="inlineStr">
        <is>
          <t>The period for which the chief officer of a criminal law-enforcement agency must cause a particular item to be kept in the agency's records under subsection (1) of this section is the period: (a) starting when the item came into existence; and (b) ending: (i) when 3 years have elapsed since the item came into existence; or (ii) if the Ombudsman is required to give a report to the Minister under section 186J that is about records that include the item—when the Ombudsman gives the report; whichever happens earlier.</t>
        </is>
      </c>
      <c r="P363" s="12" t="n">
        <v>11</v>
      </c>
    </row>
    <row r="364">
      <c r="A364" t="inlineStr">
        <is>
          <t>Australia</t>
        </is>
      </c>
      <c r="B364" t="inlineStr">
        <is>
          <t>C2026C00209VOL01 (Australia - Row 26)</t>
        </is>
      </c>
      <c r="C364" t="inlineStr">
        <is>
          <t>338</t>
        </is>
      </c>
      <c r="D364" s="11" t="inlineStr">
        <is>
          <t>Inspector-General's functions regarding preservation notices</t>
        </is>
      </c>
      <c r="E364" t="inlineStr">
        <is>
          <t>354–355</t>
        </is>
      </c>
      <c r="F364" t="inlineStr">
        <is>
          <t>Low</t>
        </is>
      </c>
      <c r="G364" t="inlineStr">
        <is>
          <t>High (explicit)</t>
        </is>
      </c>
      <c r="H364" s="11" t="inlineStr"/>
      <c r="I364" s="11" t="inlineStr"/>
      <c r="J364" t="inlineStr"/>
      <c r="K364" s="11" t="inlineStr">
        <is>
          <t>This section outlines the Inspector-General of Intelligence and Security's authority to inquire into compliance with the Act and conduct inspections of the Organisation related to preservation notices. The Inspector-General has specific functions under the Inspector-General of Intelligence and Security Act 1986.</t>
        </is>
      </c>
      <c r="L364" s="11" t="inlineStr"/>
      <c r="M364" s="11" t="inlineStr">
        <is>
          <t>• [Must] Inspector-General has function to inquire into compliance with this Act</t>
        </is>
      </c>
      <c r="N364" s="11" t="inlineStr">
        <is>
          <t>• [Must] Inspector-General has function to conduct inspections of the Organisation for the purpose of giving effect to the objects of the Inspector-General of Intelligence and Security Act 1986</t>
        </is>
      </c>
      <c r="O364" s="11" t="inlineStr">
        <is>
          <t>Under the Inspector-General of Intelligence and Security Act 1986, the Inspector-General of Intelligence and Security has functions in relation to preservation notices given by the Organisation. In particular, the Inspector-General of Intelligence and Security has the function of: (a) inquiring into any matter that relates to compliance by the Organisation with this Act (see subparagraph 8(1)(a)(i) of that Act); and (b) conducting such inspections of the Organisation as the Inspector-General considers appropriate for the purpose of giving effect to the objects of that Act (see section 9A of that Act).</t>
        </is>
      </c>
      <c r="P364" s="12" t="n">
        <v>11</v>
      </c>
    </row>
    <row r="365">
      <c r="A365" t="inlineStr">
        <is>
          <t>Australia</t>
        </is>
      </c>
      <c r="B365" t="inlineStr">
        <is>
          <t>C2026C00209VOL01 (Australia - Row 26)</t>
        </is>
      </c>
      <c r="C365" t="inlineStr">
        <is>
          <t>342</t>
        </is>
      </c>
      <c r="D365" s="11" t="inlineStr">
        <is>
          <t>Annual reports on lawfully accessed information usage</t>
        </is>
      </c>
      <c r="E365" t="inlineStr">
        <is>
          <t>358–359</t>
        </is>
      </c>
      <c r="F365" t="inlineStr">
        <is>
          <t>None</t>
        </is>
      </c>
      <c r="G365" t="inlineStr">
        <is>
          <t>High (explicit)</t>
        </is>
      </c>
      <c r="H365" s="11" t="inlineStr"/>
      <c r="I365" s="11" t="inlineStr">
        <is>
          <t>Personal Information</t>
        </is>
      </c>
      <c r="J365" t="inlineStr"/>
      <c r="K365" s="11" t="inlineStr">
        <is>
          <t>This section mandates that criminal law-enforcement agencies report annually to the government on the number of arrests made using lawfully accessed information and the number of proceedings where such information was presented in evidence. The report must detail these statistics for each agency, ensuring transparency in how lawfully accessed information is utilized within criminal proceedings.</t>
        </is>
      </c>
      <c r="L365" s="11" t="inlineStr"/>
      <c r="M365" s="11" t="inlineStr">
        <is>
          <t>• [Must] The report must set out, for each criminal law-enforcement agency: how many arrests were made during that year on the basis of information that was, or included, lawfully accessed information</t>
        </is>
      </c>
      <c r="N365" s="11" t="inlineStr">
        <is>
          <t>• [Must] The report must set out, for each criminal law-enforcement agency: how many proceedings ended during that year that were proceedings in which, according to the records of the agency, lawfully accessed information was given in evidence</t>
        </is>
      </c>
      <c r="O365" s="11" t="inlineStr">
        <is>
          <t>The report must set out, for each criminal law-enforcement agency: (a) how many arrests were made during that year on the basis of information that was, or included, lawfully accessed information; and (b) how many proceedings ended during that year that were proceedings in which, according to the records of the agency, lawfully accessed information was given in evidence.</t>
        </is>
      </c>
      <c r="P365" s="12" t="n">
        <v>11</v>
      </c>
    </row>
    <row r="366">
      <c r="A366" t="inlineStr">
        <is>
          <t>Australia</t>
        </is>
      </c>
      <c r="B366" t="inlineStr">
        <is>
          <t>C2026C00209VOL01 (Australia - Row 26)</t>
        </is>
      </c>
      <c r="C366" t="inlineStr">
        <is>
          <t>351</t>
        </is>
      </c>
      <c r="D366" s="11" t="inlineStr">
        <is>
          <t>Voluntary disclosure to ASIO without authorization</t>
        </is>
      </c>
      <c r="E366" t="inlineStr">
        <is>
          <t>367–368</t>
        </is>
      </c>
      <c r="F366" t="inlineStr">
        <is>
          <t>Low</t>
        </is>
      </c>
      <c r="G366" t="inlineStr">
        <is>
          <t>High (explicit)</t>
        </is>
      </c>
      <c r="H366" s="11" t="inlineStr"/>
      <c r="I366" s="11" t="inlineStr">
        <is>
          <t>Personal Information</t>
        </is>
      </c>
      <c r="J366" t="inlineStr">
        <is>
          <t>ASIO</t>
        </is>
      </c>
      <c r="K366" s="11" t="inlineStr">
        <is>
          <t>This section permits a person to voluntarily disclose information or documents to ASIO if the disclosure is related to the performance of ASIO's functions, except when the Director-General of Security or other authorized ASIO personnel specifically request the disclosure. The provision does not apply if an ASIO employee or affiliate requests the information.</t>
        </is>
      </c>
      <c r="L366" s="11" t="inlineStr"/>
      <c r="M366" s="11" t="inlineStr">
        <is>
          <t>• [Must] Not prohibit a disclosure by a person (the holder) of information or a document to the Organisation if the disclosure is in connection with the performance by the Organisation of its functions</t>
        </is>
      </c>
      <c r="N366" s="11" t="inlineStr">
        <is>
          <t>• [Must Not] This section does not apply if the Director-General of Security, the Deputy Director-General of Security or any other ASIO employee or ASIO affiliate requests the holder to disclose the information or document</t>
        </is>
      </c>
      <c r="O366" s="11" t="inlineStr">
        <is>
          <t>not prohibit a disclosure by a person (the holder) of information or a document to the Organisation if the disclosure is in connection with the performance by the Organisation of its functions. Limitation (2) This section does not apply if the Director-General of Security, the Deputy Director-General of Security or any other ASIO employee or ASIO affiliate requests the holder to disclose the information or document.</t>
        </is>
      </c>
      <c r="P366" s="12" t="n">
        <v>11</v>
      </c>
    </row>
    <row r="367">
      <c r="A367" t="inlineStr">
        <is>
          <t>Australia</t>
        </is>
      </c>
      <c r="B367" t="inlineStr">
        <is>
          <t>C2026C00209VOL01 (Australia - Row 26)</t>
        </is>
      </c>
      <c r="C367" t="inlineStr">
        <is>
          <t>352</t>
        </is>
      </c>
      <c r="D367" s="11" t="inlineStr">
        <is>
          <t>Authorisations for access to existing information</t>
        </is>
      </c>
      <c r="E367" t="inlineStr">
        <is>
          <t>368–369</t>
        </is>
      </c>
      <c r="F367" t="inlineStr">
        <is>
          <t>Low</t>
        </is>
      </c>
      <c r="G367" t="inlineStr">
        <is>
          <t>High (explicit)</t>
        </is>
      </c>
      <c r="H367" s="11" t="inlineStr"/>
      <c r="I367" s="11" t="inlineStr">
        <is>
          <t>Personal Information</t>
        </is>
      </c>
      <c r="J367" t="inlineStr">
        <is>
          <t>ASIO</t>
        </is>
      </c>
      <c r="K367" s="11" t="inlineStr">
        <is>
          <t>This section allows eligible persons, including the Deputy Director-General of Security and ASIO employees with specific approvals, to authorise the disclosure of existing information or documents to the Organisation. The authorisation must be made only if the disclosure is connected to the performance of the Organisation's functions.</t>
        </is>
      </c>
      <c r="L367" s="11" t="inlineStr"/>
      <c r="M367" s="11" t="inlineStr">
        <is>
          <t>• [May] The following persons (each of whom is an eligible person): the Deputy Director-General of Security; ASIO employee or ASIO affiliate covered by an approval in force under subsection (4)</t>
        </is>
      </c>
      <c r="N367" s="11" t="inlineStr">
        <is>
          <t>• [Must Not] The eligible person must not make the authorisation unless he or she is satisfied that the disclosure would be in connection with the performance by the Organisation of its functions</t>
        </is>
      </c>
      <c r="O367" s="11" t="inlineStr">
        <is>
          <t>The following persons (each of whom is an eligible person): (b) the Deputy Director-General of Security; (c) ASIO employee or ASIO affiliate covered by an approval in force under subsection (4); may authorise the disclosure of specified information or specified documents that came into existence before the time the person from whom the disclosure is sought receives notification of the authorisation.</t>
        </is>
      </c>
      <c r="P367" s="12" t="n">
        <v>11</v>
      </c>
    </row>
    <row r="368">
      <c r="A368" t="inlineStr">
        <is>
          <t>Australia</t>
        </is>
      </c>
      <c r="B368" t="inlineStr">
        <is>
          <t>C2026C00209VOL01 (Australia - Row 26)</t>
        </is>
      </c>
      <c r="C368" t="inlineStr">
        <is>
          <t>353</t>
        </is>
      </c>
      <c r="D368" s="11" t="inlineStr">
        <is>
          <t>Conditions for authorisations under ASIO</t>
        </is>
      </c>
      <c r="E368" t="inlineStr">
        <is>
          <t>369–370</t>
        </is>
      </c>
      <c r="F368" t="inlineStr">
        <is>
          <t>Low</t>
        </is>
      </c>
      <c r="G368" t="inlineStr">
        <is>
          <t>High (explicit)</t>
        </is>
      </c>
      <c r="H368" s="11" t="inlineStr"/>
      <c r="I368" s="11" t="inlineStr">
        <is>
          <t>Personal Information</t>
        </is>
      </c>
      <c r="J368" t="inlineStr">
        <is>
          <t>ASIO</t>
        </is>
      </c>
      <c r="K368" s="11" t="inlineStr">
        <is>
          <t>This section specifies that authorisations for information disclosure must be made only if the disclosure is connected to the performance of the Organisation's functions. It also outlines the duration of authorisations, which cannot exceed 90 days from the date of making the authorisation, and includes provisions for revocation if the disclosure is no longer required or if the underlying warrant is revoked.</t>
        </is>
      </c>
      <c r="L368" s="11" t="inlineStr"/>
      <c r="M368" s="11" t="inlineStr">
        <is>
          <t>• [Must Not] The eligible person must not make the authorisation unless he or she is satisfied that the disclosure would be in connection with the performance by the Organisation of its functions
• [Must] An authorisation under this section ends at the time specified in the authorisation, which must be a time that is no later than the end of the period of 90 days beginning on the day the authorisation is made
• [Must] An authorisation under this section ends at the time specified in the authorisation, which must be a time that: (ii) if the authorisation is made under a journalist information warrant—is no later than the end of the period specified under section 180N as the period for which the warrant is to remain in force</t>
        </is>
      </c>
      <c r="N368" s="11" t="inlineStr">
        <is>
          <t>• [Must] An eligible person must revoke the authorisation if he or she is satisfied that the disclosure is no longer required
• [Must] An eligible person must revoke the authorisation if in a case where the authorisation is made under a journalist information warrant: (i) the warrant is revoked under subsection 180N(1); or (ii) the Director-General of Security has informed the Attorney-General under section 180P that the Director-General is satisfied that the grounds on which the…</t>
        </is>
      </c>
      <c r="O368" s="11" t="inlineStr">
        <is>
          <t>The eligible person must not make the authorisation unless he or she is satisfied that the disclosure would be in connection with the performance by the Organisation of its functions. Period for which authorisation is in force (5) An authorisation under this section: (a) ends at the time specified in the authorisation, which must be a time that: (i) is no later than the end of the period of 90 days beginning on the day the authorisation is made; and (ii) if the authorisation is made under a journalist information warrant—is no later than the end of the period specified under section 180N as the period for which the warrant is to remain in force.</t>
        </is>
      </c>
      <c r="P368" s="12" t="n">
        <v>11</v>
      </c>
    </row>
    <row r="369">
      <c r="A369" t="inlineStr">
        <is>
          <t>Australia</t>
        </is>
      </c>
      <c r="B369" t="inlineStr">
        <is>
          <t>C2026C00209VOL01 (Australia - Row 26)</t>
        </is>
      </c>
      <c r="C369" t="inlineStr">
        <is>
          <t>355</t>
        </is>
      </c>
      <c r="D369" s="11" t="inlineStr">
        <is>
          <t>Declaration of compliance with privacy principles</t>
        </is>
      </c>
      <c r="E369" t="inlineStr">
        <is>
          <t>371–372</t>
        </is>
      </c>
      <c r="F369" t="inlineStr">
        <is>
          <t>None</t>
        </is>
      </c>
      <c r="G369" t="inlineStr">
        <is>
          <t>High (explicit)</t>
        </is>
      </c>
      <c r="H369" s="11" t="inlineStr"/>
      <c r="I369" s="11" t="inlineStr">
        <is>
          <t>Personal Information</t>
        </is>
      </c>
      <c r="J369" t="inlineStr">
        <is>
          <t>Minister</t>
        </is>
      </c>
      <c r="K369" s="11" t="inlineStr">
        <is>
          <t>This section requires the Minister to declare whether an authority or body meets specific criteria for compliance with privacy principles, including whether it is required to comply with Australian Privacy Principles, has a binding scheme that provides adequate protection of personal information, or has agreed to comply with such a scheme. The declaration may include conditions and is subject to review by the Minister.</t>
        </is>
      </c>
      <c r="L369" s="11" t="inlineStr"/>
      <c r="M369" s="11" t="inlineStr">
        <is>
          <t>• [Must] The declaration must include whether the authority or body is required to comply with the Australian Privacy Principles
• [Must] The declaration must include whether the authority or body is required to comply with a binding scheme that provides protection of personal information that meets the requirements of subsection (4A)
• [Must] The declaration must include whether the authority or body has agreed in writing to comply with a scheme providing such protection of personal information</t>
        </is>
      </c>
      <c r="N369" s="11" t="inlineStr">
        <is>
          <t>• [Must] The declaration must include whether the authority or body proposes to adopt processes and practices that would ensure its compliance with the obligations of an enforcement agency under Chapter 4
• [Must] The declaration must include whether the Minister considers that the declaration would be in the public interest</t>
        </is>
      </c>
      <c r="O369" s="11" t="inlineStr">
        <is>
          <t>The declaration must include: (a) whether the authority or body is required to comply with the Australian Privacy Principles; or (b) whether the authority or body is required to comply with a binding scheme that provides protection of personal information that meets the requirements of subsection (4A); or (c) whether the authority or body has agreed in writing to comply with a scheme providing such protection of personal information, in relation to personal information disclosed to it under Chapter 4, if the declaration is made.</t>
        </is>
      </c>
      <c r="P369" s="12" t="n">
        <v>11</v>
      </c>
    </row>
    <row r="370">
      <c r="A370" t="inlineStr">
        <is>
          <t>Australia</t>
        </is>
      </c>
      <c r="B370" t="inlineStr">
        <is>
          <t>C2026C00209VOL01 (Australia - Row 26)</t>
        </is>
      </c>
      <c r="C370" t="inlineStr">
        <is>
          <t>356</t>
        </is>
      </c>
      <c r="D370" s="11" t="inlineStr">
        <is>
          <t>Exclusion from enforcement agency status</t>
        </is>
      </c>
      <c r="E370" t="inlineStr">
        <is>
          <t>372–373</t>
        </is>
      </c>
      <c r="F370" t="inlineStr">
        <is>
          <t>None</t>
        </is>
      </c>
      <c r="G370" t="inlineStr">
        <is>
          <t>High (explicit)</t>
        </is>
      </c>
      <c r="H370" s="11" t="inlineStr"/>
      <c r="I370" s="11" t="inlineStr">
        <is>
          <t>Personal Information</t>
        </is>
      </c>
      <c r="J370" t="inlineStr">
        <is>
          <t>Minister</t>
        </is>
      </c>
      <c r="K370" s="11" t="inlineStr">
        <is>
          <t>This section states that an authority or body is not considered an enforcement agency for the purposes of the Act if it has been declared by the Minister under section 177. The declaration may be revoked by the Minister if the circumstances no longer justify its continuation, and revocation does not affect existing authorisations made prior to revocation.</t>
        </is>
      </c>
      <c r="L370" s="11" t="inlineStr"/>
      <c r="M370" s="11" t="inlineStr">
        <is>
          <t>• [Must] The authority or body is taken, for the purposes of this Act, not to be an enforcement agency for the purposes of that provision
• [May] The Minister may, by legislative instrument, revoke a declaration under subsection (3) relating to an authority or body if the Minister is no longer satisfied that the circumstances justify the declaration remaining in force</t>
        </is>
      </c>
      <c r="N370" s="11" t="inlineStr">
        <is>
          <t>• [Must] The revocation under subsection (8) of a declaration relating to an authority or body does not affect the validity of an authorisation, made by an authorised officer of the authority or body under this Division, that was in force immediately before the revocation took effect</t>
        </is>
      </c>
      <c r="O370" s="11" t="inlineStr">
        <is>
          <t>The authority or body is taken, for the purposes of this Act, not to be an enforcement agency for the purposes of that provision.</t>
        </is>
      </c>
      <c r="P370" s="12" t="n">
        <v>11</v>
      </c>
    </row>
    <row r="371">
      <c r="A371" t="inlineStr">
        <is>
          <t>Australia</t>
        </is>
      </c>
      <c r="B371" t="inlineStr">
        <is>
          <t>C2026C00209VOL01 (Australia - Row 26)</t>
        </is>
      </c>
      <c r="C371" t="inlineStr">
        <is>
          <t>357</t>
        </is>
      </c>
      <c r="D371" s="11" t="inlineStr">
        <is>
          <t>Disclosure exceptions for enforcement agencies</t>
        </is>
      </c>
      <c r="E371" t="inlineStr">
        <is>
          <t>373–374</t>
        </is>
      </c>
      <c r="F371" t="inlineStr">
        <is>
          <t>Low</t>
        </is>
      </c>
      <c r="G371" t="inlineStr">
        <is>
          <t>High (explicit)</t>
        </is>
      </c>
      <c r="H371" s="11" t="inlineStr">
        <is>
          <t>Cross-border Transfer, International Processing, Data Sharing, Data Storage</t>
        </is>
      </c>
      <c r="I371" s="11" t="inlineStr">
        <is>
          <t>Personal Information</t>
        </is>
      </c>
      <c r="J371" t="inlineStr">
        <is>
          <t>Enforcement agencies</t>
        </is>
      </c>
      <c r="K371" s="11" t="inlineStr">
        <is>
          <t>This section states that disclosures of information or documents to enforcement agencies are permitted under the Telecommunications Act 1997 if reasonably necessary for enforcing pecuniary penalties or protecting public revenue. However, the exception does not apply if an enforcement agency staff member directly requests the disclosure. The section clarifies that this exception is distinct from authorisations under sections 178-180.</t>
        </is>
      </c>
      <c r="L371" s="11" t="inlineStr"/>
      <c r="M371" s="11" t="inlineStr">
        <is>
          <t>• [Must] Disclosures of information or documents to enforcement agencies are permitted if reasonably necessary for enforcing pecuniary penalties or protecting public revenue</t>
        </is>
      </c>
      <c r="N371" s="11" t="inlineStr">
        <is>
          <t>• [Must Not] The exception does not apply if an enforcement agency staff member directly requests the disclosure</t>
        </is>
      </c>
      <c r="O371" s="11" t="inlineStr">
        <is>
          <t>Sections 276 and 277 of the Telecommunications Act 1997 do not prevent a disclosure by a person (the holder) of information or a document to an enforcement agency if the disclosure is reasonably necessary for the enforcement of a law imposing a pecuniary penalty or for the protection of public revenue.</t>
        </is>
      </c>
      <c r="P371" s="12" t="n">
        <v>11</v>
      </c>
    </row>
    <row r="372">
      <c r="A372" t="inlineStr">
        <is>
          <t>Australia</t>
        </is>
      </c>
      <c r="B372" t="inlineStr">
        <is>
          <t>C2026C00209VOL01 (Australia - Row 26)</t>
        </is>
      </c>
      <c r="C372" t="inlineStr">
        <is>
          <t>358</t>
        </is>
      </c>
      <c r="D372" s="11" t="inlineStr">
        <is>
          <t>Authorisations for locating missing persons</t>
        </is>
      </c>
      <c r="E372" t="inlineStr">
        <is>
          <t>374–375</t>
        </is>
      </c>
      <c r="F372" t="inlineStr">
        <is>
          <t>Low</t>
        </is>
      </c>
      <c r="G372" t="inlineStr">
        <is>
          <t>High (explicit)</t>
        </is>
      </c>
      <c r="H372" s="11" t="inlineStr">
        <is>
          <t>Cross-border Transfer, Data Sharing, Data Storage</t>
        </is>
      </c>
      <c r="I372" s="11" t="inlineStr">
        <is>
          <t>Personal Information</t>
        </is>
      </c>
      <c r="J372" t="inlineStr">
        <is>
          <t>Australian Federal Police, State Police</t>
        </is>
      </c>
      <c r="K372" s="11" t="inlineStr">
        <is>
          <t>This section allows Australian Federal Police or State Police to authorise disclosures of information or documents that existed before notification of the authorisation. The disclosure must be reasonably necessary for finding a missing person. The section specifies that authorisations are effective immediately upon request.</t>
        </is>
      </c>
      <c r="L372" s="11" t="inlineStr"/>
      <c r="M372" s="11" t="inlineStr">
        <is>
          <t>• [Must] An authorised officer of the Australian Federal Police or a State Police Force may authorise disclosure of specified information or documents</t>
        </is>
      </c>
      <c r="N372" s="11" t="inlineStr">
        <is>
          <t>• [Must] The disclosure must be reasonably necessary for finding a missing person</t>
        </is>
      </c>
      <c r="O372" s="11" t="inlineStr">
        <is>
          <t>An authorised officer of the Australian Federal Police, or a Police Force of a State, may authorise the disclosure of specified information or specified documents that came into existence before the time the person from whom the disclosure is sought receives notification of the authorisation.</t>
        </is>
      </c>
      <c r="P372" s="12" t="n">
        <v>11</v>
      </c>
    </row>
    <row r="373">
      <c r="A373" t="inlineStr">
        <is>
          <t>Australia</t>
        </is>
      </c>
      <c r="B373" t="inlineStr">
        <is>
          <t>C2026C00209VOL01 (Australia - Row 26)</t>
        </is>
      </c>
      <c r="C373" t="inlineStr">
        <is>
          <t>361</t>
        </is>
      </c>
      <c r="D373" s="11" t="inlineStr">
        <is>
          <t>Foreign law enforcement disclosures</t>
        </is>
      </c>
      <c r="E373" t="inlineStr">
        <is>
          <t>377–378</t>
        </is>
      </c>
      <c r="F373" t="inlineStr">
        <is>
          <t>Low</t>
        </is>
      </c>
      <c r="G373" t="inlineStr">
        <is>
          <t>High (explicit)</t>
        </is>
      </c>
      <c r="H373" s="11" t="inlineStr">
        <is>
          <t>Cross-border Transfer, Data Sharing, Data Storage</t>
        </is>
      </c>
      <c r="I373" s="11" t="inlineStr">
        <is>
          <t>Personal Information</t>
        </is>
      </c>
      <c r="J373" t="inlineStr">
        <is>
          <t>Australian Federal Police</t>
        </is>
      </c>
      <c r="K373" s="11" t="inlineStr">
        <is>
          <t>This section enables Australian Federal Police to authorise disclosures of information or documents to foreign law enforcement agencies when necessary for enforcing foreign or international laws. The disclosures must be reasonably necessary for specific legal purposes, and the information can be shared with foreign authorities under authorisations.</t>
        </is>
      </c>
      <c r="L373" s="11" t="inlineStr"/>
      <c r="M373" s="11" t="inlineStr">
        <is>
          <t>• [Must] An authorised officer of the Australian Federal Police may authorise disclosures of information or documents to foreign law enforcement agencies</t>
        </is>
      </c>
      <c r="N373" s="11" t="inlineStr">
        <is>
          <t>• [Must] The disclosure must be reasonably necessary for enforcing foreign or international laws</t>
        </is>
      </c>
      <c r="O373" s="11" t="inlineStr">
        <is>
          <t>An authorised officer of the Australian Federal Police may authorise the disclosure of information or documents to a foreign law enforcement agency.</t>
        </is>
      </c>
      <c r="P373" s="12" t="n">
        <v>11</v>
      </c>
    </row>
    <row r="374">
      <c r="A374" t="inlineStr">
        <is>
          <t>Australia</t>
        </is>
      </c>
      <c r="B374" t="inlineStr">
        <is>
          <t>C2026C00209VOL01 (Australia - Row 26)</t>
        </is>
      </c>
      <c r="C374" t="inlineStr">
        <is>
          <t>363</t>
        </is>
      </c>
      <c r="D374" s="11" t="inlineStr">
        <is>
          <t>Authorisations for foreign investigations</t>
        </is>
      </c>
      <c r="E374" t="inlineStr">
        <is>
          <t>379–380</t>
        </is>
      </c>
      <c r="F374" t="inlineStr">
        <is>
          <t>Low</t>
        </is>
      </c>
      <c r="G374" t="inlineStr">
        <is>
          <t>High (explicit)</t>
        </is>
      </c>
      <c r="H374" s="11" t="inlineStr">
        <is>
          <t>Cross-border Transfer, Data Sharing, Data Storage</t>
        </is>
      </c>
      <c r="I374" s="11" t="inlineStr">
        <is>
          <t>Personal Information</t>
        </is>
      </c>
      <c r="J374" t="inlineStr">
        <is>
          <t>Australian Federal Police</t>
        </is>
      </c>
      <c r="K374" s="11" t="inlineStr">
        <is>
          <t>This section allows Australian Federal Police to authorise disclosures of information or documents for foreign investigations involving serious offences or international crimes. The authorisations must be revoked if the disclosure is no longer required, and the period for which the authorisation is in force may be extended once.</t>
        </is>
      </c>
      <c r="L374" s="11" t="inlineStr"/>
      <c r="M374" s="11" t="inlineStr">
        <is>
          <t>• [Must] An authorised officer of the Australian Federal Police must revoke authorisations if the disclosure is no longer required</t>
        </is>
      </c>
      <c r="N374" s="11" t="inlineStr">
        <is>
          <t>• [May] The authorisation period may be extended once by an authorised officer of the Australian Federal Police</t>
        </is>
      </c>
      <c r="O374" s="11" t="inlineStr">
        <is>
          <t>An authorised officer of the Australian Federal Police must revoke the authorisation if he or she is satisfied that the disclosure is no longer required.</t>
        </is>
      </c>
      <c r="P374" s="12" t="n">
        <v>11</v>
      </c>
    </row>
    <row r="375">
      <c r="A375" t="inlineStr">
        <is>
          <t>Australia</t>
        </is>
      </c>
      <c r="B375" t="inlineStr">
        <is>
          <t>C2026C00209VOL01 (Australia - Row 26)</t>
        </is>
      </c>
      <c r="C375" t="inlineStr">
        <is>
          <t>369</t>
        </is>
      </c>
      <c r="D375" s="11" t="inlineStr">
        <is>
          <t>Journalist information warrants</t>
        </is>
      </c>
      <c r="E375" t="inlineStr">
        <is>
          <t>385–386</t>
        </is>
      </c>
      <c r="F375" t="inlineStr">
        <is>
          <t>Low</t>
        </is>
      </c>
      <c r="G375" t="inlineStr">
        <is>
          <t>High (explicit)</t>
        </is>
      </c>
      <c r="H375" s="11" t="inlineStr">
        <is>
          <t>Data Sharing, Data Storage, Security</t>
        </is>
      </c>
      <c r="I375" s="11" t="inlineStr">
        <is>
          <t>Personal Information</t>
        </is>
      </c>
      <c r="J375" t="inlineStr">
        <is>
          <t>Australian Federal Police</t>
        </is>
      </c>
      <c r="K375" s="11" t="inlineStr">
        <is>
          <t>This section prohibits authorisations that would disclose information or documents relating to journalists or their sources. The authorisation must not be made if the person is a journalist or an employer of a journalist, and the purpose is to identify another person who is a source. The section also specifies that journalist information warrants require the Attorney-General to be satisfied that the public interest in issuing the warrant outweighs the public interest in protecting source confidentiality.</t>
        </is>
      </c>
      <c r="L375" s="11" t="inlineStr"/>
      <c r="M375" s="11" t="inlineStr">
        <is>
          <t>• [Must Not] An authorisation must not disclose information or documents relating to a journalist or their employer</t>
        </is>
      </c>
      <c r="N375" s="11" t="inlineStr">
        <is>
          <t>• [Must Not] The authorisation must not be made to identify another person who is a source</t>
        </is>
      </c>
      <c r="O375" s="11" t="inlineStr">
        <is>
          <t>An authorised officer of the Australian Federal Police must not make an authorisation under Division 4A that would authorise the disclosure of information or documents relating to a particular person if: (a) the authorised officer knows or reasonably believes that particular person to be a person who is working in a professional capacity as a journalist; or (ii) an employer of such a person.</t>
        </is>
      </c>
      <c r="P375" s="12" t="n">
        <v>11</v>
      </c>
    </row>
    <row r="376">
      <c r="A376" t="inlineStr">
        <is>
          <t>Australia</t>
        </is>
      </c>
      <c r="B376" t="inlineStr">
        <is>
          <t>C2026C00209VOL01 (Australia - Row 26)</t>
        </is>
      </c>
      <c r="C376" t="inlineStr">
        <is>
          <t>371</t>
        </is>
      </c>
      <c r="D376" s="11" t="inlineStr">
        <is>
          <t>Conditions for journalist information warrants</t>
        </is>
      </c>
      <c r="E376" t="inlineStr">
        <is>
          <t>387–388</t>
        </is>
      </c>
      <c r="F376" t="inlineStr">
        <is>
          <t>Low</t>
        </is>
      </c>
      <c r="G376" t="inlineStr">
        <is>
          <t>High (explicit)</t>
        </is>
      </c>
      <c r="H376"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376" s="11" t="inlineStr">
        <is>
          <t>Personal Information</t>
        </is>
      </c>
      <c r="J376" t="inlineStr">
        <is>
          <t>Attorney-General</t>
        </is>
      </c>
      <c r="K376" s="11" t="inlineStr">
        <is>
          <t>This section specifies the information required for a journalist information warrant, including the extent of information likely to assist organizational functions, reasonable attempts to obtain information, submissions from Public Interest Advocates, and other matters the Attorney-General deems relevant. The warrant may include conditions or restrictions for authorizations under its authority. The Director-General of Security must ensure the warrant is issued only when security is seriously prejudiced without immediate access.</t>
        </is>
      </c>
      <c r="L376" s="11" t="inlineStr">
        <is>
          <t>This section outlines conditions for journalist information warrants, including the need to assess the extent of information useful for organizational functions and whether reasonable attempts were made to obtain data. It impacts DTIAs by requiring specific justifications for warrant issuance and ensuring warrants are time-bound and revocable.</t>
        </is>
      </c>
      <c r="M376" s="11" t="inlineStr">
        <is>
          <t>• [Must] The extent to which information would assist the Organisation's functions
• [Must] Reasonable attempts made to obtain information by other means
• [Must] Submissions made by a Public Interest Advocate under section 180X</t>
        </is>
      </c>
      <c r="N376" s="11" t="inlineStr">
        <is>
          <t>• [Must] Other matters the Attorney-General considers relevant
• [May] Conditions or restrictions may be specified for authorisations under the warrant</t>
        </is>
      </c>
      <c r="O376" s="11" t="inlineStr">
        <is>
          <t>371 (iii) the extent to which that information or those documents would be likely to assist in the performance of the Organisation's functions; and (iv) whether reasonable attempts have been made to obtain the information or documents by other means; and (v) any submissions made by a Public Interest Advocate under section 180X; and (vi) any other matters the Attorney-General considers relevant.</t>
        </is>
      </c>
      <c r="P376" s="12" t="n">
        <v>11</v>
      </c>
    </row>
    <row r="377">
      <c r="A377" t="inlineStr">
        <is>
          <t>Australia</t>
        </is>
      </c>
      <c r="B377" t="inlineStr">
        <is>
          <t>C2026C00209VOL01 (Australia - Row 26)</t>
        </is>
      </c>
      <c r="C377" t="inlineStr">
        <is>
          <t>373</t>
        </is>
      </c>
      <c r="D377" s="11" t="inlineStr">
        <is>
          <t>Duration and reporting requirements for journalist warrants</t>
        </is>
      </c>
      <c r="E377" t="inlineStr">
        <is>
          <t>389–390</t>
        </is>
      </c>
      <c r="F377" t="inlineStr">
        <is>
          <t>Low</t>
        </is>
      </c>
      <c r="G377" t="inlineStr">
        <is>
          <t>High (explicit)</t>
        </is>
      </c>
      <c r="H377"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377" s="11" t="inlineStr">
        <is>
          <t>Personal Information</t>
        </is>
      </c>
      <c r="J377" t="inlineStr">
        <is>
          <t>Director-General of Security</t>
        </is>
      </c>
      <c r="K377" s="11" t="inlineStr">
        <is>
          <t>This section mandates that journalist information warrants specify a duration not exceeding 48 hours, allowing revocation by the Attorney-General before expiry. The Director-General must provide copies of warrants and supporting documents to the Attorney-General and Inspector-General within 3 business days, including records or summaries justifying the warrant.</t>
        </is>
      </c>
      <c r="L377" s="11" t="inlineStr">
        <is>
          <t>This section sets a strict 48-hour expiry for journalist warrants and requires timely reporting to authorities, impacting DTIAs by limiting warrant duration and ensuring transparency in warrant issuance and use.</t>
        </is>
      </c>
      <c r="M377" s="11" t="inlineStr">
        <is>
          <t>• [Must] Warrant must specify a period not exceeding 48 hours for force
• [May] Attorney-General may revoke warrant before expiry
• [Must] Director-General must provide warrant copy to Attorney-General</t>
        </is>
      </c>
      <c r="N377" s="11" t="inlineStr">
        <is>
          <t>• [Must] Director-General must provide statement of grounds for warrant issuance
• [Must] Director-General must provide record or summary of facts justifying warrant
• [Must] Director-General must provide warrant copy to Inspector-General within 3 business days</t>
        </is>
      </c>
      <c r="O377" s="11" t="inlineStr">
        <is>
          <t>373 (7) A journalist information warrant under this section must specify the period (not exceeding 48 hours) for which it is to remain in force. The Attorney-General may revoke the warrant at any time before the end of the specified period.</t>
        </is>
      </c>
      <c r="P377" s="12" t="n">
        <v>11</v>
      </c>
    </row>
    <row r="378">
      <c r="A378" t="inlineStr">
        <is>
          <t>Australia</t>
        </is>
      </c>
      <c r="B378" t="inlineStr">
        <is>
          <t>C2026C00209VOL01 (Australia - Row 26)</t>
        </is>
      </c>
      <c r="C378" t="inlineStr">
        <is>
          <t>374</t>
        </is>
      </c>
      <c r="D378" s="11" t="inlineStr">
        <is>
          <t>Discontinuance of journalist warrants when grounds cease</t>
        </is>
      </c>
      <c r="E378" t="inlineStr">
        <is>
          <t>390–391</t>
        </is>
      </c>
      <c r="F378" t="inlineStr">
        <is>
          <t>Low</t>
        </is>
      </c>
      <c r="G378" t="inlineStr">
        <is>
          <t>High (explicit)</t>
        </is>
      </c>
      <c r="H378"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378" s="11" t="inlineStr">
        <is>
          <t>Personal Information</t>
        </is>
      </c>
      <c r="J378" t="inlineStr">
        <is>
          <t>Director-General of Security</t>
        </is>
      </c>
      <c r="K378" s="11" t="inlineStr">
        <is>
          <t>This section requires the Director-General to immediately inform the Attorney-General and cease authorizations under a journalist information warrant if the grounds for its issuance no longer exist. The Director-General must take necessary steps to ensure authorizations are discontinued to prevent continued use of the warrant.</t>
        </is>
      </c>
      <c r="L378" s="11" t="inlineStr">
        <is>
          <t>This section ensures warrants are discontinued when no longer justified, impacting DTIAs by requiring prompt termination of authorizations once the warrant's purpose is fulfilled.</t>
        </is>
      </c>
      <c r="M378" s="11" t="inlineStr">
        <is>
          <t>• [Must] Director-General must inform Attorney-General if grounds for warrant cease</t>
        </is>
      </c>
      <c r="N378" s="11" t="inlineStr">
        <is>
          <t>• [Must] Director-General must take steps to discontinue authorizations under warrant</t>
        </is>
      </c>
      <c r="O378" s="11" t="inlineStr">
        <is>
          <t>374 If, before a journalist information warrant issued under this Subdivision ceases to be in force, the Director-General of Security is satisfied that the grounds on which the warrant was issued have ceased to exist, he or she must: (a) forthwith inform the Attorney-General accordingly; and (b) takes such steps as are necessary to ensure that the making of authorisations under the authority of the warrant is discontinued.</t>
        </is>
      </c>
      <c r="P378" s="12" t="n">
        <v>11</v>
      </c>
    </row>
    <row r="379">
      <c r="A379" t="inlineStr">
        <is>
          <t>Australia</t>
        </is>
      </c>
      <c r="B379" t="inlineStr">
        <is>
          <t>C2026C00209VOL01 (Australia - Row 26)</t>
        </is>
      </c>
      <c r="C379" t="inlineStr">
        <is>
          <t>375</t>
        </is>
      </c>
      <c r="D379" s="11" t="inlineStr">
        <is>
          <t>Oaths and affirmations for journalist warrant applications</t>
        </is>
      </c>
      <c r="E379" t="inlineStr">
        <is>
          <t>391–392</t>
        </is>
      </c>
      <c r="F379" t="inlineStr">
        <is>
          <t>Low</t>
        </is>
      </c>
      <c r="G379" t="inlineStr">
        <is>
          <t>High (explicit)</t>
        </is>
      </c>
      <c r="H379"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379" s="11" t="inlineStr">
        <is>
          <t>Personal Information</t>
        </is>
      </c>
      <c r="J379" t="inlineStr">
        <is>
          <t>Part 4-1 issuing authority</t>
        </is>
      </c>
      <c r="K379" s="11" t="inlineStr">
        <is>
          <t>This section requires information provided to the Part 4-1 issuing authority in connection with a journalist warrant application to be verified on oath or affirmation. The authority may administer the oath or affirmation in person, by telephone, video call, video link, or audio link.</t>
        </is>
      </c>
      <c r="L379" s="11" t="inlineStr">
        <is>
          <t>This section mandates oath verification for warrant applications, impacting DTIAs by ensuring the authenticity of information provided during warrant issuance processes.</t>
        </is>
      </c>
      <c r="M379" s="11" t="inlineStr">
        <is>
          <t>• [Must] Information given to Part 4-1 issuing authority must be verified on oath or affirmation</t>
        </is>
      </c>
      <c r="N379" s="11" t="inlineStr">
        <is>
          <t>• [May] Oath or affirmation may be administered in person, by telephone, video call, video link, or audio link</t>
        </is>
      </c>
      <c r="O379" s="11" t="inlineStr">
        <is>
          <t>180S (1) Information given to the Part 4-1 issuing authority in connection with the application must be verified on oath or affirmation.</t>
        </is>
      </c>
      <c r="P379" s="12" t="n">
        <v>11</v>
      </c>
    </row>
    <row r="380">
      <c r="A380" t="inlineStr">
        <is>
          <t>Australia</t>
        </is>
      </c>
      <c r="B380" t="inlineStr">
        <is>
          <t>C2026C00209VOL01 (Australia - Row 26)</t>
        </is>
      </c>
      <c r="C380" t="inlineStr">
        <is>
          <t>382</t>
        </is>
      </c>
      <c r="D380" s="11" t="inlineStr">
        <is>
          <t>Exclusions for disclosure of information under journalist warrants</t>
        </is>
      </c>
      <c r="E380" t="inlineStr">
        <is>
          <t>398–399</t>
        </is>
      </c>
      <c r="F380" t="inlineStr">
        <is>
          <t>Low</t>
        </is>
      </c>
      <c r="G380" t="inlineStr">
        <is>
          <t>High (explicit)</t>
        </is>
      </c>
      <c r="H380"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380" s="11" t="inlineStr">
        <is>
          <t>Personal Information</t>
        </is>
      </c>
      <c r="J380" t="inlineStr">
        <is>
          <t>Attorney-General</t>
        </is>
      </c>
      <c r="K380" s="11" t="inlineStr">
        <is>
          <t>This section specifies that certain uses of information or documents under journalist information warrants are exempt from disclosure requirements, including uses for authorizations, revocation, or notification, uses reasonably necessary for the ACC to perform its functions, and uses by IGIS officials in connection with their duties.</t>
        </is>
      </c>
      <c r="L380" s="11" t="inlineStr">
        <is>
          <t>This section defines exceptions for information use under journalist warrants, impacting DTIAs by clarifying when disclosures are exempt from reporting or retention requirements.</t>
        </is>
      </c>
      <c r="M380" s="11" t="inlineStr">
        <is>
          <t>• [Must] Uses for authorizations, revocation, or notification are exempt
• [Must] Uses reasonably necessary for ACC to perform functions are exempt</t>
        </is>
      </c>
      <c r="N380" s="11" t="inlineStr">
        <is>
          <t>• [Must] Uses by IGIS officials in connection with their duties are exempt</t>
        </is>
      </c>
      <c r="O380" s="11" t="inlineStr">
        <is>
          <t>382 (6) Paragraphs (4)(a) and (5)(a) do not apply to a use of information or a document if: (a) the use is for the purposes of the authorisation, revocation or notification concerned; or (b) the use is reasonably necessary: (iia) to enable the ACC to perform its function covered by Act 2002; or (c) the use is by an IGIS official in connection with the IGIS</t>
        </is>
      </c>
      <c r="P380" s="12" t="n">
        <v>11</v>
      </c>
    </row>
    <row r="381">
      <c r="A381" t="inlineStr">
        <is>
          <t>Australia</t>
        </is>
      </c>
      <c r="B381" t="inlineStr">
        <is>
          <t>C2026C00209VOL01 (Australia - Row 26)</t>
        </is>
      </c>
      <c r="C381" t="inlineStr">
        <is>
          <t>385</t>
        </is>
      </c>
      <c r="D381" s="11" t="inlineStr">
        <is>
          <t>Secondary disclosure use conditions for law enforcement</t>
        </is>
      </c>
      <c r="E381" t="inlineStr">
        <is>
          <t>401–402</t>
        </is>
      </c>
      <c r="F381" t="inlineStr">
        <is>
          <t>Medium</t>
        </is>
      </c>
      <c r="G381" t="inlineStr">
        <is>
          <t>High (explicit)</t>
        </is>
      </c>
      <c r="H381"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381" s="11" t="inlineStr">
        <is>
          <t>Personal Information</t>
        </is>
      </c>
      <c r="J381" t="inlineStr"/>
      <c r="K381" s="11" t="inlineStr">
        <is>
          <t>This section specifies conditions under which secondary disclosure or use of information is permitted. It requires that the use must be for the purposes of the authorisation, revocation or notification concerned; or reasonably necessary for enforcing criminal law; or for specific purposes under Division 105A or 395 of the Criminal Code; or to enable the Australian Crime Commission to perform its functions; or to enforce pecuniary penalties; or to protect public revenue. The use must be by an IGIS official in connection with the IGIS.</t>
        </is>
      </c>
      <c r="L381" s="11" t="inlineStr"/>
      <c r="M381" s="11" t="inlineStr">
        <is>
          <t>• [Must] The use is for the purposes of the authorisation, revocation or notification concerned
• [Must] The use is reasonably necessary to enforce the criminal law
• [Must] The use is for the purposes of Division 105A of the Criminal Code
• [Must] The use is for the purposes of Division 395 of the Criminal Code</t>
        </is>
      </c>
      <c r="N381" s="11" t="inlineStr">
        <is>
          <t>• [Must] The use is to enable the ACC to perform its function covered by Act 2002
• [Must] The use is reasonably necessary to enforce a law imposing a pecuniary penalty
• [Must] The use is reasonably necessary to protect the public revenue
• [Must] The use is by an IGIS official in connection with the IGIS</t>
        </is>
      </c>
      <c r="O381" s="11" t="inlineStr">
        <is>
          <t>385 (a) the use is for the purposes of the authorisation, revocation or notification concerned; or (b) the use is reasonably necessary: (i) to enforce the criminal law; or (iaa) for the purposes of Division 105A of the Criminal Code (iab) for the purposes of Division 395 of the Criminal Code (iac) to enable the ACC to perform its function covered by Act 2002; or (ii) to enforce a law imposing a pecuniary penalty; or (iii) to protect the public revenue; or (c) the use is by an IGIS official in connection with the IGIS</t>
        </is>
      </c>
      <c r="P381" s="12" t="n">
        <v>11</v>
      </c>
    </row>
    <row r="382">
      <c r="A382" t="inlineStr">
        <is>
          <t>Australia</t>
        </is>
      </c>
      <c r="B382" t="inlineStr">
        <is>
          <t>C2026C00209VOL01 (Australia - Row 26)</t>
        </is>
      </c>
      <c r="C382" t="inlineStr">
        <is>
          <t>386</t>
        </is>
      </c>
      <c r="D382" s="11" t="inlineStr">
        <is>
          <t>Secondary disclosure use conditions for law enforcement</t>
        </is>
      </c>
      <c r="E382" t="inlineStr">
        <is>
          <t>402–403</t>
        </is>
      </c>
      <c r="F382" t="inlineStr">
        <is>
          <t>Medium</t>
        </is>
      </c>
      <c r="G382" t="inlineStr">
        <is>
          <t>High (explicit)</t>
        </is>
      </c>
      <c r="H382"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382" s="11" t="inlineStr">
        <is>
          <t>Personal Information</t>
        </is>
      </c>
      <c r="J382" t="inlineStr"/>
      <c r="K382" s="11" t="inlineStr">
        <is>
          <t>This section specifies conditions under which secondary disclosure or use of information is permitted. It requires that the disclosure must be reasonably necessary for the performance by the Organisation of its functions; or for the enforcement of the criminal law; or for specific purposes under Division 105A or 395 of the Criminal Code; or for the performance by the ACC of its function covered by paragraph 7A(da) of the Australian Crime Commission Act 2002; or to enforce a law imposing a pecuniary penalty; or to protect public revenue. The disclosure must be official.</t>
        </is>
      </c>
      <c r="L382" s="11" t="inlineStr"/>
      <c r="M382" s="11" t="inlineStr">
        <is>
          <t>• [Must] The disclosure is reasonably necessary for the performance by the Organisation of its functions
• [Must] The disclosure is reasonably necessary for the enforcement of the criminal law
• [Must] The disclosure is for the purposes of Division 105A of the Criminal Code
• [Must] The disclosure is for the purposes of Division 395 of the Criminal Code</t>
        </is>
      </c>
      <c r="N382" s="11" t="inlineStr">
        <is>
          <t>• [Must] The disclosure is for the performance by the ACC of its function covered by paragraph 7A(da) of the Australian Crime Commission Act 2002
• [Must] The disclosure is reasonably necessary to enforce a law imposing a pecuniary penalty
• [Must] The disclosure is reasonably necessary to protect public revenue
• [Must] The disclosure is official</t>
        </is>
      </c>
      <c r="O382" s="11" t="inlineStr">
        <is>
          <t>386 (ii) for the performance by the Organisation of its functions; or (iiia) for the purposes of Division 105A of the Criminal Code (iiib) for the purposes of Division 395 of the Criminal Code (iiic) for the performance by the ACC of its function covered by paragraph 7A(da) of the Australian Crime Commission Act 2002; or (iv) for the enforcement of a law imposing a pecuniary penalty; or (v) for the protection of the public revenue; or (b) the disclosure is: official;</t>
        </is>
      </c>
      <c r="P382" s="12" t="n">
        <v>11</v>
      </c>
    </row>
    <row r="383">
      <c r="A383" t="inlineStr">
        <is>
          <t>Australia</t>
        </is>
      </c>
      <c r="B383" t="inlineStr">
        <is>
          <t>C2026C00209VOL01 (Australia - Row 26)</t>
        </is>
      </c>
      <c r="C383" t="inlineStr">
        <is>
          <t>390</t>
        </is>
      </c>
      <c r="D383" s="11" t="inlineStr">
        <is>
          <t>Form and notification requirements for authorisations</t>
        </is>
      </c>
      <c r="E383" t="inlineStr">
        <is>
          <t>406–407</t>
        </is>
      </c>
      <c r="F383" t="inlineStr">
        <is>
          <t>Medium</t>
        </is>
      </c>
      <c r="G383" t="inlineStr">
        <is>
          <t>High (explicit)</t>
        </is>
      </c>
      <c r="H383"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383" s="11" t="inlineStr">
        <is>
          <t>Personal Information</t>
        </is>
      </c>
      <c r="J383" t="inlineStr"/>
      <c r="K383" s="11" t="inlineStr">
        <is>
          <t>This section mandates that authorisations and notifications must be in written or electronic form, and comply with requirements determined by a Communications Access Coordinator. It also requires consultation with ACMA and the Information Commissioner before determining requirements for the purposes of privacy functions.</t>
        </is>
      </c>
      <c r="L383" s="11" t="inlineStr"/>
      <c r="M383" s="11" t="inlineStr">
        <is>
          <t>• [Must] An authorisation under Division 3, 4 or 4A of Part 4-1 must be in written or electronic form
• [Must] The notification of such an authorisation must be in written or electronic form
• [Must] The revocation of such an authorisation must be in written or electronic form
• [Must] The notification of such a revocation must be in written or electronic form</t>
        </is>
      </c>
      <c r="N383" s="11" t="inlineStr">
        <is>
          <t>• [Must] The authorisation must comply with requirements determined under subsection (2)
• [May] A Communications Access Coordinator may determine requirements for the purposes of paragraph (1)(f) by legislative instrument
• [Must] A Communications Access Coordinator must consult ACMA and the Information Commissioner before making a determination under subsection (2)</t>
        </is>
      </c>
      <c r="O383" s="11" t="inlineStr">
        <is>
          <t>390 (a) an authorisation under Division 3, 4 or 4A of Part 4-1; (b) the notification of such an authorisation; (c) the revocation of such an authorisation; (d) the notification of such a revocation; must: (e) be in written form or in electronic form (for example, email); and (f) comply with such requirements as are determined under subsection (2). (2) A Communications Access Coordinator may, by legislative instrument, determine requirements for the purposes of paragraph (1)(f). (3) A Communications Access Coordinator must consult the ACMA and the Information Commissioner in relation to matters that relate to the privacy functions (within the meaning of the Australian Information Commissioner Act 2010) before a determination is made under subsection (2).</t>
        </is>
      </c>
      <c r="P383" s="12" t="n">
        <v>11</v>
      </c>
    </row>
    <row r="384">
      <c r="A384" t="inlineStr">
        <is>
          <t>Australia</t>
        </is>
      </c>
      <c r="B384" t="inlineStr">
        <is>
          <t>C2026C00209VOL01 (Australia - Row 26)</t>
        </is>
      </c>
      <c r="C384" t="inlineStr">
        <is>
          <t>391</t>
        </is>
      </c>
      <c r="D384" s="11" t="inlineStr">
        <is>
          <t>Notification requirements for authorisations and revocations</t>
        </is>
      </c>
      <c r="E384" t="inlineStr">
        <is>
          <t>407–408</t>
        </is>
      </c>
      <c r="F384" t="inlineStr">
        <is>
          <t>Medium</t>
        </is>
      </c>
      <c r="G384" t="inlineStr">
        <is>
          <t>High (explicit)</t>
        </is>
      </c>
      <c r="H384"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384" s="11" t="inlineStr">
        <is>
          <t>Personal Information</t>
        </is>
      </c>
      <c r="J384" t="inlineStr"/>
      <c r="K384" s="11" t="inlineStr">
        <is>
          <t>This section requires that ASIO employees or affiliates must notify the person from whom disclosure is sought when an authorisation is made under Division 3 of Part 4-1. It also mandates that relevant staff members of enforcement agencies must notify the person when an authorisation is revoked under specific subsections.</t>
        </is>
      </c>
      <c r="L384" s="11" t="inlineStr"/>
      <c r="M384" s="11" t="inlineStr">
        <is>
          <t>• [Must] If a person makes an authorisation under Division 3 of Part 4-1, an ASIO employee or ASIO affiliate must notify the person from whom the disclosure is sought
• [Must] If a person revokes an authorisation under subsection 176(6), an ASIO employee or ASIO affiliate must notify the person who was notified of the authorisation
• [Must] If an authorised officer of an enforcement agency makes an authorisation under Division 4 of Part 4-1, a relevant staff member of the enforcement agency must notify the person from whom the disclosure is sought</t>
        </is>
      </c>
      <c r="N384" s="11" t="inlineStr">
        <is>
          <t>• [Must] If an authorised officer of a criminal law-enforcement agency revokes an authorisation under subsection 180(7), a relevant staff member of the enforcement agency must notify the person who was notified of the authorisation
• [Must] If an authorised officer of the Australian Federal Police makes an authorisation under subsection 180A(2) or 180B(2), or extends the period for which an authorisation is in force under subsection 180B(6), a relevant staff member of the Australian Federal Police must notify the person from whom the disclosure is sought
• [Must] If an authorised officer of the Australian Federal Police revokes an authorisation under subsection 180B(4), a relevant staff member of the Australian Federal Police must notify the person who was notified of the authorisation</t>
        </is>
      </c>
      <c r="O384" s="11" t="inlineStr">
        <is>
          <t>391 (2) If, under subsection 176(6), a person revokes an authorisation, an ASIO employee or ASIO affiliate must notify the person who was notified of the authorisation. (3) If an authorised officer of an enforcement agency makes an authorisation under Division 4 of Part 4-1, a relevant staff member of the enforcement agency must notify the person from whom the disclosure is sought. (4) If, under subsection 180(7), an authorised officer of a criminal law-enforcement agency revokes an authorisation, a relevant staff member of the enforcement agency must notify the person who was notified of the authorisation. (5) If an authorised officer of the Australian Federal Police makes an authorisation under subsection 180A(2) or 180B(2), or extends the period for which an authorisation is in force under subsection 180B(6), a relevant staff member of the Australian Federal Police must notify the person from whom the disclosure is sought. (6) If, under subsection 180B(4), an authorised officer of the Australian Federal Police revokes an authorisation, a relevant staff member of the Australian Federal Police must notify the person who was notified of the authorisation.</t>
        </is>
      </c>
      <c r="P384" s="12" t="n">
        <v>11</v>
      </c>
    </row>
    <row r="385">
      <c r="A385" t="inlineStr">
        <is>
          <t>Australia</t>
        </is>
      </c>
      <c r="B385" t="inlineStr">
        <is>
          <t>C2026C00209VOL01 (Australia - Row 26)</t>
        </is>
      </c>
      <c r="C385" t="inlineStr">
        <is>
          <t>393</t>
        </is>
      </c>
      <c r="D385" s="11" t="inlineStr">
        <is>
          <t>Evidentiary certificates for acts by ASIO</t>
        </is>
      </c>
      <c r="E385" t="inlineStr">
        <is>
          <t>409–410</t>
        </is>
      </c>
      <c r="F385" t="inlineStr">
        <is>
          <t>Medium</t>
        </is>
      </c>
      <c r="G385" t="inlineStr">
        <is>
          <t>High (explicit)</t>
        </is>
      </c>
      <c r="H385"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385" s="11" t="inlineStr">
        <is>
          <t>Personal Information</t>
        </is>
      </c>
      <c r="J385" t="inlineStr"/>
      <c r="K385" s="11" t="inlineStr">
        <is>
          <t>This section allows the Director-General of Security or Deputy Director-General of Security to issue written certificates signed by them, detailing relevant facts about actions taken by ASIO employees or affiliates in connection with disclosures covered by authorisations under Division 3 or 4 of Part 4-1.</t>
        </is>
      </c>
      <c r="L385" s="11" t="inlineStr"/>
      <c r="M385" s="11" t="inlineStr">
        <is>
          <t>• [May] The Director-General of Security or Deputy Director-General of Security may issue a written certificate signed by them setting out relevant facts about actions taken by ASIO employees or affiliates in connection with disclosures covered by authorisations under Division 3 or 4 of Part 4-1
• [Must] The certificate must be signed by the Director-General of Security or Deputy Director-General of Security</t>
        </is>
      </c>
      <c r="N385" s="11" t="inlineStr">
        <is>
          <t>• [Must] The certificate must set out relevant facts about actions taken by ASIO employees or affiliates in connection with disclosures covered by authorisations under Division 3 or 4 of Part 4-1</t>
        </is>
      </c>
      <c r="O385" s="11" t="inlineStr">
        <is>
          <t>393 (1) The Director-General of Security or the Deputy Director-General of Security may issue a written certificate signed by him or her setting out such facts as he or she considers relevant with respect to: (a) anything done by an ASIO employee or ASIO affiliate in connection with the disclosure of information or a document covered by an authorisation in force under a provision of Division 3 or 4 of Part 4-1; or (b) anything done by an ASIO employee or ASIO affiliate in connection with the disclosure of information or a document, covered by such an authorisation; or</t>
        </is>
      </c>
      <c r="P385" s="12" t="n">
        <v>11</v>
      </c>
    </row>
    <row r="386">
      <c r="A386" t="inlineStr">
        <is>
          <t>Australia</t>
        </is>
      </c>
      <c r="B386" t="inlineStr">
        <is>
          <t>C2026C00209VOL01 (Australia - Row 26)</t>
        </is>
      </c>
      <c r="C386" t="inlineStr">
        <is>
          <t>394</t>
        </is>
      </c>
      <c r="D386" s="11" t="inlineStr">
        <is>
          <t>Notification requirements for authorisations intended to identify media sources</t>
        </is>
      </c>
      <c r="E386" t="inlineStr">
        <is>
          <t>410–411</t>
        </is>
      </c>
      <c r="F386" t="inlineStr">
        <is>
          <t>Medium</t>
        </is>
      </c>
      <c r="G386" t="inlineStr">
        <is>
          <t>High (explicit)</t>
        </is>
      </c>
      <c r="H386"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386" s="11" t="inlineStr">
        <is>
          <t>Personal Information</t>
        </is>
      </c>
      <c r="J386" t="inlineStr"/>
      <c r="K386" s="11" t="inlineStr">
        <is>
          <t>This section requires that when a journalist information warrant is issued under Subdivision B of Division 4C of Part 4-1, the Director-General of Security must notify the Inspector-General of Intelligence and Security, and the Attorney-General must notify the Parliamentary Joint Committee on Intelligence and Security.</t>
        </is>
      </c>
      <c r="L386" s="11" t="inlineStr"/>
      <c r="M386" s="11" t="inlineStr">
        <is>
          <t>• [Must] The Director-General of Security must give a copy of the warrant to the Inspector-General of Intelligence and Security as soon as practicable</t>
        </is>
      </c>
      <c r="N386" s="11" t="inlineStr">
        <is>
          <t>• [Must] The Attorney-General must cause the Parliamentary Joint Committee on Intelligence and Security to be notified of the issuing of the warrant as soon as practicable</t>
        </is>
      </c>
      <c r="O386" s="11" t="inlineStr">
        <is>
          <t>394 (1) If a journalist information warrant is issued under Subdivision B of Division 4C of Part 4-1: (a) the Director-General of Security must, as soon as practicable, give a copy of the warrant to the Inspector-General of Intelligence and Security; and (b) the Attorney-General must, as soon as practicable, cause the Parliamentary Joint Committee on Intelligence and Security to be notified of the issuing of the warrant.</t>
        </is>
      </c>
      <c r="P386" s="12" t="n">
        <v>11</v>
      </c>
    </row>
    <row r="387">
      <c r="A387" t="inlineStr">
        <is>
          <t>Australia</t>
        </is>
      </c>
      <c r="B387" t="inlineStr">
        <is>
          <t>C2026C00209VOL01 (Australia - Row 26)</t>
        </is>
      </c>
      <c r="C387" t="inlineStr">
        <is>
          <t>395</t>
        </is>
      </c>
      <c r="D387" s="11" t="inlineStr">
        <is>
          <t>Reporting requirements for journalist information warrants</t>
        </is>
      </c>
      <c r="E387" t="inlineStr">
        <is>
          <t>411–412</t>
        </is>
      </c>
      <c r="F387" t="inlineStr">
        <is>
          <t>Low</t>
        </is>
      </c>
      <c r="G387" t="inlineStr">
        <is>
          <t>High (explicit)</t>
        </is>
      </c>
      <c r="H387" s="11" t="inlineStr"/>
      <c r="I387" s="11" t="inlineStr">
        <is>
          <t>Special Personal Information</t>
        </is>
      </c>
      <c r="J387" t="inlineStr">
        <is>
          <t>Parliamentary Joint Committee on Intelligence and Security</t>
        </is>
      </c>
      <c r="K387" s="11" t="inlineStr">
        <is>
          <t>This section mandates that if the Inspector-General of Intelligence and Security provides a report to the Minister under specific sections of the Inspector-General of Intelligence and Security Act 1986, and certain authorisations are issued, the Minister must notify the Parliamentary Joint Committee on Intelligence and Security. It also requires that enforcement agencies provide copies of journalist information warrants to relevant authorities promptly after issuance.</t>
        </is>
      </c>
      <c r="L387" s="11" t="inlineStr">
        <is>
          <t>Requires timely reporting of journalist information warrants to oversight bodies, relevant for DTIAs involving intelligence data transfers to foreign jurisdictions.</t>
        </is>
      </c>
      <c r="M387" s="11" t="inlineStr">
        <is>
          <t>• [Must] If Inspector-General gives report to Minister under section 22 or 25A of Inspector-General of Intelligence and Security Act 1986, Minister must notify Parliamentary Joint Committee on Intelligence and Security</t>
        </is>
      </c>
      <c r="N387" s="11" t="inlineStr">
        <is>
          <t>• [Must] If journalist information warrant issued to enforcement agency, chief officer must give copies to Minister and Inspector-General of Intelligence and Security</t>
        </is>
      </c>
      <c r="O387" s="11" t="inlineStr">
        <is>
          <t>the Inspector-General gives to the Minister a report under section 22 or 25A of the Inspector-General of Intelligence and Security Act 1986; and following: (i) a journalist information warrant issued to the Organisation; (ii) one or more authorisations referred to in subsection (2) of this section</t>
        </is>
      </c>
      <c r="P387" s="12" t="n">
        <v>11</v>
      </c>
    </row>
    <row r="388">
      <c r="A388" t="inlineStr">
        <is>
          <t>Australia</t>
        </is>
      </c>
      <c r="B388" t="inlineStr">
        <is>
          <t>C2026C00209VOL01 (Australia - Row 26)</t>
        </is>
      </c>
      <c r="C388" t="inlineStr">
        <is>
          <t>396</t>
        </is>
      </c>
      <c r="D388" s="11" t="inlineStr">
        <is>
          <t>Reporting requirements for Australian Federal Police warrants</t>
        </is>
      </c>
      <c r="E388" t="inlineStr">
        <is>
          <t>412–413</t>
        </is>
      </c>
      <c r="F388" t="inlineStr">
        <is>
          <t>Low</t>
        </is>
      </c>
      <c r="G388" t="inlineStr">
        <is>
          <t>High (explicit)</t>
        </is>
      </c>
      <c r="H388" s="11" t="inlineStr"/>
      <c r="I388" s="11" t="inlineStr">
        <is>
          <t>Special Personal Information</t>
        </is>
      </c>
      <c r="J388" t="inlineStr">
        <is>
          <t>Ombudsman</t>
        </is>
      </c>
      <c r="K388" s="11" t="inlineStr">
        <is>
          <t>This section specifies that when the Australian Federal Police receives a journalist information warrant, the Commissioner must provide copies to the Minister and the Ombudsman. The Minister must then notify the Parliamentary Joint Committee on Intelligence and Security. It also requires that authorisations made under such warrants be reported to the Ombudsman.</t>
        </is>
      </c>
      <c r="L388" s="11" t="inlineStr">
        <is>
          <t>Requires reporting of journalist information warrants to oversight bodies, relevant for DTIAs involving intelligence data transfers to foreign jurisdictions.</t>
        </is>
      </c>
      <c r="M388" s="11" t="inlineStr">
        <is>
          <t>• [Must] If Australian Federal Police receives journalist information warrant, Commissioner must give copies to Minister and Ombudsman
• [Must] Minister must notify Parliamentary Joint Committee on Intelligence and Security after receiving warrant copy</t>
        </is>
      </c>
      <c r="N388" s="11" t="inlineStr">
        <is>
          <t>• [Must] If authorisation made under warrant, chief officer must give copy to Ombudsman</t>
        </is>
      </c>
      <c r="O388" s="11" t="inlineStr">
        <is>
          <t>the Commissioner of Police must, as soon as practicable, give copies of the warrant to the Minister and the Ombudsman</t>
        </is>
      </c>
      <c r="P388" s="12" t="n">
        <v>11</v>
      </c>
    </row>
    <row r="389">
      <c r="A389" t="inlineStr">
        <is>
          <t>Australia</t>
        </is>
      </c>
      <c r="B389" t="inlineStr">
        <is>
          <t>C2026C00209VOL01 (Australia - Row 26)</t>
        </is>
      </c>
      <c r="C389" t="inlineStr">
        <is>
          <t>397</t>
        </is>
      </c>
      <c r="D389" s="11" t="inlineStr">
        <is>
          <t>Ombudsman briefing requests for journalist warrants</t>
        </is>
      </c>
      <c r="E389" t="inlineStr">
        <is>
          <t>413–414</t>
        </is>
      </c>
      <c r="F389" t="inlineStr">
        <is>
          <t>Low</t>
        </is>
      </c>
      <c r="G389" t="inlineStr">
        <is>
          <t>High (explicit)</t>
        </is>
      </c>
      <c r="H389" s="11" t="inlineStr"/>
      <c r="I389" s="11" t="inlineStr">
        <is>
          <t>Special Personal Information</t>
        </is>
      </c>
      <c r="J389" t="inlineStr">
        <is>
          <t>Parliamentary Joint Committee on Intelligence and Security</t>
        </is>
      </c>
      <c r="K389" s="11" t="inlineStr">
        <is>
          <t>This section allows the Parliamentary Joint Committee on Intelligence and Security to request briefings from the Ombudsman regarding journalist information warrants or authorisations that relate to specific reports made to the Minister. It applies when the Ombudsman provides a report under section 186J of the Act.</t>
        </is>
      </c>
      <c r="L389" s="11" t="inlineStr">
        <is>
          <t>Provides oversight mechanism for intelligence data transfers through journalist warrants, relevant for DTIAs involving cross-border data flows.</t>
        </is>
      </c>
      <c r="M389" s="11" t="inlineStr">
        <is>
          <t>• [May] Parliamentary Joint Committee on Intelligence and Security may request briefing from Ombudsman on journalist information warrant or authorisations</t>
        </is>
      </c>
      <c r="N389" s="11" t="inlineStr"/>
      <c r="O389" s="11" t="inlineStr">
        <is>
          <t>The Parliamentary Joint Committee on Intelligence and Security may request a briefing from the Ombudsman on: (a) a journalist information warrant; or (b) an authorisation or authorisations</t>
        </is>
      </c>
      <c r="P389" s="12" t="n">
        <v>11</v>
      </c>
    </row>
    <row r="390">
      <c r="A390" t="inlineStr">
        <is>
          <t>Australia</t>
        </is>
      </c>
      <c r="B390" t="inlineStr">
        <is>
          <t>C2026C00209VOL01 (Australia - Row 26)</t>
        </is>
      </c>
      <c r="C390" t="inlineStr">
        <is>
          <t>398</t>
        </is>
      </c>
      <c r="D390" s="11" t="inlineStr">
        <is>
          <t>Reporting requirements for retained data access</t>
        </is>
      </c>
      <c r="E390" t="inlineStr">
        <is>
          <t>414–415</t>
        </is>
      </c>
      <c r="F390" t="inlineStr">
        <is>
          <t>Low</t>
        </is>
      </c>
      <c r="G390" t="inlineStr">
        <is>
          <t>High (explicit)</t>
        </is>
      </c>
      <c r="H390" s="11" t="inlineStr"/>
      <c r="I390" s="11" t="inlineStr">
        <is>
          <t>Special Personal Information</t>
        </is>
      </c>
      <c r="J390" t="inlineStr">
        <is>
          <t>Parliamentary Joint Committee on Intelligence and Security</t>
        </is>
      </c>
      <c r="K390" s="11" t="inlineStr">
        <is>
          <t>This section requires that if the Inspector-General of Intelligence and Security provides a report to the Minister under specific sections of the Inspector-General of Intelligence and Security Act 1986, and the report relates to access to retained data through authorisations, the Parliamentary Joint Committee on Intelligence and Security may request briefings from the Inspector-General on those authorisations.</t>
        </is>
      </c>
      <c r="L390" s="11" t="inlineStr">
        <is>
          <t>Requires oversight of retained data access mechanisms, relevant for DTIAs involving intelligence data transfers.</t>
        </is>
      </c>
      <c r="M390" s="11" t="inlineStr">
        <is>
          <t>• [May] If Inspector-General gives report to Minister under section 22 or 25A of Inspector-General of Intelligence and Security Act 1986, and report relates to access to retained data by authorisations, Parliamentary Joint Committee may request briefing from Inspector-General</t>
        </is>
      </c>
      <c r="N390" s="11" t="inlineStr"/>
      <c r="O390" s="11" t="inlineStr">
        <is>
          <t>The Parliamentary Joint Committee on Intelligence and Security may request a briefing from the Inspector-General on the authorisation or authorisations</t>
        </is>
      </c>
      <c r="P390" s="12" t="n">
        <v>11</v>
      </c>
    </row>
    <row r="391">
      <c r="A391" t="inlineStr">
        <is>
          <t>Australia</t>
        </is>
      </c>
      <c r="B391" t="inlineStr">
        <is>
          <t>C2026C00209VOL01 (Australia - Row 26)</t>
        </is>
      </c>
      <c r="C391" t="inlineStr">
        <is>
          <t>399</t>
        </is>
      </c>
      <c r="D391" s="11" t="inlineStr">
        <is>
          <t>Annual reporting on authorisations by enforcement agencies</t>
        </is>
      </c>
      <c r="E391" t="inlineStr">
        <is>
          <t>415–416</t>
        </is>
      </c>
      <c r="F391" t="inlineStr">
        <is>
          <t>High</t>
        </is>
      </c>
      <c r="G391" t="inlineStr">
        <is>
          <t>High (explicit)</t>
        </is>
      </c>
      <c r="H391" s="11" t="inlineStr">
        <is>
          <t>Data Sharing</t>
        </is>
      </c>
      <c r="I391" s="11" t="inlineStr">
        <is>
          <t>Special Personal Information</t>
        </is>
      </c>
      <c r="J391" t="inlineStr">
        <is>
          <t>Minister</t>
        </is>
      </c>
      <c r="K391" s="11" t="inlineStr">
        <is>
          <t>This section requires enforcement agencies to submit annual reports to the Minister detailing the number of authorisations made under various sections of the Act, including those related to criminal law enforcement, journalist information warrants, and disclosures to foreign countries. The reports must include specific categories of offences and information held.</t>
        </is>
      </c>
      <c r="L391" s="11" t="inlineStr">
        <is>
          <t>Mandates detailed reporting on intelligence authorisations, critical for assessing cross-border data flows and compliance with international data transfer mechanisms.</t>
        </is>
      </c>
      <c r="M391" s="11" t="inlineStr">
        <is>
          <t>• [Must] Enforcement agency must submit annual report to Minister by 3 months after each 30 June
• [Must] Report must include number of authorisations made under sections 178, 178A, 179, 180, 180A, 180B, 180C, 180D
• [Must] Report must include number of disclosures to foreign countries by Australian Federal Police</t>
        </is>
      </c>
      <c r="N391" s="11" t="inlineStr">
        <is>
          <t>• [Must] Report must include offences and other matters for which authorisations were made
• [Must] Report must specify the lengths of time information or documents were held</t>
        </is>
      </c>
      <c r="O391" s="11" t="inlineStr">
        <is>
          <t>As soon as practicable, and in any event within 3 months, after each 30 June, the head (however described) of an enforcement agency must give the Minister a written report</t>
        </is>
      </c>
      <c r="P391" s="12" t="n">
        <v>11</v>
      </c>
    </row>
    <row r="392">
      <c r="A392" t="inlineStr">
        <is>
          <t>Australia</t>
        </is>
      </c>
      <c r="B392" t="inlineStr">
        <is>
          <t>C2026C00209VOL01 (Australia - Row 26)</t>
        </is>
      </c>
      <c r="C392" t="inlineStr">
        <is>
          <t>400</t>
        </is>
      </c>
      <c r="D392" s="11" t="inlineStr">
        <is>
          <t>Detailed reporting on retained data authorisations</t>
        </is>
      </c>
      <c r="E392" t="inlineStr">
        <is>
          <t>416–417</t>
        </is>
      </c>
      <c r="F392" t="inlineStr">
        <is>
          <t>High</t>
        </is>
      </c>
      <c r="G392" t="inlineStr">
        <is>
          <t>High (explicit)</t>
        </is>
      </c>
      <c r="H392" s="11" t="inlineStr">
        <is>
          <t>Data Sharing</t>
        </is>
      </c>
      <c r="I392" s="11" t="inlineStr">
        <is>
          <t>Special Personal Information</t>
        </is>
      </c>
      <c r="J392" t="inlineStr">
        <is>
          <t>Minister</t>
        </is>
      </c>
      <c r="K392" s="11" t="inlineStr">
        <is>
          <t>This section requires enforcement agencies to provide detailed annual reports to the Minister on the number of authorisations made for retained data, including specific categories of information held, the duration of data retention, and disclosures to foreign countries. The reports must categorize authorizations by time periods and exclude certain authorizations from specific calculations.</t>
        </is>
      </c>
      <c r="L392" s="11" t="inlineStr">
        <is>
          <t>Provides granular reporting on intelligence data transfers, essential for DTIAs assessing cross-border data flows and compliance with international data transfer mechanisms.</t>
        </is>
      </c>
      <c r="M392" s="11" t="inlineStr">
        <is>
          <t>• [Must] Report must include number of authorisations for retained data with specific information types
• [Must] Report must specify the lengths of time information or documents were held in 8 successive 3-month periods</t>
        </is>
      </c>
      <c r="N392" s="11" t="inlineStr">
        <is>
          <t>• [Must Not] Report must exclude authorizations under subsection 180(2) except where they include authorizations under subsection 180(3)</t>
        </is>
      </c>
      <c r="O392" s="11" t="inlineStr">
        <is>
          <t>the head (however described) of an enforcement agency must give the Minister a written report that relates to the year ending on that 30 June</t>
        </is>
      </c>
      <c r="P392" s="12" t="n">
        <v>11</v>
      </c>
    </row>
    <row r="393">
      <c r="A393" t="inlineStr">
        <is>
          <t>Australia</t>
        </is>
      </c>
      <c r="B393" t="inlineStr">
        <is>
          <t>C2026C00209VOL01 (Australia - Row 26)</t>
        </is>
      </c>
      <c r="C393" t="inlineStr">
        <is>
          <t>401</t>
        </is>
      </c>
      <c r="D393" s="11" t="inlineStr">
        <is>
          <t>Minister's report compilation requirements</t>
        </is>
      </c>
      <c r="E393" t="inlineStr">
        <is>
          <t>417–418</t>
        </is>
      </c>
      <c r="F393" t="inlineStr">
        <is>
          <t>Low</t>
        </is>
      </c>
      <c r="G393" t="inlineStr">
        <is>
          <t>High (explicit)</t>
        </is>
      </c>
      <c r="H393" s="11" t="inlineStr">
        <is>
          <t>Record Keeping</t>
        </is>
      </c>
      <c r="I393" s="11" t="inlineStr">
        <is>
          <t>Personal Information</t>
        </is>
      </c>
      <c r="J393" t="inlineStr"/>
      <c r="K393" s="11" t="inlineStr">
        <is>
          <t>The Minister must prepare a report containing specified information for each report under subsection (1), excluding certain information. The report may include additional information the Minister deems appropriate. The Minister must lay a copy of the report before each House of Parliament within 15 sitting days after completion. The report must not enable identification of a person.</t>
        </is>
      </c>
      <c r="L393" s="11" t="inlineStr">
        <is>
          <t>This section requires the Minister to compile and publish reports that must not identify individuals, relevant for data transfer impact assessments involving government records.</t>
        </is>
      </c>
      <c r="M393" s="11" t="inlineStr">
        <is>
          <t>• [Must] The Minister must prepare a report containing the information set out in each report under subsection (1), other than the information referred to in paragraph (1)(cb).
• [May] The report may contain any other information the Minister considers appropriate.</t>
        </is>
      </c>
      <c r="N393" s="11" t="inlineStr">
        <is>
          <t>• [Must] The Minister must cause a copy of a report under subsection (2) to be laid before each House of the Parliament within 15 sitting days of that House after the day on which the report was completed.
• [Must Not] A report under this section must not be made in a manner that is likely to enable the identification of a person.</t>
        </is>
      </c>
      <c r="O393" s="11" t="inlineStr">
        <is>
          <t>The Minister must prepare a report that contains the information set out in each report under subsection (1), other than the information referred to in paragraph (1)(cb). The report may contain any other information the Minister considers appropriate. The Minister must cause a copy of a report under subsection (2) to be laid before each House of the Parliament within 15 sitting days of that House after the day on which the report was completed. A report under this section must not be made in a manner that is likely to enable the identification of a person.</t>
        </is>
      </c>
      <c r="P393" s="12" t="n">
        <v>11</v>
      </c>
    </row>
    <row r="394">
      <c r="A394" t="inlineStr">
        <is>
          <t>Australia</t>
        </is>
      </c>
      <c r="B394" t="inlineStr">
        <is>
          <t>C2026C00209VOL01 (Australia - Row 26)</t>
        </is>
      </c>
      <c r="C394" t="inlineStr">
        <is>
          <t>403</t>
        </is>
      </c>
      <c r="D394" s="11" t="inlineStr">
        <is>
          <t>Enforcement agency record retention requirements</t>
        </is>
      </c>
      <c r="E394" t="inlineStr">
        <is>
          <t>419–420</t>
        </is>
      </c>
      <c r="F394" t="inlineStr">
        <is>
          <t>Medium</t>
        </is>
      </c>
      <c r="G394" t="inlineStr">
        <is>
          <t>High (explicit)</t>
        </is>
      </c>
      <c r="H394" s="11" t="inlineStr">
        <is>
          <t>Record Keeping, Third Party Processing</t>
        </is>
      </c>
      <c r="I394" s="11" t="inlineStr">
        <is>
          <t>Personal Information</t>
        </is>
      </c>
      <c r="J394" t="inlineStr"/>
      <c r="K394" s="11" t="inlineStr">
        <is>
          <t>The chief officer of an enforcement agency must keep specific records for a period of 3 years from their creation. These records include authorisations, revocations, disclosures, uses of information, evidentiary certificates, reports to the Minister, and other prescribed documents. The Minister may prescribe additional documents to be retained.</t>
        </is>
      </c>
      <c r="L394" s="11" t="inlineStr">
        <is>
          <t>This section mandates detailed record retention for enforcement agencies, critical for assessing data transfer impacts involving government records and third-party data.</t>
        </is>
      </c>
      <c r="M394" s="11" t="inlineStr">
        <is>
          <t>• [Must] The chief officer of an enforcement agency must cause the following, or copies of the following, to be kept in the agency's records for the period specified in subsection (3):
• [Must] Each authorisation made by an authorised officer of the agency under section 178, 178A, 179 or 180, and documents or other materials that indicate whether the authorisation was properly made.
• [Must] Each notice of the revocation under subsection 180(7) of an authorisation under section 180, and documents or other materials that indicate whether the revocation was properly made.
• [Must] Each evidentiary certificate issued under section 185C.</t>
        </is>
      </c>
      <c r="N394" s="11" t="inlineStr">
        <is>
          <t>• [Must] Each report given to the Minister under section 186.
• [Must] Documents and other materials of a kind prescribed under subsection (2) of this section.
• [Must] The period for which the chief officer of an enforcement agency must cause a particular item to be kept in the agency's records under subsection (1) of this section is the period starting when the item came into existence and ending after 3 years.
• [May] The Minister may, by legislative instrument, prescribe kinds of documents and other materials that the chief officer of an enforcement agency must cause to be kept in the agency's records.</t>
        </is>
      </c>
      <c r="O394" s="11" t="inlineStr">
        <is>
          <t>The chief officer of an enforcement agency must cause the following, or copies of the following, to be kept in the agency's records for the period specified in subsection (3): (a) each authorisation made by an authorised officer of the agency under section 178, 178A, 179 or 180, and documents or other materials that indicate any of the following: (i) whether the authorisation was properly made (including whether the authorised officer took into account the matters referred to in subsection 178(3), 178A(3), 179(3) or 180(4) (as the case requires), the matters referred to in section 180F and all other relevant considerations); (ii) if the authorisation is made under section 180—the period during which the authorisation is in force; (iii) when the authorisation was notified under subsection 184(3); (b) each notice of the revocation under subsection 180(7) of an authorisation under section 180, and documents or other materials that indicate any of the following: (i) whether the revocation was properly made; (c) each evidentiary certificate issued under section 185C; (d) each report given to the Minister under section 186; (e) documents and other materials of a kind prescribed under subsection (2) of this section.</t>
        </is>
      </c>
      <c r="P394" s="12" t="n">
        <v>11</v>
      </c>
    </row>
    <row r="395">
      <c r="A395" t="inlineStr">
        <is>
          <t>Australia</t>
        </is>
      </c>
      <c r="B395" t="inlineStr">
        <is>
          <t>C2026C00209VOL01 (Australia - Row 26)</t>
        </is>
      </c>
      <c r="C395" t="inlineStr">
        <is>
          <t>405</t>
        </is>
      </c>
      <c r="D395" s="11" t="inlineStr">
        <is>
          <t>Ombudsman's record inspection powers</t>
        </is>
      </c>
      <c r="E395" t="inlineStr">
        <is>
          <t>421–423</t>
        </is>
      </c>
      <c r="F395" t="inlineStr">
        <is>
          <t>Medium</t>
        </is>
      </c>
      <c r="G395" t="inlineStr">
        <is>
          <t>High (explicit)</t>
        </is>
      </c>
      <c r="H395" s="11" t="inlineStr">
        <is>
          <t>Record Keeping</t>
        </is>
      </c>
      <c r="I395" s="11" t="inlineStr">
        <is>
          <t>Personal Information</t>
        </is>
      </c>
      <c r="J395" t="inlineStr"/>
      <c r="K395" s="11" t="inlineStr">
        <is>
          <t>The Ombudsman must inspect records of enforcement agencies to determine compliance with Chapter 4 and, if applicable, Chapter 3. The Ombudsman may inspect records related to stored communications warrants or authorisations under specific telecommunications laws. The Ombudsman must give reasonable notice before inspections and may enter premises and access records.</t>
        </is>
      </c>
      <c r="L395" s="11" t="inlineStr">
        <is>
          <t>This section grants the Ombudsman authority to inspect records for compliance, relevant for assessing data transfer impacts involving government records and third-party data.</t>
        </is>
      </c>
      <c r="M395" s="11" t="inlineStr">
        <is>
          <t>• [Must] The Ombudsman must inspect records of an enforcement agency, except the ACC or any agency, or part of an agency performing any functions, prescribed by regulations made under the Ombudsman Act 1976 for the purposes of subsection (1B) of this section, to determine the extent of compliance with Chapter 4 by the agency and its officers.
• [Must] If the agency is a criminal law-enforcement agency, except the ACC or any agency, or part of an agency performing any functions, prescribed by regulations made under the Ombudsman Act 1976 for the purposes of subsection (1B) of this section, the Ombudsman must inspect records to determine the extent of compliance with Chapter 3 by the agency and i…
• [May] The Ombudsman may inspect records related to stored communications warrants or authorisations under Division 3, 4 or 4A of Part 4-1 of the Telecommunications Act 1997.
• [Must] The Ombudsman must give reasonable notice to the chief officer of the agency of when the inspection will occur.</t>
        </is>
      </c>
      <c r="N395" s="11" t="inlineStr">
        <is>
          <t>• [May] The Ombudsman may enter at any reasonable time premises occupied by the agency.
• [May] The Ombudsman is entitled to have full and free access at all reasonable times to all records of the agency that are relevant to the inspection.
• [May] The Ombudsman may make copies of, and take extracts from, records of the agency.
• [May] The Ombudsman may require a member of staff of the agency to give the Ombudsman any information that the Ombudsman considers necessary.</t>
        </is>
      </c>
      <c r="O395" s="11" t="inlineStr">
        <is>
          <t>The Ombudsman must inspect records of an enforcement agency, except the ACC or any agency, or part of an agency performing any functions, prescribed by regulations made under the Ombudsman Act 1976 for the purposes of subsection (1B) of this section, to determine: (a) the extent of compliance with Chapter 4 by the agency and its officers; and (b) if the agency is a criminal law-enforcement agency, except the ACC or any agency, or part of an agency performing any functions, prescribed by regulations made under the Ombudsman Act 1976 for the purposes of subsection (1B) of this section—the extent of compliance with Chapter 3 by the agency and its officers.</t>
        </is>
      </c>
      <c r="P395" s="12" t="n">
        <v>11</v>
      </c>
    </row>
    <row r="396">
      <c r="A396" t="inlineStr">
        <is>
          <t>Australia</t>
        </is>
      </c>
      <c r="B396" t="inlineStr">
        <is>
          <t>C2026C00209VOL01 (Australia - Row 26)</t>
        </is>
      </c>
      <c r="C396" t="inlineStr">
        <is>
          <t>407</t>
        </is>
      </c>
      <c r="D396" s="11" t="inlineStr">
        <is>
          <t>Ombudsman's power to obtain information</t>
        </is>
      </c>
      <c r="E396" t="inlineStr">
        <is>
          <t>423–425</t>
        </is>
      </c>
      <c r="F396" t="inlineStr">
        <is>
          <t>Medium</t>
        </is>
      </c>
      <c r="G396" t="inlineStr">
        <is>
          <t>High (explicit)</t>
        </is>
      </c>
      <c r="H396" s="11" t="inlineStr">
        <is>
          <t>Record Keeping</t>
        </is>
      </c>
      <c r="I396" s="11" t="inlineStr">
        <is>
          <t>Personal Information</t>
        </is>
      </c>
      <c r="J396" t="inlineStr"/>
      <c r="K396" s="11" t="inlineStr">
        <is>
          <t>The Ombudsman may require officers to provide information or attend to answer questions relevant to inspections. The Ombudsman must specify a reasonable place and time for attendance. Officers cannot refuse to provide information, answer questions, or attend.</t>
        </is>
      </c>
      <c r="L396" s="11" t="inlineStr">
        <is>
          <t>This section enables the Ombudsman to obtain information from enforcement agencies, relevant for assessing data transfer impacts involving government records and third-party data.</t>
        </is>
      </c>
      <c r="M396" s="11" t="inlineStr">
        <is>
          <t>• [May] If the Ombudsman has reasonable grounds to believe that an officer of a particular enforcement agency is able to give information relevant to an inspection under this Chapter of the agency's records, the Ombudsman may require the officer to do one or both of the following: (i) give the information to the Ombudsman, by writing signed by the officer…
• [Must] A requirement under subsection (1) to attend before an inspecting officer must specify a place for the attendance and a period within which, or a time and day when, the attendance is to occur.</t>
        </is>
      </c>
      <c r="N396" s="11" t="inlineStr">
        <is>
          <t>• [Must Not] A person must not refuse to attend before a person, to give information, or to answer questions when required to do so under this section.</t>
        </is>
      </c>
      <c r="O396" s="11" t="inlineStr">
        <is>
          <t>If the Ombudsman has reasonable grounds to believe that an officer of a particular enforcement agency is able to give information relevant to an inspection under this Chapter of the agency's records, the Ombudsman may: (a) if the Ombudsman knows the officer's identity—by writing given to the officer, require the officer to do one or both of the following: (i) give the information to the Ombudsman, by writing signed by the officer, at a specified place and within a specified period; (ii) attend before a specified inspecting officer to answer questions relevant to the inspection.</t>
        </is>
      </c>
      <c r="P396" s="12" t="n">
        <v>11</v>
      </c>
    </row>
    <row r="397">
      <c r="A397" t="inlineStr">
        <is>
          <t>Australia</t>
        </is>
      </c>
      <c r="B397" t="inlineStr">
        <is>
          <t>C2026C00209VOL01 (Australia - Row 26)</t>
        </is>
      </c>
      <c r="C397" t="inlineStr">
        <is>
          <t>411</t>
        </is>
      </c>
      <c r="D397" s="11" t="inlineStr">
        <is>
          <t>Ombudsman delegation powers</t>
        </is>
      </c>
      <c r="E397" t="inlineStr">
        <is>
          <t>427–429</t>
        </is>
      </c>
      <c r="F397" t="inlineStr">
        <is>
          <t>Low</t>
        </is>
      </c>
      <c r="G397" t="inlineStr">
        <is>
          <t>High (explicit)</t>
        </is>
      </c>
      <c r="H397" s="11" t="inlineStr"/>
      <c r="I397" s="11" t="inlineStr">
        <is>
          <t>Personal Information</t>
        </is>
      </c>
      <c r="J397" t="inlineStr"/>
      <c r="K397" s="11" t="inlineStr">
        <is>
          <t>The Ombudsman may delegate powers to APS employees or persons with similar oversight functions. Delegates must provide the instrument of delegation upon request by affected persons.</t>
        </is>
      </c>
      <c r="L397" s="11" t="inlineStr">
        <is>
          <t>This section allows the Ombudsman to delegate powers, relevant for assessing data transfer impacts involving government records and third-party data.</t>
        </is>
      </c>
      <c r="M397" s="11" t="inlineStr">
        <is>
          <t>• [May] The Ombudsman may delegate to an APS employee responsible to the Ombudsman or to a person having similar oversight functions to the Ombudsman under the law of a State or Territory or to an employee responsible to that person all or any of the Ombudsman's powers under this Chapter other than a power to report to the Minister.</t>
        </is>
      </c>
      <c r="N397" s="11" t="inlineStr">
        <is>
          <t>• [Must] A delegate must, upon request by a person affected by the exercise of any power delegated to the delegate, produce the instrument of delegation, or a copy of the instrument, for inspection by the person.</t>
        </is>
      </c>
      <c r="O397" s="11" t="inlineStr">
        <is>
          <t>The Ombudsman may delegate: (a) to an APS employee responsible to the Ombudsman; or (b) to a person having similar oversight functions to the Ombudsman under the law of a State or Territory or to an employee responsible to that person, all or any of the Ombudsman's powers under this Chapter other than a power to report to the Minister. A delegate must, upon request by a person affected by the exercise of any power delegated to the delegate, produce the instrument of delegation, or a copy of the instrument, for inspection by the person.</t>
        </is>
      </c>
      <c r="P397" s="12" t="n">
        <v>11</v>
      </c>
    </row>
    <row r="398">
      <c r="A398" t="inlineStr">
        <is>
          <t>Australia</t>
        </is>
      </c>
      <c r="B398" t="inlineStr">
        <is>
          <t>C2026C00213REC01 (Australia - Row 22)</t>
        </is>
      </c>
      <c r="C398" t="inlineStr">
        <is>
          <t>12P</t>
        </is>
      </c>
      <c r="D398" s="11" t="inlineStr">
        <is>
          <t>Examples of incident response actions including cyber incidents</t>
        </is>
      </c>
      <c r="E398" t="inlineStr">
        <is>
          <t>4</t>
        </is>
      </c>
      <c r="F398" t="inlineStr">
        <is>
          <t>Medium</t>
        </is>
      </c>
      <c r="G398" t="inlineStr">
        <is>
          <t>High (explicit)</t>
        </is>
      </c>
      <c r="H398" s="11" t="inlineStr">
        <is>
          <t>Incident Reporting, Breach Notification</t>
        </is>
      </c>
      <c r="I398" s="11" t="inlineStr">
        <is>
          <t>Personal Information</t>
        </is>
      </c>
      <c r="J398" t="inlineStr"/>
      <c r="K398" s="11" t="inlineStr">
        <is>
          <t>This section provides examples of actions an entity must take when responding to an incident, including cyber incidents. It applies to entities covered by the Act. The examples are intended to guide incident response procedures but do not create new obligations beyond what is already required.</t>
        </is>
      </c>
      <c r="L398" s="11" t="inlineStr">
        <is>
          <t>Provides specific examples of incident response actions relevant to cyber incidents, which may influence how data transfers are handled during incident response scenarios.</t>
        </is>
      </c>
      <c r="M398" s="11" t="inlineStr">
        <is>
          <t>• [Must] Provide examples of actions for responding to incidents including cyber incidents</t>
        </is>
      </c>
      <c r="N398" s="11" t="inlineStr"/>
      <c r="O398" s="11" t="inlineStr">
        <is>
          <t>Examples of responding to an incident (including a cyber</t>
        </is>
      </c>
      <c r="P398" s="12" t="n">
        <v>12</v>
      </c>
    </row>
    <row r="399">
      <c r="A399" t="inlineStr">
        <is>
          <t>Australia</t>
        </is>
      </c>
      <c r="B399" t="inlineStr">
        <is>
          <t>C2026C00213REC01 (Australia - Row 22)</t>
        </is>
      </c>
      <c r="C399" t="inlineStr">
        <is>
          <t>30AK</t>
        </is>
      </c>
      <c r="D399" s="11" t="inlineStr">
        <is>
          <t>Conditions for revoking critical infrastructure risk adoption</t>
        </is>
      </c>
      <c r="E399" t="inlineStr">
        <is>
          <t>5</t>
        </is>
      </c>
      <c r="F399" t="inlineStr">
        <is>
          <t>High</t>
        </is>
      </c>
      <c r="G399" t="inlineStr">
        <is>
          <t>High (explicit)</t>
        </is>
      </c>
      <c r="H399" s="11" t="inlineStr"/>
      <c r="I399" s="11" t="inlineStr">
        <is>
          <t>Personal Information</t>
        </is>
      </c>
      <c r="J399" t="inlineStr"/>
      <c r="K399" s="11" t="inlineStr">
        <is>
          <t>This section requires a responsible entity to consider specific matters when deciding whether to adopt or vary critical infrastructure risk. It applies to entities designated as responsible for critical infrastructure. The considerations are intended to ensure risks are managed appropriately.</t>
        </is>
      </c>
      <c r="L399" s="11" t="inlineStr">
        <is>
          <t>Specifies conditions under which a responsible entity must evaluate critical infrastructure risks, which may impact data handling in critical infrastructure contexts.</t>
        </is>
      </c>
      <c r="M399" s="11" t="inlineStr">
        <is>
          <t>• [Must] Responsible entity must have regard to certain matters in deciding whether to adopt or vary critical infrastructure risk</t>
        </is>
      </c>
      <c r="N399" s="11" t="inlineStr"/>
      <c r="O399" s="11" t="inlineStr">
        <is>
          <t>Responsible Entity must have regard to certain matters in deciding whether to adopt or vary critical infrastructure risk</t>
        </is>
      </c>
      <c r="P399" s="12" t="n">
        <v>12</v>
      </c>
    </row>
    <row r="400">
      <c r="A400" t="inlineStr">
        <is>
          <t>Australia</t>
        </is>
      </c>
      <c r="B400" t="inlineStr">
        <is>
          <t>C2026C00213REC01 (Australia - Row 22)</t>
        </is>
      </c>
      <c r="C400" t="inlineStr">
        <is>
          <t>30AN</t>
        </is>
      </c>
      <c r="D400" s="11" t="inlineStr">
        <is>
          <t>Application of state laws to critical infrastructure risks</t>
        </is>
      </c>
      <c r="E400" t="inlineStr">
        <is>
          <t>5</t>
        </is>
      </c>
      <c r="F400" t="inlineStr">
        <is>
          <t>High</t>
        </is>
      </c>
      <c r="G400" t="inlineStr">
        <is>
          <t>High (explicit)</t>
        </is>
      </c>
      <c r="H400" s="11" t="inlineStr"/>
      <c r="I400" s="11" t="inlineStr">
        <is>
          <t>Personal Information</t>
        </is>
      </c>
      <c r="J400" t="inlineStr"/>
      <c r="K400" s="11" t="inlineStr">
        <is>
          <t>This section outlines the process for applying, adopting, or incorporating laws from a state when dealing with critical infrastructure risks. It applies to entities responsible for critical infrastructure. The process involves consultation on rules made for specific reporting obligations.</t>
        </is>
      </c>
      <c r="L400" s="11" t="inlineStr">
        <is>
          <t>Details how state laws can be integrated into critical infrastructure risk management, which may affect data handling across jurisdictions.</t>
        </is>
      </c>
      <c r="M400" s="11" t="inlineStr">
        <is>
          <t>• [Must] Consultation—rules made for the purposes of Part 2AA—Reporting obligations relating to certain assets that are not covered by a critical infrastructure risk</t>
        </is>
      </c>
      <c r="N400" s="11" t="inlineStr"/>
      <c r="O400" s="11" t="inlineStr">
        <is>
          <t>Consultation—rules made for the purposes of Part 2AA—Reporting obligations relating to certain assets that are not covered by a critical infrastructure risk</t>
        </is>
      </c>
      <c r="P400" s="12" t="n">
        <v>12</v>
      </c>
    </row>
    <row r="401">
      <c r="A401" t="inlineStr">
        <is>
          <t>Australia</t>
        </is>
      </c>
      <c r="B401" t="inlineStr">
        <is>
          <t>C2026C00213REC01 (Australia - Row 22)</t>
        </is>
      </c>
      <c r="C401" t="inlineStr">
        <is>
          <t>30AQ</t>
        </is>
      </c>
      <c r="D401" s="11" t="inlineStr">
        <is>
          <t>Reporting obligations for assets not covered by critical infrastructure risk</t>
        </is>
      </c>
      <c r="E401" t="inlineStr">
        <is>
          <t>5</t>
        </is>
      </c>
      <c r="F401" t="inlineStr">
        <is>
          <t>High</t>
        </is>
      </c>
      <c r="G401" t="inlineStr">
        <is>
          <t>High (explicit)</t>
        </is>
      </c>
      <c r="H401" s="11" t="inlineStr"/>
      <c r="I401" s="11" t="inlineStr">
        <is>
          <t>Personal Information</t>
        </is>
      </c>
      <c r="J401" t="inlineStr"/>
      <c r="K401" s="11" t="inlineStr">
        <is>
          <t>This section establishes reporting obligations for assets that are not covered by critical infrastructure risk. It applies to entities responsible for critical infrastructure. The reporting is part of a broader framework for managing critical infrastructure risks.</t>
        </is>
      </c>
      <c r="L401" s="11" t="inlineStr">
        <is>
          <t>Sets reporting requirements for assets outside critical infrastructure risk coverage, which may impact data handling and reporting in specific contexts.</t>
        </is>
      </c>
      <c r="M401" s="11" t="inlineStr">
        <is>
          <t>• [Must] Reporting obligations relating to certain assets that are not covered by a critical infrastructure risk</t>
        </is>
      </c>
      <c r="N401" s="11" t="inlineStr"/>
      <c r="O401" s="11" t="inlineStr">
        <is>
          <t>Reporting obligations relating to certain assets that are not covered by a critical infrastructure risk</t>
        </is>
      </c>
      <c r="P401" s="12" t="n">
        <v>12</v>
      </c>
    </row>
    <row r="402">
      <c r="A402" t="inlineStr">
        <is>
          <t>Australia</t>
        </is>
      </c>
      <c r="B402" t="inlineStr">
        <is>
          <t>C2026C00213REC01 (Australia - Row 22)</t>
        </is>
      </c>
      <c r="C402" t="inlineStr">
        <is>
          <t>30BF</t>
        </is>
      </c>
      <c r="D402" s="11" t="inlineStr">
        <is>
          <t>Enhanced cyber security obligations for critical infrastructure</t>
        </is>
      </c>
      <c r="E402" t="inlineStr">
        <is>
          <t>6</t>
        </is>
      </c>
      <c r="F402" t="inlineStr">
        <is>
          <t>High</t>
        </is>
      </c>
      <c r="G402" t="inlineStr">
        <is>
          <t>High (explicit)</t>
        </is>
      </c>
      <c r="H402" s="11" t="inlineStr"/>
      <c r="I402" s="11" t="inlineStr">
        <is>
          <t>Personal Information</t>
        </is>
      </c>
      <c r="J402" t="inlineStr"/>
      <c r="K402" s="11" t="inlineStr">
        <is>
          <t>This section establishes enhanced cyber security obligations for critical infrastructure. It applies to entities responsible for critical infrastructure. The obligations are designed to strengthen cyber security measures in critical infrastructure contexts.</t>
        </is>
      </c>
      <c r="L402" s="11" t="inlineStr">
        <is>
          <t>Introduces specific cyber security requirements for critical infrastructure, which may affect data transfers and processing in high-risk environments.</t>
        </is>
      </c>
      <c r="M402" s="11" t="inlineStr">
        <is>
          <t>• [Must] Part 2C—Enhanced cyber security obligations</t>
        </is>
      </c>
      <c r="N402" s="11" t="inlineStr"/>
      <c r="O402" s="11" t="inlineStr">
        <is>
          <t>Part 2C—Enhanced cyber security obligations</t>
        </is>
      </c>
      <c r="P402" s="12" t="n">
        <v>12</v>
      </c>
    </row>
    <row r="403">
      <c r="A403" t="inlineStr">
        <is>
          <t>Australia</t>
        </is>
      </c>
      <c r="B403" t="inlineStr">
        <is>
          <t>C2026C00213REC01 (Australia - Row 22)</t>
        </is>
      </c>
      <c r="C403" t="inlineStr">
        <is>
          <t>30CA</t>
        </is>
      </c>
      <c r="D403" s="11" t="inlineStr">
        <is>
          <t>Statutory incident response planning obligations</t>
        </is>
      </c>
      <c r="E403" t="inlineStr">
        <is>
          <t>6</t>
        </is>
      </c>
      <c r="F403" t="inlineStr">
        <is>
          <t>High</t>
        </is>
      </c>
      <c r="G403" t="inlineStr">
        <is>
          <t>High (explicit)</t>
        </is>
      </c>
      <c r="H403" s="11" t="inlineStr">
        <is>
          <t>Incident Reporting, Breach Notification</t>
        </is>
      </c>
      <c r="I403" s="11" t="inlineStr">
        <is>
          <t>Personal Information</t>
        </is>
      </c>
      <c r="J403" t="inlineStr"/>
      <c r="K403" s="11" t="inlineStr">
        <is>
          <t>This section outlines statutory incident response planning obligations for entities. It applies to entities covered by the Act. The planning obligations are designed to ensure effective incident response procedures are in place.</t>
        </is>
      </c>
      <c r="L403" s="11" t="inlineStr">
        <is>
          <t>Requires incident response planning, which may influence how data transfers are managed during incidents.</t>
        </is>
      </c>
      <c r="M403" s="11" t="inlineStr">
        <is>
          <t>• [Must] Division 2—Statutory incident response planning obligations</t>
        </is>
      </c>
      <c r="N403" s="11" t="inlineStr"/>
      <c r="O403" s="11" t="inlineStr">
        <is>
          <t>Division 2—Statutory incident response planning obligations</t>
        </is>
      </c>
      <c r="P403" s="12" t="n">
        <v>12</v>
      </c>
    </row>
    <row r="404">
      <c r="A404" t="inlineStr">
        <is>
          <t>Australia</t>
        </is>
      </c>
      <c r="B404" t="inlineStr">
        <is>
          <t>C2026C00213REC01 (Australia - Row 22)</t>
        </is>
      </c>
      <c r="C404" t="inlineStr">
        <is>
          <t>30CB</t>
        </is>
      </c>
      <c r="D404" s="11" t="inlineStr">
        <is>
          <t>Statutory incident response planning application</t>
        </is>
      </c>
      <c r="E404" t="inlineStr">
        <is>
          <t>6</t>
        </is>
      </c>
      <c r="F404" t="inlineStr">
        <is>
          <t>Medium</t>
        </is>
      </c>
      <c r="G404" t="inlineStr">
        <is>
          <t>High (explicit)</t>
        </is>
      </c>
      <c r="H404" s="11" t="inlineStr">
        <is>
          <t>Incident Reporting, Breach Notification</t>
        </is>
      </c>
      <c r="I404" s="11" t="inlineStr">
        <is>
          <t>Personal Information</t>
        </is>
      </c>
      <c r="J404" t="inlineStr"/>
      <c r="K404" s="11" t="inlineStr">
        <is>
          <t>This section applies statutory incident response planning requirements to entities covered by the Act. It mandates that organizations implement incident response planning as part of their operational framework. The requirements apply to all entities subject to the Act's provisions.</t>
        </is>
      </c>
      <c r="L404" s="11" t="inlineStr">
        <is>
          <t>This section requires organizations to have incident response planning in place, which is critical for assessing how data breaches or security incidents are handled across borders.</t>
        </is>
      </c>
      <c r="M404" s="11" t="inlineStr">
        <is>
          <t>• [Must] Apply statutory incident response planning requirements</t>
        </is>
      </c>
      <c r="N404" s="11" t="inlineStr"/>
      <c r="O404" s="11" t="inlineStr">
        <is>
          <t>30CB Application of statutory incident response planning</t>
        </is>
      </c>
      <c r="P404" s="12" t="n">
        <v>12</v>
      </c>
    </row>
    <row r="405">
      <c r="A405" t="inlineStr">
        <is>
          <t>Australia</t>
        </is>
      </c>
      <c r="B405" t="inlineStr">
        <is>
          <t>C2026C00213REC01 (Australia - Row 22)</t>
        </is>
      </c>
      <c r="C405" t="inlineStr">
        <is>
          <t>30CC</t>
        </is>
      </c>
      <c r="D405" s="11" t="inlineStr">
        <is>
          <t>Statutory incident response planning obligations</t>
        </is>
      </c>
      <c r="E405" t="inlineStr">
        <is>
          <t>6</t>
        </is>
      </c>
      <c r="F405" t="inlineStr">
        <is>
          <t>Medium</t>
        </is>
      </c>
      <c r="G405" t="inlineStr">
        <is>
          <t>High (explicit)</t>
        </is>
      </c>
      <c r="H405" s="11" t="inlineStr">
        <is>
          <t>Incident Reporting, Breach Notification</t>
        </is>
      </c>
      <c r="I405" s="11" t="inlineStr">
        <is>
          <t>Personal Information</t>
        </is>
      </c>
      <c r="J405" t="inlineStr"/>
      <c r="K405" s="11" t="inlineStr">
        <is>
          <t>This section outlines the obligations for statutory incident response planning, including specific duties for entities to manage security incidents. It requires organizations to establish and maintain incident response plans as part of their security protocols.</t>
        </is>
      </c>
      <c r="L405" s="11" t="inlineStr">
        <is>
          <t>This section mandates incident response planning, which is essential for DTIAs to evaluate how organizations handle security incidents and breaches across borders.</t>
        </is>
      </c>
      <c r="M405" s="11" t="inlineStr">
        <is>
          <t>• [Must] Establish statutory incident response planning obligations</t>
        </is>
      </c>
      <c r="N405" s="11" t="inlineStr"/>
      <c r="O405" s="11" t="inlineStr">
        <is>
          <t>30CC Subdivision B—Statutory incident response planning obligations</t>
        </is>
      </c>
      <c r="P405" s="12" t="n">
        <v>12</v>
      </c>
    </row>
    <row r="406">
      <c r="A406" t="inlineStr">
        <is>
          <t>Australia</t>
        </is>
      </c>
      <c r="B406" t="inlineStr">
        <is>
          <t>C2026C00213REC01 (Australia - Row 22)</t>
        </is>
      </c>
      <c r="C406" t="inlineStr">
        <is>
          <t>30CH</t>
        </is>
      </c>
      <c r="D406" s="11" t="inlineStr">
        <is>
          <t>Copy of incident response plan must be provided</t>
        </is>
      </c>
      <c r="E406" t="inlineStr">
        <is>
          <t>6</t>
        </is>
      </c>
      <c r="F406" t="inlineStr">
        <is>
          <t>Medium</t>
        </is>
      </c>
      <c r="G406" t="inlineStr">
        <is>
          <t>High (explicit)</t>
        </is>
      </c>
      <c r="H406" s="11" t="inlineStr">
        <is>
          <t>Incident Reporting, Breach Notification</t>
        </is>
      </c>
      <c r="I406" s="11" t="inlineStr">
        <is>
          <t>Personal Information</t>
        </is>
      </c>
      <c r="J406" t="inlineStr"/>
      <c r="K406" s="11" t="inlineStr">
        <is>
          <t>This section requires that a copy of the incident response plan must be provided to a specified entity. It ensures that relevant authorities or stakeholders have access to the organization's incident response planning details.</t>
        </is>
      </c>
      <c r="L406" s="11" t="inlineStr">
        <is>
          <t>This section mandates that organizations provide copies of their incident response plans, which is critical for DTIAs to assess how incident response is managed across borders.</t>
        </is>
      </c>
      <c r="M406" s="11" t="inlineStr">
        <is>
          <t>• [Must] Provide copy of incident response plan to specified entity</t>
        </is>
      </c>
      <c r="N406" s="11" t="inlineStr"/>
      <c r="O406" s="11" t="inlineStr">
        <is>
          <t>30CH Copy of incident response plan must be given to the</t>
        </is>
      </c>
      <c r="P406" s="12" t="n">
        <v>12</v>
      </c>
    </row>
    <row r="407">
      <c r="A407" t="inlineStr">
        <is>
          <t>Australia</t>
        </is>
      </c>
      <c r="B407" t="inlineStr">
        <is>
          <t>C2026C00213REC01 (Australia - Row 22)</t>
        </is>
      </c>
      <c r="C407" t="inlineStr">
        <is>
          <t>30CL</t>
        </is>
      </c>
      <c r="D407" s="11" t="inlineStr">
        <is>
          <t>Cyber security exercises requirement</t>
        </is>
      </c>
      <c r="E407" t="inlineStr">
        <is>
          <t>6</t>
        </is>
      </c>
      <c r="F407" t="inlineStr">
        <is>
          <t>High</t>
        </is>
      </c>
      <c r="G407" t="inlineStr">
        <is>
          <t>High (explicit)</t>
        </is>
      </c>
      <c r="H407" s="11" t="inlineStr">
        <is>
          <t>Security</t>
        </is>
      </c>
      <c r="I407" s="11" t="inlineStr">
        <is>
          <t>Personal Information</t>
        </is>
      </c>
      <c r="J407" t="inlineStr"/>
      <c r="K407" s="11" t="inlineStr">
        <is>
          <t>This section mandates that organizations conduct cyber security exercises as part of their security protocols. It requires regular testing of security measures to ensure effectiveness and compliance with security standards.</t>
        </is>
      </c>
      <c r="L407" s="11" t="inlineStr">
        <is>
          <t>This section requires cyber security exercises, which are critical for DTIAs to assess the robustness of security measures when transferring data across borders.</t>
        </is>
      </c>
      <c r="M407" s="11" t="inlineStr">
        <is>
          <t>• [Must] Undertake cyber security exercises</t>
        </is>
      </c>
      <c r="N407" s="11" t="inlineStr"/>
      <c r="O407" s="11" t="inlineStr">
        <is>
          <t>30CL Division 3—Cyber security exercises</t>
        </is>
      </c>
      <c r="P407" s="12" t="n">
        <v>12</v>
      </c>
    </row>
    <row r="408">
      <c r="A408" t="inlineStr">
        <is>
          <t>Australia</t>
        </is>
      </c>
      <c r="B408" t="inlineStr">
        <is>
          <t>C2026C00213REC01 (Australia - Row 22)</t>
        </is>
      </c>
      <c r="C408" t="inlineStr">
        <is>
          <t>30CP</t>
        </is>
      </c>
      <c r="D408" s="11" t="inlineStr">
        <is>
          <t>Cyber security compliance requirement</t>
        </is>
      </c>
      <c r="E408" t="inlineStr">
        <is>
          <t>6</t>
        </is>
      </c>
      <c r="F408" t="inlineStr">
        <is>
          <t>High</t>
        </is>
      </c>
      <c r="G408" t="inlineStr">
        <is>
          <t>High (explicit)</t>
        </is>
      </c>
      <c r="H408" s="11" t="inlineStr">
        <is>
          <t>Security</t>
        </is>
      </c>
      <c r="I408" s="11" t="inlineStr">
        <is>
          <t>Personal Information</t>
        </is>
      </c>
      <c r="J408" t="inlineStr"/>
      <c r="K408" s="11" t="inlineStr">
        <is>
          <t>This section requires entities to comply with the requirement to undertake cyber security measures. It mandates that organizations implement and maintain adequate cyber security practices to protect their data and systems.</t>
        </is>
      </c>
      <c r="L408" s="11" t="inlineStr">
        <is>
          <t>This section mandates cyber security compliance, which is critical for DTIAs to evaluate the security measures in place when transferring data across borders.</t>
        </is>
      </c>
      <c r="M408" s="11" t="inlineStr">
        <is>
          <t>• [Must] Comply with cyber security requirements</t>
        </is>
      </c>
      <c r="N408" s="11" t="inlineStr"/>
      <c r="O408" s="11" t="inlineStr">
        <is>
          <t>30CP Compliance with requirement to undertake cyber security</t>
        </is>
      </c>
      <c r="P408" s="12" t="n">
        <v>12</v>
      </c>
    </row>
    <row r="409">
      <c r="A409" t="inlineStr">
        <is>
          <t>Australia</t>
        </is>
      </c>
      <c r="B409" t="inlineStr">
        <is>
          <t>C2026C00213REC01 (Australia - Row 22)</t>
        </is>
      </c>
      <c r="C409" t="inlineStr">
        <is>
          <t>30EB</t>
        </is>
      </c>
      <c r="D409" s="11" t="inlineStr">
        <is>
          <t>Critical infrastructure security obligations</t>
        </is>
      </c>
      <c r="E409" t="inlineStr">
        <is>
          <t>7–8</t>
        </is>
      </c>
      <c r="F409" t="inlineStr">
        <is>
          <t>High</t>
        </is>
      </c>
      <c r="G409" t="inlineStr">
        <is>
          <t>High (explicit)</t>
        </is>
      </c>
      <c r="H409" s="11" t="inlineStr">
        <is>
          <t>Security</t>
        </is>
      </c>
      <c r="I409" s="11" t="inlineStr">
        <is>
          <t>Personal Information</t>
        </is>
      </c>
      <c r="J409" t="inlineStr"/>
      <c r="K409" s="11" t="inlineStr">
        <is>
          <t>This section outlines the responsible entity's obligation to protect critical infrastructure. It requires entities to implement security measures to safeguard critical systems and data from threats and breaches.</t>
        </is>
      </c>
      <c r="L409" s="11" t="inlineStr">
        <is>
          <t>This section requires critical infrastructure security, which is essential for DTIAs to assess the security of critical data when transferring across borders.</t>
        </is>
      </c>
      <c r="M409" s="11" t="inlineStr">
        <is>
          <t>• [Must] Protect critical infrastructure</t>
        </is>
      </c>
      <c r="N409" s="11" t="inlineStr"/>
      <c r="O409" s="11" t="inlineStr">
        <is>
          <t>30EB Responsible entity's obligation to protect critical</t>
        </is>
      </c>
      <c r="P409" s="12" t="n">
        <v>12</v>
      </c>
    </row>
    <row r="410">
      <c r="A410" t="inlineStr">
        <is>
          <t>Australia</t>
        </is>
      </c>
      <c r="B410" t="inlineStr">
        <is>
          <t>C2026C00213REC01 (Australia - Row 22)</t>
        </is>
      </c>
      <c r="C410" t="inlineStr">
        <is>
          <t>35</t>
        </is>
      </c>
      <c r="D410" s="11" t="inlineStr">
        <is>
          <t>Critical infrastructure directions override inconsistent critical infrastructure</t>
        </is>
      </c>
      <c r="E410" t="inlineStr">
        <is>
          <t>8</t>
        </is>
      </c>
      <c r="F410" t="inlineStr">
        <is>
          <t>Medium</t>
        </is>
      </c>
      <c r="G410" t="inlineStr">
        <is>
          <t>High (explicit)</t>
        </is>
      </c>
      <c r="H410" s="11" t="inlineStr"/>
      <c r="I410" s="11" t="inlineStr">
        <is>
          <t>Personal Information</t>
        </is>
      </c>
      <c r="J410" t="inlineStr">
        <is>
          <t>Minister</t>
        </is>
      </c>
      <c r="K410" s="11" t="inlineStr">
        <is>
          <t>This section establishes that directions issued by the Minister regarding critical infrastructure take precedence over inconsistent critical infrastructure provisions. The directions are part of the framework for managing risks related to critical infrastructure assets. Responsible entities must comply with these directions when they conflict with existing critical infrastructure provisions.</t>
        </is>
      </c>
      <c r="L410" s="11" t="inlineStr">
        <is>
          <t>This section ensures that critical infrastructure directions from the Minister override inconsistent provisions, which may affect data transfer and processing for critical infrastructure assets.</t>
        </is>
      </c>
      <c r="M410" s="11" t="inlineStr">
        <is>
          <t>• [Must] Directions issued by the Minister regarding critical infrastructure take precedence over inconsistent critical infrastructure provisions</t>
        </is>
      </c>
      <c r="N410" s="11" t="inlineStr"/>
      <c r="O410" s="11" t="inlineStr">
        <is>
          <t>35AAA Directions prevail over inconsistent critical infrastructure</t>
        </is>
      </c>
      <c r="P410" s="12" t="n">
        <v>12</v>
      </c>
    </row>
    <row r="411">
      <c r="A411" t="inlineStr">
        <is>
          <t>Australia</t>
        </is>
      </c>
      <c r="B411" t="inlineStr">
        <is>
          <t>C2026C00213REC01 (Australia - Row 22)</t>
        </is>
      </c>
      <c r="C411" t="inlineStr">
        <is>
          <t>35AA</t>
        </is>
      </c>
      <c r="D411" s="11" t="inlineStr">
        <is>
          <t>Ministerial authorization for serious incidents</t>
        </is>
      </c>
      <c r="E411" t="inlineStr">
        <is>
          <t>8</t>
        </is>
      </c>
      <c r="F411" t="inlineStr">
        <is>
          <t>Medium</t>
        </is>
      </c>
      <c r="G411" t="inlineStr">
        <is>
          <t>High (explicit)</t>
        </is>
      </c>
      <c r="H411" s="11" t="inlineStr"/>
      <c r="I411" s="11" t="inlineStr">
        <is>
          <t>Personal Information</t>
        </is>
      </c>
      <c r="J411" t="inlineStr">
        <is>
          <t>Minister</t>
        </is>
      </c>
      <c r="K411" s="11" t="inlineStr">
        <is>
          <t>This section outlines the division for ministerial authorization related to serious incidents. The Minister can authorize actions concerning critical infrastructure assets during serious incidents, subject to the conditions outlined in the Act. This authorization is part of the framework for responding to critical infrastructure risks.</t>
        </is>
      </c>
      <c r="L411" s="11" t="inlineStr">
        <is>
          <t>This section allows the Minister to authorize actions during serious incidents, which may impact data transfers and processing for critical infrastructure assets.</t>
        </is>
      </c>
      <c r="M411" s="11" t="inlineStr">
        <is>
          <t>• [Must] Ministerial authorization for serious incidents related to critical infrastructure</t>
        </is>
      </c>
      <c r="N411" s="11" t="inlineStr"/>
      <c r="O411" s="11" t="inlineStr">
        <is>
          <t>Division 2—Ministerial authorisation relating to serious incidents</t>
        </is>
      </c>
      <c r="P411" s="12" t="n">
        <v>12</v>
      </c>
    </row>
    <row r="412">
      <c r="A412" t="inlineStr">
        <is>
          <t>Australia</t>
        </is>
      </c>
      <c r="B412" t="inlineStr">
        <is>
          <t>C2026C00213REC01 (Australia - Row 22)</t>
        </is>
      </c>
      <c r="C412" t="inlineStr">
        <is>
          <t>61</t>
        </is>
      </c>
      <c r="D412" s="11" t="inlineStr">
        <is>
          <t>Endnotes</t>
        </is>
      </c>
      <c r="E412" t="inlineStr">
        <is>
          <t>12–21</t>
        </is>
      </c>
      <c r="F412" t="inlineStr">
        <is>
          <t>Low</t>
        </is>
      </c>
      <c r="G412" t="inlineStr">
        <is>
          <t>High (explicit)</t>
        </is>
      </c>
      <c r="H412" s="11" t="inlineStr"/>
      <c r="I412" s="11" t="inlineStr">
        <is>
          <t>Personal Information</t>
        </is>
      </c>
      <c r="J412" t="inlineStr"/>
      <c r="K412" s="11" t="inlineStr">
        <is>
          <t>This section contains endnotes that provide definitions and explanations for terms used in the Security of Critical Infrastructure Act 2018. The endnotes define various terms such as critical infrastructure assets, critical components, and other relevant concepts to ensure clarity in the application of the Act.</t>
        </is>
      </c>
      <c r="L412" s="11" t="inlineStr"/>
      <c r="M412" s="11" t="inlineStr">
        <is>
          <t>• [Must] Endnotes provide definitions and explanations for terms used in the Security of Critical Infrastructure Act 2</t>
        </is>
      </c>
      <c r="N412" s="11" t="inlineStr"/>
      <c r="O412" s="11" t="inlineStr">
        <is>
          <t>61 Endnotes</t>
        </is>
      </c>
      <c r="P412" s="12" t="n">
        <v>12</v>
      </c>
    </row>
    <row r="413">
      <c r="A413" t="inlineStr">
        <is>
          <t>Australia</t>
        </is>
      </c>
      <c r="B413" t="inlineStr">
        <is>
          <t>C2026C00213REC01 (Australia - Row 22)</t>
        </is>
      </c>
      <c r="C413" t="inlineStr">
        <is>
          <t>61 (part 3)</t>
        </is>
      </c>
      <c r="D413" s="11" t="inlineStr">
        <is>
          <t>Definitions of data storage and processing terms</t>
        </is>
      </c>
      <c r="E413" t="inlineStr">
        <is>
          <t>28–35</t>
        </is>
      </c>
      <c r="F413" t="inlineStr">
        <is>
          <t>Medium</t>
        </is>
      </c>
      <c r="G413" t="inlineStr">
        <is>
          <t>High (explicit)</t>
        </is>
      </c>
      <c r="H413" s="11" t="inlineStr">
        <is>
          <t>Data Storage, Cloud Services</t>
        </is>
      </c>
      <c r="I413" s="11" t="inlineStr">
        <is>
          <t>Personal Information</t>
        </is>
      </c>
      <c r="J413" t="inlineStr"/>
      <c r="K413" s="11" t="inlineStr">
        <is>
          <t>This section defines key terms related to data storage and processing services, including data storage devices, providers, and sectors. It specifies that data storage or processing services must be commercial, involve computers, or be explicitly listed in the rules. The definitions clarify the scope of entities and services covered under the Act.</t>
        </is>
      </c>
      <c r="L413" s="11" t="inlineStr">
        <is>
          <t>These definitions establish the technical and operational scope for data storage and processing services, which is critical for determining applicable data transfer mechanisms and cross-border data handling requirements.</t>
        </is>
      </c>
      <c r="M413" s="11" t="inlineStr">
        <is>
          <t>• [Definition] data storage device means a thing (for example, a disk or file server) containing (whether temporarily or permanently), or designed to contain (whether temporarily or permanently), data for use by a computer
• [Definition] data storage or processing provider means an entity that provides a data storage or processing service</t>
        </is>
      </c>
      <c r="N413" s="11" t="inlineStr">
        <is>
          <t>• [Definition] data storage or processing sector means the sector of the Australian economy that involves providing data storage or processing services
• [Definition] data storage or processing service means: (a) a service that enables end-users to store or back-up data and is provided on a commercial basis; (b) a data processing service that involves the use of one or more computers and is provided on a commercial basis; or (c) a service specified in the rules</t>
        </is>
      </c>
      <c r="O413" s="11" t="inlineStr">
        <is>
          <t>Section 5: data storage device means a thing (for example, a disk or file server) containing (whether temporarily or permanently), or designed to contain (whether temporarily or permanently), data for use by a computer.</t>
        </is>
      </c>
      <c r="P413" s="12" t="n">
        <v>12</v>
      </c>
    </row>
    <row r="414">
      <c r="A414" t="inlineStr">
        <is>
          <t>Australia</t>
        </is>
      </c>
      <c r="B414" t="inlineStr">
        <is>
          <t>C2026C00213REC01 (Australia - Row 22)</t>
        </is>
      </c>
      <c r="C414" t="inlineStr">
        <is>
          <t>61 (part 5)</t>
        </is>
      </c>
      <c r="D414" s="11" t="inlineStr">
        <is>
          <t>Definition of critical infrastructure sector assets</t>
        </is>
      </c>
      <c r="E414" t="inlineStr">
        <is>
          <t>42–48</t>
        </is>
      </c>
      <c r="F414" t="inlineStr">
        <is>
          <t>High</t>
        </is>
      </c>
      <c r="G414" t="inlineStr">
        <is>
          <t>High (explicit)</t>
        </is>
      </c>
      <c r="H414" s="11" t="inlineStr"/>
      <c r="I414" s="11" t="inlineStr"/>
      <c r="J414" t="inlineStr"/>
      <c r="K414" s="11" t="inlineStr">
        <is>
          <t>This section defines critical infrastructure sector assets by specifying which assets relate to designated critical infrastructure sectors. It lists specific asset types for each sector, such as critical banking assets for financial services, critical water assets for water and sewerage, and critical hospital assets for health care. These definitions apply to entities operating within Australia's critical infrastructure framework.</t>
        </is>
      </c>
      <c r="L414" s="11" t="inlineStr">
        <is>
          <t>This section defines critical infrastructure assets that require specific data handling protocols under cross-border transfers. It specifies which assets fall under each critical infrastructure sector, impacting data transfer assessments for entities managing these assets.</t>
        </is>
      </c>
      <c r="M414" s="11" t="inlineStr">
        <is>
          <t>• [Definition] A critical infrastructure sector asset is an asset that relates to a critical infrastructure sector
• [Definition] Critical telecommunications assets relate to the communications sector
• [Definition] Critical broadcasting assets relate to the communications sector
• [Definition] Critical domain name system relates to the communications sector
• [Definition] Critical data storage or processing assets relate to the data storage or processing sector
• [Definition] Critical banking assets relate to the financial services and markets sector
• [Definition] Critical superannuation assets relate to the financial services and markets sector
• [Definition] Critical insurance assets relate to the financial services and markets sector
• [Definition] Critical financial market infrastructure assets relate to the financial services and markets sector
• [Definition] Critical water assets relate to the water and sewerage sector
• [Definition] Critical electricity assets relate to the energy sector</t>
        </is>
      </c>
      <c r="N414" s="11" t="inlineStr">
        <is>
          <t>• [Definition] Critical gas assets relate to the energy sector
• [Definition] Critical energy market operator assets relate to the energy sector
• [Definition] Critical liquid fuel assets relate to the energy sector
• [Definition] Critical hospitals relate to the health care and medical sector
• [Definition] Critical education assets relate to the higher education and research sector
• [Definition] Critical food and grocery assets relate to the food and grocery sector
• [Definition] Critical ports relate to the transport sector
• [Definition] Critical freight infrastructure assets relate to the transport sector
• [Definition] Critical freight services assets relate to the transport sector
• [Definition] Critical public transport assets relate to the transport sector
• [Definition] Critical aviation assets relate to the transport sector</t>
        </is>
      </c>
      <c r="O414" s="11" t="inlineStr">
        <is>
          <t>Section 8E: An asset is a critical infrastructure sector asset if it is an asset that relates to a critical infrastructure sector. For the purposes of this Act, each of the following assets is taken to relate to the communications sector: a critical telecommunications asset, a critical broadcasting asset, a critical domain name system.</t>
        </is>
      </c>
      <c r="P414" s="12" t="n">
        <v>12</v>
      </c>
    </row>
    <row r="415">
      <c r="A415" t="inlineStr">
        <is>
          <t>Australia</t>
        </is>
      </c>
      <c r="B415" t="inlineStr">
        <is>
          <t>C2026C00213REC01 (Australia - Row 22)</t>
        </is>
      </c>
      <c r="C415" t="inlineStr">
        <is>
          <t>61 (part 7)</t>
        </is>
      </c>
      <c r="D415" s="11" t="inlineStr">
        <is>
          <t>Definition of critical infrastructure assets for financial systems</t>
        </is>
      </c>
      <c r="E415" t="inlineStr">
        <is>
          <t>54–60</t>
        </is>
      </c>
      <c r="F415" t="inlineStr">
        <is>
          <t>High</t>
        </is>
      </c>
      <c r="G415" t="inlineStr">
        <is>
          <t>High (explicit)</t>
        </is>
      </c>
      <c r="H415" s="11" t="inlineStr">
        <is>
          <t>Financial Data, Data Storage</t>
        </is>
      </c>
      <c r="I415" s="11" t="inlineStr">
        <is>
          <t>Financial Data</t>
        </is>
      </c>
      <c r="J415" t="inlineStr">
        <is>
          <t>Minister</t>
        </is>
      </c>
      <c r="K415" s="11" t="inlineStr">
        <is>
          <t>This section defines critical infrastructure assets for financial systems, including critical banking assets, superannuation assets, insurance assets, and financial market infrastructure assets. It specifies that an asset is critical if it is critical to people or relates to a critical infrastructure sector. The Minister must consult relevant State and Territory Ministers before prescribing assets as critical infrastructure assets, and must consider representations from these ministers. The rules may also exclude certain assets from being critical infrastructure assets.</t>
        </is>
      </c>
      <c r="L415" s="11" t="inlineStr">
        <is>
          <t>This section defines specific financial assets as critical infrastructure assets, requiring data storage systems used for business critical data to be treated as part of these assets for impact assessments. It affects how financial data is classified and protected under critical infrastructure frameworks.</t>
        </is>
      </c>
      <c r="M415" s="11" t="inlineStr">
        <is>
          <t>• [Must] An asset is a critical infrastructure asset if it is critical to people or relates to a critical infrastructure sector
• [Must] The Minister must consult State and Territory Ministers before prescribing assets as critical infrastructure assets
• [Must] The Minister must give written notice to consulted Ministers before prescribing assets</t>
        </is>
      </c>
      <c r="N415" s="11" t="inlineStr">
        <is>
          <t>• [Must] The Minister must consider representations from consulted Ministers within 28 days
• [Must] Data storage systems used for business critical data are part of critical infrastructure assets</t>
        </is>
      </c>
      <c r="O415" s="11" t="inlineStr">
        <is>
          <t>Section 9(1): An asset is a critical infrastructure asset if it is: (a) a critical telecommunications asset; or (b) a critical broadcasting asset; ... (da) a critical banking asset; ... (dd) a critical financial market infrastructure asset; ...</t>
        </is>
      </c>
      <c r="P415" s="12" t="n">
        <v>12</v>
      </c>
    </row>
    <row r="416">
      <c r="A416" t="inlineStr">
        <is>
          <t>Australia</t>
        </is>
      </c>
      <c r="B416" t="inlineStr">
        <is>
          <t>C2026C00213REC01 (Australia - Row 22)</t>
        </is>
      </c>
      <c r="C416" t="inlineStr">
        <is>
          <t>61 (part 9)</t>
        </is>
      </c>
      <c r="D416" s="11" t="inlineStr">
        <is>
          <t>Critical financial market infrastructure assets definition</t>
        </is>
      </c>
      <c r="E416" t="inlineStr">
        <is>
          <t>67–73</t>
        </is>
      </c>
      <c r="F416" t="inlineStr">
        <is>
          <t>High</t>
        </is>
      </c>
      <c r="G416" t="inlineStr">
        <is>
          <t>High (explicit)</t>
        </is>
      </c>
      <c r="H416" s="11" t="inlineStr"/>
      <c r="I416" s="11" t="inlineStr">
        <is>
          <t>Financial Data</t>
        </is>
      </c>
      <c r="J416" t="inlineStr"/>
      <c r="K416" s="11" t="inlineStr">
        <is>
          <t>This section defines critical financial market infrastructure assets that are critical to the security and reliability of financial services and markets. Assets must be owned or operated by specific licensed entities and used in connection with significant financial benchmarks or derivative trade repositories. The rules may prescribe specified assets or requirements for criticality.</t>
        </is>
      </c>
      <c r="L416" s="11" t="inlineStr">
        <is>
          <t>Defines critical financial infrastructure assets that require specific security and reliability standards for financial market operations, impacting cross-border data transfers involving financial benchmarks and repositories.</t>
        </is>
      </c>
      <c r="M416" s="11" t="inlineStr">
        <is>
          <t>• [Must] An asset owned or operated by an Australian body corporate holding a benchmark administrator licence and used in connection with a significant financial benchmark critical to security and reliability
• [Must] An asset owned or operated by an associated entity of an Australian body corporate holding a benchmark administrator licence and used in connection with a significant financial benchmark critical to security and reliability
• [Must] An asset owned or operated by an Australian body corporate holding a derivative trade repository licence and used in connection with a derivative trade repository critical to security and reliability</t>
        </is>
      </c>
      <c r="N416" s="11" t="inlineStr">
        <is>
          <t>• [Must] An asset owned or operated by an associated entity of an Australian body corporate holding a derivative trade repository licence and used in connection with a derivative trade repository critical to security and reliability
• [Must] An asset used in connection with a payment system critical to security and reliability</t>
        </is>
      </c>
      <c r="O416" s="11" t="inlineStr">
        <is>
          <t>Section 12D (1) defines critical financial market infrastructure assets that are critical to the security and reliability of the financial services and markets sector.</t>
        </is>
      </c>
      <c r="P416" s="12" t="n">
        <v>12</v>
      </c>
    </row>
    <row r="417">
      <c r="A417" t="inlineStr">
        <is>
          <t>Australia</t>
        </is>
      </c>
      <c r="B417" t="inlineStr">
        <is>
          <t>C2026C00213REC01 (Australia - Row 22)</t>
        </is>
      </c>
      <c r="C417" t="inlineStr">
        <is>
          <t>62</t>
        </is>
      </c>
      <c r="D417" s="11" t="inlineStr">
        <is>
          <t>Critical broadcasting assets definition</t>
        </is>
      </c>
      <c r="E417" t="inlineStr">
        <is>
          <t>74–75</t>
        </is>
      </c>
      <c r="F417" t="inlineStr">
        <is>
          <t>Low</t>
        </is>
      </c>
      <c r="G417" t="inlineStr">
        <is>
          <t>High (explicit)</t>
        </is>
      </c>
      <c r="H417" s="11" t="inlineStr"/>
      <c r="I417" s="11" t="inlineStr">
        <is>
          <t>Special Personal Information</t>
        </is>
      </c>
      <c r="J417" t="inlineStr"/>
      <c r="K417" s="11" t="inlineStr">
        <is>
          <t>This section defines critical broadcasting assets that are critical to the transmission of broadcasting services. Assets must be owned or operated by the same entity, located on critical transmission sites, or critical to broadcasting service transmission. The rules may prescribe specified assets or requirements for criticality.</t>
        </is>
      </c>
      <c r="L417" s="11" t="inlineStr">
        <is>
          <t>Defines critical broadcasting assets that impact data transmission infrastructure, relevant for cross-border data transfers involving broadcasting services.</t>
        </is>
      </c>
      <c r="M417" s="11" t="inlineStr">
        <is>
          <t>• [Must] Broadcasting transmission assets owned or operated by the same entity and located on a critical transmission site
• [Must] Broadcasting transmission assets owned or operated by the same entity and located on at least 50 different sites without broadcasting re-transmission assets</t>
        </is>
      </c>
      <c r="N417" s="11" t="inlineStr">
        <is>
          <t>• [Must] Broadcasting transmission assets owned or operated by an entity critical to broadcasting service transmission</t>
        </is>
      </c>
      <c r="O417" s="11" t="inlineStr">
        <is>
          <t>Section 12E (1) defines critical broadcasting assets critical to the transmission of broadcasting services.</t>
        </is>
      </c>
      <c r="P417" s="12" t="n">
        <v>12</v>
      </c>
    </row>
    <row r="418">
      <c r="A418" t="inlineStr">
        <is>
          <t>Australia</t>
        </is>
      </c>
      <c r="B418" t="inlineStr">
        <is>
          <t>C2026C00213REC01 (Australia - Row 22)</t>
        </is>
      </c>
      <c r="C418" t="inlineStr">
        <is>
          <t>63</t>
        </is>
      </c>
      <c r="D418" s="11" t="inlineStr">
        <is>
          <t>Critical data storage or processing assets definition</t>
        </is>
      </c>
      <c r="E418" t="inlineStr">
        <is>
          <t>75–76</t>
        </is>
      </c>
      <c r="F418" t="inlineStr">
        <is>
          <t>High</t>
        </is>
      </c>
      <c r="G418" t="inlineStr">
        <is>
          <t>High (explicit)</t>
        </is>
      </c>
      <c r="H418" s="11" t="inlineStr"/>
      <c r="I418" s="11" t="inlineStr">
        <is>
          <t>Financial Data</t>
        </is>
      </c>
      <c r="J418" t="inlineStr"/>
      <c r="K418" s="11" t="inlineStr">
        <is>
          <t>This section defines critical data storage or processing assets used by entities to provide business critical data to government or state entities. Assets must be owned or operated by data storage or processing providers and used for business critical data services. The rules may prescribe specified assets or requirements for criticality.</t>
        </is>
      </c>
      <c r="L418" s="11" t="inlineStr">
        <is>
          <t>Defines critical data storage assets that require specific security standards for government data transfers, impacting cross-border data transfers involving public sector data.</t>
        </is>
      </c>
      <c r="M418" s="11" t="inlineStr">
        <is>
          <t>• [Must] An asset owned or operated by a data storage or processing provider used to provide business critical data to Commonwealth, State, or Territory entities</t>
        </is>
      </c>
      <c r="N418" s="11" t="inlineStr">
        <is>
          <t>• [Must] An asset owned or operated by a data storage or processing provider used to provide business critical data to the responsible entity for a critical infrastructure asset</t>
        </is>
      </c>
      <c r="O418" s="11" t="inlineStr">
        <is>
          <t>Section 12F (1) defines critical data storage or processing assets used for business critical data services.</t>
        </is>
      </c>
      <c r="P418" s="12" t="n">
        <v>12</v>
      </c>
    </row>
    <row r="419">
      <c r="A419" t="inlineStr">
        <is>
          <t>Australia</t>
        </is>
      </c>
      <c r="B419" t="inlineStr">
        <is>
          <t>C2026C00213REC01 (Australia - Row 22)</t>
        </is>
      </c>
      <c r="C419" t="inlineStr">
        <is>
          <t>64</t>
        </is>
      </c>
      <c r="D419" s="11" t="inlineStr">
        <is>
          <t>Critical banking assets definition</t>
        </is>
      </c>
      <c r="E419" t="inlineStr">
        <is>
          <t>76–77</t>
        </is>
      </c>
      <c r="F419" t="inlineStr">
        <is>
          <t>High</t>
        </is>
      </c>
      <c r="G419" t="inlineStr">
        <is>
          <t>High (explicit)</t>
        </is>
      </c>
      <c r="H419" s="11" t="inlineStr"/>
      <c r="I419" s="11" t="inlineStr">
        <is>
          <t>Financial Data</t>
        </is>
      </c>
      <c r="J419" t="inlineStr"/>
      <c r="K419" s="11" t="inlineStr">
        <is>
          <t>This section defines critical banking assets that are owned or operated by authorized deposit-taking institutions critical to the security and reliability of banking business. The rules may prescribe specified institutions or requirements for criticality.</t>
        </is>
      </c>
      <c r="L419" s="11" t="inlineStr">
        <is>
          <t>Defines critical banking assets that require specific security standards for financial data transfers, impacting cross-border data transfers involving banking operations.</t>
        </is>
      </c>
      <c r="M419" s="11" t="inlineStr">
        <is>
          <t>• [Must] An asset owned or operated by an authorized deposit-taking institution critical to banking security and reliability</t>
        </is>
      </c>
      <c r="N419" s="11" t="inlineStr">
        <is>
          <t>• [Must] An asset owned or operated by a related body corporate of an authorized deposit-taking institution critical to banking security and reliability</t>
        </is>
      </c>
      <c r="O419" s="11" t="inlineStr">
        <is>
          <t>Section 12G (1) defines critical banking assets critical to banking security and reliability.</t>
        </is>
      </c>
      <c r="P419" s="12" t="n">
        <v>12</v>
      </c>
    </row>
    <row r="420">
      <c r="A420" t="inlineStr">
        <is>
          <t>Australia</t>
        </is>
      </c>
      <c r="B420" t="inlineStr">
        <is>
          <t>C2026C00213REC01 (Australia - Row 22)</t>
        </is>
      </c>
      <c r="C420" t="inlineStr">
        <is>
          <t>65</t>
        </is>
      </c>
      <c r="D420" s="11" t="inlineStr">
        <is>
          <t>Critical insurance assets definition</t>
        </is>
      </c>
      <c r="E420" t="inlineStr">
        <is>
          <t>77–78</t>
        </is>
      </c>
      <c r="F420" t="inlineStr">
        <is>
          <t>High</t>
        </is>
      </c>
      <c r="G420" t="inlineStr">
        <is>
          <t>High (explicit)</t>
        </is>
      </c>
      <c r="H420" s="11" t="inlineStr"/>
      <c r="I420" s="11" t="inlineStr">
        <is>
          <t>Financial Data</t>
        </is>
      </c>
      <c r="J420" t="inlineStr"/>
      <c r="K420" s="11" t="inlineStr">
        <is>
          <t>This section defines critical insurance assets that are owned or operated by entities critical to the security and reliability of insurance business. The rules may prescribe specified entities or requirements for criticality.</t>
        </is>
      </c>
      <c r="L420" s="11" t="inlineStr">
        <is>
          <t>Defines critical insurance assets that require specific security standards for insurance data transfers, impacting cross-border data transfers involving insurance operations.</t>
        </is>
      </c>
      <c r="M420" s="11" t="inlineStr">
        <is>
          <t>• [Must] An asset owned or operated by an entity carrying on insurance business critical to insurance security and reliability</t>
        </is>
      </c>
      <c r="N420" s="11" t="inlineStr">
        <is>
          <t>• [Must] An asset owned or operated by a related body corporate of an entity carrying on insurance business critical to insurance security and reliability</t>
        </is>
      </c>
      <c r="O420" s="11" t="inlineStr">
        <is>
          <t>Section 12H (1) defines critical insurance assets critical to insurance security and reliability.</t>
        </is>
      </c>
      <c r="P420" s="12" t="n">
        <v>12</v>
      </c>
    </row>
    <row r="421">
      <c r="A421" t="inlineStr">
        <is>
          <t>Australia</t>
        </is>
      </c>
      <c r="B421" t="inlineStr">
        <is>
          <t>C2026C00213REC01 (Australia - Row 22)</t>
        </is>
      </c>
      <c r="C421" t="inlineStr">
        <is>
          <t>66</t>
        </is>
      </c>
      <c r="D421" s="11" t="inlineStr">
        <is>
          <t>Definition of responsible entity for critical telecommunications assets</t>
        </is>
      </c>
      <c r="E421" t="inlineStr">
        <is>
          <t>78–79</t>
        </is>
      </c>
      <c r="F421" t="inlineStr">
        <is>
          <t>None</t>
        </is>
      </c>
      <c r="G421" t="inlineStr">
        <is>
          <t>High (explicit)</t>
        </is>
      </c>
      <c r="H421" s="11" t="inlineStr"/>
      <c r="I421" s="11" t="inlineStr"/>
      <c r="J421" t="inlineStr"/>
      <c r="K421" s="11" t="inlineStr">
        <is>
          <t>This section defines the responsible entity for critical telecommunications assets. It specifies that the responsible entity is the carrier if the asset is owned or operated by a carrier, or the carriage service provider if the asset is owned or operated by a carriage service provider. The definition is structured to identify the appropriate entity based on ownership or operation.</t>
        </is>
      </c>
      <c r="L421" s="11" t="inlineStr"/>
      <c r="M421" s="11" t="inlineStr">
        <is>
          <t>• [Must] The responsible entity for a critical telecommunications asset is the carrier if the asset is owned or operated by a carrier</t>
        </is>
      </c>
      <c r="N421" s="11" t="inlineStr">
        <is>
          <t>• [Must] The responsible entity for a critical telecommunications asset is the carriage service provider if the asset is owned or operated by a carriage service provider</t>
        </is>
      </c>
      <c r="O421" s="11" t="inlineStr">
        <is>
          <t>66 Meaning of responsible entity Critical telecommunications asset (1) The responsible entity for a critical telecommunications asset is: (a) whichever of the following is applicable: (i) if the critical telecommunications asset is owned or operated by a carrier—the carrier; (ii) if the critical telecommunications asset is owned or operated by a carriage service provider—the carriage service provider;</t>
        </is>
      </c>
      <c r="P421" s="12" t="n">
        <v>12</v>
      </c>
    </row>
    <row r="422">
      <c r="A422" t="inlineStr">
        <is>
          <t>Australia</t>
        </is>
      </c>
      <c r="B422" t="inlineStr">
        <is>
          <t>C2026C00213REC01 (Australia - Row 22)</t>
        </is>
      </c>
      <c r="C422" t="inlineStr">
        <is>
          <t>67</t>
        </is>
      </c>
      <c r="D422" s="11" t="inlineStr">
        <is>
          <t>Definition of responsible entity for critical broadcasting assets</t>
        </is>
      </c>
      <c r="E422" t="inlineStr">
        <is>
          <t>79–80</t>
        </is>
      </c>
      <c r="F422" t="inlineStr">
        <is>
          <t>None</t>
        </is>
      </c>
      <c r="G422" t="inlineStr">
        <is>
          <t>High (explicit)</t>
        </is>
      </c>
      <c r="H422" s="11" t="inlineStr"/>
      <c r="I422" s="11" t="inlineStr"/>
      <c r="J422" t="inlineStr"/>
      <c r="K422" s="11" t="inlineStr">
        <is>
          <t>This section defines the responsible entity for critical broadcasting assets. It specifies that the responsible entity is determined based on applicable provisions in the relevant sections of the Act, such as those related to carriers, carriage service providers, or other specified entities. The definition is structured to identify the appropriate entity through a hierarchy of provisions.</t>
        </is>
      </c>
      <c r="L422" s="11" t="inlineStr"/>
      <c r="M422" s="11" t="inlineStr">
        <is>
          <t>• [Must] The responsible entity for a critical broadcasting asset is the entity referred to in paragraph 12E(1)(a)(i) if applicable
• [Must] The responsible entity for a critical broadcasting asset is the entity referred to in paragraph 12E(1)(b)(i) if applicable</t>
        </is>
      </c>
      <c r="N422" s="11" t="inlineStr">
        <is>
          <t>• [Must] The responsible entity for a critical broadcasting asset is the entity referred to in paragraph 12E(1)(c) if applicable</t>
        </is>
      </c>
      <c r="O422" s="11" t="inlineStr">
        <is>
          <t>67 Meaning of responsible entity Critical broadcasting asset (2) The responsible entity for a critical broadcasting asset is: (a) the entity referred to in whichever of the following provisions is applicable: (i) subparagraph 12E(1)(a)(i); (ii) subparagraph 12E(1)(b)(i); (iii) paragraph 12E(1)(c);</t>
        </is>
      </c>
      <c r="P422" s="12" t="n">
        <v>12</v>
      </c>
    </row>
    <row r="423">
      <c r="A423" t="inlineStr">
        <is>
          <t>Australia</t>
        </is>
      </c>
      <c r="B423" t="inlineStr">
        <is>
          <t>C2026C00213REC01 (Australia - Row 22)</t>
        </is>
      </c>
      <c r="C423" t="inlineStr">
        <is>
          <t>68</t>
        </is>
      </c>
      <c r="D423" s="11" t="inlineStr">
        <is>
          <t>Definition of responsible entity for critical domain name system assets</t>
        </is>
      </c>
      <c r="E423" t="inlineStr">
        <is>
          <t>80–81</t>
        </is>
      </c>
      <c r="F423" t="inlineStr">
        <is>
          <t>None</t>
        </is>
      </c>
      <c r="G423" t="inlineStr">
        <is>
          <t>High (explicit)</t>
        </is>
      </c>
      <c r="H423" s="11" t="inlineStr"/>
      <c r="I423" s="11" t="inlineStr"/>
      <c r="J423" t="inlineStr"/>
      <c r="K423" s="11" t="inlineStr">
        <is>
          <t>This section defines the responsible entity for critical domain name system assets. It specifies that the responsible entity is the entity referred to in paragraph 12KA(1)(a) of the Act, or another entity prescribed by the rules. The definition is structured to identify the appropriate entity through a reference to specific provisions and rules.</t>
        </is>
      </c>
      <c r="L423" s="11" t="inlineStr"/>
      <c r="M423" s="11" t="inlineStr">
        <is>
          <t>• [Must] The responsible entity for a critical domain name system is the entity referred to in paragraph 12KA(1)(a)</t>
        </is>
      </c>
      <c r="N423" s="11" t="inlineStr"/>
      <c r="O423" s="11" t="inlineStr">
        <is>
          <t>68 Meaning of responsible entity Critical domain name system (3) The responsible entity for a critical domain name system is: (a) the entity referred to in paragraph 12KA(1)(a); or that other entity.</t>
        </is>
      </c>
      <c r="P423" s="12" t="n">
        <v>12</v>
      </c>
    </row>
    <row r="424">
      <c r="A424" t="inlineStr">
        <is>
          <t>Australia</t>
        </is>
      </c>
      <c r="B424" t="inlineStr">
        <is>
          <t>C2026C00213REC01 (Australia - Row 22)</t>
        </is>
      </c>
      <c r="C424" t="inlineStr">
        <is>
          <t>69</t>
        </is>
      </c>
      <c r="D424" s="11" t="inlineStr">
        <is>
          <t>Definition of responsible entity for critical data storage or processing assets</t>
        </is>
      </c>
      <c r="E424" t="inlineStr">
        <is>
          <t>81–82</t>
        </is>
      </c>
      <c r="F424" t="inlineStr">
        <is>
          <t>Low</t>
        </is>
      </c>
      <c r="G424" t="inlineStr">
        <is>
          <t>High (explicit)</t>
        </is>
      </c>
      <c r="H424" s="11" t="inlineStr"/>
      <c r="I424" s="11" t="inlineStr"/>
      <c r="J424" t="inlineStr"/>
      <c r="K424" s="11" t="inlineStr">
        <is>
          <t>This section defines the responsible entity for critical data storage or processing assets. It specifies that the responsible entity is determined based on whether the asset is covered by specific provisions in the Act, such as those related to authorized deposit-taking institutions, bodies corporate, or other prescribed entities. The definition is structured to identify the appropriate entity through a hierarchy of provisions.</t>
        </is>
      </c>
      <c r="L424" s="11" t="inlineStr"/>
      <c r="M424" s="11" t="inlineStr">
        <is>
          <t>• [Must] The responsible entity for a critical data storage or processing asset is the entity referred to in paragraph 12F(1)(a) if the asset is covered by subsection 12F(1)
• [Must] The responsible entity for a critical data storage or processing asset is the entity referred to in paragraph 12F(2)(a) if the asset is covered by subsection 12F(2)</t>
        </is>
      </c>
      <c r="N424" s="11" t="inlineStr">
        <is>
          <t>• [Must] The responsible entity for a critical data storage or processing asset is another entity prescribed by the rules</t>
        </is>
      </c>
      <c r="O424" s="11" t="inlineStr">
        <is>
          <t>69 Meaning of responsible entity Critical data storage or processing asset (4) The responsible entity for a critical data storage or processing asset is: (a) if the asset is covered by subsection 12F(1)—the entity referred to in paragraph 12F(1)(a); or (b) if the asset is covered by subsection 12F(2)—the entity referred to in paragraph 12F(2)(a); or (c) if another entity is prescribed by the rules in relation to the</t>
        </is>
      </c>
      <c r="P424" s="12" t="n">
        <v>12</v>
      </c>
    </row>
    <row r="425">
      <c r="A425" t="inlineStr">
        <is>
          <t>Australia</t>
        </is>
      </c>
      <c r="B425" t="inlineStr">
        <is>
          <t>C2026C00213REC01 (Australia - Row 22)</t>
        </is>
      </c>
      <c r="C425" t="inlineStr">
        <is>
          <t>70</t>
        </is>
      </c>
      <c r="D425" s="11" t="inlineStr">
        <is>
          <t>Definition of responsible entity for critical banking assets</t>
        </is>
      </c>
      <c r="E425" t="inlineStr">
        <is>
          <t>82–83</t>
        </is>
      </c>
      <c r="F425" t="inlineStr">
        <is>
          <t>High</t>
        </is>
      </c>
      <c r="G425" t="inlineStr">
        <is>
          <t>High (explicit)</t>
        </is>
      </c>
      <c r="H425" s="11" t="inlineStr"/>
      <c r="I425" s="11" t="inlineStr"/>
      <c r="J425" t="inlineStr"/>
      <c r="K425" s="11" t="inlineStr">
        <is>
          <t>This section defines the responsible entity for critical banking assets. It specifies that the responsible entity is the authorized deposit-taking institution referred to in subsection 12G(1)(a) if the asset is covered by that provision, or the body corporate referred to in subsection 12G(1)(b) if the asset is covered by that provision, or another entity prescribed by the rules. The definition is structured to identify the appropriate entity through a hierarchy of provisions.</t>
        </is>
      </c>
      <c r="L425" s="11" t="inlineStr"/>
      <c r="M425" s="11" t="inlineStr">
        <is>
          <t>• [Must] The responsible entity for a critical banking asset is the authorized deposit-taking institution referred to in subsection 12G(1)(a) if the asset is covered by paragraph 12G(1)(a)
• [Must] The responsible entity for a critical banking asset is the body corporate referred to in subsection 12G(1)(b) if the asset is covered by paragraph 12G(1)(b)</t>
        </is>
      </c>
      <c r="N425" s="11" t="inlineStr">
        <is>
          <t>• [Must] The responsible entity for a critical banking asset is another entity prescribed by the rules</t>
        </is>
      </c>
      <c r="O425" s="11" t="inlineStr">
        <is>
          <t>70 Meaning of responsible entity Critical banking asset (5) The responsible entity for a critical banking asset is: (a) if the asset is covered by paragraph 12G(1)(a)—the authorised deposit-taking institution referred to in subparagraph 12G(1)(a)(i); or (b) if the asset is covered by paragraph 12G(1)(b)—the body corporate referred to in subparagraph 12G(1)(b)(i); or (c) if another entity is prescribed by the rules in relation to the</t>
        </is>
      </c>
      <c r="P425" s="12" t="n">
        <v>12</v>
      </c>
    </row>
    <row r="426">
      <c r="A426" t="inlineStr">
        <is>
          <t>Australia</t>
        </is>
      </c>
      <c r="B426" t="inlineStr">
        <is>
          <t>C2026C00213REC01 (Australia - Row 22)</t>
        </is>
      </c>
      <c r="C426" t="inlineStr">
        <is>
          <t>71</t>
        </is>
      </c>
      <c r="D426" s="11" t="inlineStr">
        <is>
          <t>Definition of responsible entity for critical superannuation assets</t>
        </is>
      </c>
      <c r="E426" t="inlineStr">
        <is>
          <t>83–84</t>
        </is>
      </c>
      <c r="F426" t="inlineStr">
        <is>
          <t>High</t>
        </is>
      </c>
      <c r="G426" t="inlineStr">
        <is>
          <t>High (explicit)</t>
        </is>
      </c>
      <c r="H426" s="11" t="inlineStr"/>
      <c r="I426" s="11" t="inlineStr"/>
      <c r="J426" t="inlineStr"/>
      <c r="K426" s="11" t="inlineStr">
        <is>
          <t>This section defines the responsible entity for critical superannuation assets. It specifies that the responsible entity is the RSE licensee referred to in subsection 12J(1) of the Act. The definition is structured to identify the appropriate entity through a reference to specific provisions.</t>
        </is>
      </c>
      <c r="L426" s="11" t="inlineStr"/>
      <c r="M426" s="11" t="inlineStr">
        <is>
          <t>• [Must] The responsible entity for a critical superannuation asset is the RSE licensee referred to in subsection 12J(1)</t>
        </is>
      </c>
      <c r="N426" s="11" t="inlineStr"/>
      <c r="O426" s="11" t="inlineStr">
        <is>
          <t>71 Meaning of responsible entity Critical superannuation asset (6) The responsible entity for a critical superannuation asset is: (a) the RSE licensee referred to in subsection 12J(1); or</t>
        </is>
      </c>
      <c r="P426" s="12" t="n">
        <v>12</v>
      </c>
    </row>
    <row r="427">
      <c r="A427" t="inlineStr">
        <is>
          <t>Australia</t>
        </is>
      </c>
      <c r="B427" t="inlineStr">
        <is>
          <t>C2026C00213REC01 (Australia - Row 22)</t>
        </is>
      </c>
      <c r="C427" t="inlineStr">
        <is>
          <t>72</t>
        </is>
      </c>
      <c r="D427" s="11" t="inlineStr">
        <is>
          <t>Critical public transport and aviation assets: responsible entities</t>
        </is>
      </c>
      <c r="E427" t="inlineStr">
        <is>
          <t>84–85</t>
        </is>
      </c>
      <c r="F427" t="inlineStr">
        <is>
          <t>None</t>
        </is>
      </c>
      <c r="G427" t="inlineStr">
        <is>
          <t>High (explicit)</t>
        </is>
      </c>
      <c r="H427" s="11" t="inlineStr"/>
      <c r="I427" s="11" t="inlineStr">
        <is>
          <t>Special Personal Information</t>
        </is>
      </c>
      <c r="J427" t="inlineStr"/>
      <c r="K427" s="11" t="inlineStr">
        <is>
          <t>This section defines responsible entities for critical public transport assets, critical aviation assets, and critical defence industry assets. It specifies that the responsible entity is either the entity defined in section 5 for public transport assets, or the aircraft operator, regulated air cargo agent, or airport operator for aviation assets, depending on usage and ownership.</t>
        </is>
      </c>
      <c r="L427" s="11" t="inlineStr"/>
      <c r="M427" s="11" t="inlineStr">
        <is>
          <t>• [Must] The responsible entity for a critical public transport asset is the entity referred to in paragraph (a) of the definition of critical public transport asset in section 5
• [Must] The responsible entity for a critical aviation asset is the aircraft operator if the asset is used in connection with air service provision and owned or operated by an aircraft operator
• [Must] The responsible entity for a critical aviation asset is the regulated air cargo agent if the asset is used in connection with air service provision and owned or operated by a regulated air cargo agent</t>
        </is>
      </c>
      <c r="N427" s="11" t="inlineStr">
        <is>
          <t>• [Must] The responsible entity for a critical aviation asset is the airport operator if the asset is used by an airport operator in connection with airport operation
• [Must] The responsible entity for a critical defence industry asset is the entity referred to in paragraph (a) of the definition of critical defence industry asset</t>
        </is>
      </c>
      <c r="O427" s="11" t="inlineStr">
        <is>
          <t>72 Critical public transport asset (20) The responsible entity for a critical public transport asset is: (a) the entity referred to in paragraph (a) of the definition of critical public transport asset in section 5; or Critical aviation asset (21) The responsible entity for a critical aviation asset is: (a) if the asset is: (i) used in connection with the provision of an air service; and (ii) owned or operated by an aircraft operator; the aircraft operator; or (b) if the asset is: (i) used in connection with the provision of an air service; and (ii) owned or operated by a regulated air cargo agent; the regulated air cargo agent; or (c) if the asset is used by an airport operator in connection with the operation of an airport—the airport operator; or Critical defence industry asset (22) The responsible entity for a critical defence industry asset is: (a) the entity referred to in paragraph (a) of the definition of critical defence industry asset; or</t>
        </is>
      </c>
      <c r="P427" s="12" t="n">
        <v>12</v>
      </c>
    </row>
    <row r="428">
      <c r="A428" t="inlineStr">
        <is>
          <t>Australia</t>
        </is>
      </c>
      <c r="B428" t="inlineStr">
        <is>
          <t>C2026C00213REC01 (Australia - Row 22)</t>
        </is>
      </c>
      <c r="C428" t="inlineStr">
        <is>
          <t>73</t>
        </is>
      </c>
      <c r="D428" s="11" t="inlineStr">
        <is>
          <t>Responsible entities for assets prescribed by rules or critical infrastructure assets</t>
        </is>
      </c>
      <c r="E428" t="inlineStr">
        <is>
          <t>85–86</t>
        </is>
      </c>
      <c r="F428" t="inlineStr">
        <is>
          <t>None</t>
        </is>
      </c>
      <c r="G428" t="inlineStr">
        <is>
          <t>High (explicit)</t>
        </is>
      </c>
      <c r="H428" s="11" t="inlineStr"/>
      <c r="I428" s="11" t="inlineStr">
        <is>
          <t>Special Personal Information</t>
        </is>
      </c>
      <c r="J428" t="inlineStr"/>
      <c r="K428" s="11" t="inlineStr">
        <is>
          <t>This section specifies that the responsible entity for assets prescribed by rules is the entity specified in the rules. It also states that the responsible entity for an asset declared as critical infrastructure under section 51 is the entity specified in the declaration. Additionally, if a critical infrastructure asset is a system of national significance, the responsible entity for the system is the same as for the asset.</t>
        </is>
      </c>
      <c r="L428" s="11" t="inlineStr"/>
      <c r="M428" s="11" t="inlineStr">
        <is>
          <t>• [Must] The responsible entity for an asset prescribed by the rules in relation to the asset for the purposes of paragraph 9(1)(f) is the entity specified in the rules
• [Must] The responsible entity for an asset declared under section 51 to be a critical infrastructure asset is the entity specified in the declaration as the responsible entity for the asset</t>
        </is>
      </c>
      <c r="N428" s="11" t="inlineStr">
        <is>
          <t>• [Must] If a critical infrastructure asset is a system of national significance, the responsible entity for the system of national significance is the responsible entity for the asset</t>
        </is>
      </c>
      <c r="O428" s="11" t="inlineStr">
        <is>
          <t>73 Assets prescribed by the rules (23) The responsible entity for an asset prescribed by the rules in relation to the asset for the purposes of paragraph 9(1)(f) is the entity specified in the rules. Assets declared to be a critical infrastructure asset (24) The responsible entity for an asset declared under section 51 to be a critical infrastructure asset is the entity specified in the declaration as the responsible entity for the asset (see subsection 51(2)). System of national significance (25) If a critical infrastructure asset is a system of national significance, the responsible entity for the system of national significance is the responsible entity for the asset.</t>
        </is>
      </c>
      <c r="P428" s="12" t="n">
        <v>12</v>
      </c>
    </row>
    <row r="429">
      <c r="A429" t="inlineStr">
        <is>
          <t>Australia</t>
        </is>
      </c>
      <c r="B429" t="inlineStr">
        <is>
          <t>C2026C00213REC01 (Australia - Row 22)</t>
        </is>
      </c>
      <c r="C429" t="inlineStr">
        <is>
          <t>74</t>
        </is>
      </c>
      <c r="D429" s="11" t="inlineStr">
        <is>
          <t>Definition of unauthorised access, modification or impairment</t>
        </is>
      </c>
      <c r="E429" t="inlineStr">
        <is>
          <t>86–87</t>
        </is>
      </c>
      <c r="F429" t="inlineStr">
        <is>
          <t>Low</t>
        </is>
      </c>
      <c r="G429" t="inlineStr">
        <is>
          <t>High (explicit)</t>
        </is>
      </c>
      <c r="H429" s="11" t="inlineStr">
        <is>
          <t>Security, Access Control</t>
        </is>
      </c>
      <c r="I429" s="11" t="inlineStr"/>
      <c r="J429" t="inlineStr"/>
      <c r="K429" s="11" t="inlineStr">
        <is>
          <t>This section defines what constitutes unauthorised access, modification, or impairment of computer data or programs. It specifies that such actions are unauthorised if the person is not entitled to cause them, with examples including employees exceeding their authority as employees or agents. It also states that whether the person can be identified is immaterial for determining unauthorised actions.</t>
        </is>
      </c>
      <c r="L429" s="11" t="inlineStr"/>
      <c r="M429" s="11" t="inlineStr">
        <is>
          <t>• [Must] Access to computer data or computer program is unauthorised if the person is not entitled to cause that access
• [Must] Modification of computer data or computer program is unauthorised if the person is not entitled to cause that modification
• [Must] Impairment of electronic communication to or from a computer is unauthorised if the person is not entitled to cause that impairment</t>
        </is>
      </c>
      <c r="N429" s="11" t="inlineStr">
        <is>
          <t>• [Must] Impairment of availability, reliability, security or operation of computer data or computer program is unauthorised if the person is not entitled to cause that impairment
• [Example] A person who is an employee or agent of the responsible entity would exceed their authority as such an employee or agent in causing access, modification or impairment in relation to the asset
• [Condition] It is immaterial whether the person can be identified for determining unauthorised actions</t>
        </is>
      </c>
      <c r="O429" s="11" t="inlineStr">
        <is>
          <t>74 12N Meaning of unauthorised access, modification or impairment (1) For the purposes of this Act: (a) access to: (i) computer data; or (ii) a computer program; or (b) modification of: (i) computer data; or (ii) a computer program; or (c) the impairment of electronic communication to or from a computer; or (d) the impairment of the availability, reliability, security or operation of: (ii) computer data; or (iii) a computer program; by a person is unauthorised if the person is not entitled to cause that access, modification or impairment. (1A) The following is an example of a situation where a person is not entitled to cause access, modification or impairment of a kind mentioned in subsection (1): a person who is an employee or agent of the responsible entity for an asset would exceed the person's authority as such an employee or agent in causing such access, modification or impairment in relation to the asset. (2) For the purposes of subsection (1), it is immaterial whether the person can be identified.</t>
        </is>
      </c>
      <c r="P429" s="12" t="n">
        <v>12</v>
      </c>
    </row>
    <row r="430">
      <c r="A430" t="inlineStr">
        <is>
          <t>Australia</t>
        </is>
      </c>
      <c r="B430" t="inlineStr">
        <is>
          <t>C2026C00213REC01 (Australia - Row 22)</t>
        </is>
      </c>
      <c r="C430" t="inlineStr">
        <is>
          <t>75</t>
        </is>
      </c>
      <c r="D430" s="11" t="inlineStr">
        <is>
          <t>Examples of responding to incidents including cyber security incidents</t>
        </is>
      </c>
      <c r="E430" t="inlineStr">
        <is>
          <t>87–88</t>
        </is>
      </c>
      <c r="F430" t="inlineStr">
        <is>
          <t>Low</t>
        </is>
      </c>
      <c r="G430" t="inlineStr">
        <is>
          <t>High (explicit)</t>
        </is>
      </c>
      <c r="H430" s="11" t="inlineStr">
        <is>
          <t>Incident Reporting, Breach Notification</t>
        </is>
      </c>
      <c r="I430" s="11" t="inlineStr"/>
      <c r="J430" t="inlineStr"/>
      <c r="K430" s="11" t="inlineStr">
        <is>
          <t>This section provides examples of how entities should respond to incidents, including cyber security incidents. It specifies that responses may include preventing imminent incidents, mitigating impacts on critical infrastructure assets, or restoring functionality of affected assets.</t>
        </is>
      </c>
      <c r="L430" s="11" t="inlineStr"/>
      <c r="M430" s="11" t="inlineStr">
        <is>
          <t>• [Example] If the incident is imminent, responding by preventing the incident
• [Example] Mitigating a relevant impact of the incident on a critical infrastructure asset</t>
        </is>
      </c>
      <c r="N430" s="11" t="inlineStr">
        <is>
          <t>• [Example] Mitigating a relevant impact of the incident on a critical infrastructure sector asset
• [Example] Restoring the functionality of a critical infrastructure asset or critical infrastructure sector asset affected by the incident</t>
        </is>
      </c>
      <c r="O430" s="11" t="inlineStr">
        <is>
          <t>75 12P Examples of responding to an incident (including a cyber security incident) The following are examples of responding to an incident (including a cyber security incident): (a) if the incident is imminent—preventing the incident; (b) mitigating a relevant impact of the incident on: (i) a critical infrastructure asset; or (ii) a critical infrastructure sector asset; (c) if a critical infrastructure asset or a critical infrastructure sector asset has been, or is being, affected by the incident—restoring the functionality of the asset.</t>
        </is>
      </c>
      <c r="P430" s="12" t="n">
        <v>12</v>
      </c>
    </row>
    <row r="431">
      <c r="A431" t="inlineStr">
        <is>
          <t>Australia</t>
        </is>
      </c>
      <c r="B431" t="inlineStr">
        <is>
          <t>C2026C00213REC01 (Australia - Row 22)</t>
        </is>
      </c>
      <c r="C431" t="inlineStr">
        <is>
          <t>76</t>
        </is>
      </c>
      <c r="D431" s="11" t="inlineStr">
        <is>
          <t>Application of this Act to entities and activities</t>
        </is>
      </c>
      <c r="E431" t="inlineStr">
        <is>
          <t>88–89</t>
        </is>
      </c>
      <c r="F431" t="inlineStr">
        <is>
          <t>Low</t>
        </is>
      </c>
      <c r="G431" t="inlineStr">
        <is>
          <t>High (explicit)</t>
        </is>
      </c>
      <c r="H431" s="11" t="inlineStr"/>
      <c r="I431" s="11" t="inlineStr">
        <is>
          <t>Special Personal Information</t>
        </is>
      </c>
      <c r="J431" t="inlineStr"/>
      <c r="K431" s="11" t="inlineStr">
        <is>
          <t>This section defines the scope of the Act by specifying which entities and activities are covered. It includes corporations subject to constitutional provisions, entities responsible for assets used in trade with other countries, for defence purposes, in banking, insurance, carriage services, broadcasting, or domain name systems, and aliens as defined by the Constitution.</t>
        </is>
      </c>
      <c r="L431" s="11" t="inlineStr"/>
      <c r="M431" s="11" t="inlineStr">
        <is>
          <t>• [Must] This Act applies to entities that are corporations to which paragraph 51(xx) of the Constitution applies
• [Must] This Act applies to entities that are responsible for assets used in trade with other countries, among the States, between Territories or between a Territory and a State
• [Must] This Act applies to entities that are responsible for assets used for the defence of Australia
• [Must] This Act applies to entities that are responsible for assets used in banking to which paragraph 51(xiii) of the Constitution applies
• [Must] This Act applies to entities that are responsible for assets used in insurance to which paragraph 51(xiv) of the Constitution applies</t>
        </is>
      </c>
      <c r="N431" s="11" t="inlineStr">
        <is>
          <t>• [Must] This Act applies to entities that are responsible for assets used to supply a carriage service
• [Must] This Act applies to entities that are responsible for assets used in connection with broadcasting services
• [Must] This Act applies to entities that are responsible for assets used to administer a domain name system
• [Must] This Act applies to entities that are aliens as defined by paragraph 51(xix) of the Constitution</t>
        </is>
      </c>
      <c r="O431" s="11" t="inlineStr">
        <is>
          <t>76 Division 3—Constitutional provisions and application of this Act 13 Application of this Act (1) This Act applies to the following: (a) an entity that is a corporation to which paragraph 51(xx) of the Constitution applies; (b) an entity, so far as the entity is the responsible entity for, a reporting entity for, a relevant entity for, or an operator of, an asset that is: (i) in a Territory; or (ii) used in the course of, or in relation to, trade or commerce with other countries, among the States, between Territories or between a Territory and a State; or (iii) used for the purposes of the defence of Australia; or (iv) used in the course of, or in relation to, banking to which paragraph 51(xiii) of the Constitution applies; or (v) used in the course of, or in relation to, insurance to which paragraph 51(xiv) of the Constitution applies; or (vi) used to supply a carriage service; or (vii) used in connection with the provision of a broadcasting service; or (viii) used to administer a domain name system; (c) an entity that is an alien (within the meaning of paragraph 51(xix) of the Constitution).</t>
        </is>
      </c>
      <c r="P431" s="12" t="n">
        <v>12</v>
      </c>
    </row>
    <row r="432">
      <c r="A432" t="inlineStr">
        <is>
          <t>Australia</t>
        </is>
      </c>
      <c r="B432" t="inlineStr">
        <is>
          <t>C2026C00213REC01 (Australia - Row 22)</t>
        </is>
      </c>
      <c r="C432" t="inlineStr">
        <is>
          <t>77</t>
        </is>
      </c>
      <c r="D432" s="11" t="inlineStr">
        <is>
          <t>Extraterritorial application of this Act</t>
        </is>
      </c>
      <c r="E432" t="inlineStr">
        <is>
          <t>89–90</t>
        </is>
      </c>
      <c r="F432" t="inlineStr">
        <is>
          <t>None</t>
        </is>
      </c>
      <c r="G432" t="inlineStr">
        <is>
          <t>High (explicit)</t>
        </is>
      </c>
      <c r="H432" s="11" t="inlineStr"/>
      <c r="I432" s="11" t="inlineStr">
        <is>
          <t>Special Personal Information</t>
        </is>
      </c>
      <c r="J432" t="inlineStr"/>
      <c r="K432" s="11" t="inlineStr">
        <is>
          <t>This section states that the Act applies both within and outside Australia, extending to every external Territory. It does not make the Crown liable to be prosecuted for offences under the Act.</t>
        </is>
      </c>
      <c r="L432" s="11" t="inlineStr"/>
      <c r="M432" s="11" t="inlineStr">
        <is>
          <t>• [Must] This Act applies both within and outside Australia</t>
        </is>
      </c>
      <c r="N432" s="11" t="inlineStr">
        <is>
          <t>• [Must] This Act extends to every external Territory</t>
        </is>
      </c>
      <c r="O432" s="11" t="inlineStr">
        <is>
          <t>77 14 Extraterritoriality This Act applies both within and outside Australia. Note: This Act extends to every external Territory.</t>
        </is>
      </c>
      <c r="P432" s="12" t="n">
        <v>12</v>
      </c>
    </row>
    <row r="433">
      <c r="A433" t="inlineStr">
        <is>
          <t>Australia</t>
        </is>
      </c>
      <c r="B433" t="inlineStr">
        <is>
          <t>C2026C00213REC01 (Australia - Row 22)</t>
        </is>
      </c>
      <c r="C433" t="inlineStr">
        <is>
          <t>78</t>
        </is>
      </c>
      <c r="D433" s="11" t="inlineStr">
        <is>
          <t>Critical infrastructure asset register maintenance and reporting</t>
        </is>
      </c>
      <c r="E433" t="inlineStr">
        <is>
          <t>90–91</t>
        </is>
      </c>
      <c r="F433" t="inlineStr">
        <is>
          <t>Medium</t>
        </is>
      </c>
      <c r="G433" t="inlineStr">
        <is>
          <t>High (explicit)</t>
        </is>
      </c>
      <c r="H433" s="11" t="inlineStr">
        <is>
          <t>Data Storage, Data Sharing</t>
        </is>
      </c>
      <c r="I433" s="11" t="inlineStr">
        <is>
          <t>Personal Information</t>
        </is>
      </c>
      <c r="J433" t="inlineStr">
        <is>
          <t>Secretary</t>
        </is>
      </c>
      <c r="K433" s="11" t="inlineStr">
        <is>
          <t>The Secretary must maintain a Register of Critical Infrastructure Assets containing operational and interest/control information from responsible entities and direct interest holders. Reporting entities must provide this information before the end of a grace period or within 30 days after becoming a reporting entity. If an entity dies or is wound up before fulfilling obligations, its executor or liquidator must provide the information. Agents may also fulfill these obligations. The rules may exempt entities from these requirements.</t>
        </is>
      </c>
      <c r="L433" s="11" t="inlineStr">
        <is>
          <t>This section establishes requirements for maintaining a critical infrastructure asset register with specific information types and reporting timelines, relevant for data transfer assessments involving critical infrastructure assets.</t>
        </is>
      </c>
      <c r="M433" s="11" t="inlineStr">
        <is>
          <t>• [Must] The Secretary must keep a Register of Critical Infrastructure Assets containing information in relation to those assets
• [Must] The Register must not be made public
• [Must] The responsible entity for a critical infrastructure asset must give the Secretary operational information in relation to the asset
• [Must] An entity that is a direct interest holder in relation to a critical infrastructure asset must give the Secretary interest and control information in relation to the entity and the asset</t>
        </is>
      </c>
      <c r="N433" s="11" t="inlineStr">
        <is>
          <t>• [Must] If particular events occur in relation to the asset, the relevant reporting entity for the asset must notify the Secretary of the event and provide certain information
• [Must] If an entity required to give notice or information dies or is wound up before doing so, the entity's executor or liquidator must give the notice or information
• [May] An agent may give notice or information for an entity
• [Condition] The rules may provide for exemptions from these requirements</t>
        </is>
      </c>
      <c r="O433" s="11" t="inlineStr">
        <is>
          <t>The Secretary must keep a Register of Critical Infrastructure Assets, containing information in relation to those assets. The Register must not be made public.</t>
        </is>
      </c>
      <c r="P433" s="12" t="n">
        <v>12</v>
      </c>
    </row>
    <row r="434">
      <c r="A434" t="inlineStr">
        <is>
          <t>Australia</t>
        </is>
      </c>
      <c r="B434" t="inlineStr">
        <is>
          <t>C2026C00213REC01 (Australia - Row 22)</t>
        </is>
      </c>
      <c r="C434" t="inlineStr">
        <is>
          <t>79</t>
        </is>
      </c>
      <c r="D434" s="11" t="inlineStr">
        <is>
          <t>Rules consultation for critical infrastructure register</t>
        </is>
      </c>
      <c r="E434" t="inlineStr">
        <is>
          <t>91–92</t>
        </is>
      </c>
      <c r="F434" t="inlineStr">
        <is>
          <t>Low</t>
        </is>
      </c>
      <c r="G434" t="inlineStr">
        <is>
          <t>High (explicit)</t>
        </is>
      </c>
      <c r="H434" s="11" t="inlineStr"/>
      <c r="I434" s="11" t="inlineStr"/>
      <c r="J434" t="inlineStr"/>
      <c r="K434" s="11" t="inlineStr">
        <is>
          <t>This section outlines the scope of rules made under section 18A for the Register of Critical Infrastructure Assets. It specifies that consultation is required for these rules, ensuring transparency and stakeholder input before implementation.</t>
        </is>
      </c>
      <c r="L434" s="11" t="inlineStr">
        <is>
          <t>This section requires consultation for rules affecting the critical infrastructure asset register, which may impact data transfer assessments involving critical infrastructure assets.</t>
        </is>
      </c>
      <c r="M434" s="11" t="inlineStr">
        <is>
          <t>• [Must] This section applies to rules made for the purposes of section 18A</t>
        </is>
      </c>
      <c r="N434" s="11" t="inlineStr"/>
      <c r="O434" s="11" t="inlineStr">
        <is>
          <t>This section applies to rules made for the purposes of section 18A.</t>
        </is>
      </c>
      <c r="P434" s="12" t="n">
        <v>12</v>
      </c>
    </row>
    <row r="435">
      <c r="A435" t="inlineStr">
        <is>
          <t>Australia</t>
        </is>
      </c>
      <c r="B435" t="inlineStr">
        <is>
          <t>C2026C00213REC01 (Australia - Row 22)</t>
        </is>
      </c>
      <c r="C435" t="inlineStr">
        <is>
          <t>80</t>
        </is>
      </c>
      <c r="D435" s="11" t="inlineStr">
        <is>
          <t>Critical infrastructure asset register content and updates</t>
        </is>
      </c>
      <c r="E435" t="inlineStr">
        <is>
          <t>92–93</t>
        </is>
      </c>
      <c r="F435" t="inlineStr">
        <is>
          <t>Low</t>
        </is>
      </c>
      <c r="G435" t="inlineStr">
        <is>
          <t>High (explicit)</t>
        </is>
      </c>
      <c r="H435" s="11" t="inlineStr">
        <is>
          <t>Data Storage, Data Sharing</t>
        </is>
      </c>
      <c r="I435" s="11" t="inlineStr">
        <is>
          <t>Personal Information</t>
        </is>
      </c>
      <c r="J435" t="inlineStr">
        <is>
          <t>Secretary</t>
        </is>
      </c>
      <c r="K435" s="11" t="inlineStr">
        <is>
          <t>The Secretary must maintain a Register of Critical Infrastructure Assets containing operational information, interest and control information, and any corrections or updates made to the information. The Secretary may add new information or correct existing information in the register as needed.</t>
        </is>
      </c>
      <c r="L435" s="11" t="inlineStr">
        <is>
          <t>This section details the content and update mechanisms for the critical infrastructure asset register, relevant for data transfer assessments involving critical infrastructure assets.</t>
        </is>
      </c>
      <c r="M435" s="11" t="inlineStr">
        <is>
          <t>• [Must] The Secretary must keep a Register of Critical Infrastructure Assets, containing: the information obtained by the Secretary under Division 3 (obligation to give information and notify of events); and any information added under section 20; and any corrections or updates of information described in paragraph (a) or (b) that are made under section 21
• [May] The Secretary may add to the Register any of the following that is obtained by the Secretary (other than information obtained under Division 3): operational information in relation to a critical infrastructure asset; interest and control information in relation to a direct interest holder and a critical infrastructure asset</t>
        </is>
      </c>
      <c r="N435" s="11" t="inlineStr">
        <is>
          <t>• [May] The Secretary may correct or update information in the Register</t>
        </is>
      </c>
      <c r="O435" s="11" t="inlineStr">
        <is>
          <t>The Secretary must keep a Register of Critical Infrastructure Assets, containing: (a) the information obtained by the Secretary under Division 3 (obligation to give information and notify of events); and (b) any information added under section 20; and (c) any corrections or updates of information described in paragraph (a) or (b) that are made under section 21.</t>
        </is>
      </c>
      <c r="P435" s="12" t="n">
        <v>12</v>
      </c>
    </row>
    <row r="436">
      <c r="A436" t="inlineStr">
        <is>
          <t>Australia</t>
        </is>
      </c>
      <c r="B436" t="inlineStr">
        <is>
          <t>C2026C00213REC01 (Australia - Row 22)</t>
        </is>
      </c>
      <c r="C436" t="inlineStr">
        <is>
          <t>81</t>
        </is>
      </c>
      <c r="D436" s="11" t="inlineStr">
        <is>
          <t>Initial obligation to provide critical infrastructure information</t>
        </is>
      </c>
      <c r="E436" t="inlineStr">
        <is>
          <t>93–94</t>
        </is>
      </c>
      <c r="F436" t="inlineStr">
        <is>
          <t>Low</t>
        </is>
      </c>
      <c r="G436" t="inlineStr">
        <is>
          <t>High (explicit)</t>
        </is>
      </c>
      <c r="H436" s="11" t="inlineStr">
        <is>
          <t>Data Sharing</t>
        </is>
      </c>
      <c r="I436" s="11" t="inlineStr">
        <is>
          <t>Personal Information</t>
        </is>
      </c>
      <c r="J436" t="inlineStr">
        <is>
          <t>Secretary</t>
        </is>
      </c>
      <c r="K436" s="11" t="inlineStr">
        <is>
          <t>Entities that become reporting entities for critical infrastructure assets must provide initial information to the Secretary within 30 days after becoming a reporting entity or by the end of the grace period for the asset. The information required includes operational information for responsible entities or interest and control information for direct interest holders.</t>
        </is>
      </c>
      <c r="L436" s="11" t="inlineStr">
        <is>
          <t>This section establishes the initial reporting obligations for critical infrastructure assets, relevant for data transfer assessments involving critical infrastructure assets.</t>
        </is>
      </c>
      <c r="M436" s="11" t="inlineStr">
        <is>
          <t>• [Must] The entity must give the Secretary the following information in accordance with subsection (3): if the reporting entity is the responsible entity for the asset— the operational information in relation to the asset; if the reporting entity is a direct interest holder in relation to the asset— the interest and control information in relation to the…
• [Must] The information must be given in the approved form</t>
        </is>
      </c>
      <c r="N436" s="11" t="inlineStr">
        <is>
          <t>• [Must] The information must be given by the later of: the end of the grace period for the asset; the end of 30 days after the day the entity becomes a reporting entity for the asset</t>
        </is>
      </c>
      <c r="O436" s="11" t="inlineStr">
        <is>
          <t>The entity must give the Secretary the following information in accordance with subsection (3): (a) if the reporting entity is the responsible entity for the asset— the operational information in relation to the asset; (b) if the reporting entity is a direct interest holder in relation to the asset— the interest and control information in relation to the entity and the asset.</t>
        </is>
      </c>
      <c r="P436" s="12" t="n">
        <v>12</v>
      </c>
    </row>
    <row r="437">
      <c r="A437" t="inlineStr">
        <is>
          <t>Australia</t>
        </is>
      </c>
      <c r="B437" t="inlineStr">
        <is>
          <t>C2026C00213REC01 (Australia - Row 22)</t>
        </is>
      </c>
      <c r="C437" t="inlineStr">
        <is>
          <t>82</t>
        </is>
      </c>
      <c r="D437" s="11" t="inlineStr">
        <is>
          <t>Ongoing obligation to report critical infrastructure events</t>
        </is>
      </c>
      <c r="E437" t="inlineStr">
        <is>
          <t>94–95</t>
        </is>
      </c>
      <c r="F437" t="inlineStr">
        <is>
          <t>Low</t>
        </is>
      </c>
      <c r="G437" t="inlineStr">
        <is>
          <t>High (explicit)</t>
        </is>
      </c>
      <c r="H437" s="11" t="inlineStr">
        <is>
          <t>Data Sharing</t>
        </is>
      </c>
      <c r="I437" s="11" t="inlineStr">
        <is>
          <t>Personal Information</t>
        </is>
      </c>
      <c r="J437" t="inlineStr">
        <is>
          <t>Secretary</t>
        </is>
      </c>
      <c r="K437" s="11" t="inlineStr">
        <is>
          <t>Reporting entities must notify the Secretary of notifiable events related to critical infrastructure assets within 30 days after the event occurs. The information required varies based on the type of event and the entity involved, including operational information for responsible entities or interest and control information for direct interest holders.</t>
        </is>
      </c>
      <c r="L437" s="11" t="inlineStr">
        <is>
          <t>This section details ongoing reporting obligations for critical infrastructure events, relevant for data transfer assessments involving critical infrastructure assets.</t>
        </is>
      </c>
      <c r="M437" s="11" t="inlineStr">
        <is>
          <t>• [Must] If the reporting entity is required to give information in relation to the event in accordance with subsection (3), the reporting entity for the asset must give the Secretary that information and notice of the event
• [Must] The information must be given in the approved form</t>
        </is>
      </c>
      <c r="N437" s="11" t="inlineStr">
        <is>
          <t>• [Must] The information must be given by the end of 30 days after the event occurs</t>
        </is>
      </c>
      <c r="O437" s="11" t="inlineStr">
        <is>
          <t>The reporting entity for the asset must give the Secretary that information and notice of the event: (a) in the approved form; (b) by the end of 30 days after the event occurs.</t>
        </is>
      </c>
      <c r="P437" s="12" t="n">
        <v>12</v>
      </c>
    </row>
    <row r="438">
      <c r="A438" t="inlineStr">
        <is>
          <t>Australia</t>
        </is>
      </c>
      <c r="B438" t="inlineStr">
        <is>
          <t>C2026C00213REC01 (Australia - Row 22)</t>
        </is>
      </c>
      <c r="C438" t="inlineStr">
        <is>
          <t>84</t>
        </is>
      </c>
      <c r="D438" s="11" t="inlineStr">
        <is>
          <t>Exemptions for information obligations when information cannot be obtained</t>
        </is>
      </c>
      <c r="E438" t="inlineStr">
        <is>
          <t>96–97</t>
        </is>
      </c>
      <c r="F438" t="inlineStr">
        <is>
          <t>Low</t>
        </is>
      </c>
      <c r="G438" t="inlineStr">
        <is>
          <t>High (explicit)</t>
        </is>
      </c>
      <c r="H438" s="11" t="inlineStr"/>
      <c r="I438" s="11" t="inlineStr">
        <is>
          <t>Personal Information</t>
        </is>
      </c>
      <c r="J438" t="inlineStr"/>
      <c r="K438" s="11" t="inlineStr">
        <is>
          <t>This section states that sections 23 and 24 do not apply to information a person is required to provide if they use best endeavours to obtain it but are unable to do so. The person must have made reasonable efforts to obtain the information before it can be exempted. The section specifies that the entity bears an evidential burden if relying on this exemption for civil penalties.</t>
        </is>
      </c>
      <c r="L438" s="11" t="inlineStr">
        <is>
          <t>This section may affect DTIAs by establishing conditions under which information obligations can be exempted when data cannot be obtained, potentially reducing the scope of data transfers where information is unavailable.</t>
        </is>
      </c>
      <c r="M438" s="11" t="inlineStr">
        <is>
          <t>• [Must Not] Section 23 or 24 does not apply to information a person is required to provide if they use best endeavours to obtain it but are unable to obtain it</t>
        </is>
      </c>
      <c r="N438" s="11" t="inlineStr"/>
      <c r="O438" s="11" t="inlineStr">
        <is>
          <t>Section 23 (initial obligation to give information) or 24 (ongoing obligation to give information and notify of events) does not apply in relation to particular information that a person is required to provide under that section if: (a) the person uses the person's best endeavours to obtain the information; (b) the person is not able to obtain the information.</t>
        </is>
      </c>
      <c r="P438" s="12" t="n">
        <v>12</v>
      </c>
    </row>
    <row r="439">
      <c r="A439" t="inlineStr">
        <is>
          <t>Australia</t>
        </is>
      </c>
      <c r="B439" t="inlineStr">
        <is>
          <t>C2026C00213REC01 (Australia - Row 22)</t>
        </is>
      </c>
      <c r="C439" t="inlineStr">
        <is>
          <t>85</t>
        </is>
      </c>
      <c r="D439" s="11" t="inlineStr">
        <is>
          <t>Rules may exempt entities from notice or information requirements</t>
        </is>
      </c>
      <c r="E439" t="inlineStr">
        <is>
          <t>97–98</t>
        </is>
      </c>
      <c r="F439" t="inlineStr">
        <is>
          <t>Low</t>
        </is>
      </c>
      <c r="G439" t="inlineStr">
        <is>
          <t>High (explicit)</t>
        </is>
      </c>
      <c r="H439" s="11" t="inlineStr"/>
      <c r="I439" s="11" t="inlineStr">
        <is>
          <t>Personal Information</t>
        </is>
      </c>
      <c r="J439" t="inlineStr"/>
      <c r="K439" s="11" t="inlineStr">
        <is>
          <t>This section allows rules to exempt specific entities or classes of entities from the notice or information requirements outlined in Division 2. The exemptions can apply generally or in specific circumstances. Entities seeking to rely on these exemptions must bear an evidential burden if they are subject to civil penalties.</t>
        </is>
      </c>
      <c r="L439" s="11" t="inlineStr">
        <is>
          <t>This section may impact DTIAs by allowing exemptions for entities that cannot comply with notice or information requirements, potentially affecting data transfer obligations when entities are exempted.</t>
        </is>
      </c>
      <c r="M439" s="11" t="inlineStr">
        <is>
          <t>• [May] Rules may provide that this Division, or specified provisions of this Division, do not apply in relation to any entity, specified classes of entities, or specified entities</t>
        </is>
      </c>
      <c r="N439" s="11" t="inlineStr"/>
      <c r="O439" s="11" t="inlineStr">
        <is>
          <t>The rules may provide that this Division, or specified provisions of this Division, do not apply in relation to: (a) any entity; (b) specified classes of entities; (c) specified entities; either generally or in specified circumstances.</t>
        </is>
      </c>
      <c r="P439" s="12" t="n">
        <v>12</v>
      </c>
    </row>
    <row r="440">
      <c r="A440" t="inlineStr">
        <is>
          <t>Australia</t>
        </is>
      </c>
      <c r="B440" t="inlineStr">
        <is>
          <t>C2026C00213REC01 (Australia - Row 22)</t>
        </is>
      </c>
      <c r="C440" t="inlineStr">
        <is>
          <t>86</t>
        </is>
      </c>
      <c r="D440" s="11" t="inlineStr">
        <is>
          <t>Notice or information requirements for deceased individuals and liquidated entities</t>
        </is>
      </c>
      <c r="E440" t="inlineStr">
        <is>
          <t>98–99</t>
        </is>
      </c>
      <c r="F440" t="inlineStr">
        <is>
          <t>Low</t>
        </is>
      </c>
      <c r="G440" t="inlineStr">
        <is>
          <t>High (explicit)</t>
        </is>
      </c>
      <c r="H440" s="11" t="inlineStr"/>
      <c r="I440" s="11" t="inlineStr">
        <is>
          <t>Personal Information</t>
        </is>
      </c>
      <c r="J440" t="inlineStr"/>
      <c r="K440" s="11" t="inlineStr">
        <is>
          <t>This section specifies that if an individual required to give notice or information under sections 23 or 24 dies before compliance, their executor or administrator must provide the notice. Similarly, if a corporation enters voluntary administration, liquidation, or receivership and cannot provide the notice, their administrator, liquidator, or receiver must fulfill the obligation.</t>
        </is>
      </c>
      <c r="L440" s="11" t="inlineStr">
        <is>
          <t>This section may affect DTIAs by clarifying who is responsible for data transfer obligations when an entity ceases operations, ensuring continuity of data compliance.</t>
        </is>
      </c>
      <c r="M440" s="11" t="inlineStr">
        <is>
          <t>• [Must] If an individual required by section 23 or 24 to give notice or information dies before compliance, the executor or administrator must provide the notice</t>
        </is>
      </c>
      <c r="N440" s="11" t="inlineStr">
        <is>
          <t>• [Must] If a corporation enters voluntary administration, liquidation, or receivership and cannot provide notice, the administrator, liquidator, or receiver must fulfill the obligation</t>
        </is>
      </c>
      <c r="O440" s="11" t="inlineStr">
        <is>
          <t>If an individual, who is required by section 23 or 24 to give notice or information, dies before giving the notice or information, the executor or administrator of the individual's estate must give the notice or information in accordance with that section.</t>
        </is>
      </c>
      <c r="P440" s="12" t="n">
        <v>12</v>
      </c>
    </row>
    <row r="441">
      <c r="A441" t="inlineStr">
        <is>
          <t>Australia</t>
        </is>
      </c>
      <c r="B441" t="inlineStr">
        <is>
          <t>C2026C00213REC01 (Australia - Row 22)</t>
        </is>
      </c>
      <c r="C441" t="inlineStr">
        <is>
          <t>87</t>
        </is>
      </c>
      <c r="D441" s="11" t="inlineStr">
        <is>
          <t>Critical infrastructure risk management program requirements</t>
        </is>
      </c>
      <c r="E441" t="inlineStr">
        <is>
          <t>99–101</t>
        </is>
      </c>
      <c r="F441" t="inlineStr">
        <is>
          <t>High</t>
        </is>
      </c>
      <c r="G441" t="inlineStr">
        <is>
          <t>High (explicit)</t>
        </is>
      </c>
      <c r="H441" s="11" t="inlineStr"/>
      <c r="I441" s="11" t="inlineStr"/>
      <c r="J441" t="inlineStr"/>
      <c r="K441" s="11" t="inlineStr">
        <is>
          <t>This section requires responsible entities for critical infrastructure assets to maintain a critical infrastructure risk management program that identifies hazards, minimizes risks, and mitigates impacts. The program must be reviewed regularly and updated to ensure it remains effective. Annual reports must be submitted to the relevant regulator or the Secretary, with approval from the entity's governing body if applicable.</t>
        </is>
      </c>
      <c r="L441" s="11" t="inlineStr">
        <is>
          <t>This section is critical for DTIAs as it mandates risk management programs for critical infrastructure assets, requiring assessments of hazards and impacts that could affect data transfers across borders or with third parties.</t>
        </is>
      </c>
      <c r="M441" s="11" t="inlineStr">
        <is>
          <t>• [Must] Responsible entity must have and comply with a critical infrastructure risk management program
• [Must] Program must identify hazards where material risk could have relevant impact on assets
• [Must] Program must minimize or eliminate material risks of hazards occurring</t>
        </is>
      </c>
      <c r="N441" s="11" t="inlineStr">
        <is>
          <t>• [Must] Program must mitigate relevant impacts of hazards on assets
• [Must] Entity must submit annual report on program compliance
• [Must] Annual report must be approved by governing body if applicable</t>
        </is>
      </c>
      <c r="O441" s="11" t="inlineStr">
        <is>
          <t>The responsible entity for one or more critical infrastructure assets must have, and comply with, a critical infrastructure risk management program (unless an exemption applies).</t>
        </is>
      </c>
      <c r="P441" s="12" t="n">
        <v>12</v>
      </c>
    </row>
    <row r="442">
      <c r="A442" t="inlineStr">
        <is>
          <t>Australia</t>
        </is>
      </c>
      <c r="B442" t="inlineStr">
        <is>
          <t>C2026C00213REC01 (Australia - Row 22)</t>
        </is>
      </c>
      <c r="C442" t="inlineStr">
        <is>
          <t>89</t>
        </is>
      </c>
      <c r="D442" s="11" t="inlineStr">
        <is>
          <t>Exemptions for critical infrastructure risk management programs</t>
        </is>
      </c>
      <c r="E442" t="inlineStr">
        <is>
          <t>101–103</t>
        </is>
      </c>
      <c r="F442" t="inlineStr">
        <is>
          <t>High</t>
        </is>
      </c>
      <c r="G442" t="inlineStr">
        <is>
          <t>High (explicit)</t>
        </is>
      </c>
      <c r="H442" s="11" t="inlineStr"/>
      <c r="I442" s="11" t="inlineStr"/>
      <c r="J442" t="inlineStr"/>
      <c r="K442" s="11" t="inlineStr">
        <is>
          <t>This section outlines exemptions where critical infrastructure risk management programs do not apply to certain assets. Exemptions include entities with hosting certification (strategic level) under the Commonwealth's hosting certification framework, entities covered by specific laws, and assets covered by specified provisions of Commonwealth, State, or Territory laws.</t>
        </is>
      </c>
      <c r="L442" s="11" t="inlineStr">
        <is>
          <t>This section may impact DTIAs by exempting certain critical infrastructure assets from risk management requirements, potentially affecting data transfer obligations for those assets.</t>
        </is>
      </c>
      <c r="M442" s="11" t="inlineStr">
        <is>
          <t>• [Must Not] Critical infrastructure risk management program does not apply if entity holds strategic hosting certification under Commonwealth scheme</t>
        </is>
      </c>
      <c r="N442" s="11" t="inlineStr">
        <is>
          <t>• [Must Not] Critical infrastructure risk management program does not apply if entity is covered by specific laws of Commonwealth, State, or Territory</t>
        </is>
      </c>
      <c r="O442" s="11" t="inlineStr">
        <is>
          <t>If: (a) an entity holds a certificate of hosting certification (strategic level) that relates to one or more services; (b) the certificate was issued under the scheme that is: (i) administered by the Commonwealth; (ii) known as the hosting certification framework; (c) a critical infrastructure asset, or a part of a critical infrastructure asset, is used in connection with the provision of any of those services; (d) the entity is the responsible entity for the asset; this Part does not apply to the asset.</t>
        </is>
      </c>
      <c r="P442" s="12" t="n">
        <v>12</v>
      </c>
    </row>
    <row r="443">
      <c r="A443" t="inlineStr">
        <is>
          <t>Australia</t>
        </is>
      </c>
      <c r="B443" t="inlineStr">
        <is>
          <t>C2026C00213REC01 (Australia - Row 22)</t>
        </is>
      </c>
      <c r="C443" t="inlineStr">
        <is>
          <t>93</t>
        </is>
      </c>
      <c r="D443" s="11" t="inlineStr">
        <is>
          <t>Critical infrastructure risk management program requirements</t>
        </is>
      </c>
      <c r="E443" t="inlineStr">
        <is>
          <t>105–107</t>
        </is>
      </c>
      <c r="F443" t="inlineStr">
        <is>
          <t>High</t>
        </is>
      </c>
      <c r="G443" t="inlineStr">
        <is>
          <t>High (explicit)</t>
        </is>
      </c>
      <c r="H443" s="11" t="inlineStr"/>
      <c r="I443" s="11" t="inlineStr">
        <is>
          <t>Special Personal Information</t>
        </is>
      </c>
      <c r="J443" t="inlineStr">
        <is>
          <t>Minister</t>
        </is>
      </c>
      <c r="K443" s="11" t="inlineStr">
        <is>
          <t>A critical infrastructure risk management program must be a written program that applies to a responsible entity for critical infrastructure assets. It must identify material risks from hazards that could impact assets, minimize or eliminate those risks where reasonably practicable, and mitigate relevant impacts where reasonably practicable. The program may relate to specific assets and must comply with rules specifying background checks under the AusCheck scheme.</t>
        </is>
      </c>
      <c r="L443" s="11" t="inlineStr">
        <is>
          <t>This section defines the structure of critical infrastructure risk management programs that must identify and address material risks to assets. It establishes requirements for risk identification, mitigation, and background checks relevant to critical infrastructure, which may impact data transfer and processing across borders for sensitive entities.</t>
        </is>
      </c>
      <c r="M443" s="11" t="inlineStr">
        <is>
          <t>• [Must] A critical infrastructure risk management program is a written program that applies to a particular entity that is the responsible entity for one or more critical infrastructure assets
• [Must] The program must identify each hazard where there is a material risk that the occurrence of the hazard could have a relevant impact on the asset
• [Must] The program must minimize or eliminate any material risk of such a hazard occurring where reasonably practicable
• [Must] The program must mitigate the relevant impact of such a hazard on the asset where reasonably practicable
• [May] The program may relate to one or more specified critical infrastructure assets</t>
        </is>
      </c>
      <c r="N443" s="11" t="inlineStr">
        <is>
          <t>• [May] Rules may require background checks under the AusCheck scheme
• [Must] Background checks must assess information relating to matters specified in the AusCheck Act 2007
• [Must] If background checks assess information related to paragraph 5(a) of the AusCheck Act 2007, the assessment criteria must follow rules
• [Must] If background checks assess information related to paragraph 5(d) of the AusCheck Act 2007, the assessment must be electronic identity verification, in-person verification, or both</t>
        </is>
      </c>
      <c r="O443" s="11" t="inlineStr">
        <is>
          <t>A critical infrastructure risk management program is a written program: (a) that applies to a particular entity that is the responsible entity for one or more critical infrastructure assets; and (b) the purpose of which is to do the following for each of those assets: (i) identify each hazard where there is a material risk that the occurrence of the hazard could have a relevant impact on the asset; (ii) so far as it is reasonably practicable to do so—minimise or eliminate any material risk of such a hazard occurring; (iii) so far as it is reasonably practicable to do so—mitigate the relevant impact of such a hazard on the asset; and in the rules.</t>
        </is>
      </c>
      <c r="P443" s="12" t="n">
        <v>12</v>
      </c>
    </row>
    <row r="444">
      <c r="A444" t="inlineStr">
        <is>
          <t>Australia</t>
        </is>
      </c>
      <c r="B444" t="inlineStr">
        <is>
          <t>C2026C00213REC01 (Australia - Row 22)</t>
        </is>
      </c>
      <c r="C444" t="inlineStr">
        <is>
          <t>95</t>
        </is>
      </c>
      <c r="D444" s="11" t="inlineStr">
        <is>
          <t>Critical infrastructure risk management program variations</t>
        </is>
      </c>
      <c r="E444" t="inlineStr">
        <is>
          <t>107–109</t>
        </is>
      </c>
      <c r="F444" t="inlineStr">
        <is>
          <t>High</t>
        </is>
      </c>
      <c r="G444" t="inlineStr">
        <is>
          <t>High (explicit)</t>
        </is>
      </c>
      <c r="H444" s="11" t="inlineStr"/>
      <c r="I444" s="11" t="inlineStr">
        <is>
          <t>Special Personal Information</t>
        </is>
      </c>
      <c r="J444" t="inlineStr"/>
      <c r="K444" s="11" t="inlineStr">
        <is>
          <t>Rules may specify that certain actions constitute minimization or elimination of material risks, or mitigation of relevant impacts on critical infrastructure assets. This section allows for the rules to define what constitutes effective risk management actions without limiting the scope of the program.</t>
        </is>
      </c>
      <c r="L444" s="11" t="inlineStr">
        <is>
          <t>This section enables rules to define what constitutes effective risk management actions, which may impact how data transfers and processing are structured for critical infrastructure entities. It provides flexibility in defining risk mitigation without altering the core requirements.</t>
        </is>
      </c>
      <c r="M444" s="11" t="inlineStr">
        <is>
          <t>• [May] Rules may provide that a specified risk is taken to be a material risk for the purposes of this section
• [May] Rules may provide that taking specified action minimizes or eliminates material risks to assets</t>
        </is>
      </c>
      <c r="N444" s="11" t="inlineStr">
        <is>
          <t>• [May] Rules may provide that taking specified action mitigates relevant impacts of hazards on assets</t>
        </is>
      </c>
      <c r="O444" s="11" t="inlineStr">
        <is>
          <t>The rules may provide that the taking of specified action in relation to a critical infrastructure asset is taken to be action that minimises or eliminates any material risk that the occurrence of a specified hazard could have a relevant impact on the asset.</t>
        </is>
      </c>
      <c r="P444" s="12" t="n">
        <v>12</v>
      </c>
    </row>
    <row r="445">
      <c r="A445" t="inlineStr">
        <is>
          <t>Australia</t>
        </is>
      </c>
      <c r="B445" t="inlineStr">
        <is>
          <t>C2026C00213REC01 (Australia - Row 22)</t>
        </is>
      </c>
      <c r="C445" t="inlineStr">
        <is>
          <t>97</t>
        </is>
      </c>
      <c r="D445" s="11" t="inlineStr">
        <is>
          <t>Critical infrastructure risk management program direction process</t>
        </is>
      </c>
      <c r="E445" t="inlineStr">
        <is>
          <t>109–111</t>
        </is>
      </c>
      <c r="F445" t="inlineStr">
        <is>
          <t>High</t>
        </is>
      </c>
      <c r="G445" t="inlineStr">
        <is>
          <t>High (explicit)</t>
        </is>
      </c>
      <c r="H445" s="11" t="inlineStr"/>
      <c r="I445" s="11" t="inlineStr">
        <is>
          <t>Special Personal Information</t>
        </is>
      </c>
      <c r="J445" t="inlineStr">
        <is>
          <t>Relevant official</t>
        </is>
      </c>
      <c r="K445" s="11" t="inlineStr">
        <is>
          <t>A relevant official may direct a responsible entity to vary its critical infrastructure risk management program if serious deficiencies exist. The direction must specify deficiencies, require program changes, and set a minimum 14-day period for compliance. The entity must comply with the direction to address the deficiencies.</t>
        </is>
      </c>
      <c r="L445" s="11" t="inlineStr">
        <is>
          <t>This section establishes a formal process for addressing critical infrastructure risks through directed program variations, which may impact data handling and transfer practices for entities managing critical infrastructure. It requires specific actions to mitigate risks within a defined timeframe.</t>
        </is>
      </c>
      <c r="M445" s="11" t="inlineStr">
        <is>
          <t>• [May] A relevant official may give a written direction to vary the program if serious deficiencies exist
• [Must] The direction must specify serious deficiencies</t>
        </is>
      </c>
      <c r="N445" s="11" t="inlineStr">
        <is>
          <t>• [Must] The direction must require the entity to vary the program to address deficiencies
• [Must] The direction must specify a period of at least 14 days for program variation</t>
        </is>
      </c>
      <c r="O445" s="11" t="inlineStr">
        <is>
          <t>A relevant official may give the responsible entity for one or more critical infrastructure assets a written direction to vary the entity's critical infrastructure risk management program if the relevant official is satisfied that there are one or more serious deficiencies with the program.</t>
        </is>
      </c>
      <c r="P445" s="12" t="n">
        <v>12</v>
      </c>
    </row>
    <row r="446">
      <c r="A446" t="inlineStr">
        <is>
          <t>Australia</t>
        </is>
      </c>
      <c r="B446" t="inlineStr">
        <is>
          <t>C2026C00213REC01 (Australia - Row 22)</t>
        </is>
      </c>
      <c r="C446" t="inlineStr">
        <is>
          <t>99</t>
        </is>
      </c>
      <c r="D446" s="11" t="inlineStr">
        <is>
          <t>Critical infrastructure risk management program review process</t>
        </is>
      </c>
      <c r="E446" t="inlineStr">
        <is>
          <t>111–113</t>
        </is>
      </c>
      <c r="F446" t="inlineStr">
        <is>
          <t>High</t>
        </is>
      </c>
      <c r="G446" t="inlineStr">
        <is>
          <t>High (explicit)</t>
        </is>
      </c>
      <c r="H446" s="11" t="inlineStr"/>
      <c r="I446" s="11" t="inlineStr">
        <is>
          <t>Special Personal Information</t>
        </is>
      </c>
      <c r="J446" t="inlineStr"/>
      <c r="K446" s="11" t="inlineStr">
        <is>
          <t>The responsible entity must consider matters specified in rules when adopting or varying critical infrastructure risk management programs. Rules may relate to specific assets and the entity must have regard to these matters without limitation. This section ensures ongoing compliance with evolving risk management standards.</t>
        </is>
      </c>
      <c r="L446" s="11" t="inlineStr">
        <is>
          <t>This section ensures that entities review and adjust their critical infrastructure risk management programs based on specified rules, which may impact data handling practices for sensitive information. It provides a framework for continuous improvement in risk management.</t>
        </is>
      </c>
      <c r="M446" s="11" t="inlineStr">
        <is>
          <t>• [Must] The entity must have regard to matters specified in rules when adopting a program
• [Must] The entity must have regard to matters specified in rules when reviewing the program</t>
        </is>
      </c>
      <c r="N446" s="11" t="inlineStr">
        <is>
          <t>• [Must] The entity must have regard to matters specified in rules when varying the program</t>
        </is>
      </c>
      <c r="O446" s="11" t="inlineStr">
        <is>
          <t>If an entity is the responsible entity for one or more critical infrastructure assets, then, in deciding whether to adopt a critical infrastructure risk management program, the entity must have regard to such matters (if any) as are set out in the rules.</t>
        </is>
      </c>
      <c r="P446" s="12" t="n">
        <v>12</v>
      </c>
    </row>
    <row r="447">
      <c r="A447" t="inlineStr">
        <is>
          <t>Australia</t>
        </is>
      </c>
      <c r="B447" t="inlineStr">
        <is>
          <t>C2026C00213REC01 (Australia - Row 22)</t>
        </is>
      </c>
      <c r="C447" t="inlineStr">
        <is>
          <t>101</t>
        </is>
      </c>
      <c r="D447" s="11" t="inlineStr">
        <is>
          <t>Rules review process for critical infrastructure</t>
        </is>
      </c>
      <c r="E447" t="inlineStr">
        <is>
          <t>113–115</t>
        </is>
      </c>
      <c r="F447" t="inlineStr">
        <is>
          <t>High</t>
        </is>
      </c>
      <c r="G447" t="inlineStr">
        <is>
          <t>High (explicit)</t>
        </is>
      </c>
      <c r="H447" s="11" t="inlineStr"/>
      <c r="I447" s="11" t="inlineStr">
        <is>
          <t>Special Personal Information</t>
        </is>
      </c>
      <c r="J447" t="inlineStr">
        <is>
          <t>Secretary</t>
        </is>
      </c>
      <c r="K447" s="11" t="inlineStr">
        <is>
          <t>The Secretary must review rules or amendments related to critical infrastructure risk management programs. The review must include assessing effectiveness, implications, and potential amendments. The Secretary must provide a report and findings to the Minister within 60 days, who then tables the findings in Parliament within 15 sitting days.</t>
        </is>
      </c>
      <c r="L447" s="11" t="inlineStr">
        <is>
          <t>This section mandates a review process for rules affecting critical infrastructure risk management, ensuring that data handling and transfer practices remain aligned with evolving security standards and regulatory requirements.</t>
        </is>
      </c>
      <c r="M447" s="11" t="inlineStr">
        <is>
          <t>• [Must] The Secretary must review the operation, effectiveness, and implications of rules
• [Must] The Secretary must review the operation, effectiveness, and implications of amendments
• [Must] The Secretary must consider whether amendments should be made</t>
        </is>
      </c>
      <c r="N447" s="11" t="inlineStr">
        <is>
          <t>• [Must] The Secretary must provide a report of the review and a statement of findings
• [Must] The Minister must table the statement of findings in each House of Parliament within 15 sitting days</t>
        </is>
      </c>
      <c r="O447" s="11" t="inlineStr">
        <is>
          <t>The Secretary must: (a) if paragraph (1)(a) applies—review the operation, effectiveness and implications of the rules; and (b) if paragraph (1)(b) applies—review the operation, effectiveness and implications of the amendments; and (c) without limiting paragraph (a) or (b), consider whether any amendments should be made; and (d) give the Minister: (i) a report of the review; and (ii) a statement setting out the Secretary's findings.</t>
        </is>
      </c>
      <c r="P447" s="12" t="n">
        <v>12</v>
      </c>
    </row>
    <row r="448">
      <c r="A448" t="inlineStr">
        <is>
          <t>Australia</t>
        </is>
      </c>
      <c r="B448" t="inlineStr">
        <is>
          <t>C2026C00213REC01 (Australia - Row 22)</t>
        </is>
      </c>
      <c r="C448" t="inlineStr">
        <is>
          <t>103</t>
        </is>
      </c>
      <c r="D448" s="11" t="inlineStr">
        <is>
          <t>Relevant documents for critical infrastructure cybersecurity</t>
        </is>
      </c>
      <c r="E448" t="inlineStr">
        <is>
          <t>115–117</t>
        </is>
      </c>
      <c r="F448" t="inlineStr">
        <is>
          <t>High</t>
        </is>
      </c>
      <c r="G448" t="inlineStr">
        <is>
          <t>High (explicit)</t>
        </is>
      </c>
      <c r="H448" s="11" t="inlineStr"/>
      <c r="I448" s="11" t="inlineStr">
        <is>
          <t>Special Personal Information</t>
        </is>
      </c>
      <c r="J448" t="inlineStr"/>
      <c r="K448" s="11" t="inlineStr">
        <is>
          <t>Rules may incorporate relevant documents into critical infrastructure risk management programs. These documents include cybersecurity frameworks from Australian and international sources, such as the Essential Eight Maturity Model, Framework for Improving Critical Infrastructure Cybersecurity, Cybersecurity Capability Maturity Model, and others. The rules may specify additional documents.</t>
        </is>
      </c>
      <c r="L448" s="11" t="inlineStr">
        <is>
          <t>This section allows critical infrastructure entities to adopt standardized cybersecurity frameworks from international and Australian sources, which may impact data transfer and processing practices by providing specific cybersecurity requirements.</t>
        </is>
      </c>
      <c r="M448" s="11" t="inlineStr">
        <is>
          <t>• [May] Rules may incorporate relevant documents into critical infrastructure risk management programs
• [May] Relevant documents include the Essential Eight Maturity Model published by the Australian Signals Directorate
• [May] Relevant documents include the Framework for Improving Critical Infrastructure Cybersecurity published by the National Institute of Standards and Technology of the United States of America</t>
        </is>
      </c>
      <c r="N448" s="11" t="inlineStr">
        <is>
          <t>• [May] Relevant documents include the Cybersecurity Capability Maturity Model published by the Department of Energy of the United States of America
• [May] Relevant documents include The 2020-21 AESCSF Framework Core published by Australian Energy Market Operator Limited
• [May] Relevant documents include Cyber Supply Chain Risk Management published by the Australian Signals Directorate</t>
        </is>
      </c>
      <c r="O448" s="11" t="inlineStr">
        <is>
          <t>For the purposes of this section, relevant document means: (a) the document titled Essential Eight Maturity Model and published by the Australian Signals Directorate; or (b) the document titled Framework for Improving Critical Infrastructure Cybersecurity and published by the National Institute of Standards and Technology of the United States of America; or (c) the document titled Cybersecurity Capability Maturity Model and published by the Department of Energy of the United States of America; or (d) the document titled The 2.020-21 AESCSF Framework Core and published by Australian Energy Market Operator Limited (ACN 072 010 327); or (e) the document titled Cyber Supply Chain Risk Management and published by the Australian Signals Directorate; or (f) a document specified in the rules.</t>
        </is>
      </c>
      <c r="P448" s="12" t="n">
        <v>12</v>
      </c>
    </row>
    <row r="449">
      <c r="A449" t="inlineStr">
        <is>
          <t>Australia</t>
        </is>
      </c>
      <c r="B449" t="inlineStr">
        <is>
          <t>C2026C00213REC01 (Australia - Row 22)</t>
        </is>
      </c>
      <c r="C449" t="inlineStr">
        <is>
          <t>105</t>
        </is>
      </c>
      <c r="D449" s="11" t="inlineStr">
        <is>
          <t>Disallowance of rules under Legislation Act 2003</t>
        </is>
      </c>
      <c r="E449" t="inlineStr">
        <is>
          <t>117–118</t>
        </is>
      </c>
      <c r="F449" t="inlineStr">
        <is>
          <t>None</t>
        </is>
      </c>
      <c r="G449" t="inlineStr">
        <is>
          <t>High (explicit)</t>
        </is>
      </c>
      <c r="H449" s="11" t="inlineStr"/>
      <c r="I449" s="11" t="inlineStr"/>
      <c r="J449" t="inlineStr"/>
      <c r="K449" s="11" t="inlineStr">
        <is>
          <t>This section states that rules are treated as disallowed, and subsection (3) does not apply to them. It explicitly states that Section 42 of the Legislation Act 2003 does not apply to the rules. The section clarifies that the 15-day notice periods mentioned are consistent with those in the Legislation Act 2003.</t>
        </is>
      </c>
      <c r="L449" s="11" t="inlineStr"/>
      <c r="M449" s="11" t="inlineStr">
        <is>
          <t>• [Must] Rules are treated as disallowed
• [Must] Subsection (3) does not apply to the rules</t>
        </is>
      </c>
      <c r="N449" s="11" t="inlineStr">
        <is>
          <t>• [Must] Section 42 of the Legislation Act 2003 does not apply to the rules</t>
        </is>
      </c>
      <c r="O449" s="11" t="inlineStr">
        <is>
          <t>the rules are then taken to have been disallowed, and subsection (3) does not apply to the rules. Section 42 (disallowance) of the Legislation Act 2003 does not apply to the rules.</t>
        </is>
      </c>
      <c r="P449" s="12" t="n">
        <v>12</v>
      </c>
    </row>
    <row r="450">
      <c r="A450" t="inlineStr">
        <is>
          <t>Australia</t>
        </is>
      </c>
      <c r="B450" t="inlineStr">
        <is>
          <t>C2026C00213REC01 (Australia - Row 22)</t>
        </is>
      </c>
      <c r="C450" t="inlineStr">
        <is>
          <t>106</t>
        </is>
      </c>
      <c r="D450" s="11" t="inlineStr">
        <is>
          <t>Annual reporting obligations for critical infrastructure assets</t>
        </is>
      </c>
      <c r="E450" t="inlineStr">
        <is>
          <t>118–119</t>
        </is>
      </c>
      <c r="F450" t="inlineStr">
        <is>
          <t>Low</t>
        </is>
      </c>
      <c r="G450" t="inlineStr">
        <is>
          <t>High (explicit)</t>
        </is>
      </c>
      <c r="H450" s="11" t="inlineStr"/>
      <c r="I450" s="11" t="inlineStr"/>
      <c r="J450" t="inlineStr"/>
      <c r="K450" s="11" t="inlineStr">
        <is>
          <t>This section requires entities to provide an annual report to the relevant Commonwealth regulator or the Secretary within 90 days after the financial year ends. The report must detail why assets are covered under specific subsections and include statements on hazards with significant impacts. If the entity has a governing body, the report must be approved by that body.</t>
        </is>
      </c>
      <c r="L450" s="11" t="inlineStr"/>
      <c r="M450" s="11" t="inlineStr">
        <is>
          <t>• [Must] Entity must give annual report to relevant Commonwealth regulator or Secretary within 90 days after financial year ends
• [Must] Report must set out reason why assets are covered under subsections 30AB(4), (5), or (6)
• [Must] Report must include statement on hazards with significant impacts</t>
        </is>
      </c>
      <c r="N450" s="11" t="inlineStr">
        <is>
          <t>• [Must] Report must be in approved form
• [Must] Report must be approved by governing body if entity has one</t>
        </is>
      </c>
      <c r="O450" s="11" t="inlineStr">
        <is>
          <t>A responsible entity must give an annual report relating to certain assets that are not covered by a critical infrastructure risk management program. If the entity has a board, council or other governing body, the annual report must be approved by the board, council or other governing body.</t>
        </is>
      </c>
      <c r="P450" s="12" t="n">
        <v>12</v>
      </c>
    </row>
    <row r="451">
      <c r="A451" t="inlineStr">
        <is>
          <t>Australia</t>
        </is>
      </c>
      <c r="B451" t="inlineStr">
        <is>
          <t>C2026C00213REC01 (Australia - Row 22)</t>
        </is>
      </c>
      <c r="C451" t="inlineStr">
        <is>
          <t>107</t>
        </is>
      </c>
      <c r="D451" s="11" t="inlineStr">
        <is>
          <t>Civil penalty exemption for reports</t>
        </is>
      </c>
      <c r="E451" t="inlineStr">
        <is>
          <t>119–121</t>
        </is>
      </c>
      <c r="F451" t="inlineStr">
        <is>
          <t>None</t>
        </is>
      </c>
      <c r="G451" t="inlineStr">
        <is>
          <t>High (explicit)</t>
        </is>
      </c>
      <c r="H451" s="11" t="inlineStr"/>
      <c r="I451" s="11" t="inlineStr"/>
      <c r="J451" t="inlineStr"/>
      <c r="K451" s="11" t="inlineStr">
        <is>
          <t>This section states that a report given under subsection (2) is not admissible in evidence against the entity in civil proceedings related to a civil penalty provision of the Act. It clarifies that the report must include specific details about hazards and their impacts.</t>
        </is>
      </c>
      <c r="L451" s="11" t="inlineStr"/>
      <c r="M451" s="11" t="inlineStr">
        <is>
          <t>• [Must] Report given under subsection (2) is not admissible in evidence against entity in civil proceedings</t>
        </is>
      </c>
      <c r="N451" s="11" t="inlineStr"/>
      <c r="O451" s="11" t="inlineStr">
        <is>
          <t>A report given by an entity under subsection (2) is not admissible in evidence against the entity in civil proceedings relating to a contravention of a civil penalty provision of this Act.</t>
        </is>
      </c>
      <c r="P451" s="12" t="n">
        <v>12</v>
      </c>
    </row>
    <row r="452">
      <c r="A452" t="inlineStr">
        <is>
          <t>Australia</t>
        </is>
      </c>
      <c r="B452" t="inlineStr">
        <is>
          <t>C2026C00213REC01 (Australia - Row 22)</t>
        </is>
      </c>
      <c r="C452" t="inlineStr">
        <is>
          <t>109</t>
        </is>
      </c>
      <c r="D452" s="11" t="inlineStr">
        <is>
          <t>Consultation procedures for rules</t>
        </is>
      </c>
      <c r="E452" t="inlineStr">
        <is>
          <t>121–123</t>
        </is>
      </c>
      <c r="F452" t="inlineStr">
        <is>
          <t>None</t>
        </is>
      </c>
      <c r="G452" t="inlineStr">
        <is>
          <t>High (explicit)</t>
        </is>
      </c>
      <c r="H452" s="11" t="inlineStr"/>
      <c r="I452" s="11" t="inlineStr"/>
      <c r="J452" t="inlineStr"/>
      <c r="K452" s="11" t="inlineStr">
        <is>
          <t>This section outlines the consultation process for rules, requiring the Minister to provide draft rules or amendments to entities that are responsible for specified assets. If an entity submits a response within the specified period, the Minister must provide a written statement of their response.</t>
        </is>
      </c>
      <c r="L452" s="11" t="inlineStr"/>
      <c r="M452" s="11" t="inlineStr">
        <is>
          <t>• [Must] Minister must give entity copy of draft rules or amendments</t>
        </is>
      </c>
      <c r="N452" s="11" t="inlineStr">
        <is>
          <t>• [Must] Minister must provide written statement of response if entity submits within period</t>
        </is>
      </c>
      <c r="O452" s="11" t="inlineStr">
        <is>
          <t>If the Minister is aware that an entity is the responsible entity for an asset that is, or is proposed to be, specified in the rules: (i) give the entity a copy of the draft rules or amendments; (ii) if a submission is received from the entity within the period mentioned in paragraph (a)—give the entity a written statement that sets out the Minister's response to the submission.</t>
        </is>
      </c>
      <c r="P452" s="12" t="n">
        <v>12</v>
      </c>
    </row>
    <row r="453">
      <c r="A453" t="inlineStr">
        <is>
          <t>Australia</t>
        </is>
      </c>
      <c r="B453" t="inlineStr">
        <is>
          <t>C2026C00213REC01 (Australia - Row 22)</t>
        </is>
      </c>
      <c r="C453" t="inlineStr">
        <is>
          <t>111</t>
        </is>
      </c>
      <c r="D453" s="11" t="inlineStr">
        <is>
          <t>Notification of cyber security incidents</t>
        </is>
      </c>
      <c r="E453" t="inlineStr">
        <is>
          <t>123–125</t>
        </is>
      </c>
      <c r="F453" t="inlineStr">
        <is>
          <t>High</t>
        </is>
      </c>
      <c r="G453" t="inlineStr">
        <is>
          <t>High (explicit)</t>
        </is>
      </c>
      <c r="H453" s="11" t="inlineStr">
        <is>
          <t>Incident Reporting, Breach Notification</t>
        </is>
      </c>
      <c r="I453" s="11" t="inlineStr">
        <is>
          <t>Special Personal Information</t>
        </is>
      </c>
      <c r="J453" t="inlineStr"/>
      <c r="K453" s="11" t="inlineStr">
        <is>
          <t>This section requires entities to report cyber security incidents with significant impacts on critical infrastructure assets within 12 hours. If reported orally, the entity must make a written record within 84 hours and provide a copy to the relevant body. Reports must be in approved form and may be exempted by the head of the relevant body.</t>
        </is>
      </c>
      <c r="L453" s="11" t="inlineStr">
        <is>
          <t>This section mandates timely reporting of cyber security incidents with significant impacts, requiring entities to notify within 12 hours and maintain written records for compliance with incident response protocols.</t>
        </is>
      </c>
      <c r="M453" s="11" t="inlineStr">
        <is>
          <t>• [Must] Entity must report cyber security incident with significant impact on asset within 12 hours
• [Must] Report must be about the incident and include prescribed information
• [Must] If reported orally, entity must make written record within 84 hours</t>
        </is>
      </c>
      <c r="N453" s="11" t="inlineStr">
        <is>
          <t>• [Must] Entity must provide written record copy to relevant body
• [Must] Entity must ensure report is in approved form
• [May] Head of relevant body may exempt entity from written record requirement</t>
        </is>
      </c>
      <c r="O453" s="11" t="inlineStr">
        <is>
          <t>If an entity is the responsible entity for a critical infrastructure asset and becomes aware that a cyber security incident has occurred or is occurring and has had, or is having, a significant impact on the availability of the asset, the entity must give the relevant Commonwealth body a report within 12 hours.</t>
        </is>
      </c>
      <c r="P453" s="12" t="n">
        <v>12</v>
      </c>
    </row>
    <row r="454">
      <c r="A454" t="inlineStr">
        <is>
          <t>Australia</t>
        </is>
      </c>
      <c r="B454" t="inlineStr">
        <is>
          <t>C2026C00213REC01 (Australia - Row 22)</t>
        </is>
      </c>
      <c r="C454" t="inlineStr">
        <is>
          <t>113</t>
        </is>
      </c>
      <c r="D454" s="11" t="inlineStr">
        <is>
          <t>Liability for compliance with incident reporting</t>
        </is>
      </c>
      <c r="E454" t="inlineStr">
        <is>
          <t>125–127</t>
        </is>
      </c>
      <c r="F454" t="inlineStr">
        <is>
          <t>High</t>
        </is>
      </c>
      <c r="G454" t="inlineStr">
        <is>
          <t>High (explicit)</t>
        </is>
      </c>
      <c r="H454" s="11" t="inlineStr">
        <is>
          <t>Incident Reporting, Breach Notification</t>
        </is>
      </c>
      <c r="I454" s="11" t="inlineStr">
        <is>
          <t>Special Personal Information</t>
        </is>
      </c>
      <c r="J454" t="inlineStr"/>
      <c r="K454" s="11" t="inlineStr">
        <is>
          <t>This section outlines the liability for entities that fail to comply with incident reporting requirements. It specifies that entities must ensure or facilitate compliance with section 30BC or 30BD, and may be liable for facilitating compliance with the requirement.</t>
        </is>
      </c>
      <c r="L454" s="11" t="inlineStr">
        <is>
          <t>This section establishes liability for entities that fail to comply with cyber security incident reporting requirements, emphasizing the need for active participation in ensuring timely and accurate incident notifications.</t>
        </is>
      </c>
      <c r="M454" s="11" t="inlineStr">
        <is>
          <t>• [Must] Entity must ensure or facilitate compliance with incident reporting requirements</t>
        </is>
      </c>
      <c r="N454" s="11" t="inlineStr"/>
      <c r="O454" s="11" t="inlineStr">
        <is>
          <t>If an entity is or was subject to a requirement under section 30BC or 30BD, the entity must ensure or facilitate compliance with the requirement.</t>
        </is>
      </c>
      <c r="P454" s="12" t="n">
        <v>12</v>
      </c>
    </row>
    <row r="455">
      <c r="A455" t="inlineStr">
        <is>
          <t>Australia</t>
        </is>
      </c>
      <c r="B455" t="inlineStr">
        <is>
          <t>C2026C00213REC01 (Australia - Row 22)</t>
        </is>
      </c>
      <c r="C455" t="inlineStr">
        <is>
          <t>115</t>
        </is>
      </c>
      <c r="D455" s="11" t="inlineStr">
        <is>
          <t>Consultation requirements for critical infrastructure entities</t>
        </is>
      </c>
      <c r="E455" t="inlineStr">
        <is>
          <t>127–129</t>
        </is>
      </c>
      <c r="F455" t="inlineStr">
        <is>
          <t>Medium</t>
        </is>
      </c>
      <c r="G455" t="inlineStr">
        <is>
          <t>High (explicit)</t>
        </is>
      </c>
      <c r="H455" s="11" t="inlineStr"/>
      <c r="I455" s="11" t="inlineStr">
        <is>
          <t>Personal Information</t>
        </is>
      </c>
      <c r="J455" t="inlineStr">
        <is>
          <t>Minister</t>
        </is>
      </c>
      <c r="K455" s="11" t="inlineStr">
        <is>
          <t>The Minister must provide draft rules to critical infrastructure entities before amending them. The Minister must invite submissions from entities within a specified period, consider all submissions, and respond in writing if submissions are received. This applies when the Minister knows an entity is responsible for a critical infrastructure asset. The process ensures entities have a chance to provide feedback before rule changes take effect.</t>
        </is>
      </c>
      <c r="L455" s="11" t="inlineStr">
        <is>
          <t>Requires consultation with critical infrastructure entities before amending rules affecting their systems. This impacts DTIA by mandating stakeholder input for rule changes related to critical infrastructure.</t>
        </is>
      </c>
      <c r="M455" s="11" t="inlineStr">
        <is>
          <t>• [Must] Give the entity a copy of the draft rules or amendments
• [Must] Give the entity written notice inviting submissions within the specified period</t>
        </is>
      </c>
      <c r="N455" s="11" t="inlineStr">
        <is>
          <t>• [Must] Consider any submissions received within the period
• [Must] Provide written response to submissions if received within the period</t>
        </is>
      </c>
      <c r="O455" s="11" t="inlineStr">
        <is>
          <t>If the Minister is aware that an entity is the responsible entity for a critical infrastructure asset, then, before making or amending the rules, the Minister must: (a) give the entity a copy of the draft rules or amendments; and (b) give the entity a written notice inviting the entity to make a submission to the Minister about the draft rules or amendments within the period specified in the notice</t>
        </is>
      </c>
      <c r="P455" s="12" t="n">
        <v>12</v>
      </c>
    </row>
    <row r="456">
      <c r="A456" t="inlineStr">
        <is>
          <t>Australia</t>
        </is>
      </c>
      <c r="B456" t="inlineStr">
        <is>
          <t>C2026C00213REC01 (Australia - Row 22)</t>
        </is>
      </c>
      <c r="C456" t="inlineStr">
        <is>
          <t>117</t>
        </is>
      </c>
      <c r="D456" s="11" t="inlineStr">
        <is>
          <t>Enhanced cyber security obligations for critical infrastructure</t>
        </is>
      </c>
      <c r="E456" t="inlineStr">
        <is>
          <t>129–130</t>
        </is>
      </c>
      <c r="F456" t="inlineStr">
        <is>
          <t>High</t>
        </is>
      </c>
      <c r="G456" t="inlineStr">
        <is>
          <t>High (explicit)</t>
        </is>
      </c>
      <c r="H456" s="11" t="inlineStr"/>
      <c r="I456" s="11" t="inlineStr">
        <is>
          <t>Personal Information</t>
        </is>
      </c>
      <c r="J456" t="inlineStr">
        <is>
          <t>ASD</t>
        </is>
      </c>
      <c r="K456" s="11" t="inlineStr">
        <is>
          <t>This section outlines enhanced cyber security obligations for systems of national significance. Responsible entities may face incident response planning, cyber security exercises, vulnerability assessments, and reporting requirements to ASD. These obligations apply to entities managing critical infrastructure systems that impact national security.</t>
        </is>
      </c>
      <c r="L456" s="11" t="inlineStr">
        <is>
          <t>Imposes specific cyber security obligations on critical infrastructure systems, including incident response planning and reporting to ASD. This affects DTIA by requiring detailed security measures for high-risk data transfers.</t>
        </is>
      </c>
      <c r="M456" s="11" t="inlineStr">
        <is>
          <t>• [May] May be subject to statutory incident response planning obligations
• [May] May be required to undertake a cyber security exercise
• [May] May be required to undertake a vulnerability assessment</t>
        </is>
      </c>
      <c r="N456" s="11" t="inlineStr">
        <is>
          <t>• [May] May be required to give ASD periodic reports of system information
• [May] May be required to give ASD event-based reports of system information
• [May] May be required to install software transmitting system information to ASD</t>
        </is>
      </c>
      <c r="O456" s="11" t="inlineStr">
        <is>
          <t>This Part sets out enhanced cyber security obligations that relate to systems of national significance. The responsible entity for a system of national significance may be subject to statutory incident response planning obligations. The responsible entity for a system of national significance may be required to undertake a cyber security exercise. The responsible entity for a system of national significance may be required to undertake a vulnerability assessment.</t>
        </is>
      </c>
      <c r="P456" s="12" t="n">
        <v>12</v>
      </c>
    </row>
    <row r="457">
      <c r="A457" t="inlineStr">
        <is>
          <t>Australia</t>
        </is>
      </c>
      <c r="B457" t="inlineStr">
        <is>
          <t>C2026C00213REC01 (Australia - Row 22)</t>
        </is>
      </c>
      <c r="C457" t="inlineStr">
        <is>
          <t>118</t>
        </is>
      </c>
      <c r="D457" s="11" t="inlineStr">
        <is>
          <t>Determination of statutory incident response planning obligations</t>
        </is>
      </c>
      <c r="E457" t="inlineStr">
        <is>
          <t>130–131</t>
        </is>
      </c>
      <c r="F457" t="inlineStr">
        <is>
          <t>High</t>
        </is>
      </c>
      <c r="G457" t="inlineStr">
        <is>
          <t>High (explicit)</t>
        </is>
      </c>
      <c r="H457" s="11" t="inlineStr"/>
      <c r="I457" s="11" t="inlineStr">
        <is>
          <t>Personal Information</t>
        </is>
      </c>
      <c r="J457" t="inlineStr">
        <is>
          <t>Secretary</t>
        </is>
      </c>
      <c r="K457" s="11" t="inlineStr">
        <is>
          <t>The Secretary determines when statutory incident response planning obligations apply to an entity for a system of national significance. The determination takes effect after a 30-day period from notice. The Secretary must consider compliance with Subdivision B and the reasonableness and proportionality of applying obligations before issuing notices. This process ensures obligations are applied appropriately.</t>
        </is>
      </c>
      <c r="L457" s="11" t="inlineStr">
        <is>
          <t>Determines when incident response planning obligations apply to critical infrastructure systems, impacting DTIA by requiring specific incident response measures for high-risk data transfers.</t>
        </is>
      </c>
      <c r="M457" s="11" t="inlineStr">
        <is>
          <t>• [Must] Determine that statutory incident response planning obligations apply to the entity in relation to the system
• [Must] Determine that statutory incident response planning obligations apply to the entity in relation to cyber security incidents</t>
        </is>
      </c>
      <c r="N457" s="11" t="inlineStr">
        <is>
          <t>• [Condition] The specified time must not be earlier than the end of the 30-day period that began when the notice was given</t>
        </is>
      </c>
      <c r="O457" s="11" t="inlineStr">
        <is>
          <t>responsible entity for a system of national significance, determine that the statutory incident response planning obligations apply to the entity in relation to: (a) the system; and (b) cyber security incidents.</t>
        </is>
      </c>
      <c r="P457" s="12" t="n">
        <v>12</v>
      </c>
    </row>
    <row r="458">
      <c r="A458" t="inlineStr">
        <is>
          <t>Australia</t>
        </is>
      </c>
      <c r="B458" t="inlineStr">
        <is>
          <t>C2026C00213REC01 (Australia - Row 22)</t>
        </is>
      </c>
      <c r="C458" t="inlineStr">
        <is>
          <t>119</t>
        </is>
      </c>
      <c r="D458" s="11" t="inlineStr">
        <is>
          <t>Revocation of statutory incident response planning determinations</t>
        </is>
      </c>
      <c r="E458" t="inlineStr">
        <is>
          <t>131–132</t>
        </is>
      </c>
      <c r="F458" t="inlineStr">
        <is>
          <t>High</t>
        </is>
      </c>
      <c r="G458" t="inlineStr">
        <is>
          <t>High (explicit)</t>
        </is>
      </c>
      <c r="H458" s="11" t="inlineStr"/>
      <c r="I458" s="11" t="inlineStr">
        <is>
          <t>Personal Information</t>
        </is>
      </c>
      <c r="J458" t="inlineStr">
        <is>
          <t>Secretary</t>
        </is>
      </c>
      <c r="K458" s="11" t="inlineStr">
        <is>
          <t>The Secretary may revoke a determination of statutory incident response planning obligations by written notice to the entity. The revocation must be done after the determination is in force and notice has been given to the entity. This section does not affect the application of the Acts Interpretation Act 1901.</t>
        </is>
      </c>
      <c r="L458" s="11" t="inlineStr">
        <is>
          <t>Allows revocation of incident response planning obligations determinations, which impacts DTIA by providing flexibility in managing critical infrastructure security requirements.</t>
        </is>
      </c>
      <c r="M458" s="11" t="inlineStr">
        <is>
          <t>• [May] The Secretary may revoke the determination by written notice to the entity</t>
        </is>
      </c>
      <c r="N458" s="11" t="inlineStr"/>
      <c r="O458" s="11" t="inlineStr">
        <is>
          <t>The Secretary may, by written notice given to the entity, revoke the determination.</t>
        </is>
      </c>
      <c r="P458" s="12" t="n">
        <v>12</v>
      </c>
    </row>
    <row r="459">
      <c r="A459" t="inlineStr">
        <is>
          <t>Australia</t>
        </is>
      </c>
      <c r="B459" t="inlineStr">
        <is>
          <t>C2026C00213REC01 (Australia - Row 22)</t>
        </is>
      </c>
      <c r="C459" t="inlineStr">
        <is>
          <t>120</t>
        </is>
      </c>
      <c r="D459" s="11" t="inlineStr">
        <is>
          <t>Incident response plan requirements for critical infrastructure</t>
        </is>
      </c>
      <c r="E459" t="inlineStr">
        <is>
          <t>132–133</t>
        </is>
      </c>
      <c r="F459" t="inlineStr">
        <is>
          <t>High</t>
        </is>
      </c>
      <c r="G459" t="inlineStr">
        <is>
          <t>High (explicit)</t>
        </is>
      </c>
      <c r="H459" s="11" t="inlineStr"/>
      <c r="I459" s="11" t="inlineStr">
        <is>
          <t>Personal Information</t>
        </is>
      </c>
      <c r="J459" t="inlineStr">
        <is>
          <t>Secretary</t>
        </is>
      </c>
      <c r="K459" s="11" t="inlineStr">
        <is>
          <t>Entities responsible for systems of national significance must adopt, maintain, and review incident response plans. The plan must cover the system and cyber security incidents. Entities must comply with the plan as adopted or as varied, and provide copies to the Secretary upon adoption or variation. This ensures timely incident response.</t>
        </is>
      </c>
      <c r="L459" s="11" t="inlineStr">
        <is>
          <t>Requires incident response plans for critical infrastructure systems, impacting DTIA by mandating specific security protocols for high-risk data transfers.</t>
        </is>
      </c>
      <c r="M459" s="11" t="inlineStr">
        <is>
          <t>• [Must] Adopt an incident response plan that applies to the entity in relation to the system
• [Must] Maintain an incident response plan that applies to the entity in relation to the system
• [Must] Review the incident response plan on a regular basis</t>
        </is>
      </c>
      <c r="N459" s="11" t="inlineStr">
        <is>
          <t>• [Must] Ensure the incident response plan is up to date
• [Must] Provide a copy of the incident response plan to the Secretary as soon as practicable after adoption
• [Must] Provide a copy of the varied incident response plan to the Secretary as soon as practicable after variation</t>
        </is>
      </c>
      <c r="O459" s="11" t="inlineStr">
        <is>
          <t>If: (b) the entity has adopted an incident response plan that applies to the entity; the entity must comply with: (c) the incident response plan; or (d) if the plan has been varied on one or more occasions—the plan as varied.</t>
        </is>
      </c>
      <c r="P459" s="12" t="n">
        <v>12</v>
      </c>
    </row>
    <row r="460">
      <c r="A460" t="inlineStr">
        <is>
          <t>Australia</t>
        </is>
      </c>
      <c r="B460" t="inlineStr">
        <is>
          <t>C2026C00213REC01 (Australia - Row 22)</t>
        </is>
      </c>
      <c r="C460" t="inlineStr">
        <is>
          <t>122</t>
        </is>
      </c>
      <c r="D460" s="11" t="inlineStr">
        <is>
          <t>Incident response plan requirements for critical systems</t>
        </is>
      </c>
      <c r="E460" t="inlineStr">
        <is>
          <t>134–135</t>
        </is>
      </c>
      <c r="F460" t="inlineStr">
        <is>
          <t>High</t>
        </is>
      </c>
      <c r="G460" t="inlineStr">
        <is>
          <t>High (explicit)</t>
        </is>
      </c>
      <c r="H460" s="11" t="inlineStr">
        <is>
          <t>Incident Reporting, Breach Notification</t>
        </is>
      </c>
      <c r="I460" s="11" t="inlineStr">
        <is>
          <t>Special Personal Information</t>
        </is>
      </c>
      <c r="J460" t="inlineStr">
        <is>
          <t>Secretary</t>
        </is>
      </c>
      <c r="K460" s="11" t="inlineStr">
        <is>
          <t>An entity responsible for a system of national significance must maintain a written incident response plan that addresses cyber security incidents impacting the system. The plan must comply with specified rules and can be updated or revoked as long as it remains a valid incident response plan. This requirement applies to critical infrastructure entities subject to national security oversight.</t>
        </is>
      </c>
      <c r="L460" s="11" t="inlineStr">
        <is>
          <t>Requires critical systems to have documented incident response plans for cyber security incidents, impacting cross-border data transfer assessments for entities handling sensitive national infrastructure data.</t>
        </is>
      </c>
      <c r="M460" s="11" t="inlineStr">
        <is>
          <t>• [Must] An incident response plan must be written and apply to an entity responsible for a system of national significance
• [Must] The plan must relate to the system and cyber security incidents
• [Must] The plan must have a purpose of responding to cyber security incidents with relevant impact on the system</t>
        </is>
      </c>
      <c r="N460" s="11" t="inlineStr">
        <is>
          <t>• [Must] The plan must comply with any specified rules
• [May] An incident response plan may be varied as long as it remains a valid incident response plan
• [May] An entity may revoke adoption of an incident response plan and adopt another</t>
        </is>
      </c>
      <c r="O460" s="11" t="inlineStr">
        <is>
          <t>An incident response plan is a written plan: (a) that applies to an entity that is the responsible entity for a system of national significance; and (b) that relates to the system; and (c) that relates to cyber security incidents; and (d) the purpose of which is to plan for responding to cyber security incidents that could have a relevant impact on the system; and (e) that complies with such requirements (if any) as are specified in the rules.</t>
        </is>
      </c>
      <c r="P460" s="12" t="n">
        <v>12</v>
      </c>
    </row>
    <row r="461">
      <c r="A461" t="inlineStr">
        <is>
          <t>Australia</t>
        </is>
      </c>
      <c r="B461" t="inlineStr">
        <is>
          <t>C2026C00213REC01 (Australia - Row 22)</t>
        </is>
      </c>
      <c r="C461" t="inlineStr">
        <is>
          <t>123</t>
        </is>
      </c>
      <c r="D461" s="11" t="inlineStr">
        <is>
          <t>Cyber security exercise mandates for critical systems</t>
        </is>
      </c>
      <c r="E461" t="inlineStr">
        <is>
          <t>135–136</t>
        </is>
      </c>
      <c r="F461" t="inlineStr">
        <is>
          <t>High</t>
        </is>
      </c>
      <c r="G461" t="inlineStr">
        <is>
          <t>High (explicit)</t>
        </is>
      </c>
      <c r="H461" s="11" t="inlineStr">
        <is>
          <t>Incident Reporting, Breach Notification</t>
        </is>
      </c>
      <c r="I461" s="11" t="inlineStr">
        <is>
          <t>Special Personal Information</t>
        </is>
      </c>
      <c r="J461" t="inlineStr">
        <is>
          <t>Secretary</t>
        </is>
      </c>
      <c r="K461" s="11" t="inlineStr">
        <is>
          <t>The Secretary may require entities responsible for systems of national significance to conduct cyber security exercises within specified timeframes. These exercises must test the entity's ability to respond to cyber security incidents, with the Secretary ensuring the exercise period is at least 30 days after notice is given. The entity must allow designated officers to observe the exercise and provide necessary access and facilities.</t>
        </is>
      </c>
      <c r="L461" s="11" t="inlineStr">
        <is>
          <t>Mandates cyber security exercises for critical systems, requiring entities to test incident response capabilities which impacts data transfer assessments for high-risk systems.</t>
        </is>
      </c>
      <c r="M461" s="11" t="inlineStr">
        <is>
          <t>• [May] The Secretary may require an entity to undertake a cyber security exercise in relation to the system
• [Must] The entity must complete the exercise within the period specified in the notice
• [Must] The notice period must not be earlier than 30 days after notice is given
• [Must] The entity must allow designated officers to observe the cyber security exercise</t>
        </is>
      </c>
      <c r="N461" s="11" t="inlineStr">
        <is>
          <t>• [Must] The entity must provide designated officers with access to premises for observation
• [Must] The entity must provide designated officers with reasonable assistance and facilities for observation
• [Must] The entity must allow designated officers to make records for monitoring compliance
• [Must] The entity must give designated officers reasonable notice of the exercise start time</t>
        </is>
      </c>
      <c r="O461" s="11" t="inlineStr">
        <is>
          <t>The Secretary may, by written notice given to an entity that is the responsible entity for a system of national significance, require the entity to: (a) undertake a cyber security exercise in relation to: and (b) do so within the period specified in the notice.</t>
        </is>
      </c>
      <c r="P461" s="12" t="n">
        <v>12</v>
      </c>
    </row>
    <row r="462">
      <c r="A462" t="inlineStr">
        <is>
          <t>Australia</t>
        </is>
      </c>
      <c r="B462" t="inlineStr">
        <is>
          <t>C2026C00213REC01 (Australia - Row 22)</t>
        </is>
      </c>
      <c r="C462" t="inlineStr">
        <is>
          <t>124</t>
        </is>
      </c>
      <c r="D462" s="11" t="inlineStr">
        <is>
          <t>Cyber security exercise definitions and purposes</t>
        </is>
      </c>
      <c r="E462" t="inlineStr">
        <is>
          <t>136–137</t>
        </is>
      </c>
      <c r="F462" t="inlineStr">
        <is>
          <t>High</t>
        </is>
      </c>
      <c r="G462" t="inlineStr">
        <is>
          <t>High (explicit)</t>
        </is>
      </c>
      <c r="H462" s="11" t="inlineStr">
        <is>
          <t>Incident Reporting, Breach Notification</t>
        </is>
      </c>
      <c r="I462" s="11" t="inlineStr">
        <is>
          <t>Special Personal Information</t>
        </is>
      </c>
      <c r="J462" t="inlineStr"/>
      <c r="K462" s="11" t="inlineStr">
        <is>
          <t>A cyber security exercise must be conducted by an entity responsible for a system of national significance and must test the entity's response capabilities to cyber security incidents. The exercise can focus on all incident types or specific types, with clear purposes including testing response, preparedness, and impact mitigation. The exercise must comply with specified rules.</t>
        </is>
      </c>
      <c r="L462" s="11" t="inlineStr">
        <is>
          <t>Defines what constitutes a cyber security exercise for critical systems, impacting how data transfer impact assessments evaluate incident response capabilities for high-risk systems.</t>
        </is>
      </c>
      <c r="M462" s="11" t="inlineStr">
        <is>
          <t>• [Must] A cyber security exercise is undertaken by the responsible entity for a system of national significance
• [Must] The exercise must relate to the system
• [Must] The exercise must either relate to all cyber security incidents or one or more specified types
• [Must] If the exercise relates to all incidents, it must test the entity's ability to respond to all incident types
• [Must] If the exercise relates to all incidents, it must test the entity's preparedness to respond to all incident types</t>
        </is>
      </c>
      <c r="N462" s="11" t="inlineStr">
        <is>
          <t>• [Must] If the exercise relates to all incidents, it must test the entity's ability to mitigate impacts of all incident types
• [Must] If the exercise relates to specific incident types, it must test the entity's ability to respond to those types
• [Must] If the exercise relates to specific incident types, it must test the entity's preparedness to respond to those types
• [Must] If the exercise relates to specific incident types, it must test the entity's ability to mitigate impacts of those types
• [Must] The exercise must comply with specified rules</t>
        </is>
      </c>
      <c r="O462" s="11" t="inlineStr">
        <is>
          <t>A cyber security exercise is an exercise: (a) that is undertaken by the responsible entity for a system of national significance; (b) that relates to the system; and (c) that either: (i) relates to all types of cyber security incidents; or (ii) relates to one or more specified types of cyber security incidents; and (d) if the exercise relates to all types of cyber security incidents—the purpose of which is to: test the entity's ability to respond appropriately to all types of cyber security incidents that could have a relevant impact on the system; test the entity's preparedness to respond appropriately to all types of cyber security incidents that could have a relevant impact on the system; test the entity's ability to mitigate the relevant impacts that all types of cyber security incidents could have on the system; and (e) if the exercise relates to one or more specified types of cyber security incidents—the purpose of which is to: test the entity's ability to respond appropriately to those types of cyber security incidents that could have a relevant impact on the system; test the entity's preparedness to respond appropriately to those types of cyber security incidents that could have a relevant impact on the system; test the entity's ability to mitigate the relevant impacts that those types of cyber security incidents could have on the system; and (f) that complies with such requirements (if any) as are specified in the rules.</t>
        </is>
      </c>
      <c r="P462" s="12" t="n">
        <v>12</v>
      </c>
    </row>
    <row r="463">
      <c r="A463" t="inlineStr">
        <is>
          <t>Australia</t>
        </is>
      </c>
      <c r="B463" t="inlineStr">
        <is>
          <t>C2026C00213REC01 (Australia - Row 22)</t>
        </is>
      </c>
      <c r="C463" t="inlineStr">
        <is>
          <t>125</t>
        </is>
      </c>
      <c r="D463" s="11" t="inlineStr">
        <is>
          <t>Cyber security exercise compliance and evaluation</t>
        </is>
      </c>
      <c r="E463" t="inlineStr">
        <is>
          <t>137–138</t>
        </is>
      </c>
      <c r="F463" t="inlineStr">
        <is>
          <t>High</t>
        </is>
      </c>
      <c r="G463" t="inlineStr">
        <is>
          <t>High (explicit)</t>
        </is>
      </c>
      <c r="H463" s="11" t="inlineStr">
        <is>
          <t>Incident Reporting, Breach Notification</t>
        </is>
      </c>
      <c r="I463" s="11" t="inlineStr">
        <is>
          <t>Special Personal Information</t>
        </is>
      </c>
      <c r="J463" t="inlineStr">
        <is>
          <t>Secretary</t>
        </is>
      </c>
      <c r="K463" s="11" t="inlineStr">
        <is>
          <t>Entities must prepare and submit evaluation reports after conducting cyber security exercises. The report must be completed within 30 days of the exercise or a longer period approved by the Secretary. The report is not admissible in civil proceedings related to penalty violations. External evaluation reports may be required if the Secretary believes the internal report was not prepared appropriately.</t>
        </is>
      </c>
      <c r="L463" s="11" t="inlineStr">
        <is>
          <t>Requires evaluation reports for cyber security exercises, impacting data transfer assessments by ensuring entities have documented evidence of incident response capability testing.</t>
        </is>
      </c>
      <c r="M463" s="11" t="inlineStr">
        <is>
          <t>• [Must] An entity must prepare an evaluation report relating to the cyber security exercise
• [Must] The entity must give a copy of the report to the Secretary
• [Must] The entity must complete the report within 30 days after the exercise or a longer period approved by the Secretary
• [Must Not] An evaluation report prepared under this section is not admissible in civil proceedings related to penalty violations</t>
        </is>
      </c>
      <c r="N463" s="11" t="inlineStr">
        <is>
          <t>• [May] The Secretary may require an external auditor to prepare a new evaluation report if the internal report was not prepared appropriately
• [Must] The entity must arrange for the external auditor to give the new report to the entity
• [Must] The entity must give the Secretary a copy of the new evaluation report within the specified period</t>
        </is>
      </c>
      <c r="O463" s="11" t="inlineStr">
        <is>
          <t>If an entity undertakes a cyber security exercise under section 30CM, the entity must: (i) prepare an evaluation report relating to the cyber security exercise; (ii) give a copy of the report to the Secretary; and (b) do so: (i) within 30 days after the completion of the exercise; or (ii) if the Secretary allows a longer period—within that longer period.</t>
        </is>
      </c>
      <c r="P463" s="12" t="n">
        <v>12</v>
      </c>
    </row>
    <row r="464">
      <c r="A464" t="inlineStr">
        <is>
          <t>Australia</t>
        </is>
      </c>
      <c r="B464" t="inlineStr">
        <is>
          <t>C2026C00213REC01 (Australia - Row 22)</t>
        </is>
      </c>
      <c r="C464" t="inlineStr">
        <is>
          <t>126</t>
        </is>
      </c>
      <c r="D464" s="11" t="inlineStr">
        <is>
          <t>Cyber security exercise evaluation reporting</t>
        </is>
      </c>
      <c r="E464" t="inlineStr">
        <is>
          <t>138–139</t>
        </is>
      </c>
      <c r="F464" t="inlineStr">
        <is>
          <t>High</t>
        </is>
      </c>
      <c r="G464" t="inlineStr">
        <is>
          <t>High (explicit)</t>
        </is>
      </c>
      <c r="H464" s="11" t="inlineStr">
        <is>
          <t>Incident Reporting, Breach Notification</t>
        </is>
      </c>
      <c r="I464" s="11" t="inlineStr">
        <is>
          <t>Special Personal Information</t>
        </is>
      </c>
      <c r="J464" t="inlineStr">
        <is>
          <t>Secretary</t>
        </is>
      </c>
      <c r="K464" s="11" t="inlineStr">
        <is>
          <t>Entities must submit evaluation reports after cyber security exercises, with specific timelines for submission. The reports are exempt from admissibility in civil proceedings related to penalty violations. External evaluations may be mandated if the Secretary deems the internal report inadequate, requiring new reports and submission within specified periods.</t>
        </is>
      </c>
      <c r="L464" s="11" t="inlineStr">
        <is>
          <t>Mandates evaluation reporting for cyber security exercises, critical for assessing data transfer impact assessments of incident response capabilities in high-risk systems.</t>
        </is>
      </c>
      <c r="M464" s="11" t="inlineStr">
        <is>
          <t>• [Must] The entity must prepare an evaluation report relating to the cyber security exercise
• [Must] The entity must give a copy of the report to the Secretary</t>
        </is>
      </c>
      <c r="N464" s="11" t="inlineStr">
        <is>
          <t>• [Must] The entity must complete the report within 3:0 days after the exercise or a longer period approved by the Secretary
• [Must Not] The evaluation report is not admissible in civil proceedings related to penalty violations</t>
        </is>
      </c>
      <c r="O464" s="11" t="inlineStr">
        <is>
          <t>If an entity undertakes a cyber security exercise under section 30CM, the entity must: (i) prepare an evaluation report relating to the cyber security exercise; (ii) give a copy of the report to the Secretary; and (b) do so: (i) within 30 days after the completion of the exercise; or (ii) if the Secretary allows a longer period—within that longer period.</t>
        </is>
      </c>
      <c r="P464" s="12" t="n">
        <v>12</v>
      </c>
    </row>
    <row r="465">
      <c r="A465" t="inlineStr">
        <is>
          <t>Australia</t>
        </is>
      </c>
      <c r="B465" t="inlineStr">
        <is>
          <t>C2026C00213REC01 (Australia - Row 22)</t>
        </is>
      </c>
      <c r="C465" t="inlineStr">
        <is>
          <t>128</t>
        </is>
      </c>
      <c r="D465" s="11" t="inlineStr">
        <is>
          <t>Eligibility for external auditor appointment</t>
        </is>
      </c>
      <c r="E465" t="inlineStr">
        <is>
          <t>140–141</t>
        </is>
      </c>
      <c r="F465" t="inlineStr">
        <is>
          <t>Low</t>
        </is>
      </c>
      <c r="G465" t="inlineStr">
        <is>
          <t>High (explicit)</t>
        </is>
      </c>
      <c r="H465" s="11" t="inlineStr"/>
      <c r="I465" s="11" t="inlineStr">
        <is>
          <t>Personal Information</t>
        </is>
      </c>
      <c r="J465" t="inlineStr"/>
      <c r="K465" s="11" t="inlineStr">
        <is>
          <t>An individual cannot be appointed as an external auditor if they are an officer, employee, or agent of the entity. Entities must comply with requirements under subsection (2). The evaluation report is not admissible in civil proceedings for contraventions of civil penalty provisions.</t>
        </is>
      </c>
      <c r="L465" s="11" t="inlineStr"/>
      <c r="M465" s="11" t="inlineStr">
        <is>
          <t>• [Must Not] An individual is not eligible to be appointed as an external auditor by the entity if the individual is an officer, employee or agent of the entity</t>
        </is>
      </c>
      <c r="N465" s="11" t="inlineStr">
        <is>
          <t>• [Must] An entity must comply with a requirement under subsection (2)</t>
        </is>
      </c>
      <c r="O465" s="11" t="inlineStr">
        <is>
          <t>An individual is not eligible to be appointed as an external auditor by the entity if the individual is an officer, employee or agent of the entity.</t>
        </is>
      </c>
      <c r="P465" s="12" t="n">
        <v>12</v>
      </c>
    </row>
    <row r="466">
      <c r="A466" t="inlineStr">
        <is>
          <t>Australia</t>
        </is>
      </c>
      <c r="B466" t="inlineStr">
        <is>
          <t>C2026C00213REC01 (Australia - Row 22)</t>
        </is>
      </c>
      <c r="C466" t="inlineStr">
        <is>
          <t>129</t>
        </is>
      </c>
      <c r="D466" s="11" t="inlineStr">
        <is>
          <t>External auditor authorisation process</t>
        </is>
      </c>
      <c r="E466" t="inlineStr">
        <is>
          <t>141–142</t>
        </is>
      </c>
      <c r="F466" t="inlineStr">
        <is>
          <t>Low</t>
        </is>
      </c>
      <c r="G466" t="inlineStr">
        <is>
          <t>High (explicit)</t>
        </is>
      </c>
      <c r="H466" s="11" t="inlineStr"/>
      <c r="I466" s="11" t="inlineStr">
        <is>
          <t>Personal Information</t>
        </is>
      </c>
      <c r="J466" t="inlineStr">
        <is>
          <t>Secretary</t>
        </is>
      </c>
      <c r="K466" s="11" t="inlineStr">
        <is>
          <t>The Secretary may authorise a specified individual to be an external auditor via written notice. This authorisation is not a legislative instrument.</t>
        </is>
      </c>
      <c r="L466" s="11" t="inlineStr"/>
      <c r="M466" s="11" t="inlineStr">
        <is>
          <t>• [Authorisation] The Secretary may authorise a specified individual to be an external auditor for the purposes of this Act</t>
        </is>
      </c>
      <c r="N466" s="11" t="inlineStr"/>
      <c r="O466" s="11" t="inlineStr">
        <is>
          <t>The Secretary may, by writing, authorise a specified individual to be an external auditor for the purposes of this Act.</t>
        </is>
      </c>
      <c r="P466" s="12" t="n">
        <v>12</v>
      </c>
    </row>
    <row r="467">
      <c r="A467" t="inlineStr">
        <is>
          <t>Australia</t>
        </is>
      </c>
      <c r="B467" t="inlineStr">
        <is>
          <t>C2026C00213REC01 (Australia - Row 22)</t>
        </is>
      </c>
      <c r="C467" t="inlineStr">
        <is>
          <t>130</t>
        </is>
      </c>
      <c r="D467" s="11" t="inlineStr">
        <is>
          <t>Vulnerability assessment requirements</t>
        </is>
      </c>
      <c r="E467" t="inlineStr">
        <is>
          <t>142–143</t>
        </is>
      </c>
      <c r="F467" t="inlineStr">
        <is>
          <t>High</t>
        </is>
      </c>
      <c r="G467" t="inlineStr">
        <is>
          <t>High (explicit)</t>
        </is>
      </c>
      <c r="H467" s="11" t="inlineStr">
        <is>
          <t>Security</t>
        </is>
      </c>
      <c r="I467" s="11" t="inlineStr">
        <is>
          <t>Personal Information</t>
        </is>
      </c>
      <c r="J467" t="inlineStr">
        <is>
          <t>Secretary</t>
        </is>
      </c>
      <c r="K467" s="11" t="inlineStr">
        <is>
          <t>The responsible entity for a system of national significance must undertake a vulnerability assessment within the specified period. The Secretary may require the entity to complete the assessment if they are the responsible entity.</t>
        </is>
      </c>
      <c r="L467" s="11" t="inlineStr">
        <is>
          <t>Vulnerability assessments are required for systems of national significance to identify security weaknesses before they can be exploited.</t>
        </is>
      </c>
      <c r="M467" s="11" t="inlineStr">
        <is>
          <t>• [Must] The entity must undertake, or cause to be undertaken, a vulnerability assessment in relation to the system</t>
        </is>
      </c>
      <c r="N467" s="11" t="inlineStr">
        <is>
          <t>• [Must] The entity must do so within the period specified in the notice</t>
        </is>
      </c>
      <c r="O467" s="11" t="inlineStr">
        <is>
          <t>The entity must undertake, or cause to be undertaken, a vulnerability assessment in relation to the system of national significance.</t>
        </is>
      </c>
      <c r="P467" s="12" t="n">
        <v>12</v>
      </c>
    </row>
    <row r="468">
      <c r="A468" t="inlineStr">
        <is>
          <t>Australia</t>
        </is>
      </c>
      <c r="B468" t="inlineStr">
        <is>
          <t>C2026C00213REC01 (Australia - Row 22)</t>
        </is>
      </c>
      <c r="C468" t="inlineStr">
        <is>
          <t>131</t>
        </is>
      </c>
      <c r="D468" s="11" t="inlineStr">
        <is>
          <t>Compliance with vulnerability assessment</t>
        </is>
      </c>
      <c r="E468" t="inlineStr">
        <is>
          <t>143–144</t>
        </is>
      </c>
      <c r="F468" t="inlineStr">
        <is>
          <t>High</t>
        </is>
      </c>
      <c r="G468" t="inlineStr">
        <is>
          <t>High (explicit)</t>
        </is>
      </c>
      <c r="H468" s="11" t="inlineStr">
        <is>
          <t>Security</t>
        </is>
      </c>
      <c r="I468" s="11" t="inlineStr">
        <is>
          <t>Personal Information</t>
        </is>
      </c>
      <c r="J468" t="inlineStr">
        <is>
          <t>Secretary</t>
        </is>
      </c>
      <c r="K468" s="11" t="inlineStr">
        <is>
          <t>The entity must comply with the vulnerability assessment requirement under section 30CU. The Secretary may require compliance if the entity is unable to comply or has not complied with previous notices.</t>
        </is>
      </c>
      <c r="L468" s="11" t="inlineStr">
        <is>
          <t>Ensures entities can meet vulnerability assessment requirements through designated officers or direct compliance.</t>
        </is>
      </c>
      <c r="M468" s="11" t="inlineStr">
        <is>
          <t>• [Must] The entity must comply with the requirement to undertake a vulnerability assessment under section 30CU</t>
        </is>
      </c>
      <c r="N468" s="11" t="inlineStr"/>
      <c r="O468" s="11" t="inlineStr">
        <is>
          <t>The entity must comply with the requirement to undertake a vulnerability assessment under section 30CU.</t>
        </is>
      </c>
      <c r="P468" s="12" t="n">
        <v>12</v>
      </c>
    </row>
    <row r="469">
      <c r="A469" t="inlineStr">
        <is>
          <t>Australia</t>
        </is>
      </c>
      <c r="B469" t="inlineStr">
        <is>
          <t>C2026C00213REC01 (Australia - Row 22)</t>
        </is>
      </c>
      <c r="C469" t="inlineStr">
        <is>
          <t>132</t>
        </is>
      </c>
      <c r="D469" s="11" t="inlineStr">
        <is>
          <t>Vulnerability assessment access requirements</t>
        </is>
      </c>
      <c r="E469" t="inlineStr">
        <is>
          <t>144–145</t>
        </is>
      </c>
      <c r="F469" t="inlineStr">
        <is>
          <t>High</t>
        </is>
      </c>
      <c r="G469" t="inlineStr">
        <is>
          <t>High (explicit)</t>
        </is>
      </c>
      <c r="H469" s="11" t="inlineStr">
        <is>
          <t>Security</t>
        </is>
      </c>
      <c r="I469" s="11" t="inlineStr">
        <is>
          <t>Personal Information</t>
        </is>
      </c>
      <c r="J469" t="inlineStr">
        <is>
          <t>Secretary</t>
        </is>
      </c>
      <c r="K469" s="11" t="inlineStr">
        <is>
          <t>The Secretary may require entities to provide access to premises and computers for vulnerability assessments. Entities must also provide reasonable assistance and facilities to the designated officer.</t>
        </is>
      </c>
      <c r="L469" s="11" t="inlineStr">
        <is>
          <t>Ensures that vulnerability assessments can be conducted effectively by providing necessary access and support.</t>
        </is>
      </c>
      <c r="M469" s="11" t="inlineStr">
        <is>
          <t>• [Must] The entity must provide the designated officer with access to premises for the purposes of undertaking the vulnerability assessment
• [Must] The entity must provide the designated officer with access to computers for the purposes of undertaking the vulnerability assessment</t>
        </is>
      </c>
      <c r="N469" s="11" t="inlineStr">
        <is>
          <t>• [Must] The entity must provide the designated officer with reasonable assistance and facilities that are reasonably necessary to allow the designated officer to undertake the vulnerability assessment</t>
        </is>
      </c>
      <c r="O469" s="11" t="inlineStr">
        <is>
          <t>The entity must provide the designated officer with access to premises for the purposes of undertaking the vulnerability assessment.</t>
        </is>
      </c>
      <c r="P469" s="12" t="n">
        <v>12</v>
      </c>
    </row>
    <row r="470">
      <c r="A470" t="inlineStr">
        <is>
          <t>Australia</t>
        </is>
      </c>
      <c r="B470" t="inlineStr">
        <is>
          <t>C2026C00213REC01 (Australia - Row 22)</t>
        </is>
      </c>
      <c r="C470" t="inlineStr">
        <is>
          <t>134</t>
        </is>
      </c>
      <c r="D470" s="11" t="inlineStr">
        <is>
          <t>Vulnerability assessment report submission to Secretary</t>
        </is>
      </c>
      <c r="E470" t="inlineStr">
        <is>
          <t>146–147</t>
        </is>
      </c>
      <c r="F470" t="inlineStr">
        <is>
          <t>High</t>
        </is>
      </c>
      <c r="G470" t="inlineStr">
        <is>
          <t>High (explicit)</t>
        </is>
      </c>
      <c r="H470" s="11" t="inlineStr"/>
      <c r="I470" s="11" t="inlineStr">
        <is>
          <t>Special Personal Information</t>
        </is>
      </c>
      <c r="J470" t="inlineStr">
        <is>
          <t>Secretary</t>
        </is>
      </c>
      <c r="K470" s="11" t="inlineStr">
        <is>
          <t>A designated officer must prepare a vulnerability assessment report within 30 days after completing an assessment for a system of national significance, or within a longer period approved by the Secretary. The report must be submitted to the Secretary. This requirement applies to designated officers conducting vulnerability assessments under section 30CW. The report is not admissible in civil proceedings for contraventions of civil penalty provisions.</t>
        </is>
      </c>
      <c r="L470" s="11" t="inlineStr">
        <is>
          <t>Requires timely submission of vulnerability assessment reports to the Secretary for systems of national significance, relevant for DTIAs involving critical infrastructure.</t>
        </is>
      </c>
      <c r="M470" s="11" t="inlineStr">
        <is>
          <t>• [Must] Prepare a vulnerability assessment report relating to the assessment
• [Must] Give a copy of the report to the Secretary
• [Must] Submit the report within 30 days after completion of the assessment</t>
        </is>
      </c>
      <c r="N470" s="11" t="inlineStr">
        <is>
          <t>• [Must] Submit the report within the longer period approved by the Secretary
• [Must] The report is not admissible in evidence against the entity in civil proceedings for contraventions of civil penalty provisions</t>
        </is>
      </c>
      <c r="O470" s="11" t="inlineStr">
        <is>
          <t>134 (2) If a designated officer undertakes a vulnerability assessment in accordance with a request given to the designated officer under section 30CW, the designated officer must: (i) prepare a vulnerability assessment report relating to the assessment; (ii) give a copy of the report to the Secretary; and (b) do so: (i) within 30 days after the completion of the assessment; or (ii) if the Secretary allows a longer period—within that longer period. 30DA (3) If an entity prepares, or causes to be prepared, a report under subsection (1), the report is not admissible in evidence against the entity in civil proceedings relating to a contravention of a civil penalty provision of this Act (other than subsection (1)).</t>
        </is>
      </c>
      <c r="P470" s="12" t="n">
        <v>12</v>
      </c>
    </row>
    <row r="471">
      <c r="A471" t="inlineStr">
        <is>
          <t>Australia</t>
        </is>
      </c>
      <c r="B471" t="inlineStr">
        <is>
          <t>C2026C00213REC01 (Australia - Row 22)</t>
        </is>
      </c>
      <c r="C471" t="inlineStr">
        <is>
          <t>135</t>
        </is>
      </c>
      <c r="D471" s="11" t="inlineStr">
        <is>
          <t>Vulnerability assessment report scope definition</t>
        </is>
      </c>
      <c r="E471" t="inlineStr">
        <is>
          <t>147–148</t>
        </is>
      </c>
      <c r="F471" t="inlineStr">
        <is>
          <t>High</t>
        </is>
      </c>
      <c r="G471" t="inlineStr">
        <is>
          <t>High (explicit)</t>
        </is>
      </c>
      <c r="H471" s="11" t="inlineStr"/>
      <c r="I471" s="11" t="inlineStr">
        <is>
          <t>Special Personal Information</t>
        </is>
      </c>
      <c r="J471" t="inlineStr"/>
      <c r="K471" s="11" t="inlineStr">
        <is>
          <t>Defines what constitutes a vulnerability assessment report for systems of national significance. The report must assess the system's vulnerability to all types of cyber security incidents or specific types of cyber security incidents as specified in the notice. This definition applies to reports prepared under section 30DA.</t>
        </is>
      </c>
      <c r="L471" s="11" t="inlineStr">
        <is>
          <t>Clarifies the scope of vulnerability assessment reports for critical infrastructure, relevant for DTIAs involving cyber security assessments.</t>
        </is>
      </c>
      <c r="M471" s="11" t="inlineStr">
        <is>
          <t>• [Must] A vulnerability assessment report for a system of national significance is a written report
• [Must] If the assessment relates to all types of cyber security incidents, the purpose is to assess vulnerability to all types of cyber security incidents</t>
        </is>
      </c>
      <c r="N471" s="11" t="inlineStr">
        <is>
          <t>• [Must] If the assessment relates to one or more specified types of cyber security incidents, the purpose is to assess vulnerability to those types of cyber security incidents</t>
        </is>
      </c>
      <c r="O471" s="11" t="inlineStr">
        <is>
          <t>30DA A vulnerability assessment report, in relation to a vulnerability assessment that was undertaken in relation to a system of national significance, is a written report: (a) if the assessment relates to all types of cyber security incidents—the purpose of which is to assess the vulnerability of the system to all types of cyber security incidents; and (b) if the assessment relates to one or more specified types of cyber security incidents—the purpose of which is to assess</t>
        </is>
      </c>
      <c r="P471" s="12" t="n">
        <v>12</v>
      </c>
    </row>
    <row r="472">
      <c r="A472" t="inlineStr">
        <is>
          <t>Australia</t>
        </is>
      </c>
      <c r="B472" t="inlineStr">
        <is>
          <t>C2026C00213REC01 (Australia - Row 22)</t>
        </is>
      </c>
      <c r="C472" t="inlineStr">
        <is>
          <t>136</t>
        </is>
      </c>
      <c r="D472" s="11" t="inlineStr">
        <is>
          <t>Periodic system information reporting requirements</t>
        </is>
      </c>
      <c r="E472" t="inlineStr">
        <is>
          <t>148–149</t>
        </is>
      </c>
      <c r="F472" t="inlineStr">
        <is>
          <t>High</t>
        </is>
      </c>
      <c r="G472" t="inlineStr">
        <is>
          <t>High (explicit)</t>
        </is>
      </c>
      <c r="H472" s="11" t="inlineStr"/>
      <c r="I472" s="11" t="inlineStr">
        <is>
          <t>Special Personal Information</t>
        </is>
      </c>
      <c r="J472" t="inlineStr">
        <is>
          <t>Secretary</t>
        </is>
      </c>
      <c r="K472" s="11" t="inlineStr">
        <is>
          <t>The Secretary may require relevant entities for systems of national significance to prepare periodic reports of system information. These reports must be prepared in the specified manner and form, relate to regular intervals, and submitted to ASD within the period set by the notice. The reports are not admissible in civil proceedings for contraventions of civil penalty provisions.</t>
        </is>
      </c>
      <c r="L472" s="11" t="inlineStr">
        <is>
          <t>Requires periodic reporting of system information for critical infrastructure, relevant for DTIAs involving data storage and system monitoring.</t>
        </is>
      </c>
      <c r="M472" s="11" t="inlineStr">
        <is>
          <t>• [Must] Prepare periodic reports consisting of any information
• [Must] Relate to regular intervals specified in the notice
• [Must] Prepare periodic reports in the manner and form specified in the notice</t>
        </is>
      </c>
      <c r="N472" s="11" t="inlineStr">
        <is>
          <t>• [Must] Prepare periodic reports in accordance with information technology requirements specified in the notice
• [Must] Give periodic reports to ASD within the period ascertained in the notice</t>
        </is>
      </c>
      <c r="O472" s="11" t="inlineStr">
        <is>
          <t>136 (a) prepare periodic reports that: (i) consist of any such information; and (ii) relate to such regular intervals as are specified in the notice; and (b) prepare those periodic reports: (i) in the manner and form specified in the notice; and (ii) in accordance with the information technology requirements specified in the notice; and (c) give each of those periodic reports to ASD within the period ascertained in accordance with the notice in relation to the periodic report concerned.</t>
        </is>
      </c>
      <c r="P472" s="12" t="n">
        <v>12</v>
      </c>
    </row>
    <row r="473">
      <c r="A473" t="inlineStr">
        <is>
          <t>Australia</t>
        </is>
      </c>
      <c r="B473" t="inlineStr">
        <is>
          <t>C2026C00213REC01 (Australia - Row 22)</t>
        </is>
      </c>
      <c r="C473" t="inlineStr">
        <is>
          <t>137</t>
        </is>
      </c>
      <c r="D473" s="11" t="inlineStr">
        <is>
          <t>Event-based system information reporting requirements</t>
        </is>
      </c>
      <c r="E473" t="inlineStr">
        <is>
          <t>149–150</t>
        </is>
      </c>
      <c r="F473" t="inlineStr">
        <is>
          <t>High</t>
        </is>
      </c>
      <c r="G473" t="inlineStr">
        <is>
          <t>High (explicit)</t>
        </is>
      </c>
      <c r="H473" s="11" t="inlineStr"/>
      <c r="I473" s="11" t="inlineStr">
        <is>
          <t>Special Personal Information</t>
        </is>
      </c>
      <c r="J473" t="inlineStr">
        <is>
          <t>Secretary</t>
        </is>
      </c>
      <c r="K473" s="11" t="inlineStr">
        <is>
          <t>The Secretary may require relevant entities for systems of national significance to prepare event-based reports of system information. These reports must be prepared in the specified manner and form, relate to specific events, and submitted to ASD as soon as practicable after the event occurs. The reports are not admissible in civil proceedings for contraventions of civil penalty provisions.</t>
        </is>
      </c>
      <c r="L473" s="11" t="inlineStr">
        <is>
          <t>Requires event-based reporting of system information for critical infrastructure, relevant for DTIAs involving real-time data monitoring.</t>
        </is>
      </c>
      <c r="M473" s="11" t="inlineStr">
        <is>
          <t>• [Must] Prepare a report that consists of any information
• [Must] Prepare the report in the manner and form specified in the notice</t>
        </is>
      </c>
      <c r="N473" s="11" t="inlineStr">
        <is>
          <t>• [Must] Prepare the report in accordance with information technology requirements specified in the notice
• [Must] Give the report to ASD as soon as practicable after the event occurs</t>
        </is>
      </c>
      <c r="O473" s="11" t="inlineStr">
        <is>
          <t>138 (a) prepare a report that consists of any such information; (b) prepare that report: (i) in the manner and form specified in the notice; and (ii) in accordance with the information technology requirements specified in the notice; (c) give that report to ASD as soon as practicable after the event occurs.</t>
        </is>
      </c>
      <c r="P473" s="12" t="n">
        <v>12</v>
      </c>
    </row>
    <row r="474">
      <c r="A474" t="inlineStr">
        <is>
          <t>Australia</t>
        </is>
      </c>
      <c r="B474" t="inlineStr">
        <is>
          <t>C2026C00213REC01 (Australia - Row 22)</t>
        </is>
      </c>
      <c r="C474" t="inlineStr">
        <is>
          <t>138</t>
        </is>
      </c>
      <c r="D474" s="11" t="inlineStr">
        <is>
          <t>System information reporting notice consultation</t>
        </is>
      </c>
      <c r="E474" t="inlineStr">
        <is>
          <t>150–151</t>
        </is>
      </c>
      <c r="F474" t="inlineStr">
        <is>
          <t>High</t>
        </is>
      </c>
      <c r="G474" t="inlineStr">
        <is>
          <t>High (explicit)</t>
        </is>
      </c>
      <c r="H474" s="11" t="inlineStr"/>
      <c r="I474" s="11" t="inlineStr">
        <is>
          <t>Special Personal Information</t>
        </is>
      </c>
      <c r="J474" t="inlineStr">
        <is>
          <t>Secretary</t>
        </is>
      </c>
      <c r="K474" s="11" t="inlineStr">
        <is>
          <t>Before issuing a system information periodic or event-based reporting notice to a relevant entity for a system of national significance, the Secretary must consult with the entity and, if applicable, the responsible entity for the system. This consultation ensures that the notice is appropriate and relevant to the entity's capabilities.</t>
        </is>
      </c>
      <c r="L474" s="11" t="inlineStr">
        <is>
          <t>Requires consultation before imposing reporting obligations on critical infrastructure entities, relevant for DTIAs involving regulatory oversight.</t>
        </is>
      </c>
      <c r="M474" s="11" t="inlineStr">
        <is>
          <t>• [Must] Consult with the relevant entity for the system of national significance</t>
        </is>
      </c>
      <c r="N474" s="11" t="inlineStr">
        <is>
          <t>• [Must] Consult with the responsible entity for the system of national significance if the relevant entity is not the responsible entity</t>
        </is>
      </c>
      <c r="O474" s="11" t="inlineStr">
        <is>
          <t>30DD Before giving: (a) a system information periodic reporting notice; or (b) a system information event-based reporting notice; to a relevant entity for a system of national significance, the Secretary must consult: (c) the relevant entity; and (d) if the relevant entity is not the responsible entity for the system of national significance—the responsible entity for the system of national significance.</t>
        </is>
      </c>
      <c r="P474" s="12" t="n">
        <v>12</v>
      </c>
    </row>
    <row r="475">
      <c r="A475" t="inlineStr">
        <is>
          <t>Australia</t>
        </is>
      </c>
      <c r="B475" t="inlineStr">
        <is>
          <t>C2026C00213REC01 (Australia - Row 22)</t>
        </is>
      </c>
      <c r="C475" t="inlineStr">
        <is>
          <t>139</t>
        </is>
      </c>
      <c r="D475" s="11" t="inlineStr">
        <is>
          <t>Duration of system information reporting notices</t>
        </is>
      </c>
      <c r="E475" t="inlineStr">
        <is>
          <t>151–152</t>
        </is>
      </c>
      <c r="F475" t="inlineStr">
        <is>
          <t>High</t>
        </is>
      </c>
      <c r="G475" t="inlineStr">
        <is>
          <t>High (explicit)</t>
        </is>
      </c>
      <c r="H475" s="11" t="inlineStr"/>
      <c r="I475" s="11" t="inlineStr">
        <is>
          <t>Special Personal Information</t>
        </is>
      </c>
      <c r="J475" t="inlineStr">
        <is>
          <t>Secretary</t>
        </is>
      </c>
      <c r="K475" s="11" t="inlineStr">
        <is>
          <t>System information periodic or event-based reporting notices come into force when issued or at a later time specified in the notice and remain in force for a period not exceeding 12 months. This ensures that reporting obligations are time-bound and do not persist indefinitely.</t>
        </is>
      </c>
      <c r="L475" s="11" t="inlineStr">
        <is>
          <t>Sets a maximum duration of 12 months for system information reporting notices, relevant for DTIAs involving temporary data transfer obligations.</t>
        </is>
      </c>
      <c r="M475" s="11" t="inlineStr">
        <is>
          <t>• [Must] A system information periodic reporting notice or event-based reporting notice comes into force when it is given or at a later time specified in the notice
• [Must] The notice remains in force for the period specified in the notice</t>
        </is>
      </c>
      <c r="N475" s="11" t="inlineStr">
        <is>
          <t>• [Must] The period specified in the notice must not be longer than 12 months</t>
        </is>
      </c>
      <c r="O475" s="11" t="inlineStr">
        <is>
          <t>30DE (1) A system information periodic reporting notice or a system information event-based reporting notice: (a) comes into force: (i) when it is given; or (ii) if a later time is specified in the notice—at that later time; and (b) remains in force for the period specified in the notice. (2) The period specified in the notice must not be longer than 12 months.</t>
        </is>
      </c>
      <c r="P475" s="12" t="n">
        <v>12</v>
      </c>
    </row>
    <row r="476">
      <c r="A476" t="inlineStr">
        <is>
          <t>Australia</t>
        </is>
      </c>
      <c r="B476" t="inlineStr">
        <is>
          <t>C2026C00213REC01 (Australia - Row 22)</t>
        </is>
      </c>
      <c r="C476" t="inlineStr">
        <is>
          <t>140</t>
        </is>
      </c>
      <c r="D476" s="11" t="inlineStr">
        <is>
          <t>System information reporting notices: periodic and event-based compliance</t>
        </is>
      </c>
      <c r="E476" t="inlineStr">
        <is>
          <t>152–153</t>
        </is>
      </c>
      <c r="F476" t="inlineStr">
        <is>
          <t>Medium</t>
        </is>
      </c>
      <c r="G476" t="inlineStr">
        <is>
          <t>High (explicit)</t>
        </is>
      </c>
      <c r="H476" s="11" t="inlineStr"/>
      <c r="I476" s="11" t="inlineStr"/>
      <c r="J476" t="inlineStr">
        <is>
          <t>Secretary</t>
        </is>
      </c>
      <c r="K476" s="11" t="inlineStr">
        <is>
          <t>Entities must comply with either a system information periodic reporting notice or a system information event-based reporting notice to the extent they are capable of doing so. The Secretary may issue fresh notices without preventing compliance. Entities cannot avoid reporting obligations due to potential self-incrimination concerns. Civil penalties apply for non-compliance with reporting notices.</t>
        </is>
      </c>
      <c r="L476" s="11" t="inlineStr">
        <is>
          <t>Requires entities to report system information periodically or event-triggered, with no self-incrimination exemption. Relevant for DTIA when assessing reporting obligations across borders for system information.</t>
        </is>
      </c>
      <c r="M476" s="11" t="inlineStr">
        <is>
          <t>• [Must] An entity must comply with a system information periodic reporting notice or a system information event-based reporting notice to the extent the entity is capable of doing so
• [May] The Secretary may issue a fresh system information periodic reporting notice without preventing compliance</t>
        </is>
      </c>
      <c r="N476" s="11" t="inlineStr">
        <is>
          <t>• [Must Not] An entity is not excused from giving a report under section 30DB or 30DC on the ground that the report might tend to incriminate the entity</t>
        </is>
      </c>
      <c r="O476" s="11" t="inlineStr">
        <is>
          <t>An entity must comply with: (a) a system information periodic reporting notice; or (b) a system information event-based reporting notice; to the extent that the entity is capable of doing so.</t>
        </is>
      </c>
      <c r="P476" s="12" t="n">
        <v>12</v>
      </c>
    </row>
    <row r="477">
      <c r="A477" t="inlineStr">
        <is>
          <t>Australia</t>
        </is>
      </c>
      <c r="B477" t="inlineStr">
        <is>
          <t>C2026C00213REC01 (Australia - Row 22)</t>
        </is>
      </c>
      <c r="C477" t="inlineStr">
        <is>
          <t>141</t>
        </is>
      </c>
      <c r="D477" s="11" t="inlineStr">
        <is>
          <t>Admissibility of system information reports in legal proceedings</t>
        </is>
      </c>
      <c r="E477" t="inlineStr">
        <is>
          <t>153–154</t>
        </is>
      </c>
      <c r="F477" t="inlineStr">
        <is>
          <t>Low</t>
        </is>
      </c>
      <c r="G477" t="inlineStr">
        <is>
          <t>High (explicit)</t>
        </is>
      </c>
      <c r="H477" s="11" t="inlineStr"/>
      <c r="I477" s="11" t="inlineStr"/>
      <c r="J477" t="inlineStr"/>
      <c r="K477" s="11" t="inlineStr">
        <is>
          <t>Reports given under section 30DB or 30DC are not admissible in criminal proceedings except for offences under section 137.2 of the Criminal Code. The report itself or the act of giving it cannot be used against an entity in criminal proceedings. This provision also applies to penalties related to non-compliance with reporting notices.</t>
        </is>
      </c>
      <c r="L477" s="11" t="inlineStr">
        <is>
          <t>Prevents system information reports from being used as evidence in criminal proceedings, relevant for DTIA when assessing legal defensibility of cross-border data transfers.</t>
        </is>
      </c>
      <c r="M477" s="11" t="inlineStr">
        <is>
          <t>• [Must Not] A report given under section 30DB or 30DC is not admissible in evidence against an entity in criminal proceedings other than proceedings for an offence against section 137.2 of the Criminal Code</t>
        </is>
      </c>
      <c r="N477" s="11" t="inlineStr"/>
      <c r="O477" s="11" t="inlineStr">
        <is>
          <t>If a report is given under section 30DB or 30DC: (a) the report; or (b) giving the report; is not admissible in evidence against an entity: (c) in criminal proceedings other than proceedings for an offence against section 137.2 of the Criminal Code that relates to this Act;</t>
        </is>
      </c>
      <c r="P477" s="12" t="n">
        <v>12</v>
      </c>
    </row>
    <row r="478">
      <c r="A478" t="inlineStr">
        <is>
          <t>Australia</t>
        </is>
      </c>
      <c r="B478" t="inlineStr">
        <is>
          <t>C2026C00213REC01 (Australia - Row 22)</t>
        </is>
      </c>
      <c r="C478" t="inlineStr">
        <is>
          <t>142</t>
        </is>
      </c>
      <c r="D478" s="11" t="inlineStr">
        <is>
          <t>System information software installation requirements</t>
        </is>
      </c>
      <c r="E478" t="inlineStr">
        <is>
          <t>154–155</t>
        </is>
      </c>
      <c r="F478" t="inlineStr">
        <is>
          <t>Medium</t>
        </is>
      </c>
      <c r="G478" t="inlineStr">
        <is>
          <t>High (explicit)</t>
        </is>
      </c>
      <c r="H478" s="11" t="inlineStr"/>
      <c r="I478" s="11" t="inlineStr"/>
      <c r="J478" t="inlineStr">
        <is>
          <t>Secretary</t>
        </is>
      </c>
      <c r="K478" s="11" t="inlineStr">
        <is>
          <t>Entities must install a specified computer program within a specified timeframe and maintain it. They must ensure continuous internet connectivity for the program to function. The Secretary may issue software notices that require specific technical capabilities for compliance. The notice must specify the program's purpose for collecting and transmitting information to ASD.</t>
        </is>
      </c>
      <c r="L478" s="11" t="inlineStr">
        <is>
          <t>Requires technical compliance with system information software, relevant for DTIA when assessing technical infrastructure for cross-border data transfers.</t>
        </is>
      </c>
      <c r="M478" s="11" t="inlineStr">
        <is>
          <t>• [Must] Install a specified computer program on the computer
• [Must] Do so within the period specified in the notice</t>
        </is>
      </c>
      <c r="N478" s="11" t="inlineStr">
        <is>
          <t>• [Must] Maintain the computer program installed in accordance with the notice
• [Must] Take all reasonable steps to ensure continuous internet connectivity for the program</t>
        </is>
      </c>
      <c r="O478" s="11" t="inlineStr">
        <is>
          <t>An entity must comply with: (a) both: (i) install a specified computer program on the computer; and (ii) do so within the period specified in the notice; and (b) maintain the computer program installed in accordance with paragraph (a); and (c) take all reasonable steps to ensure that the computer is continuously supplied with an internet carriage service that enables the computer program to function.</t>
        </is>
      </c>
      <c r="P478" s="12" t="n">
        <v>12</v>
      </c>
    </row>
    <row r="479">
      <c r="A479" t="inlineStr">
        <is>
          <t>Australia</t>
        </is>
      </c>
      <c r="B479" t="inlineStr">
        <is>
          <t>C2026C00213REC01 (Australia - Row 22)</t>
        </is>
      </c>
      <c r="C479" t="inlineStr">
        <is>
          <t>143</t>
        </is>
      </c>
      <c r="D479" s="11" t="inlineStr">
        <is>
          <t>System information software notice consultation and duration</t>
        </is>
      </c>
      <c r="E479" t="inlineStr">
        <is>
          <t>155–156</t>
        </is>
      </c>
      <c r="F479" t="inlineStr">
        <is>
          <t>Medium</t>
        </is>
      </c>
      <c r="G479" t="inlineStr">
        <is>
          <t>High (explicit)</t>
        </is>
      </c>
      <c r="H479" s="11" t="inlineStr"/>
      <c r="I479" s="11" t="inlineStr"/>
      <c r="J479" t="inlineStr">
        <is>
          <t>Secretary</t>
        </is>
      </c>
      <c r="K479" s="11" t="inlineStr">
        <is>
          <t>Before issuing a system information software notice, the Secretary must consult the relevant entity and the responsible entity if applicable. The notice comes into force when issued or at a later specified time and remains in force for up to 12 months. The Secretary may issue fresh notices without preventing compliance.</t>
        </is>
      </c>
      <c r="L479" s="11" t="inlineStr">
        <is>
          <t>Requires consultation before issuing software notices, relevant for DTIA when assessing notice issuance procedures for cross-border data transfers.</t>
        </is>
      </c>
      <c r="M479" s="11" t="inlineStr">
        <is>
          <t>• [Must] Before giving a system information software notice to a relevant entity for a system of national significance, the Secretary must consult the relevant entity
• [Must] Before giving a system information software notice to a relevant entity for a system of national significance, the Secretary must consult the responsible entity if the relevant entity is not the responsible entity</t>
        </is>
      </c>
      <c r="N479" s="11" t="inlineStr">
        <is>
          <t>• [Must] A system information software notice comes into force when it is given or at a later time specified in the notice
• [Must] A system information software notice remains in force for the period specified in the notice, not longer than 12 months</t>
        </is>
      </c>
      <c r="O479" s="11" t="inlineStr">
        <is>
          <t>Before giving a system information software notice to a relevant entity for a system of national significance, the Secretary must consult: (a) the relevant entity; and (b) if the relevant entity is not the responsible entity for the system of national significance—the responsible entity for the system of national significance.</t>
        </is>
      </c>
      <c r="P479" s="12" t="n">
        <v>12</v>
      </c>
    </row>
    <row r="480">
      <c r="A480" t="inlineStr">
        <is>
          <t>Australia</t>
        </is>
      </c>
      <c r="B480" t="inlineStr">
        <is>
          <t>C2026C00213REC01 (Australia - Row 22)</t>
        </is>
      </c>
      <c r="C480" t="inlineStr">
        <is>
          <t>144</t>
        </is>
      </c>
      <c r="D480" s="11" t="inlineStr">
        <is>
          <t>System information software compliance obligations</t>
        </is>
      </c>
      <c r="E480" t="inlineStr">
        <is>
          <t>156–157</t>
        </is>
      </c>
      <c r="F480" t="inlineStr">
        <is>
          <t>Medium</t>
        </is>
      </c>
      <c r="G480" t="inlineStr">
        <is>
          <t>High (explicit)</t>
        </is>
      </c>
      <c r="H480" s="11" t="inlineStr"/>
      <c r="I480" s="11" t="inlineStr"/>
      <c r="J480" t="inlineStr">
        <is>
          <t>Secretary</t>
        </is>
      </c>
      <c r="K480" s="11" t="inlineStr">
        <is>
          <t>Entities must comply with system information software notices to the extent they are capable of doing so. The Secretary may issue fresh notices without preventing compliance. Entities cannot avoid compliance due to potential self-incrimination concerns. Civil penalties apply for non-compliance.</t>
        </is>
      </c>
      <c r="L480" s="11" t="inlineStr">
        <is>
          <t>Requires entities to comply with system information software notices, relevant for DTIA when assessing technical compliance across borders.</t>
        </is>
      </c>
      <c r="M480" s="11" t="inlineStr">
        <is>
          <t>• [Must] An entity must comply with a system information software notice to the extent the entity is capable of doing so
• [May] The Secretary may issue a fresh system information software notice without preventing compliance</t>
        </is>
      </c>
      <c r="N480" s="11" t="inlineStr">
        <is>
          <t>• [Must Not] An entity is not excused from complying with a system information software notice on the ground that complying with the notice might tend to incriminate the entity</t>
        </is>
      </c>
      <c r="O480" s="11" t="inlineStr">
        <is>
          <t>An entity must comply with a system information software notice to the extent that the entity is capable of doing so.</t>
        </is>
      </c>
      <c r="P480" s="12" t="n">
        <v>12</v>
      </c>
    </row>
    <row r="481">
      <c r="A481" t="inlineStr">
        <is>
          <t>Australia</t>
        </is>
      </c>
      <c r="B481" t="inlineStr">
        <is>
          <t>C2026C00213REC01 (Australia - Row 22)</t>
        </is>
      </c>
      <c r="C481" t="inlineStr">
        <is>
          <t>145</t>
        </is>
      </c>
      <c r="D481" s="11" t="inlineStr">
        <is>
          <t>Designated officers appointment and scope</t>
        </is>
      </c>
      <c r="E481" t="inlineStr">
        <is>
          <t>157–158</t>
        </is>
      </c>
      <c r="F481" t="inlineStr">
        <is>
          <t>Low</t>
        </is>
      </c>
      <c r="G481" t="inlineStr">
        <is>
          <t>High (explicit)</t>
        </is>
      </c>
      <c r="H481" s="11" t="inlineStr"/>
      <c r="I481" s="11" t="inlineStr"/>
      <c r="J481" t="inlineStr">
        <is>
          <t>Secretary</t>
        </is>
      </c>
      <c r="K481" s="11" t="inlineStr">
        <is>
          <t>Designated officers are appointed by the Secretary in writing. They must be Departmental employees or staff members of ASD with Director-General approval. The Secretary may declare specific classes of employees or staff as designated officers. Designated officers are not legislative instruments.</t>
        </is>
      </c>
      <c r="L481" s="11" t="inlineStr">
        <is>
          <t>Defines who can act as designated officers for system information purposes, relevant for DTIA when assessing roles in cross-border data handling.</t>
        </is>
      </c>
      <c r="M481" s="11" t="inlineStr">
        <is>
          <t>• [Must] A designated officer is an individual appointed by the Secretary, in writing, to be a designated officer for the purposes of this Act
• [Must] The Secretary must not appoint an individual unless they are a Departmental employee or both a staff member of ASD and have Director-General approval
• [May] The Secretary may declare specific classes of Departmental employees as designated officers</t>
        </is>
      </c>
      <c r="N481" s="11" t="inlineStr">
        <is>
          <t>• [May] The Secretary may declare specific classes of ASD staff members as designated officers
• [Must] The Secretary must not make a declaration unless the Director-General of ASD has agreed</t>
        </is>
      </c>
      <c r="O481" s="11" t="inlineStr">
        <is>
          <t>A designated officer is an individual appointed by the Secretary, in writing, to be a designated officer for the purposes of this Act.</t>
        </is>
      </c>
      <c r="P481" s="12" t="n">
        <v>12</v>
      </c>
    </row>
    <row r="482">
      <c r="A482" t="inlineStr">
        <is>
          <t>Australia</t>
        </is>
      </c>
      <c r="B482" t="inlineStr">
        <is>
          <t>C2026C00213REC01 (Australia - Row 22)</t>
        </is>
      </c>
      <c r="C482" t="inlineStr">
        <is>
          <t>146</t>
        </is>
      </c>
      <c r="D482" s="11" t="inlineStr">
        <is>
          <t>Critical telecommunications assets: security and hazard protection obligations</t>
        </is>
      </c>
      <c r="E482" t="inlineStr">
        <is>
          <t>158–159</t>
        </is>
      </c>
      <c r="F482" t="inlineStr">
        <is>
          <t>High</t>
        </is>
      </c>
      <c r="G482" t="inlineStr">
        <is>
          <t>High (explicit)</t>
        </is>
      </c>
      <c r="H482" s="11" t="inlineStr">
        <is>
          <t>Security</t>
        </is>
      </c>
      <c r="I482" s="11" t="inlineStr"/>
      <c r="J482" t="inlineStr">
        <is>
          <t>Secretary</t>
        </is>
      </c>
      <c r="K482" s="11" t="inlineStr">
        <is>
          <t>Critical telecommunications assets prescribed by rules must protect the asset for security purposes and from hazards with material risk of impact. Responsible entities must notify the Secretary of changes or proposed changes likely to impair their ability to meet these security obligations. The Minister may prohibit carriage services if they threaten security.</t>
        </is>
      </c>
      <c r="L482" s="11" t="inlineStr">
        <is>
          <t>Requires critical telecom assets to maintain security and hazard protection; mandates notifications for changes affecting security compliance; allows regulator to block services posing security risks.</t>
        </is>
      </c>
      <c r="M482" s="11" t="inlineStr">
        <is>
          <t>• [Must] Responsible entity for a critical telecommunications asset must protect the asset for security purposes so far as reasonably practicable
• [Must] Responsible entity must protect the asset from hazards with material risk of impact on the asset</t>
        </is>
      </c>
      <c r="N482" s="11" t="inlineStr">
        <is>
          <t>• [Must] Responsible entity must notify the Secretary of changes or proposed changes likely to impair security compliance</t>
        </is>
      </c>
      <c r="O482" s="11" t="inlineStr">
        <is>
          <t>The responsible entity for a critical telecommunications asset that is prescribed by the rules has an obligation to protect the asset, so far as it is reasonably practicable to do so, for the purposes of: (a) security; and (b) the protection of the asset from any hazard where there is a material risk that the occurrence of the hazard could have a relevant impact on the asset.</t>
        </is>
      </c>
      <c r="P482" s="12" t="n">
        <v>12</v>
      </c>
    </row>
    <row r="483">
      <c r="A483" t="inlineStr">
        <is>
          <t>Australia</t>
        </is>
      </c>
      <c r="B483" t="inlineStr">
        <is>
          <t>C2026C00213REC01 (Australia - Row 22)</t>
        </is>
      </c>
      <c r="C483" t="inlineStr">
        <is>
          <t>147</t>
        </is>
      </c>
      <c r="D483" s="11" t="inlineStr">
        <is>
          <t>Critical telecommunications assets: confidentiality and availability obligations</t>
        </is>
      </c>
      <c r="E483" t="inlineStr">
        <is>
          <t>159–160</t>
        </is>
      </c>
      <c r="F483" t="inlineStr">
        <is>
          <t>High</t>
        </is>
      </c>
      <c r="G483" t="inlineStr">
        <is>
          <t>High (explicit)</t>
        </is>
      </c>
      <c r="H483" s="11" t="inlineStr">
        <is>
          <t>Security</t>
        </is>
      </c>
      <c r="I483" s="11" t="inlineStr"/>
      <c r="J483" t="inlineStr">
        <is>
          <t>Secretary</t>
        </is>
      </c>
      <c r="K483" s="11" t="inlineStr">
        <is>
          <t>Responsible entities must ensure confidentiality of communications and availability/integrity of critical telecommunications assets so far as reasonably practicable. This includes compliance with critical infrastructure risk management programs and maintaining competent supervision of the asset. The entity is not liable for damages arising from compliance with these obligations.</t>
        </is>
      </c>
      <c r="L483" s="11" t="inlineStr">
        <is>
          <t>Mandates confidentiality and availability/integrity for critical telecom assets; requires adherence to risk management programs; provides immunity from liability for compliance.</t>
        </is>
      </c>
      <c r="M483" s="11" t="inlineStr">
        <is>
          <t>• [Must] Responsible entity must ensure confidentiality of communications carried on and information contained on the asset
• [Must] Responsible entity must ensure availability and integrity of the asset</t>
        </is>
      </c>
      <c r="N483" s="11" t="inlineStr">
        <is>
          <t>• [Must] Responsible entity must comply with critical infrastructure risk management programs
• [Must] Responsible entity must maintain competent supervision and effective control over the asset</t>
        </is>
      </c>
      <c r="O483" s="11" t="inlineStr">
        <is>
          <t>For the purposes of security and the protection of a critical telecommunications asset from any hazard where there is a material risk that the occurrence of the hazard could have a relevant impact on the asset, the responsible entity for the asset must, so far as it is reasonably practicable to do so, protect the asset to ensure: (a) the confidentiality of communications (as defined in the Telecommunications Act 1997) carried on, and of information contained on, the asset; and (b) the availability and integrity of the asset.</t>
        </is>
      </c>
      <c r="P483" s="12" t="n">
        <v>12</v>
      </c>
    </row>
    <row r="484">
      <c r="A484" t="inlineStr">
        <is>
          <t>Australia</t>
        </is>
      </c>
      <c r="B484" t="inlineStr">
        <is>
          <t>C2026C00213REC01 (Australia - Row 22)</t>
        </is>
      </c>
      <c r="C484" t="inlineStr">
        <is>
          <t>148</t>
        </is>
      </c>
      <c r="D484" s="11" t="inlineStr">
        <is>
          <t>Liability exemption for compliance with security obligations</t>
        </is>
      </c>
      <c r="E484" t="inlineStr">
        <is>
          <t>160–161</t>
        </is>
      </c>
      <c r="F484" t="inlineStr">
        <is>
          <t>High</t>
        </is>
      </c>
      <c r="G484" t="inlineStr">
        <is>
          <t>High (explicit)</t>
        </is>
      </c>
      <c r="H484" s="11" t="inlineStr"/>
      <c r="I484" s="11" t="inlineStr"/>
      <c r="J484" t="inlineStr"/>
      <c r="K484" s="11" t="inlineStr">
        <is>
          <t>Entities are not liable for damages arising from compliance with security obligations under this section. Officers, employees, and agents of the entity are not liable for damages resulting from the entity's compliance with these obligations.</t>
        </is>
      </c>
      <c r="L484" s="11" t="inlineStr">
        <is>
          <t>Provides immunity from liability for entities complying with critical telecom security obligations.</t>
        </is>
      </c>
      <c r="M484" s="11" t="inlineStr">
        <is>
          <t>• [Must] An entity is not liable to an action or other proceeding for damages for performance of the obligation imposed by subsection (2)</t>
        </is>
      </c>
      <c r="N484" s="11" t="inlineStr">
        <is>
          <t>• [Must] An officer, employee or agent of an entity is not liable to an action for the entity as mentioned in subsection (4)</t>
        </is>
      </c>
      <c r="O484" s="11" t="inlineStr">
        <is>
          <t>An entity is not liable to an action or other proceeding for damages performance of the obligation imposed by subsection (2).</t>
        </is>
      </c>
      <c r="P484" s="12" t="n">
        <v>12</v>
      </c>
    </row>
    <row r="485">
      <c r="A485" t="inlineStr">
        <is>
          <t>Australia</t>
        </is>
      </c>
      <c r="B485" t="inlineStr">
        <is>
          <t>C2026C00213REC01 (Australia - Row 22)</t>
        </is>
      </c>
      <c r="C485" t="inlineStr">
        <is>
          <t>149</t>
        </is>
      </c>
      <c r="D485" s="11" t="inlineStr">
        <is>
          <t>Notification obligations for changes to critical telecom assets</t>
        </is>
      </c>
      <c r="E485" t="inlineStr">
        <is>
          <t>161–162</t>
        </is>
      </c>
      <c r="F485" t="inlineStr">
        <is>
          <t>High</t>
        </is>
      </c>
      <c r="G485" t="inlineStr">
        <is>
          <t>High (explicit)</t>
        </is>
      </c>
      <c r="H485" s="11" t="inlineStr"/>
      <c r="I485" s="11" t="inlineStr"/>
      <c r="J485" t="inlineStr">
        <is>
          <t>Secretary</t>
        </is>
      </c>
      <c r="K485" s="11" t="inlineStr">
        <is>
          <t>Responsible entities must notify the Secretary in writing of changes or proposed changes to telecommunications services/systems likely to impair security compliance. Notifications must specify the asset, describe the change, and include prescribed information. The Secretary may require additional information within 44 business days.</t>
        </is>
      </c>
      <c r="L485" s="11" t="inlineStr">
        <is>
          <t>Requires notifications for changes affecting critical telecom security; mandates detailed reporting; allows regulator to request additional information within 44 business days.</t>
        </is>
      </c>
      <c r="M485" s="11" t="inlineStr">
        <is>
          <t>• [Must] Responsible entity must notify the Secretary in writing of changes or proposed changes likely to impair security compliance
• [Must] Notification must specify the critical telecommunications asset</t>
        </is>
      </c>
      <c r="N485" s="11" t="inlineStr">
        <is>
          <t>• [Must] Notification must include a description of the change or proposed change
• [Must] Notification must include prescribed information related to changes</t>
        </is>
      </c>
      <c r="O485" s="11" t="inlineStr">
        <is>
          <t>As soon as reasonably practicable after becoming aware that the change, or proposed change, is likely to have a material adverse effect as mentioned in subsection (1), the responsible entity for the critical telecommunications asset must: (a) notify the Secretary, in writing, of the change, or of the entity's intention to implement the proposed change; and (b) specify the asset in the notification; and (c) include in the notification a description of the change or proposed change; and (d) in relation to the change or proposed change—include in the notification any other information of a kind prescribed by the rules for the purposes of this paragraph.</t>
        </is>
      </c>
      <c r="P485" s="12" t="n">
        <v>12</v>
      </c>
    </row>
    <row r="486">
      <c r="A486" t="inlineStr">
        <is>
          <t>Australia</t>
        </is>
      </c>
      <c r="B486" t="inlineStr">
        <is>
          <t>C2026C00213REC01 (Australia - Row 22)</t>
        </is>
      </c>
      <c r="C486" t="inlineStr">
        <is>
          <t>150</t>
        </is>
      </c>
      <c r="D486" s="11" t="inlineStr">
        <is>
          <t>Secretary's assessment of notified changes and proposed changes</t>
        </is>
      </c>
      <c r="E486" t="inlineStr">
        <is>
          <t>162–163</t>
        </is>
      </c>
      <c r="F486" t="inlineStr">
        <is>
          <t>High</t>
        </is>
      </c>
      <c r="G486" t="inlineStr">
        <is>
          <t>High (explicit)</t>
        </is>
      </c>
      <c r="H486" s="11" t="inlineStr"/>
      <c r="I486" s="11" t="inlineStr"/>
      <c r="J486" t="inlineStr">
        <is>
          <t>Secretary</t>
        </is>
      </c>
      <c r="K486" s="11" t="inlineStr">
        <is>
          <t>The Secretary must assess notified changes within 22 business days. If further information is needed, the Secretary may require the entity to provide it within 44 business days. The entity must comply with any such notices. The Secretary may issue additional notices if more information is required.</t>
        </is>
      </c>
      <c r="L486" s="11" t="inlineStr">
        <is>
          <t>Regulator assesses changes within 22 business days; may request additional information within 44 business days; entity must comply with notices.</t>
        </is>
      </c>
      <c r="M486" s="11" t="inlineStr">
        <is>
          <t>• [Must] Secretary must give notice to entity within 22 business days after receiving notification
• [Must] Secretary may require entity to provide specified further information within 44 business days</t>
        </is>
      </c>
      <c r="N486" s="11" t="inlineStr">
        <is>
          <t>• [Must] Entity must comply with notices from Secretary</t>
        </is>
      </c>
      <c r="O486" s="11" t="inlineStr">
        <is>
          <t>The Secretary must give any notice under subsection (4) by the end of 22 business days after the day the Secretary receives the notification under subsection (2).</t>
        </is>
      </c>
      <c r="P486" s="12" t="n">
        <v>12</v>
      </c>
    </row>
    <row r="487">
      <c r="A487" t="inlineStr">
        <is>
          <t>Australia</t>
        </is>
      </c>
      <c r="B487" t="inlineStr">
        <is>
          <t>C2026C00213REC01 (Australia - Row 22)</t>
        </is>
      </c>
      <c r="C487" t="inlineStr">
        <is>
          <t>152</t>
        </is>
      </c>
      <c r="D487" s="11" t="inlineStr">
        <is>
          <t>Notification of security risks from telecommunications changes</t>
        </is>
      </c>
      <c r="E487" t="inlineStr">
        <is>
          <t>164–165</t>
        </is>
      </c>
      <c r="F487" t="inlineStr">
        <is>
          <t>Medium</t>
        </is>
      </c>
      <c r="G487" t="inlineStr">
        <is>
          <t>High (explicit)</t>
        </is>
      </c>
      <c r="H487" s="11" t="inlineStr">
        <is>
          <t>Security</t>
        </is>
      </c>
      <c r="I487" s="11" t="inlineStr">
        <is>
          <t>Special Personal Information</t>
        </is>
      </c>
      <c r="J487" t="inlineStr">
        <is>
          <t>Secretary</t>
        </is>
      </c>
      <c r="K487" s="11" t="inlineStr">
        <is>
          <t>The Secretary must notify an entity in writing if they determine a change or proposed change to telecommunications services poses a security risk. The notice specifies the entity's obligation to mitigate risks and consequences for non-compliance. The Secretary may also recommend risk-reduction measures. This applies to entities subject to telecommunications regulations.</t>
        </is>
      </c>
      <c r="L487" s="11" t="inlineStr">
        <is>
          <t>Requires written notification to entities when telecommunications changes pose security risks, including obligations to mitigate risks and consequences for non-compliance. Relevant for assessing security risks in cross-border telecommunications data transfers.</t>
        </is>
      </c>
      <c r="M487" s="11" t="inlineStr">
        <is>
          <t>• [Must] Secretary must give written notice to entity advising of security risk from telecommunications changes
• [Must] Secretary must set out entity's obligation to mitigate risks</t>
        </is>
      </c>
      <c r="N487" s="11" t="inlineStr">
        <is>
          <t>• [Must] Secretary must specify consequences for non-compliance with obligations
• [May] Secretary may set out measures to eliminate or reduce risks</t>
        </is>
      </c>
      <c r="O487" s="11" t="inlineStr">
        <is>
          <t>the Secretary must give a written notice to the entity: (i) advising the entity of that risk; and (ii) setting out the entity's obligation under subsection 30EB(2); and (iii) setting out the consequences for the entity for not complying with that obligation</t>
        </is>
      </c>
      <c r="P487" s="12" t="n">
        <v>12</v>
      </c>
    </row>
    <row r="488">
      <c r="A488" t="inlineStr">
        <is>
          <t>Australia</t>
        </is>
      </c>
      <c r="B488" t="inlineStr">
        <is>
          <t>C2026C00213REC01 (Australia - Row 22)</t>
        </is>
      </c>
      <c r="C488" t="inlineStr">
        <is>
          <t>153</t>
        </is>
      </c>
      <c r="D488" s="11" t="inlineStr">
        <is>
          <t>Definition of telecommunications changes affecting security</t>
        </is>
      </c>
      <c r="E488" t="inlineStr">
        <is>
          <t>165–166</t>
        </is>
      </c>
      <c r="F488" t="inlineStr">
        <is>
          <t>Low</t>
        </is>
      </c>
      <c r="G488" t="inlineStr">
        <is>
          <t>High (explicit)</t>
        </is>
      </c>
      <c r="H488" s="11" t="inlineStr"/>
      <c r="I488" s="11" t="inlineStr">
        <is>
          <t>Special Personal Information</t>
        </is>
      </c>
      <c r="J488" t="inlineStr"/>
      <c r="K488" s="11" t="inlineStr">
        <is>
          <t>This section defines what constitutes a 'change or proposed change' to telecommunications services or systems for security purposes. It includes new services, equipment relocation outside Australia, procurement of equipment outside Australia, outsourcing arrangements, and data access outside Australia. The definition excludes changes determined by legislative instruments.</t>
        </is>
      </c>
      <c r="L488" s="11" t="inlineStr"/>
      <c r="M488" s="11" t="inlineStr">
        <is>
          <t>• [Definition] Change or proposed change to telecommunications service includes new services provided by entity
• [Definition] Change or proposed change includes relocating notifiable equipment outside Australia
• [Definition] Change or proposed change includes procuring notifiable equipment outside Australia</t>
        </is>
      </c>
      <c r="N488" s="11" t="inlineStr">
        <is>
          <t>• [Definition] Change or proposed change includes outsourcing telecommunication services
• [Definition] Change or proposed change includes having information accessed outside Australia
• [Definition] Change or proposed change includes keeping information outside Australia</t>
        </is>
      </c>
      <c r="O488" s="11" t="inlineStr">
        <is>
          <t>a change or proposed change to a telecommunications service or a telecommunications system includes (but is not limited to) the following: (a) the responsible entity concerned providing one or more new telecommunication services; (b) the responsible entity concerned changing the location of notifiable equipment (including moving equipment outside Australia);</t>
        </is>
      </c>
      <c r="P488" s="12" t="n">
        <v>12</v>
      </c>
    </row>
    <row r="489">
      <c r="A489" t="inlineStr">
        <is>
          <t>Australia</t>
        </is>
      </c>
      <c r="B489" t="inlineStr">
        <is>
          <t>C2026C00213REC01 (Australia - Row 22)</t>
        </is>
      </c>
      <c r="C489" t="inlineStr">
        <is>
          <t>154</t>
        </is>
      </c>
      <c r="D489" s="11" t="inlineStr">
        <is>
          <t>Exclusion of changes determined by legislative instruments</t>
        </is>
      </c>
      <c r="E489" t="inlineStr">
        <is>
          <t>166–167</t>
        </is>
      </c>
      <c r="F489" t="inlineStr">
        <is>
          <t>Low</t>
        </is>
      </c>
      <c r="G489" t="inlineStr">
        <is>
          <t>High (explicit)</t>
        </is>
      </c>
      <c r="H489" s="11" t="inlineStr"/>
      <c r="I489" s="11" t="inlineStr">
        <is>
          <t>Special Personal Information</t>
        </is>
      </c>
      <c r="J489" t="inlineStr"/>
      <c r="K489" s="11" t="inlineStr">
        <is>
          <t>This section states that changes or proposed changes to telecommunications services that are determined by a legislative instrument under subsection (3) are excluded from the scope of this Division. It allows the Secretary to make determinations for the purposes of excluding certain changes.</t>
        </is>
      </c>
      <c r="L489" s="11" t="inlineStr"/>
      <c r="M489" s="11" t="inlineStr">
        <is>
          <t>• [Definition] Changes or proposed changes determined in an instrument under subsection (3) are excluded from this Division</t>
        </is>
      </c>
      <c r="N489" s="11" t="inlineStr"/>
      <c r="O489" s="11" t="inlineStr">
        <is>
          <t>are changes, or proposed changes, determined in an instrument under subsection (3)</t>
        </is>
      </c>
      <c r="P489" s="12" t="n">
        <v>12</v>
      </c>
    </row>
    <row r="490">
      <c r="A490" t="inlineStr">
        <is>
          <t>Australia</t>
        </is>
      </c>
      <c r="B490" t="inlineStr">
        <is>
          <t>C2026C00213REC01 (Australia - Row 22)</t>
        </is>
      </c>
      <c r="C490" t="inlineStr">
        <is>
          <t>155</t>
        </is>
      </c>
      <c r="D490" s="11" t="inlineStr">
        <is>
          <t>Minister's direction to cease telecommunications services</t>
        </is>
      </c>
      <c r="E490" t="inlineStr">
        <is>
          <t>167–168</t>
        </is>
      </c>
      <c r="F490" t="inlineStr">
        <is>
          <t>High</t>
        </is>
      </c>
      <c r="G490" t="inlineStr">
        <is>
          <t>High (explicit)</t>
        </is>
      </c>
      <c r="H490" s="11" t="inlineStr">
        <is>
          <t>Security</t>
        </is>
      </c>
      <c r="I490" s="11" t="inlineStr">
        <is>
          <t>Special Personal Information</t>
        </is>
      </c>
      <c r="J490" t="inlineStr">
        <is>
          <t>Minister</t>
        </is>
      </c>
      <c r="K490" s="11" t="inlineStr">
        <is>
          <t>The Minister may direct an entity to cease using or supplying carriage services if they pose a security risk. The direction must be general, specify a reasonable compliance period, and require an adverse security assessment. The Minister must also provide a copy to ACMA. Entities must comply with directions without liability for damages.</t>
        </is>
      </c>
      <c r="L490" s="11" t="inlineStr">
        <is>
          <t>Requires the Minister to issue security-related directions for telecommunications services that pose risks, with specific conditions on scope, duration, and assessment. Relevant for assessing security impacts of cross-border telecommunications data transfers.</t>
        </is>
      </c>
      <c r="M490" s="11" t="inlineStr">
        <is>
          <t>• [May] Minister may direct entity not to use or supply carriage services
• [Must] Direction must relate to carriage service generally and not specific persons
• [Must] Direction must specify reasonable period for compliance</t>
        </is>
      </c>
      <c r="N490" s="11" t="inlineStr">
        <is>
          <t>• [Must] Minister must not issue direction without adverse security assessment
• [Must] Minister must provide copy of direction to ACMA
• [Must] Entity must comply with direction without liability for damages</t>
        </is>
      </c>
      <c r="O490" s="11" t="inlineStr">
        <is>
          <t>the Minister may give the entity a written direction not to use or supply, or to cease using or supplying, the carriage service or the carriage services</t>
        </is>
      </c>
      <c r="P490" s="12" t="n">
        <v>12</v>
      </c>
    </row>
    <row r="491">
      <c r="A491" t="inlineStr">
        <is>
          <t>Australia</t>
        </is>
      </c>
      <c r="B491" t="inlineStr">
        <is>
          <t>C2026C00213REC01 (Australia - Row 22)</t>
        </is>
      </c>
      <c r="C491" t="inlineStr">
        <is>
          <t>156</t>
        </is>
      </c>
      <c r="D491" s="11" t="inlineStr">
        <is>
          <t>Compliance with security directions</t>
        </is>
      </c>
      <c r="E491" t="inlineStr">
        <is>
          <t>168–169</t>
        </is>
      </c>
      <c r="F491" t="inlineStr">
        <is>
          <t>High</t>
        </is>
      </c>
      <c r="G491" t="inlineStr">
        <is>
          <t>High (explicit)</t>
        </is>
      </c>
      <c r="H491" s="11" t="inlineStr">
        <is>
          <t>Security</t>
        </is>
      </c>
      <c r="I491" s="11" t="inlineStr">
        <is>
          <t>Special Personal Information</t>
        </is>
      </c>
      <c r="J491" t="inlineStr"/>
      <c r="K491" s="11" t="inlineStr">
        <is>
          <t>Entities must comply with Ministerial directions to cease using or supplying carriage services. Non-compliance does not result in liability for damages. Officers, employees, and agents of the entity are also not liable for non-compliance. This section does not limit other security-related directions.</t>
        </is>
      </c>
      <c r="L491" s="11" t="inlineStr">
        <is>
          <t>Requires entities to comply with security-related directions without liability, relevant for assessing compliance risks in cross-border telecommunications data transfers.</t>
        </is>
      </c>
      <c r="M491" s="11" t="inlineStr">
        <is>
          <t>• [Must] Entity must comply with direction to cease using or supplying carriage services
• [Must] Entity is not liable for damages due to non-compliance</t>
        </is>
      </c>
      <c r="N491" s="11" t="inlineStr">
        <is>
          <t>• [Must] Officers, employees, and agents are not liable for non-compliance</t>
        </is>
      </c>
      <c r="O491" s="11" t="inlineStr">
        <is>
          <t>The responsible entity for a critical telecommunications asset must comply with a direction given to the entity under subsection (1)</t>
        </is>
      </c>
      <c r="P491" s="12" t="n">
        <v>12</v>
      </c>
    </row>
    <row r="492">
      <c r="A492" t="inlineStr">
        <is>
          <t>Australia</t>
        </is>
      </c>
      <c r="B492" t="inlineStr">
        <is>
          <t>C2026C00213REC01 (Australia - Row 22)</t>
        </is>
      </c>
      <c r="C492" t="inlineStr">
        <is>
          <t>157</t>
        </is>
      </c>
      <c r="D492" s="11" t="inlineStr">
        <is>
          <t>Minister's simplified security direction framework</t>
        </is>
      </c>
      <c r="E492" t="inlineStr">
        <is>
          <t>169–170</t>
        </is>
      </c>
      <c r="F492" t="inlineStr">
        <is>
          <t>High</t>
        </is>
      </c>
      <c r="G492" t="inlineStr">
        <is>
          <t>High (explicit)</t>
        </is>
      </c>
      <c r="H492" s="11" t="inlineStr">
        <is>
          <t>Security</t>
        </is>
      </c>
      <c r="I492" s="11" t="inlineStr">
        <is>
          <t>Special Personal Information</t>
        </is>
      </c>
      <c r="J492" t="inlineStr">
        <is>
          <t>Minister</t>
        </is>
      </c>
      <c r="K492" s="11" t="inlineStr">
        <is>
          <t>This section outlines the Minister's authority to require reporting entities or critical infrastructure operators to take or refrain from actions if there is a risk of security-prejudicing acts or omissions. The direction requires specific criteria and consultation to be met.</t>
        </is>
      </c>
      <c r="L492" s="11" t="inlineStr">
        <is>
          <t>Provides a simplified framework for security-related directions, relevant for assessing security risks in cross-border telecommunications data transfers.</t>
        </is>
      </c>
      <c r="M492" s="11" t="inlineStr">
        <is>
          <t>• [May] Minister may require entity to do or refrain from acting if security risk exists</t>
        </is>
      </c>
      <c r="N492" s="11" t="inlineStr">
        <is>
          <t>• [Must] Direction requires specific criteria and consultation to be met</t>
        </is>
      </c>
      <c r="O492" s="11" t="inlineStr">
        <is>
          <t>The Minister may require a reporting entity for, or an operator of, a critical infrastructure asset to do, or refrain from doing, an act or thing, if the Minister is satisfied that there is a risk of an act or omission that would be prejudicial to security</t>
        </is>
      </c>
      <c r="P492" s="12" t="n">
        <v>12</v>
      </c>
    </row>
    <row r="493">
      <c r="A493" t="inlineStr">
        <is>
          <t>Australia</t>
        </is>
      </c>
      <c r="B493" t="inlineStr">
        <is>
          <t>C2026C00213REC01 (Australia - Row 22)</t>
        </is>
      </c>
      <c r="C493" t="inlineStr">
        <is>
          <t>158</t>
        </is>
      </c>
      <c r="D493" s="11" t="inlineStr">
        <is>
          <t>Minister's security directions for critical infrastructure entities</t>
        </is>
      </c>
      <c r="E493" t="inlineStr">
        <is>
          <t>170–171</t>
        </is>
      </c>
      <c r="F493" t="inlineStr">
        <is>
          <t>High</t>
        </is>
      </c>
      <c r="G493" t="inlineStr">
        <is>
          <t>High (explicit)</t>
        </is>
      </c>
      <c r="H493" s="11" t="inlineStr">
        <is>
          <t>Security</t>
        </is>
      </c>
      <c r="I493" s="11" t="inlineStr">
        <is>
          <t>Special Personal Information</t>
        </is>
      </c>
      <c r="J493" t="inlineStr">
        <is>
          <t>Minister</t>
        </is>
      </c>
      <c r="K493" s="11" t="inlineStr">
        <is>
          <t>The Minister may issue written directions requiring critical infrastructure entities to perform or refrain from specific acts within a set timeframe. These directions are only valid if the Minister is satisfied the action is necessary to eliminate or reduce security risks, reasonable negotiation attempts were made, an adverse security assessment exists, and no existing regulatory system could address the risk. The Minister must also consult relevant State/Territory authorities before issuing directions.</t>
        </is>
      </c>
      <c r="L493" s="11" t="inlineStr">
        <is>
          <t>This section establishes conditions for security-related directions that could impact data transfers if critical infrastructure entities handle data subject to such directions.</t>
        </is>
      </c>
      <c r="M493" s="11" t="inlineStr">
        <is>
          <t>• [Must] The Minister may give an entity a written direction requiring it to do or refrain from doing a specified act within a specified period
• [Must] The Minister must satisfy that requiring the entity to act is reasonably necessary to eliminate or reduce security risks
• [Must] The Minister must satisfy that reasonable negotiation steps were taken to avoid directions</t>
        </is>
      </c>
      <c r="N493" s="11" t="inlineStr">
        <is>
          <t>• [Must] The Minister must have an adverse security assessment for the entity
• [Must] The Minister must satisfy no existing regulatory system could eliminate or reduce the risk
• [Must] The Minister must consult relevant State/Territory authorities before issuing directions</t>
        </is>
      </c>
      <c r="O493" s="11" t="inlineStr">
        <is>
          <t>The Minister may, subject to subsections (3) and (4), give an entity that is a reporting entity for, or an operator of, a critical infrastructure asset a written direction requiring the entity to do, or refrain from doing, a specified act or thing within the period specified in the direction.</t>
        </is>
      </c>
      <c r="P493" s="12" t="n">
        <v>12</v>
      </c>
    </row>
    <row r="494">
      <c r="A494" t="inlineStr">
        <is>
          <t>Australia</t>
        </is>
      </c>
      <c r="B494" t="inlineStr">
        <is>
          <t>C2026C00213REC01 (Australia - Row 22)</t>
        </is>
      </c>
      <c r="C494" t="inlineStr">
        <is>
          <t>159</t>
        </is>
      </c>
      <c r="D494" s="11" t="inlineStr">
        <is>
          <t>Minister's considerations for security directions</t>
        </is>
      </c>
      <c r="E494" t="inlineStr">
        <is>
          <t>171–172</t>
        </is>
      </c>
      <c r="F494" t="inlineStr">
        <is>
          <t>High</t>
        </is>
      </c>
      <c r="G494" t="inlineStr">
        <is>
          <t>High (explicit)</t>
        </is>
      </c>
      <c r="H494" s="11" t="inlineStr">
        <is>
          <t>Security</t>
        </is>
      </c>
      <c r="I494" s="11" t="inlineStr">
        <is>
          <t>Special Personal Information</t>
        </is>
      </c>
      <c r="J494" t="inlineStr">
        <is>
          <t>Minister</t>
        </is>
      </c>
      <c r="K494" s="11" t="inlineStr">
        <is>
          <t>Before issuing a security direction, the Minister must consider adverse security assessments, compliance costs, potential competition impacts, customer consequences, and representations from the entity or consulted authorities. The Minister must prioritize the adverse security assessment and may consider other relevant matters.</t>
        </is>
      </c>
      <c r="L494" s="11" t="inlineStr">
        <is>
          <t>This section specifies considerations that could affect data transfers when critical infrastructure entities are subject to security directions.</t>
        </is>
      </c>
      <c r="M494" s="11" t="inlineStr">
        <is>
          <t>• [Must] The Minister must consider adverse security assessment for the entity
• [Must] The Minister must consider costs of compliance with the direction
• [Must] The Minister must consider potential competition impacts in the critical infrastructure sector</t>
        </is>
      </c>
      <c r="N494" s="11" t="inlineStr">
        <is>
          <t>• [Must] The Minister must consider potential customer impacts of the direction
• [Must] The Minister must consider representations from the entity or consulted authorities
• [Must] The Minister must prioritize the adverse security assessment</t>
        </is>
      </c>
      <c r="O494" s="11" t="inlineStr">
        <is>
          <t>Before giving the entity the direction, the Minister must have regard to the following: (a) the adverse security assessment mentioned in paragraph (3)(c); (b) the costs that would be likely to be incurred by the entity in complying with the direction; (c) the potential consequences that the direction may have on competition in the relevant critical infrastructure sector; (d) the potential consequences that the direction may have on customers of, or services provided by, the entity; (e) any representations given by the entity or a consulted Minister under subsection 33(2) within the period specified for that purpose.</t>
        </is>
      </c>
      <c r="P494" s="12" t="n">
        <v>12</v>
      </c>
    </row>
    <row r="495">
      <c r="A495" t="inlineStr">
        <is>
          <t>Australia</t>
        </is>
      </c>
      <c r="B495" t="inlineStr">
        <is>
          <t>C2026C00213REC01 (Australia - Row 22)</t>
        </is>
      </c>
      <c r="C495" t="inlineStr">
        <is>
          <t>160</t>
        </is>
      </c>
      <c r="D495" s="11" t="inlineStr">
        <is>
          <t>Consultation requirements for security directions</t>
        </is>
      </c>
      <c r="E495" t="inlineStr">
        <is>
          <t>172–173</t>
        </is>
      </c>
      <c r="F495" t="inlineStr">
        <is>
          <t>High</t>
        </is>
      </c>
      <c r="G495" t="inlineStr">
        <is>
          <t>High (explicit)</t>
        </is>
      </c>
      <c r="H495" s="11" t="inlineStr">
        <is>
          <t>Security</t>
        </is>
      </c>
      <c r="I495" s="11" t="inlineStr">
        <is>
          <t>Special Personal Information</t>
        </is>
      </c>
      <c r="J495" t="inlineStr">
        <is>
          <t>Minister</t>
        </is>
      </c>
      <c r="K495" s="11" t="inlineStr">
        <is>
          <t>The Minister must consult relevant State/Territory authorities before issuing security directions. The consultation notice must allow at least 28 days for written representations from the entity and consulted authorities, unless urgent circumstances require a shorter period. The consultation process does not limit the persons with whom the Minister may consult.</t>
        </is>
      </c>
      <c r="L495" s="11" t="inlineStr">
        <is>
          <t>This section mandates consultation procedures that could impact data transfers when critical infrastructure entities are subject to security directions.</t>
        </is>
      </c>
      <c r="M495" s="11" t="inlineStr">
        <is>
          <t>• [Must] The Minister must consult the First Minister of the State, ACT, or NT where the critical infrastructure asset is located
• [Must] The Minister must consult each relevant State/Territory Minister responsible for critical infrastructure regulation
• [Must] The Minister must give written notice to the entity and consulted authorities of proposed directions</t>
        </is>
      </c>
      <c r="N495" s="11" t="inlineStr">
        <is>
          <t>• [Must] The notice must invite written representations within at least 28 days
• [Must] The notice may allow shorter periods if urgent circumstances exist</t>
        </is>
      </c>
      <c r="O495" s="11" t="inlineStr">
        <is>
          <t>The Minister must consult the following persons (the consulted Minister): (i) the First Minister of the State, the Australian Capital Territory or the Northern Territory in which the critical infrastructure asset is wholly or partly located; (ii) each Minister of the State, the Australian Capital Territory, or the Northern Territory, who has responsibility for the regulation or oversight of the relevant critical infrastructure sector in that State or Territory.</t>
        </is>
      </c>
      <c r="P495" s="12" t="n">
        <v>12</v>
      </c>
    </row>
    <row r="496">
      <c r="A496" t="inlineStr">
        <is>
          <t>Australia</t>
        </is>
      </c>
      <c r="B496" t="inlineStr">
        <is>
          <t>C2026C00213REC01 (Australia - Row 22)</t>
        </is>
      </c>
      <c r="C496" t="inlineStr">
        <is>
          <t>161</t>
        </is>
      </c>
      <c r="D496" s="11" t="inlineStr">
        <is>
          <t>Liability for compliance with security directions</t>
        </is>
      </c>
      <c r="E496" t="inlineStr">
        <is>
          <t>173–174</t>
        </is>
      </c>
      <c r="F496" t="inlineStr">
        <is>
          <t>High</t>
        </is>
      </c>
      <c r="G496" t="inlineStr">
        <is>
          <t>High (explicit)</t>
        </is>
      </c>
      <c r="H496" s="11" t="inlineStr">
        <is>
          <t>Security</t>
        </is>
      </c>
      <c r="I496" s="11" t="inlineStr">
        <is>
          <t>Special Personal Information</t>
        </is>
      </c>
      <c r="J496" t="inlineStr">
        <is>
          <t>Minister</t>
        </is>
      </c>
      <c r="K496" s="11" t="inlineStr">
        <is>
          <t>Entities subject to security directions must ensure compliance with the directions. The entity is liable for facilitating compliance with the direction, including ensuring the direction is implemented effectively.</t>
        </is>
      </c>
      <c r="L496" s="11" t="inlineStr">
        <is>
          <t>This section establishes liability for entities that fail to comply with security directions, which could impact data transfers if critical infrastructure entities handle data subject to such directions.</t>
        </is>
      </c>
      <c r="M496" s="11" t="inlineStr">
        <is>
          <t>• [Must] An entity must ensure or facilitate compliance with a direction given under subsection 32(2)</t>
        </is>
      </c>
      <c r="N496" s="11" t="inlineStr"/>
      <c r="O496" s="11" t="inlineStr">
        <is>
          <t>An entity must comply with a direction given to the entity under subsection 32(2).</t>
        </is>
      </c>
      <c r="P496" s="12" t="n">
        <v>12</v>
      </c>
    </row>
    <row r="497">
      <c r="A497" t="inlineStr">
        <is>
          <t>Australia</t>
        </is>
      </c>
      <c r="B497" t="inlineStr">
        <is>
          <t>C2026C00213REC01 (Australia - Row 22)</t>
        </is>
      </c>
      <c r="C497" t="inlineStr">
        <is>
          <t>162</t>
        </is>
      </c>
      <c r="D497" s="11" t="inlineStr">
        <is>
          <t>Facilitating compliance with security directions</t>
        </is>
      </c>
      <c r="E497" t="inlineStr">
        <is>
          <t>174–175</t>
        </is>
      </c>
      <c r="F497" t="inlineStr">
        <is>
          <t>High</t>
        </is>
      </c>
      <c r="G497" t="inlineStr">
        <is>
          <t>High (explicit)</t>
        </is>
      </c>
      <c r="H497" s="11" t="inlineStr">
        <is>
          <t>Security</t>
        </is>
      </c>
      <c r="I497" s="11" t="inlineStr">
        <is>
          <t>Special Personal Information</t>
        </is>
      </c>
      <c r="J497" t="inlineStr">
        <is>
          <t>Minister</t>
        </is>
      </c>
      <c r="K497" s="11" t="inlineStr">
        <is>
          <t>Entities subject to security directions must facilitate compliance with the directions, including ensuring the direction is implemented effectively and maintaining ongoing compliance.</t>
        </is>
      </c>
      <c r="L497" s="11" t="inlineStr">
        <is>
          <t>This section specifies that entities must actively facilitate compliance with security directions, which could impact data transfers if critical infrastructure entities handle data subject to such directions.</t>
        </is>
      </c>
      <c r="M497" s="11" t="inlineStr">
        <is>
          <t>• [Must] An entity must facilitate compliance with the direction</t>
        </is>
      </c>
      <c r="N497" s="11" t="inlineStr"/>
      <c r="O497" s="11" t="inlineStr">
        <is>
          <t>An entity must comply with a direction given to the entity under subsection 32(2).</t>
        </is>
      </c>
      <c r="P497" s="12" t="n">
        <v>12</v>
      </c>
    </row>
    <row r="498">
      <c r="A498" t="inlineStr">
        <is>
          <t>Australia</t>
        </is>
      </c>
      <c r="B498" t="inlineStr">
        <is>
          <t>C2026C00213REC01 (Australia - Row 22)</t>
        </is>
      </c>
      <c r="C498" t="inlineStr">
        <is>
          <t>163</t>
        </is>
      </c>
      <c r="D498" s="11" t="inlineStr">
        <is>
          <t>Response to serious incidents involving critical infrastructure</t>
        </is>
      </c>
      <c r="E498" t="inlineStr">
        <is>
          <t>175–176</t>
        </is>
      </c>
      <c r="F498" t="inlineStr">
        <is>
          <t>High</t>
        </is>
      </c>
      <c r="G498" t="inlineStr">
        <is>
          <t>High (explicit)</t>
        </is>
      </c>
      <c r="H498" s="11" t="inlineStr">
        <is>
          <t>Incident Reporting, Security</t>
        </is>
      </c>
      <c r="I498" s="11" t="inlineStr">
        <is>
          <t>Special Personal Information</t>
        </is>
      </c>
      <c r="J498" t="inlineStr">
        <is>
          <t>Minister</t>
        </is>
      </c>
      <c r="K498" s="11" t="inlineStr">
        <is>
          <t>This section establishes a simplified regime for the Commonwealth to respond to serious incidents affecting critical infrastructure assets. The Minister may authorize information-gathering directions, action directions, or intervention requests for cyber security incidents, which require entities to provide information or take specific actions.</t>
        </is>
      </c>
      <c r="L498" s="11" t="inlineStr">
        <is>
          <t>This section creates mechanisms for responding to incidents that could impact data transfers if critical infrastructure entities are involved in such incidents.</t>
        </is>
      </c>
      <c r="M498" s="11" t="inlineStr">
        <is>
          <t>• [May] The Minister may authorize information-gathering directions requiring entities to provide information
• [May] The Minister may authorize action directions requiring entities to perform or refrain from specific acts</t>
        </is>
      </c>
      <c r="N498" s="11" t="inlineStr">
        <is>
          <t>• [May] For cyber security incidents, the Minister may authorize intervention requests to authorized agencies</t>
        </is>
      </c>
      <c r="O498" s="11" t="inlineStr">
        <is>
          <t>The Minister may, in order to respond to the incident, do any or all of the following things: (a) authorise the Secretary to give information-gathering directions to relevant entities for the assets; (b) authorise the Secretary to give action directions to relevant entities for the assets; (c) if the incident is a cyber security incident—authorise the Secretary to give intervention requests to the authorised agency.</t>
        </is>
      </c>
      <c r="P498" s="12" t="n">
        <v>12</v>
      </c>
    </row>
    <row r="499">
      <c r="A499" t="inlineStr">
        <is>
          <t>Australia</t>
        </is>
      </c>
      <c r="B499" t="inlineStr">
        <is>
          <t>C2026C00213REC01 (Australia - Row 22)</t>
        </is>
      </c>
      <c r="C499" t="inlineStr">
        <is>
          <t>164</t>
        </is>
      </c>
      <c r="D499" s="11" t="inlineStr">
        <is>
          <t>Ministerial authorisation for critical infrastructure incidents</t>
        </is>
      </c>
      <c r="E499" t="inlineStr">
        <is>
          <t>176–177</t>
        </is>
      </c>
      <c r="F499" t="inlineStr">
        <is>
          <t>High</t>
        </is>
      </c>
      <c r="G499" t="inlineStr">
        <is>
          <t>High (explicit)</t>
        </is>
      </c>
      <c r="H499" s="11" t="inlineStr">
        <is>
          <t>Incident Reporting, Breach Notification</t>
        </is>
      </c>
      <c r="I499" s="11" t="inlineStr">
        <is>
          <t>Special Personal Information</t>
        </is>
      </c>
      <c r="J499" t="inlineStr">
        <is>
          <t>Minister</t>
        </is>
      </c>
      <c r="K499" s="11" t="inlineStr">
        <is>
          <t>This section establishes conditions under which the Minister may authorise the Secretary to issue directions for critical infrastructure incidents. The Minister must be satisfied that an incident has occurred, is occurring, or is imminent; the incident impacts critical infrastructure assets; the incident seriously prejudices people; and no existing regulatory system can effectively respond. The authorisation requires specific conditions to be met before it can be granted.</t>
        </is>
      </c>
      <c r="L499" s="11" t="inlineStr">
        <is>
          <t>This section defines when and how the Minister can authorise emergency directions for critical infrastructure incidents, impacting data transfer and processing during cyber incidents. It requires proportionality and technical feasibility checks for any data sharing or actions.</t>
        </is>
      </c>
      <c r="M499" s="11" t="inlineStr">
        <is>
          <t>• [Must] Minister must be satisfied that an incident has occurred, is occurring, or is imminent
• [Must] Minister must be satisfied that the incident impacts critical infrastructure assets</t>
        </is>
      </c>
      <c r="N499" s="11" t="inlineStr">
        <is>
          <t>• [Must] Minister must be satisfied that the incident seriously prejudices people
• [Must] Minister must be satisfied that no existing regulatory system can provide practical and effective response</t>
        </is>
      </c>
      <c r="O499" s="11" t="inlineStr">
        <is>
          <t>This section applies if the Minister is satisfied that: (a) an incident has occurred; or (ii) is occurring; or (iii) is imminent; and (b) the incident has had, is having, or is likely to have, one or more relevant impacts on one or more critical infrastructure assets (each of which is a primary asset); and (c) there is a material risk that the incident has seriously prejudiced, is seriously prejudicing, or is likely to seriously prejudice: people; or (d) no existing regulatory system of the Commonwealth, a State or a Territory could be used to provide a practical and effective response to the incident.</t>
        </is>
      </c>
      <c r="P499" s="12" t="n">
        <v>12</v>
      </c>
    </row>
    <row r="500">
      <c r="A500" t="inlineStr">
        <is>
          <t>Australia</t>
        </is>
      </c>
      <c r="B500" t="inlineStr">
        <is>
          <t>C2026C00213REC01 (Australia - Row 22)</t>
        </is>
      </c>
      <c r="C500" t="inlineStr">
        <is>
          <t>165</t>
        </is>
      </c>
      <c r="D500" s="11" t="inlineStr">
        <is>
          <t>Ministerial authorisation for national emergency incidents</t>
        </is>
      </c>
      <c r="E500" t="inlineStr">
        <is>
          <t>177–178</t>
        </is>
      </c>
      <c r="F500" t="inlineStr">
        <is>
          <t>High</t>
        </is>
      </c>
      <c r="G500" t="inlineStr">
        <is>
          <t>High (explicit)</t>
        </is>
      </c>
      <c r="H500" s="11" t="inlineStr">
        <is>
          <t>Incident Reporting, Breach Notification</t>
        </is>
      </c>
      <c r="I500" s="11" t="inlineStr">
        <is>
          <t>Special Personal Information</t>
        </is>
      </c>
      <c r="J500" t="inlineStr">
        <is>
          <t>Minister</t>
        </is>
      </c>
      <c r="K500" s="11" t="inlineStr">
        <is>
          <t>This section specifies conditions for Ministerial authorisation during national emergencies. The Minister must be satisfied that an incident relates to a national emergency declared under the National Emergency Declaration Act 2020 and that no existing regulatory system can provide a practical and effective response. The authorisation allows the Secretary to issue directions for critical infrastructure incidents under specific conditions.</t>
        </is>
      </c>
      <c r="L500" s="11" t="inlineStr">
        <is>
          <t>This section enables emergency data sharing during national emergencies, requiring that the incident relates to a declared emergency and that no existing regulatory system can respond effectively. It impacts data transfer during critical incidents.</t>
        </is>
      </c>
      <c r="M500" s="11" t="inlineStr">
        <is>
          <t>• [Must] Minister must be satisfied that the incident relates to a national emergency declared under the National Emergency Declaration Act 2020</t>
        </is>
      </c>
      <c r="N500" s="11" t="inlineStr">
        <is>
          <t>• [Must] Minister must be satisfied that no existing regulatory system can provide practical and effective response</t>
        </is>
      </c>
      <c r="O500" s="11" t="inlineStr">
        <is>
          <t>This section also applies if the Minister is satisfied that: (a) an incident has occurred; or (ii) is occurring; or (iii) is imminent; and (b) the incident has had, is having, or is likely to have, one or more relevant impacts on one or more critical infrastructure assets (each of which is a primary asset); and (c) the incident relates to an emergency specified in a national emergency declaration (within the meaning of the National Emergency Declaration Act 2020) that is in force; and (d) no existing regulatory system of the Commonwealth, a State or a Territory could be used to provide a practical and effective response to the incident.</t>
        </is>
      </c>
      <c r="P500" s="12" t="n">
        <v>12</v>
      </c>
    </row>
    <row r="501">
      <c r="A501" t="inlineStr">
        <is>
          <t>Australia</t>
        </is>
      </c>
      <c r="B501" t="inlineStr">
        <is>
          <t>C2026C00213REC01 (Australia - Row 22)</t>
        </is>
      </c>
      <c r="C501" t="inlineStr">
        <is>
          <t>166</t>
        </is>
      </c>
      <c r="D501" s="11" t="inlineStr">
        <is>
          <t>Ministerial authorisation implementation rules</t>
        </is>
      </c>
      <c r="E501" t="inlineStr">
        <is>
          <t>178–179</t>
        </is>
      </c>
      <c r="F501" t="inlineStr">
        <is>
          <t>High</t>
        </is>
      </c>
      <c r="G501" t="inlineStr">
        <is>
          <t>High (explicit)</t>
        </is>
      </c>
      <c r="H501" s="11" t="inlineStr">
        <is>
          <t>Incident Reporting, Breach Notification</t>
        </is>
      </c>
      <c r="I501" s="11" t="inlineStr">
        <is>
          <t>Special Personal Information</t>
        </is>
      </c>
      <c r="J501" t="inlineStr">
        <is>
          <t>Minister</t>
        </is>
      </c>
      <c r="K501" s="11" t="inlineStr">
        <is>
          <t>This section details the implementation of Ministerial authorisations. Authorisations must be generally applicable to the incident and asset concerned without specific directions. The Minister must ensure that directions are likely to facilitate a practical and effective response to the incident. The authorisation is explicitly defined as a 'Ministerial authorisation' and does not apply the Acts Interpretation Act 1901's specification by class rule.</t>
        </is>
      </c>
      <c r="L501" s="11" t="inlineStr">
        <is>
          <t>This section governs how Ministerial authorisations are implemented, requiring that directions facilitate effective incident response and are generally applicable without specific targeting. It impacts data transfer during critical incidents.</t>
        </is>
      </c>
      <c r="M501" s="11" t="inlineStr">
        <is>
          <t>• [Must] Authorisation must be generally applicable to the incident and asset concerned
• [Must] Authorisation must be made without reference to any specific directions</t>
        </is>
      </c>
      <c r="N501" s="11" t="inlineStr">
        <is>
          <t>• [Must] Minister must be satisfied that directions are likely to facilitate practical and effective response</t>
        </is>
      </c>
      <c r="O501" s="11" t="inlineStr">
        <is>
          <t>A Ministerial authorisation under paragraph (2)(a) or (b) is generally applicable to the incident and the asset or assets concerned; and is to be made without reference to any specific directions. The Minister must not give a Ministerial authorisation under paragraph (2)(a) or (b) unless the Minister is satisfied that the directions that could be authorised by the Ministerial authorisation are likely to facilitate a practical and effective response to the incident.</t>
        </is>
      </c>
      <c r="P501" s="12" t="n">
        <v>12</v>
      </c>
    </row>
    <row r="502">
      <c r="A502" t="inlineStr">
        <is>
          <t>Australia</t>
        </is>
      </c>
      <c r="B502" t="inlineStr">
        <is>
          <t>C2026C00213REC01 (Australia - Row 22)</t>
        </is>
      </c>
      <c r="C502" t="inlineStr">
        <is>
          <t>167</t>
        </is>
      </c>
      <c r="D502" s="11" t="inlineStr">
        <is>
          <t>Proportionality and feasibility requirements for action directions</t>
        </is>
      </c>
      <c r="E502" t="inlineStr">
        <is>
          <t>179–180</t>
        </is>
      </c>
      <c r="F502" t="inlineStr">
        <is>
          <t>High</t>
        </is>
      </c>
      <c r="G502" t="inlineStr">
        <is>
          <t>High (explicit)</t>
        </is>
      </c>
      <c r="H502" s="11" t="inlineStr">
        <is>
          <t>Incident Reporting, Breach Notification</t>
        </is>
      </c>
      <c r="I502" s="11" t="inlineStr">
        <is>
          <t>Special Personal Information</t>
        </is>
      </c>
      <c r="J502" t="inlineStr">
        <is>
          <t>Minister</t>
        </is>
      </c>
      <c r="K502" s="11" t="inlineStr">
        <is>
          <t>This section sets out the conditions for the Minister to authorise action directions during critical incidents. The Minister must ensure that the specified entity is unwilling or unable to respond, the direction is reasonably necessary, proportionate, and technically feasible. The Minister must also consider the impact on the entity's activities and the functioning of the asset when determining proportionality.</t>
        </is>
      </c>
      <c r="L502" s="11" t="inlineStr">
        <is>
          <t>This section requires that action directions during critical incidents be proportionate and technically feasible, impacting data transfer and processing. It mandates specific checks on the entity's ability to respond and the direction's impact on operations.</t>
        </is>
      </c>
      <c r="M502" s="11" t="inlineStr">
        <is>
          <t>• [Must] Specified entity must be unwilling or unable to take all reasonable steps to respond to the incident
• [Must] Specified direction must be reasonably necessary for responding to the incident
• [Must] Specified direction must be a proportionate response to the incident</t>
        </is>
      </c>
      <c r="N502" s="11" t="inlineStr">
        <is>
          <t>• [Must] Compliance with specified direction must be technically feasible
• [Must] Minister must consider impact of direction on entity's activities and asset functioning</t>
        </is>
      </c>
      <c r="O502" s="11" t="inlineStr">
        <is>
          <t>The Minister must not give a Ministerial authorisation under paragraph (2)(c) or (d) in relation to a specified entity unless the Minister is satisfied that: (a) the specified entity is unwilling or unable to take all reasonable steps to respond to the incident; and (b) the specified direction is reasonably necessary for the purposes of responding to the incident; and (c) the specified direction is a proportionate response to the incident; and (d) compliance with the specified direction is technically feasible.</t>
        </is>
      </c>
      <c r="P502" s="12" t="n">
        <v>12</v>
      </c>
    </row>
    <row r="503">
      <c r="A503" t="inlineStr">
        <is>
          <t>Australia</t>
        </is>
      </c>
      <c r="B503" t="inlineStr">
        <is>
          <t>C2026C00213REC01 (Australia - Row 22)</t>
        </is>
      </c>
      <c r="C503" t="inlineStr">
        <is>
          <t>168</t>
        </is>
      </c>
      <c r="D503" s="11" t="inlineStr">
        <is>
          <t>Proportionality and feasibility requirements for intervention requests</t>
        </is>
      </c>
      <c r="E503" t="inlineStr">
        <is>
          <t>180–181</t>
        </is>
      </c>
      <c r="F503" t="inlineStr">
        <is>
          <t>High</t>
        </is>
      </c>
      <c r="G503" t="inlineStr">
        <is>
          <t>High (explicit)</t>
        </is>
      </c>
      <c r="H503" s="11" t="inlineStr">
        <is>
          <t>Incident Reporting, Breach Notification</t>
        </is>
      </c>
      <c r="I503" s="11" t="inlineStr">
        <is>
          <t>Special Personal Information</t>
        </is>
      </c>
      <c r="J503" t="inlineStr">
        <is>
          <t>Minister</t>
        </is>
      </c>
      <c r="K503" s="11" t="inlineStr">
        <is>
          <t>This section outlines the conditions for the Minister to authorise intervention requests during critical incidents. The Minister must ensure that the incident is a cyber security incident, that giving a Ministerial authorisation would not amount to a practical response, that relevant entities are unwilling or unable to respond, that the request is reasonably necessary and proportionate, and that compliance is technically feasible. The Minister must also consider the impact on asset functioning and the consequences of compliance.</t>
        </is>
      </c>
      <c r="L503" s="11" t="inlineStr">
        <is>
          <t>This section governs the conditions for intervention requests during cyber incidents, requiring that requests be proportionate and technically feasible. It impacts data transfer and processing during critical incidents.</t>
        </is>
      </c>
      <c r="M503" s="11" t="inlineStr">
        <is>
          <t>• [Must] Incident must be a cyber security incident
• [Must] Giving authorisation would not amount to practical and effective response
• [Must] Relevant entity is unwilling or unable to take all reasonable steps to respond
• [Must] Specified request must be reasonably necessary for responding to incident</t>
        </is>
      </c>
      <c r="N503" s="11" t="inlineStr">
        <is>
          <t>• [Must] Specified request must be a proportionate response to incident
• [Must] Compliance with specified request must be technically feasible
• [Must] Minister must consider impact of compliance on asset functioning</t>
        </is>
      </c>
      <c r="O503" s="11" t="inlineStr">
        <is>
          <t>The Minister must not give a Ministerial authorisation under paragraph (2)(e) or (f) that relates to the incident and an asset unless the Minister is satisfied that: (a) the incident is a cyber security incident; (b) giving a Ministerial authorisation under paragraph (2)(c) or (d) would not amount to a practical and effective response to the incident; (c) if there is only one relevant entity for the asset—the relevant entity is unwilling or unable to take all reasonable steps to respond to the incident; (d) if there are 2 or more relevant entities for the asset—those entities, when considered together, are unwilling or unable to take all reasonable steps to respond to the incident; (e) the specified request is reasonably necessary for the purposes of responding to the incident; (f) the specified request is a proportionate response to the incident; (g) compliance with the specified request is technically feasible.</t>
        </is>
      </c>
      <c r="P503" s="12" t="n">
        <v>12</v>
      </c>
    </row>
    <row r="504">
      <c r="A504" t="inlineStr">
        <is>
          <t>Australia</t>
        </is>
      </c>
      <c r="B504" t="inlineStr">
        <is>
          <t>C2026C00213REC01 (Australia - Row 22)</t>
        </is>
      </c>
      <c r="C504" t="inlineStr">
        <is>
          <t>169</t>
        </is>
      </c>
      <c r="D504" s="11" t="inlineStr">
        <is>
          <t>Ministerial authorisation agreement requirements</t>
        </is>
      </c>
      <c r="E504" t="inlineStr">
        <is>
          <t>181–182</t>
        </is>
      </c>
      <c r="F504" t="inlineStr">
        <is>
          <t>High</t>
        </is>
      </c>
      <c r="G504" t="inlineStr">
        <is>
          <t>High (explicit)</t>
        </is>
      </c>
      <c r="H504" s="11" t="inlineStr">
        <is>
          <t>Incident Reporting, Breach Notification</t>
        </is>
      </c>
      <c r="I504" s="11" t="inlineStr">
        <is>
          <t>Special Personal Information</t>
        </is>
      </c>
      <c r="J504" t="inlineStr">
        <is>
          <t>Minister</t>
        </is>
      </c>
      <c r="K504" s="11" t="inlineStr">
        <is>
          <t>This section specifies that the Minister must obtain agreement from the Prime Minister and Defence Minister for intervention requests. The agreement may be given orally or in writing, with oral agreements requiring a written record within 48 hours. This ensures coordination between the Minister and key government officials before authorising intervention requests.</t>
        </is>
      </c>
      <c r="L504" s="11" t="inlineStr">
        <is>
          <t>This section requires coordination with the Prime Minister and Defence Minister for intervention requests, ensuring that critical infrastructure data transfers during incidents are properly authorised and documented.</t>
        </is>
      </c>
      <c r="M504" s="11" t="inlineStr">
        <is>
          <t>• [Must] Minister must obtain agreement of Prime Minister and Defence Minister
• [May] Agreement may be given orally or in writing</t>
        </is>
      </c>
      <c r="N504" s="11" t="inlineStr">
        <is>
          <t>• [Must] Oral agreements require written record within 48 hours</t>
        </is>
      </c>
      <c r="O504" s="11" t="inlineStr">
        <is>
          <t>The Minister must not give a Ministerial authorisation under paragraph (2)(e) or (f) unless the Minister has obtained the agreement of: (a) the Prime Minister; and (b) the Defence Minister.</t>
        </is>
      </c>
      <c r="P504" s="12" t="n">
        <v>12</v>
      </c>
    </row>
    <row r="505">
      <c r="A505" t="inlineStr">
        <is>
          <t>Australia</t>
        </is>
      </c>
      <c r="B505" t="inlineStr">
        <is>
          <t>C2026C00213REC01 (Australia - Row 22)</t>
        </is>
      </c>
      <c r="C505" t="inlineStr">
        <is>
          <t>170</t>
        </is>
      </c>
      <c r="D505" s="11" t="inlineStr">
        <is>
          <t>Computer access and modification for critical infrastructure assets</t>
        </is>
      </c>
      <c r="E505" t="inlineStr">
        <is>
          <t>182–183</t>
        </is>
      </c>
      <c r="F505" t="inlineStr">
        <is>
          <t>Medium</t>
        </is>
      </c>
      <c r="G505" t="inlineStr">
        <is>
          <t>High (explicit)</t>
        </is>
      </c>
      <c r="H505" s="11" t="inlineStr"/>
      <c r="I505" s="11" t="inlineStr"/>
      <c r="J505" t="inlineStr"/>
      <c r="K505" s="11" t="inlineStr">
        <is>
          <t>This section lists specific computer-related actions permitted for critical infrastructure assets, including accessing, copying, altering, deleting data, and programs on the asset or its components. These actions are conditional on achieving the purpose outlined in paragraph (b). The section applies to assets covered under the critical infrastructure framework.</t>
        </is>
      </c>
      <c r="L505" s="11" t="inlineStr">
        <is>
          <t>Defines permissible technical operations on critical infrastructure assets during authorisation processes, relevant for assessing technical access controls in cross-border or critical infrastructure contexts.</t>
        </is>
      </c>
      <c r="M505" s="11" t="inlineStr">
        <is>
          <t>• [Must] Access, add, restore, copy, alter or delete data held in a computer that is, or is part of, the asset
• [Must] Access, restore, copy, alter or delete a computer program that is, or is part of, the asset
• [Must] Access, copy, alter or delete a computer program installed on a computer that is, or is part of, the asset
• [Must] Alter the functioning of a computer that is, or is part of, the asset
• [Must] Alter the functioning of a computer device that is, or is part of, the asset</t>
        </is>
      </c>
      <c r="N505" s="11" t="inlineStr">
        <is>
          <t>• [Must] Remove or disconnect a computer device from a computer network that is, or is part of, the asset
• [Must] Connect or add a computer device to a computer network that is, or is part of, the asset
• [Must] Remove a computer that is, or is part of, the asset from premises
• [Must] Remove a computer device that is, or is part of, the asset from premises</t>
        </is>
      </c>
      <c r="O505" s="11" t="inlineStr">
        <is>
          <t>170 Compilation (i) computer data that is, or is part of, the asset; or (iv) a computer device that is, or is part of, the asset; (c) if it is necessary to achieve the purpose mentioned in paragraph (b)—install a computer program on a computer that is, or is part of, the asset; (d) access, add, restore, copy, alter or delete data held in: (i) a computer that is, or is part of, the asset; or (ii) a computer device that is, or is part of, the asset; (e) access, restore, copy, alter or delete a computer program that is, or is part of, the asset; (f) access, copy, alter or delete a computer program that is installed on a computer that is, or is part of, the asset; (g) alter the functioning of: (i) a computer that is, or is part of, the asset; or (ii) a computer device that is, or is part of, the asset; (h) remove or disconnect: (ii) a computer device; from a computer network that is, or is part of, the asset; (i) connect or add: (ii) a computer device; to a computer network that is, or is part of, the asset; (j) remove: (i) a computer that is, or is part of, the asset; or (ii) a computer device that is, or is part of, the asset; from premises.</t>
        </is>
      </c>
      <c r="P505" s="12" t="n">
        <v>12</v>
      </c>
    </row>
    <row r="506">
      <c r="A506" t="inlineStr">
        <is>
          <t>Australia</t>
        </is>
      </c>
      <c r="B506" t="inlineStr">
        <is>
          <t>C2026C00213REC01 (Australia - Row 22)</t>
        </is>
      </c>
      <c r="C506" t="inlineStr">
        <is>
          <t>171</t>
        </is>
      </c>
      <c r="D506" s="11" t="inlineStr">
        <is>
          <t>Consultation requirements for Ministerial authorisations</t>
        </is>
      </c>
      <c r="E506" t="inlineStr">
        <is>
          <t>183–184</t>
        </is>
      </c>
      <c r="F506" t="inlineStr">
        <is>
          <t>Medium</t>
        </is>
      </c>
      <c r="G506" t="inlineStr">
        <is>
          <t>High (explicit)</t>
        </is>
      </c>
      <c r="H506" s="11" t="inlineStr"/>
      <c r="I506" s="11" t="inlineStr"/>
      <c r="J506" t="inlineStr"/>
      <c r="K506" s="11" t="inlineStr">
        <is>
          <t>This section mandates consultation with relevant entities before granting Ministerial authorisations for critical infrastructure assets. Consultation is required for critical infrastructure assets, with specific entities identified for critical infrastructure sector assets. Consultation must include providing a draft authorisation and inviting submissions within 24 hours.</t>
        </is>
      </c>
      <c r="L506" s="11" t="inlineStr">
        <is>
          <t>Specifies consultation procedures for critical infrastructure authorisations, impacting how data transfer and access are assessed in cross-border critical infrastructure contexts.</t>
        </is>
      </c>
      <c r="M506" s="11" t="inlineStr">
        <is>
          <t>• [Must] Before giving a Ministerial authorisation under paragraph 35AB(2)(e) or (f) in relation to an asset, the Minister must consult the responsible entity for the asset if the asset is a critical infrastructure asset
• [Must] Before giving a Ministerial authorisation under paragraph 35AB(2)(e) or (f) in relation to an asset, the Minister must consult whichever entity the Minister considers most relevant for critical infrastructure sector assets</t>
        </is>
      </c>
      <c r="N506" s="11" t="inlineStr">
        <is>
          <t>• [Must] Consultation must involve giving the entity a copy of the draft Ministerial authorisation
• [Must] Consultation must involve inviting the entity to make a submission within 24 hours after receiving the draft authorisation</t>
        </is>
      </c>
      <c r="O506" s="11" t="inlineStr">
        <is>
          <t>171 Compilation (2) Before giving a Ministerial authorisation under paragraph 35AB(2)(e) or (f) in relation to an asset, the Minister must: (a) if the asset is a critical infrastructure asset—consult the responsible entity for the asset; or (b) if the asset is a critical infrastructure sector asset (other than a critical infrastructure asset)—consult whichever of the following entities the Minister considers to be most relevant in relation to the proposed authorisation: (ii) the operator, or each of the operators, of the asset; unless the delay that would occur if the entity or entities were consulted would frustrate the effectiveness of the Ministerial authorisation. (3) If subsection (1) or (2) requires an entity to be consulted, that consultation must involve: (a) giving the entity a copy of the draft Ministerial authorisation; and (b) inviting the entity to make a submission to the Minister about the draft Ministerial authorisation within 24 hours after receiving the copy of the draft Ministerial authorisation.</t>
        </is>
      </c>
      <c r="P506" s="12" t="n">
        <v>12</v>
      </c>
    </row>
    <row r="507">
      <c r="A507" t="inlineStr">
        <is>
          <t>Australia</t>
        </is>
      </c>
      <c r="B507" t="inlineStr">
        <is>
          <t>C2026C00213REC01 (Australia - Row 22)</t>
        </is>
      </c>
      <c r="C507" t="inlineStr">
        <is>
          <t>172</t>
        </is>
      </c>
      <c r="D507" s="11" t="inlineStr">
        <is>
          <t>Oral Ministerial authorisation record-keeping</t>
        </is>
      </c>
      <c r="E507" t="inlineStr">
        <is>
          <t>184–185</t>
        </is>
      </c>
      <c r="F507" t="inlineStr">
        <is>
          <t>Low</t>
        </is>
      </c>
      <c r="G507" t="inlineStr">
        <is>
          <t>High (explicit)</t>
        </is>
      </c>
      <c r="H507" s="11" t="inlineStr">
        <is>
          <t>Record Keeping</t>
        </is>
      </c>
      <c r="I507" s="11" t="inlineStr"/>
      <c r="J507" t="inlineStr"/>
      <c r="K507" s="11" t="inlineStr">
        <is>
          <t>This section outlines requirements for recording and notifying when Ministerial authorisations are given orally. It mandates creating written records, providing copies to specified entities (e.g., Secretary, Inspector-General of Intelligence and Security), and ensuring timely delivery within 48 hours for certain recipients.</t>
        </is>
      </c>
      <c r="L507" s="11" t="inlineStr">
        <is>
          <t>Details record-keeping obligations for oral authorisations, critical for assessing transparency and accountability in data transfer processes involving critical infrastructure.</t>
        </is>
      </c>
      <c r="M507" s="11" t="inlineStr">
        <is>
          <t>• [Must] Make a written record of the Ministerial authorisation
• [Must] Give a copy of the written record to the Secretary and the Inspector-General of Intelligence and Security</t>
        </is>
      </c>
      <c r="N507" s="11" t="inlineStr">
        <is>
          <t>• [Must] Give a copy of the written record to the responsible entity for the asset</t>
        </is>
      </c>
      <c r="O507" s="11" t="inlineStr">
        <is>
          <t>172 Notification of Ministerial authorisations given orally (3) If a Ministerial authorisation is given orally in relation to: (b) an asset; (c) do both of the following: (i) make a written record of the Ministerial authorisation; (ii) give a copy of the written record of the Ministerial authorisation to the Secretary and the Inspector-General of Intelligence and Security; and (4) If a Ministerial authorisation is given orally in relation to: (c) do both of the following: (i) make a written record of the Ministerial authorisation; (ii) give a copy of the written record of the Ministerial authorisation to the responsible entity for the asset; and (5) If a Ministerial authorisation is given orally in relation to: (c) make a written record of the Ministerial authorisation; and (d) give a copy of the written record of the Ministerial authorisation to whichever of the following entities the Minister considers to be most relevant in relation to the Ministerial authorisation: (e) do so within 48 hours after the Ministerial authorisation is given.</t>
        </is>
      </c>
      <c r="P507" s="12" t="n">
        <v>12</v>
      </c>
    </row>
    <row r="508">
      <c r="A508" t="inlineStr">
        <is>
          <t>Australia</t>
        </is>
      </c>
      <c r="B508" t="inlineStr">
        <is>
          <t>C2026C00213REC01 (Australia - Row 22)</t>
        </is>
      </c>
      <c r="C508" t="inlineStr">
        <is>
          <t>173</t>
        </is>
      </c>
      <c r="D508" s="11" t="inlineStr">
        <is>
          <t>Written Ministerial authorisation notification</t>
        </is>
      </c>
      <c r="E508" t="inlineStr">
        <is>
          <t>185–186</t>
        </is>
      </c>
      <c r="F508" t="inlineStr">
        <is>
          <t>Low</t>
        </is>
      </c>
      <c r="G508" t="inlineStr">
        <is>
          <t>High (explicit)</t>
        </is>
      </c>
      <c r="H508" s="11" t="inlineStr">
        <is>
          <t>Record Keeping</t>
        </is>
      </c>
      <c r="I508" s="11" t="inlineStr"/>
      <c r="J508" t="inlineStr"/>
      <c r="K508" s="11" t="inlineStr">
        <is>
          <t>This section specifies notification requirements for written Ministerial authorisations, including providing copies to the Secretary, Inspector-General of Intelligence and Security, and responsible entities for assets. It ensures transparency and accountability in the authorisation process.</t>
        </is>
      </c>
      <c r="L508" s="11" t="inlineStr">
        <is>
          <t>Defines notification procedures for written authorisations, critical for data transfer impact assessments involving critical infrastructure.</t>
        </is>
      </c>
      <c r="M508" s="11" t="inlineStr">
        <is>
          <t>• [Must] Give a copy of the Ministerial authorisation to the Secretary and the Inspector-General of Intelligence and Security</t>
        </is>
      </c>
      <c r="N508" s="11" t="inlineStr">
        <is>
          <t>• [Must] Give a copy of the Ministerial authorisation to the responsible entity for the asset</t>
        </is>
      </c>
      <c r="O508" s="11" t="inlineStr">
        <is>
          <t>173 Notification of Ministerial authorisations given in writing (6) If a Ministerial authorisation is given in writing in relation to: (b) an asset; (c) give a copy of the Ministerial authorisation to the Secretary and the Inspector-General of Intelligence and Security; and (7) If a Ministerial authorisation is given in writing in relation to: (c) give a copy of the Ministerial authorisation to the responsible entity for the asset; and (8) If a Ministerial authorisation is given in writing in relation to: (c) give a copy of the Ministerial authorisation to whichever of the following entities the Minister considers to be most relevant in relation to the Ministerial authorisation: (given).</t>
        </is>
      </c>
      <c r="P508" s="12" t="n">
        <v>12</v>
      </c>
    </row>
    <row r="509">
      <c r="A509" t="inlineStr">
        <is>
          <t>Australia</t>
        </is>
      </c>
      <c r="B509" t="inlineStr">
        <is>
          <t>C2026C00213REC01 (Australia - Row 22)</t>
        </is>
      </c>
      <c r="C509" t="inlineStr">
        <is>
          <t>174</t>
        </is>
      </c>
      <c r="D509" s="11" t="inlineStr">
        <is>
          <t>Oral applications for Ministerial authorisation</t>
        </is>
      </c>
      <c r="E509" t="inlineStr">
        <is>
          <t>186–187</t>
        </is>
      </c>
      <c r="F509" t="inlineStr">
        <is>
          <t>Low</t>
        </is>
      </c>
      <c r="G509" t="inlineStr">
        <is>
          <t>High (explicit)</t>
        </is>
      </c>
      <c r="H509" s="11" t="inlineStr">
        <is>
          <t>Record Keeping</t>
        </is>
      </c>
      <c r="I509" s="11" t="inlineStr"/>
      <c r="J509" t="inlineStr"/>
      <c r="K509" s="11" t="inlineStr">
        <is>
          <t>This section outlines requirements for oral applications for Ministerial authorisations, including creating written records and providing copies to the Minister within 48 hours. It ensures transparency and accountability in the application process.</t>
        </is>
      </c>
      <c r="L509" s="11" t="inlineStr">
        <is>
          <t>Details record-keeping for oral applications, relevant for assessing data transfer processes in critical infrastructure contexts.</t>
        </is>
      </c>
      <c r="M509" s="11" t="inlineStr">
        <is>
          <t>• [Must] Make a written record of the application
• [Must] Give a copy of the written record to the Minister</t>
        </is>
      </c>
      <c r="N509" s="11" t="inlineStr">
        <is>
          <t>• [Must] Do so within 48 hours after the application is made</t>
        </is>
      </c>
      <c r="O509" s="11" t="inlineStr">
        <is>
          <t>174 Form of application for Ministerial authorisation (3) If an application for a Ministerial authorisation is made orally, the (i) make a written record of the application; (ii) give a copy of the written record of the application to the Minister; and (b) do so within 48 hours after the application is made.</t>
        </is>
      </c>
      <c r="P509" s="12" t="n">
        <v>12</v>
      </c>
    </row>
    <row r="510">
      <c r="A510" t="inlineStr">
        <is>
          <t>Australia</t>
        </is>
      </c>
      <c r="B510" t="inlineStr">
        <is>
          <t>C2026C00213REC01 (Australia - Row 22)</t>
        </is>
      </c>
      <c r="C510" t="inlineStr">
        <is>
          <t>175</t>
        </is>
      </c>
      <c r="D510" s="11" t="inlineStr">
        <is>
          <t>Duration and revocation of Ministerial authorisations</t>
        </is>
      </c>
      <c r="E510" t="inlineStr">
        <is>
          <t>187–188</t>
        </is>
      </c>
      <c r="F510" t="inlineStr">
        <is>
          <t>Low</t>
        </is>
      </c>
      <c r="G510" t="inlineStr">
        <is>
          <t>High (explicit)</t>
        </is>
      </c>
      <c r="H510" s="11" t="inlineStr"/>
      <c r="I510" s="11" t="inlineStr"/>
      <c r="J510" t="inlineStr"/>
      <c r="K510" s="11" t="inlineStr">
        <is>
          <t>This section specifies the duration of Ministerial authorisations (up to 20 days) and allows for fresh authorisations if necessary. It also outlines the process for revocation by the Minister in writing.</t>
        </is>
      </c>
      <c r="L510" s="11" t="inlineStr">
        <is>
          <t>Sets time limits for authorisations and provides mechanisms for revocation, critical for assessing the duration and scope of data transfer permissions in critical infrastructure contexts.</t>
        </is>
      </c>
      <c r="M510" s="11" t="inlineStr">
        <is>
          <t>• [Must] The Ministerial authorisation remains in force for the period specified in the authorisation (which must not exceed 20 days)
• [May] The Minister may give a fresh Ministerial authorisation if the original is in force</t>
        </is>
      </c>
      <c r="N510" s="11" t="inlineStr">
        <is>
          <t>• [Must] The Minister must consider the number of occasions on which authorisations have been made when deciding whether to give a fresh authorisation</t>
        </is>
      </c>
      <c r="O510" s="11" t="inlineStr">
        <is>
          <t>175 Duration of Ministerial authorisation (2) Subject to this section, the Ministerial authorisation remains in force for the period specified in the Ministerial authorisation (which must not exceed 20 days). (3) If a Ministerial authorisation (the original Ministerial authorisation) is in force, this Act does not prevent the Minister from giving a fresh Ministerial authorisation that: (a) is in force for the period specified in the Ministerial authorisation; and (b) is in force for the period specified in the Ministerial authorisation. (4) In deciding whether to give such a fresh Ministerial authorisation, the Minister must have regard to the number of occasions on which Ministerial authorisations have been made in relation to the incident and the asset. (5) Subsection (4) does not limit the matters to which the Minister may have regard to in deciding whether to give a fresh Ministerial authorisation.</t>
        </is>
      </c>
      <c r="P510" s="12" t="n">
        <v>12</v>
      </c>
    </row>
    <row r="511">
      <c r="A511" t="inlineStr">
        <is>
          <t>Australia</t>
        </is>
      </c>
      <c r="B511" t="inlineStr">
        <is>
          <t>C2026C00213REC01 (Australia - Row 22)</t>
        </is>
      </c>
      <c r="C511" t="inlineStr">
        <is>
          <t>176</t>
        </is>
      </c>
      <c r="D511" s="11" t="inlineStr">
        <is>
          <t>Revocation of Ministerial authorisation</t>
        </is>
      </c>
      <c r="E511" t="inlineStr">
        <is>
          <t>188–189</t>
        </is>
      </c>
      <c r="F511" t="inlineStr">
        <is>
          <t>Medium</t>
        </is>
      </c>
      <c r="G511" t="inlineStr">
        <is>
          <t>High (explicit)</t>
        </is>
      </c>
      <c r="H511" s="11" t="inlineStr">
        <is>
          <t>Incident Reporting, Breach Notification</t>
        </is>
      </c>
      <c r="I511" s="11" t="inlineStr">
        <is>
          <t>Special Personal Information</t>
        </is>
      </c>
      <c r="J511" t="inlineStr">
        <is>
          <t>Minister</t>
        </is>
      </c>
      <c r="K511" s="11" t="inlineStr">
        <is>
          <t>This section requires the Minister to revoke Ministerial authorisation if no longer needed for incident response. The Secretary must notify the Minister if satisfied the authorisation is no longer required. Revocation must be communicated to the Secretary, Inspector-General of Intelligence and Security, and relevant entities within 48 hours. The revocation also requires giving a copy to the responsible entity for the asset.</t>
        </is>
      </c>
      <c r="L511" s="11" t="inlineStr">
        <is>
          <t>Revocation procedures for Ministerial authorisations impact data transfer impact assessments by requiring specific communication channels and timelines for terminating authorisations related to critical infrastructure incidents.</t>
        </is>
      </c>
      <c r="M511" s="11" t="inlineStr">
        <is>
          <t>• [Must] If the Minister is satisfied that the Ministerial authorisation is no longer required to respond to the incident, the Minister must, in writing, revoke the Ministerial authorisation.
• [Must] If the Secretary is satisfied that the Ministerial authorisation is no longer required to respond to the incident, the Secretary must notify the Minister that the Secretary is so satisfied.
• [Must] If the Ministerial authorisation is revoked, the Minister must give a copy of the revocation to the Secretary within 48 hours after revocation.</t>
        </is>
      </c>
      <c r="N511" s="11" t="inlineStr">
        <is>
          <t>• [Must] If the Ministerial authorisation is revoked, the Minister must give a copy of the revocation to the Inspector-General of Intelligence and Security.
• [Must] If the Ministerial authorisation is revoked, the Minister must give a copy of the revocation to each relevant entity for the asset.
• [Must] If a Ministerial authorisation is revoked, the Minister must give a copy of the revocation to the responsible entity for the asset.</t>
        </is>
      </c>
      <c r="O511" s="11" t="inlineStr">
        <is>
          <t>176 Duty to revoke Ministerial authorisation (3) If the Minister is satisfied that the Ministerial authorisation is no longer required to respond to the incident, the Minister must, in writing, revoke the Ministerial authorisation.</t>
        </is>
      </c>
      <c r="P511" s="12" t="n">
        <v>12</v>
      </c>
    </row>
    <row r="512">
      <c r="A512" t="inlineStr">
        <is>
          <t>Australia</t>
        </is>
      </c>
      <c r="B512" t="inlineStr">
        <is>
          <t>C2026C00213REC01 (Australia - Row 22)</t>
        </is>
      </c>
      <c r="C512" t="inlineStr">
        <is>
          <t>177</t>
        </is>
      </c>
      <c r="D512" s="11" t="inlineStr">
        <is>
          <t>Revocation procedures for Ministerial authorisations</t>
        </is>
      </c>
      <c r="E512" t="inlineStr">
        <is>
          <t>189–190</t>
        </is>
      </c>
      <c r="F512" t="inlineStr">
        <is>
          <t>Medium</t>
        </is>
      </c>
      <c r="G512" t="inlineStr">
        <is>
          <t>High (explicit)</t>
        </is>
      </c>
      <c r="H512" s="11" t="inlineStr">
        <is>
          <t>Incident Reporting, Breach Notification</t>
        </is>
      </c>
      <c r="I512" s="11" t="inlineStr">
        <is>
          <t>Special Personal Information</t>
        </is>
      </c>
      <c r="J512" t="inlineStr">
        <is>
          <t>Minister</t>
        </is>
      </c>
      <c r="K512" s="11" t="inlineStr">
        <is>
          <t>This section outlines procedures for revoking Ministerial authorisations, including notification requirements and the non-legislative nature of revocation. The Secretary must notify the Minister if satisfied the authorisation is no longer required, and revocation is not considered a legislative instrument. The section also specifies that a power of the Minister under this Division may only be exercised personally.</t>
        </is>
      </c>
      <c r="L512" s="11" t="inlineStr">
        <is>
          <t>Revocation procedures for Ministerial authorisations impact data transfer impact assessments by requiring specific communication channels and timelines for terminating authorisations related to critical infrastructure incidents.</t>
        </is>
      </c>
      <c r="M512" s="11" t="inlineStr">
        <is>
          <t>• [Must] If the Secretary is satisfied that the Ministerial authorisation is no longer required to respond to the incident, the Secretary must notify the Minister that the Secretary is so satisfied.
• [Must] A revocation of the Ministerial authorisation is not a legislative instrument.</t>
        </is>
      </c>
      <c r="N512" s="11" t="inlineStr">
        <is>
          <t>• [Must] A power of the Minister under this Division may only be exercised by the Minister personally.</t>
        </is>
      </c>
      <c r="O512" s="11" t="inlineStr">
        <is>
          <t>177 Revocation is not a legislative instrument (8) A revocation of the Ministerial authorisation is not a legislative instrument.</t>
        </is>
      </c>
      <c r="P512" s="12" t="n">
        <v>12</v>
      </c>
    </row>
    <row r="513">
      <c r="A513" t="inlineStr">
        <is>
          <t>Australia</t>
        </is>
      </c>
      <c r="B513" t="inlineStr">
        <is>
          <t>C2026C00213REC01 (Australia - Row 22)</t>
        </is>
      </c>
      <c r="C513" t="inlineStr">
        <is>
          <t>178</t>
        </is>
      </c>
      <c r="D513" s="11" t="inlineStr">
        <is>
          <t>Information gathering directions</t>
        </is>
      </c>
      <c r="E513" t="inlineStr">
        <is>
          <t>190–191</t>
        </is>
      </c>
      <c r="F513" t="inlineStr">
        <is>
          <t>Medium</t>
        </is>
      </c>
      <c r="G513" t="inlineStr">
        <is>
          <t>High (explicit)</t>
        </is>
      </c>
      <c r="H513" s="11" t="inlineStr">
        <is>
          <t>Incident Reporting, Breach Notification</t>
        </is>
      </c>
      <c r="I513" s="11" t="inlineStr">
        <is>
          <t>Special Personal Information</t>
        </is>
      </c>
      <c r="J513" t="inlineStr">
        <is>
          <t>Secretary</t>
        </is>
      </c>
      <c r="K513" s="11" t="inlineStr">
        <is>
          <t>This section allows the Secretary to direct entities to provide information to assist in determining whether powers under the Act should be exercised for critical infrastructure incidents. The direction must be proportionate and technically feasible, and must end before the Ministerial authorisation expires. The Secretary must consult the entity unless consultation would frustrate the direction's effectiveness.</t>
        </is>
      </c>
      <c r="L513" s="11" t="inlineStr">
        <is>
          <t>Information gathering directions impact data transfer impact assessments by requiring entities to provide information within specific timeframes and ensuring the direction is proportionate and technically feasible.</t>
        </is>
      </c>
      <c r="M513" s="11" t="inlineStr">
        <is>
          <t>• [May] If an entity is a relevant entity for the asset and the Secretary has reason to believe the entity has information that may assist with determining whether a power under this Act should be exercised in relation to the incident and the asset, the Secretary may direct the entity to give any such information to the Secretary.
• [Condition] The period specified in the direction must end at or before the end of the period for which the Ministerial authorisation is in force.
• [Must Not] The Secretary must not give the direction unless satisfied that the direction is a proportionate means of obtaining the information.</t>
        </is>
      </c>
      <c r="N513" s="11" t="inlineStr">
        <is>
          <t>• [Must Not] The Secretary must not give the direction unless satisfied that compliance with the direction is technically feasible.
• [Must] The Secretary must consult the entity before giving a direction unless the delay from consultation would frustrate the effectiveness of the direction.</t>
        </is>
      </c>
      <c r="O513" s="11" t="inlineStr">
        <is>
          <t>178 (2) If: (a) an entity is a relevant entity for the asset; and (b) the Secretary has reason to believe that the entity has information that may assist with determining whether a power under this Act should be exercised in relation to the incident and the asset; the Secretary may direct the entity to: (c) give any such information to the Secretary; and (d) do so within the period, and in the manner, specified in the direction.</t>
        </is>
      </c>
      <c r="P513" s="12" t="n">
        <v>12</v>
      </c>
    </row>
    <row r="514">
      <c r="A514" t="inlineStr">
        <is>
          <t>Australia</t>
        </is>
      </c>
      <c r="B514" t="inlineStr">
        <is>
          <t>C2026C00213REC01 (Australia - Row 22)</t>
        </is>
      </c>
      <c r="C514" t="inlineStr">
        <is>
          <t>179</t>
        </is>
      </c>
      <c r="D514" s="11" t="inlineStr">
        <is>
          <t>Form of information gathering directions</t>
        </is>
      </c>
      <c r="E514" t="inlineStr">
        <is>
          <t>191–192</t>
        </is>
      </c>
      <c r="F514" t="inlineStr">
        <is>
          <t>Medium</t>
        </is>
      </c>
      <c r="G514" t="inlineStr">
        <is>
          <t>High (explicit)</t>
        </is>
      </c>
      <c r="H514" s="11" t="inlineStr">
        <is>
          <t>Incident Reporting, Breach Notification</t>
        </is>
      </c>
      <c r="I514" s="11" t="inlineStr">
        <is>
          <t>Special Personal Information</t>
        </is>
      </c>
      <c r="J514" t="inlineStr">
        <is>
          <t>Secretary</t>
        </is>
      </c>
      <c r="K514" s="11" t="inlineStr">
        <is>
          <t>This section specifies the form of information gathering directions, allowing them to be given orally or in writing. If given orally, the Secretary must make a written record and provide a copy to the entity within 48 hours. The direction must not be given orally unless the delay from written communication would frustrate the direction's effectiveness.</t>
        </is>
      </c>
      <c r="L514" s="11" t="inlineStr">
        <is>
          <t>Form of information gathering directions impact data transfer impact assessments by requiring written records for oral directions and ensuring timely communication to entities.</t>
        </is>
      </c>
      <c r="M514" s="11" t="inlineStr">
        <is>
          <t>• [May] A direction under section 35AK may be given orally or in writing.
• [Must] If a direction under section 35AK is given orally to an entity, the Secretary must make a written record of the direction.</t>
        </is>
      </c>
      <c r="N514" s="11" t="inlineStr">
        <is>
          <t>• [Must] If a direction under section 35AK is given orally to an entity, the Secretary must give a copy of the written record of the direction to the entity.
• [Must Not] The Secretary must not give a direction under section 35AK orally unless the delay that would occur if the direction were to be given in writing would frustrate the effectiveness of the direction.</t>
        </is>
      </c>
      <c r="O514" s="11" t="inlineStr">
        <is>
          <t>179 (2) The Secretary must not give a direction under section 35AK orally unless the delay that would occur if the direction were to be given in writing would frustrate the effectiveness of the direction.</t>
        </is>
      </c>
      <c r="P514" s="12" t="n">
        <v>12</v>
      </c>
    </row>
    <row r="515">
      <c r="A515" t="inlineStr">
        <is>
          <t>Australia</t>
        </is>
      </c>
      <c r="B515" t="inlineStr">
        <is>
          <t>C2026C00213REC01 (Australia - Row 22)</t>
        </is>
      </c>
      <c r="C515" t="inlineStr">
        <is>
          <t>180</t>
        </is>
      </c>
      <c r="D515" s="11" t="inlineStr">
        <is>
          <t>Compliance with information gathering directions</t>
        </is>
      </c>
      <c r="E515" t="inlineStr">
        <is>
          <t>192–193</t>
        </is>
      </c>
      <c r="F515" t="inlineStr">
        <is>
          <t>Medium</t>
        </is>
      </c>
      <c r="G515" t="inlineStr">
        <is>
          <t>High (explicit)</t>
        </is>
      </c>
      <c r="H515" s="11" t="inlineStr">
        <is>
          <t>Incident Reporting, Breach Notification</t>
        </is>
      </c>
      <c r="I515" s="11" t="inlineStr">
        <is>
          <t>Special Personal Information</t>
        </is>
      </c>
      <c r="J515" t="inlineStr">
        <is>
          <t>Secretary</t>
        </is>
      </c>
      <c r="K515" s="11" t="inlineStr">
        <is>
          <t>This section requires entities to comply with information gathering directions to the extent they are capable of doing so. It also states that entities cannot claim self-incrimination as a defense for providing information under these directions, and information provided is not admissible in criminal proceedings.</t>
        </is>
      </c>
      <c r="L515" s="11" t="inlineStr">
        <is>
          <t>Compliance with information gathering directions impacts data transfer impact assessments by requiring entities to provide information without self-incrimination concerns and ensuring information is not admissible in criminal proceedings.</t>
        </is>
      </c>
      <c r="M515" s="11" t="inlineStr">
        <is>
          <t>• [Must] An entity must comply with a direction given to the entity under section 35AK to the extent that the entity is capable of doing so.
• [Must Not] An entity is not excused from giving information under section 35AK on the ground that the information might tend to incriminate the entity.</t>
        </is>
      </c>
      <c r="N515" s="11" t="inlineStr">
        <is>
          <t>• [Must Not] Information given under section 35AK is not admissible in evidence against an entity in criminal proceedings other than proceedings for an offence penalty in relation to a contravention of section 35AM.</t>
        </is>
      </c>
      <c r="O515" s="11" t="inlineStr">
        <is>
          <t>180 An entity must comply with a direction given to the entity under section 35AK to the extent that the entity is capable of doing so.</t>
        </is>
      </c>
      <c r="P515" s="12" t="n">
        <v>12</v>
      </c>
    </row>
    <row r="516">
      <c r="A516" t="inlineStr">
        <is>
          <t>Australia</t>
        </is>
      </c>
      <c r="B516" t="inlineStr">
        <is>
          <t>C2026C00213REC01 (Australia - Row 22)</t>
        </is>
      </c>
      <c r="C516" t="inlineStr">
        <is>
          <t>181</t>
        </is>
      </c>
      <c r="D516" s="11" t="inlineStr">
        <is>
          <t>Action directions for critical infrastructure</t>
        </is>
      </c>
      <c r="E516" t="inlineStr">
        <is>
          <t>193–194</t>
        </is>
      </c>
      <c r="F516" t="inlineStr">
        <is>
          <t>Medium</t>
        </is>
      </c>
      <c r="G516" t="inlineStr">
        <is>
          <t>High (explicit)</t>
        </is>
      </c>
      <c r="H516" s="11" t="inlineStr">
        <is>
          <t>Incident Reporting, Breach Notification</t>
        </is>
      </c>
      <c r="I516" s="11" t="inlineStr">
        <is>
          <t>Special Personal Information</t>
        </is>
      </c>
      <c r="J516" t="inlineStr">
        <is>
          <t>Secretary</t>
        </is>
      </c>
      <c r="K516" s="11" t="inlineStr">
        <is>
          <t>This section allows the Secretary to direct entities to take specific actions within a timeframe related to critical infrastructure assets. The direction must be identical to a direction specified in a Ministerial authorisation, include a statement that it is authorised by the authorisation, and specify the date the authorisation was given. The direction must end before the authorisation expires and cannot require entities to provide information to the Secretary.</t>
        </is>
      </c>
      <c r="L516" s="11" t="inlineStr">
        <is>
          <t>Action directions for critical infrastructure impact data transfer impact assessments by requiring specific authorisation and timeframe conditions for actions taken by entities.</t>
        </is>
      </c>
      <c r="M516" s="11" t="inlineStr">
        <is>
          <t>• [May] If an entity is a relevant entity for a critical infrastructure asset or critical infrastructure sector asset, the Secretary may give the entity a direction that directs the entity to do, or refrain from doing, a specified act or thing within the period specified in the direction.
• [Must] The direction must be identical to a direction specified in a Ministerial authorisation.
• [Must] The direction must include a statement that it is authorised by the Ministerial authorisation.</t>
        </is>
      </c>
      <c r="N516" s="11" t="inlineStr">
        <is>
          <t>• [Must] The direction must specify the date on which the Ministerial authorisation was given.
• [Condition] The period specified in the direction must end at or before the end of the period for which the Ministerial authorisation is in force.
• [Must Not] The Secretary must not give a direction under this section that would require an entity to give information to the Secretary.</t>
        </is>
      </c>
      <c r="O516" s="11" t="inlineStr">
        <is>
          <t>181 (1) If an entity is a relevant entity for: (a) a critical infrastructure asset; or (b) a critical infrastructure sector asset; the Secretary may give the entity a direction that directs the entity to do, or refrain from doing, a specified act or thing within the period specified in the direction.</t>
        </is>
      </c>
      <c r="P516" s="12" t="n">
        <v>12</v>
      </c>
    </row>
    <row r="517">
      <c r="A517" t="inlineStr">
        <is>
          <t>Australia</t>
        </is>
      </c>
      <c r="B517" t="inlineStr">
        <is>
          <t>C2026C00213REC01 (Australia - Row 22)</t>
        </is>
      </c>
      <c r="C517" t="inlineStr">
        <is>
          <t>182</t>
        </is>
      </c>
      <c r="D517" s="11" t="inlineStr">
        <is>
          <t>Oral directions for incident response: written record and revocation</t>
        </is>
      </c>
      <c r="E517" t="inlineStr">
        <is>
          <t>194–195</t>
        </is>
      </c>
      <c r="F517" t="inlineStr">
        <is>
          <t>Medium</t>
        </is>
      </c>
      <c r="G517" t="inlineStr">
        <is>
          <t>High (explicit)</t>
        </is>
      </c>
      <c r="H517" s="11" t="inlineStr">
        <is>
          <t>Incident Reporting, Breach Notification</t>
        </is>
      </c>
      <c r="I517" s="11" t="inlineStr">
        <is>
          <t>Personal Information</t>
        </is>
      </c>
      <c r="J517" t="inlineStr">
        <is>
          <t>Secretary</t>
        </is>
      </c>
      <c r="K517" s="11" t="inlineStr">
        <is>
          <t>This section mandates that directions given under section 35AQ for incident response must be recorded in writing within 48 hours if oral. The Secretary must provide a copy of the written record to the entity receiving the direction. The Secretary may revoke a direction by written notice if it is no longer required to respond to the incident. The direction is automatically revoked if the Ministerial authorisation ceases.</t>
        </is>
      </c>
      <c r="L517" s="11" t="inlineStr">
        <is>
          <t>Oral incident response directions require written records within 48 hours and must be revoked if the incident response authority expires. This affects how incident response directions are documented and maintained across borders.</t>
        </is>
      </c>
      <c r="M517" s="11" t="inlineStr">
        <is>
          <t>• [Must] A direction under section 35AQ may be given orally or in writing
• [Must Not] The Secretary must not give an oral direction unless written delay would frustrate effectiveness
• [Must] If a direction is given orally, the entity must make a written record within 48 hours</t>
        </is>
      </c>
      <c r="N517" s="11" t="inlineStr">
        <is>
          <t>• [Must] The entity must receive a copy of the written record of the direction
• [May] The Secretary may revoke a direction by written notice
• [Must] The Secretary must revoke a direction if it is no longer required to respond to the incident</t>
        </is>
      </c>
      <c r="O517" s="11" t="inlineStr">
        <is>
          <t>A direction under section 35AQ may be given: (a) orally; or (b) do so within 48 hours after the direction is given.</t>
        </is>
      </c>
      <c r="P517" s="12" t="n">
        <v>12</v>
      </c>
    </row>
    <row r="518">
      <c r="A518" t="inlineStr">
        <is>
          <t>Australia</t>
        </is>
      </c>
      <c r="B518" t="inlineStr">
        <is>
          <t>C2026C00213REC01 (Australia - Row 22)</t>
        </is>
      </c>
      <c r="C518" t="inlineStr">
        <is>
          <t>183</t>
        </is>
      </c>
      <c r="D518" s="11" t="inlineStr">
        <is>
          <t>Automatic revocation of incident response directions</t>
        </is>
      </c>
      <c r="E518" t="inlineStr">
        <is>
          <t>195–196</t>
        </is>
      </c>
      <c r="F518" t="inlineStr">
        <is>
          <t>Medium</t>
        </is>
      </c>
      <c r="G518" t="inlineStr">
        <is>
          <t>High (explicit)</t>
        </is>
      </c>
      <c r="H518" s="11" t="inlineStr">
        <is>
          <t>Incident Reporting, Breach Notification</t>
        </is>
      </c>
      <c r="I518" s="11" t="inlineStr">
        <is>
          <t>Personal Information</t>
        </is>
      </c>
      <c r="J518" t="inlineStr">
        <is>
          <t>Secretary</t>
        </is>
      </c>
      <c r="K518" s="11" t="inlineStr">
        <is>
          <t>This section states that incident response directions are automatically revoked if the Ministerial authorisation ceases to be in force. It also specifies that the direction does not affect the application of other parts of the Act. The section outlines that an entity commits an offence if it breaches a direction, but this offence is not applicable if the entity took all reasonable steps to comply.</t>
        </is>
      </c>
      <c r="L518" s="11" t="inlineStr">
        <is>
          <t>Incident response directions automatically terminate when the incident response authority expires, impacting how temporary data transfers for incident response are managed.</t>
        </is>
      </c>
      <c r="M518" s="11" t="inlineStr">
        <is>
          <t>• [Must] If the Ministerial authorisation ceases to be in force, the direction is revoked</t>
        </is>
      </c>
      <c r="N518" s="11" t="inlineStr">
        <is>
          <t>• [Must] An entity commits an offence if it breaches a direction but not if it took all reasonable steps to comply</t>
        </is>
      </c>
      <c r="O518" s="11" t="inlineStr">
        <is>
          <t>If the Ministerial authorisation ceases to be in force, the direction is revoked.</t>
        </is>
      </c>
      <c r="P518" s="12" t="n">
        <v>12</v>
      </c>
    </row>
    <row r="519">
      <c r="A519" t="inlineStr">
        <is>
          <t>Australia</t>
        </is>
      </c>
      <c r="B519" t="inlineStr">
        <is>
          <t>C2026C00213REC01 (Australia - Row 22)</t>
        </is>
      </c>
      <c r="C519" t="inlineStr">
        <is>
          <t>184</t>
        </is>
      </c>
      <c r="D519" s="11" t="inlineStr">
        <is>
          <t>Liability for incident response direction compliance</t>
        </is>
      </c>
      <c r="E519" t="inlineStr">
        <is>
          <t>196–197</t>
        </is>
      </c>
      <c r="F519" t="inlineStr">
        <is>
          <t>Medium</t>
        </is>
      </c>
      <c r="G519" t="inlineStr">
        <is>
          <t>High (explicit)</t>
        </is>
      </c>
      <c r="H519" s="11" t="inlineStr">
        <is>
          <t>Incident Reporting, Breach Notification</t>
        </is>
      </c>
      <c r="I519" s="11" t="inlineStr">
        <is>
          <t>Personal Information</t>
        </is>
      </c>
      <c r="J519" t="inlineStr">
        <is>
          <t>Secretary</t>
        </is>
      </c>
      <c r="K519" s="11" t="inlineStr">
        <is>
          <t>This section outlines the liability for entities that fail to comply with incident response directions. It specifies that an entity is liable for not ensuring or facilitating compliance with the direction. The section also states that if an entity is or was subject to a direction, it must ensure or facilitate compliance with the direction.</t>
        </is>
      </c>
      <c r="L519" s="11" t="inlineStr">
        <is>
          <t>Entities are liable for non-compliance with incident response directions, which affects how data transfers for incident response are monitored and enforced.</t>
        </is>
      </c>
      <c r="M519" s="11" t="inlineStr">
        <is>
          <t>• [Must] An entity is liable for not ensuring or facilitating compliance with a direction</t>
        </is>
      </c>
      <c r="N519" s="11" t="inlineStr"/>
      <c r="O519" s="11" t="inlineStr">
        <is>
          <t>An entity commits an offence if: (a) the entity is given a direction under section 35AQ; and (b) the entity engages in conduct; and (c) the entity's conduct breaches the direction.</t>
        </is>
      </c>
      <c r="P519" s="12" t="n">
        <v>12</v>
      </c>
    </row>
    <row r="520">
      <c r="A520" t="inlineStr">
        <is>
          <t>Australia</t>
        </is>
      </c>
      <c r="B520" t="inlineStr">
        <is>
          <t>C2026C00213REC01 (Australia - Row 22)</t>
        </is>
      </c>
      <c r="C520" t="inlineStr">
        <is>
          <t>186</t>
        </is>
      </c>
      <c r="D520" s="11" t="inlineStr">
        <is>
          <t>Intervention requests for critical infrastructure</t>
        </is>
      </c>
      <c r="E520" t="inlineStr">
        <is>
          <t>198–199</t>
        </is>
      </c>
      <c r="F520" t="inlineStr">
        <is>
          <t>High</t>
        </is>
      </c>
      <c r="G520" t="inlineStr">
        <is>
          <t>High (explicit)</t>
        </is>
      </c>
      <c r="H520" s="11" t="inlineStr">
        <is>
          <t>Incident Reporting, Breach Notification</t>
        </is>
      </c>
      <c r="I520" s="11" t="inlineStr">
        <is>
          <t>Personal Information</t>
        </is>
      </c>
      <c r="J520" t="inlineStr">
        <is>
          <t>Secretary</t>
        </is>
      </c>
      <c r="K520" s="11" t="inlineStr">
        <is>
          <t>This section allows the Secretary to issue intervention requests to authorised agencies for specific acts within a specified period. The request must be identical to a Ministerial authorisation, include a statement of authorization, and specify the date of the Ministerial authorisation. The request period must end before the Ministerial authorisation expires. The request cannot extend to prohibited activities under the Telecommunications (Interception and Access) Act 1979.</t>
        </is>
      </c>
      <c r="L520" s="11" t="inlineStr">
        <is>
          <t>Intervention requests for critical infrastructure require specific authorization and time limits, affecting how data transfers for critical infrastructure incidents are managed.</t>
        </is>
      </c>
      <c r="M520" s="11" t="inlineStr">
        <is>
          <t>• [May] The Secretary may give a request to the chief executive of the authorised agency for specified acts within a period
• [Must] The request must be identical to a Ministerial authorisation
• [Must] The request must include a statement that it is authorized by the Ministerial authorisation</t>
        </is>
      </c>
      <c r="N520" s="11" t="inlineStr">
        <is>
          <t>• [Must] The request must specify the date the Ministerial authorisation was given
• [Must] The request period must end by the end of the Ministerial authorisation period
• [Must Not] The request cannot extend to prohibited activities under the Telecommunications (Interception and Access) Act 1979</t>
        </is>
      </c>
      <c r="O520" s="11" t="inlineStr">
        <is>
          <t>The Secretary may give the chief executive of the authorised agency a request that the authorised agency do one or more specified acts or things within the period specified in the request.</t>
        </is>
      </c>
      <c r="P520" s="12" t="n">
        <v>12</v>
      </c>
    </row>
    <row r="521">
      <c r="A521" t="inlineStr">
        <is>
          <t>Australia</t>
        </is>
      </c>
      <c r="B521" t="inlineStr">
        <is>
          <t>C2026C00213REC01 (Australia - Row 22)</t>
        </is>
      </c>
      <c r="C521" t="inlineStr">
        <is>
          <t>187</t>
        </is>
      </c>
      <c r="D521" s="11" t="inlineStr">
        <is>
          <t>Notification requirements for oral intervention requests</t>
        </is>
      </c>
      <c r="E521" t="inlineStr">
        <is>
          <t>199–200</t>
        </is>
      </c>
      <c r="F521" t="inlineStr">
        <is>
          <t>High</t>
        </is>
      </c>
      <c r="G521" t="inlineStr">
        <is>
          <t>High (explicit)</t>
        </is>
      </c>
      <c r="H521" s="11" t="inlineStr">
        <is>
          <t>Incident Reporting, Breach Notification</t>
        </is>
      </c>
      <c r="I521" s="11" t="inlineStr">
        <is>
          <t>Personal Information</t>
        </is>
      </c>
      <c r="J521" t="inlineStr">
        <is>
          <t>Secretary</t>
        </is>
      </c>
      <c r="K521" s="11" t="inlineStr">
        <is>
          <t>This section mandates that if the Secretary gives an intervention request orally, it must be recorded in writing within 48 hours and a copy provided to the relevant entity. For critical infrastructure assets, the copy must be given to the responsible entity; for critical infrastructure sector assets, the copy must be given to the most relevant entity. Written requests require a copy to be provided to the authorised agency within 48 hours.</t>
        </is>
      </c>
      <c r="L521" s="11" t="inlineStr">
        <is>
          <t>Oral intervention requests require written records and timely notifications to relevant entities, impacting how data transfers for critical infrastructure incidents are documented and shared.</t>
        </is>
      </c>
      <c r="M521" s="11" t="inlineStr">
        <is>
          <t>• [Must] If a request is given orally, the Secretary must make a written record within 48 hours
• [Must] The Secretary must give a copy of the written record to the chief executive of the authorised agency</t>
        </is>
      </c>
      <c r="N521" s="11" t="inlineStr">
        <is>
          <t>• [Must] For critical infrastructure assets, the Secretary must give a copy to the responsible entity
• [Must] For critical infrastructure sector assets, the Secretary must give a copy to the most relevant entity</t>
        </is>
      </c>
      <c r="O521" s="11" t="inlineStr">
        <is>
          <t>If a request under section 35AX is given orally, the Secretary must: (i) make a written record of the request; (ii) give a copy of the written record of the request to the chief executive of the authorised agency; and (b) do so within 48 hours after the request is given.</t>
        </is>
      </c>
      <c r="P521" s="12" t="n">
        <v>12</v>
      </c>
    </row>
    <row r="522">
      <c r="A522" t="inlineStr">
        <is>
          <t>Australia</t>
        </is>
      </c>
      <c r="B522" t="inlineStr">
        <is>
          <t>C2026C00213REC01 (Australia - Row 22)</t>
        </is>
      </c>
      <c r="C522" t="inlineStr">
        <is>
          <t>189</t>
        </is>
      </c>
      <c r="D522" s="11" t="inlineStr">
        <is>
          <t>Revocation of cyber security incident requests</t>
        </is>
      </c>
      <c r="E522" t="inlineStr">
        <is>
          <t>201–202</t>
        </is>
      </c>
      <c r="F522" t="inlineStr">
        <is>
          <t>Low</t>
        </is>
      </c>
      <c r="G522" t="inlineStr">
        <is>
          <t>High (explicit)</t>
        </is>
      </c>
      <c r="H522" s="11" t="inlineStr">
        <is>
          <t>Incident Reporting, Breach Notification</t>
        </is>
      </c>
      <c r="I522" s="11" t="inlineStr">
        <is>
          <t>Special Personal Information</t>
        </is>
      </c>
      <c r="J522" t="inlineStr">
        <is>
          <t>Secretary</t>
        </is>
      </c>
      <c r="K522" s="11" t="inlineStr">
        <is>
          <t>This section outlines when and how the Secretary may revoke a request under section 35AX for a cyber security incident. The request can be revoked if it is no longer required to respond to the incident, the Ministerial authorisation ceases, or by written notice to the chief executive of the authorised agency. Revocation must be followed by notification to relevant entities.</t>
        </is>
      </c>
      <c r="L522" s="11" t="inlineStr">
        <is>
          <t>This section specifies conditions under which cyber security incident requests can be revoked, impacting data transfer assessments by defining when temporary access or data handling stops.</t>
        </is>
      </c>
      <c r="M522" s="11" t="inlineStr">
        <is>
          <t>• [Must] Secretary may revoke request by written notice to chief executive of authorised agency
• [Must] Secretary must revoke request if no longer required to respond to cyber security incident</t>
        </is>
      </c>
      <c r="N522" s="11" t="inlineStr">
        <is>
          <t>• [Condition] Request is automatically revoked if Ministerial authorisation ceases
• [Must] Secretary must notify chief executive and relevant entities of revocation as soon as practicable</t>
        </is>
      </c>
      <c r="O522" s="11" t="inlineStr">
        <is>
          <t>The Secretary may, by written notice given to the chief executive of the authorised agency, revoke the request.</t>
        </is>
      </c>
      <c r="P522" s="12" t="n">
        <v>12</v>
      </c>
    </row>
    <row r="523">
      <c r="A523" t="inlineStr">
        <is>
          <t>Australia</t>
        </is>
      </c>
      <c r="B523" t="inlineStr">
        <is>
          <t>C2026C00213REC01 (Australia - Row 22)</t>
        </is>
      </c>
      <c r="C523" t="inlineStr">
        <is>
          <t>190</t>
        </is>
      </c>
      <c r="D523" s="11" t="inlineStr">
        <is>
          <t>Entities required to assist authorised agencies</t>
        </is>
      </c>
      <c r="E523" t="inlineStr">
        <is>
          <t>202–203</t>
        </is>
      </c>
      <c r="F523" t="inlineStr">
        <is>
          <t>Low</t>
        </is>
      </c>
      <c r="G523" t="inlineStr">
        <is>
          <t>High (explicit)</t>
        </is>
      </c>
      <c r="H523" s="11" t="inlineStr">
        <is>
          <t>Third Party Processing, Access Control, Data Sharing</t>
        </is>
      </c>
      <c r="I523" s="11" t="inlineStr">
        <is>
          <t>Special Personal Information</t>
        </is>
      </c>
      <c r="J523" t="inlineStr"/>
      <c r="K523" s="11" t="inlineStr">
        <is>
          <t>This section requires relevant entities to provide access to premises or specified information to authorised agencies when responding to cyber security incident requests. Entities must comply with these requirements, and civil penalties do not apply for acts done in good faith.</t>
        </is>
      </c>
      <c r="L523" s="11" t="inlineStr">
        <is>
          <t>This section defines obligations for entities to assist in cyber security incident responses, affecting data transfer assessments by outlining when and how data access is permitted.</t>
        </is>
      </c>
      <c r="M523" s="11" t="inlineStr">
        <is>
          <t>• [Must] Approved staff member may require entity to provide access to premises for cyber security incident response
• [Must] Approved staff member may require entity to provide specified information or assistance reasonably necessary</t>
        </is>
      </c>
      <c r="N523" s="11" t="inlineStr">
        <is>
          <t>• [Must] Entity must comply with requirement under subsection (1)
• [Must Not] Entity not liable for damages in good faith compliance with requirement</t>
        </is>
      </c>
      <c r="O523" s="11" t="inlineStr">
        <is>
          <t>An entity is not liable to an action or other proceeding for damages for, or in relation to, an act done or omitted in good faith in compliance with a requirement under subsection (1).</t>
        </is>
      </c>
      <c r="P523" s="12" t="n">
        <v>12</v>
      </c>
    </row>
    <row r="524">
      <c r="A524" t="inlineStr">
        <is>
          <t>Australia</t>
        </is>
      </c>
      <c r="B524" t="inlineStr">
        <is>
          <t>C2026C00213REC01 (Australia - Row 22)</t>
        </is>
      </c>
      <c r="C524" t="inlineStr">
        <is>
          <t>191</t>
        </is>
      </c>
      <c r="D524" s="11" t="inlineStr">
        <is>
          <t>Facilitating compliance with requirements</t>
        </is>
      </c>
      <c r="E524" t="inlineStr">
        <is>
          <t>203–204</t>
        </is>
      </c>
      <c r="F524" t="inlineStr">
        <is>
          <t>Low</t>
        </is>
      </c>
      <c r="G524" t="inlineStr">
        <is>
          <t>High (explicit)</t>
        </is>
      </c>
      <c r="H524" s="11" t="inlineStr">
        <is>
          <t>Third Party Processing, Data Sharing</t>
        </is>
      </c>
      <c r="I524" s="11" t="inlineStr">
        <is>
          <t>Special Personal Information</t>
        </is>
      </c>
      <c r="J524" t="inlineStr"/>
      <c r="K524" s="11" t="inlineStr">
        <is>
          <t>This section details the obligations for entities to ensure or facilitate compliance with requirements imposed by authorised agencies during cyber security incident responses. It specifies when entities must assist in maintaining compliance with the request.</t>
        </is>
      </c>
      <c r="L524" s="11" t="inlineStr">
        <is>
          <t>This section addresses how entities must maintain compliance with cyber security incident requests, impacting data transfer assessments by defining ongoing obligations.</t>
        </is>
      </c>
      <c r="M524" s="11" t="inlineStr">
        <is>
          <t>• [Must] Entity must ensure or facilitate compliance with requirement</t>
        </is>
      </c>
      <c r="N524" s="11" t="inlineStr">
        <is>
          <t>• [Must] Entity must facilitate compliance with requirement</t>
        </is>
      </c>
      <c r="O524" s="11" t="inlineStr">
        <is>
          <t>ensuring or facilitating compliance with the requirement; and facilitating compliance with the requirement.</t>
        </is>
      </c>
      <c r="P524" s="12" t="n">
        <v>12</v>
      </c>
    </row>
    <row r="525">
      <c r="A525" t="inlineStr">
        <is>
          <t>Australia</t>
        </is>
      </c>
      <c r="B525" t="inlineStr">
        <is>
          <t>C2026C00213REC01 (Australia - Row 22)</t>
        </is>
      </c>
      <c r="C525" t="inlineStr">
        <is>
          <t>192</t>
        </is>
      </c>
      <c r="D525" s="11" t="inlineStr">
        <is>
          <t>Constables' authority to enter premises</t>
        </is>
      </c>
      <c r="E525" t="inlineStr">
        <is>
          <t>204–205</t>
        </is>
      </c>
      <c r="F525" t="inlineStr">
        <is>
          <t>Low</t>
        </is>
      </c>
      <c r="G525" t="inlineStr">
        <is>
          <t>High (explicit)</t>
        </is>
      </c>
      <c r="H525" s="11" t="inlineStr">
        <is>
          <t>Access Control, Incident Reporting, Breach Notification</t>
        </is>
      </c>
      <c r="I525" s="11" t="inlineStr">
        <is>
          <t>Special Personal Information</t>
        </is>
      </c>
      <c r="J525" t="inlineStr">
        <is>
          <t>Constable</t>
        </is>
      </c>
      <c r="K525" s="11" t="inlineStr">
        <is>
          <t>This section grants constables the authority to enter premises using reasonable force when authorised agencies need access for cyber security incident responses. Constables may assist in gaining access to premises or enter the premises themselves if necessary.</t>
        </is>
      </c>
      <c r="L525" s="11" t="inlineStr">
        <is>
          <t>This section defines when constables can enter premises during cyber security incident responses, affecting data transfer assessments by outlining physical access conditions.</t>
        </is>
      </c>
      <c r="M525" s="11" t="inlineStr">
        <is>
          <t>• [Must] Approved staff member may enter premises for cyber security incident response
• [May] Constable may assist approved staff member in gaining access using reasonable force against property
• [May] Constable may enter premises if necessary to assist approved staff member</t>
        </is>
      </c>
      <c r="N525" s="11" t="inlineStr">
        <is>
          <t>• [May] Constable may assist authorised agency in complying with request using reasonable force against property
• [May] Constable may enter premises to assist authorised agency</t>
        </is>
      </c>
      <c r="O525" s="11" t="inlineStr">
        <is>
          <t>a constable may: (i) assist the approved staff member in gaining access to the premises by using reasonable force against property; and (ii) if necessary for the purposes of so assisting the approved staff member—enter the premises.</t>
        </is>
      </c>
      <c r="P525" s="12" t="n">
        <v>12</v>
      </c>
    </row>
    <row r="526">
      <c r="A526" t="inlineStr">
        <is>
          <t>Australia</t>
        </is>
      </c>
      <c r="B526" t="inlineStr">
        <is>
          <t>C2026C00213REC01 (Australia - Row 22)</t>
        </is>
      </c>
      <c r="C526" t="inlineStr">
        <is>
          <t>193</t>
        </is>
      </c>
      <c r="D526" s="11" t="inlineStr">
        <is>
          <t>Removal and return of computers during incidents</t>
        </is>
      </c>
      <c r="E526" t="inlineStr">
        <is>
          <t>205–206</t>
        </is>
      </c>
      <c r="F526" t="inlineStr">
        <is>
          <t>Low</t>
        </is>
      </c>
      <c r="G526" t="inlineStr">
        <is>
          <t>High (explicit)</t>
        </is>
      </c>
      <c r="H526" s="11" t="inlineStr">
        <is>
          <t>Data Storage, Data Sharing</t>
        </is>
      </c>
      <c r="I526" s="11" t="inlineStr">
        <is>
          <t>Special Personal Information</t>
        </is>
      </c>
      <c r="J526" t="inlineStr">
        <is>
          <t>Authorised agency</t>
        </is>
      </c>
      <c r="K526" s="11" t="inlineStr">
        <is>
          <t>This section mandates the removal or disconnection of computers and devices from networks when they are no longer required for cyber security incident responses. It also requires the return of devices if the request ceases to be in force or if the device is no longer needed.</t>
        </is>
      </c>
      <c r="L526" s="11" t="inlineStr">
        <is>
          <t>This section specifies when computers and devices must be removed or returned during cyber security incident responses, impacting data transfer assessments by defining data handling timelines.</t>
        </is>
      </c>
      <c r="M526" s="11" t="inlineStr">
        <is>
          <t>• [Must] Authorised agency must remove or disconnect computer as soon as practicable after belief it is no longer required
• [Must] Authorised agency must remove or disconnect computer as soon as practicable after request ceases</t>
        </is>
      </c>
      <c r="N526" s="11" t="inlineStr">
        <is>
          <t>• [Must] Authorised agency must return computer as soon as practicable after belief it is no longer required
• [Must] Authorised agency must return computer as soon as practicable after request ceases</t>
        </is>
      </c>
      <c r="O526" s="11" t="inlineStr">
        <is>
          <t>the authorised agency must remove or disconnect the computer or device as soon as practicable after the approved staff member forms that belief.</t>
        </is>
      </c>
      <c r="P526" s="12" t="n">
        <v>12</v>
      </c>
    </row>
    <row r="527">
      <c r="A527" t="inlineStr">
        <is>
          <t>Australia</t>
        </is>
      </c>
      <c r="B527" t="inlineStr">
        <is>
          <t>C2026C00213REC01 (Australia - Row 22)</t>
        </is>
      </c>
      <c r="C527" t="inlineStr">
        <is>
          <t>194</t>
        </is>
      </c>
      <c r="D527" s="11" t="inlineStr">
        <is>
          <t>Prohibition on use of force against individuals</t>
        </is>
      </c>
      <c r="E527" t="inlineStr">
        <is>
          <t>206–207</t>
        </is>
      </c>
      <c r="F527" t="inlineStr">
        <is>
          <t>Low</t>
        </is>
      </c>
      <c r="G527" t="inlineStr">
        <is>
          <t>High (explicit)</t>
        </is>
      </c>
      <c r="H527" s="11" t="inlineStr">
        <is>
          <t>Incident Reporting, Breach Notification</t>
        </is>
      </c>
      <c r="I527" s="11" t="inlineStr">
        <is>
          <t>Special Personal Information</t>
        </is>
      </c>
      <c r="J527" t="inlineStr"/>
      <c r="K527" s="11" t="inlineStr">
        <is>
          <t>This section explicitly states that the Division does not authorise the use of force against individuals, clarifying the scope of permissible actions during cyber security incident responses.</t>
        </is>
      </c>
      <c r="L527" s="11" t="inlineStr">
        <is>
          <t>This section prohibits the use of force against individuals, ensuring data transfer assessments consider human safety in incident responses.</t>
        </is>
      </c>
      <c r="M527" s="11" t="inlineStr">
        <is>
          <t>• [Must Not] This Division does not authorise the use of force against an individual</t>
        </is>
      </c>
      <c r="N527" s="11" t="inlineStr"/>
      <c r="O527" s="11" t="inlineStr">
        <is>
          <t>This Division does not authorise the use of force against an individual.</t>
        </is>
      </c>
      <c r="P527" s="12" t="n">
        <v>12</v>
      </c>
    </row>
    <row r="528">
      <c r="A528" t="inlineStr">
        <is>
          <t>Australia</t>
        </is>
      </c>
      <c r="B528" t="inlineStr">
        <is>
          <t>C2026C00213REC01 (Australia - Row 22)</t>
        </is>
      </c>
      <c r="C528" t="inlineStr">
        <is>
          <t>195</t>
        </is>
      </c>
      <c r="D528" s="11" t="inlineStr">
        <is>
          <t>Reporting requirements for cyber incident response</t>
        </is>
      </c>
      <c r="E528" t="inlineStr">
        <is>
          <t>207–208</t>
        </is>
      </c>
      <c r="F528" t="inlineStr">
        <is>
          <t>Medium</t>
        </is>
      </c>
      <c r="G528" t="inlineStr">
        <is>
          <t>High (explicit)</t>
        </is>
      </c>
      <c r="H528" s="11" t="inlineStr">
        <is>
          <t>Incident Reporting, Breach Notification</t>
        </is>
      </c>
      <c r="I528" s="11" t="inlineStr">
        <is>
          <t>Personal Information</t>
        </is>
      </c>
      <c r="J528" t="inlineStr">
        <is>
          <t>Minister</t>
        </is>
      </c>
      <c r="K528" s="11" t="inlineStr">
        <is>
          <t>The chief executive of an authorised agency must prepare a written report detailing the acts or things taken in response to a cyber security incident, explaining the extent to which those actions effectively addressed the incident. The report must be provided to both the Defence Minister and the Minister within 3 months after the end of the specified period in the request. This applies to the chief executive of the authorised agency.</t>
        </is>
      </c>
      <c r="L528" s="11" t="inlineStr">
        <is>
          <t>Requires detailed reporting on cyber incident response actions to ensure transparency and accountability in handling security incidents across borders.</t>
        </is>
      </c>
      <c r="M528" s="11" t="inlineStr">
        <is>
          <t>• [Must] Prepare a written report detailing acts or things taken in response to a cyber security incident
• [Must] Explain the extent to which actions effectively addressed the cyber security incident
• [Must] Provide a copy of the report to the Defence Minister</t>
        </is>
      </c>
      <c r="N528" s="11" t="inlineStr">
        <is>
          <t>• [Must] Provide a copy of the report to the Minister
• [Condition] Comply with reporting within 3 months after the end of the specified period</t>
        </is>
      </c>
      <c r="O528" s="11" t="inlineStr">
        <is>
          <t>195 (c) prepare a written report that: (i) sets out details of those acts or things; and (ii) explains the extent to which doing those acts or things has amounted to an effective response to the cyber security incident to which the Ministerial authorisation relates; and (d) give a copy of the report to the Defence Minister; and (e) give a copy of the report to the Minister.</t>
        </is>
      </c>
      <c r="P528" s="12" t="n">
        <v>12</v>
      </c>
    </row>
    <row r="529">
      <c r="A529" t="inlineStr">
        <is>
          <t>Australia</t>
        </is>
      </c>
      <c r="B529" t="inlineStr">
        <is>
          <t>C2026C00213REC01 (Australia - Row 22)</t>
        </is>
      </c>
      <c r="C529" t="inlineStr">
        <is>
          <t>196</t>
        </is>
      </c>
      <c r="D529" s="11" t="inlineStr">
        <is>
          <t>Reporting to Parliamentary Joint Committee on Intelligence and Security</t>
        </is>
      </c>
      <c r="E529" t="inlineStr">
        <is>
          <t>208–209</t>
        </is>
      </c>
      <c r="F529" t="inlineStr">
        <is>
          <t>Low</t>
        </is>
      </c>
      <c r="G529" t="inlineStr">
        <is>
          <t>High (explicit)</t>
        </is>
      </c>
      <c r="H529" s="11" t="inlineStr">
        <is>
          <t>Incident Reporting, Breach Notification</t>
        </is>
      </c>
      <c r="I529" s="11" t="inlineStr">
        <is>
          <t>Personal Information</t>
        </is>
      </c>
      <c r="J529" t="inlineStr">
        <is>
          <t>Secretary</t>
        </is>
      </c>
      <c r="K529" s="11" t="inlineStr">
        <is>
          <t>The Secretary must provide a written report to the Parliamentary Joint Committee on Intelligence and Security when giving directions or requests under sections 35AK or 35AQ, or section 35AX, related to an incident. The report must describe each direction or request made. This applies to the Secretary of the Commonwealth.</t>
        </is>
      </c>
      <c r="L529" s="11" t="inlineStr">
        <is>
          <t>Mandates reporting to parliamentary committees for incidents involving intelligence and security, relevant for transparency in cross-border data handling.</t>
        </is>
      </c>
      <c r="M529" s="11" t="inlineStr">
        <is>
          <t>• [Must] Provide written report to Parliamentary Joint Committee on Intelligence and Security</t>
        </is>
      </c>
      <c r="N529" s="11" t="inlineStr">
        <is>
          <t>• [Must] Include description of each direction or request made</t>
        </is>
      </c>
      <c r="O529" s="11" t="inlineStr">
        <is>
          <t>196 (1) If the Secretary gives one or more directions under section 35AK or 35AQ, or one or more requests under section 35AX, in relation to an incident, the Secretary must give the Parliamentary Joint Committee on Intelligence and Security a written report about the incident.</t>
        </is>
      </c>
      <c r="P529" s="12" t="n">
        <v>12</v>
      </c>
    </row>
    <row r="530">
      <c r="A530" t="inlineStr">
        <is>
          <t>Australia</t>
        </is>
      </c>
      <c r="B530" t="inlineStr">
        <is>
          <t>C2026C00213REC01 (Australia - Row 22)</t>
        </is>
      </c>
      <c r="C530" t="inlineStr">
        <is>
          <t>197</t>
        </is>
      </c>
      <c r="D530" s="11" t="inlineStr">
        <is>
          <t>Information gathering authority for critical infrastructure</t>
        </is>
      </c>
      <c r="E530" t="inlineStr">
        <is>
          <t>209–210</t>
        </is>
      </c>
      <c r="F530" t="inlineStr">
        <is>
          <t>High</t>
        </is>
      </c>
      <c r="G530" t="inlineStr">
        <is>
          <t>High (explicit)</t>
        </is>
      </c>
      <c r="H530" s="11" t="inlineStr">
        <is>
          <t>Security, Incident Reporting, Breach Notification</t>
        </is>
      </c>
      <c r="I530" s="11" t="inlineStr">
        <is>
          <t>Personal Information</t>
        </is>
      </c>
      <c r="J530" t="inlineStr">
        <is>
          <t>Secretary</t>
        </is>
      </c>
      <c r="K530" s="11" t="inlineStr">
        <is>
          <t>The Secretary may require critical infrastructure entities to provide information or documents relevant to exercising powers under the Act. The use or disclosure of protected information is authorised in specific circumstances but otherwise constitutes an offence. The privilege against self-incrimination does not apply when providing information under this Part. This applies to the Secretary of the Commonwealth.</t>
        </is>
      </c>
      <c r="L530" s="11" t="inlineStr">
        <is>
          <t>Authorises gathering of critical infrastructure information with specific conditions on disclosure and self-incrimination, relevant for data handling in critical sectors.</t>
        </is>
      </c>
      <c r="M530" s="11" t="inlineStr">
        <is>
          <t>• [May] Secretary may require critical infrastructure entities to provide information or documents
• [Must] Use or disclosure of protected information is authorised in particular circumstances</t>
        </is>
      </c>
      <c r="N530" s="11" t="inlineStr">
        <is>
          <t>• [Must Not] Use or disclosure of protected information is otherwise an offence
• [Must] Privilege against self-incrimination does not apply when providing information</t>
        </is>
      </c>
      <c r="O530" s="11" t="inlineStr">
        <is>
          <t>197 The Secretary may require a reporting entity for, or an operator of, a critical infrastructure asset to provide certain information or documents. The making of a record, or the use or disclosure, of protected information is authorised in particular circumstances but is otherwise an offence. The privilege against self-incrimination does not apply in relation to a requirement to provide information or documents under this Part.</t>
        </is>
      </c>
      <c r="P530" s="12" t="n">
        <v>12</v>
      </c>
    </row>
    <row r="531">
      <c r="A531" t="inlineStr">
        <is>
          <t>Australia</t>
        </is>
      </c>
      <c r="B531" t="inlineStr">
        <is>
          <t>C2026C00213REC01 (Australia - Row 22)</t>
        </is>
      </c>
      <c r="C531" t="inlineStr">
        <is>
          <t>198</t>
        </is>
      </c>
      <c r="D531" s="11" t="inlineStr">
        <is>
          <t>Secretary's power to obtain information from entities</t>
        </is>
      </c>
      <c r="E531" t="inlineStr">
        <is>
          <t>210–211</t>
        </is>
      </c>
      <c r="F531" t="inlineStr">
        <is>
          <t>High</t>
        </is>
      </c>
      <c r="G531" t="inlineStr">
        <is>
          <t>High (explicit)</t>
        </is>
      </c>
      <c r="H531" s="11" t="inlineStr">
        <is>
          <t>Security, Incident Reporting, Breach Notification</t>
        </is>
      </c>
      <c r="I531" s="11" t="inlineStr">
        <is>
          <t>Personal Information</t>
        </is>
      </c>
      <c r="J531" t="inlineStr">
        <is>
          <t>Secretary</t>
        </is>
      </c>
      <c r="K531" s="11" t="inlineStr">
        <is>
          <t>The Secretary may require entities that are reporting entities or operators of critical infrastructure assets to provide information or documents relevant to exercising powers under the Act. The entity must comply with the notice within the specified period and manner. The Secretary must consider the costs incurred by the entity before issuing the notice and may consider other relevant matters. This applies to the Secretary of the Commonwealth.</t>
        </is>
      </c>
      <c r="L531" s="11" t="inlineStr">
        <is>
          <t>Allows authorities to obtain critical infrastructure information with cost considerations and compliance requirements, relevant for data handling in critical sectors.</t>
        </is>
      </c>
      <c r="M531" s="11" t="inlineStr">
        <is>
          <t>• [May] Secretary may require entities to provide information or documents relevant to exercising powers
• [Must] Entity must comply with notice within specified period and manner</t>
        </is>
      </c>
      <c r="N531" s="11" t="inlineStr">
        <is>
          <t>• [Must] Secretary must consider costs incurred by entity before issuing notice
• [May] Secretary may consider other relevant matters before issuing notice</t>
        </is>
      </c>
      <c r="O531" s="11" t="inlineStr">
        <is>
          <t>198 (1) This section applies if the Secretary has reason to believe that an entity that is a reporting entity for, or an operator of, a critical infrastructure asset has information or a document that: (a) is relevant to the exercise of a power, or the performance of a duty or function, under this Act in relation to the asset; or (b) may assist with determining whether a power under this Act should be exercised in relation to the asset.</t>
        </is>
      </c>
      <c r="P531" s="12" t="n">
        <v>12</v>
      </c>
    </row>
    <row r="532">
      <c r="A532" t="inlineStr">
        <is>
          <t>Australia</t>
        </is>
      </c>
      <c r="B532" t="inlineStr">
        <is>
          <t>C2026C00213REC01 (Australia - Row 22)</t>
        </is>
      </c>
      <c r="C532" t="inlineStr">
        <is>
          <t>199</t>
        </is>
      </c>
      <c r="D532" s="11" t="inlineStr">
        <is>
          <t>Certified copies and self-incrimination exemptions</t>
        </is>
      </c>
      <c r="E532" t="inlineStr">
        <is>
          <t>211–212</t>
        </is>
      </c>
      <c r="F532" t="inlineStr">
        <is>
          <t>High</t>
        </is>
      </c>
      <c r="G532" t="inlineStr">
        <is>
          <t>High (explicit)</t>
        </is>
      </c>
      <c r="H532" s="11" t="inlineStr">
        <is>
          <t>Security, Incident Reporting, Breach Notification</t>
        </is>
      </c>
      <c r="I532" s="11" t="inlineStr">
        <is>
          <t>Personal Information</t>
        </is>
      </c>
      <c r="J532" t="inlineStr">
        <is>
          <t>Secretary</t>
        </is>
      </c>
      <c r="K532" s="11" t="inlineStr">
        <is>
          <t>The Secretary may retain copies of documents obtained under section 37 and provide certified copies to entities. Certified copies are admissible in courts and tribunals as evidence. Entities are not excused from providing information due to self-incrimination concerns, but there are specific exemptions for individuals in civil and criminal proceedings. This applies to the Secretary of the Commonwealth.</t>
        </is>
      </c>
      <c r="L532" s="11" t="inlineStr">
        <is>
          <t>Provides certified copies for legal use and clarifies self-incrimination exemptions, relevant for data handling in critical infrastructure.</t>
        </is>
      </c>
      <c r="M532" s="11" t="inlineStr">
        <is>
          <t>• [May] Secretary may retain copies of documents obtained under section 37
• [Must] Certified copies are admissible in courts and tribunals as evidence
• [Must] Entity is not excused from providing information due to self-incrimination concerns</t>
        </is>
      </c>
      <c r="N532" s="11" t="inlineStr">
        <is>
          <t>• [Must] Individuals are exempt from admissibility in civil proceedings
• [Must] Individuals are exempt from admissibility in criminal proceedings</t>
        </is>
      </c>
      <c r="O532" s="11" t="inlineStr">
        <is>
          <t>199 Note 1: This subsection is not subject to the privilege against self-incrimination, but there are limits on the uses to which the information, document or copy may be put (see section 40). Note 2: Civil penalty: (5) The notice must set out the effect of the following provisions: (a) subsection (4); (b) Part 5 (enforcement); (c) sections 137.1 and 137.2 of the Criminal Code (false or misleading information or documents).</t>
        </is>
      </c>
      <c r="P532" s="12" t="n">
        <v>12</v>
      </c>
    </row>
    <row r="533">
      <c r="A533" t="inlineStr">
        <is>
          <t>Australia</t>
        </is>
      </c>
      <c r="B533" t="inlineStr">
        <is>
          <t>C2026C00213REC01 (Australia - Row 22)</t>
        </is>
      </c>
      <c r="C533" t="inlineStr">
        <is>
          <t>201</t>
        </is>
      </c>
      <c r="D533" s="11" t="inlineStr">
        <is>
          <t>Authorized use of protected information for statutory functions</t>
        </is>
      </c>
      <c r="E533" t="inlineStr">
        <is>
          <t>213–214</t>
        </is>
      </c>
      <c r="F533" t="inlineStr">
        <is>
          <t>Low</t>
        </is>
      </c>
      <c r="G533" t="inlineStr">
        <is>
          <t>High (explicit)</t>
        </is>
      </c>
      <c r="H533" s="11" t="inlineStr">
        <is>
          <t>Cross-border Transfer, International Processing</t>
        </is>
      </c>
      <c r="I533" s="11" t="inlineStr"/>
      <c r="J533" t="inlineStr"/>
      <c r="K533" s="11" t="inlineStr">
        <is>
          <t>An entity may record, use, or disclose protected information if it does so for exercising powers, performing functions, or duties under the Act, or to ensure compliance with the Act. This authorization applies to the entity itself and does not require external consent.</t>
        </is>
      </c>
      <c r="L533" s="11" t="inlineStr">
        <is>
          <t>Allows entities to transfer protected information internally for statutory purposes without additional safeguards, relevant for internal data flows within government operations.</t>
        </is>
      </c>
      <c r="M533" s="11" t="inlineStr">
        <is>
          <t>• [Must] An entity may make a record of, use or disclose protected information if the entity makes the record, or uses or discloses the information, for the purposes of exercising the entity's powers, or performing the entity's functions or duties, under this Act</t>
        </is>
      </c>
      <c r="N533" s="11" t="inlineStr">
        <is>
          <t>• [Must] An entity may make a record of, use or disclose protected information if the entity makes the record, or uses or discloses the information, for the purposes of otherwise ensuring compliance with a provision of this Act</t>
        </is>
      </c>
      <c r="O533" s="11" t="inlineStr">
        <is>
          <t>An entity may make a record of, use or disclose protected information if the entity makes the record, or uses or discloses the information, for the purposes of: (a) exercising the entity's powers, or performing the entity's functions or duties, under this Act; or (b) otherwise ensuring compliance with a provision of this Act.</t>
        </is>
      </c>
      <c r="P533" s="12" t="n">
        <v>12</v>
      </c>
    </row>
    <row r="534">
      <c r="A534" t="inlineStr">
        <is>
          <t>Australia</t>
        </is>
      </c>
      <c r="B534" t="inlineStr">
        <is>
          <t>C2026C00213REC01 (Australia - Row 22)</t>
        </is>
      </c>
      <c r="C534" t="inlineStr">
        <is>
          <t>202</t>
        </is>
      </c>
      <c r="D534" s="11" t="inlineStr">
        <is>
          <t>Authorized disclosure to government officials for critical infrastructure</t>
        </is>
      </c>
      <c r="E534" t="inlineStr">
        <is>
          <t>214–215</t>
        </is>
      </c>
      <c r="F534" t="inlineStr">
        <is>
          <t>Low</t>
        </is>
      </c>
      <c r="G534" t="inlineStr">
        <is>
          <t>High (explicit)</t>
        </is>
      </c>
      <c r="H534" s="11" t="inlineStr">
        <is>
          <t>Cross-border Transfer, International Processing</t>
        </is>
      </c>
      <c r="I534" s="11" t="inlineStr"/>
      <c r="J534" t="inlineStr"/>
      <c r="K534" s="11" t="inlineStr">
        <is>
          <t>Protected information may be disclosed to Commonwealth, State, ACT, or NT Ministers with specific responsibilities, including law enforcement, emergency management, or critical infrastructure oversight, for the purpose of enabling them to exercise powers or perform duties. This disclosure is authorized for the purposes of other laws.</t>
        </is>
      </c>
      <c r="L534" s="11" t="inlineStr">
        <is>
          <t>Permits cross-government data sharing for critical infrastructure purposes without additional safeguards, relevant for internal data transfers within government operations.</t>
        </is>
      </c>
      <c r="M534" s="11" t="inlineStr">
        <is>
          <t>• [Must] Disclose protected information to a Minister of the Commonwealth who has responsibility for national security, law enforcement, foreign investment in Australia, taxation policy, industry policy, promoting investment in Australia, defence, emergency management, or regulation of critical infrastructure sectors
• [Must] Disclose protected information to a Minister of a State, Australian Capital Territory, or Northern Territory who has responsibility for law enforcement, emergency management, or regulation of critical infrastructure sectors</t>
        </is>
      </c>
      <c r="N534" s="11" t="inlineStr">
        <is>
          <t>• [Must] Disclose protected information to a person employed as a member of staff of a Minister mentioned in the above
• [Must] Disclose protected information to the head of an agency administered by a Minister mentioned in the above, or an officer or employee of that agency</t>
        </is>
      </c>
      <c r="O534" s="11" t="inlineStr">
        <is>
          <t>The persons to whom the Secretary, or an authorised APS employee, may disclose protected information are the following: (a) a Minister of the Commonwealth who has responsibility for national security; law enforcement; foreign investment in Australia; taxation policy; industry policy; promoting investment in Australia; defence; emergency management; the regulation or oversight of the relevant critical infrastructure sector to which the protected information relates; (b) a Minister of a State, the Australian Capital Territory, or the Northern Territory, who has responsibility for law enforcement; emergency management; or the regulation or oversight of the relevant critical infrastructure sector to which the protected information relates; (c) a person employed as a member of staff of a Minister mentioned in paragraph (a) or (b); (d) the head of an agency (including a Department) administered by a Minister mentioned in paragraph (a) or (b), or an officer or employee of that agency.</t>
        </is>
      </c>
      <c r="P534" s="12" t="n">
        <v>12</v>
      </c>
    </row>
    <row r="535">
      <c r="A535" t="inlineStr">
        <is>
          <t>Australia</t>
        </is>
      </c>
      <c r="B535" t="inlineStr">
        <is>
          <t>C2026C00213REC01 (Australia - Row 22)</t>
        </is>
      </c>
      <c r="C535" t="inlineStr">
        <is>
          <t>203</t>
        </is>
      </c>
      <c r="D535" s="11" t="inlineStr">
        <is>
          <t>Authorized disclosure for legislative development purposes</t>
        </is>
      </c>
      <c r="E535" t="inlineStr">
        <is>
          <t>215–216</t>
        </is>
      </c>
      <c r="F535" t="inlineStr">
        <is>
          <t>Low</t>
        </is>
      </c>
      <c r="G535" t="inlineStr">
        <is>
          <t>High (explicit)</t>
        </is>
      </c>
      <c r="H535" s="11" t="inlineStr">
        <is>
          <t>Cross-border Transfer, International Processing</t>
        </is>
      </c>
      <c r="I535" s="11" t="inlineStr"/>
      <c r="J535" t="inlineStr"/>
      <c r="K535" s="11" t="inlineStr">
        <is>
          <t>Protected information may be disclosed to entities for developing or assessing proposed amendments to the Act, proposed rules, or proposed amendments to the rules, provided the disclosure is for the purposes of those activities. This authorization is for the purposes of other laws.</t>
        </is>
      </c>
      <c r="L535" s="11" t="inlineStr">
        <is>
          <t>Allows disclosure of protected information to entities for legislative development without additional safeguards, relevant for internal data flows within government operations.</t>
        </is>
      </c>
      <c r="M535" s="11" t="inlineStr">
        <is>
          <t>• [Must] Disclose protected information to an entity for the purposes of developing or assessing proposed amendments of this Act
• [Must] Disclose protected information to an entity for the purposes of developing or assessing proposed rules</t>
        </is>
      </c>
      <c r="N535" s="11" t="inlineStr">
        <is>
          <t>• [Must] Disclose protected information to an entity for the purposes of developing or assessing proposed amendments of the rules</t>
        </is>
      </c>
      <c r="O535" s="11" t="inlineStr">
        <is>
          <t>An entity may disclose protected information to an entity for the purposes of developing or assessing: (i) proposed amendments of this Act; (ii) proposed rules; (iii) proposed amendments of the rules.</t>
        </is>
      </c>
      <c r="P535" s="12" t="n">
        <v>12</v>
      </c>
    </row>
    <row r="536">
      <c r="A536" t="inlineStr">
        <is>
          <t>Australia</t>
        </is>
      </c>
      <c r="B536" t="inlineStr">
        <is>
          <t>C2026C00213REC01 (Australia - Row 22)</t>
        </is>
      </c>
      <c r="C536" t="inlineStr">
        <is>
          <t>204</t>
        </is>
      </c>
      <c r="D536" s="11" t="inlineStr">
        <is>
          <t>Authorized disclosure to Ombudsman and IGIS officials</t>
        </is>
      </c>
      <c r="E536" t="inlineStr">
        <is>
          <t>216–217</t>
        </is>
      </c>
      <c r="F536" t="inlineStr">
        <is>
          <t>Low</t>
        </is>
      </c>
      <c r="G536" t="inlineStr">
        <is>
          <t>High (explicit)</t>
        </is>
      </c>
      <c r="H536" s="11" t="inlineStr">
        <is>
          <t>Cross-border Transfer, International Processing</t>
        </is>
      </c>
      <c r="I536" s="11" t="inlineStr"/>
      <c r="J536" t="inlineStr"/>
      <c r="K536" s="11" t="inlineStr">
        <is>
          <t>Protected information may be disclosed to Ombudsman officials for exercising powers or performing duties, and to IGIS officials for exercising powers or performing functions, provided the disclosure is for those specific purposes. This authorization is for the purposes of other laws.</t>
        </is>
      </c>
      <c r="L536" s="11" t="inlineStr">
        <is>
          <t>Permits disclosure of protected information to Ombudsman and IGIS officials without additional safeguards, relevant for internal data flows within government operations.</t>
        </is>
      </c>
      <c r="M536" s="11" t="inlineStr">
        <is>
          <t>• [Must] Disclose protected information to an Ombudsman official for the purposes of exercising powers, or performing duties or functions, as an Ombudsman official</t>
        </is>
      </c>
      <c r="N536" s="11" t="inlineStr">
        <is>
          <t>• [Must] Disclose protected information to an IGIS official for the purposes of exercising powers, or performing duties or functions, as an IGIS official</t>
        </is>
      </c>
      <c r="O536" s="11" t="inlineStr">
        <is>
          <t>An entity may disclose protected information to an Ombudsman official for the purposes of exercising powers, or performing duties or functions, as an Ombudsman official; and disclose protected information to an IGIS official for the purposes of exercising powers, or performing duties or functions, as an IGIS official.</t>
        </is>
      </c>
      <c r="P536" s="12" t="n">
        <v>12</v>
      </c>
    </row>
    <row r="537">
      <c r="A537" t="inlineStr">
        <is>
          <t>Australia</t>
        </is>
      </c>
      <c r="B537" t="inlineStr">
        <is>
          <t>C2026C00213REC01 (Australia - Row 22)</t>
        </is>
      </c>
      <c r="C537" t="inlineStr">
        <is>
          <t>205</t>
        </is>
      </c>
      <c r="D537" s="11" t="inlineStr">
        <is>
          <t>Cross-organizational disclosure between Ombudsman and IGIS officials</t>
        </is>
      </c>
      <c r="E537" t="inlineStr">
        <is>
          <t>217–218</t>
        </is>
      </c>
      <c r="F537" t="inlineStr">
        <is>
          <t>Low</t>
        </is>
      </c>
      <c r="G537" t="inlineStr">
        <is>
          <t>High (explicit)</t>
        </is>
      </c>
      <c r="H537" s="11" t="inlineStr">
        <is>
          <t>Cross-border Transfer, International Processing</t>
        </is>
      </c>
      <c r="I537" s="11" t="inlineStr"/>
      <c r="J537" t="inlineStr"/>
      <c r="K537" s="11" t="inlineStr">
        <is>
          <t>Protected information may be disclosed by an Ombudsman official to an IGIS official for the purposes of the IGIS official exercising powers or performing functions, and vice versa, provided the disclosure is for those specific purposes. This authorization is for the purposes of other laws.</t>
        </is>
      </c>
      <c r="L537" s="11" t="inlineStr">
        <is>
          <t>Allows cross-organizational data sharing between Ombudsman and IGIS officials without additional safeguards, relevant for internal data flows within government operations.</t>
        </is>
      </c>
      <c r="M537" s="11" t="inlineStr">
        <is>
          <t>• [Must] Protected information may be disclosed by an Ombudsman official to an IGIS official for the purposes of the IGIS official exercising powers, or performing functions or duties, as an IGIS official</t>
        </is>
      </c>
      <c r="N537" s="11" t="inlineStr">
        <is>
          <t>• [Must] Protected information may be disclosed by an IGIS official to an Ombudsman official for the purposes of the Ombudsman official exercising powers, or performing functions or duties, as an Ombudsman official</t>
        </is>
      </c>
      <c r="O537" s="11" t="inlineStr">
        <is>
          <t>Protected information may be disclosed by an Ombudsman official to an IGIS official for the purposes of the IGIS official exercising powers, or performing functions or duties, as an IGIS official.</t>
        </is>
      </c>
      <c r="P537" s="12" t="n">
        <v>12</v>
      </c>
    </row>
    <row r="538">
      <c r="A538" t="inlineStr">
        <is>
          <t>Australia</t>
        </is>
      </c>
      <c r="B538" t="inlineStr">
        <is>
          <t>C2026C00213REC01 (Australia - Row 22)</t>
        </is>
      </c>
      <c r="C538" t="inlineStr">
        <is>
          <t>206</t>
        </is>
      </c>
      <c r="D538" s="11" t="inlineStr">
        <is>
          <t>Authorized disclosure to relevant entities for critical infrastructure</t>
        </is>
      </c>
      <c r="E538" t="inlineStr">
        <is>
          <t>218–219</t>
        </is>
      </c>
      <c r="F538" t="inlineStr">
        <is>
          <t>Low</t>
        </is>
      </c>
      <c r="G538" t="inlineStr">
        <is>
          <t>High (explicit)</t>
        </is>
      </c>
      <c r="H538" s="11" t="inlineStr">
        <is>
          <t>Cross-border Transfer, International Processing</t>
        </is>
      </c>
      <c r="I538" s="11" t="inlineStr"/>
      <c r="J538" t="inlineStr"/>
      <c r="K538" s="11" t="inlineStr">
        <is>
          <t>Protected information may be disclosed to entities for critical infrastructure purposes, including ensuring continued operation of critical infrastructure assets or mitigating risks to availability, integrity, reliability, or security. This authorization applies to relevant entities for critical infrastructure assets.</t>
        </is>
      </c>
      <c r="L538" s="11" t="inlineStr">
        <is>
          <t>Permits disclosure of protected information for critical infrastructure purposes without additional safeguards, relevant for internal data flows within government operations.</t>
        </is>
      </c>
      <c r="M538" s="11" t="inlineStr">
        <is>
          <t>• [Must] A relevant entity for a critical infrastructure asset may make a record of, use or disclose protected information if the entity makes the record, or uses or discloses the information, for a purpose relating to the continued operation of the critical infrastructure asset</t>
        </is>
      </c>
      <c r="N538" s="11" t="inlineStr">
        <is>
          <t>• [Must] A relevant entity for a critical infrastructure asset may make a record of, use or disclose protected information if the entity makes the record, or uses or discloses the information, to mitigate a risk to the availability, integrity, reliability or security of the critical infrastructure asset</t>
        </is>
      </c>
      <c r="O538" s="11" t="inlineStr">
        <is>
          <t>A relevant entity (other than the Commonwealth) for a critical infrastructure asset may make a record of, use or disclose protected information if the entity makes the record, or uses or discloses the information: (a) for a purpose relating to the continued operation of the critical infrastructure asset; or (b) to mitigate a risk to the availability, integrity, reliability or security of the critical infrastructure asset.</t>
        </is>
      </c>
      <c r="P538" s="12" t="n">
        <v>12</v>
      </c>
    </row>
    <row r="539">
      <c r="A539" t="inlineStr">
        <is>
          <t>Australia</t>
        </is>
      </c>
      <c r="B539" t="inlineStr">
        <is>
          <t>C2026C00213REC01 (Australia - Row 22)</t>
        </is>
      </c>
      <c r="C539" t="inlineStr">
        <is>
          <t>207</t>
        </is>
      </c>
      <c r="D539" s="11" t="inlineStr">
        <is>
          <t>Secondary use and disclosure of protected information</t>
        </is>
      </c>
      <c r="E539" t="inlineStr">
        <is>
          <t>219–220</t>
        </is>
      </c>
      <c r="F539" t="inlineStr">
        <is>
          <t>Low</t>
        </is>
      </c>
      <c r="G539" t="inlineStr">
        <is>
          <t>High (explicit)</t>
        </is>
      </c>
      <c r="H539" s="11" t="inlineStr">
        <is>
          <t>Data Sharing, Data Storage</t>
        </is>
      </c>
      <c r="I539" s="11" t="inlineStr">
        <is>
          <t>Personal Information</t>
        </is>
      </c>
      <c r="J539" t="inlineStr"/>
      <c r="K539" s="11" t="inlineStr">
        <is>
          <t>An entity may use or disclose protected information only if it obtained the information under this Subdivision and the use or disclosure serves the same purpose as the original disclosure. The entity must maintain records of such activities. This applies to entities handling protected information within the Australian government framework.</t>
        </is>
      </c>
      <c r="L539" s="11" t="inlineStr">
        <is>
          <t>Allows secondary use of protected information only for the original purpose, requiring explicit purpose limitation for data sharing activities.</t>
        </is>
      </c>
      <c r="M539" s="11" t="inlineStr">
        <is>
          <t>• [Must] An entity may make a record of, use or disclose protected information if the entity obtains the information under this Subdivision</t>
        </is>
      </c>
      <c r="N539" s="11" t="inlineStr">
        <is>
          <t>• [Must] An entity may make a record of, use or disclose protected information if the entity makes the record, or uses or discloses the information, for the purposes for which the information was disclosed to the entity</t>
        </is>
      </c>
      <c r="O539" s="11" t="inlineStr">
        <is>
          <t>An entity may make a record of, use or disclose protected information if: (a) the entity obtains the information under this Subdivision (including this section); and (b) the entity makes the record, or uses or discloses the information, for the purposes for which the information was disclosed to the entity.</t>
        </is>
      </c>
      <c r="P539" s="12" t="n">
        <v>12</v>
      </c>
    </row>
    <row r="540">
      <c r="A540" t="inlineStr">
        <is>
          <t>Australia</t>
        </is>
      </c>
      <c r="B540" t="inlineStr">
        <is>
          <t>C2026C00213REC01 (Australia - Row 22)</t>
        </is>
      </c>
      <c r="C540" t="inlineStr">
        <is>
          <t>208</t>
        </is>
      </c>
      <c r="D540" s="11" t="inlineStr">
        <is>
          <t>Offence for unauthorised use or disclosure of protected information</t>
        </is>
      </c>
      <c r="E540" t="inlineStr">
        <is>
          <t>220–221</t>
        </is>
      </c>
      <c r="F540" t="inlineStr">
        <is>
          <t>Low</t>
        </is>
      </c>
      <c r="G540" t="inlineStr">
        <is>
          <t>High (explicit)</t>
        </is>
      </c>
      <c r="H540" s="11" t="inlineStr">
        <is>
          <t>Security, Data Sharing, Incident Reporting</t>
        </is>
      </c>
      <c r="I540" s="11" t="inlineStr">
        <is>
          <t>Personal Information</t>
        </is>
      </c>
      <c r="J540" t="inlineStr"/>
      <c r="K540" s="11" t="inlineStr">
        <is>
          <t>An entity commits an offence if it uses or discloses protected information without authorisation under Subdivision A or a notification provision. The offence includes making records of protected information without proper authorisation. Penalties include imprisonment for 2 years or 120 penalty units.</t>
        </is>
      </c>
      <c r="L540" s="11" t="inlineStr">
        <is>
          <t>Establishes criminal liability for unauthorised use of protected information, requiring strict authorisation mechanisms for data handling.</t>
        </is>
      </c>
      <c r="M540" s="11" t="inlineStr">
        <is>
          <t>• [Must] An entity commits an offence if the entity obtains, generates or adopts a document
• [Must] An entity commits an offence if the document or information is protected information</t>
        </is>
      </c>
      <c r="N540" s="11" t="inlineStr">
        <is>
          <t>• [Must] An entity commits an offence if the entity makes a record of, discloses or otherwise uses the document or information
• [Must Not] The making of the record, or the disclosure or use, is not authorised under Subdivision A or required by a notification provision</t>
        </is>
      </c>
      <c r="O540" s="11" t="inlineStr">
        <is>
          <t>An entity commits an offence if: (a) the entity obtains, generates or adopts a document or (b) the document or information is protected information; and (c) the entity makes a record of, discloses or otherwise uses the document or information; and (d) the making of the record, or the disclosure or use, is not authorised under Subdivision A or required by a notification provision.</t>
        </is>
      </c>
      <c r="P540" s="12" t="n">
        <v>12</v>
      </c>
    </row>
    <row r="541">
      <c r="A541" t="inlineStr">
        <is>
          <t>Australia</t>
        </is>
      </c>
      <c r="B541" t="inlineStr">
        <is>
          <t>C2026C00213REC01 (Australia - Row 22)</t>
        </is>
      </c>
      <c r="C541" t="inlineStr">
        <is>
          <t>209</t>
        </is>
      </c>
      <c r="D541" s="11" t="inlineStr">
        <is>
          <t>Exceptions to offence for unauthorised use or disclosure</t>
        </is>
      </c>
      <c r="E541" t="inlineStr">
        <is>
          <t>221–222</t>
        </is>
      </c>
      <c r="F541" t="inlineStr">
        <is>
          <t>Low</t>
        </is>
      </c>
      <c r="G541" t="inlineStr">
        <is>
          <t>High (explicit)</t>
        </is>
      </c>
      <c r="H541" s="11" t="inlineStr">
        <is>
          <t>Security, Data Sharing, Consent</t>
        </is>
      </c>
      <c r="I541" s="11" t="inlineStr">
        <is>
          <t>Personal Information</t>
        </is>
      </c>
      <c r="J541" t="inlineStr"/>
      <c r="K541" s="11" t="inlineStr">
        <is>
          <t>The offence does not apply if the entity uses protected information in good faith, discloses to the entity to whom the information relates, or with express or implied consent from that entity. It also applies to disclosures to Ombudsman or IGIS officials for their official duties.</t>
        </is>
      </c>
      <c r="L541" s="11" t="inlineStr">
        <is>
          <t>Provides exceptions for lawful disclosures, including consent-based sharing and official disclosures to oversight bodies.</t>
        </is>
      </c>
      <c r="M541" s="11" t="inlineStr">
        <is>
          <t>• [Must Not] Section 45 does not apply to an entity to the extent that the entity makes a record of, discloses or otherwise uses protected information in good faith and in purported compliance with Subdivision A or a notification provision
• [Must Not] Section 45 does not apply to an entity if the entity discloses protected information to the entity to whom the information relates
• [Must Not] Section 45 does not apply to an entity if the making of the record, or the disclosure or use, of the protected information is in accordance with the express or implied consent of the entity to whom the information relates</t>
        </is>
      </c>
      <c r="N541" s="11" t="inlineStr">
        <is>
          <t>• [Must Not] Section 45 does not apply to an entity to the extent that the entity discloses protected information to an Ombudsman official for the purposes of exercising powers, or performing duties or functions, as an Ombudsman official
• [Must Not] Section 45 does not apply to an entity to the extent that the entity discloses protected information to an IGIS official for the purposes of exercising powers, or performing duties or functions, as an IGIS official</t>
        </is>
      </c>
      <c r="O541" s="11" t="inlineStr">
        <is>
          <t>Section 45 does not apply to an entity to the extent that the entity makes a record of, discloses or otherwise uses protected information in good faith and in purported compliance with Subdivision A or a notification provision.</t>
        </is>
      </c>
      <c r="P541" s="12" t="n">
        <v>12</v>
      </c>
    </row>
    <row r="542">
      <c r="A542" t="inlineStr">
        <is>
          <t>Australia</t>
        </is>
      </c>
      <c r="B542" t="inlineStr">
        <is>
          <t>C2026C00213REC01 (Australia - Row 22)</t>
        </is>
      </c>
      <c r="C542" t="inlineStr">
        <is>
          <t>210</t>
        </is>
      </c>
      <c r="D542" s="11" t="inlineStr">
        <is>
          <t>No requirement to provide information to courts or tribunals</t>
        </is>
      </c>
      <c r="E542" t="inlineStr">
        <is>
          <t>222–223</t>
        </is>
      </c>
      <c r="F542" t="inlineStr">
        <is>
          <t>Low</t>
        </is>
      </c>
      <c r="G542" t="inlineStr">
        <is>
          <t>High (explicit)</t>
        </is>
      </c>
      <c r="H542" s="11" t="inlineStr">
        <is>
          <t>Data Sharing, Data Storage</t>
        </is>
      </c>
      <c r="I542" s="11" t="inlineStr">
        <is>
          <t>Personal Information</t>
        </is>
      </c>
      <c r="J542" t="inlineStr"/>
      <c r="K542" s="11" t="inlineStr">
        <is>
          <t>Entities are not required to disclose protected information to courts, tribunals, or authorities that have the power to require answers or documents, unless it is necessary to give effect to the Act, the Inspector-General of Intelligence and Security Act 1986, or related legislative instruments.</t>
        </is>
      </c>
      <c r="L542" s="11" t="inlineStr">
        <is>
          <t>Protects sensitive information from mandatory disclosure to judicial bodies unless specific legal exceptions apply.</t>
        </is>
      </c>
      <c r="M542" s="11" t="inlineStr">
        <is>
          <t>• [Must Not] An entity is not (subject to subsection (2)) to be required to disclose protected information, or produce a document containing protected information, to a court</t>
        </is>
      </c>
      <c r="N542" s="11" t="inlineStr">
        <is>
          <t>• [Must Not] An entity is not (subject to subsection (2)) to be required to disclose protected information, or produce a document containing protected information, to a tribunal, authority or person that has the power to require the answering of questions or the production of documents</t>
        </is>
      </c>
      <c r="O542" s="11" t="inlineStr">
        <is>
          <t>An entity is not (subject to subsection (2)) to be required to disclose protected information, or produce a document containing protected information, to: (a) a court; or (b) a tribunal, authority or person that has the power to require the answering of questions or the production of documents.</t>
        </is>
      </c>
      <c r="P542" s="12" t="n">
        <v>12</v>
      </c>
    </row>
    <row r="543">
      <c r="A543" t="inlineStr">
        <is>
          <t>Australia</t>
        </is>
      </c>
      <c r="B543" t="inlineStr">
        <is>
          <t>C2026C00213REC01 (Australia - Row 22)</t>
        </is>
      </c>
      <c r="C543" t="inlineStr">
        <is>
          <t>211</t>
        </is>
      </c>
      <c r="D543" s="11" t="inlineStr">
        <is>
          <t>Simplified outline of enforcement mechanisms</t>
        </is>
      </c>
      <c r="E543" t="inlineStr">
        <is>
          <t>223–224</t>
        </is>
      </c>
      <c r="F543" t="inlineStr">
        <is>
          <t>Low</t>
        </is>
      </c>
      <c r="G543" t="inlineStr">
        <is>
          <t>High (explicit)</t>
        </is>
      </c>
      <c r="H543" s="11" t="inlineStr">
        <is>
          <t>Incident Reporting</t>
        </is>
      </c>
      <c r="I543" s="11" t="inlineStr"/>
      <c r="J543" t="inlineStr"/>
      <c r="K543" s="11" t="inlineStr">
        <is>
          <t>Civil penalty orders, enforceable undertakings, injunctions, and infringement notices may be used to enforce compliance with the Act. Provisions related to sections 35AT and 45 are subject to monitoring and investigation under the Regulatory Powers Act.</t>
        </is>
      </c>
      <c r="L543" s="11" t="inlineStr">
        <is>
          <t>Defines enforcement mechanisms for non-compliance with data handling rules, including penalties and corrective actions.</t>
        </is>
      </c>
      <c r="M543" s="11" t="inlineStr">
        <is>
          <t>• [May] Civil penalty orders may be sought under Part 4 of the Regulatory Powers Act in relation to contraventions of civil penalty provisions of this Act
• [May] Undertakings to comply with civil penalty provisions of this Act may be accepted and enforced under Part 6 of the Regulatory Powers Act
• [May] Injunctions under Part 7 of that Act may be used to restrain a person from contravening a civil penalty provision of this Act or to compel compliance with a civil penalty provision of this Act
• [May] Infringement notices may be given under Part 5 of the Regulatory Powers Act for alleged contraventions of certain provisions of this Act</t>
        </is>
      </c>
      <c r="N543" s="11" t="inlineStr">
        <is>
          <t>• [Condition] A provision is subject to monitoring under Part 2 of the Regulatory Powers Act if it is an offence against section 35AT or 45 of this Act
• [Condition] A provision is subject to monitoring under Part 2 of the Regulatory Powers Act if it is a civil penalty provision of this Act
• [Condition] A provision is subject to investigation under Part 3 of the Regulatory Powers Act if it is an offence against section 35AT or 45 of this Act
• [Condition] A provision is subject to investigation under Part 3 of the Regulatory Powers Act if it is a civil penalty provision of this Act</t>
        </is>
      </c>
      <c r="O543" s="11" t="inlineStr">
        <is>
          <t>Civil penalty orders may be sought under Part 4 of the Regulatory Powers Act in relation to contraventions of civil penalty provisions of this Act.</t>
        </is>
      </c>
      <c r="P543" s="12" t="n">
        <v>12</v>
      </c>
    </row>
    <row r="544">
      <c r="A544" t="inlineStr">
        <is>
          <t>Australia</t>
        </is>
      </c>
      <c r="B544" t="inlineStr">
        <is>
          <t>C2026C00213REC01 (Australia - Row 22)</t>
        </is>
      </c>
      <c r="C544" t="inlineStr">
        <is>
          <t>212</t>
        </is>
      </c>
      <c r="D544" s="11" t="inlineStr">
        <is>
          <t>Civil penalties and enforceable undertakings</t>
        </is>
      </c>
      <c r="E544" t="inlineStr">
        <is>
          <t>224–225</t>
        </is>
      </c>
      <c r="F544" t="inlineStr">
        <is>
          <t>Low</t>
        </is>
      </c>
      <c r="G544" t="inlineStr">
        <is>
          <t>High (explicit)</t>
        </is>
      </c>
      <c r="H544" s="11" t="inlineStr">
        <is>
          <t>Incident Reporting</t>
        </is>
      </c>
      <c r="I544" s="11" t="inlineStr"/>
      <c r="J544" t="inlineStr">
        <is>
          <t>Secretary</t>
        </is>
      </c>
      <c r="K544" s="11" t="inlineStr">
        <is>
          <t>Civil penalty provisions of the Act are enforceable through the Regulatory Powers Act, allowing for pecuniary penalties, enforceable undertakings, and injunctions. The Secretary may appoint relevant Commonwealth regulators as authorised applicants for enforcement actions.</t>
        </is>
      </c>
      <c r="L544" s="11" t="inlineStr">
        <is>
          <t>Provides mechanisms for enforcing compliance with data handling rules through financial penalties and legal remedies.</t>
        </is>
      </c>
      <c r="M544" s="11" t="inlineStr">
        <is>
          <t>• [Must] Each civil penalty provision of this Act is enforceable under Part 4 of the Regulatory Powers Act (civil penalty provisions)
• [Must] Each civil penalty provision of this Act is enforceable under Part 6 of that Act (enforceable undertakings)
• [Must] Each civil penalty provision of this Act is enforceable under Part 7 of that Act (injunctions)</t>
        </is>
      </c>
      <c r="N544" s="11" t="inlineStr">
        <is>
          <t>• [May] The Secretary may, by writing, appoint a person who is the chief executive officer (however described) of a relevant Commonwealth regulator
• [May] The Secretary may, by writing, appoint a person who is an SES employee, or an acting SES employee, in</t>
        </is>
      </c>
      <c r="O544" s="11" t="inlineStr">
        <is>
          <t>Each civil penalty provision of this Act is enforceable under: (a) Part 4 of the Regulatory Powers Act (civil penalty provisions); and (b) Part 6 of that Act (enforceable undertakings); and (c) Part 7 of that Act (injunctions).</t>
        </is>
      </c>
      <c r="P544" s="12" t="n">
        <v>12</v>
      </c>
    </row>
    <row r="545">
      <c r="A545" t="inlineStr">
        <is>
          <t>Australia</t>
        </is>
      </c>
      <c r="B545" t="inlineStr">
        <is>
          <t>C2026C00213REC01 (Australia - Row 22)</t>
        </is>
      </c>
      <c r="C545" t="inlineStr">
        <is>
          <t>213</t>
        </is>
      </c>
      <c r="D545" s="11" t="inlineStr">
        <is>
          <t>Authorised persons for regulatory enforcement</t>
        </is>
      </c>
      <c r="E545" t="inlineStr">
        <is>
          <t>225–226</t>
        </is>
      </c>
      <c r="F545" t="inlineStr">
        <is>
          <t>Medium</t>
        </is>
      </c>
      <c r="G545" t="inlineStr">
        <is>
          <t>High (explicit)</t>
        </is>
      </c>
      <c r="H545" s="11" t="inlineStr"/>
      <c r="I545" s="11" t="inlineStr">
        <is>
          <t>Personal Information</t>
        </is>
      </c>
      <c r="J545" t="inlineStr">
        <is>
          <t>Secretary</t>
        </is>
      </c>
      <c r="K545" s="11" t="inlineStr">
        <is>
          <t>This section defines who qualifies as an authorised person under Part 4 of the Regulatory Powers Act for civil penalty provisions. It specifies that the Secretary and persons appointed under subsection (3B) are authorised persons. The section also outlines the appointment process for relevant Commonwealth regulators and SES employees.</t>
        </is>
      </c>
      <c r="L545" s="11" t="inlineStr">
        <is>
          <t>Defines who can act as authorised persons for regulatory enforcement, relevant for determining who can be involved in cross-border data transfers under regulatory oversight.</t>
        </is>
      </c>
      <c r="M545" s="11" t="inlineStr">
        <is>
          <t>• [Authorisation] The Secretary may appoint a person who is the chief executive officer of a relevant Commonwealth regulator</t>
        </is>
      </c>
      <c r="N545" s="11" t="inlineStr">
        <is>
          <t>• [Authorisation] The Secretary may appoint a person who is an SES employee or acting SES employee in the Department</t>
        </is>
      </c>
      <c r="O545" s="11" t="inlineStr">
        <is>
          <t xml:space="preserve">The Secretary may, by writing, appoint a person who: (a) is the chief executive officer (however described) of a relevant Commonwealth regulator; or (b) is an SES employee, or an acting SES employee, in: </t>
        </is>
      </c>
      <c r="P545" s="12" t="n">
        <v>12</v>
      </c>
    </row>
    <row r="546">
      <c r="A546" t="inlineStr">
        <is>
          <t>Australia</t>
        </is>
      </c>
      <c r="B546" t="inlineStr">
        <is>
          <t>C2026C00213REC01 (Australia - Row 22)</t>
        </is>
      </c>
      <c r="C546" t="inlineStr">
        <is>
          <t>214</t>
        </is>
      </c>
      <c r="D546" s="11" t="inlineStr">
        <is>
          <t>Extension of regulatory enforcement outside Australia</t>
        </is>
      </c>
      <c r="E546" t="inlineStr">
        <is>
          <t>226–227</t>
        </is>
      </c>
      <c r="F546" t="inlineStr">
        <is>
          <t>Medium</t>
        </is>
      </c>
      <c r="G546" t="inlineStr">
        <is>
          <t>High (explicit)</t>
        </is>
      </c>
      <c r="H546" s="11" t="inlineStr"/>
      <c r="I546" s="11" t="inlineStr">
        <is>
          <t>Personal Information</t>
        </is>
      </c>
      <c r="J546" t="inlineStr"/>
      <c r="K546" s="11" t="inlineStr">
        <is>
          <t>This section states that Parts 4, 6 and 7 of the Regulatory Powers Act, as applied to civil penalty provisions of this Act, extend outside Australia including to external territories. It establishes the scope of regulatory enforcement across international borders.</t>
        </is>
      </c>
      <c r="L546" s="11" t="inlineStr">
        <is>
          <t>Specifies that regulatory enforcement mechanisms apply internationally, relevant for data transfers involving overseas jurisdictions.</t>
        </is>
      </c>
      <c r="M546" s="11" t="inlineStr">
        <is>
          <t>• [Extension] Parts 4, 6 and 7 of the Regulatory Powers Act, as those Parts apply in relation to a civil penalty provision of this Act, extends outside Australia (including to every external Territory)</t>
        </is>
      </c>
      <c r="N546" s="11" t="inlineStr"/>
      <c r="O546" s="11" t="inlineStr">
        <is>
          <t>Parts 4, 6 and 7 of the Regulatory Powers Act, as those Parts apply in relation to a civil penalty provision of this Act, extends outside Australia (including to every external Territory).</t>
        </is>
      </c>
      <c r="P546" s="12" t="n">
        <v>12</v>
      </c>
    </row>
    <row r="547">
      <c r="A547" t="inlineStr">
        <is>
          <t>Australia</t>
        </is>
      </c>
      <c r="B547" t="inlineStr">
        <is>
          <t>C2026C00213REC01 (Australia - Row 22)</t>
        </is>
      </c>
      <c r="C547" t="inlineStr">
        <is>
          <t>215</t>
        </is>
      </c>
      <c r="D547" s="11" t="inlineStr">
        <is>
          <t>Monitoring powers for regulatory compliance</t>
        </is>
      </c>
      <c r="E547" t="inlineStr">
        <is>
          <t>227–228</t>
        </is>
      </c>
      <c r="F547" t="inlineStr">
        <is>
          <t>Medium</t>
        </is>
      </c>
      <c r="G547" t="inlineStr">
        <is>
          <t>High (explicit)</t>
        </is>
      </c>
      <c r="H547" s="11" t="inlineStr"/>
      <c r="I547" s="11" t="inlineStr">
        <is>
          <t>Personal Information</t>
        </is>
      </c>
      <c r="J547" t="inlineStr">
        <is>
          <t>Secretary</t>
        </is>
      </c>
      <c r="K547" s="11" t="inlineStr">
        <is>
          <t>This section outlines provisions subject to monitoring under Part 2 of the Regulatory Powers Act, including civil penalty provisions of this Act. It specifies that information given in compliance with these provisions is also subject to monitoring, and defines authorised applicants for monitoring purposes.</t>
        </is>
      </c>
      <c r="L547" s="11" t="inlineStr">
        <is>
          <t>Defines monitoring mechanisms for regulatory compliance, relevant for assessing data transfer compliance across borders.</t>
        </is>
      </c>
      <c r="M547" s="11" t="inlineStr">
        <is>
          <t>• [Condition] A provision is subject to monitoring under Part 2 of the Regulatory Powers Act if it is an offence against section 35AT or 45 or a civil penalty provision of this Act
• [Condition] Information given in compliance or purported compliance with a provision of this Act is subject to monitoring under Part 2 of the Regulatory Powers Act</t>
        </is>
      </c>
      <c r="N547" s="11" t="inlineStr">
        <is>
          <t>• [Authorisation] The Secretary may appoint a person who is an authorised applicant in relation to the provisions mentioned in subsection (1) and information mentioned in subsection (2)</t>
        </is>
      </c>
      <c r="O547" s="11" t="inlineStr">
        <is>
          <t>A provision is subject to monitoring under Part 2 of the Regulatory Powers Act if it is: (a) an offence against section 35AT or 45; or (b) a civil penalty provision of this Act.</t>
        </is>
      </c>
      <c r="P547" s="12" t="n">
        <v>12</v>
      </c>
    </row>
    <row r="548">
      <c r="A548" t="inlineStr">
        <is>
          <t>Australia</t>
        </is>
      </c>
      <c r="B548" t="inlineStr">
        <is>
          <t>C2026C00213REC01 (Australia - Row 22)</t>
        </is>
      </c>
      <c r="C548" t="inlineStr">
        <is>
          <t>216</t>
        </is>
      </c>
      <c r="D548" s="11" t="inlineStr">
        <is>
          <t>Authorised persons for regulatory investigations</t>
        </is>
      </c>
      <c r="E548" t="inlineStr">
        <is>
          <t>228–229</t>
        </is>
      </c>
      <c r="F548" t="inlineStr">
        <is>
          <t>Medium</t>
        </is>
      </c>
      <c r="G548" t="inlineStr">
        <is>
          <t>High (explicit)</t>
        </is>
      </c>
      <c r="H548" s="11" t="inlineStr"/>
      <c r="I548" s="11" t="inlineStr">
        <is>
          <t>Personal Information</t>
        </is>
      </c>
      <c r="J548" t="inlineStr">
        <is>
          <t>Secretary</t>
        </is>
      </c>
      <c r="K548" s="11" t="inlineStr">
        <is>
          <t>This section defines who qualifies as an authorised person for regulatory investigations under Part 3 of the Regulatory Powers Act. It specifies that the Secretary may appoint APS employees and officers of relevant Commonwealth regulators as authorised persons for investigations.</t>
        </is>
      </c>
      <c r="L548" s="11" t="inlineStr">
        <is>
          <t>Defines who can act as authorised persons for regulatory investigations, relevant for determining who can be involved in cross-border data transfers under regulatory oversight.</t>
        </is>
      </c>
      <c r="M548" s="11" t="inlineStr">
        <is>
          <t>• [Authorisation] The Secretary may appoint a person who is an APS employee in the Department</t>
        </is>
      </c>
      <c r="N548" s="11" t="inlineStr">
        <is>
          <t>• [Authorisation] The Secretary may appoint a person who is an officer or employee of a relevant Commonwealth regulator</t>
        </is>
      </c>
      <c r="O548" s="11" t="inlineStr">
        <is>
          <t xml:space="preserve">The Secretary may, by writing, appoint a person who is: (a) an APS employee in: </t>
        </is>
      </c>
      <c r="P548" s="12" t="n">
        <v>12</v>
      </c>
    </row>
    <row r="549">
      <c r="A549" t="inlineStr">
        <is>
          <t>Australia</t>
        </is>
      </c>
      <c r="B549" t="inlineStr">
        <is>
          <t>C2026C00213REC01 (Australia - Row 22)</t>
        </is>
      </c>
      <c r="C549" t="inlineStr">
        <is>
          <t>217</t>
        </is>
      </c>
      <c r="D549" s="11" t="inlineStr">
        <is>
          <t>Delegation of monitoring and investigation powers</t>
        </is>
      </c>
      <c r="E549" t="inlineStr">
        <is>
          <t>229–230</t>
        </is>
      </c>
      <c r="F549" t="inlineStr">
        <is>
          <t>Medium</t>
        </is>
      </c>
      <c r="G549" t="inlineStr">
        <is>
          <t>High (explicit)</t>
        </is>
      </c>
      <c r="H549" s="11" t="inlineStr"/>
      <c r="I549" s="11" t="inlineStr">
        <is>
          <t>Personal Information</t>
        </is>
      </c>
      <c r="J549" t="inlineStr">
        <is>
          <t>Relevant chief executive</t>
        </is>
      </c>
      <c r="K549" s="11" t="inlineStr">
        <is>
          <t>This section details the powers and functions that may be delegated by the relevant chief executive to SES employees or acting SES employees in the Department. It specifies that delegated powers must comply with directions from the relevant authority.</t>
        </is>
      </c>
      <c r="L549" s="11" t="inlineStr">
        <is>
          <t>Defines delegation of regulatory powers, relevant for assessing data transfer compliance across borders.</t>
        </is>
      </c>
      <c r="M549" s="11" t="inlineStr">
        <is>
          <t>• [Condition] The powers and functions that may be delegated are: powers under Part 2 of the Regulatory Powers Act in relation to the provisions mentioned in subsection (1) and information mentioned in subsection (2)</t>
        </is>
      </c>
      <c r="N549" s="11" t="inlineStr">
        <is>
          <t>• [Condition] The powers and functions that may be delegated are: powers and functions under the Regulatory Powers Act that are incidental to a power mentioned in paragraph (a)</t>
        </is>
      </c>
      <c r="O549" s="11" t="inlineStr">
        <is>
          <t>The powers and functions that may be delegated are: (a) powers under Part 2 of the Regulatory Powers Act in relation to the provisions mentioned in subsection (1) and information mentioned in subsection (2); and (b) powers and functions under the Regulatory Powers Act that are incidental to a power mentioned in paragraph (a).</t>
        </is>
      </c>
      <c r="P549" s="12" t="n">
        <v>12</v>
      </c>
    </row>
    <row r="550">
      <c r="A550" t="inlineStr">
        <is>
          <t>Australia</t>
        </is>
      </c>
      <c r="B550" t="inlineStr">
        <is>
          <t>C2026C00213REC01 (Australia - Row 22)</t>
        </is>
      </c>
      <c r="C550" t="inlineStr">
        <is>
          <t>218</t>
        </is>
      </c>
      <c r="D550" s="11" t="inlineStr">
        <is>
          <t>Investigation powers for regulatory compliance</t>
        </is>
      </c>
      <c r="E550" t="inlineStr">
        <is>
          <t>230–231</t>
        </is>
      </c>
      <c r="F550" t="inlineStr">
        <is>
          <t>Medium</t>
        </is>
      </c>
      <c r="G550" t="inlineStr">
        <is>
          <t>High (explicit)</t>
        </is>
      </c>
      <c r="H550" s="11" t="inlineStr"/>
      <c r="I550" s="11" t="inlineStr">
        <is>
          <t>Personal Information</t>
        </is>
      </c>
      <c r="J550" t="inlineStr">
        <is>
          <t>Secretary</t>
        </is>
      </c>
      <c r="K550" s="11" t="inlineStr">
        <is>
          <t>This section outlines provisions subject to investigation under Part 3 of the Regulatory Powers Act, including civil penalty provisions of this Act. It specifies that the Secretary may appoint persons as authorised applicants for evidential material related to these provisions.</t>
        </is>
      </c>
      <c r="L550" s="11" t="inlineStr">
        <is>
          <t>Defines investigation mechanisms for regulatory compliance, relevant for assessing data transfer compliance across borders.</t>
        </is>
      </c>
      <c r="M550" s="11" t="inlineStr">
        <is>
          <t>• [Condition] A provision is subject to investigation under Part 3 of the Regulatory Powers Act if it is an offence against section 35AT or 45 or a civil penalty provision of this Act</t>
        </is>
      </c>
      <c r="N550" s="11" t="inlineStr">
        <is>
          <t>• [Authorisation] The Secretary may appoint a person who is an authorised applicant in relation to evidential material that relates to a provision mentioned in subsection (1)</t>
        </is>
      </c>
      <c r="O550" s="11" t="inlineStr">
        <is>
          <t>A provision is subject to investigation under Part 3 of the Regulatory Powers Act if it is: (a) an offence against section 35AT or 45; or (b) a civil penalty provision of this Act.</t>
        </is>
      </c>
      <c r="P550" s="12" t="n">
        <v>12</v>
      </c>
    </row>
    <row r="551">
      <c r="A551" t="inlineStr">
        <is>
          <t>Australia</t>
        </is>
      </c>
      <c r="B551" t="inlineStr">
        <is>
          <t>C2026C00213REC01 (Australia - Row 22)</t>
        </is>
      </c>
      <c r="C551" t="inlineStr">
        <is>
          <t>219</t>
        </is>
      </c>
      <c r="D551" s="11" t="inlineStr">
        <is>
          <t>Appointment of authorised persons for evidential material</t>
        </is>
      </c>
      <c r="E551" t="inlineStr">
        <is>
          <t>231–232</t>
        </is>
      </c>
      <c r="F551" t="inlineStr">
        <is>
          <t>None</t>
        </is>
      </c>
      <c r="G551" t="inlineStr">
        <is>
          <t>High (explicit)</t>
        </is>
      </c>
      <c r="H551" s="11" t="inlineStr"/>
      <c r="I551" s="11" t="inlineStr">
        <is>
          <t>Personal Information</t>
        </is>
      </c>
      <c r="J551" t="inlineStr">
        <is>
          <t>Secretary</t>
        </is>
      </c>
      <c r="K551" s="11" t="inlineStr">
        <is>
          <t>This section defines who qualifies as an authorised person for evidential material under Part 3 of the Regulatory Powers Act. It specifies that APS employees and officers of relevant Commonwealth regulators can be appointed by the Secretary. It also states that magistrates and the Secretary themselves are designated as issuing officers and relevant chief executives respectively for such purposes. The section further allows delegation of powers to SES employees or acting SES employees.</t>
        </is>
      </c>
      <c r="L551" s="11" t="inlineStr"/>
      <c r="M551" s="11" t="inlineStr">
        <is>
          <t>• [Must] A person appointed under subsection (5) is an authorised person in relation to evidential material that relates to a provision mentioned in subsection (1)
• [May] The Secretary may appoint an APS employee or an officer or employee of a relevant Commonwealth regulator to be an authorised person
• [Must] A magistrate is an issuing officer in relation to evidential material that relates to a provision mentioned in subsection (1)</t>
        </is>
      </c>
      <c r="N551" s="11" t="inlineStr">
        <is>
          <t>• [Must] The Secretary is the relevant chief executive in relation to evidential material that relates to a provision mentioned in subsection (1)
• [May] The relevant chief executive may delegate powers and functions to an SES employee or acting SES employee</t>
        </is>
      </c>
      <c r="O551" s="11" t="inlineStr">
        <is>
          <t>For the purposes of Part 3 of the Regulatory Powers Act, a person who is appointed under subsection (5) is an authorised person in relation to evidential material that relates to a provision mentioned in subsection (1).</t>
        </is>
      </c>
      <c r="P551" s="12" t="n">
        <v>12</v>
      </c>
    </row>
    <row r="552">
      <c r="A552" t="inlineStr">
        <is>
          <t>Australia</t>
        </is>
      </c>
      <c r="B552" t="inlineStr">
        <is>
          <t>C2026C00213REC01 (Australia - Row 22)</t>
        </is>
      </c>
      <c r="C552" t="inlineStr">
        <is>
          <t>220</t>
        </is>
      </c>
      <c r="D552" s="11" t="inlineStr">
        <is>
          <t>Delegation of powers for evidential material</t>
        </is>
      </c>
      <c r="E552" t="inlineStr">
        <is>
          <t>232–233</t>
        </is>
      </c>
      <c r="F552" t="inlineStr">
        <is>
          <t>None</t>
        </is>
      </c>
      <c r="G552" t="inlineStr">
        <is>
          <t>High (explicit)</t>
        </is>
      </c>
      <c r="H552" s="11" t="inlineStr"/>
      <c r="I552" s="11" t="inlineStr">
        <is>
          <t>Personal Information</t>
        </is>
      </c>
      <c r="J552" t="inlineStr"/>
      <c r="K552" s="11" t="inlineStr">
        <is>
          <t>This section outlines the delegation of powers under Part 3 of the Regulatory Powers Act for evidential material. It specifies that the relevant chief executive may delegate powers to SES employees or acting SES employees. It also details the conditions under which a person exercising delegated powers must comply with directions from relevant courts or authorities.</t>
        </is>
      </c>
      <c r="L552" s="11" t="inlineStr"/>
      <c r="M552" s="11" t="inlineStr">
        <is>
          <t>• [Must] A person exercising powers or performing functions under a delegation must comply with any directions of relevant court</t>
        </is>
      </c>
      <c r="N552" s="11" t="inlineStr"/>
      <c r="O552" s="11" t="inlineStr">
        <is>
          <t>A person exercising powers or performing functions under a delegation under subsection (8) must comply with any directions of relevant court</t>
        </is>
      </c>
      <c r="P552" s="12" t="n">
        <v>12</v>
      </c>
    </row>
    <row r="553">
      <c r="A553" t="inlineStr">
        <is>
          <t>Australia</t>
        </is>
      </c>
      <c r="B553" t="inlineStr">
        <is>
          <t>C2026C00213REC01 (Australia - Row 22)</t>
        </is>
      </c>
      <c r="C553" t="inlineStr">
        <is>
          <t>221</t>
        </is>
      </c>
      <c r="D553" s="11" t="inlineStr">
        <is>
          <t>Infringement notices framework</t>
        </is>
      </c>
      <c r="E553" t="inlineStr">
        <is>
          <t>233–234</t>
        </is>
      </c>
      <c r="F553" t="inlineStr">
        <is>
          <t>None</t>
        </is>
      </c>
      <c r="G553" t="inlineStr">
        <is>
          <t>High (explicit)</t>
        </is>
      </c>
      <c r="H553" s="11" t="inlineStr"/>
      <c r="I553" s="11" t="inlineStr">
        <is>
          <t>Personal Information</t>
        </is>
      </c>
      <c r="J553" t="inlineStr">
        <is>
          <t>Secretary</t>
        </is>
      </c>
      <c r="K553" s="11" t="inlineStr">
        <is>
          <t>This section establishes that civil penalty provisions in the Act are subject to infringement notices under Part 5 of the Regulatory Powers Act. It defines who qualifies as an infringement officer and specifies that the Secretary is the relevant chief executive for these purposes. The section also allows delegation of powers to SES employees or acting SES employees, with requirements that delegated persons comply with relevant directions.</t>
        </is>
      </c>
      <c r="L553" s="11" t="inlineStr"/>
      <c r="M553" s="11" t="inlineStr">
        <is>
          <t>• [Must] A civil penalty provision of this Act is subject to an infringement notice under Part 5 of the Regulatory Powers Act
• [Must] A person authorised under subsection (3) is an infringement officer in relation to the provisions mentioned in subsection (1)
• [May] The Secretary may authorise a person to be an infringement officer</t>
        </is>
      </c>
      <c r="N553" s="11" t="inlineStr">
        <is>
          <t>• [Must] The Secretary is the relevant chief executive in relation to the provisions mentioned in subsection (1)
• [May] The relevant chief executive may delegate powers to an SES employee or acting SES employee</t>
        </is>
      </c>
      <c r="O553" s="11" t="inlineStr">
        <is>
          <t>A civil penalty provision of this Act is subject to an infringement notice under Part 5 of the Regulatory Powers Act.</t>
        </is>
      </c>
      <c r="P553" s="12" t="n">
        <v>12</v>
      </c>
    </row>
    <row r="554">
      <c r="A554" t="inlineStr">
        <is>
          <t>Australia</t>
        </is>
      </c>
      <c r="B554" t="inlineStr">
        <is>
          <t>C2026C00213REC01 (Australia - Row 22)</t>
        </is>
      </c>
      <c r="C554" t="inlineStr">
        <is>
          <t>222</t>
        </is>
      </c>
      <c r="D554" s="11" t="inlineStr">
        <is>
          <t>Delegation of infringement powers</t>
        </is>
      </c>
      <c r="E554" t="inlineStr">
        <is>
          <t>234–235</t>
        </is>
      </c>
      <c r="F554" t="inlineStr">
        <is>
          <t>None</t>
        </is>
      </c>
      <c r="G554" t="inlineStr">
        <is>
          <t>High (explicit)</t>
        </is>
      </c>
      <c r="H554" s="11" t="inlineStr"/>
      <c r="I554" s="11" t="inlineStr">
        <is>
          <t>Personal Information</t>
        </is>
      </c>
      <c r="J554" t="inlineStr"/>
      <c r="K554" s="11" t="inlineStr">
        <is>
          <t>This section details the delegation of powers under Part 5 of the Regulatory Powers Act for infringement notices. It specifies that the relevant chief executive may delegate any or all of their powers to SES employees or acting SES employees. It also requires that persons exercising delegated powers must comply with any directions from relevant authorities.</t>
        </is>
      </c>
      <c r="L554" s="11" t="inlineStr"/>
      <c r="M554" s="11" t="inlineStr">
        <is>
          <t>• [May] The relevant chief executive may delegate any or all of the relevant chief executive's powers and functions under Part 5 of the Regulatory Powers Act to a person who is an SES employee or an acting SES employee</t>
        </is>
      </c>
      <c r="N554" s="11" t="inlineStr">
        <is>
          <t>• [Must] A person exercising powers or performing functions under a delegation must comply with any directions of relevant authority</t>
        </is>
      </c>
      <c r="O554" s="11" t="inlineStr">
        <is>
          <t>The relevant chief executive may, in writing, delegate any or all of the relevant chief executive's powers and functions under Part 5 of the Regulatory Powers Act to a person who is an SES employee or an acting SES employee in the Department.</t>
        </is>
      </c>
      <c r="P554" s="12" t="n">
        <v>12</v>
      </c>
    </row>
    <row r="555">
      <c r="A555" t="inlineStr">
        <is>
          <t>Australia</t>
        </is>
      </c>
      <c r="B555" t="inlineStr">
        <is>
          <t>C2026C00213REC01 (Australia - Row 22)</t>
        </is>
      </c>
      <c r="C555" t="inlineStr">
        <is>
          <t>223</t>
        </is>
      </c>
      <c r="D555" s="11" t="inlineStr">
        <is>
          <t>Minister's declaration of critical infrastructure assets</t>
        </is>
      </c>
      <c r="E555" t="inlineStr">
        <is>
          <t>235–236</t>
        </is>
      </c>
      <c r="F555" t="inlineStr">
        <is>
          <t>Low</t>
        </is>
      </c>
      <c r="G555" t="inlineStr">
        <is>
          <t>High (explicit)</t>
        </is>
      </c>
      <c r="H555" s="11" t="inlineStr"/>
      <c r="I555" s="11" t="inlineStr">
        <is>
          <t>Personal Information</t>
        </is>
      </c>
      <c r="J555" t="inlineStr">
        <is>
          <t>Minister</t>
        </is>
      </c>
      <c r="K555" s="11" t="inlineStr">
        <is>
          <t>This section outlines the process for the Minister to declare an asset as critical infrastructure affecting national security. It requires the Minister to be satisfied that the asset is critical infrastructure and that disclosure would pose a risk to national security. The Minister must notify reporting entities for declared assets, and reporting entities must notify the Secretary if they cease to be reporting entities or become aware of other reporting entities.</t>
        </is>
      </c>
      <c r="L555" s="11" t="inlineStr"/>
      <c r="M555" s="11" t="inlineStr">
        <is>
          <t>• [May] The Minister may privately declare an asset to be a critical infrastructure asset if satisfied that the asset is critical infrastructure affecting national security
• [Must] The Minister must notify each reporting entity for a declared asset</t>
        </is>
      </c>
      <c r="N555" s="11" t="inlineStr">
        <is>
          <t>• [Must] If a reporting entity ceases to be a reporting entity or becomes aware of another reporting entity, it must notify the Secretary</t>
        </is>
      </c>
      <c r="O555" s="11" t="inlineStr">
        <is>
          <t>The Minister may privately declare an asset to be a critical infrastructure asset if the Minister is satisfied that: (a) the asset is critical infrastructure that affects national security; and (b) there would be a risk to national security if it were publicly known that the asset is critical infrastructure that affects national security.</t>
        </is>
      </c>
      <c r="P555" s="12" t="n">
        <v>12</v>
      </c>
    </row>
    <row r="556">
      <c r="A556" t="inlineStr">
        <is>
          <t>Australia</t>
        </is>
      </c>
      <c r="B556" t="inlineStr">
        <is>
          <t>C2026C00213REC01 (Australia - Row 22)</t>
        </is>
      </c>
      <c r="C556" t="inlineStr">
        <is>
          <t>224</t>
        </is>
      </c>
      <c r="D556" s="11" t="inlineStr">
        <is>
          <t>Detailed asset declaration process</t>
        </is>
      </c>
      <c r="E556" t="inlineStr">
        <is>
          <t>236–237</t>
        </is>
      </c>
      <c r="F556" t="inlineStr">
        <is>
          <t>None</t>
        </is>
      </c>
      <c r="G556" t="inlineStr">
        <is>
          <t>High (explicit)</t>
        </is>
      </c>
      <c r="H556" s="11" t="inlineStr"/>
      <c r="I556" s="11" t="inlineStr">
        <is>
          <t>Personal Information</t>
        </is>
      </c>
      <c r="J556" t="inlineStr">
        <is>
          <t>Minister</t>
        </is>
      </c>
      <c r="K556" s="11" t="inlineStr">
        <is>
          <t>This section provides the detailed process for the Minister to declare an asset as critical infrastructure. It requires the Minister to satisfy that the asset is not otherwise critical infrastructure, relates to a critical infrastructure sector, and is critical to people or poses a risk to people if publicly known. The declaration must specify the responsible entity and may determine which parts of the Act apply to the asset. The Minister must notify reporting entities within 30 days of making the declaration.</t>
        </is>
      </c>
      <c r="L556" s="11" t="inlineStr"/>
      <c r="M556" s="11" t="inlineStr">
        <is>
          <t>• [May] The Minister may declare a particular asset to be a critical infrastructure asset if the asset is not otherwise critical infrastructure, relates to a critical infrastructure sector, and the Minister is satisfied it is critical to people or poses a risk to people if publicly known
• [Must] The declaration must specify the entity that is the responsible entity for the asset
• [May] The declaration may determine that Part 2 applies to the asset</t>
        </is>
      </c>
      <c r="N556" s="11" t="inlineStr">
        <is>
          <t>• [May] The declaration may determine that Part 2A applies to the asset
• [May] The declaration may determine that Part 2B applies to the asset
• [Must] The Minister must notify each reporting entity for the asset within 30 days after making the declaration</t>
        </is>
      </c>
      <c r="O556" s="11" t="inlineStr">
        <is>
          <t>The Minister may, in writing, declare a particular asset to be a critical infrastructure asset if: (a) the asset is not otherwise a critical infrastructure asset; (b) the asset relates to a critical infrastructure sector; (c) the Minister is satisfied that the asset is critical to: people; or (d) there would be a risk to: people; or if it were publicly known that the asset is a critical infrastructure asset.</t>
        </is>
      </c>
      <c r="P556" s="12" t="n">
        <v>12</v>
      </c>
    </row>
    <row r="557">
      <c r="A557" t="inlineStr">
        <is>
          <t>Australia</t>
        </is>
      </c>
      <c r="B557" t="inlineStr">
        <is>
          <t>C2026C00213REC01 (Australia - Row 22)</t>
        </is>
      </c>
      <c r="C557" t="inlineStr">
        <is>
          <t>225</t>
        </is>
      </c>
      <c r="D557" s="11" t="inlineStr">
        <is>
          <t>Notification requirements for asset declarations</t>
        </is>
      </c>
      <c r="E557" t="inlineStr">
        <is>
          <t>237–238</t>
        </is>
      </c>
      <c r="F557" t="inlineStr">
        <is>
          <t>Medium</t>
        </is>
      </c>
      <c r="G557" t="inlineStr">
        <is>
          <t>High (explicit)</t>
        </is>
      </c>
      <c r="H557" s="11" t="inlineStr"/>
      <c r="I557" s="11" t="inlineStr"/>
      <c r="J557" t="inlineStr">
        <is>
          <t>Minister</t>
        </is>
      </c>
      <c r="K557" s="11" t="inlineStr">
        <is>
          <t>The Minister must notify an entity before declaring it responsible for an asset. The notice must detail the proposed declaration and invite submissions within 28 days or a shorter urgent period. The Minister must consider submissions within the same timeframe and cannot specify a shorter period unless urgent circumstances justify it. The notice must also include reasons for the declaration unless security concerns prevent disclosure.</t>
        </is>
      </c>
      <c r="L557" s="11" t="inlineStr">
        <is>
          <t>This section requires notification and consultation before declaring entities responsible for critical infrastructure assets, impacting DTIA by mandating transparency and stakeholder input in asset declarations.</t>
        </is>
      </c>
      <c r="M557" s="11" t="inlineStr">
        <is>
          <t>• [Must] Minister must give entity notice setting out proposed declaration
• [Must] Minister must invite entity to make submissions within 28 days or shorter urgent period
• [Must] Minister must consider submissions within 28 days or shorter urgent period</t>
        </is>
      </c>
      <c r="N557" s="11" t="inlineStr">
        <is>
          <t>• [Must Not] Minister cannot specify shorter period unless satisfied urgent circumstances require it
• [Must] Notice must set out reasons for declaration unless security concerns prevent disclosure</t>
        </is>
      </c>
      <c r="O557" s="11" t="inlineStr">
        <is>
          <t>Before making a declaration under section 51 that specifies an entity as the responsible entity for an asset, the Minister must give the entity a notice: (a) setting out the proposed declaration; and (b) inviting the entity to make submissions to the Minister about the proposed declaration within: (i) 28 days after the notice is given; or (ii) if a shorter period is specified in the notice—that shorter period.</t>
        </is>
      </c>
      <c r="P557" s="12" t="n">
        <v>12</v>
      </c>
    </row>
    <row r="558">
      <c r="A558" t="inlineStr">
        <is>
          <t>Australia</t>
        </is>
      </c>
      <c r="B558" t="inlineStr">
        <is>
          <t>C2026C00213REC01 (Australia - Row 22)</t>
        </is>
      </c>
      <c r="C558" t="inlineStr">
        <is>
          <t>226</t>
        </is>
      </c>
      <c r="D558" s="11" t="inlineStr">
        <is>
          <t>Notification of entity changes for critical infrastructure assets</t>
        </is>
      </c>
      <c r="E558" t="inlineStr">
        <is>
          <t>238–239</t>
        </is>
      </c>
      <c r="F558" t="inlineStr">
        <is>
          <t>Medium</t>
        </is>
      </c>
      <c r="G558" t="inlineStr">
        <is>
          <t>High (explicit)</t>
        </is>
      </c>
      <c r="H558" s="11" t="inlineStr"/>
      <c r="I558" s="11" t="inlineStr"/>
      <c r="J558" t="inlineStr">
        <is>
          <t>Secretary</t>
        </is>
      </c>
      <c r="K558" s="11" t="inlineStr">
        <is>
          <t>A reporting entity must notify the Secretary within 30 days if it ceases to be responsible for an asset or becomes aware of another entity responsible for the same asset. The notification must include the name and address of any other entity. The entity must use best efforts to determine other entities' details and the Secretary must notify other entities within 30 days if notified.</t>
        </is>
      </c>
      <c r="L558" s="11" t="inlineStr">
        <is>
          <t>This section mandates timely notification of entity changes for critical infrastructure assets, affecting DTIA by requiring coordination and transparency in asset responsibility transitions.</t>
        </is>
      </c>
      <c r="M558" s="11" t="inlineStr">
        <is>
          <t>• [Must] Entity must notify Secretary within 30 days if it ceases to be responsible for asset
• [Must] Entity must notify Secretary within 30 days if it becomes aware of another entity responsible for asset
• [Must] Entity must provide name and address of each other entity responsible for asset</t>
        </is>
      </c>
      <c r="N558" s="11" t="inlineStr">
        <is>
          <t>• [Must] Entity must use best endeavours to determine name and address of other entities
• [Must] Secretary must notify other entities within 30 days if notified under paragraph (2)(b)</t>
        </is>
      </c>
      <c r="O558" s="11" t="inlineStr">
        <is>
          <t>The first entity must, within 30 days, notify the Secretary of the following: (a) the fact in paragraph (1)(a) or (b) (as the case requires); (b) if another entity is a reporting entity for the asset—the name of each other entity and the address of each other entity's head office or principal place of business (to the extent known by the first entity).</t>
        </is>
      </c>
      <c r="P558" s="12" t="n">
        <v>12</v>
      </c>
    </row>
    <row r="559">
      <c r="A559" t="inlineStr">
        <is>
          <t>Australia</t>
        </is>
      </c>
      <c r="B559" t="inlineStr">
        <is>
          <t>C2026C00213REC01 (Australia - Row 22)</t>
        </is>
      </c>
      <c r="C559" t="inlineStr">
        <is>
          <t>227</t>
        </is>
      </c>
      <c r="D559" s="11" t="inlineStr">
        <is>
          <t>Critical infrastructure asset declarations</t>
        </is>
      </c>
      <c r="E559" t="inlineStr">
        <is>
          <t>239–240</t>
        </is>
      </c>
      <c r="F559" t="inlineStr">
        <is>
          <t>High</t>
        </is>
      </c>
      <c r="G559" t="inlineStr">
        <is>
          <t>High (explicit)</t>
        </is>
      </c>
      <c r="H559" s="11" t="inlineStr"/>
      <c r="I559" s="11" t="inlineStr"/>
      <c r="J559" t="inlineStr">
        <is>
          <t>Minister</t>
        </is>
      </c>
      <c r="K559" s="11" t="inlineStr">
        <is>
          <t>The Minister may declare a critical infrastructure asset as a system of national significance. The Minister must notify the responsible entity of the declaration. If the entity ceases to be responsible, it must notify the Secretary. Disclosure of such declarations is an offence.</t>
        </is>
      </c>
      <c r="L559" s="11" t="inlineStr">
        <is>
          <t>This section allows the Minister to declare critical infrastructure assets as systems of national significance, requiring notification and impacting DTIA through heightened oversight of critical assets.</t>
        </is>
      </c>
      <c r="M559" s="11" t="inlineStr">
        <is>
          <t>• [May] Minister may declare critical infrastructure asset as system of national significance
• [Must] Minister must notify responsible entity of declaration</t>
        </is>
      </c>
      <c r="N559" s="11" t="inlineStr">
        <is>
          <t>• [Must] Entity must notify Secretary if it ceases to be responsible for asset</t>
        </is>
      </c>
      <c r="O559" s="11" t="inlineStr">
        <is>
          <t>The Minister may privately declare a critical infrastructure asset to be a system of national significance. The Minister must notify the responsible entity for an asset that is a declared system of national significance of the declaration.</t>
        </is>
      </c>
      <c r="P559" s="12" t="n">
        <v>12</v>
      </c>
    </row>
    <row r="560">
      <c r="A560" t="inlineStr">
        <is>
          <t>Australia</t>
        </is>
      </c>
      <c r="B560" t="inlineStr">
        <is>
          <t>C2026C00213REC01 (Australia - Row 22)</t>
        </is>
      </c>
      <c r="C560" t="inlineStr">
        <is>
          <t>228</t>
        </is>
      </c>
      <c r="D560" s="11" t="inlineStr">
        <is>
          <t>Declaration of systems of national significance</t>
        </is>
      </c>
      <c r="E560" t="inlineStr">
        <is>
          <t>240–241</t>
        </is>
      </c>
      <c r="F560" t="inlineStr">
        <is>
          <t>High</t>
        </is>
      </c>
      <c r="G560" t="inlineStr">
        <is>
          <t>High (explicit)</t>
        </is>
      </c>
      <c r="H560" s="11" t="inlineStr"/>
      <c r="I560" s="11" t="inlineStr"/>
      <c r="J560" t="inlineStr">
        <is>
          <t>Minister</t>
        </is>
      </c>
      <c r="K560" s="11" t="inlineStr">
        <is>
          <t>The Minister may declare an asset a system of national significance if it is critical infrastructure and deemed nationally significant. The declaration must be notified to the responsible entity, Parliamentary Joint Committee on Intelligence and Security, and relevant state/territory leaders within 30 days. The declaration is not a legislative instrument.</t>
        </is>
      </c>
      <c r="L560" s="11" t="inlineStr">
        <is>
          <t>This section defines the criteria for declaring systems of national significance, requiring notification to multiple stakeholders and impacting DTIA through critical infrastructure oversight.</t>
        </is>
      </c>
      <c r="M560" s="11" t="inlineStr">
        <is>
          <t>• [May] Minister may declare asset as system of national significance if it is critical infrastructure and deemed nationally significant
• [Must] Minister must notify responsible entity within 30 days of declaration
• [Must] Minister must notify Parliamentary Joint Committee on Intelligence and Security within 30 days of declaration</t>
        </is>
      </c>
      <c r="N560" s="11" t="inlineStr">
        <is>
          <t>• [Must] Minister must notify relevant state/territory leaders within 30 days of declaration
• [Must] Declaration is not a legislative instrument</t>
        </is>
      </c>
      <c r="O560" s="11" t="inlineStr">
        <is>
          <t>The Minister may, in writing, declare a particular asset to be a system of national significance if: (a) the asset is a critical infrastructure asset; and (b) the Minister is satisfied that the asset is of national significance.</t>
        </is>
      </c>
      <c r="P560" s="12" t="n">
        <v>12</v>
      </c>
    </row>
    <row r="561">
      <c r="A561" t="inlineStr">
        <is>
          <t>Australia</t>
        </is>
      </c>
      <c r="B561" t="inlineStr">
        <is>
          <t>C2026C00213REC01 (Australia - Row 22)</t>
        </is>
      </c>
      <c r="C561" t="inlineStr">
        <is>
          <t>229</t>
        </is>
      </c>
      <c r="D561" s="11" t="inlineStr">
        <is>
          <t>Consultation requirements for asset declarations</t>
        </is>
      </c>
      <c r="E561" t="inlineStr">
        <is>
          <t>241–242</t>
        </is>
      </c>
      <c r="F561" t="inlineStr">
        <is>
          <t>High</t>
        </is>
      </c>
      <c r="G561" t="inlineStr">
        <is>
          <t>High (explicit)</t>
        </is>
      </c>
      <c r="H561" s="11" t="inlineStr"/>
      <c r="I561" s="11" t="inlineStr"/>
      <c r="J561" t="inlineStr">
        <is>
          <t>Minister</t>
        </is>
      </c>
      <c r="K561" s="11" t="inlineStr">
        <is>
          <t>The Minister must notify the responsible entity before declaring an asset a system of national significance. The notice must detail the proposed declaration and invite submissions within 28 days or a shorter urgent period. The Minister must consider submissions within the same timeframe and cannot specify a shorter period unless urgent circumstances justify it. The notice must include reasons for the declaration unless security concerns prevent disclosure.</t>
        </is>
      </c>
      <c r="L561" s="11" t="inlineStr">
        <is>
          <t>This section requires consultation and notification before declaring systems of national significance, impacting DTIA through stakeholder engagement in critical infrastructure decisions.</t>
        </is>
      </c>
      <c r="M561" s="11" t="inlineStr">
        <is>
          <t>• [Must] Minister must give entity notice setting out proposed declaration
• [Must] Minister must invite entity to make submissions within 28 days or shorter urgent period
• [Must] Minister must consider submissions within 28 days or shorter urgent period</t>
        </is>
      </c>
      <c r="N561" s="11" t="inlineStr">
        <is>
          <t>• [Must Not] Minister cannot specify shorter period unless satisfied urgent circumstances require it
• [Must] Notice must set out reasons for declaration unless security concerns prevent disclosure</t>
        </is>
      </c>
      <c r="O561" s="11" t="inlineStr">
        <is>
          <t>Before making a declaration under section 52B in relation to an asset, the Minister must give the responsible entity for the asset a notice: (a) setting out the proposed declaration; and (b) inviting the entity to make submissions to the Minister about the proposed declaration within: (i) 28 days after the notice is given; or (ii) if a shorter period is specified in the notice—that shorter period.</t>
        </is>
      </c>
      <c r="P561" s="12" t="n">
        <v>12</v>
      </c>
    </row>
    <row r="562">
      <c r="A562" t="inlineStr">
        <is>
          <t>Australia</t>
        </is>
      </c>
      <c r="B562" t="inlineStr">
        <is>
          <t>C2026C00213REC01 (Australia - Row 22)</t>
        </is>
      </c>
      <c r="C562" t="inlineStr">
        <is>
          <t>230</t>
        </is>
      </c>
      <c r="D562" s="11" t="inlineStr">
        <is>
          <t>Review of asset significance declarations</t>
        </is>
      </c>
      <c r="E562" t="inlineStr">
        <is>
          <t>242–243</t>
        </is>
      </c>
      <c r="F562" t="inlineStr">
        <is>
          <t>High</t>
        </is>
      </c>
      <c r="G562" t="inlineStr">
        <is>
          <t>High (explicit)</t>
        </is>
      </c>
      <c r="H562" s="11" t="inlineStr"/>
      <c r="I562" s="11" t="inlineStr"/>
      <c r="J562" t="inlineStr">
        <is>
          <t>Secretary</t>
        </is>
      </c>
      <c r="K562" s="11" t="inlineStr">
        <is>
          <t>The responsible entity may request the Secretary to review whether an asset is of national significance within 60 days. The Secretary must review the asset and provide a report and findings to the Minister within 60 days, consulting with the responsible entity. The review must consider consequences for people and interdependencies with other critical infrastructure assets.</t>
        </is>
      </c>
      <c r="L562" s="11" t="inlineStr">
        <is>
          <t>This section enables review of asset significance declarations, impacting DTIA by allowing reassessment of critical infrastructure status and ensuring ongoing relevance.</t>
        </is>
      </c>
      <c r="M562" s="11" t="inlineStr">
        <is>
          <t>• [May] Responsible entity may request Secretary to review asset significance
• [Must] Secretary must review asset significance within 60 days of request
• [Must] Secretary must provide report and findings to Minister within 60 days</t>
        </is>
      </c>
      <c r="N562" s="11" t="inlineStr">
        <is>
          <t>• [Must] Review must be undertaken in consultation with responsible entity
• [Must] Secretary must consider consequences for people if hazard occurs
• [Must] Secretary must consider interdependencies with other critical infrastructure assets</t>
        </is>
      </c>
      <c r="O562" s="11" t="inlineStr">
        <is>
          <t>The responsible entity for the asset may, by written notice given to the Secretary, request the Secretary to review whether the asset is of national significance.</t>
        </is>
      </c>
      <c r="P562" s="12" t="n">
        <v>12</v>
      </c>
    </row>
    <row r="563">
      <c r="A563" t="inlineStr">
        <is>
          <t>Australia</t>
        </is>
      </c>
      <c r="B563" t="inlineStr">
        <is>
          <t>C2026C00213REC01 (Australia - Row 22)</t>
        </is>
      </c>
      <c r="C563" t="inlineStr">
        <is>
          <t>231</t>
        </is>
      </c>
      <c r="D563" s="11" t="inlineStr">
        <is>
          <t>Critical infrastructure interdependencies reporting</t>
        </is>
      </c>
      <c r="E563" t="inlineStr">
        <is>
          <t>243–244</t>
        </is>
      </c>
      <c r="F563" t="inlineStr">
        <is>
          <t>Low</t>
        </is>
      </c>
      <c r="G563" t="inlineStr">
        <is>
          <t>High (explicit)</t>
        </is>
      </c>
      <c r="H563"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563" s="11" t="inlineStr">
        <is>
          <t>Personal Information, Financial Data, Customer Data, Employee Data, Health Data, Children's Data, Biometric Data, Special Personal Information</t>
        </is>
      </c>
      <c r="J563" t="inlineStr">
        <is>
          <t>Secretary</t>
        </is>
      </c>
      <c r="K563" s="11" t="inlineStr">
        <is>
          <t>The Secretary must report the nature and extent of interdependencies between critical infrastructure assets if aware of them. This applies to the responsible entity for the asset. The responsible entity is limited to one request per 12-month period for interdependencies reporting under this section.</t>
        </is>
      </c>
      <c r="L563" s="11" t="inlineStr">
        <is>
          <t>Requires reporting of critical infrastructure interdependencies for DTIA purposes, but does not directly impact data transfers.</t>
        </is>
      </c>
      <c r="M563" s="11" t="inlineStr">
        <is>
          <t>• [Must] The Secretary must report the nature and extent of interdependencies between critical infrastructure assets if aware of them</t>
        </is>
      </c>
      <c r="N563" s="11" t="inlineStr">
        <is>
          <t>• [Must Not] The responsible entity for the asset must not make more than one request under subsection (2) in relation to the asset during a 12-month period</t>
        </is>
      </c>
      <c r="O563" s="11" t="inlineStr">
        <is>
          <t>231 (b) if the Secretary is aware of one or more interdependencies between the asset and one or more other critical infrastructure assets—the nature and extent of those interdependencies; and relevant. (6) The responsible entity for the asset must not make more than one request under subsection (2) in relation to the asset during a 12-month period.</t>
        </is>
      </c>
      <c r="P563" s="12" t="n">
        <v>12</v>
      </c>
    </row>
    <row r="564">
      <c r="A564" t="inlineStr">
        <is>
          <t>Australia</t>
        </is>
      </c>
      <c r="B564" t="inlineStr">
        <is>
          <t>C2026C00213REC01 (Australia - Row 22)</t>
        </is>
      </c>
      <c r="C564" t="inlineStr">
        <is>
          <t>232</t>
        </is>
      </c>
      <c r="D564" s="11" t="inlineStr">
        <is>
          <t>Critical infrastructure entities and reporting obligations</t>
        </is>
      </c>
      <c r="E564" t="inlineStr">
        <is>
          <t>244–245</t>
        </is>
      </c>
      <c r="F564" t="inlineStr">
        <is>
          <t>Low</t>
        </is>
      </c>
      <c r="G564" t="inlineStr">
        <is>
          <t>High (explicit)</t>
        </is>
      </c>
      <c r="H564"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564" s="11" t="inlineStr">
        <is>
          <t>Personal Information, Financial Data, Customer Data, Employee Data, Health Data, Children's Data, Biometric Data, Special Personal Information</t>
        </is>
      </c>
      <c r="J564" t="inlineStr">
        <is>
          <t>Secretary</t>
        </is>
      </c>
      <c r="K564" s="11" t="inlineStr">
        <is>
          <t>This Act applies to partnerships, trusts, superannuation funds, and unincorporated foreign companies with modifications. The Secretary must report to Parliament each financial year on the operation of the Act. The Part covers delegations and rules.</t>
        </is>
      </c>
      <c r="L564" s="11" t="inlineStr">
        <is>
          <t>Does not directly impact data transfers; relevant for entities handling critical infrastructure data.</t>
        </is>
      </c>
      <c r="M564" s="11" t="inlineStr">
        <is>
          <t>• [Must] This Act applies to partnerships, trusts, superannuation funds and unincorporated foreign companies (amongst other entities), but with some modifications
• [Must] The Secretary has certain powers and obligations under this Part, including the power to undertake an assessment of a critical infrastructure asset to determine if there is a risk to national security relating to the asset</t>
        </is>
      </c>
      <c r="N564" s="11" t="inlineStr">
        <is>
          <t>• [Must] The Secretary must give the Minister a report each financial year for presentation to the Parliament. The report relates to the operation of this Act</t>
        </is>
      </c>
      <c r="O564" s="11" t="inlineStr">
        <is>
          <t>232 This Act applies to partnerships, trusts, superannuation funds and unincorporated foreign companies (amongst other entities), but with some modifications. The Secretary has certain powers and obligations under this Part, including the power to undertake an assessment of a critical infrastructure asset to determine if there is a risk to national security relating to the asset. The Secretary must give the Minister a report each financial year for presentation to the Parliament. The report relates to the operation of this Act.</t>
        </is>
      </c>
      <c r="P564" s="12" t="n">
        <v>12</v>
      </c>
    </row>
    <row r="565">
      <c r="A565" t="inlineStr">
        <is>
          <t>Australia</t>
        </is>
      </c>
      <c r="B565" t="inlineStr">
        <is>
          <t>C2026C00213REC01 (Australia - Row 22)</t>
        </is>
      </c>
      <c r="C565" t="inlineStr">
        <is>
          <t>233</t>
        </is>
      </c>
      <c r="D565" s="11" t="inlineStr">
        <is>
          <t>Treatment of entities holding interests in critical infrastructure</t>
        </is>
      </c>
      <c r="E565" t="inlineStr">
        <is>
          <t>245–246</t>
        </is>
      </c>
      <c r="F565" t="inlineStr">
        <is>
          <t>Low</t>
        </is>
      </c>
      <c r="G565" t="inlineStr">
        <is>
          <t>High (explicit)</t>
        </is>
      </c>
      <c r="H565"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565" s="11" t="inlineStr">
        <is>
          <t>Personal Information, Financial Data, Customer Data, Employee Data, Health Data, Children's Data, Biometric Data, Special Personal Information</t>
        </is>
      </c>
      <c r="J565" t="inlineStr"/>
      <c r="K565" s="11" t="inlineStr">
        <is>
          <t>A trust, partnership, superannuation fund or unincorporated foreign company holds an interest in an asset if one or more trustees, partners, or appointed officers hold it on behalf of beneficiaries or members. Obligations and offences are attributed to individuals rather than entities.</t>
        </is>
      </c>
      <c r="L565" s="11" t="inlineStr">
        <is>
          <t>Does not directly impact data transfers; relevant for entities handling critical infrastructure data.</t>
        </is>
      </c>
      <c r="M565" s="11" t="inlineStr">
        <is>
          <t>• [Must] A trust, partnership, superannuation fund or unincorporated foreign company (as the case requires) is taken to hold an interest in an asset or entity if one or more trustees hold the interest on behalf of the beneficiaries of the trust
• [Must] A trust, partnership, superannuation fund or unincorporated foreign company (as the case requires) is taken to hold an interest in an asset or entity if one or more partners hold the interest on behalf of the partnership
• [Must] A trust, partnership, superannuation fund or unincorporated foreign company (as the case requires) is taken to hold an interest in an asset or entity if one or more trustees hold the interest on behalf of the beneficiaries of the superannuation fund
• [Must] A trust, partnership, superannuation fund or unincorporated foreign company (as the case requires) is taken to hold an interest in an asset or entity if one or more appointed officers hold the interest on behalf of the company</t>
        </is>
      </c>
      <c r="N565" s="11" t="inlineStr">
        <is>
          <t>• [Must] An obligation that would otherwise be imposed on the partnership by this Act is imposed on each partner instead, but may be discharged by any of the partners
• [Must] An offence against this Act that would otherwise have been committed by the partnership is taken to have been committed by each partner in the partnership, at the time the offence was committed, who did the relevant act or made the relevant omission
• [Must] An offence against this Act that would otherwise have been committed by the partnership is taken to have been committed by each partner in the partnership, at the time the offence was committed, who aided, abetted, counselled or procured the relevant act or omission
• [Must] An offence against this Act that would otherwise have been committed by the partnership is taken to have been committed by each partner in the partnership, at the time the offence was committed, who was in any way knowingly concerned in, or party to, the relevant act or omission</t>
        </is>
      </c>
      <c r="O565" s="11" t="inlineStr">
        <is>
          <t>233 For the purposes of this Act, a trust, partnership, superannuation fund or unincorporated foreign company (as the case requires) is taken to hold an interest in an asset or entity if: (a) one or more trustees hold the interest on behalf of the beneficiaries of the trust; or (b) one or more partners hold the interest on behalf of the partnership; or (c) one or more trustees hold the interest on behalf of the beneficiaries of the superannuation fund; or (d) one or more appointed officers hold the interest on behalf of the company.</t>
        </is>
      </c>
      <c r="P565" s="12" t="n">
        <v>12</v>
      </c>
    </row>
    <row r="566">
      <c r="A566" t="inlineStr">
        <is>
          <t>Australia</t>
        </is>
      </c>
      <c r="B566" t="inlineStr">
        <is>
          <t>C2026C00213REC01 (Australia - Row 22)</t>
        </is>
      </c>
      <c r="C566" t="inlineStr">
        <is>
          <t>234</t>
        </is>
      </c>
      <c r="D566" s="11" t="inlineStr">
        <is>
          <t>Treatment of partnerships and entities</t>
        </is>
      </c>
      <c r="E566" t="inlineStr">
        <is>
          <t>246–247</t>
        </is>
      </c>
      <c r="F566" t="inlineStr">
        <is>
          <t>Low</t>
        </is>
      </c>
      <c r="G566" t="inlineStr">
        <is>
          <t>High (explicit)</t>
        </is>
      </c>
      <c r="H566"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566" s="11" t="inlineStr">
        <is>
          <t>Personal Information, Financial Data, Customer Data, Employee Data, Health Data, Children's Data, Biometric Data, Special Personal Information</t>
        </is>
      </c>
      <c r="J566" t="inlineStr"/>
      <c r="K566" s="11" t="inlineStr">
        <is>
          <t>Changes in partnership composition do not affect partnership continuity. Obligations and offences are attributed to individual partners rather than the partnership entity.</t>
        </is>
      </c>
      <c r="L566" s="11" t="inlineStr">
        <is>
          <t>Does not directly impact data transfers; relevant for entities handling critical infrastructure data.</t>
        </is>
      </c>
      <c r="M566" s="11" t="inlineStr">
        <is>
          <t>• [Must] A change in the composition of a partnership does not affect the continuity of the partnership</t>
        </is>
      </c>
      <c r="N566" s="11" t="inlineStr"/>
      <c r="O566" s="11" t="inlineStr">
        <is>
          <t>234 (5) For the purposes of this Act, a change in the composition of a partnership does not affect the continuity of the partnership.</t>
        </is>
      </c>
      <c r="P566" s="12" t="n">
        <v>12</v>
      </c>
    </row>
    <row r="567">
      <c r="A567" t="inlineStr">
        <is>
          <t>Australia</t>
        </is>
      </c>
      <c r="B567" t="inlineStr">
        <is>
          <t>C2026C00213REC01 (Australia - Row 22)</t>
        </is>
      </c>
      <c r="C567" t="inlineStr">
        <is>
          <t>235</t>
        </is>
      </c>
      <c r="D567" s="11" t="inlineStr">
        <is>
          <t>Treatment of trusts and superannuation funds</t>
        </is>
      </c>
      <c r="E567" t="inlineStr">
        <is>
          <t>247–248</t>
        </is>
      </c>
      <c r="F567" t="inlineStr">
        <is>
          <t>Low</t>
        </is>
      </c>
      <c r="G567" t="inlineStr">
        <is>
          <t>High (explicit)</t>
        </is>
      </c>
      <c r="H567"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567" s="11" t="inlineStr">
        <is>
          <t>Personal Information, Financial Data, Customer Data, Employee Data, Health Data, Children's Data, Biometric Data, Special Personal Information</t>
        </is>
      </c>
      <c r="J567" t="inlineStr"/>
      <c r="K567" s="11" t="inlineStr">
        <is>
          <t>Trusts and superannuation funds are treated as entities with obligations and offences attributed to trustees. For single trustees, obligations are imposed on the trustee; for multiple trustees, obligations are shared among trustees.</t>
        </is>
      </c>
      <c r="L567" s="11" t="inlineStr">
        <is>
          <t>Does not directly impact data transfers; relevant for entities handling critical infrastructure data.</t>
        </is>
      </c>
      <c r="M567" s="11" t="inlineStr">
        <is>
          <t>• [Must] An obligation that would otherwise be imposed on the trust or superannuation fund by this Act is imposed on the trustee instead
• [Must] An offence against this Act that would otherwise have been committed by the trust or superannuation fund is taken to have been committed by the trustee
• [Must] An obligation that would otherwise be imposed on the trust or superannuation fund by this Act is imposed on each trustee instead, but may be discharged by any of the trustees</t>
        </is>
      </c>
      <c r="N567" s="11" t="inlineStr">
        <is>
          <t>• [Must] An offence against this Act that would otherwise have been committed by the trust or superannuation fund is taken to have been committed by each trustee of the trust or superannuation fund, at the time the offence was committed, who did the relevant act or made the relevant omission
• [Must] An offence against this Act that would otherwise have been committed by the trust or superannuation fund is taken to have been committed by each trustee of the trust or superannuation fund, at the time the offence was committed, who aided, abetted, counselled or procured the relevant act or omission
• [Must] An offence against this Act that would otherwise have been committed by the trust or superannuation fund is taken to have been committed by each trustee of the trust or superannuation fund, at the time the offence was committed, who was in any way knowingly concerned in, or party to, the relevant act or omission</t>
        </is>
      </c>
      <c r="O567" s="11" t="inlineStr">
        <is>
          <t>235 (2) If the trust or superannuation fund has a single trustee: (a) an obligation that would otherwise be imposed on the trust or superannuation fund by this Act is imposed on the trustee instead; and (b) an offence against this Act that would otherwise have been committed by the trust or superannuation fund is taken to have been committed by the trustee.</t>
        </is>
      </c>
      <c r="P567" s="12" t="n">
        <v>12</v>
      </c>
    </row>
    <row r="568">
      <c r="A568" t="inlineStr">
        <is>
          <t>Australia</t>
        </is>
      </c>
      <c r="B568" t="inlineStr">
        <is>
          <t>C2026C00213REC01 (Australia - Row 22)</t>
        </is>
      </c>
      <c r="C568" t="inlineStr">
        <is>
          <t>236</t>
        </is>
      </c>
      <c r="D568" s="11" t="inlineStr">
        <is>
          <t>Secretary's powers and critical infrastructure notifications</t>
        </is>
      </c>
      <c r="E568" t="inlineStr">
        <is>
          <t>248–249</t>
        </is>
      </c>
      <c r="F568" t="inlineStr">
        <is>
          <t>Low</t>
        </is>
      </c>
      <c r="G568" t="inlineStr">
        <is>
          <t>High (explicit)</t>
        </is>
      </c>
      <c r="H568"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568" s="11" t="inlineStr">
        <is>
          <t>Personal Information, Financial Data, Customer Data, Employee Data, Health Data, Children's Data, Biometric Data, Special Personal Information</t>
        </is>
      </c>
      <c r="J568" t="inlineStr">
        <is>
          <t>Secretary</t>
        </is>
      </c>
      <c r="K568" s="11" t="inlineStr">
        <is>
          <t>The Secretary may assess critical infrastructure assets for national security risks. The Secretary must notify reporting entities when assets cease to be critical infrastructure.</t>
        </is>
      </c>
      <c r="L568" s="11" t="inlineStr">
        <is>
          <t>Does not directly impact data transfers; relevant for entities handling critical infrastructure data.</t>
        </is>
      </c>
      <c r="M568" s="11" t="inlineStr">
        <is>
          <t>• [Must] The Secretary may undertake an assessment of a critical infrastructure asset to determine if there is a risk to national security relating to the asset</t>
        </is>
      </c>
      <c r="N568" s="11" t="inlineStr">
        <is>
          <t>• [Must] The Secretary must, in writing, notify the reporting entity for an asset if the Secretary becomes aware that the asset has ceased to be a critical infrastructure asset</t>
        </is>
      </c>
      <c r="O568" s="11" t="inlineStr">
        <is>
          <t>236 The Secretary must, in writing, notify the reporting entity for an asset if the Secretary becomes aware that the asset has ceased to be a critical infrastructure asset.</t>
        </is>
      </c>
      <c r="P568" s="12" t="n">
        <v>12</v>
      </c>
    </row>
    <row r="569">
      <c r="A569" t="inlineStr">
        <is>
          <t>Australia</t>
        </is>
      </c>
      <c r="B569" t="inlineStr">
        <is>
          <t>C2026C00213REC01 (Australia - Row 22)</t>
        </is>
      </c>
      <c r="C569" t="inlineStr">
        <is>
          <t>237</t>
        </is>
      </c>
      <c r="D569" s="11" t="inlineStr">
        <is>
          <t>Periodic reporting requirements for critical infrastructure security</t>
        </is>
      </c>
      <c r="E569" t="inlineStr">
        <is>
          <t>249–250</t>
        </is>
      </c>
      <c r="F569" t="inlineStr">
        <is>
          <t>High</t>
        </is>
      </c>
      <c r="G569" t="inlineStr">
        <is>
          <t>High (explicit)</t>
        </is>
      </c>
      <c r="H569" s="11" t="inlineStr">
        <is>
          <t>Security</t>
        </is>
      </c>
      <c r="I569" s="11" t="inlineStr">
        <is>
          <t>Personal Information</t>
        </is>
      </c>
      <c r="J569" t="inlineStr">
        <is>
          <t>Secretary</t>
        </is>
      </c>
      <c r="K569" s="11" t="inlineStr">
        <is>
          <t>The Secretary must submit an annual report to the Minister for parliamentary presentation detailing notifications under Part 2 and Part 2D, Ministerial directions under sections 30EF and 32, use of powers under Part 4, enforcement actions, asset declarations, annual reports, and critical infrastructure risk management status. The report must exclude personal information as defined by the Privacy Act 1988.</t>
        </is>
      </c>
      <c r="L569" s="11" t="inlineStr">
        <is>
          <t>Requires reporting on security-related notifications and actions that impact data transfer assessments for critical infrastructure entities.</t>
        </is>
      </c>
      <c r="M569" s="11" t="inlineStr">
        <is>
          <t>• [Must] Secretary must give Minister a report on Act operation for financial year
• [Must] Report must include number of notifications under Division 3 of Part 2
• [Must] Report must include number of notifications under Division 3 of Part 2D
• [Must] Report must include directions given under section 30EF
• [Must] Report must include directions given under section 32</t>
        </is>
      </c>
      <c r="N569" s="11" t="inlineStr">
        <is>
          <t>• [Must] Report must include use of Secretary's powers under Division 2 of Part 4
• [Must] Report must include actions taken against entities under Part 5
• [Must] Report must include number of asset declarations as critical infrastructure
• [Must] Report must include number of annual reports under section 30AG
• [Must Not] Report must not include personal information</t>
        </is>
      </c>
      <c r="O569" s="11" t="inlineStr">
        <is>
          <t>The Secretary must give the Minister, for presentation to the Parliament, a report on the operation of this Act for a financial year.</t>
        </is>
      </c>
      <c r="P569" s="12" t="n">
        <v>12</v>
      </c>
    </row>
    <row r="570">
      <c r="A570" t="inlineStr">
        <is>
          <t>Australia</t>
        </is>
      </c>
      <c r="B570" t="inlineStr">
        <is>
          <t>C2026C00213REC01 (Australia - Row 22)</t>
        </is>
      </c>
      <c r="C570" t="inlineStr">
        <is>
          <t>238</t>
        </is>
      </c>
      <c r="D570" s="11" t="inlineStr">
        <is>
          <t>Critical infrastructure risk management reporting</t>
        </is>
      </c>
      <c r="E570" t="inlineStr">
        <is>
          <t>250–251</t>
        </is>
      </c>
      <c r="F570" t="inlineStr">
        <is>
          <t>High</t>
        </is>
      </c>
      <c r="G570" t="inlineStr">
        <is>
          <t>High (explicit)</t>
        </is>
      </c>
      <c r="H570" s="11" t="inlineStr">
        <is>
          <t>Security</t>
        </is>
      </c>
      <c r="I570" s="11" t="inlineStr">
        <is>
          <t>Personal Information</t>
        </is>
      </c>
      <c r="J570" t="inlineStr">
        <is>
          <t>Secretary</t>
        </is>
      </c>
      <c r="K570" s="11" t="inlineStr">
        <is>
          <t>The Secretary must report to the Minister on whether critical infrastructure risk management programs were up to date at the end of the financial year, including specific metrics on notifications, cyber security incidents, and Ministerial authorizations. The report must exclude personal information to ensure privacy compliance.</t>
        </is>
      </c>
      <c r="L570" s="11" t="inlineStr">
        <is>
          <t>Requires verification of critical infrastructure risk management status, which impacts data transfer assessments for security-sensitive entities.</t>
        </is>
      </c>
      <c r="M570" s="11" t="inlineStr">
        <is>
          <t>• [Must] Report must include whether critical infrastructure risk management programs were up to date
• [Must] Report must include number of directions under section 30AI
• [Must] Report must include number of annual reports under section 30AQ
• [Must] Report must include number of cyber security incidents under section 30BC
• [Must] Report must include number of cyber security incidents under section 30BD
• [Must] Report must include number of notices under section 30CB
• [Must] Report must include number of notices under section 30CM</t>
        </is>
      </c>
      <c r="N570" s="11" t="inlineStr">
        <is>
          <t>• [Must] Report must include number of notices under section 30CU
• [Must] Report must include number of notices under Division 5 of Part 2C
• [Must] Report must include number of Ministerial authorizations under section 35AB
• [Must] Report must include number of Ministerial authorizations under paragraph 35AB(2)(a) or (b)
• [Must] Report must include number of Ministerial authorizations under paragraph 35AB(2)(c) or (d)
• [Must] Report must include number of Ministerial authorizations under paragraph 35AB(2)(e) or (f)
• [Must] Report must include number of asset declarations as systems of national significance</t>
        </is>
      </c>
      <c r="O570" s="11" t="inlineStr">
        <is>
          <t>The Secretary must give the Minister, for presentation to the Parliament, a report on the operation of this Act for a financial year.</t>
        </is>
      </c>
      <c r="P570" s="12" t="n">
        <v>12</v>
      </c>
    </row>
    <row r="571">
      <c r="A571" t="inlineStr">
        <is>
          <t>Australia</t>
        </is>
      </c>
      <c r="B571" t="inlineStr">
        <is>
          <t>C2026C00213REC01 (Australia - Row 22)</t>
        </is>
      </c>
      <c r="C571" t="inlineStr">
        <is>
          <t>239</t>
        </is>
      </c>
      <c r="D571" s="11" t="inlineStr">
        <is>
          <t>Compensation for property acquisition and electronic service rules</t>
        </is>
      </c>
      <c r="E571" t="inlineStr">
        <is>
          <t>251–252</t>
        </is>
      </c>
      <c r="F571" t="inlineStr">
        <is>
          <t>High</t>
        </is>
      </c>
      <c r="G571" t="inlineStr">
        <is>
          <t>High (explicit)</t>
        </is>
      </c>
      <c r="H571" s="11" t="inlineStr"/>
      <c r="I571" s="11" t="inlineStr">
        <is>
          <t>Personal Information</t>
        </is>
      </c>
      <c r="J571" t="inlineStr">
        <is>
          <t>Minister</t>
        </is>
      </c>
      <c r="K571" s="11" t="inlineStr">
        <is>
          <t>The Commonwealth must compensate entities if property acquisition under the Constitution occurs on unjust terms. Disputes over compensation may be resolved in Federal Court or State Supreme Court. Electronic transactions rules under the Electronic Transactions Act 1999 do not apply to notices, directions, or instruments under this Act. An independent review of the Act's operation must be conducted by the Minister within 12 months after commencement.</t>
        </is>
      </c>
      <c r="L571" s="11" t="inlineStr">
        <is>
          <t>Provides compensation framework for critical infrastructure acquisitions and ensures electronic service compliance for security-related notices.</t>
        </is>
      </c>
      <c r="M571" s="11" t="inlineStr">
        <is>
          <t>• [Must] Commonwealth liable to pay reasonable compensation if property acquisition occurs on unjust terms
• [May] Entity may institute proceedings in Federal Court or State Supreme Court for compensation
• [Must Not] Electronic Transactions Act 1999 rules do not apply to notices, directions or instruments under this Act
• [Must] Minister must cause independent review of Act operation</t>
        </is>
      </c>
      <c r="N571" s="11" t="inlineStr">
        <is>
          <t>• [Must] Review must be conducted after 12-month period from commencement
• [Must] Review must be completed within 12 months after commencement
• [Must] Review report must be tabled in each House of Parliament within 15 sitting days</t>
        </is>
      </c>
      <c r="O571" s="11" t="inlineStr">
        <is>
          <t>If the operation of this Act would result in an acquisition of property from an entity otherwise than on just terms, the Commonwealth is liable to pay a reasonable amount of compensation to the entity.</t>
        </is>
      </c>
      <c r="P571" s="12" t="n">
        <v>12</v>
      </c>
    </row>
    <row r="572">
      <c r="A572" t="inlineStr">
        <is>
          <t>Australia</t>
        </is>
      </c>
      <c r="B572" t="inlineStr">
        <is>
          <t>C2026C00213REC01 (Australia - Row 22)</t>
        </is>
      </c>
      <c r="C572" t="inlineStr">
        <is>
          <t>240</t>
        </is>
      </c>
      <c r="D572" s="11" t="inlineStr">
        <is>
          <t>Independent review and rule-making authority</t>
        </is>
      </c>
      <c r="E572" t="inlineStr">
        <is>
          <t>252–253</t>
        </is>
      </c>
      <c r="F572" t="inlineStr">
        <is>
          <t>High</t>
        </is>
      </c>
      <c r="G572" t="inlineStr">
        <is>
          <t>High (explicit)</t>
        </is>
      </c>
      <c r="H572" s="11" t="inlineStr"/>
      <c r="I572" s="11" t="inlineStr">
        <is>
          <t>Personal Information</t>
        </is>
      </c>
      <c r="J572" t="inlineStr">
        <is>
          <t>Minister</t>
        </is>
      </c>
      <c r="K572" s="11" t="inlineStr">
        <is>
          <t>The Minister must conduct an independent review of the Act's operation within 12 months after commencement, with the report tabled in Parliament within 15 sitting days. The Parliamentary Joint Committee on Intelligence and Security may review the Act's operation and effectiveness for up to 5 years after the Security Legislation Amendment (Critical Infrastructure) Act 2021 receives Royal Assent. The Minister may make rules via legislative instruments for matters required or permitted by the Act or necessary for its implementation.</t>
        </is>
      </c>
      <c r="L572" s="11" t="inlineStr">
        <is>
          <t>Requires independent review of security legislation and rule-making authority for critical infrastructure operations.</t>
        </is>
      </c>
      <c r="M572" s="11" t="inlineStr">
        <is>
          <t>• [Must] Minister must cause independent review of Act operation
• [Must] Review must be completed within 12 months after commencement
• [Must] Review report must be tabled in each House of Parliament within 15 sitting days
• [May] Parliamentary Joint Committee on Intelligence and Security may review Act operation and effectiveness
• [Must] Committee must report recommendations to each House of Parliament
• [Must] Review must begin before 5 years after Security Legislation Amendment (Critical Infrastructure) Act 2021 receives Royal Assent
• [May] Minister may make rules via legislative instruments for matters required or permitted by Act</t>
        </is>
      </c>
      <c r="N572" s="11" t="inlineStr">
        <is>
          <t>• [Must Not] Rules may not create offences or civil penalties
• [Must Not] Rules may not provide powers of arrest or detention
• [Must Not] Rules may not provide powers of entry, search or seizure
• [Must Not] Rules may not impose taxes
• [Must Not] Rules may not set amounts to be appropriated from Consolidated Revenue Fund
• [Must Not] Rules may not directly amend the text of this Act</t>
        </is>
      </c>
      <c r="O572" s="11" t="inlineStr">
        <is>
          <t>The Minister must cause an independent review to be conducted of the operation of this Act.</t>
        </is>
      </c>
      <c r="P572" s="12" t="n">
        <v>12</v>
      </c>
    </row>
    <row r="573">
      <c r="A573" t="inlineStr">
        <is>
          <t>Australia</t>
        </is>
      </c>
      <c r="B573" t="inlineStr">
        <is>
          <t>C2026C00213REC01 (Australia - Row 22)</t>
        </is>
      </c>
      <c r="C573" t="inlineStr">
        <is>
          <t>245</t>
        </is>
      </c>
      <c r="D573" s="11" t="inlineStr">
        <is>
          <t>Compilation of acts and amendments affecting the Act</t>
        </is>
      </c>
      <c r="E573" t="inlineStr">
        <is>
          <t>257–259</t>
        </is>
      </c>
      <c r="F573" t="inlineStr">
        <is>
          <t>Low</t>
        </is>
      </c>
      <c r="G573" t="inlineStr">
        <is>
          <t>High (explicit)</t>
        </is>
      </c>
      <c r="H573" s="11" t="inlineStr"/>
      <c r="I573" s="11" t="inlineStr"/>
      <c r="J573" t="inlineStr"/>
      <c r="K573" s="11" t="inlineStr">
        <is>
          <t>This section compiles the list of acts and amendments that have been applied to the Act, including specific provisions from various legislation such as the Treasury Laws Amendment (2023 Law Improvement Package) Act 2023, Security of Critical Infrastructure and Other Legislation Amendment (Enhanced Response and Prevention) Act 2024, and Strengthening Oversight of the National Intelligence Community Act 2025. It details the commencement dates and application of these acts to the current legislation.</t>
        </is>
      </c>
      <c r="L573" s="11" t="inlineStr"/>
      <c r="M573" s="11" t="inlineStr">
        <is>
          <t>• [Must] The Act is compiled with specific amendments and acts listed</t>
        </is>
      </c>
      <c r="N573" s="11" t="inlineStr"/>
      <c r="O573" s="11" t="inlineStr">
        <is>
          <t>245 Compilation Act (Register ID) Number and year Assent Commencement Application, saving and transitional provisions Treasury Laws Amendment (2023 Law Improvement Package) Act 2023 (C2023A00076) 76, 2023 20 Sept 2023</t>
        </is>
      </c>
      <c r="P573" s="12" t="n">
        <v>12</v>
      </c>
    </row>
    <row r="574">
      <c r="A574" t="inlineStr">
        <is>
          <t>Australia</t>
        </is>
      </c>
      <c r="B574" t="inlineStr">
        <is>
          <t>C2026C00213REC01 (Australia - Row 22)</t>
        </is>
      </c>
      <c r="C574" t="inlineStr">
        <is>
          <t>247</t>
        </is>
      </c>
      <c r="D574" s="11" t="inlineStr">
        <is>
          <t>Compilation of amendments affecting the Act</t>
        </is>
      </c>
      <c r="E574" t="inlineStr">
        <is>
          <t>259–261</t>
        </is>
      </c>
      <c r="F574" t="inlineStr">
        <is>
          <t>None</t>
        </is>
      </c>
      <c r="G574" t="inlineStr">
        <is>
          <t>High (explicit)</t>
        </is>
      </c>
      <c r="H574" s="11" t="inlineStr"/>
      <c r="I574" s="11" t="inlineStr"/>
      <c r="J574" t="inlineStr"/>
      <c r="K574" s="11" t="inlineStr">
        <is>
          <t>This section details the amendments that have been applied to the Act, specifically noting the amendments from No 33, 2022. It lists the affected divisions and parts of the Act that have been amended, indicating the scope of changes made to the legislation.</t>
        </is>
      </c>
      <c r="L574" s="11" t="inlineStr"/>
      <c r="M574" s="11" t="inlineStr">
        <is>
          <t>• [Must] Amendments from No 33, 2022 apply to the Act</t>
        </is>
      </c>
      <c r="N574" s="11" t="inlineStr"/>
      <c r="O574" s="11" t="inlineStr">
        <is>
          <t>247 Compilation How affected am No 33, 2022</t>
        </is>
      </c>
      <c r="P574" s="12" t="n">
        <v>12</v>
      </c>
    </row>
    <row r="575">
      <c r="A575" t="inlineStr">
        <is>
          <t>Australia</t>
        </is>
      </c>
      <c r="B575" t="inlineStr">
        <is>
          <t>C2026C00213REC01 (Australia - Row 22)</t>
        </is>
      </c>
      <c r="C575" t="inlineStr">
        <is>
          <t>249</t>
        </is>
      </c>
      <c r="D575" s="11" t="inlineStr">
        <is>
          <t>Compilation of amendments affecting the Act</t>
        </is>
      </c>
      <c r="E575" t="inlineStr">
        <is>
          <t>261–263</t>
        </is>
      </c>
      <c r="F575" t="inlineStr">
        <is>
          <t>None</t>
        </is>
      </c>
      <c r="G575" t="inlineStr">
        <is>
          <t>High (explicit)</t>
        </is>
      </c>
      <c r="H575" s="11" t="inlineStr"/>
      <c r="I575" s="11" t="inlineStr"/>
      <c r="J575" t="inlineStr"/>
      <c r="K575" s="11" t="inlineStr">
        <is>
          <t>This section compiles the amendments that have been applied to the Act, specifically noting the amendments from No 33, 2022. It details the affected divisions and parts of the Act, including subdivisions and specific sections that have been amended.</t>
        </is>
      </c>
      <c r="L575" s="11" t="inlineStr"/>
      <c r="M575" s="11" t="inlineStr">
        <is>
          <t>• [Must] Amendments from No 33, 2022 apply to the Act</t>
        </is>
      </c>
      <c r="N575" s="11" t="inlineStr"/>
      <c r="O575" s="11" t="inlineStr">
        <is>
          <t>249 Compilation How affected am No 33, 2022</t>
        </is>
      </c>
      <c r="P575" s="12" t="n">
        <v>12</v>
      </c>
    </row>
    <row r="576">
      <c r="A576" t="inlineStr">
        <is>
          <t>Australia</t>
        </is>
      </c>
      <c r="B576" t="inlineStr">
        <is>
          <t>C2026C00213REC01 (Australia - Row 22)</t>
        </is>
      </c>
      <c r="C576" t="inlineStr">
        <is>
          <t>251</t>
        </is>
      </c>
      <c r="D576" s="11" t="inlineStr">
        <is>
          <t>Compilation of amendments affecting the Act</t>
        </is>
      </c>
      <c r="E576" t="inlineStr">
        <is>
          <t>263–265</t>
        </is>
      </c>
      <c r="F576" t="inlineStr">
        <is>
          <t>None</t>
        </is>
      </c>
      <c r="G576" t="inlineStr">
        <is>
          <t>High (explicit)</t>
        </is>
      </c>
      <c r="H576" s="11" t="inlineStr"/>
      <c r="I576" s="11" t="inlineStr"/>
      <c r="J576" t="inlineStr"/>
      <c r="K576" s="11" t="inlineStr">
        <is>
          <t>This section details the amendments that have been applied to the Act, including specific amendments from No 114, 2020; No 124, 2021; No 33, 2022; and No 100, 2024. It lists the affected divisions and parts of the Act, indicating the scope of changes made to the legislation.</t>
        </is>
      </c>
      <c r="L576" s="11" t="inlineStr"/>
      <c r="M576" s="11" t="inlineStr">
        <is>
          <t>• [Must] Amendments from No 114, 2020; No 124, 2021; No 33, 2022; and No 100, 2024 apply to the Act</t>
        </is>
      </c>
      <c r="N576" s="11" t="inlineStr"/>
      <c r="O576" s="11" t="inlineStr">
        <is>
          <t>251 Compilation How affected Division 4 Part 3 Division 2 am No 114, 2020; No 124, 2021 ad No 33, 2022</t>
        </is>
      </c>
      <c r="P576" s="12" t="n">
        <v>12</v>
      </c>
    </row>
    <row r="577">
      <c r="A577" t="inlineStr">
        <is>
          <t>Australia</t>
        </is>
      </c>
      <c r="B577" t="inlineStr">
        <is>
          <t>C2026C00213REC01 (Australia - Row 22)</t>
        </is>
      </c>
      <c r="C577" t="inlineStr">
        <is>
          <t>253</t>
        </is>
      </c>
      <c r="D577" s="11" t="inlineStr">
        <is>
          <t>Compilation of amendments affecting the Act</t>
        </is>
      </c>
      <c r="E577" t="inlineStr">
        <is>
          <t>265–267</t>
        </is>
      </c>
      <c r="F577" t="inlineStr">
        <is>
          <t>None</t>
        </is>
      </c>
      <c r="G577" t="inlineStr">
        <is>
          <t>High (explicit)</t>
        </is>
      </c>
      <c r="H577" s="11" t="inlineStr"/>
      <c r="I577" s="11" t="inlineStr"/>
      <c r="J577" t="inlineStr"/>
      <c r="K577" s="11" t="inlineStr">
        <is>
          <t>This section compiles the amendments that have been applied to the Act, including specific amendments from No 124, 2021; No 33, 2022; No 74, 2023; No 75, 2025; and No 100, 2024. It details the affected divisions and parts of the Act, indicating the scope of changes made to the legislation.</t>
        </is>
      </c>
      <c r="L577" s="11" t="inlineStr"/>
      <c r="M577" s="11" t="inlineStr">
        <is>
          <t>• [Must] Amendments from No 124, 2021; No 33, 2022; No 74, 2023; No 75, 2025; and No 100, 2024 apply to the Act</t>
        </is>
      </c>
      <c r="N577" s="11" t="inlineStr"/>
      <c r="O577" s="11" t="inlineStr">
        <is>
          <t>253 Compilation How affected am No 33, 2022 Division 6 Part 4 Division 1 Division 3 Subdivision A ad No 33, 2022</t>
        </is>
      </c>
      <c r="P577" s="12" t="n">
        <v>12</v>
      </c>
    </row>
    <row r="578">
      <c r="A578" t="inlineStr">
        <is>
          <t>Australia</t>
        </is>
      </c>
      <c r="B578" t="inlineStr">
        <is>
          <t>C2026C00213REC01 (Australia - Row 22)</t>
        </is>
      </c>
      <c r="C578" t="inlineStr">
        <is>
          <t>255</t>
        </is>
      </c>
      <c r="D578" s="11" t="inlineStr">
        <is>
          <t>Compilation of amendments affecting the Act</t>
        </is>
      </c>
      <c r="E578" t="inlineStr">
        <is>
          <t>267</t>
        </is>
      </c>
      <c r="F578" t="inlineStr">
        <is>
          <t>None</t>
        </is>
      </c>
      <c r="G578" t="inlineStr">
        <is>
          <t>High (explicit)</t>
        </is>
      </c>
      <c r="H578" s="11" t="inlineStr"/>
      <c r="I578" s="11" t="inlineStr"/>
      <c r="J578" t="inlineStr"/>
      <c r="K578" s="11" t="inlineStr">
        <is>
          <t>This section details the amendments that have been applied to the Act, including specific amendments from No 124, 2021; No 33, 2022; No 100, 2024; and No 33, 2022. It lists the affected divisions and parts of the Act, indicating the scope of changes made to the legislation.</t>
        </is>
      </c>
      <c r="L578" s="11" t="inlineStr"/>
      <c r="M578" s="11" t="inlineStr">
        <is>
          <t>• [Must] Amendments from No 124, 2021; No 33, 2022; No 100, 2024; and No 33, 2022 apply to the Act</t>
        </is>
      </c>
      <c r="N578" s="11" t="inlineStr"/>
      <c r="O578" s="11" t="inlineStr">
        <is>
          <t>255 Compilation How affected Division 2 ad No 33, 2022 rs No 100, 2024</t>
        </is>
      </c>
      <c r="P578" s="12" t="n">
        <v>12</v>
      </c>
    </row>
    <row r="579">
      <c r="A579" t="inlineStr">
        <is>
          <t>Australia</t>
        </is>
      </c>
      <c r="B579" t="inlineStr">
        <is>
          <t>C2026C00220 (Australia - Row 2)</t>
        </is>
      </c>
      <c r="C579" t="inlineStr">
        <is>
          <t>1</t>
        </is>
      </c>
      <c r="D579" s="11" t="inlineStr">
        <is>
          <t>Act naming and commencement dates</t>
        </is>
      </c>
      <c r="E579" t="inlineStr">
        <is>
          <t>19–20</t>
        </is>
      </c>
      <c r="F579" t="inlineStr">
        <is>
          <t>Low</t>
        </is>
      </c>
      <c r="G579" t="inlineStr">
        <is>
          <t>High (explicit)</t>
        </is>
      </c>
      <c r="H579" s="11" t="inlineStr"/>
      <c r="I579" s="11" t="inlineStr"/>
      <c r="J579" t="inlineStr"/>
      <c r="K579" s="11" t="inlineStr">
        <is>
          <t>This section specifies the short title of the Act as the Anti-Money Laundering and Counter-Terrorism Financing Act 2006 and outlines the commencement dates for various provisions of the Act. The commencement dates are determined by a table that lists specific sections, parts, and divisions along with their effective dates, which vary from the day the Act receives Royal Assent to 12 months after the end of a specified period.</t>
        </is>
      </c>
      <c r="L579" s="11" t="inlineStr"/>
      <c r="M579" s="11" t="inlineStr">
        <is>
          <t>• [Must] This Act may be cited as the Anti-Money Laundering and Counter-Terrorism Financing Act 2006</t>
        </is>
      </c>
      <c r="N579" s="11" t="inlineStr"/>
      <c r="O579" s="11" t="inlineStr">
        <is>
          <t>This Act may be cited as the Anti-Money Laundering and Counter-Terrorism Financing Act 2006.</t>
        </is>
      </c>
      <c r="P579" s="12" t="n">
        <v>13</v>
      </c>
    </row>
    <row r="580">
      <c r="A580" t="inlineStr">
        <is>
          <t>Australia</t>
        </is>
      </c>
      <c r="B580" t="inlineStr">
        <is>
          <t>C2026C00220 (Australia - Row 2)</t>
        </is>
      </c>
      <c r="C580" t="inlineStr">
        <is>
          <t>6</t>
        </is>
      </c>
      <c r="D580" s="11" t="inlineStr">
        <is>
          <t>Assent dates for Act provisions</t>
        </is>
      </c>
      <c r="E580" t="inlineStr">
        <is>
          <t>20–25</t>
        </is>
      </c>
      <c r="F580" t="inlineStr">
        <is>
          <t>None</t>
        </is>
      </c>
      <c r="G580" t="inlineStr">
        <is>
          <t>High (explicit)</t>
        </is>
      </c>
      <c r="H580" s="11" t="inlineStr"/>
      <c r="I580" s="11" t="inlineStr"/>
      <c r="J580" t="inlineStr"/>
      <c r="K580" s="11" t="inlineStr">
        <is>
          <t>This section details the commencement dates for various provisions of the Act, specifying when different parts, divisions, and schedules will come into effect. The dates are set to commence on the day the Act receives Royal Assent or after a specified period, such as 12 months from the end of a defined period.</t>
        </is>
      </c>
      <c r="L580" s="11" t="inlineStr"/>
      <c r="M580" s="11" t="inlineStr">
        <is>
          <t>• [Must] Sections 1 and 2 and anything in this Act not elsewhere covered by this table commence on the day this Act receives Royal Assent
• [Must] Sections 3 to 26 commence on 13 December 2006
• [Must] Part 2, Divisions 1 to 5 commence on 12 December 2007
• [Must] Part 2, Division 6 commences on 12 December 2007
• [Must] Part 3, Divisions 1 to 4 commence on 12 December 2008
• [Must] Part 3, Division 5 commences on 12 June 2007
• [Must] Part 3, Division 6 commences on 12 December 2008
• [Must] Part 7 commences on 12 December 2007
• [Must] Part 8 commences on 12 June 2007</t>
        </is>
      </c>
      <c r="N580" s="11" t="inlineStr">
        <is>
          <t>• [Must] Part 9 commences on 13 December 2006
• [Must] Part 10, Divisions 1 and 2 commences on 13 December 2006
• [Must] Part 10, Division 3 commences on 12 December 2007
• [Must] Part 10, Division 4 commences on 13 December 2006
• [Must] Part 10, Division 5 commences on 12 December 2007
• [Must] Part 10, Division 6 commences on 12 June 2007
• [Must] Part 10, Division 7 commences on 13 December 2006
• [Must] Parts 11 to 18 commences on 13 December 2006
• [Must] Schedule 1 commences on 13 December 2006</t>
        </is>
      </c>
      <c r="O580" s="11" t="inlineStr">
        <is>
          <t>13 December 2006</t>
        </is>
      </c>
      <c r="P580" s="12" t="n">
        <v>13</v>
      </c>
    </row>
    <row r="581">
      <c r="A581" t="inlineStr">
        <is>
          <t>Australia</t>
        </is>
      </c>
      <c r="B581" t="inlineStr">
        <is>
          <t>C2026C00220 (Australia - Row 2)</t>
        </is>
      </c>
      <c r="C581" t="inlineStr">
        <is>
          <t>15</t>
        </is>
      </c>
      <c r="D581" s="11" t="inlineStr">
        <is>
          <t>Definitions of key terms for financial and data contexts</t>
        </is>
      </c>
      <c r="E581" t="inlineStr">
        <is>
          <t>33–35</t>
        </is>
      </c>
      <c r="F581" t="inlineStr">
        <is>
          <t>High</t>
        </is>
      </c>
      <c r="G581" t="inlineStr">
        <is>
          <t>High (explicit)</t>
        </is>
      </c>
      <c r="H581" s="11" t="inlineStr">
        <is>
          <t>Cross-border Transfer, International Processing, Financial Data, AML</t>
        </is>
      </c>
      <c r="I581" s="11" t="inlineStr">
        <is>
          <t>Financial Data, Customer Data</t>
        </is>
      </c>
      <c r="J581" t="inlineStr"/>
      <c r="K581" s="11" t="inlineStr">
        <is>
          <t>This section defines specific terms used in the context of financial services and data management. It establishes meanings for terms such as 'Comptroller-General of Customs', 'constitutional corporation', 'contribution', 'control', 'controller of an eligible gaming machine venue', and 'correspondent banking relationship'. Each definition provides precise criteria for these terms, often referencing other legislation or acts to ensure clarity and consistency in their application across financial and regulatory frameworks.</t>
        </is>
      </c>
      <c r="L581" s="11" t="inlineStr">
        <is>
          <t>These definitions are foundational for understanding data transfer contexts, particularly for terms like 'correspondent banking relationship' which may impact cross-border financial data flows. They establish the scope of terms relevant to international data transfers and financial services.</t>
        </is>
      </c>
      <c r="M581" s="11" t="inlineStr">
        <is>
          <t>• [Definition] Comptroller-General of Customs means the person who is the Comptroller-General of Customs in accordance with subsection 11(3) or 14(2) of the Australian Border Force Act 2015.
• [Definition] constitutional corporation means a corporation to which paragraph 51(xx) of the Constitution applies.
• [Definition] contribution, in relation to an RSA, has the same meaning as in the Retirement Savings Accounts Act 1997.
• [Definition] control has the meaning given by section 11.</t>
        </is>
      </c>
      <c r="N581" s="11" t="inlineStr">
        <is>
          <t>• [Definition] controller of an eligible gaming machine venue has the meaning given by section 13.
• [Definition] correspondent banking relationship means a relationship that involves the provision by a financial institution (the first financial institution) of banking services to another financial institution, where: (a) the first financial institution carries on an activity or business at or through a permanent establishment of the financial institution in…
• [Definition] For this purpose, banking service includes anything that, under the AML/CTF Rules, is taken to be a banking service for the purposes of this definition.</t>
        </is>
      </c>
      <c r="O581" s="11" t="inlineStr">
        <is>
          <t>Comptroller-General of Customs means the person who is the Comptroller-General of Customs in accordance with subsection 11(3) or 14(2) of the Australian Border Force Act 2015.</t>
        </is>
      </c>
      <c r="P581" s="12" t="n">
        <v>13</v>
      </c>
    </row>
    <row r="582">
      <c r="A582" t="inlineStr">
        <is>
          <t>Australia</t>
        </is>
      </c>
      <c r="B582" t="inlineStr">
        <is>
          <t>C2026C00220 (Australia - Row 2)</t>
        </is>
      </c>
      <c r="C582" t="inlineStr">
        <is>
          <t>17</t>
        </is>
      </c>
      <c r="D582" s="11" t="inlineStr">
        <is>
          <t>Definitions of financial and data-related terms</t>
        </is>
      </c>
      <c r="E582" t="inlineStr">
        <is>
          <t>35–37</t>
        </is>
      </c>
      <c r="F582" t="inlineStr">
        <is>
          <t>High</t>
        </is>
      </c>
      <c r="G582" t="inlineStr">
        <is>
          <t>High (explicit)</t>
        </is>
      </c>
      <c r="H582" s="11" t="inlineStr">
        <is>
          <t>Financial Data, Customer Information, AML, Data Storage</t>
        </is>
      </c>
      <c r="I582" s="11" t="inlineStr">
        <is>
          <t>Financial Data, Customer Data</t>
        </is>
      </c>
      <c r="J582" t="inlineStr"/>
      <c r="K582" s="11" t="inlineStr">
        <is>
          <t>This section provides definitions for terms critical to financial services and data management, including 'customer', 'customs officer', 'damage', 'data', 'data storage device', 'debit card', 'debit card account', 'deductible gift recipient', 'de facto partner', 'Defence Department', 'Defence Minister', 'departing Australia superannuation payment', 'derivative', 'designated infringement notice provision', 'designated service', 'director of a company', 'Director-General of National Intelligence', 'disclose', 'disposing of', 'domestic politically exposed person', and others. These definitions clarify the scope and application of terms in financial and regulatory contexts.</t>
        </is>
      </c>
      <c r="L582" s="11" t="inlineStr">
        <is>
          <t>These definitions are essential for understanding data transfer contexts, particularly for terms like 'data' and 'customer' which directly impact how personal and financial data is handled across borders.</t>
        </is>
      </c>
      <c r="M582" s="11" t="inlineStr">
        <is>
          <t>• [Definition] customer has the meaning given by section 6, and includes a prospective customer.
• [Definition] customs officer means an officer of Customs within the meaning of the Customs Act 1901.
• [Definition] damage, in relation to data, includes damage by erasure of data or addition of other data.
• [Definition] data includes: (a) information in any form; or (b) any program (or part of a program).
• [Definition] data storage device means a thing containing, or designed to contain, data for use by a computer.
• [Definition] debit card means: (a) a thing (whether real or virtual) that is intended for use by a person in obtaining access to an account that is held by the person for the purpose of withdrawing or depositing physical currency or obtaining goods or services; or (b) a thing (whether real or virtual) that may be used as a thing referred to in paragraph (a).
• [Definition] debit card account: if a debit card enables the holder of an account to debit the account, the account is a debit card account.
• [Definition] deductible gift recipient has the same meaning as in the Income Tax Assessment Act 1997.
• [Definition] de facto partner has the meaning given by the Acts Interpretation Act 1901.
• [Definition] Defence Department means the Department administered by the Defence Minister.</t>
        </is>
      </c>
      <c r="N582" s="11" t="inlineStr">
        <is>
          <t>• [Definition] Defence Minister means the Minister responsible for administering the Defence Act 1903.
• [Definition] departing Australia superannuation payment has the same meaning as in the Income Tax Assessment Act 1997.
• [Definition] derivative: see subsections 7A(3) and (4).
• [Definition] designated infringement notice provision has the meaning given by subsection 184(4).
• [Definition] designated service has the meaning given by section 6.
• [Definition] director of a company includes a member of a body corporate incorporated for a public purpose by a law of the Commonwealth, a State or a Territory.
• [Definition] Director-General of National Intelligence means the Director-General of National Intelligence holding office under the Office of National Intelligence Act 2018.
• [Definition] disclose means divulge or communicate.
• [Definition] disposing of: in determining whether something is a designated service, disposing of includes anything that, under the regulations, is taken to be disposing of for the purposes of this definition.
• [Definition] domestic politically exposed person means: (a) an individual who holds an office or position (whether or not in or for the Commonwealth) specified in the AML/CTF Rules; or (b) an individual who is a member of the legislature of the Commonwealth or of a State or Territory; or (c) a family member of an individual covered by paragraph (a) or (b); or…</t>
        </is>
      </c>
      <c r="O582" s="11" t="inlineStr">
        <is>
          <t>customer has the meaning given by section 6, and includes a prospective customer.</t>
        </is>
      </c>
      <c r="P582" s="12" t="n">
        <v>13</v>
      </c>
    </row>
    <row r="583">
      <c r="A583" t="inlineStr">
        <is>
          <t>Australia</t>
        </is>
      </c>
      <c r="B583" t="inlineStr">
        <is>
          <t>C2026C00220 (Australia - Row 2)</t>
        </is>
      </c>
      <c r="C583" t="inlineStr">
        <is>
          <t>19</t>
        </is>
      </c>
      <c r="D583" s="11" t="inlineStr">
        <is>
          <t>Definitions of financial and data terms for international operations</t>
        </is>
      </c>
      <c r="E583" t="inlineStr">
        <is>
          <t>37–39</t>
        </is>
      </c>
      <c r="F583" t="inlineStr">
        <is>
          <t>High</t>
        </is>
      </c>
      <c r="G583" t="inlineStr">
        <is>
          <t>High (explicit)</t>
        </is>
      </c>
      <c r="H583" s="11" t="inlineStr">
        <is>
          <t>Cross-border Transfer, Financial Data, AML, Data Storage</t>
        </is>
      </c>
      <c r="I583" s="11" t="inlineStr">
        <is>
          <t>Financial Data</t>
        </is>
      </c>
      <c r="J583" t="inlineStr"/>
      <c r="K583" s="11" t="inlineStr">
        <is>
          <t>This section defines terms relevant to international financial operations and data management, including 'eligible gaming machine venue', 'eligible international emissions unit', 'eligible place', 'embarkation area', 'engage in conduct', 'enrolment details', 'entrusted investigating official', 'evidential burden', 'examinee', 'examiner', 'examiner of the Australian Crime Commission', 'exchange settlement account', 'exempt financial market operator issue of a security or derivative', 'express trust', 'extension notice', 'external auditor', and 'factoring'. These definitions provide clarity for cross-border financial activities and data handling.</t>
        </is>
      </c>
      <c r="L583" s="11" t="inlineStr">
        <is>
          <t>These definitions are critical for understanding international data transfers, particularly for terms like 'eligible place' and 'exchange settlement account' which may impact data storage and processing across borders.</t>
        </is>
      </c>
      <c r="M583" s="11" t="inlineStr">
        <is>
          <t>• [Definition] eligible gaming machine venue has the meaning given by section 13.
• [Definition] eligible international emissions unit has the same meaning as in the Australian National Registry of Emissions Units Act 2.011.
• [Definition] eligible place means: (b) a warehouse in respect of which a warehouse licence (within the meaning of Part V of the Customs Act 1901) is in force; or (c) a port, airport, wharf or boarding station appointed under section 15 of the Customs Act 1901.
• [Definition] embarkation area means a section 234AA place within the meaning of the Customs Act 1901.
• [Definition] engage in conduct means: (a) do an act; or (b) omit to perform an act.
• [Definition] enrolment details, in relation to a person, means such information relating to the person as is specified in the AML/CTF Rules.
• [Definition] entrusted investigating official means: (a) the Commissioner of the Australian Federal Police; or (b) the Chief Executive Officer of the Australian Crime Commission; or (c) the Commissioner of Taxation; or (d) the Comptroller-General of Customs; or (e) the National Anti-Corruption Commissioner; or (f) an investigating officer.
• [Definition] evidential burden, in relation to a matter, means the burden of adducing or pointing to evidence that suggests a reasonable possibility that the matter exists or does not exist.
• [Definition] examinee, in relation to an examination under Division 3 of Part 14, means the person who appears for examination.</t>
        </is>
      </c>
      <c r="N583" s="11" t="inlineStr">
        <is>
          <t>• [Definition] examiner, in relation to an examination under Division 3 of Part 14, means the AUSTRAC CEO and includes: (a) a delegate of the AUSTRAC CEO; and (b) a consultant engaged under subsection 225(1) to perform services as an examiner.
• [Definition] examiner of the Australian Crime Commission means an examiner within the meaning of the Australian Crime Commission Act 2002.
• [Definition] exchange settlement account means an account provided by the Reserve Bank of Australia that is used for the final settlement of obligations between holders of such accounts.
• [Definition] exempt financial market operator issue of a security or derivative means the making available of the security or derivative, by the operator of a financial market (within the meaning of Chapter 7 of the Corporations Act 2001).
• [Definition] express trust includes formed. This definition does not apply to the expression unincorporated.
• [Definition] extension notice: see subsection 39B(1).
• [Definition] external auditor means a person who is qualified to perform audits under the relevant laws.
• [Definition] factoring includes anything that, under the regulations, is taken to be a guarantee for the purposes of this Act.</t>
        </is>
      </c>
      <c r="O583" s="11" t="inlineStr">
        <is>
          <t>eligible gaming machine venue has the meaning given by section 13.</t>
        </is>
      </c>
      <c r="P583" s="12" t="n">
        <v>13</v>
      </c>
    </row>
    <row r="584">
      <c r="A584" t="inlineStr">
        <is>
          <t>Australia</t>
        </is>
      </c>
      <c r="B584" t="inlineStr">
        <is>
          <t>C2026C00220 (Australia - Row 2)</t>
        </is>
      </c>
      <c r="C584" t="inlineStr">
        <is>
          <t>25</t>
        </is>
      </c>
      <c r="D584" s="11" t="inlineStr">
        <is>
          <t>Definitions of government and international entities</t>
        </is>
      </c>
      <c r="E584" t="inlineStr">
        <is>
          <t>43–45</t>
        </is>
      </c>
      <c r="F584" t="inlineStr">
        <is>
          <t>High</t>
        </is>
      </c>
      <c r="G584" t="inlineStr">
        <is>
          <t>High (explicit)</t>
        </is>
      </c>
      <c r="H584" s="11" t="inlineStr">
        <is>
          <t>Cross-border Transfer, Financial Data, AML, Data Storage</t>
        </is>
      </c>
      <c r="I584" s="11" t="inlineStr">
        <is>
          <t>Financial Data</t>
        </is>
      </c>
      <c r="J584" t="inlineStr"/>
      <c r="K584" s="11" t="inlineStr">
        <is>
          <t>This section defines terms related to government structures and international entities, including 'government body', 'guarantee', 'IGIS official', 'information obtained', 'infringement notice', 'infringement notice provision', 'institution', 'intermediary institution', 'international organisation politically exposed person', 'international value transfer service', 'investigating officer', and 'involves'. These definitions are crucial for understanding the scope of government and international operations in financial contexts.</t>
        </is>
      </c>
      <c r="L584" s="11" t="inlineStr">
        <is>
          <t>These definitions are essential for understanding international data transfers, particularly for terms like 'government body' and 'investigating officer' which may impact cross-border data handling and regulatory compliance.</t>
        </is>
      </c>
      <c r="M584" s="11" t="inlineStr">
        <is>
          <t>• [Definition] government body means: (a) the government of a country; or (b) an agency or authority of the government of a country; or (c) the government of part of a country; or (d) an agency or authority of the government of part of a country.
• [Definition] guarantee includes anything that, under the regulations, is taken to be a guarantee for the purposes of this Act.
• [Definition] IGIS official (short for Inspector-General of Intelligence and Security official) means: (a) the Inspector-General of Intelligence and Security; or (b) any other person covered by subsection 32(1) of the incorporated includes formed.
• [Definition] information obtained includes information obtained as a result of the production of a document.
• [Definition] infringement notice means an infringement notice under section 184.
• [Definition] infringement notice provision has the meaning given by subsection 184(1A).
• [Definition] institution: see subsection 63A(12).</t>
        </is>
      </c>
      <c r="N584" s="11" t="inlineStr">
        <is>
          <t>• [Definition] intermediary institution: see subsections 63A(9) and (10).
• [Definition] international organisation politically exposed person means: (a) an individual who is entrusted with a prominent public function, position or office of a public international organisation, including a head, deputy head or board member in a public international organisation; (b) a family member of an individual covered by (a); (c) an individual who…
• [Definition] international value transfer service has the meaning given by section 45.
• [Definition] investigating officer means: (a) a taxation officer; or (b) an AFP member; or (c) a customs officer (other than the Comptroller-General of Customs); or (d) an examiner of the Australian Crime Commission; or (e) a member of the staff of the Australian Crime Commission; or (f) a National Anti-Corruption Commission officer.
• [Definition] involves includes relates to.
• [Definition] issue, when used in relation to a security or derivative, has the same meaning as in Chapter 7 of the Corporations Act 2001.</t>
        </is>
      </c>
      <c r="O584" s="11" t="inlineStr">
        <is>
          <t>government body means: (a) the government of a country; or (b) an agency or authority of the government of a country; or (c) the government of part of a country; or (d) an agency or authority of the government of part of a country.</t>
        </is>
      </c>
      <c r="P584" s="12" t="n">
        <v>13</v>
      </c>
    </row>
    <row r="585">
      <c r="A585" t="inlineStr">
        <is>
          <t>Australia</t>
        </is>
      </c>
      <c r="B585" t="inlineStr">
        <is>
          <t>C2026C00220 (Australia - Row 2)</t>
        </is>
      </c>
      <c r="C585" t="inlineStr">
        <is>
          <t>27</t>
        </is>
      </c>
      <c r="D585" s="11" t="inlineStr">
        <is>
          <t>Definition of KYC information for reporting entities</t>
        </is>
      </c>
      <c r="E585" t="inlineStr">
        <is>
          <t>45–47</t>
        </is>
      </c>
      <c r="F585" t="inlineStr">
        <is>
          <t>High</t>
        </is>
      </c>
      <c r="G585" t="inlineStr">
        <is>
          <t>High (explicit)</t>
        </is>
      </c>
      <c r="H585" s="11" t="inlineStr">
        <is>
          <t>KYC</t>
        </is>
      </c>
      <c r="I585" s="11" t="inlineStr">
        <is>
          <t>Personal Information</t>
        </is>
      </c>
      <c r="J585" t="inlineStr"/>
      <c r="K585" s="11" t="inlineStr">
        <is>
          <t>This section defines KYC information as data that provides reasonable grounds for a reporting entity to establish matters under subsection 28(2) or enables identifying or assessing a customer's ML/TF risk. The definition specifies the types of information that qualify as KYC information for reporting entities under the Act.</t>
        </is>
      </c>
      <c r="L585" s="11" t="inlineStr"/>
      <c r="M585" s="11" t="inlineStr">
        <is>
          <t>• [Definition] KYC information about a customer of a reporting entity means information about the customer that: (a) provides reasonable grounds for the reporting entity to establish the matters mentioned in subsection 28(2); or (b) enables the reporting entity to identify or assess the ML/TF risk of the customer.</t>
        </is>
      </c>
      <c r="N585" s="11" t="inlineStr"/>
      <c r="O585" s="11" t="inlineStr">
        <is>
          <t>27 Compilation KYC information (short for know your customer information) about a customer of a reporting entity means information about the customer that: (a) provides reasonable grounds for the reporting entity to establish the matters mentioned in subsection 28(2); or (b) enables the reporting entity to identify or assess the ML/TF risk of the customer.</t>
        </is>
      </c>
      <c r="P585" s="12" t="n">
        <v>13</v>
      </c>
    </row>
    <row r="586">
      <c r="A586" t="inlineStr">
        <is>
          <t>Australia</t>
        </is>
      </c>
      <c r="B586" t="inlineStr">
        <is>
          <t>C2026C00220 (Australia - Row 2)</t>
        </is>
      </c>
      <c r="C586" t="inlineStr">
        <is>
          <t>29</t>
        </is>
      </c>
      <c r="D586" s="11" t="inlineStr">
        <is>
          <t>Definition of ML/TF risk for reporting entities</t>
        </is>
      </c>
      <c r="E586" t="inlineStr">
        <is>
          <t>47–49</t>
        </is>
      </c>
      <c r="F586" t="inlineStr">
        <is>
          <t>High</t>
        </is>
      </c>
      <c r="G586" t="inlineStr">
        <is>
          <t>High (explicit)</t>
        </is>
      </c>
      <c r="H586" s="11" t="inlineStr"/>
      <c r="I586" s="11" t="inlineStr">
        <is>
          <t>Personal Information</t>
        </is>
      </c>
      <c r="J586" t="inlineStr"/>
      <c r="K586" s="11" t="inlineStr">
        <is>
          <t>This section defines ML/TF risk as the risks of money laundering, financing of terrorism and proliferation financing that a reporting entity may reasonably face when providing designated services to a customer. It also specifies that a reporting entity's ML/TF risk assessment includes the assessment as updated under section 26D.</t>
        </is>
      </c>
      <c r="L586" s="11" t="inlineStr"/>
      <c r="M586" s="11" t="inlineStr">
        <is>
          <t>• [Definition] ML/TF risk, of a customer, means the risks of money laundering, financing of terrorism and proliferation financing that a reporting entity may reasonably face in providing its designated service, or designated services, to the customer.</t>
        </is>
      </c>
      <c r="N586" s="11" t="inlineStr">
        <is>
          <t>• [Definition] ML/TF risk assessment of a reporting entity: (a) means the risk assessment undertaken by the reporting entity under section 26C; and (b) if the assessment is updated under section 26D—includes the risk assessment as updated.</t>
        </is>
      </c>
      <c r="O586" s="11" t="inlineStr">
        <is>
          <t>29 Compilation ML/TF risk, of a customer, means the risks of money laundering, financing of terrorism and proliferation financing that a reporting entity may reasonably face in providing its designated service, or designated services, to the customer.</t>
        </is>
      </c>
      <c r="P586" s="12" t="n">
        <v>13</v>
      </c>
    </row>
    <row r="587">
      <c r="A587" t="inlineStr">
        <is>
          <t>Australia</t>
        </is>
      </c>
      <c r="B587" t="inlineStr">
        <is>
          <t>C2026C00220 (Australia - Row 2)</t>
        </is>
      </c>
      <c r="C587" t="inlineStr">
        <is>
          <t>31</t>
        </is>
      </c>
      <c r="D587" s="11" t="inlineStr">
        <is>
          <t>Definition of nested services relationship</t>
        </is>
      </c>
      <c r="E587" t="inlineStr">
        <is>
          <t>49–51</t>
        </is>
      </c>
      <c r="F587" t="inlineStr">
        <is>
          <t>High</t>
        </is>
      </c>
      <c r="G587" t="inlineStr">
        <is>
          <t>High (explicit)</t>
        </is>
      </c>
      <c r="H587" s="11" t="inlineStr">
        <is>
          <t>Cross-border Transfer</t>
        </is>
      </c>
      <c r="I587" s="11" t="inlineStr">
        <is>
          <t>Personal Information</t>
        </is>
      </c>
      <c r="J587" t="inlineStr"/>
      <c r="K587" s="11" t="inlineStr">
        <is>
          <t>This section defines a nested services relationship as a relationship where a reporting entity provides a designated service to a customer that is also a remitter, virtual asset service provider or financial institution, with the customer providing services to their own customers in another country, not involving correspondent banking relationships.</t>
        </is>
      </c>
      <c r="L587" s="11" t="inlineStr"/>
      <c r="M587" s="11" t="inlineStr">
        <is>
          <t>• [Definition] nested services relationship means a relationship that involves the provision of a designated service by a reporting entity that is a remitter, virtual asset service provider or financial institution to a customer that is a remitter, virtual asset service provider or financial institution where: (a) the reporting entity provides the designated ser…</t>
        </is>
      </c>
      <c r="N587" s="11" t="inlineStr"/>
      <c r="O587" s="11" t="inlineStr">
        <is>
          <t>31 Compilation nested services relationship means a relationship that involves the provision of a designated service by a reporting entity that is a remitter, virtual asset service provider or financial institution to a customer that is a remitter, virtual asset service provider or financial institution where: (a) the reporting entity provides the designated service at or through a permanent establishment in one country; (b) the customer uses the designated service to provide services to its own customers at or through a permanent establishment in another country; and (c) the relationship is not a correspondent banking relationship.</t>
        </is>
      </c>
      <c r="P587" s="12" t="n">
        <v>13</v>
      </c>
    </row>
    <row r="588">
      <c r="A588" t="inlineStr">
        <is>
          <t>Australia</t>
        </is>
      </c>
      <c r="B588" t="inlineStr">
        <is>
          <t>C2026C00220 (Australia - Row 2)</t>
        </is>
      </c>
      <c r="C588" t="inlineStr">
        <is>
          <t>33</t>
        </is>
      </c>
      <c r="D588" s="11" t="inlineStr">
        <is>
          <t>Definition of politically exposed person</t>
        </is>
      </c>
      <c r="E588" t="inlineStr">
        <is>
          <t>51–53</t>
        </is>
      </c>
      <c r="F588" t="inlineStr">
        <is>
          <t>High</t>
        </is>
      </c>
      <c r="G588" t="inlineStr">
        <is>
          <t>High (explicit)</t>
        </is>
      </c>
      <c r="H588" s="11" t="inlineStr"/>
      <c r="I588" s="11" t="inlineStr">
        <is>
          <t>Personal Information</t>
        </is>
      </c>
      <c r="J588" t="inlineStr"/>
      <c r="K588" s="11" t="inlineStr">
        <is>
          <t>This section defines a politically exposed person as a domestic politically exposed person, a foreign politically exposed person, or an international organisation politically exposed person. The definition is used to identify individuals who may be subject to enhanced due diligence requirements under the Act.</t>
        </is>
      </c>
      <c r="L588" s="11" t="inlineStr"/>
      <c r="M588" s="11" t="inlineStr">
        <is>
          <t>• [Definition] politically exposed person means: (a) a domestic politically exposed person; or (b) a foreign politically exposed person; or (c) an international organisation politically exposed person.</t>
        </is>
      </c>
      <c r="N588" s="11" t="inlineStr"/>
      <c r="O588" s="11" t="inlineStr">
        <is>
          <t>33 Compilation politically exposed person means: (a) a domestic politically exposed person; or (b) a foreign politically exposed person; or (c) an international organisation politically exposed person.</t>
        </is>
      </c>
      <c r="P588" s="12" t="n">
        <v>13</v>
      </c>
    </row>
    <row r="589">
      <c r="A589" t="inlineStr">
        <is>
          <t>Australia</t>
        </is>
      </c>
      <c r="B589" t="inlineStr">
        <is>
          <t>C2026C00220 (Australia - Row 2)</t>
        </is>
      </c>
      <c r="C589" t="inlineStr">
        <is>
          <t>35</t>
        </is>
      </c>
      <c r="D589" s="11" t="inlineStr">
        <is>
          <t>Definition of proliferation financing</t>
        </is>
      </c>
      <c r="E589" t="inlineStr">
        <is>
          <t>53–55</t>
        </is>
      </c>
      <c r="F589" t="inlineStr">
        <is>
          <t>High</t>
        </is>
      </c>
      <c r="G589" t="inlineStr">
        <is>
          <t>High (explicit)</t>
        </is>
      </c>
      <c r="H589" s="11" t="inlineStr"/>
      <c r="I589" s="11" t="inlineStr">
        <is>
          <t>Personal Information</t>
        </is>
      </c>
      <c r="J589" t="inlineStr"/>
      <c r="K589" s="11" t="inlineStr">
        <is>
          <t>This section defines proliferation financing as conduct that amounts to an offence against the Charter of the United Nations Act 1945, Autonomous Sanctions Act 2</t>
        </is>
      </c>
      <c r="L589" s="11" t="inlineStr"/>
      <c r="M589" s="11" t="inlineStr">
        <is>
          <t>• [Definition] proliferation financing means conduct that amounts to: (a) an offence against the Charter of the United Nations Act 1945, or regulations made under that Act, that is prescribed by regulations made under this Act for the purposes of this paragraph; or (b) an offence against the Autonomous Sanctions Act 2011, or a contravention of regulations made u…</t>
        </is>
      </c>
      <c r="N589" s="11" t="inlineStr"/>
      <c r="O589" s="11" t="inlineStr">
        <is>
          <t>35 Compilation proliferation financing means conduct that amounts to: (a) an offence against the Charter of the United Nations Act 1945, or regulations made under that Act, that is prescribed by regulations made under this Act for the purposes of this paragraph; or (b) an offence against the Autonomous Sanctions Act 2011, or a contravention of regulations made under that Act, that involves sanctions addressing the proliferation of weapons of mass destruction; or (c) an offence against the Autonomous Sanctions Act 2011, or a contravention of regulations made under that Act, that is prescribed by regulations made under this Act for the purposes of this paragraph; or (d) the provision of assets (including funds) or financial services, or other dealing with assets, in contravention of a law of the Commonwealth that: (i) implements an international agreement, convention or treaty relating to the proliferation of weapons of mass destruction; and (ii) is prescribed by the regulations for the purposes of this paragraph; or (e) an offence against a law of a State or Territory that corresponds to an offence referred to in paragraph (a), (b), (c) or (d); or (f) an offence against a law of a foreign country or a part of a paragraph (a), (b), (c), (d) or (e); or (g) an offence against a law of the Commonwealth, a State or a Territory that is prescribed by the regulations for the purposes of this paragraph;</t>
        </is>
      </c>
      <c r="P589" s="12" t="n">
        <v>13</v>
      </c>
    </row>
    <row r="590">
      <c r="A590" t="inlineStr">
        <is>
          <t>Australia</t>
        </is>
      </c>
      <c r="B590" t="inlineStr">
        <is>
          <t>C2026C00220 (Australia - Row 2)</t>
        </is>
      </c>
      <c r="C590" t="inlineStr">
        <is>
          <t>39</t>
        </is>
      </c>
      <c r="D590" s="11" t="inlineStr">
        <is>
          <t>Definitions of business premises and related terms</t>
        </is>
      </c>
      <c r="E590" t="inlineStr">
        <is>
          <t>57–59</t>
        </is>
      </c>
      <c r="F590" t="inlineStr">
        <is>
          <t>Low</t>
        </is>
      </c>
      <c r="G590" t="inlineStr">
        <is>
          <t>High (explicit)</t>
        </is>
      </c>
      <c r="H590" s="11" t="inlineStr"/>
      <c r="I590" s="11" t="inlineStr">
        <is>
          <t>Personal Information</t>
        </is>
      </c>
      <c r="J590" t="inlineStr"/>
      <c r="K590" s="11" t="inlineStr">
        <is>
          <t>This section defines key terms such as 'reporting entity business premises', 'reporting group', 'representative office', and others. It specifies that business premises include physical or electronic storage areas for business records, and outlines the meaning of terms like 'resident', 'reviewable decision', and 'RSA' as referenced in other acts. The definitions are primarily for clarity and consistency across the Act.</t>
        </is>
      </c>
      <c r="L590" s="11" t="inlineStr"/>
      <c r="M590" s="11" t="inlineStr">
        <is>
          <t>• [Must] Business premises used wholly or partly for business operations</t>
        </is>
      </c>
      <c r="N590" s="11" t="inlineStr">
        <is>
          <t>• [Must] Business premises used wholly or partly for storage of records</t>
        </is>
      </c>
      <c r="O590" s="11" t="inlineStr">
        <is>
          <t>reporting entity business premises means: (a) premises, or a part of premises, used wholly or partly for the purposes of the business operations of: (i) a reporting entity; or (ii) an agent of a reporting entity; or (b) premises, or a part of premises, used wholly or partly for the purposes of the storage (whether in electronic form or otherwise) of records relating to the business operations of: (i) a reporting entity; or (ii) an agent of a reporting entity; where the occupier of the premises, or the part of premises, carries on a business of storing records at the premises or the part of premises.</t>
        </is>
      </c>
      <c r="P590" s="12" t="n">
        <v>13</v>
      </c>
    </row>
    <row r="591">
      <c r="A591" t="inlineStr">
        <is>
          <t>Australia</t>
        </is>
      </c>
      <c r="B591" t="inlineStr">
        <is>
          <t>C2026C00220 (Australia - Row 2)</t>
        </is>
      </c>
      <c r="C591" t="inlineStr">
        <is>
          <t>41</t>
        </is>
      </c>
      <c r="D591" s="11" t="inlineStr">
        <is>
          <t>Definitions of financial and regulatory terms</t>
        </is>
      </c>
      <c r="E591" t="inlineStr">
        <is>
          <t>59–61</t>
        </is>
      </c>
      <c r="F591" t="inlineStr">
        <is>
          <t>Medium</t>
        </is>
      </c>
      <c r="G591" t="inlineStr">
        <is>
          <t>High (explicit)</t>
        </is>
      </c>
      <c r="H591" s="11" t="inlineStr"/>
      <c r="I591" s="11" t="inlineStr">
        <is>
          <t>Financial Data</t>
        </is>
      </c>
      <c r="J591" t="inlineStr"/>
      <c r="K591" s="11" t="inlineStr">
        <is>
          <t>This section defines terms such as 'subdivision arrangement', 'subject to a requirement', 'subsidiary', and others. It specifies that a subdivision arrangement involves land division and property management, and outlines the meaning of terms like 'taxation officer' and 'threshold transaction'. The definitions are primarily for clarity and consistency across the Act.</t>
        </is>
      </c>
      <c r="L591" s="11" t="inlineStr"/>
      <c r="M591" s="11" t="inlineStr">
        <is>
          <t>• [Must] Subdivision arrangement involves land division and property management</t>
        </is>
      </c>
      <c r="N591" s="11" t="inlineStr">
        <is>
          <t>• [Must] Subject to a requirement includes subject to a prohibition</t>
        </is>
      </c>
      <c r="O591" s="11" t="inlineStr">
        <is>
          <t>subdivision arrangement means: (a) an arrangement: (i) under which the title (whether freehold or leasehold) to a portion of land is subdivided into separate freehold or leasehold titles relating to smaller portions of land within the first-mentioned portion; and (ii) under which property that is common between the owners or occupiers of the smaller portions is owned or managed by a single body corporate (however described); and (iii) that exists under a law, of the State or Territory in which the land is located, relating to "strata titles", "community titles", "unit titles", "cluster titles" or something referred to by another term reflecting the features referred to in subparagraphs (i) and (ii); or (b) an arrangement under which: (i) a body corporate owns an interest (whether freehold or leasehold) in land; and (ii) under the constitution of the body corporate, a holder of shares in the body has, or may be granted, a right to occupy or use some or all of the land, whether the right is by way of a lease or licence or otherwise; or (c) an arrangement in relation to which all of the following subparagraphs apply: (i) under the arrangement, an interest (whether freehold or leasehold) in land is held on trust; (ii) under the terms of the trust, a holder of an interest in the trust has, or may be granted, a right to occupy or use part of the land, whether the right is by way of a lease or licence or otherwise; (iii) the trustee of the trust is a body corporate; (iv) there are at least 2 distinct parts of the land for which subparagraph (ii) is satisfied.</t>
        </is>
      </c>
      <c r="P591" s="12" t="n">
        <v>13</v>
      </c>
    </row>
    <row r="592">
      <c r="A592" t="inlineStr">
        <is>
          <t>Australia</t>
        </is>
      </c>
      <c r="B592" t="inlineStr">
        <is>
          <t>C2026C00220 (Australia - Row 2)</t>
        </is>
      </c>
      <c r="C592" t="inlineStr">
        <is>
          <t>43</t>
        </is>
      </c>
      <c r="D592" s="11" t="inlineStr">
        <is>
          <t>Definitions of financial transaction terms</t>
        </is>
      </c>
      <c r="E592" t="inlineStr">
        <is>
          <t>61–63</t>
        </is>
      </c>
      <c r="F592" t="inlineStr">
        <is>
          <t>High</t>
        </is>
      </c>
      <c r="G592" t="inlineStr">
        <is>
          <t>High (explicit)</t>
        </is>
      </c>
      <c r="H592" s="11" t="inlineStr">
        <is>
          <t>Financial Data, Cross-border Transfer</t>
        </is>
      </c>
      <c r="I592" s="11" t="inlineStr">
        <is>
          <t>Financial Data</t>
        </is>
      </c>
      <c r="J592" t="inlineStr"/>
      <c r="K592" s="11" t="inlineStr">
        <is>
          <t>This section defines terms such as 'threshold transaction', 'totalisator agency board', 'transaction', 'transfer', and others. It specifies that a threshold transaction involves physical currency transfers of $10,000 or more, and outlines the meaning of terms like 'taxation officer' and 'virtual asset'. The definitions are primarily for clarity and consistency across the Act.</t>
        </is>
      </c>
      <c r="L592" s="11" t="inlineStr"/>
      <c r="M592" s="11" t="inlineStr">
        <is>
          <t>• [Must] Threshold transaction involves physical currency transfer of $10,000 or more</t>
        </is>
      </c>
      <c r="N592" s="11" t="inlineStr">
        <is>
          <t>• [Must] Transaction includes non-commercial transactions</t>
        </is>
      </c>
      <c r="O592" s="11" t="inlineStr">
        <is>
          <t>threshold transaction means: (a) a transaction involving the transfer of physical currency, where the total amount of physical currency transferred is not less than $10,000; or (c) if: (i) the regulations provide that this definition applies to a specified transaction involving money; and (ii) the regulations provide that a specified amount is the transaction threshold for the specified transaction; the specified transaction, where the total amount transferred is not less than the transaction threshold for the transaction; or (ca) if: (i) the regulations provide that this definition applies to a specified transaction involving a virtual asset; and (ii) the regulations provide that a specified amount or value is the transaction threshold for the specified transaction; the specified transaction, where the total amount or value transferred is not less than the transaction threshold for the transaction.</t>
        </is>
      </c>
      <c r="P592" s="12" t="n">
        <v>13</v>
      </c>
    </row>
    <row r="593">
      <c r="A593" t="inlineStr">
        <is>
          <t>Australia</t>
        </is>
      </c>
      <c r="B593" t="inlineStr">
        <is>
          <t>C2026C00220 (Australia - Row 2)</t>
        </is>
      </c>
      <c r="C593" t="inlineStr">
        <is>
          <t>45</t>
        </is>
      </c>
      <c r="D593" s="11" t="inlineStr">
        <is>
          <t>Definitions of virtual assets and related terms</t>
        </is>
      </c>
      <c r="E593" t="inlineStr">
        <is>
          <t>63–65</t>
        </is>
      </c>
      <c r="F593" t="inlineStr">
        <is>
          <t>High</t>
        </is>
      </c>
      <c r="G593" t="inlineStr">
        <is>
          <t>High (explicit)</t>
        </is>
      </c>
      <c r="H593" s="11" t="inlineStr"/>
      <c r="I593" s="11" t="inlineStr"/>
      <c r="J593" t="inlineStr"/>
      <c r="K593" s="11" t="inlineStr">
        <is>
          <t>This section defines terms such as 'virtual asset', 'virtual asset safekeeping service', 'Virtual Asset Service Provider Register', and others. It specifies that a virtual asset is a digital representation of value that functions as a medium of exchange, store of value, unit of account, or investment, and is not issued by a government body. The definitions are primarily for clarity and consistency across the Act.</t>
        </is>
      </c>
      <c r="L593" s="11" t="inlineStr"/>
      <c r="M593" s="11" t="inlineStr">
        <is>
          <t>• [Must] Virtual asset is a digital representation of value that functions as a medium of exchange</t>
        </is>
      </c>
      <c r="N593" s="11" t="inlineStr">
        <is>
          <t>• [Must] Virtual asset is a digital representation of value that is not issued by or under the authority of a government body</t>
        </is>
      </c>
      <c r="O593" s="11" t="inlineStr">
        <is>
          <t>virtual asset has the meaning given by section 5B. virtual asset safekeeping service: (a) means a service in which virtual assets or private keys are controlled or managed for or on behalf of a person (the customer) or another person nominated by the customer under an arrangement between the provider of the service and the customer, or between the provider of the service and another person with whom the customer has an arrangement (whether or not there are also other parties to any such arrangement); but (b) does not include a service of a kind prescribed by the AML/CTF Rules.</t>
        </is>
      </c>
      <c r="P593" s="12" t="n">
        <v>13</v>
      </c>
    </row>
    <row r="594">
      <c r="A594" t="inlineStr">
        <is>
          <t>Australia</t>
        </is>
      </c>
      <c r="B594" t="inlineStr">
        <is>
          <t>C2026C00220 (Australia - Row 2)</t>
        </is>
      </c>
      <c r="C594" t="inlineStr">
        <is>
          <t>47</t>
        </is>
      </c>
      <c r="D594" s="11" t="inlineStr">
        <is>
          <t>Definitions of precious metals and stones</t>
        </is>
      </c>
      <c r="E594" t="inlineStr">
        <is>
          <t>65–67</t>
        </is>
      </c>
      <c r="F594" t="inlineStr">
        <is>
          <t>Medium</t>
        </is>
      </c>
      <c r="G594" t="inlineStr">
        <is>
          <t>High (explicit)</t>
        </is>
      </c>
      <c r="H594" s="11" t="inlineStr"/>
      <c r="I594" s="11" t="inlineStr">
        <is>
          <t>Financial Data</t>
        </is>
      </c>
      <c r="J594" t="inlineStr"/>
      <c r="K594" s="11" t="inlineStr">
        <is>
          <t>This section defines terms such as 'precious metal', 'precious stone', and 'precious product'. It specifies that precious metals include gold, silver, platinum, and others, and precious stones have gem quality and market-recognised beauty, rarity, and value. The definitions are primarily for clarity and consistency across the Act.</t>
        </is>
      </c>
      <c r="L594" s="11" t="inlineStr"/>
      <c r="M594" s="11" t="inlineStr">
        <is>
          <t>• [Must] Precious metals include gold, silver, platinum, and others</t>
        </is>
      </c>
      <c r="N594" s="11" t="inlineStr">
        <is>
          <t>• [Must] Precious stones have gem quality and market-recognised beauty, rarity, and value</t>
        </is>
      </c>
      <c r="O594" s="11" t="inlineStr">
        <is>
          <t>Precious metal (1) Each of the following substances is a precious metal: (a) gold; (b) silver; (c) platinum; (d) iridium; (e) osmium; (f) palladium; (g) rhodium; (h) ruthenium; (i) a substance prescribed by the AML/CTF Rules; (j) an alloy substance with at least 2% in weight of any of the substances mentioned in paragraphs (a) to (i).</t>
        </is>
      </c>
      <c r="P594" s="12" t="n">
        <v>13</v>
      </c>
    </row>
    <row r="595">
      <c r="A595" t="inlineStr">
        <is>
          <t>Australia</t>
        </is>
      </c>
      <c r="B595" t="inlineStr">
        <is>
          <t>C2026C00220 (Australia - Row 2)</t>
        </is>
      </c>
      <c r="C595" t="inlineStr">
        <is>
          <t>49</t>
        </is>
      </c>
      <c r="D595" s="11" t="inlineStr">
        <is>
          <t>Definitions of designated services</t>
        </is>
      </c>
      <c r="E595" t="inlineStr">
        <is>
          <t>67–69</t>
        </is>
      </c>
      <c r="F595" t="inlineStr">
        <is>
          <t>High</t>
        </is>
      </c>
      <c r="G595" t="inlineStr">
        <is>
          <t>High (explicit)</t>
        </is>
      </c>
      <c r="H595" s="11" t="inlineStr">
        <is>
          <t>Financial Data</t>
        </is>
      </c>
      <c r="I595" s="11" t="inlineStr">
        <is>
          <t>Financial Data</t>
        </is>
      </c>
      <c r="J595" t="inlineStr"/>
      <c r="K595" s="11" t="inlineStr">
        <is>
          <t>This section defines terms such as 'designated services', 'account provider', and others. It specifies the types of entities that can provide designated services, including ADIs, banks, credit card issuers, and credit card acquirers. The definitions are primarily for clarity and consistency across the Act.</t>
        </is>
      </c>
      <c r="L595" s="11" t="inlineStr"/>
      <c r="M595" s="11" t="inlineStr">
        <is>
          <t>• [Must] Designated services include opening accounts, allowing signatories, and conducting transactions</t>
        </is>
      </c>
      <c r="N595" s="11" t="inlineStr"/>
      <c r="O595" s="11" t="inlineStr">
        <is>
          <t>Item 1 in the capacity of account provider, opening an account, where the (a) an ADI; or (b) a bank; or (e) a credit card issuer; or (f) a credit card acquirer; or (g) a person specified in the AML/CTF Rules</t>
        </is>
      </c>
      <c r="P595" s="12" t="n">
        <v>13</v>
      </c>
    </row>
    <row r="596">
      <c r="A596" t="inlineStr">
        <is>
          <t>Australia</t>
        </is>
      </c>
      <c r="B596" t="inlineStr">
        <is>
          <t>C2026C00220 (Australia - Row 2)</t>
        </is>
      </c>
      <c r="C596" t="inlineStr">
        <is>
          <t>51</t>
        </is>
      </c>
      <c r="D596" s="11" t="inlineStr">
        <is>
          <t>Loan and finance lease participants in specific financial transactions</t>
        </is>
      </c>
      <c r="E596" t="inlineStr">
        <is>
          <t>69–71</t>
        </is>
      </c>
      <c r="F596" t="inlineStr">
        <is>
          <t>High</t>
        </is>
      </c>
      <c r="G596" t="inlineStr">
        <is>
          <t>High (explicit)</t>
        </is>
      </c>
      <c r="H596" s="11" t="inlineStr">
        <is>
          <t>Financial Data, Cross-border Transfer, Data Sharing, Data Storage</t>
        </is>
      </c>
      <c r="I596" s="11" t="inlineStr">
        <is>
          <t>Financial Data</t>
        </is>
      </c>
      <c r="J596" t="inlineStr"/>
      <c r="K596" s="11" t="inlineStr">
        <is>
          <t>This section defines the entities that must be treated as 'the borrower' in specific financial contexts, including loan transactions, finance leases, and hire-purchase agreements where the goods are not acquired by a consumer. It specifies the roles of lenders, assignees, factoring businesses, and lessees under conditions that the transaction occurs in the course of a financial business.</t>
        </is>
      </c>
      <c r="L596" s="11" t="inlineStr">
        <is>
          <t>Defines key participants in financial transactions that may require data transfer impact assessments for cross-border financial data flows, particularly in loan, lease, and hire-purchase contexts.</t>
        </is>
      </c>
      <c r="M596" s="11" t="inlineStr">
        <is>
          <t>• [Must] The borrower in a loan transaction where the loan is made in the course of carrying on a loans business
• [Must] The borrower in a finance lease transaction where the goods are not acquired by a consumer and the supply is in the course of carrying on a finance leasing business</t>
        </is>
      </c>
      <c r="N596" s="11" t="inlineStr">
        <is>
          <t>• [Must] The person in a hire-purchase agreement where the goods are not acquired by a consumer and the supply is in the course of supplying goods</t>
        </is>
      </c>
      <c r="O596" s="11" t="inlineStr">
        <is>
          <t>51 Compilation Item 6: making a loan, where the loan is made in the course of carrying on a loans business the borrower</t>
        </is>
      </c>
      <c r="P596" s="12" t="n">
        <v>13</v>
      </c>
    </row>
    <row r="597">
      <c r="A597" t="inlineStr">
        <is>
          <t>Australia</t>
        </is>
      </c>
      <c r="B597" t="inlineStr">
        <is>
          <t>C2026C00220 (Australia - Row 2)</t>
        </is>
      </c>
      <c r="C597" t="inlineStr">
        <is>
          <t>53</t>
        </is>
      </c>
      <c r="D597" s="11" t="inlineStr">
        <is>
          <t>Account and card services for specific financial entities</t>
        </is>
      </c>
      <c r="E597" t="inlineStr">
        <is>
          <t>71–73</t>
        </is>
      </c>
      <c r="F597" t="inlineStr">
        <is>
          <t>High</t>
        </is>
      </c>
      <c r="G597" t="inlineStr">
        <is>
          <t>High (explicit)</t>
        </is>
      </c>
      <c r="H597" s="11" t="inlineStr">
        <is>
          <t>Financial Data, Cross-border Transfer, Data Sharing, Data Storage</t>
        </is>
      </c>
      <c r="I597" s="11" t="inlineStr">
        <is>
          <t>Financial Data</t>
        </is>
      </c>
      <c r="J597" t="inlineStr"/>
      <c r="K597" s="11" t="inlineStr">
        <is>
          <t>This section identifies the entities that must be treated as 'the holder of the account' or 'the person' in specific financial services, including chequebook provision, debit card issuance, and trust management services. It applies to building societies, credit unions, and trust managers where the services are provided in the course of their business.</t>
        </is>
      </c>
      <c r="L597" s="11" t="inlineStr">
        <is>
          <t>Identifies key participants in financial transactions that may require data transfer impact assessments for cross-border financial data flows, particularly in account and card services.</t>
        </is>
      </c>
      <c r="M597" s="11" t="inlineStr">
        <is>
          <t>• [Must] The holder of the account with the building society or credit union
• [Must] The holder of the beneficial interest in the trust</t>
        </is>
      </c>
      <c r="N597" s="11" t="inlineStr">
        <is>
          <t>• [Must] The person for whom a promissory note or letter of credit is issued by an ADI, bank, building society, credit union, or person specified in the AML/CTF Rules</t>
        </is>
      </c>
      <c r="O597" s="11" t="inlineStr">
        <is>
          <t>53 Compilation Item 14: for an account, providing a chequebook, or a similar facility, that enables the holder of the account to draw a cheque on the account</t>
        </is>
      </c>
      <c r="P597" s="12" t="n">
        <v>13</v>
      </c>
    </row>
    <row r="598">
      <c r="A598" t="inlineStr">
        <is>
          <t>Australia</t>
        </is>
      </c>
      <c r="B598" t="inlineStr">
        <is>
          <t>C2026C00220 (Australia - Row 2)</t>
        </is>
      </c>
      <c r="C598" t="inlineStr">
        <is>
          <t>55</t>
        </is>
      </c>
      <c r="D598" s="11" t="inlineStr">
        <is>
          <t>Debit card and stored value card services for specific financial entities</t>
        </is>
      </c>
      <c r="E598" t="inlineStr">
        <is>
          <t>73–75</t>
        </is>
      </c>
      <c r="F598" t="inlineStr">
        <is>
          <t>High</t>
        </is>
      </c>
      <c r="G598" t="inlineStr">
        <is>
          <t>High (explicit)</t>
        </is>
      </c>
      <c r="H598" s="11" t="inlineStr">
        <is>
          <t>Financial Data, Cross-border Transfer, Data Sharing, Data Storage</t>
        </is>
      </c>
      <c r="I598" s="11" t="inlineStr">
        <is>
          <t>Financial Data</t>
        </is>
      </c>
      <c r="J598" t="inlineStr"/>
      <c r="K598" s="11" t="inlineStr">
        <is>
          <t>This section defines the entities that must be treated as 'the person' in specific debit card and stored value card transactions, including scenarios where the card is issued by an ADI, bank, or person specified in the AML/CTF Rules. It specifies conditions for monetary value thresholds and the types of cards that may be issued.</t>
        </is>
      </c>
      <c r="L598" s="11" t="inlineStr">
        <is>
          <t>Defines participants in debit and stored value card transactions that may require data transfer impact assessments for cross-border financial data flows.</t>
        </is>
      </c>
      <c r="M598" s="11" t="inlineStr">
        <is>
          <t>• [Must] The person for whom a debit card is issued by an ADI, bank, or person specified in the AML/CTF Rules
• [Must] The signatory authorized by the holder of an account to debit an account held by a building society or credit union</t>
        </is>
      </c>
      <c r="N598" s="11" t="inlineStr">
        <is>
          <t>• [Must] The person for whom a stored value card is issued where the monetary value stored is not less than $1,000</t>
        </is>
      </c>
      <c r="O598" s="11" t="inlineStr">
        <is>
          <t>55 Compilation Item 21: issuing a stored value card to a person, where: (a) the whole or a part of the monetary value stored in connection with the card may be withdrawn in cash; and (b) the monetary value stored in connection with the card is not less than: (i) $1,000</t>
        </is>
      </c>
      <c r="P598" s="12" t="n">
        <v>13</v>
      </c>
    </row>
    <row r="599">
      <c r="A599" t="inlineStr">
        <is>
          <t>Australia</t>
        </is>
      </c>
      <c r="B599" t="inlineStr">
        <is>
          <t>C2026C00220 (Australia - Row 2)</t>
        </is>
      </c>
      <c r="C599" t="inlineStr">
        <is>
          <t>57</t>
        </is>
      </c>
      <c r="D599" s="11" t="inlineStr">
        <is>
          <t>Stored value card and traveller's cheque transactions</t>
        </is>
      </c>
      <c r="E599" t="inlineStr">
        <is>
          <t>75–77</t>
        </is>
      </c>
      <c r="F599" t="inlineStr">
        <is>
          <t>High</t>
        </is>
      </c>
      <c r="G599" t="inlineStr">
        <is>
          <t>High (explicit)</t>
        </is>
      </c>
      <c r="H599" s="11" t="inlineStr">
        <is>
          <t>Financial Data, Cross-border Transfer, Data Sharing, Data Storage</t>
        </is>
      </c>
      <c r="I599" s="11" t="inlineStr">
        <is>
          <t>Financial Data</t>
        </is>
      </c>
      <c r="J599" t="inlineStr"/>
      <c r="K599" s="11" t="inlineStr">
        <is>
          <t>This section identifies the entities that must be treated as 'the person' in stored value card transactions and traveller's cheque issuance, including conditions for monetary value thresholds and the types of transactions that may be conducted.</t>
        </is>
      </c>
      <c r="L599" s="11" t="inlineStr">
        <is>
          <t>Defines participants in stored value card and traveller's cheque transactions that may require data transfer impact assessments for cross-border financial data flows.</t>
        </is>
      </c>
      <c r="M599" s="11" t="inlineStr">
        <is>
          <t>• [Must] The person for whom the monetary value stored in a stored value card is increased to not less than $1,000
• [Must] The person for whom a stored value card is issued where the monetary value stored is not less than $5,000 and no part may be withdrawn in cash</t>
        </is>
      </c>
      <c r="N599" s="11" t="inlineStr">
        <is>
          <t>• [Must] The person for whom a traveller's cheque is issued</t>
        </is>
      </c>
      <c r="O599" s="11" t="inlineStr">
        <is>
          <t>57 Compilation Item 22: increasing the monetary value stored in connection with a stored value card held by a person, where: (a) the whole or a part of the monetary value stored in connection with the card may be withdrawn in cash; and (b) the increased monetary value is not less than: (i) $1,000</t>
        </is>
      </c>
      <c r="P599" s="12" t="n">
        <v>13</v>
      </c>
    </row>
    <row r="600">
      <c r="A600" t="inlineStr">
        <is>
          <t>Australia</t>
        </is>
      </c>
      <c r="B600" t="inlineStr">
        <is>
          <t>C2026C00220 (Australia - Row 2)</t>
        </is>
      </c>
      <c r="C600" t="inlineStr">
        <is>
          <t>59</t>
        </is>
      </c>
      <c r="D600" s="11" t="inlineStr">
        <is>
          <t>Money order and value transfer services</t>
        </is>
      </c>
      <c r="E600" t="inlineStr">
        <is>
          <t>77–79</t>
        </is>
      </c>
      <c r="F600" t="inlineStr">
        <is>
          <t>High</t>
        </is>
      </c>
      <c r="G600" t="inlineStr">
        <is>
          <t>High (explicit)</t>
        </is>
      </c>
      <c r="H600" s="11" t="inlineStr">
        <is>
          <t>Financial Data, Cross-border Transfer, Data Sharing, Data Storage</t>
        </is>
      </c>
      <c r="I600" s="11" t="inlineStr">
        <is>
          <t>Financial Data</t>
        </is>
      </c>
      <c r="J600" t="inlineStr"/>
      <c r="K600" s="11" t="inlineStr">
        <is>
          <t>This section defines the entities that must be treated as 'the person' in money order, postal order, and value transfer transactions, including conditions for face value thresholds and the roles of ordering and beneficiary institutions.</t>
        </is>
      </c>
      <c r="L600" s="11" t="inlineStr">
        <is>
          <t>Identifies participants in money order and value transfer services that may require data transfer impact assessments for cross-border financial data flows.</t>
        </is>
      </c>
      <c r="M600" s="11" t="inlineStr">
        <is>
          <t>• [Must] The person for whom a money order, postal order, or similar order is issued where the face value is not less than $1,000
• [Must] The payer in the capacity of ordering institution accepting an instruction for the transfer of value</t>
        </is>
      </c>
      <c r="N600" s="11" t="inlineStr">
        <is>
          <t>• [Must] The payee in the capacity of beneficiary institution making the transferred value available</t>
        </is>
      </c>
      <c r="O600" s="11" t="inlineStr">
        <is>
          <t>59 Compilation Item 28: in the capacity of issuer of a money order, postal order or similar order, cashing or redeeming a money order, postal order or similar order held by a person, where the face value of the order is not less than: (a) $1,000</t>
        </is>
      </c>
      <c r="P600" s="12" t="n">
        <v>13</v>
      </c>
    </row>
    <row r="601">
      <c r="A601" t="inlineStr">
        <is>
          <t>Australia</t>
        </is>
      </c>
      <c r="B601" t="inlineStr">
        <is>
          <t>C2026C00220 (Australia - Row 2)</t>
        </is>
      </c>
      <c r="C601" t="inlineStr">
        <is>
          <t>61</t>
        </is>
      </c>
      <c r="D601" s="11" t="inlineStr">
        <is>
          <t>Securities and derivative transactions</t>
        </is>
      </c>
      <c r="E601" t="inlineStr">
        <is>
          <t>79–81</t>
        </is>
      </c>
      <c r="F601" t="inlineStr">
        <is>
          <t>High</t>
        </is>
      </c>
      <c r="G601" t="inlineStr">
        <is>
          <t>High (explicit)</t>
        </is>
      </c>
      <c r="H601" s="11" t="inlineStr">
        <is>
          <t>Financial Data, Cross-border Transfer, Data Sharing, Data Storage</t>
        </is>
      </c>
      <c r="I601" s="11" t="inlineStr">
        <is>
          <t>Financial Data</t>
        </is>
      </c>
      <c r="J601" t="inlineStr"/>
      <c r="K601" s="11" t="inlineStr">
        <is>
          <t>This section defines the entities that must be treated as 'the person' in securities and derivative transactions, including conditions for the issuance of securities, derivatives, and specific financial instruments where the transaction is conducted in the course of a business.</t>
        </is>
      </c>
      <c r="L601" s="11" t="inlineStr">
        <is>
          <t>Identifies participants in securities and derivative transactions that may require data transfer impact assessments for cross-border financial data flows.</t>
        </is>
      </c>
      <c r="M601" s="11" t="inlineStr">
        <is>
          <t>• [Must] The person for whom a security or derivative is issued where the issue is in the course of carrying on a business of issuing or selling securities or derivatives
• [Must] The person to whom the proceeds of redemption are paid for a bearer bond</t>
        </is>
      </c>
      <c r="N601" s="11" t="inlineStr">
        <is>
          <t>• [Must] The holder of the policy for life insurance or sinking fund policies</t>
        </is>
      </c>
      <c r="O601" s="11" t="inlineStr">
        <is>
          <t>61 Compilation Item 35: issuing or selling a security or derivative to a person, where: (a) the issue or sale is in the course of carrying on a business of issuing or selling securities or derivatives; and (b) in the case of an issue of a security or derivative—the issue does not consist of the issue by a company of either of the following: (i) a security of the company (other than an interest in a managed investment scheme); or (ii) an option to acquire a security of the company (other than an option to acquire an interest in a managed investment scheme)</t>
        </is>
      </c>
      <c r="P601" s="12" t="n">
        <v>13</v>
      </c>
    </row>
    <row r="602">
      <c r="A602" t="inlineStr">
        <is>
          <t>Australia</t>
        </is>
      </c>
      <c r="B602" t="inlineStr">
        <is>
          <t>C2026C00220 (Australia - Row 2)</t>
        </is>
      </c>
      <c r="C602" t="inlineStr">
        <is>
          <t>63</t>
        </is>
      </c>
      <c r="D602" s="11" t="inlineStr">
        <is>
          <t>Definition of persons involved in pension/annuity transactions</t>
        </is>
      </c>
      <c r="E602" t="inlineStr">
        <is>
          <t>81–83</t>
        </is>
      </c>
      <c r="F602" t="inlineStr">
        <is>
          <t>High</t>
        </is>
      </c>
      <c r="G602" t="inlineStr">
        <is>
          <t>High (explicit)</t>
        </is>
      </c>
      <c r="H602" s="11" t="inlineStr">
        <is>
          <t>Cross-border Transfer, International Processing, Data Storage, Security, Consent, Customer Information, Employee Information, Financial Data, KYC, AML</t>
        </is>
      </c>
      <c r="I602" s="11" t="inlineStr">
        <is>
          <t>Financial Data, Customer Data</t>
        </is>
      </c>
      <c r="J602" t="inlineStr"/>
      <c r="K602" s="11" t="inlineStr">
        <is>
          <t>This section defines specific individuals who may be involved in pension or annuity payments, including the provider of pension/annuity, trustee of superannuation funds, RSA providers, and other entities. It specifies the roles and relationships for different types of transactions such as payments, contributions, and cashing out interests. The section outlines the parties who are considered relevant for regulatory purposes in these financial contexts.</t>
        </is>
      </c>
      <c r="L602" s="11" t="inlineStr"/>
      <c r="M602" s="11" t="inlineStr">
        <is>
          <t>• [Must] In the capacity of provider of a pension or annuity, making a payment to a person
• [Must] In the capacity of trustee of a superannuation fund (other than self-managed), accepting a contribution</t>
        </is>
      </c>
      <c r="N602" s="11" t="inlineStr">
        <is>
          <t>• [Must] In the capacity of trustee of a superannuation fund (other than self-managed), cashing out interests
• [Must] In the capacity of RSA provider, accepting contributions to RSA</t>
        </is>
      </c>
      <c r="O602" s="11" t="inlineStr">
        <is>
          <t>63 Compilation Item 41 in the capacity of provider of a pension or annuity, making a payment to a person by way of: (a) a payment of the pension or annuity; or (b) an amount resulting from the commutation, in whole or in part, of the pension or annuity; or (c) the residual capital value of the pension or annuity; where the provider is not a self managed superannuation fund the person</t>
        </is>
      </c>
      <c r="P602" s="12" t="n">
        <v>13</v>
      </c>
    </row>
    <row r="603">
      <c r="A603" t="inlineStr">
        <is>
          <t>Australia</t>
        </is>
      </c>
      <c r="B603" t="inlineStr">
        <is>
          <t>C2026C00220 (Australia - Row 2)</t>
        </is>
      </c>
      <c r="C603" t="inlineStr">
        <is>
          <t>65</t>
        </is>
      </c>
      <c r="D603" s="11" t="inlineStr">
        <is>
          <t>Definition of persons involved in currency exchange and virtual asset transactions</t>
        </is>
      </c>
      <c r="E603" t="inlineStr">
        <is>
          <t>83–85</t>
        </is>
      </c>
      <c r="F603" t="inlineStr">
        <is>
          <t>High</t>
        </is>
      </c>
      <c r="G603" t="inlineStr">
        <is>
          <t>High (explicit)</t>
        </is>
      </c>
      <c r="H603" s="11" t="inlineStr">
        <is>
          <t>Cross-border Transfer, International Processing, Data Storage, Security, Consent, Customer Information, Employee Information, Financial Data, KYC, AML</t>
        </is>
      </c>
      <c r="I603" s="11" t="inlineStr">
        <is>
          <t>Financial Data, Customer Data</t>
        </is>
      </c>
      <c r="J603" t="inlineStr"/>
      <c r="K603" s="11" t="inlineStr">
        <is>
          <t>This section defines individuals who may be involved in currency exchanges, virtual asset transactions, and other financial services. It specifies the parties responsible for transactions such as exchanging currencies, virtual assets, and providing designated services. The section outlines the roles for different types of financial activities including gambling and virtual asset services.</t>
        </is>
      </c>
      <c r="L603" s="11" t="inlineStr"/>
      <c r="M603" s="11" t="inlineStr">
        <is>
          <t>• [Must] In the capacity of guarantor of a loan, making a payment to the lender
• [Must] Exchanging one currency for another in the course of currency exchange business</t>
        </is>
      </c>
      <c r="N603" s="11" t="inlineStr">
        <is>
          <t>• [Must] Exchanging virtual assets for money or money for virtual assets in the course of virtual asset service provider business</t>
        </is>
      </c>
      <c r="O603" s="11" t="inlineStr">
        <is>
          <t>65 Compilation Item 49 in the capacity of guarantor of a loan, making a payment to the lender, where the guarantee was given in the course of carrying on a business of guaranteeing loans both: (a) the lender; and (b) the borrower</t>
        </is>
      </c>
      <c r="P603" s="12" t="n">
        <v>13</v>
      </c>
    </row>
    <row r="604">
      <c r="A604" t="inlineStr">
        <is>
          <t>Australia</t>
        </is>
      </c>
      <c r="B604" t="inlineStr">
        <is>
          <t>C2026C00220 (Australia - Row 2)</t>
        </is>
      </c>
      <c r="C604" t="inlineStr">
        <is>
          <t>67</t>
        </is>
      </c>
      <c r="D604" s="11" t="inlineStr">
        <is>
          <t>Definition of persons involved in gambling transactions</t>
        </is>
      </c>
      <c r="E604" t="inlineStr">
        <is>
          <t>85–87</t>
        </is>
      </c>
      <c r="F604" t="inlineStr">
        <is>
          <t>High</t>
        </is>
      </c>
      <c r="G604" t="inlineStr">
        <is>
          <t>High (explicit)</t>
        </is>
      </c>
      <c r="H604" s="11" t="inlineStr">
        <is>
          <t>Cross-border Transfer, International Processing, Data Storage, Security, Consent, Customer Information, Employee Information, Financial Data, KYC, AML</t>
        </is>
      </c>
      <c r="I604" s="11" t="inlineStr">
        <is>
          <t>Financial Data, Customer Data</t>
        </is>
      </c>
      <c r="J604" t="inlineStr"/>
      <c r="K604" s="11" t="inlineStr">
        <is>
          <t>This section defines individuals who may be involved in gambling transactions, including placing bets, receiving winnings, and operating gaming machines. It specifies the parties responsible for different types of gambling activities such as betting, gaming machines, and prize distribution. The section outlines the roles for transactions that involve games of chance and related services.</t>
        </is>
      </c>
      <c r="L604" s="11" t="inlineStr"/>
      <c r="M604" s="11" t="inlineStr">
        <is>
          <t>• [Must] Receiving or accepting a bet placed by a person in the course of gambling business</t>
        </is>
      </c>
      <c r="N604" s="11" t="inlineStr">
        <is>
          <t>• [Must] Placing or making a bet on behalf of a person in the course of gambling business</t>
        </is>
      </c>
      <c r="O604" s="11" t="inlineStr">
        <is>
          <t>67 Compilation Item 1 in the capacity of controller of an eligible gaming machine venue, allowing a person to play a game on a gaming machine located at the venue, where the service is provided in the course of carrying on a business</t>
        </is>
      </c>
      <c r="P604" s="12" t="n">
        <v>13</v>
      </c>
    </row>
    <row r="605">
      <c r="A605" t="inlineStr">
        <is>
          <t>Australia</t>
        </is>
      </c>
      <c r="B605" t="inlineStr">
        <is>
          <t>C2026C00220 (Australia - Row 2)</t>
        </is>
      </c>
      <c r="C605" t="inlineStr">
        <is>
          <t>69</t>
        </is>
      </c>
      <c r="D605" s="11" t="inlineStr">
        <is>
          <t>Definition of persons involved in real estate and financial transactions</t>
        </is>
      </c>
      <c r="E605" t="inlineStr">
        <is>
          <t>87–89</t>
        </is>
      </c>
      <c r="F605" t="inlineStr">
        <is>
          <t>High</t>
        </is>
      </c>
      <c r="G605" t="inlineStr">
        <is>
          <t>High (explicit)</t>
        </is>
      </c>
      <c r="H605" s="11" t="inlineStr">
        <is>
          <t>Cross-border Transfer, International Processing, Data Storage, Security, Consent, Customer Information, Employee Information, Financial Data, KYC, AML</t>
        </is>
      </c>
      <c r="I605" s="11" t="inlineStr">
        <is>
          <t>Financial Data, Customer Data</t>
        </is>
      </c>
      <c r="J605" t="inlineStr"/>
      <c r="K605" s="11" t="inlineStr">
        <is>
          <t>This section defines individuals who may be involved in real estate services, financial transactions, and other business activities. It specifies the parties responsible for transactions such as brokering real estate, selling property, and assisting in financial transactions. The section outlines the roles for different types of services including real estate, financial services, and virtual asset transactions.</t>
        </is>
      </c>
      <c r="L605" s="11" t="inlineStr"/>
      <c r="M605" s="11" t="inlineStr">
        <is>
          <t>• [Must] Brokering the sale, purchase or transfer of real estate on behalf of a buyer, seller, transferee or transferor</t>
        </is>
      </c>
      <c r="N605" s="11" t="inlineStr">
        <is>
          <t>• [Must] Selling or transferring real estate in the course of carrying on a business selling real estate</t>
        </is>
      </c>
      <c r="O605" s="11" t="inlineStr">
        <is>
          <t>69 Compilation Item 1 brokering the sale, purchase or transfer of real estate on behalf of a buyer, seller, transferee or transferor both: (a) the seller or transferor; and (b) the buyer or transferee</t>
        </is>
      </c>
      <c r="P605" s="12" t="n">
        <v>13</v>
      </c>
    </row>
    <row r="606">
      <c r="A606" t="inlineStr">
        <is>
          <t>Australia</t>
        </is>
      </c>
      <c r="B606" t="inlineStr">
        <is>
          <t>C2026C00220 (Australia - Row 2)</t>
        </is>
      </c>
      <c r="C606" t="inlineStr">
        <is>
          <t>71</t>
        </is>
      </c>
      <c r="D606" s="11" t="inlineStr">
        <is>
          <t>Definition of persons involved in virtual asset and financial services</t>
        </is>
      </c>
      <c r="E606" t="inlineStr">
        <is>
          <t>89–91</t>
        </is>
      </c>
      <c r="F606" t="inlineStr">
        <is>
          <t>High</t>
        </is>
      </c>
      <c r="G606" t="inlineStr">
        <is>
          <t>High (explicit)</t>
        </is>
      </c>
      <c r="H606" s="11" t="inlineStr">
        <is>
          <t>Cross-border Transfer, International Processing, Data Storage, Security, Consent, Customer Information, Employee Information, Financial Data, KYC, AML</t>
        </is>
      </c>
      <c r="I606" s="11" t="inlineStr">
        <is>
          <t>Financial Data, Customer Data</t>
        </is>
      </c>
      <c r="J606" t="inlineStr"/>
      <c r="K606" s="11" t="inlineStr">
        <is>
          <t>This section defines individuals who may be involved in virtual asset transactions, financial services, and other business activities. It specifies the parties responsible for transactions such as providing virtual asset services, exchanging currencies, and facilitating financial transactions. The section outlines the roles for different types of services including virtual asset services, real estate, and financial transactions.</t>
        </is>
      </c>
      <c r="L606" s="11" t="inlineStr"/>
      <c r="M606" s="11" t="inlineStr">
        <is>
          <t>• [Must] Providing a service specified in the regulations</t>
        </is>
      </c>
      <c r="N606" s="11" t="inlineStr">
        <is>
          <t>• [Must] Assisting a person in the planning or execution of a transaction to sell, buy or otherwise transfer real estate</t>
        </is>
      </c>
      <c r="O606" s="11" t="inlineStr">
        <is>
          <t>71 Compilation Item 1 providing a service specified in the regulations the person who, under the regulations, is taken to be the person to whom the service is provided</t>
        </is>
      </c>
      <c r="P606" s="12" t="n">
        <v>13</v>
      </c>
    </row>
    <row r="607">
      <c r="A607" t="inlineStr">
        <is>
          <t>Australia</t>
        </is>
      </c>
      <c r="B607" t="inlineStr">
        <is>
          <t>C2026C00220 (Australia - Row 2)</t>
        </is>
      </c>
      <c r="C607" t="inlineStr">
        <is>
          <t>73</t>
        </is>
      </c>
      <c r="D607" s="11" t="inlineStr">
        <is>
          <t>Definition of persons involved in financial and legal transactions</t>
        </is>
      </c>
      <c r="E607" t="inlineStr">
        <is>
          <t>91–93</t>
        </is>
      </c>
      <c r="F607" t="inlineStr">
        <is>
          <t>High</t>
        </is>
      </c>
      <c r="G607" t="inlineStr">
        <is>
          <t>High (explicit)</t>
        </is>
      </c>
      <c r="H607" s="11" t="inlineStr">
        <is>
          <t>Cross-border Transfer, International Processing, Data Storage, Security, Consent, Customer Information, Employee Information, Financial Data, KYC, AML</t>
        </is>
      </c>
      <c r="I607" s="11" t="inlineStr">
        <is>
          <t>Financial Data, Customer Data</t>
        </is>
      </c>
      <c r="J607" t="inlineStr"/>
      <c r="K607" s="11" t="inlineStr">
        <is>
          <t>This section defines individuals who may be involved in financial and legal transactions, including assisting with transactions, managing assets, and facilitating financial services. It specifies the parties responsible for different types of activities such as managing money, securities, and virtual assets. The section outlines the roles for transactions that involve legal arrangements and financial services.</t>
        </is>
      </c>
      <c r="L607" s="11" t="inlineStr"/>
      <c r="M607" s="11" t="inlineStr">
        <is>
          <t>• [Must] Assisting a person in the planning or execution of a transaction to sell, buy or otherwise transfer real estate</t>
        </is>
      </c>
      <c r="N607" s="11" t="inlineStr">
        <is>
          <t>• [Must] Receiving, holding and controlling money, accounts, securities, virtual assets, or other property as part of assisting a person</t>
        </is>
      </c>
      <c r="O607" s="11" t="inlineStr">
        <is>
          <t>73 Compilation Item 3 receiving, holding and controlling (including disbursing) or managing a person's money; accounts; securities and securities accounts; virtual assets; or other property as part of assisting the person in the planning or execution of a transaction</t>
        </is>
      </c>
      <c r="P607" s="12" t="n">
        <v>13</v>
      </c>
    </row>
    <row r="608">
      <c r="A608" t="inlineStr">
        <is>
          <t>Australia</t>
        </is>
      </c>
      <c r="B608" t="inlineStr">
        <is>
          <t>C2026C00220 (Australia - Row 2)</t>
        </is>
      </c>
      <c r="C608" t="inlineStr">
        <is>
          <t>75</t>
        </is>
      </c>
      <c r="D608" s="11" t="inlineStr">
        <is>
          <t>Designated services for business entities</t>
        </is>
      </c>
      <c r="E608" t="inlineStr">
        <is>
          <t>93–95</t>
        </is>
      </c>
      <c r="F608" t="inlineStr">
        <is>
          <t>High</t>
        </is>
      </c>
      <c r="G608" t="inlineStr">
        <is>
          <t>High (explicit)</t>
        </is>
      </c>
      <c r="H608" s="11" t="inlineStr">
        <is>
          <t>Cross-border Transfer, International Processing, Data Storage, Security</t>
        </is>
      </c>
      <c r="I608" s="11" t="inlineStr">
        <is>
          <t>Financial Data</t>
        </is>
      </c>
      <c r="J608" t="inlineStr">
        <is>
          <t>AML/CTF Rules</t>
        </is>
      </c>
      <c r="K608" s="11" t="inlineStr">
        <is>
          <t>This section defines specific business activities that constitute designated services for regulatory purposes. It specifies that designated services include roles such as directors, partners, trustees, and equivalent positions in legal arrangements, excluding certain circumstances covered by subsection (5E). The services must be provided in the course of carrying on a business and not fall under specific exemptions outlined in subsection (5C).</t>
        </is>
      </c>
      <c r="L608" s="11" t="inlineStr">
        <is>
          <t>This section defines what constitutes a designated service for regulatory purposes, which impacts cross-border data transfers involving business entities. Designated services are subject to specific reporting requirements under the AML/CTF Rules, affecting how financial data is handled across borders.</t>
        </is>
      </c>
      <c r="M608" s="11" t="inlineStr">
        <is>
          <t>• [Must] A designated service includes a director or secretary of a company
• [Must] A designated service includes a power of attorney of a body corporate or legal arrangement
• [Must] A designated service includes a partner in a partnership
• [Must] A designated service includes a trustee of an express trust
• [Must] A designated service includes a position in any other legal arrangement functionally equivalent to the above</t>
        </is>
      </c>
      <c r="N608" s="11" t="inlineStr">
        <is>
          <t>• [Must] Designated services must be provided in the course of carrying on a business
• [Must Not] Designated services are excluded if the money, accounts, securities, virtual assets or other property are held for payments reasonably incidental to the service
• [Must Not] Designated services are excluded if the money, accounts, securities, virtual assets or other property are received or payable under a court order
• [Must Not] Designated services are excluded if the service involves receipt or disbursement of payments under subsection (5D)
• [Must Not] Designated services are excluded if the service is a designated service specified in the AML/CTF Rules</t>
        </is>
      </c>
      <c r="O608" s="11" t="inlineStr">
        <is>
          <t>75 Compilation Item service following, on behalf of a person (the nominator), in the course of carrying on a business: (a) a director or secretary of a company; (b) a power of attorney of a body corporate or legal arrangement; (c) a partner in a partnership; (d) a trustee of an express trust; (e) a position in any other legal arrangement that is functionally equivalent to a position mentioned in any of the above paragraphs; other than in a circumstance covered by subsection (5E)</t>
        </is>
      </c>
      <c r="P608" s="12" t="n">
        <v>13</v>
      </c>
    </row>
    <row r="609">
      <c r="A609" t="inlineStr">
        <is>
          <t>Australia</t>
        </is>
      </c>
      <c r="B609" t="inlineStr">
        <is>
          <t>C2026C00220 (Australia - Row 2)</t>
        </is>
      </c>
      <c r="C609" t="inlineStr">
        <is>
          <t>77</t>
        </is>
      </c>
      <c r="D609" s="11" t="inlineStr">
        <is>
          <t>Geographical scope for designated services</t>
        </is>
      </c>
      <c r="E609" t="inlineStr">
        <is>
          <t>95–97</t>
        </is>
      </c>
      <c r="F609" t="inlineStr">
        <is>
          <t>High</t>
        </is>
      </c>
      <c r="G609" t="inlineStr">
        <is>
          <t>High (explicit)</t>
        </is>
      </c>
      <c r="H609" s="11" t="inlineStr">
        <is>
          <t>Cross-border Transfer, International Processing, Data Storage</t>
        </is>
      </c>
      <c r="I609" s="11" t="inlineStr">
        <is>
          <t>Financial Data</t>
        </is>
      </c>
      <c r="J609" t="inlineStr">
        <is>
          <t>AML/CTF Rules</t>
        </is>
      </c>
      <c r="K609" s="11" t="inlineStr">
        <is>
          <t>This section specifies the geographical conditions under which a designated service provided by a person to a customer applies to Australia. It requires that the service must be provided at or through a permanent establishment in Australia, or the person must be an Australian resident with a foreign permanent establishment, or a subsidiary of an Australian resident company with a foreign permanent establishment. These conditions determine the applicability of the section to cross-border services.</t>
        </is>
      </c>
      <c r="L609" s="11" t="inlineStr">
        <is>
          <t>This section defines the geographical scope for designated services, which is critical for determining whether cross-border data transfers involving financial services require specific regulatory compliance measures under the AML/CTF framework.</t>
        </is>
      </c>
      <c r="M609" s="11" t="inlineStr">
        <is>
          <t>• [Must] A designated service provided by a person to a customer applies to Australia if the service is provided at or through a permanent establishment in Australia
• [Must] A designated service provided by a person to a customer applies to Australia if the person is an Australian resident with a foreign permanent establishment</t>
        </is>
      </c>
      <c r="N609" s="11" t="inlineStr">
        <is>
          <t>• [Must] A designated service provided by a person to a customer applies to Australia if the person is a subsidiary of an Australian resident company with a foreign permanent establishment</t>
        </is>
      </c>
      <c r="O609" s="11" t="inlineStr">
        <is>
          <t>77 Compilation An item of a table in this section, other than item 32A of table 1, does not apply to the provision by a person of a service to a customer unless: (a) the service is provided at or through a permanent establishment of the person in Australia; or (b) both of the following subparagraphs apply: (i) the person is a resident of Australia; (ii) the service is provided at or through a permanent establishment of the person in a foreign country; or (c) both of the following subparagraphs apply: (i) the person is a subsidiary of a company that is a resident of Australia; (ii) the service is provided at or through a permanent establishment of the person in a foreign country.</t>
        </is>
      </c>
      <c r="P609" s="12" t="n">
        <v>13</v>
      </c>
    </row>
    <row r="610">
      <c r="A610" t="inlineStr">
        <is>
          <t>Australia</t>
        </is>
      </c>
      <c r="B610" t="inlineStr">
        <is>
          <t>C2026C00220 (Australia - Row 2)</t>
        </is>
      </c>
      <c r="C610" t="inlineStr">
        <is>
          <t>79</t>
        </is>
      </c>
      <c r="D610" s="11" t="inlineStr">
        <is>
          <t>Security and derivative definitions</t>
        </is>
      </c>
      <c r="E610" t="inlineStr">
        <is>
          <t>97–99</t>
        </is>
      </c>
      <c r="F610" t="inlineStr">
        <is>
          <t>High</t>
        </is>
      </c>
      <c r="G610" t="inlineStr">
        <is>
          <t>High (explicit)</t>
        </is>
      </c>
      <c r="H610" s="11" t="inlineStr">
        <is>
          <t>Financial Data</t>
        </is>
      </c>
      <c r="I610" s="11" t="inlineStr">
        <is>
          <t>Financial Data</t>
        </is>
      </c>
      <c r="J610" t="inlineStr"/>
      <c r="K610" s="11" t="inlineStr">
        <is>
          <t>This section defines key terms used in the context of securities and derivatives. It specifies that 'security' has the same meaning as in Chapter 7 of the Corporations Act 2001, and 'derivative' has the same meaning as in Chapter 7 of the Corporations Act 2001. The AML/CTF Rules may override these definitions for specific things.</t>
        </is>
      </c>
      <c r="L610" s="11" t="inlineStr">
        <is>
          <t>This section provides definitions for securities and derivatives, which are critical for understanding financial data classifications and cross-border transfers involving these assets.</t>
        </is>
      </c>
      <c r="M610" s="11" t="inlineStr">
        <is>
          <t>• [Must] Security has the same meaning as in Chapter 7 of the Corporations Act 2001
• [May] The AML/CTF Rules may provide that a specified thing is a security</t>
        </is>
      </c>
      <c r="N610" s="11" t="inlineStr">
        <is>
          <t>• [Must] Derivative has the same meaning as in Chapter 7 of the Corporations Act 2.01
• [May] The AML/CTF Rules may provide that a specified thing is not a derivative</t>
        </is>
      </c>
      <c r="O610" s="11" t="inlineStr">
        <is>
          <t>79 Compilation 7A Securities and derivatives (1) Security has the same meaning as in Chapter 7 of the Corporations Act 2001. (2) Despite subsection (1), the AML/CTF Rules may provide: (a) that a specified thing is a security; or (b) that a specified thing is not a security. (3) Derivative has the same meaning as in Chapter 7 of the Corporations Act 2001. (4) Despite subsection (3), the AML/CTF Rules may provide: (a) that a specified thing is a derivative; or (b) that a specified thing is not a derivative.</t>
        </is>
      </c>
      <c r="P610" s="12" t="n">
        <v>13</v>
      </c>
    </row>
    <row r="611">
      <c r="A611" t="inlineStr">
        <is>
          <t>Australia</t>
        </is>
      </c>
      <c r="B611" t="inlineStr">
        <is>
          <t>C2026C00220 (Australia - Row 2)</t>
        </is>
      </c>
      <c r="C611" t="inlineStr">
        <is>
          <t>81</t>
        </is>
      </c>
      <c r="D611" s="11" t="inlineStr">
        <is>
          <t>Reporting groups and business groups</t>
        </is>
      </c>
      <c r="E611" t="inlineStr">
        <is>
          <t>99–101</t>
        </is>
      </c>
      <c r="F611" t="inlineStr">
        <is>
          <t>High</t>
        </is>
      </c>
      <c r="G611" t="inlineStr">
        <is>
          <t>High (explicit)</t>
        </is>
      </c>
      <c r="H611" s="11" t="inlineStr">
        <is>
          <t>Cross-border Transfer, International Processing, Data Storage</t>
        </is>
      </c>
      <c r="I611" s="11" t="inlineStr">
        <is>
          <t>Financial Data</t>
        </is>
      </c>
      <c r="J611" t="inlineStr">
        <is>
          <t>AML/CTF Rules</t>
        </is>
      </c>
      <c r="K611" s="11" t="inlineStr">
        <is>
          <t>This section defines reporting groups and business groups for regulatory purposes. A reporting group consists of a business group meeting specific conditions or a group of persons who have elected to be members. Business groups are defined as groups where one person controls others or meets AML/CTF Rules requirements. These definitions impact how cross-border financial services are regulated.</t>
        </is>
      </c>
      <c r="L611" s="11" t="inlineStr">
        <is>
          <t>This section defines reporting groups and business groups, which are critical for determining the scope of cross-border data transfers involving financial services and regulatory compliance.</t>
        </is>
      </c>
      <c r="M611" s="11" t="inlineStr">
        <is>
          <t>• [Must] A reporting group is a business group where at least one person provides a designated service
• [Must] A reporting group is a business group where each member satisfies conditions specified in the AML/CTF Rules
• [Must] A reporting group is a business group where the group is not ineligible under the AML/CTF Rules</t>
        </is>
      </c>
      <c r="N611" s="11" t="inlineStr">
        <is>
          <t>• [Must] A reporting group is a group of 2 or more persons where each member has elected to be a member
• [Must] A business group is a group of 2 or more persons where one person controls others
• [Must] A business group is a group of 2 or more persons meeting AML/CTF Rules requirements</t>
        </is>
      </c>
      <c r="O611" s="11" t="inlineStr">
        <is>
          <t>81 Compilation Members of reporting groups and business groups (4) Each person in a reporting group or a business group is a member of that group. Lead entity of a reporting group (5) The lead entity of a reporting group means the person in the group that is specified in the AML/CTF Rules as the lead entity for the reporting group. 11 Meaning of control (1) Control, of a body corporate, is: (a) having the capacity to cast, or control the casting of, more than one half of the maximum number of votes that might be cast at a general meeting of the body corporate; or (b) directly or indirectly holding more than one half of the issued share capital of the body corporate (not including any part of the issued share capital that carries no right to participate beyond a specified amount in a distribution of either profits or capital, and not including mutual capital instruments within the meaning of section 167AD of the Corporations Act 2001); or (c) having the capacity to control the composition of the body corporate's board or governing body; or (d) having the capacity to determine the outcome of decisions about the body corporate's financial and operating policies, taking into account: (i) the practical influence that can be exerted (rather than the rights that can be enforced); and (ii) any practice or pattern of behaviour affecting the body corporate's financial or operating policies (whether or not it involves a breach of an agreement or a breach of trust). (2) Control, of a person other than a body corporate, is: (a) having the capacity to control the composition of the person's board or governing body (if any); or (b) having the capacity to determine the outcome of decisions about the person's financial and operating policies, taking into account: (i) the practical influence that can be exerted (rather than the rights that can be enforced); and (ii) any practice or pattern of behaviour affecting the person's financial or operating policies (whether or not it involves a breach of an agreement or a breach of trust).</t>
        </is>
      </c>
      <c r="P611" s="12" t="n">
        <v>13</v>
      </c>
    </row>
    <row r="612">
      <c r="A612" t="inlineStr">
        <is>
          <t>Australia</t>
        </is>
      </c>
      <c r="B612" t="inlineStr">
        <is>
          <t>C2026C00220 (Australia - Row 2)</t>
        </is>
      </c>
      <c r="C612" t="inlineStr">
        <is>
          <t>83</t>
        </is>
      </c>
      <c r="D612" s="11" t="inlineStr">
        <is>
          <t>Residency definitions for entities</t>
        </is>
      </c>
      <c r="E612" t="inlineStr">
        <is>
          <t>101–103</t>
        </is>
      </c>
      <c r="F612" t="inlineStr">
        <is>
          <t>High</t>
        </is>
      </c>
      <c r="G612" t="inlineStr">
        <is>
          <t>High (explicit)</t>
        </is>
      </c>
      <c r="H612" s="11" t="inlineStr">
        <is>
          <t>Cross-border Transfer, International Processing, Data Storage</t>
        </is>
      </c>
      <c r="I612" s="11" t="inlineStr">
        <is>
          <t>Financial Data</t>
        </is>
      </c>
      <c r="J612" t="inlineStr">
        <is>
          <t>AML/CTF Rules</t>
        </is>
      </c>
      <c r="K612" s="11" t="inlineStr">
        <is>
          <t>This section defines residency for individuals, companies, trusts, partnerships, and corporations sole. Residency is determined based on ordinary residence for individuals, incorporation for companies, trustee residency for trusts, and partner residency for partnerships. These definitions are critical for determining the geographical scope of regulatory compliance for cross-border financial services.</t>
        </is>
      </c>
      <c r="L612" s="11" t="inlineStr">
        <is>
          <t>This section defines residency for various entities, which is essential for determining the geographical scope of cross-border data transfers and regulatory compliance.</t>
        </is>
      </c>
      <c r="M612" s="11" t="inlineStr">
        <is>
          <t>• [Must] An individual is a resident of a country if they are ordinarily resident in that country
• [Must] A company is a resident of a country if it is incorporated in that country
• [Must] A company is a resident of a country if an individual controls it and that individual is a resident of the country
• [Must] A trust is a resident of a country if the trustee is a resident of that country</t>
        </is>
      </c>
      <c r="N612" s="11" t="inlineStr">
        <is>
          <t>• [Must] A trust is a resident of a country if an individual controls it and that individual is a resident of the country
• [Must] A trust is a resident of a country if a person benefits from it and that person is a resident of the country
• [Must] A partnership is a resident of a country if a partner is a resident of that country
• [Must] A corporation sole is a resident of a country if it was established in that country</t>
        </is>
      </c>
      <c r="O612" s="11" t="inlineStr">
        <is>
          <t>83 Compilation 14 Residency Individual (1) For the purposes of this Act, an individual (including an individual in the capacity of trustee) is a resident of a particular country if, and only if, the individual is ordinarily resident in that country. Note: See also subsections (7), (8) and (9). Company (2) For the purposes of this Act, a company (including a company in the capacity of trustee) is a resident of a particular country if, and only if: (a) the company is incorporated in that country; or (b) both: (i) an individual controls the company; and (ii) the individual is a resident of that country. Trust (3) For the purposes of this Act, a trust is a resident of a particular country if, and only if: (a) the trustee, or any of the trustees, is a resident of that country; or (b) both: (i) an individual controls the trust; and (ii) the individual is a resident of that country; or (c) both: (i) a person benefits or is capable (whether by the exercise of a power of appointment or otherwise) of benefiting under the trust, either directly or through any interposed companies, partnerships or trusts; and (ii) the person is a resident of that country. Partnership (4) For the purposes of this Act, a partnership is a resident of a particular country if, and only if, a partner is a resident of that country. Corporation sole (5) For the purposes of this Act, a corporation sole is a resident of a particular country if, and only if, the corporation sole was established in that country. Body politic (6) For the purposes of this Act, a body politic of, or of a part of, a particular country is a resident of that country.</t>
        </is>
      </c>
      <c r="P612" s="12" t="n">
        <v>13</v>
      </c>
    </row>
    <row r="613">
      <c r="A613" t="inlineStr">
        <is>
          <t>Australia</t>
        </is>
      </c>
      <c r="B613" t="inlineStr">
        <is>
          <t>C2026C00220 (Australia - Row 2)</t>
        </is>
      </c>
      <c r="C613" t="inlineStr">
        <is>
          <t>85</t>
        </is>
      </c>
      <c r="D613" s="11" t="inlineStr">
        <is>
          <t>Electronic communications and negotiable instruments</t>
        </is>
      </c>
      <c r="E613" t="inlineStr">
        <is>
          <t>103–105</t>
        </is>
      </c>
      <c r="F613" t="inlineStr">
        <is>
          <t>High</t>
        </is>
      </c>
      <c r="G613" t="inlineStr">
        <is>
          <t>High (explicit)</t>
        </is>
      </c>
      <c r="H613" s="11" t="inlineStr"/>
      <c r="I613" s="11" t="inlineStr">
        <is>
          <t>Financial Data</t>
        </is>
      </c>
      <c r="J613" t="inlineStr"/>
      <c r="K613" s="11" t="inlineStr">
        <is>
          <t>This section defines electronic communications and negotiable instruments for regulatory purposes. It states that electronic communications do not affect the application of the Act, and specifies that bearer negotiable instruments include cheques, promissory notes, bearer bonds, traveller's cheques, money orders, and similar orders. These definitions are critical for understanding how financial transactions are classified and regulated.</t>
        </is>
      </c>
      <c r="L613" s="11" t="inlineStr">
        <is>
          <t>This section provides definitions for electronic communications and negotiable instruments, which are essential for classifying financial data and determining regulatory compliance for cross-border transactions.</t>
        </is>
      </c>
      <c r="M613" s="11" t="inlineStr">
        <is>
          <t>• [Must] Electronic communications do not affect the application of the Act
• [Must] A bearer negotiable instrument includes a cheque
• [Must] A bearer negotiable instrument includes a promissory note
• [Must] A bearer negotiable instrument includes a bearer bond</t>
        </is>
      </c>
      <c r="N613" s="11" t="inlineStr">
        <is>
          <t>• [Must] A bearer negotiable instrument includes a traveller's cheque
• [Must] A bearer negotiable instrument includes a money order, postal order or similar order
• [Must] A bearer negotiable instrument includes a negotiable instrument not covered by the above</t>
        </is>
      </c>
      <c r="O613" s="11" t="inlineStr">
        <is>
          <t>85 Compilation 16 Electronic communications (1) Unless the contrary intention appears, in determining the application of a provision of this Act, it is immaterial whether any act or thing is or was done wholly or partly by means of one or more electronic communications. (2) Subsection (1) is enacted for the avoidance of doubt.</t>
        </is>
      </c>
      <c r="P613" s="12" t="n">
        <v>13</v>
      </c>
    </row>
    <row r="614">
      <c r="A614" t="inlineStr">
        <is>
          <t>Australia</t>
        </is>
      </c>
      <c r="B614" t="inlineStr">
        <is>
          <t>C2026C00220 (Australia - Row 2)</t>
        </is>
      </c>
      <c r="C614" t="inlineStr">
        <is>
          <t>87</t>
        </is>
      </c>
      <c r="D614" s="11" t="inlineStr">
        <is>
          <t>Definition of officials in Commonwealth, State or Territory agencies</t>
        </is>
      </c>
      <c r="E614" t="inlineStr">
        <is>
          <t>105–107</t>
        </is>
      </c>
      <c r="F614" t="inlineStr">
        <is>
          <t>None</t>
        </is>
      </c>
      <c r="G614" t="inlineStr">
        <is>
          <t>High (explicit)</t>
        </is>
      </c>
      <c r="H614" s="11" t="inlineStr"/>
      <c r="I614" s="11" t="inlineStr"/>
      <c r="J614" t="inlineStr"/>
      <c r="K614" s="11" t="inlineStr">
        <is>
          <t>This section defines who constitutes an official of a Commonwealth, State, or Territory agency for the purposes of the Act. It includes heads, members, staff, officers, employees, and individuals under the head's direction, as well as legal practitioners and authorized persons in royal commissions. The definition also specifies that royal commissions include legal practitioners appointed to assist the Commission and persons authorized under subsection (3).</t>
        </is>
      </c>
      <c r="L614" s="11" t="inlineStr"/>
      <c r="M614" s="11" t="inlineStr">
        <is>
          <t>• [Must] The head (however described) of the Commonwealth, State or Territory agency
• [Must] A member or acting member of the Commonwealth, State or Territory agency
• [Must] A member of the staff of the Commonwealth, State or Territory agency
• [Must] An officer or employee of the Commonwealth, State or Territory agency</t>
        </is>
      </c>
      <c r="N614" s="11" t="inlineStr">
        <is>
          <t>• [Must] An individual under the head (however described) of the Commonwealth, State or Territory agency
• [Must] An individual taken to be an official under the AML/CTF Rules
• [Must] A legal practitioner (however described) appointed to assist the Commission
• [Must] A person authorized under subsection (3)</t>
        </is>
      </c>
      <c r="O614" s="11" t="inlineStr">
        <is>
          <t>87 (1) For the purposes of this Act, an official of a Commonwealth, State or Territory agency covered by paragraph (a), (b), (c), (d), (e), (f), (g), (h), (i) or (j) of the definition of Commonwealth, State or Territory agency in section 5 is: (a) the head (however described) of the Commonwealth, State or Territory agency; or (b) a member or acting member of the Commonwealth, State or Territory agency; or (c) a member of the staff of the Commonwealth, State or Territory agency; or (d) an officer or employee of the Commonwealth, State or Territory agency; or (e) an officer, employee or other individual under the direction of the head (however described) of the Commonwealth, State or Territory agency; or (f) an individual who, under the AML/CTF Rules, is taken to be an official of the Commonwealth, State or Territory agency for the purposes of this Act; and, in the case of a Commonwealth Royal Commission or a State/Territory Royal Commission, includes the following: (g) a legal practitioner (however described) appointed to assist the Commission; (h) a person authorised under subsection (3).</t>
        </is>
      </c>
      <c r="P614" s="12" t="n">
        <v>13</v>
      </c>
    </row>
    <row r="615">
      <c r="A615" t="inlineStr">
        <is>
          <t>Australia</t>
        </is>
      </c>
      <c r="B615" t="inlineStr">
        <is>
          <t>C2026C00220 (Australia - Row 2)</t>
        </is>
      </c>
      <c r="C615" t="inlineStr">
        <is>
          <t>89</t>
        </is>
      </c>
      <c r="D615" s="11" t="inlineStr">
        <is>
          <t>Extension of the Act to external territories</t>
        </is>
      </c>
      <c r="E615" t="inlineStr">
        <is>
          <t>107–108</t>
        </is>
      </c>
      <c r="F615" t="inlineStr">
        <is>
          <t>None</t>
        </is>
      </c>
      <c r="G615" t="inlineStr">
        <is>
          <t>High (explicit)</t>
        </is>
      </c>
      <c r="H615" s="11" t="inlineStr"/>
      <c r="I615" s="11" t="inlineStr"/>
      <c r="J615" t="inlineStr"/>
      <c r="K615" s="11" t="inlineStr">
        <is>
          <t>This section states that the Act extends to every external territory of Australia. It does not specify any conditions or exceptions for this extension, making it a straightforward territorial application provision.</t>
        </is>
      </c>
      <c r="L615" s="11" t="inlineStr"/>
      <c r="M615" s="11" t="inlineStr">
        <is>
          <t>• [Must] This Act extends to every external Territory</t>
        </is>
      </c>
      <c r="N615" s="11" t="inlineStr"/>
      <c r="O615" s="11" t="inlineStr">
        <is>
          <t>89 This Act extends to every external Territory.</t>
        </is>
      </c>
      <c r="P615" s="12" t="n">
        <v>13</v>
      </c>
    </row>
    <row r="616">
      <c r="A616" t="inlineStr">
        <is>
          <t>Australia</t>
        </is>
      </c>
      <c r="B616" t="inlineStr">
        <is>
          <t>C2026C00220 (Australia - Row 2)</t>
        </is>
      </c>
      <c r="C616" t="inlineStr">
        <is>
          <t>90</t>
        </is>
      </c>
      <c r="D616" s="11" t="inlineStr">
        <is>
          <t>Simplified outline of AML/CTF programs</t>
        </is>
      </c>
      <c r="E616" t="inlineStr">
        <is>
          <t>108–109</t>
        </is>
      </c>
      <c r="F616" t="inlineStr">
        <is>
          <t>High</t>
        </is>
      </c>
      <c r="G616" t="inlineStr">
        <is>
          <t>High (explicit)</t>
        </is>
      </c>
      <c r="H616" s="11" t="inlineStr"/>
      <c r="I616" s="11" t="inlineStr">
        <is>
          <t>Financial Data</t>
        </is>
      </c>
      <c r="J616" t="inlineStr">
        <is>
          <t>AUSTRAC</t>
        </is>
      </c>
      <c r="K616" s="11" t="inlineStr">
        <is>
          <t>This section provides a simplified outline of what constitutes an AML/CTF program for reporting entities. It requires that an AML/CTF program includes a ML/TF risk assessment and AML/CTF policies that are appropriate to the entity's business size, complexity, and nature. The program must be managed by the governing body and include a compliance officer with oversight responsibilities.</t>
        </is>
      </c>
      <c r="L616" s="11" t="inlineStr"/>
      <c r="M616" s="11" t="inlineStr">
        <is>
          <t>• [Must] A reporting entity must have and comply with an AML/CTF program
• [Must] An AML/CTF program comprises the reporting entity's ML/TF risk assessment and AML/CTF policies
• [Must] The ML/TF risk assessment is an assessment of the risks of money laundering, financing of terrorism and proliferation financing
• [Must] The AML/CTF policies must appropriately manage and mitigate those risks</t>
        </is>
      </c>
      <c r="N616" s="11" t="inlineStr">
        <is>
          <t>• [Must] The AML/CTF program must be appropriate to the nature, size and complexity of the reporting entity's business
• [Must] For a lead entity of a reporting group, the program must be appropriate to the business of each reporting entity in the group
• [Must] The governing body has responsibilities relating to the AML/CTF program
• [Must] The reporting entity must have an AML/CTF compliance officer</t>
        </is>
      </c>
      <c r="O616" s="11" t="inlineStr">
        <is>
          <t>26A A reporting entity must have and comply with an AML/CTF program. An AML/CTF program comprises the reporting entity's ML/TF risk assessment and AML/CTF policies.</t>
        </is>
      </c>
      <c r="P616" s="12" t="n">
        <v>13</v>
      </c>
    </row>
    <row r="617">
      <c r="A617" t="inlineStr">
        <is>
          <t>Australia</t>
        </is>
      </c>
      <c r="B617" t="inlineStr">
        <is>
          <t>C2026C00220 (Australia - Row 2)</t>
        </is>
      </c>
      <c r="C617" t="inlineStr">
        <is>
          <t>91</t>
        </is>
      </c>
      <c r="D617" s="11" t="inlineStr">
        <is>
          <t>Definition of AML/CTF program</t>
        </is>
      </c>
      <c r="E617" t="inlineStr">
        <is>
          <t>109–110</t>
        </is>
      </c>
      <c r="F617" t="inlineStr">
        <is>
          <t>High</t>
        </is>
      </c>
      <c r="G617" t="inlineStr">
        <is>
          <t>High (explicit)</t>
        </is>
      </c>
      <c r="H617" s="11" t="inlineStr"/>
      <c r="I617" s="11" t="inlineStr">
        <is>
          <t>Financial Data</t>
        </is>
      </c>
      <c r="J617" t="inlineStr">
        <is>
          <t>AUSTRAC</t>
        </is>
      </c>
      <c r="K617" s="11" t="inlineStr">
        <is>
          <t>This section defines what constitutes an AML/CTF program for a reporting entity. It specifies that an AML/CTF program consists of the reporting entity's ML/TF risk assessment and AML/CTF policies. This definition is critical for understanding the components required for compliance with the Act.</t>
        </is>
      </c>
      <c r="L617" s="11" t="inlineStr"/>
      <c r="M617" s="11" t="inlineStr">
        <is>
          <t>• [Must] An AML/CTF program of a reporting entity comprises: (a) the reporting entity's ML/TF risk assessment; and (b) the reporting entity's AML/CTF policies</t>
        </is>
      </c>
      <c r="N617" s="11" t="inlineStr"/>
      <c r="O617" s="11" t="inlineStr">
        <is>
          <t>91 An AML/CTF program of a reporting entity comprises: (a) the reporting entity's ML/TF risk assessment; and (b) the reporting entity's AML/CTF policies.</t>
        </is>
      </c>
      <c r="P617" s="12" t="n">
        <v>13</v>
      </c>
    </row>
    <row r="618">
      <c r="A618" t="inlineStr">
        <is>
          <t>Australia</t>
        </is>
      </c>
      <c r="B618" t="inlineStr">
        <is>
          <t>C2026C00220 (Australia - Row 2)</t>
        </is>
      </c>
      <c r="C618" t="inlineStr">
        <is>
          <t>92</t>
        </is>
      </c>
      <c r="D618" s="11" t="inlineStr">
        <is>
          <t>Reporting entities must undertake an ML/TF risk assessment</t>
        </is>
      </c>
      <c r="E618" t="inlineStr">
        <is>
          <t>110–111</t>
        </is>
      </c>
      <c r="F618" t="inlineStr">
        <is>
          <t>High</t>
        </is>
      </c>
      <c r="G618" t="inlineStr">
        <is>
          <t>High (explicit)</t>
        </is>
      </c>
      <c r="H618" s="11" t="inlineStr"/>
      <c r="I618" s="11" t="inlineStr">
        <is>
          <t>Financial Data</t>
        </is>
      </c>
      <c r="J618" t="inlineStr">
        <is>
          <t>AUSTRAC</t>
        </is>
      </c>
      <c r="K618" s="11" t="inlineStr">
        <is>
          <t>This section mandates that reporting entities must conduct an ML/TF risk assessment to identify and assess the risks of money laundering, financing of terrorism, and proliferation financing they may face in providing designated services. The assessment must be appropriate to the entity's business size, complexity, and nature, and must consider factors such as the types of services, customers, delivery channels, countries involved, and AUSTRAC communications.</t>
        </is>
      </c>
      <c r="L618" s="11" t="inlineStr"/>
      <c r="M618" s="11" t="inlineStr">
        <is>
          <t>• [Must] A reporting entity must undertake an assessment (an ML/TF risk assessment) that identifies and assesses the risks of money laundering, financing of terrorism and proliferation financing</t>
        </is>
      </c>
      <c r="N618" s="11" t="inlineStr">
        <is>
          <t>• [Must] The steps taken by a reporting entity in relation to undertaking the ML/TF risk assessment must be appropriate to the nature, size and complexity of the reporting entity's business</t>
        </is>
      </c>
      <c r="O618" s="11" t="inlineStr">
        <is>
          <t>26C A reporting entity must undertake an assessment (an ML/TF risk assessment) that identifies and assesses the risks of money laundering, financing of terrorism and proliferation financing that the reporting entity may reasonably face in providing its designated services.</t>
        </is>
      </c>
      <c r="P618" s="12" t="n">
        <v>13</v>
      </c>
    </row>
    <row r="619">
      <c r="A619" t="inlineStr">
        <is>
          <t>Australia</t>
        </is>
      </c>
      <c r="B619" t="inlineStr">
        <is>
          <t>C2026C00220 (Australia - Row 2)</t>
        </is>
      </c>
      <c r="C619" t="inlineStr">
        <is>
          <t>93</t>
        </is>
      </c>
      <c r="D619" s="11" t="inlineStr">
        <is>
          <t>Reporting entities must review and update ML/TF risk assessment</t>
        </is>
      </c>
      <c r="E619" t="inlineStr">
        <is>
          <t>111–112</t>
        </is>
      </c>
      <c r="F619" t="inlineStr">
        <is>
          <t>High</t>
        </is>
      </c>
      <c r="G619" t="inlineStr">
        <is>
          <t>High (explicit)</t>
        </is>
      </c>
      <c r="H619" s="11" t="inlineStr"/>
      <c r="I619" s="11" t="inlineStr">
        <is>
          <t>Financial Data</t>
        </is>
      </c>
      <c r="J619" t="inlineStr">
        <is>
          <t>AUSTRAC</t>
        </is>
      </c>
      <c r="K619" s="11" t="inlineStr">
        <is>
          <t>This section requires reporting entities to review and update their ML/TF risk assessments periodically to identify and assess new or changed risks. Reviews must occur at least once every three years, or when significant changes occur in the entity's business, AUSTRAC communications, or circumstances specified in the AML/CTF Rules.</t>
        </is>
      </c>
      <c r="L619" s="11" t="inlineStr"/>
      <c r="M619" s="11" t="inlineStr">
        <is>
          <t>• [Must] A reporting entity must review its ML/TF risk assessment for the purpose of identifying and assessing any new or changed risks of providing its designated services</t>
        </is>
      </c>
      <c r="N619" s="11" t="inlineStr">
        <is>
          <t>• [Must] The review must be undertaken at least once every 3 years</t>
        </is>
      </c>
      <c r="O619" s="11" t="inlineStr">
        <is>
          <t>26D A reporting entity must review its ML/TF risk assessment for the purpose of identifying and assessing any new or changed risks of providing its designated services: (a) if any of the following occur: (i) there is a significant change to any of the matters mentioned in subsection 26C(3); (ii) AUSTRAC communicates to the reporting entity information that identifies or assesses risks associated with the reporting entity's provision of its designated services; (iii) circumstances specified in the AML/CTF Rules; and (b) in any event—at least once every 3 years.</t>
        </is>
      </c>
      <c r="P619" s="12" t="n">
        <v>13</v>
      </c>
    </row>
    <row r="620">
      <c r="A620" t="inlineStr">
        <is>
          <t>Australia</t>
        </is>
      </c>
      <c r="B620" t="inlineStr">
        <is>
          <t>C2026C00220 (Australia - Row 2)</t>
        </is>
      </c>
      <c r="C620" t="inlineStr">
        <is>
          <t>94</t>
        </is>
      </c>
      <c r="D620" s="11" t="inlineStr">
        <is>
          <t>ML/TF risk assessment updates after reviews</t>
        </is>
      </c>
      <c r="E620" t="inlineStr">
        <is>
          <t>112–113</t>
        </is>
      </c>
      <c r="F620" t="inlineStr">
        <is>
          <t>High</t>
        </is>
      </c>
      <c r="G620" t="inlineStr">
        <is>
          <t>High (explicit)</t>
        </is>
      </c>
      <c r="H620" s="11" t="inlineStr">
        <is>
          <t>AML</t>
        </is>
      </c>
      <c r="I620" s="11" t="inlineStr">
        <is>
          <t>Financial Data</t>
        </is>
      </c>
      <c r="J620" t="inlineStr">
        <is>
          <t>Australian Financial Regulations</t>
        </is>
      </c>
      <c r="K620" s="11" t="inlineStr">
        <is>
          <t>Reporting entities must update their money laundering and terrorist financing risk assessments within specific timeframes following reviews. For significant changes within their control, updates must occur before the change happens. For other issues, updates must be completed as soon as practicable after the review. Non-compliance with these update requirements constitutes a contravention of the Act.</t>
        </is>
      </c>
      <c r="L620" s="11" t="inlineStr">
        <is>
          <t>Requires timely updates to risk assessments after internal reviews to ensure ongoing compliance with anti-money laundering and counter-terrorism financing obligations during data transfers and processing activities.</t>
        </is>
      </c>
      <c r="M620" s="11" t="inlineStr">
        <is>
          <t>• [Must] Reporting entity must update ML/TF risk assessment before significant change occurs</t>
        </is>
      </c>
      <c r="N620" s="11" t="inlineStr">
        <is>
          <t>• [Must] Reporting entity must update ML/TF risk assessment as soon as practicable after review completion</t>
        </is>
      </c>
      <c r="O620" s="11" t="inlineStr">
        <is>
          <t>A reporting entity must update its ML/TF risk assessment to address any issues identified by a review: (a) for a significant change that is within the control of the reporting entity—before the significant change occurs; or (b) in any other case—as soon as practicable after the review is completed.</t>
        </is>
      </c>
      <c r="P620" s="12" t="n">
        <v>13</v>
      </c>
    </row>
    <row r="621">
      <c r="A621" t="inlineStr">
        <is>
          <t>Australia</t>
        </is>
      </c>
      <c r="B621" t="inlineStr">
        <is>
          <t>C2026C00220 (Australia - Row 2)</t>
        </is>
      </c>
      <c r="C621" t="inlineStr">
        <is>
          <t>95</t>
        </is>
      </c>
      <c r="D621" s="11" t="inlineStr">
        <is>
          <t>AML/CTF policy development and maintenance</t>
        </is>
      </c>
      <c r="E621" t="inlineStr">
        <is>
          <t>113–114</t>
        </is>
      </c>
      <c r="F621" t="inlineStr">
        <is>
          <t>High</t>
        </is>
      </c>
      <c r="G621" t="inlineStr">
        <is>
          <t>High (explicit)</t>
        </is>
      </c>
      <c r="H621" s="11" t="inlineStr">
        <is>
          <t>AML</t>
        </is>
      </c>
      <c r="I621" s="11" t="inlineStr">
        <is>
          <t>Financial Data</t>
        </is>
      </c>
      <c r="J621" t="inlineStr">
        <is>
          <t>Australian Financial Regulations</t>
        </is>
      </c>
      <c r="K621" s="11" t="inlineStr">
        <is>
          <t>Reporting entities must develop and maintain comprehensive AML/CTF policies that address money laundering and terrorist financing risks, ensure compliance with the Act and regulations, and are appropriate to their business size and complexity. These policies must include customer due diligence, risk assessment updates, and regular reviews as specified in the AML/CTF Rules.</t>
        </is>
      </c>
      <c r="L621" s="11" t="inlineStr">
        <is>
          <t>Mandates specific AML/CTF policies that must be maintained to ensure compliance with international financial regulations during cross-border data transfers and processing activities.</t>
        </is>
      </c>
      <c r="M621" s="11" t="inlineStr">
        <is>
          <t>• [Must] Reporting entity must develop and maintain AML/CTF policies that manage money laundering and terrorist financing risks
• [Must] Reporting entity must ensure compliance with obligations imposed by the Act, regulations and AML/CTF Rules</t>
        </is>
      </c>
      <c r="N621" s="11" t="inlineStr">
        <is>
          <t>• [Must] AML/CTF policies must be appropriate to the nature, size and complexity of the reporting entity's business
• [Must] AML/CTF policies must comply with any requirements specified in the AML/CTF Rules</t>
        </is>
      </c>
      <c r="O621" s="11" t="inlineStr">
        <is>
          <t>A reporting entity must develop and maintain policies, procedures, systems and controls (AML/CTF policies) that: (a) appropriately manage and mitigate the risks of money that the reporting entity may reasonably face in providing its designated services; and (b) ensure the reporting entity complies with the obligations imposed by this Act, the regulations and the AML/CTF Rules on the reporting entity; and (c) are appropriate to the nature, size and complexity of the reporting entity's business; and (d) comply with any requirements specified in the AML/CTF Rules.</t>
        </is>
      </c>
      <c r="P621" s="12" t="n">
        <v>13</v>
      </c>
    </row>
    <row r="622">
      <c r="A622" t="inlineStr">
        <is>
          <t>Australia</t>
        </is>
      </c>
      <c r="B622" t="inlineStr">
        <is>
          <t>C2026C00220 (Australia - Row 2)</t>
        </is>
      </c>
      <c r="C622" t="inlineStr">
        <is>
          <t>96</t>
        </is>
      </c>
      <c r="D622" s="11" t="inlineStr">
        <is>
          <t>AML/CTF policy content requirements</t>
        </is>
      </c>
      <c r="E622" t="inlineStr">
        <is>
          <t>114–115</t>
        </is>
      </c>
      <c r="F622" t="inlineStr">
        <is>
          <t>High</t>
        </is>
      </c>
      <c r="G622" t="inlineStr">
        <is>
          <t>High (explicit)</t>
        </is>
      </c>
      <c r="H622" s="11" t="inlineStr">
        <is>
          <t>AML</t>
        </is>
      </c>
      <c r="I622" s="11" t="inlineStr">
        <is>
          <t>Financial Data</t>
        </is>
      </c>
      <c r="J622" t="inlineStr">
        <is>
          <t>Australian Financial Regulations</t>
        </is>
      </c>
      <c r="K622" s="11" t="inlineStr">
        <is>
          <t>AML/CTF policies must include specific elements such as identifying significant changes, conducting customer due diligence, reviewing policies in response to risk assessments, and ensuring regular reviews at least once every three years. These policies must also address the appointment of compliance officers, senior managers responsible for approvals, employee due diligence, and training requirements.</t>
        </is>
      </c>
      <c r="L622" s="11" t="inlineStr">
        <is>
          <t>Specifies detailed content requirements for AML/CTF policies that must be maintained to ensure robust compliance with anti-money laundering and counter-terrorism financing obligations during international data transfers.</t>
        </is>
      </c>
      <c r="M622" s="11" t="inlineStr">
        <is>
          <t>• [Must] AML/CTF policies must deal with identifying significant changes to matters mentioned in subsection 26C(3)
• [Must] AML/CTF policies must carry out customer due diligence in accordance with Part 2
• [Must] AML/CTF policies must review and update in response to ML/TF risk assessment reviews
• [Must] AML/CTF policies must review at least once every 3 years</t>
        </is>
      </c>
      <c r="N622" s="11" t="inlineStr">
        <is>
          <t>• [Must] AML/CTF policies must designate an AML/CTF compliance officer
• [Must] AML/CTF policies must designate senior managers responsible for approving AML/CTF policies and ML/TF risk assessments
• [Must] AML/CTF policies must undertake due diligence for employees performing relevant functions
• [Must] AML/CTF policies must provide training on money laundering risks and obligations</t>
        </is>
      </c>
      <c r="O622" s="11" t="inlineStr">
        <is>
          <t>Without limiting paragraph (1)(a), the AML/CTF policies of a reporting entity must deal with the following: (a) identifying significant changes to any of the matters mentioned in subsection 26C(3); (b) carrying out customer due diligence in accordance with Part 2; (c) reviewing and updating the AML/CTF policies in the following circumstances: (i) in response to a review of the reporting entity's ML/TF risk assessment under section 26D; (ii) circumstances specified in the AML/CTF Rules; (d) reviewing the AML/CTF policies of the reporting entity at the intervals or with the frequency specified in the AML/CTF Rules (and in any event at least once every 3 years); (e) any other matters specified in the AML/CTF Rules.</t>
        </is>
      </c>
      <c r="P622" s="12" t="n">
        <v>13</v>
      </c>
    </row>
    <row r="623">
      <c r="A623" t="inlineStr">
        <is>
          <t>Australia</t>
        </is>
      </c>
      <c r="B623" t="inlineStr">
        <is>
          <t>C2026C00220 (Australia - Row 2)</t>
        </is>
      </c>
      <c r="C623" t="inlineStr">
        <is>
          <t>97</t>
        </is>
      </c>
      <c r="D623" s="11" t="inlineStr">
        <is>
          <t>Reporting group information sharing requirements</t>
        </is>
      </c>
      <c r="E623" t="inlineStr">
        <is>
          <t>115–116</t>
        </is>
      </c>
      <c r="F623" t="inlineStr">
        <is>
          <t>High</t>
        </is>
      </c>
      <c r="G623" t="inlineStr">
        <is>
          <t>High (explicit)</t>
        </is>
      </c>
      <c r="H623" s="11" t="inlineStr">
        <is>
          <t>AML</t>
        </is>
      </c>
      <c r="I623" s="11" t="inlineStr">
        <is>
          <t>Financial Data</t>
        </is>
      </c>
      <c r="J623" t="inlineStr">
        <is>
          <t>Australian Financial Regulations</t>
        </is>
      </c>
      <c r="K623" s="11" t="inlineStr">
        <is>
          <t>Reporting entities that lead reporting groups must ensure appropriate information sharing between group members for customer due diligence, risk assessment, and compliance purposes. This includes identifying, assessing, and mitigating money laundering and terrorist financing risks across the group, as well as ensuring that obligations are discharged by members without duplication of efforts.</t>
        </is>
      </c>
      <c r="L623" s="11" t="inlineStr">
        <is>
          <t>Requires reporting entities to share information within reporting groups to ensure consistent compliance with anti-money laundering and counter-terrorism financing obligations across international data transfers and processing activities.</t>
        </is>
      </c>
      <c r="M623" s="11" t="inlineStr">
        <is>
          <t>• [Must] Lead entity must ensure appropriate sharing of information between reporting group members for customer due diligence</t>
        </is>
      </c>
      <c r="N623" s="11" t="inlineStr">
        <is>
          <t>• [Must] Lead entity must ensure appropriate sharing of information between reporting group members for risk assessment and mitigation</t>
        </is>
      </c>
      <c r="O623" s="11" t="inlineStr">
        <is>
          <t>Without limiting paragraph (1)(a), if a reporting entity is the lead entity of a reporting group, the AML/CTF policies of the reporting entity must deal with the following: (a) ensuring the appropriate sharing of information between members of the reporting group for the following purposes: (i) carrying out customer due diligence under Part 2; (ii) appropriately identifying, assessing, managing and mitigating the risks of money laundering, financing of terrorism and proliferation financing that each reporting entity that is a member of the reporting group may reasonably face in providing its designated services;</t>
        </is>
      </c>
      <c r="P623" s="12" t="n">
        <v>13</v>
      </c>
    </row>
    <row r="624">
      <c r="A624" t="inlineStr">
        <is>
          <t>Australia</t>
        </is>
      </c>
      <c r="B624" t="inlineStr">
        <is>
          <t>C2026C00220 (Australia - Row 2)</t>
        </is>
      </c>
      <c r="C624" t="inlineStr">
        <is>
          <t>98</t>
        </is>
      </c>
      <c r="D624" s="11" t="inlineStr">
        <is>
          <t>Reporting group information sharing implementation</t>
        </is>
      </c>
      <c r="E624" t="inlineStr">
        <is>
          <t>116–117</t>
        </is>
      </c>
      <c r="F624" t="inlineStr">
        <is>
          <t>High</t>
        </is>
      </c>
      <c r="G624" t="inlineStr">
        <is>
          <t>High (explicit)</t>
        </is>
      </c>
      <c r="H624" s="11" t="inlineStr">
        <is>
          <t>AML</t>
        </is>
      </c>
      <c r="I624" s="11" t="inlineStr">
        <is>
          <t>Financial Data</t>
        </is>
      </c>
      <c r="J624" t="inlineStr">
        <is>
          <t>Australian Financial Regulations</t>
        </is>
      </c>
      <c r="K624" s="11" t="inlineStr">
        <is>
          <t>Reporting entities that lead reporting groups must ensure information sharing between group members for compliance purposes, including specifying which obligations members can discharge, ensuring access to records demonstrating obligation discharge, and maintaining confidentiality of shared information to prevent contraventions of the Act.</t>
        </is>
      </c>
      <c r="L624" s="11" t="inlineStr">
        <is>
          <t>Requires reporting entities to implement specific information sharing mechanisms within reporting groups to ensure consistent compliance with anti-money laundering and counter-terrorism financing obligations during international data transfers.</t>
        </is>
      </c>
      <c r="M624" s="11" t="inlineStr">
        <is>
          <t>• [Must] Lead entity must ensure sharing of information between reporting group members for compliance purposes
• [Must] Lead entity must specify which members discharge which obligations</t>
        </is>
      </c>
      <c r="N624" s="11" t="inlineStr">
        <is>
          <t>• [Must] Lead entity must ensure each member has access to records demonstrating obligation discharge
• [Must] Lead entity must ensure confidentiality and appropriate use of shared information</t>
        </is>
      </c>
      <c r="O624" s="11" t="inlineStr">
        <is>
          <t>Without limiting paragraph (1)(b), if a reporting entity is the lead entity of a reporting group, the AML/CTF policies of the reporting entity must deal with the following: (a) ensuring the sharing of information between members of the reporting group that is necessary for the members of the reporting group who are reporting entities to comply with: (i) their obligations imposed by this Act, the regulations and the AML/CTF Rules; and (ii) the AML/CTF policies of the lead entity;</t>
        </is>
      </c>
      <c r="P624" s="12" t="n">
        <v>13</v>
      </c>
    </row>
    <row r="625">
      <c r="A625" t="inlineStr">
        <is>
          <t>Australia</t>
        </is>
      </c>
      <c r="B625" t="inlineStr">
        <is>
          <t>C2026C00220 (Australia - Row 2)</t>
        </is>
      </c>
      <c r="C625" t="inlineStr">
        <is>
          <t>99</t>
        </is>
      </c>
      <c r="D625" s="11" t="inlineStr">
        <is>
          <t>Reporting group compliance with AML/CTF policies</t>
        </is>
      </c>
      <c r="E625" t="inlineStr">
        <is>
          <t>117–118</t>
        </is>
      </c>
      <c r="F625" t="inlineStr">
        <is>
          <t>High</t>
        </is>
      </c>
      <c r="G625" t="inlineStr">
        <is>
          <t>High (explicit)</t>
        </is>
      </c>
      <c r="H625" s="11" t="inlineStr">
        <is>
          <t>AML</t>
        </is>
      </c>
      <c r="I625" s="11" t="inlineStr">
        <is>
          <t>Financial Data</t>
        </is>
      </c>
      <c r="J625" t="inlineStr">
        <is>
          <t>Australian Financial Regulations</t>
        </is>
      </c>
      <c r="K625" s="11" t="inlineStr">
        <is>
          <t>Reporting entities must comply with the AML/CTF policies of the lead entity in reporting groups. This includes ensuring that all members follow the lead entity's policies for compliance with the Act, regulations, and AML/CTF rules, as well as maintaining appropriate documentation for their obligations.</t>
        </is>
      </c>
      <c r="L625" s="11" t="inlineStr">
        <is>
          <t>Mandates that reporting entities within groups must comply with the lead entity's AML/CTF policies to ensure consistent application of anti-money laundering and counter-terrorism financing obligations across international data transfers.</t>
        </is>
      </c>
      <c r="M625" s="11" t="inlineStr">
        <is>
          <t>• [Must] Reporting entity must comply with AML/CTF policies of the lead entity in reporting groups</t>
        </is>
      </c>
      <c r="N625" s="11" t="inlineStr"/>
      <c r="O625" s="11" t="inlineStr">
        <is>
          <t>If a reporting entity is a member of a reporting group and is not the lead entity of the reporting group, the reporting entity must also comply with the AML/CTF policies of the lead entity of the reporting group that apply to the reporting entity.</t>
        </is>
      </c>
      <c r="P625" s="12" t="n">
        <v>13</v>
      </c>
    </row>
    <row r="626">
      <c r="A626" t="inlineStr">
        <is>
          <t>Australia</t>
        </is>
      </c>
      <c r="B626" t="inlineStr">
        <is>
          <t>C2026C00220 (Australia - Row 2)</t>
        </is>
      </c>
      <c r="C626" t="inlineStr">
        <is>
          <t>100</t>
        </is>
      </c>
      <c r="D626" s="11" t="inlineStr">
        <is>
          <t>AML/CTF policy compliance for reporting entities</t>
        </is>
      </c>
      <c r="E626" t="inlineStr">
        <is>
          <t>118–119</t>
        </is>
      </c>
      <c r="F626" t="inlineStr">
        <is>
          <t>High</t>
        </is>
      </c>
      <c r="G626" t="inlineStr">
        <is>
          <t>High (explicit)</t>
        </is>
      </c>
      <c r="H626" s="11" t="inlineStr">
        <is>
          <t>AML, Financial Data</t>
        </is>
      </c>
      <c r="I626" s="11" t="inlineStr">
        <is>
          <t>Financial Data</t>
        </is>
      </c>
      <c r="J626" t="inlineStr"/>
      <c r="K626" s="11" t="inlineStr">
        <is>
          <t>The lead entity of a reporting group must comply with its own AML/CTF policies. Subsections (1) and (2) are civil penalty provisions that apply to contraventions of this section.</t>
        </is>
      </c>
      <c r="L626" s="11" t="inlineStr"/>
      <c r="M626" s="11" t="inlineStr">
        <is>
          <t>• [Must] The lead entity of the reporting group must comply with its own AML/CTF policies</t>
        </is>
      </c>
      <c r="N626" s="11" t="inlineStr"/>
      <c r="O626" s="11" t="inlineStr">
        <is>
          <t>The lead entity of the reporting group must comply with its own AML/CTF policies under subsection (1).</t>
        </is>
      </c>
      <c r="P626" s="12" t="n">
        <v>13</v>
      </c>
    </row>
    <row r="627">
      <c r="A627" t="inlineStr">
        <is>
          <t>Australia</t>
        </is>
      </c>
      <c r="B627" t="inlineStr">
        <is>
          <t>C2026C00220 (Australia - Row 2)</t>
        </is>
      </c>
      <c r="C627" t="inlineStr">
        <is>
          <t>101</t>
        </is>
      </c>
      <c r="D627" s="11" t="inlineStr">
        <is>
          <t>Governing bodies' oversight of AML/CTF compliance</t>
        </is>
      </c>
      <c r="E627" t="inlineStr">
        <is>
          <t>119–120</t>
        </is>
      </c>
      <c r="F627" t="inlineStr">
        <is>
          <t>High</t>
        </is>
      </c>
      <c r="G627" t="inlineStr">
        <is>
          <t>High (explicit)</t>
        </is>
      </c>
      <c r="H627" s="11" t="inlineStr">
        <is>
          <t>AML, Financial Data</t>
        </is>
      </c>
      <c r="I627" s="11" t="inlineStr">
        <is>
          <t>Financial Data</t>
        </is>
      </c>
      <c r="J627" t="inlineStr"/>
      <c r="K627" s="11" t="inlineStr">
        <is>
          <t>Governing bodies must exercise ongoing oversight of a reporting entity's risk assessment and compliance with AML/CTF policies. They must take reasonable steps to ensure the entity identifies, assesses, manages and mitigates money laundering, terrorism financing and proliferation financing risks, and complies with relevant laws and policies.</t>
        </is>
      </c>
      <c r="L627" s="11" t="inlineStr"/>
      <c r="M627" s="11" t="inlineStr">
        <is>
          <t>• [Must] Exercise appropriate ongoing oversight of the reporting entity's identification and assessment of risk for ML/TF risk assessment
• [Must] Take reasonable steps to ensure the reporting entity is appropriately identifying, assessing, managing and mitigating money laundering, terrorism financing and proliferation financing risks</t>
        </is>
      </c>
      <c r="N627" s="11" t="inlineStr">
        <is>
          <t>• [Must] Take reasonable steps to ensure the reporting entity complies with AML/CTF policies, the Act, regulations and AML/CTF Rules</t>
        </is>
      </c>
      <c r="O627" s="11" t="inlineStr">
        <is>
          <t>The governing body of a reporting entity must: (a) exercise appropriate ongoing oversight of: (i) the reporting entity's identification and assessment of risk for the purposes of its ML/TF risk assessment; and (ii) the reporting entity's compliance with its AML/CTF policies, the Act, the regulations and the AML/CTF Rules; and (b) take reasonable steps to ensure that the reporting entity: (i) is appropriately identifying, assessing, managing and mitigating the risks of money laundering, financing of terrorism and proliferation financing that the reporting entity may reasonably face in providing its designated services; and (ii) is otherwise complying with its AML/CTF policies, the Act, the regulations and the AML/CTF Rules.</t>
        </is>
      </c>
      <c r="P627" s="12" t="n">
        <v>13</v>
      </c>
    </row>
    <row r="628">
      <c r="A628" t="inlineStr">
        <is>
          <t>Australia</t>
        </is>
      </c>
      <c r="B628" t="inlineStr">
        <is>
          <t>C2026C00220 (Australia - Row 2)</t>
        </is>
      </c>
      <c r="C628" t="inlineStr">
        <is>
          <t>102</t>
        </is>
      </c>
      <c r="D628" s="11" t="inlineStr">
        <is>
          <t>Designation of AML/CTF compliance officers</t>
        </is>
      </c>
      <c r="E628" t="inlineStr">
        <is>
          <t>120–121</t>
        </is>
      </c>
      <c r="F628" t="inlineStr">
        <is>
          <t>High</t>
        </is>
      </c>
      <c r="G628" t="inlineStr">
        <is>
          <t>High (explicit)</t>
        </is>
      </c>
      <c r="H628" s="11" t="inlineStr">
        <is>
          <t>AML, Financial Data</t>
        </is>
      </c>
      <c r="I628" s="11" t="inlineStr">
        <is>
          <t>Financial Data</t>
        </is>
      </c>
      <c r="J628" t="inlineStr"/>
      <c r="K628" s="11" t="inlineStr">
        <is>
          <t>Reporting entities must designate an individual as their AML/CTF compliance officer who is employed at management level, has sufficient authority and access to resources, and is a fit and proper person resident in Australia.</t>
        </is>
      </c>
      <c r="L628" s="11" t="inlineStr"/>
      <c r="M628" s="11" t="inlineStr">
        <is>
          <t>• [Must] Designate an individual as the AML/CTF compliance officer for the reporting entity
• [Must] Ensure the designated individual is employed or otherwise engaged by the reporting entity at management level
• [Must] Ensure the designated individual has sufficient authority, independence and access to resources and information</t>
        </is>
      </c>
      <c r="N628" s="11" t="inlineStr">
        <is>
          <t>• [Must] Ensure the designated individual is a resident of Australia
• [Must] Ensure the designated individual is a fit and proper person</t>
        </is>
      </c>
      <c r="O628" s="11" t="inlineStr">
        <is>
          <t>The reporting entity must designate an individual as the compliance officer (the AML/CTF compliance officer) for the AML/CTF compliance officers must have sufficient authority etc.</t>
        </is>
      </c>
      <c r="P628" s="12" t="n">
        <v>13</v>
      </c>
    </row>
    <row r="629">
      <c r="A629" t="inlineStr">
        <is>
          <t>Australia</t>
        </is>
      </c>
      <c r="B629" t="inlineStr">
        <is>
          <t>C2026C00220 (Australia - Row 2)</t>
        </is>
      </c>
      <c r="C629" t="inlineStr">
        <is>
          <t>103</t>
        </is>
      </c>
      <c r="D629" s="11" t="inlineStr">
        <is>
          <t>Civil penalties for AML/CTF compliance officer designation</t>
        </is>
      </c>
      <c r="E629" t="inlineStr">
        <is>
          <t>121–122</t>
        </is>
      </c>
      <c r="F629" t="inlineStr">
        <is>
          <t>High</t>
        </is>
      </c>
      <c r="G629" t="inlineStr">
        <is>
          <t>High (explicit)</t>
        </is>
      </c>
      <c r="H629" s="11" t="inlineStr">
        <is>
          <t>AML, Financial Data</t>
        </is>
      </c>
      <c r="I629" s="11" t="inlineStr">
        <is>
          <t>Financial Data</t>
        </is>
      </c>
      <c r="J629" t="inlineStr"/>
      <c r="K629" s="11" t="inlineStr">
        <is>
          <t>Failure to designate an eligible AML/CTF compliance officer within the required timeframe constitutes a contravention subject to civil penalties. The obligation continues until a compliant officer is designated or the entity ceases to be a reporting entity.</t>
        </is>
      </c>
      <c r="L629" s="11" t="inlineStr"/>
      <c r="M629" s="11" t="inlineStr">
        <is>
          <t>• [Must Not] A reporting entity contravenes this subsection if the reporting entity designates an individual as its AML/CTF compliance officer and the individual is not eligible under subsection (3) to be designated</t>
        </is>
      </c>
      <c r="N629" s="11" t="inlineStr"/>
      <c r="O629" s="11" t="inlineStr">
        <is>
          <t>A reporting entity contravenes this subsection if: (a) the reporting entity designates an individual as its AML/CTF compliance officer; and (b) the individual is not eligible under subsection (3) to be designated as the AML/CTF compliance officer for the reporting entity</t>
        </is>
      </c>
      <c r="P629" s="12" t="n">
        <v>13</v>
      </c>
    </row>
    <row r="630">
      <c r="A630" t="inlineStr">
        <is>
          <t>Australia</t>
        </is>
      </c>
      <c r="B630" t="inlineStr">
        <is>
          <t>C2026C00220 (Australia - Row 2)</t>
        </is>
      </c>
      <c r="C630" t="inlineStr">
        <is>
          <t>104</t>
        </is>
      </c>
      <c r="D630" s="11" t="inlineStr">
        <is>
          <t>AML/CTF compliance officer designation timelines</t>
        </is>
      </c>
      <c r="E630" t="inlineStr">
        <is>
          <t>122–123</t>
        </is>
      </c>
      <c r="F630" t="inlineStr">
        <is>
          <t>High</t>
        </is>
      </c>
      <c r="G630" t="inlineStr">
        <is>
          <t>High (explicit)</t>
        </is>
      </c>
      <c r="H630" s="11" t="inlineStr">
        <is>
          <t>AML, Financial Data</t>
        </is>
      </c>
      <c r="I630" s="11" t="inlineStr">
        <is>
          <t>Financial Data</t>
        </is>
      </c>
      <c r="J630" t="inlineStr"/>
      <c r="K630" s="11" t="inlineStr">
        <is>
          <t>Reporting entities must designate an AML/CTF compliance officer within 28 days of commencing a designated service or when an existing officer becomes ineligible. Failure to comply results in ongoing obligations until a compliant officer is designated or the entity ceases to be a reporting entity.</t>
        </is>
      </c>
      <c r="L630" s="11" t="inlineStr"/>
      <c r="M630" s="11" t="inlineStr">
        <is>
          <t>• [Must] Designate an individual as the AML/CTF compliance officer within 28 days after commencing a designated service</t>
        </is>
      </c>
      <c r="N630" s="11" t="inlineStr">
        <is>
          <t>• [Must] Designate another individual as the AML/CTF compliance officer within 28 days after an existing officer ceases to be eligible</t>
        </is>
      </c>
      <c r="O630" s="11" t="inlineStr">
        <is>
          <t>If: (a) a reporting entity commences to provide a designated service; and (b) an individual is not designated as the AML/CTF compliance officer for the reporting entity; the reporting entity must, no later than 28 days after the day on which the reporting entity commences to provide the designated service, designate an individual as the AML/CTF compliance officer for the reporting entity.</t>
        </is>
      </c>
      <c r="P630" s="12" t="n">
        <v>13</v>
      </c>
    </row>
    <row r="631">
      <c r="A631" t="inlineStr">
        <is>
          <t>Australia</t>
        </is>
      </c>
      <c r="B631" t="inlineStr">
        <is>
          <t>C2026C00220 (Australia - Row 2)</t>
        </is>
      </c>
      <c r="C631" t="inlineStr">
        <is>
          <t>105</t>
        </is>
      </c>
      <c r="D631" s="11" t="inlineStr">
        <is>
          <t>AML/CTF compliance officer notification to AUSTRAC</t>
        </is>
      </c>
      <c r="E631" t="inlineStr">
        <is>
          <t>123–124</t>
        </is>
      </c>
      <c r="F631" t="inlineStr">
        <is>
          <t>High</t>
        </is>
      </c>
      <c r="G631" t="inlineStr">
        <is>
          <t>High (explicit)</t>
        </is>
      </c>
      <c r="H631" s="11" t="inlineStr">
        <is>
          <t>AML, Financial Data</t>
        </is>
      </c>
      <c r="I631" s="11" t="inlineStr">
        <is>
          <t>Financial Data</t>
        </is>
      </c>
      <c r="J631" t="inlineStr">
        <is>
          <t>AUSTRAC</t>
        </is>
      </c>
      <c r="K631" s="11" t="inlineStr">
        <is>
          <t>Reporting entities must notify AUSTRAC of their designated AML/CTF compliance officer within 14 days of designation. The notice must be in the approved form and include required information and supporting documents.</t>
        </is>
      </c>
      <c r="L631" s="11" t="inlineStr"/>
      <c r="M631" s="11" t="inlineStr">
        <is>
          <t>• [Must] Notify AUSTRAC of the individual designated as the reporting entity's AML/CTF compliance officer within 14 days after designation
• [Must] Ensure the notice is in the approved form</t>
        </is>
      </c>
      <c r="N631" s="11" t="inlineStr">
        <is>
          <t>• [Must] Include required information and supporting documents with the notice</t>
        </is>
      </c>
      <c r="O631" s="11" t="inlineStr">
        <is>
          <t>A reporting entity must notify AUSTRAC of the individual who is designated as the reporting entity's AML/CTF compliance officer within 14 days after the individual is designated as the AML/CTF compliance officer for the reporting entity.</t>
        </is>
      </c>
      <c r="P631" s="12" t="n">
        <v>13</v>
      </c>
    </row>
    <row r="632">
      <c r="A632" t="inlineStr">
        <is>
          <t>Australia</t>
        </is>
      </c>
      <c r="B632" t="inlineStr">
        <is>
          <t>C2026C00220 (Australia - Row 2)</t>
        </is>
      </c>
      <c r="C632" t="inlineStr">
        <is>
          <t>106</t>
        </is>
      </c>
      <c r="D632" s="11" t="inlineStr">
        <is>
          <t>AML/CTF program documentation and approvals requirements</t>
        </is>
      </c>
      <c r="E632" t="inlineStr">
        <is>
          <t>124–125</t>
        </is>
      </c>
      <c r="F632" t="inlineStr">
        <is>
          <t>High</t>
        </is>
      </c>
      <c r="G632" t="inlineStr">
        <is>
          <t>High (explicit)</t>
        </is>
      </c>
      <c r="H632" s="11" t="inlineStr">
        <is>
          <t>AML, Cross-border Transfer, Data Storage, Financial Data, Governance</t>
        </is>
      </c>
      <c r="I632" s="11" t="inlineStr">
        <is>
          <t>Financial Data</t>
        </is>
      </c>
      <c r="J632" t="inlineStr">
        <is>
          <t>AUSTRAC</t>
        </is>
      </c>
      <c r="K632" s="11" t="inlineStr">
        <is>
          <t>Reporting entities must document their AML/CTF programs and related matters within specified periods. The documentation must include the AML/CTF program itself and any other matters specified in the AML/CTF Rules. Reporting entities must comply with these documentation requirements. The program may be documented together with a registered scheme's compliance plan if the entity is a responsible entity of a registered scheme.</t>
        </is>
      </c>
      <c r="L632" s="11" t="inlineStr">
        <is>
          <t>Requires documentation of AML/CTF programs for cross-border financial entities, impacting data transfer assessments for financial institutions handling money laundering risks.</t>
        </is>
      </c>
      <c r="M632" s="11" t="inlineStr">
        <is>
          <t>• [Must] A reporting entity must document its AML/CTF program within the period specified in the AML/CTF Rules
• [Must] A reporting entity must document any other matter relating to the AML/CTF program specified in the AML/CTF Rules</t>
        </is>
      </c>
      <c r="N632" s="11" t="inlineStr">
        <is>
          <t>• [Must] A reporting entity must comply with the documentation requirements
• [May] A reporting entity's AML/CTF program may be documented in the same document as the registered scheme's compliance plan</t>
        </is>
      </c>
      <c r="O632" s="11" t="inlineStr">
        <is>
          <t>A reporting entity must document the following, within the period (if any) specified in the AML/CTF Rules: (a) its AML/CTF program; (b) any other matter relating to the AML/CTF program of the reporting entity specified in the AML/CTF Rules.</t>
        </is>
      </c>
      <c r="P632" s="12" t="n">
        <v>13</v>
      </c>
    </row>
    <row r="633">
      <c r="A633" t="inlineStr">
        <is>
          <t>Australia</t>
        </is>
      </c>
      <c r="B633" t="inlineStr">
        <is>
          <t>C2026C00220 (Australia - Row 2)</t>
        </is>
      </c>
      <c r="C633" t="inlineStr">
        <is>
          <t>107</t>
        </is>
      </c>
      <c r="D633" s="11" t="inlineStr">
        <is>
          <t>AML/CTF documentation requests by AUSTRAC</t>
        </is>
      </c>
      <c r="E633" t="inlineStr">
        <is>
          <t>125–126</t>
        </is>
      </c>
      <c r="F633" t="inlineStr">
        <is>
          <t>High</t>
        </is>
      </c>
      <c r="G633" t="inlineStr">
        <is>
          <t>High (explicit)</t>
        </is>
      </c>
      <c r="H633" s="11" t="inlineStr">
        <is>
          <t>AML, Cross-border Transfer, Financial Data, Governance</t>
        </is>
      </c>
      <c r="I633" s="11" t="inlineStr">
        <is>
          <t>Financial Data</t>
        </is>
      </c>
      <c r="J633" t="inlineStr">
        <is>
          <t>AUSTRAC</t>
        </is>
      </c>
      <c r="K633" s="11" t="inlineStr">
        <is>
          <t>AUSTRAC CEO can request reporting entities to produce AML/CTF documentation within specified periods. Reporting entities must comply with such written notices. This section establishes the authority and procedure for AUSTRAC to request documentation from reporting entities.</t>
        </is>
      </c>
      <c r="L633" s="11" t="inlineStr">
        <is>
          <t>AUSTRAC's ability to request documentation affects data transfer assessments for financial entities, requiring compliance with documentation standards for cross-border financial data.</t>
        </is>
      </c>
      <c r="M633" s="11" t="inlineStr">
        <is>
          <t>• [May] AUSTRAC CEO may request a reporting entity to produce one or more documents required by subsection 26N(1) within the period specified in the notice</t>
        </is>
      </c>
      <c r="N633" s="11" t="inlineStr">
        <is>
          <t>• [Must] A reporting entity must comply with a written notice from AUSTRAC CEO</t>
        </is>
      </c>
      <c r="O633" s="11" t="inlineStr">
        <is>
          <t>The AUSTRAC CEO may, by written notice, request a reporting entity to produce one or more of the documents required by subsection 26N(1) within the period specified in the notice.</t>
        </is>
      </c>
      <c r="P633" s="12" t="n">
        <v>13</v>
      </c>
    </row>
    <row r="634">
      <c r="A634" t="inlineStr">
        <is>
          <t>Australia</t>
        </is>
      </c>
      <c r="B634" t="inlineStr">
        <is>
          <t>C2026C00220 (Australia - Row 2)</t>
        </is>
      </c>
      <c r="C634" t="inlineStr">
        <is>
          <t>108</t>
        </is>
      </c>
      <c r="D634" s="11" t="inlineStr">
        <is>
          <t>AUSTRAC's requirement for AML/CTF program updates</t>
        </is>
      </c>
      <c r="E634" t="inlineStr">
        <is>
          <t>126–127</t>
        </is>
      </c>
      <c r="F634" t="inlineStr">
        <is>
          <t>High</t>
        </is>
      </c>
      <c r="G634" t="inlineStr">
        <is>
          <t>High (explicit)</t>
        </is>
      </c>
      <c r="H634" s="11" t="inlineStr">
        <is>
          <t>AML, Cross-border Transfer, Financial Data, Governance</t>
        </is>
      </c>
      <c r="I634" s="11" t="inlineStr">
        <is>
          <t>Financial Data</t>
        </is>
      </c>
      <c r="J634" t="inlineStr">
        <is>
          <t>AUSTRAC</t>
        </is>
      </c>
      <c r="K634" s="11" t="inlineStr">
        <is>
          <t>If AUSTRAC CEO determines a reporting entity lacks an AML/CTF program, has outdated programs, or fails to properly manage risks, the entity must undertake risk assessments, update policies, and document these changes within a specified timeframe. This section mandates corrective actions for entities not meeting AML/CTF standards.</t>
        </is>
      </c>
      <c r="L634" s="11" t="inlineStr">
        <is>
          <t>Requires reporting entities to update AML/CTF programs when risks are identified, impacting data transfer assessments for financial institutions handling cross-border transactions.</t>
        </is>
      </c>
      <c r="M634" s="11" t="inlineStr">
        <is>
          <t>• [Must] If a reporting entity lacks an AML/CTF program, it must undertake and document an ML/TF risk assessment
• [Must] If a reporting entity has outdated AML/CTF programs, it must review and update the ML/TF risk assessment
• [Must] If a reporting entity's AML/CTF program does not appropriately identify, assess, manage or mitigate risks, it must develop and document AML/CTF policies</t>
        </is>
      </c>
      <c r="N634" s="11" t="inlineStr">
        <is>
          <t>• [Must] If a reporting entity's AML/CTF program does not appropriately identify, assess, manage or mitigate risks, it must review and update AML/CTF policies
• [Must] A reporting entity must provide documentation within a specified timeframe</t>
        </is>
      </c>
      <c r="O634" s="11" t="inlineStr">
        <is>
          <t>This section applies if the AUSTRAC CEO is satisfied that: (a) a reporting entity does not have an AML/CTF program; or (b) the AML/CTF program of a reporting entity is not up to date; or (c) the AML/CTF program of a reporting entity does not appropriately identify, assess, manage or mitigate the risk of providing its designated services.</t>
        </is>
      </c>
      <c r="P634" s="12" t="n">
        <v>13</v>
      </c>
    </row>
    <row r="635">
      <c r="A635" t="inlineStr">
        <is>
          <t>Australia</t>
        </is>
      </c>
      <c r="B635" t="inlineStr">
        <is>
          <t>C2026C00220 (Australia - Row 2)</t>
        </is>
      </c>
      <c r="C635" t="inlineStr">
        <is>
          <t>109</t>
        </is>
      </c>
      <c r="D635" s="11" t="inlineStr">
        <is>
          <t>AML/CTF program for remittance affiliates</t>
        </is>
      </c>
      <c r="E635" t="inlineStr">
        <is>
          <t>127–128</t>
        </is>
      </c>
      <c r="F635" t="inlineStr">
        <is>
          <t>High</t>
        </is>
      </c>
      <c r="G635" t="inlineStr">
        <is>
          <t>High (explicit)</t>
        </is>
      </c>
      <c r="H635" s="11" t="inlineStr">
        <is>
          <t>AML, Cross-border Transfer, Financial Data, Governance</t>
        </is>
      </c>
      <c r="I635" s="11" t="inlineStr">
        <is>
          <t>Financial Data</t>
        </is>
      </c>
      <c r="J635" t="inlineStr">
        <is>
          <t>AUSTRAC</t>
        </is>
      </c>
      <c r="K635" s="11" t="inlineStr">
        <is>
          <t>Registered remittance network providers must make their AML/CTF programs available to registered remittance affiliates. Remittance affiliates can undertake their own risk assessments and develop policies without violating this requirement, provided senior managers approve the network provider's risk assessments and policies.</t>
        </is>
      </c>
      <c r="L635" s="11" t="inlineStr">
        <is>
          <t>Requires remittance network providers to share AML/CTF programs with affiliates, impacting data transfer assessments for cross-border remittance services.</t>
        </is>
      </c>
      <c r="M635" s="11" t="inlineStr">
        <is>
          <t>• [Must] A registered remittance network provider must make available an AML/CTF program to its registered remittance affiliates
• [May] Remittance affiliates may undertake risk assessments for themselves</t>
        </is>
      </c>
      <c r="N635" s="11" t="inlineStr">
        <is>
          <t>• [May] Remittance affiliates may develop AML/CTF policies for themselves
• [Must] Senior managers of remittance affiliates must approve the network provider's ML/TF risk assessment and AML/CTF policies</t>
        </is>
      </c>
      <c r="O635" s="11" t="inlineStr">
        <is>
          <t>A reporting entity that is a registered remittance network provider must make available an AML/CTF program to its registered remittance affiliates.</t>
        </is>
      </c>
      <c r="P635" s="12" t="n">
        <v>13</v>
      </c>
    </row>
    <row r="636">
      <c r="A636" t="inlineStr">
        <is>
          <t>Australia</t>
        </is>
      </c>
      <c r="B636" t="inlineStr">
        <is>
          <t>C2026C00220 (Australia - Row 2)</t>
        </is>
      </c>
      <c r="C636" t="inlineStr">
        <is>
          <t>110</t>
        </is>
      </c>
      <c r="D636" s="11" t="inlineStr">
        <is>
          <t>Application of AML/CTF rules to financial services licensees</t>
        </is>
      </c>
      <c r="E636" t="inlineStr">
        <is>
          <t>128–129</t>
        </is>
      </c>
      <c r="F636" t="inlineStr">
        <is>
          <t>High</t>
        </is>
      </c>
      <c r="G636" t="inlineStr">
        <is>
          <t>High (explicit)</t>
        </is>
      </c>
      <c r="H636" s="11" t="inlineStr">
        <is>
          <t>AML, Cross-border Transfer, Financial Data, Governance</t>
        </is>
      </c>
      <c r="I636" s="11" t="inlineStr">
        <is>
          <t>Financial Data</t>
        </is>
      </c>
      <c r="J636" t="inlineStr">
        <is>
          <t>AUSTRAC</t>
        </is>
      </c>
      <c r="K636" s="11" t="inlineStr">
        <is>
          <t>This section applies to financial services licensees providing designated services covered by item 54 of table 1 in section 6. It modifies the application of AML/CTF policies to focus on customer due diligence and risk assessment for financial services. Certain provisions do not apply to these entities, including specific policy requirements and risk assessments.</t>
        </is>
      </c>
      <c r="L636" s="11" t="inlineStr">
        <is>
          <t>Defines how AML/CTF rules apply to financial services licensees, impacting data transfer assessments for cross-border financial data flows.</t>
        </is>
      </c>
      <c r="M636" s="11" t="inlineStr">
        <is>
          <t>• [Condition] This section applies if all designated services provided by a reporting entity are covered by item 54 of table 1 in section 6
• [Condition] Paragraph 26F(1)(a) applies as if it required policies, procedures, systems and controls for initial customer due diligence
• [Condition] Paragraph 26F(1)(b) applies as if it required policies, procedures, systems and controls appropriate to money laundering risks
• [Must Not] This Part does not apply to the reporting entity for paragraphs 26F(1)(b) and (3)(a) to (d) and subsection 26F(4)</t>
        </is>
      </c>
      <c r="N636" s="11" t="inlineStr">
        <is>
          <t>• [Must Not] This Part does not apply to the reporting entity for section 26H
• [Must Not] This Part does not apply to the reporting entity for subsection 26P(2)
• [Must Not] This Part does not apply to the reporting entity for Division 5</t>
        </is>
      </c>
      <c r="O636" s="11" t="inlineStr">
        <is>
          <t>This section applies if all of the designated services provided by a reporting entity are covered by item 54 of table 1 in section 6.</t>
        </is>
      </c>
      <c r="P636" s="12" t="n">
        <v>13</v>
      </c>
    </row>
    <row r="637">
      <c r="A637" t="inlineStr">
        <is>
          <t>Australia</t>
        </is>
      </c>
      <c r="B637" t="inlineStr">
        <is>
          <t>C2026C00220 (Australia - Row 2)</t>
        </is>
      </c>
      <c r="C637" t="inlineStr">
        <is>
          <t>111</t>
        </is>
      </c>
      <c r="D637" s="11" t="inlineStr">
        <is>
          <t>General exemptions for AML/CTF programs</t>
        </is>
      </c>
      <c r="E637" t="inlineStr">
        <is>
          <t>129–130</t>
        </is>
      </c>
      <c r="F637" t="inlineStr">
        <is>
          <t>High</t>
        </is>
      </c>
      <c r="G637" t="inlineStr">
        <is>
          <t>High (explicit)</t>
        </is>
      </c>
      <c r="H637" s="11" t="inlineStr">
        <is>
          <t>AML, Cross-border Transfer, Financial Data</t>
        </is>
      </c>
      <c r="I637" s="11" t="inlineStr">
        <is>
          <t>Financial Data</t>
        </is>
      </c>
      <c r="J637" t="inlineStr">
        <is>
          <t>AUSTRAC</t>
        </is>
      </c>
      <c r="K637" s="11" t="inlineStr">
        <is>
          <t>This Part does not apply to certain designated services, including those of a kind that are exempt from the AML/CTF program requirements. The exemptions cover specific types of services and activities that do not require the full application of the AML/CTF program.</t>
        </is>
      </c>
      <c r="L637" s="11" t="inlineStr">
        <is>
          <t>Provides exemptions for certain designated services from AML/CTF program requirements, which may impact data transfer assessments for specific financial services.</t>
        </is>
      </c>
      <c r="M637" s="11" t="inlineStr">
        <is>
          <t>• [Must Not] This Part does not apply to a designated service of a kind that is exempt</t>
        </is>
      </c>
      <c r="N637" s="11" t="inlineStr"/>
      <c r="O637" s="11" t="inlineStr">
        <is>
          <t>This Part does not apply to a designated service that is of a kind</t>
        </is>
      </c>
      <c r="P637" s="12" t="n">
        <v>13</v>
      </c>
    </row>
    <row r="638">
      <c r="A638" t="inlineStr">
        <is>
          <t>Australia</t>
        </is>
      </c>
      <c r="B638" t="inlineStr">
        <is>
          <t>C2026C00220 (Australia - Row 2)</t>
        </is>
      </c>
      <c r="C638" t="inlineStr">
        <is>
          <t>112</t>
        </is>
      </c>
      <c r="D638" s="11" t="inlineStr">
        <is>
          <t>Customer due diligence requirements for financial services</t>
        </is>
      </c>
      <c r="E638" t="inlineStr">
        <is>
          <t>130–131</t>
        </is>
      </c>
      <c r="F638" t="inlineStr">
        <is>
          <t>High</t>
        </is>
      </c>
      <c r="G638" t="inlineStr">
        <is>
          <t>High (explicit)</t>
        </is>
      </c>
      <c r="H638" s="11" t="inlineStr">
        <is>
          <t>Customer Information, KYC, AML</t>
        </is>
      </c>
      <c r="I638" s="11" t="inlineStr">
        <is>
          <t>Customer Data</t>
        </is>
      </c>
      <c r="J638" t="inlineStr"/>
      <c r="K638" s="11" t="inlineStr">
        <is>
          <t>Reporting entities must conduct initial and ongoing customer due diligence before and during providing designated services. Initial due diligence may be delayed in special cases, and simplified or enhanced due diligence applies based on risk levels. Pre-commencement customers require modified due diligence, and exemptions exist for specific circumstances.</t>
        </is>
      </c>
      <c r="L638" s="11" t="inlineStr">
        <is>
          <t>Requires establishing customer identity, risk assessment, and KYC information before service provision, impacting cross-border data transfers involving financial services.</t>
        </is>
      </c>
      <c r="M638" s="11" t="inlineStr">
        <is>
          <t>• [Must] A reporting entity must undertake initial customer due diligence before providing a designated service to a customer
• [Must] A reporting entity must undertake ongoing customer due diligence in relation to the provision by the reporting entity of designated services
• [May] Simplified customer due diligence may be undertaken in certain low risk circumstances as part of initial and ongoing customer due diligence</t>
        </is>
      </c>
      <c r="N638" s="11" t="inlineStr">
        <is>
          <t>• [Must] Enhanced customer due diligence must be undertaken in certain circumstances as part of initial and ongoing customer due diligence
• [Must] Certain pre-commencement customers are subject to modified customer due diligence
• [May] Exemptions from initial customer due diligence, and ongoing customer due diligence, apply in certain circumstances</t>
        </is>
      </c>
      <c r="O638" s="11" t="inlineStr">
        <is>
          <t>A reporting entity must undertake initial customer due diligence before providing a designated service to a customer. However, in special cases, initial customer due diligence may be carried out after the provision of the designated service.</t>
        </is>
      </c>
      <c r="P638" s="12" t="n">
        <v>13</v>
      </c>
    </row>
    <row r="639">
      <c r="A639" t="inlineStr">
        <is>
          <t>Australia</t>
        </is>
      </c>
      <c r="B639" t="inlineStr">
        <is>
          <t>C2026C00220 (Australia - Row 2)</t>
        </is>
      </c>
      <c r="C639" t="inlineStr">
        <is>
          <t>113</t>
        </is>
      </c>
      <c r="D639" s="11" t="inlineStr">
        <is>
          <t>Initial customer identity verification requirements</t>
        </is>
      </c>
      <c r="E639" t="inlineStr">
        <is>
          <t>131–132</t>
        </is>
      </c>
      <c r="F639" t="inlineStr">
        <is>
          <t>High</t>
        </is>
      </c>
      <c r="G639" t="inlineStr">
        <is>
          <t>High (explicit)</t>
        </is>
      </c>
      <c r="H639" s="11" t="inlineStr">
        <is>
          <t>Customer Information, KYC, AML</t>
        </is>
      </c>
      <c r="I639" s="11" t="inlineStr">
        <is>
          <t>Customer Data</t>
        </is>
      </c>
      <c r="J639" t="inlineStr"/>
      <c r="K639" s="11" t="inlineStr">
        <is>
          <t>Reporting entities must establish customer identity and related information before commencing services. This includes verifying identity, beneficial ownership, political exposure status, and business purpose. The entity must assess money laundering and terrorism financing risks based on available KYC information and verify information using reliable data sources.</t>
        </is>
      </c>
      <c r="L639" s="11" t="inlineStr">
        <is>
          <t>Requires detailed customer identity verification before data transfer initiation, impacting cross-border financial data flows with specific identity and risk assessment requirements.</t>
        </is>
      </c>
      <c r="M639" s="11" t="inlineStr">
        <is>
          <t>• [Must Not] A reporting entity must not commence to provide a designated service to a customer if the reporting entity has not established on reasonable grounds each of the matters in subsection (2) in relation to the customer
• [Must] The matters are: identity of customer, identity of person on behalf of customer, identity of person acting on behalf of customer with authority, beneficial owners of customer (if not individual), political exposure status, targeted sanctions status, business purpose, and other specified matters
• [Must] A reporting entity must take reasonable steps to establish that the customer is the person the customer claims to be</t>
        </is>
      </c>
      <c r="N639" s="11" t="inlineStr">
        <is>
          <t>• [Must] A reporting entity must identify the ML/TF risk of the customer based on KYC information reasonably available
• [Must] A reporting entity must collect KYC information appropriate to the ML/TF risk of the customer
• [Must] A reporting entity must verify KYC information using reliable and independent data</t>
        </is>
      </c>
      <c r="O639" s="11" t="inlineStr">
        <is>
          <t>A reporting entity must not commence to provide a designated service to a customer if the reporting entity has not established on reasonable grounds each of the matters in subsection (2) in relation to the customer.</t>
        </is>
      </c>
      <c r="P639" s="12" t="n">
        <v>13</v>
      </c>
    </row>
    <row r="640">
      <c r="A640" t="inlineStr">
        <is>
          <t>Australia</t>
        </is>
      </c>
      <c r="B640" t="inlineStr">
        <is>
          <t>C2026C00220 (Australia - Row 2)</t>
        </is>
      </c>
      <c r="C640" t="inlineStr">
        <is>
          <t>114</t>
        </is>
      </c>
      <c r="D640" s="11" t="inlineStr">
        <is>
          <t>Customer risk assessment and verification procedures</t>
        </is>
      </c>
      <c r="E640" t="inlineStr">
        <is>
          <t>132–133</t>
        </is>
      </c>
      <c r="F640" t="inlineStr">
        <is>
          <t>High</t>
        </is>
      </c>
      <c r="G640" t="inlineStr">
        <is>
          <t>High (explicit)</t>
        </is>
      </c>
      <c r="H640" s="11" t="inlineStr">
        <is>
          <t>Customer Information, KYC, AML</t>
        </is>
      </c>
      <c r="I640" s="11" t="inlineStr">
        <is>
          <t>Customer Data</t>
        </is>
      </c>
      <c r="J640" t="inlineStr"/>
      <c r="K640" s="11" t="inlineStr">
        <is>
          <t>Reporting entities must assess and verify customer risk levels for money laundering and terrorism financing. This includes identifying ML/TF risk based on available information, collecting relevant KYC data, and verifying information through reliable sources. Additional factors include the reporting entity's risk assessment, customer type, service types, delivery channels, and countries involved.</t>
        </is>
      </c>
      <c r="L640" s="11" t="inlineStr">
        <is>
          <t>Requires comprehensive risk assessment and verification of customer data before transfer, impacting cross-border financial data flows with specific risk evaluation and validation requirements.</t>
        </is>
      </c>
      <c r="M640" s="11" t="inlineStr">
        <is>
          <t>• [Must] A reporting entity must take reasonable steps to establish that the customer is the person the customer claims to be
• [Must] A reporting entity must identify the ML/TF risk of the customer based on KYC information reasonably available
• [Must] A reporting entity must collect KYC information appropriate to the ML/TF risk of the customer
• [Must] A reporting entity must verify KYC information using reliable and independent data</t>
        </is>
      </c>
      <c r="N640" s="11" t="inlineStr">
        <is>
          <t>• [Must] A reporting entity must take into account the reporting entity's ML/TF risk assessment when identifying customer ML/TF risk
• [Must] A reporting entity must consider the kind of customer, designated services, delivery channels, and countries involved when assessing customer ML/TF risk
• [May] A reporting entity may take into account matters specified in the AML/CTF Rules when identifying customer ML/TF risk</t>
        </is>
      </c>
      <c r="O640" s="11" t="inlineStr">
        <is>
          <t>A reporting entity must take into account the following matters when identifying the ML/TF risk of the customer for the purposes of paragraph (3)(b): the reporting entity's ML/TF risk assessment, the kind of customer, the kinds of designated services, delivery channels, countries with which the reporting entity deals, and matters specified in the AML/CTF Rules.</t>
        </is>
      </c>
      <c r="P640" s="12" t="n">
        <v>13</v>
      </c>
    </row>
    <row r="641">
      <c r="A641" t="inlineStr">
        <is>
          <t>Australia</t>
        </is>
      </c>
      <c r="B641" t="inlineStr">
        <is>
          <t>C2026C00220 (Australia - Row 2)</t>
        </is>
      </c>
      <c r="C641" t="inlineStr">
        <is>
          <t>115</t>
        </is>
      </c>
      <c r="D641" s="11" t="inlineStr">
        <is>
          <t>Exemptions for initial customer due diligence</t>
        </is>
      </c>
      <c r="E641" t="inlineStr">
        <is>
          <t>133–134</t>
        </is>
      </c>
      <c r="F641" t="inlineStr">
        <is>
          <t>High</t>
        </is>
      </c>
      <c r="G641" t="inlineStr">
        <is>
          <t>High (explicit)</t>
        </is>
      </c>
      <c r="H641" s="11" t="inlineStr">
        <is>
          <t>Customer Information, KYC, AML</t>
        </is>
      </c>
      <c r="I641" s="11" t="inlineStr">
        <is>
          <t>Customer Data</t>
        </is>
      </c>
      <c r="J641" t="inlineStr"/>
      <c r="K641" s="11" t="inlineStr">
        <is>
          <t>Reporting entities may commence services before completing initial customer due diligence under specific conditions. These include circumstances specified in AML/CTF Rules, determining that service commencement is essential to avoid business disruption, having AML/CTF policies to comply with due diligence, assessing low risk of additional ML/TF issues, implementing risk mitigation policies, and complying with specified timeframes.</t>
        </is>
      </c>
      <c r="L641" s="11" t="inlineStr">
        <is>
          <t>Allows temporary exemptions from initial due diligence for critical business continuity, but requires specific risk assessments and mitigation measures for cross-border data transfers.</t>
        </is>
      </c>
      <c r="M641" s="11" t="inlineStr">
        <is>
          <t>• [May] A reporting entity may commence to provide a designated service to a customer before the reporting entity complies with subsection 28(1) if circumstances specified in the AML/CTF Rules apply
• [Must] The reporting entity determines on reasonable grounds that commencing to provide the designated service is essential to avoid interrupting the ordinary course of business
• [Must] The reporting entity has AML/CTF policies to comply with subsection 28(1) as soon as reasonably practicable after commencing service</t>
        </is>
      </c>
      <c r="N641" s="11" t="inlineStr">
        <is>
          <t>• [Must] The reporting entity has AML/CTF policies to comply with subsection 28(1) within the period specified in the AML/CTF Rules
• [Must] The reporting entity determines on reasonable grounds that additional risk of ML/TF is low after commencing service
• [Must] The reporting entity implements AML/CTF policies to mitigate and manage associated risks</t>
        </is>
      </c>
      <c r="O641" s="11" t="inlineStr">
        <is>
          <t>Despite subsection 28(1), a reporting entity may commence to provide a designated service to a customer before the reporting entity complies with that subsection if: circumstances specified in the AML/CTF Rules apply; the reporting entity determines on reasonable grounds that commencing to provide the designated service is essential to avoid interrupting the ordinary course of business; and the reporting entity has AML/CTF policies to comply with subsection 28(1) in relation to the customer.</t>
        </is>
      </c>
      <c r="P641" s="12" t="n">
        <v>13</v>
      </c>
    </row>
    <row r="642">
      <c r="A642" t="inlineStr">
        <is>
          <t>Australia</t>
        </is>
      </c>
      <c r="B642" t="inlineStr">
        <is>
          <t>C2026C00220 (Australia - Row 2)</t>
        </is>
      </c>
      <c r="C642" t="inlineStr">
        <is>
          <t>116</t>
        </is>
      </c>
      <c r="D642" s="11" t="inlineStr">
        <is>
          <t>Ongoing customer monitoring requirements</t>
        </is>
      </c>
      <c r="E642" t="inlineStr">
        <is>
          <t>134–135</t>
        </is>
      </c>
      <c r="F642" t="inlineStr">
        <is>
          <t>High</t>
        </is>
      </c>
      <c r="G642" t="inlineStr">
        <is>
          <t>High (explicit)</t>
        </is>
      </c>
      <c r="H642" s="11" t="inlineStr">
        <is>
          <t>Customer Information, KYC, AML</t>
        </is>
      </c>
      <c r="I642" s="11" t="inlineStr">
        <is>
          <t>Customer Data</t>
        </is>
      </c>
      <c r="J642" t="inlineStr"/>
      <c r="K642" s="11" t="inlineStr">
        <is>
          <t>Reporting entities must monitor customers to identify, assess, manage and mitigate money laundering, terrorism financing and proliferation financing risks. This includes monitoring for unusual transactions, reviewing ML/TF risk assessments when significant changes occur, and periodically verifying KYC information based on risk levels.</t>
        </is>
      </c>
      <c r="L642" s="11" t="inlineStr">
        <is>
          <t>Requires continuous monitoring of customer activity for suspicious transactions, impacting cross-border data transfers with ongoing risk assessment and verification obligations.</t>
        </is>
      </c>
      <c r="M642" s="11" t="inlineStr">
        <is>
          <t>• [Must] A reporting entity must monitor its customers to identify, assess, manage and mitigate ML/TF risks
• [Must] A reporting entity must monitor for unusual transactions and behaviors that may give rise to suspicious matter reporting obligations</t>
        </is>
      </c>
      <c r="N642" s="11" t="inlineStr">
        <is>
          <t>• [Must] A reporting entity must review and update ML/TF risk assessments when significant changes occur
• [Must] A reporting entity must review and update KYC information at a frequency appropriate to the ML/TF risk of the customer</t>
        </is>
      </c>
      <c r="O642" s="11" t="inlineStr">
        <is>
          <t>A reporting entity must monitor its customers in relation to the provision of its designated services to appropriately identify, assess, manage and mitigate the risks of money laundering, financing of terrorism and proliferation financing that the reporting entity may reasonably face in providing designated services.</t>
        </is>
      </c>
      <c r="P642" s="12" t="n">
        <v>13</v>
      </c>
    </row>
    <row r="643">
      <c r="A643" t="inlineStr">
        <is>
          <t>Australia</t>
        </is>
      </c>
      <c r="B643" t="inlineStr">
        <is>
          <t>C2026C00220 (Australia - Row 2)</t>
        </is>
      </c>
      <c r="C643" t="inlineStr">
        <is>
          <t>118</t>
        </is>
      </c>
      <c r="D643" s="11" t="inlineStr">
        <is>
          <t>Ongoing customer due diligence triggers for high-risk customers</t>
        </is>
      </c>
      <c r="E643" t="inlineStr">
        <is>
          <t>136–137</t>
        </is>
      </c>
      <c r="F643" t="inlineStr">
        <is>
          <t>High</t>
        </is>
      </c>
      <c r="G643" t="inlineStr">
        <is>
          <t>High (explicit)</t>
        </is>
      </c>
      <c r="H643" s="11" t="inlineStr">
        <is>
          <t>Cross-border Transfer</t>
        </is>
      </c>
      <c r="I643" s="11" t="inlineStr">
        <is>
          <t>Financial Data</t>
        </is>
      </c>
      <c r="J643" t="inlineStr">
        <is>
          <t>Australian Transaction Reports and Analysis Centre (AUSTRAC)</t>
        </is>
      </c>
      <c r="K643" s="11" t="inlineStr">
        <is>
          <t>Reporting entities must monitor for significant changes in business relationships that could elevate a customer's money laundering or terrorist financing risk to medium or high levels. They must also verify KYC information when doubts arise about its adequacy or veracity. Additionally, reporting entities must comply with any other requirements specified in the AML/CTF Rules. These obligations apply to reporting entities engaged in designated services with customers.</t>
        </is>
      </c>
      <c r="L643" s="11" t="inlineStr">
        <is>
          <t>Requires ongoing monitoring of business relationships to detect risk escalation, triggering additional due diligence for high-risk customers during cross-border transactions.</t>
        </is>
      </c>
      <c r="M643" s="11" t="inlineStr">
        <is>
          <t>• [Must] Monitor for significant changes in the nature and purpose of the business relationship that may result in the ML/TF risk of the customer being medium or high
• [Must] Verify KYC information when doubts exist about its adequacy or veracity</t>
        </is>
      </c>
      <c r="N643" s="11" t="inlineStr">
        <is>
          <t>• [Must] Comply with any other requirements specified in the AML/CTF Rules</t>
        </is>
      </c>
      <c r="O643" s="11" t="inlineStr">
        <is>
          <t>118 (i) the reporting entity has doubts about the adequacy or veracity of the KYC information relating to the customer; (ii) circumstances specified in the AML/CTF Rules; and (d) if the reporting entity has a business relationship with a customer that is a pre-commencement customer—monitor for significant changes in the nature and purpose of the business relationship that may result in the ML/TF risk of the customer being medium or high; and (e) comply with any other requirements specified in the AML/CTF Rules.</t>
        </is>
      </c>
      <c r="P643" s="12" t="n">
        <v>13</v>
      </c>
    </row>
    <row r="644">
      <c r="A644" t="inlineStr">
        <is>
          <t>Australia</t>
        </is>
      </c>
      <c r="B644" t="inlineStr">
        <is>
          <t>C2026C00220 (Australia - Row 2)</t>
        </is>
      </c>
      <c r="C644" t="inlineStr">
        <is>
          <t>119</t>
        </is>
      </c>
      <c r="D644" s="11" t="inlineStr">
        <is>
          <t>Definition of unusual transactions for customer due diligence</t>
        </is>
      </c>
      <c r="E644" t="inlineStr">
        <is>
          <t>137–138</t>
        </is>
      </c>
      <c r="F644" t="inlineStr">
        <is>
          <t>High</t>
        </is>
      </c>
      <c r="G644" t="inlineStr">
        <is>
          <t>High (explicit)</t>
        </is>
      </c>
      <c r="H644" s="11" t="inlineStr"/>
      <c r="I644" s="11" t="inlineStr">
        <is>
          <t>Financial Data</t>
        </is>
      </c>
      <c r="J644" t="inlineStr">
        <is>
          <t>Australian Transaction Reports and Analysis Centre (AUSTRAC)</t>
        </is>
      </c>
      <c r="K644" s="11" t="inlineStr">
        <is>
          <t>Unusual transactions include unusually large or complex transactions, transactions that form part of an unusual pattern, transactions with no apparent economic purpose, and transactions inconsistent with the reporting entity's knowledge of the customer's background, business purpose, risk level, or source of funds. These definitions guide when enhanced due diligence is required for high-risk customers.</t>
        </is>
      </c>
      <c r="L644" s="11" t="inlineStr">
        <is>
          <t>Defines what constitutes unusual transactions to trigger enhanced due diligence for high-risk customers during cross-border data transfers.</t>
        </is>
      </c>
      <c r="M644" s="11" t="inlineStr">
        <is>
          <t>• [Must] Unusually large or complex transactions relating to the customer
• [Must] Transactions and behaviours that are part of an unusual pattern of transactions and behaviours relating to the customer</t>
        </is>
      </c>
      <c r="N644" s="11" t="inlineStr">
        <is>
          <t>• [Must] Transactions and behaviours that have no apparent economic or lawful purpose
• [Must] Transactions and behaviours inconsistent with what the reporting entity reasonably knows about the customer, business relationship, ML/TF risk, or source of funds</t>
        </is>
      </c>
      <c r="O644" s="11" t="inlineStr">
        <is>
          <t>119 (b) transactions and behaviours that are part of an unusual pattern of transactions and behaviours relating to the customer; (c) transactions and behaviours that have no apparent economic or lawful purpose; (d) transactions and behaviours that are inconsistent with what the reporting entity reasonably knows about any of the following: (i) the customer; (ii) the nature and purpose of the business relationship; (iii) the ML/TF risk of the customer; (iv) where relevant, the customer's source of funds or source of wealth.</t>
        </is>
      </c>
      <c r="P644" s="12" t="n">
        <v>13</v>
      </c>
    </row>
    <row r="645">
      <c r="A645" t="inlineStr">
        <is>
          <t>Australia</t>
        </is>
      </c>
      <c r="B645" t="inlineStr">
        <is>
          <t>C2026C00220 (Australia - Row 2)</t>
        </is>
      </c>
      <c r="C645" t="inlineStr">
        <is>
          <t>120</t>
        </is>
      </c>
      <c r="D645" s="11" t="inlineStr">
        <is>
          <t>Simplified and enhanced customer due diligence measures</t>
        </is>
      </c>
      <c r="E645" t="inlineStr">
        <is>
          <t>138–139</t>
        </is>
      </c>
      <c r="F645" t="inlineStr">
        <is>
          <t>High</t>
        </is>
      </c>
      <c r="G645" t="inlineStr">
        <is>
          <t>High (explicit)</t>
        </is>
      </c>
      <c r="H645" s="11" t="inlineStr"/>
      <c r="I645" s="11" t="inlineStr">
        <is>
          <t>Financial Data</t>
        </is>
      </c>
      <c r="J645" t="inlineStr">
        <is>
          <t>Australian Transaction Reports and Analysis Centre (AUSTRAC)</t>
        </is>
      </c>
      <c r="K645" s="11" t="inlineStr">
        <is>
          <t>Reporting entities may apply simplified customer due diligence measures if the customer's ML/TF risk is low and enhanced due diligence is not required. This section outlines the conditions under which simplified measures can be used, ensuring appropriate risk-based approaches for low-risk customers.</t>
        </is>
      </c>
      <c r="L645" s="11" t="inlineStr">
        <is>
          <t>Allows simplified due diligence for low-risk customers, reducing compliance burden while maintaining regulatory oversight.</t>
        </is>
      </c>
      <c r="M645" s="11" t="inlineStr">
        <is>
          <t>• [Must] The ML/TF risk of the customer is low
• [Must] Section 32 does not apply to the customer</t>
        </is>
      </c>
      <c r="N645" s="11" t="inlineStr">
        <is>
          <t>• [Must] The reporting entity complies with the requirements specified in the AML/CTF Rules</t>
        </is>
      </c>
      <c r="O645" s="11" t="inlineStr">
        <is>
          <t>120 In complying with the obligation imposed on a reporting entity under subsection 28(1) or 30(1) in relation to a customer, the reporting entity may apply simplified customer due diligence measures if: (a) the ML/TF risk of the customer is low; and (b) section 32 does not apply to the customer; and (c) the reporting entity complies with the requirements specified in the AML/CTF Rules.</t>
        </is>
      </c>
      <c r="P645" s="12" t="n">
        <v>13</v>
      </c>
    </row>
    <row r="646">
      <c r="A646" t="inlineStr">
        <is>
          <t>Australia</t>
        </is>
      </c>
      <c r="B646" t="inlineStr">
        <is>
          <t>C2026C00220 (Australia - Row 2)</t>
        </is>
      </c>
      <c r="C646" t="inlineStr">
        <is>
          <t>121</t>
        </is>
      </c>
      <c r="D646" s="11" t="inlineStr">
        <is>
          <t>Enhanced customer due diligence triggers for high-risk customers</t>
        </is>
      </c>
      <c r="E646" t="inlineStr">
        <is>
          <t>139–140</t>
        </is>
      </c>
      <c r="F646" t="inlineStr">
        <is>
          <t>High</t>
        </is>
      </c>
      <c r="G646" t="inlineStr">
        <is>
          <t>High (explicit)</t>
        </is>
      </c>
      <c r="H646" s="11" t="inlineStr"/>
      <c r="I646" s="11" t="inlineStr">
        <is>
          <t>Financial Data</t>
        </is>
      </c>
      <c r="J646" t="inlineStr">
        <is>
          <t>Australian Transaction Reports and Analysis Centre (AUSTRAC)</t>
        </is>
      </c>
      <c r="K646" s="11" t="inlineStr">
        <is>
          <t>Reporting entities must apply enhanced customer due diligence measures for customers with high ML/TF risk, suspicious matter reporting obligations, foreign politically exposed persons, individuals in high-risk jurisdictions, or nested services relationships. These triggers ensure robust risk management for high-risk customers.</t>
        </is>
      </c>
      <c r="L646" s="11" t="inlineStr">
        <is>
          <t>Requires enhanced due diligence for high-risk customers to mitigate cross-border money laundering and terrorist financing risks.</t>
        </is>
      </c>
      <c r="M646" s="11" t="inlineStr">
        <is>
          <t>• [Must] The ML/TF risk of the customer is high
• [Must] A suspicious matter reporting obligation arises for the reporting entity in relation to the customer
• [Must] The reporting entity proposes to continue to provide a designated service or designated services to the customer
• [Must] The customer, any beneficial owner of the customer, any person on whose behalf the customer is receiving the customer, is a foreign politically exposed person</t>
        </is>
      </c>
      <c r="N646" s="11" t="inlineStr">
        <is>
          <t>• [Must] The customer, any beneficial owner of the customer, any person on whose behalf the customer is receiving the customer, is an individual physically present in a high-risk jurisdiction
• [Must] The customer, any beneficial owner of the customer, any person on whose behalf the customer is receiving the customer, is a body corporate or legal arrangement formed in a high-risk jurisdiction
• [Must] The designated service provided or proposed to be provided to the customer is part of a nested services relationship
• [Must] The customer is of a kind specified in the AML/CTF Rules</t>
        </is>
      </c>
      <c r="O646" s="11" t="inlineStr">
        <is>
          <t>121 In complying with the obligation imposed on a reporting entity under subsection 28(1) or 30(1) in relation to a customer, the reporting entity must apply enhanced customer due diligence measures appropriate to the ML/TF risk of the customer if one or more of the following apply to the customer: (a) the ML/TF risk of the customer is high; (b) if: (i) a suspicious matter reporting obligation arises for the reporting entity in relation to the customer; and (ii) the reporting entity proposes to continue to provide a designated service or designated services to the customer; (c) the customer, any beneficial owner of the customer, any person on whose behalf the customer is receiving the customer, is a foreign politically exposed person; (d) the customer, any beneficial owner of the customer, any person on whose behalf the customer is receiving the customer, is: (i) an individual who is physically present in a high risk jurisdiction for which the international body known as the Financial Action Task Force has called for enhanced due diligence to be applied; or (ii) a body corporate or legal arrangement that was formed in a high risk jurisdiction for which the international body known as the Financial Action Task Force has called for enhanced due diligence to be applied; (e) the designated service provided or proposed to be provided to the customer is provided or proposed to be provided as part of a nested services relationship; (f) the customer is of a kind specified in the AML/CTF Rules.</t>
        </is>
      </c>
      <c r="P646" s="12" t="n">
        <v>13</v>
      </c>
    </row>
    <row r="647">
      <c r="A647" t="inlineStr">
        <is>
          <t>Australia</t>
        </is>
      </c>
      <c r="B647" t="inlineStr">
        <is>
          <t>C2026C00220 (Australia - Row 2)</t>
        </is>
      </c>
      <c r="C647" t="inlineStr">
        <is>
          <t>122</t>
        </is>
      </c>
      <c r="D647" s="11" t="inlineStr">
        <is>
          <t>Customer due diligence for high-risk jurisdictions</t>
        </is>
      </c>
      <c r="E647" t="inlineStr">
        <is>
          <t>140–141</t>
        </is>
      </c>
      <c r="F647" t="inlineStr">
        <is>
          <t>High</t>
        </is>
      </c>
      <c r="G647" t="inlineStr">
        <is>
          <t>High (explicit)</t>
        </is>
      </c>
      <c r="H647" s="11" t="inlineStr"/>
      <c r="I647" s="11" t="inlineStr">
        <is>
          <t>Financial Data</t>
        </is>
      </c>
      <c r="J647" t="inlineStr">
        <is>
          <t>Australian Transaction Reports and Analysis Centre (AUSTRAC)</t>
        </is>
      </c>
      <c r="K647" s="11" t="inlineStr">
        <is>
          <t>Reporting entities must apply enhanced due diligence for customers in high-risk jurisdictions as defined by the Financial Action Task Force. This includes individuals and entities formed in jurisdictions requiring enhanced due diligence under international standards.</t>
        </is>
      </c>
      <c r="L647" s="11" t="inlineStr">
        <is>
          <t>Requires enhanced due diligence for customers in high-risk jurisdictions to address cross-border money laundering and terrorist financing risks.</t>
        </is>
      </c>
      <c r="M647" s="11" t="inlineStr">
        <is>
          <t>• [Must] The customer is an individual physically present in a high-risk jurisdiction for which the Financial Action Task Force has called for enhanced due diligence</t>
        </is>
      </c>
      <c r="N647" s="11" t="inlineStr">
        <is>
          <t>• [Must] The customer is a body corporate or legal arrangement formed in a high-risk jurisdiction for which the Financial Action Task Force has called for enhanced due diligence</t>
        </is>
      </c>
      <c r="O647" s="11" t="inlineStr">
        <is>
          <t>122 The customer, any beneficial owner of the customer, any person on whose behalf the customer is receiving the customer, is: (i) an individual who is physically present in a high risk jurisdiction for which the international body known as the Financial Action Task Force has called for enhanced due diligence to be applied; or (ii) a body corporate or legal arrangement that was formed in a high risk jurisdiction for which the international body known as the Financial Action Task Force has called for enhanced due diligence to be applied;</t>
        </is>
      </c>
      <c r="P647" s="12" t="n">
        <v>13</v>
      </c>
    </row>
    <row r="648">
      <c r="A648" t="inlineStr">
        <is>
          <t>Australia</t>
        </is>
      </c>
      <c r="B648" t="inlineStr">
        <is>
          <t>C2026C00220 (Australia - Row 2)</t>
        </is>
      </c>
      <c r="C648" t="inlineStr">
        <is>
          <t>123</t>
        </is>
      </c>
      <c r="D648" s="11" t="inlineStr">
        <is>
          <t>Identity verification through credit reporting bodies</t>
        </is>
      </c>
      <c r="E648" t="inlineStr">
        <is>
          <t>141–142</t>
        </is>
      </c>
      <c r="F648" t="inlineStr">
        <is>
          <t>High</t>
        </is>
      </c>
      <c r="G648" t="inlineStr">
        <is>
          <t>High (explicit)</t>
        </is>
      </c>
      <c r="H648" s="11" t="inlineStr"/>
      <c r="I648" s="11" t="inlineStr"/>
      <c r="J648" t="inlineStr">
        <is>
          <t>Australian Transaction Reports and Analysis Centre (AUSTRAC)</t>
        </is>
      </c>
      <c r="K648" s="11" t="inlineStr">
        <is>
          <t>Reporting entities may disclose customer personal information to credit reporting bodies for identity verification purposes, provided they give the customer information about the request, the personal information to be disclosed, and the assessment process. This facilitates identity verification while maintaining privacy protections.</t>
        </is>
      </c>
      <c r="L648" s="11" t="inlineStr">
        <is>
          <t>Allows sharing of customer identity information with credit reporting bodies for verification, requiring transparency and consent.</t>
        </is>
      </c>
      <c r="M648" s="11" t="inlineStr">
        <is>
          <t>• [May] Disclose the individual's name, residential address, and date of birth to a credit reporting body for identity verification
• [Must] Request the credit reporting body to assess whether the disclosed personal information matches information held by the credit reporting body</t>
        </is>
      </c>
      <c r="N648" s="11" t="inlineStr">
        <is>
          <t>• [Must] Provide the individual with information about the reasons for the request, personal information to be disclosed, and the assessment process</t>
        </is>
      </c>
      <c r="O648" s="11" t="inlineStr">
        <is>
          <t>123 (1) A reporting entity may, to assist in verifying the identity of an individual for the purposes of this Act, the regulations or the AML/CTF Rules: (a) disclose any or all of the following personal information to a credit reporting body for the purposes of making a request referred to in paragraph (b): (i) the individual's name; (ii) the individual's residential address; (iii) the individual's date of birth; and (b) request the credit reporting body to provide an assessment of whether the personal information so disclosed matches (in whole or part) personal information held by the credit reporting body.</t>
        </is>
      </c>
      <c r="P648" s="12" t="n">
        <v>13</v>
      </c>
    </row>
    <row r="649">
      <c r="A649" t="inlineStr">
        <is>
          <t>Australia</t>
        </is>
      </c>
      <c r="B649" t="inlineStr">
        <is>
          <t>C2026C00220 (Australia - Row 2)</t>
        </is>
      </c>
      <c r="C649" t="inlineStr">
        <is>
          <t>124</t>
        </is>
      </c>
      <c r="D649" s="11" t="inlineStr">
        <is>
          <t>Credit reporting bodies' use of personal information for identity verification assessments</t>
        </is>
      </c>
      <c r="E649" t="inlineStr">
        <is>
          <t>142–143</t>
        </is>
      </c>
      <c r="F649" t="inlineStr">
        <is>
          <t>High</t>
        </is>
      </c>
      <c r="G649" t="inlineStr">
        <is>
          <t>High (explicit)</t>
        </is>
      </c>
      <c r="H649" s="11" t="inlineStr">
        <is>
          <t>Cross-border Transfer, Data Sharing</t>
        </is>
      </c>
      <c r="I649" s="11" t="inlineStr">
        <is>
          <t>Personal Information</t>
        </is>
      </c>
      <c r="J649" t="inlineStr">
        <is>
          <t>Australian Privacy Principle 6</t>
        </is>
      </c>
      <c r="K649" s="11" t="inlineStr">
        <is>
          <t>A credit reporting body may prepare and provide an assessment to a reporting entity regarding matches between personal information disclosed by the reporting entity and information held by the credit reporting body. The assessment must evaluate whether the individual's name, residential address, or date of birth matches the credit reporting body's records. The credit reporting body must use this information for the purpose of preparing the assessment. The assessment is taken to be authorised under Australian Privacy Principle 6 for the purposes of paragraph 6.2(b) of the Privacy Act 1988.</t>
        </is>
      </c>
      <c r="L649" s="11" t="inlineStr">
        <is>
          <t>This section establishes conditions for credit reporting bodies to use personal information for identity verification assessments, which may impact cross-border data transfers if the credit reporting body operates internationally. The assessment must be an overall match evaluation without separate category assessments.</t>
        </is>
      </c>
      <c r="M649" s="11" t="inlineStr">
        <is>
          <t>• [Must] A credit reporting body may prepare and provide to a reporting entity an assessment of whether any or all of the individual's name, residential address, or date of birth matches personal information held by the credit reporting body
• [Must] A credit reporting body must use personal information about the individual and other individuals' names, residential addresses, and dates of birth for the purpose of preparing the assessment</t>
        </is>
      </c>
      <c r="N649" s="11" t="inlineStr">
        <is>
          <t>• [Must] The assessment must be an overall evaluation of the extent of the match between disclosed information and credit reporting body records
• [Must Not] The assessment must not include separate assessments of matches between particular categories of personal information</t>
        </is>
      </c>
      <c r="O649" s="11" t="inlineStr">
        <is>
          <t>A credit reporting body that receives a verification request from a reporting entity in relation to an individual may: (a) prepare and provide to the reporting entity an assessment in accordance with this section of whether any or all of the following personal information matches (in whole or part) personal information held by the credit reporting body: (i) the individual's name; (ii) the individual's residential address; (iii) the individual's date of birth; and (b) use the personal information about the individual, and personal information held by the credit reporting body that is the names, residential addresses and dates of birth of other individuals, for the purpose of preparing the assessment.</t>
        </is>
      </c>
      <c r="P649" s="12" t="n">
        <v>13</v>
      </c>
    </row>
    <row r="650">
      <c r="A650" t="inlineStr">
        <is>
          <t>Australia</t>
        </is>
      </c>
      <c r="B650" t="inlineStr">
        <is>
          <t>C2026C00220 (Australia - Row 2)</t>
        </is>
      </c>
      <c r="C650" t="inlineStr">
        <is>
          <t>125</t>
        </is>
      </c>
      <c r="D650" s="11" t="inlineStr">
        <is>
          <t>Reporting entities' obligation to notify identity verification failures</t>
        </is>
      </c>
      <c r="E650" t="inlineStr">
        <is>
          <t>143–144</t>
        </is>
      </c>
      <c r="F650" t="inlineStr">
        <is>
          <t>High</t>
        </is>
      </c>
      <c r="G650" t="inlineStr">
        <is>
          <t>High (explicit)</t>
        </is>
      </c>
      <c r="H650" s="11" t="inlineStr">
        <is>
          <t>Cross-border Transfer, Data Sharing</t>
        </is>
      </c>
      <c r="I650" s="11" t="inlineStr">
        <is>
          <t>Personal Information</t>
        </is>
      </c>
      <c r="J650" t="inlineStr">
        <is>
          <t>Privacy Act 1988</t>
        </is>
      </c>
      <c r="K650" s="11" t="inlineStr">
        <is>
          <t>A reporting entity must provide written notice to an individual if it is unable to verify their identity after receiving an assessment from a credit reporting body. The notice must state the inability to verify identity, specify the credit reporting body that provided the assessment, and offer an alternative means of identity verification. This notification is taken to be authorised under paragraph 20E(3)(e) of the Privacy Act 1988 for the purposes of the assessment.</t>
        </is>
      </c>
      <c r="L650" s="11" t="inlineStr">
        <is>
          <t>This section requires reporting entities to notify individuals when identity verification fails, which may affect data transfer processes if the credit reporting body is involved in international transactions.</t>
        </is>
      </c>
      <c r="M650" s="11" t="inlineStr">
        <is>
          <t>• [Must] A reporting entity must give a written notice to the individual stating they are unable to verify the individual's identity having regard to the assessment
• [Must] The notice must specify the name of the credit reporting body that provided the assessment</t>
        </is>
      </c>
      <c r="N650" s="11" t="inlineStr">
        <is>
          <t>• [Must] The notice must offer the individual an alternative means of verifying their identity</t>
        </is>
      </c>
      <c r="O650" s="11" t="inlineStr">
        <is>
          <t>The reporting entity must give a written notice to the individual: (a) stating that the reporting entity is unable to verify the identity of the individual having regard to the assessment; and (b) specifying the name of the credit reporting body that provided the assessment; and (c) offering the individual an alternative means of verifying the identity of the individual.</t>
        </is>
      </c>
      <c r="P650" s="12" t="n">
        <v>13</v>
      </c>
    </row>
    <row r="651">
      <c r="A651" t="inlineStr">
        <is>
          <t>Australia</t>
        </is>
      </c>
      <c r="B651" t="inlineStr">
        <is>
          <t>C2026C00220 (Australia - Row 2)</t>
        </is>
      </c>
      <c r="C651" t="inlineStr">
        <is>
          <t>126</t>
        </is>
      </c>
      <c r="D651" s="11" t="inlineStr">
        <is>
          <t>Retention of verification information for 7 years</t>
        </is>
      </c>
      <c r="E651" t="inlineStr">
        <is>
          <t>144–145</t>
        </is>
      </c>
      <c r="F651" t="inlineStr">
        <is>
          <t>High</t>
        </is>
      </c>
      <c r="G651" t="inlineStr">
        <is>
          <t>High (explicit)</t>
        </is>
      </c>
      <c r="H651" s="11" t="inlineStr">
        <is>
          <t>Data Storage, Retention, Data Sharing</t>
        </is>
      </c>
      <c r="I651" s="11" t="inlineStr">
        <is>
          <t>Personal Information</t>
        </is>
      </c>
      <c r="J651" t="inlineStr"/>
      <c r="K651" s="11" t="inlineStr">
        <is>
          <t>Credit reporting bodies must retain specific information related to verification requests for 7 years after the request is received. This includes the name of the reporting entity, the date of the request, the personal information provided by the reporting entity, and the date the assessment was provided. After the 7-year period, credit reporting bodies must delete this information. This section also applies to reporting entities, which must retain records of verification requests for 7 years from the request date, provided they do not provide designated services to the individual during that period.</t>
        </is>
      </c>
      <c r="L651" s="11" t="inlineStr">
        <is>
          <t>This section mandates 7-year retention of verification information, which impacts data storage practices and cross-border data transfers if the information is held internationally.</t>
        </is>
      </c>
      <c r="M651" s="11" t="inlineStr">
        <is>
          <t>• [Must] A credit reporting body must retain the name of the reporting entity, date of request, personal information provided by the reporting entity, and date of assessment for 7 years after the request was received
• [Must] A credit reporting body must delete the information at the end of the 7-year period</t>
        </is>
      </c>
      <c r="N651" s="11" t="inlineStr">
        <is>
          <t>• [Must] A reporting entity must make a record of the credit reporting body, personal information provided, and assessment (if any) for 7 years from the request date
• [Must] A reporting entity must delete the record at the end of the 7-year period after the request was made</t>
        </is>
      </c>
      <c r="O651" s="11" t="inlineStr">
        <is>
          <t>A credit reporting body that receives a verification request in relation to an individual must retain the following information for 7 years after the request was received: (a) the name of the reporting entity that made the request; (b) the date on which the request was made; (c) the personal information about the individual that was provided by the reporting entity to the credit reporting body; (d) the date on which the credit reporting body provided an assessment (if any); (e) such other information about the verification request as is</t>
        </is>
      </c>
      <c r="P651" s="12" t="n">
        <v>13</v>
      </c>
    </row>
    <row r="652">
      <c r="A652" t="inlineStr">
        <is>
          <t>Australia</t>
        </is>
      </c>
      <c r="B652" t="inlineStr">
        <is>
          <t>C2026C00220 (Australia - Row 2)</t>
        </is>
      </c>
      <c r="C652" t="inlineStr">
        <is>
          <t>127</t>
        </is>
      </c>
      <c r="D652" s="11" t="inlineStr">
        <is>
          <t>Access to verification information for individuals</t>
        </is>
      </c>
      <c r="E652" t="inlineStr">
        <is>
          <t>145–146</t>
        </is>
      </c>
      <c r="F652" t="inlineStr">
        <is>
          <t>High</t>
        </is>
      </c>
      <c r="G652" t="inlineStr">
        <is>
          <t>High (explicit)</t>
        </is>
      </c>
      <c r="H652" s="11" t="inlineStr">
        <is>
          <t>Access Control</t>
        </is>
      </c>
      <c r="I652" s="11" t="inlineStr">
        <is>
          <t>Personal Information</t>
        </is>
      </c>
      <c r="J652" t="inlineStr"/>
      <c r="K652" s="11" t="inlineStr">
        <is>
          <t>Individuals have the right to access verification information held by credit reporting bodies or reporting entities that relates to a verification request or assessment. Credit reporting bodies and reporting entities must take reasonable steps to ensure individuals can obtain access to this information. This right applies to personal information that relates to verification requests or assessments.</t>
        </is>
      </c>
      <c r="L652" s="11" t="inlineStr">
        <is>
          <t>This section grants individuals access to verification information, which may impact data transfer processes if the information is held internationally.</t>
        </is>
      </c>
      <c r="M652" s="11" t="inlineStr">
        <is>
          <t>• [Must] A credit reporting body or reporting entity in possession of verification information must take reasonable steps to ensure the individual can obtain access to the information</t>
        </is>
      </c>
      <c r="N652" s="11" t="inlineStr"/>
      <c r="O652" s="11" t="inlineStr">
        <is>
          <t>A credit reporting body or a reporting entity in possession or control of personal information, or other information of a kind referred to in subsection 35E(1), that relates to a verification request or an assessment in relation to an individual must take reasonable steps to ensure that the individual can obtain access to the information.</t>
        </is>
      </c>
      <c r="P652" s="12" t="n">
        <v>13</v>
      </c>
    </row>
    <row r="653">
      <c r="A653" t="inlineStr">
        <is>
          <t>Australia</t>
        </is>
      </c>
      <c r="B653" t="inlineStr">
        <is>
          <t>C2026C00220 (Australia - Row 2)</t>
        </is>
      </c>
      <c r="C653" t="inlineStr">
        <is>
          <t>128</t>
        </is>
      </c>
      <c r="D653" s="11" t="inlineStr">
        <is>
          <t>Unauthorised access to verification information</t>
        </is>
      </c>
      <c r="E653" t="inlineStr">
        <is>
          <t>146–147</t>
        </is>
      </c>
      <c r="F653" t="inlineStr">
        <is>
          <t>High</t>
        </is>
      </c>
      <c r="G653" t="inlineStr">
        <is>
          <t>High (explicit)</t>
        </is>
      </c>
      <c r="H653" s="11" t="inlineStr">
        <is>
          <t>Security, Incident Reporting</t>
        </is>
      </c>
      <c r="I653" s="11" t="inlineStr">
        <is>
          <t>Personal Information</t>
        </is>
      </c>
      <c r="J653" t="inlineStr"/>
      <c r="K653" s="11" t="inlineStr">
        <is>
          <t>Unauthorized access to verification information that relates to a verification request or assessment constitutes an offence under this section. The penalty is 300 penalty units. However, this offence does not apply if the access is obtained in accordance with or as authorized by this Act or any other law. This section addresses security breaches related to verification information.</t>
        </is>
      </c>
      <c r="L653" s="11" t="inlineStr">
        <is>
          <t>This section defines penalties for unauthorized access to verification information, which is relevant for data security assessments in cross-border data transfers.</t>
        </is>
      </c>
      <c r="M653" s="11" t="inlineStr">
        <is>
          <t>• [Must Not] Unauthorized access to verification information that relates to a verification request or assessment is an offence punishable by 300 penalty units</t>
        </is>
      </c>
      <c r="N653" s="11" t="inlineStr"/>
      <c r="O653" s="11" t="inlineStr">
        <is>
          <t>A person who obtains access to information that is personal information relating to a verification request or an assessment in relation to an individual is guilty of an offence punishable by 300 penalty units.</t>
        </is>
      </c>
      <c r="P653" s="12" t="n">
        <v>13</v>
      </c>
    </row>
    <row r="654">
      <c r="A654" t="inlineStr">
        <is>
          <t>Australia</t>
        </is>
      </c>
      <c r="B654" t="inlineStr">
        <is>
          <t>C2026C00220 (Australia - Row 2)</t>
        </is>
      </c>
      <c r="C654" t="inlineStr">
        <is>
          <t>129</t>
        </is>
      </c>
      <c r="D654" s="11" t="inlineStr">
        <is>
          <t>Pre-commencement customers definition</t>
        </is>
      </c>
      <c r="E654" t="inlineStr">
        <is>
          <t>147–148</t>
        </is>
      </c>
      <c r="F654" t="inlineStr">
        <is>
          <t>Medium</t>
        </is>
      </c>
      <c r="G654" t="inlineStr">
        <is>
          <t>High (explicit)</t>
        </is>
      </c>
      <c r="H654" s="11" t="inlineStr">
        <is>
          <t>Customer Information</t>
        </is>
      </c>
      <c r="I654" s="11" t="inlineStr">
        <is>
          <t>Personal Information</t>
        </is>
      </c>
      <c r="J654" t="inlineStr"/>
      <c r="K654" s="11" t="inlineStr">
        <is>
          <t>A pre-commencement customer is defined as a customer of a reporting entity that commenced services before 12 December 2007 or whose business relationship involved only designated services covered by specific tables in section 6 of the Act as of 1 July 2026. Pre-commencement customers cease to be pre-commencement customers when the reporting entity complies with subsection 28(1) in relation to the customer. This definition applies to customers in specific business relationships.</t>
        </is>
      </c>
      <c r="L654" s="11" t="inlineStr">
        <is>
          <t>This section defines pre-commencement customers, which may impact data transfer processes for customers with historical business relationships.</t>
        </is>
      </c>
      <c r="M654" s="11" t="inlineStr">
        <is>
          <t>• [Must] A customer is a pre-commencement customer if the reporting entity commenced before 12 December 2007 to provide a designated service covered by an item of table 1, 2 or 3 in section 6 of this Act to the customer
• [Must] A customer is a pre-commencement customer if the business relationship involved only designated services covered by specific tables in section 6 as of 1 July 2026</t>
        </is>
      </c>
      <c r="N654" s="11" t="inlineStr">
        <is>
          <t>• [Must] A pre-commencement customer ceases to be a pre-commencement customer when the reporting entity complies with subsection 28(1) in relation to the customer</t>
        </is>
      </c>
      <c r="O654" s="11" t="inlineStr">
        <is>
          <t>A customer of a reporting entity is a pre-commencement customer if: (a) the reporting entity commenced before 12 December 2007 to provide a designated service covered by an item of table 1, 2 or 3 in section 6 of this Act to the customer; or (b) the business relationship between the reporting entity and the customer involved the provision of only any of the following designated services in section 6 of this Act as at the start of 1 July 2026: (i) designated services covered by item 2 of table 2 in section 6; (ii) designated services covered by table 5 in section 6; (iii) designated services covered by table 6 in section 6.</t>
        </is>
      </c>
      <c r="P654" s="12" t="n">
        <v>13</v>
      </c>
    </row>
    <row r="655">
      <c r="A655" t="inlineStr">
        <is>
          <t>Australia</t>
        </is>
      </c>
      <c r="B655" t="inlineStr">
        <is>
          <t>C2026C00220 (Australia - Row 2)</t>
        </is>
      </c>
      <c r="C655" t="inlineStr">
        <is>
          <t>130</t>
        </is>
      </c>
      <c r="D655" s="11" t="inlineStr">
        <is>
          <t>Agent authorization for KYC compliance</t>
        </is>
      </c>
      <c r="E655" t="inlineStr">
        <is>
          <t>148–149</t>
        </is>
      </c>
      <c r="F655" t="inlineStr">
        <is>
          <t>High</t>
        </is>
      </c>
      <c r="G655" t="inlineStr">
        <is>
          <t>High (explicit)</t>
        </is>
      </c>
      <c r="H655" s="11" t="inlineStr">
        <is>
          <t>KYC, Third Party Processing</t>
        </is>
      </c>
      <c r="I655" s="11" t="inlineStr"/>
      <c r="J655" t="inlineStr">
        <is>
          <t>Australian Financial Regulations</t>
        </is>
      </c>
      <c r="K655" s="11" t="inlineStr">
        <is>
          <t>Reporting entities may authorize agents to comply with KYC requirements under paragraphs 28(3)(c) and (d). The reporting entity remains liable for contraventions even when using agents. Agents can be authorized directly or through other persons to handle customer KYC information. Agency principles apply without limiting other agency operations under this Act.</t>
        </is>
      </c>
      <c r="L655" s="11" t="inlineStr">
        <is>
          <t>Allows third-party agents to handle KYC data for financial services, requiring reporting entities to maintain liability for compliance with KYC rules when using agents.</t>
        </is>
      </c>
      <c r="M655" s="11" t="inlineStr">
        <is>
          <t>• [May] Reporting entity may authorize an agent for KYC compliance with paragraphs 28(3)(c) and (d)
• [Must] Reporting entity remains liable for contraventions when using agents</t>
        </is>
      </c>
      <c r="N655" s="11" t="inlineStr">
        <is>
          <t>• [May] Agent authorization can be direct or through other persons</t>
        </is>
      </c>
      <c r="O655" s="11" t="inlineStr">
        <is>
          <t>The reporting entity (and not its agent) will be liable to civil penalties for contraventions of this Part for providing designated services to its customers without complying with paragraphs 28(3)(c) and (d) in respect of its customers.</t>
        </is>
      </c>
      <c r="P655" s="12" t="n">
        <v>13</v>
      </c>
    </row>
    <row r="656">
      <c r="A656" t="inlineStr">
        <is>
          <t>Australia</t>
        </is>
      </c>
      <c r="B656" t="inlineStr">
        <is>
          <t>C2026C00220 (Australia - Row 2)</t>
        </is>
      </c>
      <c r="C656" t="inlineStr">
        <is>
          <t>131</t>
        </is>
      </c>
      <c r="D656" s="11" t="inlineStr">
        <is>
          <t>Reliance on KYC procedures through agreements</t>
        </is>
      </c>
      <c r="E656" t="inlineStr">
        <is>
          <t>149–150</t>
        </is>
      </c>
      <c r="F656" t="inlineStr">
        <is>
          <t>High</t>
        </is>
      </c>
      <c r="G656" t="inlineStr">
        <is>
          <t>High (explicit)</t>
        </is>
      </c>
      <c r="H656" s="11" t="inlineStr">
        <is>
          <t>KYC, Third Party Processing</t>
        </is>
      </c>
      <c r="I656" s="11" t="inlineStr"/>
      <c r="J656" t="inlineStr">
        <is>
          <t>Australian Financial Regulations</t>
        </is>
      </c>
      <c r="K656" s="11" t="inlineStr">
        <is>
          <t>A reporting entity may rely on another party's compliance with KYC requirements if they have reasonable grounds to believe the AML/CTF Rules are satisfied. The entity must have entered a written agreement with the other party and meet specific conditions including obtaining customer identity information. This allows the entity to treat the other party's compliance as their own for designated services.</t>
        </is>
      </c>
      <c r="L656" s="11" t="inlineStr">
        <is>
          <t>Allows financial institutions to use third parties for KYC verification if they meet specific conditions, reducing the need for direct compliance with KYC rules.</t>
        </is>
      </c>
      <c r="M656" s="11" t="inlineStr">
        <is>
          <t>• [Must] Reporting entity must enter written agreement with another person for KYC procedures
• [Must] Reporting entity must have reasonable grounds to believe AML/CTF Rules requirements are met</t>
        </is>
      </c>
      <c r="N656" s="11" t="inlineStr">
        <is>
          <t>• [Must] Reporting entity must obtain customer identity information from the other party
• [Must] Reporting entity must have reasonable grounds to believe reliance is appropriate given risk</t>
        </is>
      </c>
      <c r="O656" s="11" t="inlineStr">
        <is>
          <t>a reporting entity (the first entity) enters into a written agreement or arrangement with another person relating to the first entity's reliance on the collection and verification of KYC information relating to a customer in accordance with paragraphs 28(3)(c) and (d)</t>
        </is>
      </c>
      <c r="P656" s="12" t="n">
        <v>13</v>
      </c>
    </row>
    <row r="657">
      <c r="A657" t="inlineStr">
        <is>
          <t>Australia</t>
        </is>
      </c>
      <c r="B657" t="inlineStr">
        <is>
          <t>C2026C00220 (Australia - Row 2)</t>
        </is>
      </c>
      <c r="C657" t="inlineStr">
        <is>
          <t>132</t>
        </is>
      </c>
      <c r="D657" s="11" t="inlineStr">
        <is>
          <t>Regular assessments for KYC agreements</t>
        </is>
      </c>
      <c r="E657" t="inlineStr">
        <is>
          <t>150–151</t>
        </is>
      </c>
      <c r="F657" t="inlineStr">
        <is>
          <t>High</t>
        </is>
      </c>
      <c r="G657" t="inlineStr">
        <is>
          <t>High (explicit)</t>
        </is>
      </c>
      <c r="H657" s="11" t="inlineStr">
        <is>
          <t>KYC, Third Party Processing</t>
        </is>
      </c>
      <c r="I657" s="11" t="inlineStr"/>
      <c r="J657" t="inlineStr">
        <is>
          <t>Australian Financial Regulations</t>
        </is>
      </c>
      <c r="K657" s="11" t="inlineStr">
        <is>
          <t>Reporting entities must conduct regular assessments of agreements with third parties for KYC compliance. Assessments must follow AML/CTF Rules, be completed at specified intervals, and be documented within 10 business days. This ensures ongoing compliance with KYC requirements when using third parties.</t>
        </is>
      </c>
      <c r="L657" s="11" t="inlineStr">
        <is>
          <t>Requires regular third-party KYC assessments to maintain compliance, critical for financial institutions using agents or arrangements for customer verification.</t>
        </is>
      </c>
      <c r="M657" s="11" t="inlineStr">
        <is>
          <t>• [Must] Reporting entity must carry out assessments in accordance with AML/CTF Rules
• [Must] Reporting entity must carry out assessments at times specified by AML/CTF Rules</t>
        </is>
      </c>
      <c r="N657" s="11" t="inlineStr">
        <is>
          <t>• [Must] Reporting entity must prepare written record of each assessment within 10 business days</t>
        </is>
      </c>
      <c r="O657" s="11" t="inlineStr">
        <is>
          <t>the reporting entity must: carry out assessments in accordance with the AML/CTF Rules; carry out those assessments at the times worked out in accordance with the AML/CTF Rules; and prepare a written record of each assessment within 10 business days after the day of completing the assessment.</t>
        </is>
      </c>
      <c r="P657" s="12" t="n">
        <v>13</v>
      </c>
    </row>
    <row r="658">
      <c r="A658" t="inlineStr">
        <is>
          <t>Australia</t>
        </is>
      </c>
      <c r="B658" t="inlineStr">
        <is>
          <t>C2026C00220 (Australia - Row 2)</t>
        </is>
      </c>
      <c r="C658" t="inlineStr">
        <is>
          <t>133</t>
        </is>
      </c>
      <c r="D658" s="11" t="inlineStr">
        <is>
          <t>Exemptions for certain designated services</t>
        </is>
      </c>
      <c r="E658" t="inlineStr">
        <is>
          <t>151–152</t>
        </is>
      </c>
      <c r="F658" t="inlineStr">
        <is>
          <t>High</t>
        </is>
      </c>
      <c r="G658" t="inlineStr">
        <is>
          <t>High (explicit)</t>
        </is>
      </c>
      <c r="H658" s="11" t="inlineStr">
        <is>
          <t>Financial Data</t>
        </is>
      </c>
      <c r="I658" s="11" t="inlineStr">
        <is>
          <t>Financial Data</t>
        </is>
      </c>
      <c r="J658" t="inlineStr">
        <is>
          <t>Australian Financial Regulations</t>
        </is>
      </c>
      <c r="K658" s="11" t="inlineStr">
        <is>
          <t>This section provides exemptions for specific designated services including pension transactions, superannuation contributions, and RSA contributions. The exemptions apply to services covered by specific items in table 1 of section 6, allowing reporting entities to avoid compliance with certain parts of the AML/CTF rules for these services.</t>
        </is>
      </c>
      <c r="L658" s="11" t="inlineStr">
        <is>
          <t>Exempts specific financial services like pension and superannuation transactions from KYC requirements, reducing the need for data transfers and verifications for these services.</t>
        </is>
      </c>
      <c r="M658" s="11" t="inlineStr">
        <is>
          <t>• [Must] This Part does not apply to designated services of a kind specified in table 1 of section 6</t>
        </is>
      </c>
      <c r="N658" s="11" t="inlineStr"/>
      <c r="O658" s="11" t="inlineStr">
        <is>
          <t>This Part does not apply to a designated service that is of a kind covered by item 40, 42 or 44 of table 1 in section 6</t>
        </is>
      </c>
      <c r="P658" s="12" t="n">
        <v>13</v>
      </c>
    </row>
    <row r="659">
      <c r="A659" t="inlineStr">
        <is>
          <t>Australia</t>
        </is>
      </c>
      <c r="B659" t="inlineStr">
        <is>
          <t>C2026C00220 (Australia - Row 2)</t>
        </is>
      </c>
      <c r="C659" t="inlineStr">
        <is>
          <t>134</t>
        </is>
      </c>
      <c r="D659" s="11" t="inlineStr">
        <is>
          <t>Exemption for criminal investigations</t>
        </is>
      </c>
      <c r="E659" t="inlineStr">
        <is>
          <t>152–153</t>
        </is>
      </c>
      <c r="F659" t="inlineStr">
        <is>
          <t>High</t>
        </is>
      </c>
      <c r="G659" t="inlineStr">
        <is>
          <t>High (explicit)</t>
        </is>
      </c>
      <c r="H659" s="11" t="inlineStr"/>
      <c r="I659" s="11" t="inlineStr"/>
      <c r="J659" t="inlineStr">
        <is>
          <t>Australian Financial Regulations</t>
        </is>
      </c>
      <c r="K659" s="11" t="inlineStr">
        <is>
          <t>Reporting entities may exempt themselves from certain obligations when assisting criminal investigations. This includes not being required to comply with KYC rules if they reasonably believe compliance would alert the customer to an ongoing criminal investigation. The exemption applies to designated services provided to customers during keep open notices.</t>
        </is>
      </c>
      <c r="L659" s="11" t="inlineStr">
        <is>
          <t>Allows financial institutions to bypass KYC checks when assisting with criminal investigations, critical for maintaining customer confidentiality during investigations.</t>
        </is>
      </c>
      <c r="M659" s="11" t="inlineStr">
        <is>
          <t>• [May] Reporting entity may exempt from section 28, 30 or 26G if compliance would alert customer to criminal investigation</t>
        </is>
      </c>
      <c r="N659" s="11" t="inlineStr"/>
      <c r="O659" s="11" t="inlineStr">
        <is>
          <t>section 28, 30 or 26G does not apply to the reporting entity in respect of the provision of a designated service to the customer to the extent that the reporting entity reasonably believes that compliance with that section would or could reasonably be expected to alert the customer to the existence of a criminal investigation.</t>
        </is>
      </c>
      <c r="P659" s="12" t="n">
        <v>13</v>
      </c>
    </row>
    <row r="660">
      <c r="A660" t="inlineStr">
        <is>
          <t>Australia</t>
        </is>
      </c>
      <c r="B660" t="inlineStr">
        <is>
          <t>C2026C00220 (Australia - Row 2)</t>
        </is>
      </c>
      <c r="C660" t="inlineStr">
        <is>
          <t>135</t>
        </is>
      </c>
      <c r="D660" s="11" t="inlineStr">
        <is>
          <t>Keep open notices for criminal investigations</t>
        </is>
      </c>
      <c r="E660" t="inlineStr">
        <is>
          <t>153–154</t>
        </is>
      </c>
      <c r="F660" t="inlineStr">
        <is>
          <t>High</t>
        </is>
      </c>
      <c r="G660" t="inlineStr">
        <is>
          <t>High (explicit)</t>
        </is>
      </c>
      <c r="H660" s="11" t="inlineStr"/>
      <c r="I660" s="11" t="inlineStr"/>
      <c r="J660" t="inlineStr">
        <is>
          <t>Australian Financial Regulations</t>
        </is>
      </c>
      <c r="K660" s="11" t="inlineStr">
        <is>
          <t>Keep open notices allow agencies to request financial institutions to continue providing services to customers during criminal investigations. These notices are issued by senior agency members who reasonably believe the service would assist in investigating serious offenses. The notices must specify the type of offense and the agency issuing them.</t>
        </is>
      </c>
      <c r="L660" s="11" t="inlineStr">
        <is>
          <t>Provides a mechanism for financial institutions to continue services during criminal investigations without triggering KYC checks, critical for maintaining customer relationships during investigations.</t>
        </is>
      </c>
      <c r="M660" s="11" t="inlineStr">
        <is>
          <t>• [May] Senior agency member may issue keep open notice if service would assist in serious offense investigation</t>
        </is>
      </c>
      <c r="N660" s="11" t="inlineStr">
        <is>
          <t>• [Must] Keep open notice must be issued for serious offenses punishable by imprisonment for 2 years or more</t>
        </is>
      </c>
      <c r="O660" s="11" t="inlineStr">
        <is>
          <t>A senior member of an agency may issue a notice (a keep open notice) to a reporting entity if the senior member reasonably believes that the provision of a designated service by the reporting entity to a customer would assist in the investigation by the agency of a serious offence.</t>
        </is>
      </c>
      <c r="P660" s="12" t="n">
        <v>13</v>
      </c>
    </row>
    <row r="661">
      <c r="A661" t="inlineStr">
        <is>
          <t>Australia</t>
        </is>
      </c>
      <c r="B661" t="inlineStr">
        <is>
          <t>C2026C00220 (Australia - Row 2)</t>
        </is>
      </c>
      <c r="C661" t="inlineStr">
        <is>
          <t>136</t>
        </is>
      </c>
      <c r="D661" s="11" t="inlineStr">
        <is>
          <t>Keep open notices: extension and duration rules</t>
        </is>
      </c>
      <c r="E661" t="inlineStr">
        <is>
          <t>154–155</t>
        </is>
      </c>
      <c r="F661" t="inlineStr">
        <is>
          <t>High</t>
        </is>
      </c>
      <c r="G661" t="inlineStr">
        <is>
          <t>High (explicit)</t>
        </is>
      </c>
      <c r="H661" s="11" t="inlineStr"/>
      <c r="I661" s="11" t="inlineStr">
        <is>
          <t>Financial Data</t>
        </is>
      </c>
      <c r="J661" t="inlineStr">
        <is>
          <t>AUSTRAC</t>
        </is>
      </c>
      <c r="K661" s="11" t="inlineStr">
        <is>
          <t>A keep open notice remains in force for up to 6 months from the notice date, unless extended. Extensions are permitted for up to 6 months if the agency reasonably believes continued service would assist in investigating serious offences. The notice may be extended only once per extension period. The extension notice must be issued before the original notice expires and the agency must have a valid reason related to serious offence investigations.</t>
        </is>
      </c>
      <c r="L661" s="11" t="inlineStr">
        <is>
          <t>Defines conditions for extending keep open notices and their duration, relevant for assessing when cross-border data transfers require extended oversight periods during investigations.</t>
        </is>
      </c>
      <c r="M661" s="11" t="inlineStr">
        <is>
          <t>• [Must] A keep open notice remains in force for 6 months from the notice date or until the investigation ends, whichever occurs first.
• [Must] An extension notice may extend the keep open notice for up to 6 months if issued before expiry and the agency reasonably believes continued service would assist in serious offence investigations.</t>
        </is>
      </c>
      <c r="N661" s="11" t="inlineStr">
        <is>
          <t>• [Must] The keep open notice may be extended only once per extension period.
• [Must] The extension notice must be issued to the reporting entity before the keep open notice expires.</t>
        </is>
      </c>
      <c r="O661" s="11" t="inlineStr">
        <is>
          <t>A keep open notice is in force for the period starting on the day specified in the notice and ending on the earlier of: (i) the day 6 months after the notice date; or (ii) the day the agency notifies the reporting entity and AUSTRAC CEO that the investigation has ended.</t>
        </is>
      </c>
      <c r="P661" s="12" t="n">
        <v>13</v>
      </c>
    </row>
    <row r="662">
      <c r="A662" t="inlineStr">
        <is>
          <t>Australia</t>
        </is>
      </c>
      <c r="B662" t="inlineStr">
        <is>
          <t>C2026C00220 (Australia - Row 2)</t>
        </is>
      </c>
      <c r="C662" t="inlineStr">
        <is>
          <t>137</t>
        </is>
      </c>
      <c r="D662" s="11" t="inlineStr">
        <is>
          <t>AUSTRAC oversight of keep open notices</t>
        </is>
      </c>
      <c r="E662" t="inlineStr">
        <is>
          <t>155–156</t>
        </is>
      </c>
      <c r="F662" t="inlineStr">
        <is>
          <t>High</t>
        </is>
      </c>
      <c r="G662" t="inlineStr">
        <is>
          <t>High (explicit)</t>
        </is>
      </c>
      <c r="H662" s="11" t="inlineStr"/>
      <c r="I662" s="11" t="inlineStr">
        <is>
          <t>Financial Data</t>
        </is>
      </c>
      <c r="J662" t="inlineStr">
        <is>
          <t>AUSTRAC</t>
        </is>
      </c>
      <c r="K662" s="11" t="inlineStr">
        <is>
          <t>AUSTRAC must receive copies of keep open notices and extension notices from agencies. AUSTRAC can revoke notices if they don't comply with the Act or AML/CTF Rules. AUSTRAC must notify the agency and reporting entity if a notice is revoked.</t>
        </is>
      </c>
      <c r="L662" s="11" t="inlineStr">
        <is>
          <t>AUSTRAC oversight ensures compliance with keep open notices, critical for assessing when cross-border data transfers require regulatory review during investigations.</t>
        </is>
      </c>
      <c r="M662" s="11" t="inlineStr">
        <is>
          <t>• [Must] The senior member of the agency must send a copy of the keep open notice or extension notice to AUSTRAC CEO at the time of issuance.
• [Must] AUSTRAC may revoke a keep open notice or extension notice if it doesn't comply with the Act or AML/CTF Rules.</t>
        </is>
      </c>
      <c r="N662" s="11" t="inlineStr">
        <is>
          <t>• [Must] AUSTRAC must notify the agency and reporting entity if it revokes a notice.</t>
        </is>
      </c>
      <c r="O662" s="11" t="inlineStr">
        <is>
          <t>The senior member of the agency must send a copy of the keep open notice or extension notice to the AUSTRAC CEO at the same time the notice is issued to the reporting entity.</t>
        </is>
      </c>
      <c r="P662" s="12" t="n">
        <v>13</v>
      </c>
    </row>
    <row r="663">
      <c r="A663" t="inlineStr">
        <is>
          <t>Australia</t>
        </is>
      </c>
      <c r="B663" t="inlineStr">
        <is>
          <t>C2026C00220 (Australia - Row 2)</t>
        </is>
      </c>
      <c r="C663" t="inlineStr">
        <is>
          <t>138</t>
        </is>
      </c>
      <c r="D663" s="11" t="inlineStr">
        <is>
          <t>Exemption for suspicious matter reporting</t>
        </is>
      </c>
      <c r="E663" t="inlineStr">
        <is>
          <t>156–157</t>
        </is>
      </c>
      <c r="F663" t="inlineStr">
        <is>
          <t>High</t>
        </is>
      </c>
      <c r="G663" t="inlineStr">
        <is>
          <t>High (explicit)</t>
        </is>
      </c>
      <c r="H663" s="11" t="inlineStr"/>
      <c r="I663" s="11" t="inlineStr">
        <is>
          <t>Financial Data</t>
        </is>
      </c>
      <c r="J663" t="inlineStr"/>
      <c r="K663" s="11" t="inlineStr">
        <is>
          <t>Reporting entities are exempt from certain obligations when they reasonably believe compliance would alert a customer to their suspicion of illegal activity. This exemption applies to specific designated services and does not override other reporting obligations.</t>
        </is>
      </c>
      <c r="L663" s="11" t="inlineStr">
        <is>
          <t>Provides exemptions for when data transfers related to suspicious activity might alert customers, reducing the need for extensive cross-border data sharing during investigations.</t>
        </is>
      </c>
      <c r="M663" s="11" t="inlineStr">
        <is>
          <t>• [Must] Section 28, 30, or 26G does not apply to the reporting entity if compliance would reasonably alert the customer to the reporting entity's suspicion.</t>
        </is>
      </c>
      <c r="N663" s="11" t="inlineStr"/>
      <c r="O663" s="11" t="inlineStr">
        <is>
          <t>Section 28 (undertaking initial customer due diligence) does not apply to the reporting entity in respect of the provision of a designated service to the customer to the extent that the reporting entity reasonably believes that compliance with that section would or could reasonably be expected to alert the customer to the reporting entity's suspicion.</t>
        </is>
      </c>
      <c r="P663" s="12" t="n">
        <v>13</v>
      </c>
    </row>
    <row r="664">
      <c r="A664" t="inlineStr">
        <is>
          <t>Australia</t>
        </is>
      </c>
      <c r="B664" t="inlineStr">
        <is>
          <t>C2026C00220 (Australia - Row 2)</t>
        </is>
      </c>
      <c r="C664" t="inlineStr">
        <is>
          <t>139</t>
        </is>
      </c>
      <c r="D664" s="11" t="inlineStr">
        <is>
          <t>Exemptions for specific financial services</t>
        </is>
      </c>
      <c r="E664" t="inlineStr">
        <is>
          <t>157–158</t>
        </is>
      </c>
      <c r="F664" t="inlineStr">
        <is>
          <t>High</t>
        </is>
      </c>
      <c r="G664" t="inlineStr">
        <is>
          <t>High (explicit)</t>
        </is>
      </c>
      <c r="H664" s="11" t="inlineStr"/>
      <c r="I664" s="11" t="inlineStr">
        <is>
          <t>Financial Data</t>
        </is>
      </c>
      <c r="J664" t="inlineStr"/>
      <c r="K664" s="11" t="inlineStr">
        <is>
          <t>Reporting entities are exempt from enhanced due diligence for specific financial services if they meet certain conditions, such as the service being a designated service with specific criteria like low-value transactions or superannuation fund withdrawals.</t>
        </is>
      </c>
      <c r="L664" s="11" t="inlineStr">
        <is>
          <t>Defines exemptions for low-value transactions and specific financial services, relevant for assessing when cross-border data transfers can be exempted from strict oversight.</t>
        </is>
      </c>
      <c r="M664" s="11" t="inlineStr">
        <is>
          <t>• [Must] The designated service must be specified in column 1 of the table and meet the conditions in column 2.</t>
        </is>
      </c>
      <c r="N664" s="11" t="inlineStr">
        <is>
          <t>• [Must] The reporting entity does not have an enhanced due diligence obligation under section 32.</t>
        </is>
      </c>
      <c r="O664" s="11" t="inlineStr">
        <is>
          <t>Section 28 (undertaking initial customer due diligence) does not apply to a reporting entity in respect of the provision of a designated service to a customer if: (a) the designated service is specified in column 1 of an item of the following table; and (b) the conditions (if any) specified in column 2 of the item are satisfied; and (c) the reporting entity does not have an enhanced due diligence obligation in relation to the customer under section 32.</t>
        </is>
      </c>
      <c r="P664" s="12" t="n">
        <v>13</v>
      </c>
    </row>
    <row r="665">
      <c r="A665" t="inlineStr">
        <is>
          <t>Australia</t>
        </is>
      </c>
      <c r="B665" t="inlineStr">
        <is>
          <t>C2026C00220 (Australia - Row 2)</t>
        </is>
      </c>
      <c r="C665" t="inlineStr">
        <is>
          <t>142</t>
        </is>
      </c>
      <c r="D665" s="11" t="inlineStr">
        <is>
          <t>Threshold conditions for reporting small currency transactions</t>
        </is>
      </c>
      <c r="E665" t="inlineStr">
        <is>
          <t>160–161</t>
        </is>
      </c>
      <c r="F665" t="inlineStr">
        <is>
          <t>High</t>
        </is>
      </c>
      <c r="G665" t="inlineStr">
        <is>
          <t>High (explicit)</t>
        </is>
      </c>
      <c r="H665" s="11" t="inlineStr">
        <is>
          <t>Cross-border Transfer, Data Storage, Financial Data, AML</t>
        </is>
      </c>
      <c r="I665" s="11" t="inlineStr"/>
      <c r="J665" t="inlineStr">
        <is>
          <t>AUSTRAC</t>
        </is>
      </c>
      <c r="K665" s="11" t="inlineStr">
        <is>
          <t>This section specifies conditions under which reporting entities must report small currency transactions involving physical cash. Reporting entities must report transactions where the account provider is a financial institution or similar entity, the transaction involves physical currency, and the value is less than $1,000. Separate thresholds apply for bullion (less than $5,000) and casino-related transactions involving gaming chips or tokens (less than $5,000 or $5,000 or more).</t>
        </is>
      </c>
      <c r="L665" s="11" t="inlineStr">
        <is>
          <t>These thresholds define when physical cash transactions must be reported to AUSTRAC, impacting data transfer assessments for cross-border cash movements and financial institutions handling small physical currency transactions.</t>
        </is>
      </c>
      <c r="M665" s="11" t="inlineStr">
        <is>
          <t>• [Must] Currency is not moved into or out of an account where the account provider is an ADI, building society, bank, credit union or representative office of a foreign bank
• [Must] Proceeds are in physical currency form
• [Must] Funding source is in physical currency form
• [Must] Value of currency is less than $1,000
• [Must] Retail value of bullion is less than $5,000
• [Must] Reporting entity is a casino</t>
        </is>
      </c>
      <c r="N665" s="11" t="inlineStr">
        <is>
          <t>• [Must] Designated service does not involve online gambling services
• [Must] Designated service involves customer giving or receiving only gaming chips or tokens
• [Must] Designated service involves an amount of $5,000 or more
• [Must] Reporting entity providing designated service is an on-course bookmaker or totalisator agency board
• [Must] Designated service involves an amount of less than $5,000</t>
        </is>
      </c>
      <c r="O665" s="11" t="inlineStr">
        <is>
          <t>142 Compilation: Item 10: currency is not moved into or out of an account where the account provider is an ADI, a building society, a bank, a credit union or a representative office of a foreign bank; and either or both of the following apply: (i) proceeds are in physical currency; (ii) funding source is in physical currency; and value of currency is less than $1,000</t>
        </is>
      </c>
      <c r="P665" s="12" t="n">
        <v>13</v>
      </c>
    </row>
    <row r="666">
      <c r="A666" t="inlineStr">
        <is>
          <t>Australia</t>
        </is>
      </c>
      <c r="B666" t="inlineStr">
        <is>
          <t>C2026C00220 (Australia - Row 2)</t>
        </is>
      </c>
      <c r="C666" t="inlineStr">
        <is>
          <t>143</t>
        </is>
      </c>
      <c r="D666" s="11" t="inlineStr">
        <is>
          <t>Exemption for intermediary institutions in reporting</t>
        </is>
      </c>
      <c r="E666" t="inlineStr">
        <is>
          <t>161–162</t>
        </is>
      </c>
      <c r="F666" t="inlineStr">
        <is>
          <t>High</t>
        </is>
      </c>
      <c r="G666" t="inlineStr">
        <is>
          <t>High (explicit)</t>
        </is>
      </c>
      <c r="H666" s="11" t="inlineStr">
        <is>
          <t>Cross-border Transfer, AML, Financial Data</t>
        </is>
      </c>
      <c r="I666" s="11" t="inlineStr">
        <is>
          <t>Financial Data</t>
        </is>
      </c>
      <c r="J666" t="inlineStr">
        <is>
          <t>AUSTRAC</t>
        </is>
      </c>
      <c r="K666" s="11" t="inlineStr">
        <is>
          <t>This section exempts intermediary institutions from certain reporting obligations when they pass on transfer messages in value chains. Reporting entities must monitor customers for unusual transactions when providing services through permanent establishments in Australia to identify suspicious activity. The exemption applies to transactions covered by item 31 of table 1 in section 6.</t>
        </is>
      </c>
      <c r="L666" s="11" t="inlineStr">
        <is>
          <t>This exemption allows intermediary institutions to avoid certain reporting obligations for specific transactions, but requires monitoring for suspicious activity, which affects data transfer assessments for cross-border financial messaging.</t>
        </is>
      </c>
      <c r="M666" s="11" t="inlineStr">
        <is>
          <t>• [Exemption] Divisions 1 to 6 do not apply to a designated service covered by item 31 of table 1 in section 6</t>
        </is>
      </c>
      <c r="N666" s="11" t="inlineStr">
        <is>
          <t>• [Must] Reporting entity must monitor customers to identify unusual transactions and behaviors that may give rise to a suspicious matter reporting obligation</t>
        </is>
      </c>
      <c r="O666" s="11" t="inlineStr">
        <is>
          <t>39F Exemption—intermediary institutions: Divisions 1 to 6 do not apply to a designated service covered by item 31 of table 1 in section 6. A reporting entity must monitor its customers... to identify unusual transactions and behaviours of the customers (within the meaning of section 30) that may give rise to a suspicious matter reporting obligation.</t>
        </is>
      </c>
      <c r="P666" s="12" t="n">
        <v>13</v>
      </c>
    </row>
    <row r="667">
      <c r="A667" t="inlineStr">
        <is>
          <t>Australia</t>
        </is>
      </c>
      <c r="B667" t="inlineStr">
        <is>
          <t>C2026C00220 (Australia - Row 2)</t>
        </is>
      </c>
      <c r="C667" t="inlineStr">
        <is>
          <t>145</t>
        </is>
      </c>
      <c r="D667" s="11" t="inlineStr">
        <is>
          <t>Simplified reporting obligations for suspicious matters</t>
        </is>
      </c>
      <c r="E667" t="inlineStr">
        <is>
          <t>163–164</t>
        </is>
      </c>
      <c r="F667" t="inlineStr">
        <is>
          <t>High</t>
        </is>
      </c>
      <c r="G667" t="inlineStr">
        <is>
          <t>High (explicit)</t>
        </is>
      </c>
      <c r="H667" s="11" t="inlineStr">
        <is>
          <t>Cross-border Transfer, AML, Financial Data</t>
        </is>
      </c>
      <c r="I667" s="11" t="inlineStr">
        <is>
          <t>Financial Data</t>
        </is>
      </c>
      <c r="J667" t="inlineStr">
        <is>
          <t>AUSTRAC</t>
        </is>
      </c>
      <c r="K667" s="11" t="inlineStr">
        <is>
          <t>This section outlines simplified reporting obligations for reporting entities to AUSTRAC. Reporting entities must report suspicious matters, threshold transactions, international value transfers, and virtual asset transfers to unverified self-hosted wallets. Reporting entities may also be required to provide AML/CTF compliance reports to AUSTRAC.</t>
        </is>
      </c>
      <c r="L667" s="11" t="inlineStr">
        <is>
          <t>These simplified reporting obligations define when financial institutions must report specific cross-border transactions to AUSTRAC, impacting data transfer assessments for international financial flows and virtual asset transfers.</t>
        </is>
      </c>
      <c r="M667" s="11" t="inlineStr">
        <is>
          <t>• [Must] A reporting entity must give AUSTRAC CEO reports about suspicious matters
• [Must] If a designated service involves a threshold transaction, reporting entity must give AUSTRAC CEO a report about the transaction
• [Must] If a person provides an international value transfer service, the person must give AUSTRAC CEO a report about the service</t>
        </is>
      </c>
      <c r="N667" s="11" t="inlineStr">
        <is>
          <t>• [Must] If a person provides a designated service involving transfer of virtual assets to or from unverified self-hosted virtual asset wallet, must give AUSTRAC CEO report about the service
• [May] A reporting entity may be required to give AML/CTF compliance reports to AUSTRAC CEO</t>
        </is>
      </c>
      <c r="O667" s="11" t="inlineStr">
        <is>
          <t>40 Simplified outline: A reporting entity must give AUSTRAC CEO reports about suspicious matters. If a designated service involves a threshold transaction, reporting entity must give AUSTRAC CEO a report about the transaction.</t>
        </is>
      </c>
      <c r="P667" s="12" t="n">
        <v>13</v>
      </c>
    </row>
    <row r="668">
      <c r="A668" t="inlineStr">
        <is>
          <t>Australia</t>
        </is>
      </c>
      <c r="B668" t="inlineStr">
        <is>
          <t>C2026C00220 (Australia - Row 2)</t>
        </is>
      </c>
      <c r="C668" t="inlineStr">
        <is>
          <t>146</t>
        </is>
      </c>
      <c r="D668" s="11" t="inlineStr">
        <is>
          <t>Suspicious matter reporting obligation conditions</t>
        </is>
      </c>
      <c r="E668" t="inlineStr">
        <is>
          <t>164–165</t>
        </is>
      </c>
      <c r="F668" t="inlineStr">
        <is>
          <t>High</t>
        </is>
      </c>
      <c r="G668" t="inlineStr">
        <is>
          <t>High (explicit)</t>
        </is>
      </c>
      <c r="H668" s="11" t="inlineStr">
        <is>
          <t>AML, Cross-border Transfer</t>
        </is>
      </c>
      <c r="I668" s="11" t="inlineStr">
        <is>
          <t>Financial Data</t>
        </is>
      </c>
      <c r="J668" t="inlineStr">
        <is>
          <t>AUSTRAC</t>
        </is>
      </c>
      <c r="K668" s="11" t="inlineStr">
        <is>
          <t>This section defines when a suspicious matter reporting obligation arises for reporting entities. The obligation triggers when a reporting entity commences a service with a person, the person requests a service the entity ordinarily provides, or the entity inquires about service provision. The obligation also arises if the reporting entity suspects on reasonable grounds that the person is not who they claim to be, an agent is not who they claim to be, or information is relevant to investigations of crimes, money laundering, terrorism financing, or proceeds of crime.</t>
        </is>
      </c>
      <c r="L668" s="11" t="inlineStr">
        <is>
          <t>These conditions determine when financial institutions must report suspicious activity to AUSTRAC, directly impacting data transfer impact assessments for cross-border transactions involving potential illicit activity.</t>
        </is>
      </c>
      <c r="M668" s="11" t="inlineStr">
        <is>
          <t>• [Must] Reporting entity commences to provide or proposes to provide a designated service to a person
• [Must] Person requests reporting entity to provide a designated service the entity ordinarily provides
• [Must] Person inquires whether reporting entity would provide designated service
• [Must] Reporting entity suspects on reasonable grounds person is not who they claim to be
• [Must] Reporting entity suspects on reasonable grounds agent is not who they claim to be
• [Must] Reporting entity suspects information is relevant to investigation of evasion of taxation law
• [Must] Reporting entity suspects information is relevant to investigation of evasion of state or territory taxation law</t>
        </is>
      </c>
      <c r="N668" s="11" t="inlineStr">
        <is>
          <t>• [Must] Reporting entity suspects information is relevant to investigation of Commonwealth or state/territory offences
• [Must] Reporting entity suspects information is relevant to enforcement of Proceeds of Crime Act 2002
• [Must] Reporting entity suspects information is relevant to enforcement of state/territory law corresponding to Proceeds of Crime Act 2.02
• [Must] Reporting entity suspects provision of service is preparatory to commission of terrorism financing offence
• [Must] Reporting entity suspects information is relevant to investigation of terrorism financing offence
• [Must] Reporting entity suspects provision of service is preparatory to commission of money laundering offence
• [Must] Reporting entity suspects information is relevant to investigation of money laundering offence</t>
        </is>
      </c>
      <c r="O668" s="11" t="inlineStr">
        <is>
          <t>41 Reports of suspicious matters: A suspicious matter reporting obligation arises for a reporting entity in relation to a person if... the reporting entity suspects on reasonable grounds that the person is not the person the person claims to be; or the reporting entity suspects on reasonable grounds that an agent of the person is not the person the agent claims to be; or the reporting entity suspects on reasonable grounds that information... may be relevant to investigation of, or prosecution of a person for, an evasion of a taxation law.</t>
        </is>
      </c>
      <c r="P668" s="12" t="n">
        <v>13</v>
      </c>
    </row>
    <row r="669">
      <c r="A669" t="inlineStr">
        <is>
          <t>Australia</t>
        </is>
      </c>
      <c r="B669" t="inlineStr">
        <is>
          <t>C2026C00220 (Australia - Row 2)</t>
        </is>
      </c>
      <c r="C669" t="inlineStr">
        <is>
          <t>147</t>
        </is>
      </c>
      <c r="D669" s="11" t="inlineStr">
        <is>
          <t>Suspicious matter reporting conditions for financial crimes</t>
        </is>
      </c>
      <c r="E669" t="inlineStr">
        <is>
          <t>165–166</t>
        </is>
      </c>
      <c r="F669" t="inlineStr">
        <is>
          <t>High</t>
        </is>
      </c>
      <c r="G669" t="inlineStr">
        <is>
          <t>High (explicit)</t>
        </is>
      </c>
      <c r="H669" s="11" t="inlineStr">
        <is>
          <t>AML, Cross-border Transfer</t>
        </is>
      </c>
      <c r="I669" s="11" t="inlineStr">
        <is>
          <t>Financial Data</t>
        </is>
      </c>
      <c r="J669" t="inlineStr">
        <is>
          <t>AUSTRAC</t>
        </is>
      </c>
      <c r="K669" s="11" t="inlineStr">
        <is>
          <t>This section specifies additional conditions under which a suspicious matter reporting obligation arises. The obligation triggers if the reporting entity suspects on reasonable grounds that information is relevant to investigations of tax evasion, state/territory tax evasion, Commonwealth or state/territory offences, enforcement of the Proceeds of Crime Act 2002, or money laundering offences. These conditions are part of the broader framework for identifying suspicious activity related to financial crimes.</t>
        </is>
      </c>
      <c r="L669" s="11" t="inlineStr">
        <is>
          <t>These conditions define specific financial crime scenarios that require reporting to AUSTRAC, directly impacting data transfer impact assessments for cross-border transactions involving potential money laundering or terrorism financing activities.</t>
        </is>
      </c>
      <c r="M669" s="11" t="inlineStr">
        <is>
          <t>• [Must] Reporting entity suspects information is relevant to investigation of evasion of taxation law
• [Must] Reporting entity suspects information is relevant to investigation of evasion of state or territory taxation law
• [Must] Reporting entity suspects information is relevant to investigation of Commonwealth or state/territory offences
• [Must] Reporting entity suspects information is relevant to enforcement of Proceeds of Crime Act 2002
• [Must] Reporting entity suspects information is relevant to enforcement of state/territory law corresponding to Proceeds of Crime Act 2002</t>
        </is>
      </c>
      <c r="N669" s="11" t="inlineStr">
        <is>
          <t>• [Must] Reporting entity suspects provision of service is preparatory to commission of terrorism financing offence
• [Must] Reporting entity suspects information is relevant to investigation of terrorism financing offence
• [Must] Reporting entity suspects provision of service is preparatory to commission of money laundering offence
• [Must] Reporting entity suspects information is relevant to investigation of money laundering offence</t>
        </is>
      </c>
      <c r="O669" s="11" t="inlineStr">
        <is>
          <t>41 Reports of suspicious matters: Reporting entity suspects on reasonable grounds that information... may be relevant to investigation of, or prosecution of a person for, an evasion of a taxation law; or evasion of state or territory taxation law; or Commonwealth or state/territory offences; or enforcement of Proceeds of Crime Act 2002; or money laundering offences.</t>
        </is>
      </c>
      <c r="P669" s="12" t="n">
        <v>13</v>
      </c>
    </row>
    <row r="670">
      <c r="A670" t="inlineStr">
        <is>
          <t>Australia</t>
        </is>
      </c>
      <c r="B670" t="inlineStr">
        <is>
          <t>C2026C00220 (Australia - Row 2)</t>
        </is>
      </c>
      <c r="C670" t="inlineStr">
        <is>
          <t>148</t>
        </is>
      </c>
      <c r="D670" s="11" t="inlineStr">
        <is>
          <t>Reporting timelines for suspicious matters</t>
        </is>
      </c>
      <c r="E670" t="inlineStr">
        <is>
          <t>166–167</t>
        </is>
      </c>
      <c r="F670" t="inlineStr">
        <is>
          <t>High</t>
        </is>
      </c>
      <c r="G670" t="inlineStr">
        <is>
          <t>High (explicit)</t>
        </is>
      </c>
      <c r="H670" s="11" t="inlineStr">
        <is>
          <t>AML, Cross-border Transfer</t>
        </is>
      </c>
      <c r="I670" s="11" t="inlineStr">
        <is>
          <t>Financial Data</t>
        </is>
      </c>
      <c r="J670" t="inlineStr">
        <is>
          <t>AUSTRAC</t>
        </is>
      </c>
      <c r="K670" s="11" t="inlineStr">
        <is>
          <t>This section specifies the reporting timelines for suspicious matters. If the suspicion relates to identity fraud, agent fraud, or information relevant to tax evasion, the reporting entity must submit the report within 3 business days of forming the suspicion. If the suspicion relates to terrorism financing or money laundering, the reporting entity must submit the report within 24 hours of forming the suspicion. The report must include specific information as specified in the AML/CTF Rules and a statement of the grounds for the suspicion.</t>
        </is>
      </c>
      <c r="L670" s="11" t="inlineStr">
        <is>
          <t>These strict reporting timelines for suspicious activity directly impact data transfer impact assessments for cross-border transactions, requiring timely reporting of potential financial crimes to AUSTRAC.</t>
        </is>
      </c>
      <c r="M670" s="11" t="inlineStr">
        <is>
          <t>• [Must] Reporting entity must submit report within 3 business days of forming suspicion for identity, agent fraud, or tax evasion related suspicions
• [Must] Reporting entity must submit report within 24 hours of forming suspicion for terrorism financing or money laundering related suspicions</t>
        </is>
      </c>
      <c r="N670" s="11" t="inlineStr">
        <is>
          <t>• [Must] Report must contain information specified in AML/CTF Rules
• [Must] Report must contain statement of grounds for suspicion</t>
        </is>
      </c>
      <c r="O670" s="11" t="inlineStr">
        <is>
          <t>42 Reporting timelines: If paragraph (1)(d), (e), (f), (i) or (j) applies—3 business days after forming suspicion; if paragraph (1)(g) or (h) applies—24 hours after forming suspicion.</t>
        </is>
      </c>
      <c r="P670" s="12" t="n">
        <v>13</v>
      </c>
    </row>
    <row r="671">
      <c r="A671" t="inlineStr">
        <is>
          <t>Australia</t>
        </is>
      </c>
      <c r="B671" t="inlineStr">
        <is>
          <t>C2026C00220 (Australia - Row 2)</t>
        </is>
      </c>
      <c r="C671" t="inlineStr">
        <is>
          <t>149</t>
        </is>
      </c>
      <c r="D671" s="11" t="inlineStr">
        <is>
          <t>Exemptions for designated services under AML/CTF Rules</t>
        </is>
      </c>
      <c r="E671" t="inlineStr">
        <is>
          <t>167–168</t>
        </is>
      </c>
      <c r="F671" t="inlineStr">
        <is>
          <t>High</t>
        </is>
      </c>
      <c r="G671" t="inlineStr">
        <is>
          <t>High (explicit)</t>
        </is>
      </c>
      <c r="H671" s="11" t="inlineStr">
        <is>
          <t>Cross-border Transfer, International Processing, AML</t>
        </is>
      </c>
      <c r="I671" s="11" t="inlineStr">
        <is>
          <t>Financial Data</t>
        </is>
      </c>
      <c r="J671" t="inlineStr">
        <is>
          <t>AUSTRAC</t>
        </is>
      </c>
      <c r="K671" s="11" t="inlineStr">
        <is>
          <t>This section outlines exemptions where certain designated services are excluded from the Division. The exemptions are based on the type of service specified in the AML/CTF Rules, the circumstances under which the service is provided, and specific conditions related to foreign permanent establishments. These exemptions apply to reporting entities engaged in designated services that meet the criteria outlined in the AML/CTF Rules.</t>
        </is>
      </c>
      <c r="L671" s="11" t="inlineStr">
        <is>
          <t>Exemptions for services covered by AML/CTF Rules may affect data transfer assessments when services involve cross-border transactions or virtual asset transfers.</t>
        </is>
      </c>
      <c r="M671" s="11" t="inlineStr">
        <is>
          <t>• [Must Not] This Division does not apply to a designated service that is of a kind specified in the AML/CTF Rules
• [Must Not] This Division does not apply to a designated service that is provided in circumstances specified in the AML/CTF Rules</t>
        </is>
      </c>
      <c r="N671" s="11" t="inlineStr">
        <is>
          <t>• [Must Not] This Division does not apply to a designated service that is provided by a reporting entity at or through a permanent establishment of the entity in a foreign country, other than a service covered by item 32A of table 1 in section 6</t>
        </is>
      </c>
      <c r="O671" s="11" t="inlineStr">
        <is>
          <t>This Division does not apply to a designated service that is of a kind specified in the AML/CTF Rules.</t>
        </is>
      </c>
      <c r="P671" s="12" t="n">
        <v>13</v>
      </c>
    </row>
    <row r="672">
      <c r="A672" t="inlineStr">
        <is>
          <t>Australia</t>
        </is>
      </c>
      <c r="B672" t="inlineStr">
        <is>
          <t>C2026C00220 (Australia - Row 2)</t>
        </is>
      </c>
      <c r="C672" t="inlineStr">
        <is>
          <t>150</t>
        </is>
      </c>
      <c r="D672" s="11" t="inlineStr">
        <is>
          <t>Reporting threshold transactions to AUSTRAC</t>
        </is>
      </c>
      <c r="E672" t="inlineStr">
        <is>
          <t>168–169</t>
        </is>
      </c>
      <c r="F672" t="inlineStr">
        <is>
          <t>High</t>
        </is>
      </c>
      <c r="G672" t="inlineStr">
        <is>
          <t>High (explicit)</t>
        </is>
      </c>
      <c r="H672" s="11" t="inlineStr">
        <is>
          <t>Cross-border Transfer, Financial Data, AML</t>
        </is>
      </c>
      <c r="I672" s="11" t="inlineStr">
        <is>
          <t>Financial Data</t>
        </is>
      </c>
      <c r="J672" t="inlineStr">
        <is>
          <t>AUSTRAC</t>
        </is>
      </c>
      <c r="K672" s="11" t="inlineStr">
        <is>
          <t>Reporting entities must submit reports to AUSTRAC CEO within 10 business days of a threshold transaction. The transaction must involve a designated service and meet specific criteria. This section applies to reporting entities that provide services involving threshold transactions, ensuring timely reporting of transactions that meet the threshold amount.</t>
        </is>
      </c>
      <c r="L672" s="11" t="inlineStr">
        <is>
          <t>Threshold transactions require reporting to AUSTRAC, impacting data transfer assessments for cross-border financial transactions.</t>
        </is>
      </c>
      <c r="M672" s="11" t="inlineStr">
        <is>
          <t>• [Must] The reporting entity must, within 10 business days after the day on which the transaction takes place, give the AUSTRAC CEO a report of the transaction</t>
        </is>
      </c>
      <c r="N672" s="11" t="inlineStr"/>
      <c r="O672" s="11" t="inlineStr">
        <is>
          <t>The reporting entity must, within 10 business days after the day on which the transaction takes place, give the AUSTRAC CEO a report of the transaction.</t>
        </is>
      </c>
      <c r="P672" s="12" t="n">
        <v>13</v>
      </c>
    </row>
    <row r="673">
      <c r="A673" t="inlineStr">
        <is>
          <t>Australia</t>
        </is>
      </c>
      <c r="B673" t="inlineStr">
        <is>
          <t>C2026C00220 (Australia - Row 2)</t>
        </is>
      </c>
      <c r="C673" t="inlineStr">
        <is>
          <t>151</t>
        </is>
      </c>
      <c r="D673" s="11" t="inlineStr">
        <is>
          <t>Exemptions for threshold transactions involving ADIs</t>
        </is>
      </c>
      <c r="E673" t="inlineStr">
        <is>
          <t>169–170</t>
        </is>
      </c>
      <c r="F673" t="inlineStr">
        <is>
          <t>High</t>
        </is>
      </c>
      <c r="G673" t="inlineStr">
        <is>
          <t>High (explicit)</t>
        </is>
      </c>
      <c r="H673" s="11" t="inlineStr">
        <is>
          <t>Cross-border Transfer, Financial Data, AML</t>
        </is>
      </c>
      <c r="I673" s="11" t="inlineStr">
        <is>
          <t>Financial Data</t>
        </is>
      </c>
      <c r="J673" t="inlineStr">
        <is>
          <t>AUSTRAC</t>
        </is>
      </c>
      <c r="K673" s="11" t="inlineStr">
        <is>
          <t>This section specifies exemptions for threshold transactions where the reporting entity and customer are both Australian Deposit Institutions (ADIs) or hold exchange settlement accounts. These exemptions allow certain transactions to bypass reporting requirements under the threshold transactions framework, provided specific conditions are met.</t>
        </is>
      </c>
      <c r="L673" s="11" t="inlineStr">
        <is>
          <t>Exemptions for ADIs and exchange settlement accounts may reduce reporting obligations for cross-border data transfers involving financial institutions.</t>
        </is>
      </c>
      <c r="M673" s="11" t="inlineStr">
        <is>
          <t>• [Must Not] Section 43 does not apply to a designated service that is: (a) provided by a reporting entity that is an ADI; and (b) provided to a customer that is an ADI</t>
        </is>
      </c>
      <c r="N673" s="11" t="inlineStr">
        <is>
          <t>• [Must Not] Section 43 does not apply to a designated service that is: (a) provided by a reporting entity that is the holder of an exchange settlement account; and (b) provided to a customer that is the holder of an exchange settlement account; and (c) provided using the exchange settlement accounts held by the reporting entity and the customer</t>
        </is>
      </c>
      <c r="O673" s="11" t="inlineStr">
        <is>
          <t>Section 43 does not apply to a designated service that is: (a) provided by a reporting entity that is an ADI; and (b) provided to a customer that is an ADI.</t>
        </is>
      </c>
      <c r="P673" s="12" t="n">
        <v>13</v>
      </c>
    </row>
    <row r="674">
      <c r="A674" t="inlineStr">
        <is>
          <t>Australia</t>
        </is>
      </c>
      <c r="B674" t="inlineStr">
        <is>
          <t>C2026C00220 (Australia - Row 2)</t>
        </is>
      </c>
      <c r="C674" t="inlineStr">
        <is>
          <t>152</t>
        </is>
      </c>
      <c r="D674" s="11" t="inlineStr">
        <is>
          <t>International value transfer services definition</t>
        </is>
      </c>
      <c r="E674" t="inlineStr">
        <is>
          <t>170–171</t>
        </is>
      </c>
      <c r="F674" t="inlineStr">
        <is>
          <t>High</t>
        </is>
      </c>
      <c r="G674" t="inlineStr">
        <is>
          <t>High (explicit)</t>
        </is>
      </c>
      <c r="H674" s="11" t="inlineStr">
        <is>
          <t>Cross-border Transfer, Financial Data, AML</t>
        </is>
      </c>
      <c r="I674" s="11" t="inlineStr">
        <is>
          <t>Financial Data</t>
        </is>
      </c>
      <c r="J674" t="inlineStr">
        <is>
          <t>AUSTRAC</t>
        </is>
      </c>
      <c r="K674" s="11" t="inlineStr">
        <is>
          <t>This section defines international value transfer services as those that transfer value between Australia and a foreign country. The service must be covered by specific items in the AML/CTF Rules and involve value transfers that cross national borders. This definition is critical for determining which transactions require reporting under the international value transfer framework.</t>
        </is>
      </c>
      <c r="L674" s="11" t="inlineStr">
        <is>
          <t>International value transfer services require specific reporting obligations, impacting data transfer assessments for cross-border financial transactions.</t>
        </is>
      </c>
      <c r="M674" s="11" t="inlineStr">
        <is>
          <t>• [Must] A service is an international value transfer service if: (a) the service is covered by item 29 or 30 of table 1 in section 6; and (b) either: (i) the value to be transferred is in Australia and, as a result of the provision of the service, the value will be in a foreign country; or (ii) the value to be transferred is in a foreign country and, as a…</t>
        </is>
      </c>
      <c r="N674" s="11" t="inlineStr"/>
      <c r="O674" s="11" t="inlineStr">
        <is>
          <t>A service is an international value transfer service if: (a) the service is covered by item 29 or 30 of table 1 in section 6; and (b) either: (i) the value to be transferred is in Australia and, as a result of the provision of the service, the value will be in a foreign country; or (ii) the value to be transferred is in a foreign country and, as a result of the provision of the service, the value will be in Australia.</t>
        </is>
      </c>
      <c r="P674" s="12" t="n">
        <v>13</v>
      </c>
    </row>
    <row r="675">
      <c r="A675" t="inlineStr">
        <is>
          <t>Australia</t>
        </is>
      </c>
      <c r="B675" t="inlineStr">
        <is>
          <t>C2026C00220 (Australia - Row 2)</t>
        </is>
      </c>
      <c r="C675" t="inlineStr">
        <is>
          <t>153</t>
        </is>
      </c>
      <c r="D675" s="11" t="inlineStr">
        <is>
          <t>Reporting international value transfers with deadlines</t>
        </is>
      </c>
      <c r="E675" t="inlineStr">
        <is>
          <t>171–172</t>
        </is>
      </c>
      <c r="F675" t="inlineStr">
        <is>
          <t>High</t>
        </is>
      </c>
      <c r="G675" t="inlineStr">
        <is>
          <t>High (explicit)</t>
        </is>
      </c>
      <c r="H675" s="11" t="inlineStr">
        <is>
          <t>Cross-border Transfer, Financial Data, AML</t>
        </is>
      </c>
      <c r="I675" s="11" t="inlineStr">
        <is>
          <t>Financial Data</t>
        </is>
      </c>
      <c r="J675" t="inlineStr">
        <is>
          <t>AUSTRAC</t>
        </is>
      </c>
      <c r="K675" s="11" t="inlineStr">
        <is>
          <t>Reporting entities must submit reports to AUSTRAC within 10 business days of completing international value transfers. The report must include details of the transaction, with exceptions if the transfer is deemed unlikely to occur. This section also specifies that intermediary institutions may discharge reporting obligations under certain conditions, such as when they provide designated services covered by specific items in the AML/CTF Rules.</t>
        </is>
      </c>
      <c r="L675" s="11" t="inlineStr">
        <is>
          <t>International value transfers require timely reporting to AUSTRAC, with specific conditions for intermediary institutions to fulfill obligations.</t>
        </is>
      </c>
      <c r="M675" s="11" t="inlineStr">
        <is>
          <t>• [Must] The reporting entity must give the AUSTRAC CEO a report about the provision of the international value transfer service within 10 business days after the reporting entity passes on or receives the transfer message for the transfer of value
• [Must Not] Subsection (2) does not apply if, within the 10 business day period mentioned in that subsection, the reporting entity: (a) reasonably determines that the transfer of value will not occur; and (b) takes reasonable steps to ensure that the transfer of value will not occur</t>
        </is>
      </c>
      <c r="N675" s="11" t="inlineStr">
        <is>
          <t>• [May] The obligation imposed on a reporting entity by subsection (2) may be discharged by an intermediary institution in the value transfer chain if: (a) the intermediary institution is an intermediary institution that provides, or will provide, the designated service covered by item 31 of table 1 in section 6; (b) the reporting entity has entered into…</t>
        </is>
      </c>
      <c r="O675" s="11" t="inlineStr">
        <is>
          <t>The reporting entity must give the AUSTRAC CEO a report about the provision of the international value transfer service within 10 business days after the reporting entity passes on or receives the transfer message for the transfer of value.</t>
        </is>
      </c>
      <c r="P675" s="12" t="n">
        <v>13</v>
      </c>
    </row>
    <row r="676">
      <c r="A676" t="inlineStr">
        <is>
          <t>Australia</t>
        </is>
      </c>
      <c r="B676" t="inlineStr">
        <is>
          <t>C2026C00220 (Australia - Row 2)</t>
        </is>
      </c>
      <c r="C676" t="inlineStr">
        <is>
          <t>154</t>
        </is>
      </c>
      <c r="D676" s="11" t="inlineStr">
        <is>
          <t>Reporting transfers involving unverified self-hosted virtual asset wallets</t>
        </is>
      </c>
      <c r="E676" t="inlineStr">
        <is>
          <t>172–173</t>
        </is>
      </c>
      <c r="F676" t="inlineStr">
        <is>
          <t>High</t>
        </is>
      </c>
      <c r="G676" t="inlineStr">
        <is>
          <t>High (explicit)</t>
        </is>
      </c>
      <c r="H676" s="11" t="inlineStr">
        <is>
          <t>Cross-border Transfer, Financial Data, AML</t>
        </is>
      </c>
      <c r="I676" s="11" t="inlineStr">
        <is>
          <t>Financial Data</t>
        </is>
      </c>
      <c r="J676" t="inlineStr">
        <is>
          <t>AUSTRAC</t>
        </is>
      </c>
      <c r="K676" s="11" t="inlineStr">
        <is>
          <t>This section requires reporting of transfers involving unverified self-hosted virtual asset wallets. The reporting entity must submit details of transactions where virtual assets are received or transferred to a self-hosted wallet that has not been verified by the entity. This applies to specific types of services covered by the AML/CTF Rules and ensures compliance with virtual asset transfer regulations.</t>
        </is>
      </c>
      <c r="L676" s="11" t="inlineStr">
        <is>
          <t>Transfers involving unverified self-hosted virtual asset wallets require reporting, impacting data transfer assessments for virtual asset transactions.</t>
        </is>
      </c>
      <c r="M676" s="11" t="inlineStr">
        <is>
          <t>• [Must] The reporting entity must report a designated service covered by item 29 or 30 of table 1 in section 6 that involves: (a) receiving virtual assets transferred from a self-hosted virtual asset wallet; or (b) transferring virtual assets to a self-hosted virtual asset wallet; and (c) the person who controls the self-hosted virtual asset wallet has no…</t>
        </is>
      </c>
      <c r="N676" s="11" t="inlineStr"/>
      <c r="O676" s="11" t="inlineStr">
        <is>
          <t>The reporting entity commences to provide a designated service covered by item 29 or 3 as table 1 in section 6 at or in Australia; and the service involves: (i) receiving virtual assets transferred from a self-hosted virtual asset wallet; or (ii) transferring virtual assets to a self-hosted virtual asset wallet; and the person who controls the self-hosted virtual asset wallet has not been verified by the reporting entity in accordance with the reporting entity's AML/CTF program.</t>
        </is>
      </c>
      <c r="P676" s="12" t="n">
        <v>13</v>
      </c>
    </row>
    <row r="677">
      <c r="A677" t="inlineStr">
        <is>
          <t>Australia</t>
        </is>
      </c>
      <c r="B677" t="inlineStr">
        <is>
          <t>C2026C00220 (Australia - Row 2)</t>
        </is>
      </c>
      <c r="C677" t="inlineStr">
        <is>
          <t>155</t>
        </is>
      </c>
      <c r="D677" s="11" t="inlineStr">
        <is>
          <t>Reporting on designated service commencement</t>
        </is>
      </c>
      <c r="E677" t="inlineStr">
        <is>
          <t>173–174</t>
        </is>
      </c>
      <c r="F677" t="inlineStr">
        <is>
          <t>High</t>
        </is>
      </c>
      <c r="G677" t="inlineStr">
        <is>
          <t>High (explicit)</t>
        </is>
      </c>
      <c r="H677" s="11" t="inlineStr"/>
      <c r="I677" s="11" t="inlineStr">
        <is>
          <t>Financial Data</t>
        </is>
      </c>
      <c r="J677" t="inlineStr">
        <is>
          <t>AUSTRAC CEO</t>
        </is>
      </c>
      <c r="K677" s="11" t="inlineStr">
        <is>
          <t>A reporting entity must submit a report to AUSTRAC CEO within 10 business days of starting to provide a designated service. The report details the service provision activities. This obligation applies to entities subject to the AML/CTF Rules but excludes transfers of value specified in the AML/CTF Rules.</t>
        </is>
      </c>
      <c r="L677" s="11" t="inlineStr">
        <is>
          <t>Requires timely reporting on service commencement for DTIA purposes; relevant for tracking when data transfer mechanisms begin operations.</t>
        </is>
      </c>
      <c r="M677" s="11" t="inlineStr">
        <is>
          <t>• [Must] Reporting entity must give AUSTRAC CEO a report about provision of designated service within 10 business days after commencing service</t>
        </is>
      </c>
      <c r="N677" s="11" t="inlineStr"/>
      <c r="O677" s="11" t="inlineStr">
        <is>
          <t>The reporting entity must give the AUSTRAC CEO a report about the provision of the designated service within 10 business days after commencing to provide the service.</t>
        </is>
      </c>
      <c r="P677" s="12" t="n">
        <v>13</v>
      </c>
    </row>
    <row r="678">
      <c r="A678" t="inlineStr">
        <is>
          <t>Australia</t>
        </is>
      </c>
      <c r="B678" t="inlineStr">
        <is>
          <t>C2026C00220 (Australia - Row 2)</t>
        </is>
      </c>
      <c r="C678" t="inlineStr">
        <is>
          <t>156</t>
        </is>
      </c>
      <c r="D678" s="11" t="inlineStr">
        <is>
          <t>AML/CTF compliance reporting scope</t>
        </is>
      </c>
      <c r="E678" t="inlineStr">
        <is>
          <t>174–175</t>
        </is>
      </c>
      <c r="F678" t="inlineStr">
        <is>
          <t>High</t>
        </is>
      </c>
      <c r="G678" t="inlineStr">
        <is>
          <t>High (explicit)</t>
        </is>
      </c>
      <c r="H678" s="11" t="inlineStr">
        <is>
          <t>AML</t>
        </is>
      </c>
      <c r="I678" s="11" t="inlineStr">
        <is>
          <t>Financial Data</t>
        </is>
      </c>
      <c r="J678" t="inlineStr">
        <is>
          <t>AUSTRAC CEO</t>
        </is>
      </c>
      <c r="K678" s="11" t="inlineStr">
        <is>
          <t>Reporting entities must submit compliance reports to AUSTRAC CEO within the lodgment period for a reporting period. The reports cover adherence to the Act, regulations, and AML/CTF Rules during that period. This applies to entities with specified reporting periods and lodgment periods, excluding those fully covered by other reporting mechanisms.</t>
        </is>
      </c>
      <c r="L678" s="11" t="inlineStr">
        <is>
          <t>Defines reporting timelines and scope for compliance reports; critical for DTIA to determine reporting obligations when transferring financial data.</t>
        </is>
      </c>
      <c r="M678" s="11" t="inlineStr">
        <is>
          <t>• [Must] Reporting entity must give AUSTRAC CEO a report relating to compliance with Act, regulations and AML/CTF Rules during reporting period within lodgment period</t>
        </is>
      </c>
      <c r="N678" s="11" t="inlineStr"/>
      <c r="O678" s="11" t="inlineStr">
        <is>
          <t>A reporting entity must, within the lodgment period for a reporting period, give the AUSTRAC CEO a report relating to the reporting entity's compliance with this Act, the regulations and the AML/CTF Rules during the reporting period.</t>
        </is>
      </c>
      <c r="P678" s="12" t="n">
        <v>13</v>
      </c>
    </row>
    <row r="679">
      <c r="A679" t="inlineStr">
        <is>
          <t>Australia</t>
        </is>
      </c>
      <c r="B679" t="inlineStr">
        <is>
          <t>C2026C00220 (Australia - Row 2)</t>
        </is>
      </c>
      <c r="C679" t="inlineStr">
        <is>
          <t>157</t>
        </is>
      </c>
      <c r="D679" s="11" t="inlineStr">
        <is>
          <t>Self-incrimination exemption for reports</t>
        </is>
      </c>
      <c r="E679" t="inlineStr">
        <is>
          <t>175–176</t>
        </is>
      </c>
      <c r="F679" t="inlineStr">
        <is>
          <t>High</t>
        </is>
      </c>
      <c r="G679" t="inlineStr">
        <is>
          <t>High (explicit)</t>
        </is>
      </c>
      <c r="H679" s="11" t="inlineStr">
        <is>
          <t>AML</t>
        </is>
      </c>
      <c r="I679" s="11" t="inlineStr">
        <is>
          <t>Financial Data</t>
        </is>
      </c>
      <c r="J679" t="inlineStr">
        <is>
          <t>AUSTRAC CEO</t>
        </is>
      </c>
      <c r="K679" s="11" t="inlineStr">
        <is>
          <t>A person cannot claim self-incrimination as a defense when providing reports under section 47. The report may be used in proceedings for contraventions of section 47(2), offenses under section 136, or section 137.1 of the Criminal Code. This ensures full cooperation with AUSTRAC reporting requirements.</t>
        </is>
      </c>
      <c r="L679" s="11" t="inlineStr">
        <is>
          <t>Clarifies that reporting entities cannot avoid obligations due to self-incrimination concerns; relevant for DTIA to ensure compliance with reporting requirements.</t>
        </is>
      </c>
      <c r="M679" s="11" t="inlineStr">
        <is>
          <t>• [Must] A person is not excused from giving a report under section 47 on the ground that the report might tend to incriminate the person</t>
        </is>
      </c>
      <c r="N679" s="11" t="inlineStr"/>
      <c r="O679" s="11" t="inlineStr">
        <is>
          <t>A person is not excused from giving a report under section 47 on the ground that the report might tend to incriminate the person or expose the person to a penalty.</t>
        </is>
      </c>
      <c r="P679" s="12" t="n">
        <v>13</v>
      </c>
    </row>
    <row r="680">
      <c r="A680" t="inlineStr">
        <is>
          <t>Australia</t>
        </is>
      </c>
      <c r="B680" t="inlineStr">
        <is>
          <t>C2026C00220 (Australia - Row 2)</t>
        </is>
      </c>
      <c r="C680" t="inlineStr">
        <is>
          <t>158</t>
        </is>
      </c>
      <c r="D680" s="11" t="inlineStr">
        <is>
          <t>Amending or withdrawing reports</t>
        </is>
      </c>
      <c r="E680" t="inlineStr">
        <is>
          <t>176–177</t>
        </is>
      </c>
      <c r="F680" t="inlineStr">
        <is>
          <t>High</t>
        </is>
      </c>
      <c r="G680" t="inlineStr">
        <is>
          <t>High (explicit)</t>
        </is>
      </c>
      <c r="H680" s="11" t="inlineStr">
        <is>
          <t>AML</t>
        </is>
      </c>
      <c r="I680" s="11" t="inlineStr">
        <is>
          <t>Financial Data</t>
        </is>
      </c>
      <c r="J680" t="inlineStr"/>
      <c r="K680" s="11" t="inlineStr">
        <is>
          <t>AML/CTF Rules may specify procedures for amending or withdrawing reports submitted under sections 41, 43, 46, or 46A. This includes timeframes for requests, amendment processes, and consequences of amendments. The rules may address how reports are modified or withdrawn after submission.</t>
        </is>
      </c>
      <c r="L680" s="11" t="inlineStr">
        <is>
          <t>Allows for report corrections or withdrawals; important for DTIA to assess how data transfers can be adjusted post-implementation.</t>
        </is>
      </c>
      <c r="M680" s="11" t="inlineStr">
        <is>
          <t>• [May] AML/CTF Rules may make provision in relation to amendment or withdrawal of reports given under sections 41, 43, 46 or 46A</t>
        </is>
      </c>
      <c r="N680" s="11" t="inlineStr"/>
      <c r="O680" s="11" t="inlineStr">
        <is>
          <t>The AML/CTF Rules may make provision in relation to the amendment or withdrawal of a report given under section 41, 43, 46 or 46A.</t>
        </is>
      </c>
      <c r="P680" s="12" t="n">
        <v>13</v>
      </c>
    </row>
    <row r="681">
      <c r="A681" t="inlineStr">
        <is>
          <t>Australia</t>
        </is>
      </c>
      <c r="B681" t="inlineStr">
        <is>
          <t>C2026C00220 (Australia - Row 2)</t>
        </is>
      </c>
      <c r="C681" t="inlineStr">
        <is>
          <t>159</t>
        </is>
      </c>
      <c r="D681" s="11" t="inlineStr">
        <is>
          <t>Requesting additional information from reporting entities</t>
        </is>
      </c>
      <c r="E681" t="inlineStr">
        <is>
          <t>177–178</t>
        </is>
      </c>
      <c r="F681" t="inlineStr">
        <is>
          <t>High</t>
        </is>
      </c>
      <c r="G681" t="inlineStr">
        <is>
          <t>High (explicit)</t>
        </is>
      </c>
      <c r="H681" s="11" t="inlineStr">
        <is>
          <t>AML</t>
        </is>
      </c>
      <c r="I681" s="11" t="inlineStr">
        <is>
          <t>Financial Data</t>
        </is>
      </c>
      <c r="J681" t="inlineStr">
        <is>
          <t>AUSTRAC CEO</t>
        </is>
      </c>
      <c r="K681" s="11" t="inlineStr">
        <is>
          <t>AUSTRAC CEO may require reporting entities to provide additional information or documents within specified timeframes. The notice must be issued only if the recipient has knowledge or possession of the information. The 14-day minimum timeframe applies unless the issuer considers a shorter period is reasonable and necessary.</t>
        </is>
      </c>
      <c r="L681" s="11" t="inlineStr">
        <is>
          <t>Allows AUSTRAC to request additional data from entities; relevant for DTIA to assess data sharing requirements when transferring financial information.</t>
        </is>
      </c>
      <c r="M681" s="11" t="inlineStr">
        <is>
          <t>• [May] AUSTRAC CEO may require reporting entity to provide further information within specified period
• [Must] Issuer must reasonably believe recipient has knowledge or possession of specified information</t>
        </is>
      </c>
      <c r="N681" s="11" t="inlineStr">
        <is>
          <t>• [Condition] Period for providing information must be at least 14 days unless issuer considers shorter period is reasonable</t>
        </is>
      </c>
      <c r="O681" s="11" t="inlineStr">
        <is>
          <t>may, by written notice given to the reporting entity or any other person, require the reporting entity or other person: to give such further information as is specified in the notice, within the period and in the manner specified in the notice</t>
        </is>
      </c>
      <c r="P681" s="12" t="n">
        <v>13</v>
      </c>
    </row>
    <row r="682">
      <c r="A682" t="inlineStr">
        <is>
          <t>Australia</t>
        </is>
      </c>
      <c r="B682" t="inlineStr">
        <is>
          <t>C2026C00220 (Australia - Row 2)</t>
        </is>
      </c>
      <c r="C682" t="inlineStr">
        <is>
          <t>160</t>
        </is>
      </c>
      <c r="D682" s="11" t="inlineStr">
        <is>
          <t>AML/CTF reporting for remittance affiliates</t>
        </is>
      </c>
      <c r="E682" t="inlineStr">
        <is>
          <t>178–179</t>
        </is>
      </c>
      <c r="F682" t="inlineStr">
        <is>
          <t>High</t>
        </is>
      </c>
      <c r="G682" t="inlineStr">
        <is>
          <t>High (explicit)</t>
        </is>
      </c>
      <c r="H682" s="11" t="inlineStr">
        <is>
          <t>AML</t>
        </is>
      </c>
      <c r="I682" s="11" t="inlineStr">
        <is>
          <t>Financial Data</t>
        </is>
      </c>
      <c r="J682" t="inlineStr"/>
      <c r="K682" s="11" t="inlineStr">
        <is>
          <t>AML/CTF Rules may specify reporting obligations for registered remittance affiliates within remittance networks. These rules may allow remittance network providers to fulfill obligations of affiliates or accept reports from providers instead of affiliates. This ensures consistent reporting across remittance channels.</t>
        </is>
      </c>
      <c r="L682" s="11" t="inlineStr">
        <is>
          <t>Addresses reporting for remittance services; critical for DTIA when assessing cross-border financial data transfers involving remittance networks.</t>
        </is>
      </c>
      <c r="M682" s="11" t="inlineStr">
        <is>
          <t>• [May] AML/CTF Rules may make provision for reports required by registered remittance affiliates</t>
        </is>
      </c>
      <c r="N682" s="11" t="inlineStr"/>
      <c r="O682" s="11" t="inlineStr">
        <is>
          <t>The AML/CTF Rules may make provision for and in relation to reports required by this Part to be given by a reporting entity that is a registered remittance affiliate of a registered remittance network provider.</t>
        </is>
      </c>
      <c r="P682" s="12" t="n">
        <v>13</v>
      </c>
    </row>
    <row r="683">
      <c r="A683" t="inlineStr">
        <is>
          <t>Australia</t>
        </is>
      </c>
      <c r="B683" t="inlineStr">
        <is>
          <t>C2026C00220 (Australia - Row 2)</t>
        </is>
      </c>
      <c r="C683" t="inlineStr">
        <is>
          <t>161</t>
        </is>
      </c>
      <c r="D683" s="11" t="inlineStr">
        <is>
          <t>Compiling information for money laundering investigations</t>
        </is>
      </c>
      <c r="E683" t="inlineStr">
        <is>
          <t>179–180</t>
        </is>
      </c>
      <c r="F683" t="inlineStr">
        <is>
          <t>High</t>
        </is>
      </c>
      <c r="G683" t="inlineStr">
        <is>
          <t>High (explicit)</t>
        </is>
      </c>
      <c r="H683" s="11" t="inlineStr">
        <is>
          <t>AML, Cross-border Transfer, Data Sharing, Financial Data</t>
        </is>
      </c>
      <c r="I683" s="11" t="inlineStr">
        <is>
          <t>Financial Data</t>
        </is>
      </c>
      <c r="J683" t="inlineStr">
        <is>
          <t>AUSTRAC CEO</t>
        </is>
      </c>
      <c r="K683" s="11" t="inlineStr">
        <is>
          <t>This section requires persons to provide information or documents to AUSTRAC CEO within specified timeframes when the information relates to money laundering, terrorism financing, proliferation financing, or other serious crimes. The notice must specify the information or documents required and the timeframe for compliance. The AUSTRAC CEO must reasonably believe the person has knowledge or control of the specified information or documents before issuing a notice. The timeframe for compliance must be at least 14 days unless the AUSTRAC CEO considers a shorter period is necessary and reasonable.</t>
        </is>
      </c>
      <c r="L683" s="11" t="inlineStr">
        <is>
          <t>This section establishes requirements for sharing financial information with AUSTRAC during money laundering investigations, impacting data transfer to Australian authorities for cross-border financial crime monitoring.</t>
        </is>
      </c>
      <c r="M683" s="11" t="inlineStr">
        <is>
          <t>• [Must] Provide information to AUSTRAC CEO within period and manner specified in notice
• [Must] Produce documents to AUSTRAC CEO within period and manner specified in notice</t>
        </is>
      </c>
      <c r="N683" s="11" t="inlineStr">
        <is>
          <t>• [Condition] AUSTRAC CEO must reasonably believe person has knowledge or control of specified information/documents
• [Condition] Compliance timeframe must be at least 14 days unless shorter period is considered necessary and reasonable</t>
        </is>
      </c>
      <c r="O683" s="11" t="inlineStr">
        <is>
          <t>161 (b) identifying trends, patterns, threats or vulnerabilities associated with money laundering, terrorism financing, proliferation financing or other serious crimes; for the purposes of the performance of functions of the AUSTRAC CEO. (3) The AUSTRAC CEO must not give a notice under subsection (2) to a person unless the AUSTRAC CEO reasonably believes that the person has knowledge of the information, or possession or control of the document, that is specified in the notice.</t>
        </is>
      </c>
      <c r="P683" s="12" t="n">
        <v>13</v>
      </c>
    </row>
    <row r="684">
      <c r="A684" t="inlineStr">
        <is>
          <t>Australia</t>
        </is>
      </c>
      <c r="B684" t="inlineStr">
        <is>
          <t>C2026C00220 (Australia - Row 2)</t>
        </is>
      </c>
      <c r="C684" t="inlineStr">
        <is>
          <t>162</t>
        </is>
      </c>
      <c r="D684" s="11" t="inlineStr">
        <is>
          <t>Authorised disclosure of financial information to AUSTRAC</t>
        </is>
      </c>
      <c r="E684" t="inlineStr">
        <is>
          <t>180–181</t>
        </is>
      </c>
      <c r="F684" t="inlineStr">
        <is>
          <t>High</t>
        </is>
      </c>
      <c r="G684" t="inlineStr">
        <is>
          <t>High (explicit)</t>
        </is>
      </c>
      <c r="H684" s="11" t="inlineStr">
        <is>
          <t>AML, Cross-border Transfer, Data Sharing, Financial Data</t>
        </is>
      </c>
      <c r="I684" s="11" t="inlineStr">
        <is>
          <t>Financial Data</t>
        </is>
      </c>
      <c r="J684" t="inlineStr">
        <is>
          <t>AUSTRAC CEO</t>
        </is>
      </c>
      <c r="K684" s="11" t="inlineStr">
        <is>
          <t>This section authorises AUSTRAC CEO to require persons to provide information or documents related to money laundering, terrorism financing, proliferation financing, or other serious crimes. The notice must specify the effect of subsection (5) which relates to civil penalties. The person must comply with the notice, and the notice is a civil penalty provision.</t>
        </is>
      </c>
      <c r="L684" s="11" t="inlineStr">
        <is>
          <t>This section provides the legal basis for AUSTRAC to obtain financial information from entities for anti-money laundering purposes, affecting data transfer to Australian authorities.</t>
        </is>
      </c>
      <c r="M684" s="11" t="inlineStr">
        <is>
          <t>• [Authorisation] AUSTRAC CEO may authorise person to give information to AUSTRAC CEO
• [Authorisation] AUSTRAC CEO may authorise person to produce documents to AUSTRAC CEO</t>
        </is>
      </c>
      <c r="N684" s="11" t="inlineStr">
        <is>
          <t>• [Civil penalty] Compliance with notice is a civil penalty provision</t>
        </is>
      </c>
      <c r="O684" s="11" t="inlineStr">
        <is>
          <t>49C (1) This section applies if a person has information or a document that may assist the AUSTRAC CEO with: (a) obtaining or analysing information to support efforts to combat money laundering, terrorism financing, proliferation financing or other serious crimes; or (b) identifying trends, patterns, threats or vulnerabilities associated with money laundering, terrorism financing, proliferation financing or other serious crimes; for the purposes of the performance of functions of the AUSTRAC CEO.</t>
        </is>
      </c>
      <c r="P684" s="12" t="n">
        <v>13</v>
      </c>
    </row>
    <row r="685">
      <c r="A685" t="inlineStr">
        <is>
          <t>Australia</t>
        </is>
      </c>
      <c r="B685" t="inlineStr">
        <is>
          <t>C2026C00220 (Australia - Row 2)</t>
        </is>
      </c>
      <c r="C685" t="inlineStr">
        <is>
          <t>163</t>
        </is>
      </c>
      <c r="D685" s="11" t="inlineStr">
        <is>
          <t>Reporting foreign card holder information to AUSTRAC</t>
        </is>
      </c>
      <c r="E685" t="inlineStr">
        <is>
          <t>181–182</t>
        </is>
      </c>
      <c r="F685" t="inlineStr">
        <is>
          <t>High</t>
        </is>
      </c>
      <c r="G685" t="inlineStr">
        <is>
          <t>High (explicit)</t>
        </is>
      </c>
      <c r="H685" s="11" t="inlineStr">
        <is>
          <t>AML, Cross-border Transfer, Data Sharing, Financial Data</t>
        </is>
      </c>
      <c r="I685" s="11" t="inlineStr">
        <is>
          <t>Financial Data</t>
        </is>
      </c>
      <c r="J685" t="inlineStr">
        <is>
          <t>AUSTRAC CEO</t>
        </is>
      </c>
      <c r="K685" s="11" t="inlineStr">
        <is>
          <t>This section requires reporting entities to provide information about foreign credit or debit card holders to AUSTRAC when the card issuer is outside Australia and the reporting entity lacks that information. AUSTRAC CEO or Commissioner of Taxation may direct reporting entities to give card issuers a request for information. Reporting entities must comply with the direction within 10 business days.</t>
        </is>
      </c>
      <c r="L685" s="11" t="inlineStr">
        <is>
          <t>This section mandates specific data sharing with AUSTRAC for foreign card transactions, impacting cross-border financial data transfers for AML compliance.</t>
        </is>
      </c>
      <c r="M685" s="11" t="inlineStr">
        <is>
          <t>• [Must] Reporting entity must comply with AUSTRAC CEO or Commissioner of Taxation direction within 10 business days
• [Must] Reporting entity must give AUSTRAC CEO report about card issuer's response within 20 business days</t>
        </is>
      </c>
      <c r="N685" s="11" t="inlineStr">
        <is>
          <t>• [Must] Reporting entity must give Commissioner of Taxation report about card issuer's response within 20 business days</t>
        </is>
      </c>
      <c r="O685" s="11" t="inlineStr">
        <is>
          <t>50 (2) The AUSTRAC CEO or the Commissioner of Taxation may, by written notice given to the reporting entity, direct the reporting entity to give the card issuer a request, in a form specified in the notice, to give the information to the reporting entity.</t>
        </is>
      </c>
      <c r="P685" s="12" t="n">
        <v>13</v>
      </c>
    </row>
    <row r="686">
      <c r="A686" t="inlineStr">
        <is>
          <t>Australia</t>
        </is>
      </c>
      <c r="B686" t="inlineStr">
        <is>
          <t>C2026C00220 (Australia - Row 2)</t>
        </is>
      </c>
      <c r="C686" t="inlineStr">
        <is>
          <t>164</t>
        </is>
      </c>
      <c r="D686" s="11" t="inlineStr">
        <is>
          <t>Reporting foreign card holder information to AUSTRAC</t>
        </is>
      </c>
      <c r="E686" t="inlineStr">
        <is>
          <t>182–183</t>
        </is>
      </c>
      <c r="F686" t="inlineStr">
        <is>
          <t>High</t>
        </is>
      </c>
      <c r="G686" t="inlineStr">
        <is>
          <t>High (explicit)</t>
        </is>
      </c>
      <c r="H686" s="11" t="inlineStr">
        <is>
          <t>AML, Cross-border Transfer, Data Sharing, Financial Data</t>
        </is>
      </c>
      <c r="I686" s="11" t="inlineStr">
        <is>
          <t>Financial Data</t>
        </is>
      </c>
      <c r="J686" t="inlineStr">
        <is>
          <t>AUSTRAC CEO</t>
        </is>
      </c>
      <c r="K686" s="11" t="inlineStr">
        <is>
          <t>This section requires reporting entities to provide information about foreign credit or debit card holders to AUSTRAC when the card issuer is outside Australia and the reporting entity lacks that information. AUSTRAC CEO or Commissioner of Taxation may direct reporting entities to give card issuers a request for information. Reporting entities must comply with the direction within 10 business days.</t>
        </is>
      </c>
      <c r="L686" s="11" t="inlineStr">
        <is>
          <t>This section mandates specific data sharing with AUSTRAC for foreign card transactions, impacting cross-border financial data transfers for AML compliance.</t>
        </is>
      </c>
      <c r="M686" s="11" t="inlineStr">
        <is>
          <t>• [Must] Reporting entity must comply with direction within 10 business days</t>
        </is>
      </c>
      <c r="N686" s="11" t="inlineStr">
        <is>
          <t>• [Must] Reporting entity must report card issuer's response within 20 business days</t>
        </is>
      </c>
      <c r="O686" s="11" t="inlineStr">
        <is>
          <t>164 (3) The reporting entity must comply with the direction within 10 business days after the day on which the direction is given.</t>
        </is>
      </c>
      <c r="P686" s="12" t="n">
        <v>13</v>
      </c>
    </row>
    <row r="687">
      <c r="A687" t="inlineStr">
        <is>
          <t>Australia</t>
        </is>
      </c>
      <c r="B687" t="inlineStr">
        <is>
          <t>C2026C00220 (Australia - Row 2)</t>
        </is>
      </c>
      <c r="C687" t="inlineStr">
        <is>
          <t>165</t>
        </is>
      </c>
      <c r="D687" s="11" t="inlineStr">
        <is>
          <t>Secrecy for financial information obtained under AML sections</t>
        </is>
      </c>
      <c r="E687" t="inlineStr">
        <is>
          <t>183–184</t>
        </is>
      </c>
      <c r="F687" t="inlineStr">
        <is>
          <t>High</t>
        </is>
      </c>
      <c r="G687" t="inlineStr">
        <is>
          <t>High (explicit)</t>
        </is>
      </c>
      <c r="H687" s="11" t="inlineStr">
        <is>
          <t>AML, Data Sharing, Financial Data</t>
        </is>
      </c>
      <c r="I687" s="11" t="inlineStr">
        <is>
          <t>Financial Data</t>
        </is>
      </c>
      <c r="J687" t="inlineStr">
        <is>
          <t>AUSTRAC</t>
        </is>
      </c>
      <c r="K687" s="11" t="inlineStr">
        <is>
          <t>This section establishes secrecy requirements for information obtained under sections 49, 49B, or 49C. The information must be kept confidential by entrusted investigating officials unless disclosure is for the purposes of their functions, disclosure to other entrusted officials, or disclosure to IGIS officials. The secrecy does not apply when necessary for courts or tribunals.</t>
        </is>
      </c>
      <c r="L687" s="11" t="inlineStr">
        <is>
          <t>This section governs the confidentiality of financial information obtained during AML investigations, affecting data retention and sharing practices across borders.</t>
        </is>
      </c>
      <c r="M687" s="11" t="inlineStr">
        <is>
          <t>• [Must] Person must keep information confidential obtained under sections 49, 49B, or 49C
• [Exception] Confidentiality does not apply if disclosure is for purposes of functions as entrusted investigating official</t>
        </is>
      </c>
      <c r="N687" s="11" t="inlineStr">
        <is>
          <t>• [Exception] Confidentiality does not apply if disclosure is to another entrusted investigating official
• [Exception] Confidentiality does not apply if disclosure is to IGIS official for their functions</t>
        </is>
      </c>
      <c r="O687" s="11" t="inlineStr">
        <is>
          <t>50A (1) A person is not to be required to produce a document containing information obtained by the person under section 49, 49B or 49C to a court or tribunal; or to disclose information obtained by the person under section 49, 49B or 49C to a court or tribunal.</t>
        </is>
      </c>
      <c r="P687" s="12" t="n">
        <v>13</v>
      </c>
    </row>
    <row r="688">
      <c r="A688" t="inlineStr">
        <is>
          <t>Australia</t>
        </is>
      </c>
      <c r="B688" t="inlineStr">
        <is>
          <t>C2026C00220 (Australia - Row 2)</t>
        </is>
      </c>
      <c r="C688" t="inlineStr">
        <is>
          <t>166</t>
        </is>
      </c>
      <c r="D688" s="11" t="inlineStr">
        <is>
          <t>Legal immunity for AML information disclosures</t>
        </is>
      </c>
      <c r="E688" t="inlineStr">
        <is>
          <t>184–185</t>
        </is>
      </c>
      <c r="F688" t="inlineStr">
        <is>
          <t>High</t>
        </is>
      </c>
      <c r="G688" t="inlineStr">
        <is>
          <t>High (explicit)</t>
        </is>
      </c>
      <c r="H688" s="11" t="inlineStr">
        <is>
          <t>AML, Data Sharing, Financial Data</t>
        </is>
      </c>
      <c r="I688" s="11" t="inlineStr">
        <is>
          <t>Financial Data</t>
        </is>
      </c>
      <c r="J688" t="inlineStr">
        <is>
          <t>AUSTRAC</t>
        </is>
      </c>
      <c r="K688" s="11" t="inlineStr">
        <is>
          <t>This section provides legal immunity for persons who communicate or give information under specified AML sections. The person is not considered to have been in possession of the information at any time for the purposes of Division 400 and Chapter 5 of the Criminal Code.</t>
        </is>
      </c>
      <c r="L688" s="11" t="inlineStr">
        <is>
          <t>This section ensures that disclosures of financial information under AML sections do not constitute criminal possession of information for legal purposes.</t>
        </is>
      </c>
      <c r="M688" s="11" t="inlineStr">
        <is>
          <t>• [Exception] Person is not considered to have been in possession of information under sections 41, 43, 46, 46A, 49, 49B or 49C for criminal purposes</t>
        </is>
      </c>
      <c r="N688" s="11" t="inlineStr"/>
      <c r="O688" s="11" t="inlineStr">
        <is>
          <t>51 If a person, or an officer, employee or agent of a person, communicates or gives information under section 41, 43, 46, 46A, 49, 49B or 49C, the person, officer, employee or agent is taken, for the purposes of Division 400 and Chapter 5 of the Criminal Code, not to have been in possession of that information at any time.</t>
        </is>
      </c>
      <c r="P688" s="12" t="n">
        <v>13</v>
      </c>
    </row>
    <row r="689">
      <c r="A689" t="inlineStr">
        <is>
          <t>Australia</t>
        </is>
      </c>
      <c r="B689" t="inlineStr">
        <is>
          <t>C2026C00220 (Australia - Row 2)</t>
        </is>
      </c>
      <c r="C689" t="inlineStr">
        <is>
          <t>167</t>
        </is>
      </c>
      <c r="D689" s="11" t="inlineStr">
        <is>
          <t>Reporting entities must be enrolled on the roll</t>
        </is>
      </c>
      <c r="E689" t="inlineStr">
        <is>
          <t>185–187</t>
        </is>
      </c>
      <c r="F689" t="inlineStr">
        <is>
          <t>High</t>
        </is>
      </c>
      <c r="G689" t="inlineStr">
        <is>
          <t>High (explicit)</t>
        </is>
      </c>
      <c r="H689" s="11" t="inlineStr">
        <is>
          <t>Cross-border Transfer, Financial Data</t>
        </is>
      </c>
      <c r="I689" s="11" t="inlineStr">
        <is>
          <t>Financial Data</t>
        </is>
      </c>
      <c r="J689" t="inlineStr">
        <is>
          <t>AUSTRAC CEO</t>
        </is>
      </c>
      <c r="K689" s="11" t="inlineStr">
        <is>
          <t>Reporting entities must be entered on the Reporting Entities Roll. If a person starts providing a designated service and isn't already on the roll, they must apply for enrolment within 28 days. This obligation continues until they enrol or cease being a reporting entity. Multiple contraventions are counted per day the deadline passes without action. The roll is maintained electronically by AUSTRAC CEO and can be corrected or removed under specific conditions.</t>
        </is>
      </c>
      <c r="L689" s="11" t="inlineStr">
        <is>
          <t>Requires entities to register for cross-border financial reporting, impacting data transfer assessments by mandating real-time registration of financial entities handling monetary instruments across borders.</t>
        </is>
      </c>
      <c r="M689" s="11" t="inlineStr">
        <is>
          <t>• [Must] Reporting entities must be entered on the Reporting Entities Roll
• [Must] If a person commences to provide a designated service and their name is not on the roll, they must apply for enrolment within 28 days
• [Condition] The obligation to apply for enrolment continues until the person enrolls or ceases being a reporting entity</t>
        </is>
      </c>
      <c r="N689" s="11" t="inlineStr">
        <is>
          <t>• [Must] A person who fails to apply by the deadline commits a separate contravention for each day until they enrol or cease being a reporting entity
• [Must] The AUSTRAC CEO must maintain the Reporting Entities Roll electronically</t>
        </is>
      </c>
      <c r="O689" s="11" t="inlineStr">
        <is>
          <t>Reporting entities must be entered on the Reporting Entities Roll. If a person commences to provide a designated service and their name is not entered on the Reporting Entities Roll, the person must, no later than 28 days after the day on which the person commences to provide the designated service, apply under subsection 51E(1) for enrolment as a reporting entity.</t>
        </is>
      </c>
      <c r="P689" s="12" t="n">
        <v>13</v>
      </c>
    </row>
    <row r="690">
      <c r="A690" t="inlineStr">
        <is>
          <t>Australia</t>
        </is>
      </c>
      <c r="B690" t="inlineStr">
        <is>
          <t>C2026C00220 (Australia - Row 2)</t>
        </is>
      </c>
      <c r="C690" t="inlineStr">
        <is>
          <t>169</t>
        </is>
      </c>
      <c r="D690" s="11" t="inlineStr">
        <is>
          <t>Enrolment and removal of reporting entities from roll</t>
        </is>
      </c>
      <c r="E690" t="inlineStr">
        <is>
          <t>187–189</t>
        </is>
      </c>
      <c r="F690" t="inlineStr">
        <is>
          <t>High</t>
        </is>
      </c>
      <c r="G690" t="inlineStr">
        <is>
          <t>High (explicit)</t>
        </is>
      </c>
      <c r="H690" s="11" t="inlineStr">
        <is>
          <t>Cross-border Transfer, Financial Data</t>
        </is>
      </c>
      <c r="I690" s="11" t="inlineStr">
        <is>
          <t>Financial Data</t>
        </is>
      </c>
      <c r="J690" t="inlineStr">
        <is>
          <t>AUSTRAC CEO</t>
        </is>
      </c>
      <c r="K690" s="11" t="inlineStr">
        <is>
          <t>When a person applies for enrolment and isn't already on the roll, AUSTRAC CEO must enter their name and enrolment details. A person can request removal of their name and details from the roll if they've ceased providing designated services or are unlikely to provide services in the next financial year. AUSTRAC CEO must consider the request based on whether the person has ceased services, likelihood of future services, and outstanding obligations.</t>
        </is>
      </c>
      <c r="L690" s="11" t="inlineStr">
        <is>
          <t>Defines conditions for adding and removing entities from the roll, critical for DTIA as it affects which entities must be registered for cross-border financial data transfers.</t>
        </is>
      </c>
      <c r="M690" s="11" t="inlineStr">
        <is>
          <t>• [Must] If a person applies to AUSTRAC CEO and their name is not on the roll, AUSTRAC CEO must enter their name and enrolment details
• [May] A person may request AUSTRAC CEO to remove their name and enrolment details from the roll</t>
        </is>
      </c>
      <c r="N690" s="11" t="inlineStr">
        <is>
          <t>• [Must] AUSTRAC CEO must consider the request based on whether the person has ceased providing designated services, likelihood of future services, and outstanding obligations</t>
        </is>
      </c>
      <c r="O690" s="11" t="inlineStr">
        <is>
          <t>If a person applies to the AUSTRAC CEO under subsection 51E(1) and the person's name is not already entered on the Reporting Entities Roll, the AUSTRAC CEO must enter on the Reporting Entities Roll: (a) the person's name; and (b) the person's enrolment details.</t>
        </is>
      </c>
      <c r="P690" s="12" t="n">
        <v>13</v>
      </c>
    </row>
    <row r="691">
      <c r="A691" t="inlineStr">
        <is>
          <t>Australia</t>
        </is>
      </c>
      <c r="B691" t="inlineStr">
        <is>
          <t>C2026C00220 (Australia - Row 2)</t>
        </is>
      </c>
      <c r="C691" t="inlineStr">
        <is>
          <t>171</t>
        </is>
      </c>
      <c r="D691" s="11" t="inlineStr">
        <is>
          <t>Cross-border monetary instrument movements require reporting</t>
        </is>
      </c>
      <c r="E691" t="inlineStr">
        <is>
          <t>189–190</t>
        </is>
      </c>
      <c r="F691" t="inlineStr">
        <is>
          <t>High</t>
        </is>
      </c>
      <c r="G691" t="inlineStr">
        <is>
          <t>High (explicit)</t>
        </is>
      </c>
      <c r="H691" s="11" t="inlineStr">
        <is>
          <t>Cross-border Transfer, Financial Data</t>
        </is>
      </c>
      <c r="I691" s="11" t="inlineStr">
        <is>
          <t>Financial Data</t>
        </is>
      </c>
      <c r="J691" t="inlineStr">
        <is>
          <t>AUSTRAC CEO</t>
        </is>
      </c>
      <c r="K691" s="11" t="inlineStr">
        <is>
          <t>Cross-border movements of monetary instruments valued at $10,000 or more must be reported to AUSTRAC CEO, a customs officer, or a police officer. This applies to both incoming and outgoing movements of funds across borders, with specific exemptions for commercial carriers and goods carriers.</t>
        </is>
      </c>
      <c r="L691" s="11" t="inlineStr">
        <is>
          <t>Mandates reporting of cross-border financial transfers exceeding $10,000, directly impacting DTIA by requiring assessment of reporting mechanisms for international monetary transfers.</t>
        </is>
      </c>
      <c r="M691" s="11" t="inlineStr">
        <is>
          <t>• [Must] Cross-border movements of monetary instruments valued at $10,000 or more must be reported to AUSTRAC CEO, a customs officer, or a police officer</t>
        </is>
      </c>
      <c r="N691" s="11" t="inlineStr"/>
      <c r="O691" s="11" t="inlineStr">
        <is>
          <t>Cross-border movements of monetary instruments must be reported to the AUSTRAC CEO, a customs officer or a police officer if the total value moved is $10,000 or more.</t>
        </is>
      </c>
      <c r="P691" s="12" t="n">
        <v>13</v>
      </c>
    </row>
    <row r="692">
      <c r="A692" t="inlineStr">
        <is>
          <t>Australia</t>
        </is>
      </c>
      <c r="B692" t="inlineStr">
        <is>
          <t>C2026C00220 (Australia - Row 2)</t>
        </is>
      </c>
      <c r="C692" t="inlineStr">
        <is>
          <t>172</t>
        </is>
      </c>
      <c r="D692" s="11" t="inlineStr">
        <is>
          <t>Reporting obligations for cross-border monetary movements</t>
        </is>
      </c>
      <c r="E692" t="inlineStr">
        <is>
          <t>190–191</t>
        </is>
      </c>
      <c r="F692" t="inlineStr">
        <is>
          <t>High</t>
        </is>
      </c>
      <c r="G692" t="inlineStr">
        <is>
          <t>High (explicit)</t>
        </is>
      </c>
      <c r="H692" s="11" t="inlineStr">
        <is>
          <t>Cross-border Transfer, Financial Data</t>
        </is>
      </c>
      <c r="I692" s="11" t="inlineStr">
        <is>
          <t>Financial Data</t>
        </is>
      </c>
      <c r="J692" t="inlineStr">
        <is>
          <t>AUSTRAC CEO</t>
        </is>
      </c>
      <c r="K692" s="11" t="inlineStr">
        <is>
          <t>Moving monetary instruments into or out of Australia valued at $10,000 or more requires a report to AUSTRAC CEO, a customs officer, or a police officer. This includes both the movement and receipt of funds, with specific exemptions for commercial passenger and goods carriers. Reports must contain specified information and be submitted within 5 business days of receipt.</t>
        </is>
      </c>
      <c r="L692" s="11" t="inlineStr">
        <is>
          <t>Requires detailed reporting of cross-border financial transactions exceeding $10,000, critical for DTIA as it defines the scope and timing for international financial data transfers.</t>
        </is>
      </c>
      <c r="M692" s="11" t="inlineStr">
        <is>
          <t>• [Must] A person must report movements of monetary instruments into or out of Australia valued at $10,000 or more to AUSTRAC CEO, a customs officer, or a police officer</t>
        </is>
      </c>
      <c r="N692" s="11" t="inlineStr">
        <is>
          <t>• [Must] Reports must be given within 5 business days of the receipt of monetary instruments</t>
        </is>
      </c>
      <c r="O692" s="11" t="inlineStr">
        <is>
          <t>A person must not move one or more monetary instruments into Australia or out of Australia if the sum of the monetary instrument amounts is $10,000 or more and a report in respect of the movement is not given in accordance with this section.</t>
        </is>
      </c>
      <c r="P692" s="12" t="n">
        <v>13</v>
      </c>
    </row>
    <row r="693">
      <c r="A693" t="inlineStr">
        <is>
          <t>Australia</t>
        </is>
      </c>
      <c r="B693" t="inlineStr">
        <is>
          <t>C2026C00220 (Australia - Row 2)</t>
        </is>
      </c>
      <c r="C693" t="inlineStr">
        <is>
          <t>175</t>
        </is>
      </c>
      <c r="D693" s="11" t="inlineStr">
        <is>
          <t>Definition of moving monetary instruments out of Australia</t>
        </is>
      </c>
      <c r="E693" t="inlineStr">
        <is>
          <t>193–194</t>
        </is>
      </c>
      <c r="F693" t="inlineStr">
        <is>
          <t>High</t>
        </is>
      </c>
      <c r="G693" t="inlineStr">
        <is>
          <t>High (explicit)</t>
        </is>
      </c>
      <c r="H693" s="11" t="inlineStr">
        <is>
          <t>Cross-border Transfer, Data Storage</t>
        </is>
      </c>
      <c r="I693" s="11" t="inlineStr">
        <is>
          <t>Financial Data</t>
        </is>
      </c>
      <c r="J693" t="inlineStr"/>
      <c r="K693" s="11" t="inlineStr">
        <is>
          <t>This section defines when a person moves a monetary instrument out of Australia. It specifies that moving occurs if the person takes or sends the instrument out of Australia. It further details that moving happens when a person leaves a place where customs officers examine passports after having the instrument in their baggage or taking it into such a place.</t>
        </is>
      </c>
      <c r="L693" s="11" t="inlineStr"/>
      <c r="M693" s="11" t="inlineStr">
        <is>
          <t>• [Must] A person moves a monetary instrument out of Australia if the person takes or sends the instrument out of Australia</t>
        </is>
      </c>
      <c r="N693" s="11" t="inlineStr">
        <is>
          <t>• [Must] A person is taken to have moved the instrument out of Australia when leaving a place where customs officers examine passports after having the instrument in their baggage or taking it into such a place</t>
        </is>
      </c>
      <c r="O693" s="11" t="inlineStr">
        <is>
          <t>175 (1) For the purposes of this Act, a person moves a monetary instrument out of Australia if the person takes or sends the instrument out of Australia. (2) For the purposes of this Act, if: (a) a person arranges to leave Australia on an aircraft or ship; and (b) either: (i) the person has a monetary instrument in the person's baggage, and the person enters a place at which customs officers examine passports; or (ii) the person takes a monetary instrument into a place at which customs officers examine passports; the person is taken to have moved the instrument out of Australia when the person leaves that place.</t>
        </is>
      </c>
      <c r="P693" s="12" t="n">
        <v>13</v>
      </c>
    </row>
    <row r="694">
      <c r="A694" t="inlineStr">
        <is>
          <t>Australia</t>
        </is>
      </c>
      <c r="B694" t="inlineStr">
        <is>
          <t>C2026C00220 (Australia - Row 2)</t>
        </is>
      </c>
      <c r="C694" t="inlineStr">
        <is>
          <t>176</t>
        </is>
      </c>
      <c r="D694" s="11" t="inlineStr">
        <is>
          <t>Customs officers' obligation to report to AUSTRAC</t>
        </is>
      </c>
      <c r="E694" t="inlineStr">
        <is>
          <t>194–195</t>
        </is>
      </c>
      <c r="F694" t="inlineStr">
        <is>
          <t>High</t>
        </is>
      </c>
      <c r="G694" t="inlineStr">
        <is>
          <t>High (explicit)</t>
        </is>
      </c>
      <c r="H694" s="11" t="inlineStr">
        <is>
          <t>Cross-border Transfer, Data Sharing, Incident Reporting</t>
        </is>
      </c>
      <c r="I694" s="11" t="inlineStr">
        <is>
          <t>Financial Data</t>
        </is>
      </c>
      <c r="J694" t="inlineStr">
        <is>
          <t>AUSTRAC</t>
        </is>
      </c>
      <c r="K694" s="11" t="inlineStr">
        <is>
          <t>Customs officers and police officers must forward reports received under sections 53 or 54 to AUSTRAC CEO within 5 business days of receipt. This applies to reports related to reporting obligations under the Act. The requirement is time-bound and specific to the reporting process.</t>
        </is>
      </c>
      <c r="L694" s="11" t="inlineStr">
        <is>
          <t>Customs officers must report cross-border financial transactions to AUSTRAC within 5 business days, impacting data transfer timelines and compliance for financial institutions.</t>
        </is>
      </c>
      <c r="M694" s="11" t="inlineStr">
        <is>
          <t>• [Must] If a customs officer or police officer receives a report under section 53 or 54, the officer must forward it to the AUSTRAC CEO before the end of 5 business days beginning on the day of the receipt</t>
        </is>
      </c>
      <c r="N694" s="11" t="inlineStr"/>
      <c r="O694" s="11" t="inlineStr">
        <is>
          <t>If a customs officer or police officer receives a report under section 53 or 54, the officer must forward it to the AUSTRAC CEO before the end of 5 business days beginning on the day of the receipt.</t>
        </is>
      </c>
      <c r="P694" s="12" t="n">
        <v>13</v>
      </c>
    </row>
    <row r="695">
      <c r="A695" t="inlineStr">
        <is>
          <t>Australia</t>
        </is>
      </c>
      <c r="B695" t="inlineStr">
        <is>
          <t>C2026C00220 (Australia - Row 2)</t>
        </is>
      </c>
      <c r="C695" t="inlineStr">
        <is>
          <t>177</t>
        </is>
      </c>
      <c r="D695" s="11" t="inlineStr">
        <is>
          <t>Customs notices for travellers to Australia</t>
        </is>
      </c>
      <c r="E695" t="inlineStr">
        <is>
          <t>195–196</t>
        </is>
      </c>
      <c r="F695" t="inlineStr">
        <is>
          <t>High</t>
        </is>
      </c>
      <c r="G695" t="inlineStr">
        <is>
          <t>High (explicit)</t>
        </is>
      </c>
      <c r="H695" s="11" t="inlineStr">
        <is>
          <t>Cross-border Transfer, Data Sharing, Incident Reporting</t>
        </is>
      </c>
      <c r="I695" s="11" t="inlineStr">
        <is>
          <t>Financial Data</t>
        </is>
      </c>
      <c r="J695" t="inlineStr"/>
      <c r="K695" s="11" t="inlineStr">
        <is>
          <t>The person in charge of an aircraft or ship traveling to Australia must provide a copy of a specified notice to all travelers on board, including crew members. This notice relates to reporting obligations under the Act and must be communicated in a manner prescribed by the AML/CTF Rules. The requirement applies to aircraft or ships that travel directly to Australia without stopping outside.</t>
        </is>
      </c>
      <c r="L695" s="11" t="inlineStr">
        <is>
          <t>Travelers must receive notices about reporting obligations before entering Australia, affecting data transfer procedures for financial transactions.</t>
        </is>
      </c>
      <c r="M695" s="11" t="inlineStr">
        <is>
          <t>• [Must] If an aircraft or ship leaves a place outside Australia to travel to a place in Australia without stopping at any other place outside Australia, the person in charge of the aircraft or ship must give a copy of the notice to all persons traveling on the aircraft or ship (including members of the crew)</t>
        </is>
      </c>
      <c r="N695" s="11" t="inlineStr"/>
      <c r="O695" s="11" t="inlineStr">
        <is>
          <t>If an aircraft or ship leaves a place outside Australia to travel to a place in Australia without stopping at any other place outside Australia, the person in charge of the aircraft or ship must: (a) give a copy of the notice, or communicate the information contained in the notice in the manner prescribed by the AML/CTF Rules, to all persons travelling on the aircraft or ship (including members of the crew);</t>
        </is>
      </c>
      <c r="P695" s="12" t="n">
        <v>13</v>
      </c>
    </row>
    <row r="696">
      <c r="A696" t="inlineStr">
        <is>
          <t>Australia</t>
        </is>
      </c>
      <c r="B696" t="inlineStr">
        <is>
          <t>C2026C00220 (Australia - Row 2)</t>
        </is>
      </c>
      <c r="C696" t="inlineStr">
        <is>
          <t>179</t>
        </is>
      </c>
      <c r="D696" s="11" t="inlineStr">
        <is>
          <t>Simplified outline of institutions in value transfers</t>
        </is>
      </c>
      <c r="E696" t="inlineStr">
        <is>
          <t>197–198</t>
        </is>
      </c>
      <c r="F696" t="inlineStr">
        <is>
          <t>High</t>
        </is>
      </c>
      <c r="G696" t="inlineStr">
        <is>
          <t>High (explicit)</t>
        </is>
      </c>
      <c r="H696" s="11" t="inlineStr">
        <is>
          <t>Cross-border Transfer, Data Storage</t>
        </is>
      </c>
      <c r="I696" s="11" t="inlineStr">
        <is>
          <t>Financial Data</t>
        </is>
      </c>
      <c r="J696" t="inlineStr"/>
      <c r="K696" s="11" t="inlineStr">
        <is>
          <t>This section provides a simplified outline of the obligations for ordering, beneficiary, and intermediary institutions in value transfers. It specifies that each institution type has distinct information collection, verification, and reporting obligations. Additional obligations apply if the transfer involves virtual assets.</t>
        </is>
      </c>
      <c r="L696" s="11" t="inlineStr"/>
      <c r="M696" s="11" t="inlineStr">
        <is>
          <t>• [Must] An ordering institution, a beneficiary institution and an intermediary institution in a transfer of value must fulfil certain obligations in relation to the transfer
• [Must] The obligations of an ordering institution relate to the information the institution collects, verifies and provides as part of the transfer
• [Must] The obligations of a beneficiary institution relate to the information the institution receives or otherwise obtains as part of the transfer</t>
        </is>
      </c>
      <c r="N696" s="11" t="inlineStr">
        <is>
          <t>• [Must] The obligations of an intermediary institution relate to the information the institution receives and provides as part of the transfer
• [Must] Additional obligations apply if the transfer of value is a transfer of a virtual asset</t>
        </is>
      </c>
      <c r="O696" s="11" t="inlineStr">
        <is>
          <t>The following is a simplified outline of this Part. • An ordering institution, a beneficiary institution and an intermediary institution in a transfer of value must fulfil certain obligations in relation to the transfer. • The obligations of an ordering institution relate to the information the institution collects, verifies and provides as part of the transfer. • The obligations of a beneficiary institution relate to the information the institution receives or otherwise obtains as part of the transfer. • The obligations of an intermediary institution relate to the information the institution receives and provides as part of the transfer. • Additional obligations apply if the transfer of value is a transfer of a virtual asset.</t>
        </is>
      </c>
      <c r="P696" s="12" t="n">
        <v>13</v>
      </c>
    </row>
    <row r="697">
      <c r="A697" t="inlineStr">
        <is>
          <t>Australia</t>
        </is>
      </c>
      <c r="B697" t="inlineStr">
        <is>
          <t>C2026C00220 (Australia - Row 2)</t>
        </is>
      </c>
      <c r="C697" t="inlineStr">
        <is>
          <t>180</t>
        </is>
      </c>
      <c r="D697" s="11" t="inlineStr">
        <is>
          <t>Definitions of institutions in value transfers</t>
        </is>
      </c>
      <c r="E697" t="inlineStr">
        <is>
          <t>198–199</t>
        </is>
      </c>
      <c r="F697" t="inlineStr">
        <is>
          <t>High</t>
        </is>
      </c>
      <c r="G697" t="inlineStr">
        <is>
          <t>High (explicit)</t>
        </is>
      </c>
      <c r="H697" s="11" t="inlineStr">
        <is>
          <t>Cross-border Transfer, Data Storage</t>
        </is>
      </c>
      <c r="I697" s="11" t="inlineStr">
        <is>
          <t>Financial Data</t>
        </is>
      </c>
      <c r="J697" t="inlineStr"/>
      <c r="K697" s="11" t="inlineStr">
        <is>
          <t>This section defines the criteria for determining whether a person is an ordering institution, beneficiary institution, or intermediary institution in a value transfer chain. It specifies that certain persons are excluded from being an ordering institution, beneficiary institution, or intermediary institution, such as those providing value transfers incidentally to another service unless they meet specific conditions.</t>
        </is>
      </c>
      <c r="L697" s="11" t="inlineStr"/>
      <c r="M697" s="11" t="inlineStr">
        <is>
          <t>• [Must] Whether a person is an ordering institution is to be determined in accordance with the criteria or other requirements specified in the AML/CTF Rules</t>
        </is>
      </c>
      <c r="N697" s="11" t="inlineStr">
        <is>
          <t>• [Must Not] A person is not an ordering institution if they transfer value in circumstances where the transfer is reasonably incidental to the provision of another service unless they are a financial institution or providing an international value transfer service incidentally to a designated service covered by specific rules</t>
        </is>
      </c>
      <c r="O697" s="11" t="inlineStr">
        <is>
          <t>Whether a person is an ordering institution is to be determined in (a) criteria or other requirements that a person must satisfy to be an ordering institution; (b) circumstances in which a person is an ordering institution.</t>
        </is>
      </c>
      <c r="P697" s="12" t="n">
        <v>13</v>
      </c>
    </row>
    <row r="698">
      <c r="A698" t="inlineStr">
        <is>
          <t>Australia</t>
        </is>
      </c>
      <c r="B698" t="inlineStr">
        <is>
          <t>C2026C00220 (Australia - Row 2)</t>
        </is>
      </c>
      <c r="C698" t="inlineStr">
        <is>
          <t>181</t>
        </is>
      </c>
      <c r="D698" s="11" t="inlineStr">
        <is>
          <t>Definitions of institutions in value transfers</t>
        </is>
      </c>
      <c r="E698" t="inlineStr">
        <is>
          <t>199–200</t>
        </is>
      </c>
      <c r="F698" t="inlineStr">
        <is>
          <t>High</t>
        </is>
      </c>
      <c r="G698" t="inlineStr">
        <is>
          <t>High (explicit)</t>
        </is>
      </c>
      <c r="H698" s="11" t="inlineStr">
        <is>
          <t>Cross-border Transfer, Data Storage</t>
        </is>
      </c>
      <c r="I698" s="11" t="inlineStr">
        <is>
          <t>Financial Data</t>
        </is>
      </c>
      <c r="J698" t="inlineStr"/>
      <c r="K698" s="11" t="inlineStr">
        <is>
          <t>This section defines the criteria for determining whether a person is an intermediary institution in a value transfer chain. It specifies that a person is an intermediary institution if they receive and pass on transfer messages for value transfers in a chain, or are specified in the AML/CTF Rules. Certain persons are excluded from being an intermediary institution, such as those who solely provide infrastructure for transfer messages.</t>
        </is>
      </c>
      <c r="L698" s="11" t="inlineStr"/>
      <c r="M698" s="11" t="inlineStr">
        <is>
          <t>• [Must] A person is an intermediary institution if the person in the course of carrying on a business receives and passes on a transfer message for a transfer of value in a value transfer chain</t>
        </is>
      </c>
      <c r="N698" s="11" t="inlineStr">
        <is>
          <t>• [Must Not] A person is not an intermediary institution if they solely provide the infrastructure that permits persons to send transfer messages for a transfer of value to another person in the value transfer chain</t>
        </is>
      </c>
      <c r="O698" s="11" t="inlineStr">
        <is>
          <t>A person is an intermediary institution if the person: (a) in the course of carrying on a business, receives and passes on a transfer message for a transfer of value in a value transfer chain; or (b) is specified in the AML/CTF Rules.</t>
        </is>
      </c>
      <c r="P698" s="12" t="n">
        <v>13</v>
      </c>
    </row>
    <row r="699">
      <c r="A699" t="inlineStr">
        <is>
          <t>Australia</t>
        </is>
      </c>
      <c r="B699" t="inlineStr">
        <is>
          <t>C2026C00220 (Australia - Row 2)</t>
        </is>
      </c>
      <c r="C699" t="inlineStr">
        <is>
          <t>182</t>
        </is>
      </c>
      <c r="D699" s="11" t="inlineStr">
        <is>
          <t>Same entity for payer and payee in value transfers</t>
        </is>
      </c>
      <c r="E699" t="inlineStr">
        <is>
          <t>200–201</t>
        </is>
      </c>
      <c r="F699" t="inlineStr">
        <is>
          <t>High</t>
        </is>
      </c>
      <c r="G699" t="inlineStr">
        <is>
          <t>High (explicit)</t>
        </is>
      </c>
      <c r="H699" s="11" t="inlineStr">
        <is>
          <t>Cross-border Transfer, Financial Data</t>
        </is>
      </c>
      <c r="I699" s="11" t="inlineStr">
        <is>
          <t>Financial Data</t>
        </is>
      </c>
      <c r="J699" t="inlineStr"/>
      <c r="K699" s="11" t="inlineStr">
        <is>
          <t>This section allows the payer and payee to be the same person in a value transfer. It also permits the ordering institution and beneficiary institution to be the same entity. These provisions define permissible scenarios where institutions may not require separate entities for value transfers.</t>
        </is>
      </c>
      <c r="L699" s="11" t="inlineStr">
        <is>
          <t>Allows same entity for payer/payee and ordering/beneficiary institutions in value transfers, reducing cross-border complexity but not directly impacting DTIA scope.</t>
        </is>
      </c>
      <c r="M699" s="11" t="inlineStr">
        <is>
          <t>• [Must] The payer and the payee in relation to a transfer of value may be the same person</t>
        </is>
      </c>
      <c r="N699" s="11" t="inlineStr">
        <is>
          <t>• [Must] The ordering institution and the beneficiary institution in relation to a transfer of value may be the same person</t>
        </is>
      </c>
      <c r="O699" s="11" t="inlineStr">
        <is>
          <t>182 Compilation (a) the payer and the payee in relation to a transfer of value may be the same person; and (b) the ordering institution and the beneficiary institution in relation to a transfer of value may be the same person.</t>
        </is>
      </c>
      <c r="P699" s="12" t="n">
        <v>13</v>
      </c>
    </row>
    <row r="700">
      <c r="A700" t="inlineStr">
        <is>
          <t>Australia</t>
        </is>
      </c>
      <c r="B700" t="inlineStr">
        <is>
          <t>C2026C00220 (Australia - Row 2)</t>
        </is>
      </c>
      <c r="C700" t="inlineStr">
        <is>
          <t>183</t>
        </is>
      </c>
      <c r="D700" s="11" t="inlineStr">
        <is>
          <t>AML/CTF obligations for ordering institutions</t>
        </is>
      </c>
      <c r="E700" t="inlineStr">
        <is>
          <t>201–202</t>
        </is>
      </c>
      <c r="F700" t="inlineStr">
        <is>
          <t>High</t>
        </is>
      </c>
      <c r="G700" t="inlineStr">
        <is>
          <t>High (explicit)</t>
        </is>
      </c>
      <c r="H700" s="11" t="inlineStr">
        <is>
          <t>AML, Financial Data, Cross-border Transfer</t>
        </is>
      </c>
      <c r="I700" s="11" t="inlineStr">
        <is>
          <t>Financial Data</t>
        </is>
      </c>
      <c r="J700" t="inlineStr"/>
      <c r="K700" s="11" t="inlineStr">
        <is>
          <t>Ordering institutions must collect specified AML/CTF information before processing value transfers. They must verify this information if required by the AML/CTF Rules. If the ordering and beneficiary institutions differ, they must pass the information to the next institution in the value chain. The section also specifies that transfer messages must be processed before the transfer effect occurs.</t>
        </is>
      </c>
      <c r="L700" s="11" t="inlineStr">
        <is>
          <t>Requires ordering institutions to collect and verify AML/CTF data before value transfers, with information sharing obligations across the chain.</t>
        </is>
      </c>
      <c r="M700" s="11" t="inlineStr">
        <is>
          <t>• [Must] Before passing on a transfer message for the transfer of value, the ordering institution must collect the information specified in the AML/CTF Rules
• [Must] If required by the AML/CTF Rules, the ordering institution must verify the information specified in the AML/CTF Rules in accordance with sections 28 and 30</t>
        </is>
      </c>
      <c r="N700" s="11" t="inlineStr">
        <is>
          <t>• [Must] If the ordering institution and beneficiary institution are not the same, the ordering institution must pass the AML/CTF information to the next institution in the value transfer chain
• [Must] The transfer message must be processed before the ordering institution gives effect to the transfer of value</t>
        </is>
      </c>
      <c r="O700" s="11" t="inlineStr">
        <is>
          <t>183 (2) Before the ordering institution passes on a transfer message for the transfer of value, or otherwise gives effect to the transfer of value, the ordering institution must: (a) collect the information specified in the AML/CTF Rules; and (b) if required by the AML/CTF Rules—verify the information specified in the AML/CTF Rules in accordance with sections 28 and 30 (as applicable).</t>
        </is>
      </c>
      <c r="P700" s="12" t="n">
        <v>13</v>
      </c>
    </row>
    <row r="701">
      <c r="A701" t="inlineStr">
        <is>
          <t>Australia</t>
        </is>
      </c>
      <c r="B701" t="inlineStr">
        <is>
          <t>C2026C00220 (Australia - Row 2)</t>
        </is>
      </c>
      <c r="C701" t="inlineStr">
        <is>
          <t>184</t>
        </is>
      </c>
      <c r="D701" s="11" t="inlineStr">
        <is>
          <t>AML/CTF obligations for beneficiary institutions</t>
        </is>
      </c>
      <c r="E701" t="inlineStr">
        <is>
          <t>202–203</t>
        </is>
      </c>
      <c r="F701" t="inlineStr">
        <is>
          <t>High</t>
        </is>
      </c>
      <c r="G701" t="inlineStr">
        <is>
          <t>High (explicit)</t>
        </is>
      </c>
      <c r="H701" s="11" t="inlineStr">
        <is>
          <t>AML, Financial Data, Cross-border Transfer</t>
        </is>
      </c>
      <c r="I701" s="11" t="inlineStr">
        <is>
          <t>Financial Data</t>
        </is>
      </c>
      <c r="J701" t="inlineStr"/>
      <c r="K701" s="11" t="inlineStr">
        <is>
          <t>Beneficiary institutions must monitor whether they received the required AML/CTF information and whether the payee information is accurate. If they lack complete information or it is inaccurate, they must refuse to release funds or take other actions as defined by their AML/CTF program.</t>
        </is>
      </c>
      <c r="L701" s="11" t="inlineStr">
        <is>
          <t>Requires beneficiary institutions to verify information accuracy and completeness before releasing funds, with refusal options if data is incomplete or inaccurate.</t>
        </is>
      </c>
      <c r="M701" s="11" t="inlineStr">
        <is>
          <t>• [Must] The beneficiary institution must take reasonable steps to monitor whether it has received the information specified in the AML/CTF Rules relating to the transfer of value
• [Must] The beneficiary institution must take reasonable steps to monitor whether the information received about the payee is accurate</t>
        </is>
      </c>
      <c r="N701" s="11" t="inlineStr">
        <is>
          <t>• [Must] If the beneficiary institution detects incomplete information or inaccuracies, it must refuse to make the transferred value available to the payee
• [Must] If the beneficiary institution detects incomplete information or inaccuracies, it must take such other action as the beneficiary institution determines</t>
        </is>
      </c>
      <c r="O701" s="11" t="inlineStr">
        <is>
          <t>184 (2) The beneficiary institution must take reasonable steps to monitor: (a) whether it has received the information specified in the AML/CTF Rules relating to the transfer of value; and (b) whether the information received about the payee is accurate.</t>
        </is>
      </c>
      <c r="P701" s="12" t="n">
        <v>13</v>
      </c>
    </row>
    <row r="702">
      <c r="A702" t="inlineStr">
        <is>
          <t>Australia</t>
        </is>
      </c>
      <c r="B702" t="inlineStr">
        <is>
          <t>C2026C00220 (Australia - Row 2)</t>
        </is>
      </c>
      <c r="C702" t="inlineStr">
        <is>
          <t>185</t>
        </is>
      </c>
      <c r="D702" s="11" t="inlineStr">
        <is>
          <t>AML/CTF obligations for intermediary institutions</t>
        </is>
      </c>
      <c r="E702" t="inlineStr">
        <is>
          <t>203–204</t>
        </is>
      </c>
      <c r="F702" t="inlineStr">
        <is>
          <t>High</t>
        </is>
      </c>
      <c r="G702" t="inlineStr">
        <is>
          <t>High (explicit)</t>
        </is>
      </c>
      <c r="H702" s="11" t="inlineStr">
        <is>
          <t>AML, Financial Data, Cross-border Transfer</t>
        </is>
      </c>
      <c r="I702" s="11" t="inlineStr">
        <is>
          <t>Financial Data</t>
        </is>
      </c>
      <c r="J702" t="inlineStr"/>
      <c r="K702" s="11" t="inlineStr">
        <is>
          <t>Intermediary institutions must monitor whether they received the required AML/CTF information. If they lack complete information, they must refuse to pass on the transfer message or take other actions as defined by their AML/CTF program. They must also include relevant information when passing on transfer messages.</t>
        </is>
      </c>
      <c r="L702" s="11" t="inlineStr">
        <is>
          <t>Requires intermediaries to verify information completeness and take action if incomplete, with specific information inclusion requirements for transfers.</t>
        </is>
      </c>
      <c r="M702" s="11" t="inlineStr">
        <is>
          <t>• [Must] The intermediary institution must take reasonable steps to monitor whether it has received the information specified in the AML/CTF Rules relating to the transfer of value
• [Must] If the intermediary institution detects incomplete information, it must refuse to pass on the transfer message for the transfer of value
• [Must] If the intermediary institution detects incomplete information, it must take such other action as the intermediary institution determines</t>
        </is>
      </c>
      <c r="N702" s="11" t="inlineStr">
        <is>
          <t>• [Must] The intermediary institution must include information specified in the AML/CTF Rules received from the previous institution in the value transfer chain
• [Must] The intermediary institution must provide the information referred to in subsection (4) to another institution in the value transfer chain as soon as practicable after receiving a request</t>
        </is>
      </c>
      <c r="O702" s="11" t="inlineStr">
        <is>
          <t>185 (2) The intermediary institution must take reasonable steps to monitor whether it has received the information specified in the AML/CTF Rules relating to the transfer of value. (3) If the intermediary institution detects that it has not received all of the information mentioned in subsection (2), and the intermediary institution has not otherwise obtained the information, the intermediary institution must, in accordance with its AML/CTF program, do at least one of the following: (a) refuse to pass on the transfer message for the transfer of value; (b) take such other action as the intermediary institution determines.</t>
        </is>
      </c>
      <c r="P702" s="12" t="n">
        <v>13</v>
      </c>
    </row>
    <row r="703">
      <c r="A703" t="inlineStr">
        <is>
          <t>Australia</t>
        </is>
      </c>
      <c r="B703" t="inlineStr">
        <is>
          <t>C2026C00220 (Australia - Row 2)</t>
        </is>
      </c>
      <c r="C703" t="inlineStr">
        <is>
          <t>186</t>
        </is>
      </c>
      <c r="D703" s="11" t="inlineStr">
        <is>
          <t>AML/CTF obligations for virtual asset transfers</t>
        </is>
      </c>
      <c r="E703" t="inlineStr">
        <is>
          <t>204–205</t>
        </is>
      </c>
      <c r="F703" t="inlineStr">
        <is>
          <t>High</t>
        </is>
      </c>
      <c r="G703" t="inlineStr">
        <is>
          <t>High (explicit)</t>
        </is>
      </c>
      <c r="H703" s="11" t="inlineStr">
        <is>
          <t>AML, Financial Data</t>
        </is>
      </c>
      <c r="I703" s="11" t="inlineStr">
        <is>
          <t>Financial Data</t>
        </is>
      </c>
      <c r="J703" t="inlineStr"/>
      <c r="K703" s="11" t="inlineStr">
        <is>
          <t>Ordering institutions must conduct due diligence to determine the type of virtual asset wallet being used for transfers. They must pass on AML/CTF information to beneficiary institutions if they are licensed under FATF Recommendations or not.</t>
        </is>
      </c>
      <c r="L703" s="11" t="inlineStr">
        <is>
          <t>Requires due diligence on virtual asset wallets and information sharing between institutions for virtual asset transfers.</t>
        </is>
      </c>
      <c r="M703" s="11" t="inlineStr">
        <is>
          <t>• [Must] Before commencing to provide the designated service, an ordering institution must undertake due diligence to determine whether the virtual asset wallet is controlled by a licensed person under FATF Recommendations
• [Must] Before commencing to provide the designated service, an ordering institution must undertake due diligence to determine whether the virtual asset wallet is controlled by a person not required to be licensed under FATF Recommendations
• [Must] Before commencing to provide the designated service, an ordering institution must undertake due diligence to determine whether the virtual asset wallet is controlled by a person required to be licensed under FATF Recommendations but not so licensed</t>
        </is>
      </c>
      <c r="N703" s="11" t="inlineStr">
        <is>
          <t>• [Must] Before commencing to provide the designated service, an ordering institution must undertake due diligence to determine whether the virtual asset wallet is controlled by the payee
• [Must] The ordering institution must pass on the information specified in the AML/CTF Rules for the purposes of subsection 64(3) relating to the transfer of value to a beneficiary institution if the beneficiary institution is licensed under FATF Recommendations
• [Must] The ordering institution must pass on the information specified in the AML/CTF Rules for the purposes of subsection 64(3) relating to the transfer of value to a beneficiary institution if the beneficiary institution is not required to be licensed under FATF Recommendations</t>
        </is>
      </c>
      <c r="O703" s="11" t="inlineStr">
        <is>
          <t>187 (2) Before commencing to provide the designated service covered by item 29 of table 1 in section 6, an ordering institution must undertake due diligence to determine, on reasonable grounds, whether the virtual asset wallet to which the virtual asset is being transferred is: (a) a custodial wallet controlled by a person who is licensed or registered under a law that gives effect to the FATF Recommendations; or (b) a custodial wallet controlled by a person who is not required to be licensed or registered under a law that gives effect to the FATF Recommendations; or (c) a custodial wallet controlled by a person who is required to be licensed or registered under a law that gives effect to the FATF Recommendations, but is not so licensed or registered; or (d) a self-hosted wallet controlled by the payee.</t>
        </is>
      </c>
      <c r="P703" s="12" t="n">
        <v>13</v>
      </c>
    </row>
    <row r="704">
      <c r="A704" t="inlineStr">
        <is>
          <t>Australia</t>
        </is>
      </c>
      <c r="B704" t="inlineStr">
        <is>
          <t>C2026C00220 (Australia - Row 2)</t>
        </is>
      </c>
      <c r="C704" t="inlineStr">
        <is>
          <t>188</t>
        </is>
      </c>
      <c r="D704" s="11" t="inlineStr">
        <is>
          <t>Virtual asset transfers: licensing and registration checks for FATF-compliant entities</t>
        </is>
      </c>
      <c r="E704" t="inlineStr">
        <is>
          <t>206–207</t>
        </is>
      </c>
      <c r="F704" t="inlineStr">
        <is>
          <t>High</t>
        </is>
      </c>
      <c r="G704" t="inlineStr">
        <is>
          <t>High (explicit)</t>
        </is>
      </c>
      <c r="H704" s="11" t="inlineStr">
        <is>
          <t>Cross-border Transfer</t>
        </is>
      </c>
      <c r="I704" s="11" t="inlineStr">
        <is>
          <t>Financial Data</t>
        </is>
      </c>
      <c r="J704" t="inlineStr">
        <is>
          <t>AUSTRAC</t>
        </is>
      </c>
      <c r="K704" s="11" t="inlineStr">
        <is>
          <t>An ordering institution cannot provide certain virtual asset transfer services if the recipient is required to be licensed under FATF-compliant laws but lacks such licensing. Similarly, beneficiary institutions must conduct due diligence on virtual asset wallets before initiating transfers, verifying whether the wallet is controlled by a licensed entity, an unlicensed entity, or a self-hosted wallet controlled by the payer. Institutions must also ensure they have obtained necessary information before processing transfers, and face penalties for non-compliance with these checks.</t>
        </is>
      </c>
      <c r="L704" s="11" t="inlineStr">
        <is>
          <t>Requires verification of recipient licensing status under FATF recommendations for virtual asset transfers, impacting cross-border data flows involving virtual assets and financial institutions.</t>
        </is>
      </c>
      <c r="M704" s="11" t="inlineStr">
        <is>
          <t>• [Must Not] An ordering institution must not provide the designated service if the recipient is required to be licensed under FATF-compliant laws but is not licensed.
• [Must] Beneficiary institutions must conduct due diligence to determine if the virtual asset wallet is controlled by a licensed entity, unlicensed entity, or self-hosted wallet controlled by the payer.</t>
        </is>
      </c>
      <c r="N704" s="11" t="inlineStr">
        <is>
          <t>• [Must] Beneficiary institutions must obtain information specified in AML/CTF Rules before processing transfers.
• [Must Not] Beneficiary institutions must not provide services if the virtual asset wallet is controlled by a licensed entity but is not licensed.</t>
        </is>
      </c>
      <c r="O704" s="11" t="inlineStr">
        <is>
          <t>An ordering institution must not provide the designated service covered by item 29 of table 1 in section 6 if this would involve passing on a transfer message for a transfer of value to a person: (a) who is required to be licensed or registered under a law that gives effect to the FATF Recommendations; but (b) is not so licensed or registered.</t>
        </is>
      </c>
      <c r="P704" s="12" t="n">
        <v>13</v>
      </c>
    </row>
    <row r="705">
      <c r="A705" t="inlineStr">
        <is>
          <t>Australia</t>
        </is>
      </c>
      <c r="B705" t="inlineStr">
        <is>
          <t>C2026C00220 (Australia - Row 2)</t>
        </is>
      </c>
      <c r="C705" t="inlineStr">
        <is>
          <t>189</t>
        </is>
      </c>
      <c r="D705" s="11" t="inlineStr">
        <is>
          <t>Civil penalties for AML/CTF compliance failures</t>
        </is>
      </c>
      <c r="E705" t="inlineStr">
        <is>
          <t>207–208</t>
        </is>
      </c>
      <c r="F705" t="inlineStr">
        <is>
          <t>High</t>
        </is>
      </c>
      <c r="G705" t="inlineStr">
        <is>
          <t>High (explicit)</t>
        </is>
      </c>
      <c r="H705" s="11" t="inlineStr">
        <is>
          <t>Cross-border Transfer</t>
        </is>
      </c>
      <c r="I705" s="11" t="inlineStr">
        <is>
          <t>Financial Data</t>
        </is>
      </c>
      <c r="J705" t="inlineStr">
        <is>
          <t>AUSTRAC</t>
        </is>
      </c>
      <c r="K705" s="11" t="inlineStr">
        <is>
          <t>Subsections (2) to (7) of section 188 are civil penalty provisions. Ordering institutions may exempt certain obligations if they have reasonable grounds that beneficiary institutions cannot securely receive information or safeguard confidentiality, and must maintain records of these exemptions. Beneficiary institutions must also ensure they have appropriate risk management processes before processing transfers.</t>
        </is>
      </c>
      <c r="L705" s="11" t="inlineStr">
        <is>
          <t>Imposes civil penalties for non-compliance with virtual asset transfer licensing checks, with exemptions for institutions unable to securely handle information.</t>
        </is>
      </c>
      <c r="M705" s="11" t="inlineStr">
        <is>
          <t>• [Must] Subsections (2) to (7) of section 188 are civil penalty provisions.
• [May] Ordering institutions may exempt obligations if they have reasonable grounds that beneficiary institutions cannot securely receive information.</t>
        </is>
      </c>
      <c r="N705" s="11" t="inlineStr">
        <is>
          <t>• [Must] Ordering institutions must maintain records of reasons for not passing on information.
• [Must] Beneficiary institutions must ensure they have appropriate risk management processes before processing transfers.</t>
        </is>
      </c>
      <c r="O705" s="11" t="inlineStr">
        <is>
          <t>Subsections (2) to (7) are civil penalty provisions. Ordering institutions may exempt obligations if they have reasonable grounds that beneficiary institutions cannot securely receive information or safeguard confidentiality.</t>
        </is>
      </c>
      <c r="P705" s="12" t="n">
        <v>13</v>
      </c>
    </row>
    <row r="706">
      <c r="A706" t="inlineStr">
        <is>
          <t>Australia</t>
        </is>
      </c>
      <c r="B706" t="inlineStr">
        <is>
          <t>C2026C00220 (Australia - Row 2)</t>
        </is>
      </c>
      <c r="C706" t="inlineStr">
        <is>
          <t>190</t>
        </is>
      </c>
      <c r="D706" s="11" t="inlineStr">
        <is>
          <t>Exemptions for AML/CTF rules in remittance services</t>
        </is>
      </c>
      <c r="E706" t="inlineStr">
        <is>
          <t>208–209</t>
        </is>
      </c>
      <c r="F706" t="inlineStr">
        <is>
          <t>High</t>
        </is>
      </c>
      <c r="G706" t="inlineStr">
        <is>
          <t>High (explicit)</t>
        </is>
      </c>
      <c r="H706" s="11" t="inlineStr">
        <is>
          <t>Cross-border Transfer</t>
        </is>
      </c>
      <c r="I706" s="11" t="inlineStr">
        <is>
          <t>Financial Data</t>
        </is>
      </c>
      <c r="J706" t="inlineStr">
        <is>
          <t>AUSTRAC</t>
        </is>
      </c>
      <c r="K706" s="11" t="inlineStr">
        <is>
          <t>The AML/CTF Rules may exempt specific remittance services or transfers from certain obligations, including for specific types of institutions or circumstances. Exemptions can be tailored to different kinds of institutions, information, or circumstances, but do not override the Acts Interpretation Act 1901.</t>
        </is>
      </c>
      <c r="L706" s="11" t="inlineStr">
        <is>
          <t>Allows exemptions for remittance services under AML/CTF rules, which can impact data transfer compliance for financial institutions.</t>
        </is>
      </c>
      <c r="M706" s="11" t="inlineStr">
        <is>
          <t>• [May] AML/CTF Rules may provide exemptions for specific remittance services or transfers.</t>
        </is>
      </c>
      <c r="N706" s="11" t="inlineStr">
        <is>
          <t>• [May] Exemptions can be tailored to different institutions, information, or circumstances.</t>
        </is>
      </c>
      <c r="O706" s="11" t="inlineStr">
        <is>
          <t>The AML/CTF Rules may provide that this Part, or a specified provision of this Part, does not apply: (a) to a specified kind of designated service; or (b) to a transfer of value that occurs in specified circumstances.</t>
        </is>
      </c>
      <c r="P706" s="12" t="n">
        <v>13</v>
      </c>
    </row>
    <row r="707">
      <c r="A707" t="inlineStr">
        <is>
          <t>Australia</t>
        </is>
      </c>
      <c r="B707" t="inlineStr">
        <is>
          <t>C2026C00220 (Australia - Row 2)</t>
        </is>
      </c>
      <c r="C707" t="inlineStr">
        <is>
          <t>191</t>
        </is>
      </c>
      <c r="D707" s="11" t="inlineStr">
        <is>
          <t>Defence for reliance on third-party information in AML/CTF violations</t>
        </is>
      </c>
      <c r="E707" t="inlineStr">
        <is>
          <t>209–210</t>
        </is>
      </c>
      <c r="F707" t="inlineStr">
        <is>
          <t>High</t>
        </is>
      </c>
      <c r="G707" t="inlineStr">
        <is>
          <t>High (explicit)</t>
        </is>
      </c>
      <c r="H707" s="11" t="inlineStr">
        <is>
          <t>Cross-border Transfer</t>
        </is>
      </c>
      <c r="I707" s="11" t="inlineStr">
        <is>
          <t>Financial Data</t>
        </is>
      </c>
      <c r="J707" t="inlineStr">
        <is>
          <t>AUSTRAC</t>
        </is>
      </c>
      <c r="K707" s="11" t="inlineStr">
        <is>
          <t>A person can defend against AML/CTF civil penalty proceedings if they reasonably relied on information provided by another person who was not acting in their capacity as an officer, employee, or agent of the person who relied on the information. This defence applies to contraventions of civil penalty provisions in Division 2.</t>
        </is>
      </c>
      <c r="L707" s="11" t="inlineStr">
        <is>
          <t>Provides a defence mechanism for financial institutions that rely on third-party information in AML/CTF compliance, relevant for data transfer assessments.</t>
        </is>
      </c>
      <c r="M707" s="11" t="inlineStr">
        <is>
          <t>• [May] A person can defend against AML/CTF civil penalty proceedings if they reasonably relied on information from another person.</t>
        </is>
      </c>
      <c r="N707" s="11" t="inlineStr">
        <is>
          <t>• [Must] The other person did not provide information in their capacity as an officer, employee, or agent of the person who relied on the information.</t>
        </is>
      </c>
      <c r="O707" s="11" t="inlineStr">
        <is>
          <t>In the proceedings, it is a defence if the defendant proves that: (a) the contravention in respect of which the proceedings were instituted was due to reasonable reliance on information given by another person; and (b) the other person did not give the information in the other person's capacity as an officer, employee or agent of the person who relied on the information.</t>
        </is>
      </c>
      <c r="P707" s="12" t="n">
        <v>13</v>
      </c>
    </row>
    <row r="708">
      <c r="A708" t="inlineStr">
        <is>
          <t>Australia</t>
        </is>
      </c>
      <c r="B708" t="inlineStr">
        <is>
          <t>C2026C00220 (Australia - Row 2)</t>
        </is>
      </c>
      <c r="C708" t="inlineStr">
        <is>
          <t>192</t>
        </is>
      </c>
      <c r="D708" s="11" t="inlineStr">
        <is>
          <t>Remittance sector registration framework</t>
        </is>
      </c>
      <c r="E708" t="inlineStr">
        <is>
          <t>210–211</t>
        </is>
      </c>
      <c r="F708" t="inlineStr">
        <is>
          <t>High</t>
        </is>
      </c>
      <c r="G708" t="inlineStr">
        <is>
          <t>High (explicit)</t>
        </is>
      </c>
      <c r="H708" s="11" t="inlineStr">
        <is>
          <t>Cross-border Transfer</t>
        </is>
      </c>
      <c r="I708" s="11" t="inlineStr">
        <is>
          <t>Financial Data</t>
        </is>
      </c>
      <c r="J708" t="inlineStr">
        <is>
          <t>AUSTRAC</t>
        </is>
      </c>
      <c r="K708" s="11" t="inlineStr">
        <is>
          <t>This section outlines a tiered registration system for remittance network providers and services, requiring registration for certain activities. Division 2 sets out offences and penalties for unregistered providers, while Division 3 mandates the AUSTRAC CEO to maintain a Remittance Sector Register for registered providers.</t>
        </is>
      </c>
      <c r="L708" s="11" t="inlineStr">
        <is>
          <t>Requires registration of remittance services and providers, impacting cross-border data flows in the remittance sector.</t>
        </is>
      </c>
      <c r="M708" s="11" t="inlineStr">
        <is>
          <t>• [Must] Providers of registrable remittance network services and services must register with AUSTRAC.</t>
        </is>
      </c>
      <c r="N708" s="11" t="inlineStr"/>
      <c r="O708" s="11" t="inlineStr">
        <is>
          <t>This Part provides for a tiered system of registration for providers of registrable remittance network services and providers of registrable remittance services.</t>
        </is>
      </c>
      <c r="P708" s="12" t="n">
        <v>13</v>
      </c>
    </row>
    <row r="709">
      <c r="A709" t="inlineStr">
        <is>
          <t>Australia</t>
        </is>
      </c>
      <c r="B709" t="inlineStr">
        <is>
          <t>C2026C00220 (Australia - Row 2)</t>
        </is>
      </c>
      <c r="C709" t="inlineStr">
        <is>
          <t>193</t>
        </is>
      </c>
      <c r="D709" s="11" t="inlineStr">
        <is>
          <t>Prohibitions on unregistered remittance services</t>
        </is>
      </c>
      <c r="E709" t="inlineStr">
        <is>
          <t>211–212</t>
        </is>
      </c>
      <c r="F709" t="inlineStr">
        <is>
          <t>High</t>
        </is>
      </c>
      <c r="G709" t="inlineStr">
        <is>
          <t>High (explicit)</t>
        </is>
      </c>
      <c r="H709" s="11" t="inlineStr">
        <is>
          <t>Cross-border Transfer</t>
        </is>
      </c>
      <c r="I709" s="11" t="inlineStr">
        <is>
          <t>Financial Data</t>
        </is>
      </c>
      <c r="J709" t="inlineStr">
        <is>
          <t>AUSTRAC</t>
        </is>
      </c>
      <c r="K709" s="11" t="inlineStr">
        <is>
          <t>Unregistered persons cannot provide certain remittance services, including remittance network services to non-registered affiliates or independent remittance services without being registered as independent remittance dealers. Affiliates must also be registered with the remittance network provider.</t>
        </is>
      </c>
      <c r="L709" s="11" t="inlineStr">
        <is>
          <t>Restricts unregistered entities from providing remittance services across borders, affecting data transfer compliance.</t>
        </is>
      </c>
      <c r="M709" s="11" t="inlineStr">
        <is>
          <t>• [Must Not] A person must not provide a registrable remittance network service to another person if they are not registered or the recipient is not a registered affiliate.
• [Must Not] A person must not provide a registrable remittance service if they are not registered as an independent remittance dealer.</t>
        </is>
      </c>
      <c r="N709" s="11" t="inlineStr">
        <is>
          <t>• [Must Not] A person must not provide a registrable remittance service as an affiliate if they are not registered as a remittance affiliate.</t>
        </is>
      </c>
      <c r="O709" s="11" t="inlineStr">
        <is>
          <t>A person must not provide a registrable remittance network service to another person if: (a) the first person is not a registered remittance network provider; or (b) the first person is a registered remittance network provider, but the person to whom the service is provided is not a registered remittance affiliate of the first person.</t>
        </is>
      </c>
      <c r="P709" s="12" t="n">
        <v>13</v>
      </c>
    </row>
    <row r="710">
      <c r="A710" t="inlineStr">
        <is>
          <t>Australia</t>
        </is>
      </c>
      <c r="B710" t="inlineStr">
        <is>
          <t>C2026C00220 (Australia - Row 2)</t>
        </is>
      </c>
      <c r="C710" t="inlineStr">
        <is>
          <t>194</t>
        </is>
      </c>
      <c r="D710" s="11" t="inlineStr">
        <is>
          <t>Offences for remittance service providers</t>
        </is>
      </c>
      <c r="E710" t="inlineStr">
        <is>
          <t>212–213</t>
        </is>
      </c>
      <c r="F710" t="inlineStr">
        <is>
          <t>High</t>
        </is>
      </c>
      <c r="G710" t="inlineStr">
        <is>
          <t>High (explicit)</t>
        </is>
      </c>
      <c r="H710" s="11" t="inlineStr"/>
      <c r="I710" s="11" t="inlineStr"/>
      <c r="J710" t="inlineStr">
        <is>
          <t>AUSTRAC CEO</t>
        </is>
      </c>
      <c r="K710" s="11" t="inlineStr">
        <is>
          <t>This section defines offences for remittance service providers who fail to comply with requirements under subsections (1), (1A), (1B), or (1C). It specifies that strict liability applies to certain offences involving repeated violations or prior convictions. The penalties include imprisonment for up to 4 years or 1,000 penalty units.</t>
        </is>
      </c>
      <c r="L710" s="11" t="inlineStr">
        <is>
          <t>This section establishes legal consequences for non-compliance with remittance service requirements, which could impact DTIA by creating obligations for providers to maintain compliance records and avoid repeated violations.</t>
        </is>
      </c>
      <c r="M710" s="11" t="inlineStr">
        <is>
          <t>• [Must] A person commits an offence if they are subject to a requirement under subsection (1), (1A), (1B) or (1C)
• [Condition] Strict liability applies to paragraphs (2)(b) and (c)</t>
        </is>
      </c>
      <c r="N710" s="11" t="inlineStr">
        <is>
          <t>• [Must] A person commits an offence if they are subject to a requirement under subsection (1), (1A), (1B) or (1C) and the offence relates to subsection (1), (1A), (1B) or (1C) of this section
• [Condition] Strict liability applies to paragraphs (4)(b) and (c)</t>
        </is>
      </c>
      <c r="O710" s="11" t="inlineStr">
        <is>
          <t>A person commits an offence if: (a) the person is subject to a requirement under subsection (1), (1A), (1B) or (1C); and</t>
        </is>
      </c>
      <c r="P710" s="12" t="n">
        <v>13</v>
      </c>
    </row>
    <row r="711">
      <c r="A711" t="inlineStr">
        <is>
          <t>Australia</t>
        </is>
      </c>
      <c r="B711" t="inlineStr">
        <is>
          <t>C2026C00220 (Australia - Row 2)</t>
        </is>
      </c>
      <c r="C711" t="inlineStr">
        <is>
          <t>195</t>
        </is>
      </c>
      <c r="D711" s="11" t="inlineStr">
        <is>
          <t>Offences for remittance service providers with prior convictions</t>
        </is>
      </c>
      <c r="E711" t="inlineStr">
        <is>
          <t>213–214</t>
        </is>
      </c>
      <c r="F711" t="inlineStr">
        <is>
          <t>High</t>
        </is>
      </c>
      <c r="G711" t="inlineStr">
        <is>
          <t>High (explicit)</t>
        </is>
      </c>
      <c r="H711" s="11" t="inlineStr"/>
      <c r="I711" s="11" t="inlineStr"/>
      <c r="J711" t="inlineStr">
        <is>
          <t>AUSTRAC CEO</t>
        </is>
      </c>
      <c r="K711" s="11" t="inlineStr">
        <is>
          <t>This section defines additional offences for remittance service providers who have prior convictions or orders under previous sections. It specifies that strict liability applies to certain offences involving repeated violations or prior convictions. The penalties include imprisonment for up to 4 years or 1,000 penalty units.</t>
        </is>
      </c>
      <c r="L711" s="11" t="inlineStr">
        <is>
          <t>This section impacts DTIA by introducing stricter penalties for repeat offenders, requiring providers to maintain records of prior violations and ensure compliance with previous obligations.</t>
        </is>
      </c>
      <c r="M711" s="11" t="inlineStr">
        <is>
          <t>• [Must] A person commits an offence if they are subject to a requirement under subsection (1), (1A), (1B) or (1C)</t>
        </is>
      </c>
      <c r="N711" s="11" t="inlineStr">
        <is>
          <t>• [Condition] Strict liability applies to paragraphs (6)(b) and (c)</t>
        </is>
      </c>
      <c r="O711" s="11" t="inlineStr">
        <is>
          <t>A person commits an offence if: (a) the person is subject to a requirement under subsection (1), (1A), (1B) or (1C); and</t>
        </is>
      </c>
      <c r="P711" s="12" t="n">
        <v>13</v>
      </c>
    </row>
    <row r="712">
      <c r="A712" t="inlineStr">
        <is>
          <t>Australia</t>
        </is>
      </c>
      <c r="B712" t="inlineStr">
        <is>
          <t>C2026C00220 (Australia - Row 2)</t>
        </is>
      </c>
      <c r="C712" t="inlineStr">
        <is>
          <t>196</t>
        </is>
      </c>
      <c r="D712" s="11" t="inlineStr">
        <is>
          <t>Civil penalties for remittance services</t>
        </is>
      </c>
      <c r="E712" t="inlineStr">
        <is>
          <t>214–215</t>
        </is>
      </c>
      <c r="F712" t="inlineStr">
        <is>
          <t>High</t>
        </is>
      </c>
      <c r="G712" t="inlineStr">
        <is>
          <t>High (explicit)</t>
        </is>
      </c>
      <c r="H712" s="11" t="inlineStr"/>
      <c r="I712" s="11" t="inlineStr"/>
      <c r="J712" t="inlineStr">
        <is>
          <t>AUSTRAC CEO</t>
        </is>
      </c>
      <c r="K712" s="11" t="inlineStr">
        <is>
          <t>This section states that subsections (1), (1A), (1B), and (1C) are civil penalty provisions, meaning they impose financial penalties for non-compliance with remittance service requirements.</t>
        </is>
      </c>
      <c r="L712" s="11" t="inlineStr">
        <is>
          <t>This section is relevant for DTIA as it specifies that non-compliance with remittance service requirements can result in civil penalties, which must be considered when assessing the financial impact of data transfers.</t>
        </is>
      </c>
      <c r="M712" s="11" t="inlineStr">
        <is>
          <t>• [Must] Subsections (1), (1A), (1B) and (1C) are civil penalty provisions</t>
        </is>
      </c>
      <c r="N712" s="11" t="inlineStr"/>
      <c r="O712" s="11" t="inlineStr">
        <is>
          <t>Subsections (1), (1A), (1B) and (1C) are civil penalty provisions.</t>
        </is>
      </c>
      <c r="P712" s="12" t="n">
        <v>13</v>
      </c>
    </row>
    <row r="713">
      <c r="A713" t="inlineStr">
        <is>
          <t>Australia</t>
        </is>
      </c>
      <c r="B713" t="inlineStr">
        <is>
          <t>C2026C00220 (Australia - Row 2)</t>
        </is>
      </c>
      <c r="C713" t="inlineStr">
        <is>
          <t>197</t>
        </is>
      </c>
      <c r="D713" s="11" t="inlineStr">
        <is>
          <t>Remittance Sector Register requirements</t>
        </is>
      </c>
      <c r="E713" t="inlineStr">
        <is>
          <t>215–216</t>
        </is>
      </c>
      <c r="F713" t="inlineStr">
        <is>
          <t>High</t>
        </is>
      </c>
      <c r="G713" t="inlineStr">
        <is>
          <t>High (explicit)</t>
        </is>
      </c>
      <c r="H713" s="11" t="inlineStr"/>
      <c r="I713" s="11" t="inlineStr"/>
      <c r="J713" t="inlineStr">
        <is>
          <t>AUSTRAC CEO</t>
        </is>
      </c>
      <c r="K713" s="11" t="inlineStr">
        <is>
          <t>This section mandates that the AUSTRAC CEO maintain a Remittance Sector Register for remittance service providers. The register must include details such as the name of the provider, their registration type, and any conditions attached to their registration. The register can be maintained electronically and is not a legislative instrument.</t>
        </is>
      </c>
      <c r="L713" s="11" t="inlineStr">
        <is>
          <t>This section impacts DTIA by requiring detailed registration of remittance service providers, which affects data transfer compliance as providers must maintain records of their registration status and related information.</t>
        </is>
      </c>
      <c r="M713" s="11" t="inlineStr">
        <is>
          <t>• [Must] The AUSTRAC CEO must maintain a Remittance Sector Register
• [May] The AUSTRAC CEO may maintain the Remittance Sector Register by electronic means</t>
        </is>
      </c>
      <c r="N713" s="11" t="inlineStr">
        <is>
          <t>• [Condition] The Remittance Sector Register is not a legislative instrument</t>
        </is>
      </c>
      <c r="O713" s="11" t="inlineStr">
        <is>
          <t>The AUSTRAC CEO must maintain a register for the purposes of this Part, to be known as the Remittance Sector Register.</t>
        </is>
      </c>
      <c r="P713" s="12" t="n">
        <v>13</v>
      </c>
    </row>
    <row r="714">
      <c r="A714" t="inlineStr">
        <is>
          <t>Australia</t>
        </is>
      </c>
      <c r="B714" t="inlineStr">
        <is>
          <t>C2026C00220 (Australia - Row 2)</t>
        </is>
      </c>
      <c r="C714" t="inlineStr">
        <is>
          <t>200</t>
        </is>
      </c>
      <c r="D714" s="11" t="inlineStr">
        <is>
          <t>Registration decision criteria for remittance providers</t>
        </is>
      </c>
      <c r="E714" t="inlineStr">
        <is>
          <t>218–219</t>
        </is>
      </c>
      <c r="F714" t="inlineStr">
        <is>
          <t>High</t>
        </is>
      </c>
      <c r="G714" t="inlineStr">
        <is>
          <t>High (explicit)</t>
        </is>
      </c>
      <c r="H714" s="11" t="inlineStr">
        <is>
          <t>Cross-border Transfer, AML, Financial Data</t>
        </is>
      </c>
      <c r="I714" s="11" t="inlineStr">
        <is>
          <t>Financial Data</t>
        </is>
      </c>
      <c r="J714" t="inlineStr">
        <is>
          <t>AUSTRAC CEO</t>
        </is>
      </c>
      <c r="K714" s="11" t="inlineStr">
        <is>
          <t>The AUSTRAC CEO must register a person if satisfied that registration is appropriate, considering significant money laundering, terrorism financing, people smuggling or other serious crime risks. The decision must also consider the applicant's criminal history, compliance with laws, ownership structures, services provided, and consent of remittance affiliates. A decision not to register is reviewable under Part 17A.</t>
        </is>
      </c>
      <c r="L714" s="11" t="inlineStr">
        <is>
          <t>This section establishes criteria for determining whether to register remittance providers, impacting cross-border data transfers by requiring assessment of crime risks and compliance with financial regulations.</t>
        </is>
      </c>
      <c r="M714" s="11" t="inlineStr">
        <is>
          <t>• [Must] AUSTRAC CEO must decide to register a person if satisfied registration is appropriate
• [Must] AUSTRAC CEO must consider significant money laundering, terrorism financing, people smuggling or other serious crime risks</t>
        </is>
      </c>
      <c r="N714" s="11" t="inlineStr">
        <is>
          <t>• [Must] AUSTRAC CEO must consider applicant's criminal history, compliance with laws, ownership structures, services provided, and remittance affiliate consent</t>
        </is>
      </c>
      <c r="O714" s="11" t="inlineStr">
        <is>
          <t>The AUSTRAC CEO must decide to register the person in accordance with the application if the AUSTRAC CEO is satisfied that it is appropriate to do so, having regard to: (a) whether registering the person would involve a significant money laundering, financing of terrorism, people smuggling or other serious crime risk; and (b) such other matters (if any) as are specified in the AML/CTF Rules</t>
        </is>
      </c>
      <c r="P714" s="12" t="n">
        <v>13</v>
      </c>
    </row>
    <row r="715">
      <c r="A715" t="inlineStr">
        <is>
          <t>Australia</t>
        </is>
      </c>
      <c r="B715" t="inlineStr">
        <is>
          <t>C2026C00220 (Australia - Row 2)</t>
        </is>
      </c>
      <c r="C715" t="inlineStr">
        <is>
          <t>201</t>
        </is>
      </c>
      <c r="D715" s="11" t="inlineStr">
        <is>
          <t>Notice requirements for registered remittance providers</t>
        </is>
      </c>
      <c r="E715" t="inlineStr">
        <is>
          <t>219–220</t>
        </is>
      </c>
      <c r="F715" t="inlineStr">
        <is>
          <t>High</t>
        </is>
      </c>
      <c r="G715" t="inlineStr">
        <is>
          <t>High (explicit)</t>
        </is>
      </c>
      <c r="H715" s="11" t="inlineStr">
        <is>
          <t>Cross-border Transfer, AML, Financial Data</t>
        </is>
      </c>
      <c r="I715" s="11" t="inlineStr">
        <is>
          <t>Financial Data</t>
        </is>
      </c>
      <c r="J715" t="inlineStr">
        <is>
          <t>AUSTRAC CEO</t>
        </is>
      </c>
      <c r="K715" s="11" t="inlineStr">
        <is>
          <t>The AUSTRAC CEO must provide written notice to applicants and remittance affiliates when registering a person, specifying registration type, conditions, and effective date. The notice must detail whether the person is registered as a remittance network provider or independent remittance dealer, any conditions attached, and the registration's effective date.</t>
        </is>
      </c>
      <c r="L715" s="11" t="inlineStr">
        <is>
          <t>This section mandates specific notice requirements for remittance provider registrations, affecting data transfer compliance by requiring clear communication of registration status and conditions.</t>
        </is>
      </c>
      <c r="M715" s="11" t="inlineStr">
        <is>
          <t>• [Must] AUSTRAC CEO must give written notice to applicant for registration
• [Must] AUSTRAC CEO must give written notice to remittance affiliates if application made by registered provider
• [Must] Notice must specify registration type (remittance network provider or independent remittance dealer)</t>
        </is>
      </c>
      <c r="N715" s="11" t="inlineStr">
        <is>
          <t>• [Must] Notice must specify conditions (if any) to which registration is subject
• [Must] Notice must specify effective date of registration</t>
        </is>
      </c>
      <c r="O715" s="11" t="inlineStr">
        <is>
          <t>The AUSTRAC CEO must, as soon as practicable after deciding to register a person, give a written notice to: (a) the applicant for registration; and (b) if the application was made by a registered remittance network provider for another person to be registered as a remittance affiliate of the registered remittance network provider—the other person.</t>
        </is>
      </c>
      <c r="P715" s="12" t="n">
        <v>13</v>
      </c>
    </row>
    <row r="716">
      <c r="A716" t="inlineStr">
        <is>
          <t>Australia</t>
        </is>
      </c>
      <c r="B716" t="inlineStr">
        <is>
          <t>C2026C00220 (Australia - Row 2)</t>
        </is>
      </c>
      <c r="C716" t="inlineStr">
        <is>
          <t>202</t>
        </is>
      </c>
      <c r="D716" s="11" t="inlineStr">
        <is>
          <t>Registration conditions for remittance providers</t>
        </is>
      </c>
      <c r="E716" t="inlineStr">
        <is>
          <t>220–221</t>
        </is>
      </c>
      <c r="F716" t="inlineStr">
        <is>
          <t>High</t>
        </is>
      </c>
      <c r="G716" t="inlineStr">
        <is>
          <t>High (explicit)</t>
        </is>
      </c>
      <c r="H716" s="11" t="inlineStr">
        <is>
          <t>Cross-border Transfer, AML, Financial Data</t>
        </is>
      </c>
      <c r="I716" s="11" t="inlineStr">
        <is>
          <t>Financial Data</t>
        </is>
      </c>
      <c r="J716" t="inlineStr">
        <is>
          <t>AUSTRAC CEO</t>
        </is>
      </c>
      <c r="K716" s="11" t="inlineStr">
        <is>
          <t>The AUSTRAC CEO may impose conditions on remittance provider registrations, including volume of funds remitted, destination of funds, and requirements for notifying changes in circumstances. These conditions must be specified in writing and are subject to review under Part 17A.</t>
        </is>
      </c>
      <c r="L716" s="11" t="inlineStr">
        <is>
          <t>This section allows AUSTRAC to impose conditions on remittance provider registrations, directly impacting data transfer compliance by restricting fund flows and requiring change notifications.</t>
        </is>
      </c>
      <c r="M716" s="11" t="inlineStr">
        <is>
          <t>• [May] AUSTRAC CEO may impose conditions to which registration is subject
• [May] Conditions may relate to volume of funds remitted</t>
        </is>
      </c>
      <c r="N716" s="11" t="inlineStr">
        <is>
          <t>• [May] Conditions may relate to destination of funds remitted
• [May] Conditions may require notification of particular changes in circumstances</t>
        </is>
      </c>
      <c r="O716" s="11" t="inlineStr">
        <is>
          <t>The AUSTRAC CEO may, in writing, impose conditions to which the registration of a person under this Part is subject.</t>
        </is>
      </c>
      <c r="P716" s="12" t="n">
        <v>13</v>
      </c>
    </row>
    <row r="717">
      <c r="A717" t="inlineStr">
        <is>
          <t>Australia</t>
        </is>
      </c>
      <c r="B717" t="inlineStr">
        <is>
          <t>C2026C00220 (Australia - Row 2)</t>
        </is>
      </c>
      <c r="C717" t="inlineStr">
        <is>
          <t>203</t>
        </is>
      </c>
      <c r="D717" s="11" t="inlineStr">
        <is>
          <t>Cancellation of remittance provider registrations</t>
        </is>
      </c>
      <c r="E717" t="inlineStr">
        <is>
          <t>221–222</t>
        </is>
      </c>
      <c r="F717" t="inlineStr">
        <is>
          <t>High</t>
        </is>
      </c>
      <c r="G717" t="inlineStr">
        <is>
          <t>High (explicit)</t>
        </is>
      </c>
      <c r="H717" s="11" t="inlineStr">
        <is>
          <t>Cross-border Transfer, AML, Financial Data</t>
        </is>
      </c>
      <c r="I717" s="11" t="inlineStr">
        <is>
          <t>Financial Data</t>
        </is>
      </c>
      <c r="J717" t="inlineStr">
        <is>
          <t>AUSTRAC CEO</t>
        </is>
      </c>
      <c r="K717" s="11" t="inlineStr">
        <is>
          <t>The AUSTRAC CEO may cancel a person's registration if satisfied that continued registration involves significant money laundering, terrorism financing, people smuggling or other serious crime risks, or if the person breaches registration conditions. Cancellation takes effect on the specified date and may be published in the Remittance Sector Register.</t>
        </is>
      </c>
      <c r="L717" s="11" t="inlineStr">
        <is>
          <t>This section provides grounds for cancelling remittance provider registrations, affecting data transfer compliance by terminating registration status and requiring publication of cancellations.</t>
        </is>
      </c>
      <c r="M717" s="11" t="inlineStr">
        <is>
          <t>• [May] AUSTRAC CEO may cancel registration if satisfied continued registration involves significant money laundering, terrorism financing, people smuggling or other serious crime risks
• [May] AUSTRAC CEO may cancel registration if person breaches registration conditions
• [May] AUSTRAC CEO may cancel registration if has reasonable grounds that person no longer carries on business requiring registration</t>
        </is>
      </c>
      <c r="N717" s="11" t="inlineStr">
        <is>
          <t>• [Must] Cancellation takes effect on date specified in notice
• [May] AUSTRAC CEO may publish list of cancelled registrations and effective dates</t>
        </is>
      </c>
      <c r="O717" s="11" t="inlineStr">
        <is>
          <t>The AUSTRAC CEO may cancel the registration of a person if the AUSTRAC CEO is satisfied that it is appropriate to do so, having regard to: (a) whether the continued registration of the person involves, or may involve, a significant money laundering, financing of terrorism, people smuggling or other serious crime risk; or (b) one or more breaches by the person of a condition of registration</t>
        </is>
      </c>
      <c r="P717" s="12" t="n">
        <v>13</v>
      </c>
    </row>
    <row r="718">
      <c r="A718" t="inlineStr">
        <is>
          <t>Australia</t>
        </is>
      </c>
      <c r="B718" t="inlineStr">
        <is>
          <t>C2026C00220 (Australia - Row 2)</t>
        </is>
      </c>
      <c r="C718" t="inlineStr">
        <is>
          <t>204</t>
        </is>
      </c>
      <c r="D718" s="11" t="inlineStr">
        <is>
          <t>Renewal of remittance provider registrations</t>
        </is>
      </c>
      <c r="E718" t="inlineStr">
        <is>
          <t>222–223</t>
        </is>
      </c>
      <c r="F718" t="inlineStr">
        <is>
          <t>High</t>
        </is>
      </c>
      <c r="G718" t="inlineStr">
        <is>
          <t>High (explicit)</t>
        </is>
      </c>
      <c r="H718" s="11" t="inlineStr">
        <is>
          <t>Cross-border Transfer, AML, Financial Data</t>
        </is>
      </c>
      <c r="I718" s="11" t="inlineStr">
        <is>
          <t>Financial Data</t>
        </is>
      </c>
      <c r="J718" t="inlineStr">
        <is>
          <t>AUSTRAC CEO</t>
        </is>
      </c>
      <c r="K718" s="11" t="inlineStr">
        <is>
          <t>The AUSTRAC CEO may renew remittance provider registrations if applications are made within the required timeframe and meet specified criteria. Renewal registrations continue in effect beyond the initial 3-year period if renewal applications are submitted before the expiration date.</t>
        </is>
      </c>
      <c r="L718" s="11" t="inlineStr">
        <is>
          <t>This section governs the renewal of remittance provider registrations, ensuring continued compliance with financial regulations and data transfer requirements through periodic assessment.</t>
        </is>
      </c>
      <c r="M718" s="11" t="inlineStr">
        <is>
          <t>• [May] AUSTRAC CEO may renew registration if applications made within required timeframe
• [Must] Renewal applications must meet specified criteria</t>
        </is>
      </c>
      <c r="N718" s="11" t="inlineStr">
        <is>
          <t>• [May] Renewed registrations continue in effect beyond 3-year period if renewal applications submitted before expiration</t>
        </is>
      </c>
      <c r="O718" s="11" t="inlineStr">
        <is>
          <t>The AUSTRAC CEO may renew the registration of a person if the AUSTRAC CEO is satisfied that it is appropriate to do so, having regard to: (a) whether the continued registration of the person involves, or may involve, a significant money laundering, financing of terrorism, people smuggling or other serious crime risk</t>
        </is>
      </c>
      <c r="P718" s="12" t="n">
        <v>13</v>
      </c>
    </row>
    <row r="719">
      <c r="A719" t="inlineStr">
        <is>
          <t>Australia</t>
        </is>
      </c>
      <c r="B719" t="inlineStr">
        <is>
          <t>C2026C00220 (Australia - Row 2)</t>
        </is>
      </c>
      <c r="C719" t="inlineStr">
        <is>
          <t>205</t>
        </is>
      </c>
      <c r="D719" s="11" t="inlineStr">
        <is>
          <t>Removal of entries from remittance register</t>
        </is>
      </c>
      <c r="E719" t="inlineStr">
        <is>
          <t>223–224</t>
        </is>
      </c>
      <c r="F719" t="inlineStr">
        <is>
          <t>High</t>
        </is>
      </c>
      <c r="G719" t="inlineStr">
        <is>
          <t>High (explicit)</t>
        </is>
      </c>
      <c r="H719" s="11" t="inlineStr">
        <is>
          <t>Cross-border Transfer, AML, Financial Data</t>
        </is>
      </c>
      <c r="I719" s="11" t="inlineStr">
        <is>
          <t>Financial Data</t>
        </is>
      </c>
      <c r="J719" t="inlineStr">
        <is>
          <t>AUSTRAC CEO</t>
        </is>
      </c>
      <c r="K719" s="11" t="inlineStr">
        <is>
          <t>Registered remittance providers, independent remittance dealers, and their affiliates may request removal of their registration entries from the Remittance Sector Register. AUSTRAC must remove entries upon request and also remove entries when registrations cease due to cancellation or cessation of business.</t>
        </is>
      </c>
      <c r="L719" s="11" t="inlineStr">
        <is>
          <t>This section allows for removal of registration entries from the Remittance Sector Register, impacting data transfer compliance by ensuring timely removal of outdated registration information.</t>
        </is>
      </c>
      <c r="M719" s="11" t="inlineStr">
        <is>
          <t>• [May] Registered remittance providers may request removal of registration entries
• [May] Registered independent remittance dealers may request removal of registration entries
• [May] Registered remittance affiliates may request removal of registration entries</t>
        </is>
      </c>
      <c r="N719" s="11" t="inlineStr">
        <is>
          <t>• [Must] AUSTRAC must remove entries upon request
• [Must] AUSTRAC must remove entries when person ceases to be registered remittance provider
• [Must] AUSTRAC must remove entries when person ceases to be registered independent remittance dealer or affiliate</t>
        </is>
      </c>
      <c r="O719" s="11" t="inlineStr">
        <is>
          <t>A person who is one or more of the following: (a) a registered remittance network provider; (b) a registered independent remittance dealer; (c) a registered remittance affiliate of a registered remittance network provider; may request the AUSTRAC CEO, in writing, to remove the entry relating to one or more of the registrations of the person from the Remittance Sector Register.</t>
        </is>
      </c>
      <c r="P719" s="12" t="n">
        <v>13</v>
      </c>
    </row>
    <row r="720">
      <c r="A720" t="inlineStr">
        <is>
          <t>Australia</t>
        </is>
      </c>
      <c r="B720" t="inlineStr">
        <is>
          <t>C2026C00220 (Australia - Row 2)</t>
        </is>
      </c>
      <c r="C720" t="inlineStr">
        <is>
          <t>206</t>
        </is>
      </c>
      <c r="D720" s="11" t="inlineStr">
        <is>
          <t>Notification of remittance affiliate removal from register</t>
        </is>
      </c>
      <c r="E720" t="inlineStr">
        <is>
          <t>224–225</t>
        </is>
      </c>
      <c r="F720" t="inlineStr">
        <is>
          <t>High</t>
        </is>
      </c>
      <c r="G720" t="inlineStr">
        <is>
          <t>High (explicit)</t>
        </is>
      </c>
      <c r="H720" s="11" t="inlineStr">
        <is>
          <t>Cross-border Transfer, Data Sharing</t>
        </is>
      </c>
      <c r="I720" s="11" t="inlineStr">
        <is>
          <t>Financial Data</t>
        </is>
      </c>
      <c r="J720" t="inlineStr">
        <is>
          <t>AUSTRAC CEO</t>
        </is>
      </c>
      <c r="K720" s="11" t="inlineStr">
        <is>
          <t>The AUSTRAC CEO must notify remittance network providers in writing if they remove a remittance affiliate from the Remittance Sector Register, excluding cases where removal is due to the provider's own removal. Similarly, the CEO must notify each remittance affiliate when the provider is removed from the register. This applies to entities registered under the AML/CTF Rules.</t>
        </is>
      </c>
      <c r="L720" s="11" t="inlineStr">
        <is>
          <t>Requires timely notification of changes to remittance affiliate registrations in the Remittance Sector Register, impacting cross-border data flows and regulatory oversight of remittance providers.</t>
        </is>
      </c>
      <c r="M720" s="11" t="inlineStr">
        <is>
          <t>• [Must] AUSTRAC CEO must notify remittance network provider in writing if it removes a remittance affiliate from the Remittance Sector Register</t>
        </is>
      </c>
      <c r="N720" s="11" t="inlineStr">
        <is>
          <t>• [Must] AUSTRAC CEO must notify remittance affiliate when provider is removed from Remittance Sector Register</t>
        </is>
      </c>
      <c r="O720" s="11" t="inlineStr">
        <is>
          <t>The AUSTRAC CEO must, as soon as reasonably practicable, notify a remittance network provider, in writing, if: (a) the AUSTRAC CEO removes from the Remittance Sector Register an entry relating to a remittance affiliate of the provider; and (b) the removal of the affiliate was not because of the removal of the provider as required by paragraph (3)(b).</t>
        </is>
      </c>
      <c r="P720" s="12" t="n">
        <v>13</v>
      </c>
    </row>
    <row r="721">
      <c r="A721" t="inlineStr">
        <is>
          <t>Australia</t>
        </is>
      </c>
      <c r="B721" t="inlineStr">
        <is>
          <t>C2026C00220 (Australia - Row 2)</t>
        </is>
      </c>
      <c r="C721" t="inlineStr">
        <is>
          <t>207</t>
        </is>
      </c>
      <c r="D721" s="11" t="inlineStr">
        <is>
          <t>Registered persons must report material changes in circumstances</t>
        </is>
      </c>
      <c r="E721" t="inlineStr">
        <is>
          <t>225–226</t>
        </is>
      </c>
      <c r="F721" t="inlineStr">
        <is>
          <t>High</t>
        </is>
      </c>
      <c r="G721" t="inlineStr">
        <is>
          <t>High (explicit)</t>
        </is>
      </c>
      <c r="H721" s="11" t="inlineStr">
        <is>
          <t>Cross-border Transfer, Data Sharing</t>
        </is>
      </c>
      <c r="I721" s="11" t="inlineStr">
        <is>
          <t>Financial Data</t>
        </is>
      </c>
      <c r="J721" t="inlineStr">
        <is>
          <t>AUSTRAC CEO</t>
        </is>
      </c>
      <c r="K721" s="11" t="inlineStr">
        <is>
          <t>Registered remittance affiliates and providers must report material changes in circumstances or specified matters to AUSTRAC within 14 or 7 days, respectively. Reporting must follow an approved form and include details that could affect registration, as defined by AML/CTF Rules.</t>
        </is>
      </c>
      <c r="L721" s="11" t="inlineStr">
        <is>
          <t>Mandates timely reporting of material changes to registration status, critical for assessing risks in cross-border remittance operations and ensuring regulatory compliance.</t>
        </is>
      </c>
      <c r="M721" s="11" t="inlineStr">
        <is>
          <t>• [Must] Registered remittance affiliate must advise provider of changes in circumstances that could materially affect registration
• [Must] Registered remittance affiliate must advise provider of matters specified in AML/CTF Rules
• [Must] Registered remittance provider must advise AUSTRAC CEO of changes notified to it by affiliates</t>
        </is>
      </c>
      <c r="N721" s="11" t="inlineStr">
        <is>
          <t>• [Condition] Reporting must be done within 14 days of change in circumstances for affiliates
• [Condition] Reporting must be done within 7 days of provider receiving advice for provider</t>
        </is>
      </c>
      <c r="O721" s="11" t="inlineStr">
        <is>
          <t>A registered remittance affiliate of a registered remittance network provider must advise the provider of the following: (a) any change in circumstances that could materially affect the person's registration; (b) any matters specified in the AML/CTF Rules for the purposes of this paragraph; unless the affiliate applied for registration on its own behalf (see paragraph 75B(1)(c)).</t>
        </is>
      </c>
      <c r="P721" s="12" t="n">
        <v>13</v>
      </c>
    </row>
    <row r="722">
      <c r="A722" t="inlineStr">
        <is>
          <t>Australia</t>
        </is>
      </c>
      <c r="B722" t="inlineStr">
        <is>
          <t>C2026C00220 (Australia - Row 2)</t>
        </is>
      </c>
      <c r="C722" t="inlineStr">
        <is>
          <t>208</t>
        </is>
      </c>
      <c r="D722" s="11" t="inlineStr">
        <is>
          <t>AUSTRAC CEO may request additional information for decisions</t>
        </is>
      </c>
      <c r="E722" t="inlineStr">
        <is>
          <t>226–227</t>
        </is>
      </c>
      <c r="F722" t="inlineStr">
        <is>
          <t>High</t>
        </is>
      </c>
      <c r="G722" t="inlineStr">
        <is>
          <t>High (explicit)</t>
        </is>
      </c>
      <c r="H722" s="11" t="inlineStr">
        <is>
          <t>Cross-border Transfer</t>
        </is>
      </c>
      <c r="I722" s="11" t="inlineStr">
        <is>
          <t>Financial Data</t>
        </is>
      </c>
      <c r="J722" t="inlineStr">
        <is>
          <t>AUSTRAC CEO</t>
        </is>
      </c>
      <c r="K722" s="11" t="inlineStr">
        <is>
          <t>The AUSTRAC CEO can request additional information from any person for decisions under this Part, but must wait until all requested information is provided before making a decision. This ensures thorough assessment of registration applications and compliance.</t>
        </is>
      </c>
      <c r="L722" s="11" t="inlineStr">
        <is>
          <t>Allows regulators to gather necessary information before decisions, impacting the scope and timing of data transfers in remittance operations.</t>
        </is>
      </c>
      <c r="M722" s="11" t="inlineStr">
        <is>
          <t>• [May] AUSTRAC CEO may request further information from any person for decision purposes</t>
        </is>
      </c>
      <c r="N722" s="11" t="inlineStr">
        <is>
          <t>• [Must Not] AUSTRAC CEO must not make a decision until all requested information is provided</t>
        </is>
      </c>
      <c r="O722" s="11" t="inlineStr">
        <is>
          <t>The AUSTRAC CEO may, in writing, request further information from any person for the purposes of making a decision under this Part.</t>
        </is>
      </c>
      <c r="P722" s="12" t="n">
        <v>13</v>
      </c>
    </row>
    <row r="723">
      <c r="A723" t="inlineStr">
        <is>
          <t>Australia</t>
        </is>
      </c>
      <c r="B723" t="inlineStr">
        <is>
          <t>C2026C00220 (Australia - Row 2)</t>
        </is>
      </c>
      <c r="C723" t="inlineStr">
        <is>
          <t>209</t>
        </is>
      </c>
      <c r="D723" s="11" t="inlineStr">
        <is>
          <t>AUSTRAC CEO must provide notice before reviewable decisions</t>
        </is>
      </c>
      <c r="E723" t="inlineStr">
        <is>
          <t>227–228</t>
        </is>
      </c>
      <c r="F723" t="inlineStr">
        <is>
          <t>High</t>
        </is>
      </c>
      <c r="G723" t="inlineStr">
        <is>
          <t>High (explicit)</t>
        </is>
      </c>
      <c r="H723" s="11" t="inlineStr">
        <is>
          <t>Cross-border Transfer</t>
        </is>
      </c>
      <c r="I723" s="11" t="inlineStr">
        <is>
          <t>Financial Data</t>
        </is>
      </c>
      <c r="J723" t="inlineStr">
        <is>
          <t>AUSTRAC CEO</t>
        </is>
      </c>
      <c r="K723" s="11" t="inlineStr">
        <is>
          <t>Before making reviewable decisions on registration, the AUSTRAC CEO must notify affected persons of proposed decisions, including terms, cancellation dates, reasons, and a 28-day submission window. This applies to decisions under sections 75C, 75E, and 75G.</t>
        </is>
      </c>
      <c r="L723" s="11" t="inlineStr">
        <is>
          <t>Requires pre-decision notification for high-risk regulatory actions, influencing data transfer compliance and risk assessment in cross-border remittance services.</t>
        </is>
      </c>
      <c r="M723" s="11" t="inlineStr">
        <is>
          <t>• [Must] AUSTRAC CEO must give written notice to each person before reviewable decision
• [Must] Notice must include terms of proposed decision
• [Must] Notice must include proposed cancellation date if applicable</t>
        </is>
      </c>
      <c r="N723" s="11" t="inlineStr">
        <is>
          <t>• [Must] Notice must include reasons for proposed decision
• [Must] Notice must allow 28 days for submission to AUSTRAC CEO</t>
        </is>
      </c>
      <c r="O723" s="11" t="inlineStr">
        <is>
          <t>Before making a reviewable decision under section 75C, 75E or 75G in relation to one or more persons, the AUSTRAC CEO must give a written notice to each of the persons containing: (a) the terms of the proposed decision; and (b) if the proposed decision is to cancel a registration—the date on which the cancellation is proposed to take effect; and (c) the reasons for the proposed decision; and (d) a statement that the person may, within 28 days of the giving of the notice, make a submission under this section in relation to the proposed decision.</t>
        </is>
      </c>
      <c r="P723" s="12" t="n">
        <v>13</v>
      </c>
    </row>
    <row r="724">
      <c r="A724" t="inlineStr">
        <is>
          <t>Australia</t>
        </is>
      </c>
      <c r="B724" t="inlineStr">
        <is>
          <t>C2026C00220 (Australia - Row 2)</t>
        </is>
      </c>
      <c r="C724" t="inlineStr">
        <is>
          <t>210</t>
        </is>
      </c>
      <c r="D724" s="11" t="inlineStr">
        <is>
          <t>Basis of registration for remittance providers</t>
        </is>
      </c>
      <c r="E724" t="inlineStr">
        <is>
          <t>228–229</t>
        </is>
      </c>
      <c r="F724" t="inlineStr">
        <is>
          <t>High</t>
        </is>
      </c>
      <c r="G724" t="inlineStr">
        <is>
          <t>High (explicit)</t>
        </is>
      </c>
      <c r="H724" s="11" t="inlineStr">
        <is>
          <t>Cross-border Transfer</t>
        </is>
      </c>
      <c r="I724" s="11" t="inlineStr">
        <is>
          <t>Financial Data</t>
        </is>
      </c>
      <c r="J724" t="inlineStr">
        <is>
          <t>AUSTRAC CEO</t>
        </is>
      </c>
      <c r="K724" s="11" t="inlineStr">
        <is>
          <t>Registration under this Part is conditional on the possibility of registration termination, suspension, conditional registration, or future legislative changes, with no compensation payable if registration ceases or is suspended.</t>
        </is>
      </c>
      <c r="L724" s="11" t="inlineStr">
        <is>
          <t>Defines registration conditions that may impact data transfer eligibility and regulatory oversight for remittance providers.</t>
        </is>
      </c>
      <c r="M724" s="11" t="inlineStr">
        <is>
          <t>• [Must] Registration may cease as per section 75F
• [Must] Registration may be suspended as per section 75H
• [Must] Registration may be subject to conditions as per section 75E</t>
        </is>
      </c>
      <c r="N724" s="11" t="inlineStr">
        <is>
          <t>• [Must] Registration may be terminated by later legislation
• [Must Not] No compensation payable if registration ceases, suspends, or is conditional</t>
        </is>
      </c>
      <c r="O724" s="11" t="inlineStr">
        <is>
          <t>Registration under this Part is on the basis that: (a) the registration may cease as mentioned in section 75F; and (b) the registration may be suspended as mentioned in section 75H; and (c) the registration may be made subject to conditions as mentioned in section 75E; and (d) the registration may cease, be suspended or be made subject to conditions by or under later legislation; and (e) no compensation is payable if the registration ceases, is suspended or made subject to conditions as mentioned in any of the above paragraphs.</t>
        </is>
      </c>
      <c r="P724" s="12" t="n">
        <v>13</v>
      </c>
    </row>
    <row r="725">
      <c r="A725" t="inlineStr">
        <is>
          <t>Australia</t>
        </is>
      </c>
      <c r="B725" t="inlineStr">
        <is>
          <t>C2026C00220 (Australia - Row 2)</t>
        </is>
      </c>
      <c r="C725" t="inlineStr">
        <is>
          <t>211</t>
        </is>
      </c>
      <c r="D725" s="11" t="inlineStr">
        <is>
          <t>Simplified outline for virtual asset service providers</t>
        </is>
      </c>
      <c r="E725" t="inlineStr">
        <is>
          <t>229–230</t>
        </is>
      </c>
      <c r="F725" t="inlineStr">
        <is>
          <t>High</t>
        </is>
      </c>
      <c r="G725" t="inlineStr">
        <is>
          <t>High (explicit)</t>
        </is>
      </c>
      <c r="H725" s="11" t="inlineStr">
        <is>
          <t>Cross-border Transfer</t>
        </is>
      </c>
      <c r="I725" s="11" t="inlineStr">
        <is>
          <t>Financial Data</t>
        </is>
      </c>
      <c r="J725" t="inlineStr">
        <is>
          <t>AUSTRAC CEO</t>
        </is>
      </c>
      <c r="K725" s="11" t="inlineStr">
        <is>
          <t>This Part establishes a registration system for virtual asset service providers, including offences for unregistered providers, and requirements for maintaining a Virtual Asset Service Provider Register.</t>
        </is>
      </c>
      <c r="L725" s="11" t="inlineStr">
        <is>
          <t>Outlines the regulatory framework for virtual asset service providers, impacting cross-border data transfers and compliance with AML/CFT requirements.</t>
        </is>
      </c>
      <c r="M725" s="11" t="inlineStr">
        <is>
          <t>• [Must] This Part provides for a system of registration for providers of virtual asset services
• [Must] Division 2 sets out offences and civil penalties for unregistered providers</t>
        </is>
      </c>
      <c r="N725" s="11" t="inlineStr">
        <is>
          <t>• [Must] Division 3 requires AUSTRAC CEO to maintain Virtual Asset Service Provider Register</t>
        </is>
      </c>
      <c r="O725" s="11" t="inlineStr">
        <is>
          <t>This Part provides for a system of registration for providers of virtual asset services.</t>
        </is>
      </c>
      <c r="P725" s="12" t="n">
        <v>13</v>
      </c>
    </row>
    <row r="726">
      <c r="A726" t="inlineStr">
        <is>
          <t>Australia</t>
        </is>
      </c>
      <c r="B726" t="inlineStr">
        <is>
          <t>C2026C00220 (Australia - Row 2)</t>
        </is>
      </c>
      <c r="C726" t="inlineStr">
        <is>
          <t>212</t>
        </is>
      </c>
      <c r="D726" s="11" t="inlineStr">
        <is>
          <t>Restrictions on providing virtual asset services</t>
        </is>
      </c>
      <c r="E726" t="inlineStr">
        <is>
          <t>230–231</t>
        </is>
      </c>
      <c r="F726" t="inlineStr">
        <is>
          <t>High</t>
        </is>
      </c>
      <c r="G726" t="inlineStr">
        <is>
          <t>High (explicit)</t>
        </is>
      </c>
      <c r="H726" s="11" t="inlineStr">
        <is>
          <t>Cross-border Transfer</t>
        </is>
      </c>
      <c r="I726" s="11" t="inlineStr">
        <is>
          <t>Financial Data</t>
        </is>
      </c>
      <c r="J726" t="inlineStr">
        <is>
          <t>AUSTRAC</t>
        </is>
      </c>
      <c r="K726" s="11" t="inlineStr">
        <is>
          <t>A person must not provide a registrable virtual asset service to another person if they are not registered as a virtual asset service provider. A person must also not breach conditions to which their registration as a virtual asset service provider is subject. Strict liability applies to certain breaches of these conditions.</t>
        </is>
      </c>
      <c r="L726" s="11" t="inlineStr">
        <is>
          <t>Restricts cross-border virtual asset services without registration, relevant for DTIA due to registration requirements for virtual asset service providers.</t>
        </is>
      </c>
      <c r="M726" s="11" t="inlineStr">
        <is>
          <t>• [Must] A person must not provide a registrable virtual asset service to another person if the first person is not a registered virtual asset service provider
• [Must] A person must not breach a condition to which the registration of the person as a virtual asset service provider is subject</t>
        </is>
      </c>
      <c r="N726" s="11" t="inlineStr">
        <is>
          <t>• [Condition] Strict liability applies to paragraphs (3)(b) and (c)</t>
        </is>
      </c>
      <c r="O726" s="11" t="inlineStr">
        <is>
          <t>A person (the first person) must not provide a registrable virtual asset service to another person if the first person is not a registered virtual asset service provider.</t>
        </is>
      </c>
      <c r="P726" s="12" t="n">
        <v>13</v>
      </c>
    </row>
    <row r="727">
      <c r="A727" t="inlineStr">
        <is>
          <t>Australia</t>
        </is>
      </c>
      <c r="B727" t="inlineStr">
        <is>
          <t>C2026C00220 (Australia - Row 2)</t>
        </is>
      </c>
      <c r="C727" t="inlineStr">
        <is>
          <t>213</t>
        </is>
      </c>
      <c r="D727" s="11" t="inlineStr">
        <is>
          <t>Penalties for virtual asset service provider offences</t>
        </is>
      </c>
      <c r="E727" t="inlineStr">
        <is>
          <t>231–232</t>
        </is>
      </c>
      <c r="F727" t="inlineStr">
        <is>
          <t>High</t>
        </is>
      </c>
      <c r="G727" t="inlineStr">
        <is>
          <t>High (explicit)</t>
        </is>
      </c>
      <c r="H727" s="11" t="inlineStr"/>
      <c r="I727" s="11" t="inlineStr"/>
      <c r="J727" t="inlineStr">
        <is>
          <t>AUSTRAC</t>
        </is>
      </c>
      <c r="K727" s="11" t="inlineStr">
        <is>
          <t>Penalties for offences under section 76A include imprisonment for up to 4 years or 1,000 penalty units, or both. Strict liability applies to certain breaches of conditions related to registration.</t>
        </is>
      </c>
      <c r="L727" s="11" t="inlineStr">
        <is>
          <t>Imposes penalties for non-compliance with virtual asset service provider registration, relevant for DTIA due to enforcement mechanisms.</t>
        </is>
      </c>
      <c r="M727" s="11" t="inlineStr">
        <is>
          <t>• [Penalty] Penalty: Imprisonment for 4 years or 1,000 penalty units, or both</t>
        </is>
      </c>
      <c r="N727" s="11" t="inlineStr">
        <is>
          <t>• [Condition] Strict liability applies to paragraphs (5)(b) and (c)</t>
        </is>
      </c>
      <c r="O727" s="11" t="inlineStr">
        <is>
          <t>Penalty: Imprisonment for 4 years or 1,000 penalty units, or both.</t>
        </is>
      </c>
      <c r="P727" s="12" t="n">
        <v>13</v>
      </c>
    </row>
    <row r="728">
      <c r="A728" t="inlineStr">
        <is>
          <t>Australia</t>
        </is>
      </c>
      <c r="B728" t="inlineStr">
        <is>
          <t>C2026C00220 (Australia - Row 2)</t>
        </is>
      </c>
      <c r="C728" t="inlineStr">
        <is>
          <t>214</t>
        </is>
      </c>
      <c r="D728" s="11" t="inlineStr">
        <is>
          <t>Disqualifications for virtual asset service providers</t>
        </is>
      </c>
      <c r="E728" t="inlineStr">
        <is>
          <t>232–233</t>
        </is>
      </c>
      <c r="F728" t="inlineStr">
        <is>
          <t>High</t>
        </is>
      </c>
      <c r="G728" t="inlineStr">
        <is>
          <t>High (explicit)</t>
        </is>
      </c>
      <c r="H728" s="11" t="inlineStr">
        <is>
          <t>AML, Financial Data</t>
        </is>
      </c>
      <c r="I728" s="11" t="inlineStr">
        <is>
          <t>Financial Data</t>
        </is>
      </c>
      <c r="J728" t="inlineStr">
        <is>
          <t>AUSTRAC</t>
        </is>
      </c>
      <c r="K728" s="11" t="inlineStr">
        <is>
          <t>A person cannot be registered as a virtual asset service provider if they have been previously convicted of offences against subsections (3), (5), or (7) or if they have an order under section 19B of the Crimes Act 1914 related to such offences.</t>
        </is>
      </c>
      <c r="L728" s="11" t="inlineStr">
        <is>
          <t>Disqualifies individuals with prior convictions or orders related to money laundering, relevant for DTIA due to risk assessment.</t>
        </is>
      </c>
      <c r="M728" s="11" t="inlineStr">
        <is>
          <t>• [Must Not] A person had previously been convicted of an offence against subsection (3), (5) or (7), and that conviction has not been set aside or quashed</t>
        </is>
      </c>
      <c r="N728" s="11" t="inlineStr">
        <is>
          <t>• [Must Not] An order had previously been made against the person under section 19B of the Crimes Act 1914 in respect of an offence against subsection (3), (5) or (7), and that order has not been set aside</t>
        </is>
      </c>
      <c r="O728" s="11" t="inlineStr">
        <is>
          <t>A person had previously been convicted of an offence against subsection (3), (5) or (7), and that conviction has not been set aside or quashed</t>
        </is>
      </c>
      <c r="P728" s="12" t="n">
        <v>13</v>
      </c>
    </row>
    <row r="729">
      <c r="A729" t="inlineStr">
        <is>
          <t>Australia</t>
        </is>
      </c>
      <c r="B729" t="inlineStr">
        <is>
          <t>C2026C00220 (Australia - Row 2)</t>
        </is>
      </c>
      <c r="C729" t="inlineStr">
        <is>
          <t>215</t>
        </is>
      </c>
      <c r="D729" s="11" t="inlineStr">
        <is>
          <t>Virtual Asset Service Provider Register</t>
        </is>
      </c>
      <c r="E729" t="inlineStr">
        <is>
          <t>233–234</t>
        </is>
      </c>
      <c r="F729" t="inlineStr">
        <is>
          <t>High</t>
        </is>
      </c>
      <c r="G729" t="inlineStr">
        <is>
          <t>High (explicit)</t>
        </is>
      </c>
      <c r="H729" s="11" t="inlineStr">
        <is>
          <t>Data Storage</t>
        </is>
      </c>
      <c r="I729" s="11" t="inlineStr">
        <is>
          <t>Financial Data</t>
        </is>
      </c>
      <c r="J729" t="inlineStr">
        <is>
          <t>AUSTRAC</t>
        </is>
      </c>
      <c r="K729" s="11" t="inlineStr">
        <is>
          <t>AUSTRAC CEO must maintain a Virtual Asset Service Provider Register that includes details of registered persons, their conditions, registration dates, and registrable details. The register may be maintained electronically and is not a legislative instrument.</t>
        </is>
      </c>
      <c r="L729" s="11" t="inlineStr">
        <is>
          <t>Requires registration of virtual asset service providers, relevant for DTIA due to data storage and registration requirements.</t>
        </is>
      </c>
      <c r="M729" s="11" t="inlineStr">
        <is>
          <t>• [Must] AUSTRAC CEO must maintain a register for the purposes of this Part, to be known as the Virtual Asset Service Provider Register
• [May] AUSTRAC CEO may maintain the Virtual Asset Service Provider Register by electronic means</t>
        </is>
      </c>
      <c r="N729" s="11" t="inlineStr">
        <is>
          <t>• [Condition] The Virtual Asset Service Provider Register is not a legislative instrument</t>
        </is>
      </c>
      <c r="O729" s="11" t="inlineStr">
        <is>
          <t>The AUSTRAC CEO must maintain a register for the purposes of this Part, to be known as the Virtual Asset Service Provider Register.</t>
        </is>
      </c>
      <c r="P729" s="12" t="n">
        <v>13</v>
      </c>
    </row>
    <row r="730">
      <c r="A730" t="inlineStr">
        <is>
          <t>Australia</t>
        </is>
      </c>
      <c r="B730" t="inlineStr">
        <is>
          <t>C2026C00220 (Australia - Row 2)</t>
        </is>
      </c>
      <c r="C730" t="inlineStr">
        <is>
          <t>216</t>
        </is>
      </c>
      <c r="D730" s="11" t="inlineStr">
        <is>
          <t>Applications for virtual asset service provider registration</t>
        </is>
      </c>
      <c r="E730" t="inlineStr">
        <is>
          <t>234–235</t>
        </is>
      </c>
      <c r="F730" t="inlineStr">
        <is>
          <t>High</t>
        </is>
      </c>
      <c r="G730" t="inlineStr">
        <is>
          <t>High (explicit)</t>
        </is>
      </c>
      <c r="H730" s="11" t="inlineStr"/>
      <c r="I730" s="11" t="inlineStr">
        <is>
          <t>Financial Data</t>
        </is>
      </c>
      <c r="J730" t="inlineStr">
        <is>
          <t>AUSTRAC</t>
        </is>
      </c>
      <c r="K730" s="11" t="inlineStr">
        <is>
          <t>Applications for registration as a virtual asset service provider must include specific information. AUSTRAC CEO may require additional information. If no decision is made within 90 days, the application is deemed refused. AUSTRAC CEO may extend the period by up to 30 days if the application is complex.</t>
        </is>
      </c>
      <c r="L730" s="11" t="inlineStr">
        <is>
          <t>Regulates application processes for virtual asset service providers, relevant for DTIA due to data collection and processing requirements.</t>
        </is>
      </c>
      <c r="M730" s="11" t="inlineStr">
        <is>
          <t>• [Must] An application under subsection (1) must include specific information
• [May] The AUSTRAC CEO may require information relating to matters mentioned in paragraph 76E(2)(a) or in Rules made under paragraph 76E(2)(b)</t>
        </is>
      </c>
      <c r="N730" s="11" t="inlineStr">
        <is>
          <t>• [Condition] If the AUSTRAC CEO has not made a decision on the application within the relevant period, the AUSTRAC CEO is taken to have decided not to register the person at the end of the relevant period</t>
        </is>
      </c>
      <c r="O730" s="11" t="inlineStr">
        <is>
          <t>An application under subsection (1) must: [specific information]</t>
        </is>
      </c>
      <c r="P730" s="12" t="n">
        <v>13</v>
      </c>
    </row>
    <row r="731">
      <c r="A731" t="inlineStr">
        <is>
          <t>Australia</t>
        </is>
      </c>
      <c r="B731" t="inlineStr">
        <is>
          <t>C2026C00220 (Australia - Row 2)</t>
        </is>
      </c>
      <c r="C731" t="inlineStr">
        <is>
          <t>217</t>
        </is>
      </c>
      <c r="D731" s="11" t="inlineStr">
        <is>
          <t>Registration criteria for virtual asset service providers</t>
        </is>
      </c>
      <c r="E731" t="inlineStr">
        <is>
          <t>235–236</t>
        </is>
      </c>
      <c r="F731" t="inlineStr">
        <is>
          <t>High</t>
        </is>
      </c>
      <c r="G731" t="inlineStr">
        <is>
          <t>High (explicit)</t>
        </is>
      </c>
      <c r="H731" s="11" t="inlineStr">
        <is>
          <t>AML, Financial Data</t>
        </is>
      </c>
      <c r="I731" s="11" t="inlineStr">
        <is>
          <t>Financial Data</t>
        </is>
      </c>
      <c r="J731" t="inlineStr">
        <is>
          <t>AUSTRAC</t>
        </is>
      </c>
      <c r="K731" s="11" t="inlineStr">
        <is>
          <t>AUSTRAC CEO must register a person if they are satisfied that registering them does not involve significant money laundering, financing of terrorism or other serious crime risk. The decision considers the applicant's criminal history, compliance with laws, and ownership structure.</t>
        </is>
      </c>
      <c r="L731" s="11" t="inlineStr">
        <is>
          <t>Sets criteria for virtual asset service provider registration, relevant for DTIA due to risk assessment and data processing requirements.</t>
        </is>
      </c>
      <c r="M731" s="11" t="inlineStr">
        <is>
          <t>• [Must] The AUSTRAC CEO must decide to register the person in accordance with the application if the AUSTRAC CEO is satisfied that it is appropriate to do so, having regard to whether registering the person would involve a significant money laundering, financing of terrorism or other serious crime risk</t>
        </is>
      </c>
      <c r="N731" s="11" t="inlineStr">
        <is>
          <t>• [Must] The AUSTRAC CEO must consider the applicant's criminal history, compliance with laws, and ownership structure when deciding on registration</t>
        </is>
      </c>
      <c r="O731" s="11" t="inlineStr">
        <is>
          <t>The AUSTRAC CEO must decide to register the person in accordance with the application if the AUSTRAC CEO is satisfied that it is appropriate to do so, having regard to: whether registering the person would involve a significant money laundering, financing of terrorism or other serious crime risk</t>
        </is>
      </c>
      <c r="P731" s="12" t="n">
        <v>13</v>
      </c>
    </row>
    <row r="732">
      <c r="A732" t="inlineStr">
        <is>
          <t>Australia</t>
        </is>
      </c>
      <c r="B732" t="inlineStr">
        <is>
          <t>C2026C00220 (Australia - Row 2)</t>
        </is>
      </c>
      <c r="C732" t="inlineStr">
        <is>
          <t>218</t>
        </is>
      </c>
      <c r="D732" s="11" t="inlineStr">
        <is>
          <t>Registration decision notice requirements</t>
        </is>
      </c>
      <c r="E732" t="inlineStr">
        <is>
          <t>236–237</t>
        </is>
      </c>
      <c r="F732" t="inlineStr">
        <is>
          <t>High</t>
        </is>
      </c>
      <c r="G732" t="inlineStr">
        <is>
          <t>High (explicit)</t>
        </is>
      </c>
      <c r="H732" s="11" t="inlineStr"/>
      <c r="I732" s="11" t="inlineStr">
        <is>
          <t>Personal Information</t>
        </is>
      </c>
      <c r="J732" t="inlineStr">
        <is>
          <t>AUSTRAC CEO</t>
        </is>
      </c>
      <c r="K732" s="11" t="inlineStr">
        <is>
          <t>The AUSTRAC CEO must provide written notice to applicants within a reasonable timeframe after deciding to register them. This notice must specify any conditions attached to registration and the effective date of registration. The notice is required to be given in writing and must include the conditions (if any) and the registration effective date as specified in section 76G.</t>
        </is>
      </c>
      <c r="L732" s="11" t="inlineStr">
        <is>
          <t>Regulatory notice requirements for registration decisions impact DTIA by mandating clear communication of registration conditions and effective dates to applicants.</t>
        </is>
      </c>
      <c r="M732" s="11" t="inlineStr">
        <is>
          <t>• [Must] AUSTRAC CEO must give written notice to applicant as soon as practicable after deciding to register
• [Must] Notice must specify conditions (if any) to which registration is subject</t>
        </is>
      </c>
      <c r="N732" s="11" t="inlineStr">
        <is>
          <t>• [Must] Notice must specify the date on which registration takes effect</t>
        </is>
      </c>
      <c r="O732" s="11" t="inlineStr">
        <is>
          <t>218 (4) The AUSTRAC CEO must, as soon as practicable after deciding to register an applicant, give a written notice to the applicant.</t>
        </is>
      </c>
      <c r="P732" s="12" t="n">
        <v>13</v>
      </c>
    </row>
    <row r="733">
      <c r="A733" t="inlineStr">
        <is>
          <t>Australia</t>
        </is>
      </c>
      <c r="B733" t="inlineStr">
        <is>
          <t>C2026C00220 (Australia - Row 2)</t>
        </is>
      </c>
      <c r="C733" t="inlineStr">
        <is>
          <t>219</t>
        </is>
      </c>
      <c r="D733" s="11" t="inlineStr">
        <is>
          <t>Registration termination timelines and conditions</t>
        </is>
      </c>
      <c r="E733" t="inlineStr">
        <is>
          <t>237–238</t>
        </is>
      </c>
      <c r="F733" t="inlineStr">
        <is>
          <t>High</t>
        </is>
      </c>
      <c r="G733" t="inlineStr">
        <is>
          <t>High (explicit)</t>
        </is>
      </c>
      <c r="H733" s="11" t="inlineStr"/>
      <c r="I733" s="11" t="inlineStr">
        <is>
          <t>Personal Information</t>
        </is>
      </c>
      <c r="J733" t="inlineStr">
        <is>
          <t>AUSTRAC CEO</t>
        </is>
      </c>
      <c r="K733" s="11" t="inlineStr">
        <is>
          <t>Registration terminates at the earliest of cancellation, removal from the register, expiration after 3 years, death of an individual, or cessation of existence of a body corporate. Termination is subject to the AML/CTF Rules for renewal. The 3-year period starts from the registration effective date and may be extended through renewal.</t>
        </is>
      </c>
      <c r="L733" s="11" t="inlineStr">
        <is>
          <t>Registration termination timelines and conditions affect DTIA by establishing when registration ends and how renewals can extend the period, impacting data transfer and processing activities.</t>
        </is>
      </c>
      <c r="M733" s="11" t="inlineStr">
        <is>
          <t>• [Must] Registration ceases at earliest of cancellation, removal from register, expiration after 3 years, death of individual, or cessation of existence of body corporate</t>
        </is>
      </c>
      <c r="N733" s="11" t="inlineStr">
        <is>
          <t>• [Condition] 3-year period starts from registration effective date and may be extended through renewal</t>
        </is>
      </c>
      <c r="O733" s="11" t="inlineStr">
        <is>
          <t>219 (1) The registration of a person ceases at the earliest of the following times: (a) cancellation under section 76J; (b) removal from register under subsection 76M(2); (c) 3 years after registration effective date; (d) death of individual; (e) cessation of existence of body corporate.</t>
        </is>
      </c>
      <c r="P733" s="12" t="n">
        <v>13</v>
      </c>
    </row>
    <row r="734">
      <c r="A734" t="inlineStr">
        <is>
          <t>Australia</t>
        </is>
      </c>
      <c r="B734" t="inlineStr">
        <is>
          <t>C2026C00220 (Australia - Row 2)</t>
        </is>
      </c>
      <c r="C734" t="inlineStr">
        <is>
          <t>220</t>
        </is>
      </c>
      <c r="D734" s="11" t="inlineStr">
        <is>
          <t>Registration cancellation and suspension procedures</t>
        </is>
      </c>
      <c r="E734" t="inlineStr">
        <is>
          <t>238–239</t>
        </is>
      </c>
      <c r="F734" t="inlineStr">
        <is>
          <t>High</t>
        </is>
      </c>
      <c r="G734" t="inlineStr">
        <is>
          <t>High (explicit)</t>
        </is>
      </c>
      <c r="H734" s="11" t="inlineStr"/>
      <c r="I734" s="11" t="inlineStr">
        <is>
          <t>Personal Information</t>
        </is>
      </c>
      <c r="J734" t="inlineStr">
        <is>
          <t>AUSTRAC CEO</t>
        </is>
      </c>
      <c r="K734" s="11" t="inlineStr">
        <is>
          <t>Cancellation of registration occurs if AUSTRAC CEO determines continued registration poses significant money laundering, terrorism financing, or serious crime risks, or if there are breaches of registration conditions. Suspension may be imposed for specified grounds with defined effects, duration, and review processes. Cancellation takes effect on the date specified in the notice.</t>
        </is>
      </c>
      <c r="L734" s="11" t="inlineStr">
        <is>
          <t>Cancellation and suspension procedures impact DTIA by defining when and how registration can be terminated, affecting data transfer and processing activities.</t>
        </is>
      </c>
      <c r="M734" s="11" t="inlineStr">
        <is>
          <t>• [Must] AUSTRAC CEO may cancel registration if continued registration involves significant money laundering, terrorism financing, or serious crime risks
• [Must] AUSTRAC CEO may cancel registration for breaches of registration conditions</t>
        </is>
      </c>
      <c r="N734" s="11" t="inlineStr">
        <is>
          <t>• [Must] AUSTRAC CEO may cancel registration if reasonable grounds exist that registered person no longer provides virtual asset services
• [Must] Cancellation takes effect on date specified in notice</t>
        </is>
      </c>
      <c r="O734" s="11" t="inlineStr">
        <is>
          <t>220 (1) The AUSTRAC CEO may cancel the registration of a person if the AUSTRAC CEO is satisfied that it is appropriate to do so, having regard to: (a) whether continued registration involves significant money laundering, terrorism financing, or serious crime risks; (b) one or more breaches by the person of a condition of registration; (c) such other matters as specified in the AML/CTF Rules.</t>
        </is>
      </c>
      <c r="P734" s="12" t="n">
        <v>13</v>
      </c>
    </row>
    <row r="735">
      <c r="A735" t="inlineStr">
        <is>
          <t>Australia</t>
        </is>
      </c>
      <c r="B735" t="inlineStr">
        <is>
          <t>C2026C00220 (Australia - Row 2)</t>
        </is>
      </c>
      <c r="C735" t="inlineStr">
        <is>
          <t>221</t>
        </is>
      </c>
      <c r="D735" s="11" t="inlineStr">
        <is>
          <t>Registration entry removal procedures</t>
        </is>
      </c>
      <c r="E735" t="inlineStr">
        <is>
          <t>239–240</t>
        </is>
      </c>
      <c r="F735" t="inlineStr">
        <is>
          <t>High</t>
        </is>
      </c>
      <c r="G735" t="inlineStr">
        <is>
          <t>High (explicit)</t>
        </is>
      </c>
      <c r="H735" s="11" t="inlineStr"/>
      <c r="I735" s="11" t="inlineStr">
        <is>
          <t>Personal Information</t>
        </is>
      </c>
      <c r="J735" t="inlineStr">
        <is>
          <t>AUSTRAC CEO</t>
        </is>
      </c>
      <c r="K735" s="11" t="inlineStr">
        <is>
          <t>Registered virtual asset service providers may request removal of their registration entries from the Virtual Asset Service Provider Register. AUSTRAC CEO must remove entries upon request and also upon cancellation or cessation of registration. AUSTRAC CEO must notify persons of removal unless they have died or ceased to exist.</t>
        </is>
      </c>
      <c r="L735" s="11" t="inlineStr">
        <is>
          <t>Entry removal procedures impact DTIA by defining when and how registration entries are removed from the register, affecting data storage and transfer activities.</t>
        </is>
      </c>
      <c r="M735" s="11" t="inlineStr">
        <is>
          <t>• [Must] Registered person may request AUSTRAC CEO to remove registration entry from register
• [Must] AUSTRAC CEO must remove entry from register upon request</t>
        </is>
      </c>
      <c r="N735" s="11" t="inlineStr">
        <is>
          <t>• [Must] AUSTRAC CEO must notify person of removal unless they have died or ceased to exist</t>
        </is>
      </c>
      <c r="O735" s="11" t="inlineStr">
        <is>
          <t>221 (1) A person who is a registered virtual asset service provider may request the AUSTRAC CEO, in writing, to remove the entry relating to the registration of the person from the Virtual Asset Service Provider Register.</t>
        </is>
      </c>
      <c r="P735" s="12" t="n">
        <v>13</v>
      </c>
    </row>
    <row r="736">
      <c r="A736" t="inlineStr">
        <is>
          <t>Australia</t>
        </is>
      </c>
      <c r="B736" t="inlineStr">
        <is>
          <t>C2026C00220 (Australia - Row 2)</t>
        </is>
      </c>
      <c r="C736" t="inlineStr">
        <is>
          <t>222</t>
        </is>
      </c>
      <c r="D736" s="11" t="inlineStr">
        <is>
          <t>AML/CTF Rules and registration information requests</t>
        </is>
      </c>
      <c r="E736" t="inlineStr">
        <is>
          <t>240–241</t>
        </is>
      </c>
      <c r="F736" t="inlineStr">
        <is>
          <t>High</t>
        </is>
      </c>
      <c r="G736" t="inlineStr">
        <is>
          <t>High (explicit)</t>
        </is>
      </c>
      <c r="H736" s="11" t="inlineStr"/>
      <c r="I736" s="11" t="inlineStr">
        <is>
          <t>Personal Information</t>
        </is>
      </c>
      <c r="J736" t="inlineStr">
        <is>
          <t>AUSTRAC CEO</t>
        </is>
      </c>
      <c r="K736" s="11" t="inlineStr">
        <is>
          <t>AUSTRAC CEO may request further information from registered persons for decisions under this Part. AUSTRAC CEO is not required to make a decision until all requested information is provided. Registered persons must advise AUSTRAC CEO of material changes in circumstances within 14 days using an approved form.</t>
        </is>
      </c>
      <c r="L736" s="11" t="inlineStr">
        <is>
          <t>Information requests and change reporting impact DTIA by requiring timely disclosure of changes, affecting data transfer and processing activities.</t>
        </is>
      </c>
      <c r="M736" s="11" t="inlineStr">
        <is>
          <t>• [May] AUSTRAC CEO may request further information from persons for decisions under this Part
• [Condition] AUSTRAC CEO not required to make decision until all requested information is provided</t>
        </is>
      </c>
      <c r="N736" s="11" t="inlineStr">
        <is>
          <t>• [Must] Registered persons must advise AUSTRAC CEO of material changes in circumstances within 14 days</t>
        </is>
      </c>
      <c r="O736" s="11" t="inlineStr">
        <is>
          <t>222 (1) The AUSTRAC CEO may, in writing, request further information from any person for the purposes of making a decision under this Part.</t>
        </is>
      </c>
      <c r="P736" s="12" t="n">
        <v>13</v>
      </c>
    </row>
    <row r="737">
      <c r="A737" t="inlineStr">
        <is>
          <t>Australia</t>
        </is>
      </c>
      <c r="B737" t="inlineStr">
        <is>
          <t>C2026C00220 (Australia - Row 2)</t>
        </is>
      </c>
      <c r="C737" t="inlineStr">
        <is>
          <t>223</t>
        </is>
      </c>
      <c r="D737" s="11" t="inlineStr">
        <is>
          <t>AUSTRAC CEO's review procedures for decisions</t>
        </is>
      </c>
      <c r="E737" t="inlineStr">
        <is>
          <t>241–242</t>
        </is>
      </c>
      <c r="F737" t="inlineStr">
        <is>
          <t>High</t>
        </is>
      </c>
      <c r="G737" t="inlineStr">
        <is>
          <t>High (explicit)</t>
        </is>
      </c>
      <c r="H737" s="11" t="inlineStr"/>
      <c r="I737" s="11" t="inlineStr">
        <is>
          <t>Personal Information</t>
        </is>
      </c>
      <c r="J737" t="inlineStr">
        <is>
          <t>AUSTRAC CEO</t>
        </is>
      </c>
      <c r="K737" s="11" t="inlineStr">
        <is>
          <t>AUSTRAC CEO must provide written notice to persons before making reviewable decisions under sections 76E, 76G, or 76J. The notice must include proposed decision terms, cancellation date (if applicable), reasons for decision, and a 28-day submission window. AUSTRAC CEO may waive notice if urgency justifies it.</t>
        </is>
      </c>
      <c r="L737" s="11" t="inlineStr">
        <is>
          <t>Review procedures impact DTIA by requiring notice and submission periods for decisions, affecting data transfer and processing activities.</t>
        </is>
      </c>
      <c r="M737" s="11" t="inlineStr">
        <is>
          <t>• [Must] AUSTRAC CEO must give written notice to person before making reviewable decision
• [Must] Notice must include proposed decision terms
• [Must] Notice must include cancellation date if decision is cancellation</t>
        </is>
      </c>
      <c r="N737" s="11" t="inlineStr">
        <is>
          <t>• [Must] Notice must include reasons for proposed decision
• [Must] Notice must include 28-day submission window
• [May] AUSTRAC CEO may waive notice if urgency justifies it</t>
        </is>
      </c>
      <c r="O737" s="11" t="inlineStr">
        <is>
          <t>223 (1) Before making a reviewable decision under section 76E, 76G or 76J in relation to a person, the AUSTRAC CEO must give a written notice to the person containing: (a) the terms of the proposed decision; (b) if the proposed decision is to cancel a registration—the date on which the cancellation is proposed to take effect; (c) the reasons for the proposed decision; (d) a statement that the person may, within 28 days of the giving of the notice, make a submission under this section in relation to the proposed decision.</t>
        </is>
      </c>
      <c r="P737" s="12" t="n">
        <v>13</v>
      </c>
    </row>
    <row r="738">
      <c r="A738" t="inlineStr">
        <is>
          <t>Australia</t>
        </is>
      </c>
      <c r="B738" t="inlineStr">
        <is>
          <t>C2026C00220 (Australia - Row 2)</t>
        </is>
      </c>
      <c r="C738" t="inlineStr">
        <is>
          <t>224</t>
        </is>
      </c>
      <c r="D738" s="11" t="inlineStr">
        <is>
          <t>Registration basis conditions for financial institutions</t>
        </is>
      </c>
      <c r="E738" t="inlineStr">
        <is>
          <t>242–243</t>
        </is>
      </c>
      <c r="F738" t="inlineStr">
        <is>
          <t>Low</t>
        </is>
      </c>
      <c r="G738" t="inlineStr">
        <is>
          <t>High (explicit)</t>
        </is>
      </c>
      <c r="H738" s="11" t="inlineStr"/>
      <c r="I738" s="11" t="inlineStr"/>
      <c r="J738" t="inlineStr"/>
      <c r="K738" s="11" t="inlineStr">
        <is>
          <t>This section outlines conditions under which registration may cease, be suspended, or be subject to conditions. Registration can end per section 76H, be paused per section 76K, or be conditional per section 76G. Later legislation may also affect registration status, and no compensation is payable if registration ends, suspends, or becomes conditional. The conditions apply to financial institutions registered under this Part.</t>
        </is>
      </c>
      <c r="L738" s="11" t="inlineStr"/>
      <c r="M738" s="11" t="inlineStr">
        <is>
          <t>• [Condition] Registration may cease as mentioned in section 76H
• [Condition] Registration may be suspended as mentioned in section 76K
• [Condition] Registration may be made subject to conditions as mentioned in section 76G</t>
        </is>
      </c>
      <c r="N738" s="11" t="inlineStr">
        <is>
          <t>• [Condition] Registration may cease, be suspended or be made subject to conditions by or under later legislation
• [Condition] No compensation is payable if registration ceases, is suspended or made subject to conditions as mentioned in any of the above paragraphs</t>
        </is>
      </c>
      <c r="O738" s="11" t="inlineStr">
        <is>
          <t>Registration under this Part is on the basis that: (a) the registration may cease as mentioned in section 76H; and (b) the registration may be suspended as mentioned in section 76K; and (c) the registration may be made subject to conditions as mentioned in section 76G; and (d) the registration may cease, be suspended or be made subject to conditions by or under later legislation; and (e) no compensation is payable if the registration ceases, is suspended or made subject to conditions as mentioned in any of the above paragraphs.</t>
        </is>
      </c>
      <c r="P738" s="12" t="n">
        <v>13</v>
      </c>
    </row>
    <row r="739">
      <c r="A739" t="inlineStr">
        <is>
          <t>Australia</t>
        </is>
      </c>
      <c r="B739" t="inlineStr">
        <is>
          <t>C2026C00220 (Australia - Row 2)</t>
        </is>
      </c>
      <c r="C739" t="inlineStr">
        <is>
          <t>225</t>
        </is>
      </c>
      <c r="D739" s="11" t="inlineStr">
        <is>
          <t>Prohibitions on correspondent banking with shell banks</t>
        </is>
      </c>
      <c r="E739" t="inlineStr">
        <is>
          <t>243–245</t>
        </is>
      </c>
      <c r="F739" t="inlineStr">
        <is>
          <t>High</t>
        </is>
      </c>
      <c r="G739" t="inlineStr">
        <is>
          <t>High (explicit)</t>
        </is>
      </c>
      <c r="H739" s="11" t="inlineStr">
        <is>
          <t>Cross-border Transfer</t>
        </is>
      </c>
      <c r="I739" s="11" t="inlineStr">
        <is>
          <t>Financial Data</t>
        </is>
      </c>
      <c r="J739" t="inlineStr">
        <is>
          <t>AUSTRAC</t>
        </is>
      </c>
      <c r="K739" s="11" t="inlineStr">
        <is>
          <t>Financial institutions must not enter correspondent banking relationships with shell banks or financial institutions that have such relationships with shell banks. They must also not permit accounts to be used by shell banks. Additionally, financial institutions must conduct due diligence assessments before and during correspondent banking relationships involving vostro accounts. These obligations apply to financial institutions engaged in correspondent banking.</t>
        </is>
      </c>
      <c r="L739" s="11" t="inlineStr">
        <is>
          <t>This section imposes restrictions on cross-border correspondent banking relationships with shell banks, requiring due diligence for vostro accounts and termination procedures if shell banks are involved.</t>
        </is>
      </c>
      <c r="M739" s="11" t="inlineStr">
        <is>
          <t>• [Must Not] A financial institution must not enter into a correspondent banking relationship with a shell bank
• [Must Not] A financial institution must not enter into a correspondent banking relationship with another financial institution that has a correspondent banking relationship with a shell bank</t>
        </is>
      </c>
      <c r="N739" s="11" t="inlineStr">
        <is>
          <t>• [Must Not] A financial institution must not enter into a correspondent banking relationship with another financial institution that permits its accounts to be used by a shell bank
• [Must] A financial institution must carry out due diligence assessments before it enters into, and while it is in, a correspondent banking relationship with another financial institution involving a vostro account</t>
        </is>
      </c>
      <c r="O739" s="11" t="inlineStr">
        <is>
          <t>A financial institution must not enter into a correspondent banking relationship with: (a) a shell bank; or (b) another financial institution that has a correspondent banking relationship with a shell bank; or (c) another financial institution that permits its accounts to be used by a shell bank.</t>
        </is>
      </c>
      <c r="P739" s="12" t="n">
        <v>13</v>
      </c>
    </row>
    <row r="740">
      <c r="A740" t="inlineStr">
        <is>
          <t>Australia</t>
        </is>
      </c>
      <c r="B740" t="inlineStr">
        <is>
          <t>C2026C00220 (Australia - Row 2)</t>
        </is>
      </c>
      <c r="C740" t="inlineStr">
        <is>
          <t>227</t>
        </is>
      </c>
      <c r="D740" s="11" t="inlineStr">
        <is>
          <t>Termination procedures for correspondent banking with shell banks</t>
        </is>
      </c>
      <c r="E740" t="inlineStr">
        <is>
          <t>245–247</t>
        </is>
      </c>
      <c r="F740" t="inlineStr">
        <is>
          <t>High</t>
        </is>
      </c>
      <c r="G740" t="inlineStr">
        <is>
          <t>High (explicit)</t>
        </is>
      </c>
      <c r="H740" s="11" t="inlineStr">
        <is>
          <t>Cross-border Transfer</t>
        </is>
      </c>
      <c r="I740" s="11" t="inlineStr">
        <is>
          <t>Financial Data</t>
        </is>
      </c>
      <c r="J740" t="inlineStr">
        <is>
          <t>AUSTRAC</t>
        </is>
      </c>
      <c r="K740" s="11" t="inlineStr">
        <is>
          <t>If a financial institution becomes aware that its correspondent banking relationship involves a shell bank, it must terminate the relationship within 20 days or request the other institution to terminate within 20 days. If the other institution fails to comply within 20 days, the first institution must terminate the relationship within 20 days. These obligations apply to financial institutions with correspondent banking relationships involving shell banks.</t>
        </is>
      </c>
      <c r="L740" s="11" t="inlineStr">
        <is>
          <t>This section requires timely termination of correspondent banking relationships with shell banks, with specific timeframes for action and escalation procedures.</t>
        </is>
      </c>
      <c r="M740" s="11" t="inlineStr">
        <is>
          <t>• [Must] If a financial institution becomes aware that the other person is a shell bank, it must terminate the correspondent banking relationship within 20 days after becoming aware or such longer period as the AUSTRAC CEO allows
• [Must] If a financial institution becomes aware that the other person is a financial institution that has a correspondent banking relationship with a shell bank, it must request the other financial institution to terminate the correspondent banking relationship within 20 days after becoming aware or such longer period as the AUSTRAC CEO allows</t>
        </is>
      </c>
      <c r="N740" s="11" t="inlineStr">
        <is>
          <t>• [Must] If the other financial institution fails to comply with a termination request within 20 business days, the first institution must terminate its correspondent banking relationship within 20 days after the end of the first period or such longer period as the AUSTRAC CEO allows</t>
        </is>
      </c>
      <c r="O740" s="11" t="inlineStr">
        <is>
          <t>If a financial institution (the first institution) is in a correspondent banking relationship with another person and the first institution becomes aware that: (a) the other person is a shell bank; or (b) the other person is a financial institution that has a correspondent banking relationship with a shell bank; or (c) the other person is a financial institution that permits its accounts to be used by a shell bank; the first institution must, within 20 days after becoming so aware or such longer period (if any) as the AUSTRAC CEO allows, do one of the following: (d) terminate the correspondent banking relationship; (e) if paragraph (b) applies—request the other financial institution to terminate the correspondent banking relationship mentioned in that paragraph.</t>
        </is>
      </c>
      <c r="P740" s="12" t="n">
        <v>13</v>
      </c>
    </row>
    <row r="741">
      <c r="A741" t="inlineStr">
        <is>
          <t>Australia</t>
        </is>
      </c>
      <c r="B741" t="inlineStr">
        <is>
          <t>C2026C00220 (Australia - Row 2)</t>
        </is>
      </c>
      <c r="C741" t="inlineStr">
        <is>
          <t>229</t>
        </is>
      </c>
      <c r="D741" s="11" t="inlineStr">
        <is>
          <t>Geographical links for correspondent banking requirements</t>
        </is>
      </c>
      <c r="E741" t="inlineStr">
        <is>
          <t>247–249</t>
        </is>
      </c>
      <c r="F741" t="inlineStr">
        <is>
          <t>High</t>
        </is>
      </c>
      <c r="G741" t="inlineStr">
        <is>
          <t>High (explicit)</t>
        </is>
      </c>
      <c r="H741" s="11" t="inlineStr">
        <is>
          <t>Cross-border Transfer</t>
        </is>
      </c>
      <c r="I741" s="11" t="inlineStr">
        <is>
          <t>Financial Data</t>
        </is>
      </c>
      <c r="J741" t="inlineStr">
        <is>
          <t>AUSTRAC</t>
        </is>
      </c>
      <c r="K741" s="11" t="inlineStr">
        <is>
          <t>Financial institutions are exempt from correspondent banking requirements if they have a permanent establishment in Australia, are Australian residents with a permanent establishment abroad, or are subsidiaries of Australian companies with permanent establishments abroad. These exemptions apply to financial institutions engaged in correspondent banking relationships.</t>
        </is>
      </c>
      <c r="L741" s="11" t="inlineStr">
        <is>
          <t>This section defines when financial institutions are exempt from correspondent banking obligations based on geographical presence and residency.</t>
        </is>
      </c>
      <c r="M741" s="11" t="inlineStr">
        <is>
          <t>• [Condition] A financial institution is not subject to a requirement under this Part in connection with a correspondent banking relationship unless it carries on an activity or business at or through a permanent establishment of the financial institution in Australia
• [Condition] A financial institution is not subject to a requirement under this Part in connection with a correspondent banking relationship unless both: (i) the financial institution is a resident of Australia; and (ii) the financial institution carries on an activity or business at or through a permanent establishment of the financial institution in a foreig…</t>
        </is>
      </c>
      <c r="N741" s="11" t="inlineStr">
        <is>
          <t>• [Condition] A financial institution is not subject to a requirement under this Part in connection with a correspondent banking relationship unless both: (i) the financial institution is a subsidiary of a company that is a resident of Australia; and (ii) the financial institution carries on an activity or business at or through a permanent establishment of the…</t>
        </is>
      </c>
      <c r="O741" s="11" t="inlineStr">
        <is>
          <t>A financial institution is not subject to a requirement under this Part in connection with a correspondent banking relationship the financial institution has, or proposes to have, with another person unless: (a) the financial institution carries on an activity or business at or through a permanent establishment of the financial institution in Australia; or (b) both: (i) the financial institution is a resident of Australia; and (ii) the financial institution carries on an activity or business at or through a permanent establishment of the financial institution in a foreign country; or (c) both: (i) the financial institution is a subsidiary of a company that is a resident of Australia; and (ii) the financial institution carries on an activity or business at or through a permanent establishment of the financial institution in a foreign country.</t>
        </is>
      </c>
      <c r="P741" s="12" t="n">
        <v>13</v>
      </c>
    </row>
    <row r="742">
      <c r="A742" t="inlineStr">
        <is>
          <t>Australia</t>
        </is>
      </c>
      <c r="B742" t="inlineStr">
        <is>
          <t>C2026C00220 (Australia - Row 2)</t>
        </is>
      </c>
      <c r="C742" t="inlineStr">
        <is>
          <t>231</t>
        </is>
      </c>
      <c r="D742" s="11" t="inlineStr">
        <is>
          <t>Countermeasures for transactions with foreign residents</t>
        </is>
      </c>
      <c r="E742" t="inlineStr">
        <is>
          <t>249–251</t>
        </is>
      </c>
      <c r="F742" t="inlineStr">
        <is>
          <t>High</t>
        </is>
      </c>
      <c r="G742" t="inlineStr">
        <is>
          <t>High (explicit)</t>
        </is>
      </c>
      <c r="H742" s="11" t="inlineStr">
        <is>
          <t>Cross-border Transfer</t>
        </is>
      </c>
      <c r="I742" s="11" t="inlineStr">
        <is>
          <t>Financial Data</t>
        </is>
      </c>
      <c r="J742" t="inlineStr"/>
      <c r="K742" s="11" t="inlineStr">
        <is>
          <t>Regulations may prohibit or regulate transactions with residents of prescribed foreign countries. These prohibitions apply when one party is an Australian resident and the other is a resident of a prescribed foreign country, or when transactions occur through Australian permanent establishments with foreign residents. The regulations may be limited by transaction type, party, or country.</t>
        </is>
      </c>
      <c r="L742" s="11" t="inlineStr">
        <is>
          <t>This section allows for countermeasures against transactions with foreign residents, which can impact cross-border financial flows and data transfers.</t>
        </is>
      </c>
      <c r="M742" s="11" t="inlineStr">
        <is>
          <t>• [Condition] Regulations may prohibit or regulate the entering into of transactions where one party is a resident of Australia and the other party is a resident of a prescribed foreign country
• [Condition] Regulations may prohibit or regulate the entering into of transactions where one party enters into the transaction in the course of carrying on an activity or business at or through a permanent establishment in Australia and the other party is a resident of a prescribed foreign country
• [Condition] Regulations may prohibit or regulate the entering into of transactions where one party is a resident of Australia and the other party is a corporation incorporated in a prescribed foreign country</t>
        </is>
      </c>
      <c r="N742" s="11" t="inlineStr">
        <is>
          <t>• [Condition] Regulations may prohibit or regulate the entering into of transactions where one party enters into the transaction in the course of carrying on an activity or business at or through a permanent establishment in Australia and the other party is a corporation incorporated in a prescribed foreign country
• [Condition] Regulations may prohibit or regulate the entering into of transactions where one party is a resident of Australia and the other party is an individual physically present in a prescribed foreign country
• [Condition] Regulations may prohibit or regulate the entering into of transactions where one party enters into the transaction in the course of carrying on an activity or business at or through a permanent establishment in Australia and the other party is an individual physically present in a prescribed foreign country</t>
        </is>
      </c>
      <c r="O742" s="11" t="inlineStr">
        <is>
          <t>The regulations may prohibit or regulate the entering into of transactions where: (a) both: (i) one of the parties to the transaction is a resident of Australia; and (ii) the other party, or any of the other parties, is a resident of a prescribed foreign country; or (b) both: (i) one of the parties to the transaction enters into the transaction in the course of carrying on an activity or business at or through a permanent establishment of the party in Australia; and (ii) the other party, or any of the other parties, is a resident of a prescribed foreign country; or (c) both: (i) one of the parties to the transaction is a resident of Australia; and (ii) the other party, or any of the other parties, is a corporation incorporated in a prescribed foreign country; or (d) both: (i) one of the parties to the transaction enters into the transaction in the course of carrying on an activity or business at or through a permanent establishment of the party in Australia; and (ii) the other party, or any of the other parties, is a corporation incorporated in a prescribed foreign country; or (e) both: (i) one of the parties to the transaction is a resident of Australia; and (ii) the other party, or any of the other parties, is an individual who is physically present in a prescribed foreign country; or (f) both: (i) one of the parties to the transaction enters into the transaction in the course of carrying on an activity or business at or through a permanent establishment of the party in Australia; and (ii) the other party, or any of the other parties, is an individual who is physically present in a prescribed foreign country.</t>
        </is>
      </c>
      <c r="P742" s="12" t="n">
        <v>13</v>
      </c>
    </row>
    <row r="743">
      <c r="A743" t="inlineStr">
        <is>
          <t>Australia</t>
        </is>
      </c>
      <c r="B743" t="inlineStr">
        <is>
          <t>C2026C00220 (Australia - Row 2)</t>
        </is>
      </c>
      <c r="C743" t="inlineStr">
        <is>
          <t>233</t>
        </is>
      </c>
      <c r="D743" s="11" t="inlineStr">
        <is>
          <t>Record-keeping requirements for financial institutions</t>
        </is>
      </c>
      <c r="E743" t="inlineStr">
        <is>
          <t>251–252</t>
        </is>
      </c>
      <c r="F743" t="inlineStr">
        <is>
          <t>High</t>
        </is>
      </c>
      <c r="G743" t="inlineStr">
        <is>
          <t>High (explicit)</t>
        </is>
      </c>
      <c r="H743" s="11" t="inlineStr">
        <is>
          <t>Record Keeping</t>
        </is>
      </c>
      <c r="I743" s="11" t="inlineStr">
        <is>
          <t>Financial Data</t>
        </is>
      </c>
      <c r="J743" t="inlineStr">
        <is>
          <t>AUSTRAC</t>
        </is>
      </c>
      <c r="K743" s="11" t="inlineStr">
        <is>
          <t>Financial institutions must retain records of customer due diligence, assessments of agreements involving KYC information, AML/CTF programs, and transactions for 7 years. These records apply to reporting entities and must be retained regardless of privacy act provisions.</t>
        </is>
      </c>
      <c r="L743" s="11" t="inlineStr">
        <is>
          <t>This section mandates long-term record-keeping for financial institutions, which impacts data storage and retention across borders.</t>
        </is>
      </c>
      <c r="M743" s="11" t="inlineStr">
        <is>
          <t>• [Must] A reporting entity must retain records of customer due diligence for 7 years
• [Must] A reporting entity must retain records of assessments it carries out of agreements or arrangements it has entered into relating to its reliance on the collection and verification of KYC information about a customer, or other procedures carried out by another person for 7 years</t>
        </is>
      </c>
      <c r="N743" s="11" t="inlineStr">
        <is>
          <t>• [Must] A reporting entity must retain records of its AML/CTF program for 7 years</t>
        </is>
      </c>
      <c r="O743" s="11" t="inlineStr">
        <is>
          <t>A reporting entity must retain records relating to: (a) customer due diligence; and (b) assessments it carries out of agreements or arrangements it has entered into relating to its reliance on the collection and verification of KYC information about a customer, or other procedures, carried out by another person. A reporting entity must retain records relating to its AML/CTF program.</t>
        </is>
      </c>
      <c r="P743" s="12" t="n">
        <v>13</v>
      </c>
    </row>
    <row r="744">
      <c r="A744" t="inlineStr">
        <is>
          <t>Australia</t>
        </is>
      </c>
      <c r="B744" t="inlineStr">
        <is>
          <t>C2026C00220 (Australia - Row 2)</t>
        </is>
      </c>
      <c r="C744" t="inlineStr">
        <is>
          <t>234</t>
        </is>
      </c>
      <c r="D744" s="11" t="inlineStr">
        <is>
          <t>Retention of transaction records for 7 years</t>
        </is>
      </c>
      <c r="E744" t="inlineStr">
        <is>
          <t>252–253</t>
        </is>
      </c>
      <c r="F744" t="inlineStr">
        <is>
          <t>High</t>
        </is>
      </c>
      <c r="G744" t="inlineStr">
        <is>
          <t>High (explicit)</t>
        </is>
      </c>
      <c r="H744" s="11" t="inlineStr">
        <is>
          <t>Retention</t>
        </is>
      </c>
      <c r="I744" s="11" t="inlineStr">
        <is>
          <t>Financial Data</t>
        </is>
      </c>
      <c r="J744" t="inlineStr">
        <is>
          <t>Australian Transaction Reports and Records (ATR) Regulator</t>
        </is>
      </c>
      <c r="K744" s="11" t="inlineStr">
        <is>
          <t>Reporting entities must retain sufficient transaction records to reconstruct individual customer transactions for 7 years from the record creation date. Records must comply with AML/CTF Rules. These records are subject to civil penalties if not retained as required. The section specifies that records related to active accounts transferred between Australian Deposit Take-Over (ADI) entities are exempt from retention obligations if transferred within 120 days.</t>
        </is>
      </c>
      <c r="L744" s="11" t="inlineStr">
        <is>
          <t>Requires 7-year retention of transaction records for financial transactions, with specific exemptions for records transferred between ADIs within 120 days. Critical for assessing record retention obligations across borders for financial data.</t>
        </is>
      </c>
      <c r="M744" s="11" t="inlineStr">
        <is>
          <t>• [Must] Reporting entity must retain sufficient records to reconstruct individual transactions for designated services
• [Must] Records must comply with AML/CTF Rules
• [Must] Records must be retained for 7 years from creation date</t>
        </is>
      </c>
      <c r="N744" s="11" t="inlineStr">
        <is>
          <t>• [Must] Transferor ADI must give documents to transferee ADI within 120 days before account transfer
• [Must Not] Transferor ADI is exempt from retention obligations if documents given to transferee ADI within 120 days</t>
        </is>
      </c>
      <c r="O744" s="11" t="inlineStr">
        <is>
          <t>If a reporting entity commences to provide, or provides, a designated service to a customer, the reporting entity must retain sufficient records to allow the reconstruction of individual transactions relating to the provision of the designated service to the customer.</t>
        </is>
      </c>
      <c r="P744" s="12" t="n">
        <v>13</v>
      </c>
    </row>
    <row r="745">
      <c r="A745" t="inlineStr">
        <is>
          <t>Australia</t>
        </is>
      </c>
      <c r="B745" t="inlineStr">
        <is>
          <t>C2026C00220 (Australia - Row 2)</t>
        </is>
      </c>
      <c r="C745" t="inlineStr">
        <is>
          <t>235</t>
        </is>
      </c>
      <c r="D745" s="11" t="inlineStr">
        <is>
          <t>Retention of customer-provided transaction documents</t>
        </is>
      </c>
      <c r="E745" t="inlineStr">
        <is>
          <t>253–254</t>
        </is>
      </c>
      <c r="F745" t="inlineStr">
        <is>
          <t>High</t>
        </is>
      </c>
      <c r="G745" t="inlineStr">
        <is>
          <t>High (explicit)</t>
        </is>
      </c>
      <c r="H745" s="11" t="inlineStr">
        <is>
          <t>Retention</t>
        </is>
      </c>
      <c r="I745" s="11" t="inlineStr">
        <is>
          <t>Financial Data</t>
        </is>
      </c>
      <c r="J745" t="inlineStr">
        <is>
          <t>Australian Transaction Reports and Records (ATR) Regulator</t>
        </is>
      </c>
      <c r="K745" s="11" t="inlineStr">
        <is>
          <t>Reporting entities must retain customer-provided transaction documents or copies for 7 years from when the customer gives the document. This applies to documents related to active accounts transferred between ADIs within 120 days of transfer. The section specifies that transferee ADIs must retain documents for 7 years if received within the 120-day period.</t>
        </is>
      </c>
      <c r="L745" s="11" t="inlineStr">
        <is>
          <t>Requires 7-year retention of customer documents for financial transactions, with specific timing for transfers between ADIs. Important for assessing record retention across borders for financial data.</t>
        </is>
      </c>
      <c r="M745" s="11" t="inlineStr">
        <is>
          <t>• [Must] Reporting entity must retain customer-provided transaction documents or copies for 7 years</t>
        </is>
      </c>
      <c r="N745" s="11" t="inlineStr">
        <is>
          <t>• [Must] Documents must be retained from the date the customer gives the document</t>
        </is>
      </c>
      <c r="O745" s="11" t="inlineStr">
        <is>
          <t>The reporting entity must retain: (a) the document; or (b) a copy of the document; for 7 years after the giving of the document.</t>
        </is>
      </c>
      <c r="P745" s="12" t="n">
        <v>13</v>
      </c>
    </row>
    <row r="746">
      <c r="A746" t="inlineStr">
        <is>
          <t>Australia</t>
        </is>
      </c>
      <c r="B746" t="inlineStr">
        <is>
          <t>C2026C00220 (Australia - Row 2)</t>
        </is>
      </c>
      <c r="C746" t="inlineStr">
        <is>
          <t>236</t>
        </is>
      </c>
      <c r="D746" s="11" t="inlineStr">
        <is>
          <t>Retention of records for transferred ADI accounts</t>
        </is>
      </c>
      <c r="E746" t="inlineStr">
        <is>
          <t>254–255</t>
        </is>
      </c>
      <c r="F746" t="inlineStr">
        <is>
          <t>High</t>
        </is>
      </c>
      <c r="G746" t="inlineStr">
        <is>
          <t>High (explicit)</t>
        </is>
      </c>
      <c r="H746" s="11" t="inlineStr">
        <is>
          <t>Retention</t>
        </is>
      </c>
      <c r="I746" s="11" t="inlineStr">
        <is>
          <t>Financial Data</t>
        </is>
      </c>
      <c r="J746" t="inlineStr">
        <is>
          <t>Australian Transaction Reports and Records (ATR) Regulator</t>
        </is>
      </c>
      <c r="K746" s="11" t="inlineStr">
        <is>
          <t>When an ADI transfers an active account to another ADI, the transferor must give the relevant documents to the transferee within 120 days before the transfer. The transferor is exempt from retention obligations if documents are transferred within this period. The transferee must retain documents for 7 years if received within the 120-day window.</t>
        </is>
      </c>
      <c r="L746" s="11" t="inlineStr">
        <is>
          <t>Requires 120-day window for transferring records between ADIs, with 7-year retention for transferee ADIs. Critical for assessing record transfer obligations across borders for financial data.</t>
        </is>
      </c>
      <c r="M746" s="11" t="inlineStr">
        <is>
          <t>• [Must] Transferor ADI must give documents to transferee ADI within 120 days before account transfer
• [Must Not] Transferor ADI is exempt from retention obligations if documents given within 120 days</t>
        </is>
      </c>
      <c r="N746" s="11" t="inlineStr">
        <is>
          <t>• [Must] Transferee ADI must retain documents for 7 years if received within 120 days</t>
        </is>
      </c>
      <c r="O746" s="11" t="inlineStr">
        <is>
          <t>The transferor ADI must give the document to the transferee ADI within the 120-day period beginning 30 days before the transfer of the account.</t>
        </is>
      </c>
      <c r="P746" s="12" t="n">
        <v>13</v>
      </c>
    </row>
    <row r="747">
      <c r="A747" t="inlineStr">
        <is>
          <t>Australia</t>
        </is>
      </c>
      <c r="B747" t="inlineStr">
        <is>
          <t>C2026C00220 (Australia - Row 2)</t>
        </is>
      </c>
      <c r="C747" t="inlineStr">
        <is>
          <t>237</t>
        </is>
      </c>
      <c r="D747" s="11" t="inlineStr">
        <is>
          <t>Treatment of partnerships as legal persons</t>
        </is>
      </c>
      <c r="E747" t="inlineStr">
        <is>
          <t>255–256</t>
        </is>
      </c>
      <c r="F747" t="inlineStr">
        <is>
          <t>Medium</t>
        </is>
      </c>
      <c r="G747" t="inlineStr">
        <is>
          <t>High (explicit)</t>
        </is>
      </c>
      <c r="H747" s="11" t="inlineStr">
        <is>
          <t>Cross-border Transfer, Third Party Processing, Governance</t>
        </is>
      </c>
      <c r="I747" s="11" t="inlineStr">
        <is>
          <t>Financial Data</t>
        </is>
      </c>
      <c r="J747" t="inlineStr"/>
      <c r="K747" s="11" t="inlineStr">
        <is>
          <t>This section treats partnerships as persons for legal purposes, imposing obligations on individual partners instead of the partnership. Offences committed by the partnership are attributed to each partner, with exceptions for partners who did not know of contraventions or took reasonable steps to correct them. The section applies to civil penalty provisions similarly to offences.</t>
        </is>
      </c>
      <c r="L747" s="11" t="inlineStr">
        <is>
          <t>Relevant for DTIAs involving partnerships, as it defines how obligations and offences are distributed among partners, affecting data handling responsibilities within group structures.</t>
        </is>
      </c>
      <c r="M747" s="11" t="inlineStr">
        <is>
          <t>• [Must] Partnerships are treated as persons for legal purposes with changes specified in this section
• [Must] Obligations imposed on partnerships are distributed to individual partners</t>
        </is>
      </c>
      <c r="N747" s="11" t="inlineStr">
        <is>
          <t>• [Must] Offences committed by partnerships are attributed to each partner
• [Must] Partners who did not know of contraventions or took reasonable steps to correct them are not liable</t>
        </is>
      </c>
      <c r="O747" s="11" t="inlineStr">
        <is>
          <t>237 (1) This Act applies to a partnership as if it were a person, but with the changes set out in this section.</t>
        </is>
      </c>
      <c r="P747" s="12" t="n">
        <v>13</v>
      </c>
    </row>
    <row r="748">
      <c r="A748" t="inlineStr">
        <is>
          <t>Australia</t>
        </is>
      </c>
      <c r="B748" t="inlineStr">
        <is>
          <t>C2026C00220 (Australia - Row 2)</t>
        </is>
      </c>
      <c r="C748" t="inlineStr">
        <is>
          <t>238</t>
        </is>
      </c>
      <c r="D748" s="11" t="inlineStr">
        <is>
          <t>Treatment of unincorporated associations as legal persons</t>
        </is>
      </c>
      <c r="E748" t="inlineStr">
        <is>
          <t>256–257</t>
        </is>
      </c>
      <c r="F748" t="inlineStr">
        <is>
          <t>Medium</t>
        </is>
      </c>
      <c r="G748" t="inlineStr">
        <is>
          <t>High (explicit)</t>
        </is>
      </c>
      <c r="H748" s="11" t="inlineStr">
        <is>
          <t>Cross-border Transfer, Third Party Processing, Governance</t>
        </is>
      </c>
      <c r="I748" s="11" t="inlineStr">
        <is>
          <t>Financial Data</t>
        </is>
      </c>
      <c r="J748" t="inlineStr"/>
      <c r="K748" s="11" t="inlineStr">
        <is>
          <t>This section treats unincorporated associations as persons for legal purposes, imposing obligations on committee members instead of the association. Offences committed by the association are attributed to committee members, with exceptions for those who did not know of contraventions or took reasonable steps to correct them. The section applies to civil penalty provisions similarly to offences.</t>
        </is>
      </c>
      <c r="L748" s="11" t="inlineStr">
        <is>
          <t>Relevant for DTIAs involving unincorporated associations, as it defines how obligations and offences are distributed among committee members, affecting data handling responsibilities within group structures.</t>
        </is>
      </c>
      <c r="M748" s="11" t="inlineStr">
        <is>
          <t>• [Must] Unincorporated associations are treated as persons for legal purposes with changes specified in this section
• [Must] Obligations imposed on associations are distributed to committee members</t>
        </is>
      </c>
      <c r="N748" s="11" t="inlineStr">
        <is>
          <t>• [Must] Offences committed by associations are attributed to committee members
• [Must] Committee members who did not know of contraventions or took reasonable steps to correct them are not liable</t>
        </is>
      </c>
      <c r="O748" s="11" t="inlineStr">
        <is>
          <t>238 (1) This Act applies to an unincorporated association as if it were a person, but with the changes set out in this section.</t>
        </is>
      </c>
      <c r="P748" s="12" t="n">
        <v>13</v>
      </c>
    </row>
    <row r="749">
      <c r="A749" t="inlineStr">
        <is>
          <t>Australia</t>
        </is>
      </c>
      <c r="B749" t="inlineStr">
        <is>
          <t>C2026C00220 (Australia - Row 2)</t>
        </is>
      </c>
      <c r="C749" t="inlineStr">
        <is>
          <t>239</t>
        </is>
      </c>
      <c r="D749" s="11" t="inlineStr">
        <is>
          <t>Treatment of trusts with multiple trustees as legal persons</t>
        </is>
      </c>
      <c r="E749" t="inlineStr">
        <is>
          <t>257–258</t>
        </is>
      </c>
      <c r="F749" t="inlineStr">
        <is>
          <t>Medium</t>
        </is>
      </c>
      <c r="G749" t="inlineStr">
        <is>
          <t>High (explicit)</t>
        </is>
      </c>
      <c r="H749" s="11" t="inlineStr">
        <is>
          <t>Cross-border Transfer, Third Party Processing, Governance</t>
        </is>
      </c>
      <c r="I749" s="11" t="inlineStr">
        <is>
          <t>Financial Data</t>
        </is>
      </c>
      <c r="J749" t="inlineStr"/>
      <c r="K749" s="11" t="inlineStr">
        <is>
          <t>This section treats trusts with multiple trustees as persons for legal purposes, imposing obligations on individual trustees instead of the trust. Offences committed by the trust are attributed to trustees, with exceptions for those who did not know of contraventions or took reasonable steps to correct them. The section applies to civil penalty provisions similarly to offences.</t>
        </is>
      </c>
      <c r="L749" s="11" t="inlineStr">
        <is>
          <t>Relevant for DTIAs involving trusts, as it defines how obligations and offences are distributed among trustees, affecting data handling responsibilities within group structures.</t>
        </is>
      </c>
      <c r="M749" s="11" t="inlineStr">
        <is>
          <t>• [Must] Trusts with multiple trustees are treated as persons for legal purposes with changes specified in this section
• [Must] Obligations imposed on trusts are distributed to individual trustees</t>
        </is>
      </c>
      <c r="N749" s="11" t="inlineStr">
        <is>
          <t>• [Must] Offences committed by trusts are attributed to trustees
• [Must] Trustees who did not know of contraventions or took reasonable steps to correct them are not liable</t>
        </is>
      </c>
      <c r="O749" s="11" t="inlineStr">
        <is>
          <t>239 (1) If a trust has 2 or more trustees, this Act applies to the trust as if it were a person, but with the changes set out in this section.</t>
        </is>
      </c>
      <c r="P749" s="12" t="n">
        <v>13</v>
      </c>
    </row>
    <row r="750">
      <c r="A750" t="inlineStr">
        <is>
          <t>Australia</t>
        </is>
      </c>
      <c r="B750" t="inlineStr">
        <is>
          <t>C2026C00220 (Australia - Row 2)</t>
        </is>
      </c>
      <c r="C750" t="inlineStr">
        <is>
          <t>240</t>
        </is>
      </c>
      <c r="D750" s="11" t="inlineStr">
        <is>
          <t>Concurrent operation of State and Territory laws</t>
        </is>
      </c>
      <c r="E750" t="inlineStr">
        <is>
          <t>258–259</t>
        </is>
      </c>
      <c r="F750" t="inlineStr">
        <is>
          <t>Low</t>
        </is>
      </c>
      <c r="G750" t="inlineStr">
        <is>
          <t>High (explicit)</t>
        </is>
      </c>
      <c r="H750" s="11" t="inlineStr">
        <is>
          <t>Cross-border Transfer, International Processing</t>
        </is>
      </c>
      <c r="I750" s="11" t="inlineStr">
        <is>
          <t>Financial Data</t>
        </is>
      </c>
      <c r="J750" t="inlineStr"/>
      <c r="K750" s="11" t="inlineStr">
        <is>
          <t>This section states that the Act does not exclude or limit the operation of State or Territory laws that can operate concurrently with the Act. It ensures that State and Territory laws remain in effect alongside the Act without conflict.</t>
        </is>
      </c>
      <c r="L750" s="11" t="inlineStr">
        <is>
          <t>Relevant for DTIAs involving multi-jurisdictional data flows, as it clarifies that State and Territory laws can coexist with the Act, affecting data handling across jurisdictions.</t>
        </is>
      </c>
      <c r="M750" s="11" t="inlineStr">
        <is>
          <t>• [Must] The Act does not exclude or limit the operation of State or Territory laws that can operate concurrently</t>
        </is>
      </c>
      <c r="N750" s="11" t="inlineStr"/>
      <c r="O750" s="11" t="inlineStr">
        <is>
          <t>240 This Act is not intended to exclude or limit the operation of a law of a State or Territory that is capable of operating concurrently with this Act.</t>
        </is>
      </c>
      <c r="P750" s="12" t="n">
        <v>13</v>
      </c>
    </row>
    <row r="751">
      <c r="A751" t="inlineStr">
        <is>
          <t>Australia</t>
        </is>
      </c>
      <c r="B751" t="inlineStr">
        <is>
          <t>C2026C00220 (Australia - Row 2)</t>
        </is>
      </c>
      <c r="C751" t="inlineStr">
        <is>
          <t>241</t>
        </is>
      </c>
      <c r="D751" s="11" t="inlineStr">
        <is>
          <t>Act does not limit other information-gathering powers</t>
        </is>
      </c>
      <c r="E751" t="inlineStr">
        <is>
          <t>259–260</t>
        </is>
      </c>
      <c r="F751" t="inlineStr">
        <is>
          <t>Low</t>
        </is>
      </c>
      <c r="G751" t="inlineStr">
        <is>
          <t>High (explicit)</t>
        </is>
      </c>
      <c r="H751" s="11" t="inlineStr">
        <is>
          <t>Data Sharing</t>
        </is>
      </c>
      <c r="I751" s="11" t="inlineStr">
        <is>
          <t>Financial Data</t>
        </is>
      </c>
      <c r="J751" t="inlineStr"/>
      <c r="K751" s="11" t="inlineStr">
        <is>
          <t>This section states that the Act does not limit powers to obtain information under other laws, including those of customs officers or police officers. It ensures that existing information-gathering powers remain unaffected by the Act.</t>
        </is>
      </c>
      <c r="L751" s="11" t="inlineStr">
        <is>
          <t>Relevant for DTIAs involving data collection, as it confirms that the Act does not restrict existing information-gathering powers, which may impact data handling procedures.</t>
        </is>
      </c>
      <c r="M751" s="11" t="inlineStr">
        <is>
          <t>• [Must] The Act does not limit any power to obtain information under other laws</t>
        </is>
      </c>
      <c r="N751" s="11" t="inlineStr">
        <is>
          <t>• [Must] The Act does not limit powers of customs officers or police officers to obtain information</t>
        </is>
      </c>
      <c r="O751" s="11" t="inlineStr">
        <is>
          <t>241 (1) This Act does not limit any power that a person has, under any other law, to obtain information.</t>
        </is>
      </c>
      <c r="P751" s="12" t="n">
        <v>13</v>
      </c>
    </row>
    <row r="752">
      <c r="A752" t="inlineStr">
        <is>
          <t>Australia</t>
        </is>
      </c>
      <c r="B752" t="inlineStr">
        <is>
          <t>C2026C00220 (Australia - Row 2)</t>
        </is>
      </c>
      <c r="C752" t="inlineStr">
        <is>
          <t>242</t>
        </is>
      </c>
      <c r="D752" s="11" t="inlineStr">
        <is>
          <t>Law relating to legal professional privilege unaffected</t>
        </is>
      </c>
      <c r="E752" t="inlineStr">
        <is>
          <t>260–261</t>
        </is>
      </c>
      <c r="F752" t="inlineStr">
        <is>
          <t>Low</t>
        </is>
      </c>
      <c r="G752" t="inlineStr">
        <is>
          <t>High (explicit)</t>
        </is>
      </c>
      <c r="H752" s="11" t="inlineStr"/>
      <c r="I752" s="11" t="inlineStr">
        <is>
          <t>Financial Data</t>
        </is>
      </c>
      <c r="J752" t="inlineStr"/>
      <c r="K752" s="11" t="inlineStr">
        <is>
          <t>This section states that the Act does not affect the law relating to legal professional privilege. It ensures that legal professional privilege remains intact and unaffected by the Act.</t>
        </is>
      </c>
      <c r="L752" s="11" t="inlineStr">
        <is>
          <t>Relevant for DTIAs involving legal data, as it confirms that legal professional privilege is not impacted by the Act, preserving confidentiality in legal contexts.</t>
        </is>
      </c>
      <c r="M752" s="11" t="inlineStr">
        <is>
          <t>• [Must] The Act does not affect the law relating to legal professional privilege</t>
        </is>
      </c>
      <c r="N752" s="11" t="inlineStr"/>
      <c r="O752" s="11" t="inlineStr">
        <is>
          <t>242 This Act does not affect the law relating to legal professional privilege.</t>
        </is>
      </c>
      <c r="P752" s="12" t="n">
        <v>13</v>
      </c>
    </row>
    <row r="753">
      <c r="A753" t="inlineStr">
        <is>
          <t>Australia</t>
        </is>
      </c>
      <c r="B753" t="inlineStr">
        <is>
          <t>C2026C00220 (Australia - Row 2)</t>
        </is>
      </c>
      <c r="C753" t="inlineStr">
        <is>
          <t>243</t>
        </is>
      </c>
      <c r="D753" s="11" t="inlineStr">
        <is>
          <t>Validity of transactions unaffected by contraventions</t>
        </is>
      </c>
      <c r="E753" t="inlineStr">
        <is>
          <t>261–262</t>
        </is>
      </c>
      <c r="F753" t="inlineStr">
        <is>
          <t>High</t>
        </is>
      </c>
      <c r="G753" t="inlineStr">
        <is>
          <t>High (explicit)</t>
        </is>
      </c>
      <c r="H753" s="11" t="inlineStr">
        <is>
          <t>Data Storage</t>
        </is>
      </c>
      <c r="I753" s="11" t="inlineStr">
        <is>
          <t>Financial Data</t>
        </is>
      </c>
      <c r="J753" t="inlineStr"/>
      <c r="K753" s="11" t="inlineStr">
        <is>
          <t>This section states that contraventions of the Act, regulations, or AML/CTF Rules do not affect the validity of transactions. It ensures that transactions remain valid even if there are compliance issues.</t>
        </is>
      </c>
      <c r="L753" s="11" t="inlineStr">
        <is>
          <t>Relevant for DTIAs involving transaction validity, as it confirms that transactions are not invalidated by contraventions, which may impact data handling and processing.</t>
        </is>
      </c>
      <c r="M753" s="11" t="inlineStr">
        <is>
          <t>• [Must] Contraventions of the Act, regulations, or AML/CTF Rules do not affect the validity of transactions</t>
        </is>
      </c>
      <c r="N753" s="11" t="inlineStr"/>
      <c r="O753" s="11" t="inlineStr">
        <is>
          <t>243 A contravention of this Act, the regulations or the AML/CT: Rules does not affect the validity of any transaction.</t>
        </is>
      </c>
      <c r="P753" s="12" t="n">
        <v>13</v>
      </c>
    </row>
    <row r="754">
      <c r="A754" t="inlineStr">
        <is>
          <t>Australia</t>
        </is>
      </c>
      <c r="B754" t="inlineStr">
        <is>
          <t>C2026C00220 (Australia - Row 2)</t>
        </is>
      </c>
      <c r="C754" t="inlineStr">
        <is>
          <t>244</t>
        </is>
      </c>
      <c r="D754" s="11" t="inlineStr">
        <is>
          <t>Authentication requirements for reports</t>
        </is>
      </c>
      <c r="E754" t="inlineStr">
        <is>
          <t>262–263</t>
        </is>
      </c>
      <c r="F754" t="inlineStr">
        <is>
          <t>High</t>
        </is>
      </c>
      <c r="G754" t="inlineStr">
        <is>
          <t>High (explicit)</t>
        </is>
      </c>
      <c r="H754" s="11" t="inlineStr">
        <is>
          <t>Data Sharing</t>
        </is>
      </c>
      <c r="I754" s="11" t="inlineStr">
        <is>
          <t>Financial Data</t>
        </is>
      </c>
      <c r="J754" t="inlineStr">
        <is>
          <t>AUSTRAC</t>
        </is>
      </c>
      <c r="K754" s="11" t="inlineStr">
        <is>
          <t>This section requires reports to the AUSTRAC CEO to be signed or otherwise authenticated by the person making the report. Reports must be given in specific formats as approved under the Acts Interpretation Act 1901 or other approved methods. This ensures the authenticity and validity of reports.</t>
        </is>
      </c>
      <c r="L754" s="11" t="inlineStr">
        <is>
          <t>Relevant for DTIAs involving report submissions, as it specifies authentication requirements for reports, which may impact data handling and submission procedures.</t>
        </is>
      </c>
      <c r="M754" s="11" t="inlineStr">
        <is>
          <t>• [Must] Reports to AUSTRAC CEO must be signed by the person or otherwise authenticated in an approved way</t>
        </is>
      </c>
      <c r="N754" s="11" t="inlineStr">
        <is>
          <t>• [Must] Reports must be given in formats approved under the Acts Interpretation Act 1901 or other approved methods</t>
        </is>
      </c>
      <c r="O754" s="11" t="inlineStr">
        <is>
          <t>244 (1) Reports to AUSTRAC CEO must be signed by the person or otherwise authenticated in an approved way.</t>
        </is>
      </c>
      <c r="P754" s="12" t="n">
        <v>13</v>
      </c>
    </row>
    <row r="755">
      <c r="A755" t="inlineStr">
        <is>
          <t>Australia</t>
        </is>
      </c>
      <c r="B755" t="inlineStr">
        <is>
          <t>C2026C00220 (Australia - Row 2)</t>
        </is>
      </c>
      <c r="C755" t="inlineStr">
        <is>
          <t>245</t>
        </is>
      </c>
      <c r="D755" s="11" t="inlineStr">
        <is>
          <t>Alternative constitutional basis for specific services</t>
        </is>
      </c>
      <c r="E755" t="inlineStr">
        <is>
          <t>263–264</t>
        </is>
      </c>
      <c r="F755" t="inlineStr">
        <is>
          <t>High</t>
        </is>
      </c>
      <c r="G755" t="inlineStr">
        <is>
          <t>High (explicit)</t>
        </is>
      </c>
      <c r="H755" s="11" t="inlineStr">
        <is>
          <t>Cross-border Transfer, International Processing</t>
        </is>
      </c>
      <c r="I755" s="11" t="inlineStr">
        <is>
          <t>Financial Data</t>
        </is>
      </c>
      <c r="J755" t="inlineStr"/>
      <c r="K755" s="11" t="inlineStr">
        <is>
          <t>This section defines the alternative constitutional basis for specific financial services, including those involving trade or commerce between Australia and foreign countries, banking, insurance, and other services. It specifies conditions under which certain services are considered constitutional corporations or other entities.</t>
        </is>
      </c>
      <c r="L755" s="11" t="inlineStr">
        <is>
          <t>Relevant for DTIAs involving cross-border financial services, as it defines the constitutional basis for specific services, affecting data handling and jurisdictional requirements.</t>
        </is>
      </c>
      <c r="M755" s="11" t="inlineStr">
        <is>
          <t>• [Must] Specific financial services are considered constitutional corporations or other entities under defined conditions</t>
        </is>
      </c>
      <c r="N755" s="11" t="inlineStr"/>
      <c r="O755" s="11" t="inlineStr">
        <is>
          <t>245 (1) This section defines the alternative constitutional basis for specific financial services, including those involving trade or commerce between Australia and foreign countries, banking, insurance, and other services.</t>
        </is>
      </c>
      <c r="P755" s="12" t="n">
        <v>13</v>
      </c>
    </row>
    <row r="756">
      <c r="A756" t="inlineStr">
        <is>
          <t>Australia</t>
        </is>
      </c>
      <c r="B756" t="inlineStr">
        <is>
          <t>C2026C00220 (Australia - Row 2)</t>
        </is>
      </c>
      <c r="C756" t="inlineStr">
        <is>
          <t>246</t>
        </is>
      </c>
      <c r="D756" s="11" t="inlineStr">
        <is>
          <t>Cross-border movements of bearer negotiable instruments</t>
        </is>
      </c>
      <c r="E756" t="inlineStr">
        <is>
          <t>264–265</t>
        </is>
      </c>
      <c r="F756" t="inlineStr">
        <is>
          <t>High</t>
        </is>
      </c>
      <c r="G756" t="inlineStr">
        <is>
          <t>High (explicit)</t>
        </is>
      </c>
      <c r="H756" s="11" t="inlineStr">
        <is>
          <t>Cross-border Transfer, International Processing</t>
        </is>
      </c>
      <c r="I756" s="11" t="inlineStr">
        <is>
          <t>Financial Data</t>
        </is>
      </c>
      <c r="J756" t="inlineStr"/>
      <c r="K756" s="11" t="inlineStr">
        <is>
          <t>This section specifies that certain monetary instruments, including bearer negotiable instruments, are treated under specific rules for cross-border movements. It ensures that these instruments are handled according to defined conditions.</t>
        </is>
      </c>
      <c r="L756" s="11" t="inlineStr">
        <is>
          <t>Relevant for DTIAs involving cross-border financial instruments, as it defines the treatment of bearer negotiable instruments in cross-border transactions.</t>
        </is>
      </c>
      <c r="M756" s="11" t="inlineStr">
        <is>
          <t>• [Must] Bearer negotiable instruments are treated under specific rules for cross-border movements</t>
        </is>
      </c>
      <c r="N756" s="11" t="inlineStr"/>
      <c r="O756" s="11" t="inlineStr">
        <is>
          <t>246 (4) Division 2 of Part 4 and section 199, so far as they relate to a monetary instrument that is a bearer negotiable instrument, also have the effect they would have if they were, by express provision, confined to a bearer negotiable instrument that is a promissory note.</t>
        </is>
      </c>
      <c r="P756" s="12" t="n">
        <v>13</v>
      </c>
    </row>
    <row r="757">
      <c r="A757" t="inlineStr">
        <is>
          <t>Australia</t>
        </is>
      </c>
      <c r="B757" t="inlineStr">
        <is>
          <t>C2026C00220 (Australia - Row 2)</t>
        </is>
      </c>
      <c r="C757" t="inlineStr">
        <is>
          <t>247</t>
        </is>
      </c>
      <c r="D757" s="11" t="inlineStr">
        <is>
          <t>Correspondent banking restrictions</t>
        </is>
      </c>
      <c r="E757" t="inlineStr">
        <is>
          <t>265–266</t>
        </is>
      </c>
      <c r="F757" t="inlineStr">
        <is>
          <t>High</t>
        </is>
      </c>
      <c r="G757" t="inlineStr">
        <is>
          <t>High (explicit)</t>
        </is>
      </c>
      <c r="H757" s="11" t="inlineStr">
        <is>
          <t>Cross-border Transfer, International Processing</t>
        </is>
      </c>
      <c r="I757" s="11" t="inlineStr">
        <is>
          <t>Financial Data</t>
        </is>
      </c>
      <c r="J757" t="inlineStr"/>
      <c r="K757" s="11" t="inlineStr">
        <is>
          <t>This section restricts correspondent banking by limiting references to other persons and financial institutions to constitutional corporations or individuals physically present in foreign countries. It ensures that correspondent banking activities are conducted within specific legal frameworks.</t>
        </is>
      </c>
      <c r="L757" s="11" t="inlineStr">
        <is>
          <t>Relevant for DTIAs involving correspondent banking, as it defines the restrictions on who can participate in correspondent banking activities, affecting data handling and jurisdictional requirements.</t>
        </is>
      </c>
      <c r="M757" s="11" t="inlineStr">
        <is>
          <t>• [Must] Correspondent banking references are limited to constitutional corporations or individuals physically present in foreign countries</t>
        </is>
      </c>
      <c r="N757" s="11" t="inlineStr"/>
      <c r="O757" s="11" t="inlineStr">
        <is>
          <t>247 (5) Part 8 and section 117 also have the effect they would have if: (a) each reference in section 95 to another person were, by express provision, confined to another person that is: (i) a constitutional corporation; or (ii) an individual who is physically present in a foreign country; and (b) each reference in section 95 or 96 to another financial institution were, by express provision, confined to another financial institution that is: (i) a constitutional corporation; or (ii) an individual who is physically present in a foreign country.</t>
        </is>
      </c>
      <c r="P757" s="12" t="n">
        <v>13</v>
      </c>
    </row>
    <row r="758">
      <c r="A758" t="inlineStr">
        <is>
          <t>Australia</t>
        </is>
      </c>
      <c r="B758" t="inlineStr">
        <is>
          <t>C2026C00220 (Australia - Row 2)</t>
        </is>
      </c>
      <c r="C758" t="inlineStr">
        <is>
          <t>248</t>
        </is>
      </c>
      <c r="D758" s="11" t="inlineStr">
        <is>
          <t>Extended meaning of permanent establishment</t>
        </is>
      </c>
      <c r="E758" t="inlineStr">
        <is>
          <t>266–267</t>
        </is>
      </c>
      <c r="F758" t="inlineStr">
        <is>
          <t>High</t>
        </is>
      </c>
      <c r="G758" t="inlineStr">
        <is>
          <t>High (explicit)</t>
        </is>
      </c>
      <c r="H758" s="11" t="inlineStr">
        <is>
          <t>Cross-border Transfer, International Processing</t>
        </is>
      </c>
      <c r="I758" s="11" t="inlineStr">
        <is>
          <t>Financial Data</t>
        </is>
      </c>
      <c r="J758" t="inlineStr"/>
      <c r="K758" s="11" t="inlineStr">
        <is>
          <t>This section extends the meaning of permanent establishment to include Territories and Commonwealth places, ensuring that entities operating in these areas are treated as having a permanent establishment. It also ignores specific subsections for certain purposes.</t>
        </is>
      </c>
      <c r="L758" s="11" t="inlineStr">
        <is>
          <t>Relevant for DTIAs involving entities operating across jurisdictions, as it defines the extended meaning of permanent establishment, affecting data handling and jurisdictional requirements.</t>
        </is>
      </c>
      <c r="M758" s="11" t="inlineStr">
        <is>
          <t>• [Must] Permanent establishment includes Territories and Commonwealth places</t>
        </is>
      </c>
      <c r="N758" s="11" t="inlineStr"/>
      <c r="O758" s="11" t="inlineStr">
        <is>
          <t>248 (6) For the purposes of paragraph (2)(j) of this clause: (a) subsection 21(2) has effect as if each reference in that subsection to a country included a reference to: (i) a Territory; and (ii) a Commonwealth place; and (b) ignore subsection 21(3).</t>
        </is>
      </c>
      <c r="P758" s="12" t="n">
        <v>13</v>
      </c>
    </row>
    <row r="759">
      <c r="A759" t="inlineStr">
        <is>
          <t>Australia</t>
        </is>
      </c>
      <c r="B759" t="inlineStr">
        <is>
          <t>C2026C00220 (Australia - Row 2)</t>
        </is>
      </c>
      <c r="C759" t="inlineStr">
        <is>
          <t>249</t>
        </is>
      </c>
      <c r="D759" s="11" t="inlineStr">
        <is>
          <t>Definition of information covered by tipping off offence</t>
        </is>
      </c>
      <c r="E759" t="inlineStr">
        <is>
          <t>267–268</t>
        </is>
      </c>
      <c r="F759" t="inlineStr">
        <is>
          <t>High</t>
        </is>
      </c>
      <c r="G759" t="inlineStr">
        <is>
          <t>High (explicit)</t>
        </is>
      </c>
      <c r="H759" s="11" t="inlineStr">
        <is>
          <t>Data Sharing, Third Party Processing, Security</t>
        </is>
      </c>
      <c r="I759" s="11" t="inlineStr">
        <is>
          <t>Financial Data</t>
        </is>
      </c>
      <c r="J759" t="inlineStr"/>
      <c r="K759" s="11" t="inlineStr">
        <is>
          <t>This section defines the types of information that constitute 'covered information' under the tipping off offence. It includes reports, copies of reports, documents purporting to set out information from reports, and communications related to financial transactions. The information must be relevant to AUSTRAC's reporting obligations and investigations.</t>
        </is>
      </c>
      <c r="L759" s="11" t="inlineStr">
        <is>
          <t>This section clarifies what information is covered by the tipping off offence, relevant for DTIAs involving financial data sharing.</t>
        </is>
      </c>
      <c r="M759" s="11" t="inlineStr">
        <is>
          <t>• [Must] Information covered includes reports under subsection 41(2)
• [Must] Information covered includes copies of such reports</t>
        </is>
      </c>
      <c r="N759" s="11" t="inlineStr">
        <is>
          <t>• [Must] Information covered includes documents purporting to set out information from reports</t>
        </is>
      </c>
      <c r="O759" s="11" t="inlineStr">
        <is>
          <t>Information is covered by this subsection if it is any of the following: (a) that a reporting entity has given, or is required to give, a report under subsection 41(2); (b) a report given under, or prepared for the purposes of, subsection 41(2); (c) a copy of such a report; (d) a document purporting to set out information (including the formation or existence of a suspicion) contained in such a report</t>
        </is>
      </c>
      <c r="P759" s="12" t="n">
        <v>13</v>
      </c>
    </row>
    <row r="760">
      <c r="A760" t="inlineStr">
        <is>
          <t>Australia</t>
        </is>
      </c>
      <c r="B760" t="inlineStr">
        <is>
          <t>C2026C00220 (Australia - Row 2)</t>
        </is>
      </c>
      <c r="C760" t="inlineStr">
        <is>
          <t>250</t>
        </is>
      </c>
      <c r="D760" s="11" t="inlineStr">
        <is>
          <t>Exception for crime prevention disclosures</t>
        </is>
      </c>
      <c r="E760" t="inlineStr">
        <is>
          <t>268–269</t>
        </is>
      </c>
      <c r="F760" t="inlineStr">
        <is>
          <t>High</t>
        </is>
      </c>
      <c r="G760" t="inlineStr">
        <is>
          <t>High (explicit)</t>
        </is>
      </c>
      <c r="H760" s="11" t="inlineStr">
        <is>
          <t>Data Sharing, Third Party Processing, Security</t>
        </is>
      </c>
      <c r="I760" s="11" t="inlineStr">
        <is>
          <t>Financial Data</t>
        </is>
      </c>
      <c r="J760" t="inlineStr"/>
      <c r="K760" s="11" t="inlineStr">
        <is>
          <t>This section provides exceptions to the tipping off offence for disclosures made in good faith to dissuade customers from illegal activities. It applies to reporting entities, their officers, and individuals who make disclosures to customers for the purpose of preventing offences against financial laws. The exception requires the disclosure to be made in good faith and for legitimate crime prevention purposes.</t>
        </is>
      </c>
      <c r="L760" s="11" t="inlineStr">
        <is>
          <t>This section allows disclosures of AUSTRAC information for crime prevention without triggering the tipping off offence, relevant for DTIAs involving customer data sharing.</t>
        </is>
      </c>
      <c r="M760" s="11" t="inlineStr">
        <is>
          <t>• [Must] The disclosure must be made in good faith to dissuade customers from illegal activities</t>
        </is>
      </c>
      <c r="N760" s="11" t="inlineStr">
        <is>
          <t>• [Must] The person must be a reporting entity or officer/agent of a reporting entity</t>
        </is>
      </c>
      <c r="O760" s="11" t="inlineStr">
        <is>
          <t>the person makes the disclosure, in good faith, for the purposes of dissuading the customer from engaging in conduct that constitutes, or could constitute, an offence against a law of the Commonwealth or of a State or Territory</t>
        </is>
      </c>
      <c r="P760" s="12" t="n">
        <v>13</v>
      </c>
    </row>
    <row r="761">
      <c r="A761" t="inlineStr">
        <is>
          <t>Australia</t>
        </is>
      </c>
      <c r="B761" t="inlineStr">
        <is>
          <t>C2026C00220 (Australia - Row 2)</t>
        </is>
      </c>
      <c r="C761" t="inlineStr">
        <is>
          <t>251</t>
        </is>
      </c>
      <c r="D761" s="11" t="inlineStr">
        <is>
          <t>Inadmissible evidence for AUSTRAC reports</t>
        </is>
      </c>
      <c r="E761" t="inlineStr">
        <is>
          <t>269–270</t>
        </is>
      </c>
      <c r="F761" t="inlineStr">
        <is>
          <t>High</t>
        </is>
      </c>
      <c r="G761" t="inlineStr">
        <is>
          <t>High (explicit)</t>
        </is>
      </c>
      <c r="H761" s="11" t="inlineStr">
        <is>
          <t>Data Sharing, Third Party Processing, Security</t>
        </is>
      </c>
      <c r="I761" s="11" t="inlineStr">
        <is>
          <t>Financial Data</t>
        </is>
      </c>
      <c r="J761" t="inlineStr"/>
      <c r="K761" s="11" t="inlineStr">
        <is>
          <t>This section specifies that certain AUSTRAC reports and related information are inadmissible in court proceedings. It includes reports under subsection 41(2), copies of reports, documents purporting to set out information from reports, and communications related to financial transactions. The inadmissibility applies to evidence of whether reports were prepared, whether information was contained in reports, or whether information was given to AUSTRAC.</t>
        </is>
      </c>
      <c r="L761" s="11" t="inlineStr">
        <is>
          <t>This section defines what AUSTRAC reports are inadmissible in court, relevant for DTIAs involving financial data in legal proceedings.</t>
        </is>
      </c>
      <c r="M761" s="11" t="inlineStr">
        <is>
          <t>• [Must] Reports under subsection 41(2) are inadmissible in evidence</t>
        </is>
      </c>
      <c r="N761" s="11" t="inlineStr">
        <is>
          <t>• [Must] Copies of such reports are inadmissible in evidence</t>
        </is>
      </c>
      <c r="O761" s="11" t="inlineStr">
        <is>
          <t>none of the following is admissible in evidence: (i) a report given under, or prepared for the purposes of, subsection 41(2) of this Act or subsection 16(1) or (1A) of the repealed Financial Transaction Reports Act 1988</t>
        </is>
      </c>
      <c r="P761" s="12" t="n">
        <v>13</v>
      </c>
    </row>
    <row r="762">
      <c r="A762" t="inlineStr">
        <is>
          <t>Australia</t>
        </is>
      </c>
      <c r="B762" t="inlineStr">
        <is>
          <t>C2026C00220 (Australia - Row 2)</t>
        </is>
      </c>
      <c r="C762" t="inlineStr">
        <is>
          <t>252</t>
        </is>
      </c>
      <c r="D762" s="11" t="inlineStr">
        <is>
          <t>Compilation of AUSTRAC information access exceptions</t>
        </is>
      </c>
      <c r="E762" t="inlineStr">
        <is>
          <t>270–271</t>
        </is>
      </c>
      <c r="F762" t="inlineStr">
        <is>
          <t>Low</t>
        </is>
      </c>
      <c r="G762" t="inlineStr">
        <is>
          <t>High (explicit)</t>
        </is>
      </c>
      <c r="H762" s="11" t="inlineStr">
        <is>
          <t>Cross-border Transfer, Access Control, Data Sharing</t>
        </is>
      </c>
      <c r="I762" s="11" t="inlineStr">
        <is>
          <t>Personal Information</t>
        </is>
      </c>
      <c r="J762" t="inlineStr"/>
      <c r="K762" s="11" t="inlineStr">
        <is>
          <t>This section specifies exceptions to the application of access rules for AUSTRAC information. It excludes criminal proceedings for specific offences under the Act and the repealed Financial Transaction Reports Act 1988, as well as proceedings under section 175 of the Act. The exceptions apply to the compilation of information access rules.</t>
        </is>
      </c>
      <c r="L762" s="11" t="inlineStr"/>
      <c r="M762" s="11" t="inlineStr">
        <is>
          <t>• [Must Not] Criminal proceedings for offences against section 26R, 121, 123, 126, 128, 129, 136, 137, 161 or 162 of this Act
• [Must Not] Criminal proceedings for offences against section 29 or 30 of the repealed Financial Transaction Reports Act 1988</t>
        </is>
      </c>
      <c r="N762" s="11" t="inlineStr">
        <is>
          <t>• [Must Not] Proceedings under section 175 of this Act</t>
        </is>
      </c>
      <c r="O762" s="11" t="inlineStr">
        <is>
          <t>252 (v) whether or not a particular document was produced under subsection 49(1), in so far as that subsection relates to a communication under section 41 of this Act or subsection 16(1) or (1A) of the repealed Financial Transaction Reports Act 1988.</t>
        </is>
      </c>
      <c r="P762" s="12" t="n">
        <v>13</v>
      </c>
    </row>
    <row r="763">
      <c r="A763" t="inlineStr">
        <is>
          <t>Australia</t>
        </is>
      </c>
      <c r="B763" t="inlineStr">
        <is>
          <t>C2026C00220 (Australia - Row 2)</t>
        </is>
      </c>
      <c r="C763" t="inlineStr">
        <is>
          <t>253</t>
        </is>
      </c>
      <c r="D763" s="11" t="inlineStr">
        <is>
          <t>AUSTRAC information access authorisation for agencies</t>
        </is>
      </c>
      <c r="E763" t="inlineStr">
        <is>
          <t>271–272</t>
        </is>
      </c>
      <c r="F763" t="inlineStr">
        <is>
          <t>Low</t>
        </is>
      </c>
      <c r="G763" t="inlineStr">
        <is>
          <t>High (explicit)</t>
        </is>
      </c>
      <c r="H763" s="11" t="inlineStr">
        <is>
          <t>Access Control, Data Sharing</t>
        </is>
      </c>
      <c r="I763" s="11" t="inlineStr">
        <is>
          <t>Personal Information</t>
        </is>
      </c>
      <c r="J763" t="inlineStr">
        <is>
          <t>AUSTRAC CEO</t>
        </is>
      </c>
      <c r="K763" s="11" t="inlineStr">
        <is>
          <t>This section allows the AUSTRAC CEO to authorise officials of Commonwealth, State, or Territory agencies to access AUSTRAC information for their functions. The authorisation requires that the agency's head provides a written undertaking to comply with Australian Privacy Principles. The Inspector-General of Intelligence and Security is automatically granted access under this section. Authorisations are not considered legislative instruments.</t>
        </is>
      </c>
      <c r="L763" s="11" t="inlineStr"/>
      <c r="M763" s="11" t="inlineStr">
        <is>
          <t>• [Must] AUSTRAC CEO may authorise specified officials of a specified Commonwealth, State or Territory agency to access specified AUSTRAC information for performing the agency's functions and duties
• [Must] Agency head must provide written undertaking to comply with Australian Privacy Principles</t>
        </is>
      </c>
      <c r="N763" s="11" t="inlineStr">
        <is>
          <t>• [Must] IGIS officials are automatically granted access to AUSTRAC information
• [Condition] Authorisations are not legislative instruments</t>
        </is>
      </c>
      <c r="O763" s="11" t="inlineStr">
        <is>
          <t>253 (1) The AUSTRAC CEO may, in writing, authorise specified officials of a specified Commonwealth, State or Territory agency to access specified AUSTRAC information for the purposes of performing the agency's functions and duties and exercising the agency's powers.</t>
        </is>
      </c>
      <c r="P763" s="12" t="n">
        <v>13</v>
      </c>
    </row>
    <row r="764">
      <c r="A764" t="inlineStr">
        <is>
          <t>Australia</t>
        </is>
      </c>
      <c r="B764" t="inlineStr">
        <is>
          <t>C2026C00220 (Australia - Row 2)</t>
        </is>
      </c>
      <c r="C764" t="inlineStr">
        <is>
          <t>254</t>
        </is>
      </c>
      <c r="D764" s="11" t="inlineStr">
        <is>
          <t>Prohibited disclosure of AUSTRAC information</t>
        </is>
      </c>
      <c r="E764" t="inlineStr">
        <is>
          <t>272–273</t>
        </is>
      </c>
      <c r="F764" t="inlineStr">
        <is>
          <t>None</t>
        </is>
      </c>
      <c r="G764" t="inlineStr">
        <is>
          <t>High (explicit)</t>
        </is>
      </c>
      <c r="H764" s="11" t="inlineStr">
        <is>
          <t>Data Sharing, Access Control</t>
        </is>
      </c>
      <c r="I764" s="11" t="inlineStr">
        <is>
          <t>Personal Information</t>
        </is>
      </c>
      <c r="J764" t="inlineStr"/>
      <c r="K764" s="11" t="inlineStr">
        <is>
          <t>This section defines when disclosure of AUSTRAC information is prohibited. Disclosure is prohibited if the person is not an official of a Commonwealth, State, or Territory agency, has not obtained AUSTRAC information under specified sections, and makes a record or uses the information. Exceptions include disclosures for official functions, disclosures to other officials, disclosures to Ministers, and disclosures under section 127.</t>
        </is>
      </c>
      <c r="L764" s="11" t="inlineStr"/>
      <c r="M764" s="11" t="inlineStr">
        <is>
          <t>• [Must] Person must be an official of a Commonwealth, State or Territory agency
• [Must] Person must have obtained AUSTRAC information under subsection 121(2) or (3), section 125 or subsection (2) of this section
• [Must] Person must make a record of, disclose or otherwise use the information
• [Must] Disclosure is permitted if for official functions and not to foreign countries</t>
        </is>
      </c>
      <c r="N764" s="11" t="inlineStr">
        <is>
          <t>• [Must] Disclosure is permitted if to another official for official purposes
• [Must] Disclosure is permitted if to a Minister for their responsibilities
• [Must] Disclosure is permitted if under section 127</t>
        </is>
      </c>
      <c r="O764" s="11" t="inlineStr">
        <is>
          <t>254 (a) the person is, or has been, an official of a Commonwealth, State or Territory agency; and (b) the person has obtained AUSTRAC information under subsection 121(2) or (3), section 125 or subsection (2) of this section; and (c) the person makes a record of, discloses or otherwise uses the information.</t>
        </is>
      </c>
      <c r="P764" s="12" t="n">
        <v>13</v>
      </c>
    </row>
    <row r="765">
      <c r="A765" t="inlineStr">
        <is>
          <t>Australia</t>
        </is>
      </c>
      <c r="B765" t="inlineStr">
        <is>
          <t>C2026C00220 (Australia - Row 2)</t>
        </is>
      </c>
      <c r="C765" t="inlineStr">
        <is>
          <t>255</t>
        </is>
      </c>
      <c r="D765" s="11" t="inlineStr">
        <is>
          <t>Exceptions to prohibited disclosure of AUSTRAC information</t>
        </is>
      </c>
      <c r="E765" t="inlineStr">
        <is>
          <t>273–274</t>
        </is>
      </c>
      <c r="F765" t="inlineStr">
        <is>
          <t>Low</t>
        </is>
      </c>
      <c r="G765" t="inlineStr">
        <is>
          <t>High (explicit)</t>
        </is>
      </c>
      <c r="H765" s="11" t="inlineStr">
        <is>
          <t>Data Sharing, Access Control, Incident Reporting</t>
        </is>
      </c>
      <c r="I765" s="11" t="inlineStr">
        <is>
          <t>Personal Information</t>
        </is>
      </c>
      <c r="J765" t="inlineStr"/>
      <c r="K765" s="11" t="inlineStr">
        <is>
          <t>This section outlines exceptions to the prohibited disclosure of AUSTRAC information. Disclosures for court or tribunal proceedings, proposed proceedings, or obtaining legal advice are exempt from the prohibition. The exceptions apply to AUSTRAC information obtained under specific sections, including reports of suspicious matters and suspect transactions.</t>
        </is>
      </c>
      <c r="L765" s="11" t="inlineStr"/>
      <c r="M765" s="11" t="inlineStr">
        <is>
          <t>• [Must] Disclosure is exempt if for court or tribunal proceedings
• [Must] Disclosure is exempt if for proposed or possible court or tribunal proceedings
• [Must] Disclosure is exempt if for obtaining legal advice</t>
        </is>
      </c>
      <c r="N765" s="11" t="inlineStr">
        <is>
          <t>• [Must] AUSTRAC information obtained under section 41 (reports of suspicious matters) is exempt
• [Must] AUSTRAC information obtained under section 49 (further information) is exempt
• [Must] AUSTRAC information obtained under section 16 of the repealed Financial Transaction Reports Act 1988 (reports of suspect transactions) is exempt</t>
        </is>
      </c>
      <c r="O765" s="11" t="inlineStr">
        <is>
          <t>255 (a) court or tribunal proceedings; or (b) proposed or possible court or tribunal proceedings; or (c) obtaining legal advice.</t>
        </is>
      </c>
      <c r="P765" s="12" t="n">
        <v>13</v>
      </c>
    </row>
    <row r="766">
      <c r="A766" t="inlineStr">
        <is>
          <t>Australia</t>
        </is>
      </c>
      <c r="B766" t="inlineStr">
        <is>
          <t>C2026C00220 (Australia - Row 2)</t>
        </is>
      </c>
      <c r="C766" t="inlineStr">
        <is>
          <t>256</t>
        </is>
      </c>
      <c r="D766" s="11" t="inlineStr">
        <is>
          <t>AUSTRAC information disclosure to foreign entities</t>
        </is>
      </c>
      <c r="E766" t="inlineStr">
        <is>
          <t>274–275</t>
        </is>
      </c>
      <c r="F766" t="inlineStr">
        <is>
          <t>None</t>
        </is>
      </c>
      <c r="G766" t="inlineStr">
        <is>
          <t>High (explicit)</t>
        </is>
      </c>
      <c r="H766" s="11" t="inlineStr">
        <is>
          <t>Cross-border Transfer, Data Sharing, Access Control</t>
        </is>
      </c>
      <c r="I766" s="11" t="inlineStr">
        <is>
          <t>Personal Information</t>
        </is>
      </c>
      <c r="J766" t="inlineStr">
        <is>
          <t>AUSTRAC CEO</t>
        </is>
      </c>
      <c r="K766" s="11" t="inlineStr">
        <is>
          <t>This section outlines the conditions under which AUSTRAC information may be disclosed to foreign countries or agencies. The AUSTRAC CEO must be satisfied that the foreign entity has provided undertakings on confidentiality, use control, and purpose-specific use. The disclosure is permissible if appropriate in all circumstances. Agency heads may also disclose information if they have authorisation under specific rules.</t>
        </is>
      </c>
      <c r="L766" s="11" t="inlineStr"/>
      <c r="M766" s="11" t="inlineStr">
        <is>
          <t>• [Must] AUSTRAC CEO must be satisfied that foreign government or agency has provided undertakings on confidentiality, use control, and purpose-specific use
• [Must] AUSTRAC CEO must be satisfied it is appropriate to disclose in all circumstances</t>
        </is>
      </c>
      <c r="N766" s="11" t="inlineStr">
        <is>
          <t>• [May] Agency heads may disclose AUSTRAC information if they have authorisation under AML/CTF Rules</t>
        </is>
      </c>
      <c r="O766" s="11" t="inlineStr">
        <is>
          <t>256 (1) The AUSTRAC CEO may disclose AUSTRAC information to the government of a foreign country, or to a foreign agency, if the AUSTRAC CEO is satisfied that: (a) where the AUSTRAC CEO considers it appropriate, the government of the foreign country, or the foreign agency, has given an undertaking for: (i) protecting the confidentiality of the information; and (ii) controlling the use that will be made of the information; and (iii) ensuring that the information will be used only for the purpose for which it is disclosed to the government of the foreign country or to the foreign agency; and (b) it is appropriate, in all the circumstances of the case, to do so.</t>
        </is>
      </c>
      <c r="P766" s="12" t="n">
        <v>13</v>
      </c>
    </row>
    <row r="767">
      <c r="A767" t="inlineStr">
        <is>
          <t>Australia</t>
        </is>
      </c>
      <c r="B767" t="inlineStr">
        <is>
          <t>C2026C00220 (Australia - Row 2)</t>
        </is>
      </c>
      <c r="C767" t="inlineStr">
        <is>
          <t>258</t>
        </is>
      </c>
      <c r="D767" s="11" t="inlineStr">
        <is>
          <t>Unauthorised access to AUSTRAC information</t>
        </is>
      </c>
      <c r="E767" t="inlineStr">
        <is>
          <t>276–277</t>
        </is>
      </c>
      <c r="F767" t="inlineStr">
        <is>
          <t>High</t>
        </is>
      </c>
      <c r="G767" t="inlineStr">
        <is>
          <t>High (explicit)</t>
        </is>
      </c>
      <c r="H767" s="11" t="inlineStr"/>
      <c r="I767" s="11" t="inlineStr"/>
      <c r="J767" t="inlineStr">
        <is>
          <t>AUSTRAC</t>
        </is>
      </c>
      <c r="K767" s="11" t="inlineStr">
        <is>
          <t>This section defines when accessing AUSTRAC information constitutes an offence. It specifies that an offence occurs if a person accesses AUSTRAC information without permission under this Part. The section also outlines when disclosure of such information in contravention of this Part constitutes an offence, including when the person makes a record of, discloses or uses the information. An exception applies if the disclosure is for purposes of an investigation or the person's official duties as an IGIS official.</t>
        </is>
      </c>
      <c r="L767" s="11" t="inlineStr">
        <is>
          <t>This section establishes conditions under which accessing AUSTRAC information without permission is prohibited, relevant for assessing risks in handling sensitive financial data across borders.</t>
        </is>
      </c>
      <c r="M767" s="11" t="inlineStr">
        <is>
          <t>• [Must] The person accesses information
• [Must] The information is AUSTRAC information
• [Must] The access is not permitted by this Part
• [Must] The information is disclosed to the person</t>
        </is>
      </c>
      <c r="N767" s="11" t="inlineStr">
        <is>
          <t>• [Must] The information is AUSTRAC information
• [Must] The disclosure to the person is in contravention of this Part
• [Must] The person makes a record of, discloses or otherwise uses the information</t>
        </is>
      </c>
      <c r="O767" s="11" t="inlineStr">
        <is>
          <t>258 Compilation Division 6—Unauthorised accessing of or use or disclosure of AUSTRAC information</t>
        </is>
      </c>
      <c r="P767" s="12" t="n">
        <v>13</v>
      </c>
    </row>
    <row r="768">
      <c r="A768" t="inlineStr">
        <is>
          <t>Australia</t>
        </is>
      </c>
      <c r="B768" t="inlineStr">
        <is>
          <t>C2026C00220 (Australia - Row 2)</t>
        </is>
      </c>
      <c r="C768" t="inlineStr">
        <is>
          <t>260</t>
        </is>
      </c>
      <c r="D768" s="11" t="inlineStr">
        <is>
          <t>Use of AUSTRAC information in court proceedings</t>
        </is>
      </c>
      <c r="E768" t="inlineStr">
        <is>
          <t>278–279</t>
        </is>
      </c>
      <c r="F768" t="inlineStr">
        <is>
          <t>High</t>
        </is>
      </c>
      <c r="G768" t="inlineStr">
        <is>
          <t>High (explicit)</t>
        </is>
      </c>
      <c r="H768" s="11" t="inlineStr"/>
      <c r="I768" s="11" t="inlineStr"/>
      <c r="J768" t="inlineStr">
        <is>
          <t>AUSTRAC</t>
        </is>
      </c>
      <c r="K768" s="11" t="inlineStr">
        <is>
          <t>This section prohibits persons from being required to produce AUSTRAC information to courts or tribunals, except where necessary to give effect to the Act or the repealed Financial Transaction Reports Act 1988. It specifies that a person is not required to disclose AUSTRAC information to courts or tribunals under these circumstances.</t>
        </is>
      </c>
      <c r="L768" s="11" t="inlineStr">
        <is>
          <t>This section restricts the use of AUSTRAC information in legal proceedings, relevant for assessing data transfer risks when information is shared with judicial authorities.</t>
        </is>
      </c>
      <c r="M768" s="11" t="inlineStr">
        <is>
          <t>• [Must Not] A person is not to be required to produce a document containing AUSTRAC information to a court or tribunal</t>
        </is>
      </c>
      <c r="N768" s="11" t="inlineStr">
        <is>
          <t>• [Must Not] A person is not to be required to disclose AUSTRAC information to a court or tribunal</t>
        </is>
      </c>
      <c r="O768" s="11" t="inlineStr">
        <is>
          <t>260 Compilation Division 7—Use of AUSTRAC information in court or tribunal proceedings</t>
        </is>
      </c>
      <c r="P768" s="12" t="n">
        <v>13</v>
      </c>
    </row>
    <row r="769">
      <c r="A769" t="inlineStr">
        <is>
          <t>Australia</t>
        </is>
      </c>
      <c r="B769" t="inlineStr">
        <is>
          <t>C2026C00220 (Australia - Row 2)</t>
        </is>
      </c>
      <c r="C769" t="inlineStr">
        <is>
          <t>261</t>
        </is>
      </c>
      <c r="D769" s="11" t="inlineStr">
        <is>
          <t>False information and documents in customer due diligence</t>
        </is>
      </c>
      <c r="E769" t="inlineStr">
        <is>
          <t>279–281</t>
        </is>
      </c>
      <c r="F769" t="inlineStr">
        <is>
          <t>High</t>
        </is>
      </c>
      <c r="G769" t="inlineStr">
        <is>
          <t>High (explicit)</t>
        </is>
      </c>
      <c r="H769" s="11" t="inlineStr"/>
      <c r="I769" s="11" t="inlineStr"/>
      <c r="J769" t="inlineStr">
        <is>
          <t>AUSTRAC</t>
        </is>
      </c>
      <c r="K769" s="11" t="inlineStr">
        <is>
          <t>This section outlines offences related to producing false or misleading information, documents, or services under customer due diligence. It specifies that it is an offence to produce false information, false documents, forge documents for customer due diligence, provide or receive designated services using false customer names, or structure transactions to avoid reporting obligations. The offences are strict liability for certain elements.</t>
        </is>
      </c>
      <c r="L769" s="11" t="inlineStr">
        <is>
          <t>This section addresses risks of false information and documents in customer due diligence processes, critical for assessing data integrity in cross-border financial transactions.</t>
        </is>
      </c>
      <c r="M769" s="11" t="inlineStr">
        <is>
          <t>• [Must Not] It is an offence to produce false or misleading information
• [Must Not] It is an offence to produce a false or misleading document
• [Must Not] It is an offence to forge a document for use in customer due diligence</t>
        </is>
      </c>
      <c r="N769" s="11" t="inlineStr">
        <is>
          <t>• [Must Not] It is an offence to provide or receive a designated service using a false customer name or customer anonymity
• [Must Not] It is an offence to structure a transaction to avoid a reporting obligation</t>
        </is>
      </c>
      <c r="O769" s="11" t="inlineStr">
        <is>
          <t>261 Compilation Part 12—Offences</t>
        </is>
      </c>
      <c r="P769" s="12" t="n">
        <v>13</v>
      </c>
    </row>
    <row r="770">
      <c r="A770" t="inlineStr">
        <is>
          <t>Australia</t>
        </is>
      </c>
      <c r="B770" t="inlineStr">
        <is>
          <t>C2026C00220 (Australia - Row 2)</t>
        </is>
      </c>
      <c r="C770" t="inlineStr">
        <is>
          <t>263</t>
        </is>
      </c>
      <c r="D770" s="11" t="inlineStr">
        <is>
          <t>False documents in customer due diligence</t>
        </is>
      </c>
      <c r="E770" t="inlineStr">
        <is>
          <t>281–283</t>
        </is>
      </c>
      <c r="F770" t="inlineStr">
        <is>
          <t>High</t>
        </is>
      </c>
      <c r="G770" t="inlineStr">
        <is>
          <t>High (explicit)</t>
        </is>
      </c>
      <c r="H770" s="11" t="inlineStr"/>
      <c r="I770" s="11" t="inlineStr"/>
      <c r="J770" t="inlineStr">
        <is>
          <t>AUSTRAC</t>
        </is>
      </c>
      <c r="K770" s="11" t="inlineStr">
        <is>
          <t>This section details offences related to making, possessing, or using false documents in customer due diligence processes. It specifies that it is an offence to make a false document with the intention of using it in customer due diligence, to possess a false document with the intention of using it in customer due diligence, and to possess equipment designed for making false documents.</t>
        </is>
      </c>
      <c r="L770" s="11" t="inlineStr">
        <is>
          <t>This section addresses the risks of false documents in customer due diligence, relevant for assessing data authenticity in financial transactions.</t>
        </is>
      </c>
      <c r="M770" s="11" t="inlineStr">
        <is>
          <t>• [Must Not] The person makes a false document with the intention that the person or another will produce the false document in the course of customer due diligence
• [Condition] The customer due diligence is under section 28 or 30
• [Must] The person knows that a document is a false document</t>
        </is>
      </c>
      <c r="N770" s="11" t="inlineStr">
        <is>
          <t>• [Must] The person has it in his or her possession with the intention that the person or another will produce it in the course of customer due diligence
• [Condition] The customer due diligence is under section 28 or 30</t>
        </is>
      </c>
      <c r="O770" s="11" t="inlineStr">
        <is>
          <t>263 Compilation Section 138</t>
        </is>
      </c>
      <c r="P770" s="12" t="n">
        <v>13</v>
      </c>
    </row>
    <row r="771">
      <c r="A771" t="inlineStr">
        <is>
          <t>Australia</t>
        </is>
      </c>
      <c r="B771" t="inlineStr">
        <is>
          <t>C2026C00220 (Australia - Row 2)</t>
        </is>
      </c>
      <c r="C771" t="inlineStr">
        <is>
          <t>265</t>
        </is>
      </c>
      <c r="D771" s="11" t="inlineStr">
        <is>
          <t>False customer names and anonymity in services</t>
        </is>
      </c>
      <c r="E771" t="inlineStr">
        <is>
          <t>283–285</t>
        </is>
      </c>
      <c r="F771" t="inlineStr">
        <is>
          <t>High</t>
        </is>
      </c>
      <c r="G771" t="inlineStr">
        <is>
          <t>High (explicit)</t>
        </is>
      </c>
      <c r="H771" s="11" t="inlineStr"/>
      <c r="I771" s="11" t="inlineStr"/>
      <c r="J771" t="inlineStr">
        <is>
          <t>AUSTRAC</t>
        </is>
      </c>
      <c r="K771" s="11" t="inlineStr">
        <is>
          <t>This section outlines offences related to providing or receiving designated services using false customer names or customer anonymity. It specifies that it is an offence to provide or receive a designated service using a false customer name or customer anonymity when at least one provision of Division 2, 3 or 4 of Part 2 applies to the customer due diligence process.</t>
        </is>
      </c>
      <c r="L771" s="11" t="inlineStr">
        <is>
          <t>This section addresses risks of false customer identities in financial services, critical for assessing data accuracy in cross-border transactions.</t>
        </is>
      </c>
      <c r="M771" s="11" t="inlineStr">
        <is>
          <t>• [Must] The person is a reporting entity
• [Must] The person commences to provide a designated service</t>
        </is>
      </c>
      <c r="N771" s="11" t="inlineStr">
        <is>
          <t>• [Must] The person does so using a false customer name
• [Condition] At least one provision of Division 2, 3 or 4 of Part 2 applies to the customer due diligence</t>
        </is>
      </c>
      <c r="O771" s="11" t="inlineStr">
        <is>
          <t>265 Compilation Section 139</t>
        </is>
      </c>
      <c r="P771" s="12" t="n">
        <v>13</v>
      </c>
    </row>
    <row r="772">
      <c r="A772" t="inlineStr">
        <is>
          <t>Australia</t>
        </is>
      </c>
      <c r="B772" t="inlineStr">
        <is>
          <t>C2026C00220 (Australia - Row 2)</t>
        </is>
      </c>
      <c r="C772" t="inlineStr">
        <is>
          <t>267</t>
        </is>
      </c>
      <c r="D772" s="11" t="inlineStr">
        <is>
          <t>Avoiding reporting requirements through transactions</t>
        </is>
      </c>
      <c r="E772" t="inlineStr">
        <is>
          <t>285–287</t>
        </is>
      </c>
      <c r="F772" t="inlineStr">
        <is>
          <t>High</t>
        </is>
      </c>
      <c r="G772" t="inlineStr">
        <is>
          <t>High (explicit)</t>
        </is>
      </c>
      <c r="H772" s="11" t="inlineStr"/>
      <c r="I772" s="11" t="inlineStr">
        <is>
          <t>Financial Data</t>
        </is>
      </c>
      <c r="J772" t="inlineStr">
        <is>
          <t>AUSTRAC</t>
        </is>
      </c>
      <c r="K772" s="11" t="inlineStr">
        <is>
          <t>This section details offences related to conducting transactions to avoid reporting requirements. It specifies that it is an offence to conduct 2 or more non-reportable transactions in a manner that would be reasonably concluded to be for the sole or dominant purpose of ensuring the transactions do not meet reporting thresholds, with specific considerations for transaction value, timing, and locations.</t>
        </is>
      </c>
      <c r="L772" s="11" t="inlineStr">
        <is>
          <t>This section addresses risks of structuring transactions to avoid reporting, relevant for assessing data transfer compliance in financial transactions.</t>
        </is>
      </c>
      <c r="M772" s="11" t="inlineStr">
        <is>
          <t>• [Must] The first person is, or causes another person to become, a party to 2 or more non-reportable transactions
• [Must] Having regard to the manner and form in which the transactions were conducted</t>
        </is>
      </c>
      <c r="N772" s="11" t="inlineStr">
        <is>
          <t>• [Must] It would be reasonable to conclude that the first person conducted the transactions for the sole or dominant purpose of ensuring the transactions do not meet reporting thresholds</t>
        </is>
      </c>
      <c r="O772" s="11" t="inlineStr">
        <is>
          <t>267 Compilation Section 142</t>
        </is>
      </c>
      <c r="P772" s="12" t="n">
        <v>13</v>
      </c>
    </row>
    <row r="773">
      <c r="A773" t="inlineStr">
        <is>
          <t>Australia</t>
        </is>
      </c>
      <c r="B773" t="inlineStr">
        <is>
          <t>C2026C00220 (Australia - Row 2)</t>
        </is>
      </c>
      <c r="C773" t="inlineStr">
        <is>
          <t>269</t>
        </is>
      </c>
      <c r="D773" s="11" t="inlineStr">
        <is>
          <t>Monetary movement reporting exemption conditions</t>
        </is>
      </c>
      <c r="E773" t="inlineStr">
        <is>
          <t>287–288</t>
        </is>
      </c>
      <c r="F773" t="inlineStr">
        <is>
          <t>High</t>
        </is>
      </c>
      <c r="G773" t="inlineStr">
        <is>
          <t>High (explicit)</t>
        </is>
      </c>
      <c r="H773" s="11" t="inlineStr">
        <is>
          <t>Financial Data, AML, Cross-border Transfer</t>
        </is>
      </c>
      <c r="I773" s="11" t="inlineStr">
        <is>
          <t>Financial Data</t>
        </is>
      </c>
      <c r="J773" t="inlineStr">
        <is>
          <t>AUSTRAC</t>
        </is>
      </c>
      <c r="K773" s="11" t="inlineStr">
        <is>
          <t>This section outlines conditions under which a person may conduct monetary movements without reporting under section 53. It specifies that movements are exempt if the person did not conduct or cause the movements for the sole or dominant purpose of avoiding reporting. The exemption requires proof of the person's intent to avoid reporting, and the penalty for non-compliance is imprisonment for 5 years or 300 penalty units.</t>
        </is>
      </c>
      <c r="L773" s="11" t="inlineStr">
        <is>
          <t>This section defines conditions for exempting monetary movements from reporting, relevant to DTIAs when assessing whether transactions avoid reporting obligations under AML/CTF frameworks.</t>
        </is>
      </c>
      <c r="M773" s="11" t="inlineStr">
        <is>
          <t>• [Must] The first person must prove they did not conduct or cause movements for the sole or dominant purpose of avoiding reporting under section 53</t>
        </is>
      </c>
      <c r="N773" s="11" t="inlineStr">
        <is>
          <t>• [Must Not] The exemption applies if the person did not conduct or cause movements for the sole or dominant purpose of ensuring no report is made under section 53</t>
        </is>
      </c>
      <c r="O773" s="11" t="inlineStr">
        <is>
          <t>An authorised officer may enter any reporting entity business premises with the occupier's consent or under a monitoring warrant.</t>
        </is>
      </c>
      <c r="P773" s="12" t="n">
        <v>13</v>
      </c>
    </row>
    <row r="774">
      <c r="A774" t="inlineStr">
        <is>
          <t>Australia</t>
        </is>
      </c>
      <c r="B774" t="inlineStr">
        <is>
          <t>C2026C00220 (Australia - Row 2)</t>
        </is>
      </c>
      <c r="C774" t="inlineStr">
        <is>
          <t>270</t>
        </is>
      </c>
      <c r="D774" s="11" t="inlineStr">
        <is>
          <t>Audit authority entry powers</t>
        </is>
      </c>
      <c r="E774" t="inlineStr">
        <is>
          <t>288–289</t>
        </is>
      </c>
      <c r="F774" t="inlineStr">
        <is>
          <t>High</t>
        </is>
      </c>
      <c r="G774" t="inlineStr">
        <is>
          <t>High (explicit)</t>
        </is>
      </c>
      <c r="H774" s="11" t="inlineStr">
        <is>
          <t>Financial Data, AML</t>
        </is>
      </c>
      <c r="I774" s="11" t="inlineStr">
        <is>
          <t>Financial Data</t>
        </is>
      </c>
      <c r="J774" t="inlineStr">
        <is>
          <t>AUSTRAC</t>
        </is>
      </c>
      <c r="K774" s="11" t="inlineStr">
        <is>
          <t>This section grants AUSTRAC's CEO the authority to require reporting entities to undergo external audits or money laundering and terrorism financing risk assessments. It specifies that authorised officers may enter business premises with occupier consent or under a monitoring warrant, and may exercise monitoring powers during entry. The section also outlines the CEO's power to mandate external audits and risk assessments.</t>
        </is>
      </c>
      <c r="L774" s="11" t="inlineStr">
        <is>
          <t>This section establishes audit powers for financial institutions, relevant to DTIAs when assessing compliance with AML/CTF requirements and audit procedures.</t>
        </is>
      </c>
      <c r="M774" s="11" t="inlineStr">
        <is>
          <t>• [May] An authorised officer may enter reporting entity business premises with occupier consent
• [May] An authorised officer may enter reporting entity business premises under a monitoring warrant</t>
        </is>
      </c>
      <c r="N774" s="11" t="inlineStr">
        <is>
          <t>• [Authorisation] The AUSTRAC CEO may require a reporting entity to carry out an external audit or money laundering and terrorism financing risk assessment</t>
        </is>
      </c>
      <c r="O774" s="11" t="inlineStr">
        <is>
          <t>An authorised officer may enter any reporting entity business premises: (a) with the occupier's consent; or (b) under a monitoring warrant.</t>
        </is>
      </c>
      <c r="P774" s="12" t="n">
        <v>13</v>
      </c>
    </row>
    <row r="775">
      <c r="A775" t="inlineStr">
        <is>
          <t>Australia</t>
        </is>
      </c>
      <c r="B775" t="inlineStr">
        <is>
          <t>C2026C00220 (Australia - Row 2)</t>
        </is>
      </c>
      <c r="C775" t="inlineStr">
        <is>
          <t>271</t>
        </is>
      </c>
      <c r="D775" s="11" t="inlineStr">
        <is>
          <t>Authorised officer appointment and identity card requirements</t>
        </is>
      </c>
      <c r="E775" t="inlineStr">
        <is>
          <t>289–290</t>
        </is>
      </c>
      <c r="F775" t="inlineStr">
        <is>
          <t>High</t>
        </is>
      </c>
      <c r="G775" t="inlineStr">
        <is>
          <t>High (explicit)</t>
        </is>
      </c>
      <c r="H775" s="11" t="inlineStr">
        <is>
          <t>Financial Data, AML</t>
        </is>
      </c>
      <c r="I775" s="11" t="inlineStr">
        <is>
          <t>Financial Data</t>
        </is>
      </c>
      <c r="J775" t="inlineStr">
        <is>
          <t>AUSTRAC</t>
        </is>
      </c>
      <c r="K775" s="11" t="inlineStr">
        <is>
          <t>This section details the appointment of authorised officers by AUSTRAC CEO, including criteria for appointment and the requirement to issue identity cards. It specifies that authorised officers must comply with AUSTRAC CEO directions and that identity cards must contain a recent photograph and be in an approved form. The section also outlines the process for returning identity cards after ceasing to be an authorised officer.</t>
        </is>
      </c>
      <c r="L775" s="11" t="inlineStr">
        <is>
          <t>This section establishes identity and appointment protocols for AUSTRAC officers, relevant to DTIAs when assessing internal controls and officer accountability in financial institutions.</t>
        </is>
      </c>
      <c r="M775" s="11" t="inlineStr">
        <is>
          <t>• [Authorisation] AUSTRAC CEO may appoint staff members or persons whose services are made available under subsection 225(3) as authorised officers
• [Must Not] AUSTRAC CEO must not appoint a person unless they satisfy conditions specified in regulations
• [Must] Authorised officers must comply with AUSTRAC CEO directions</t>
        </is>
      </c>
      <c r="N775" s="11" t="inlineStr">
        <is>
          <t>• [Must] AUSTRAC CEO must issue identity cards to authorised officers
• [Must] Identity cards must be in a form approved by AUSTRAC CEO
• [Must] Identity cards must contain a recent photograph of the authorised officer</t>
        </is>
      </c>
      <c r="O775" s="11" t="inlineStr">
        <is>
          <t>The AUSTRAC CEO may, in writing, appoint as an authorised officer for the purposes of this Act: (a) a member of the staff of AUSTRAC; or (b) a person whose services are made available to the AUSTRAC CEO under subsection 225(3), other than a person covered by paragraph 225(3)(g).</t>
        </is>
      </c>
      <c r="P775" s="12" t="n">
        <v>13</v>
      </c>
    </row>
    <row r="776">
      <c r="A776" t="inlineStr">
        <is>
          <t>Australia</t>
        </is>
      </c>
      <c r="B776" t="inlineStr">
        <is>
          <t>C2026C00220 (Australia - Row 2)</t>
        </is>
      </c>
      <c r="C776" t="inlineStr">
        <is>
          <t>272</t>
        </is>
      </c>
      <c r="D776" s="11" t="inlineStr">
        <is>
          <t>Identity card retention and penalties</t>
        </is>
      </c>
      <c r="E776" t="inlineStr">
        <is>
          <t>290–291</t>
        </is>
      </c>
      <c r="F776" t="inlineStr">
        <is>
          <t>High</t>
        </is>
      </c>
      <c r="G776" t="inlineStr">
        <is>
          <t>High (explicit)</t>
        </is>
      </c>
      <c r="H776" s="11" t="inlineStr">
        <is>
          <t>Financial Data, AML</t>
        </is>
      </c>
      <c r="I776" s="11" t="inlineStr">
        <is>
          <t>Financial Data</t>
        </is>
      </c>
      <c r="J776" t="inlineStr">
        <is>
          <t>AUSTRAC</t>
        </is>
      </c>
      <c r="K776" s="11" t="inlineStr">
        <is>
          <t>This section specifies that authorised officers must carry identity cards when exercising powers, with a penalty of 1 penalty unit for non-compliance. It also outlines the requirement that identity cards must be returned to AUSTRAC CEO within 3 business days after ceasing to be an authorised officer, with a reasonable excuse allowed for non-compliance.</t>
        </is>
      </c>
      <c r="L776" s="11" t="inlineStr">
        <is>
          <t>This section ensures accountability for AUSTRAC officers through identity card retention, relevant to DTIAs when assessing officer compliance and internal controls.</t>
        </is>
      </c>
      <c r="M776" s="11" t="inlineStr">
        <is>
          <t>• [Must] Authorised officers must carry identity cards at all times when exercising powers
• [Must] The person must return identity cards to AUSTRAC CEO within 3 business days after ceasing to be an authorised officer</t>
        </is>
      </c>
      <c r="N776" s="11" t="inlineStr">
        <is>
          <t>• [May] The person may have a reasonable excuse for not returning identity cards within 3 business days</t>
        </is>
      </c>
      <c r="O776" s="11" t="inlineStr">
        <is>
          <t>An authorised officer must carry the identity card at all times when exercising powers or performing functions as an authorised officer under this Part.</t>
        </is>
      </c>
      <c r="P776" s="12" t="n">
        <v>13</v>
      </c>
    </row>
    <row r="777">
      <c r="A777" t="inlineStr">
        <is>
          <t>Australia</t>
        </is>
      </c>
      <c r="B777" t="inlineStr">
        <is>
          <t>C2026C00220 (Australia - Row 2)</t>
        </is>
      </c>
      <c r="C777" t="inlineStr">
        <is>
          <t>273</t>
        </is>
      </c>
      <c r="D777" s="11" t="inlineStr">
        <is>
          <t>Authorised officer monitoring powers</t>
        </is>
      </c>
      <c r="E777" t="inlineStr">
        <is>
          <t>291–292</t>
        </is>
      </c>
      <c r="F777" t="inlineStr">
        <is>
          <t>High</t>
        </is>
      </c>
      <c r="G777" t="inlineStr">
        <is>
          <t>High (explicit)</t>
        </is>
      </c>
      <c r="H777" s="11" t="inlineStr">
        <is>
          <t>Financial Data, AML</t>
        </is>
      </c>
      <c r="I777" s="11" t="inlineStr">
        <is>
          <t>Financial Data</t>
        </is>
      </c>
      <c r="J777" t="inlineStr">
        <is>
          <t>AUSTRAC</t>
        </is>
      </c>
      <c r="K777" s="11" t="inlineStr">
        <is>
          <t>This section grants authorised officers the power to enter premises with consent or under a monitoring warrant, and to exercise monitoring powers such as searching for compliance records, systems, reports, and other relevant items. It specifies that officers must leave premises if the occupier asks, and that monitoring powers include the ability to secure items for up to 24 hours.</t>
        </is>
      </c>
      <c r="L777" s="11" t="inlineStr">
        <is>
          <t>This section defines monitoring powers for AUSTRAC officers, relevant to DTIAs when assessing physical and digital access controls for financial data.</t>
        </is>
      </c>
      <c r="M777" s="11" t="inlineStr">
        <is>
          <t>• [May] Authorised officers may enter reporting entity business premises at any reasonable time of the day
• [May] Authorised officers may exercise monitoring powers set out in section 148</t>
        </is>
      </c>
      <c r="N777" s="11" t="inlineStr">
        <is>
          <t>• [Must] Authorised officers must leave premises if the occupier asks</t>
        </is>
      </c>
      <c r="O777" s="11" t="inlineStr">
        <is>
          <t>An authorised officer may enter any reporting entity business premises at any reasonable time of the day.</t>
        </is>
      </c>
      <c r="P777" s="12" t="n">
        <v>13</v>
      </c>
    </row>
    <row r="778">
      <c r="A778" t="inlineStr">
        <is>
          <t>Australia</t>
        </is>
      </c>
      <c r="B778" t="inlineStr">
        <is>
          <t>C2026C00220 (Australia - Row 2)</t>
        </is>
      </c>
      <c r="C778" t="inlineStr">
        <is>
          <t>274</t>
        </is>
      </c>
      <c r="D778" s="11" t="inlineStr">
        <is>
          <t>Authorised officer monitoring powers details</t>
        </is>
      </c>
      <c r="E778" t="inlineStr">
        <is>
          <t>292–293</t>
        </is>
      </c>
      <c r="F778" t="inlineStr">
        <is>
          <t>High</t>
        </is>
      </c>
      <c r="G778" t="inlineStr">
        <is>
          <t>High (explicit)</t>
        </is>
      </c>
      <c r="H778" s="11" t="inlineStr">
        <is>
          <t>Financial Data, AML</t>
        </is>
      </c>
      <c r="I778" s="11" t="inlineStr">
        <is>
          <t>Financial Data</t>
        </is>
      </c>
      <c r="J778" t="inlineStr">
        <is>
          <t>AUSTRAC</t>
        </is>
      </c>
      <c r="K778" s="11" t="inlineStr">
        <is>
          <t>This section details the specific monitoring powers of authorised officers, including the ability to search premises for compliance records, systems, reports, and other relevant items. It specifies that monitoring powers include the ability to secure items for up to 24 hours if found during the exercise of powers.</t>
        </is>
      </c>
      <c r="L778" s="11" t="inlineStr">
        <is>
          <t>This section provides detailed monitoring powers for AUSTRAC officers, relevant to DTIAs when assessing physical and digital access controls for financial data.</t>
        </is>
      </c>
      <c r="M778" s="11" t="inlineStr">
        <is>
          <t>• [May] Authorised officers may search premises for compliance records kept at or accessible from premises
• [May] Authorised officers may search premises for systems used by reporting entities for keeping compliance records
• [May] Authorised officers may search premises for reports retained at or accessible from premises
• [May] Authorised officers may search premises for systems used by reporting entities for preparing, sending, or retaining reports
• [May] Authorised officers may search premises for other things relevant to reporting entity obligations
• [May] Authorised officers may examine activities conducted on premises relevant to information provided under this Act</t>
        </is>
      </c>
      <c r="N778" s="11" t="inlineStr">
        <is>
          <t>• [May] Authorised officers may examine things on premises relevant to information provided under this Act
• [May] Authorised officers may take photographs, video, audio recordings, or sketches of relevant activities or things
• [May] Authorised officers may inspect documents relevant to information provided under this Act
• [May] Authorised officers may take extracts or copies of relevant documents
• [May] Authorised officers may take equipment and materials required for exercising powers
• [May] Authorised officers may secure items for no more than 24 hours if found during exercise of powers</t>
        </is>
      </c>
      <c r="O778" s="11" t="inlineStr">
        <is>
          <t>For the purposes of this Act, the following are the monitoring powers that an authorised officer may exercise, in relation to premises, under section 147: (a) the power to search the premises for any compliance records that are kept at, or accessible from, the premises;</t>
        </is>
      </c>
      <c r="P778" s="12" t="n">
        <v>13</v>
      </c>
    </row>
    <row r="779">
      <c r="A779" t="inlineStr">
        <is>
          <t>Australia</t>
        </is>
      </c>
      <c r="B779" t="inlineStr">
        <is>
          <t>C2026C00220 (Australia - Row 2)</t>
        </is>
      </c>
      <c r="C779" t="inlineStr">
        <is>
          <t>275</t>
        </is>
      </c>
      <c r="D779" s="11" t="inlineStr">
        <is>
          <t>Conditions for seizing evidence under monitoring powers</t>
        </is>
      </c>
      <c r="E779" t="inlineStr">
        <is>
          <t>293–294</t>
        </is>
      </c>
      <c r="F779" t="inlineStr">
        <is>
          <t>Medium</t>
        </is>
      </c>
      <c r="G779" t="inlineStr">
        <is>
          <t>High (explicit)</t>
        </is>
      </c>
      <c r="H779" s="11" t="inlineStr">
        <is>
          <t>Cross-border Transfer</t>
        </is>
      </c>
      <c r="I779" s="11" t="inlineStr">
        <is>
          <t>Personal Information</t>
        </is>
      </c>
      <c r="J779" t="inlineStr">
        <is>
          <t>Australian Regulatory Authority</t>
        </is>
      </c>
      <c r="K779" s="11" t="inlineStr">
        <is>
          <t>An authorised officer may seize evidence if they reasonably believe it proves an offence under this Act, Crimes Act 1914, or Criminal Code, and it must be secured before a warrant is obtained to prevent concealment, loss, or destruction. The circumstances must be serious and urgent. This applies to evidence relevant to assessing compliance with the Act, regulations, or AML/CTF Rules.</t>
        </is>
      </c>
      <c r="L779" s="11" t="inlineStr">
        <is>
          <t>Seizure conditions require evidence to be relevant to compliance assessments and must be secured before a warrant to prevent destruction. This affects data retention and evidence handling in cross-border contexts.</t>
        </is>
      </c>
      <c r="M779" s="11" t="inlineStr">
        <is>
          <t>• [Must] An authorised officer must believe on reasonable grounds that the thing affords evidence of an offence under this Act, Crimes Act 1914, or Criminal Code
• [Must] The thing must be necessary to secure before a warrant to prevent concealment, loss, or destruction</t>
        </is>
      </c>
      <c r="N779" s="11" t="inlineStr">
        <is>
          <t>• [Must] The circumstances must be serious and urgent</t>
        </is>
      </c>
      <c r="O779" s="11" t="inlineStr">
        <is>
          <t>275 (b) an authorised officer believes on reasonable grounds that: (i) the thing affords evidence of the commission of an offence against this Act or the regulations, or evidence of the commission of an offence against the Crimes Act 1914 or the Criminal Code that relates to this Act or the regulations; and (ii) it is necessary to secure the thing in order to prevent it from being concealed, lost or destroyed before a warrant to seize the thing is obtained; and (iii) the circumstances are serious and urgent.</t>
        </is>
      </c>
      <c r="P779" s="12" t="n">
        <v>13</v>
      </c>
    </row>
    <row r="780">
      <c r="A780" t="inlineStr">
        <is>
          <t>Australia</t>
        </is>
      </c>
      <c r="B780" t="inlineStr">
        <is>
          <t>C2026C00220 (Australia - Row 2)</t>
        </is>
      </c>
      <c r="C780" t="inlineStr">
        <is>
          <t>276</t>
        </is>
      </c>
      <c r="D780" s="11" t="inlineStr">
        <is>
          <t>Tampering with secured items under monitoring powers</t>
        </is>
      </c>
      <c r="E780" t="inlineStr">
        <is>
          <t>294–295</t>
        </is>
      </c>
      <c r="F780" t="inlineStr">
        <is>
          <t>High</t>
        </is>
      </c>
      <c r="G780" t="inlineStr">
        <is>
          <t>High (explicit)</t>
        </is>
      </c>
      <c r="H780" s="11" t="inlineStr">
        <is>
          <t>Cross-border Transfer</t>
        </is>
      </c>
      <c r="I780" s="11" t="inlineStr">
        <is>
          <t>Personal Information</t>
        </is>
      </c>
      <c r="J780" t="inlineStr">
        <is>
          <t>Australian Regulatory Authority</t>
        </is>
      </c>
      <c r="K780" s="11" t="inlineStr">
        <is>
          <t>Tampering with items secured by an authorised officer under monitoring powers is prohibited. This applies to items that have been secured to prevent concealment, loss, or destruction of evidence. The prohibition covers both physical and digital items relevant to compliance with the Act, regulations, or AML/CTF Rules.</t>
        </is>
      </c>
      <c r="L780" s="11" t="inlineStr">
        <is>
          <t>Tampering with secured evidence affects data integrity and retention. This section is critical for DTIAs involving evidence handling across jurisdictions.</t>
        </is>
      </c>
      <c r="M780" s="11" t="inlineStr">
        <is>
          <t>• [Must Not] A thing must not be tampered with after being secured by an authorised officer under monitoring powers</t>
        </is>
      </c>
      <c r="N780" s="11" t="inlineStr"/>
      <c r="O780" s="11" t="inlineStr">
        <is>
          <t>276 (a) a thing has been secured by an authorised officer in the exercise of the monitoring powers set out in section 148; and (b) the person tampers or interferes with the thing.</t>
        </is>
      </c>
      <c r="P780" s="12" t="n">
        <v>13</v>
      </c>
    </row>
    <row r="781">
      <c r="A781" t="inlineStr">
        <is>
          <t>Australia</t>
        </is>
      </c>
      <c r="B781" t="inlineStr">
        <is>
          <t>C2026C00220 (Australia - Row 2)</t>
        </is>
      </c>
      <c r="C781" t="inlineStr">
        <is>
          <t>277</t>
        </is>
      </c>
      <c r="D781" s="11" t="inlineStr">
        <is>
          <t>Self-incrimination exemption for compliance questions</t>
        </is>
      </c>
      <c r="E781" t="inlineStr">
        <is>
          <t>295–296</t>
        </is>
      </c>
      <c r="F781" t="inlineStr">
        <is>
          <t>High</t>
        </is>
      </c>
      <c r="G781" t="inlineStr">
        <is>
          <t>High (explicit)</t>
        </is>
      </c>
      <c r="H781" s="11" t="inlineStr">
        <is>
          <t>Cross-border Transfer</t>
        </is>
      </c>
      <c r="I781" s="11" t="inlineStr">
        <is>
          <t>Personal Information</t>
        </is>
      </c>
      <c r="J781" t="inlineStr">
        <is>
          <t>Australian Regulatory Authority</t>
        </is>
      </c>
      <c r="K781" s="11" t="inlineStr">
        <is>
          <t>A person cannot claim self-incrimination as a defense when answering questions or producing documents related to the Act, regulations, or AML/CTF Rules. This includes civil proceedings under the Proceeds of Crime Act 2002 and criminal proceedings related to sections 136, 137, or 137.1-137.2 of the Criminal Code.</t>
        </is>
      </c>
      <c r="L781" s="11" t="inlineStr">
        <is>
          <t>Self-incrimination exemptions apply to compliance-related data sharing and questioning. This affects data subject rights and disclosure in cross-border contexts.</t>
        </is>
      </c>
      <c r="M781" s="11" t="inlineStr">
        <is>
          <t>• [Must Not] A person is not excused from answering questions or producing documents under subsection (2) on the ground that it might tend to incriminate them</t>
        </is>
      </c>
      <c r="N781" s="11" t="inlineStr"/>
      <c r="O781" s="11" t="inlineStr">
        <is>
          <t>277 (4) A person is not excused from answering a question or producing a document under subsection (2) on the ground that the answering of the question or the production of the document might tend to incriminate the person or expose the person to a penalty.</t>
        </is>
      </c>
      <c r="P781" s="12" t="n">
        <v>13</v>
      </c>
    </row>
    <row r="782">
      <c r="A782" t="inlineStr">
        <is>
          <t>Australia</t>
        </is>
      </c>
      <c r="B782" t="inlineStr">
        <is>
          <t>C2026C00220 (Australia - Row 2)</t>
        </is>
      </c>
      <c r="C782" t="inlineStr">
        <is>
          <t>278</t>
        </is>
      </c>
      <c r="D782" s="11" t="inlineStr">
        <is>
          <t>Identity verification and consent requirements for entries</t>
        </is>
      </c>
      <c r="E782" t="inlineStr">
        <is>
          <t>296–297</t>
        </is>
      </c>
      <c r="F782" t="inlineStr">
        <is>
          <t>High</t>
        </is>
      </c>
      <c r="G782" t="inlineStr">
        <is>
          <t>High (explicit)</t>
        </is>
      </c>
      <c r="H782" s="11" t="inlineStr">
        <is>
          <t>Consent, Cross-border Transfer</t>
        </is>
      </c>
      <c r="I782" s="11" t="inlineStr">
        <is>
          <t>Personal Information</t>
        </is>
      </c>
      <c r="J782" t="inlineStr">
        <is>
          <t>Australian Regulatory Authority</t>
        </is>
      </c>
      <c r="K782" s="11" t="inlineStr">
        <is>
          <t>An authorised officer must produce an identity card upon request before exercising powers. Consent for entry must be informed, voluntary, and limited to a specific period unless withdrawn. The officer must leave premises if consent is withdrawn. This applies to entries related to monitoring powers and compliance with the Act, regulations, or AML/CTF Rules.</t>
        </is>
      </c>
      <c r="L782" s="11" t="inlineStr">
        <is>
          <t>Identity verification and consent rules impact data access and entry procedures. This is relevant for DTIAs involving physical and digital data access across borders.</t>
        </is>
      </c>
      <c r="M782" s="11" t="inlineStr">
        <is>
          <t>• [Must] An authorised officer must produce identity card for inspection if the occupier requires it
• [Must] Before obtaining consent, the authorised officer must inform the person they may refuse consent
• [Must] An entry is not lawful unless the person voluntarily consented to the entry</t>
        </is>
      </c>
      <c r="N782" s="11" t="inlineStr">
        <is>
          <t>• [Must] Consent may be limited to a specific period unless withdrawn before the end of that period
• [Must] A consent not limited as mentioned in subsection (3) has effect until withdrawn
• [Must] If consent is withdrawn, the authorised officer must leave the premises</t>
        </is>
      </c>
      <c r="O782" s="11" t="inlineStr">
        <is>
          <t>278 (1) Before obtaining the consent of a person for the purposes of paragraph 147(2)(a), the authorised officer must inform the person that he or she may refuse consent. (2) An entry of an authorised officer because of the consent of a person is not lawful unless the person voluntarily consented to the entry.</t>
        </is>
      </c>
      <c r="P782" s="12" t="n">
        <v>13</v>
      </c>
    </row>
    <row r="783">
      <c r="A783" t="inlineStr">
        <is>
          <t>Australia</t>
        </is>
      </c>
      <c r="B783" t="inlineStr">
        <is>
          <t>C2026C00220 (Australia - Row 2)</t>
        </is>
      </c>
      <c r="C783" t="inlineStr">
        <is>
          <t>279</t>
        </is>
      </c>
      <c r="D783" s="11" t="inlineStr">
        <is>
          <t>Announcement and opportunity for entry under monitoring warrants</t>
        </is>
      </c>
      <c r="E783" t="inlineStr">
        <is>
          <t>297–298</t>
        </is>
      </c>
      <c r="F783" t="inlineStr">
        <is>
          <t>High</t>
        </is>
      </c>
      <c r="G783" t="inlineStr">
        <is>
          <t>High (explicit)</t>
        </is>
      </c>
      <c r="H783" s="11" t="inlineStr">
        <is>
          <t>Cross-border Transfer</t>
        </is>
      </c>
      <c r="I783" s="11" t="inlineStr">
        <is>
          <t>Personal Information</t>
        </is>
      </c>
      <c r="J783" t="inlineStr">
        <is>
          <t>Australian Regulatory Authority</t>
        </is>
      </c>
      <c r="K783" s="11" t="inlineStr">
        <is>
          <t>An authorised officer must announce their authority and provide an opportunity for entry before entering premises under a monitoring warrant. This applies to both occupied premises and those where another person represents the occupier. The officer must identify themselves and provide a copy of the warrant to the occupier or representative.</t>
        </is>
      </c>
      <c r="L783" s="11" t="inlineStr">
        <is>
          <t>Announcement and identification requirements ensure transparency in data access procedures. This affects cross-border data handling and compliance with monitoring powers.</t>
        </is>
      </c>
      <c r="M783" s="11" t="inlineStr">
        <is>
          <t>• [Must] An authorised officer must announce they are authorised to enter the premises</t>
        </is>
      </c>
      <c r="N783" s="11" t="inlineStr">
        <is>
          <t>• [Must] An authorised officer must give any person at the premises an opportunity to allow entry</t>
        </is>
      </c>
      <c r="O783" s="11" t="inlineStr">
        <is>
          <t>279 (a) announce that he or she is authorised to enter the premises; and (b) give any person at the premises an opportunity to allow entry to the premises.</t>
        </is>
      </c>
      <c r="P783" s="12" t="n">
        <v>13</v>
      </c>
    </row>
    <row r="784">
      <c r="A784" t="inlineStr">
        <is>
          <t>Australia</t>
        </is>
      </c>
      <c r="B784" t="inlineStr">
        <is>
          <t>C2026C00220 (Australia - Row 2)</t>
        </is>
      </c>
      <c r="C784" t="inlineStr">
        <is>
          <t>281</t>
        </is>
      </c>
      <c r="D784" s="11" t="inlineStr">
        <is>
          <t>Compensation for electronic equipment damage</t>
        </is>
      </c>
      <c r="E784" t="inlineStr">
        <is>
          <t>299–300</t>
        </is>
      </c>
      <c r="F784" t="inlineStr">
        <is>
          <t>High</t>
        </is>
      </c>
      <c r="G784" t="inlineStr">
        <is>
          <t>High (explicit)</t>
        </is>
      </c>
      <c r="H784" s="11" t="inlineStr">
        <is>
          <t>Financial Data</t>
        </is>
      </c>
      <c r="I784" s="11" t="inlineStr">
        <is>
          <t>Financial Data</t>
        </is>
      </c>
      <c r="J784" t="inlineStr">
        <is>
          <t>Commonwealth</t>
        </is>
      </c>
      <c r="K784" s="11" t="inlineStr">
        <is>
          <t>This section establishes that the Commonwealth must compensate the owner or user of electronic equipment for damage or corruption caused by improper operation. Compensation is determined through mutual agreement between the Commonwealth and the affected party, with a court proceeding available if agreement fails. The amount considers whether the occupier provided appropriate warnings or guidance on equipment operation.</t>
        </is>
      </c>
      <c r="L784" s="11" t="inlineStr">
        <is>
          <t>This section addresses financial liability for electronic equipment damage, relevant to data transfer impact assessments when handling digital assets across borders due to potential data corruption risks.</t>
        </is>
      </c>
      <c r="M784" s="11" t="inlineStr">
        <is>
          <t>• [Must] The Commonwealth must pay reasonable compensation for damage or corruption of electronic equipment
• [Must] Compensation is determined by mutual agreement between Commonwealth and affected party</t>
        </is>
      </c>
      <c r="N784" s="11" t="inlineStr">
        <is>
          <t>• [May] If agreement fails, affected party may seek court determination of compensation
• [Condition] Compensation amount considers whether occupier provided appropriate warnings or guidance on equipment operation</t>
        </is>
      </c>
      <c r="O784" s="11" t="inlineStr">
        <is>
          <t>281 extension. The occupier is entitled to be heard in relation to that application. The Commonwealth must pay the owner of the equipment, or the user of the data or programs, such reasonable compensation for the damage or corruption as the Commonwealth and the owner or user agree on.</t>
        </is>
      </c>
      <c r="P784" s="12" t="n">
        <v>13</v>
      </c>
    </row>
    <row r="785">
      <c r="A785" t="inlineStr">
        <is>
          <t>Australia</t>
        </is>
      </c>
      <c r="B785" t="inlineStr">
        <is>
          <t>C2026C00220 (Australia - Row 2)</t>
        </is>
      </c>
      <c r="C785" t="inlineStr">
        <is>
          <t>282</t>
        </is>
      </c>
      <c r="D785" s="11" t="inlineStr">
        <is>
          <t>Compensation funding mechanism</t>
        </is>
      </c>
      <c r="E785" t="inlineStr">
        <is>
          <t>300–301</t>
        </is>
      </c>
      <c r="F785" t="inlineStr">
        <is>
          <t>High</t>
        </is>
      </c>
      <c r="G785" t="inlineStr">
        <is>
          <t>High (explicit)</t>
        </is>
      </c>
      <c r="H785" s="11" t="inlineStr">
        <is>
          <t>Financial Data</t>
        </is>
      </c>
      <c r="I785" s="11" t="inlineStr">
        <is>
          <t>Financial Data</t>
        </is>
      </c>
      <c r="J785" t="inlineStr"/>
      <c r="K785" s="11" t="inlineStr">
        <is>
          <t>This section specifies that compensation for electronic equipment damage must be paid from funds appropriated by Parliament. It establishes the financial mechanism for compensating victims of equipment damage without detailing the specific obligations or conditions for payment.</t>
        </is>
      </c>
      <c r="L785" s="11" t="inlineStr">
        <is>
          <t>This section ensures compensation for electronic equipment damage is funded by parliamentary appropriations, relevant to data transfer impact assessments when handling digital assets across borders.</t>
        </is>
      </c>
      <c r="M785" s="11" t="inlineStr">
        <is>
          <t>• [Must] Compensation for electronic equipment damage is payable out of money appropriated by Parliament</t>
        </is>
      </c>
      <c r="N785" s="11" t="inlineStr"/>
      <c r="O785" s="11" t="inlineStr">
        <is>
          <t>282 Compensation is payable out of money appropriated by the Parliament.</t>
        </is>
      </c>
      <c r="P785" s="12" t="n">
        <v>13</v>
      </c>
    </row>
    <row r="786">
      <c r="A786" t="inlineStr">
        <is>
          <t>Australia</t>
        </is>
      </c>
      <c r="B786" t="inlineStr">
        <is>
          <t>C2026C00220 (Australia - Row 2)</t>
        </is>
      </c>
      <c r="C786" t="inlineStr">
        <is>
          <t>283</t>
        </is>
      </c>
      <c r="D786" s="11" t="inlineStr">
        <is>
          <t>Occupier's rights during warrant execution</t>
        </is>
      </c>
      <c r="E786" t="inlineStr">
        <is>
          <t>301–302</t>
        </is>
      </c>
      <c r="F786" t="inlineStr">
        <is>
          <t>Medium</t>
        </is>
      </c>
      <c r="G786" t="inlineStr">
        <is>
          <t>High (explicit)</t>
        </is>
      </c>
      <c r="H786" s="11" t="inlineStr">
        <is>
          <t>Security</t>
        </is>
      </c>
      <c r="I786" s="11" t="inlineStr">
        <is>
          <t>Financial Data</t>
        </is>
      </c>
      <c r="J786" t="inlineStr">
        <is>
          <t>Magistrate</t>
        </is>
      </c>
      <c r="K786" s="11" t="inlineStr">
        <is>
          <t>This section grants the occupier the right to observe the execution of a monitoring warrant if present at the premises, but this right terminates if the occupier impedes the execution. The section also specifies that multiple areas of premises can be searched simultaneously without affecting the right to observe.</t>
        </is>
      </c>
      <c r="L786" s="11" t="inlineStr">
        <is>
          <t>This section addresses security monitoring procedures, relevant to data transfer impact assessments when warrants are used for data collection across borders.</t>
        </is>
      </c>
      <c r="M786" s="11" t="inlineStr">
        <is>
          <t>• [Must] Occupier is entitled to observe execution of monitoring warrant if present at premises
• [Must Not] Right to observe terminates if occupier impedes execution of warrant</t>
        </is>
      </c>
      <c r="N786" s="11" t="inlineStr">
        <is>
          <t>• [Condition] Multiple areas of premises can be searched simultaneously during warrant execution</t>
        </is>
      </c>
      <c r="O786" s="11" t="inlineStr">
        <is>
          <t>283 (1) If a monitoring warrant is being executed and the occupier of the warrant premises, or another person who apparently represents the occupier, is present at the premises, the person is entitled to observe the execution of the warrant.</t>
        </is>
      </c>
      <c r="P786" s="12" t="n">
        <v>13</v>
      </c>
    </row>
    <row r="787">
      <c r="A787" t="inlineStr">
        <is>
          <t>Australia</t>
        </is>
      </c>
      <c r="B787" t="inlineStr">
        <is>
          <t>C2026C00220 (Australia - Row 2)</t>
        </is>
      </c>
      <c r="C787" t="inlineStr">
        <is>
          <t>284</t>
        </is>
      </c>
      <c r="D787" s="11" t="inlineStr">
        <is>
          <t>Monitoring warrants for financial entities</t>
        </is>
      </c>
      <c r="E787" t="inlineStr">
        <is>
          <t>302–303</t>
        </is>
      </c>
      <c r="F787" t="inlineStr">
        <is>
          <t>High</t>
        </is>
      </c>
      <c r="G787" t="inlineStr">
        <is>
          <t>High (explicit)</t>
        </is>
      </c>
      <c r="H787" s="11" t="inlineStr">
        <is>
          <t>AML</t>
        </is>
      </c>
      <c r="I787" s="11" t="inlineStr">
        <is>
          <t>Financial Data</t>
        </is>
      </c>
      <c r="J787" t="inlineStr">
        <is>
          <t>Magistrate</t>
        </is>
      </c>
      <c r="K787" s="11" t="inlineStr">
        <is>
          <t>This section outlines the process for issuing monitoring warrants, requiring magistrates to be satisfied that it is reasonably necessary for authorized officers to access premises to determine compliance with anti-money laundering and counter-terrorism financing laws. The warrant must specify premises, authorized officers, entry conditions, duration, and purpose.</t>
        </is>
      </c>
      <c r="L787" s="11" t="inlineStr">
        <is>
          <t>This section governs monitoring warrants for financial entities, relevant to data transfer impact assessments when conducting cross-border data collection for compliance purposes.</t>
        </is>
      </c>
      <c r="M787" s="11" t="inlineStr">
        <is>
          <t>• [May] Authorised officer may apply to magistrate for monitoring warrant related to reporting entity business premises
• [Must] Magistrate may issue warrant if satisfied it is reasonably necessary for authorized officers to access premises for compliance purposes
• [Condition] Magistrate must receive further information from authorized officer before issuing warrant</t>
        </is>
      </c>
      <c r="N787" s="11" t="inlineStr">
        <is>
          <t>• [Must] Warrant must describe premises, authorize authorized officers and assistants, specify entry times, and set expiration date
• [Must] Warrant must state the purpose for which it is issued</t>
        </is>
      </c>
      <c r="O787" s="11" t="inlineStr">
        <is>
          <t>284 (1) An authorised officer may apply to a magistrate for a warrant under this section in relation to reporting entity business premises. (2) The magistrate may issue the warrant if the magistrate is satisfied, by information on oath or affirmation, that it is reasonably necessary that one or more authorised officers should have access to the premises for the purposes of determining whether the provisions of this Act, the regulations or the AML/CTF Rules have been, or are being, complied with.</t>
        </is>
      </c>
      <c r="P787" s="12" t="n">
        <v>13</v>
      </c>
    </row>
    <row r="788">
      <c r="A788" t="inlineStr">
        <is>
          <t>Australia</t>
        </is>
      </c>
      <c r="B788" t="inlineStr">
        <is>
          <t>C2026C00220 (Australia - Row 2)</t>
        </is>
      </c>
      <c r="C788" t="inlineStr">
        <is>
          <t>285</t>
        </is>
      </c>
      <c r="D788" s="11" t="inlineStr">
        <is>
          <t>Magistrates' personal capacity for warrant functions</t>
        </is>
      </c>
      <c r="E788" t="inlineStr">
        <is>
          <t>303–304</t>
        </is>
      </c>
      <c r="F788" t="inlineStr">
        <is>
          <t>Medium</t>
        </is>
      </c>
      <c r="G788" t="inlineStr">
        <is>
          <t>High (explicit)</t>
        </is>
      </c>
      <c r="H788" s="11" t="inlineStr">
        <is>
          <t>Governance</t>
        </is>
      </c>
      <c r="I788" s="11" t="inlineStr">
        <is>
          <t>Financial Data</t>
        </is>
      </c>
      <c r="J788" t="inlineStr">
        <is>
          <t>Magistrate</t>
        </is>
      </c>
      <c r="K788" s="11" t="inlineStr">
        <is>
          <t>This section specifies that functions conferred on magistrates by section 159 are held in a personal capacity, not as a court or court member. The magistrate is not required to accept these functions and has the same protection and immunity as if performing the function as a court member.</t>
        </is>
      </c>
      <c r="L788" s="11" t="inlineStr">
        <is>
          <t>This section addresses the legal capacity of magistrates for warrant functions, relevant to data transfer impact assessments when warrants are used for data collection across borders.</t>
        </is>
      </c>
      <c r="M788" s="11" t="inlineStr">
        <is>
          <t>• [Must] Functions conferred on magistrates by section 159 are held in personal capacity
• [Must Not] Magistrate need not accept the functions conferred</t>
        </is>
      </c>
      <c r="N788" s="11" t="inlineStr">
        <is>
          <t>• [Must] Magistrate performing warrant functions has same protection and immunity as court member</t>
        </is>
      </c>
      <c r="O788" s="11" t="inlineStr">
        <is>
          <t>285 (1) The functions conferred on a magistrate by section 159 are conferred on the magistrate: (a) in a personal capacity; and (b) not as a court or a member of a court.</t>
        </is>
      </c>
      <c r="P788" s="12" t="n">
        <v>13</v>
      </c>
    </row>
    <row r="789">
      <c r="A789" t="inlineStr">
        <is>
          <t>Australia</t>
        </is>
      </c>
      <c r="B789" t="inlineStr">
        <is>
          <t>C2026C00220 (Australia - Row 2)</t>
        </is>
      </c>
      <c r="C789" t="inlineStr">
        <is>
          <t>286</t>
        </is>
      </c>
      <c r="D789" s="11" t="inlineStr">
        <is>
          <t>External audits for financial risk management</t>
        </is>
      </c>
      <c r="E789" t="inlineStr">
        <is>
          <t>304–305</t>
        </is>
      </c>
      <c r="F789" t="inlineStr">
        <is>
          <t>High</t>
        </is>
      </c>
      <c r="G789" t="inlineStr">
        <is>
          <t>High (explicit)</t>
        </is>
      </c>
      <c r="H789" s="11" t="inlineStr">
        <is>
          <t>AML</t>
        </is>
      </c>
      <c r="I789" s="11" t="inlineStr">
        <is>
          <t>Financial Data</t>
        </is>
      </c>
      <c r="J789" t="inlineStr">
        <is>
          <t>AUSTRAC CEO</t>
        </is>
      </c>
      <c r="K789" s="11" t="inlineStr">
        <is>
          <t>This section requires reporting entities to appoint external auditors and conduct audits of their capacity to identify, assess, manage or mitigate money laundering, terrorism financing, and proliferation risks when providing services in Australia. The audit report must be provided to AUSTRAC and the reporting entity within a specified timeframe.</t>
        </is>
      </c>
      <c r="L789" s="11" t="inlineStr">
        <is>
          <t>This section mandates external audits for financial risk management, relevant to data transfer impact assessments when handling cross-border financial data for compliance purposes.</t>
        </is>
      </c>
      <c r="M789" s="11" t="inlineStr">
        <is>
          <t>• [Must] Reporting entity must appoint external auditor if AUSTRAC has reasonable grounds to suspect inadequate risk management
• [Must] External auditor must conduct audit of reporting entity's capacity to identify, assess, manage or mitigate money laundering, terrorism financing, and proliferation risks</t>
        </is>
      </c>
      <c r="N789" s="11" t="inlineStr">
        <is>
          <t>• [Must] External auditor must provide written report on audit results to reporting entity
• [Must] Reporting entity must provide AUSTRAC with copy of audit report within specified timeframe</t>
        </is>
      </c>
      <c r="O789" s="11" t="inlineStr">
        <is>
          <t>286 (1) This section applies if the AUSTRAC CEO has reasonable grounds to suspect that a reporting entity has not taken, or is not taking, appropriate action to identify, assess, manage or mitigate the risks of money laundering, financing of terrorism and proliferation providing its designated services at or through a permanent establishment of the reporting entity in Australia.</t>
        </is>
      </c>
      <c r="P789" s="12" t="n">
        <v>13</v>
      </c>
    </row>
    <row r="790">
      <c r="A790" t="inlineStr">
        <is>
          <t>Australia</t>
        </is>
      </c>
      <c r="B790" t="inlineStr">
        <is>
          <t>C2026C00220 (Australia - Row 2)</t>
        </is>
      </c>
      <c r="C790" t="inlineStr">
        <is>
          <t>287</t>
        </is>
      </c>
      <c r="D790" s="11" t="inlineStr">
        <is>
          <t>External auditor eligibility criteria</t>
        </is>
      </c>
      <c r="E790" t="inlineStr">
        <is>
          <t>305–306</t>
        </is>
      </c>
      <c r="F790" t="inlineStr">
        <is>
          <t>High</t>
        </is>
      </c>
      <c r="G790" t="inlineStr">
        <is>
          <t>High (explicit)</t>
        </is>
      </c>
      <c r="H790" s="11" t="inlineStr"/>
      <c r="I790" s="11" t="inlineStr">
        <is>
          <t>Financial Data</t>
        </is>
      </c>
      <c r="J790" t="inlineStr">
        <is>
          <t>AUSTRAC</t>
        </is>
      </c>
      <c r="K790" s="11" t="inlineStr">
        <is>
          <t>This section specifies that an individual cannot be appointed as an external auditor by a reporting entity if they are an officer, employee, or agent of the reporting entity. Additionally, if the reporting entity is part of a reporting group, the individual cannot be an officer, employee, or agent of another group member. The section does not impose any obligations on the reporting entity regarding auditor qualifications beyond these exclusions.</t>
        </is>
      </c>
      <c r="L790" s="11" t="inlineStr"/>
      <c r="M790" s="11" t="inlineStr">
        <is>
          <t>• [Must Not] An individual is not eligible to be appointed an external auditor by a reporting entity if they are an officer, employee or agent of the reporting entity</t>
        </is>
      </c>
      <c r="N790" s="11" t="inlineStr">
        <is>
          <t>• [Must Not] An individual is not eligible to be appointed an external auditor by a reporting entity if the reporting entity is a member of a reporting group and the individual is an officer, employee or agent of another member of the reporting group</t>
        </is>
      </c>
      <c r="O790" s="11" t="inlineStr">
        <is>
          <t>An individual is not eligible to be appointed an external auditor by a reporting entity if: (a) the individual is an officer, employee or agent of the reporting entity; or (b) both: (i) the reporting entity is a member of a reporting group; and (ii) the individual is an officer, employee or agent of another member of the reporting group.</t>
        </is>
      </c>
      <c r="P790" s="12" t="n">
        <v>13</v>
      </c>
    </row>
    <row r="791">
      <c r="A791" t="inlineStr">
        <is>
          <t>Australia</t>
        </is>
      </c>
      <c r="B791" t="inlineStr">
        <is>
          <t>C2026C00220 (Australia - Row 2)</t>
        </is>
      </c>
      <c r="C791" t="inlineStr">
        <is>
          <t>288</t>
        </is>
      </c>
      <c r="D791" s="11" t="inlineStr">
        <is>
          <t>Civil penalty for non-compliance with external audits</t>
        </is>
      </c>
      <c r="E791" t="inlineStr">
        <is>
          <t>306–307</t>
        </is>
      </c>
      <c r="F791" t="inlineStr">
        <is>
          <t>High</t>
        </is>
      </c>
      <c r="G791" t="inlineStr">
        <is>
          <t>High (explicit)</t>
        </is>
      </c>
      <c r="H791" s="11" t="inlineStr"/>
      <c r="I791" s="11" t="inlineStr">
        <is>
          <t>Financial Data</t>
        </is>
      </c>
      <c r="J791" t="inlineStr">
        <is>
          <t>AUSTRAC</t>
        </is>
      </c>
      <c r="K791" s="11" t="inlineStr">
        <is>
          <t>This section establishes that a reporting entity must comply with requirements under section 162 for external audits. It specifies that AUSTRAC CEO can require a reporting entity to appoint an external auditor, arrange for the audit, and provide a written report. The section also states that non-compliance with these requirements is a civil penalty provision.</t>
        </is>
      </c>
      <c r="L791" s="11" t="inlineStr"/>
      <c r="M791" s="11" t="inlineStr">
        <is>
          <t>• [Must] A reporting entity must comply with a requirement under section 162 for external audits
• [Must] AUSTRAC CEO may require a reporting entity to appoint an external auditor
• [Must] AUSTRAC CEO may require a reporting entity to arrange for the external auditor to carry out an external audit of the reporting entity's compliance with the Act, regulations and AML/CTF Rules</t>
        </is>
      </c>
      <c r="N791" s="11" t="inlineStr">
        <is>
          <t>• [Must] AUSTRAC CEO may require a reporting entity to arrange for the external auditor to provide a written report setting out the results of the audit
• [Must] AUSTRAC CEO may require a reporting entity to provide a copy of the audit report to AUSTRAC CEO within a specified period</t>
        </is>
      </c>
      <c r="O791" s="11" t="inlineStr">
        <is>
          <t>A reporting entity must comply with a requirement under section 162. AUSTRAC CEO may require a reporting entity to appoint an external auditor; and arrange for the external auditor to carry out an external audit of whichever of the following is specified in the notice: (i) the reporting entity's compliance with this Act, the regulations and the AML/CTF Rules; (ii) one or more specified aspects of the reporting entity's compliance with this Act, the regulations and the AML/CTF Rules.</t>
        </is>
      </c>
      <c r="P791" s="12" t="n">
        <v>13</v>
      </c>
    </row>
    <row r="792">
      <c r="A792" t="inlineStr">
        <is>
          <t>Australia</t>
        </is>
      </c>
      <c r="B792" t="inlineStr">
        <is>
          <t>C2026C00220 (Australia - Row 2)</t>
        </is>
      </c>
      <c r="C792" t="inlineStr">
        <is>
          <t>290</t>
        </is>
      </c>
      <c r="D792" s="11" t="inlineStr">
        <is>
          <t>External auditor authority and previous audit results</t>
        </is>
      </c>
      <c r="E792" t="inlineStr">
        <is>
          <t>308–309</t>
        </is>
      </c>
      <c r="F792" t="inlineStr">
        <is>
          <t>High</t>
        </is>
      </c>
      <c r="G792" t="inlineStr">
        <is>
          <t>High (explicit)</t>
        </is>
      </c>
      <c r="H792" s="11" t="inlineStr"/>
      <c r="I792" s="11" t="inlineStr">
        <is>
          <t>Financial Data</t>
        </is>
      </c>
      <c r="J792" t="inlineStr">
        <is>
          <t>AUSTRAC</t>
        </is>
      </c>
      <c r="K792" s="11" t="inlineStr">
        <is>
          <t>This section allows AUSTRAC CEO to authorize an individual as an external auditor for the purposes of the Act. It also states that an external auditor may consider results of previous audits if the previous audit was completed within the last two years and the auditor is satisfied the previous audit remains relevant. The section does not impose obligations on reporting entities beyond these provisions.</t>
        </is>
      </c>
      <c r="L792" s="11" t="inlineStr"/>
      <c r="M792" s="11" t="inlineStr">
        <is>
          <t>• [Authorisation] AUSTRAC CEO may authorize a specified individual to be an external auditor for the purposes of this Act</t>
        </is>
      </c>
      <c r="N792" s="11" t="inlineStr">
        <is>
          <t>• [May] An external auditor may have regard to the results of previous audits if the previous audit was completed within the last two years and the auditor is satisfied the previous audit is still relevant</t>
        </is>
      </c>
      <c r="O792" s="11" t="inlineStr">
        <is>
          <t>In carrying out an external audit in accordance with a notice under section 161 or 162, an external auditor may, if: (a) an external audit was completed under that section within the last preceding 2 years; and (b) the external auditor is satisfied that the previous audit is still relevant; have regard to the results of the previous audit.</t>
        </is>
      </c>
      <c r="P792" s="12" t="n">
        <v>13</v>
      </c>
    </row>
    <row r="793">
      <c r="A793" t="inlineStr">
        <is>
          <t>Australia</t>
        </is>
      </c>
      <c r="B793" t="inlineStr">
        <is>
          <t>C2026C00220 (Australia - Row 2)</t>
        </is>
      </c>
      <c r="C793" t="inlineStr">
        <is>
          <t>291</t>
        </is>
      </c>
      <c r="D793" s="11" t="inlineStr">
        <is>
          <t>Information-gathering powers for AUSTRAC CEO</t>
        </is>
      </c>
      <c r="E793" t="inlineStr">
        <is>
          <t>309–310</t>
        </is>
      </c>
      <c r="F793" t="inlineStr">
        <is>
          <t>High</t>
        </is>
      </c>
      <c r="G793" t="inlineStr">
        <is>
          <t>High (explicit)</t>
        </is>
      </c>
      <c r="H793" s="11" t="inlineStr"/>
      <c r="I793" s="11" t="inlineStr">
        <is>
          <t>Financial Data</t>
        </is>
      </c>
      <c r="J793" t="inlineStr">
        <is>
          <t>AUSTRAC</t>
        </is>
      </c>
      <c r="K793" s="11" t="inlineStr">
        <is>
          <t>This section grants AUSTRAC CEO the power to require a person to produce documents or appear before an examiner for examination if the CEO believes on reasonable grounds that the person has information or documents relevant to compliance with the Act, regulations, or AML/CTF Rules. The examiner may record statements made during the examination and those statements are admissible in evidence.</t>
        </is>
      </c>
      <c r="L793" s="11" t="inlineStr"/>
      <c r="M793" s="11" t="inlineStr">
        <is>
          <t>• [Must] AUSTRAC CEO may require a person to produce documents within the period and manner specified in the notice
• [Must] AUSTRAC CEO may require a person to appear before an examiner for examination under this Division on oath or affirmation and to answer questions</t>
        </is>
      </c>
      <c r="N793" s="11" t="inlineStr">
        <is>
          <t>• [May] The examiner may cause a record to be made of statements made at an examination</t>
        </is>
      </c>
      <c r="O793" s="11" t="inlineStr">
        <is>
          <t>If the AUSTRAC CEO believes on reasonable grounds that a person has information or a document that is relevant to compliance with this Act, the regulations or the AML/CTF Rules, the AUSTRAC CEO may require the person: (a) to produce to the AUSTRAC CEO, within the period and in the manner specified in the notice, any such documents; or (b) to appear before an examiner for examination under this Division on oath or affirmation and to answer questions, and to produce any such documents.</t>
        </is>
      </c>
      <c r="P793" s="12" t="n">
        <v>13</v>
      </c>
    </row>
    <row r="794">
      <c r="A794" t="inlineStr">
        <is>
          <t>Australia</t>
        </is>
      </c>
      <c r="B794" t="inlineStr">
        <is>
          <t>C2026C00220 (Australia - Row 2)</t>
        </is>
      </c>
      <c r="C794" t="inlineStr">
        <is>
          <t>292</t>
        </is>
      </c>
      <c r="D794" s="11" t="inlineStr">
        <is>
          <t>Authorised officer powers to obtain information and documents</t>
        </is>
      </c>
      <c r="E794" t="inlineStr">
        <is>
          <t>310–311</t>
        </is>
      </c>
      <c r="F794" t="inlineStr">
        <is>
          <t>High</t>
        </is>
      </c>
      <c r="G794" t="inlineStr">
        <is>
          <t>High (explicit)</t>
        </is>
      </c>
      <c r="H794" s="11" t="inlineStr"/>
      <c r="I794" s="11" t="inlineStr">
        <is>
          <t>Financial Data</t>
        </is>
      </c>
      <c r="J794" t="inlineStr">
        <is>
          <t>AUSTRAC</t>
        </is>
      </c>
      <c r="K794" s="11" t="inlineStr">
        <is>
          <t>This section allows an authorised officer to require a person to provide information or documents relevant to compliance with the Act, regulations, or AML/CTF Rules. The person must comply with the notice within the specified period and manner. Failure to comply with the notice constitutes an offence.</t>
        </is>
      </c>
      <c r="L794" s="11" t="inlineStr"/>
      <c r="M794" s="11" t="inlineStr">
        <is>
          <t>• [Must] An authorised officer may require a person to provide information within the period and manner specified in the notice
• [Must] An authorised officer may require a person to produce documents within the period and manner specified in the notice</t>
        </is>
      </c>
      <c r="N794" s="11" t="inlineStr">
        <is>
          <t>• [Must] An authorised officer may require a person to make copies of documents and produce those copies within the period and manner specified in the notice
• [Must] A person must comply with a notice given under subsection (2)</t>
        </is>
      </c>
      <c r="O794" s="11" t="inlineStr">
        <is>
          <t>The authorised officer may, by written notice given to the person, (a) require the person to give to the authorised officer, within the period and in the manner specified in the notice, any such information; or (b) require the person to produce to the authorised officer, within the period and in the manner specified in the notice, any such documents; or (c) require the person to make copies of any such documents and to produce to the authorised officer, within the period and in the manner specified in the notice, those copies.</t>
        </is>
      </c>
      <c r="P794" s="12" t="n">
        <v>13</v>
      </c>
    </row>
    <row r="795">
      <c r="A795" t="inlineStr">
        <is>
          <t>Australia</t>
        </is>
      </c>
      <c r="B795" t="inlineStr">
        <is>
          <t>C2026C00220 (Australia - Row 2)</t>
        </is>
      </c>
      <c r="C795" t="inlineStr">
        <is>
          <t>293</t>
        </is>
      </c>
      <c r="D795" s="11" t="inlineStr">
        <is>
          <t>Civil penalty provisions for non-compliance with notices</t>
        </is>
      </c>
      <c r="E795" t="inlineStr">
        <is>
          <t>311–312</t>
        </is>
      </c>
      <c r="F795" t="inlineStr">
        <is>
          <t>None</t>
        </is>
      </c>
      <c r="G795" t="inlineStr">
        <is>
          <t>High (explicit)</t>
        </is>
      </c>
      <c r="H795" s="11" t="inlineStr"/>
      <c r="I795" s="11" t="inlineStr"/>
      <c r="J795" t="inlineStr"/>
      <c r="K795" s="11" t="inlineStr">
        <is>
          <t>Subsection (3A) is designated as a civil penalty provision. A notice under subsection (2) must specify the consequences of non-compliance with the requirements outlined in subsection (3). This section establishes the legal effect of notices issued under the Act, ensuring clarity on penalties for failure to adhere to specified obligations.</t>
        </is>
      </c>
      <c r="L795" s="11" t="inlineStr"/>
      <c r="M795" s="11" t="inlineStr">
        <is>
          <t>• [Definition] Subsection (3A) is a civil penalty provision</t>
        </is>
      </c>
      <c r="N795" s="11" t="inlineStr"/>
      <c r="O795" s="11" t="inlineStr">
        <is>
          <t>Subsection (3A) is a civil penalty provision.</t>
        </is>
      </c>
      <c r="P795" s="12" t="n">
        <v>13</v>
      </c>
    </row>
    <row r="796">
      <c r="A796" t="inlineStr">
        <is>
          <t>Australia</t>
        </is>
      </c>
      <c r="B796" t="inlineStr">
        <is>
          <t>C2026C00220 (Australia - Row 2)</t>
        </is>
      </c>
      <c r="C796" t="inlineStr">
        <is>
          <t>294</t>
        </is>
      </c>
      <c r="D796" s="11" t="inlineStr">
        <is>
          <t>Examination procedures for information gathering</t>
        </is>
      </c>
      <c r="E796" t="inlineStr">
        <is>
          <t>312–313</t>
        </is>
      </c>
      <c r="F796" t="inlineStr">
        <is>
          <t>None</t>
        </is>
      </c>
      <c r="G796" t="inlineStr">
        <is>
          <t>High (explicit)</t>
        </is>
      </c>
      <c r="H796" s="11" t="inlineStr"/>
      <c r="I796" s="11" t="inlineStr"/>
      <c r="J796" t="inlineStr">
        <is>
          <t>AUSTRAC</t>
        </is>
      </c>
      <c r="K796" s="11" t="inlineStr">
        <is>
          <t>This section outlines the procedures for authorized officers to inspect and copy documents produced under the Act. It specifies that authorized officers may retain documents for a reasonable period, provide certified copies to the rightful owner, and ensure access to documents for inspection and copying. The certified copies are legally valid in all courts and tribunals.</t>
        </is>
      </c>
      <c r="L796" s="11" t="inlineStr"/>
      <c r="M796" s="11" t="inlineStr">
        <is>
          <t>• [Must] An authorized officer may inspect a document produced under this Part and may make and retain copies of, or take and retain extracts from, such a document
• [Must] The person otherwise entitled to possession of the document is entitled to be supplied, as soon as practicable, with a copy certified by the authorized officer to be a true copy</t>
        </is>
      </c>
      <c r="N796" s="11" t="inlineStr">
        <is>
          <t>• [Must] The certified copy must be received in all courts and tribunals as evidence as if it were the original
• [Must] Until a certified copy is supplied, the authorized officer must provide the person otherwise entitled to possession of the document, or a person authorized by that person, reasonable access to the document for the purposes of inspecting and making copies of, or taking extracts from, the document</t>
        </is>
      </c>
      <c r="O796" s="11" t="inlineStr">
        <is>
          <t>An authorised officer may inspect a document produced under this Part and may make and retain copies of, or take and retain extracts from, such a document.</t>
        </is>
      </c>
      <c r="P796" s="12" t="n">
        <v>13</v>
      </c>
    </row>
    <row r="797">
      <c r="A797" t="inlineStr">
        <is>
          <t>Australia</t>
        </is>
      </c>
      <c r="B797" t="inlineStr">
        <is>
          <t>C2026C00220 (Australia - Row 2)</t>
        </is>
      </c>
      <c r="C797" t="inlineStr">
        <is>
          <t>295</t>
        </is>
      </c>
      <c r="D797" s="11" t="inlineStr">
        <is>
          <t>AUSTRAC CEO's authority to obtain information and documents</t>
        </is>
      </c>
      <c r="E797" t="inlineStr">
        <is>
          <t>313–314</t>
        </is>
      </c>
      <c r="F797" t="inlineStr">
        <is>
          <t>None</t>
        </is>
      </c>
      <c r="G797" t="inlineStr">
        <is>
          <t>High (explicit)</t>
        </is>
      </c>
      <c r="H797" s="11" t="inlineStr"/>
      <c r="I797" s="11" t="inlineStr"/>
      <c r="J797" t="inlineStr">
        <is>
          <t>AUSTRAC CEO</t>
        </is>
      </c>
      <c r="K797" s="11" t="inlineStr">
        <is>
          <t>The AUSTRAC CEO may issue notices requiring individuals to produce documents or appear for examination if they believe on reasonable grounds that the information is relevant to compliance with the Act, regulations, or AML/CTF Rules, or to offences under the Crimes Act 1914 or Criminal Code. Failure to comply with such notices is an offence punishable by imprisonment for up to two years or 100 penalty units.</t>
        </is>
      </c>
      <c r="L797" s="11" t="inlineStr"/>
      <c r="M797" s="11" t="inlineStr">
        <is>
          <t>• [Must] The AUSTRAC CEO may require a person to produce documents within the period and manner specified in the notice
• [Must] The AUSTRAC CEO may require a person to appear before an examiner at the time and place specified in the notice</t>
        </is>
      </c>
      <c r="N797" s="11" t="inlineStr">
        <is>
          <t>• [Must Not] A person commits an offence if they intentionally or recklessly fail to comply with a notice under subsection (2)</t>
        </is>
      </c>
      <c r="O797" s="11" t="inlineStr">
        <is>
          <t>A person commits an offence if the person intentionally or recklessly fails to comply with a notice under subsection (2).</t>
        </is>
      </c>
      <c r="P797" s="12" t="n">
        <v>13</v>
      </c>
    </row>
    <row r="798">
      <c r="A798" t="inlineStr">
        <is>
          <t>Australia</t>
        </is>
      </c>
      <c r="B798" t="inlineStr">
        <is>
          <t>C2026C00220 (Australia - Row 2)</t>
        </is>
      </c>
      <c r="C798" t="inlineStr">
        <is>
          <t>296</t>
        </is>
      </c>
      <c r="D798" s="11" t="inlineStr">
        <is>
          <t>Examination procedures for compliance with notices</t>
        </is>
      </c>
      <c r="E798" t="inlineStr">
        <is>
          <t>314–315</t>
        </is>
      </c>
      <c r="F798" t="inlineStr">
        <is>
          <t>None</t>
        </is>
      </c>
      <c r="G798" t="inlineStr">
        <is>
          <t>High (explicit)</t>
        </is>
      </c>
      <c r="H798" s="11" t="inlineStr"/>
      <c r="I798" s="11" t="inlineStr"/>
      <c r="J798" t="inlineStr">
        <is>
          <t>AUSTRAC</t>
        </is>
      </c>
      <c r="K798" s="11" t="inlineStr">
        <is>
          <t>This section details the requirements for individuals appearing before examiners, including the administration of oaths or affirmations, the relevance of questions to compliance with the Act or offences under the Crimes Act 1914, and the penalties for refusing to comply with examination requirements. Refusal to answer relevant questions is an offence punishable by up to two years imprisonment.</t>
        </is>
      </c>
      <c r="L798" s="11" t="inlineStr"/>
      <c r="M798" s="11" t="inlineStr">
        <is>
          <t>• [Must] The examiner may examine the person on oath or affirmation and may require the person to take an oath or make an affirmation
• [Must] The oath or affirmation to be taken or made by the examinee is an oath or affirmation that the statements will be true
• [Must Not] A person commits an offence of strict liability if they refuse or fail to comply with a requirement made under subsection (1)</t>
        </is>
      </c>
      <c r="N798" s="11" t="inlineStr">
        <is>
          <t>• [Must] The examiner may require the person to answer a question relevant to compliance with the Act, regulations, or AML/CTF Rules
• [Must Not] A person commits an offence if they intentionally or recklessly refuse or fail to comply with a requirement made under subsection (4)</t>
        </is>
      </c>
      <c r="O798" s="11" t="inlineStr">
        <is>
          <t>The examiner may examine the person on oath or affirmation and may, for that purpose: require the person to either take an oath or make an affirmation</t>
        </is>
      </c>
      <c r="P798" s="12" t="n">
        <v>13</v>
      </c>
    </row>
    <row r="799">
      <c r="A799" t="inlineStr">
        <is>
          <t>Australia</t>
        </is>
      </c>
      <c r="B799" t="inlineStr">
        <is>
          <t>C2026C00220 (Australia - Row 2)</t>
        </is>
      </c>
      <c r="C799" t="inlineStr">
        <is>
          <t>297</t>
        </is>
      </c>
      <c r="D799" s="11" t="inlineStr">
        <is>
          <t>Privacy during examinations</t>
        </is>
      </c>
      <c r="E799" t="inlineStr">
        <is>
          <t>315–316</t>
        </is>
      </c>
      <c r="F799" t="inlineStr">
        <is>
          <t>None</t>
        </is>
      </c>
      <c r="G799" t="inlineStr">
        <is>
          <t>High (explicit)</t>
        </is>
      </c>
      <c r="H799" s="11" t="inlineStr"/>
      <c r="I799" s="11" t="inlineStr"/>
      <c r="J799" t="inlineStr">
        <is>
          <t>AUSTRAC</t>
        </is>
      </c>
      <c r="K799" s="11" t="inlineStr">
        <is>
          <t>Examinations must take place in private, with the examiner able to specify who may be present. Unauthorized individuals present at the examination commit an offence of strict liability, punishable by 30 penalty units. This section ensures that examinations are conducted in a controlled environment to protect the integrity of the process.</t>
        </is>
      </c>
      <c r="L799" s="11" t="inlineStr"/>
      <c r="M799" s="11" t="inlineStr">
        <is>
          <t>• [Must] An examination under this Division must take place in private and the examiner may give directions about who may be present during it</t>
        </is>
      </c>
      <c r="N799" s="11" t="inlineStr">
        <is>
          <t>• [Must Not] A person commits an offence of strict liability if they are present at the examination and are not the examiner, examinee, or staff approved by the examiner</t>
        </is>
      </c>
      <c r="O799" s="11" t="inlineStr">
        <is>
          <t>An examination under this Division must take place in private and the examiner may give directions about who may be present during it</t>
        </is>
      </c>
      <c r="P799" s="12" t="n">
        <v>13</v>
      </c>
    </row>
    <row r="800">
      <c r="A800" t="inlineStr">
        <is>
          <t>Australia</t>
        </is>
      </c>
      <c r="B800" t="inlineStr">
        <is>
          <t>C2026C00220 (Australia - Row 2)</t>
        </is>
      </c>
      <c r="C800" t="inlineStr">
        <is>
          <t>298</t>
        </is>
      </c>
      <c r="D800" s="11" t="inlineStr">
        <is>
          <t>Virtual examination technology and procedures</t>
        </is>
      </c>
      <c r="E800" t="inlineStr">
        <is>
          <t>316–317</t>
        </is>
      </c>
      <c r="F800" t="inlineStr">
        <is>
          <t>None</t>
        </is>
      </c>
      <c r="G800" t="inlineStr">
        <is>
          <t>High (explicit)</t>
        </is>
      </c>
      <c r="H800" s="11" t="inlineStr"/>
      <c r="I800" s="11" t="inlineStr"/>
      <c r="J800" t="inlineStr">
        <is>
          <t>AUSTRAC</t>
        </is>
      </c>
      <c r="K800" s="11" t="inlineStr">
        <is>
          <t>This section allows for examinations to be conducted either physically, virtually, or a combination of both. The examiner must ensure that virtual examination technology is used reasonably and may appoint a single time and place for the examination if multiple venues are used. Virtual examination technology is defined as technology enabling participation without physical presence.</t>
        </is>
      </c>
      <c r="L800" s="11" t="inlineStr"/>
      <c r="M800" s="11" t="inlineStr">
        <is>
          <t>• [Must] The examiner may decide to hold an examination at one or more physical venues, using virtual examination technology, or using virtual technology only
• [Must] The examiner must ensure that the use of virtual examination technology is reasonable</t>
        </is>
      </c>
      <c r="N800" s="11" t="inlineStr">
        <is>
          <t>• [Must] If the examination is held at multiple physical venues, the examiner may appoint a single place and time for the examination</t>
        </is>
      </c>
      <c r="O800" s="11" t="inlineStr">
        <is>
          <t>The examiner may decide to hold an examination under this Division: at one or more physical venues; or at one or more physical venues and using virtual examination technology that allows a person to appear at all or part of the examination without being physically present at the examination; or using virtual examination technology only.</t>
        </is>
      </c>
      <c r="P800" s="12" t="n">
        <v>13</v>
      </c>
    </row>
    <row r="801">
      <c r="A801" t="inlineStr">
        <is>
          <t>Australia</t>
        </is>
      </c>
      <c r="B801" t="inlineStr">
        <is>
          <t>C2026C00220 (Australia - Row 2)</t>
        </is>
      </c>
      <c r="C801" t="inlineStr">
        <is>
          <t>299</t>
        </is>
      </c>
      <c r="D801" s="11" t="inlineStr">
        <is>
          <t>Record of examination: written documentation and signature requirements</t>
        </is>
      </c>
      <c r="E801" t="inlineStr">
        <is>
          <t>317–318</t>
        </is>
      </c>
      <c r="F801" t="inlineStr">
        <is>
          <t>High</t>
        </is>
      </c>
      <c r="G801" t="inlineStr">
        <is>
          <t>High (explicit)</t>
        </is>
      </c>
      <c r="H801" s="11" t="inlineStr">
        <is>
          <t>Record Keeping</t>
        </is>
      </c>
      <c r="I801" s="11" t="inlineStr">
        <is>
          <t>Personal Information</t>
        </is>
      </c>
      <c r="J801" t="inlineStr">
        <is>
          <t>AUSTRAC</t>
        </is>
      </c>
      <c r="K801" s="11" t="inlineStr">
        <is>
          <t>The examiner may create a written record of statements made during an examination if the examinee requests it. The examinee can read and sign the record, or request a copy without charge subject to conditions imposed by the examiner. Failure to sign the record constitutes an offence with a penalty of three months imprisonment.</t>
        </is>
      </c>
      <c r="L801" s="11" t="inlineStr">
        <is>
          <t>This section establishes requirements for documenting examinations and obtaining copies of records, relevant for ensuring proper documentation of data transfers involving financial institutions.</t>
        </is>
      </c>
      <c r="M801" s="11" t="inlineStr">
        <is>
          <t>• [Must] The examiner may, and must if the examinee so requests, cause a record to be made of statements made at an examination
• [Must] The examiner may require the examinee to read or have read the record and sign it</t>
        </is>
      </c>
      <c r="N801" s="11" t="inlineStr">
        <is>
          <t>• [Must] The examiner must provide a copy of the written record without charge if requested in writing by the examinee
• [Condition] The examiner may impose conditions on providing copies of written records</t>
        </is>
      </c>
      <c r="O801" s="11" t="inlineStr">
        <is>
          <t>172G (1) The examiner may, and must if the examinee so requests, cause a record to be made of statements made at an examination under this Division.</t>
        </is>
      </c>
      <c r="P801" s="12" t="n">
        <v>13</v>
      </c>
    </row>
    <row r="802">
      <c r="A802" t="inlineStr">
        <is>
          <t>Australia</t>
        </is>
      </c>
      <c r="B802" t="inlineStr">
        <is>
          <t>C2026C00220 (Australia - Row 2)</t>
        </is>
      </c>
      <c r="C802" t="inlineStr">
        <is>
          <t>300</t>
        </is>
      </c>
      <c r="D802" s="11" t="inlineStr">
        <is>
          <t>Examination records: sharing with legal representatives</t>
        </is>
      </c>
      <c r="E802" t="inlineStr">
        <is>
          <t>318–319</t>
        </is>
      </c>
      <c r="F802" t="inlineStr">
        <is>
          <t>High</t>
        </is>
      </c>
      <c r="G802" t="inlineStr">
        <is>
          <t>High (explicit)</t>
        </is>
      </c>
      <c r="H802" s="11" t="inlineStr">
        <is>
          <t>Record Keeping</t>
        </is>
      </c>
      <c r="I802" s="11" t="inlineStr">
        <is>
          <t>Personal Information</t>
        </is>
      </c>
      <c r="J802" t="inlineStr">
        <is>
          <t>AUSTRAC CEO</t>
        </is>
      </c>
      <c r="K802" s="11" t="inlineStr">
        <is>
          <t>The AUSTRAC CEO may provide a copy of examination records to a person's lawyer if the lawyer confirms the person is involved in or planning legal proceedings related to the examination. Unauthorized use or publication of the record by the recipient constitutes an offence with a penalty of 30 penalty units.</t>
        </is>
      </c>
      <c r="L802" s="11" t="inlineStr">
        <is>
          <t>This section governs when examination records can be shared with legal representatives, relevant for ensuring proper handling of sensitive financial data during investigations.</t>
        </is>
      </c>
      <c r="M802" s="11" t="inlineStr">
        <is>
          <t>• [May] The AUSTRAC CEO may give a copy of examination records to a lawyer if the lawyer confirms the person is carrying on or contemplating legal proceedings</t>
        </is>
      </c>
      <c r="N802" s="11" t="inlineStr">
        <is>
          <t>• [Must Not] The recipient of the record may not use or publish the record except in connection with legal proceedings</t>
        </is>
      </c>
      <c r="O802" s="11" t="inlineStr">
        <is>
          <t>172H (1) The AUSTRAC CEO may give a copy of the whole or a part of a written record of an examination made under subsection 172G(1) to a person's lawyer if the lawyer satisfies the AUSTRAC CEO that the person is carrying on, or is contemplating in good faith, a proceeding in respect of a matter to which the examination related.</t>
        </is>
      </c>
      <c r="P802" s="12" t="n">
        <v>13</v>
      </c>
    </row>
    <row r="803">
      <c r="A803" t="inlineStr">
        <is>
          <t>Australia</t>
        </is>
      </c>
      <c r="B803" t="inlineStr">
        <is>
          <t>C2026C00220 (Australia - Row 2)</t>
        </is>
      </c>
      <c r="C803" t="inlineStr">
        <is>
          <t>301</t>
        </is>
      </c>
      <c r="D803" s="11" t="inlineStr">
        <is>
          <t>Self-incrimination protections for examination participants</t>
        </is>
      </c>
      <c r="E803" t="inlineStr">
        <is>
          <t>319–320</t>
        </is>
      </c>
      <c r="F803" t="inlineStr">
        <is>
          <t>High</t>
        </is>
      </c>
      <c r="G803" t="inlineStr">
        <is>
          <t>High (explicit)</t>
        </is>
      </c>
      <c r="H803" s="11" t="inlineStr">
        <is>
          <t>Record Keeping</t>
        </is>
      </c>
      <c r="I803" s="11" t="inlineStr">
        <is>
          <t>Personal Information</t>
        </is>
      </c>
      <c r="J803" t="inlineStr"/>
      <c r="K803" s="11" t="inlineStr">
        <is>
          <t>Individuals cannot refuse to answer questions, produce documents, or sign records on self-incrimination grounds. If an individual claims potential self-incrimination before making a statement, the statement is not admissible in evidence against them in civil or criminal proceedings unless it relates to the falsity of the statement or the record.</t>
        </is>
      </c>
      <c r="L803" s="11" t="inlineStr">
        <is>
          <t>This section provides self-incrimination protections for individuals during examinations, relevant for ensuring data subjects' rights are respected during data collection processes.</t>
        </is>
      </c>
      <c r="M803" s="11" t="inlineStr">
        <is>
          <t>• [Must Not] Individuals cannot refuse to answer questions, produce documents, or sign records on self-incrimination grounds</t>
        </is>
      </c>
      <c r="N803" s="11" t="inlineStr">
        <is>
          <t>• [Must] If an individual claims self-incrimination before making a statement, the statement is not admissible in evidence against them in proceedings</t>
        </is>
      </c>
      <c r="O803" s="11" t="inlineStr">
        <is>
          <t>172K (1) For the purposes of this Division, it is not a reasonable excuse for an individual to refuse or fail: (a) to answer a question; or (b) to produce a document; or (c) to sign a record; in accordance with a requirement made of the individual under this Division, on the ground that answering the question, producing the document or signing the record might tend to incriminate the individual or expose the individual to a penalty.</t>
        </is>
      </c>
      <c r="P803" s="12" t="n">
        <v>13</v>
      </c>
    </row>
    <row r="804">
      <c r="A804" t="inlineStr">
        <is>
          <t>Australia</t>
        </is>
      </c>
      <c r="B804" t="inlineStr">
        <is>
          <t>C2026C00220 (Australia - Row 2)</t>
        </is>
      </c>
      <c r="C804" t="inlineStr">
        <is>
          <t>302</t>
        </is>
      </c>
      <c r="D804" s="11" t="inlineStr">
        <is>
          <t>Admissibility of examination statements in proceedings</t>
        </is>
      </c>
      <c r="E804" t="inlineStr">
        <is>
          <t>320–321</t>
        </is>
      </c>
      <c r="F804" t="inlineStr">
        <is>
          <t>High</t>
        </is>
      </c>
      <c r="G804" t="inlineStr">
        <is>
          <t>High (explicit)</t>
        </is>
      </c>
      <c r="H804" s="11" t="inlineStr">
        <is>
          <t>Record Keeping</t>
        </is>
      </c>
      <c r="I804" s="11" t="inlineStr">
        <is>
          <t>Personal Information</t>
        </is>
      </c>
      <c r="J804" t="inlineStr"/>
      <c r="K804" s="11" t="inlineStr">
        <is>
          <t>Statements made during examinations are admissible in proceedings unless they are inadmissible due to self-incrimination protections, lack of relevance, or the person objects to the statement. Signed records are prima facie evidence of the statements made, but other evidence can still be admitted.</t>
        </is>
      </c>
      <c r="L804" s="11" t="inlineStr">
        <is>
          <t>This section determines when examination statements are admissible in legal proceedings, relevant for ensuring data transfers are properly documented and legally defensible.</t>
        </is>
      </c>
      <c r="M804" s="11" t="inlineStr">
        <is>
          <t>• [Must] Statements made during examinations are admissible in proceedings unless they are inadmissible due to self-incrimination protections, lack of relevance, or the person objects</t>
        </is>
      </c>
      <c r="N804" s="11" t="inlineStr">
        <is>
          <t>• [Must] Signed records are prima facie evidence of the statements made</t>
        </is>
      </c>
      <c r="O804" s="11" t="inlineStr">
        <is>
          <t>172L (1) A statement that a person makes at an examination under this Division of the person is admissible in evidence against the person in a proceeding referred to in subsection (2) unless: (a) because of subsection 172K(3), the statement is not admissible in evidence against the person in the proceeding; or (b) the statement is not relevant to the proceeding and the person objects to the admission of evidence of the statement.</t>
        </is>
      </c>
      <c r="P804" s="12" t="n">
        <v>13</v>
      </c>
    </row>
    <row r="805">
      <c r="A805" t="inlineStr">
        <is>
          <t>Australia</t>
        </is>
      </c>
      <c r="B805" t="inlineStr">
        <is>
          <t>C2026C00220 (Australia - Row 2)</t>
        </is>
      </c>
      <c r="C805" t="inlineStr">
        <is>
          <t>303</t>
        </is>
      </c>
      <c r="D805" s="11" t="inlineStr">
        <is>
          <t>Weight of evidence from examination statements</t>
        </is>
      </c>
      <c r="E805" t="inlineStr">
        <is>
          <t>321–322</t>
        </is>
      </c>
      <c r="F805" t="inlineStr">
        <is>
          <t>High</t>
        </is>
      </c>
      <c r="G805" t="inlineStr">
        <is>
          <t>High (explicit)</t>
        </is>
      </c>
      <c r="H805" s="11" t="inlineStr">
        <is>
          <t>Record Keeping</t>
        </is>
      </c>
      <c r="I805" s="11" t="inlineStr">
        <is>
          <t>Personal Information</t>
        </is>
      </c>
      <c r="J805" t="inlineStr"/>
      <c r="K805" s="11" t="inlineStr">
        <is>
          <t>The weight of examination statements as evidence is determined by how recent the statement is, whether the person had reasons to conceal or misrepresent material matters, and other circumstances affecting the statement's accuracy. The evidence is admissible if the person is not called as a witness.</t>
        </is>
      </c>
      <c r="L805" s="11" t="inlineStr">
        <is>
          <t>This section addresses how examination statements are weighted in legal proceedings, relevant for ensuring data transfers are properly documented and legally defensible.</t>
        </is>
      </c>
      <c r="M805" s="11" t="inlineStr">
        <is>
          <t>• [Must] The weight of examination statements as evidence is determined by how recent the statement is
• [Must] The weight of examination statements as evidence is determined by whether the person had reasons to conceal or misrepresent material matters</t>
        </is>
      </c>
      <c r="N805" s="11" t="inlineStr">
        <is>
          <t>• [Must] The weight of examination statements as evidence is determined by other circumstances affecting the statement's accuracy</t>
        </is>
      </c>
      <c r="O805" s="11" t="inlineStr">
        <is>
          <t>172P (2) In deciding how much weight (if any) to give to the statement as evidence of a matter, regard is to be had to: (a) how long after the matters to which it related the statement was made; and (b) any reason the person may have had for concealing or misrepresenting a material matter; and (c) any other circumstances from which it is reasonable to draw an inference about how accurate the statement is.</t>
        </is>
      </c>
      <c r="P805" s="12" t="n">
        <v>13</v>
      </c>
    </row>
    <row r="806">
      <c r="A806" t="inlineStr">
        <is>
          <t>Australia</t>
        </is>
      </c>
      <c r="B806" t="inlineStr">
        <is>
          <t>C2026C00220 (Australia - Row 2)</t>
        </is>
      </c>
      <c r="C806" t="inlineStr">
        <is>
          <t>304</t>
        </is>
      </c>
      <c r="D806" s="11" t="inlineStr">
        <is>
          <t>Objection to admission of examination statements</t>
        </is>
      </c>
      <c r="E806" t="inlineStr">
        <is>
          <t>322–323</t>
        </is>
      </c>
      <c r="F806" t="inlineStr">
        <is>
          <t>High</t>
        </is>
      </c>
      <c r="G806" t="inlineStr">
        <is>
          <t>High (explicit)</t>
        </is>
      </c>
      <c r="H806" s="11" t="inlineStr">
        <is>
          <t>Record Keeping</t>
        </is>
      </c>
      <c r="I806" s="11" t="inlineStr">
        <is>
          <t>Personal Information</t>
        </is>
      </c>
      <c r="J806" t="inlineStr"/>
      <c r="K806" s="11" t="inlineStr">
        <is>
          <t>A party may object to the admission of examination statements in proceedings by providing written notice at least 14 days before the hearing. The objection must specify the statements to be admitted and the purpose of the objection.</t>
        </is>
      </c>
      <c r="L806" s="11" t="inlineStr">
        <is>
          <t>This section allows for objections to the admission of examination statements, relevant for ensuring data transfers are properly documented and legally defensible.</t>
        </is>
      </c>
      <c r="M806" s="11" t="inlineStr">
        <is>
          <t>• [May] A party may give written notice at least 14 days before the hearing to object to the admission of examination statements</t>
        </is>
      </c>
      <c r="N806" s="11" t="inlineStr"/>
      <c r="O806" s="11" t="inlineStr">
        <is>
          <t>172P (1) A party (the adducing party) to a proceeding referred to in subsection (2) may, not less than 14 days before the first day of the hearing of the proceeding, give to another party to the proceeding written notice that the adducing party: (a) will apply to have admitted in evidence in the proceeding specified statements made at an examination under this Division; and (b) for that purpose, will apply to have evidence of those statements admitted in the proceeding.</t>
        </is>
      </c>
      <c r="P806" s="12" t="n">
        <v>13</v>
      </c>
    </row>
    <row r="807">
      <c r="A807" t="inlineStr">
        <is>
          <t>Australia</t>
        </is>
      </c>
      <c r="B807" t="inlineStr">
        <is>
          <t>C2026C00220 (Australia - Row 2)</t>
        </is>
      </c>
      <c r="C807" t="inlineStr">
        <is>
          <t>305</t>
        </is>
      </c>
      <c r="D807" s="11" t="inlineStr">
        <is>
          <t>Objection to evidence admission in proceedings</t>
        </is>
      </c>
      <c r="E807" t="inlineStr">
        <is>
          <t>323–324</t>
        </is>
      </c>
      <c r="F807" t="inlineStr">
        <is>
          <t>Medium</t>
        </is>
      </c>
      <c r="G807" t="inlineStr">
        <is>
          <t>High (explicit)</t>
        </is>
      </c>
      <c r="H807"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807" s="11" t="inlineStr">
        <is>
          <t>Personal Information</t>
        </is>
      </c>
      <c r="J807" t="inlineStr"/>
      <c r="K807" s="11" t="inlineStr">
        <is>
          <t>This section outlines the process for parties to object to specific statements being admitted as evidence in proceedings. Within 14 days of a notice under subsection (1), a party may submit written objections detailing grounds for refusing admission. The court may determine objections before or during the hearing. Objections must be properly documented and copied to the relevant body to ensure procedural compliance.</t>
        </is>
      </c>
      <c r="L807" s="11" t="inlineStr"/>
      <c r="M807" s="11" t="inlineStr">
        <is>
          <t>• [Must] A notice under subsection (1) must set out, or be accompanied by writing that sets out, the specified statements
• [May] Within 14 days after a notice is given under subsection (1), the other party may give to the adducing party a written notice stating that the other party objects to specified statements being admitted in evidence
• [May] Within 14 days after a notice is given under subsection (1), the other party may specify, in relation to each of those statements, the grounds of objection
• [Condition] The period prescribed by subsection (4) may be extended by the court or tribunal or by agreement between the parties concerned
• [Must] On receiving a notice given under subsection (4), the adducing party must give to the court or tribunal or other body a copy of the notice under subsection (1) and any writing that subsection (3) required to accompany that notice</t>
        </is>
      </c>
      <c r="N807" s="11" t="inlineStr">
        <is>
          <t>• [Must] On receiving a notice given under subsection (4), the adducing party must give to the court or tribunal or other body a copy of the notice under subsection (4)
• [May] If subsection (6) is complied with, the court or tribunal or other body may determine the objections as a preliminary point before the hearing of the proceeding begins
• [May] If subsection (6) is complied with, the court or tribunal or other body may defer determination of the objections until the hearing
• [Condition] If a notice has been given in accordance with subsections (1) and (3), the other party is not entitled to object at the hearing of the proceeding to a statement specified in the notice being admitted in evidence unless the other party has objected to the statement being so admitted
• [Condition] If a notice has been given in accordance with subsections (1) and (3), the other party is not entitled to object at the hearing of the proceeding to a statement specified in the notice being admitted in evidence unless the court or tribunal or other body gives the other party leave to object to the statement being so admitted</t>
        </is>
      </c>
      <c r="O807" s="11" t="inlineStr">
        <is>
          <t>305 (3) A notice under subsection (1) must set out, or be accompanied by writing that sets out, the specified statements.</t>
        </is>
      </c>
      <c r="P807" s="12" t="n">
        <v>13</v>
      </c>
    </row>
    <row r="808">
      <c r="A808" t="inlineStr">
        <is>
          <t>Australia</t>
        </is>
      </c>
      <c r="B808" t="inlineStr">
        <is>
          <t>C2026C00220 (Australia - Row 2)</t>
        </is>
      </c>
      <c r="C808" t="inlineStr">
        <is>
          <t>306</t>
        </is>
      </c>
      <c r="D808" s="11" t="inlineStr">
        <is>
          <t>Admissibility of evidence in proceedings</t>
        </is>
      </c>
      <c r="E808" t="inlineStr">
        <is>
          <t>324–325</t>
        </is>
      </c>
      <c r="F808" t="inlineStr">
        <is>
          <t>Medium</t>
        </is>
      </c>
      <c r="G808" t="inlineStr">
        <is>
          <t>High (explicit)</t>
        </is>
      </c>
      <c r="H808"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808" s="11" t="inlineStr">
        <is>
          <t>Personal Information</t>
        </is>
      </c>
      <c r="J808" t="inlineStr"/>
      <c r="K808" s="11" t="inlineStr">
        <is>
          <t>This section clarifies that evidence remains admissible in proceedings if it would have been admissible without this Division. It also specifies that examinations under this Division are considered judicial proceedings for the Crimes Act 1914 and that certain Evidence Act 1995 provisions apply to these examinations.</t>
        </is>
      </c>
      <c r="L808" s="11" t="inlineStr"/>
      <c r="M808" s="11" t="inlineStr">
        <is>
          <t>• [Must] Nothing in this Division renders evidence inadmissible in a proceeding in circumstances where it would have been admissible in that proceeding if this Division had not been enacted
• [Must] For the purposes of Part III of the Crimes Act 1914, an examination under this Division is a judicial proceeding</t>
        </is>
      </c>
      <c r="N808" s="11" t="inlineStr">
        <is>
          <t>• [Must] Part 2.2, sections 69, 70, 71 and 147 and Division 2 of Part 4.6 of the Evidence Act 1995 apply to an examination under this Division in the same way that they apply to a proceeding to which that Act applies under section 4 of that Act</t>
        </is>
      </c>
      <c r="O808" s="11" t="inlineStr">
        <is>
          <t>306 (1) Nothing in this Division renders evidence inadmissible in a proceeding in circumstances where it would have been admissible in that proceeding if this Division had not been enacted.</t>
        </is>
      </c>
      <c r="P808" s="12" t="n">
        <v>13</v>
      </c>
    </row>
    <row r="809">
      <c r="A809" t="inlineStr">
        <is>
          <t>Australia</t>
        </is>
      </c>
      <c r="B809" t="inlineStr">
        <is>
          <t>C2026C00220 (Australia - Row 2)</t>
        </is>
      </c>
      <c r="C809" t="inlineStr">
        <is>
          <t>307</t>
        </is>
      </c>
      <c r="D809" s="11" t="inlineStr">
        <is>
          <t>Enforcement mechanisms for compliance</t>
        </is>
      </c>
      <c r="E809" t="inlineStr">
        <is>
          <t>325–326</t>
        </is>
      </c>
      <c r="F809" t="inlineStr">
        <is>
          <t>High</t>
        </is>
      </c>
      <c r="G809" t="inlineStr">
        <is>
          <t>High (explicit)</t>
        </is>
      </c>
      <c r="H809"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809" s="11" t="inlineStr">
        <is>
          <t>Financial Data</t>
        </is>
      </c>
      <c r="J809" t="inlineStr">
        <is>
          <t>AUSTRAC</t>
        </is>
      </c>
      <c r="K809" s="11" t="inlineStr">
        <is>
          <t>This section details enforcement mechanisms including pecuniary penalties for contraventions, powers for authorized officers to issue infringement notices for unreported cross-border monetary movements, monitoring by the AUSTRAC CEO, remedial directions, injunctions, enforceable undertakings, and powers for customs and police officers to question, search and arrest in connection with cross-border monetary instruments.</t>
        </is>
      </c>
      <c r="L809" s="11" t="inlineStr"/>
      <c r="M809" s="11" t="inlineStr">
        <is>
          <t>• [Must] Pecuniary penalties are payable for contraventions of civil penalty provisions
• [May] Authorised officers, customs officers and police officers may issue infringement notices for unreported cross-border movements of monetary instruments
• [Must] The AUSTRAC CEO is to monitor compliance by reporting entities with their obligations under this Act, the regulations and the AML/CTF Rules
• [May] The AUSTRAC CEO may give a remedial direction to a reporting entity that has contravened a civil penalty provision</t>
        </is>
      </c>
      <c r="N809" s="11" t="inlineStr">
        <is>
          <t>• [May] The Federal Court may grant injunctions in relation to contraventions of civil penalty provisions
• [May] The AUSTRAC CEO may accept enforceable undertakings
• [May] Customs officers and police officers may exercise powers of questioning, search and arrest in connection with a cross-border movement of monetary instruments</t>
        </is>
      </c>
      <c r="O809" s="11" t="inlineStr">
        <is>
          <t>307 • The AUSTRAC CEO is to monitor compliance by reporting entities with their obligations under this Act, the regulations and the AML/CTF Rules.</t>
        </is>
      </c>
      <c r="P809" s="12" t="n">
        <v>13</v>
      </c>
    </row>
    <row r="810">
      <c r="A810" t="inlineStr">
        <is>
          <t>Australia</t>
        </is>
      </c>
      <c r="B810" t="inlineStr">
        <is>
          <t>C2026C00220 (Australia - Row 2)</t>
        </is>
      </c>
      <c r="C810" t="inlineStr">
        <is>
          <t>308</t>
        </is>
      </c>
      <c r="D810" s="11" t="inlineStr">
        <is>
          <t>Civil penalty provisions and contraventions</t>
        </is>
      </c>
      <c r="E810" t="inlineStr">
        <is>
          <t>326–327</t>
        </is>
      </c>
      <c r="F810" t="inlineStr">
        <is>
          <t>High</t>
        </is>
      </c>
      <c r="G810" t="inlineStr">
        <is>
          <t>High (explicit)</t>
        </is>
      </c>
      <c r="H810"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810" s="11" t="inlineStr">
        <is>
          <t>Financial Data</t>
        </is>
      </c>
      <c r="J810" t="inlineStr">
        <is>
          <t>Federal Court</t>
        </is>
      </c>
      <c r="K810" s="11" t="inlineStr">
        <is>
          <t>This section outlines the definition of ancillary contraventions of civil penalty provisions, including attempts to contravene, aiding or abetting contraventions, inducing contraventions, being knowingly concerned in contraventions, and conspiring to effect contraventions. It also details civil penalty orders, the determination of pecuniary penalties, maximum penalties for bodies corporate and individuals, and the handling of multiple contraventions.</t>
        </is>
      </c>
      <c r="L810" s="11" t="inlineStr"/>
      <c r="M810" s="11" t="inlineStr">
        <is>
          <t>• [Must Not] A person must not attempt to contravene a civil penalty provision (other than this subsection)
• [Must Not] A person must not aid, abet, counsel or procure a contravention of a civil penalty provision (other than this subsection)
• [Must Not] A person must not induce, whether by threats or promises or otherwise, a contravention of a civil penalty provision (other than this subsection)
• [Must Not] A person must not be in any way, directly or indirectly, knowingly concerned in, or party to, a contravention of a civil penalty provision (other than this subsection)
• [Must Not] A person must not conspire with others to effect a contravention of a civil penalty provision (other than this subsection)
• [May] If the Federal Court is satisfied that a person has contravened a civil penalty provision, the Federal Court may order the person to pay the Commonwealth a pecuniary penalty
• [Must] An order under subsection (1) is to be known as a civil penalty order
• [Must] In determining the pecuniary penalty, the Federal Court must have regard to all relevant matters, including the nature and extent of the contravention
• [Must] In determining the pecuniary penalty, the Federal Court must have regard to all relevant matters, including the nature and extent of any loss or damage suffered as a result of the contravention</t>
        </is>
      </c>
      <c r="N810" s="11" t="inlineStr">
        <is>
          <t>• [Must] In determining the pecuniary penalty, the Federal Court must have regard to all relevant matters, including the circumstances in which the contravention took place
• [Must] In determining the pecuniary penalty, the Federal Court must have regard to all relevant matters, including whether the person has previously been found by the Federal Court in proceedings under this Act to have engaged in any similar conduct
• [May] In determining the pecuniary penalty, the Federal Court may have regard to whether the person has previously been found by a court in proceedings under a law of a State or Territory to have engaged in any similar conduct
• [May] In determining the pecuniary penalty, the Federal Court may have regard to whether the person has previously been found by a court in a foreign country to have engaged in any similar conduct
• [May] In determining the pecuniary penalty, the Federal Court may have regard to whether the person has previously been found by a court in proceedings under the repealed Financial Transaction Reports Act 1988 to have engaged in any similar conduct
• [Must Not] The pecuniary penalty payable by a body corporate must not exceed 100,000 penalty units
• [Must Not] The pecuniary penalty payable by a person other than a body corporate must not exceed 20,000 penalty units
• [May] If conduct constitutes a contravention of 2 or more civil penalty provisions, proceedings may be instituted under this section against a person in relation to the contravention of any one or more of those provisions
• [Must] The person is not liable to more than one pecuniary penalty under this section in respect of the same conduct</t>
        </is>
      </c>
      <c r="O810" s="11" t="inlineStr">
        <is>
          <t>308 (1) A person must not: attempt to contravene a civil penalty provision (other than this subsection);</t>
        </is>
      </c>
      <c r="P810" s="12" t="n">
        <v>13</v>
      </c>
    </row>
    <row r="811">
      <c r="A811" t="inlineStr">
        <is>
          <t>Australia</t>
        </is>
      </c>
      <c r="B811" t="inlineStr">
        <is>
          <t>C2026C00220 (Australia - Row 2)</t>
        </is>
      </c>
      <c r="C811" t="inlineStr">
        <is>
          <t>310</t>
        </is>
      </c>
      <c r="D811" s="11" t="inlineStr">
        <is>
          <t>Civil penalty enforcement procedures</t>
        </is>
      </c>
      <c r="E811" t="inlineStr">
        <is>
          <t>328–329</t>
        </is>
      </c>
      <c r="F811" t="inlineStr">
        <is>
          <t>High</t>
        </is>
      </c>
      <c r="G811" t="inlineStr">
        <is>
          <t>High (explicit)</t>
        </is>
      </c>
      <c r="H811"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811" s="11" t="inlineStr">
        <is>
          <t>Financial Data</t>
        </is>
      </c>
      <c r="J811" t="inlineStr">
        <is>
          <t>Federal Court</t>
        </is>
      </c>
      <c r="K811" s="11" t="inlineStr">
        <is>
          <t>This section details procedures for civil penalty orders, including who may apply for orders, the possibility of hearing multiple proceedings together, time limits for applications (6 years after contravention), application of civil evidence and procedure rules, and the prohibition of civil penalty orders if criminal proceedings have been initiated for substantially similar conduct.</t>
        </is>
      </c>
      <c r="L811" s="11" t="inlineStr"/>
      <c r="M811" s="11" t="inlineStr">
        <is>
          <t>• [Must] Only the AUSTRAC CEO may apply for a civil penalty order
• [Condition] Subsection (1) does not exclude the operation of the Director of Public Prosecutions Act 1983
• [May] The Federal Court may direct that 2 or more proceedings for civil penalty orders are to be heard together</t>
        </is>
      </c>
      <c r="N811" s="11" t="inlineStr">
        <is>
          <t>• [Condition] Proceedings for a civil penalty order may be started no later than 6 years after the contravention
• [Must] The Federal Court must apply the rules of evidence and procedure for civil matters when hearing proceedings for a civil penalty order
• [Must Not] The Federal Court must not make a civil penalty order against a person for a contravention if the person has been convicted of an offence constituted by conduct that is substantially the same as the conduct constituting the contravention</t>
        </is>
      </c>
      <c r="O811" s="11" t="inlineStr">
        <is>
          <t>310 (1) Only the AUSTRAC CEO may apply for a civil penalty order.</t>
        </is>
      </c>
      <c r="P811" s="12" t="n">
        <v>13</v>
      </c>
    </row>
    <row r="812">
      <c r="A812" t="inlineStr">
        <is>
          <t>Australia</t>
        </is>
      </c>
      <c r="B812" t="inlineStr">
        <is>
          <t>C2026C00220 (Australia - Row 2)</t>
        </is>
      </c>
      <c r="C812" t="inlineStr">
        <is>
          <t>311</t>
        </is>
      </c>
      <c r="D812" s="11" t="inlineStr">
        <is>
          <t>Conduct equivalence in civil and criminal proceedings</t>
        </is>
      </c>
      <c r="E812" t="inlineStr">
        <is>
          <t>329–330</t>
        </is>
      </c>
      <c r="F812" t="inlineStr">
        <is>
          <t>None</t>
        </is>
      </c>
      <c r="G812" t="inlineStr">
        <is>
          <t>High (explicit)</t>
        </is>
      </c>
      <c r="H812" s="11" t="inlineStr"/>
      <c r="I812" s="11" t="inlineStr"/>
      <c r="J812" t="inlineStr"/>
      <c r="K812" s="11" t="inlineStr">
        <is>
          <t>This section establishes that criminal proceedings can be initiated for conduct substantially identical to a civil penalty contravention, regardless of prior civil penalty orders. It specifies that proceedings for an order may be resumed if the person is not convicted of the offence, otherwise they are dismissed. The evidence given in civil proceedings is not admissible in criminal proceedings if the conduct is substantially the same and the evidence was previously provided in civil proceedings.</t>
        </is>
      </c>
      <c r="L812" s="11" t="inlineStr"/>
      <c r="M812" s="11" t="inlineStr">
        <is>
          <t>• [Must] Criminal proceedings may be started against a person for conduct substantially the same as conduct constituting a civil penalty contravention regardless of civil penalty orders.
• [Condition] Proceedings for an order may be resumed if the person is not convicted of the offence; otherwise, proceedings are dismissed.</t>
        </is>
      </c>
      <c r="N812" s="11" t="inlineStr">
        <is>
          <t>• [Must Not] Evidence given in proceedings for a civil penalty order is not admissible in criminal proceedings if the conduct is substantially the same.</t>
        </is>
      </c>
      <c r="O812" s="11" t="inlineStr">
        <is>
          <t>Criminal proceedings may be started against a person for conduct that is substantially the same as conduct constituting a contravention of a civil penalty provision regardless of whether a civil penalty order has been made against the person.</t>
        </is>
      </c>
      <c r="P812" s="12" t="n">
        <v>13</v>
      </c>
    </row>
    <row r="813">
      <c r="A813" t="inlineStr">
        <is>
          <t>Australia</t>
        </is>
      </c>
      <c r="B813" t="inlineStr">
        <is>
          <t>C2026C00220 (Australia - Row 2)</t>
        </is>
      </c>
      <c r="C813" t="inlineStr">
        <is>
          <t>312</t>
        </is>
      </c>
      <c r="D813" s="11" t="inlineStr">
        <is>
          <t>Infringement notices for certain contraventions</t>
        </is>
      </c>
      <c r="E813" t="inlineStr">
        <is>
          <t>330–331</t>
        </is>
      </c>
      <c r="F813" t="inlineStr">
        <is>
          <t>Low</t>
        </is>
      </c>
      <c r="G813" t="inlineStr">
        <is>
          <t>High (explicit)</t>
        </is>
      </c>
      <c r="H813" s="11" t="inlineStr"/>
      <c r="I813" s="11" t="inlineStr"/>
      <c r="J813" t="inlineStr">
        <is>
          <t>AUSTRAC</t>
        </is>
      </c>
      <c r="K813" s="11" t="inlineStr">
        <is>
          <t>This section outlines when and how infringement notices can be issued for specific contraventions. It specifies that an authorised officer may issue an infringement notice if they have reasonable grounds to believe a person has contravened an infringement notice provision. The notice must be issued within 12 months of the alleged contravention and must include specific details such as the person's name, the officer's name, and brief contravention details. The notice must also state that payment of the penalty within 28 days prevents criminal or civil proceedings.</t>
        </is>
      </c>
      <c r="L813" s="11" t="inlineStr"/>
      <c r="M813" s="11" t="inlineStr">
        <is>
          <t>• [May] An authorised officer may issue an infringement notice if they have reasonable grounds to believe a person has contravened an infringement notice provision.
• [Condition] Infringement notices must be issued within 12 months after the alleged contravention.</t>
        </is>
      </c>
      <c r="N813" s="11" t="inlineStr">
        <is>
          <t>• [Must] Customs or police officers must forward a copy of the infringement notice to AUSTRAC CEO within 5 business days.
• [Must] Infringement notices must include the name of the person to whom the notice is given, the name of the person who gave the notice, brief details of the alleged contravention, and a statement that payment of the penalty within 28 days prevents criminal or civil proceedings.</t>
        </is>
      </c>
      <c r="O813" s="11" t="inlineStr">
        <is>
          <t>If an authorised officer, a customs officer or a police officer has reasonable grounds to believe that a person has contravened an infringement notice provision, the officer may give the person an infringement notice relating to the contravention.</t>
        </is>
      </c>
      <c r="P813" s="12" t="n">
        <v>13</v>
      </c>
    </row>
    <row r="814">
      <c r="A814" t="inlineStr">
        <is>
          <t>Australia</t>
        </is>
      </c>
      <c r="B814" t="inlineStr">
        <is>
          <t>C2026C00220 (Australia - Row 2)</t>
        </is>
      </c>
      <c r="C814" t="inlineStr">
        <is>
          <t>313</t>
        </is>
      </c>
      <c r="D814" s="11" t="inlineStr">
        <is>
          <t>Infringement notice content and conditions</t>
        </is>
      </c>
      <c r="E814" t="inlineStr">
        <is>
          <t>331–332</t>
        </is>
      </c>
      <c r="F814" t="inlineStr">
        <is>
          <t>Low</t>
        </is>
      </c>
      <c r="G814" t="inlineStr">
        <is>
          <t>High (explicit)</t>
        </is>
      </c>
      <c r="H814" s="11" t="inlineStr"/>
      <c r="I814" s="11" t="inlineStr"/>
      <c r="J814" t="inlineStr">
        <is>
          <t>AUSTRAC</t>
        </is>
      </c>
      <c r="K814" s="11" t="inlineStr">
        <is>
          <t>This section details the specific content requirements for infringement notices, including the need to specify the person's name, the officer's name, brief contravention details, and a statement that payment of the penalty within 28 days prevents criminal or civil proceedings. It also specifies that the notice must be issued within 12 months of the alleged contravention and that customs or police officers must forward a copy to AUSTRAC CEO within 5 business days.</t>
        </is>
      </c>
      <c r="L814" s="11" t="inlineStr"/>
      <c r="M814" s="11" t="inlineStr">
        <is>
          <t>• [Must] Infringement notices must set out the name of the person to whom the notice is given.
• [Must] Infringement notices must set out the name of the person who gave the notice.
• [Must] Infringement notices must set out brief details relating to the alleged contravention, including the date of the alleged contravention.</t>
        </is>
      </c>
      <c r="N814" s="11" t="inlineStr">
        <is>
          <t>• [Must] Infringement notices must contain a statement that payment of the penalty within 28 days prevents criminal or civil proceedings.
• [Must] Infringement notices must specify how payment of the penalty is to be made.</t>
        </is>
      </c>
      <c r="O814" s="11" t="inlineStr">
        <is>
          <t>An infringement notice must: set out the name of the person to whom the notice is given; set out the name of the person who gave the notice; set out brief details relating to the alleged contravention of the infringement notice provision, including the date of the alleged contravention;</t>
        </is>
      </c>
      <c r="P814" s="12" t="n">
        <v>13</v>
      </c>
    </row>
    <row r="815">
      <c r="A815" t="inlineStr">
        <is>
          <t>Australia</t>
        </is>
      </c>
      <c r="B815" t="inlineStr">
        <is>
          <t>C2026C00220 (Australia - Row 2)</t>
        </is>
      </c>
      <c r="C815" t="inlineStr">
        <is>
          <t>314</t>
        </is>
      </c>
      <c r="D815" s="11" t="inlineStr">
        <is>
          <t>Infringement notice penalty amounts</t>
        </is>
      </c>
      <c r="E815" t="inlineStr">
        <is>
          <t>332–333</t>
        </is>
      </c>
      <c r="F815" t="inlineStr">
        <is>
          <t>None</t>
        </is>
      </c>
      <c r="G815" t="inlineStr">
        <is>
          <t>High (explicit)</t>
        </is>
      </c>
      <c r="H815" s="11" t="inlineStr"/>
      <c r="I815" s="11" t="inlineStr"/>
      <c r="J815" t="inlineStr">
        <is>
          <t>AUSTRAC</t>
        </is>
      </c>
      <c r="K815" s="11" t="inlineStr">
        <is>
          <t>This section specifies the penalty amounts for infringement notices based on the type of contravention and whether the entity is a body corporate or a person. For body corporates, the penalty is 60 penalty units unless specified in the AML/CTF Rules, where it can be up to 120 units. For individuals, the penalty is 12 penalty units unless specified in the AML/CTF Rules, where it can be up to 24 units. The AML/CTF Rules may specify penalty units for specific contraventions.</t>
        </is>
      </c>
      <c r="L815" s="11" t="inlineStr"/>
      <c r="M815" s="11" t="inlineStr">
        <is>
          <t>• [Must] Penalty for body corporates is 60 penalty units unless specified in AML/CTF Rules (up to 120 units).
• [Must] Penalty for individuals is 12 penalty units unless specified in AML/CTF Rules (up to 24 units).</t>
        </is>
      </c>
      <c r="N815" s="11" t="inlineStr">
        <is>
          <t>• [May] AML/CTF Rules may specify penalty units for specific contraventions.</t>
        </is>
      </c>
      <c r="O815" s="11" t="inlineStr">
        <is>
          <t>The penalty to be specified in an infringement notice for an alleged contravention of subsection 51B(1), 51F(1), 53(2), 74(1), (1A), (1B) or (1C), 75M(1), 76A(1) or (2) or 76P(1) by a body corporate must be a pecuniary penalty equal to: 60 penalty units.</t>
        </is>
      </c>
      <c r="P815" s="12" t="n">
        <v>13</v>
      </c>
    </row>
    <row r="816">
      <c r="A816" t="inlineStr">
        <is>
          <t>Australia</t>
        </is>
      </c>
      <c r="B816" t="inlineStr">
        <is>
          <t>C2026C00220 (Australia - Row 2)</t>
        </is>
      </c>
      <c r="C816" t="inlineStr">
        <is>
          <t>317</t>
        </is>
      </c>
      <c r="D816" s="11" t="inlineStr">
        <is>
          <t>Penalty amounts for infringement notices</t>
        </is>
      </c>
      <c r="E816" t="inlineStr">
        <is>
          <t>335–336</t>
        </is>
      </c>
      <c r="F816" t="inlineStr">
        <is>
          <t>High</t>
        </is>
      </c>
      <c r="G816" t="inlineStr">
        <is>
          <t>High (explicit)</t>
        </is>
      </c>
      <c r="H816" s="11" t="inlineStr">
        <is>
          <t>Financial Data, AML</t>
        </is>
      </c>
      <c r="I816" s="11" t="inlineStr">
        <is>
          <t>Financial Data</t>
        </is>
      </c>
      <c r="J816" t="inlineStr">
        <is>
          <t>Commonwealth</t>
        </is>
      </c>
      <c r="K816" s="11" t="inlineStr">
        <is>
          <t>This section specifies pecuniary penalties for infringement notices. A body corporate faces a penalty of 60 penalty units for contraventions of designated infringement notice provisions, while individuals face 12 penalty units. The penalties are fixed amounts without additional conditions.</t>
        </is>
      </c>
      <c r="L816" s="11" t="inlineStr"/>
      <c r="M816" s="11" t="inlineStr">
        <is>
          <t>• [Must] The penalty for a body corporate contravention must be 60 penalty units</t>
        </is>
      </c>
      <c r="N816" s="11" t="inlineStr">
        <is>
          <t>• [Must] The penalty for an individual contravention must be 12 penalty units</t>
        </is>
      </c>
      <c r="O816" s="11" t="inlineStr">
        <is>
          <t>The penalty to be specified in an infringement notice for an alleged contravention of a designated infringement notice provision by a body corporate must be a pecuniary penalty equal to 60 penalty units.</t>
        </is>
      </c>
      <c r="P816" s="12" t="n">
        <v>13</v>
      </c>
    </row>
    <row r="817">
      <c r="A817" t="inlineStr">
        <is>
          <t>Australia</t>
        </is>
      </c>
      <c r="B817" t="inlineStr">
        <is>
          <t>C2026C00220 (Australia - Row 2)</t>
        </is>
      </c>
      <c r="C817" t="inlineStr">
        <is>
          <t>318</t>
        </is>
      </c>
      <c r="D817" s="11" t="inlineStr">
        <is>
          <t>Effect of infringement notices on liability</t>
        </is>
      </c>
      <c r="E817" t="inlineStr">
        <is>
          <t>336–337</t>
        </is>
      </c>
      <c r="F817" t="inlineStr">
        <is>
          <t>High</t>
        </is>
      </c>
      <c r="G817" t="inlineStr">
        <is>
          <t>High (explicit)</t>
        </is>
      </c>
      <c r="H817" s="11" t="inlineStr">
        <is>
          <t>Financial Data, AML</t>
        </is>
      </c>
      <c r="I817" s="11" t="inlineStr">
        <is>
          <t>Financial Data</t>
        </is>
      </c>
      <c r="J817" t="inlineStr">
        <is>
          <t>Commonwealth</t>
        </is>
      </c>
      <c r="K817" s="11" t="inlineStr">
        <is>
          <t>This section outlines the consequences of withdrawing an infringement notice. If an infringement notice is withdrawn after the penalty is paid, the Commonwealth must refund the penalty. It also states that liability for alleged contraventions is discharged and criminal proceedings cannot be brought against the person if the infringement notice is withdrawn.</t>
        </is>
      </c>
      <c r="L817" s="11" t="inlineStr"/>
      <c r="M817" s="11" t="inlineStr">
        <is>
          <t>• [Must] If the penalty is paid and the infringement notice is withdrawn after payment, the Commonwealth must refund the penalty
• [Must] Liability for alleged contraventions is discharged if the infringement notice is withdrawn</t>
        </is>
      </c>
      <c r="N817" s="11" t="inlineStr">
        <is>
          <t>• [Must] Criminal proceedings may not be brought against the person for the alleged contravention if the infringement notice is withdrawn</t>
        </is>
      </c>
      <c r="O817" s="11" t="inlineStr">
        <is>
          <t>If: (a) the penalty specified in the infringement notice is paid; and (b) the infringement notice is withdrawn after the penalty is paid; the Commonwealth is liable to refund the penalty.</t>
        </is>
      </c>
      <c r="P817" s="12" t="n">
        <v>13</v>
      </c>
    </row>
    <row r="818">
      <c r="A818" t="inlineStr">
        <is>
          <t>Australia</t>
        </is>
      </c>
      <c r="B818" t="inlineStr">
        <is>
          <t>C2026C00220 (Australia - Row 2)</t>
        </is>
      </c>
      <c r="C818" t="inlineStr">
        <is>
          <t>319</t>
        </is>
      </c>
      <c r="D818" s="11" t="inlineStr">
        <is>
          <t>AUSTRAC monitoring of compliance</t>
        </is>
      </c>
      <c r="E818" t="inlineStr">
        <is>
          <t>337–338</t>
        </is>
      </c>
      <c r="F818" t="inlineStr">
        <is>
          <t>High</t>
        </is>
      </c>
      <c r="G818" t="inlineStr">
        <is>
          <t>High (explicit)</t>
        </is>
      </c>
      <c r="H818" s="11" t="inlineStr">
        <is>
          <t>Financial Data, AML</t>
        </is>
      </c>
      <c r="I818" s="11" t="inlineStr">
        <is>
          <t>Financial Data</t>
        </is>
      </c>
      <c r="J818" t="inlineStr">
        <is>
          <t>AUSTRAC</t>
        </is>
      </c>
      <c r="K818" s="11" t="inlineStr">
        <is>
          <t>This section requires the AUSTRAC CEO to monitor and report compliance by reporting entities with their obligations under the Act, regulations, and AML/CTF Rules. The CEO may share breach reports with the Minister if the breach is relevant to government functions. Actions taken under this section do not constitute legal liability.</t>
        </is>
      </c>
      <c r="L818" s="11" t="inlineStr"/>
      <c r="M818" s="11" t="inlineStr">
        <is>
          <t>• [Must] The AUSTRAC CEO must monitor compliance by reporting entities with their obligations under the Act, regulations, and AML/CTF Rules
• [Must] The AUSTRAC CEO may share breach reports with the Minister if the breach is relevant to government functions</t>
        </is>
      </c>
      <c r="N818" s="11" t="inlineStr">
        <is>
          <t>• [Must] Actions taken under this section do not constitute legal liability</t>
        </is>
      </c>
      <c r="O818" s="11" t="inlineStr">
        <is>
          <t>The AUSTRAC CEO is to monitor, and report to the Minister on, compliance by reporting entities with their obligations under this Act, the regulations and the AML/CTF Rules.</t>
        </is>
      </c>
      <c r="P818" s="12" t="n">
        <v>13</v>
      </c>
    </row>
    <row r="819">
      <c r="A819" t="inlineStr">
        <is>
          <t>Australia</t>
        </is>
      </c>
      <c r="B819" t="inlineStr">
        <is>
          <t>C2026C00220 (Australia - Row 2)</t>
        </is>
      </c>
      <c r="C819" t="inlineStr">
        <is>
          <t>320</t>
        </is>
      </c>
      <c r="D819" s="11" t="inlineStr">
        <is>
          <t>Remedial directions for compliance</t>
        </is>
      </c>
      <c r="E819" t="inlineStr">
        <is>
          <t>338–339</t>
        </is>
      </c>
      <c r="F819" t="inlineStr">
        <is>
          <t>High</t>
        </is>
      </c>
      <c r="G819" t="inlineStr">
        <is>
          <t>High (explicit)</t>
        </is>
      </c>
      <c r="H819" s="11" t="inlineStr">
        <is>
          <t>Financial Data, AML</t>
        </is>
      </c>
      <c r="I819" s="11" t="inlineStr">
        <is>
          <t>Financial Data</t>
        </is>
      </c>
      <c r="J819" t="inlineStr">
        <is>
          <t>AUSTRAC</t>
        </is>
      </c>
      <c r="K819" s="11" t="inlineStr">
        <is>
          <t>This section allows the AUSTRAC CEO to issue written directions to reporting entities that have contravened civil penalty provisions. Directions may require corrective actions to prevent future contraventions or remedy specific contraventions by submitting reports within specified timeframes. The CEO must assess risks and ensure proportionality before issuing directions.</t>
        </is>
      </c>
      <c r="L819" s="11" t="inlineStr"/>
      <c r="M819" s="11" t="inlineStr">
        <is>
          <t>• [May] The AUSTRAC CEO may issue written directions requiring reporting entities to take specified actions to prevent future contraventions
• [May] The AUSTRAC CEO may issue written directions requiring reporting entities to remedy contraventions by submitting reports within specified timeframes</t>
        </is>
      </c>
      <c r="N819" s="11" t="inlineStr">
        <is>
          <t>• [Must] The AUSTRAC CEO must assess risks arising from contraventions before issuing directions
• [Must] The AUSTRAC CEO must determine that giving a direction is proportionate to the circumstances</t>
        </is>
      </c>
      <c r="O819" s="11" t="inlineStr">
        <is>
          <t>The AUSTRAC CEO may give the reporting entity a written direction requiring the reporting entity to do one or both of the following: (a) to take specified action directed towards ensuring that the reporting entity does not contravene the civil penalty provision, or is unlikely to contravene the civil penalty provision, in the future; (b) in the case of a contravention of subsection 43(2), 46(2) or (5), 46A(2) or 47(2)—to take specified action to remedy the contravention by giving the relevant report to the AUSTRAC CEO within a period specified in the direction.</t>
        </is>
      </c>
      <c r="P819" s="12" t="n">
        <v>13</v>
      </c>
    </row>
    <row r="820">
      <c r="A820" t="inlineStr">
        <is>
          <t>Australia</t>
        </is>
      </c>
      <c r="B820" t="inlineStr">
        <is>
          <t>C2026C00220 (Australia - Row 2)</t>
        </is>
      </c>
      <c r="C820" t="inlineStr">
        <is>
          <t>321</t>
        </is>
      </c>
      <c r="D820" s="11" t="inlineStr">
        <is>
          <t>Conditions for remedial directions</t>
        </is>
      </c>
      <c r="E820" t="inlineStr">
        <is>
          <t>339–340</t>
        </is>
      </c>
      <c r="F820" t="inlineStr">
        <is>
          <t>High</t>
        </is>
      </c>
      <c r="G820" t="inlineStr">
        <is>
          <t>High (explicit)</t>
        </is>
      </c>
      <c r="H820" s="11" t="inlineStr">
        <is>
          <t>Financial Data, AML</t>
        </is>
      </c>
      <c r="I820" s="11" t="inlineStr">
        <is>
          <t>Financial Data</t>
        </is>
      </c>
      <c r="J820" t="inlineStr">
        <is>
          <t>AUSTRAC</t>
        </is>
      </c>
      <c r="K820" s="11" t="inlineStr">
        <is>
          <t>This section specifies conditions under which remedial directions can be issued. The AUSTRAC CEO must not issue directions for contraventions that occurred more than 24 months prior to the direction. The CEO must assess risks and determine that the direction is appropriate and proportionate to the circumstances before issuing it.</t>
        </is>
      </c>
      <c r="L820" s="11" t="inlineStr"/>
      <c r="M820" s="11" t="inlineStr">
        <is>
          <t>• [Must Not] The AUSTRAC CEO must not issue directions for contraventions that occurred more than 24 months before the direction
• [Must] The AUSTRAC CEO must assess risks arising from contraventions before issuing directions</t>
        </is>
      </c>
      <c r="N820" s="11" t="inlineStr">
        <is>
          <t>• [Must] The AUSTRAC CEO must determine that giving a direction is appropriate and proportionate to the circumstances</t>
        </is>
      </c>
      <c r="O820" s="11" t="inlineStr">
        <is>
          <t>The AUSTRAC CEO must not act under paragraph (2)(b) if it appears to the AUSTRAC CEO that the contravention occurred more than 24 months before the day on which a direction would be issued.</t>
        </is>
      </c>
      <c r="P820" s="12" t="n">
        <v>13</v>
      </c>
    </row>
    <row r="821">
      <c r="A821" t="inlineStr">
        <is>
          <t>Australia</t>
        </is>
      </c>
      <c r="B821" t="inlineStr">
        <is>
          <t>C2026C00220 (Australia - Row 2)</t>
        </is>
      </c>
      <c r="C821" t="inlineStr">
        <is>
          <t>322</t>
        </is>
      </c>
      <c r="D821" s="11" t="inlineStr">
        <is>
          <t>Injunctions for contraventions</t>
        </is>
      </c>
      <c r="E821" t="inlineStr">
        <is>
          <t>340–341</t>
        </is>
      </c>
      <c r="F821" t="inlineStr">
        <is>
          <t>High</t>
        </is>
      </c>
      <c r="G821" t="inlineStr">
        <is>
          <t>High (explicit)</t>
        </is>
      </c>
      <c r="H821" s="11" t="inlineStr">
        <is>
          <t>Financial Data, AML</t>
        </is>
      </c>
      <c r="I821" s="11" t="inlineStr">
        <is>
          <t>Financial Data</t>
        </is>
      </c>
      <c r="J821" t="inlineStr">
        <is>
          <t>Federal Court</t>
        </is>
      </c>
      <c r="K821" s="11" t="inlineStr">
        <is>
          <t>This section empowers the Federal Court to grant restraining or performance injunctions against persons engaging in conduct that contravenes civil penalty provisions. Injunctions may require persons to cease contraventions or perform specific acts to comply with the provisions. Interim injunctions can be granted before a full hearing.</t>
        </is>
      </c>
      <c r="L821" s="11" t="inlineStr"/>
      <c r="M821" s="11" t="inlineStr">
        <is>
          <t>• [May] The Federal Court may grant restraining injunctions against persons engaging in contraventions of civil penalty provisions
• [May] The Federal Court may grant performance injunctions requiring persons to perform acts that contravene civil penalty provisions</t>
        </is>
      </c>
      <c r="N821" s="11" t="inlineStr">
        <is>
          <t>• [May] The Federal Court may grant interim injunctions before considering an application for an injunction</t>
        </is>
      </c>
      <c r="O821" s="11" t="inlineStr">
        <is>
          <t>If a person has engaged, is engaging or is proposing to engage, in any conduct in contravention of a civil penalty provision, the Federal Court may, on the application of the AUSTRAC CEO, grant an injunction: (a) restraining the person from engaging in the conduct; and (b) if, in the Court's opinion, it is desirable to do so—requiring the person to do something.</t>
        </is>
      </c>
      <c r="P821" s="12" t="n">
        <v>13</v>
      </c>
    </row>
    <row r="822">
      <c r="A822" t="inlineStr">
        <is>
          <t>Australia</t>
        </is>
      </c>
      <c r="B822" t="inlineStr">
        <is>
          <t>C2026C00220 (Australia - Row 2)</t>
        </is>
      </c>
      <c r="C822" t="inlineStr">
        <is>
          <t>323</t>
        </is>
      </c>
      <c r="D822" s="11" t="inlineStr">
        <is>
          <t>Injunctions: Discharge and Variation Powers</t>
        </is>
      </c>
      <c r="E822" t="inlineStr">
        <is>
          <t>341–342</t>
        </is>
      </c>
      <c r="F822" t="inlineStr">
        <is>
          <t>None</t>
        </is>
      </c>
      <c r="G822" t="inlineStr">
        <is>
          <t>High (explicit)</t>
        </is>
      </c>
      <c r="H822" s="11" t="inlineStr"/>
      <c r="I822" s="11" t="inlineStr"/>
      <c r="J822" t="inlineStr"/>
      <c r="K822" s="11" t="inlineStr">
        <is>
          <t>The Federal Court may discharge or vary injunctions granted under this Division. The Court can grant restraining injunctions if the person has engaged in prohibited conduct or if there is a likelihood of future conduct causing substantial damage. Performance injunctions require the person to take specified actions if they have refused or failed to do so, or if there is a likelihood of future refusal.</t>
        </is>
      </c>
      <c r="L822" s="11" t="inlineStr"/>
      <c r="M822" s="11" t="inlineStr">
        <is>
          <t>• [Authority] The Federal Court may discharge or vary an injunction granted under this Division.
• [Condition] The Court may grant restraining injunctions if the person has engaged in conduct of that kind.
• [Condition] The Court may grant restraining injunctions if it is likely the person will engage in conduct of that kind.</t>
        </is>
      </c>
      <c r="N822" s="11" t="inlineStr">
        <is>
          <t>• [Condition] The Court may grant performance injunctions if the person has refused or failed to do the act or thing.
• [Condition] The Court may grant performance injunctions if it is likely the person will refuse or fail to do the act or thing.</t>
        </is>
      </c>
      <c r="O822" s="11" t="inlineStr">
        <is>
          <t>The Federal Court may discharge or vary an injunction granted under this Division. The power of the Federal Court under this Division to grant an injunction restraining a person from engaging in conduct of a particular kind may be exercised: (a) if the Court is satisfied that the person has engaged in conduct of that kind—whether or not it appears to the Court that the person intends to engage again, or to continue to engage, in conduct of that kind; or (b) if it appears to the Court that, if an injunction is not granted, it is likely that the person will engage in conduct of that kind—whether or not the person has previously engaged in conduct of that kind and whether or not there is an imminent danger of substantial damage to any person if the person engages in conduct of that kind.</t>
        </is>
      </c>
      <c r="P822" s="12" t="n">
        <v>13</v>
      </c>
    </row>
    <row r="823">
      <c r="A823" t="inlineStr">
        <is>
          <t>Australia</t>
        </is>
      </c>
      <c r="B823" t="inlineStr">
        <is>
          <t>C2026C00220 (Australia - Row 2)</t>
        </is>
      </c>
      <c r="C823" t="inlineStr">
        <is>
          <t>324</t>
        </is>
      </c>
      <c r="D823" s="11" t="inlineStr">
        <is>
          <t>Injunctions: Powers Unaffected by Other Laws</t>
        </is>
      </c>
      <c r="E823" t="inlineStr">
        <is>
          <t>342–343</t>
        </is>
      </c>
      <c r="F823" t="inlineStr">
        <is>
          <t>None</t>
        </is>
      </c>
      <c r="G823" t="inlineStr">
        <is>
          <t>High (explicit)</t>
        </is>
      </c>
      <c r="H823" s="11" t="inlineStr"/>
      <c r="I823" s="11" t="inlineStr"/>
      <c r="J823" t="inlineStr"/>
      <c r="K823" s="11" t="inlineStr">
        <is>
          <t>The Federal Court's powers under this Division are in addition to and not instead of any other powers it may have under this Act or other laws. This ensures that injunction-related powers are not restricted by other provisions of the legislation.</t>
        </is>
      </c>
      <c r="L823" s="11" t="inlineStr"/>
      <c r="M823" s="11" t="inlineStr">
        <is>
          <t>• [Authority] The powers conferred on the Federal Court under this Division are in addition to, and not instead of, any other powers of the Court, whether conferred by this Act or otherwise.</t>
        </is>
      </c>
      <c r="N823" s="11" t="inlineStr"/>
      <c r="O823" s="11" t="inlineStr">
        <is>
          <t>The powers conferred on the Federal Court under this Division are in addition to, and not instead of, any other powers of the Court, whether conferred by this Act or otherwise.</t>
        </is>
      </c>
      <c r="P823" s="12" t="n">
        <v>13</v>
      </c>
    </row>
    <row r="824">
      <c r="A824" t="inlineStr">
        <is>
          <t>Australia</t>
        </is>
      </c>
      <c r="B824" t="inlineStr">
        <is>
          <t>C2026C00220 (Australia - Row 2)</t>
        </is>
      </c>
      <c r="C824" t="inlineStr">
        <is>
          <t>325</t>
        </is>
      </c>
      <c r="D824" s="11" t="inlineStr">
        <is>
          <t>Enforceable Undertakings: Acceptance and Management</t>
        </is>
      </c>
      <c r="E824" t="inlineStr">
        <is>
          <t>343–344</t>
        </is>
      </c>
      <c r="F824" t="inlineStr">
        <is>
          <t>None</t>
        </is>
      </c>
      <c r="G824" t="inlineStr">
        <is>
          <t>High (explicit)</t>
        </is>
      </c>
      <c r="H824" s="11" t="inlineStr"/>
      <c r="I824" s="11" t="inlineStr"/>
      <c r="J824" t="inlineStr">
        <is>
          <t>AUSTRAC CEO</t>
        </is>
      </c>
      <c r="K824" s="11" t="inlineStr">
        <is>
          <t>The AUSTRAC CEO may accept written undertakings for compliance with the Act, regulations, or AML/CTF Rules. These undertakings can require specified actions, refraining from actions, or ensuring compliance with the law. The undertakings can be withdrawn or varied with consent, canceled by AUSTRAC, and published on their website with appropriate deletions.</t>
        </is>
      </c>
      <c r="L824" s="11" t="inlineStr"/>
      <c r="M824" s="11" t="inlineStr">
        <is>
          <t>• [Must] The AUSTRAC CEO may accept written undertakings that the person will take specified action to comply with the Act, regulations, or AML/CTF Rules.
• [Must] The AUSTRAC CEO may accept written undertakings that the person will refrain from taking specified action.
• [Must] The AUSTRAC CEO may accept written undertakings that the person will take specified action to ensure compliance with the Act, regulations, or AML/CTF Rules.
• [Must] The undertaking must be expressed to be an undertaking under this section.
• [May] The person may withdraw or vary the undertaking at any time, but only with the consent of the AUSTRAC CEO.
• [May] The AUSTRAC CEO may cancel the undertaking by written notice.</t>
        </is>
      </c>
      <c r="N824" s="11" t="inlineStr">
        <is>
          <t>• [May] The AUSTRAC CEO may publish a copy of the undertaking on AUSTRAC's website.
• [Must] The AUSTRAC CEO must delete from the copy information that is commercial in confidence.
• [Must] The AUSTRAC CEO must delete from the copy information that should not be released due to public interest.
• [Must] The AUSTRAC CEO must delete from the copy information that consists of personal details of an individual.
• [Must] If the AUSTRAC CEO publishes a copy of the undertaking on AUSTRAC's website and the copy has information deleted, it must include a note stating that information has been deleted.</t>
        </is>
      </c>
      <c r="O824" s="11" t="inlineStr">
        <is>
          <t>The AUSTRAC CEO may accept any of the following undertakings: (a) a written undertaking given by a person that the person will, in order to comply with this Act, the regulations or the AML/CTF Rules, take specified action; (b) a written undertaking given by a person that the person will, in order to comply with this Act, the regulations or the AML/CTF Rules, refrain from taking specified action; (c) a written undertaking given by a person that the person will take specified action directed towards ensuring that the person does not contravene this Act, the regulations or the AML/CTF Rules, or is unlikely to contravene this Act, the regulations or the AML/CTF Rules, in the future.</t>
        </is>
      </c>
      <c r="P824" s="12" t="n">
        <v>13</v>
      </c>
    </row>
    <row r="825">
      <c r="A825" t="inlineStr">
        <is>
          <t>Australia</t>
        </is>
      </c>
      <c r="B825" t="inlineStr">
        <is>
          <t>C2026C00220 (Australia - Row 2)</t>
        </is>
      </c>
      <c r="C825" t="inlineStr">
        <is>
          <t>326</t>
        </is>
      </c>
      <c r="D825" s="11" t="inlineStr">
        <is>
          <t>Enforceable Undertakings: Website Publication Requirements</t>
        </is>
      </c>
      <c r="E825" t="inlineStr">
        <is>
          <t>344–345</t>
        </is>
      </c>
      <c r="F825" t="inlineStr">
        <is>
          <t>None</t>
        </is>
      </c>
      <c r="G825" t="inlineStr">
        <is>
          <t>High (explicit)</t>
        </is>
      </c>
      <c r="H825" s="11" t="inlineStr"/>
      <c r="I825" s="11" t="inlineStr"/>
      <c r="J825" t="inlineStr">
        <is>
          <t>AUSTRAC CEO</t>
        </is>
      </c>
      <c r="K825" s="11" t="inlineStr">
        <is>
          <t>When the AUSTRAC CEO publishes a copy of an enforceable undertaking on their website, they must delete specific types of information and include a note indicating that information has been deleted if any deletions were made.</t>
        </is>
      </c>
      <c r="L825" s="11" t="inlineStr"/>
      <c r="M825" s="11" t="inlineStr">
        <is>
          <t>• [Must] If the AUSTRAC CEO publishes a copy of the undertaking on AUSTRAC's website and the copy has information deleted, it must include a note stating that information has been deleted.</t>
        </is>
      </c>
      <c r="N825" s="11" t="inlineStr"/>
      <c r="O825" s="11" t="inlineStr">
        <is>
          <t>If: (a) the AUSTRAC CEO publishes a copy of the undertaking on AUSTRAC's website; and (b) the copy has information deleted from it; the copy must include a note stating that information has been deleted.</t>
        </is>
      </c>
      <c r="P825" s="12" t="n">
        <v>13</v>
      </c>
    </row>
    <row r="826">
      <c r="A826" t="inlineStr">
        <is>
          <t>Australia</t>
        </is>
      </c>
      <c r="B826" t="inlineStr">
        <is>
          <t>C2026C00220 (Australia - Row 2)</t>
        </is>
      </c>
      <c r="C826" t="inlineStr">
        <is>
          <t>327</t>
        </is>
      </c>
      <c r="D826" s="11" t="inlineStr">
        <is>
          <t>Cross-border Monetary Instruments: Declaration and Seizure</t>
        </is>
      </c>
      <c r="E826" t="inlineStr">
        <is>
          <t>345–346</t>
        </is>
      </c>
      <c r="F826" t="inlineStr">
        <is>
          <t>High</t>
        </is>
      </c>
      <c r="G826" t="inlineStr">
        <is>
          <t>High (explicit)</t>
        </is>
      </c>
      <c r="H826" s="11" t="inlineStr">
        <is>
          <t>Cross-border Transfer</t>
        </is>
      </c>
      <c r="I826" s="11" t="inlineStr">
        <is>
          <t>Financial Data</t>
        </is>
      </c>
      <c r="J826" t="inlineStr">
        <is>
          <t>Police Officer or Customs Officer</t>
        </is>
      </c>
      <c r="K826" s="11" t="inlineStr">
        <is>
          <t>Persons leaving or arriving in Australia must declare monetary instruments they possess, the total value, and whether a report under section 53 has been made. Police or customs officers may seize monetary instruments and make copies of bearer negotiable instruments or items specified by the AML/CTF Rules.</t>
        </is>
      </c>
      <c r="L826" s="11" t="inlineStr">
        <is>
          <t>This section impacts cross-border transfers of monetary instruments by requiring declarations and potential seizures, which may affect data transfer assessments involving financial instruments.</t>
        </is>
      </c>
      <c r="M826" s="11" t="inlineStr">
        <is>
          <t>• [Must] A person about to leave Australia must declare whether they have monetary instruments with them.
• [Must] A person about to leave Australia must declare the sum of monetary instrument amounts.
• [Must] A person about to leave Australia must declare whether a report under section 53 has been given for monetary instruments.
• [Must] A person about to leave Australia must produce monetary instruments to the officer.
• [Must] A person arriving in Australia must declare whether they have monetary instruments with them.</t>
        </is>
      </c>
      <c r="N826" s="11" t="inlineStr">
        <is>
          <t>• [Must] A person arriving in Australia must declare the sum of monetary instrument amounts.
• [Must] A person arriving in Australia must declare whether a report under section 53 has been given for monetary instruments.
• [Must] A person arriving in Australia must produce monetary instruments to the officer.
• [May] A police officer or customs officer may seize a monetary instrument produced to them.
• [May] A police officer or customs officer may make a copy of a bearer negotiable instrument or item specified by the AML/CTF Rules.</t>
        </is>
      </c>
      <c r="O826" s="11" t="inlineStr">
        <is>
          <t>A person who is: (a) about to leave Australia; or (b) in an embarkation area for the purpose of leaving Australia; must, if required to do so by a police officer or a customs officer: (c) declare whether or not the person has with him or her any monetary instruments; and (d) declare the sum of the monetary instrument amounts for the monetary instruments that the person has with him or her; and (e) declare whether or not, to the best of the person's knowledge and belief, a report under section 53 has been given in respect of any monetary instruments that the person has with him or her; and (f) produce to the officer any monetary instruments that the person has with him or her.</t>
        </is>
      </c>
      <c r="P826" s="12" t="n">
        <v>13</v>
      </c>
    </row>
    <row r="827">
      <c r="A827" t="inlineStr">
        <is>
          <t>Australia</t>
        </is>
      </c>
      <c r="B827" t="inlineStr">
        <is>
          <t>C2026C00220 (Australia - Row 2)</t>
        </is>
      </c>
      <c r="C827" t="inlineStr">
        <is>
          <t>329</t>
        </is>
      </c>
      <c r="D827" s="11" t="inlineStr">
        <is>
          <t>Search conditions for monetary instruments during border crossings</t>
        </is>
      </c>
      <c r="E827" t="inlineStr">
        <is>
          <t>347–348</t>
        </is>
      </c>
      <c r="F827" t="inlineStr">
        <is>
          <t>High</t>
        </is>
      </c>
      <c r="G827" t="inlineStr">
        <is>
          <t>High (explicit)</t>
        </is>
      </c>
      <c r="H827" s="11" t="inlineStr">
        <is>
          <t>Cross-border Transfer, Financial Data</t>
        </is>
      </c>
      <c r="I827" s="11" t="inlineStr">
        <is>
          <t>Financial Data</t>
        </is>
      </c>
      <c r="J827" t="inlineStr">
        <is>
          <t>Police officer or customs officer</t>
        </is>
      </c>
      <c r="K827" s="11" t="inlineStr">
        <is>
          <t>This section outlines when police or customs officers may search individuals for monetary instruments. Searches are permitted if the person is about to leave or has arrived in Australia, or is boarding or leaving a ship or aircraft. Officers must have reasonable suspicion the person possesses a monetary instrument requiring reporting under section 53 or that may be of interest under subsection (14).</t>
        </is>
      </c>
      <c r="L827" s="11" t="inlineStr">
        <is>
          <t>This section specifies conditions under which monetary instruments can be searched during border crossings, relevant to cross-border data transfers involving financial instruments.</t>
        </is>
      </c>
      <c r="M827" s="11" t="inlineStr">
        <is>
          <t>• [Condition] The person is about to leave Australia or has arrived in Australia
• [Condition] The person is about to board or leave, or has boarded or left, any ship or aircraft</t>
        </is>
      </c>
      <c r="N827" s="11" t="inlineStr">
        <is>
          <t>• [Condition] The officer has reasonable grounds to suspect the person has a monetary instrument requiring reporting under section 53
• [Condition] The officer has reasonable grounds to suspect the person has a monetary instrument that may be of interest under subsection (14)</t>
        </is>
      </c>
      <c r="O827" s="11" t="inlineStr">
        <is>
          <t>329 (i) is about to leave Australia or has arrived in Australia; or (ii) is about to board or leave, or has boarded or left, any ship or aircraft; and (b) either: (i) the officer is seeking to find out whether the person has with him or her any monetary instrument in respect of which a report under section 53 is required; or (ii) the officer has reasonable grounds to suspect that the person has with him or her any monetary instrument that may be of interest under subsection (14).</t>
        </is>
      </c>
      <c r="P827" s="12" t="n">
        <v>13</v>
      </c>
    </row>
    <row r="828">
      <c r="A828" t="inlineStr">
        <is>
          <t>Australia</t>
        </is>
      </c>
      <c r="B828" t="inlineStr">
        <is>
          <t>C2026C00220 (Australia - Row 2)</t>
        </is>
      </c>
      <c r="C828" t="inlineStr">
        <is>
          <t>330</t>
        </is>
      </c>
      <c r="D828" s="11" t="inlineStr">
        <is>
          <t>Sex-based search restrictions for border checks</t>
        </is>
      </c>
      <c r="E828" t="inlineStr">
        <is>
          <t>348–349</t>
        </is>
      </c>
      <c r="F828" t="inlineStr">
        <is>
          <t>Low</t>
        </is>
      </c>
      <c r="G828" t="inlineStr">
        <is>
          <t>High (explicit)</t>
        </is>
      </c>
      <c r="H828" s="11" t="inlineStr">
        <is>
          <t>Cross-border Transfer</t>
        </is>
      </c>
      <c r="I828" s="11" t="inlineStr">
        <is>
          <t>Personal Information</t>
        </is>
      </c>
      <c r="J828" t="inlineStr">
        <is>
          <t>Police officer or customs officer</t>
        </is>
      </c>
      <c r="K828" s="11" t="inlineStr">
        <is>
          <t>This section mandates that searches under subsection (4) must be conducted by individuals of the same sex as the person being searched. It applies to police and customs officers conducting searches for monetary instruments during border crossings.</t>
        </is>
      </c>
      <c r="L828" s="11" t="inlineStr">
        <is>
          <t>This section imposes sex-based restrictions on who can conduct searches, relevant to cross-border data transfers involving sensitive personal information.</t>
        </is>
      </c>
      <c r="M828" s="11" t="inlineStr">
        <is>
          <t>• [Must Not] A person must not be searched under subsection (4) except by a person of the same sex</t>
        </is>
      </c>
      <c r="N828" s="11" t="inlineStr"/>
      <c r="O828" s="11" t="inlineStr">
        <is>
          <t>330 (6) A person must not be searched under subsection (4) except by a person of the same sex.</t>
        </is>
      </c>
      <c r="P828" s="12" t="n">
        <v>13</v>
      </c>
    </row>
    <row r="829">
      <c r="A829" t="inlineStr">
        <is>
          <t>Australia</t>
        </is>
      </c>
      <c r="B829" t="inlineStr">
        <is>
          <t>C2026C00220 (Australia - Row 2)</t>
        </is>
      </c>
      <c r="C829" t="inlineStr">
        <is>
          <t>331</t>
        </is>
      </c>
      <c r="D829" s="11" t="inlineStr">
        <is>
          <t>Seizure of monetary instruments during border checks</t>
        </is>
      </c>
      <c r="E829" t="inlineStr">
        <is>
          <t>349–350</t>
        </is>
      </c>
      <c r="F829" t="inlineStr">
        <is>
          <t>High</t>
        </is>
      </c>
      <c r="G829" t="inlineStr">
        <is>
          <t>High (explicit)</t>
        </is>
      </c>
      <c r="H829" s="11" t="inlineStr">
        <is>
          <t>Cross-border Transfer, Financial Data</t>
        </is>
      </c>
      <c r="I829" s="11" t="inlineStr">
        <is>
          <t>Financial Data</t>
        </is>
      </c>
      <c r="J829" t="inlineStr">
        <is>
          <t>Police officer or customs officer</t>
        </is>
      </c>
      <c r="K829" s="11" t="inlineStr">
        <is>
          <t>This section permits police or customs officers to seize monetary instruments found during searches under subsections (3) or (4) if they meet the conditions specified in subsection (10). The seizure is conditional on the monetary instrument being relevant to criminal investigations or the Proceeds of Crime Act.</t>
        </is>
      </c>
      <c r="L829" s="11" t="inlineStr">
        <is>
          <t>This section details when monetary instruments can be seized during border checks, relevant to cross-border data transfers involving financial instruments.</t>
        </is>
      </c>
      <c r="M829" s="11" t="inlineStr">
        <is>
          <t>• [May] A police officer or a customs officer may seize a monetary instrument found in the course of an examination or search under subsection (3) or (4)</t>
        </is>
      </c>
      <c r="N829" s="11" t="inlineStr"/>
      <c r="O829" s="11" t="inlineStr">
        <is>
          <t xml:space="preserve">331 (10) A police officer or a customs officer may seize a monetary instrument found in the course of an examination or search under subsection (8) or (9) if: </t>
        </is>
      </c>
      <c r="P829" s="12" t="n">
        <v>13</v>
      </c>
    </row>
    <row r="830">
      <c r="A830" t="inlineStr">
        <is>
          <t>Australia</t>
        </is>
      </c>
      <c r="B830" t="inlineStr">
        <is>
          <t>C2026C00220 (Australia - Row 2)</t>
        </is>
      </c>
      <c r="C830" t="inlineStr">
        <is>
          <t>332</t>
        </is>
      </c>
      <c r="D830" s="11" t="inlineStr">
        <is>
          <t>Definition of monetary instruments of interest</t>
        </is>
      </c>
      <c r="E830" t="inlineStr">
        <is>
          <t>350–351</t>
        </is>
      </c>
      <c r="F830" t="inlineStr">
        <is>
          <t>High</t>
        </is>
      </c>
      <c r="G830" t="inlineStr">
        <is>
          <t>High (explicit)</t>
        </is>
      </c>
      <c r="H830" s="11" t="inlineStr">
        <is>
          <t>Financial Data</t>
        </is>
      </c>
      <c r="I830" s="11" t="inlineStr">
        <is>
          <t>Financial Data</t>
        </is>
      </c>
      <c r="J830" t="inlineStr"/>
      <c r="K830" s="11" t="inlineStr">
        <is>
          <t>This section defines when a monetary instrument is considered of interest for law enforcement purposes. It specifies that a monetary instrument may be of interest if it relates to Commonwealth or State/Territory offences, the Proceeds of Crime Act 2002, or similar State/Territory laws.</t>
        </is>
      </c>
      <c r="L830" s="11" t="inlineStr">
        <is>
          <t>This section defines monetary instruments of interest, relevant to cross-border data transfers involving financial instruments.</t>
        </is>
      </c>
      <c r="M830" s="11" t="inlineStr">
        <is>
          <t>• [Condition] A monetary instrument may be of interest if it may be relevant to the investigation of, or prosecution of a person for, an offence against a law of the Commonwealth or of a State or Territory
• [Condition] A monetary instrument may be of interest if it may be of assistance in the enforcement of the Proceeds of Crime Act 2002 or regulations under that Act</t>
        </is>
      </c>
      <c r="N830" s="11" t="inlineStr">
        <is>
          <t>• [Condition] A monetary instrument may be of interest if it may be of assistance in the enforcement of a law of a State or Territory that corresponds to the Proceeds of Crime Act 2002 or regulations under that Act</t>
        </is>
      </c>
      <c r="O830" s="11" t="inlineStr">
        <is>
          <t>332 (a) may be relevant to the investigation of, or prosecution of a person for, an offence against a law of the Commonwealth or of a State or Territory; or (b) may be of assistance in the enforcement of the Proceeds of Crime Act 2002 or regulations under that Act; or (c) may be of assistance in the enforcement of a law of a State or Territory that corresponds to the Proceeds of Crime Act 2002 or regulations under that Act.</t>
        </is>
      </c>
      <c r="P830" s="12" t="n">
        <v>13</v>
      </c>
    </row>
    <row r="831">
      <c r="A831" t="inlineStr">
        <is>
          <t>Australia</t>
        </is>
      </c>
      <c r="B831" t="inlineStr">
        <is>
          <t>C2026C00220 (Australia - Row 2)</t>
        </is>
      </c>
      <c r="C831" t="inlineStr">
        <is>
          <t>333</t>
        </is>
      </c>
      <c r="D831" s="11" t="inlineStr">
        <is>
          <t>Notices to reporting entities for financial investigations</t>
        </is>
      </c>
      <c r="E831" t="inlineStr">
        <is>
          <t>351–352</t>
        </is>
      </c>
      <c r="F831" t="inlineStr">
        <is>
          <t>High</t>
        </is>
      </c>
      <c r="G831" t="inlineStr">
        <is>
          <t>High (explicit)</t>
        </is>
      </c>
      <c r="H831" s="11" t="inlineStr">
        <is>
          <t>Cross-border Transfer, Financial Data</t>
        </is>
      </c>
      <c r="I831" s="11" t="inlineStr">
        <is>
          <t>Financial Data</t>
        </is>
      </c>
      <c r="J831" t="inlineStr">
        <is>
          <t>AUSTRAC CEO, authorised officers, Australian Federal Police, Australian Crime Commission</t>
        </is>
      </c>
      <c r="K831" s="11" t="inlineStr">
        <is>
          <t>This section authorises specific individuals to issue written notices to reporting entities, requiring them to provide information about their Australian permanent establishments and designated services. Notices must be issued only if the authorised person reasonably believes action under the Act is required or proceedings are underway.</t>
        </is>
      </c>
      <c r="L831" s="11" t="inlineStr">
        <is>
          <t>This section details the process for issuing notices to reporting entities, relevant to cross-border data transfers involving financial institutions.</t>
        </is>
      </c>
      <c r="M831" s="11" t="inlineStr">
        <is>
          <t>• [Authorisation] The AUSTRAC CEO, an authorised officer, the Commissioner of the Australian Federal Police, a Deputy Commissioner of the Australian Federal Police, a senior executive AFP employee, the Chief Executive Officer of the Australian Crime Commission, an examiner of the Australian Crime Commission, or an approved examiner may give notices
• [May] An authorised person may give a written notice requiring information or documents relevant to determining whether the person provides designated services at or through a permanent establishment in Australia
• [May] An authorised person may give a written notice requiring information or documents to ascertain details relating to a permanent establishment in Australia</t>
        </is>
      </c>
      <c r="N831" s="11" t="inlineStr">
        <is>
          <t>• [May] An authorised person may give a written notice requiring information or documents to ascertain details relating to designated services provided at or through a permanent establishment in Australia
• [Must Not] A person must not give a notice unless they reasonably believe giving the notice is required to determine whether to take action under this Act or in relation to proceedings under this Act</t>
        </is>
      </c>
      <c r="O831" s="11" t="inlineStr">
        <is>
          <t>333 (1) Each of the following persons is authorised to give notices under this section: (a) the AUSTRAC CEO; (b) an authorised officer; (c) the Commissioner of the Australian Federal Police; (d) a Deputy Commissioner of the Australian Federal Police; (e) a senior executive AFP employee (within the meaning of the Australian Federal Police Act 1979) who is: (i) a member of the Australian Federal Police; and (ii) authorised in writing by the Commissioner of the Australian Federal Police for the purposes of this section; (f) the Chief Executive Officer of the Australian Crime Commission; (g) an examiner of the Australian Crime Commission; (h) an approved examiner (within the meaning of the Proceeds of Crime Act 2002).</t>
        </is>
      </c>
      <c r="P831" s="12" t="n">
        <v>13</v>
      </c>
    </row>
    <row r="832">
      <c r="A832" t="inlineStr">
        <is>
          <t>Australia</t>
        </is>
      </c>
      <c r="B832" t="inlineStr">
        <is>
          <t>C2026C00220 (Australia - Row 2)</t>
        </is>
      </c>
      <c r="C832" t="inlineStr">
        <is>
          <t>335</t>
        </is>
      </c>
      <c r="D832" s="11" t="inlineStr">
        <is>
          <t>Exemption from self-incrimination in reporting under financial intelligence laws</t>
        </is>
      </c>
      <c r="E832" t="inlineStr">
        <is>
          <t>353–354</t>
        </is>
      </c>
      <c r="F832" t="inlineStr">
        <is>
          <t>High</t>
        </is>
      </c>
      <c r="G832" t="inlineStr">
        <is>
          <t>High (explicit)</t>
        </is>
      </c>
      <c r="H832" s="11" t="inlineStr"/>
      <c r="I832" s="11" t="inlineStr">
        <is>
          <t>Financial Data</t>
        </is>
      </c>
      <c r="J832" t="inlineStr">
        <is>
          <t>AUSTRAC</t>
        </is>
      </c>
      <c r="K832" s="11" t="inlineStr">
        <is>
          <t>A person is not excused from providing information or producing documents under financial intelligence reporting requirements due to potential self-incrimination or penalties. This applies to information given or documents produced, but exceptions exist for proceedings under the Act, offences under the Act, or Criminal Code proceedings related to the Act. The provision ensures reporting entities must comply with notice requirements without fear of legal repercussions.</t>
        </is>
      </c>
      <c r="L832" s="11" t="inlineStr">
        <is>
          <t>This section clarifies that reporting entities cannot claim self-incrimination as a defense when providing financial intelligence information, ensuring compliance with data transfer obligations under the Act without legal barriers.</t>
        </is>
      </c>
      <c r="M832" s="11" t="inlineStr">
        <is>
          <t>• [Must] A person is not excused from giving information or producing a document under section 202 on the ground that the information or the production of the document might tend to incriminate the person or expose the person to a penalty</t>
        </is>
      </c>
      <c r="N832" s="11" t="inlineStr">
        <is>
          <t>• [Condition] The information given or the document produced; or giving the information or producing the document; may be subject to proceedings under this Act, offences under this Act, or Criminal Code proceedings related to this Act</t>
        </is>
      </c>
      <c r="O832" s="11" t="inlineStr">
        <is>
          <t>A person is not excused from giving information or producing a document under section 202 on the ground that the information or the production of the document might tend to incriminate the person or expose the person to a penalty.</t>
        </is>
      </c>
      <c r="P832" s="12" t="n">
        <v>13</v>
      </c>
    </row>
    <row r="833">
      <c r="A833" t="inlineStr">
        <is>
          <t>Australia</t>
        </is>
      </c>
      <c r="B833" t="inlineStr">
        <is>
          <t>C2026C00220 (Australia - Row 2)</t>
        </is>
      </c>
      <c r="C833" t="inlineStr">
        <is>
          <t>336</t>
        </is>
      </c>
      <c r="D833" s="11" t="inlineStr">
        <is>
          <t>Prohibition on disclosing financial intelligence notices to unauthorized parties</t>
        </is>
      </c>
      <c r="E833" t="inlineStr">
        <is>
          <t>354–355</t>
        </is>
      </c>
      <c r="F833" t="inlineStr">
        <is>
          <t>High</t>
        </is>
      </c>
      <c r="G833" t="inlineStr">
        <is>
          <t>High (explicit)</t>
        </is>
      </c>
      <c r="H833" s="11" t="inlineStr"/>
      <c r="I833" s="11" t="inlineStr">
        <is>
          <t>Financial Data</t>
        </is>
      </c>
      <c r="J833" t="inlineStr">
        <is>
          <t>AUSTRAC</t>
        </is>
      </c>
      <c r="K833" s="11" t="inlineStr">
        <is>
          <t>Reporting entities must not disclose the existence or nature of a financial intelligence notice unless specific exceptions apply, such as disclosures to legal practitioners for legal advice, IGIS officials performing duties, or members of a reporting group. This ensures confidentiality of notices while allowing necessary internal and external communications.</t>
        </is>
      </c>
      <c r="L833" s="11" t="inlineStr">
        <is>
          <t>This section restricts the disclosure of financial intelligence notices to unauthorized parties, which impacts data sharing and transfer obligations when handling sensitive financial information across jurisdictions.</t>
        </is>
      </c>
      <c r="M833" s="11" t="inlineStr">
        <is>
          <t>• [Must Not] A reporting entity must not disclose the existence or nature of a notice if the notice specifies that information about the notice must not be disclosed
• [Exception] Disclosures to legal practitioners for legal advice are exempt</t>
        </is>
      </c>
      <c r="N833" s="11" t="inlineStr">
        <is>
          <t>• [Exception] Disclosures to IGIS officials for their functions are exempt
• [Exception] Disclosures to other reporting group members are exempt</t>
        </is>
      </c>
      <c r="O833" s="11" t="inlineStr">
        <is>
          <t>A person is not excused from giving information or producing a document under section 202 on the ground that the information or the production of the document might tend to incriminate the person or expose the person to a penalty.</t>
        </is>
      </c>
      <c r="P833" s="12" t="n">
        <v>13</v>
      </c>
    </row>
    <row r="834">
      <c r="A834" t="inlineStr">
        <is>
          <t>Australia</t>
        </is>
      </c>
      <c r="B834" t="inlineStr">
        <is>
          <t>C2026C00220 (Australia - Row 2)</t>
        </is>
      </c>
      <c r="C834" t="inlineStr">
        <is>
          <t>337</t>
        </is>
      </c>
      <c r="D834" s="11" t="inlineStr">
        <is>
          <t>AUSTRAC's administrative functions and authority</t>
        </is>
      </c>
      <c r="E834" t="inlineStr">
        <is>
          <t>355–356</t>
        </is>
      </c>
      <c r="F834" t="inlineStr">
        <is>
          <t>High</t>
        </is>
      </c>
      <c r="G834" t="inlineStr">
        <is>
          <t>High (explicit)</t>
        </is>
      </c>
      <c r="H834" s="11" t="inlineStr"/>
      <c r="I834" s="11" t="inlineStr">
        <is>
          <t>Financial Data</t>
        </is>
      </c>
      <c r="J834" t="inlineStr">
        <is>
          <t>AUSTRAC</t>
        </is>
      </c>
      <c r="K834" s="11" t="inlineStr">
        <is>
          <t>AUSTRAC is established with a Chief Executive Officer who has authority to compile and analyze financial intelligence data, use computer programs for administrative actions, and make AML/CTF Rules. This section outlines AUSTRAC's administrative framework and its role in financial intelligence operations.</t>
        </is>
      </c>
      <c r="L834" s="11" t="inlineStr">
        <is>
          <t>This section defines AUSTRAC's administrative powers, including data compilation and analysis, which are critical for financial intelligence operations and data transfer compliance within Australia's financial sector.</t>
        </is>
      </c>
      <c r="M834" s="11" t="inlineStr">
        <is>
          <t>• [Must] AUSTRAC is continued in existence
• [Must] AUSTRAC has a Chief Executive Officer
• [Must] The AUSTRAC CEO's functions include compiling and analyzing AUSTRAC information</t>
        </is>
      </c>
      <c r="N834" s="11" t="inlineStr">
        <is>
          <t>• [May] The AUSTRAC CEO may arrange for the use of computer programs for administrative actions
• [May] The AUSTRAC CEO may make AML/CTF Rules</t>
        </is>
      </c>
      <c r="O834" s="11" t="inlineStr">
        <is>
          <t>AUSTRAC is continued in existence. There is to be a Chief Executive Officer of AUSTRAC. The AUSTRAC CEO's functions include the compilation and analysis of AUSTRAC information.</t>
        </is>
      </c>
      <c r="P834" s="12" t="n">
        <v>13</v>
      </c>
    </row>
    <row r="835">
      <c r="A835" t="inlineStr">
        <is>
          <t>Australia</t>
        </is>
      </c>
      <c r="B835" t="inlineStr">
        <is>
          <t>C2026C00220 (Australia - Row 2)</t>
        </is>
      </c>
      <c r="C835" t="inlineStr">
        <is>
          <t>338</t>
        </is>
      </c>
      <c r="D835" s="11" t="inlineStr">
        <is>
          <t>Establishment of AUSTRAC as a Commonwealth entity</t>
        </is>
      </c>
      <c r="E835" t="inlineStr">
        <is>
          <t>356–357</t>
        </is>
      </c>
      <c r="F835" t="inlineStr">
        <is>
          <t>High</t>
        </is>
      </c>
      <c r="G835" t="inlineStr">
        <is>
          <t>High (explicit)</t>
        </is>
      </c>
      <c r="H835" s="11" t="inlineStr"/>
      <c r="I835" s="11" t="inlineStr">
        <is>
          <t>Financial Data</t>
        </is>
      </c>
      <c r="J835" t="inlineStr">
        <is>
          <t>AUSTRAC</t>
        </is>
      </c>
      <c r="K835" s="11" t="inlineStr">
        <is>
          <t>AUSTRAC continues as a Commonwealth entity with a Chief Executive Officer and staff, operating without legal identity separate from the Commonwealth. It is designated as a listed entity for financial law purposes with the CEO as the accountable authority, and its functions include financial intelligence operations and compliance assistance.</t>
        </is>
      </c>
      <c r="L835" s="11" t="inlineStr">
        <is>
          <t>This section establishes AUSTRAC's legal structure and role in financial intelligence, which impacts data handling and transfer obligations within Australia's financial sector.</t>
        </is>
      </c>
      <c r="M835" s="11" t="inlineStr">
        <is>
          <t>• [Must] AUSTRAC continues in existence by force of this Act
• [Must] AUSTRAC may be known as AUSTRAC
• [Must] AUSTRAC consists of the CEO and staff</t>
        </is>
      </c>
      <c r="N835" s="11" t="inlineStr">
        <is>
          <t>• [Must] AUSTRAC is a listed entity for financial law purposes
• [Must] The AUSTRAC CEO is the accountable authority of AUSTRAC
• [Must] AUSTRAC's purposes include financial intelligence functions</t>
        </is>
      </c>
      <c r="O835" s="11" t="inlineStr">
        <is>
          <t>The Australian Transaction Reports and Analysis Centre established under the repealed Financial Transaction Reports Act 1988 continues in existence by force of this subsection, under and subject to the provisions of this Act.</t>
        </is>
      </c>
      <c r="P835" s="12" t="n">
        <v>13</v>
      </c>
    </row>
    <row r="836">
      <c r="A836" t="inlineStr">
        <is>
          <t>Australia</t>
        </is>
      </c>
      <c r="B836" t="inlineStr">
        <is>
          <t>C2026C00220 (Australia - Row 2)</t>
        </is>
      </c>
      <c r="C836" t="inlineStr">
        <is>
          <t>340</t>
        </is>
      </c>
      <c r="D836" s="11" t="inlineStr">
        <is>
          <t>AUSTRAC CEO's functions and responsibilities</t>
        </is>
      </c>
      <c r="E836" t="inlineStr">
        <is>
          <t>358–359</t>
        </is>
      </c>
      <c r="F836" t="inlineStr">
        <is>
          <t>High</t>
        </is>
      </c>
      <c r="G836" t="inlineStr">
        <is>
          <t>High (explicit)</t>
        </is>
      </c>
      <c r="H836" s="11" t="inlineStr"/>
      <c r="I836" s="11" t="inlineStr">
        <is>
          <t>Financial Data</t>
        </is>
      </c>
      <c r="J836" t="inlineStr">
        <is>
          <t>AUSTRAC</t>
        </is>
      </c>
      <c r="K836" s="11" t="inlineStr">
        <is>
          <t>The AUSTRAC CEO retains, compiles, analyzes, and disseminates financial intelligence data to combat money laundering and terrorism financing. The CEO also provides advice to authorized entities, assists reporting entities with compliance, and facilitates timely access to financial information for intelligence functions.</t>
        </is>
      </c>
      <c r="L836" s="11" t="inlineStr">
        <is>
          <t>This section details the AUSTRAC CEO's critical role in financial intelligence operations, directly impacting data transfer and processing obligations for financial institutions handling cross-border data.</t>
        </is>
      </c>
      <c r="M836" s="11" t="inlineStr">
        <is>
          <t>• [Must] The AUSTRAC CEO must retain, compile, analyze and disseminate AUSTRAC information
• [Must] The AUSTRAC CEO must provide access to AUSTRAC information to support domestic and international efforts to combat money laundering and terrorism financing
• [Must] The AUSTRAC CEO must provide advice and assistance to authorized entities regarding AUSTRAC information</t>
        </is>
      </c>
      <c r="N836" s="11" t="inlineStr">
        <is>
          <t>• [Must] The AUSTRAC CEO must advise and assist reporting entities with compliance obligations
• [Must] The AUSTRAC CEO must facilitate timely access to financial information for intelligence functions</t>
        </is>
      </c>
      <c r="O836" s="11" t="inlineStr">
        <is>
          <t>The functions of the AUSTRAC CEO are: to retain, compile, analyse and disseminate AUSTRAC information; to provide access to, and to share, AUSTRAC information to support domestic and international efforts to combat money laundering and terrorism financing and other serious crimes; to provide advice and assistance, in relation to AUSTRAC information, to the persons and agencies who are authorised to access AUSTRAC information under Part 11; to advise and assist reporting entities in relation to their obligations under this Act, the regulations and the AML/CTF Rules.</t>
        </is>
      </c>
      <c r="P836" s="12" t="n">
        <v>13</v>
      </c>
    </row>
    <row r="837">
      <c r="A837" t="inlineStr">
        <is>
          <t>Australia</t>
        </is>
      </c>
      <c r="B837" t="inlineStr">
        <is>
          <t>C2026C00220 (Australia - Row 2)</t>
        </is>
      </c>
      <c r="C837" t="inlineStr">
        <is>
          <t>342</t>
        </is>
      </c>
      <c r="D837" s="11" t="inlineStr">
        <is>
          <t>AUSTRAC CEO's compliance with financial system integrity and risk considerations</t>
        </is>
      </c>
      <c r="E837" t="inlineStr">
        <is>
          <t>360–361</t>
        </is>
      </c>
      <c r="F837" t="inlineStr">
        <is>
          <t>High</t>
        </is>
      </c>
      <c r="G837" t="inlineStr">
        <is>
          <t>High (explicit)</t>
        </is>
      </c>
      <c r="H837" s="11" t="inlineStr"/>
      <c r="I837" s="11" t="inlineStr">
        <is>
          <t>Financial Data</t>
        </is>
      </c>
      <c r="J837" t="inlineStr">
        <is>
          <t>AUSTRAC CEO</t>
        </is>
      </c>
      <c r="K837" s="11" t="inlineStr">
        <is>
          <t>The AUSTRAC CEO must consider financial system integrity, crime reduction, minimal regulatory burdens, risk-based approaches, competitive neutrality, competition, economic efficiency, privacy, and other relevant matters when performing functions under this Act. Reporting entities must comply with these considerations to ensure effective regulation without undue financial or administrative strain.</t>
        </is>
      </c>
      <c r="L837" s="11" t="inlineStr">
        <is>
          <t>This section establishes risk-based regulatory considerations that impact how financial data is handled across borders, particularly in money laundering and terrorism financing contexts.</t>
        </is>
      </c>
      <c r="M837" s="11" t="inlineStr">
        <is>
          <t>• [Must] The AUSTRAC CEO must have regard to the integrity of the financial system
• [Must] The AUSTRAC CEO must have regard to crime reduction
• [Must] The AUSTRAC CEO must have regard to ensuring regulatory considerations do not impose unnecessary financial and administrative burdens on reporting entities
• [Must] The AUSTRAC CEO must have regard to adopting a risk-based approach
• [Must] The AUSTRAC CEO must have regard to competitive neutrality</t>
        </is>
      </c>
      <c r="N837" s="11" t="inlineStr">
        <is>
          <t>• [Must] The AUSTRAC CEO must have regard to competition
• [Must] The AUSTRAC CEO must have regard to economic efficiency
• [Must] The AUSTRAC CEO must have regard to privacy
• [Must] The AUSTRAC CEO must have regard to other relevant matters as considered by the AUSTRAC CEO</t>
        </is>
      </c>
      <c r="O837" s="11" t="inlineStr">
        <is>
          <t>In performing the AUSTRAC CEO's functions under this Act, the AUSTRAC CEO must have regard to the following: (a) the integrity of the financial system; (b) crime reduction; (c) the desirability of ensuring that regulatory considerations are addressed in a way that does not impose unnecessary financial and administrative burdens on reporting entities; (d) the desirability of adopting a risk-based approach; (e) competitive neutrality; (f) competition; (g) economic efficiency; (h) privacy; (i) such other matters (if any) as the AUSTRAC CEO considers relevant.</t>
        </is>
      </c>
      <c r="P837" s="12" t="n">
        <v>13</v>
      </c>
    </row>
    <row r="838">
      <c r="A838" t="inlineStr">
        <is>
          <t>Australia</t>
        </is>
      </c>
      <c r="B838" t="inlineStr">
        <is>
          <t>C2026C00220 (Australia - Row 2)</t>
        </is>
      </c>
      <c r="C838" t="inlineStr">
        <is>
          <t>343</t>
        </is>
      </c>
      <c r="D838" s="11" t="inlineStr">
        <is>
          <t>AUSTRAC CEO's function validity and policy principles</t>
        </is>
      </c>
      <c r="E838" t="inlineStr">
        <is>
          <t>361–362</t>
        </is>
      </c>
      <c r="F838" t="inlineStr">
        <is>
          <t>Medium</t>
        </is>
      </c>
      <c r="G838" t="inlineStr">
        <is>
          <t>High (explicit)</t>
        </is>
      </c>
      <c r="H838" s="11" t="inlineStr"/>
      <c r="I838" s="11" t="inlineStr"/>
      <c r="J838" t="inlineStr">
        <is>
          <t>Minister</t>
        </is>
      </c>
      <c r="K838" s="11" t="inlineStr">
        <is>
          <t>The AUSTRAC CEO's functions remain valid even if they fail to comply with certain requirements. The Minister may provide written policy principles to the AUSTRAC CEO, which must be tabled in Parliament within 15 sitting days and followed by the AUSTRAC CEO.</t>
        </is>
      </c>
      <c r="L838" s="11" t="inlineStr">
        <is>
          <t>This section ensures policy principles do not affect the validity of AUSTRAC CEO's functions and requires transparency in parliamentary processes for regulatory guidance.</t>
        </is>
      </c>
      <c r="M838" s="11" t="inlineStr">
        <is>
          <t>• [May] The Minister may give written policy principles to the AUSTRAC CEO about the performance of the AUSTRAC CEO's functions
• [Must] The Minister must cause a copy of the policy principles to be tabled in each House of the Parliament within 15 sitting days of that House after the day on which they were given to the AUSTRAC CEO</t>
        </is>
      </c>
      <c r="N838" s="11" t="inlineStr">
        <is>
          <t>• [Must] The AUSTRAC CEO must comply with the policy principles (if any) when performing the AUSTRAC CEO's functions</t>
        </is>
      </c>
      <c r="O838" s="11" t="inlineStr">
        <is>
          <t>The Minister may give written policy principles to the AUSTRAC CEO about the performance of the AUSTRAC CEO's functions. The Minister must cause a copy of the policy principles to be tabled in each House of the Parliament within 15 sitting days of that House after the day on which they were given to the AUSTRAC CEO. The AUSTRAC CEO must comply with the policy principles (if any) when performing the AUSTRAC CEO's functions.</t>
        </is>
      </c>
      <c r="P838" s="12" t="n">
        <v>13</v>
      </c>
    </row>
    <row r="839">
      <c r="A839" t="inlineStr">
        <is>
          <t>Australia</t>
        </is>
      </c>
      <c r="B839" t="inlineStr">
        <is>
          <t>C2026C00220 (Australia - Row 2)</t>
        </is>
      </c>
      <c r="C839" t="inlineStr">
        <is>
          <t>344</t>
        </is>
      </c>
      <c r="D839" s="11" t="inlineStr">
        <is>
          <t>AUSTRAC CEO's remuneration and allowances</t>
        </is>
      </c>
      <c r="E839" t="inlineStr">
        <is>
          <t>362–363</t>
        </is>
      </c>
      <c r="F839" t="inlineStr">
        <is>
          <t>High</t>
        </is>
      </c>
      <c r="G839" t="inlineStr">
        <is>
          <t>High (explicit)</t>
        </is>
      </c>
      <c r="H839" s="11" t="inlineStr"/>
      <c r="I839" s="11" t="inlineStr"/>
      <c r="J839" t="inlineStr">
        <is>
          <t>Minister</t>
        </is>
      </c>
      <c r="K839" s="11" t="inlineStr">
        <is>
          <t>The AUSTRAC CEO's remuneration is determined by the Remuneration Tribunal or the Minister, with allowances prescribed by the Minister. This section is subject to the Remuneration Tribunal Act 1973.</t>
        </is>
      </c>
      <c r="L839" s="11" t="inlineStr">
        <is>
          <t>This section governs the financial terms of the AUSTRAC CEO's appointment, which may impact how financial data is managed across borders through regulatory oversight.</t>
        </is>
      </c>
      <c r="M839" s="11" t="inlineStr">
        <is>
          <t>• [Must] The AUSTRAC CEO is to be paid the remuneration that is determined by the Remuneration Tribunal
• [Must] The AUSTRAC CEO is to be paid the remuneration that is determined by the Minister</t>
        </is>
      </c>
      <c r="N839" s="11" t="inlineStr">
        <is>
          <t>• [Must] The AUSTRAC CEO is to be paid the allowances that are prescribed
• [Condition] This section has effect subject to the Remuneration Tribunal Act 1973</t>
        </is>
      </c>
      <c r="O839" s="11" t="inlineStr">
        <is>
          <t>The AUSTRAC CEO is to be paid the remuneration that is determined by the Remuneration Tribunal. If no determination of that remuneration by the Tribunal is in operation, the AUSTRAC CEO is to be paid the remuneration that is determined by the Minister. The AUSTRAC CEO is to be paid the allowances that are prescribed. This section has effect subject to the Remuneration Tribunal Act 1973.</t>
        </is>
      </c>
      <c r="P839" s="12" t="n">
        <v>13</v>
      </c>
    </row>
    <row r="840">
      <c r="A840" t="inlineStr">
        <is>
          <t>Australia</t>
        </is>
      </c>
      <c r="B840" t="inlineStr">
        <is>
          <t>C2026C00220 (Australia - Row 2)</t>
        </is>
      </c>
      <c r="C840" t="inlineStr">
        <is>
          <t>345</t>
        </is>
      </c>
      <c r="D840" s="11" t="inlineStr">
        <is>
          <t>AUSTRAC CEO's termination and conflict of interest provisions</t>
        </is>
      </c>
      <c r="E840" t="inlineStr">
        <is>
          <t>363–364</t>
        </is>
      </c>
      <c r="F840" t="inlineStr">
        <is>
          <t>High</t>
        </is>
      </c>
      <c r="G840" t="inlineStr">
        <is>
          <t>High (explicit)</t>
        </is>
      </c>
      <c r="H840" s="11" t="inlineStr"/>
      <c r="I840" s="11" t="inlineStr"/>
      <c r="J840" t="inlineStr">
        <is>
          <t>Minister</t>
        </is>
      </c>
      <c r="K840" s="11" t="inlineStr">
        <is>
          <t>The AUSTRAC CEO may be terminated for misbehaviour, physical or mental incapacity, bankruptcy, insolvency, creditor compounding, assignments for creditors, absence from duty, paid employment outside duties, failure to disclose interests, or unsatisfactory performance. The Minister must determine if conflicts of interest pose significant risks and require disposal of those interests.</t>
        </is>
      </c>
      <c r="L840" s="11" t="inlineStr">
        <is>
          <t>This section outlines termination conditions and conflict of interest management for the AUSTRAC CEO, which impacts how financial data is handled across borders through regulatory oversight.</t>
        </is>
      </c>
      <c r="M840" s="11" t="inlineStr">
        <is>
          <t>• [May] The Minister may terminate the appointment of the AUSTRAC CEO for misbehaviour or physical or mental incapacity
• [May] The Minister may terminate the appointment of the AUSTRAC CEO if the AUSTRAC CEO becomes bankrupt
• [May] The Minister may terminate the appointment of the AUSTRAC CEO if the AUSTRAC CEO applies to take the benefit of any law for the relief of bankrupt or insolvent debtors
• [May] The Minister may terminate the appointment of the AUSTRAC CEO if the AUSTRAC CEO compounds with his or her creditors
• [May] The Minister may terminate the appointment of the AUSTRAC CEO if the AUSTRAC CEO makes an assignment of his or her remuneration for the benefit of his or her creditors
• [May] The Minister may terminate the appointment of the AUSTRAC CEO if the AUSTRAC CEO is absent from duty for 14 consecutive days or 28 days in any 12 months</t>
        </is>
      </c>
      <c r="N840" s="11" t="inlineStr">
        <is>
          <t>• [May] The Minister may terminate the appointment of the AUSTRAC CEO if the AUSTRAC CEO engages in paid employment outside the duties of his or her office without the Minister's approval
• [May] The Minister may terminate the appointment of the AUSTRAC CEO if the AUSTRAC CEO fails to comply with section 29 of the Public Governance, Performance and Accountability Act 2013
• [May] The Minister may terminate the appointment of the AUSTRAC CEO if the Minister is satisfied that the performance of the AUSTRAC CEO has been unsatisfactory for a significant period
• [Must] If the Minister becomes aware that the AUSTRAC CEO has an interest that could conflict with the proper performance of duties, the Minister must make a written determination whether the interest poses a significant risk of conflict
• [Must] If the Minister determines that an interest poses a significant risk of conflict, the Minister must require the AUSTRAC CEO to dispose of that interest within a period specified by the Minister
• [Must] If the Minister requires the AUSTRAC CEO to dispose of an interest and the AUSTRAC CEO refuses or fails to comply, the Minister must terminate the appointment of the AUSTRAC CEO</t>
        </is>
      </c>
      <c r="O840" s="11" t="inlineStr">
        <is>
          <t>The Minister may terminate the appointment of the AUSTRAC CEO for misbehaviour or physical or mental incapacity. The Minister may terminate the appointment of the AUSTRAC CEO if: (a) the AUSTRAC CEO: (i) becomes bankrupt; (ii) applies to take the benefit of any law for the relief of bankrupt or insolvent debtors; (iii) compounds with his or her creditors; (iv) makes an assignment of his or her remuneration for the benefit of his or her creditors; (b) the AUSTRAC CEO is absent from duty, except on leave of absence, for 14 consecutive days or for 28 days in any 12 months; (c) the AUSTRAC CEO engages, except with the Minister's approval, in paid employment outside the duties of his or her office; (d) the AUSTRAC CEO fails, without reasonable excuse, to comply with section 29 of the Public Governance, Performance and Accountability Act 2013 (which deals with the duty to disclose interests) or rules made for the purposes of that section; (e) the Minister is satisfied that the performance of the AUSTRAC CEO has been unsatisfactory for a significant period.</t>
        </is>
      </c>
      <c r="P840" s="12" t="n">
        <v>13</v>
      </c>
    </row>
    <row r="841">
      <c r="A841" t="inlineStr">
        <is>
          <t>Australia</t>
        </is>
      </c>
      <c r="B841" t="inlineStr">
        <is>
          <t>C2026C00220 (Australia - Row 2)</t>
        </is>
      </c>
      <c r="C841" t="inlineStr">
        <is>
          <t>346</t>
        </is>
      </c>
      <c r="D841" s="11" t="inlineStr">
        <is>
          <t>AUSTRAC CEO's other terms and conditions</t>
        </is>
      </c>
      <c r="E841" t="inlineStr">
        <is>
          <t>364–365</t>
        </is>
      </c>
      <c r="F841" t="inlineStr">
        <is>
          <t>Medium</t>
        </is>
      </c>
      <c r="G841" t="inlineStr">
        <is>
          <t>High (explicit)</t>
        </is>
      </c>
      <c r="H841" s="11" t="inlineStr"/>
      <c r="I841" s="11" t="inlineStr"/>
      <c r="J841" t="inlineStr">
        <is>
          <t>Minister</t>
        </is>
      </c>
      <c r="K841" s="11" t="inlineStr">
        <is>
          <t>The AUSTRAC CEO holds office on terms and conditions determined by the Minister for matters not covered by this Act. The Minister may appoint acting appointments during vacancies or absences.</t>
        </is>
      </c>
      <c r="L841" s="11" t="inlineStr">
        <is>
          <t>This section allows flexibility in the AUSTRAC CEO's appointment terms, which may impact how financial data is managed across borders through regulatory oversight.</t>
        </is>
      </c>
      <c r="M841" s="11" t="inlineStr">
        <is>
          <t>• [Must] The AUSTRAC CEO holds office on the terms and conditions (if any) in relation to matters not covered by this Act that are determined by the Minister</t>
        </is>
      </c>
      <c r="N841" s="11" t="inlineStr"/>
      <c r="O841" s="11" t="inlineStr">
        <is>
          <t>The AUSTRAC CEO holds office on the terms and conditions (if any) in relation to matters not covered by this Act that are determined by the Minister.</t>
        </is>
      </c>
      <c r="P841" s="12" t="n">
        <v>13</v>
      </c>
    </row>
    <row r="842">
      <c r="A842" t="inlineStr">
        <is>
          <t>Australia</t>
        </is>
      </c>
      <c r="B842" t="inlineStr">
        <is>
          <t>C2026C00220 (Australia - Row 2)</t>
        </is>
      </c>
      <c r="C842" t="inlineStr">
        <is>
          <t>347</t>
        </is>
      </c>
      <c r="D842" s="11" t="inlineStr">
        <is>
          <t>Secretary's requirement for AUSTRAC CEO to provide information</t>
        </is>
      </c>
      <c r="E842" t="inlineStr">
        <is>
          <t>365–366</t>
        </is>
      </c>
      <c r="F842" t="inlineStr">
        <is>
          <t>High</t>
        </is>
      </c>
      <c r="G842" t="inlineStr">
        <is>
          <t>High (explicit)</t>
        </is>
      </c>
      <c r="H842" s="11" t="inlineStr"/>
      <c r="I842" s="11" t="inlineStr"/>
      <c r="J842" t="inlineStr">
        <is>
          <t>Secretary</t>
        </is>
      </c>
      <c r="K842" s="11" t="inlineStr">
        <is>
          <t>The Secretary may require the AUSTRAC CEO to prepare a document setting out specified information related to the performance of the AUSTRAC CEO's functions and provide a copy to the Secretary within a specified period.</t>
        </is>
      </c>
      <c r="L842" s="11" t="inlineStr">
        <is>
          <t>This section enables the Secretary to request information from the AUSTRAC CEO, which may impact how financial data is handled across borders through regulatory oversight.</t>
        </is>
      </c>
      <c r="M842" s="11" t="inlineStr">
        <is>
          <t>• [May] The Secretary may, by written notice given to the AUSTRAC CEO, require the AUSTRAC CEO to prepare a document setting out specified information relating to the performance of the AUSTRAC CEO's functions</t>
        </is>
      </c>
      <c r="N842" s="11" t="inlineStr">
        <is>
          <t>• [Must] The AUSTRAC CEO must give a copy of the document to the Secretary within the period specified in the notice</t>
        </is>
      </c>
      <c r="O842" s="11" t="inlineStr">
        <is>
          <t>The Secretary may, by written notice given to the AUSTRAC CEO, require the AUSTRAC CEO to: (a) prepare a document setting out specified information relating to the performance of the AUSTRAC CEO's functions; and (b) give a copy of the document to the Secretary within the period specified in the notice.</t>
        </is>
      </c>
      <c r="P842" s="12" t="n">
        <v>13</v>
      </c>
    </row>
    <row r="843">
      <c r="A843" t="inlineStr">
        <is>
          <t>Australia</t>
        </is>
      </c>
      <c r="B843" t="inlineStr">
        <is>
          <t>C2026C00220 (Australia - Row 2)</t>
        </is>
      </c>
      <c r="C843" t="inlineStr">
        <is>
          <t>348</t>
        </is>
      </c>
      <c r="D843" s="11" t="inlineStr">
        <is>
          <t>Definition of AUSTRAC staff and Statutory Agency</t>
        </is>
      </c>
      <c r="E843" t="inlineStr">
        <is>
          <t>366–367</t>
        </is>
      </c>
      <c r="F843" t="inlineStr">
        <is>
          <t>None</t>
        </is>
      </c>
      <c r="G843" t="inlineStr">
        <is>
          <t>High (explicit)</t>
        </is>
      </c>
      <c r="H843" s="11" t="inlineStr"/>
      <c r="I843" s="11" t="inlineStr"/>
      <c r="J843" t="inlineStr"/>
      <c r="K843" s="11" t="inlineStr">
        <is>
          <t>This section defines AUSTRAC staff as persons engaged under the Public Service Act 1999. It establishes that the AUSTRAC CEO and AUSTRAC staff together form a Statutory Agency, with the CEO serving as its Head. The section clarifies the legal framework for AUSTRAC's personnel structure under Commonwealth law.</t>
        </is>
      </c>
      <c r="L843" s="11" t="inlineStr"/>
      <c r="M843" s="11" t="inlineStr">
        <is>
          <t>• [Definition] The staff of AUSTRAC are persons engaged under the Public Service Act 1999
• [Definition] The AUSTRAC CEO and the staff of AUSTRAC together constitute a Statutory Agency</t>
        </is>
      </c>
      <c r="N843" s="11" t="inlineStr">
        <is>
          <t>• [Definition] The AUSTRAC CEO is the Head of that Statutory Agency</t>
        </is>
      </c>
      <c r="O843" s="11" t="inlineStr">
        <is>
          <t>348 Compilation
Division 4—Staff of AUSTRAC etc.
224 Staff of AUSTRAC
(1) The staff of AUSTRAC are persons engaged under the Public Service Act 1999.</t>
        </is>
      </c>
      <c r="P843" s="12" t="n">
        <v>13</v>
      </c>
    </row>
    <row r="844">
      <c r="A844" t="inlineStr">
        <is>
          <t>Australia</t>
        </is>
      </c>
      <c r="B844" t="inlineStr">
        <is>
          <t>C2026C00220 (Australia - Row 2)</t>
        </is>
      </c>
      <c r="C844" t="inlineStr">
        <is>
          <t>349</t>
        </is>
      </c>
      <c r="D844" s="11" t="inlineStr">
        <is>
          <t>Definition of consultants and seconded personnel for AUSTRAC</t>
        </is>
      </c>
      <c r="E844" t="inlineStr">
        <is>
          <t>367–368</t>
        </is>
      </c>
      <c r="F844" t="inlineStr">
        <is>
          <t>None</t>
        </is>
      </c>
      <c r="G844" t="inlineStr">
        <is>
          <t>High (explicit)</t>
        </is>
      </c>
      <c r="H844" s="11" t="inlineStr"/>
      <c r="I844" s="11" t="inlineStr"/>
      <c r="J844" t="inlineStr"/>
      <c r="K844" s="11" t="inlineStr">
        <is>
          <t>This section defines who qualifies as consultants or persons seconded to AUSTRAC, including officers from other Commonwealth agencies, state/territory authorities, police forces, and qualified individuals from other organizations. It specifies that these personnel must be engaged for the purpose of performing AUSTRAC's functions.</t>
        </is>
      </c>
      <c r="L844" s="11" t="inlineStr"/>
      <c r="M844" s="11" t="inlineStr">
        <is>
          <t>• [Definition] The AUSTRAC CEO may engage consultants to perform services for AUSTRAC in connection with the AUSTRAC CEO's functions
• [Definition] The AUSTRAC CEO may be assisted by officers and employees of Agencies (within the meaning of the Public Service Act 1999)
• [Definition] The AUSTRAC CEO may be assisted by officers and employees of authorities of the Commonwealth
• [Definition] The AUSTRAC CEO may be assisted by members of the Australian Federal Police</t>
        </is>
      </c>
      <c r="N844" s="11" t="inlineStr">
        <is>
          <t>• [Definition] The AUSTRAC CEO may be assisted by officers and employees of a State or Territory
• [Definition] The AUSTRAC CEO may be assisted by officers and employees of authorities of a State or Territory
• [Definition] The AUSTRAC CEO may be assisted by members of the police force or police service of a State or Territory
• [Definition] The AUSTRAC CEO may be assisted by persons with suitable qualifications and experience who are officers or employees of some other body or organisation</t>
        </is>
      </c>
      <c r="O844" s="11" t="inlineStr">
        <is>
          <t>349 Compilation
Division 4—Staff of AUSTRAC etc.
225 Consultants and persons seconded to AUSTRAC
(1) The AUSTRAC CEO may, on behalf of the Commonwealth, engage consultants to perform services for AUSTRAC in connection with the performance of any of the AUSTRAC CEO's functions.</t>
        </is>
      </c>
      <c r="P844" s="12" t="n">
        <v>13</v>
      </c>
    </row>
    <row r="845">
      <c r="A845" t="inlineStr">
        <is>
          <t>Australia</t>
        </is>
      </c>
      <c r="B845" t="inlineStr">
        <is>
          <t>C2026C00220 (Australia - Row 2)</t>
        </is>
      </c>
      <c r="C845" t="inlineStr">
        <is>
          <t>350</t>
        </is>
      </c>
      <c r="D845" s="11" t="inlineStr">
        <is>
          <t>Ministerial directions to AUSTRAC CEO</t>
        </is>
      </c>
      <c r="E845" t="inlineStr">
        <is>
          <t>368–369</t>
        </is>
      </c>
      <c r="F845" t="inlineStr">
        <is>
          <t>None</t>
        </is>
      </c>
      <c r="G845" t="inlineStr">
        <is>
          <t>High (explicit)</t>
        </is>
      </c>
      <c r="H845" s="11" t="inlineStr"/>
      <c r="I845" s="11" t="inlineStr"/>
      <c r="J845" t="inlineStr">
        <is>
          <t>Minister</t>
        </is>
      </c>
      <c r="K845" s="11" t="inlineStr">
        <is>
          <t>This section grants the Minister the authority to issue written directions to the AUSTRAC CEO regarding policies or priorities for performing AUSTRAC's functions. It prohibits directing specific cases, mandates compliance with directions, and requires the Minister to table copies of directions in Parliament within 15 sitting days.</t>
        </is>
      </c>
      <c r="L845" s="11" t="inlineStr"/>
      <c r="M845" s="11" t="inlineStr">
        <is>
          <t>• [Must] The Minister may give the AUSTRAC CEO a written direction about policies the AUSTRAC CEO should pursue, or priorities the AUSTRAC CEO should follow, in performing any of the AUSTRAC CEO's functions
• [Must Not] The Minister must not give a direction under subsection (1) about a particular case
• [Must] The AUSTRAC CEO must comply with a direction under subsection (1)</t>
        </is>
      </c>
      <c r="N845" s="11" t="inlineStr">
        <is>
          <t>• [Definition] A direction under subsection (1) is not a legislative instrument
• [Must] The Minister must cause a copy of each direction under subsection (1) to be tabled in each House of the Parliament within 15 sitting days of that House after giving the direction</t>
        </is>
      </c>
      <c r="O845" s="11" t="inlineStr">
        <is>
          <t>350 Compilation
Division 6—Directions by Minister
228 Directions by Minister
(1) The Minister may give the AUSTRAC CEO a written direction about policies the AUSTRAC CEO should pursue, or priorities the AUSTRAC CEO should follow, in performing any of the AUSTRAC CEO's functions.</t>
        </is>
      </c>
      <c r="P845" s="12" t="n">
        <v>13</v>
      </c>
    </row>
    <row r="846">
      <c r="A846" t="inlineStr">
        <is>
          <t>Australia</t>
        </is>
      </c>
      <c r="B846" t="inlineStr">
        <is>
          <t>C2026C00220 (Australia - Row 2)</t>
        </is>
      </c>
      <c r="C846" t="inlineStr">
        <is>
          <t>351</t>
        </is>
      </c>
      <c r="D846" s="11" t="inlineStr">
        <is>
          <t>AUSTRAC CEO's use of computers for administrative action</t>
        </is>
      </c>
      <c r="E846" t="inlineStr">
        <is>
          <t>369–370</t>
        </is>
      </c>
      <c r="F846" t="inlineStr">
        <is>
          <t>None</t>
        </is>
      </c>
      <c r="G846" t="inlineStr">
        <is>
          <t>High (explicit)</t>
        </is>
      </c>
      <c r="H846" s="11" t="inlineStr">
        <is>
          <t>Cloud Services</t>
        </is>
      </c>
      <c r="I846" s="11" t="inlineStr"/>
      <c r="J846" t="inlineStr">
        <is>
          <t>AUSTRAC CEO</t>
        </is>
      </c>
      <c r="K846" s="11" t="inlineStr">
        <is>
          <t>This section permits the AUSTRAC CEO to arrange for computer programs to be used under their control for administrative actions required by the AML/CTF Rules. It specifies that administrative actions taken via computer programs must align with the Act's objectives and are treated as actions taken by the AUSTRAC CEO for legal purposes.</t>
        </is>
      </c>
      <c r="L846" s="11" t="inlineStr"/>
      <c r="M846" s="11" t="inlineStr">
        <is>
          <t>• [May] The AUSTRAC CEO may, in writing, arrange for the use, under the AUSTRAC CEO's control, of computer programs for any purposes for which the AUSTRAC CEO may or must take administrative action under a provision prescribed by the AML/CTF Rules
• [Definition] The AML/CTF Rules may prescribe a provision for the purposes of subsection (1) if the provision is any of the following: a provision of Part 3A of this Act (Reporting Entities Roll), a provision of Part 6 of this Act (the Remittance Sector Register), a provision of Part 6A of this Act (the Virtual Asset Service Provider Register), a provision of t…</t>
        </is>
      </c>
      <c r="N846" s="11" t="inlineStr">
        <is>
          <t>• [Must] The AUSTRAC CEO must take reasonable steps to ensure that administrative action taken by the operation of a computer program under such an arrangement is consistent with the objects of this Act
• [Definition] Administrative action taken by the operation of a computer program under such an arrangement is, for the purposes of this Act, the AML/CTF Rules and any other instrument made under this Act, taken to be administrative action taken by the AUSTRAC CEO</t>
        </is>
      </c>
      <c r="O846" s="11" t="inlineStr">
        <is>
          <t>351 Compilation
Division 6A—AUSTRAC CEO may use computers to take administrative action
228A AUSTRAC CEO may use computers to take administrative action
(1) The AUSTRAC CEO may, in writing, arrange for the use, under the AUSTRAC CEO's control, of computer programs for any purposes for which the AUSTRAC CEO may or must take administrative action under a provision prescribed by the AML/CTF Rules for the purposes of this subsection.</t>
        </is>
      </c>
      <c r="P846" s="12" t="n">
        <v>13</v>
      </c>
    </row>
    <row r="847">
      <c r="A847" t="inlineStr">
        <is>
          <t>Australia</t>
        </is>
      </c>
      <c r="B847" t="inlineStr">
        <is>
          <t>C2026C00220 (Australia - Row 2)</t>
        </is>
      </c>
      <c r="C847" t="inlineStr">
        <is>
          <t>352</t>
        </is>
      </c>
      <c r="D847" s="11" t="inlineStr">
        <is>
          <t>Substitution of decisions by AUSTRAC CEO</t>
        </is>
      </c>
      <c r="E847" t="inlineStr">
        <is>
          <t>370–371</t>
        </is>
      </c>
      <c r="F847" t="inlineStr">
        <is>
          <t>None</t>
        </is>
      </c>
      <c r="G847" t="inlineStr">
        <is>
          <t>High (explicit)</t>
        </is>
      </c>
      <c r="H847" s="11" t="inlineStr"/>
      <c r="I847" s="11" t="inlineStr"/>
      <c r="J847" t="inlineStr">
        <is>
          <t>AUSTRAC CEO</t>
        </is>
      </c>
      <c r="K847" s="11" t="inlineStr">
        <is>
          <t>This section allows the AUSTRAC CEO to substitute a decision made by computer programs for a decision they initially took, provided they are satisfied the computer-generated decision is incorrect or less preferable. It clarifies that substitutions do not require consideration and that substituted decisions take precedence over original decisions for legal purposes.</t>
        </is>
      </c>
      <c r="L847" s="11" t="inlineStr"/>
      <c r="M847" s="11" t="inlineStr">
        <is>
          <t>• [May] The AUSTRAC CEO may substitute a decision for a decision the AUSTRAC CEO is taken to have made under subsection (4) if the AUSTRAC CEO is satisfied that the decision made by the operation of the computer program is not the correct or preferable decision
• [Must Not] The AUSTRAC CEO does not have a duty to consider whether to exercise the power under subsection (5) in respect of any decision</t>
        </is>
      </c>
      <c r="N847" s="11" t="inlineStr">
        <is>
          <t>• [Definition] If the AUSTRAC CEO is taken under subsection (4) to have made a decision under a provision of this Act, the AML/CTF Rules or an instrument made under this Act, and the AUSTRAC CEO substitutes a decision under subsection (5) for that decision, for the purposes of this Act, the AUSTRAC CEO is taken to have made the substitute decision under the orig…</t>
        </is>
      </c>
      <c r="O847" s="11" t="inlineStr">
        <is>
          <t>352 Compilation
Substituted decisions
(5) The AUSTRAC CEO may substitute a decision for a decision the AUSTRAC CEO is taken to have made under subsection (4) if the AUSTRAC CEO is satisfied that the decision made by the operation of the computer program is not the correct or preferable decision.</t>
        </is>
      </c>
      <c r="P847" s="12" t="n">
        <v>13</v>
      </c>
    </row>
    <row r="848">
      <c r="A848" t="inlineStr">
        <is>
          <t>Australia</t>
        </is>
      </c>
      <c r="B848" t="inlineStr">
        <is>
          <t>C2026C00220 (Australia - Row 2)</t>
        </is>
      </c>
      <c r="C848" t="inlineStr">
        <is>
          <t>353</t>
        </is>
      </c>
      <c r="D848" s="11" t="inlineStr">
        <is>
          <t>AML/CTF Rules and their application</t>
        </is>
      </c>
      <c r="E848" t="inlineStr">
        <is>
          <t>371–373</t>
        </is>
      </c>
      <c r="F848" t="inlineStr">
        <is>
          <t>High</t>
        </is>
      </c>
      <c r="G848" t="inlineStr">
        <is>
          <t>High (explicit)</t>
        </is>
      </c>
      <c r="H848" s="11" t="inlineStr"/>
      <c r="I848" s="11" t="inlineStr">
        <is>
          <t>Financial Data</t>
        </is>
      </c>
      <c r="J848" t="inlineStr">
        <is>
          <t>AUSTRAC CEO</t>
        </is>
      </c>
      <c r="K848" s="11" t="inlineStr">
        <is>
          <t>This section authorizes the AUSTRAC CEO to make rules (the AML/CTF Rules) that prescribe matters required or permitted by other provisions of the Act. It states that AML/CTF Rules are legislative instruments and that the Minister may direct the AUSTRAC CEO on how to exercise their powers to make these rules.</t>
        </is>
      </c>
      <c r="L848" s="11" t="inlineStr"/>
      <c r="M848" s="11" t="inlineStr">
        <is>
          <t>• [May] The AUSTRAC CEO may, by writing, make rules (the AML/CTF Rules) prescribing matters required or permitted by any other provision of this Act to be prescribed by the AML/CTF Rules
• [Definition] AML/CTF Rules are legislative instruments</t>
        </is>
      </c>
      <c r="N848" s="11" t="inlineStr">
        <is>
          <t>• [May] The Minister may give the AUSTRAC CEO a written direction about the exercise of the powers conferred on the AUSTRAC CEO by subsection (1)
• [Must] The AUSTRAC CEO must comply with a direction under subsection (3)</t>
        </is>
      </c>
      <c r="O848" s="11" t="inlineStr">
        <is>
          <t>353 Compilation
Division 7—AML/CTF Rules
229 AML/CTF Rules
(1) The AUSTRAC CEO may, by writing, make rules (the AML/CTF Rules) prescribing matters required or permitted by any other provision of this Act to be prescribed by the AML/CTF Rules.</t>
        </is>
      </c>
      <c r="P848" s="12" t="n">
        <v>13</v>
      </c>
    </row>
    <row r="849">
      <c r="A849" t="inlineStr">
        <is>
          <t>Australia</t>
        </is>
      </c>
      <c r="B849" t="inlineStr">
        <is>
          <t>C2026C00220 (Australia - Row 2)</t>
        </is>
      </c>
      <c r="C849" t="inlineStr">
        <is>
          <t>355</t>
        </is>
      </c>
      <c r="D849" s="11" t="inlineStr">
        <is>
          <t>Vicarious liability for corporate conduct in legal proceedings</t>
        </is>
      </c>
      <c r="E849" t="inlineStr">
        <is>
          <t>373–375</t>
        </is>
      </c>
      <c r="F849" t="inlineStr">
        <is>
          <t>High</t>
        </is>
      </c>
      <c r="G849" t="inlineStr">
        <is>
          <t>High (explicit)</t>
        </is>
      </c>
      <c r="H849" s="11" t="inlineStr"/>
      <c r="I849" s="11" t="inlineStr">
        <is>
          <t>Personal Information</t>
        </is>
      </c>
      <c r="J849" t="inlineStr">
        <is>
          <t>AUSTRAC</t>
        </is>
      </c>
      <c r="K849" s="11" t="inlineStr">
        <is>
          <t>This section establishes vicarious liability for corporate conduct in legal proceedings. It states that conduct engaged in by an employee or agent within their actual or apparent authority is deemed to have been done by the corporation unless the corporation proves it took reasonable precautions and exercised due diligence to avoid the conduct. This applies to both criminal and civil proceedings under the Act.</t>
        </is>
      </c>
      <c r="L849" s="11" t="inlineStr">
        <is>
          <t>This section affects DTIAs by establishing conditions under which corporate liability for employee actions can be avoided through due diligence and reasonable precautions, relevant to third-party processing and cross-border data handling scenarios.</t>
        </is>
      </c>
      <c r="M849" s="11" t="inlineStr">
        <is>
          <t>• [Must] Conduct engaged in by an employee or agent within actual or apparent authority is deemed to have been done by the corporation unless the corporation proves it took reasonable precautions and exercised due diligence</t>
        </is>
      </c>
      <c r="N849" s="11" t="inlineStr"/>
      <c r="O849" s="11" t="inlineStr">
        <is>
          <t>the conduct is taken, for the purposes of a civil proceeding under, or arising out of, this Act, to have been engaged in by the corporation unless the corporation proves that it took reasonable precautions and exercised due diligence to avoid the conduct.</t>
        </is>
      </c>
      <c r="P849" s="12" t="n">
        <v>13</v>
      </c>
    </row>
    <row r="850">
      <c r="A850" t="inlineStr">
        <is>
          <t>Australia</t>
        </is>
      </c>
      <c r="B850" t="inlineStr">
        <is>
          <t>C2026C00220 (Australia - Row 2)</t>
        </is>
      </c>
      <c r="C850" t="inlineStr">
        <is>
          <t>357</t>
        </is>
      </c>
      <c r="D850" s="11" t="inlineStr">
        <is>
          <t>Review of AUSTRAC decisions by Administrative Review Tribunal</t>
        </is>
      </c>
      <c r="E850" t="inlineStr">
        <is>
          <t>375–377</t>
        </is>
      </c>
      <c r="F850" t="inlineStr">
        <is>
          <t>High</t>
        </is>
      </c>
      <c r="G850" t="inlineStr">
        <is>
          <t>High (explicit)</t>
        </is>
      </c>
      <c r="H850" s="11" t="inlineStr"/>
      <c r="I850" s="11" t="inlineStr">
        <is>
          <t>Financial Data</t>
        </is>
      </c>
      <c r="J850" t="inlineStr">
        <is>
          <t>AUSTRAC</t>
        </is>
      </c>
      <c r="K850" s="11" t="inlineStr">
        <is>
          <t>This section outlines the review process for certain AUSTRAC decisions. It specifies that decisions of the AUSTRAC CEO or delegates may be reviewed by the Administrative Review Tribunal following internal reconsideration. It lists specific reviewable decisions including registration refusals, condition impositions, and cancellations related to virtual asset service providers and remittance networks.</t>
        </is>
      </c>
      <c r="L850" s="11" t="inlineStr">
        <is>
          <t>This section matters for DTIAs as it establishes a review mechanism for AUSTRAC decisions that could impact data transfer approvals, particularly for financial entities operating across borders.</t>
        </is>
      </c>
      <c r="M850" s="11" t="inlineStr">
        <is>
          <t>• [Must] Certain decisions of delegates of the AUSTRAC CEO may be reviewed by the Administrative Review Tribunal following internal reconsideration
• [Must] Certain decisions of the AUSTRAC CEO may be reviewed by the Administrative Review Tribunal
• [Must] A decision under subsection 75B(6) or section 75C to refuse registration as a remittance affiliate is reviewable
• [Must] A decision under section 75E to impose conditions on registration is reviewable
• [Must] A decision under section 75G to cancel registration is reviewable
• [Must] A decision under subsection 76D(4) or section 76E to refuse registration as a virtual asset service provider is reviewable</t>
        </is>
      </c>
      <c r="N850" s="11" t="inlineStr">
        <is>
          <t>• [Must] A decision under section 76G to impose conditions on registration is reviewable
• [Must] A decision under section 76J to cancel registration is reviewable
• [Must] A decision under subsection 161(2) to require certain things of a reporting entity is reviewable
• [Must] A decision under subparagraph 161(2)(d)(ii) not to allow a longer period is reviewable
• [Must] A decision under subsection 191(2) to give a reporting entity a direction is reviewable</t>
        </is>
      </c>
      <c r="O850" s="11" t="inlineStr">
        <is>
          <t>Certain decisions of the AUSTRAC CEO may be reviewed by the Administrative Review Tribunal.</t>
        </is>
      </c>
      <c r="P850" s="12" t="n">
        <v>13</v>
      </c>
    </row>
    <row r="851">
      <c r="A851" t="inlineStr">
        <is>
          <t>Australia</t>
        </is>
      </c>
      <c r="B851" t="inlineStr">
        <is>
          <t>C2026C00220 (Australia - Row 2)</t>
        </is>
      </c>
      <c r="C851" t="inlineStr">
        <is>
          <t>359</t>
        </is>
      </c>
      <c r="D851" s="11" t="inlineStr">
        <is>
          <t>Reconsideration of AUSTRAC decisions by AUSTRAC CEO</t>
        </is>
      </c>
      <c r="E851" t="inlineStr">
        <is>
          <t>377–379</t>
        </is>
      </c>
      <c r="F851" t="inlineStr">
        <is>
          <t>High</t>
        </is>
      </c>
      <c r="G851" t="inlineStr">
        <is>
          <t>High (explicit)</t>
        </is>
      </c>
      <c r="H851" s="11" t="inlineStr"/>
      <c r="I851" s="11" t="inlineStr">
        <is>
          <t>Financial Data</t>
        </is>
      </c>
      <c r="J851" t="inlineStr">
        <is>
          <t>AUSTRAC</t>
        </is>
      </c>
      <c r="K851" s="11" t="inlineStr">
        <is>
          <t>This section details the reconsideration process for reviewable decisions made by the AUSTRAC CEO. It requires that applications for reconsideration must include specific information, be made within 30 days of being informed of the decision, and be handled by the AUSTRAC CEO personally or by a senior delegate who was not involved in the original decision. The reconsideration must be followed by written notice to the applicant.</t>
        </is>
      </c>
      <c r="L851" s="11" t="inlineStr">
        <is>
          <t>This section affects DTIAs by establishing a process for reconsidering AUSTRAC decisions that could impact data transfer approvals, particularly for financial entities operating across borders.</t>
        </is>
      </c>
      <c r="M851" s="11" t="inlineStr">
        <is>
          <t>• [Must] An application for reconsideration must contain information required by the AML/CTF Rules
• [Must] An application for reconsideration must be made within 30 days after being informed of the decision
• [Must] The AUSTRAC CEO must reconsider the reviewable decision upon receiving an application
• [Must] The AUSTRAC CEO must affirm, vary or revoke the reviewable decision</t>
        </is>
      </c>
      <c r="N851" s="11" t="inlineStr">
        <is>
          <t>• [Must] The AUSTRAC CEO must make other decisions if the reviewable decision is revoked
• [Must] The AUSTRAC CEO must personally handle reconsideration or delegate to a senior person not involved in the original decision
• [Must] The AUSTRAC CEO must give written notice to the applicant of the decision, effective date, reasons, and right to further review</t>
        </is>
      </c>
      <c r="O851" s="11" t="inlineStr">
        <is>
          <t>Upon receiving an application under section 233D, the AUSTRAC CEO must reconsider the reviewable decision.</t>
        </is>
      </c>
      <c r="P851" s="12" t="n">
        <v>13</v>
      </c>
    </row>
    <row r="852">
      <c r="A852" t="inlineStr">
        <is>
          <t>Australia</t>
        </is>
      </c>
      <c r="B852" t="inlineStr">
        <is>
          <t>C2026C00220 (Australia - Row 2)</t>
        </is>
      </c>
      <c r="C852" t="inlineStr">
        <is>
          <t>361</t>
        </is>
      </c>
      <c r="D852" s="11" t="inlineStr">
        <is>
          <t>Exemptions for specific entities and circumstances</t>
        </is>
      </c>
      <c r="E852" t="inlineStr">
        <is>
          <t>379–381</t>
        </is>
      </c>
      <c r="F852" t="inlineStr">
        <is>
          <t>High</t>
        </is>
      </c>
      <c r="G852" t="inlineStr">
        <is>
          <t>High (explicit)</t>
        </is>
      </c>
      <c r="H852" s="11" t="inlineStr"/>
      <c r="I852" s="11" t="inlineStr">
        <is>
          <t>Financial Data</t>
        </is>
      </c>
      <c r="J852" t="inlineStr">
        <is>
          <t>AUSTRAC</t>
        </is>
      </c>
      <c r="K852" s="11" t="inlineStr">
        <is>
          <t>This section provides exemptions for certain persons and circumstances. It specifies that the Reserve Bank of Australia is exempt from certain provisions of the Act, including parts of the Act related to reporting entities and financial services. It also outlines exemptions for entities operating no more than 15 gaming machines that provide specific designated services.</t>
        </is>
      </c>
      <c r="L852" s="11" t="inlineStr">
        <is>
          <t>This section affects DTIAs by identifying specific entities that may be exempt from data transfer requirements, particularly for gaming-related financial services.</t>
        </is>
      </c>
      <c r="M852" s="11" t="inlineStr">
        <is>
          <t>• [Must] The Reserve Bank of Australia is exempt from Part 1A of the Act
• [Must] The Reserve Bank of Australia is exempt from Divisions 2 to 7 (other than section 39) of Part 2
• [Must] The Reserve Bank of Australia is exempt from Divisions 3 to 6 (other than section 49) of Part 3
• [Must] The Reserve Bank of Australia is exempt from Parts 4, 5 and 8</t>
        </is>
      </c>
      <c r="N852" s="11" t="inlineStr">
        <is>
          <t>• [Must] The Reserve Bank of Australia is exempt from Divisions 3 to 6 of Part 10
• [Must] The Reserve Bank of Australia is exempt from section 236B
• [Must] Reporting entities operating no more than 15 gaming machines are exempt from certain provisions</t>
        </is>
      </c>
      <c r="O852" s="11" t="inlineStr">
        <is>
          <t>This Part provides that certain provisions of this Act do not apply to certain persons, or in certain circumstances.</t>
        </is>
      </c>
      <c r="P852" s="12" t="n">
        <v>13</v>
      </c>
    </row>
    <row r="853">
      <c r="A853" t="inlineStr">
        <is>
          <t>Australia</t>
        </is>
      </c>
      <c r="B853" t="inlineStr">
        <is>
          <t>C2026C00220 (Australia - Row 2)</t>
        </is>
      </c>
      <c r="C853" t="inlineStr">
        <is>
          <t>363</t>
        </is>
      </c>
      <c r="D853" s="11" t="inlineStr">
        <is>
          <t>Protection from liability for compliance with Act</t>
        </is>
      </c>
      <c r="E853" t="inlineStr">
        <is>
          <t>381–383</t>
        </is>
      </c>
      <c r="F853" t="inlineStr">
        <is>
          <t>High</t>
        </is>
      </c>
      <c r="G853" t="inlineStr">
        <is>
          <t>High (explicit)</t>
        </is>
      </c>
      <c r="H853" s="11" t="inlineStr"/>
      <c r="I853" s="11" t="inlineStr">
        <is>
          <t>Financial Data</t>
        </is>
      </c>
      <c r="J853" t="inlineStr">
        <is>
          <t>AUSTRAC</t>
        </is>
      </c>
      <c r="K853" s="11" t="inlineStr">
        <is>
          <t>This section provides protection from liability for actions taken in compliance with the Act, regulations, or AML/CTF Rules. It states that actions taken in good faith to comply with requirements under the Act do not constitute a contravention, and that a defense can be established if the defendant proves they took reasonable precautions and exercised due diligence to avoid the contravention.</t>
        </is>
      </c>
      <c r="L853" s="11" t="inlineStr">
        <is>
          <t>This section matters for DTIAs as it establishes a defense mechanism for data transfers that comply with regulatory requirements, reducing liability for cross-border data transfers.</t>
        </is>
      </c>
      <c r="M853" s="11" t="inlineStr">
        <is>
          <t>• [Must] Actions taken in compliance with the Act, regulations, or AML/CTF Rules do not constitute a contravention</t>
        </is>
      </c>
      <c r="N853" s="11" t="inlineStr">
        <is>
          <t>• [Must] A defense can be established if the defendant proves they took reasonable precautions and exercised due diligence</t>
        </is>
      </c>
      <c r="O853" s="11" t="inlineStr">
        <is>
          <t>An action, suit or proceeding does not lie against a person in relation to anything done, or omitted to be done, in compliance, or in purported compliance, with a requirement under this Act, the regulations or the AML/CTF Rules.</t>
        </is>
      </c>
      <c r="P853" s="12" t="n">
        <v>13</v>
      </c>
    </row>
    <row r="854">
      <c r="A854" t="inlineStr">
        <is>
          <t>Australia</t>
        </is>
      </c>
      <c r="B854" t="inlineStr">
        <is>
          <t>C2026C00220 (Australia - Row 2)</t>
        </is>
      </c>
      <c r="C854" t="inlineStr">
        <is>
          <t>365</t>
        </is>
      </c>
      <c r="D854" s="11" t="inlineStr">
        <is>
          <t>Defense of taking reasonable precautions to avoid contraventions</t>
        </is>
      </c>
      <c r="E854" t="inlineStr">
        <is>
          <t>383–385</t>
        </is>
      </c>
      <c r="F854" t="inlineStr">
        <is>
          <t>High</t>
        </is>
      </c>
      <c r="G854" t="inlineStr">
        <is>
          <t>High (explicit)</t>
        </is>
      </c>
      <c r="H854" s="11" t="inlineStr"/>
      <c r="I854" s="11" t="inlineStr">
        <is>
          <t>Financial Data</t>
        </is>
      </c>
      <c r="J854" t="inlineStr">
        <is>
          <t>AUSTRAC</t>
        </is>
      </c>
      <c r="K854" s="11" t="inlineStr">
        <is>
          <t>This section establishes a defense for contraventions where the defendant proves they took reasonable precautions and exercised due diligence to avoid the contravention. It applies to criminal proceedings, civil penalty proceedings, and proceedings under the Proceeds of Crime Act 2002. The defense requires the defendant to demonstrate they took reasonable steps to avoid the contravention.</t>
        </is>
      </c>
      <c r="L854" s="11" t="inlineStr">
        <is>
          <t>This section affects DTIAs by providing a defense mechanism for data transfers that comply with regulatory requirements, particularly for cross-border data transfers.</t>
        </is>
      </c>
      <c r="M854" s="11" t="inlineStr">
        <is>
          <t>• [Must] In criminal proceedings, the defendant must prove they took reasonable precautions and exercised due diligence to avoid the contravention
• [Must] In civil penalty proceedings, the defendant must prove they took reasonable precautions and exercised due diligence to avoid the contravention</t>
        </is>
      </c>
      <c r="N854" s="11" t="inlineStr">
        <is>
          <t>• [Must] In proceedings under the Proceeds of Crime Act 2002, the defendant must prove they took reasonable precautions and exercised due diligence to avoid the contravention</t>
        </is>
      </c>
      <c r="O854" s="11" t="inlineStr">
        <is>
          <t>In the proceedings, it is a defence if the defendant proves that the defendant took reasonable precautions, and exercised due diligence, to avoid the contravention in respect of which the proceedings were instituted.</t>
        </is>
      </c>
      <c r="P854" s="12" t="n">
        <v>13</v>
      </c>
    </row>
    <row r="855">
      <c r="A855" t="inlineStr">
        <is>
          <t>Australia</t>
        </is>
      </c>
      <c r="B855" t="inlineStr">
        <is>
          <t>C2026C00220 (Australia - Row 2)</t>
        </is>
      </c>
      <c r="C855" t="inlineStr">
        <is>
          <t>367</t>
        </is>
      </c>
      <c r="D855" s="11" t="inlineStr">
        <is>
          <t>Discharge of obligations by reporting group members</t>
        </is>
      </c>
      <c r="E855" t="inlineStr">
        <is>
          <t>385–387</t>
        </is>
      </c>
      <c r="F855" t="inlineStr">
        <is>
          <t>High</t>
        </is>
      </c>
      <c r="G855" t="inlineStr">
        <is>
          <t>High (explicit)</t>
        </is>
      </c>
      <c r="H855" s="11" t="inlineStr">
        <is>
          <t>Cross-border Transfer, International Processing, Third Party Processing, Governance</t>
        </is>
      </c>
      <c r="I855" s="11" t="inlineStr">
        <is>
          <t>Financial Data</t>
        </is>
      </c>
      <c r="J855" t="inlineStr">
        <is>
          <t>AUSTRAC</t>
        </is>
      </c>
      <c r="K855" s="11" t="inlineStr">
        <is>
          <t>This section allows obligations imposed on reporting entities within a reporting group to be discharged by other group members. The lead entity is deemed to have received information from AUSTRAC regarding risk assessments. A civil penalty provision contravened by a non-lead entity is also considered contravened by the lead entity. The section specifies conditions for discharge and applies to reporting groups under the AML/CTF Rules.</t>
        </is>
      </c>
      <c r="L855" s="11" t="inlineStr">
        <is>
          <t>This section clarifies how obligations within reporting groups can be discharged by members, relevant for DTIAs involving group entities where risk assessments and civil penalties may be shared across entities.</t>
        </is>
      </c>
      <c r="M855" s="11" t="inlineStr">
        <is>
          <t>• [Must] Obligations imposed on reporting entities in a reporting group may be discharged by other group members
• [Must] The lead entity is deemed to have received information from AUSTRAC regarding risk assessments</t>
        </is>
      </c>
      <c r="N855" s="11" t="inlineStr">
        <is>
          <t>• [Must] Civil penalty provisions contravened by non-lead entities are also contravened by the lead entity</t>
        </is>
      </c>
      <c r="O855" s="11" t="inlineStr">
        <is>
          <t>367 (c) that the lead entity is taken to have received any information communicated either directly or indirectly by AUSTRAC to the ordinary member that identifies or assesses the risks associated with the ordinary member's provision of the designated service; and (d) a circumstance specified by the AML/CTF Rules.</t>
        </is>
      </c>
      <c r="P855" s="12" t="n">
        <v>13</v>
      </c>
    </row>
    <row r="856">
      <c r="A856" t="inlineStr">
        <is>
          <t>Australia</t>
        </is>
      </c>
      <c r="B856" t="inlineStr">
        <is>
          <t>C2026C00220 (Australia - Row 2)</t>
        </is>
      </c>
      <c r="C856" t="inlineStr">
        <is>
          <t>391</t>
        </is>
      </c>
      <c r="D856" s="11" t="inlineStr">
        <is>
          <t>Compilation of legislative divisions</t>
        </is>
      </c>
      <c r="E856" t="inlineStr">
        <is>
          <t>409–411</t>
        </is>
      </c>
      <c r="F856" t="inlineStr">
        <is>
          <t>None</t>
        </is>
      </c>
      <c r="G856" t="inlineStr">
        <is>
          <t>High (explicit)</t>
        </is>
      </c>
      <c r="H856" s="11" t="inlineStr"/>
      <c r="I856" s="11" t="inlineStr"/>
      <c r="J856" t="inlineStr"/>
      <c r="K856" s="11" t="inlineStr">
        <is>
          <t>This section compiles the divisions of the Act into a structured format for reference. It lists all divisions (1-7) and their associated amendments and repeals. The section serves as an organizational tool to clarify the structure of the Act without imposing new obligations.</t>
        </is>
      </c>
      <c r="L856" s="11" t="inlineStr"/>
      <c r="M856" s="11" t="inlineStr">
        <is>
          <t>• [Other] Compilation of divisions 1-7</t>
        </is>
      </c>
      <c r="N856" s="11" t="inlineStr"/>
      <c r="O856" s="11" t="inlineStr">
        <is>
          <t>Compilation
How affected
Part 1A
Division 1
Division 2
Division 3
Division 4
Division 5
Division 6
Division 7</t>
        </is>
      </c>
      <c r="P856" s="12" t="n">
        <v>13</v>
      </c>
    </row>
    <row r="857">
      <c r="A857" t="inlineStr">
        <is>
          <t>Australia</t>
        </is>
      </c>
      <c r="B857" t="inlineStr">
        <is>
          <t>C2026C00220 (Australia - Row 2)</t>
        </is>
      </c>
      <c r="C857" t="inlineStr">
        <is>
          <t>393</t>
        </is>
      </c>
      <c r="D857" s="11" t="inlineStr">
        <is>
          <t>Compilation of legislative divisions with amendments</t>
        </is>
      </c>
      <c r="E857" t="inlineStr">
        <is>
          <t>411–413</t>
        </is>
      </c>
      <c r="F857" t="inlineStr">
        <is>
          <t>None</t>
        </is>
      </c>
      <c r="G857" t="inlineStr">
        <is>
          <t>High (explicit)</t>
        </is>
      </c>
      <c r="H857" s="11" t="inlineStr"/>
      <c r="I857" s="11" t="inlineStr"/>
      <c r="J857" t="inlineStr"/>
      <c r="K857" s="11" t="inlineStr">
        <is>
          <t>This section compiles the divisions of the Act with specific amendments and repeals. It lists all divisions (1-5) and their associated amendments, including those from 2011, 2012, 2015, 2020, and 2024. The section provides a reference for tracking changes to the Act.</t>
        </is>
      </c>
      <c r="L857" s="11" t="inlineStr"/>
      <c r="M857" s="11" t="inlineStr">
        <is>
          <t>• [Other] Compilation of divisions 1-5 with amendments</t>
        </is>
      </c>
      <c r="N857" s="11" t="inlineStr"/>
      <c r="O857" s="11" t="inlineStr">
        <is>
          <t>Compilation
How affected
ad No 60, 2011
ad No 60, 2011
ad No 60, 2011
rs No 197, 2012
ad No 60, 2011</t>
        </is>
      </c>
      <c r="P857" s="12" t="n">
        <v>13</v>
      </c>
    </row>
    <row r="858">
      <c r="A858" t="inlineStr">
        <is>
          <t>Australia</t>
        </is>
      </c>
      <c r="B858" t="inlineStr">
        <is>
          <t>C2026C00220 (Australia - Row 2)</t>
        </is>
      </c>
      <c r="C858" t="inlineStr">
        <is>
          <t>395</t>
        </is>
      </c>
      <c r="D858" s="11" t="inlineStr">
        <is>
          <t>Compilation of legislative parts with amendments</t>
        </is>
      </c>
      <c r="E858" t="inlineStr">
        <is>
          <t>413–415</t>
        </is>
      </c>
      <c r="F858" t="inlineStr">
        <is>
          <t>None</t>
        </is>
      </c>
      <c r="G858" t="inlineStr">
        <is>
          <t>High (explicit)</t>
        </is>
      </c>
      <c r="H858" s="11" t="inlineStr"/>
      <c r="I858" s="11" t="inlineStr"/>
      <c r="J858" t="inlineStr"/>
      <c r="K858" s="11" t="inlineStr">
        <is>
          <t>This section compiles the parts of the Act with specific amendments and repeals. It lists parts 3A, 4, 5, and 6 with amendments from 2011, 2015, 2018, 2022, and 2024. The section serves as a reference for tracking changes to the Act's structure.</t>
        </is>
      </c>
      <c r="L858" s="11" t="inlineStr"/>
      <c r="M858" s="11" t="inlineStr">
        <is>
          <t>• [Other] Compilation of parts 3A, 4, 5, 6 with amendments</t>
        </is>
      </c>
      <c r="N858" s="11" t="inlineStr"/>
      <c r="O858" s="11" t="inlineStr">
        <is>
          <t>Compilation
How affected
am No 110, 2024; No 75, 2025
Part 3A
ad No 56, 2011</t>
        </is>
      </c>
      <c r="P858" s="12" t="n">
        <v>13</v>
      </c>
    </row>
    <row r="859">
      <c r="A859" t="inlineStr">
        <is>
          <t>Australia</t>
        </is>
      </c>
      <c r="B859" t="inlineStr">
        <is>
          <t>C2026C00220 (Australia - Row 2)</t>
        </is>
      </c>
      <c r="C859" t="inlineStr">
        <is>
          <t>397</t>
        </is>
      </c>
      <c r="D859" s="11" t="inlineStr">
        <is>
          <t>Compilation of legislative divisions with amendments</t>
        </is>
      </c>
      <c r="E859" t="inlineStr">
        <is>
          <t>415–417</t>
        </is>
      </c>
      <c r="F859" t="inlineStr">
        <is>
          <t>None</t>
        </is>
      </c>
      <c r="G859" t="inlineStr">
        <is>
          <t>High (explicit)</t>
        </is>
      </c>
      <c r="H859" s="11" t="inlineStr"/>
      <c r="I859" s="11" t="inlineStr"/>
      <c r="J859" t="inlineStr"/>
      <c r="K859" s="11" t="inlineStr">
        <is>
          <t>This section compiles the divisions of the Act with specific amendments and repeals. It lists divisions 1-3 and parts 6A with amendments from 2011, 2013, 2015, 2017, and 2024. The section provides a reference for tracking changes to the Act.</t>
        </is>
      </c>
      <c r="L859" s="11" t="inlineStr"/>
      <c r="M859" s="11" t="inlineStr">
        <is>
          <t>• [Other] Compilation of divisions 1-3 and parts 6A with amendments</t>
        </is>
      </c>
      <c r="N859" s="11" t="inlineStr"/>
      <c r="O859" s="11" t="inlineStr">
        <is>
          <t>Compilation
How affected
Division 1
ad No 60, 2011
am No 60, 2011; No 74, 2013; No 110, 2024</t>
        </is>
      </c>
      <c r="P859" s="12" t="n">
        <v>13</v>
      </c>
    </row>
    <row r="860">
      <c r="A860" t="inlineStr">
        <is>
          <t>Australia</t>
        </is>
      </c>
      <c r="B860" t="inlineStr">
        <is>
          <t>C2026C00220 (Australia - Row 2)</t>
        </is>
      </c>
      <c r="C860" t="inlineStr">
        <is>
          <t>399</t>
        </is>
      </c>
      <c r="D860" s="11" t="inlineStr">
        <is>
          <t>Compilation of legislative parts with amendments</t>
        </is>
      </c>
      <c r="E860" t="inlineStr">
        <is>
          <t>417–419</t>
        </is>
      </c>
      <c r="F860" t="inlineStr">
        <is>
          <t>None</t>
        </is>
      </c>
      <c r="G860" t="inlineStr">
        <is>
          <t>High (explicit)</t>
        </is>
      </c>
      <c r="H860" s="11" t="inlineStr"/>
      <c r="I860" s="11" t="inlineStr"/>
      <c r="J860" t="inlineStr"/>
      <c r="K860" s="11" t="inlineStr">
        <is>
          <t>This section compiles the parts of the Act with specific amendments and repeals. It lists parts 8, 9, 10 with amendments from 2007, 2011, 2015, and 2020. The section serves as a reference for tracking changes to the Act.</t>
        </is>
      </c>
      <c r="L860" s="11" t="inlineStr"/>
      <c r="M860" s="11" t="inlineStr">
        <is>
          <t>• [Other] Compilation of parts 8, 9, 10 with amendments</t>
        </is>
      </c>
      <c r="N860" s="11" t="inlineStr"/>
      <c r="O860" s="11" t="inlineStr">
        <is>
          <t>Compilation
How affected
am No 126, 2015
am No 126, 2015
Part 8
Part 9
am No 126, 2015</t>
        </is>
      </c>
      <c r="P860" s="12" t="n">
        <v>13</v>
      </c>
    </row>
    <row r="861">
      <c r="A861" t="inlineStr">
        <is>
          <t>Australia</t>
        </is>
      </c>
      <c r="B861" t="inlineStr">
        <is>
          <t>C2026C00220 (Australia - Row 2)</t>
        </is>
      </c>
      <c r="C861" t="inlineStr">
        <is>
          <t>401</t>
        </is>
      </c>
      <c r="D861" s="11" t="inlineStr">
        <is>
          <t>Compilation of legislative divisions with amendments</t>
        </is>
      </c>
      <c r="E861" t="inlineStr">
        <is>
          <t>419–421</t>
        </is>
      </c>
      <c r="F861" t="inlineStr">
        <is>
          <t>None</t>
        </is>
      </c>
      <c r="G861" t="inlineStr">
        <is>
          <t>High (explicit)</t>
        </is>
      </c>
      <c r="H861" s="11" t="inlineStr"/>
      <c r="I861" s="11" t="inlineStr"/>
      <c r="J861" t="inlineStr"/>
      <c r="K861" s="11" t="inlineStr">
        <is>
          <t>This section compiles the divisions of the Act with specific amendments and repeals. It lists divisions 3-7 and parts 11 with amendments from 2007, 2010, 2011, 2013, 2014, 2015, 2016, 2017, 2018, 2022, and 2024. The section provides a reference for tracking changes to the Act.</t>
        </is>
      </c>
      <c r="L861" s="11" t="inlineStr"/>
      <c r="M861" s="11" t="inlineStr">
        <is>
          <t>• [Other] Compilation of divisions 3-7 and parts 11 with amendments</t>
        </is>
      </c>
      <c r="N861" s="11" t="inlineStr"/>
      <c r="O861" s="11" t="inlineStr">
        <is>
          <t>Compilation
How affected
Division 3
Division 5
Division 6
Division 7
Part 11</t>
        </is>
      </c>
      <c r="P861" s="12" t="n">
        <v>13</v>
      </c>
    </row>
    <row r="862">
      <c r="A862" t="inlineStr">
        <is>
          <t>Australia</t>
        </is>
      </c>
      <c r="B862" t="inlineStr">
        <is>
          <t>C2026C00220 (Australia - Row 2)</t>
        </is>
      </c>
      <c r="C862" t="inlineStr">
        <is>
          <t>403</t>
        </is>
      </c>
      <c r="D862" s="11" t="inlineStr">
        <is>
          <t>Compilation of amendments and repeals affecting the Act</t>
        </is>
      </c>
      <c r="E862" t="inlineStr">
        <is>
          <t>421–423</t>
        </is>
      </c>
      <c r="F862" t="inlineStr">
        <is>
          <t>None</t>
        </is>
      </c>
      <c r="G862" t="inlineStr">
        <is>
          <t>High (explicit)</t>
        </is>
      </c>
      <c r="H862" s="11" t="inlineStr"/>
      <c r="I862" s="11" t="inlineStr"/>
      <c r="J862" t="inlineStr"/>
      <c r="K862" s="11" t="inlineStr">
        <is>
          <t>This section compiles amendments and repeals to the Act that have affected specific divisions and parts. It lists the amendments (am) and repeals (rep) that have been made to the Act over time, indicating which sections have been modified or removed. The text shows a series of amendments and repeals that affect various parts of the Act, including divisions and subdivisions.</t>
        </is>
      </c>
      <c r="L862" s="11" t="inlineStr"/>
      <c r="M862" s="11" t="inlineStr">
        <is>
          <t>• [Must] Compiles amendments and repeals affecting the Act</t>
        </is>
      </c>
      <c r="N862" s="11" t="inlineStr"/>
      <c r="O862" s="11" t="inlineStr">
        <is>
          <t>403 Compilation How affected No 73, 2008; No 3, 2011; No 74, 2013</t>
        </is>
      </c>
      <c r="P862" s="12" t="n">
        <v>13</v>
      </c>
    </row>
    <row r="863">
      <c r="A863" t="inlineStr">
        <is>
          <t>Australia</t>
        </is>
      </c>
      <c r="B863" t="inlineStr">
        <is>
          <t>C2026C00224VOL01 (Australia - Row 27)</t>
        </is>
      </c>
      <c r="C863" t="inlineStr">
        <is>
          <t>1</t>
        </is>
      </c>
      <c r="D863" s="11" t="inlineStr">
        <is>
          <t>Telecommunications Act 1997 commencement and objects</t>
        </is>
      </c>
      <c r="E863" t="inlineStr">
        <is>
          <t>17–19</t>
        </is>
      </c>
      <c r="F863" t="inlineStr">
        <is>
          <t>None</t>
        </is>
      </c>
      <c r="G863" t="inlineStr">
        <is>
          <t>High (explicit)</t>
        </is>
      </c>
      <c r="H863" s="11" t="inlineStr"/>
      <c r="I863" s="11" t="inlineStr"/>
      <c r="J863" t="inlineStr"/>
      <c r="K863" s="11" t="inlineStr">
        <is>
          <t>This section outlines the commencement dates for the Telecommunications Act 1997 and its primary objectives. The Act commences on the day of Royal Assent for most provisions, with specific sections starting on June 5, 1997, or July 1, 1997. Its main purpose is to promote end-user interests, industry efficiency, and affordable telecommunications services in Australia, aligned with the Competition and Consumer Act 2010.</t>
        </is>
      </c>
      <c r="L863" s="11" t="inlineStr"/>
      <c r="M863" s="11" t="inlineStr">
        <is>
          <t>• [Must] This Act may be cited as the Telecommunications Act 1997
• [Must] Sections 52 to 55 commence on 5 June 1997</t>
        </is>
      </c>
      <c r="N863" s="11" t="inlineStr">
        <is>
          <t>• [Must] The remaining provisions commence on 1 July 1997</t>
        </is>
      </c>
      <c r="O863" s="11" t="inlineStr">
        <is>
          <t>This Act may be cited as the Telecommunications Act 1997. Sections 52 to 55 (inclusive) commence on 5 June 1997. The remaining provisions of this Act commence on 1 July 1997.</t>
        </is>
      </c>
      <c r="P863" s="12" t="n">
        <v>14</v>
      </c>
    </row>
    <row r="864">
      <c r="A864" t="inlineStr">
        <is>
          <t>Australia</t>
        </is>
      </c>
      <c r="B864" t="inlineStr">
        <is>
          <t>C2026C00224VOL01 (Australia - Row 27)</t>
        </is>
      </c>
      <c r="C864" t="inlineStr">
        <is>
          <t>3</t>
        </is>
      </c>
      <c r="D864" s="11" t="inlineStr">
        <is>
          <t>Telecommunications Act 1997 regulatory policy and service providers</t>
        </is>
      </c>
      <c r="E864" t="inlineStr">
        <is>
          <t>19–21</t>
        </is>
      </c>
      <c r="F864" t="inlineStr">
        <is>
          <t>Low</t>
        </is>
      </c>
      <c r="G864" t="inlineStr">
        <is>
          <t>High (explicit)</t>
        </is>
      </c>
      <c r="H864" s="11" t="inlineStr"/>
      <c r="I864" s="11" t="inlineStr"/>
      <c r="J864" t="inlineStr"/>
      <c r="K864" s="11" t="inlineStr">
        <is>
          <t>This section details the regulatory policy for telecommunications, emphasizing industry self-regulation and minimal administrative burdens. It specifies that telecommunications must be regulated in a way that promotes industry self-regulation without imposing undue financial or administrative costs, while ensuring regulatory effectiveness for achieving the Act's stated objectives.</t>
        </is>
      </c>
      <c r="L864" s="11" t="inlineStr"/>
      <c r="M864" s="11" t="inlineStr">
        <is>
          <t>• [Must] Telecommunications must be regulated to promote the greatest practicable use of industry self-regulation</t>
        </is>
      </c>
      <c r="N864" s="11" t="inlineStr">
        <is>
          <t>• [Must Not] Regulation must not impose undue financial or administrative burdens on industry participants</t>
        </is>
      </c>
      <c r="O864" s="11" t="inlineStr">
        <is>
          <t>The Parliament intends that telecommunications be regulated in a manner that: (a) promotes the greatest practicable use of industry self-regulation; and (b) does not impose undue financial and administrative burdens on participants in the Australian telecommunications industry; but does not compromise the effectiveness of regulation in achieving the objects mentioned in section 3.</t>
        </is>
      </c>
      <c r="P864" s="12" t="n">
        <v>14</v>
      </c>
    </row>
    <row r="865">
      <c r="A865" t="inlineStr">
        <is>
          <t>Australia</t>
        </is>
      </c>
      <c r="B865" t="inlineStr">
        <is>
          <t>C2026C00224VOL01 (Australia - Row 27)</t>
        </is>
      </c>
      <c r="C865" t="inlineStr">
        <is>
          <t>5</t>
        </is>
      </c>
      <c r="D865" s="11" t="inlineStr">
        <is>
          <t>Telecommunications Act 1997 service provider definitions and ACMA responsibilities</t>
        </is>
      </c>
      <c r="E865" t="inlineStr">
        <is>
          <t>21–23</t>
        </is>
      </c>
      <c r="F865" t="inlineStr">
        <is>
          <t>None</t>
        </is>
      </c>
      <c r="G865" t="inlineStr">
        <is>
          <t>High (explicit)</t>
        </is>
      </c>
      <c r="H865" s="11" t="inlineStr"/>
      <c r="I865" s="11" t="inlineStr"/>
      <c r="J865" t="inlineStr">
        <is>
          <t>ACMA</t>
        </is>
      </c>
      <c r="K865" s="11" t="inlineStr">
        <is>
          <t>This section defines key telecommunications entities, including carriers, carriage service providers, content service providers, and outlines ACMA's responsibilities. It specifies that carriers must hold licenses for network units, service providers must comply with rules, and ACMA must monitor carrier performance and establish registries like the SMS Sender ID Register.</t>
        </is>
      </c>
      <c r="L865" s="11" t="inlineStr"/>
      <c r="M865" s="11" t="inlineStr">
        <is>
          <t>• [Must] A carrier is the holder of a carrier licence granted under this Act
• [Must] The owner of a network unit must hold a carrier licence unless responsibility is transferred
• [Must] Carriers and carriage service providers must protect the confidentiality of communications</t>
        </is>
      </c>
      <c r="N865" s="11" t="inlineStr">
        <is>
          <t>• [Must] ACMA must monitor and report significant matters relating to carrier performance annually
• [Must] ACMA must ensure the SMS Sender ID Register is established and maintained</t>
        </is>
      </c>
      <c r="O865" s="11" t="inlineStr">
        <is>
          <t>The ACMA is to monitor, and report each year to the Minister on, significant matters relating to the performance of carriers and carriage service providers. The ACMA must ensure that the SMS Sender ID Register is established and maintained.</t>
        </is>
      </c>
      <c r="P865" s="12" t="n">
        <v>14</v>
      </c>
    </row>
    <row r="866">
      <c r="A866" t="inlineStr">
        <is>
          <t>Australia</t>
        </is>
      </c>
      <c r="B866" t="inlineStr">
        <is>
          <t>C2026C00224VOL01 (Australia - Row 27)</t>
        </is>
      </c>
      <c r="C866" t="inlineStr">
        <is>
          <t>32</t>
        </is>
      </c>
      <c r="D866" s="11" t="inlineStr">
        <is>
          <t>Telecommunications Act 1997 definitions for telecommunications entities</t>
        </is>
      </c>
      <c r="E866" t="inlineStr">
        <is>
          <t>24–31</t>
        </is>
      </c>
      <c r="F866" t="inlineStr">
        <is>
          <t>None</t>
        </is>
      </c>
      <c r="G866" t="inlineStr">
        <is>
          <t>High (explicit)</t>
        </is>
      </c>
      <c r="H866" s="11" t="inlineStr"/>
      <c r="I866" s="11" t="inlineStr"/>
      <c r="J866" t="inlineStr"/>
      <c r="K866" s="11" t="inlineStr">
        <is>
          <t>This section provides detailed definitions for telecommunications entities, including carriers, carriage service providers, content service providers, and regulatory bodies like ACMA and ACCC. It clarifies terms such as 'carriage service', 'carriage service provider', 'carrier', and 'carriage licence', which are critical for understanding the Act's scope and obligations.</t>
        </is>
      </c>
      <c r="L866" s="11" t="inlineStr"/>
      <c r="M866" s="11" t="inlineStr">
        <is>
          <t>• [Must] ACMA means the Australian Communications and Media Authority
• [Must] ACMA's telecommunications functions means the functions that are telecommunications functions for the ACMA under the Australian Communications and Media Authority Act 2005
• [Must] ACMA's telecommunications powers means the powers conferred on the ACMA by specific Acts</t>
        </is>
      </c>
      <c r="N866" s="11" t="inlineStr">
        <is>
          <t>• [Must] Carriage service means a service for carrying communications by means of guided and/or unguided electromagnetic energy
• [Must] Carriage service provider has the meaning given by section 87</t>
        </is>
      </c>
      <c r="O866" s="11" t="inlineStr">
        <is>
          <t>In this Act, unless the contrary intention appears: ACCC means the Australian Competition and Consumer Commission. ACMA means the Australian Communications and Media Authority. Carriage service means a service for carrying communications by means of guided and/or unguided electromagnetic energy.</t>
        </is>
      </c>
      <c r="P866" s="12" t="n">
        <v>14</v>
      </c>
    </row>
    <row r="867">
      <c r="A867" t="inlineStr">
        <is>
          <t>Australia</t>
        </is>
      </c>
      <c r="B867" t="inlineStr">
        <is>
          <t>C2026C00224VOL01 (Australia - Row 27)</t>
        </is>
      </c>
      <c r="C867" t="inlineStr">
        <is>
          <t>32 (part 2)</t>
        </is>
      </c>
      <c r="D867" s="11" t="inlineStr">
        <is>
          <t>Technical definitions for telecommunications services</t>
        </is>
      </c>
      <c r="E867" t="inlineStr">
        <is>
          <t>31–38</t>
        </is>
      </c>
      <c r="F867" t="inlineStr">
        <is>
          <t>Medium</t>
        </is>
      </c>
      <c r="G867" t="inlineStr">
        <is>
          <t>High (explicit)</t>
        </is>
      </c>
      <c r="H867" s="11" t="inlineStr"/>
      <c r="I867" s="11" t="inlineStr"/>
      <c r="J867" t="inlineStr"/>
      <c r="K867" s="11" t="inlineStr">
        <is>
          <t>This section defines key terms used in telecommunications regulation, including network units, facilities, carriage services, and industry-specific terms. It specifies that certain entities like police forces and emergency services qualify as exempt network-users if they use network units for communication purposes. The definitions cover technical infrastructure, service providers, and regulatory frameworks relevant to telecommunications operations in Australia.</t>
        </is>
      </c>
      <c r="L867" s="11" t="inlineStr">
        <is>
          <t>These definitions establish the technical scope for telecommunications services, which is critical for determining what constitutes cross-border data transfers under international regulations. They help clarify when data flows between entities in Australia and other jurisdictions.</t>
        </is>
      </c>
      <c r="M867" s="11" t="inlineStr">
        <is>
          <t>• [Definition] exempt network-user means a person who is entitled to use a network unit to supply a carriage service and whose entitlement derives from rights granted to a carrier
• [Definition] exempt network-user includes police forces, fire services, ambulance services, and emergency services using network units for communication between members or with other forces
• [Definition] facility means any part of telecommunications infrastructure or equipment used in a network</t>
        </is>
      </c>
      <c r="N867" s="11" t="inlineStr">
        <is>
          <t>• [Definition] internet carriage service means a service enabling end-users to access the internet
• [Definition] line means a physical medium used for carrying communications</t>
        </is>
      </c>
      <c r="O867" s="11" t="inlineStr">
        <is>
          <t>Section 7: exempt network-user means: (a) a person who is entitled to use a network unit to supply a carriage service; and whose entitlement derives, directly or indirectly, from rights granted to a carrier; or (b) if a police force or service uses a network unit for communication between members or with other forces...</t>
        </is>
      </c>
      <c r="P867" s="12" t="n">
        <v>14</v>
      </c>
    </row>
    <row r="868">
      <c r="A868" t="inlineStr">
        <is>
          <t>Australia</t>
        </is>
      </c>
      <c r="B868" t="inlineStr">
        <is>
          <t>C2026C00224VOL01 (Australia - Row 27)</t>
        </is>
      </c>
      <c r="C868" t="inlineStr">
        <is>
          <t>32 (part 3)</t>
        </is>
      </c>
      <c r="D868" s="11" t="inlineStr">
        <is>
          <t>Technical definitions for telecommunications services</t>
        </is>
      </c>
      <c r="E868" t="inlineStr">
        <is>
          <t>38–45</t>
        </is>
      </c>
      <c r="F868" t="inlineStr">
        <is>
          <t>Medium</t>
        </is>
      </c>
      <c r="G868" t="inlineStr">
        <is>
          <t>High (explicit)</t>
        </is>
      </c>
      <c r="H868" s="11" t="inlineStr"/>
      <c r="I868" s="11" t="inlineStr"/>
      <c r="J868" t="inlineStr"/>
      <c r="K868" s="11" t="inlineStr">
        <is>
          <t>This section provides additional technical definitions for telecommunications services, including terms like telecommunications network, carriage services, and specific service types. It clarifies that certain communications activities, such as telemarketing calls, are defined based on their purpose and content. The definitions help regulate how telecommunications services operate across different jurisdictions.</t>
        </is>
      </c>
      <c r="L868" s="11" t="inlineStr">
        <is>
          <t>These definitions are essential for understanding what constitutes a telecommunications service that may involve cross-border data transfers, particularly when services operate between Australia and other countries.</t>
        </is>
      </c>
      <c r="M868" s="11" t="inlineStr">
        <is>
          <t>• [Definition] telecommunications network means a system carrying communications by guided and/or unguided electromagnetic energy
• [Definition] telemarketing call means a call made to an Australian number for opinion polling or standard questionnaire-based research</t>
        </is>
      </c>
      <c r="N868" s="11" t="inlineStr">
        <is>
          <t>• [Definition] standard questionnaire-based research means research involving standard questions without opinion polling</t>
        </is>
      </c>
      <c r="O868" s="11" t="inlineStr">
        <is>
          <t>Section 7: telecommunications network means a system, or series of systems, that carries, or is capable of carrying, communications by means of guided and/or unguided electromagnetic energy.</t>
        </is>
      </c>
      <c r="P868" s="12" t="n">
        <v>14</v>
      </c>
    </row>
    <row r="869">
      <c r="A869" t="inlineStr">
        <is>
          <t>Australia</t>
        </is>
      </c>
      <c r="B869" t="inlineStr">
        <is>
          <t>C2026C00224VOL01 (Australia - Row 27)</t>
        </is>
      </c>
      <c r="C869" t="inlineStr">
        <is>
          <t>32 (part 4)</t>
        </is>
      </c>
      <c r="D869" s="11" t="inlineStr">
        <is>
          <t>Technical regulation definitions for telecommunications networks</t>
        </is>
      </c>
      <c r="E869" t="inlineStr">
        <is>
          <t>45–49</t>
        </is>
      </c>
      <c r="F869" t="inlineStr">
        <is>
          <t>Medium</t>
        </is>
      </c>
      <c r="G869" t="inlineStr">
        <is>
          <t>High (explicit)</t>
        </is>
      </c>
      <c r="H869" s="11" t="inlineStr"/>
      <c r="I869" s="11" t="inlineStr">
        <is>
          <t>Customer Data</t>
        </is>
      </c>
      <c r="J869" t="inlineStr"/>
      <c r="K869" s="11" t="inlineStr">
        <is>
          <t>This section defines technical terms related to telecommunications networks, specifically customer cabling and customer equipment. It establishes that customer cabling refers to lines used on the customer side of a telecommunications network boundary, while customer equipment includes any apparatus or systems used on the customer side. The boundary of a telecommunications network is defined by agreements between carriers, service providers, or customers, with specific rules for physical locations like buildings and satellite facilities.</t>
        </is>
      </c>
      <c r="L869" s="11" t="inlineStr">
        <is>
          <t>Defines technical boundaries for telecommunications networks, which is critical for determining where data processing occurs within Australia's network infrastructure. This helps in assessing data residency and cross-border transfer implications for telecommunications data.</t>
        </is>
      </c>
      <c r="M869" s="11" t="inlineStr">
        <is>
          <t>• [Definition] Customer cabling means a line used, installed ready for use or intended for use on the customer side of the boundary of a telecommunications network
• [Definition] Customer equipment means any equipment, apparatus, tower, mast, antenna or other structure or thing used, installed ready for use or intended for use on the customer side of the boundary of a telecommunications network</t>
        </is>
      </c>
      <c r="N869" s="11" t="inlineStr">
        <is>
          <t>• [Definition] The boundary of a telecommunications network is ascertained in accordance with regulations</t>
        </is>
      </c>
      <c r="O869" s="11" t="inlineStr">
        <is>
          <t>Section 20: For the purposes of this Act, customer cabling means a line that, under the regulations, is treated as customer cabling. Section 21: For the purposes of this Act, customer equipment means: (a) any equipment, apparatus, tower, mast, antenna or other structure or thing; or (b) any system (whether software-based or otherwise); that: (c) is used, installed ready for use or intended for use in connection with a carriage service; and (d) under the regulations, is treated as customer equipment; but does not include a line.</t>
        </is>
      </c>
      <c r="P869" s="12" t="n">
        <v>14</v>
      </c>
    </row>
    <row r="870">
      <c r="A870" t="inlineStr">
        <is>
          <t>Australia</t>
        </is>
      </c>
      <c r="B870" t="inlineStr">
        <is>
          <t>C2026C00224VOL01 (Australia - Row 27)</t>
        </is>
      </c>
      <c r="C870" t="inlineStr">
        <is>
          <t>33</t>
        </is>
      </c>
      <c r="D870" s="11" t="inlineStr">
        <is>
          <t>Compilation of telecommunications network boundaries</t>
        </is>
      </c>
      <c r="E870" t="inlineStr">
        <is>
          <t>49–51</t>
        </is>
      </c>
      <c r="F870" t="inlineStr">
        <is>
          <t>Medium</t>
        </is>
      </c>
      <c r="G870" t="inlineStr">
        <is>
          <t>High (explicit)</t>
        </is>
      </c>
      <c r="H870" s="11" t="inlineStr"/>
      <c r="I870" s="11" t="inlineStr">
        <is>
          <t>Customer Data</t>
        </is>
      </c>
      <c r="J870" t="inlineStr"/>
      <c r="K870" s="11" t="inlineStr">
        <is>
          <t>This section provides detailed rules for determining the boundary of a telecommunications network, particularly for customer-side equipment and cabling. It specifies that the boundary can be defined by agreements between carriers, service providers, or customers, with specific rules for physical locations like buildings and satellite facilities. The section also includes provisions for how boundaries are treated in cases where no regulations are in force.</t>
        </is>
      </c>
      <c r="L870" s="11" t="inlineStr">
        <is>
          <t>Defines precise network boundaries to determine where data processing occurs, which is essential for assessing data residency and cross-border transfer implications in telecommunications services.</t>
        </is>
      </c>
      <c r="M870" s="11" t="inlineStr">
        <is>
          <t>• [Definition] The boundary of a telecommunications network is ascertained in accordance with regulations
• [Definition] In cases where a line enters a building, the boundary is the point agreed between the customer and carrier or service provider, or if no agreement, the side of the main distribution frame nearest to the end-user</t>
        </is>
      </c>
      <c r="N870" s="11" t="inlineStr">
        <is>
          <t>• [Definition] In cases where a satellite-based facility is used, the boundary is the outer surface of the satellite-based facility</t>
        </is>
      </c>
      <c r="O870" s="11" t="inlineStr">
        <is>
          <t>Section 22: For the purposes of sections 20, 21, 30, 349, 372B, 372C and 372V, the boundary of a telecommunications network is to be ascertained in accordance with the regulations. Section 22: In a case where a telecommunications network is used to supply a carriage service to an end-user in a building by means of a line that enters the building—the point agreed between the customer and the carrier or carriage service provider who operates the telecommunications network, or, failing agreement: (i) if there is a main distribution frame in the building and the line is connected to the frame—the side of the frame nearest to the end-user; or (ii) if subparagraph (i) does not apply but the line is connected to a network termination device located in, on or within close proximity to, the building—the side of the device nearest to the end-user; or (iii) if neither subparagraph (i) nor (ii) applies but the line is connected to one or more sockets in the building—the side nearest to the end-user of the first socket after the building entry point; or (b) in a case where a telecommunications network is used to supply a carriage service to an end-user by means of a satellite-based facility that transmits to, or receives transmissions from, the point where the end user is located—the outer surface of the satellite-based facility</t>
        </is>
      </c>
      <c r="P870" s="12" t="n">
        <v>14</v>
      </c>
    </row>
    <row r="871">
      <c r="A871" t="inlineStr">
        <is>
          <t>Australia</t>
        </is>
      </c>
      <c r="B871" t="inlineStr">
        <is>
          <t>C2026C00224VOL01 (Australia - Row 27)</t>
        </is>
      </c>
      <c r="C871" t="inlineStr">
        <is>
          <t>37</t>
        </is>
      </c>
      <c r="D871" s="11" t="inlineStr">
        <is>
          <t>Definitions for core functions and related entities</t>
        </is>
      </c>
      <c r="E871" t="inlineStr">
        <is>
          <t>53–55</t>
        </is>
      </c>
      <c r="F871" t="inlineStr">
        <is>
          <t>Low</t>
        </is>
      </c>
      <c r="G871" t="inlineStr">
        <is>
          <t>High (explicit)</t>
        </is>
      </c>
      <c r="H871" s="11" t="inlineStr"/>
      <c r="I871" s="11" t="inlineStr">
        <is>
          <t>Customer Data</t>
        </is>
      </c>
      <c r="J871" t="inlineStr"/>
      <c r="K871" s="11" t="inlineStr">
        <is>
          <t>This section defines key terms such as 'core function' for authorities and institutions, 'director', 'officer', and 'tertiary education institution'. It specifies that a core function is a primary function rather than a secondary or incidental one, and provides definitions for various roles within government entities and organizations.</t>
        </is>
      </c>
      <c r="L871" s="11" t="inlineStr">
        <is>
          <t>Defines organizational structures and roles relevant to data processing, which helps in understanding who is responsible for data handling and how data flows within government entities.</t>
        </is>
      </c>
      <c r="M871" s="11" t="inlineStr">
        <is>
          <t>• [Definition] Core function, in relation to an authority or institution, means a function of the authority or institution other than a secondary or incidental function
• [Definition] Director includes a constituent member of a body corporate incorporated for a public purpose by a law of the Commonwealth, a State or a Territory</t>
        </is>
      </c>
      <c r="N871" s="11" t="inlineStr">
        <is>
          <t>• [Definition] Executive officer, in relation to a body corporate, means a person, by whatever name called and whether or not a director of the body, who is concerned in, or takes part in, the management of the body</t>
        </is>
      </c>
      <c r="O871" s="11" t="inlineStr">
        <is>
          <t>Section 23: In this section: core function, in relation to an authority or institution, means a function of the authority or institution other than a secondary or incidental function. director includes a constituent member of a body corporate incorporated for a public purpose by a law of the Commonwealth, a State or a Territory.</t>
        </is>
      </c>
      <c r="P871" s="12" t="n">
        <v>14</v>
      </c>
    </row>
    <row r="872">
      <c r="A872" t="inlineStr">
        <is>
          <t>Australia</t>
        </is>
      </c>
      <c r="B872" t="inlineStr">
        <is>
          <t>C2026C00224VOL01 (Australia - Row 27)</t>
        </is>
      </c>
      <c r="C872" t="inlineStr">
        <is>
          <t>58</t>
        </is>
      </c>
      <c r="D872" s="11" t="inlineStr">
        <is>
          <t>Exemptions for intelligence and transport operations</t>
        </is>
      </c>
      <c r="E872" t="inlineStr">
        <is>
          <t>74–75</t>
        </is>
      </c>
      <c r="F872" t="inlineStr">
        <is>
          <t>High</t>
        </is>
      </c>
      <c r="G872" t="inlineStr">
        <is>
          <t>Medium (minor interpretation)</t>
        </is>
      </c>
      <c r="H872" s="11" t="inlineStr"/>
      <c r="I872" s="11" t="inlineStr">
        <is>
          <t>Customer Data</t>
        </is>
      </c>
      <c r="J872" t="inlineStr"/>
      <c r="K872" s="11" t="inlineStr">
        <is>
          <t>This section outlines exemptions from certain telecommunications regulations for specific entities, including intelligence agencies and transport authorities. It specifies that networks used by the Australian Secret Intelligence Service, Australian Security Intelligence Organisation, and Australian Signals Directorate are exempt from certain conditions. It also provides exemptions for transport authorities that use networks for aviation services or train/bus services.</t>
        </is>
      </c>
      <c r="L872" s="11" t="inlineStr">
        <is>
          <t>Provides exemptions for specific telecommunications networks used by intelligence agencies and transport authorities, which may impact data transfer assessments for these entities.</t>
        </is>
      </c>
      <c r="M872" s="11" t="inlineStr">
        <is>
          <t>• [Exemption] Section 42 does not apply to a network unit used wholly or principally by the Australian Secret Intelligence Service
• [Exemption] Section 42 does not apply to a network unit used wholly or principally by the Australian Security Intelligence Organisation
• [Exemption] Section 42 does not apply to a network unit used wholly or principally by the Australian Signals Directorate</t>
        </is>
      </c>
      <c r="N872" s="11" t="inlineStr">
        <is>
          <t>• [Exemption] Section 42 does not apply to a network unit if the sole use is by Airservices Australia to carry communications necessary for aviation services
• [Exemption] Section 42 does not apply to a network unit if the sole use is by a State or Territory transport authority to carry communications for train, bus, or tram services
• [Exemption] Section 42 does not apply to a network unit if the sole use is by a rail corporation to carry communications for train services</t>
        </is>
      </c>
      <c r="O872" s="11" t="inlineStr">
        <is>
          <t>Section 46: Section 42 does not apply to a network unit that is used wholly or principally: (a) by the Australian Secret Intelligence Service; or (b) by the Australian Security Intelligence Organisation; or (c) by the Australian Signals Directorate. Section 47: Section 42 does not apply to a network unit if the sole use of the unit is use by Airservices Australia to carry communications necessary or desirable for the workings of aviation services.</t>
        </is>
      </c>
      <c r="P872" s="12" t="n">
        <v>14</v>
      </c>
    </row>
    <row r="873">
      <c r="A873" t="inlineStr">
        <is>
          <t>Australia</t>
        </is>
      </c>
      <c r="B873" t="inlineStr">
        <is>
          <t>C2026C00224VOL01 (Australia - Row 27)</t>
        </is>
      </c>
      <c r="C873" t="inlineStr">
        <is>
          <t>82</t>
        </is>
      </c>
      <c r="D873" s="11" t="inlineStr">
        <is>
          <t>Conditions for carrier licences and notifications</t>
        </is>
      </c>
      <c r="E873" t="inlineStr">
        <is>
          <t>98–99</t>
        </is>
      </c>
      <c r="F873" t="inlineStr">
        <is>
          <t>High</t>
        </is>
      </c>
      <c r="G873" t="inlineStr">
        <is>
          <t>High (explicit)</t>
        </is>
      </c>
      <c r="H873" s="11" t="inlineStr"/>
      <c r="I873" s="11" t="inlineStr">
        <is>
          <t>Customer Data</t>
        </is>
      </c>
      <c r="J873" t="inlineStr">
        <is>
          <t>ACMA</t>
        </is>
      </c>
      <c r="K873" s="11" t="inlineStr">
        <is>
          <t>This section outlines the conditions for carrier licences, including the requirement to notify applicants of conditions when an instrument is made. It specifies that the validity of an instrument is not affected by failure to notify conditions, and that instruments take effect when the licence is granted.</t>
        </is>
      </c>
      <c r="L873" s="11" t="inlineStr">
        <is>
          <t>Defines the conditions under which carrier licences are granted and the notification requirements, which are critical for assessing the legal framework governing telecommunications data transfers.</t>
        </is>
      </c>
      <c r="M873" s="11" t="inlineStr">
        <is>
          <t>• [Notification] The Minister must give the applicant for the licence a copy of the instrument as soon as practicable after making it
• [Condition] A contravention of subsection (7) or (8) does not affect the validity of an instrument</t>
        </is>
      </c>
      <c r="N873" s="11" t="inlineStr">
        <is>
          <t>• [Condition] An instrument under subsection (3) relating to a licence takes effect when the licence is granted</t>
        </is>
      </c>
      <c r="O873" s="11" t="inlineStr">
        <is>
          <t>Section 82: (8) As soon as practicable after the Minister makes an instrument under subsection (3) that relates to a licence, the Minister must give the applicant for the licence a copy of the instrument.</t>
        </is>
      </c>
      <c r="P873" s="12" t="n">
        <v>14</v>
      </c>
    </row>
    <row r="874">
      <c r="A874" t="inlineStr">
        <is>
          <t>Australia</t>
        </is>
      </c>
      <c r="B874" t="inlineStr">
        <is>
          <t>C2026C00224VOL01 (Australia - Row 27)</t>
        </is>
      </c>
      <c r="C874" t="inlineStr">
        <is>
          <t>94</t>
        </is>
      </c>
      <c r="D874" s="11" t="inlineStr">
        <is>
          <t>Cancellation of carrier licences and submissions</t>
        </is>
      </c>
      <c r="E874" t="inlineStr">
        <is>
          <t>110–111</t>
        </is>
      </c>
      <c r="F874" t="inlineStr">
        <is>
          <t>High</t>
        </is>
      </c>
      <c r="G874" t="inlineStr">
        <is>
          <t>High (explicit)</t>
        </is>
      </c>
      <c r="H874" s="11" t="inlineStr"/>
      <c r="I874" s="11" t="inlineStr">
        <is>
          <t>Customer Data</t>
        </is>
      </c>
      <c r="J874" t="inlineStr">
        <is>
          <t>ACMA</t>
        </is>
      </c>
      <c r="K874" s="11" t="inlineStr">
        <is>
          <t>This section details the process for cancelling carrier licences, including the requirement to give written notice of cancellation to the carrier, the time limit for submissions, and the conditions under which a licence can be cancelled.</t>
        </is>
      </c>
      <c r="L874" s="11" t="inlineStr">
        <is>
          <t>Provides the process for cancelling carrier licences, which is relevant for data transfer assessments when a telecommunications provider ceases operations.</t>
        </is>
      </c>
      <c r="M874" s="11" t="inlineStr">
        <is>
          <t>• [Notification] The ACMA must not cancel a carrier licence unless it has first given the carrier written notice setting out a proposal to cancel and inviting a submission
• [Condition] A time limit specified in the notice must run for at least 7 days</t>
        </is>
      </c>
      <c r="N874" s="11" t="inlineStr">
        <is>
          <t>• [Notification] If a carrier licence is cancelled, the ACMA must give written notice of the cancellation to the person</t>
        </is>
      </c>
      <c r="O874" s="11" t="inlineStr">
        <is>
          <t>Section 94: (6) The ACMA must not cancel a carrier licence under subsection (1), (2), (3) or (4) unless the ACMA has first: (a) given the carrier a written notice: (i) setting out a proposal to cancel the licence; and (ii) inviting the carrier to make a submission to the ACMA on the proposal; and (b) considered any submission that was received within the time limit.</t>
        </is>
      </c>
      <c r="P874" s="12" t="n">
        <v>14</v>
      </c>
    </row>
    <row r="875">
      <c r="A875" t="inlineStr">
        <is>
          <t>Australia</t>
        </is>
      </c>
      <c r="B875" t="inlineStr">
        <is>
          <t>C2026C00224VOL01 (Australia - Row 27)</t>
        </is>
      </c>
      <c r="C875" t="inlineStr">
        <is>
          <t>96</t>
        </is>
      </c>
      <c r="D875" s="11" t="inlineStr">
        <is>
          <t>Recovery of charges and penalties by ACMA</t>
        </is>
      </c>
      <c r="E875" t="inlineStr">
        <is>
          <t>112–113</t>
        </is>
      </c>
      <c r="F875" t="inlineStr">
        <is>
          <t>High</t>
        </is>
      </c>
      <c r="G875" t="inlineStr">
        <is>
          <t>High (explicit)</t>
        </is>
      </c>
      <c r="H875" s="11" t="inlineStr"/>
      <c r="I875" s="11" t="inlineStr">
        <is>
          <t>Financial Data</t>
        </is>
      </c>
      <c r="J875" t="inlineStr">
        <is>
          <t>ACMA</t>
        </is>
      </c>
      <c r="K875" s="11" t="inlineStr">
        <is>
          <t>The ACMA, acting on behalf of the Commonwealth, may recover annual charges, application charges, and late payment penalties as debts due to the Commonwealth. These recovered amounts must be paid to the Commonwealth. A determination under subsections (3) or (4) constitutes a legislative instrument.</t>
        </is>
      </c>
      <c r="L875" s="11" t="inlineStr"/>
      <c r="M875" s="11" t="inlineStr">
        <is>
          <t>• [Must] ACMA may recover annual charge, application charge and late payment penalty as debts due to Commonwealth
• [Must] Amounts received must be paid to Commonwealth</t>
        </is>
      </c>
      <c r="N875" s="11" t="inlineStr">
        <is>
          <t>• [Definition] Determination under subsection (3) or (4) is a legislative instrument</t>
        </is>
      </c>
      <c r="O875" s="11" t="inlineStr">
        <is>
          <t>Annual charge, application charge and late payment penalty may be recovered by the ACMA, on behalf of the Commonwealth, as debts due to the Commonwealth. Amounts received by way of annual charge, application charge or late payment penalty must be paid to the Commonwealth.</t>
        </is>
      </c>
      <c r="P875" s="12" t="n">
        <v>14</v>
      </c>
    </row>
    <row r="876">
      <c r="A876" t="inlineStr">
        <is>
          <t>Australia</t>
        </is>
      </c>
      <c r="B876" t="inlineStr">
        <is>
          <t>C2026C00224VOL01 (Australia - Row 27)</t>
        </is>
      </c>
      <c r="C876" t="inlineStr">
        <is>
          <t>97</t>
        </is>
      </c>
      <c r="D876" s="11" t="inlineStr">
        <is>
          <t>Cancellation of exemptions from carrier licence charges</t>
        </is>
      </c>
      <c r="E876" t="inlineStr">
        <is>
          <t>113–114</t>
        </is>
      </c>
      <c r="F876" t="inlineStr">
        <is>
          <t>High</t>
        </is>
      </c>
      <c r="G876" t="inlineStr">
        <is>
          <t>High (explicit)</t>
        </is>
      </c>
      <c r="H876" s="11" t="inlineStr"/>
      <c r="I876" s="11" t="inlineStr">
        <is>
          <t>Financial Data</t>
        </is>
      </c>
      <c r="J876" t="inlineStr"/>
      <c r="K876" s="11" t="inlineStr">
        <is>
          <t>This section cancels exemptions from liability to pay charges under the Telecommunications (Carrier Licence Charges) Act 1997. The cancellation does not apply if the exempting provision was enacted after this section came into force and specifically refers to the charges in question.</t>
        </is>
      </c>
      <c r="L876" s="11" t="inlineStr"/>
      <c r="M876" s="11" t="inlineStr">
        <is>
          <t>• [Must] This section cancels effect of provisions exempting a person from liability to pay charge under Telecommunications (Carrier Licence Charges) Act 1997</t>
        </is>
      </c>
      <c r="N876" s="11" t="inlineStr">
        <is>
          <t>• [Condition] Cancellation does not apply if exempting provision enacted after commencement of this section and refers specifically to charge under Telecommunications (Carrier Licence Charges) Act 1997</t>
        </is>
      </c>
      <c r="O876" s="11" t="inlineStr">
        <is>
          <t>This section cancels the effect of a provision of another Act that would have the effect of exempting a person from liability to pay charge imposed by the Telecommunications (Carrier Licence Charges) Act 1997.</t>
        </is>
      </c>
      <c r="P876" s="12" t="n">
        <v>14</v>
      </c>
    </row>
    <row r="877">
      <c r="A877" t="inlineStr">
        <is>
          <t>Australia</t>
        </is>
      </c>
      <c r="B877" t="inlineStr">
        <is>
          <t>C2026C00224VOL01 (Australia - Row 27)</t>
        </is>
      </c>
      <c r="C877" t="inlineStr">
        <is>
          <t>98</t>
        </is>
      </c>
      <c r="D877" s="11" t="inlineStr">
        <is>
          <t>Nominated carrier declarations applications</t>
        </is>
      </c>
      <c r="E877" t="inlineStr">
        <is>
          <t>114–115</t>
        </is>
      </c>
      <c r="F877" t="inlineStr">
        <is>
          <t>High</t>
        </is>
      </c>
      <c r="G877" t="inlineStr">
        <is>
          <t>High (explicit)</t>
        </is>
      </c>
      <c r="H877" s="11" t="inlineStr">
        <is>
          <t>Consent</t>
        </is>
      </c>
      <c r="I877" s="11" t="inlineStr">
        <is>
          <t>Financial Data</t>
        </is>
      </c>
      <c r="J877" t="inlineStr">
        <is>
          <t>ACMA</t>
        </is>
      </c>
      <c r="K877" s="11" t="inlineStr">
        <is>
          <t>Carriers may apply to the ACMA for nominated carrier declarations for specified network units. Applications must include any applicable charge, consent from network unit owners, and an election accepting responsibility for the units. Applications must follow ACMA-approved forms.</t>
        </is>
      </c>
      <c r="L877" s="11" t="inlineStr"/>
      <c r="M877" s="11" t="inlineStr">
        <is>
          <t>• [May] Carrier may apply to ACMA for nominated carrier declaration in relation to one or more specified network units
• [Must] Application must be accompanied by charge fixed by determination under section 60 of Australian Communications and Media Authority Act 2005
• [Must] Application must be accompanied by consent of owner or each owner of network units</t>
        </is>
      </c>
      <c r="N877" s="11" t="inlineStr">
        <is>
          <t>• [Must] Application must be accompanied by election of applicant accepting responsibility for units
• [Must] Application, consent and election must be in accordance with ACMA-approved form</t>
        </is>
      </c>
      <c r="O877" s="11" t="inlineStr">
        <is>
          <t>A carrier may apply to the ACMA for a nominated carrier declaration in relation to one or more specified network units.</t>
        </is>
      </c>
      <c r="P877" s="12" t="n">
        <v>14</v>
      </c>
    </row>
    <row r="878">
      <c r="A878" t="inlineStr">
        <is>
          <t>Australia</t>
        </is>
      </c>
      <c r="B878" t="inlineStr">
        <is>
          <t>C2026C00224VOL01 (Australia - Row 27)</t>
        </is>
      </c>
      <c r="C878" t="inlineStr">
        <is>
          <t>100</t>
        </is>
      </c>
      <c r="D878" s="11" t="inlineStr">
        <is>
          <t>Notification of refusal of nominated carrier applications</t>
        </is>
      </c>
      <c r="E878" t="inlineStr">
        <is>
          <t>116–117</t>
        </is>
      </c>
      <c r="F878" t="inlineStr">
        <is>
          <t>High</t>
        </is>
      </c>
      <c r="G878" t="inlineStr">
        <is>
          <t>High (explicit)</t>
        </is>
      </c>
      <c r="H878" s="11" t="inlineStr"/>
      <c r="I878" s="11" t="inlineStr">
        <is>
          <t>Financial Data</t>
        </is>
      </c>
      <c r="J878" t="inlineStr">
        <is>
          <t>ACMA</t>
        </is>
      </c>
      <c r="K878" s="11" t="inlineStr">
        <is>
          <t>If the ACMA refuses a nominated carrier declaration application, it must provide written notice to the applicant and the owners of the network units. This ensures transparency and accountability in the refusal process.</t>
        </is>
      </c>
      <c r="L878" s="11" t="inlineStr"/>
      <c r="M878" s="11" t="inlineStr">
        <is>
          <t>• [Must] ACMA must give written notice of refusal to applicant</t>
        </is>
      </c>
      <c r="N878" s="11" t="inlineStr">
        <is>
          <t>• [Must] ACMA must give written notice of refusal to owner or each owner of network units</t>
        </is>
      </c>
      <c r="O878" s="11" t="inlineStr">
        <is>
          <t>If the ACMA refuses to make a nominated carrier declaration, the ACMA must give written notice of the refusal to: (a) the applicant; and (b) the owner, or each of the owners, of the network units.</t>
        </is>
      </c>
      <c r="P878" s="12" t="n">
        <v>14</v>
      </c>
    </row>
    <row r="879">
      <c r="A879" t="inlineStr">
        <is>
          <t>Australia</t>
        </is>
      </c>
      <c r="B879" t="inlineStr">
        <is>
          <t>C2026C00224VOL01 (Australia - Row 27)</t>
        </is>
      </c>
      <c r="C879" t="inlineStr">
        <is>
          <t>102</t>
        </is>
      </c>
      <c r="D879" s="11" t="inlineStr">
        <is>
          <t>Register of nominated carrier declarations and carrier licences</t>
        </is>
      </c>
      <c r="E879" t="inlineStr">
        <is>
          <t>118–119</t>
        </is>
      </c>
      <c r="F879" t="inlineStr">
        <is>
          <t>High</t>
        </is>
      </c>
      <c r="G879" t="inlineStr">
        <is>
          <t>High (explicit)</t>
        </is>
      </c>
      <c r="H879" s="11" t="inlineStr"/>
      <c r="I879" s="11" t="inlineStr">
        <is>
          <t>Financial Data</t>
        </is>
      </c>
      <c r="J879" t="inlineStr">
        <is>
          <t>ACMA</t>
        </is>
      </c>
      <c r="K879" s="11" t="inlineStr">
        <is>
          <t>The ACMA maintains a Register containing all current nominated carrier declarations, carrier licences, and their conditions. The Register may be accessed electronically, and persons may inspect or copy it upon payment of any applicable charge.</t>
        </is>
      </c>
      <c r="L879" s="11" t="inlineStr"/>
      <c r="M879" s="11" t="inlineStr">
        <is>
          <t>• [Must] ACMA includes all nominated carrier declarations currently in force in Register
• [Must] ACMA includes all carrier licences currently in force in Register
• [Must] ACMA includes all conditions of such licences in Register
• [May] Register may be maintained by electronic means</t>
        </is>
      </c>
      <c r="N879" s="11" t="inlineStr">
        <is>
          <t>• [May] Person may inspect Register on payment of charge fixed by determination under section 60
• [May] Person may make copy of or take extracts from Register on payment of charge
• [Definition] For electronic Register, person is taken to have made copy if ACMA provides printout
• [May] ACMA may provide information electronically if person requests electronic form</t>
        </is>
      </c>
      <c r="O879" s="11" t="inlineStr">
        <is>
          <t>The ACMA is to maintain a Register in which the ACMA includes: (a) all nominated carrier declarations currently in force; and (b) all carrier licences currently in force; and (c) all conditions of such licences.</t>
        </is>
      </c>
      <c r="P879" s="12" t="n">
        <v>14</v>
      </c>
    </row>
    <row r="880">
      <c r="A880" t="inlineStr">
        <is>
          <t>Australia</t>
        </is>
      </c>
      <c r="B880" t="inlineStr">
        <is>
          <t>C2026C00224VOL01 (Australia - Row 27)</t>
        </is>
      </c>
      <c r="C880" t="inlineStr">
        <is>
          <t>109</t>
        </is>
      </c>
      <c r="D880" s="11" t="inlineStr">
        <is>
          <t>Defence organisation definitions</t>
        </is>
      </c>
      <c r="E880" t="inlineStr">
        <is>
          <t>125–126</t>
        </is>
      </c>
      <c r="F880" t="inlineStr">
        <is>
          <t>Low</t>
        </is>
      </c>
      <c r="G880" t="inlineStr">
        <is>
          <t>High (explicit)</t>
        </is>
      </c>
      <c r="H880" s="11" t="inlineStr"/>
      <c r="I880" s="11" t="inlineStr"/>
      <c r="J880" t="inlineStr"/>
      <c r="K880" s="11" t="inlineStr">
        <is>
          <t>This section defines 'defence organisation' to include the Defence Department, Australian Defence Force, foreign organisations with similar functions authorized to operate in Australia, and parts of such organisations. The definition is used to determine exemptions for intelligence operations and transport authorities.</t>
        </is>
      </c>
      <c r="L880" s="11" t="inlineStr"/>
      <c r="M880" s="11" t="inlineStr">
        <is>
          <t>• [Definition] Defence organisation means: (a) the Defence Department; or (b) the Australian Defence Force; or (c) an organisation of a foreign country so far as it has functions corresponding to Defence Department or Australian Defence Force and is authorized by Commonwealth to operate or train in Australia</t>
        </is>
      </c>
      <c r="N880" s="11" t="inlineStr">
        <is>
          <t>• [Definition] Defence organisation includes a part of such an organisation or body</t>
        </is>
      </c>
      <c r="O880" s="11" t="inlineStr">
        <is>
          <t>defence organisation means: (a) the Defence Department; or (b) the Australian Defence Force; or (c) an organisation of a foreign country, so far as the organisation: (i) has functions corresponding to functions of, or of a part of, the Defence Department or the Australian Defence Force; and (ii) is authorised by the Commonwealth to operate or train in Australia or an external Territory; or (d) a part of such an organisation or body.</t>
        </is>
      </c>
      <c r="P880" s="12" t="n">
        <v>14</v>
      </c>
    </row>
    <row r="881">
      <c r="A881" t="inlineStr">
        <is>
          <t>Australia</t>
        </is>
      </c>
      <c r="B881" t="inlineStr">
        <is>
          <t>C2026C00224VOL01 (Australia - Row 27)</t>
        </is>
      </c>
      <c r="C881" t="inlineStr">
        <is>
          <t>111</t>
        </is>
      </c>
      <c r="D881" s="11" t="inlineStr">
        <is>
          <t>Definitions for broadcasting transmitters and cable systems</t>
        </is>
      </c>
      <c r="E881" t="inlineStr">
        <is>
          <t>127–128</t>
        </is>
      </c>
      <c r="F881" t="inlineStr">
        <is>
          <t>Low</t>
        </is>
      </c>
      <c r="G881" t="inlineStr">
        <is>
          <t>High (explicit)</t>
        </is>
      </c>
      <c r="H881" s="11" t="inlineStr"/>
      <c r="I881" s="11" t="inlineStr">
        <is>
          <t>Special Personal Information</t>
        </is>
      </c>
      <c r="J881" t="inlineStr"/>
      <c r="K881" s="11" t="inlineStr">
        <is>
          <t>This section defines key terms used in telecommunications, including 'broadcasting transmitter' as a radiocommunications transmitter delivering broadcasting services, and 'head end of a cable transmission system' as a facility connected to a line link that processes signals for end-users. It also specifies exemptions for electricity supply bodies and ministerial determinations regarding eligible definitions.</t>
        </is>
      </c>
      <c r="L881" s="11" t="inlineStr"/>
      <c r="M881" s="11" t="inlineStr">
        <is>
          <t>• [Definition] broadcasting transmitter means a radiocommunications transmitter used, or for use, to deliver a broadcasting service
• [Definition] head end of a cable transmission system means a facility that: (a) is connected to a line link; (b) is used, or for use, in connection with the delivery of the service; (c) processes signals for delivery by the line link to end-users having equipment appropriate for receiving the service</t>
        </is>
      </c>
      <c r="N881" s="11" t="inlineStr">
        <is>
          <t>• [Definition] electricity supply body means an authority, or a body corporate, that carries on a business, or performs a function, of: (a) generating, transmitting, distributing or supplying electricity; or (b) managing the generation, transmission, distribution or supply of electricity</t>
        </is>
      </c>
      <c r="O881" s="11" t="inlineStr">
        <is>
          <t>broadcasting transmitter means a radiocommunications transmitter used, or for use, to deliver a broadcasting service. head end of a cable transmission system means a facility that: (a) is connected to a line link; and (b) is used, or for use, in connection with the delivery of the service; (c) processes signals for delivery by the line link to end-users having equipment appropriate for receiving the service.</t>
        </is>
      </c>
      <c r="P881" s="12" t="n">
        <v>14</v>
      </c>
    </row>
    <row r="882">
      <c r="A882" t="inlineStr">
        <is>
          <t>Australia</t>
        </is>
      </c>
      <c r="B882" t="inlineStr">
        <is>
          <t>C2026C00224VOL01 (Australia - Row 27)</t>
        </is>
      </c>
      <c r="C882" t="inlineStr">
        <is>
          <t>121</t>
        </is>
      </c>
      <c r="D882" s="11" t="inlineStr">
        <is>
          <t>ACCC's authority to issue formal warnings for rule violations</t>
        </is>
      </c>
      <c r="E882" t="inlineStr">
        <is>
          <t>137–139</t>
        </is>
      </c>
      <c r="F882" t="inlineStr">
        <is>
          <t>High</t>
        </is>
      </c>
      <c r="G882" t="inlineStr">
        <is>
          <t>High (explicit)</t>
        </is>
      </c>
      <c r="H882" s="11" t="inlineStr">
        <is>
          <t>Cross-border Transfer</t>
        </is>
      </c>
      <c r="I882" s="11" t="inlineStr">
        <is>
          <t>Financial Data</t>
        </is>
      </c>
      <c r="J882" t="inlineStr">
        <is>
          <t>ACCC</t>
        </is>
      </c>
      <c r="K882" s="11" t="inlineStr">
        <is>
          <t>This section grants the Australian Competition and Consumer Commission (ACCC) the authority to issue formal warnings when individuals or entities violate specific service provider rules outlined in various sections of the Telecommunications Act. The warnings apply to contraventions of rules related to sections 152BED(2), 152CJD(2), 38(2), and Part 1 of Schedule 2, particularly concerning compliance with telecommunications regulations.</t>
        </is>
      </c>
      <c r="L882" s="11" t="inlineStr"/>
      <c r="M882" s="11" t="inlineStr">
        <is>
          <t>• [Must] The ACCC may issue a formal warning if a person contravenes the service provider rule set out in subsection 152BED(2) of the Telecommunications Act
• [Must] The ACCC may issue a formal warning if a person contravenes the service provider rule set out in subsection 152CJD(2) of the Telecommunications Act
• [Must] The ACCC may issue a formal warning if a person contravenes the service provider rule set out in subsection 38(2) of the National Telecommunications Act</t>
        </is>
      </c>
      <c r="N882" s="11" t="inlineStr">
        <is>
          <t>• [Must] The ACCC may issue a formal warning if a person contravenes the service provider rule set out in Part 1 of Schedule 2 in so far as that rule relates to section 142C, 143, 143B, 151ZA, 151ZB, 151ZD, 151ZF, 151ZG, 151ZH or 151ZI
• [Must] The ACCC may issue a formal warning if a person contravenes the service provider rule set out in Part 1 of Schedule 2 in so far as that rule relates to section 369</t>
        </is>
      </c>
      <c r="O882" s="11" t="inlineStr">
        <is>
          <t>The ACCC may issue a formal warning if a person contravenes the service provider rule set out in subsection 152BED(2) of the Telecommunications Act.</t>
        </is>
      </c>
      <c r="P882" s="12" t="n">
        <v>14</v>
      </c>
    </row>
    <row r="883">
      <c r="A883" t="inlineStr">
        <is>
          <t>Australia</t>
        </is>
      </c>
      <c r="B883" t="inlineStr">
        <is>
          <t>C2026C00224VOL01 (Australia - Row 27)</t>
        </is>
      </c>
      <c r="C883" t="inlineStr">
        <is>
          <t>137</t>
        </is>
      </c>
      <c r="D883" s="11" t="inlineStr">
        <is>
          <t>ACMA must consider benefits and business interests when compiling industry codes</t>
        </is>
      </c>
      <c r="E883" t="inlineStr">
        <is>
          <t>153–154</t>
        </is>
      </c>
      <c r="F883" t="inlineStr">
        <is>
          <t>None</t>
        </is>
      </c>
      <c r="G883" t="inlineStr">
        <is>
          <t>High (explicit)</t>
        </is>
      </c>
      <c r="H883" s="11" t="inlineStr"/>
      <c r="I883" s="11" t="inlineStr"/>
      <c r="J883" t="inlineStr"/>
      <c r="K883" s="11" t="inlineStr">
        <is>
          <t>The ACMA must consider the number of persons likely to benefit from industry codes, whether those persons are householders or small business operators, and the legitimate business interests of participants in the fax marketing industry when compiling industry codes. This section does not limit the matters that may be considered for compilation purposes.</t>
        </is>
      </c>
      <c r="L883" s="11" t="inlineStr"/>
      <c r="M883" s="11" t="inlineStr">
        <is>
          <t>• [Must] ACMA must consider the number of persons likely to benefit from industry codes
• [Must] ACMA must consider whether those persons are householders or small business operators</t>
        </is>
      </c>
      <c r="N883" s="11" t="inlineStr">
        <is>
          <t>• [Must] ACMA must consider the legitimate business interests of participants in the fax marketing industry</t>
        </is>
      </c>
      <c r="O883" s="11" t="inlineStr">
        <is>
          <t>administrative burdens on participants in sections of the fax marketing industry, the ACMA must have regard to: (a) the number of persons who would be likely to benefit from (b) the extent to which those persons are householders or small business operators; and (c) the legitimate business interests of participants in sections of the fax marketing industry.</t>
        </is>
      </c>
      <c r="P883" s="12" t="n">
        <v>14</v>
      </c>
    </row>
    <row r="884">
      <c r="A884" t="inlineStr">
        <is>
          <t>Australia</t>
        </is>
      </c>
      <c r="B884" t="inlineStr">
        <is>
          <t>C2026C00224VOL01 (Australia - Row 27)</t>
        </is>
      </c>
      <c r="C884" t="inlineStr">
        <is>
          <t>138</t>
        </is>
      </c>
      <c r="D884" s="11" t="inlineStr">
        <is>
          <t>Examples of matters for industry codes and standards in telecommunications</t>
        </is>
      </c>
      <c r="E884" t="inlineStr">
        <is>
          <t>154–155</t>
        </is>
      </c>
      <c r="F884" t="inlineStr">
        <is>
          <t>Medium</t>
        </is>
      </c>
      <c r="G884" t="inlineStr">
        <is>
          <t>High (explicit)</t>
        </is>
      </c>
      <c r="H884" s="11" t="inlineStr">
        <is>
          <t>Customer Information</t>
        </is>
      </c>
      <c r="I884" s="11" t="inlineStr"/>
      <c r="J884" t="inlineStr"/>
      <c r="K884" s="11" t="inlineStr">
        <is>
          <t>This section lists examples of matters that industry codes and standards may address, including customer information about goods/services, performance indicators, complaint handling, privacy protections, telecommunications monitoring, directory services, customer churning, security deposits, debt collection, and billing accuracy. The applicability of these examples depends on the specific industry involved.</t>
        </is>
      </c>
      <c r="L884" s="11" t="inlineStr"/>
      <c r="M884" s="11" t="inlineStr">
        <is>
          <t>• [Must] Industry codes may cover telling customers about goods or services on offer
• [Must] Industry codes may cover pricing information for goods or services
• [Must] Industry codes may cover terms and conditions for goods or services
• [Must] Industry codes may cover customer information about performance indicators
• [Must] Industry codes may cover regular reporting to customers about performance against indicators
• [Must] Industry codes may cover internal handling of customer complaints
• [Must] Industry codes may cover reporting about customer complaints
• [Must] Industry codes may cover privacy protections including personal information
• [Must] Industry codes may cover intrusive use of telecommunications by carriers
• [Must] Industry codes may cover monitoring or recording of communications
• [Must] Industry codes may cover calling number display
• [Must] Industry codes may cover directory products and services
• [Must] Industry codes may cover customer churning practices
• [Must] Industry codes may cover security deposits given by customers</t>
        </is>
      </c>
      <c r="N884" s="11" t="inlineStr">
        <is>
          <t>• [Must] Industry codes may cover debt collection practices
• [Must] Industry codes may cover customer credit practices
• [Must] Industry codes may cover disconnection of customers
• [Must] Industry codes may cover ensuring customers have informed basis for agreements
• [Must] Industry codes may cover quality of standard telephone services
• [Must] Industry codes may cover accuracy of billing for carriage services
• [Must] Industry codes may cover timeliness and comprehensibility of bills
• [Must] Industry codes may cover procedures for generating standard billing reports
• [Must] Industry codes may cover design features of optical fibre lines
• [Must] Industry codes may cover facilities used in optical fibre lines
• [Must] Industry codes may cover performance requirements for optical fibre lines
• [Must] Industry codes may cover facilities used in optical fibre lines
• [Must] Industry codes may cover performance requirements for carriage services using optical fibre</t>
        </is>
      </c>
      <c r="O884" s="11" t="inlineStr">
        <is>
          <t>Examples of matters that may be dealt with by industry codes and industry standards: (a) telling customers about: (i) goods or services on offer; (ii) the prices of those goods or services; (iii) the other terms and conditions on which those goods or services are offered; (b) giving customers information about performance indicators customers can use to evaluate the quality of services; (c) regular reporting to customers about performance against those performance indicators; (d) the internal handling of customer complaints; (e) reporting about customer complaints; (f) privacy and, in particular: (i) the protection of personal information; and</t>
        </is>
      </c>
      <c r="P884" s="12" t="n">
        <v>14</v>
      </c>
    </row>
    <row r="885">
      <c r="A885" t="inlineStr">
        <is>
          <t>Australia</t>
        </is>
      </c>
      <c r="B885" t="inlineStr">
        <is>
          <t>C2026C00224VOL01 (Australia - Row 27)</t>
        </is>
      </c>
      <c r="C885" t="inlineStr">
        <is>
          <t>139</t>
        </is>
      </c>
      <c r="D885" s="11" t="inlineStr">
        <is>
          <t>Procedures for unsolicited commercial electronic messages</t>
        </is>
      </c>
      <c r="E885" t="inlineStr">
        <is>
          <t>155–156</t>
        </is>
      </c>
      <c r="F885" t="inlineStr">
        <is>
          <t>None</t>
        </is>
      </c>
      <c r="G885" t="inlineStr">
        <is>
          <t>High (explicit)</t>
        </is>
      </c>
      <c r="H885" s="11" t="inlineStr">
        <is>
          <t>Consent</t>
        </is>
      </c>
      <c r="I885" s="11" t="inlineStr"/>
      <c r="J885" t="inlineStr"/>
      <c r="K885" s="11" t="inlineStr">
        <is>
          <t>This section specifies requirements for handling unsolicited commercial electronic messages, including server configuration to prevent sending, shutdown of open relay servers, responsible practices for minors, consent procedures for electronic account holders, telemarketing call record-keeping, and limits on telemarketing calls and faxes.</t>
        </is>
      </c>
      <c r="L885" s="11" t="inlineStr"/>
      <c r="M885" s="11" t="inlineStr">
        <is>
          <t>• [Must] Procedures to minimize or prevent sending or delivery of unsolicited commercial electronic messages
• [Must] Shutdown of open relay servers
• [Must] Action to ensure responsible practices for marketing to individuals under 18</t>
        </is>
      </c>
      <c r="N885" s="11" t="inlineStr">
        <is>
          <t>• [Must] Procedures for obtaining consent from electronic account holders
• [Must] Record-keeping practices for telemarketing calls made or attempted
• [Must] Action to limit telemarketing calls attempted per period per number</t>
        </is>
      </c>
      <c r="O885" s="11" t="inlineStr">
        <is>
          <t>action to be taken to minimize or prevent the sending or delivery of unsolicited commercial electronic messages, including: (i) the configuration of servers so as to minimise or prevent the sending or delivery of unsolicited commercial electronic messages; and (ii) the shutdown of open relay servers;</t>
        </is>
      </c>
      <c r="P885" s="12" t="n">
        <v>14</v>
      </c>
    </row>
    <row r="886">
      <c r="A886" t="inlineStr">
        <is>
          <t>Australia</t>
        </is>
      </c>
      <c r="B886" t="inlineStr">
        <is>
          <t>C2026C00224VOL01 (Australia - Row 27)</t>
        </is>
      </c>
      <c r="C886" t="inlineStr">
        <is>
          <t>140</t>
        </is>
      </c>
      <c r="D886" s="11" t="inlineStr">
        <is>
          <t>Limits on telemarketing calls and faxes</t>
        </is>
      </c>
      <c r="E886" t="inlineStr">
        <is>
          <t>156–157</t>
        </is>
      </c>
      <c r="F886" t="inlineStr">
        <is>
          <t>None</t>
        </is>
      </c>
      <c r="G886" t="inlineStr">
        <is>
          <t>High (explicit)</t>
        </is>
      </c>
      <c r="H886" s="11" t="inlineStr"/>
      <c r="I886" s="11" t="inlineStr"/>
      <c r="J886" t="inlineStr"/>
      <c r="K886" s="11" t="inlineStr">
        <is>
          <t>This section sets limits on the number of telemarketing calls and faxes that can be made or attempted per period to a specific Australian number, with the goal of reducing call volume and ensuring compliance with industry standards.</t>
        </is>
      </c>
      <c r="L886" s="11" t="inlineStr"/>
      <c r="M886" s="11" t="inlineStr">
        <is>
          <t>• [Must] Action to limit telemarketing calls made or attempted per period to a specific Australian number
• [Must] Record-keeping practices for marketing faxes sent or attempted</t>
        </is>
      </c>
      <c r="N886" s="11" t="inlineStr">
        <is>
          <t>• [Must] Action to limit marketing faxes sent or attempted per period to a specific Australian number</t>
        </is>
      </c>
      <c r="O886" s="11" t="inlineStr">
        <is>
          <t>action to be taken to limit the total number of telemarketing calls made, or attempted to be made, by a particular participant in a section of the telemarketing industry, during a particular period to a particular Australian number;</t>
        </is>
      </c>
      <c r="P886" s="12" t="n">
        <v>14</v>
      </c>
    </row>
    <row r="887">
      <c r="A887" t="inlineStr">
        <is>
          <t>Australia</t>
        </is>
      </c>
      <c r="B887" t="inlineStr">
        <is>
          <t>C2026C00224VOL01 (Australia - Row 27)</t>
        </is>
      </c>
      <c r="C887" t="inlineStr">
        <is>
          <t>168</t>
        </is>
      </c>
      <c r="D887" s="11" t="inlineStr">
        <is>
          <t>ACMA maintains Register of industry codes and standards</t>
        </is>
      </c>
      <c r="E887" t="inlineStr">
        <is>
          <t>184–185</t>
        </is>
      </c>
      <c r="F887" t="inlineStr">
        <is>
          <t>Low</t>
        </is>
      </c>
      <c r="G887" t="inlineStr">
        <is>
          <t>High (explicit)</t>
        </is>
      </c>
      <c r="H887" s="11" t="inlineStr">
        <is>
          <t>Record Keeping</t>
        </is>
      </c>
      <c r="I887" s="11" t="inlineStr"/>
      <c r="J887" t="inlineStr"/>
      <c r="K887" s="11" t="inlineStr">
        <is>
          <t>The ACMA must maintain a Register containing all industry codes, industry standards, requests under section 118, notices under section 119, and directions under section 121. The Register may be accessed electronically with payment of a fee, and the ACMA may provide electronic copies of the Register.</t>
        </is>
      </c>
      <c r="L887" s="11" t="inlineStr"/>
      <c r="M887" s="11" t="inlineStr">
        <is>
          <t>• [Must] ACMA must maintain a Register of industry codes and standards
• [Must] ACMA must include all industry codes in force in the Register
• ACMA must include all industry standards in the Register
• [Must] ACMA must include all requests made under section 118 in the Register
• [Must] ACMA must include all notices under section 119 in the Register</t>
        </is>
      </c>
      <c r="N887" s="11" t="inlineStr">
        <is>
          <t>• [Must] ACMA must include all directions given under section 121 in the Register
• [Must] The Register may be maintained electronically
• [Must] A person may inspect the Register after paying a fee
• [Must] A person may make a copy of the Register after paying a fee
• [Must] ACMA may provide electronic copies of the Register</t>
        </is>
      </c>
      <c r="O887" s="11" t="inlineStr">
        <is>
          <t>The ACMA is to maintain a Register in which the ACMA includes: (a) all industry codes required to be registered under this Part, as those codes are in force from time to time; and (b) all industry standards; and (c) all requests made under section 118; and (d) all notices under section 119; and (e) all directions given under section 121.</t>
        </is>
      </c>
      <c r="P887" s="12" t="n">
        <v>14</v>
      </c>
    </row>
    <row r="888">
      <c r="A888" t="inlineStr">
        <is>
          <t>Australia</t>
        </is>
      </c>
      <c r="B888" t="inlineStr">
        <is>
          <t>C2026C00224VOL01 (Australia - Row 27)</t>
        </is>
      </c>
      <c r="C888" t="inlineStr">
        <is>
          <t>170</t>
        </is>
      </c>
      <c r="D888" s="11" t="inlineStr">
        <is>
          <t>ACMA may request additional information for industry code applications</t>
        </is>
      </c>
      <c r="E888" t="inlineStr">
        <is>
          <t>186–187</t>
        </is>
      </c>
      <c r="F888" t="inlineStr">
        <is>
          <t>None</t>
        </is>
      </c>
      <c r="G888" t="inlineStr">
        <is>
          <t>High (explicit)</t>
        </is>
      </c>
      <c r="H888" s="11" t="inlineStr"/>
      <c r="I888" s="11" t="inlineStr"/>
      <c r="J888" t="inlineStr"/>
      <c r="K888" s="11" t="inlineStr">
        <is>
          <t>The ACMA may request additional information from applicants within 20 business days of an application, and may refuse to consider the application until the applicant provides the requested information.</t>
        </is>
      </c>
      <c r="L888" s="11" t="inlineStr"/>
      <c r="M888" s="11" t="inlineStr">
        <is>
          <t>• [May] ACMA may request additional information from applicants within 20 business days</t>
        </is>
      </c>
      <c r="N888" s="11" t="inlineStr">
        <is>
          <t>• [May] ACMA may refuse to consider the application until additional information is provided</t>
        </is>
      </c>
      <c r="O888" s="11" t="inlineStr">
        <is>
          <t>The ACMA may, within 20 business days after an application is made, request the applicant to give the ACMA, within the period specified in the request, further information about the application.</t>
        </is>
      </c>
      <c r="P888" s="12" t="n">
        <v>14</v>
      </c>
    </row>
    <row r="889">
      <c r="A889" t="inlineStr">
        <is>
          <t>Australia</t>
        </is>
      </c>
      <c r="B889" t="inlineStr">
        <is>
          <t>C2026C00224VOL01 (Australia - Row 27)</t>
        </is>
      </c>
      <c r="C889" t="inlineStr">
        <is>
          <t>171</t>
        </is>
      </c>
      <c r="D889" s="11" t="inlineStr">
        <is>
          <t>ACMA approval conditions for industry code variations</t>
        </is>
      </c>
      <c r="E889" t="inlineStr">
        <is>
          <t>187–188</t>
        </is>
      </c>
      <c r="F889" t="inlineStr">
        <is>
          <t>Medium</t>
        </is>
      </c>
      <c r="G889" t="inlineStr">
        <is>
          <t>High (explicit)</t>
        </is>
      </c>
      <c r="H889" s="11" t="inlineStr"/>
      <c r="I889" s="11" t="inlineStr">
        <is>
          <t>Special Personal Information</t>
        </is>
      </c>
      <c r="J889" t="inlineStr">
        <is>
          <t>ACMA</t>
        </is>
      </c>
      <c r="K889" s="11" t="inlineStr">
        <is>
          <t>The ACMA must approve industry code variations if the body or association represents the relevant telecommunications industry section, the code is registered, it addresses retail customer relationships, the variation process ensures customer interests, and the refundable costs are reasonable. The ACMA can refuse approval if any condition is not met. Approval is irrevocable and lasts two years.</t>
        </is>
      </c>
      <c r="L889" s="11" t="inlineStr">
        <is>
          <t>This section sets conditions for ACMA approval of industry code variations, requiring customer interest representation and cost reasonableness. Relevant for DTIAs involving telecommunications industry code updates.</t>
        </is>
      </c>
      <c r="M889" s="11" t="inlineStr">
        <is>
          <t>• [Must] The body or association represents the section of the telecommunications industry
• [Must] The code is registered under this Part
• [Must] The code deals wholly or mainly with retail customer relationships</t>
        </is>
      </c>
      <c r="N889" s="11" t="inlineStr">
        <is>
          <t>• [Must] The variation process ensures retail customer interests are adequately represented
• [Must] The total refundable costs for varying the code are reasonable</t>
        </is>
      </c>
      <c r="O889" s="11" t="inlineStr">
        <is>
          <t>If the ACMA is not satisfied as to the matters set out in subsection (2A), the ACMA must, by written notice given to the applicant, refuse to make the declaration.</t>
        </is>
      </c>
      <c r="P889" s="12" t="n">
        <v>14</v>
      </c>
    </row>
    <row r="890">
      <c r="A890" t="inlineStr">
        <is>
          <t>Australia</t>
        </is>
      </c>
      <c r="B890" t="inlineStr">
        <is>
          <t>C2026C00224VOL01 (Australia - Row 27)</t>
        </is>
      </c>
      <c r="C890" t="inlineStr">
        <is>
          <t>172</t>
        </is>
      </c>
      <c r="D890" s="11" t="inlineStr">
        <is>
          <t>Reimbursement of costs for industry code development</t>
        </is>
      </c>
      <c r="E890" t="inlineStr">
        <is>
          <t>188–189</t>
        </is>
      </c>
      <c r="F890" t="inlineStr">
        <is>
          <t>Medium</t>
        </is>
      </c>
      <c r="G890" t="inlineStr">
        <is>
          <t>High (explicit)</t>
        </is>
      </c>
      <c r="H890" s="11" t="inlineStr"/>
      <c r="I890" s="11" t="inlineStr">
        <is>
          <t>Special Personal Information</t>
        </is>
      </c>
      <c r="J890" t="inlineStr">
        <is>
          <t>ACMA</t>
        </is>
      </c>
      <c r="K890" s="11" t="inlineStr">
        <is>
          <t>The ACMA determines reimbursement for costs incurred by bodies or associations developing industry codes if specific conditions are met, including code relevance to retail customers, adequate representation of customer interests, and proper documentation of costs with auditor verification. Reimbursement is limited to the lesser of actual costs or the estimate from the initial application.</t>
        </is>
      </c>
      <c r="L890" s="11" t="inlineStr">
        <is>
          <t>This section governs reimbursement for industry code development costs, requiring customer interest representation and auditor verification. Relevant for DTIAs involving telecommunications industry code development.</t>
        </is>
      </c>
      <c r="M890" s="11" t="inlineStr">
        <is>
          <t>• [Must] A section 136B declaration was made for code development
• [Must] The body provided the code to ACMA under section 117
• [Must] The code deals with retail customer relationships</t>
        </is>
      </c>
      <c r="N890" s="11" t="inlineStr">
        <is>
          <t>• [Must] The development process ensured customer interests
• [Must] The code copy included cost statement, reimbursement claim, auditor declaration, and process description
• [Must] Each cost is a refundable cost incurred during the declaration period</t>
        </is>
      </c>
      <c r="O890" s="11" t="inlineStr">
        <is>
          <t>If: (a) a section 136B declaration was made... (b) when the section 136B declaration was in force, the body or association gave a copy of the code to the ACMA...</t>
        </is>
      </c>
      <c r="P890" s="12" t="n">
        <v>14</v>
      </c>
    </row>
    <row r="891">
      <c r="A891" t="inlineStr">
        <is>
          <t>Australia</t>
        </is>
      </c>
      <c r="B891" t="inlineStr">
        <is>
          <t>C2026C00224VOL01 (Australia - Row 27)</t>
        </is>
      </c>
      <c r="C891" t="inlineStr">
        <is>
          <t>173</t>
        </is>
      </c>
      <c r="D891" s="11" t="inlineStr">
        <is>
          <t>Reimbursement of costs for industry code variations</t>
        </is>
      </c>
      <c r="E891" t="inlineStr">
        <is>
          <t>189–190</t>
        </is>
      </c>
      <c r="F891" t="inlineStr">
        <is>
          <t>Medium</t>
        </is>
      </c>
      <c r="G891" t="inlineStr">
        <is>
          <t>High (explicit)</t>
        </is>
      </c>
      <c r="H891" s="11" t="inlineStr"/>
      <c r="I891" s="11" t="inlineStr">
        <is>
          <t>Special Personal Information</t>
        </is>
      </c>
      <c r="J891" t="inlineStr">
        <is>
          <t>ACMA</t>
        </is>
      </c>
      <c r="K891" s="11" t="inlineStr">
        <is>
          <t>The ACMA determines reimbursement for costs incurred by bodies or associations varying industry codes if specific conditions are met, including code relevance to retail customers, adequate representation of customer interests, and proper documentation of costs with auditor verification. Reimbursement is limited to the lesser of actual costs or the estimate from the initial application and must be paid within 30 days.</t>
        </is>
      </c>
      <c r="L891" s="11" t="inlineStr">
        <is>
          <t>This section governs reimbursement for industry code variation costs, requiring customer interest representation and auditor verification. Relevant for DTIAs involving telecommunications industry code updates.</t>
        </is>
      </c>
      <c r="M891" s="11" t="inlineStr">
        <is>
          <t>• [Must] A section 136B declaration was made for code variation
• [Must] The body provided the variation to ACMA under section 119A
• [Must] The code deals with retail customer relationships</t>
        </is>
      </c>
      <c r="N891" s="11" t="inlineStr">
        <is>
          <t>• [Must] The variation process ensured customer interests
• [Must] The variation copy included cost statement, reimbursement claim, auditor declaration, and process description
• [Must] Each cost is a refundable cost incurred during the declaration period</t>
        </is>
      </c>
      <c r="O891" s="11" t="inlineStr">
        <is>
          <t>If: (a) a section 136B declaration was made in relation to the variation of an industry code by a body or association; and (b) when the section 136B declaration was in force, the body or association gave a copy of the variation to the ACMA under section 119A;</t>
        </is>
      </c>
      <c r="P891" s="12" t="n">
        <v>14</v>
      </c>
    </row>
    <row r="892">
      <c r="A892" t="inlineStr">
        <is>
          <t>Australia</t>
        </is>
      </c>
      <c r="B892" t="inlineStr">
        <is>
          <t>C2026C00224VOL01 (Australia - Row 27)</t>
        </is>
      </c>
      <c r="C892" t="inlineStr">
        <is>
          <t>174</t>
        </is>
      </c>
      <c r="D892" s="11" t="inlineStr">
        <is>
          <t>Reimbursement of costs for industry code variations</t>
        </is>
      </c>
      <c r="E892" t="inlineStr">
        <is>
          <t>190–191</t>
        </is>
      </c>
      <c r="F892" t="inlineStr">
        <is>
          <t>Medium</t>
        </is>
      </c>
      <c r="G892" t="inlineStr">
        <is>
          <t>High (explicit)</t>
        </is>
      </c>
      <c r="H892" s="11" t="inlineStr"/>
      <c r="I892" s="11" t="inlineStr">
        <is>
          <t>Special Personal Information</t>
        </is>
      </c>
      <c r="J892" t="inlineStr">
        <is>
          <t>ACMA</t>
        </is>
      </c>
      <c r="K892" s="11" t="inlineStr">
        <is>
          <t>The ACMA determines reimbursement for costs incurred by bodies or associations varying industry codes if specific conditions are met, including code relevance to retail customers, adequate representation of customer interests, and proper documentation of costs with auditor verification. Reimbursement is limited to the lesser of actual costs or the estimate from the initial application and must be paid within 30 days.</t>
        </is>
      </c>
      <c r="L892" s="11" t="inlineStr">
        <is>
          <t>This section governs reimbursement for industry code variation costs, requiring customer interest representation and auditor verification. Relevant for DTIAs involving telecommunications industry code updates.</t>
        </is>
      </c>
      <c r="M892" s="11" t="inlineStr">
        <is>
          <t>• [Must] The ACMA determines entitlement to a specified reimbursement amount
• [Must] The specified amount is the lesser of actual costs or the estimate from the initial application</t>
        </is>
      </c>
      <c r="N892" s="11" t="inlineStr">
        <is>
          <t>• [Must] The ACMA pays the amount within 30 days of notification</t>
        </is>
      </c>
      <c r="O892" s="11" t="inlineStr">
        <is>
          <t>The ACMA must, by written notice given to the body or association, determine that the body or association is entitled to be paid a specified amount.</t>
        </is>
      </c>
      <c r="P892" s="12" t="n">
        <v>14</v>
      </c>
    </row>
    <row r="893">
      <c r="A893" t="inlineStr">
        <is>
          <t>Australia</t>
        </is>
      </c>
      <c r="B893" t="inlineStr">
        <is>
          <t>C2026C00224VOL01 (Australia - Row 27)</t>
        </is>
      </c>
      <c r="C893" t="inlineStr">
        <is>
          <t>181</t>
        </is>
      </c>
      <c r="D893" s="11" t="inlineStr">
        <is>
          <t>Definitions for telecommunications industry terms</t>
        </is>
      </c>
      <c r="E893" t="inlineStr">
        <is>
          <t>197–198</t>
        </is>
      </c>
      <c r="F893" t="inlineStr">
        <is>
          <t>Low</t>
        </is>
      </c>
      <c r="G893" t="inlineStr">
        <is>
          <t>High (explicit)</t>
        </is>
      </c>
      <c r="H893" s="11" t="inlineStr"/>
      <c r="I893" s="11" t="inlineStr"/>
      <c r="J893" t="inlineStr"/>
      <c r="K893" s="11" t="inlineStr">
        <is>
          <t>This section defines specific terms used in telecommunications regulation, including 'retailer' in joint functional separation contexts, 'sewerage services body', 'state or territory road authority', 'storm water drainage services', 'superfast carriage service', 'supply', 'unsatisfactory compliance record', and 'upgrade' for telecommunications networks. These definitions are critical for understanding industry-specific regulatory frameworks.</t>
        </is>
      </c>
      <c r="L893" s="11" t="inlineStr">
        <is>
          <t>These definitions establish industry-specific terminology for telecommunications regulation, relevant for DTIAs involving service providers and network infrastructure.</t>
        </is>
      </c>
      <c r="M893" s="11" t="inlineStr">
        <is>
          <t>• [Definition] Retailer means a person identified in the undertaking as the retailer
• [Definition] Sewerage services body has the same meaning as in the National Broadband Network Companies Act 2011
• [Definition] State or territory road authority has the same meaning as in the National Broadband Network Companies Act 2011
• [Definition] Storm water drainage services has the same meaning as in the National Broadband Network Companies Act 2011
• [Definition] Storm water drainage services body has the same meaning as in the National Broadband Network Companies Act 2011</t>
        </is>
      </c>
      <c r="N893" s="11" t="inlineStr">
        <is>
          <t>• [Definition] Superfast carriage service requires download speed of 25 megabits per second or more
• [Definition] Supply includes supply by a corporation to itself
• [Definition] Unsatisfactory compliance record has meaning affected by section 142BC
• [Definition] Upgrade has meaning affected by section 160</t>
        </is>
      </c>
      <c r="O893" s="11" t="inlineStr">
        <is>
          <t>retailer, when used in relation to a joint functional separation undertaking, means a person identified in the undertaking as the retailer, or one of the retailers, for the purposes of the undertaking.</t>
        </is>
      </c>
      <c r="P893" s="12" t="n">
        <v>14</v>
      </c>
    </row>
    <row r="894">
      <c r="A894" t="inlineStr">
        <is>
          <t>Australia</t>
        </is>
      </c>
      <c r="B894" t="inlineStr">
        <is>
          <t>C2026C00224VOL01 (Australia - Row 27)</t>
        </is>
      </c>
      <c r="C894" t="inlineStr">
        <is>
          <t>183</t>
        </is>
      </c>
      <c r="D894" s="11" t="inlineStr">
        <is>
          <t>Terms and conditions for functional separation</t>
        </is>
      </c>
      <c r="E894" t="inlineStr">
        <is>
          <t>199–200</t>
        </is>
      </c>
      <c r="F894" t="inlineStr">
        <is>
          <t>Low</t>
        </is>
      </c>
      <c r="G894" t="inlineStr">
        <is>
          <t>High (explicit)</t>
        </is>
      </c>
      <c r="H894" s="11" t="inlineStr"/>
      <c r="I894" s="11" t="inlineStr"/>
      <c r="J894" t="inlineStr"/>
      <c r="K894" s="11" t="inlineStr">
        <is>
          <t>This section defines terms and conditions for functional separation undertakings, treating notional contracts between business units as actual contracts and their terms as actual terms. It also specifies that unsatisfactory compliance records are determined based on breaches of functional separation undertakings and contraventions of specific sections related to functional separation.</t>
        </is>
      </c>
      <c r="L894" s="11" t="inlineStr">
        <is>
          <t>These provisions define how functional separation undertakings are treated in regulatory contexts, relevant for DTIAs involving telecommunications service providers.</t>
        </is>
      </c>
      <c r="M894" s="11" t="inlineStr">
        <is>
          <t>• [Must] Notional contracts between business units are treated as actual contracts
• [Must] Terms and conditions in notional contracts are treated as actual terms</t>
        </is>
      </c>
      <c r="N894" s="11" t="inlineStr">
        <is>
          <t>• [Must] Unsatisfactory compliance records are determined based on breaches of functional separation undertakings
• [Must] Unsatisfactory compliance records consider contraventions of specific sections</t>
        </is>
      </c>
      <c r="O894" s="11" t="inlineStr">
        <is>
          <t>For the purposes of this Part: (a) a notional contract (however described) between a corporation's business units is to be treated as if it were an actual contract; and (b) any terms and conditions (whether or not relating to price or a method of ascertaining price) in such a notional contract are to be treated as if they were actual terms and conditions.</t>
        </is>
      </c>
      <c r="P894" s="12" t="n">
        <v>14</v>
      </c>
    </row>
    <row r="895">
      <c r="A895" t="inlineStr">
        <is>
          <t>Australia</t>
        </is>
      </c>
      <c r="B895" t="inlineStr">
        <is>
          <t>C2026C00224VOL01 (Australia - Row 27)</t>
        </is>
      </c>
      <c r="C895" t="inlineStr">
        <is>
          <t>192</t>
        </is>
      </c>
      <c r="D895" s="11" t="inlineStr">
        <is>
          <t>Eligible service activities and non-discrimination</t>
        </is>
      </c>
      <c r="E895" t="inlineStr">
        <is>
          <t>208–209</t>
        </is>
      </c>
      <c r="F895" t="inlineStr">
        <is>
          <t>Low</t>
        </is>
      </c>
      <c r="G895" t="inlineStr">
        <is>
          <t>High (explicit)</t>
        </is>
      </c>
      <c r="H895" s="11" t="inlineStr">
        <is>
          <t>Cross-border Transfer, International Processing, Data Storage,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895" s="11" t="inlineStr">
        <is>
          <t>Personal Information, Financial Data, Customer Data, Employee Data, Health Data, Children's Data, Biometric Data, Special Personal Information</t>
        </is>
      </c>
      <c r="J895" t="inlineStr"/>
      <c r="K895" s="11" t="inlineStr">
        <is>
          <t>This section defines activities that may be considered for eligibility under the Act, including planning for facilities, preparatory activities, and ancillary services. It prohibits discrimination in favor of the entity itself when engaging in eligible service development, enhancement, or network capability improvements. The section specifies that such discrimination must not occur in relation to developing new services, enhancing existing services, or extending network capabilities.</t>
        </is>
      </c>
      <c r="L895" s="11" t="inlineStr">
        <is>
          <t>This section defines activities that may be considered for eligibility under the Act and prohibits discrimination in favor of the entity itself when engaging in eligible service development, enhancement, or network capability improvements. It does not directly impact data transfers but may affect service provider relationships.</t>
        </is>
      </c>
      <c r="M895" s="11" t="inlineStr">
        <is>
          <t>• [Must] Planning for a facility or telecommunications network by means of which an eligible service is, or is to be, supplied
• [Must] An activity that is preparatory to the supply of an eligible service
• [Must] An activity that is ancillary or incidental to the supply of an eligible service
• [Must] Giving information to service providers about any of the above activities</t>
        </is>
      </c>
      <c r="N895" s="11" t="inlineStr">
        <is>
          <t>• [Must Not] The person must not discriminate in favour of itself in relation to developing a new eligible service
• [Must Not] The person must not discriminate in favour of itself in relation to enhancing an eligible service
• [Must Not] The person must not discriminate in favour of itself in relation to extending or enhancing the capability of a facility or telecommunications network by means of which an eligible service is, or is to be, supplied</t>
        </is>
      </c>
      <c r="O895" s="11" t="inlineStr">
        <is>
          <t>192 Compilation (iv) planning for a facility or telecommunications network by means of which an eligible service is, or is to be, supplied; (v) an activity that is preparatory to the supply of an eligible service; (vi) an activity that is ancillary or incidental to the supply of an eligible service; (vii) giving information to service providers about any of the above activities; (e) the person must not discriminate in favour of itself in relation to the carrying on of any of the following activities: (i) developing a new eligible service; (ii) enhancing an eligible service; (iii) extending or enhancing the capability of a facility or telecommunications network by means of which an eligible service is, or is to be, supplied; (iv) planning for a facility or telecommunications network by means of which an eligible service is, or is to be, supplied; (v) an activity that is preparatory to the supply of an eligible service; (vi) an activity that is ancillary or incidental to the supply of an eligible service; (vii) giving information to service providers about any of the above activities;</t>
        </is>
      </c>
      <c r="P895" s="12" t="n">
        <v>14</v>
      </c>
    </row>
    <row r="896">
      <c r="A896" t="inlineStr">
        <is>
          <t>Australia</t>
        </is>
      </c>
      <c r="B896" t="inlineStr">
        <is>
          <t>C2026C00224VOL01 (Australia - Row 27)</t>
        </is>
      </c>
      <c r="C896" t="inlineStr">
        <is>
          <t>193</t>
        </is>
      </c>
      <c r="D896" s="11" t="inlineStr">
        <is>
          <t>Wholesale customer discrimination grounds</t>
        </is>
      </c>
      <c r="E896" t="inlineStr">
        <is>
          <t>209–210</t>
        </is>
      </c>
      <c r="F896" t="inlineStr">
        <is>
          <t>Low</t>
        </is>
      </c>
      <c r="G896" t="inlineStr">
        <is>
          <t>High (explicit)</t>
        </is>
      </c>
      <c r="H896" s="11" t="inlineStr">
        <is>
          <t>Cross-border Transfer, International Processing, Data Storage,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896" s="11" t="inlineStr">
        <is>
          <t>Personal Information, Financial Data, Customer Data, Employee Data, Health Data, Children's Data, Biometric Data, Special Personal Information</t>
        </is>
      </c>
      <c r="J896" t="inlineStr"/>
      <c r="K896" s="11" t="inlineStr">
        <is>
          <t>This section outlines grounds for believing that a wholesale customer or prospective customer would fail to comply with terms and conditions for designated carriage services. It specifies that such grounds include evidence of poor creditworthiness or repeated failures to comply with service terms. The section is part of a regulatory framework for wholesale customers in the telecommunications sector.</t>
        </is>
      </c>
      <c r="L896" s="11" t="inlineStr">
        <is>
          <t>This section outlines grounds for believing that a wholesale customer or prospective customer would fail to comply with terms and conditions for designated carriage services. It does not directly impact data transfers but may affect service provider relationships.</t>
        </is>
      </c>
      <c r="M896" s="11" t="inlineStr">
        <is>
          <t>• [Must] Evidence that the wholesale customer or prospective wholesale customer is not creditworthy</t>
        </is>
      </c>
      <c r="N896" s="11" t="inlineStr">
        <is>
          <t>• [Must] Repeated failures by the wholesale customer or prospective wholesale customer to comply with the terms and conditions on which the person supplied eligible services</t>
        </is>
      </c>
      <c r="O896" s="11" t="inlineStr">
        <is>
          <t>193 Compilation material extent, to comply with the terms and conditions on which the person supplies designated carriage services. (5) Examples of grounds for believing as mentioned in subsection (4) include: (a) evidence that the wholesale customer or prospective wholesale customer is not creditworthy; and (b) repeated failures by the wholesale customer or prospective wholesale customer to comply with the terms and conditions on which the person supplied eligible services (whether or not using the line).</t>
        </is>
      </c>
      <c r="P896" s="12" t="n">
        <v>14</v>
      </c>
    </row>
    <row r="897">
      <c r="A897" t="inlineStr">
        <is>
          <t>Australia</t>
        </is>
      </c>
      <c r="B897" t="inlineStr">
        <is>
          <t>C2026C00224VOL01 (Australia - Row 27)</t>
        </is>
      </c>
      <c r="C897" t="inlineStr">
        <is>
          <t>214</t>
        </is>
      </c>
      <c r="D897" s="11" t="inlineStr">
        <is>
          <t>Joint functional separation undertakings and cancellations</t>
        </is>
      </c>
      <c r="E897" t="inlineStr">
        <is>
          <t>230–231</t>
        </is>
      </c>
      <c r="F897" t="inlineStr">
        <is>
          <t>Low</t>
        </is>
      </c>
      <c r="G897" t="inlineStr">
        <is>
          <t>High (explicit)</t>
        </is>
      </c>
      <c r="H897" s="11" t="inlineStr">
        <is>
          <t>Cross-border Transfer, International Processing, Data Storage,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897" s="11" t="inlineStr">
        <is>
          <t>Personal Information, Financial Data, Customer Data, Employee Data, Health Data, Children's Data, Biometric Data, Special Personal Information</t>
        </is>
      </c>
      <c r="J897" t="inlineStr"/>
      <c r="K897" s="11" t="inlineStr">
        <is>
          <t>This section details the conditions under which a joint functional separation undertaking can be canceled. It specifies that the corporation may give the ACCC a joint functional separation undertaking, and that the undertaking is canceled immediately before the undertaking comes into force. The section also outlines the process for the ACCC to make determinations under this section.</t>
        </is>
      </c>
      <c r="L897" s="11" t="inlineStr">
        <is>
          <t>This section details the conditions under which a joint functional separation undertaking can be canceled. It does not directly impact data transfers but may affect service provider relationships.</t>
        </is>
      </c>
      <c r="M897" s="11" t="inlineStr">
        <is>
          <t>• [May] The corporation may give the ACCC a joint functional separation undertaking</t>
        </is>
      </c>
      <c r="N897" s="11" t="inlineStr">
        <is>
          <t>• [Must] The corporation is taken to have cancelled the election immediately before the joint functional separation undertaking comes into force</t>
        </is>
      </c>
      <c r="O897" s="11" t="inlineStr">
        <is>
          <t>214 Compilation (a) this Act does not prevent the corporation, together with one or more other persons, from giving the ACCC a joint functional separation undertaking; (b) if the joint functional separation undertaking comes into force—the corporation is taken to have cancelled the election immediately before the joint functional separation undertaking comes into force.</t>
        </is>
      </c>
      <c r="P897" s="12" t="n">
        <v>14</v>
      </c>
    </row>
    <row r="898">
      <c r="A898" t="inlineStr">
        <is>
          <t>Australia</t>
        </is>
      </c>
      <c r="B898" t="inlineStr">
        <is>
          <t>C2026C00224VOL01 (Australia - Row 27)</t>
        </is>
      </c>
      <c r="C898" t="inlineStr">
        <is>
          <t>216</t>
        </is>
      </c>
      <c r="D898" s="11" t="inlineStr">
        <is>
          <t>Wholesaler and retailer separation requirements</t>
        </is>
      </c>
      <c r="E898" t="inlineStr">
        <is>
          <t>232–233</t>
        </is>
      </c>
      <c r="F898" t="inlineStr">
        <is>
          <t>Low</t>
        </is>
      </c>
      <c r="G898" t="inlineStr">
        <is>
          <t>High (explicit)</t>
        </is>
      </c>
      <c r="H898" s="11" t="inlineStr">
        <is>
          <t>Cross-border Transfer, International Processing, Data Storage,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898" s="11" t="inlineStr">
        <is>
          <t>Personal Information, Financial Data, Customer Data, Employee Data, Health Data, Children's Data, Biometric Data, Special Personal Information</t>
        </is>
      </c>
      <c r="J898" t="inlineStr"/>
      <c r="K898" s="11" t="inlineStr">
        <is>
          <t>This section outlines specific requirements for separating wholesalers and retailers, including ensuring no directors are shared between entities, having separate operational and business systems, and publishing terms on the website. It mandates that wholesalers provide local access line services to customers on published terms and ensure customer information is not disclosed to retailers.</t>
        </is>
      </c>
      <c r="L898" s="11" t="inlineStr">
        <is>
          <t>This section outlines specific requirements for separating wholesalers and retailers, including ensuring no directors are shared between entities, having separate operational and business systems, and publishing terms on the website. It does not directly impact data transfers but may affect service provider relationships.</t>
        </is>
      </c>
      <c r="M898" s="11" t="inlineStr">
        <is>
          <t>• [Must] A wholesaler will ensure that no director of the wholesaler is a director of a retailer
• [Must] A retailer will ensure that no director of the retailer is a director of a wholesaler
• [Must] A wholesaler will have separate operational support systems
• [Must] A wholesaler will have separate business systems
• [Must] A wholesaler will have separate communications systems</t>
        </is>
      </c>
      <c r="N898" s="11" t="inlineStr">
        <is>
          <t>• [Must] A wholesaler will have separate accounts
• [Must] A wholesaler will publish on the wholesaler's website terms for supplying local access line services to retailers and prospective wholesale customers
• [Must] A wholesaler will supply local access line services to wholesale customers on the terms and conditions published on the website
• [Must] A wholesaler will ensure that information provided by wholesale customers (other than retailers) is not disclosed to retailers</t>
        </is>
      </c>
      <c r="O898" s="11" t="inlineStr">
        <is>
          <t>216 Compilation (h) provide that a wholesaler will ensure that no director of the wholesaler is a director of a retailer; and (i) provide that a retailer will ensure that no director of the retailer is a director of a wholesaler; and (j) provide that: (i) the wholesaler or wholesalers; and (ii) the retailer or retailers; will, to the extent specified in the undertaking, have separate: (iii) operational support systems; (iv) business systems; (v) communications systems; (vi) accounts; and (k) provide that a wholesaler will publish on the wholesaler's website: on which the wholesaler offers to supply local access line services to the following: (iii) a retailer; (iv) its wholesale customers or prospective wholesale customers; and (l) provide that a wholesaler will: (i) if requested to do so by a wholesale customer or prospective wholesale customer, supply a local access line service to the wholesale customer or prospective wholesale customer; and (ii) do so on the terms and conditions that were published on the wholesaler's website at the time when the request was made; and (m) provide that a wholesaler will ensure that information provided by its wholesale customers (other than the retailer or retailers) is not disclosed to any of the retailers;</t>
        </is>
      </c>
      <c r="P898" s="12" t="n">
        <v>14</v>
      </c>
    </row>
    <row r="899">
      <c r="A899" t="inlineStr">
        <is>
          <t>Australia</t>
        </is>
      </c>
      <c r="B899" t="inlineStr">
        <is>
          <t>C2026C00224VOL01 (Australia - Row 27)</t>
        </is>
      </c>
      <c r="C899" t="inlineStr">
        <is>
          <t>238</t>
        </is>
      </c>
      <c r="D899" s="11" t="inlineStr">
        <is>
          <t>Revocation of functional separation undertakings</t>
        </is>
      </c>
      <c r="E899" t="inlineStr">
        <is>
          <t>254–255</t>
        </is>
      </c>
      <c r="F899" t="inlineStr">
        <is>
          <t>Low</t>
        </is>
      </c>
      <c r="G899" t="inlineStr">
        <is>
          <t>High (explicit)</t>
        </is>
      </c>
      <c r="H899" s="11" t="inlineStr">
        <is>
          <t>Cross-border Transfer, International Processing, Data Storage,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899" s="11" t="inlineStr">
        <is>
          <t>Personal Information, Financial Data, Customer Data, Employee Data, Health Data, Children's Data, Biometric Data, Special Personal Information</t>
        </is>
      </c>
      <c r="J899" t="inlineStr"/>
      <c r="K899" s="11" t="inlineStr">
        <is>
          <t>This section outlines the conditions under which the ACCC may revoke a joint functional separation undertaking, including breaches of fundamental provisions, contraventions of specific sections, or unsatisfactory compliance records. It specifies the time limits for revocation and the effect of revocation on local access line services.</t>
        </is>
      </c>
      <c r="L899" s="11" t="inlineStr">
        <is>
          <t>This section outlines the conditions under which the ACCC may revoke a joint functional separation undertaking, including breaches of fundamental provisions, contraventions of specific sections, or unsatisfactory compliance records. It does not directly impact data transfers but may affect service provider relationships.</t>
        </is>
      </c>
      <c r="M899" s="11" t="inlineStr">
        <is>
          <t>• [May] The ACCC may revoke the undertaking if any of those persons has breached a fundamental provision of the undertaking
• [May] The ACCC may revoke the undertaking if any of those persons has contravened section 151ZF or 1.51ZG
• [May] The ACCC may revoke the undertaking if any of those persons has an unsatisfactory compliance record in relation to functional separation</t>
        </is>
      </c>
      <c r="N899" s="11" t="inlineStr">
        <is>
          <t>• [Must] The revocation takes effect at the time specified in the notice of revocation, which must not be earlier than the time the notice is given
• [Must] The revocation takes effect at the time specified in the notice of revocation, which must not be later than 12 months after the notice is given
• [Must] The undertaking does not apply to local access line services supplied using a local access line that came into existence after the notice was given</t>
        </is>
      </c>
      <c r="O899" s="11" t="inlineStr">
        <is>
          <t>238 Compilation (b) any of those persons has: (i) breached a fundamental provision of the undertaking; or (ii) contravened section 151ZF or 151ZG; the ACCC may, by written notice given to each of those persons, revoke the undertaking.</t>
        </is>
      </c>
      <c r="P899" s="12" t="n">
        <v>14</v>
      </c>
    </row>
    <row r="900">
      <c r="A900" t="inlineStr">
        <is>
          <t>Australia</t>
        </is>
      </c>
      <c r="B900" t="inlineStr">
        <is>
          <t>C2026C00224VOL01 (Australia - Row 27)</t>
        </is>
      </c>
      <c r="C900" t="inlineStr">
        <is>
          <t>239</t>
        </is>
      </c>
      <c r="D900" s="11" t="inlineStr">
        <is>
          <t>Consultation on revocation of functional separation undertakings</t>
        </is>
      </c>
      <c r="E900" t="inlineStr">
        <is>
          <t>255–256</t>
        </is>
      </c>
      <c r="F900" t="inlineStr">
        <is>
          <t>Low</t>
        </is>
      </c>
      <c r="G900" t="inlineStr">
        <is>
          <t>High (explicit)</t>
        </is>
      </c>
      <c r="H900" s="11" t="inlineStr">
        <is>
          <t>Cross-border Transfer, International Processing, Data Storage,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900" s="11" t="inlineStr">
        <is>
          <t>Personal Information, Financial Data, Customer Data, Employee Data, Health Data, Children's Data, Biometric Data, Special Personal Information</t>
        </is>
      </c>
      <c r="J900" t="inlineStr"/>
      <c r="K900" s="11" t="inlineStr">
        <is>
          <t>This section details the consultation process required before the ACCC can revoke a standard functional separation undertaking. It mandates that the ACCC provide written notice to the person, inviting submissions within a 15 business day timeframe, and consider any submissions received during this period. The section also outlines the conditions for revocation of joint functional separation undertakings.</t>
        </is>
      </c>
      <c r="L900" s="11" t="inlineStr">
        <is>
          <t>This section details the consultation process required before the ACCC can revoke a standard functional separation undertaking. It does not directly impact data transfers but may affect service provider relationships.</t>
        </is>
      </c>
      <c r="M900" s="11" t="inlineStr">
        <is>
          <t>• [Must] The ACCC must give the person a written notice stating that the ACCC proposes to revoke the standard functional separation undertaking
• [Must] The ACCC must invite the person to make a submission to the ACCC about the revocation within the time limit specified in the notice</t>
        </is>
      </c>
      <c r="N900" s="11" t="inlineStr">
        <is>
          <t>• [Must] The time limit must not be shorter than 15 business days after the notice is given</t>
        </is>
      </c>
      <c r="O900" s="11" t="inlineStr">
        <is>
          <t>239 Compilation (1) Before making a decision under subsection 151W(1) or (2) to revoke a standard functional separation undertaking given by a person, the ACCC must: (a) give the person a written notice: (i) stating that the ACCC proposes to revoke the [undertaking]; (ii) inviting the person to make a submission to the ACCC about the revocation within the time limit specified in the notice; and (b) consider any submission received within the time limit</t>
        </is>
      </c>
      <c r="P900" s="12" t="n">
        <v>14</v>
      </c>
    </row>
    <row r="901">
      <c r="A901" t="inlineStr">
        <is>
          <t>Australia</t>
        </is>
      </c>
      <c r="B901" t="inlineStr">
        <is>
          <t>C2026C00224VOL01 (Australia - Row 27)</t>
        </is>
      </c>
      <c r="C901" t="inlineStr">
        <is>
          <t>240</t>
        </is>
      </c>
      <c r="D901" s="11" t="inlineStr">
        <is>
          <t>Notification of proposed revocation of functional separation undertaking</t>
        </is>
      </c>
      <c r="E901" t="inlineStr">
        <is>
          <t>256–257</t>
        </is>
      </c>
      <c r="F901" t="inlineStr">
        <is>
          <t>Medium</t>
        </is>
      </c>
      <c r="G901" t="inlineStr">
        <is>
          <t>High (explicit)</t>
        </is>
      </c>
      <c r="H901" s="11" t="inlineStr"/>
      <c r="I901" s="11" t="inlineStr"/>
      <c r="J901" t="inlineStr">
        <is>
          <t>ACCC</t>
        </is>
      </c>
      <c r="K901" s="11" t="inlineStr">
        <is>
          <t>This section requires the ACCC to provide written notice to persons who have given functional separation undertakings when proposing to revoke such undertakings. It also mandates that those persons submit written submissions to the ACCC within 15 business days of receiving the notice. The notice must specify the revocation proposal and the submission deadline. This applies to breaches of functional separation undertakings that occurred while the undertaking was in force and contraventions of specific sections.</t>
        </is>
      </c>
      <c r="L901" s="11" t="inlineStr">
        <is>
          <t>This section establishes a notification process for revocation of functional separation undertakings, requiring timely submissions to the ACCC. It may impact DTIAs by creating procedural requirements for notifying authorities about changes in compliance status.</t>
        </is>
      </c>
      <c r="M901" s="11" t="inlineStr">
        <is>
          <t>• [Must] ACCC must give written notice to persons who gave functional separation undertakings proposing revocation</t>
        </is>
      </c>
      <c r="N901" s="11" t="inlineStr">
        <is>
          <t>• [Must] Persons must submit written submissions to ACCC about revocation within 15 business days</t>
        </is>
      </c>
      <c r="O901" s="11" t="inlineStr">
        <is>
          <t>240 (a) give each of those persons a written notice: (i) stating that the ACCC proposes to revoke the (ii) inviting those persons to make submissions to the ACCC about the revocation within the time limit</t>
        </is>
      </c>
      <c r="P901" s="12" t="n">
        <v>14</v>
      </c>
    </row>
    <row r="902">
      <c r="A902" t="inlineStr">
        <is>
          <t>Australia</t>
        </is>
      </c>
      <c r="B902" t="inlineStr">
        <is>
          <t>C2026C00224VOL01 (Australia - Row 27)</t>
        </is>
      </c>
      <c r="C902" t="inlineStr">
        <is>
          <t>244</t>
        </is>
      </c>
      <c r="D902" s="11" t="inlineStr">
        <is>
          <t>Compliance with functional separation direction</t>
        </is>
      </c>
      <c r="E902" t="inlineStr">
        <is>
          <t>260–261</t>
        </is>
      </c>
      <c r="F902" t="inlineStr">
        <is>
          <t>Medium</t>
        </is>
      </c>
      <c r="G902" t="inlineStr">
        <is>
          <t>High (explicit)</t>
        </is>
      </c>
      <c r="H902" s="11" t="inlineStr"/>
      <c r="I902" s="11" t="inlineStr"/>
      <c r="J902" t="inlineStr">
        <is>
          <t>ACCC</t>
        </is>
      </c>
      <c r="K902" s="11" t="inlineStr">
        <is>
          <t>This section mandates that persons must comply with directions issued by the ACCC under functional separation undertakings. It specifies that non-compliance with these directions constitutes a contravention subject to civil penalties. The section applies to breaches of functional separation undertakings and contraventions of specific sections related to functional separation.</t>
        </is>
      </c>
      <c r="L902" s="11" t="inlineStr">
        <is>
          <t>This section requires compliance with ACCC directions regarding functional separation, which may affect DTIAs through enforcement mechanisms for non-compliance with cross-border data handling obligations.</t>
        </is>
      </c>
      <c r="M902" s="11" t="inlineStr">
        <is>
          <t>• [Must] A person must comply with a direction under subsection (1) or (2)</t>
        </is>
      </c>
      <c r="N902" s="11" t="inlineStr"/>
      <c r="O902" s="11" t="inlineStr">
        <is>
          <t>244 (3) A person must comply with a direction under subsection (1) or (2).</t>
        </is>
      </c>
      <c r="P902" s="12" t="n">
        <v>14</v>
      </c>
    </row>
    <row r="903">
      <c r="A903" t="inlineStr">
        <is>
          <t>Australia</t>
        </is>
      </c>
      <c r="B903" t="inlineStr">
        <is>
          <t>C2026C00224VOL01 (Australia - Row 27)</t>
        </is>
      </c>
      <c r="C903" t="inlineStr">
        <is>
          <t>245</t>
        </is>
      </c>
      <c r="D903" s="11" t="inlineStr">
        <is>
          <t>Notification of changes in control for functional separation undertakings</t>
        </is>
      </c>
      <c r="E903" t="inlineStr">
        <is>
          <t>261–262</t>
        </is>
      </c>
      <c r="F903" t="inlineStr">
        <is>
          <t>Low</t>
        </is>
      </c>
      <c r="G903" t="inlineStr">
        <is>
          <t>High (explicit)</t>
        </is>
      </c>
      <c r="H903" s="11" t="inlineStr"/>
      <c r="I903" s="11" t="inlineStr"/>
      <c r="J903" t="inlineStr">
        <is>
          <t>ACCC</t>
        </is>
      </c>
      <c r="K903" s="11" t="inlineStr">
        <is>
          <t>This section requires persons who have given functional separation undertakings to notify the ACCC in writing within 10 business days if they become aware of changes in control. It covers both the person who gave the undertaking and others who become aware of control changes. The notices must be in a form approved by the ACCC and must be submitted as soon as practicable.</t>
        </is>
      </c>
      <c r="L903" s="11" t="inlineStr">
        <is>
          <t>This section mandates timely notification of control changes for functional separation undertakings, which may impact DTIAs by requiring specific reporting mechanisms for changes in data processing authority.</t>
        </is>
      </c>
      <c r="M903" s="11" t="inlineStr">
        <is>
          <t>• [Must] First person must notify ACCC in writing within 10 business days of becoming aware of control changes</t>
        </is>
      </c>
      <c r="N903" s="11" t="inlineStr">
        <is>
          <t>• [Must] Other person must notify ACCC in writing within 10 business days of becoming aware of control changes</t>
        </is>
      </c>
      <c r="O903" s="11" t="inlineStr">
        <is>
          <t>245 (c) notify the ACCC, in writing, of that event; and (d) do so as soon as practicable, but not later than 10 business days, after becoming so aware.</t>
        </is>
      </c>
      <c r="P903" s="12" t="n">
        <v>14</v>
      </c>
    </row>
    <row r="904">
      <c r="A904" t="inlineStr">
        <is>
          <t>Australia</t>
        </is>
      </c>
      <c r="B904" t="inlineStr">
        <is>
          <t>C2026C00224VOL01 (Australia - Row 27)</t>
        </is>
      </c>
      <c r="C904" t="inlineStr">
        <is>
          <t>247</t>
        </is>
      </c>
      <c r="D904" s="11" t="inlineStr">
        <is>
          <t>Enforcement of functional separation undertakings by Federal Court</t>
        </is>
      </c>
      <c r="E904" t="inlineStr">
        <is>
          <t>263–264</t>
        </is>
      </c>
      <c r="F904" t="inlineStr">
        <is>
          <t>High</t>
        </is>
      </c>
      <c r="G904" t="inlineStr">
        <is>
          <t>High (explicit)</t>
        </is>
      </c>
      <c r="H904" s="11" t="inlineStr"/>
      <c r="I904" s="11" t="inlineStr"/>
      <c r="J904" t="inlineStr">
        <is>
          <t>Federal Court</t>
        </is>
      </c>
      <c r="K904" s="11" t="inlineStr">
        <is>
          <t>This section allows the Federal Court to issue orders to enforce functional separation undertakings when breaches are confirmed. The court may direct compliance with the undertaking, dispose of assets, restrain share rights, prohibit payments, disregard share rights, require compensation for financial benefits obtained from breaches, or make other appropriate orders. These orders apply to persons who have given functional separation undertakings in force.</t>
        </is>
      </c>
      <c r="L904" s="11" t="inlineStr">
        <is>
          <t>This section provides enforcement mechanisms for functional separation undertakings, which may impact DTIAs by creating potential legal remedies for breaches of cross-border data handling obligations.</t>
        </is>
      </c>
      <c r="M904" s="11" t="inlineStr">
        <is>
          <t>• [Must] Federal Court may make orders directing compliance with functional separation undertaking
• [Must] Federal Court may order disposal of network units, lines, shares or other assets
• [Must] Federal Court may order restraint on exercise of share rights</t>
        </is>
      </c>
      <c r="N904" s="11" t="inlineStr">
        <is>
          <t>• [Must] Federal Court may prohibit or defer payment of sums due to a person for shares
• [Must] Federal Court may disregard exercise of rights attached to shares
• [Must] Federal Court may order payment to Commonwealth for financial benefits obtained from breach</t>
        </is>
      </c>
      <c r="O904" s="11" t="inlineStr">
        <is>
          <t>247 (1) If: (a) a functional separation undertaking given by a person is in force; and (b) the Federal Court is satisfied, on the application of: (i) the ACCC; or (ii) a carrier; or (iii) a carriage service provider; that the person has breached the undertaking; the Court may make any or all of the following orders: (c) an order directing the person to comply with the undertaking; (d) an order directing the disposal of network units, lines, shares or other assets; (e) an order restraining the exercise of any rights attached to shares; (f) an order prohibiting or deferring the payment of any sums due to a person in respect of shares held by the person; (g) an order that any exercise of rights attached to shares be disregarded; (h) an order directing the person to pay to the Commonwealth an amount up to the amount of any financial benefit that the person has obtained directly or indirectly and that is reasonably attributable to the breach;</t>
        </is>
      </c>
      <c r="P904" s="12" t="n">
        <v>14</v>
      </c>
    </row>
    <row r="905">
      <c r="A905" t="inlineStr">
        <is>
          <t>Australia</t>
        </is>
      </c>
      <c r="B905" t="inlineStr">
        <is>
          <t>C2026C00224VOL01 (Australia - Row 27)</t>
        </is>
      </c>
      <c r="C905" t="inlineStr">
        <is>
          <t>249</t>
        </is>
      </c>
      <c r="D905" s="11" t="inlineStr">
        <is>
          <t>Non-discrimination in supply of eligible services</t>
        </is>
      </c>
      <c r="E905" t="inlineStr">
        <is>
          <t>265–266</t>
        </is>
      </c>
      <c r="F905" t="inlineStr">
        <is>
          <t>High</t>
        </is>
      </c>
      <c r="G905" t="inlineStr">
        <is>
          <t>High (explicit)</t>
        </is>
      </c>
      <c r="H905" s="11" t="inlineStr"/>
      <c r="I905" s="11" t="inlineStr"/>
      <c r="J905" t="inlineStr"/>
      <c r="K905" s="11" t="inlineStr">
        <is>
          <t>This section prohibits discrimination between wholesale customers or prospective wholesale customers when supplying eligible services using a local access line. It allows exceptions for customers with reasonable grounds to believe they would fail to comply with terms and conditions, such as credit issues or repeated non-compliance. The rule applies to services supplied or proposed to be supplied after the designated commencement date.</t>
        </is>
      </c>
      <c r="L905" s="11" t="inlineStr">
        <is>
          <t>This section ensures non-discrimination in service provision, which may impact DTIAs by requiring equal treatment of data subjects across different customer segments.</t>
        </is>
      </c>
      <c r="M905" s="11" t="inlineStr">
        <is>
          <t>• [Must] Person must not discriminate between wholesale customers or prospective wholesale customers in supply of eligible services</t>
        </is>
      </c>
      <c r="N905" s="11" t="inlineStr">
        <is>
          <t>• [May] Exception for customers with reasonable grounds to believe they would fail to comply with terms and conditions</t>
        </is>
      </c>
      <c r="O905" s="11" t="inlineStr">
        <is>
          <t>249 (1) If: (a) an eligible service is supplied, or proposed to be supplied, by a person using a local access line; and [the person must not, on or after the designated commencement date, discriminate between the person's wholesale customers, or the person's prospective wholesale customers, in relation to the supply of eligible services using the line.]</t>
        </is>
      </c>
      <c r="P905" s="12" t="n">
        <v>14</v>
      </c>
    </row>
    <row r="906">
      <c r="A906" t="inlineStr">
        <is>
          <t>Australia</t>
        </is>
      </c>
      <c r="B906" t="inlineStr">
        <is>
          <t>C2026C00224VOL01 (Australia - Row 27)</t>
        </is>
      </c>
      <c r="C906" t="inlineStr">
        <is>
          <t>251</t>
        </is>
      </c>
      <c r="D906" s="11" t="inlineStr">
        <is>
          <t>Non-discrimination in related activities for eligible services</t>
        </is>
      </c>
      <c r="E906" t="inlineStr">
        <is>
          <t>267–268</t>
        </is>
      </c>
      <c r="F906" t="inlineStr">
        <is>
          <t>High</t>
        </is>
      </c>
      <c r="G906" t="inlineStr">
        <is>
          <t>High (explicit)</t>
        </is>
      </c>
      <c r="H906" s="11" t="inlineStr"/>
      <c r="I906" s="11" t="inlineStr"/>
      <c r="J906" t="inlineStr"/>
      <c r="K906" s="11" t="inlineStr">
        <is>
          <t>This section prohibits discrimination between wholesale customers or prospective wholesale customers in related activities such as developing new services, enhancing existing services, extending network capabilities, planning facilities, and preparatory or ancillary activities. The rule applies to persons supplying eligible services using a local access line after the designated commencement date.</t>
        </is>
      </c>
      <c r="L906" s="11" t="inlineStr">
        <is>
          <t>This section ensures non-discrimination in related activities, which may impact DTIAs by requiring equal treatment of data subjects across service development and network activities.</t>
        </is>
      </c>
      <c r="M906" s="11" t="inlineStr">
        <is>
          <t>• [Must] Person must not discriminate between wholesale customers or prospective wholesale customers in developing new eligible services
• [Must] Person must not discriminate between wholesale customers or prospective wholesale customers in enhancing eligible services
• [Must] Person must not discriminate between wholesale customers or prospective wholesale customers in extending or enhancing network capabilities
• [Must] Person must not discriminate between wholesale customers or prospective wholesale customers in planning facilities</t>
        </is>
      </c>
      <c r="N906" s="11" t="inlineStr">
        <is>
          <t>• [Must] Person must not discriminate between wholesale customers or prospective wholesale customers in preparatory activities
• [Must] Person must not discriminate between wholesale customers or prospective wholesale customers in ancillary activities
• [Must] Person must not discriminate between wholesale customers or prospective wholesale customers in giving information about activities</t>
        </is>
      </c>
      <c r="O906" s="11" t="inlineStr">
        <is>
          <t>251 (2) The person must not, in carrying on any of the following activities, discriminate between the person's wholesale customers or the person's prospective wholesale customers: (a) developing a new eligible service; (b) enhancing an eligible service; (c) extending or enhancing the capability of a facility or telecommunications network by means of which an eligible service is, or is to be, supplied; (d) planning for a facility or telecommunications network by means of which an eligible service is, or is to be, supplied; (e) an activity that is preparatory to the supply of an eligible service; (f) an activity that is ancillary or incidental to the supply of an eligible service; (g) giving information to service providers about any of the above activities.</t>
        </is>
      </c>
      <c r="P906" s="12" t="n">
        <v>14</v>
      </c>
    </row>
    <row r="907">
      <c r="A907" t="inlineStr">
        <is>
          <t>Australia</t>
        </is>
      </c>
      <c r="B907" t="inlineStr">
        <is>
          <t>C2026C00224VOL01 (Australia - Row 27)</t>
        </is>
      </c>
      <c r="C907" t="inlineStr">
        <is>
          <t>252</t>
        </is>
      </c>
      <c r="D907" s="11" t="inlineStr">
        <is>
          <t>Prohibition on self-discrimination in service development and network enhancement</t>
        </is>
      </c>
      <c r="E907" t="inlineStr">
        <is>
          <t>268–269</t>
        </is>
      </c>
      <c r="F907" t="inlineStr">
        <is>
          <t>Medium</t>
        </is>
      </c>
      <c r="G907" t="inlineStr">
        <is>
          <t>High (explicit)</t>
        </is>
      </c>
      <c r="H907"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907" s="11" t="inlineStr">
        <is>
          <t>Personal Information, Financial Data, Customer Data, Employee Data, Health Data, Children's Data, Biometric Data, Special Personal Information</t>
        </is>
      </c>
      <c r="J907" t="inlineStr"/>
      <c r="K907" s="11" t="inlineStr">
        <is>
          <t>A person must not discriminate in favor of itself when developing, enhancing, extending, or planning eligible services, facilities, or telecommunications networks. This prohibition also covers preparatory and ancillary activities related to service supply. The rule applies to entities engaged in eligible service provision and requires non-discriminatory treatment across all activities listed.</t>
        </is>
      </c>
      <c r="L907" s="11" t="inlineStr"/>
      <c r="M907" s="11" t="inlineStr">
        <is>
          <t>• [Must] The person must not discriminate in favour of itself in relation to developing a new eligible service
• [Must] The person must not discriminate in favour of itself in relation to enhancing an eligible service
• [Must] The person must not discriminate in favour of itself in relation to extending or enhancing the capability of a facility or telecommunications network by means of which an eligible service is, or is to be, supplied
• [Must] The person must not discriminate in favour of itself in relation to planning for a facility or telecommunications network by means of which an eligible service is, or is to be, supplied</t>
        </is>
      </c>
      <c r="N907" s="11" t="inlineStr">
        <is>
          <t>• [Must] The person must not discriminate in favour of itself in relation to an activity that is preparatory to the supply of an eligible service
• [Must] The person must not discriminate in favour of itself in relation to an activity that is ancillary or incidental to the supply of an eligible service
• [Must] The person must not discriminate in favour of itself in relation to giving information to service providers about any of the above activities</t>
        </is>
      </c>
      <c r="O907" s="11" t="inlineStr">
        <is>
          <t>No discrimination by a person in favour of itself in relation to the carrying on of any of the following activities: (a) developing a new eligible service; (b) enhancing an eligible service; (c) extending or enhancing the capability of a facility or telecommunications network by means of which an eligible service is, or is to be, supplied; (d) planning for a facility or telecommunications network by means of which an eligible service is, or is to be, supplied; (e) an activity that is preparatory to the supply of an eligible service; (f) an activity that is ancillary or incidental to the supply of an eligible service; (g) giving information to service providers about any of the above activities.</t>
        </is>
      </c>
      <c r="P907" s="12" t="n">
        <v>14</v>
      </c>
    </row>
    <row r="908">
      <c r="A908" t="inlineStr">
        <is>
          <t>Australia</t>
        </is>
      </c>
      <c r="B908" t="inlineStr">
        <is>
          <t>C2026C00224VOL01 (Australia - Row 27)</t>
        </is>
      </c>
      <c r="C908" t="inlineStr">
        <is>
          <t>276</t>
        </is>
      </c>
      <c r="D908" s="11" t="inlineStr">
        <is>
          <t>Protection of communications information for carriers and service providers</t>
        </is>
      </c>
      <c r="E908" t="inlineStr">
        <is>
          <t>292–293</t>
        </is>
      </c>
      <c r="F908" t="inlineStr">
        <is>
          <t>Medium</t>
        </is>
      </c>
      <c r="G908" t="inlineStr">
        <is>
          <t>High (explicit)</t>
        </is>
      </c>
      <c r="H908"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908" s="11" t="inlineStr">
        <is>
          <t>Personal Information, Financial Data, Customer Data, Employee Data, Health Data, Children's Data, Biometric Data, Special Personal Information</t>
        </is>
      </c>
      <c r="J908" t="inlineStr"/>
      <c r="K908" s="11" t="inlineStr">
        <is>
          <t>Carriers, carriage service providers, number-database operators, emergency call persons, and their associates must protect the confidentiality of communications content, carriage services, and other persons' personal particulars. Disclosure is permitted only for limited purposes such as criminal law enforcement, and authorized recipients may only use information for authorized purposes with specific record-keeping requirements.</t>
        </is>
      </c>
      <c r="L908" s="11" t="inlineStr"/>
      <c r="M908" s="11" t="inlineStr">
        <is>
          <t>• [Must] Carriers, carriage service providers, number-database operators, emergency call persons and their respective associates must protect the confidentiality of information that relates to the contents of communications that have been, or are being, carried by carriers or carriage service providers
• [Must] Carriers, carriage service providers, number-database operators, emergency call persons and their respective associates must protect the confidentiality of information that relates to carriage services supplied by carriers and carriage service providers
• [Must] Carriers, carriage service providers, number-database operators, emergency call persons and their respective associates must protect the confidentiality of information that relates to the affairs or personal particulars of other persons</t>
        </is>
      </c>
      <c r="N908" s="11" t="inlineStr">
        <is>
          <t>• [May] The disclosure or use of protected information is authorised in limited circumstances (for example, disclosure or use for purposes relating to the enforcement of the criminal law)
• [Must] An authorised recipient of protected information may only disclose or use the information for an authorised purpose
• [Must] Certain record-keeping requirements are imposed in relation to authorised disclosures or uses of information</t>
        </is>
      </c>
      <c r="O908" s="11" t="inlineStr">
        <is>
          <t>Carriers, carriage service providers, number-database operators, emergency call persons and their respective associates must protect the confidentiality of information that relates to: (a) the contents of communications that have been, or are being, carried by carriers or carriage service providers; and (b) carriage services supplied by carriers and carriage service providers; and (c) the affairs or personal particulars of other persons.</t>
        </is>
      </c>
      <c r="P908" s="12" t="n">
        <v>14</v>
      </c>
    </row>
    <row r="909">
      <c r="A909" t="inlineStr">
        <is>
          <t>Australia</t>
        </is>
      </c>
      <c r="B909" t="inlineStr">
        <is>
          <t>C2026C00224VOL01 (Australia - Row 27)</t>
        </is>
      </c>
      <c r="C909" t="inlineStr">
        <is>
          <t>278</t>
        </is>
      </c>
      <c r="D909" s="11" t="inlineStr">
        <is>
          <t>Definition of location information for mobile devices</t>
        </is>
      </c>
      <c r="E909" t="inlineStr">
        <is>
          <t>294–295</t>
        </is>
      </c>
      <c r="F909" t="inlineStr">
        <is>
          <t>Medium</t>
        </is>
      </c>
      <c r="G909" t="inlineStr">
        <is>
          <t>High (explicit)</t>
        </is>
      </c>
      <c r="H909"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909" s="11" t="inlineStr">
        <is>
          <t>Personal Information, Financial Data, Customer Data, Employee Data, Health Data, Children's Data, Biometric Data, Special Personal Information</t>
        </is>
      </c>
      <c r="J909" t="inlineStr"/>
      <c r="K909" s="11" t="inlineStr">
        <is>
          <t>Information about the location of a mobile telephone handset or any other mobile communications device is treated as relating to the customer responsible for the device. Documents containing such location information are also considered to relate to the customer's affairs. This definition applies to the context of telecommunications services.</t>
        </is>
      </c>
      <c r="L909" s="11" t="inlineStr"/>
      <c r="M909" s="11" t="inlineStr">
        <is>
          <t>• [Must] Information about the location of a mobile telephone handset is taken to be information that relates to the affairs of the customer responsible for the handset</t>
        </is>
      </c>
      <c r="N909" s="11" t="inlineStr">
        <is>
          <t>• [Must] Information about the location of any other mobile communications device is taken to be information that relates to the affairs of the customer responsible for the device</t>
        </is>
      </c>
      <c r="O909" s="11" t="inlineStr">
        <is>
          <t>For the purposes of this Part, information about the location of: (a) a mobile telephone handset; or (b) any other mobile communications device; is taken to be information that relates to the affairs of the customer responsible for the handset or device.</t>
        </is>
      </c>
      <c r="P909" s="12" t="n">
        <v>14</v>
      </c>
    </row>
    <row r="910">
      <c r="A910" t="inlineStr">
        <is>
          <t>Australia</t>
        </is>
      </c>
      <c r="B910" t="inlineStr">
        <is>
          <t>C2026C00224VOL01 (Australia - Row 27)</t>
        </is>
      </c>
      <c r="C910" t="inlineStr">
        <is>
          <t>282</t>
        </is>
      </c>
      <c r="D910" s="11" t="inlineStr">
        <is>
          <t>Scope of electromagnetic energy carriage for communications</t>
        </is>
      </c>
      <c r="E910" t="inlineStr">
        <is>
          <t>298–299</t>
        </is>
      </c>
      <c r="F910" t="inlineStr">
        <is>
          <t>Medium</t>
        </is>
      </c>
      <c r="G910" t="inlineStr">
        <is>
          <t>High (explicit)</t>
        </is>
      </c>
      <c r="H910"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910" s="11" t="inlineStr">
        <is>
          <t>Personal Information, Financial Data, Customer Data, Employee Data, Health Data, Children's Data, Biometric Data, Special Personal Information</t>
        </is>
      </c>
      <c r="J910" t="inlineStr"/>
      <c r="K910" s="11" t="inlineStr">
        <is>
          <t>Subparagraphs (1)(a)(i) and (ii) do not apply to communications carried by carriers or carriage service providers unless the carriage was by means of guided and/or unguided electromagnetic energy. This section defines the scope of electromagnetic energy carriage in telecommunications.</t>
        </is>
      </c>
      <c r="L910" s="11" t="inlineStr"/>
      <c r="M910" s="11" t="inlineStr">
        <is>
          <t>• [Must] Subparagraphs (1)(a)(i) and (ii) do not apply to a communication that is or has been carried by a carrier or carriage service provider unless the carriage was by means of, is by means of, or is proposed to be delivered by means of, guided and/or unguided electromagnetic energy</t>
        </is>
      </c>
      <c r="N910" s="11" t="inlineStr"/>
      <c r="O910" s="11" t="inlineStr">
        <is>
          <t>Subparagraphs (1)(a)(i) and (ii) do not apply to a communication that is or has been carried by a carrier or carriage service provider unless the carriage was by means of, is by means of, or is proposed to be delivered by means of, guided and/or unguided electromagnetic energy.</t>
        </is>
      </c>
      <c r="P910" s="12" t="n">
        <v>14</v>
      </c>
    </row>
    <row r="911">
      <c r="A911" t="inlineStr">
        <is>
          <t>Australia</t>
        </is>
      </c>
      <c r="B911" t="inlineStr">
        <is>
          <t>C2026C00224VOL01 (Australia - Row 27)</t>
        </is>
      </c>
      <c r="C911" t="inlineStr">
        <is>
          <t>286</t>
        </is>
      </c>
      <c r="D911" s="11" t="inlineStr">
        <is>
          <t>Exceptions to primary disclosure/use offences for employees</t>
        </is>
      </c>
      <c r="E911" t="inlineStr">
        <is>
          <t>302–303</t>
        </is>
      </c>
      <c r="F911" t="inlineStr">
        <is>
          <t>Medium</t>
        </is>
      </c>
      <c r="G911" t="inlineStr">
        <is>
          <t>High (explicit)</t>
        </is>
      </c>
      <c r="H911"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911" s="11" t="inlineStr">
        <is>
          <t>Personal Information, Financial Data, Customer Data, Employee Data, Health Data, Children's Data, Biometric Data, Special Personal Information</t>
        </is>
      </c>
      <c r="J911" t="inlineStr"/>
      <c r="K911" s="11" t="inlineStr">
        <is>
          <t>Disclosures or uses of protected information by employees of carriers, carriage service providers, telecommunications contractors, or number-database operators are exempt from the primary disclosure/use offences when performed in the course of their duties. This exception applies to both employees and contractors in specific telecommunications contexts.</t>
        </is>
      </c>
      <c r="L911" s="11" t="inlineStr"/>
      <c r="M911" s="11" t="inlineStr">
        <is>
          <t>• [Must] Section 276 does not prohibit a disclosure or use by a person of the person is an employee of a carrier in the performance of the person's duties as such an employee
• [Must] Section 276 does not prohibit a disclosure or use by a person of the person is an employee of a carriage service provider in the performance of the person's duties as such an employee
• [Must] Section 276 does not prohibit a disclosure or use by a person of the person is an employee of a telecommunications contractor in the performance of the person's duties as such an employee
• [Must] Section 276 does not prohibit a disclosure or use by a person of the person is a telecommunications contractor in the performance of the person's duties as such a contractor</t>
        </is>
      </c>
      <c r="N911" s="11" t="inlineStr">
        <is>
          <t>• [Must] Section 277 does not prohibit a disclosure or use by a person of the person is an employee of a number-database operator in the performance of the person's duties as such an employee
• [Must] Section 277 does not prohibit a disclosure or use by a person of the person is an employee of a number-database contractor in the performance of the person's duties as such an employee
• [Must] Section 277 does not prohibit a disclosure or use by a person of the person is a number-database contractor in the performance of the person's duties as such a contractor</t>
        </is>
      </c>
      <c r="O911" s="11" t="inlineStr">
        <is>
          <t>Section 276 does not prohibit a disclosure or use by a person of (a) the person is an employee of: (i) a carrier; or (ii) a carriage service provider; or (iii) a telecommunications contractor; and (b) the disclosure or use is made in the performance of the person's duties as such an employee.</t>
        </is>
      </c>
      <c r="P911" s="12" t="n">
        <v>14</v>
      </c>
    </row>
    <row r="912">
      <c r="A912" t="inlineStr">
        <is>
          <t>Australia</t>
        </is>
      </c>
      <c r="B912" t="inlineStr">
        <is>
          <t>C2026C00224VOL01 (Australia - Row 27)</t>
        </is>
      </c>
      <c r="C912" t="inlineStr">
        <is>
          <t>288</t>
        </is>
      </c>
      <c r="D912" s="11" t="inlineStr">
        <is>
          <t>Exceptions for compliance with telecommunications interception laws</t>
        </is>
      </c>
      <c r="E912" t="inlineStr">
        <is>
          <t>304–305</t>
        </is>
      </c>
      <c r="F912" t="inlineStr">
        <is>
          <t>Medium</t>
        </is>
      </c>
      <c r="G912" t="inlineStr">
        <is>
          <t>High (explicit)</t>
        </is>
      </c>
      <c r="H912"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912" s="11" t="inlineStr">
        <is>
          <t>Personal Information, Financial Data, Customer Data, Employee Data, Health Data, Children's Data, Biometric Data, Special Personal Information</t>
        </is>
      </c>
      <c r="J912" t="inlineStr"/>
      <c r="K912" s="11" t="inlineStr">
        <is>
          <t>Disclosures of information to service providers for compliance with the Telecommunications (Interception and Access) Act 1979 are permitted for specific purposes such as law enforcement, warrant compliance, or customer access to personal information. These disclosures must not be used for any other purpose beyond the authorized scope.</t>
        </is>
      </c>
      <c r="L912" s="11" t="inlineStr"/>
      <c r="M912" s="11" t="inlineStr">
        <is>
          <t>• [Must] The information or document is kept, by a service provider, solely for the purpose of complying with Part 5-1A of the Telecommunications (Interception and Access) Act 1979</t>
        </is>
      </c>
      <c r="N912" s="11" t="inlineStr">
        <is>
          <t>• [Must] The information or document is not used or disclosed by the service provider for any purpose other than one or more of the following purposes: (i) complying with Part 5-1A of that Act; (ii) complying with the requirements of warrants under Chapters 2 and 3 of that Act or authorisations under Chapter 4 of that Act; (iii) complying with requests or…</t>
        </is>
      </c>
      <c r="O912" s="11" t="inlineStr">
        <is>
          <t>The information or document is kept, by a service provider (within the meaning of the Telecommunications (Interception and Access) Act 1979), solely for the purpose of complying with Part 5-1A of that Act; and the information or document is not used or disclosed by the service provider for any purpose other than one or more of the following purposes: (i) complying with Part  5-1A of that Act; (ii) complying with the requirements of warrants under Chapters 2 and 3 of that Act or authorisations under Chapter 4 of that Act; (iii) complying with requests or requirements to make disclosures provided for by sections 284 to 288 of this Act; (iv) providing persons with access to their personal information in accordance with the Privacy Act 1988; (v) a purpose prescribed by the regulations; (vi) a purpose incidental to any of the purposes referred to in subparagraphs (i) to (v).</t>
        </is>
      </c>
      <c r="P912" s="12" t="n">
        <v>14</v>
      </c>
    </row>
    <row r="913">
      <c r="A913" t="inlineStr">
        <is>
          <t>Australia</t>
        </is>
      </c>
      <c r="B913" t="inlineStr">
        <is>
          <t>C2026C00224VOL01 (Australia - Row 27)</t>
        </is>
      </c>
      <c r="C913" t="inlineStr">
        <is>
          <t>289</t>
        </is>
      </c>
      <c r="D913" s="11" t="inlineStr">
        <is>
          <t>Witness disclosures exempt from privacy prohibitions</t>
        </is>
      </c>
      <c r="E913" t="inlineStr">
        <is>
          <t>305–306</t>
        </is>
      </c>
      <c r="F913" t="inlineStr">
        <is>
          <t>Medium</t>
        </is>
      </c>
      <c r="G913" t="inlineStr">
        <is>
          <t>High (explicit)</t>
        </is>
      </c>
      <c r="H913" s="11" t="inlineStr">
        <is>
          <t>Cross-border Transfer, International Processing, Data Sharing, Third Party Processing</t>
        </is>
      </c>
      <c r="I913" s="11" t="inlineStr">
        <is>
          <t>Personal Information</t>
        </is>
      </c>
      <c r="J913" t="inlineStr">
        <is>
          <t>Privacy Act 1988</t>
        </is>
      </c>
      <c r="K913" s="11" t="inlineStr">
        <is>
          <t>This section exempts disclosures made by witnesses in civil proceedings from the Privacy Act's prohibitions if the information is held solely for complying with the Telecommunications (Interception and Access) Act 1979 and used only for specific purposes like law enforcement, warrant compliance, or other authorized disclosures under the Act. The exemption applies to disclosures made by witnesses in civil proceedings but excludes disclosures to enforcement agencies or during implementation phases.</t>
        </is>
      </c>
      <c r="L913" s="11" t="inlineStr">
        <is>
          <t>Exempts witness disclosures from privacy prohibitions when information is used for lawful telecommunications purposes under the Telecommunications (Interception and Access) Act 1979, relevant for cross-border data transfers involving law enforcement.</t>
        </is>
      </c>
      <c r="M913" s="11" t="inlineStr">
        <is>
          <t>• [Must] Disclosures by witnesses in civil proceedings are exempt from privacy prohibitions if information is held solely for complying with Part 5-1A of the Telecommunications (Interception and Access) Act 1979
• [Must] Information must not be used for any purpose other than complying with the Telecommunications (Interception and Access) Act 1979, warrant compliance, or authorized disclosures under the Act</t>
        </is>
      </c>
      <c r="N913" s="11" t="inlineStr">
        <is>
          <t>• [Must Not] Exemption does not apply to disclosures to enforcement agencies or during implementation phases</t>
        </is>
      </c>
      <c r="O913" s="11" t="inlineStr">
        <is>
          <t>281 (1) Division 2 does not prohibit a disclosure by a person of information or a document if the person makes the disclosure as a witness summoned to give evidence or to produce documents.</t>
        </is>
      </c>
      <c r="P913" s="12" t="n">
        <v>14</v>
      </c>
    </row>
    <row r="914">
      <c r="A914" t="inlineStr">
        <is>
          <t>Australia</t>
        </is>
      </c>
      <c r="B914" t="inlineStr">
        <is>
          <t>C2026C00224VOL01 (Australia - Row 27)</t>
        </is>
      </c>
      <c r="C914" t="inlineStr">
        <is>
          <t>292</t>
        </is>
      </c>
      <c r="D914" s="11" t="inlineStr">
        <is>
          <t>Permitted disclosures for directory services and emergency calls</t>
        </is>
      </c>
      <c r="E914" t="inlineStr">
        <is>
          <t>308–309</t>
        </is>
      </c>
      <c r="F914" t="inlineStr">
        <is>
          <t>Low</t>
        </is>
      </c>
      <c r="G914" t="inlineStr">
        <is>
          <t>High (explicit)</t>
        </is>
      </c>
      <c r="H914" s="11" t="inlineStr">
        <is>
          <t>Data Sharing, Third Party Processing</t>
        </is>
      </c>
      <c r="I914" s="11" t="inlineStr">
        <is>
          <t>Personal Information</t>
        </is>
      </c>
      <c r="J914" t="inlineStr">
        <is>
          <t>Privacy Act 1988</t>
        </is>
      </c>
      <c r="K914" s="11" t="inlineStr">
        <is>
          <t>This section permits disclosures of information to other persons for directory assistance services, public number directories, or research under specific instruments, provided the recipient holds authorization under the integrated public number database scheme. It also exempts emergency call handling from privacy prohibitions when information relates to emergency service numbers and it is unreasonable to obtain consent.</t>
        </is>
      </c>
      <c r="L914" s="11" t="inlineStr">
        <is>
          <t>Allows disclosures for directory services and emergency calls under specific conditions, relevant for cross-border data transfers involving emergency services and directory information.</t>
        </is>
      </c>
      <c r="M914" s="11" t="inlineStr">
        <is>
          <t>• [Must] Disclosures for directory assistance services must be made by or on behalf of a carriage service provider
• [Must] Disclosures for public number directories must be made by or on behalf of a carriage service provider
• [Must] Disclosures for research must be specified in an instrument under subsection (3)</t>
        </is>
      </c>
      <c r="N914" s="11" t="inlineStr">
        <is>
          <t>• [Must] Recipient must hold authorization under the integrated public number database scheme for disclosures related to directory services
• [Must] Emergency call disclosures are exempt from privacy prohibitions if information relates to emergency service numbers and it is unreasonable to obtain consent</t>
        </is>
      </c>
      <c r="O914" s="11" t="inlineStr">
        <is>
          <t>292 (c) the disclosure is made to another person for purposes connected with: (i) the provision of directory assistance services by or on behalf of a carriage service provider; (ii) the publication and maintenance of a public number directory; (iv) the conduct of research of a kind specified in an instrument under subsection (3); and (d) if the disclosure to the other person is for a purpose covered by subparagraph (c)(ii) or (iv)—the other person holds an authorisation in force under the integrated public number database scheme permitting the other person to use and disclose the information or document.</t>
        </is>
      </c>
      <c r="P914" s="12" t="n">
        <v>14</v>
      </c>
    </row>
    <row r="915">
      <c r="A915" t="inlineStr">
        <is>
          <t>Australia</t>
        </is>
      </c>
      <c r="B915" t="inlineStr">
        <is>
          <t>C2026C00224VOL01 (Australia - Row 27)</t>
        </is>
      </c>
      <c r="C915" t="inlineStr">
        <is>
          <t>297</t>
        </is>
      </c>
      <c r="D915" s="11" t="inlineStr">
        <is>
          <t>Emergency threat disclosures exempt from privacy prohibitions</t>
        </is>
      </c>
      <c r="E915" t="inlineStr">
        <is>
          <t>313–314</t>
        </is>
      </c>
      <c r="F915" t="inlineStr">
        <is>
          <t>Low</t>
        </is>
      </c>
      <c r="G915" t="inlineStr">
        <is>
          <t>High (explicit)</t>
        </is>
      </c>
      <c r="H915" s="11" t="inlineStr"/>
      <c r="I915" s="11" t="inlineStr">
        <is>
          <t>Personal Information</t>
        </is>
      </c>
      <c r="J915" t="inlineStr">
        <is>
          <t>Privacy Act 1988</t>
        </is>
      </c>
      <c r="K915" s="11" t="inlineStr">
        <is>
          <t>This section exempts disclosures made by a person to prevent or lessen a serious threat to life or health if it is unreasonable to obtain consent from the affected person. The exemption applies when the person believes on reasonable grounds that the disclosure is necessary to address the threat.</t>
        </is>
      </c>
      <c r="L915" s="11" t="inlineStr">
        <is>
          <t>Exempts emergency threat disclosures from privacy prohibitions when it is unreasonable to obtain consent, relevant for cross-border data transfers involving life-threatening situations.</t>
        </is>
      </c>
      <c r="M915" s="11" t="inlineStr">
        <is>
          <t>• [Must] Disclosures are exempt from privacy prohibitions if the person believes on reasonable grounds that the disclosure is reasonably necessary to prevent or lessen a serious threat to life or health</t>
        </is>
      </c>
      <c r="N915" s="11" t="inlineStr">
        <is>
          <t>• [Must] It must be unreasonable or impracticable to obtain the other person's consent to the disclosure or use</t>
        </is>
      </c>
      <c r="O915" s="11" t="inlineStr">
        <is>
          <t>287 Division 2 does not prohibit a disclosure or use by a person (the first person) of information or a document if: (a) the information or document relates to the affairs or personal particulars (including any unlisted telephone number or any address) of another person; and (ab) it is unreasonable or impracticable to obtain the other person's consent to the disclosure or use; and (b) the first person believes on reasonable grounds that the disclosure or use is reasonably necessary to prevent or lessen a serious threat to the life or health of a person.</t>
        </is>
      </c>
      <c r="P915" s="12" t="n">
        <v>14</v>
      </c>
    </row>
    <row r="916">
      <c r="A916" t="inlineStr">
        <is>
          <t>Australia</t>
        </is>
      </c>
      <c r="B916" t="inlineStr">
        <is>
          <t>C2026C00224VOL01 (Australia - Row 27)</t>
        </is>
      </c>
      <c r="C916" t="inlineStr">
        <is>
          <t>298</t>
        </is>
      </c>
      <c r="D916" s="11" t="inlineStr">
        <is>
          <t>Implicit consent for communications between parties</t>
        </is>
      </c>
      <c r="E916" t="inlineStr">
        <is>
          <t>314–315</t>
        </is>
      </c>
      <c r="F916" t="inlineStr">
        <is>
          <t>Low</t>
        </is>
      </c>
      <c r="G916" t="inlineStr">
        <is>
          <t>High (explicit)</t>
        </is>
      </c>
      <c r="H916" s="11" t="inlineStr">
        <is>
          <t>Data Sharing, Consent</t>
        </is>
      </c>
      <c r="I916" s="11" t="inlineStr">
        <is>
          <t>Personal Information</t>
        </is>
      </c>
      <c r="J916" t="inlineStr">
        <is>
          <t>Privacy Act 1988</t>
        </is>
      </c>
      <c r="K916" s="11" t="inlineStr">
        <is>
          <t>This section exempts disclosures made by a person if the sender and recipient of a communication would reasonably have consented to the disclosure or use, given the circumstances. The exemption applies when it is reasonable to expect consent based on the nature of the communication.</t>
        </is>
      </c>
      <c r="L916" s="11" t="inlineStr">
        <is>
          <t>Exempts communications where implicit consent is reasonably expected, relevant for cross-border data transfers involving private communications.</t>
        </is>
      </c>
      <c r="M916" s="11" t="inlineStr">
        <is>
          <t>• [Must] Disclosures are exempt from privacy prohibitions if the sender and recipient would have consented to the disclosure or use if they had been aware of the disclosure or use</t>
        </is>
      </c>
      <c r="N916" s="11" t="inlineStr"/>
      <c r="O916" s="11" t="inlineStr">
        <is>
          <t>290 Section 276 does not prohibit a disclosure or use by a person if: (a) the information or document relates to the contents or substance of a communication made by another person; and (b) having regard to all the relevant circumstances, it might reasonably be expected that the sender and the recipient of the communication would have consented to the disclosure or use, if they had been aware of the disclosure or use.</t>
        </is>
      </c>
      <c r="P916" s="12" t="n">
        <v>14</v>
      </c>
    </row>
    <row r="917">
      <c r="A917" t="inlineStr">
        <is>
          <t>Australia</t>
        </is>
      </c>
      <c r="B917" t="inlineStr">
        <is>
          <t>C2026C00224VOL01 (Australia - Row 27)</t>
        </is>
      </c>
      <c r="C917" t="inlineStr">
        <is>
          <t>299</t>
        </is>
      </c>
      <c r="D917" s="11" t="inlineStr">
        <is>
          <t>Carriage service provider disclosures for customers</t>
        </is>
      </c>
      <c r="E917" t="inlineStr">
        <is>
          <t>315–316</t>
        </is>
      </c>
      <c r="F917" t="inlineStr">
        <is>
          <t>Medium</t>
        </is>
      </c>
      <c r="G917" t="inlineStr">
        <is>
          <t>High (explicit)</t>
        </is>
      </c>
      <c r="H917" s="11" t="inlineStr">
        <is>
          <t>Data Sharing, Third Party Processing</t>
        </is>
      </c>
      <c r="I917" s="11" t="inlineStr">
        <is>
          <t>Personal Information</t>
        </is>
      </c>
      <c r="J917" t="inlineStr">
        <is>
          <t>Privacy Act 1988</t>
        </is>
      </c>
      <c r="K917" s="11" t="inlineStr">
        <is>
          <t>This section permits disclosures by carriage service providers to other carriers or service providers for business purposes, including supplying services to customers or former customers. The exemption applies when the information relates to a customer or former customer and the disclosure is for service provision or related activities.</t>
        </is>
      </c>
      <c r="L917" s="11" t="inlineStr">
        <is>
          <t>Allows disclosures between service providers for customer-related services, relevant for cross-border data transfers involving telecommunications services.</t>
        </is>
      </c>
      <c r="M917" s="11" t="inlineStr">
        <is>
          <t>• [Must] Disclosures by carriage service providers to other carriers or service providers are exempt from privacy prohibitions for business purposes
• [Must] The information must relate to a customer or former customer of the service provider</t>
        </is>
      </c>
      <c r="N917" s="11" t="inlineStr">
        <is>
          <t>• [Must] The disclosure must be for the supply or proposed supply of carriage services or content services</t>
        </is>
      </c>
      <c r="O917" s="11" t="inlineStr">
        <is>
          <t>291 (1) Section 276 does not prohibit a disclosure or use by a person of (a) the disclosure or use is made by or on behalf of: (i) a carrier (the first carrier); or (ii) a carriage service provider (the first provider); and with, any other carrier or service provider carrying on its business as such a carrier or provider; and (c) the information or document relates to a person (the third person) who is a customer or former customer of: (i) the first carrier or the first provider; or (ii) the other carrier or the other provider; and with: (i) the supply, or proposed supply, by the other carrier or other provider to the third person of a carriage service or a content service; or (ii) the supply, or proposed supply, by the other carrier or other provider to the third person of goods or services for use in connection with the supply of a carriage service or a content service.</t>
        </is>
      </c>
      <c r="P917" s="12" t="n">
        <v>14</v>
      </c>
    </row>
    <row r="918">
      <c r="A918" t="inlineStr">
        <is>
          <t>Australia</t>
        </is>
      </c>
      <c r="B918" t="inlineStr">
        <is>
          <t>C2026C00224VOL01 (Australia - Row 27)</t>
        </is>
      </c>
      <c r="C918" t="inlineStr">
        <is>
          <t>300</t>
        </is>
      </c>
      <c r="D918" s="11" t="inlineStr">
        <is>
          <t>Exceptions for threats to life or health</t>
        </is>
      </c>
      <c r="E918" t="inlineStr">
        <is>
          <t>316–317</t>
        </is>
      </c>
      <c r="F918" t="inlineStr">
        <is>
          <t>Low</t>
        </is>
      </c>
      <c r="G918" t="inlineStr">
        <is>
          <t>High (explicit)</t>
        </is>
      </c>
      <c r="H918" s="11" t="inlineStr">
        <is>
          <t>Security, Incident Reporting, Breach Notification</t>
        </is>
      </c>
      <c r="I918" s="11" t="inlineStr">
        <is>
          <t>Personal Information</t>
        </is>
      </c>
      <c r="J918" t="inlineStr"/>
      <c r="K918" s="11" t="inlineStr">
        <is>
          <t>Disclosures related to another person's affairs or personal particulars may be used without consent if it is unreasonable to obtain consent, or if the disclosure is necessary to prevent or lessen a serious threat to life or health. The person must believe on reasonable grounds that the disclosure is necessary for such purposes.</t>
        </is>
      </c>
      <c r="L918" s="11" t="inlineStr">
        <is>
          <t>Allows data sharing in emergencies where threats to life or health are involved, with specific conditions on necessity and belief.</t>
        </is>
      </c>
      <c r="M918" s="11" t="inlineStr">
        <is>
          <t>• [Must] Must not disclose or use information unless it is unreasonable or impracticable to obtain the other person's consent
• [Must] Must be for the purpose of preventing or lessening a serious threat to life or health</t>
        </is>
      </c>
      <c r="N918" s="11" t="inlineStr">
        <is>
          <t>• [Must] Believes on reasonable grounds that disclosure is reasonably necessary to prevent or lessen a serious threat to life or health</t>
        </is>
      </c>
      <c r="O918" s="11" t="inlineStr">
        <is>
          <t>300 (b) the information or the contents of the document relate to the affairs or personal particulars (including any unlisted telephone number or any address) of another person. (2) The first person must not disclose or use the information or document unless: (a) it is unreasonable or impracticable to obtain the other person's consent to the disclosure or use; and (b) either of the following apply: (i) the disclosure or use is for the purpose of, or in connection with, preventing or lessening a serious threat to the life or health of a person; (ii) the first person believes on reasonable grounds that the disclosure or use is reasonably necessary to prevent or lessen a serious threat to the life or health of a person.</t>
        </is>
      </c>
      <c r="P918" s="12" t="n">
        <v>14</v>
      </c>
    </row>
    <row r="919">
      <c r="A919" t="inlineStr">
        <is>
          <t>Australia</t>
        </is>
      </c>
      <c r="B919" t="inlineStr">
        <is>
          <t>C2026C00224VOL01 (Australia - Row 27)</t>
        </is>
      </c>
      <c r="C919" t="inlineStr">
        <is>
          <t>301</t>
        </is>
      </c>
      <c r="D919" s="11" t="inlineStr">
        <is>
          <t>Conditions for disclosure of integrated public number database information</t>
        </is>
      </c>
      <c r="E919" t="inlineStr">
        <is>
          <t>317–318</t>
        </is>
      </c>
      <c r="F919" t="inlineStr">
        <is>
          <t>Medium</t>
        </is>
      </c>
      <c r="G919" t="inlineStr">
        <is>
          <t>High (explicit)</t>
        </is>
      </c>
      <c r="H919" s="11" t="inlineStr">
        <is>
          <t>Cross-border Transfer, Data Sharing</t>
        </is>
      </c>
      <c r="I919" s="11" t="inlineStr">
        <is>
          <t>Personal Information</t>
        </is>
      </c>
      <c r="J919" t="inlineStr">
        <is>
          <t>ACMA</t>
        </is>
      </c>
      <c r="K919" s="11" t="inlineStr">
        <is>
          <t>This section specifies conditions under which disclosures of information from an integrated public number database are permitted to carriers or carriage service providers. It requires that the information does not relate to unlisted telephone numbers, the disclosure is for supply or proposed supply of location-dependent carriage services, and the disclosure is connected to such services. The section also states that sections 276 and 277 do not prohibit such disclosures when these conditions are met.</t>
        </is>
      </c>
      <c r="L919" s="11" t="inlineStr">
        <is>
          <t>This section defines specific conditions that must be met for cross-border transfers of integrated public number database information to carriers, ensuring disclosures are only for location-dependent carriage services and not involving unlisted numbers.</t>
        </is>
      </c>
      <c r="M919" s="11" t="inlineStr">
        <is>
          <t>• [Must] The information must not relate to unlisted telephone numbers
• [Must] The disclosure must be to a carrier or carriage service provider</t>
        </is>
      </c>
      <c r="N919" s="11" t="inlineStr">
        <is>
          <t>• [Must] The disclosure must be for supply or proposed supply of location-dependent carriage services</t>
        </is>
      </c>
      <c r="O919" s="11" t="inlineStr">
        <is>
          <t>301 (a) the information or document relates to information (other than information relating to an unlisted telephone number) contained in an integrated public number database; and (b) the disclosure is to a carrier or a carriage service provider; and (c) the disclosure is made for a purpose of, or is connected with, the supply, or proposed supply, by a person of a location dependent carriage service.</t>
        </is>
      </c>
      <c r="P919" s="12" t="n">
        <v>14</v>
      </c>
    </row>
    <row r="920">
      <c r="A920" t="inlineStr">
        <is>
          <t>Australia</t>
        </is>
      </c>
      <c r="B920" t="inlineStr">
        <is>
          <t>C2026C00224VOL01 (Australia - Row 27)</t>
        </is>
      </c>
      <c r="C920" t="inlineStr">
        <is>
          <t>304</t>
        </is>
      </c>
      <c r="D920" s="11" t="inlineStr">
        <is>
          <t>ACMA scheme for integrated public number database authorisations</t>
        </is>
      </c>
      <c r="E920" t="inlineStr">
        <is>
          <t>320–321</t>
        </is>
      </c>
      <c r="F920" t="inlineStr">
        <is>
          <t>Medium</t>
        </is>
      </c>
      <c r="G920" t="inlineStr">
        <is>
          <t>High (explicit)</t>
        </is>
      </c>
      <c r="H920" s="11" t="inlineStr">
        <is>
          <t>Cross-border Transfer, Data Sharing</t>
        </is>
      </c>
      <c r="I920" s="11" t="inlineStr">
        <is>
          <t>Personal Information</t>
        </is>
      </c>
      <c r="J920" t="inlineStr">
        <is>
          <t>ACMA</t>
        </is>
      </c>
      <c r="K920" s="11" t="inlineStr">
        <is>
          <t>This section outlines the requirements for the ACMA to create a scheme for granting authorisations related to integrated public number databases. The scheme must cover applications, assessments, duration of authorisations, and notification procedures. Applicants must specify the purpose of authorisations, which must relate to public number directories or research.</t>
        </is>
      </c>
      <c r="L920" s="11" t="inlineStr">
        <is>
          <t>This section establishes the framework for authorising cross-border transfers of integrated public number database information, requiring specific purposes and notification mechanisms to ensure compliance with data transfer conditions.</t>
        </is>
      </c>
      <c r="M920" s="11" t="inlineStr">
        <is>
          <t>• [Must] The scheme must provide for making applications for authorisations
• [Must] The scheme must provide for assessment of applications
• [Must] The scheme must specify the period for which authorisations are in force</t>
        </is>
      </c>
      <c r="N920" s="11" t="inlineStr">
        <is>
          <t>• [Must] The scheme must require notification of decisions to the person maintaining the integrated public number database
• [Must] Applicants must specify the purpose for which authorisations are sought</t>
        </is>
      </c>
      <c r="O920" s="11" t="inlineStr">
        <is>
          <t>295B (1) The scheme must make provision for and in relation to the following matters: (a) the making of applications for authorisations; (b) the assessment of applications; (c) the period for which authorisations are to be in force; (d) the notification of decisions under the scheme (including to the person who maintains the integrated public number database referred to in paragraph 285(1A)(a)). (2) The scheme must require an applicant for an authorisation to specify the purpose for which the authorisation is sought.</t>
        </is>
      </c>
      <c r="P920" s="12" t="n">
        <v>14</v>
      </c>
    </row>
    <row r="921">
      <c r="A921" t="inlineStr">
        <is>
          <t>Australia</t>
        </is>
      </c>
      <c r="B921" t="inlineStr">
        <is>
          <t>C2026C00224VOL01 (Australia - Row 27)</t>
        </is>
      </c>
      <c r="C921" t="inlineStr">
        <is>
          <t>306</t>
        </is>
      </c>
      <c r="D921" s="11" t="inlineStr">
        <is>
          <t>ACMA administrative powers under integrated public number database scheme</t>
        </is>
      </c>
      <c r="E921" t="inlineStr">
        <is>
          <t>322–323</t>
        </is>
      </c>
      <c r="F921" t="inlineStr">
        <is>
          <t>Low</t>
        </is>
      </c>
      <c r="G921" t="inlineStr">
        <is>
          <t>High (explicit)</t>
        </is>
      </c>
      <c r="H921" s="11" t="inlineStr">
        <is>
          <t>Cross-border Transfer</t>
        </is>
      </c>
      <c r="I921" s="11" t="inlineStr">
        <is>
          <t>Personal Information</t>
        </is>
      </c>
      <c r="J921" t="inlineStr">
        <is>
          <t>ACMA</t>
        </is>
      </c>
      <c r="K921" s="11" t="inlineStr">
        <is>
          <t>This section allows the ACMA to grant administrative powers to the ACMA through the scheme, enabling decisions on matters related to the integrated public number database scheme. The scheme may include ancillary provisions and is not limited by other sections, allowing for variations without revocation.</t>
        </is>
      </c>
      <c r="L921" s="11" t="inlineStr">
        <is>
          <t>This section permits the ACMA to delegate administrative powers under the integrated public number database scheme, facilitating adjustments and operational flexibility without revocation.</t>
        </is>
      </c>
      <c r="M921" s="11" t="inlineStr">
        <is>
          <t>• [May] The scheme may empower the ACMA to make administrative decisions</t>
        </is>
      </c>
      <c r="N921" s="11" t="inlineStr">
        <is>
          <t>• [May] The scheme may contain ancillary or incidental provisions as the ACMA considers appropriate</t>
        </is>
      </c>
      <c r="O921" s="11" t="inlineStr">
        <is>
          <t>295H The scheme may make provision for or in relation to a particular matter by empowering the ACMA to make decisions of an administrative character. 295J The scheme may contain such ancillary or incidental provisions as the ACMA considers appropriate.</t>
        </is>
      </c>
      <c r="P921" s="12" t="n">
        <v>14</v>
      </c>
    </row>
    <row r="922">
      <c r="A922" t="inlineStr">
        <is>
          <t>Australia</t>
        </is>
      </c>
      <c r="B922" t="inlineStr">
        <is>
          <t>C2026C00224VOL01 (Australia - Row 27)</t>
        </is>
      </c>
      <c r="C922" t="inlineStr">
        <is>
          <t>309</t>
        </is>
      </c>
      <c r="D922" s="11" t="inlineStr">
        <is>
          <t>Compliance with integrated public number database scheme authorisations</t>
        </is>
      </c>
      <c r="E922" t="inlineStr">
        <is>
          <t>325–326</t>
        </is>
      </c>
      <c r="F922" t="inlineStr">
        <is>
          <t>Low</t>
        </is>
      </c>
      <c r="G922" t="inlineStr">
        <is>
          <t>High (explicit)</t>
        </is>
      </c>
      <c r="H922" s="11" t="inlineStr">
        <is>
          <t>Cross-border Transfer</t>
        </is>
      </c>
      <c r="I922" s="11" t="inlineStr">
        <is>
          <t>Personal Information</t>
        </is>
      </c>
      <c r="J922" t="inlineStr">
        <is>
          <t>ACMA</t>
        </is>
      </c>
      <c r="K922" s="11" t="inlineStr">
        <is>
          <t>This section mandates that persons must not contravene directions under the scheme and specifies that such directions are civil penalty provisions. It also states that directions given under the scheme are not legislative instruments.</t>
        </is>
      </c>
      <c r="L922" s="11" t="inlineStr">
        <is>
          <t>This section ensures compliance with scheme authorisations by prohibiting contraventions and clarifying that directions are civil penalties, not legislative instruments.</t>
        </is>
      </c>
      <c r="M922" s="11" t="inlineStr">
        <is>
          <t>• [Must Not] A person must not contravene a direction under subsection (2)
• [Condition] Subsection (3) is a civil penalty provision</t>
        </is>
      </c>
      <c r="N922" s="11" t="inlineStr">
        <is>
          <t>• [Condition] A direction given under subsection (2) is not a legislative instrument</t>
        </is>
      </c>
      <c r="O922" s="11" t="inlineStr">
        <is>
          <t>309 (3) A person must not contravene a direction under subsection (2). (4) Subsection (3) is a civil penalty provision. Note: provisions.</t>
        </is>
      </c>
      <c r="P922" s="12" t="n">
        <v>14</v>
      </c>
    </row>
    <row r="923">
      <c r="A923" t="inlineStr">
        <is>
          <t>Australia</t>
        </is>
      </c>
      <c r="B923" t="inlineStr">
        <is>
          <t>C2026C00224VOL01 (Australia - Row 27)</t>
        </is>
      </c>
      <c r="C923" t="inlineStr">
        <is>
          <t>313</t>
        </is>
      </c>
      <c r="D923" s="11" t="inlineStr">
        <is>
          <t>Emergency disclosure of integrated public number database information</t>
        </is>
      </c>
      <c r="E923" t="inlineStr">
        <is>
          <t>329–330</t>
        </is>
      </c>
      <c r="F923" t="inlineStr">
        <is>
          <t>Low</t>
        </is>
      </c>
      <c r="G923" t="inlineStr">
        <is>
          <t>High (explicit)</t>
        </is>
      </c>
      <c r="H923" s="11" t="inlineStr">
        <is>
          <t>Cross-border Transfer</t>
        </is>
      </c>
      <c r="I923" s="11" t="inlineStr">
        <is>
          <t>Personal Information</t>
        </is>
      </c>
      <c r="J923" t="inlineStr">
        <is>
          <t>ACMA</t>
        </is>
      </c>
      <c r="K923" s="11" t="inlineStr">
        <is>
          <t>This section outlines the conditions under which emergency management persons may disclose integrated public number database information, including restrictions on use for purposes other than alerting to emergencies. It specifies that such disclosures must not be for non-emergency purposes.</t>
        </is>
      </c>
      <c r="L923" s="11" t="inlineStr">
        <is>
          <t>This section defines when emergency disclosures of integrated public number database information are permitted, ensuring they are only for emergency purposes and not for other uses.</t>
        </is>
      </c>
      <c r="M923" s="11" t="inlineStr">
        <is>
          <t>• [Must Not] The use or disclosure of information must not be for a purpose connected with persons being alerted to an emergency or a likely emergency</t>
        </is>
      </c>
      <c r="N923" s="11" t="inlineStr"/>
      <c r="O923" s="11" t="inlineStr">
        <is>
          <t>313 (b) the person uses or discloses the information; and (c) the use or disclosure referred to in paragraph (b) of this subsection is not for a purpose connected with persons being alerted to an emergency or a likely emergency.</t>
        </is>
      </c>
      <c r="P923" s="12" t="n">
        <v>14</v>
      </c>
    </row>
    <row r="924">
      <c r="A924" t="inlineStr">
        <is>
          <t>Australia</t>
        </is>
      </c>
      <c r="B924" t="inlineStr">
        <is>
          <t>C2026C00224VOL01 (Australia - Row 27)</t>
        </is>
      </c>
      <c r="C924" t="inlineStr">
        <is>
          <t>314</t>
        </is>
      </c>
      <c r="D924" s="11" t="inlineStr">
        <is>
          <t>Reporting requirements for emergency disclosures</t>
        </is>
      </c>
      <c r="E924" t="inlineStr">
        <is>
          <t>330–331</t>
        </is>
      </c>
      <c r="F924" t="inlineStr">
        <is>
          <t>Low</t>
        </is>
      </c>
      <c r="G924" t="inlineStr">
        <is>
          <t>High (explicit)</t>
        </is>
      </c>
      <c r="H924" s="11" t="inlineStr">
        <is>
          <t>Cross-border Transfer</t>
        </is>
      </c>
      <c r="I924" s="11" t="inlineStr">
        <is>
          <t>Personal Information</t>
        </is>
      </c>
      <c r="J924" t="inlineStr">
        <is>
          <t>ACMA</t>
        </is>
      </c>
      <c r="K924" s="11" t="inlineStr">
        <is>
          <t>This section requires emergency management persons to provide written reports to the AFP Minister and ACMA after disclosing integrated public number database information during emergencies, detailing the emergency, number of telephone numbers disclosed, and recipients of disclosures.</t>
        </is>
      </c>
      <c r="L924" s="11" t="inlineStr">
        <is>
          <t>This section mandates detailed reporting for emergency disclosures of integrated public number database information, ensuring transparency and accountability in emergency response scenarios.</t>
        </is>
      </c>
      <c r="M924" s="11" t="inlineStr">
        <is>
          <t>• [Must] Emergency management persons must provide written reports to AFP Minister and ACMA within 2 months after financial year end
• [Must] Reports must include description of emergency or likely emergency and location</t>
        </is>
      </c>
      <c r="N924" s="11" t="inlineStr">
        <is>
          <t>• [Must] Reports must include number of telephone numbers disclosed and day of disclosure
• [Must] Reports must include number of persons to whom numbers were disclosed and purpose of each disclosure</t>
        </is>
      </c>
      <c r="O924" s="11" t="inlineStr">
        <is>
          <t>295ZB (1) If an emergency management person discloses relevant information, the person must give a written report to the AFP Minister and to the ACMA that covers the following matters: (a) if the disclosure occurred under subsection 295V(1) or (2)—a description of the emergency or likely emergency concerned and its location; (b) in any case—the number of telephone numbers that were disclosed and the day that disclosure occurred; (c) in any case—the number of persons to whom the emergency management person disclosed those numbers and the purpose of each disclosure.</t>
        </is>
      </c>
      <c r="P924" s="12" t="n">
        <v>14</v>
      </c>
    </row>
    <row r="925">
      <c r="A925" t="inlineStr">
        <is>
          <t>Australia</t>
        </is>
      </c>
      <c r="B925" t="inlineStr">
        <is>
          <t>C2026C00224VOL01 (Australia - Row 27)</t>
        </is>
      </c>
      <c r="C925" t="inlineStr">
        <is>
          <t>317</t>
        </is>
      </c>
      <c r="D925" s="11" t="inlineStr">
        <is>
          <t>Restrictions on disclosure of information under authorisation</t>
        </is>
      </c>
      <c r="E925" t="inlineStr">
        <is>
          <t>333–334</t>
        </is>
      </c>
      <c r="F925" t="inlineStr">
        <is>
          <t>Medium</t>
        </is>
      </c>
      <c r="G925" t="inlineStr">
        <is>
          <t>High (explicit)</t>
        </is>
      </c>
      <c r="H925" s="11" t="inlineStr">
        <is>
          <t>Data Sharing, Data Residency, Security</t>
        </is>
      </c>
      <c r="I925" s="11" t="inlineStr">
        <is>
          <t>Personal Information</t>
        </is>
      </c>
      <c r="J925" t="inlineStr"/>
      <c r="K925" s="11" t="inlineStr">
        <is>
          <t>A person holding an authorisation under the integrated public number database scheme must not disclose or use information except for the purpose covered by subsection 285(1A)(c)(iv). If no authorisation is held, the person must not disclose or use the information at all. This restriction applies to information disclosed for purposes permitted by subsection (2) or this subsection.</t>
        </is>
      </c>
      <c r="L925" s="11" t="inlineStr">
        <is>
          <t>Restricts cross-border data sharing when authorisation is held; requires specific purpose limitation for data disclosed under the scheme.</t>
        </is>
      </c>
      <c r="M925" s="11" t="inlineStr">
        <is>
          <t>• [Must] Must not disclose or use information except for the purpose covered by subsection 285(1A)(c)(iv)</t>
        </is>
      </c>
      <c r="N925" s="11" t="inlineStr">
        <is>
          <t>• [Must] Must not disclose or use information if no authorisation is held</t>
        </is>
      </c>
      <c r="O925" s="11" t="inlineStr">
        <is>
          <t>317 (b) the disclosure is for a purpose covered by subparagraph 285(1A)(c)(iv); then: (c) during the period the person holds an authorisation in force under the integrated public number database scheme in relation to the information or document—the person must not disclose or use the information or document except for that purpose; and (d) if the person does not hold such an authorisation—the person must not disclose or use the information or document.</t>
        </is>
      </c>
      <c r="P925" s="12" t="n">
        <v>14</v>
      </c>
    </row>
    <row r="926">
      <c r="A926" t="inlineStr">
        <is>
          <t>Australia</t>
        </is>
      </c>
      <c r="B926" t="inlineStr">
        <is>
          <t>C2026C00224VOL01 (Australia - Row 27)</t>
        </is>
      </c>
      <c r="C926" t="inlineStr">
        <is>
          <t>319</t>
        </is>
      </c>
      <c r="D926" s="11" t="inlineStr">
        <is>
          <t>Restrictions on location-dependent carriage services</t>
        </is>
      </c>
      <c r="E926" t="inlineStr">
        <is>
          <t>335–336</t>
        </is>
      </c>
      <c r="F926" t="inlineStr">
        <is>
          <t>Low</t>
        </is>
      </c>
      <c r="G926" t="inlineStr">
        <is>
          <t>High (explicit)</t>
        </is>
      </c>
      <c r="H926" s="11" t="inlineStr">
        <is>
          <t>Cross-border Transfer, Data Sharing, Data Storage</t>
        </is>
      </c>
      <c r="I926" s="11" t="inlineStr">
        <is>
          <t>Personal Information</t>
        </is>
      </c>
      <c r="J926" t="inlineStr"/>
      <c r="K926" s="11" t="inlineStr">
        <is>
          <t>Information disclosed for location-dependent carriage services must not be used for any purpose other than the supply or proposed supply of such services. Location-dependent carriage services require information about end users' addresses to operate.</t>
        </is>
      </c>
      <c r="L926" s="11" t="inlineStr">
        <is>
          <t>Restricts data sharing for location-dependent services, requiring specific purpose limitation for carriage services that depend on user addresses.</t>
        </is>
      </c>
      <c r="M926" s="11" t="inlineStr">
        <is>
          <t>• [Must] Must not disclose or use information except for the purpose of, or in connection with, the supply, or proposed supply, by a person of a location dependent carriage service</t>
        </is>
      </c>
      <c r="N926" s="11" t="inlineStr"/>
      <c r="O926" s="11" t="inlineStr">
        <is>
          <t>319 (1) If information or a document is disclosed to a person as permitted by section 291A or this subsection, a person must not disclose or use the information or document except for the purpose of, or in connection with, the supply, or proposed supply, by a person of a location dependent carriage service.</t>
        </is>
      </c>
      <c r="P926" s="12" t="n">
        <v>14</v>
      </c>
    </row>
    <row r="927">
      <c r="A927" t="inlineStr">
        <is>
          <t>Australia</t>
        </is>
      </c>
      <c r="B927" t="inlineStr">
        <is>
          <t>C2026C00224VOL01 (Australia - Row 27)</t>
        </is>
      </c>
      <c r="C927" t="inlineStr">
        <is>
          <t>321</t>
        </is>
      </c>
      <c r="D927" s="11" t="inlineStr">
        <is>
          <t>Record-keeping for disclosures</t>
        </is>
      </c>
      <c r="E927" t="inlineStr">
        <is>
          <t>337–338</t>
        </is>
      </c>
      <c r="F927" t="inlineStr">
        <is>
          <t>High</t>
        </is>
      </c>
      <c r="G927" t="inlineStr">
        <is>
          <t>High (explicit)</t>
        </is>
      </c>
      <c r="H927" s="11" t="inlineStr">
        <is>
          <t>Record Keeping, Data Sharing, Data Storage</t>
        </is>
      </c>
      <c r="I927" s="11" t="inlineStr">
        <is>
          <t>Personal Information</t>
        </is>
      </c>
      <c r="J927" t="inlineStr"/>
      <c r="K927" s="11" t="inlineStr">
        <is>
          <t>Carriers, service providers, and number-database operators must retain records of disclosures for 3 years. Records must include the name of the discloser, disclosure date, grounds for disclosure, and specific details depending on the legal basis.</t>
        </is>
      </c>
      <c r="L927" s="11" t="inlineStr">
        <is>
          <t>Requires detailed record-keeping for data disclosures, critical for DTIA to track data flows and legal bases.</t>
        </is>
      </c>
      <c r="M927" s="11" t="inlineStr">
        <is>
          <t>• [Must] Must retain records of disclosures for 3 years
• [Must] Must include name of person who disclosed information</t>
        </is>
      </c>
      <c r="N927" s="11" t="inlineStr">
        <is>
          <t>• [Must] Must include date of disclosure
• [Must] Must include statement of grounds for disclosure</t>
        </is>
      </c>
      <c r="O927" s="11" t="inlineStr">
        <is>
          <t>305 (2) The carrier, carriage service provider or number-database operator must retain the notification for 3 years. 306 (2) If the person is a carrier, carriage service provider or number-database operator, the carrier, provider or operator must: (a) make a record of the disclosure as soon as practicable after the disclosure and, in any event, within 5 days after the disclosure; and (b) retain that record for 3 years.</t>
        </is>
      </c>
      <c r="P927" s="12" t="n">
        <v>14</v>
      </c>
    </row>
    <row r="928">
      <c r="A928" t="inlineStr">
        <is>
          <t>Australia</t>
        </is>
      </c>
      <c r="B928" t="inlineStr">
        <is>
          <t>C2026C00224VOL01 (Australia - Row 27)</t>
        </is>
      </c>
      <c r="C928" t="inlineStr">
        <is>
          <t>322</t>
        </is>
      </c>
      <c r="D928" s="11" t="inlineStr">
        <is>
          <t>Detailed record-keeping requirements</t>
        </is>
      </c>
      <c r="E928" t="inlineStr">
        <is>
          <t>338–339</t>
        </is>
      </c>
      <c r="F928" t="inlineStr">
        <is>
          <t>High</t>
        </is>
      </c>
      <c r="G928" t="inlineStr">
        <is>
          <t>High (explicit)</t>
        </is>
      </c>
      <c r="H928" s="11" t="inlineStr">
        <is>
          <t>Record Keeping, Data Sharing, Data Storage</t>
        </is>
      </c>
      <c r="I928" s="11" t="inlineStr">
        <is>
          <t>Personal Information</t>
        </is>
      </c>
      <c r="J928" t="inlineStr"/>
      <c r="K928" s="11" t="inlineStr">
        <is>
          <t>Records must specify the discloser's name, disclosure date, grounds for disclosure, and additional details such as legal basis, warrant information, or authorisation details depending on the circumstances. Records may be in written or electronic form.</t>
        </is>
      </c>
      <c r="L928" s="11" t="inlineStr">
        <is>
          <t>Detailed record-keeping requirements for data disclosures, essential for DTIA to verify legal bases and data flows.</t>
        </is>
      </c>
      <c r="M928" s="11" t="inlineStr">
        <is>
          <t>• [Must] Must include name of person who disclosed information
• [Must] Must include date of disclosure</t>
        </is>
      </c>
      <c r="N928" s="11" t="inlineStr">
        <is>
          <t>• [Must] Must include statement of grounds for disclosure
• [Must] Must include details of legal basis for disclosure if applicable</t>
        </is>
      </c>
      <c r="O928" s="11" t="inlineStr">
        <is>
          <t>306 (5) A record made under subsection (2) or (3) must set out: (a) the name of the person who disclosed the information or document concerned; (b) the date of the disclosure; (c) a statement of the grounds for the disclosure; and (d) if the disclosure is made on the grounds of an authorisation under the Telecommunications (Interception and Access) Act 1979: (i) the name of the person who made the authorisation; (ii) the date of the making of the authorisation;</t>
        </is>
      </c>
      <c r="P928" s="12" t="n">
        <v>14</v>
      </c>
    </row>
    <row r="929">
      <c r="A929" t="inlineStr">
        <is>
          <t>Australia</t>
        </is>
      </c>
      <c r="B929" t="inlineStr">
        <is>
          <t>C2026C00224VOL01 (Australia - Row 27)</t>
        </is>
      </c>
      <c r="C929" t="inlineStr">
        <is>
          <t>323</t>
        </is>
      </c>
      <c r="D929" s="11" t="inlineStr">
        <is>
          <t>Record-keeping for authorisations</t>
        </is>
      </c>
      <c r="E929" t="inlineStr">
        <is>
          <t>339–340</t>
        </is>
      </c>
      <c r="F929" t="inlineStr">
        <is>
          <t>High</t>
        </is>
      </c>
      <c r="G929" t="inlineStr">
        <is>
          <t>High (explicit)</t>
        </is>
      </c>
      <c r="H929" s="11" t="inlineStr">
        <is>
          <t>Record Keeping, Data Sharing, Data Storage</t>
        </is>
      </c>
      <c r="I929" s="11" t="inlineStr">
        <is>
          <t>Personal Information</t>
        </is>
      </c>
      <c r="J929" t="inlineStr"/>
      <c r="K929" s="11" t="inlineStr">
        <is>
          <t>Records must include specific details such as the name of the authorising body, date of authorisation, and information about the type of data disclosed, particularly for carriage services. Records may be in written or electronic form.</t>
        </is>
      </c>
      <c r="L929" s="11" t="inlineStr">
        <is>
          <t>Detailed record-keeping for authorisations, critical for DTIA to track data flows and legal bases.</t>
        </is>
      </c>
      <c r="M929" s="11" t="inlineStr">
        <is>
          <t>• [Must] Must include name of person who made the authorisation
• [Must] Must include date of making the authorisation</t>
        </is>
      </c>
      <c r="N929" s="11" t="inlineStr">
        <is>
          <t>• [Must] Must include details of the type of information disclosed</t>
        </is>
      </c>
      <c r="O929" s="11" t="inlineStr">
        <is>
          <t>306 (5) (d) if the disclosure is made on the grounds of an authorisation under the Telecommunications (Interception and Access) Act 1979: (i) the name of the person who made the authorisation; (ii) the date of the making of the authorisation; (e) if paragraph (d) does not apply and the disclosure was at the request of another body or person: (i) the name of the body or person; (ii) the date of the request;</t>
        </is>
      </c>
      <c r="P929" s="12" t="n">
        <v>14</v>
      </c>
    </row>
    <row r="930">
      <c r="A930" t="inlineStr">
        <is>
          <t>Australia</t>
        </is>
      </c>
      <c r="B930" t="inlineStr">
        <is>
          <t>C2026C00224VOL01 (Australia - Row 27)</t>
        </is>
      </c>
      <c r="C930" t="inlineStr">
        <is>
          <t>325</t>
        </is>
      </c>
      <c r="D930" s="11" t="inlineStr">
        <is>
          <t>Record compilation requirements for disclosures</t>
        </is>
      </c>
      <c r="E930" t="inlineStr">
        <is>
          <t>341–342</t>
        </is>
      </c>
      <c r="F930" t="inlineStr">
        <is>
          <t>Medium</t>
        </is>
      </c>
      <c r="G930" t="inlineStr">
        <is>
          <t>High (explicit)</t>
        </is>
      </c>
      <c r="H930" s="11" t="inlineStr">
        <is>
          <t>Record Keeping, Cross-border Transfer, Data Sharing</t>
        </is>
      </c>
      <c r="I930" s="11" t="inlineStr">
        <is>
          <t>Personal Information</t>
        </is>
      </c>
      <c r="J930" t="inlineStr">
        <is>
          <t>ACMA</t>
        </is>
      </c>
      <c r="K930" s="11" t="inlineStr">
        <is>
          <t>This section mandates specific details for records of disclosures made under authorisation. It requires the name of the disclosing person, disclosure dates (first and last), grounds for disclosure, and the authorising person with their authorisation date. Records may be kept in written or electronic form. Violation results in a fine up to 300 penalty units.</t>
        </is>
      </c>
      <c r="L930" s="11" t="inlineStr">
        <is>
          <t>Requires precise documentation of disclosure details for compliance with data transfer mechanisms, critical for ensuring transparency in cross-border data sharing activities.</t>
        </is>
      </c>
      <c r="M930" s="11" t="inlineStr">
        <is>
          <t>• [Must] The name of the person or persons who made the disclosure or disclosures
• [Must] The date of the disclosure (first and last) if multiple disclosures are made
• [Must] A statement of the grounds for the disclosure or disclosures</t>
        </is>
      </c>
      <c r="N930" s="11" t="inlineStr">
        <is>
          <t>• [Must] The name of the person who made the authorisation and the date of the making of the authorisation
• [May] Records may be made, given or retained in written or electronic form</t>
        </is>
      </c>
      <c r="O930" s="11" t="inlineStr">
        <is>
          <t>325 (a) the name of the person or persons who made the disclosure or disclosures; and (b) one of the following: (i) if only 1 disclosure is made because of the authorisation—the date of the disclosure; (ii) if more than 1 disclosure is made because of the authorisation—the date of the first disclosure and the date of the last disclosure; and (c) a statement of the grounds for the disclosure or disclosures; and (d) the name of the person who made the authorisation and the date of the making of the authorisation.</t>
        </is>
      </c>
      <c r="P930" s="12" t="n">
        <v>14</v>
      </c>
    </row>
    <row r="931">
      <c r="A931" t="inlineStr">
        <is>
          <t>Australia</t>
        </is>
      </c>
      <c r="B931" t="inlineStr">
        <is>
          <t>C2026C00224VOL01 (Australia - Row 27)</t>
        </is>
      </c>
      <c r="C931" t="inlineStr">
        <is>
          <t>326</t>
        </is>
      </c>
      <c r="D931" s="11" t="inlineStr">
        <is>
          <t>Annual reporting on disclosures to ACMA</t>
        </is>
      </c>
      <c r="E931" t="inlineStr">
        <is>
          <t>342–343</t>
        </is>
      </c>
      <c r="F931" t="inlineStr">
        <is>
          <t>Medium</t>
        </is>
      </c>
      <c r="G931" t="inlineStr">
        <is>
          <t>High (explicit)</t>
        </is>
      </c>
      <c r="H931" s="11" t="inlineStr">
        <is>
          <t>Record Keeping, Cross-border Transfer, Data Sharing</t>
        </is>
      </c>
      <c r="I931" s="11" t="inlineStr">
        <is>
          <t>Personal Information</t>
        </is>
      </c>
      <c r="J931" t="inlineStr">
        <is>
          <t>ACMA</t>
        </is>
      </c>
      <c r="K931" s="11" t="inlineStr">
        <is>
          <t>This section requires carriers, carriage service providers, and number-database operators to submit annual reports to ACMA within two months after the end of a financial year if disclosures were made under section 306 or 306A. The reports must include specific information about disclosures as required by ACMA, ensuring ongoing oversight of data handling practices.</t>
        </is>
      </c>
      <c r="L931" s="11" t="inlineStr">
        <is>
          <t>Mandates annual reporting on cross-border data disclosures, critical for DTIA compliance to ensure timely and accurate reporting of international data transfers.</t>
        </is>
      </c>
      <c r="M931" s="11" t="inlineStr">
        <is>
          <t>• [Must] Carriers, carriage service providers, or number-database operators must submit written reports to ACMA within 2 months after the end of a financial year</t>
        </is>
      </c>
      <c r="N931" s="11" t="inlineStr">
        <is>
          <t>• [Must] Reports must set out information about disclosures as required by ACMA</t>
        </is>
      </c>
      <c r="O931" s="11" t="inlineStr">
        <is>
          <t>326 (1) If: information or a document is disclosed during a financial year; and either: (i) under section 306 or 306A, a carrier, carriage service provider or number-database operator makes a record of the disclosure; or (ii) under section 306 or 306A, a carrier, carriage service provider or number-database operator is given a copy of a record of the disclosure; the carrier, carriage service provider or number-database operator must, within 2 months after the end of the financial year, give the ACMA a written report relating to the disclosure.</t>
        </is>
      </c>
      <c r="P931" s="12" t="n">
        <v>14</v>
      </c>
    </row>
    <row r="932">
      <c r="A932" t="inlineStr">
        <is>
          <t>Australia</t>
        </is>
      </c>
      <c r="B932" t="inlineStr">
        <is>
          <t>C2026C00227 (Australia - Row 16)</t>
        </is>
      </c>
      <c r="C932" t="inlineStr">
        <is>
          <t>1</t>
        </is>
      </c>
      <c r="D932" s="11" t="inlineStr">
        <is>
          <t>Open and transparent management of personal information</t>
        </is>
      </c>
      <c r="E932" t="inlineStr">
        <is>
          <t>379–380</t>
        </is>
      </c>
      <c r="F932" t="inlineStr">
        <is>
          <t>Medium</t>
        </is>
      </c>
      <c r="G932" t="inlineStr">
        <is>
          <t>High (explicit)</t>
        </is>
      </c>
      <c r="H932" s="11" t="inlineStr">
        <is>
          <t>Data Sharing, Data Storage, Consent</t>
        </is>
      </c>
      <c r="I932" s="11" t="inlineStr">
        <is>
          <t>Personal Information</t>
        </is>
      </c>
      <c r="J932" t="inlineStr"/>
      <c r="K932" s="11" t="inlineStr">
        <is>
          <t>APP entities must implement practices to comply with Australian Privacy Principles and registered codes. They must also handle individual inquiries about compliance with these principles. The entity must maintain an up-to-date privacy policy that details collected information, collection methods, purposes, access rights, complaint procedures, overseas disclosure, and recipient countries.</t>
        </is>
      </c>
      <c r="L932" s="11" t="inlineStr">
        <is>
          <t>Requires clear documentation of data handling practices and individual access rights, critical for assessing transparency in cross-border data flows.</t>
        </is>
      </c>
      <c r="M932" s="11" t="inlineStr">
        <is>
          <t>• [Must] APP entities must take reasonable steps to implement practices ensuring compliance with Australian Privacy Principles and registered APP codes.
• [Must] APP entities must take reasonable steps to handle individual inquiries about compliance with Australian Privacy Principles or registered APP codes.
• [Must] APP entities must have a clearly expressed and up-to-date policy on personal information management.
• [Must] APP privacy policy must detail collected personal information types.
• [Must] APP privacy policy must specify how personal information is collected and held.
• [Must] APP privacy policy must state purposes for collecting, holding, using, and disclosing personal information.</t>
        </is>
      </c>
      <c r="N932" s="11" t="inlineStr">
        <is>
          <t>• [Must] APP privacy policy must outline individual access to and correction of personal information.
• [Must] APP privacy policy must describe complaint procedures for privacy breaches.
• [Must] APP privacy policy must indicate if overseas disclosure of personal information is likely.
• [Must] APP privacy policy must list countries where overseas recipients may be located if practicable.
• [Must] APP entities must make their privacy policy available in reasonable steps.
• [Must] APP entities must provide copies of privacy policy in requested forms.</t>
        </is>
      </c>
      <c r="O932" s="11" t="inlineStr">
        <is>
          <t>management of personal information
1.1 The object of this principle is to ensure that APP entities manage personal information in an open and transparent way. Compliance with the Australian Privacy Principles etc.</t>
        </is>
      </c>
      <c r="P932" s="12" t="n">
        <v>15</v>
      </c>
    </row>
    <row r="933">
      <c r="A933" t="inlineStr">
        <is>
          <t>Australia</t>
        </is>
      </c>
      <c r="B933" t="inlineStr">
        <is>
          <t>C2026C00227 (Australia - Row 16)</t>
        </is>
      </c>
      <c r="C933" t="inlineStr">
        <is>
          <t>2</t>
        </is>
      </c>
      <c r="D933" s="11" t="inlineStr">
        <is>
          <t>Option for anonymity or pseudonymity in transactions</t>
        </is>
      </c>
      <c r="E933" t="inlineStr">
        <is>
          <t>380–382</t>
        </is>
      </c>
      <c r="F933" t="inlineStr">
        <is>
          <t>Low</t>
        </is>
      </c>
      <c r="G933" t="inlineStr">
        <is>
          <t>High (explicit)</t>
        </is>
      </c>
      <c r="H933" s="11" t="inlineStr"/>
      <c r="I933" s="11" t="inlineStr">
        <is>
          <t>Personal Information</t>
        </is>
      </c>
      <c r="J933" t="inlineStr"/>
      <c r="K933" s="11" t="inlineStr">
        <is>
          <t>Individuals must have the option to remain anonymous or use a pseudonym when interacting with APP entities. This does not apply if the entity is legally required to deal with identified individuals or if it is impracticable to handle anonymous individuals.</t>
        </is>
      </c>
      <c r="L933" s="11" t="inlineStr">
        <is>
          <t>Allows individuals to maintain anonymity in data interactions, relevant for assessing privacy in cross-border data transfers where anonymity is a concern.</t>
        </is>
      </c>
      <c r="M933" s="11" t="inlineStr">
        <is>
          <t>• [Must] Individuals must have the option of not identifying themselves or using a pseudonym when dealing with APP entities.
• [Must Not] This does not apply if the APP entity is legally required or authorized by Australian law to deal with identified individuals.</t>
        </is>
      </c>
      <c r="N933" s="11" t="inlineStr">
        <is>
          <t>• [Must Not] This does not apply if it is impracticable for the entity to deal with anonymous individuals.</t>
        </is>
      </c>
      <c r="O933" s="11" t="inlineStr">
        <is>
          <t>2.1 Individuals must have the option of not identifying themselves, or of using a pseudonym, when dealing with an APP entity in relation to a particular matter.</t>
        </is>
      </c>
      <c r="P933" s="12" t="n">
        <v>15</v>
      </c>
    </row>
    <row r="934">
      <c r="A934" t="inlineStr">
        <is>
          <t>Australia</t>
        </is>
      </c>
      <c r="B934" t="inlineStr">
        <is>
          <t>C2026C00227 (Australia - Row 16)</t>
        </is>
      </c>
      <c r="C934" t="inlineStr">
        <is>
          <t>3</t>
        </is>
      </c>
      <c r="D934" s="11" t="inlineStr">
        <is>
          <t>Collection of personal information with necessary purpose</t>
        </is>
      </c>
      <c r="E934" t="inlineStr">
        <is>
          <t>382–384</t>
        </is>
      </c>
      <c r="F934" t="inlineStr">
        <is>
          <t>High</t>
        </is>
      </c>
      <c r="G934" t="inlineStr">
        <is>
          <t>High (explicit)</t>
        </is>
      </c>
      <c r="H934" s="11" t="inlineStr">
        <is>
          <t>Data Storage, Consent</t>
        </is>
      </c>
      <c r="I934" s="11" t="inlineStr">
        <is>
          <t>Personal Information</t>
        </is>
      </c>
      <c r="J934" t="inlineStr"/>
      <c r="K934" s="11" t="inlineStr">
        <is>
          <t>APP entities must not collect personal information (other than sensitive information) unless it is reasonably necessary for their functions. Sensitive information requires consent or specific legal authorizations, including for health, enforcement, or non-profit organizations with defined criteria.</t>
        </is>
      </c>
      <c r="L934" s="11" t="inlineStr">
        <is>
          <t>Sets strict conditions for data collection, critical for assessing whether data transfers meet necessary purpose requirements.</t>
        </is>
      </c>
      <c r="M934" s="11" t="inlineStr">
        <is>
          <t>• [Must Not] APP entities must not collect personal information (other than sensitive information) unless reasonably necessary for functions.
• [Must Not] APP entities must not collect sensitive information without individual consent or specific legal authorizations.
• [Must] Consent for sensitive information must be reasonably necessary for functions.
• [May] Collection of sensitive information may be authorized by Australian law or court order.</t>
        </is>
      </c>
      <c r="N934" s="11" t="inlineStr">
        <is>
          <t>• [May] Permitted general situations may allow collection of sensitive information.
• [May] Permitted health situations may allow collection of sensitive information for health organizations.
• [May] Enforcement bodies may collect sensitive information if reasonably necessary for enforcement activities.
• [May] Non-profit organizations may collect sensitive information if it relates to their activities and members.</t>
        </is>
      </c>
      <c r="O934" s="11" t="inlineStr">
        <is>
          <t>3.1 If an APP entity is an agency, the entity must not collect personal information (other than sensitive information) unless the information is reasonably necessary for, or directly related to, one or more of the entity's functions or activities.</t>
        </is>
      </c>
      <c r="P934" s="12" t="n">
        <v>15</v>
      </c>
    </row>
    <row r="935">
      <c r="A935" t="inlineStr">
        <is>
          <t>Australia</t>
        </is>
      </c>
      <c r="B935" t="inlineStr">
        <is>
          <t>C2026C00227 (Australia - Row 16)</t>
        </is>
      </c>
      <c r="C935" t="inlineStr">
        <is>
          <t>4</t>
        </is>
      </c>
      <c r="D935" s="11" t="inlineStr">
        <is>
          <t>Handling unsolicited personal information</t>
        </is>
      </c>
      <c r="E935" t="inlineStr">
        <is>
          <t>384–385</t>
        </is>
      </c>
      <c r="F935" t="inlineStr">
        <is>
          <t>High</t>
        </is>
      </c>
      <c r="G935" t="inlineStr">
        <is>
          <t>High (explicit)</t>
        </is>
      </c>
      <c r="H935" s="11" t="inlineStr">
        <is>
          <t>Data Storage</t>
        </is>
      </c>
      <c r="I935" s="11" t="inlineStr">
        <is>
          <t>Personal Information</t>
        </is>
      </c>
      <c r="J935" t="inlineStr"/>
      <c r="K935" s="11" t="inlineStr">
        <is>
          <t>APP entities must determine if unsolicited personal information could have been collected under Australian Privacy Principle 3. If not, they must destroy the information or ensure it is de-identified. Otherwise, Australian Privacy Principles 5-13 apply.</t>
        </is>
      </c>
      <c r="L935" s="11" t="inlineStr">
        <is>
          <t>Requires assessment of unsolicited data to prevent unnecessary data retention, critical for DTIA in cross-border contexts.</t>
        </is>
      </c>
      <c r="M935" s="11" t="inlineStr">
        <is>
          <t>• [Must] APP entities must determine if unsolicited personal information could have been collected under Australian Privacy Principle 3.
• [May] APP entities may use unsolicited information for determining compliance with Australian Privacy Principle 3.</t>
        </is>
      </c>
      <c r="N935" s="11" t="inlineStr">
        <is>
          <t>• [Must] If unsolicited information could not have been collected, entities must destroy or de-identify it.</t>
        </is>
      </c>
      <c r="O935" s="11" t="inlineStr">
        <is>
          <t>4.1 If an APP entity receives personal information and did not solicit it, the entity must determine within a reasonable period if it could have collected the information under Australian Privacy Principle 3.</t>
        </is>
      </c>
      <c r="P935" s="12" t="n">
        <v>15</v>
      </c>
    </row>
    <row r="936">
      <c r="A936" t="inlineStr">
        <is>
          <t>Australia</t>
        </is>
      </c>
      <c r="B936" t="inlineStr">
        <is>
          <t>C2026C00227 (Australia - Row 16)</t>
        </is>
      </c>
      <c r="C936" t="inlineStr">
        <is>
          <t>5</t>
        </is>
      </c>
      <c r="D936" s="11" t="inlineStr">
        <is>
          <t>Notification of personal information collection</t>
        </is>
      </c>
      <c r="E936" t="inlineStr">
        <is>
          <t>385–387</t>
        </is>
      </c>
      <c r="F936" t="inlineStr">
        <is>
          <t>High</t>
        </is>
      </c>
      <c r="G936" t="inlineStr">
        <is>
          <t>High (explicit)</t>
        </is>
      </c>
      <c r="H936" s="11" t="inlineStr">
        <is>
          <t>Consent</t>
        </is>
      </c>
      <c r="I936" s="11" t="inlineStr">
        <is>
          <t>Personal Information</t>
        </is>
      </c>
      <c r="J936" t="inlineStr"/>
      <c r="K936" s="11" t="inlineStr">
        <is>
          <t>APP entities must notify individuals of specific matters related to personal information collection, including entity details, collection circumstances, legal basis, purposes, consequences of non-collection, disclosure recipients, and privacy policy access procedures.</t>
        </is>
      </c>
      <c r="L936" s="11" t="inlineStr">
        <is>
          <t>Mandates detailed notification for data transfers, essential for assessing transparency and compliance in cross-border data flows.</t>
        </is>
      </c>
      <c r="M936" s="11" t="inlineStr">
        <is>
          <t>• [Must] APP entities must notify individuals of entity identity, contact details, and collection circumstances.
• [Must] APP entities must notify individuals if information is collected from others or they are unaware of collection.
• [Must] APP entities must notify individuals if collection is legally required or authorized.
• [Must] APP entities must state purposes for collecting personal information.
• [Must] APP entities must inform individuals of consequences if information is not collected.</t>
        </is>
      </c>
      <c r="N936" s="11" t="inlineStr">
        <is>
          <t>• [Must] APP entities must disclose other entities that receive personal information.
• [Must] APP entities must indicate if privacy policy includes access and correction procedures.
• [Must] APP entities must indicate if privacy policy includes complaint procedures.
• [Must] APP entities must state if overseas disclosure is likely.
• [Must] APP entities must list countries where overseas recipients may be located.</t>
        </is>
      </c>
      <c r="O936" s="11" t="inlineStr">
        <is>
          <t>5.1 At or before collection, APP entities must take reasonable steps to notify individuals of matters such as entity identity, collection circumstances, legal basis, purposes, consequences, disclosure recipients, and privacy policy access procedures.</t>
        </is>
      </c>
      <c r="P936" s="12" t="n">
        <v>15</v>
      </c>
    </row>
    <row r="937">
      <c r="A937" t="inlineStr">
        <is>
          <t>Australia</t>
        </is>
      </c>
      <c r="B937" t="inlineStr">
        <is>
          <t>C2026C00227 (Australia - Row 16)</t>
        </is>
      </c>
      <c r="C937" t="inlineStr">
        <is>
          <t>6</t>
        </is>
      </c>
      <c r="D937" s="11" t="inlineStr">
        <is>
          <t>Use or disclosure of personal information with purpose limitation</t>
        </is>
      </c>
      <c r="E937" t="inlineStr">
        <is>
          <t>387–389</t>
        </is>
      </c>
      <c r="F937" t="inlineStr">
        <is>
          <t>High</t>
        </is>
      </c>
      <c r="G937" t="inlineStr">
        <is>
          <t>High (explicit)</t>
        </is>
      </c>
      <c r="H937" s="11" t="inlineStr">
        <is>
          <t>Data Sharing, Data Storage, Consent</t>
        </is>
      </c>
      <c r="I937" s="11" t="inlineStr">
        <is>
          <t>Personal Information</t>
        </is>
      </c>
      <c r="J937" t="inlineStr"/>
      <c r="K937" s="11" t="inlineStr">
        <is>
          <t>APP entities must not use or disclose personal information for secondary purposes without individual consent, specific legal authorizations, or permitted situations. Permitted situations include health, enforcement, and non-profit organizations with defined criteria.</t>
        </is>
      </c>
      <c r="L937" s="11" t="inlineStr">
        <is>
          <t>Enforces purpose limitation for data transfers, critical for assessing whether data is used appropriately across borders.</t>
        </is>
      </c>
      <c r="M937" s="11" t="inlineStr">
        <is>
          <t>• [Must Not] APP entities must not use or disclose personal information for secondary purposes without individual consent.
• [Must Not] APP entities must not use or disclose personal information for secondary purposes without specific legal authorizations.
• [May] Permitted general situations may allow use or disclosure of information.</t>
        </is>
      </c>
      <c r="N937" s="11" t="inlineStr">
        <is>
          <t>• [May] Permitted health situations may allow use or disclosure of information for health organizations.
• [May] Enforcement bodies may use information if reasonably necessary for enforcement activities.
• [May] Biometric information may be disclosed to enforcement bodies with specific guidelines.</t>
        </is>
      </c>
      <c r="O937" s="11" t="inlineStr">
        <is>
          <t>6.1 If an APP entity holds personal information for a primary purpose, it must not use or disclose it for another purpose without individual consent or specific legal authorizations.</t>
        </is>
      </c>
      <c r="P937" s="12" t="n">
        <v>15</v>
      </c>
    </row>
    <row r="938">
      <c r="A938" t="inlineStr">
        <is>
          <t>Australia</t>
        </is>
      </c>
      <c r="B938" t="inlineStr">
        <is>
          <t>C2026C00227 (Australia - Row 16)</t>
        </is>
      </c>
      <c r="C938" t="inlineStr">
        <is>
          <t>7</t>
        </is>
      </c>
      <c r="D938" s="11" t="inlineStr">
        <is>
          <t>Direct marketing consent and opt-out requirements</t>
        </is>
      </c>
      <c r="E938" t="inlineStr">
        <is>
          <t>389–392</t>
        </is>
      </c>
      <c r="F938" t="inlineStr">
        <is>
          <t>High</t>
        </is>
      </c>
      <c r="G938" t="inlineStr">
        <is>
          <t>High (explicit)</t>
        </is>
      </c>
      <c r="H938" s="11" t="inlineStr">
        <is>
          <t>Data Sharing, Consent</t>
        </is>
      </c>
      <c r="I938" s="11" t="inlineStr">
        <is>
          <t>Personal Information</t>
        </is>
      </c>
      <c r="J938" t="inlineStr">
        <is>
          <t>Privacy Commissioner</t>
        </is>
      </c>
      <c r="K938" s="11" t="inlineStr">
        <is>
          <t>Organisations must not use or disclose personal information for direct marketing unless specific conditions are met. Exceptions include obtaining consent, the individual reasonably expects marketing, providing an easy opt-out mechanism, and the individual not having opted out. Sensitive information requires explicit consent for direct marketing. Organisations must provide a simple opt-out method and respond to opt-out requests within a reasonable period without charging fees.</t>
        </is>
      </c>
      <c r="L938" s="11" t="inlineStr">
        <is>
          <t>Requires explicit consent or opt-out mechanisms for direct marketing across borders; mandates clear opt-out processes to ensure data subjects can control their marketing communications.</t>
        </is>
      </c>
      <c r="M938" s="11" t="inlineStr">
        <is>
          <t>• [Must Not] Organisation must not use or disclose personal information for direct marketing
• [Condition] Organisation may use personal information for direct marketing if individual reasonably expects use
• [Must] Organisation must provide simple opt-out mechanism for direct marketing</t>
        </is>
      </c>
      <c r="N938" s="11" t="inlineStr">
        <is>
          <t>• [Condition] Individual must not have opted out for direct marketing
• [Must] Organisation must respond to opt-out requests within reasonable period
• [Must Not] Organisation must not charge individual for opt-out requests</t>
        </is>
      </c>
      <c r="O938" s="11" t="inlineStr">
        <is>
          <t>Direct marketing: If an organisation holds personal information about an individual, the organisation must not use or disclose the information for the purpose of direct marketing.</t>
        </is>
      </c>
      <c r="P938" s="12" t="n">
        <v>15</v>
      </c>
    </row>
    <row r="939">
      <c r="A939" t="inlineStr">
        <is>
          <t>Australia</t>
        </is>
      </c>
      <c r="B939" t="inlineStr">
        <is>
          <t>C2026C00227 (Australia - Row 16)</t>
        </is>
      </c>
      <c r="C939" t="inlineStr">
        <is>
          <t>8</t>
        </is>
      </c>
      <c r="D939" s="11" t="inlineStr">
        <is>
          <t>Cross-border data disclosure safeguards</t>
        </is>
      </c>
      <c r="E939" t="inlineStr">
        <is>
          <t>392–394</t>
        </is>
      </c>
      <c r="F939" t="inlineStr">
        <is>
          <t>High</t>
        </is>
      </c>
      <c r="G939" t="inlineStr">
        <is>
          <t>High (explicit)</t>
        </is>
      </c>
      <c r="H939" s="11" t="inlineStr">
        <is>
          <t>Cross-border Transfer, Security, Consent</t>
        </is>
      </c>
      <c r="I939" s="11" t="inlineStr">
        <is>
          <t>Personal Information</t>
        </is>
      </c>
      <c r="J939" t="inlineStr">
        <is>
          <t>Privacy Commissioner</t>
        </is>
      </c>
      <c r="K939" s="11" t="inlineStr">
        <is>
          <t>Before disclosing personal information to overseas recipients, entities must ensure the recipient does not breach Australian Privacy Principles. Exceptions include where the recipient is subject to equivalent laws, the individual has consented, the disclosure is legally required, or it falls under permitted general situations. Entities must verify that the recipient's protections are substantially similar to Australian standards.</t>
        </is>
      </c>
      <c r="L939" s="11" t="inlineStr">
        <is>
          <t>Sets conditions for cross-border data transfers, requiring recipient compliance with Australian privacy standards or equivalent protections to ensure data transfers are secure and lawful.</t>
        </is>
      </c>
      <c r="M939" s="11" t="inlineStr">
        <is>
          <t>• [Must] Entity must ensure overseas recipient does not breach Australian Privacy Principles
• [Condition] Recipient must have equivalent legal protections to Australian Privacy Principles
• [Condition] Entity must provide individual consent for cross-border disclosure</t>
        </is>
      </c>
      <c r="N939" s="11" t="inlineStr">
        <is>
          <t>• [Condition] Disclosure may be legally required or authorized by Australian law
• [Condition] Entity must verify recipient is subject to prescribed country or binding scheme</t>
        </is>
      </c>
      <c r="O939" s="11" t="inlineStr">
        <is>
          <t>Before an APP entity discloses personal information about an individual to a person (the overseas recipient) who is not in Australia or an external Territory and who is not the entity or the individual, the entity must ensure the overseas recipient does not breach the Australian Privacy Principles.</t>
        </is>
      </c>
      <c r="P939" s="12" t="n">
        <v>15</v>
      </c>
    </row>
    <row r="940">
      <c r="A940" t="inlineStr">
        <is>
          <t>Australia</t>
        </is>
      </c>
      <c r="B940" t="inlineStr">
        <is>
          <t>C2026C00227 (Australia - Row 16)</t>
        </is>
      </c>
      <c r="C940" t="inlineStr">
        <is>
          <t>9</t>
        </is>
      </c>
      <c r="D940" s="11" t="inlineStr">
        <is>
          <t>Government identifiers usage restrictions</t>
        </is>
      </c>
      <c r="E940" t="inlineStr">
        <is>
          <t>394–396</t>
        </is>
      </c>
      <c r="F940" t="inlineStr">
        <is>
          <t>High</t>
        </is>
      </c>
      <c r="G940" t="inlineStr">
        <is>
          <t>High (explicit)</t>
        </is>
      </c>
      <c r="H940" s="11" t="inlineStr">
        <is>
          <t>Data Sharing, Consent</t>
        </is>
      </c>
      <c r="I940" s="11" t="inlineStr">
        <is>
          <t>Personal Information</t>
        </is>
      </c>
      <c r="J940" t="inlineStr">
        <is>
          <t>Privacy Commissioner</t>
        </is>
      </c>
      <c r="K940" s="11" t="inlineStr">
        <is>
          <t>Organisations must not adopt government-related identifiers without legal authorization or regulatory approval. Usage of government identifiers requires necessity for identity verification, fulfilling obligations to authorities, legal compliance, or being part of permitted general situations. Entities must ensure identifiers are prescribed by regulations and organizations are included in approved classes.</t>
        </is>
      </c>
      <c r="L940" s="11" t="inlineStr">
        <is>
          <t>Restricts cross-border data transfers involving government identifiers by requiring regulatory approval and necessity for identity verification or legal compliance.</t>
        </is>
      </c>
      <c r="M940" s="11" t="inlineStr">
        <is>
          <t>• [Must Not] Organisation must not adopt government-related identifiers without legal authorization
• [Condition] Use of government identifiers must be necessary for identity verification</t>
        </is>
      </c>
      <c r="N940" s="11" t="inlineStr">
        <is>
          <t>• [Condition] Use of government identifiers must be necessary for fulfilling obligations to authorities
• [Condition] Use of government identifiers must be legally authorized</t>
        </is>
      </c>
      <c r="O940" s="11" t="inlineStr">
        <is>
          <t>An organisation must not adopt a government related identifier of an individual as its own identifier of the individual unless the adoption is required or authorised by or under an Australian law.</t>
        </is>
      </c>
      <c r="P940" s="12" t="n">
        <v>15</v>
      </c>
    </row>
    <row r="941">
      <c r="A941" t="inlineStr">
        <is>
          <t>Australia</t>
        </is>
      </c>
      <c r="B941" t="inlineStr">
        <is>
          <t>C2026C00227 (Australia - Row 16)</t>
        </is>
      </c>
      <c r="C941" t="inlineStr">
        <is>
          <t>10</t>
        </is>
      </c>
      <c r="D941" s="11" t="inlineStr">
        <is>
          <t>Personal information accuracy and completeness</t>
        </is>
      </c>
      <c r="E941" t="inlineStr">
        <is>
          <t>396</t>
        </is>
      </c>
      <c r="F941" t="inlineStr">
        <is>
          <t>High</t>
        </is>
      </c>
      <c r="G941" t="inlineStr">
        <is>
          <t>High (explicit)</t>
        </is>
      </c>
      <c r="H941" s="11" t="inlineStr"/>
      <c r="I941" s="11" t="inlineStr">
        <is>
          <t>Personal Information</t>
        </is>
      </c>
      <c r="J941" t="inlineStr">
        <is>
          <t>Privacy Commissioner</t>
        </is>
      </c>
      <c r="K941" s="11" t="inlineStr">
        <is>
          <t>Entities must ensure personal information is accurate, up-to-date, and complete when collected and when used or disclosed. This includes verifying data relevance to the intended purpose and maintaining data quality throughout the data lifecycle.</t>
        </is>
      </c>
      <c r="L941" s="11" t="inlineStr">
        <is>
          <t>Ensures data quality for cross-border transfers by requiring accurate, up-to-date, and complete personal information to prevent data misuse and ensure compliance with privacy standards.</t>
        </is>
      </c>
      <c r="M941" s="11" t="inlineStr">
        <is>
          <t>• [Must] Entity must ensure personal information is accurate, up-to-date, and complete</t>
        </is>
      </c>
      <c r="N941" s="11" t="inlineStr">
        <is>
          <t>• [Must] Entity must ensure personal information is relevant to the purpose of use or disclosure</t>
        </is>
      </c>
      <c r="O941" s="11" t="inlineStr">
        <is>
          <t>An APP entity must take such steps (if any) as are reasonable in the circumstances to ensure that the personal information that the entity collects is accurate, up-to-date and complete.</t>
        </is>
      </c>
      <c r="P941" s="12" t="n">
        <v>15</v>
      </c>
    </row>
    <row r="942">
      <c r="A942" t="inlineStr">
        <is>
          <t>Australia</t>
        </is>
      </c>
      <c r="B942" t="inlineStr">
        <is>
          <t>C2026C00227 (Australia - Row 16)</t>
        </is>
      </c>
      <c r="C942" t="inlineStr">
        <is>
          <t>11</t>
        </is>
      </c>
      <c r="D942" s="11" t="inlineStr">
        <is>
          <t>Personal information security measures</t>
        </is>
      </c>
      <c r="E942" t="inlineStr">
        <is>
          <t>396–398</t>
        </is>
      </c>
      <c r="F942" t="inlineStr">
        <is>
          <t>High</t>
        </is>
      </c>
      <c r="G942" t="inlineStr">
        <is>
          <t>High (explicit)</t>
        </is>
      </c>
      <c r="H942" s="11" t="inlineStr">
        <is>
          <t>Security</t>
        </is>
      </c>
      <c r="I942" s="11" t="inlineStr">
        <is>
          <t>Personal Information</t>
        </is>
      </c>
      <c r="J942" t="inlineStr">
        <is>
          <t>Privacy Commissioner</t>
        </is>
      </c>
      <c r="K942" s="11" t="inlineStr">
        <is>
          <t>Entities must implement technical and organizational measures to protect personal information from unauthorized access, use, or disclosure. This includes ensuring data security when information is no longer needed for business purposes and is not required by law to be retained.</t>
        </is>
      </c>
      <c r="L942" s="11" t="inlineStr">
        <is>
          <t>Requires security measures for cross-border data transfers to protect personal information from breaches and unauthorized access, ensuring data remains secure during transfer and storage.</t>
        </is>
      </c>
      <c r="M942" s="11" t="inlineStr">
        <is>
          <t>• [Must] Entity must take reasonable steps to protect personal information</t>
        </is>
      </c>
      <c r="N942" s="11" t="inlineStr">
        <is>
          <t>• [Must] Entity must ensure information is destroyed or securely handled when no longer needed</t>
        </is>
      </c>
      <c r="O942" s="11" t="inlineStr">
        <is>
          <t>If an APP entity holds personal information, the entity must take such steps as are reasonable in the circumstances to protect the information.</t>
        </is>
      </c>
      <c r="P942" s="12" t="n">
        <v>15</v>
      </c>
    </row>
    <row r="943">
      <c r="A943" t="inlineStr">
        <is>
          <t>Australia</t>
        </is>
      </c>
      <c r="B943" t="inlineStr">
        <is>
          <t>C2026C00227 (Australia - Row 16)</t>
        </is>
      </c>
      <c r="C943" t="inlineStr">
        <is>
          <t>12</t>
        </is>
      </c>
      <c r="D943" s="11" t="inlineStr">
        <is>
          <t>Individual access to personal information</t>
        </is>
      </c>
      <c r="E943" t="inlineStr">
        <is>
          <t>398–401</t>
        </is>
      </c>
      <c r="F943" t="inlineStr">
        <is>
          <t>High</t>
        </is>
      </c>
      <c r="G943" t="inlineStr">
        <is>
          <t>High (explicit)</t>
        </is>
      </c>
      <c r="H943" s="11" t="inlineStr"/>
      <c r="I943" s="11" t="inlineStr">
        <is>
          <t>Personal Information</t>
        </is>
      </c>
      <c r="J943" t="inlineStr">
        <is>
          <t>Privacy Commissioner</t>
        </is>
      </c>
      <c r="K943" s="11" t="inlineStr">
        <is>
          <t>Entities must provide individuals with access to their personal information upon request, with exceptions for legal obligations, privacy risks, or commercial sensitivity. Entities must respond within 30 days for agencies and a reasonable period for organizations, and must not charge fees for access requests.</t>
        </is>
      </c>
      <c r="L943" s="11" t="inlineStr">
        <is>
          <t>Ensures individuals have access to their personal information for cross-border transfers, with clear timelines and fee restrictions to prevent barriers to data access.</t>
        </is>
      </c>
      <c r="M943" s="11" t="inlineStr">
        <is>
          <t>• [Must] Entity must provide access to personal information upon request
• [Must] Entity must respond within 30 days for agencies</t>
        </is>
      </c>
      <c r="N943" s="11" t="inlineStr">
        <is>
          <t>• [Must Not] Entity must not charge individuals for access requests</t>
        </is>
      </c>
      <c r="O943" s="11" t="inlineStr">
        <is>
          <t>If an APP entity holds personal information about an individual, the entity must, on request by the individual, give the individual access to the information.</t>
        </is>
      </c>
      <c r="P943" s="12" t="n">
        <v>15</v>
      </c>
    </row>
    <row r="944">
      <c r="A944" t="inlineStr">
        <is>
          <t>Australia</t>
        </is>
      </c>
      <c r="B944" t="inlineStr">
        <is>
          <t>C2026C00227 (Australia - Row 16)</t>
        </is>
      </c>
      <c r="C944" t="inlineStr">
        <is>
          <t>13</t>
        </is>
      </c>
      <c r="D944" s="11" t="inlineStr">
        <is>
          <t>Correction of personal information requests</t>
        </is>
      </c>
      <c r="E944" t="inlineStr">
        <is>
          <t>401–408</t>
        </is>
      </c>
      <c r="F944" t="inlineStr">
        <is>
          <t>Medium</t>
        </is>
      </c>
      <c r="G944" t="inlineStr">
        <is>
          <t>High (explicit)</t>
        </is>
      </c>
      <c r="H944" s="11" t="inlineStr">
        <is>
          <t>Data Sharing, Data Storage</t>
        </is>
      </c>
      <c r="I944" s="11" t="inlineStr">
        <is>
          <t>Personal Information</t>
        </is>
      </c>
      <c r="J944" t="inlineStr">
        <is>
          <t>Australian Privacy Principles (APP)</t>
        </is>
      </c>
      <c r="K944" s="11" t="inlineStr">
        <is>
          <t>An APP entity must correct inaccurate, outdated, incomplete, irrelevant, or misleading personal information when the entity determines it is inaccurate or when an individual requests correction. The entity must also notify other APP entities if the correction affects previously disclosed information, unless impracticable or unlawful. The entity must respond to correction requests within 30 days for agencies or a reasonable period for organizations, and cannot charge individuals for these services.</t>
        </is>
      </c>
      <c r="L944" s="11" t="inlineStr">
        <is>
          <t>Requires entities to correct personal information upon request and notify third parties when corrections affect previously disclosed data, impacting cross-border data transfer where corrections are made to international entities.</t>
        </is>
      </c>
      <c r="M944" s="11" t="inlineStr">
        <is>
          <t>• [Must] If an APP entity holds personal information about an individual and the entity determines the information is inaccurate, outdated, incomplete, irrelevant or misleading, the entity must correct it.
• [Must] If an APP entity corrects personal information previously disclosed to another APP entity and the individual requests notification of the correction, the entity must notify the other entity unless impracticable or unlawful.
• [Must] If an APP entity refuses to correct personal information as requested, the entity must provide written notice of reasons for refusal, available complaint mechanisms, and any other prescribed matters.</t>
        </is>
      </c>
      <c r="N944" s="11" t="inlineStr">
        <is>
          <t>• [Must] If an APP entity refuses to correct personal information and the individual requests a statement of inaccuracy, the entity must associate the statement in a way that makes it apparent to users.
• [Must] For correction requests, an agency must respond within 30 days after the request is made, while an organization must respond within a reasonable period.
• [Must Not] An APP entity must not charge individuals for making correction requests, correcting information, or associating statements of inaccuracy.</t>
        </is>
      </c>
      <c r="O944" s="11" t="inlineStr">
        <is>
          <t>13.1 If: (a) an APP entity holds personal information about an individual; (b) either: (i) the entity is satisfied that, having regard to a purpose for which the information is held, the information is inaccurate, out-of-date, incomplete, irrelevant or misleading; or (ii) the individual requests the entity to correct the information; the entity must take such steps (if any) as are reasonable in the circumstances to correct that information to ensure that, having regard to a purpose for which the information is held, the information is accurate, up-to-date, complete, relevant and not misleading.</t>
        </is>
      </c>
      <c r="P944" s="12" t="n">
        <v>15</v>
      </c>
    </row>
    <row r="945">
      <c r="A945" t="inlineStr">
        <is>
          <t>Australia</t>
        </is>
      </c>
      <c r="B945" t="inlineStr">
        <is>
          <t>C2026C00227 (Australia - Row 16)</t>
        </is>
      </c>
      <c r="C945" t="inlineStr">
        <is>
          <t>13 (part 3)</t>
        </is>
      </c>
      <c r="D945" s="11" t="inlineStr">
        <is>
          <t>Effect of apology on privacy liability</t>
        </is>
      </c>
      <c r="E945" t="inlineStr">
        <is>
          <t>414–421</t>
        </is>
      </c>
      <c r="F945" t="inlineStr">
        <is>
          <t>Low</t>
        </is>
      </c>
      <c r="G945" t="inlineStr">
        <is>
          <t>High (explicit)</t>
        </is>
      </c>
      <c r="H945" s="11" t="inlineStr"/>
      <c r="I945" s="11" t="inlineStr">
        <is>
          <t>Personal Information</t>
        </is>
      </c>
      <c r="J945" t="inlineStr">
        <is>
          <t>Court</t>
        </is>
      </c>
      <c r="K945" s="11" t="inlineStr">
        <is>
          <t>This section clarifies that an apology made by a defendant in connection with an invasion of privacy does not constitute an admission of fault or liability. It also states that an apology is not relevant to determining fault or liability in privacy cases. The provision applies to all parties involved in privacy invasions under this Schedule.</t>
        </is>
      </c>
      <c r="L945" s="11" t="inlineStr">
        <is>
          <t>Apologies do not automatically resolve privacy liability; courts must still assess fault and liability separately. This affects how data transfers involving privacy invasions are evaluated.</t>
        </is>
      </c>
      <c r="M945" s="11" t="inlineStr">
        <is>
          <t>• [Must Not] An apology made by or on behalf of the defendant in connection with the invasion of privacy does not constitute an express or implied admission of fault or liability</t>
        </is>
      </c>
      <c r="N945" s="11" t="inlineStr">
        <is>
          <t>• [Must Not] An apology made by or on behalf of the defendant in connection with the invasion of privacy is not relevant to the determination of fault or liability</t>
        </is>
      </c>
      <c r="O945" s="11" t="inlineStr">
        <is>
          <t>For the purposes of this Schedule, an apology made by or on behalf of the defendant in connection with the invasion of privacy: (a) does not constitute an express or implied admission of fault or liability by the defendant in connection with the invasion of privacy; and (b) is not relevant to the determination of fault or liability in connection with the invasion of privacy.</t>
        </is>
      </c>
      <c r="P945" s="12" t="n">
        <v>15</v>
      </c>
    </row>
    <row r="946">
      <c r="A946" t="inlineStr">
        <is>
          <t>Australia</t>
        </is>
      </c>
      <c r="B946" t="inlineStr">
        <is>
          <t>C2026C00227 (Australia - Row 16)</t>
        </is>
      </c>
      <c r="C946" t="inlineStr">
        <is>
          <t>13 (part 7)</t>
        </is>
      </c>
      <c r="D946" s="11" t="inlineStr">
        <is>
          <t>Correction procedures for data transfers</t>
        </is>
      </c>
      <c r="E946" t="inlineStr">
        <is>
          <t>452–472</t>
        </is>
      </c>
      <c r="F946" t="inlineStr">
        <is>
          <t>Medium</t>
        </is>
      </c>
      <c r="G946" t="inlineStr">
        <is>
          <t>High (explicit)</t>
        </is>
      </c>
      <c r="H946" s="11" t="inlineStr">
        <is>
          <t>Cross-border Transfer</t>
        </is>
      </c>
      <c r="I946" s="11" t="inlineStr">
        <is>
          <t>Personal Information</t>
        </is>
      </c>
      <c r="J946" t="inlineStr"/>
      <c r="K946" s="11" t="inlineStr">
        <is>
          <t>This section outlines procedures for correcting errors in data transfers across borders. It specifies that corrections must be made by the data controller when errors are identified, ensuring accuracy in international data transfers. The section applies to entities handling personal data that require cross-border transfers.</t>
        </is>
      </c>
      <c r="L946" s="11" t="inlineStr">
        <is>
          <t>This section requires data controllers to correct errors in international data transfers, which impacts DTIA by mandating error correction mechanisms for cross-border data flows.</t>
        </is>
      </c>
      <c r="M946" s="11" t="inlineStr">
        <is>
          <t>• [Must] Corrections must be made by the data controller when errors are identified</t>
        </is>
      </c>
      <c r="N946" s="11" t="inlineStr"/>
      <c r="O946" s="11" t="inlineStr">
        <is>
          <t>Endnotes: Correction (cont.)</t>
        </is>
      </c>
      <c r="P946" s="12" t="n">
        <v>15</v>
      </c>
    </row>
    <row r="947">
      <c r="A947" t="inlineStr">
        <is>
          <t>Australia</t>
        </is>
      </c>
      <c r="B947" t="inlineStr">
        <is>
          <t>C2026C00227-1 (Australia - Row 21)</t>
        </is>
      </c>
      <c r="C947" t="inlineStr">
        <is>
          <t>1</t>
        </is>
      </c>
      <c r="D947" s="11" t="inlineStr">
        <is>
          <t>Management of personal information transparency and policy</t>
        </is>
      </c>
      <c r="E947" t="inlineStr">
        <is>
          <t>379–380</t>
        </is>
      </c>
      <c r="F947" t="inlineStr">
        <is>
          <t>Medium</t>
        </is>
      </c>
      <c r="G947" t="inlineStr">
        <is>
          <t>High (explicit)</t>
        </is>
      </c>
      <c r="H947" s="11" t="inlineStr">
        <is>
          <t>Data Sharing, Data Storage, Consent</t>
        </is>
      </c>
      <c r="I947" s="11" t="inlineStr">
        <is>
          <t>Personal Information</t>
        </is>
      </c>
      <c r="J947" t="inlineStr"/>
      <c r="K947" s="11" t="inlineStr">
        <is>
          <t>APP entities must implement practices to comply with Australian Privacy Principles and registered codes. They must also handle individual inquiries about compliance with these principles. Entities must maintain an up-to-date privacy policy detailing collected information, collection methods, purposes, access rights, complaint procedures, overseas disclosure, and recipient countries.</t>
        </is>
      </c>
      <c r="L947" s="11" t="inlineStr">
        <is>
          <t>Requires clear documentation of data handling practices to ensure transparency and compliance with privacy standards during data transfers.</t>
        </is>
      </c>
      <c r="M947" s="11" t="inlineStr">
        <is>
          <t>• [Must] APP entities must take reasonable steps to implement practices ensuring compliance with Australian Privacy Principles and registered APP codes.
• [Must] APP entities must handle individual inquiries about compliance with Australian Privacy Principles or registered codes.
• [Must] APP entities must have a clearly expressed and up-to-date policy on personal information management.
• [Must] APP privacy policy must detail collected personal information types.
• [Must] APP privacy policy must specify how personal information is collected and held.
• [Must] APP privacy policy must state purposes for collecting, holding, using, and disclosing personal information.</t>
        </is>
      </c>
      <c r="N947" s="11" t="inlineStr">
        <is>
          <t>• [Must] APP privacy policy must outline individual access and correction procedures.
• [Must] APP privacy policy must describe complaint procedures for privacy breaches.
• [Must] APP privacy policy must indicate if overseas disclosure of personal information is likely.
• [Must] APP privacy policy must list countries where overseas recipients may be located if practicable.
• [Must] APP entities must make privacy policy available reasonably.
• [Must] APP entities must provide copies of privacy policy in requested forms.</t>
        </is>
      </c>
      <c r="O947" s="11" t="inlineStr">
        <is>
          <t>management of personal information
1.1 The object of this principle is to ensure that APP entities manage personal information in an open and transparent way. Compliance with the Australian Privacy Principles etc.</t>
        </is>
      </c>
      <c r="P947" s="12" t="n">
        <v>16</v>
      </c>
    </row>
    <row r="948">
      <c r="A948" t="inlineStr">
        <is>
          <t>Australia</t>
        </is>
      </c>
      <c r="B948" t="inlineStr">
        <is>
          <t>C2026C00227-1 (Australia - Row 21)</t>
        </is>
      </c>
      <c r="C948" t="inlineStr">
        <is>
          <t>2</t>
        </is>
      </c>
      <c r="D948" s="11" t="inlineStr">
        <is>
          <t>Individual anonymity and pseudonymity options</t>
        </is>
      </c>
      <c r="E948" t="inlineStr">
        <is>
          <t>380–382</t>
        </is>
      </c>
      <c r="F948" t="inlineStr">
        <is>
          <t>Low</t>
        </is>
      </c>
      <c r="G948" t="inlineStr">
        <is>
          <t>High (explicit)</t>
        </is>
      </c>
      <c r="H948" s="11" t="inlineStr"/>
      <c r="I948" s="11" t="inlineStr">
        <is>
          <t>Personal Information</t>
        </is>
      </c>
      <c r="J948" t="inlineStr"/>
      <c r="K948" s="11" t="inlineStr">
        <is>
          <t>Individuals must have the option to remain anonymous or use pseudonyms when interacting with APP entities. This does not apply if the entity is legally required to deal with identified individuals or if it is impracticable to handle anonymous individuals.</t>
        </is>
      </c>
      <c r="L948" s="11" t="inlineStr">
        <is>
          <t>Allows individuals to maintain anonymity in data interactions, relevant for data transfers where anonymity is a privacy concern.</t>
        </is>
      </c>
      <c r="M948" s="11" t="inlineStr">
        <is>
          <t>• [Must] Individuals must have the option to not identify themselves or use a pseudonym when dealing with APP entities.
• [Must Not] This does not apply if the entity is legally required to deal with identified individuals.</t>
        </is>
      </c>
      <c r="N948" s="11" t="inlineStr">
        <is>
          <t>• [Must Not] This does not apply if it is impracticable to deal with anonymous individuals.</t>
        </is>
      </c>
      <c r="O948" s="11" t="inlineStr">
        <is>
          <t>2.1 Individuals must have the option of not identifying themselves, or of using a pseudonym, when dealing with an APP entity in relation to a particular matter.</t>
        </is>
      </c>
      <c r="P948" s="12" t="n">
        <v>16</v>
      </c>
    </row>
    <row r="949">
      <c r="A949" t="inlineStr">
        <is>
          <t>Australia</t>
        </is>
      </c>
      <c r="B949" t="inlineStr">
        <is>
          <t>C2026C00227-1 (Australia - Row 21)</t>
        </is>
      </c>
      <c r="C949" t="inlineStr">
        <is>
          <t>3</t>
        </is>
      </c>
      <c r="D949" s="11" t="inlineStr">
        <is>
          <t>Personal information collection requirements</t>
        </is>
      </c>
      <c r="E949" t="inlineStr">
        <is>
          <t>382–384</t>
        </is>
      </c>
      <c r="F949" t="inlineStr">
        <is>
          <t>High</t>
        </is>
      </c>
      <c r="G949" t="inlineStr">
        <is>
          <t>High (explicit)</t>
        </is>
      </c>
      <c r="H949" s="11" t="inlineStr">
        <is>
          <t>Consent</t>
        </is>
      </c>
      <c r="I949" s="11" t="inlineStr">
        <is>
          <t>Personal Information</t>
        </is>
      </c>
      <c r="J949" t="inlineStr"/>
      <c r="K949" s="11" t="inlineStr">
        <is>
          <t>APP entities must not collect personal information (other than sensitive information) unless it is reasonably necessary for their functions. Sensitive information requires consent or specific legal authorizations, including for enforcement bodies and non-profit organizations with certain conditions.</t>
        </is>
      </c>
      <c r="L949" s="11" t="inlineStr">
        <is>
          <t>Sets strict conditions for data collection, impacting cross-border transfers by requiring necessity and consent for sensitive data.</t>
        </is>
      </c>
      <c r="M949" s="11" t="inlineStr">
        <is>
          <t>• [Must Not] APP entities must not collect personal information (other than sensitive information) unless reasonably necessary for functions.
• [Must Not] APP entities must not collect sensitive information without consent or specific legal authorizations.
• [Must] Consent for sensitive information must be reasonably necessary for functions.
• [May] Collection of sensitive information may be authorized by Australian law or court order.
• [May] Permitted general situations allow collection of sensitive information.</t>
        </is>
      </c>
      <c r="N949" s="11" t="inlineStr">
        <is>
          <t>• [May] Permitted health situations allow collection of sensitive information for organizations.
• [May] Enforcement bodies may collect sensitive information if reasonably necessary for enforcement activities.
• [May] Non-profit organizations may collect sensitive information if it relates to their activities and members.
• [Must] APP entities must collect personal information only by lawful and fair means.
• [Must] APP entities must collect personal information only from individuals unless consent or legal authorization is given.</t>
        </is>
      </c>
      <c r="O949" s="11" t="inlineStr">
        <is>
          <t>3.1 If an APP entity is an agency, the entity must not collect personal information (other than sensitive information) unless the information is reasonably necessary for, or directly related to, one or more of the entity's functions or activities.</t>
        </is>
      </c>
      <c r="P949" s="12" t="n">
        <v>16</v>
      </c>
    </row>
    <row r="950">
      <c r="A950" t="inlineStr">
        <is>
          <t>Australia</t>
        </is>
      </c>
      <c r="B950" t="inlineStr">
        <is>
          <t>C2026C00227-1 (Australia - Row 21)</t>
        </is>
      </c>
      <c r="C950" t="inlineStr">
        <is>
          <t>4</t>
        </is>
      </c>
      <c r="D950" s="11" t="inlineStr">
        <is>
          <t>Unsolicited personal information handling</t>
        </is>
      </c>
      <c r="E950" t="inlineStr">
        <is>
          <t>384–385</t>
        </is>
      </c>
      <c r="F950" t="inlineStr">
        <is>
          <t>High</t>
        </is>
      </c>
      <c r="G950" t="inlineStr">
        <is>
          <t>High (explicit)</t>
        </is>
      </c>
      <c r="H950" s="11" t="inlineStr"/>
      <c r="I950" s="11" t="inlineStr">
        <is>
          <t>Personal Information</t>
        </is>
      </c>
      <c r="J950" t="inlineStr"/>
      <c r="K950" s="11" t="inlineStr">
        <is>
          <t>APP entities must determine if unsolicited personal information could have been collected under Australian Privacy Principle 3. If not, they must destroy the information or ensure it is de-identified. Otherwise, Principles 5-13 apply.</t>
        </is>
      </c>
      <c r="L950" s="11" t="inlineStr">
        <is>
          <t>Requires assessment of unsolicited data to prevent unnecessary data retention and ensure compliance with data transfer rules.</t>
        </is>
      </c>
      <c r="M950" s="11" t="inlineStr">
        <is>
          <t>• [Must] APP entities must determine if unsolicited personal information could have been collected under Principle 3.
• [May] APP entities may use unsolicited information for this determination.</t>
        </is>
      </c>
      <c r="N950" s="11" t="inlineStr">
        <is>
          <t>• [Must] If unsolicited information could not have been collected, entities must destroy or de-identify it.</t>
        </is>
      </c>
      <c r="O950" s="11" t="inlineStr">
        <is>
          <t>4.1 If an APP entity receives personal information; and the entity did not solicit the information; the entity must, within a reasonable period after receiving the information, determine whether or not the entity could have collected the information under Australian Privacy Principle 3 if the entity had solicited the information.</t>
        </is>
      </c>
      <c r="P950" s="12" t="n">
        <v>16</v>
      </c>
    </row>
    <row r="951">
      <c r="A951" t="inlineStr">
        <is>
          <t>Australia</t>
        </is>
      </c>
      <c r="B951" t="inlineStr">
        <is>
          <t>C2026C00227-1 (Australia - Row 21)</t>
        </is>
      </c>
      <c r="C951" t="inlineStr">
        <is>
          <t>5</t>
        </is>
      </c>
      <c r="D951" s="11" t="inlineStr">
        <is>
          <t>Notification of personal information collection</t>
        </is>
      </c>
      <c r="E951" t="inlineStr">
        <is>
          <t>385–387</t>
        </is>
      </c>
      <c r="F951" t="inlineStr">
        <is>
          <t>High</t>
        </is>
      </c>
      <c r="G951" t="inlineStr">
        <is>
          <t>High (explicit)</t>
        </is>
      </c>
      <c r="H951" s="11" t="inlineStr">
        <is>
          <t>Consent</t>
        </is>
      </c>
      <c r="I951" s="11" t="inlineStr">
        <is>
          <t>Personal Information</t>
        </is>
      </c>
      <c r="J951" t="inlineStr"/>
      <c r="K951" s="11" t="inlineStr">
        <is>
          <t>APP entities must notify individuals of specific matters related to personal information collection, including entity details, collection circumstances, legal basis, purposes, consequences of non-collection, disclosure recipients, and privacy policy access procedures.</t>
        </is>
      </c>
      <c r="L951" s="11" t="inlineStr">
        <is>
          <t>Mandates detailed notifications for data transfers, ensuring individuals understand data handling practices across borders.</t>
        </is>
      </c>
      <c r="M951" s="11" t="inlineStr">
        <is>
          <t>• [Must] APP entities must notify individuals of entity identity, contact details, and collection circumstances.
• [Must] APP entities must notify individuals if information is collected from others or they are unaware of collection.
• [Must] APP entities must notify individuals if collection is legally required or authorized.
• [Must] APP entities must specify purposes for collecting personal information.
• [Must] APP entities must state consequences of not collecting information.</t>
        </is>
      </c>
      <c r="N951" s="11" t="inlineStr">
        <is>
          <t>• [Must] APP entities must list disclosure recipients or types of recipients.
• [Must] APP entities must indicate privacy policy access and correction procedures.
• [Must] APP entities must indicate if overseas disclosure is likely.
• [Must] APP entities must specify countries where overseas recipients may be located if practicable.</t>
        </is>
      </c>
      <c r="O951" s="11" t="inlineStr">
        <is>
          <t>5.1 At or before the time or, if that is not practicable, as soon as practicable after, an APP entity collects personal information about an individual, the entity must take such steps (if any) as are reasonable in the circumstances: to notify the individual of such matters referred to in subclause 5.2 as are reasonable in the circumstances.</t>
        </is>
      </c>
      <c r="P951" s="12" t="n">
        <v>16</v>
      </c>
    </row>
    <row r="952">
      <c r="A952" t="inlineStr">
        <is>
          <t>Australia</t>
        </is>
      </c>
      <c r="B952" t="inlineStr">
        <is>
          <t>C2026C00227-1 (Australia - Row 21)</t>
        </is>
      </c>
      <c r="C952" t="inlineStr">
        <is>
          <t>6</t>
        </is>
      </c>
      <c r="D952" s="11" t="inlineStr">
        <is>
          <t>Use and disclosure of personal information</t>
        </is>
      </c>
      <c r="E952" t="inlineStr">
        <is>
          <t>387–389</t>
        </is>
      </c>
      <c r="F952" t="inlineStr">
        <is>
          <t>High</t>
        </is>
      </c>
      <c r="G952" t="inlineStr">
        <is>
          <t>High (explicit)</t>
        </is>
      </c>
      <c r="H952" s="11" t="inlineStr">
        <is>
          <t>Data Sharing, Data Storage</t>
        </is>
      </c>
      <c r="I952" s="11" t="inlineStr">
        <is>
          <t>Personal Information</t>
        </is>
      </c>
      <c r="J952" t="inlineStr"/>
      <c r="K952" s="11" t="inlineStr">
        <is>
          <t>APP entities must not use or disclose personal information for secondary purposes without consent, specific legal authorizations, permitted situations, or reasonable necessity for enforcement activities. Exceptions include direct marketing and government identifiers.</t>
        </is>
      </c>
      <c r="L952" s="11" t="inlineStr">
        <is>
          <t>Restricts data use and disclosure across borders by requiring consent or legal basis for secondary purposes, critical for international data transfers.</t>
        </is>
      </c>
      <c r="M952" s="11" t="inlineStr">
        <is>
          <t>• [Must Not] APP entities must not use or disclose personal information for secondary purposes without consent or specific conditions.
• [Must] Secondary purpose must be directly related to primary purpose for sensitive information.
• [Must] Secondary purpose must be related to primary purpose for non-sensitive information.
• [May] Use or disclosure may be legally required or authorized.
• [May] Permitted general situations allow use or disclosure.
• [May] Permitted health situations allow use or disclosure for organizations.</t>
        </is>
      </c>
      <c r="N952" s="11" t="inlineStr">
        <is>
          <t>• [May] Enforcement bodies may use information reasonably necessary for enforcement activities.
• [May] Biometric information may be disclosed to enforcement bodies with Commissioner guidelines.
• [Must] APP entities must make written notes of use or disclosure under specific conditions.
• [Must Not] Use or disclosure by organizations for direct marketing is exempt.
• [Must Not] Use or disclosure of government related identifiers is exempt.</t>
        </is>
      </c>
      <c r="O952" s="11" t="inlineStr">
        <is>
          <t>6.1 If an APP entity holds personal information about an individual that was collected for a particular purpose (the primary purpose), the entity must not use or disclose the information for another purpose (the secondary purpose) unless: the individual has consented to the use or disclosure of the information or subclause 6.2 or 6.3 applies in relation to the use or disclosure of the information.</t>
        </is>
      </c>
      <c r="P952" s="12" t="n">
        <v>16</v>
      </c>
    </row>
    <row r="953">
      <c r="A953" t="inlineStr">
        <is>
          <t>Australia</t>
        </is>
      </c>
      <c r="B953" t="inlineStr">
        <is>
          <t>C2026C00227-1 (Australia - Row 21)</t>
        </is>
      </c>
      <c r="C953" t="inlineStr">
        <is>
          <t>7</t>
        </is>
      </c>
      <c r="D953" s="11" t="inlineStr">
        <is>
          <t>Direct marketing consent and opt-out requirements</t>
        </is>
      </c>
      <c r="E953" t="inlineStr">
        <is>
          <t>389–392</t>
        </is>
      </c>
      <c r="F953" t="inlineStr">
        <is>
          <t>High</t>
        </is>
      </c>
      <c r="G953" t="inlineStr">
        <is>
          <t>High (explicit)</t>
        </is>
      </c>
      <c r="H953" s="11" t="inlineStr">
        <is>
          <t>Data Sharing, Consent</t>
        </is>
      </c>
      <c r="I953" s="11" t="inlineStr">
        <is>
          <t>Personal Information</t>
        </is>
      </c>
      <c r="J953" t="inlineStr">
        <is>
          <t>Privacy Act 1988 (Cth)</t>
        </is>
      </c>
      <c r="K953" s="11" t="inlineStr">
        <is>
          <t>Organisations must not use or disclose personal information for direct marketing unless specific conditions are met. Exceptions include obtaining consent, the individual reasonably expects marketing, providing an easy opt-out mechanism, and the individual not having opted out. Sensitive information requires explicit consent for direct marketing. Organisations must provide a simple opt-out method and respond to opt-out requests within a reasonable period without charging fees.</t>
        </is>
      </c>
      <c r="L953" s="11" t="inlineStr">
        <is>
          <t>Requires explicit consent or opt-out mechanisms for direct marketing across borders; mandates clear opt-out processes to ensure data subjects can control their marketing communications.</t>
        </is>
      </c>
      <c r="M953" s="11" t="inlineStr">
        <is>
          <t>• [Must Not] Organisation must not use or disclose personal information for direct marketing
• [Condition] Organisation may use personal information for direct marketing if individual reasonably expects use
• [Must] Organisation must provide simple opt-out mechanism for direct marketing</t>
        </is>
      </c>
      <c r="N953" s="11" t="inlineStr">
        <is>
          <t>• [Condition] Individual must not have opted out for direct marketing
• [Must] Organisation must respond to opt-out requests within reasonable period
• [Must Not] Organisation must not charge individual for opt-out requests</t>
        </is>
      </c>
      <c r="O953" s="11" t="inlineStr">
        <is>
          <t>Direct marketing: If an organisation holds personal information about an individual, the organisation must not use or disclose the information for the purpose of direct marketing.</t>
        </is>
      </c>
      <c r="P953" s="12" t="n">
        <v>16</v>
      </c>
    </row>
    <row r="954">
      <c r="A954" t="inlineStr">
        <is>
          <t>Australia</t>
        </is>
      </c>
      <c r="B954" t="inlineStr">
        <is>
          <t>C2026C00227-1 (Australia - Row 21)</t>
        </is>
      </c>
      <c r="C954" t="inlineStr">
        <is>
          <t>8</t>
        </is>
      </c>
      <c r="D954" s="11" t="inlineStr">
        <is>
          <t>Cross-border data disclosure safeguards</t>
        </is>
      </c>
      <c r="E954" t="inlineStr">
        <is>
          <t>392–394</t>
        </is>
      </c>
      <c r="F954" t="inlineStr">
        <is>
          <t>High</t>
        </is>
      </c>
      <c r="G954" t="inlineStr">
        <is>
          <t>High (explicit)</t>
        </is>
      </c>
      <c r="H954" s="11" t="inlineStr">
        <is>
          <t>Cross-border Transfer, Security, Consent</t>
        </is>
      </c>
      <c r="I954" s="11" t="inlineStr">
        <is>
          <t>Personal Information</t>
        </is>
      </c>
      <c r="J954" t="inlineStr">
        <is>
          <t>Privacy Act 1988 (Cth)</t>
        </is>
      </c>
      <c r="K954" s="11" t="inlineStr">
        <is>
          <t>Before disclosing personal information to overseas recipients, entities must ensure the recipient does not breach Australian Privacy Principles. Exceptions include where the recipient is subject to equivalent laws, individuals have consented, disclosures are legally required, or specific permitted situations exist. Entities must verify that the recipient's protections are substantially similar to Australian standards.</t>
        </is>
      </c>
      <c r="L954" s="11" t="inlineStr">
        <is>
          <t>Requires robust safeguards for cross-border data transfers, including equivalent legal protections or explicit consent, to prevent breaches of Australian privacy standards when transferring data internationally.</t>
        </is>
      </c>
      <c r="M954" s="11" t="inlineStr">
        <is>
          <t>• [Must] Entity must ensure overseas recipient does not breach Australian Privacy Principles
• [Condition] Recipient must have equivalent legal protections to Australian Privacy Principles
• [Condition] Individual must consent to disclosure after being informed</t>
        </is>
      </c>
      <c r="N954" s="11" t="inlineStr">
        <is>
          <t>• [Condition] Disclosure must be legally required or authorized by Australian law
• [Condition] Entity must verify recipient is subject to prescribed country or binding scheme</t>
        </is>
      </c>
      <c r="O954" s="11" t="inlineStr">
        <is>
          <t>Before an APP entity discloses personal information about an individual to a person (the overseas recipient) who is not in Australia or an external Territory and who is not the entity or the individual, the entity must ensure the overseas recipient does not breach the Australian Privacy Principles.</t>
        </is>
      </c>
      <c r="P954" s="12" t="n">
        <v>16</v>
      </c>
    </row>
    <row r="955">
      <c r="A955" t="inlineStr">
        <is>
          <t>Australia</t>
        </is>
      </c>
      <c r="B955" t="inlineStr">
        <is>
          <t>C2026C00227-1 (Australia - Row 21)</t>
        </is>
      </c>
      <c r="C955" t="inlineStr">
        <is>
          <t>9</t>
        </is>
      </c>
      <c r="D955" s="11" t="inlineStr">
        <is>
          <t>Government identifiers usage restrictions</t>
        </is>
      </c>
      <c r="E955" t="inlineStr">
        <is>
          <t>394–396</t>
        </is>
      </c>
      <c r="F955" t="inlineStr">
        <is>
          <t>High</t>
        </is>
      </c>
      <c r="G955" t="inlineStr">
        <is>
          <t>High (explicit)</t>
        </is>
      </c>
      <c r="H955" s="11" t="inlineStr">
        <is>
          <t>Data Sharing, Consent</t>
        </is>
      </c>
      <c r="I955" s="11" t="inlineStr">
        <is>
          <t>Personal Information</t>
        </is>
      </c>
      <c r="J955" t="inlineStr">
        <is>
          <t>Privacy Act 1988 (Cth)</t>
        </is>
      </c>
      <c r="K955" s="11" t="inlineStr">
        <is>
          <t>Organisations must not adopt or use government-related identifiers without legal authorization or regulatory approval. Usage must be necessary for identity verification, fulfilling obligations to authorities, or complying with specific legal requirements. Entities must follow prescribed regulations for identifier adoption and use.</t>
        </is>
      </c>
      <c r="L955" s="11" t="inlineStr">
        <is>
          <t>Restricts cross-border data transfers involving government identifiers by requiring legal authorization or regulatory compliance to ensure data integrity and privacy.</t>
        </is>
      </c>
      <c r="M955" s="11" t="inlineStr">
        <is>
          <t>• [Must Not] Organisation must not adopt government-related identifiers without legal authorization
• [Condition] Use of government identifiers must be necessary for identity verification</t>
        </is>
      </c>
      <c r="N955" s="11" t="inlineStr">
        <is>
          <t>• [Condition] Use of government identifiers must be necessary for fulfilling obligations to authorities
• [Condition] Use of government identifiers must comply with legal requirements</t>
        </is>
      </c>
      <c r="O955" s="11" t="inlineStr">
        <is>
          <t>An organisation must not adopt a government related identifier of an individual as its own identifier of the individual unless the adoption is required or authorised by or under an Australian law.</t>
        </is>
      </c>
      <c r="P955" s="12" t="n">
        <v>16</v>
      </c>
    </row>
    <row r="956">
      <c r="A956" t="inlineStr">
        <is>
          <t>Australia</t>
        </is>
      </c>
      <c r="B956" t="inlineStr">
        <is>
          <t>C2026C00227-1 (Australia - Row 21)</t>
        </is>
      </c>
      <c r="C956" t="inlineStr">
        <is>
          <t>10</t>
        </is>
      </c>
      <c r="D956" s="11" t="inlineStr">
        <is>
          <t>Personal information accuracy and completeness</t>
        </is>
      </c>
      <c r="E956" t="inlineStr">
        <is>
          <t>396</t>
        </is>
      </c>
      <c r="F956" t="inlineStr">
        <is>
          <t>High</t>
        </is>
      </c>
      <c r="G956" t="inlineStr">
        <is>
          <t>High (explicit)</t>
        </is>
      </c>
      <c r="H956" s="11" t="inlineStr"/>
      <c r="I956" s="11" t="inlineStr">
        <is>
          <t>Personal Information</t>
        </is>
      </c>
      <c r="J956" t="inlineStr">
        <is>
          <t>Privacy Act 1988 (Cth)</t>
        </is>
      </c>
      <c r="K956" s="11" t="inlineStr">
        <is>
          <t>Entities must ensure personal information is accurate, up-to-date, and complete when collected and when used or disclosed. This includes verifying data relevance to the intended purpose to maintain data quality and privacy compliance.</t>
        </is>
      </c>
      <c r="L956" s="11" t="inlineStr">
        <is>
          <t>Ensures data accuracy and completeness for cross-border transfers by requiring entities to maintain high-quality data, reducing risks of breaches and non-compliance.</t>
        </is>
      </c>
      <c r="M956" s="11" t="inlineStr">
        <is>
          <t>• [Must] Entity must ensure personal information is accurate, up-to-date, and complete</t>
        </is>
      </c>
      <c r="N956" s="11" t="inlineStr">
        <is>
          <t>• [Must] Entity must ensure personal information is relevant to the purpose of use or disclosure</t>
        </is>
      </c>
      <c r="O956" s="11" t="inlineStr">
        <is>
          <t>An APP entity must take such steps as are reasonable in the circumstances to ensure that the personal information that the entity collects is accurate, up-to-date and complete.</t>
        </is>
      </c>
      <c r="P956" s="12" t="n">
        <v>16</v>
      </c>
    </row>
    <row r="957">
      <c r="A957" t="inlineStr">
        <is>
          <t>Australia</t>
        </is>
      </c>
      <c r="B957" t="inlineStr">
        <is>
          <t>C2026C00227-1 (Australia - Row 21)</t>
        </is>
      </c>
      <c r="C957" t="inlineStr">
        <is>
          <t>11</t>
        </is>
      </c>
      <c r="D957" s="11" t="inlineStr">
        <is>
          <t>Personal information security measures</t>
        </is>
      </c>
      <c r="E957" t="inlineStr">
        <is>
          <t>396–398</t>
        </is>
      </c>
      <c r="F957" t="inlineStr">
        <is>
          <t>High</t>
        </is>
      </c>
      <c r="G957" t="inlineStr">
        <is>
          <t>High (explicit)</t>
        </is>
      </c>
      <c r="H957" s="11" t="inlineStr">
        <is>
          <t>Security</t>
        </is>
      </c>
      <c r="I957" s="11" t="inlineStr">
        <is>
          <t>Personal Information</t>
        </is>
      </c>
      <c r="J957" t="inlineStr">
        <is>
          <t>Privacy Act 1988 (Cth)</t>
        </is>
      </c>
      <c r="K957" s="11" t="inlineStr">
        <is>
          <t>Entities must implement technical and organizational measures to protect personal information from unauthorized access, use, or disclosure. This includes ensuring data security during storage and transmission to prevent breaches and maintain confidentiality.</t>
        </is>
      </c>
      <c r="L957" s="11" t="inlineStr">
        <is>
          <t>Requires robust security measures for cross-border data transfers to protect personal information from breaches, ensuring compliance with international data transfer standards.</t>
        </is>
      </c>
      <c r="M957" s="11" t="inlineStr">
        <is>
          <t>• [Must] Entity must take reasonable steps to protect personal information</t>
        </is>
      </c>
      <c r="N957" s="11" t="inlineStr">
        <is>
          <t>• [Must] Entity must implement technical and organizational measures for security</t>
        </is>
      </c>
      <c r="O957" s="11" t="inlineStr">
        <is>
          <t>If an APP entity holds personal information, the entity must take such steps as are reasonable in the circumstances to protect the information.</t>
        </is>
      </c>
      <c r="P957" s="12" t="n">
        <v>16</v>
      </c>
    </row>
    <row r="958">
      <c r="A958" t="inlineStr">
        <is>
          <t>Australia</t>
        </is>
      </c>
      <c r="B958" t="inlineStr">
        <is>
          <t>C2026C00227-1 (Australia - Row 21)</t>
        </is>
      </c>
      <c r="C958" t="inlineStr">
        <is>
          <t>12</t>
        </is>
      </c>
      <c r="D958" s="11" t="inlineStr">
        <is>
          <t>Individual access to personal information</t>
        </is>
      </c>
      <c r="E958" t="inlineStr">
        <is>
          <t>398–401</t>
        </is>
      </c>
      <c r="F958" t="inlineStr">
        <is>
          <t>High</t>
        </is>
      </c>
      <c r="G958" t="inlineStr">
        <is>
          <t>High (explicit)</t>
        </is>
      </c>
      <c r="H958" s="11" t="inlineStr"/>
      <c r="I958" s="11" t="inlineStr">
        <is>
          <t>Personal Information</t>
        </is>
      </c>
      <c r="J958" t="inlineStr">
        <is>
          <t>Privacy Act 1988 (Cth)</t>
        </is>
      </c>
      <c r="K958" s="11" t="inlineStr">
        <is>
          <t>Entities must provide individuals with access to their personal information upon request, with exceptions for legal obligations, privacy risks, or commercial sensitivity. Entities must respond within 30 days for agencies and a reasonable period for organizations, and may use intermediaries to facilitate access without charging fees.</t>
        </is>
      </c>
      <c r="L958" s="11" t="inlineStr">
        <is>
          <t>Ensures individuals can access their personal information across borders, with clear timelines and mechanisms for resolving access disputes, critical for data subject rights in international contexts.</t>
        </is>
      </c>
      <c r="M958" s="11" t="inlineStr">
        <is>
          <t>• [Must] Entity must provide access to personal information upon request
• [Must] Entity must respond to access requests within 30 days for agencies</t>
        </is>
      </c>
      <c r="N958" s="11" t="inlineStr">
        <is>
          <t>• [Must] Entity must respond to access requests within reasonable period for organizations
• [Must Not] Entity must not charge individuals for access requests</t>
        </is>
      </c>
      <c r="O958" s="11" t="inlineStr">
        <is>
          <t>If an APP entity holds personal information about an individual, the entity must, on request by the individual, give the individual access to the information.</t>
        </is>
      </c>
      <c r="P958" s="12" t="n">
        <v>16</v>
      </c>
    </row>
    <row r="959">
      <c r="A959" t="inlineStr">
        <is>
          <t>Australia</t>
        </is>
      </c>
      <c r="B959" t="inlineStr">
        <is>
          <t>C2026C00227-1 (Australia - Row 21)</t>
        </is>
      </c>
      <c r="C959" t="inlineStr">
        <is>
          <t>13</t>
        </is>
      </c>
      <c r="D959" s="11" t="inlineStr">
        <is>
          <t>Correction of personal information requests</t>
        </is>
      </c>
      <c r="E959" t="inlineStr">
        <is>
          <t>401–408</t>
        </is>
      </c>
      <c r="F959" t="inlineStr">
        <is>
          <t>Medium</t>
        </is>
      </c>
      <c r="G959" t="inlineStr">
        <is>
          <t>High (explicit)</t>
        </is>
      </c>
      <c r="H959" s="11" t="inlineStr">
        <is>
          <t>Data Sharing, Data Storage</t>
        </is>
      </c>
      <c r="I959" s="11" t="inlineStr">
        <is>
          <t>Personal Information</t>
        </is>
      </c>
      <c r="J959" t="inlineStr">
        <is>
          <t>Australian Privacy Principles (APP)</t>
        </is>
      </c>
      <c r="K959" s="11" t="inlineStr">
        <is>
          <t>An APP entity must correct inaccurate, outdated, incomplete, irrelevant, or misleading personal information when the entity determines it is inaccurate or the individual requests correction. The entity must also notify other APP entities if the correction affects previously disclosed information and the individual requests such notification. The entity must respond to correction requests within 30 days if it is an agency or within a reasonable period if it is an organisation. The entity must not charge the individual for these services.</t>
        </is>
      </c>
      <c r="L959" s="11" t="inlineStr">
        <is>
          <t>This section requires entities to correct personal information upon request and notify third parties when corrections are made, impacting data transfer and storage practices across borders where personal information is shared.</t>
        </is>
      </c>
      <c r="M959" s="11" t="inlineStr">
        <is>
          <t>• [Must] If an APP entity holds personal information about an individual and the entity is satisfied the information is inaccurate, out-of-date, incomplete, irrelevant or misleading, the entity must correct the information.
• [Must] If an APP entity corrects personal information previously disclosed to another APP entity and the individual requests notification, the entity must notify the other entity unless impracticable or unlawful.
• [Must] If an APP entity refuses to correct personal information, it must provide written notice with reasons for refusal, complaint mechanisms, and any other prescribed matters.</t>
        </is>
      </c>
      <c r="N959" s="11" t="inlineStr">
        <is>
          <t>• [Must] If an APP entity refuses to correct personal information and the individual requests a statement of inaccuracy, the entity must associate the statement in a way that makes it apparent to users.
• [Must] APP entities must respond to correction requests within 30 days if they are agencies or within a reasonable period if they are organisations.
• [Must Not] APP entities must not charge individuals for making correction requests, correcting information, or associating statements.</t>
        </is>
      </c>
      <c r="O959" s="11" t="inlineStr">
        <is>
          <t>13.1 If: (a) an APP entity holds personal information about an individual; (b) either: (i) the entity is satisfied that, having regard to a purpose for which the information is held, the information is inaccurate, out-of-date, incomplete, irrelevant or misleading; or (ii) the individual requests the entity to correct the information; the entity must take such steps (if any) as are reasonable in the circumstances to correct that information...</t>
        </is>
      </c>
      <c r="P959" s="12" t="n">
        <v>16</v>
      </c>
    </row>
    <row r="960">
      <c r="A960" t="inlineStr">
        <is>
          <t>Australia</t>
        </is>
      </c>
      <c r="B960" t="inlineStr">
        <is>
          <t>C2026C00227-1 (Australia - Row 21)</t>
        </is>
      </c>
      <c r="C960" t="inlineStr">
        <is>
          <t>13 (part 3)</t>
        </is>
      </c>
      <c r="D960" s="11" t="inlineStr">
        <is>
          <t>Effect of apology on privacy liability</t>
        </is>
      </c>
      <c r="E960" t="inlineStr">
        <is>
          <t>414–421</t>
        </is>
      </c>
      <c r="F960" t="inlineStr">
        <is>
          <t>None</t>
        </is>
      </c>
      <c r="G960" t="inlineStr">
        <is>
          <t>High (explicit)</t>
        </is>
      </c>
      <c r="H960" s="11" t="inlineStr">
        <is>
          <t>Consent, Incident Reporting, Breach Notification</t>
        </is>
      </c>
      <c r="I960" s="11" t="inlineStr">
        <is>
          <t>Personal Information</t>
        </is>
      </c>
      <c r="J960" t="inlineStr"/>
      <c r="K960" s="11" t="inlineStr">
        <is>
          <t>This section clarifies that an apology made by a defendant in connection with an invasion of privacy does not constitute an admission of fault or liability. It also states that an apology is not relevant to determining fault or liability in privacy cases. The provision applies to all parties involved in privacy invasions under this Schedule.</t>
        </is>
      </c>
      <c r="L960" s="11" t="inlineStr"/>
      <c r="M960" s="11" t="inlineStr">
        <is>
          <t>• [Must Not] An apology made by or on behalf of the defendant in connection with the invasion of privacy does not constitute an express or implied admission of fault or liability by the defendant</t>
        </is>
      </c>
      <c r="N960" s="11" t="inlineStr">
        <is>
          <t>• [Must Not] An apology made by or on behalf of the defendant in connection with the invasion of privacy is not relevant to the determination of fault or liability in connection with the invasion of privacy</t>
        </is>
      </c>
      <c r="O960" s="11" t="inlineStr">
        <is>
          <t>For the purposes of this Schedule, an apology made by or on behalf of the defendant in connection with the invasion of privacy: (a) does not constitute an express or implied admission of fault or liability by the defendant in connection with the invasion of privacy; and (b) is not relevant to the determination of fault or liability in connection with the invasion of privacy.</t>
        </is>
      </c>
      <c r="P960" s="12" t="n">
        <v>16</v>
      </c>
    </row>
    <row r="961">
      <c r="A961" t="inlineStr">
        <is>
          <t>Australia</t>
        </is>
      </c>
      <c r="B961" t="inlineStr">
        <is>
          <t>C2026C00227-1 (Australia - Row 21)</t>
        </is>
      </c>
      <c r="C961" t="inlineStr">
        <is>
          <t>13 (part 7)</t>
        </is>
      </c>
      <c r="D961" s="11" t="inlineStr">
        <is>
          <t>Correction of legislative references</t>
        </is>
      </c>
      <c r="E961" t="inlineStr">
        <is>
          <t>452–472</t>
        </is>
      </c>
      <c r="F961" t="inlineStr">
        <is>
          <t>Medium</t>
        </is>
      </c>
      <c r="G961" t="inlineStr">
        <is>
          <t>High (explicit)</t>
        </is>
      </c>
      <c r="H961" s="11" t="inlineStr">
        <is>
          <t>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961" s="11" t="inlineStr">
        <is>
          <t>Personal Information, Financial Data, Customer Data, Employee Data, Health Data, Children's Data, Biometric Data, Special Personal Information</t>
        </is>
      </c>
      <c r="J961" t="inlineStr"/>
      <c r="K961" s="11" t="inlineStr">
        <is>
          <t>This section lists amendments and repeals affecting previous provisions. It specifies which amendments (am), repeals (rep), and other legislative changes (rs, ad) have been applied to various sections of the Act. The section does not create new obligations but updates references to ensure accurate legislative tracking.</t>
        </is>
      </c>
      <c r="L961" s="11" t="inlineStr"/>
      <c r="M961" s="11" t="inlineStr">
        <is>
          <t>• [Condition] Amendments and repeals are listed for specific sections of the Act</t>
        </is>
      </c>
      <c r="N961" s="11" t="inlineStr"/>
      <c r="O961" s="11" t="inlineStr">
        <is>
          <t>Endnotes: Compilation of amendments and repeals affecting previous provisions.</t>
        </is>
      </c>
      <c r="P961" s="12" t="n">
        <v>16</v>
      </c>
    </row>
    <row r="962">
      <c r="A962" t="inlineStr">
        <is>
          <t>Australia</t>
        </is>
      </c>
      <c r="B962" t="inlineStr">
        <is>
          <t>C2026C00243VOL01 (Australia - Row 14)</t>
        </is>
      </c>
      <c r="C962" t="inlineStr">
        <is>
          <t>16</t>
        </is>
      </c>
      <c r="D962" s="11" t="inlineStr">
        <is>
          <t>Attorney-General's consent required for prosecution of foreign public officials</t>
        </is>
      </c>
      <c r="E962" t="inlineStr">
        <is>
          <t>5–17</t>
        </is>
      </c>
      <c r="F962" t="inlineStr">
        <is>
          <t>None</t>
        </is>
      </c>
      <c r="G962" t="inlineStr">
        <is>
          <t>High (explicit)</t>
        </is>
      </c>
      <c r="H962" s="11" t="inlineStr">
        <is>
          <t>Cross-border Transfer, International Processing</t>
        </is>
      </c>
      <c r="I962" s="11" t="inlineStr">
        <is>
          <t>Special Personal Information</t>
        </is>
      </c>
      <c r="J962" t="inlineStr">
        <is>
          <t>Attorney-General</t>
        </is>
      </c>
      <c r="K962" s="11" t="inlineStr">
        <is>
          <t>This section requires the Attorney-General's consent for prosecution if alleged conduct occurs wholly within a foreign public official's jurisdiction. The consent is necessary for any prosecution actions related to foreign public officials. This applies to specific offences under Division 70 of the Act.</t>
        </is>
      </c>
      <c r="L962" s="11" t="inlineStr"/>
      <c r="M962" s="11" t="inlineStr">
        <is>
          <t>• [Must] Attorney-General's consent required for prosecution if alleged conduct occurs wholly in a foreign public official's jurisdiction</t>
        </is>
      </c>
      <c r="N962" s="11" t="inlineStr"/>
      <c r="O962" s="11" t="inlineStr">
        <is>
          <t>16.1 Attorney-General's consent required for prosecution if alleged conduct occurs wholly in a foreign public official's jurisdiction</t>
        </is>
      </c>
      <c r="P962" s="12" t="n">
        <v>17</v>
      </c>
    </row>
    <row r="963">
      <c r="A963" t="inlineStr">
        <is>
          <t>Australia</t>
        </is>
      </c>
      <c r="B963" t="inlineStr">
        <is>
          <t>C2026C00243VOL01 (Australia - Row 14)</t>
        </is>
      </c>
      <c r="C963" t="inlineStr">
        <is>
          <t>16 (part 7)</t>
        </is>
      </c>
      <c r="D963" s="11" t="inlineStr">
        <is>
          <t>Conspiracy to commit offences punishable by imprisonment or fine</t>
        </is>
      </c>
      <c r="E963" t="inlineStr">
        <is>
          <t>59–65</t>
        </is>
      </c>
      <c r="F963" t="inlineStr">
        <is>
          <t>Medium</t>
        </is>
      </c>
      <c r="G963" t="inlineStr">
        <is>
          <t>High (explicit)</t>
        </is>
      </c>
      <c r="H963" s="11" t="inlineStr"/>
      <c r="I963" s="11" t="inlineStr">
        <is>
          <t>Personal Information</t>
        </is>
      </c>
      <c r="J963" t="inlineStr">
        <is>
          <t>Director of Public Prosecutions</t>
        </is>
      </c>
      <c r="K963" s="11" t="inlineStr">
        <is>
          <t>This section defines conspiracy as an agreement between two or more persons to commit an offence punishable by imprisonment exceeding 12 months or a fine of 200 penalty units. It specifies that guilt requires an agreement, shared intent to commit the offence, and an overt act. The section also outlines exceptions where conspiracy can still be proven despite impossible offences, involvement of non-criminally responsible persons, or acquittals of other parties.</t>
        </is>
      </c>
      <c r="L963" s="11" t="inlineStr">
        <is>
          <t>Conspiracy provisions require explicit agreement and intent for cross-border data transfers involving multiple parties, impacting DTIA assessments for international collaboration or joint data processing activities.</t>
        </is>
      </c>
      <c r="M963" s="11" t="inlineStr">
        <is>
          <t>• [Must] A person who conspires with another person to commit an offence punishable by imprisonment for more than 12 months or by a fine of 200 penalty units or more commits the offence of conspiracy to commit that offence
• [Must] The person must have entered into an agreement with one or more other persons
• [Must] The person and at least one other party to the agreement must have intended that an offence would be committed pursuant to the agreement
• [Must] The person or at least one other party to the agreement must have committed an overt act pursuant to the agreement
• [May] A person may be found guilty of conspiracy even if committing the offence is impossible
• [May] A person may be found guilty of conspiracy even if the only other party to the agreement is a body corporate</t>
        </is>
      </c>
      <c r="N963" s="11" t="inlineStr">
        <is>
          <t>• [May] A person may be found guilty of conspiracy even if each other party to the agreement is a person who is not criminally responsible
• [May] A person may be found guilty of conspiracy even if each other party to the agreement is a person for whose benefit or protection the offence exists
• [May] A person may be found guilty of conspiracy even if all other parties to the agreement have been acquitted of the conspiracy
• [Must Not] A person cannot be found guilty of conspiracy if all other parties to the agreement have been acquitted of the conspiracy and a finding of guilt would be inconsistent with their acquittal
• [Must Not] A person cannot be found guilty of conspiracy if he or she is a person for whose benefit or protection the offence exists
• [Must Not] A person cannot be found guilty of conspiracy if, before the commission of an overt act, the person withdrew from the agreement and took all reasonable steps to prevent the commission of the offence</t>
        </is>
      </c>
      <c r="O963" s="11" t="inlineStr">
        <is>
          <t>A person who conspires with another person to commit an offence punishable by imprisonment for more than 12 months, or by a fine of 200 penalty units or more, commits the offence of conspiracy to commit that offence and is punishable as if the offence to which the conspiracy relates had been committed.</t>
        </is>
      </c>
      <c r="P963" s="12" t="n">
        <v>17</v>
      </c>
    </row>
    <row r="964">
      <c r="A964" t="inlineStr">
        <is>
          <t>Australia</t>
        </is>
      </c>
      <c r="B964" t="inlineStr">
        <is>
          <t>C2026C00243VOL01 (Australia - Row 14)</t>
        </is>
      </c>
      <c r="C964" t="inlineStr">
        <is>
          <t>16 (part 9)</t>
        </is>
      </c>
      <c r="D964" s="11" t="inlineStr">
        <is>
          <t>Definition of Australia for legal purposes</t>
        </is>
      </c>
      <c r="E964" t="inlineStr">
        <is>
          <t>81–88</t>
        </is>
      </c>
      <c r="F964" t="inlineStr">
        <is>
          <t>None</t>
        </is>
      </c>
      <c r="G964" t="inlineStr">
        <is>
          <t>High (explicit)</t>
        </is>
      </c>
      <c r="H964" s="11" t="inlineStr"/>
      <c r="I964" s="11" t="inlineStr">
        <is>
          <t>Personal Information</t>
        </is>
      </c>
      <c r="J964" t="inlineStr"/>
      <c r="K964" s="11" t="inlineStr">
        <is>
          <t>This section defines the term 'Australia' for the purposes of applying the Part to offences. It specifies that Australia has the same geographical meaning as in the provision creating the primary offence. For ancillary offences, it uses the same geographical meaning as in the primary offence to which the ancillary offence relates. If a provision extends to an external Territory, Australia includes that Territory. The section explicitly excludes the meanings of 'Australian aircraft', 'Australian citizen', and 'Australian ship'.</t>
        </is>
      </c>
      <c r="L964" s="11" t="inlineStr"/>
      <c r="M964" s="11" t="inlineStr">
        <is>
          <t>• [Must] Australia has the same geographical meaning as in the provision creating the primary offence
• [Must] Australia has the same geographical meaning as in the provision creating the primary offence to which the ancillary offence relates</t>
        </is>
      </c>
      <c r="N964" s="11" t="inlineStr">
        <is>
          <t>• [Must] If a provision extends to an external Territory, Australia includes that Territory</t>
        </is>
      </c>
      <c r="O964" s="11" t="inlineStr">
        <is>
          <t>Section 16.3 (1) For the purposes of the application of this Part to a particular primary offence, Australia has the same meaning it would have if it were used in a geographical sense in the provision creating the primary offence.</t>
        </is>
      </c>
      <c r="P964" s="12" t="n">
        <v>17</v>
      </c>
    </row>
    <row r="965">
      <c r="A965" t="inlineStr">
        <is>
          <t>Australia</t>
        </is>
      </c>
      <c r="B965" t="inlineStr">
        <is>
          <t>C2026C00243VOL01 (Australia - Row 14)</t>
        </is>
      </c>
      <c r="C965" t="inlineStr">
        <is>
          <t>16 (part 12)</t>
        </is>
      </c>
      <c r="D965" s="11" t="inlineStr">
        <is>
          <t>UN personnel protection offenses</t>
        </is>
      </c>
      <c r="E965" t="inlineStr">
        <is>
          <t>105–112</t>
        </is>
      </c>
      <c r="F965" t="inlineStr">
        <is>
          <t>Low</t>
        </is>
      </c>
      <c r="G965" t="inlineStr">
        <is>
          <t>High (explicit)</t>
        </is>
      </c>
      <c r="H965" s="11" t="inlineStr">
        <is>
          <t>Cross-border Transfer, International Processing, Security</t>
        </is>
      </c>
      <c r="I965" s="11" t="inlineStr">
        <is>
          <t>Special Personal Information</t>
        </is>
      </c>
      <c r="J965" t="inlineStr">
        <is>
          <t>Australian Government</t>
        </is>
      </c>
      <c r="K965" s="11" t="inlineStr">
        <is>
          <t>This section defines offenses against UN personnel including unlawful detention, property damage, threats, and aggravated offenses. It specifies that a person commits an offense if they detain another without consent, cause damage to UN property, threaten to commit offenses under specified sections, or commit aggravated offenses during systematic infliction of pain, use of weapons, or abuse of authority. The offenses carry penalties ranging from 3 to 10 years imprisonment depending on the severity.</t>
        </is>
      </c>
      <c r="L965" s="11" t="inlineStr">
        <is>
          <t>This section establishes specific offenses related to UN personnel that could impact data transfers involving UN personnel, particularly regarding security and jurisdictional requirements for cross-border data handling.</t>
        </is>
      </c>
      <c r="M965" s="11" t="inlineStr">
        <is>
          <t>• [Must] The person takes or detains another person without that other person's consent
• [Must] The detention is not a UN enforcement action
• [Must] The person's conduct causes damage to official premises, private accommodation or means of transportation
• [Must] The property is occupied or used by a UN or associated person
• [Must] The conduct gives rise to a danger of serious harm to a person
• [Must] The UN or associated person is engaged in a UN operation
• [Must] The person intends to cause damage to the property</t>
        </is>
      </c>
      <c r="N965" s="11" t="inlineStr">
        <is>
          <t>• [Must] The person is reckless as to the danger to the person
• [Must] The person threatens to commit an offence under sections 71.2 to 71.11
• [Must] The person intends to compel another person to act by making the threat
• [Must] The offence was committed during deliberate and systematic infliction of severe pain
• [Must] The offence was committed by use or threatened use of an offensive weapon
• [Must] The offence was committed against a person in abuse of authority
• [Must] The prosecution must prove the defendant intended to commit or was reckless as to committing the aggravated matters</t>
        </is>
      </c>
      <c r="O965" s="11" t="inlineStr">
        <is>
          <t>Section 71.10: Unlawful detention of UN or associated person: (a) the person takes or detains another person without that other person's consent; and that is not a UN enforcement action.</t>
        </is>
      </c>
      <c r="P965" s="12" t="n">
        <v>17</v>
      </c>
    </row>
    <row r="966">
      <c r="A966" t="inlineStr">
        <is>
          <t>Australia</t>
        </is>
      </c>
      <c r="B966" t="inlineStr">
        <is>
          <t>C2026C00243VOL01 (Australia - Row 14)</t>
        </is>
      </c>
      <c r="C966" t="inlineStr">
        <is>
          <t>16 (part 13)</t>
        </is>
      </c>
      <c r="D966" s="11" t="inlineStr">
        <is>
          <t>UN personnel definitions and operations</t>
        </is>
      </c>
      <c r="E966" t="inlineStr">
        <is>
          <t>112–119</t>
        </is>
      </c>
      <c r="F966" t="inlineStr">
        <is>
          <t>Low</t>
        </is>
      </c>
      <c r="G966" t="inlineStr">
        <is>
          <t>High (explicit)</t>
        </is>
      </c>
      <c r="H966" s="11" t="inlineStr">
        <is>
          <t>Cross-border Transfer, International Processing</t>
        </is>
      </c>
      <c r="I966" s="11" t="inlineStr">
        <is>
          <t>Special Personal Information</t>
        </is>
      </c>
      <c r="J966" t="inlineStr">
        <is>
          <t>Australian Government</t>
        </is>
      </c>
      <c r="K966" s="11" t="inlineStr">
        <is>
          <t>This section defines key terms including UN personnel, associated personnel, UN operations, and the conditions under which conduct causes death or harm. It specifies that UN personnel are those engaged by the UN in military, police, or civilian components of operations, and that UN operations must be for maintaining international peace or security, or declared by the Security Council as exceptional risk to personnel safety.</t>
        </is>
      </c>
      <c r="L966" s="11" t="inlineStr">
        <is>
          <t>This section provides definitions critical for understanding who qualifies as UN personnel and what constitutes a UN operation, which may impact data transfers involving UN personnel across borders.</t>
        </is>
      </c>
      <c r="M966" s="11" t="inlineStr">
        <is>
          <t>• [Must] Associated personnel means persons assigned by a government or intergovernmental organisation with UN agreement
• [Must] Associated personnel means persons engaged by UN Secretary-General, specialised agencies or IAEA
• [Must] Associated personnel means persons deployed by humanitarian NGOs under UN agreement
• [Must] Convention means the Convention on the Safety of United Nations and Associated Personnel
• [Must] UN operation means an operation established by UN in accordance with Charter for maintaining peace or security</t>
        </is>
      </c>
      <c r="N966" s="11" t="inlineStr">
        <is>
          <t>• [Must] UN operation means an operation declared by Security Council as exceptional risk to personnel safety
• [Must] UN personnel means persons engaged by UN as members of military, police or civilian components
• [Must] UN personnel means other officials or experts on mission of UN, specialised agencies or IAEA
• [Must] A person's conduct causes death or harm if it substantially contributes to death or harm</t>
        </is>
      </c>
      <c r="O966" s="11" t="inlineStr">
        <is>
          <t>Section 71.23: associated personnel means: (a) persons assigned by a government, or an intergovernmental organisation, with the agreement of the competent organ of the United Nations; or (b) persons engaged by the Secretary-General of the United Nations, a specialised agency or the International Atomic Energy Agency; or (c) persons deployed by a humanitarian non-governmental organisation or agency under an agreement with the Secretary-General of the United Nations, a specialised agency or the International Atomic Energy Agency; to carry out activities in support of the fulfilment of the mandate of a UN operation.</t>
        </is>
      </c>
      <c r="P966" s="12" t="n">
        <v>17</v>
      </c>
    </row>
    <row r="967">
      <c r="A967" t="inlineStr">
        <is>
          <t>Australia</t>
        </is>
      </c>
      <c r="B967" t="inlineStr">
        <is>
          <t>C2026C00243VOL01 (Australia - Row 14)</t>
        </is>
      </c>
      <c r="C967" t="inlineStr">
        <is>
          <t>16 (part 16)</t>
        </is>
      </c>
      <c r="D967" s="11" t="inlineStr">
        <is>
          <t>Cluster munitions: prohibited activities and authorized exceptions</t>
        </is>
      </c>
      <c r="E967" t="inlineStr">
        <is>
          <t>134–142</t>
        </is>
      </c>
      <c r="F967" t="inlineStr">
        <is>
          <t>Low</t>
        </is>
      </c>
      <c r="G967" t="inlineStr">
        <is>
          <t>High (explicit)</t>
        </is>
      </c>
      <c r="H967" s="11" t="inlineStr">
        <is>
          <t>Cross-border Transfer, International Processing, Data Storage, Security</t>
        </is>
      </c>
      <c r="I967" s="11" t="inlineStr">
        <is>
          <t>Special Personal Information</t>
        </is>
      </c>
      <c r="J967" t="inlineStr">
        <is>
          <t>Defence Minister</t>
        </is>
      </c>
      <c r="K967" s="11" t="inlineStr">
        <is>
          <t>This section prohibits individuals from using, developing, producing, acquiring, stockpiling, retaining, or transferring cluster munitions. It also establishes exceptions for authorized activities by the Australian Defence Force under the Defence Minister's written authorization for specific purposes like detection, training, counter-measures, or destruction. The section further outlines conditions for transfers to Convention parties and military cooperation with non-Convention countries without violating the prohibited activities.</t>
        </is>
      </c>
      <c r="L967" s="11" t="inlineStr">
        <is>
          <t>This section establishes specific conditions under which cluster munitions transfers are permitted without triggering prohibitions, relevant for assessing cross-border transfers of explosive materials in military contexts.</t>
        </is>
      </c>
      <c r="M967" s="11" t="inlineStr">
        <is>
          <t>• [Must Not] A person commits an offence if the person uses a cluster munition
• [Must Not] A person commits an offence if the person develops, produces or otherwise acquires a cluster munition
• [Must Not] A person commits an offence if the person stockpiles or retains a cluster munition
• [Must Not] A person commits an offence if the person transfers a cluster munition to anyone
• [May] The Minister administering the Explosives Act 1961 may authorise specified members of the Australian Defence Force to acquire or retain specified cluster munitions for development, training, counter-measures, or destruction</t>
        </is>
      </c>
      <c r="N967" s="11" t="inlineStr">
        <is>
          <t>• [May] The Minister may authorise acquisition or retention of cluster munitions for the development of detection, clearance or destruction techniques
• [May] The Minister may authorise acquisition or retention of cluster munitions for the development of counter-measures
• [May] The Minister may authorise acquisition or retention of cluster munitions for destruction of munitions
• [Condition] Section 72.38 does not apply to transfers of cluster munitions to Convention parties for development, training, counter-measures, or destruction</t>
        </is>
      </c>
      <c r="O967" s="11" t="inlineStr">
        <is>
          <t>Section 72.38(1) A person commits an offence if the person does any of the following with a cluster munition: (a) uses it; (b) develops, produces or otherwise acquires it; (c) stockpiles or retains it; (d) transfers it to anyone.</t>
        </is>
      </c>
      <c r="P967" s="12" t="n">
        <v>17</v>
      </c>
    </row>
    <row r="968">
      <c r="A968" t="inlineStr">
        <is>
          <t>Australia</t>
        </is>
      </c>
      <c r="B968" t="inlineStr">
        <is>
          <t>C2026C00243VOL01 (Australia - Row 14)</t>
        </is>
      </c>
      <c r="C968" t="inlineStr">
        <is>
          <t>16 (part 18)</t>
        </is>
      </c>
      <c r="D968" s="11" t="inlineStr">
        <is>
          <t>Treason and related offences definitions</t>
        </is>
      </c>
      <c r="E968" t="inlineStr">
        <is>
          <t>150–161</t>
        </is>
      </c>
      <c r="F968" t="inlineStr">
        <is>
          <t>None</t>
        </is>
      </c>
      <c r="G968" t="inlineStr">
        <is>
          <t>High (explicit)</t>
        </is>
      </c>
      <c r="H968" s="11" t="inlineStr"/>
      <c r="I968" s="11" t="inlineStr">
        <is>
          <t>Special Personal Information</t>
        </is>
      </c>
      <c r="J968" t="inlineStr"/>
      <c r="K968" s="11" t="inlineStr">
        <is>
          <t>This section defines treason and related offences, including acts that cause death or harm to sovereigns, governors-general, or prime ministers, levying war against the Commonwealth, and instigating armed invasions. It specifies that assisting an enemy engaged in armed conflict involving the Commonwealth constitutes an offence, with strict liability for certain elements and absolute liability for others. The section also outlines conditions under which such conduct is not criminal, such as humanitarian aid.</t>
        </is>
      </c>
      <c r="L968" s="11" t="inlineStr"/>
      <c r="M968" s="11" t="inlineStr">
        <is>
          <t>• [Must Not] A person commits an offence if they receive or assist another person who has committed an offence against this Subdivision with the intention of allowing them to escape punishment or apprehension
• [Must Not] A person commits an offence if they know another person intends to commit an offence against this Subdivision but do not inform a constable within a reasonable time or use other reasonable endeavours to prevent the commission of the offence
• [Must] A person commits an offence if they are engaged in armed conflict involving the Commonwealth or Australian Defence Force with an enemy declared in a Proclamation under section 80.1AB
• [Must] A person commits an offence if they intend that their conduct will materially assist the enemy to engage in armed conflict involving the Commonwealth or Australian Defence Force</t>
        </is>
      </c>
      <c r="N968" s="11" t="inlineStr">
        <is>
          <t>• [Must] A person commits an offence if their conduct materially assists the enemy to engage in armed conflict involving the Commonwealth or Australian Defence Force
• [Must] A person commits an offence if they know they are an Australian citizen or resident of Australia at the time of the conduct
• [Must] A person commits an offence if they know they have voluntarily put themselves under the protection of the Commonwealth
• [Must] A person commits an offence if they are a body corporate incorporated by or under a law of the Commonwealth or a State or Territory</t>
        </is>
      </c>
      <c r="O968" s="11" t="inlineStr">
        <is>
          <t>Section 80.1AAA: A person commits an offence if the person: (a) receives or assists another person who, to his or her knowledge, has committed an offence against this Subdivision (other than this subsection) with the intention of allowing him or her to escape punishment or apprehension; or (b) knowing that another person intends to commit an offence against this Subdivision (other than this subsection), does not inform a constable of it within a reasonable time or use other reasonable endeavours to prevent the commission of the offence.</t>
        </is>
      </c>
      <c r="P968" s="12" t="n">
        <v>17</v>
      </c>
    </row>
    <row r="969">
      <c r="A969" t="inlineStr">
        <is>
          <t>Australia</t>
        </is>
      </c>
      <c r="B969" t="inlineStr">
        <is>
          <t>C2026C00243VOL01 (Australia - Row 14)</t>
        </is>
      </c>
      <c r="C969" t="inlineStr">
        <is>
          <t>16 (part 20)</t>
        </is>
      </c>
      <c r="D969" s="11" t="inlineStr">
        <is>
          <t>Public display of prohibited symbols and Nazi salutes</t>
        </is>
      </c>
      <c r="E969" t="inlineStr">
        <is>
          <t>173–180</t>
        </is>
      </c>
      <c r="F969" t="inlineStr">
        <is>
          <t>None</t>
        </is>
      </c>
      <c r="G969" t="inlineStr">
        <is>
          <t>High (explicit)</t>
        </is>
      </c>
      <c r="H969" s="11" t="inlineStr"/>
      <c r="I969" s="11" t="inlineStr">
        <is>
          <t>Special Personal Information</t>
        </is>
      </c>
      <c r="J969" t="inlineStr"/>
      <c r="K969" s="11" t="inlineStr">
        <is>
          <t>This section defines prohibited Nazi symbols, prohibited organisation symbols, and the meaning of displaying things in public places. It specifies that a prohibited Nazi symbol includes the Nazi hakenkreuz, the Nazi double-sig rune, and things that resemble these symbols. A prohibited organisation symbol relates to terrorist organisations, prohibited hate groups, or state sponsors of terrorism. The section also defines what constitutes displaying a thing in a public place, including digital platforms.</t>
        </is>
      </c>
      <c r="L969" s="11" t="inlineStr"/>
      <c r="M969" s="11" t="inlineStr">
        <is>
          <t>• [Must] A prohibited Nazi symbol includes the Nazi hakenkreuz
• [Must] A prohibited Nazi symbol includes the Nazi double-sig rune
• [Must] A prohibited Nazi symbol includes something that so nearly resembles a thing to which paragraph (a) or (b) applies that it is likely to be confused with or mistaken for that thing
• [Must] A prohibited organisation symbol includes a symbol that an organisation that is a terrorist organisation or prohibited hate group uses to identify the organisation
• [Must] A prohibited organisation symbol includes something that so nearly resembles a symbol to which paragraph (a) applies that it is likely to be confused with or mistaken for that symbol
• [Must] A prohibited organisation symbol includes a symbol that a state sponsor of terrorism uses to identify the state sponsor of terrorism</t>
        </is>
      </c>
      <c r="N969" s="11" t="inlineStr">
        <is>
          <t>• [Must] A prohibited organisation symbol includes something that so nearly resembles a symbol to which paragraph (c) applies that it is likely to be confused with or mistaken for that symbol
• [Must] A thing is displayed in a public place if it is capable of being seen by a member of the public who is in a public place
• [Must] A thing is also displayed in a public place if it is included in a document available to the public or a section of the public
• [Must] A thing is also displayed in a public place if it is included in a film, video or television program available to the public or a section of the public
• [Must] A thing is also displayed in a public place if it is included in a document, film, video or television program available to the public or a section of the public by means of the internet</t>
        </is>
      </c>
      <c r="O969" s="11" t="inlineStr">
        <is>
          <t>Section 80.2F: A thing is displayed in a public place if it is capable of being seen by a member of the public who is in a public place (whether or not the thing is actually so seen by a member of the public).</t>
        </is>
      </c>
      <c r="P969" s="12" t="n">
        <v>17</v>
      </c>
    </row>
    <row r="970">
      <c r="A970" t="inlineStr">
        <is>
          <t>Australia</t>
        </is>
      </c>
      <c r="B970" t="inlineStr">
        <is>
          <t>C2026C00243VOL01 (Australia - Row 14)</t>
        </is>
      </c>
      <c r="C970" t="inlineStr">
        <is>
          <t>16 (part 23)</t>
        </is>
      </c>
      <c r="D970" s="11" t="inlineStr">
        <is>
          <t>Police directions for ceasing display of prohibited symbols</t>
        </is>
      </c>
      <c r="E970" t="inlineStr">
        <is>
          <t>195–202</t>
        </is>
      </c>
      <c r="F970" t="inlineStr">
        <is>
          <t>Low</t>
        </is>
      </c>
      <c r="G970" t="inlineStr">
        <is>
          <t>High (explicit)</t>
        </is>
      </c>
      <c r="H970" s="11" t="inlineStr">
        <is>
          <t>Cross-border Transfer, International Processing, Data Storage, Security</t>
        </is>
      </c>
      <c r="I970" s="11" t="inlineStr">
        <is>
          <t>Special Personal Information</t>
        </is>
      </c>
      <c r="J970" t="inlineStr">
        <is>
          <t>Australian Police</t>
        </is>
      </c>
      <c r="K970" s="11" t="inlineStr">
        <is>
          <t>This section outlines conditions under which police officers may direct individuals to cease displaying prohibited symbols in public places. The direction must specify a reasonable time for cessation, and may be given orally or in writing to persons suspected of causing the display or being owners/occupiers of premises where the symbol is displayed. The direction applies to specific categories of persons and can be delivered via physical placement on premises or vehicles.</t>
        </is>
      </c>
      <c r="L970" s="11" t="inlineStr">
        <is>
          <t>This section establishes requirements for police to issue directions to stop prohibited symbols in public, relevant for cross-border data transfers involving symbols that could be part of international communications or displays.</t>
        </is>
      </c>
      <c r="M970" s="11" t="inlineStr">
        <is>
          <t>• [Must] Police direction must specify reasonable time for prohibited symbol cessation in public
• [May] Direction may be given orally or in writing to person suspected of causing symbol display
• [May] Direction may be given to owner/occupier of premises where symbol is displayed</t>
        </is>
      </c>
      <c r="N970" s="11" t="inlineStr">
        <is>
          <t>• [May] Direction may be given to owner/occupant of aircraft, vehicle or vessel where symbol is displayed
• [May] Written direction may be left on premises where symbol is displayed
• [May] Written direction may be placed on aircraft, vehicle or vessel where symbol is displayed</t>
        </is>
      </c>
      <c r="O970" s="11" t="inlineStr">
        <is>
          <t>Section 80.2L(1): A police officer may give a direction to cause a prohibited symbol to cease to be displayed in a public place under subsection 80.2K(1) only in accordance with subsection (2), (3) or (4) of this section.</t>
        </is>
      </c>
      <c r="P970" s="12" t="n">
        <v>17</v>
      </c>
    </row>
    <row r="971">
      <c r="A971" t="inlineStr">
        <is>
          <t>Australia</t>
        </is>
      </c>
      <c r="B971" t="inlineStr">
        <is>
          <t>C2026C00243VOL01 (Australia - Row 14)</t>
        </is>
      </c>
      <c r="C971" t="inlineStr">
        <is>
          <t>16 (part 24)</t>
        </is>
      </c>
      <c r="D971" s="11" t="inlineStr">
        <is>
          <t>Defence for acts done in good faith</t>
        </is>
      </c>
      <c r="E971" t="inlineStr">
        <is>
          <t>202–211</t>
        </is>
      </c>
      <c r="F971" t="inlineStr">
        <is>
          <t>Low</t>
        </is>
      </c>
      <c r="G971" t="inlineStr">
        <is>
          <t>High (explicit)</t>
        </is>
      </c>
      <c r="H971" s="11" t="inlineStr">
        <is>
          <t>Cross-border Transfer, International Processing, Data Storage, Security</t>
        </is>
      </c>
      <c r="I971" s="11" t="inlineStr">
        <is>
          <t>Special Personal Information</t>
        </is>
      </c>
      <c r="J971" t="inlineStr"/>
      <c r="K971" s="11" t="inlineStr">
        <is>
          <t>This section provides a defence for individuals who act in good faith to correct errors in government, laws, or policies, or to address matters causing ill-will between groups. The defence applies to actions taken with the intention of assisting parties in armed conflict, or for purposes of public interest such as academic, artistic, scientific work, or news reporting.</t>
        </is>
      </c>
      <c r="L971" s="11" t="inlineStr">
        <is>
          <t>This section may affect data transfer impact assessments when individuals engage in good faith activities that could involve cross-border data sharing or international communications.</t>
        </is>
      </c>
      <c r="M971" s="11" t="inlineStr">
        <is>
          <t>• [May] Person may be defended if they try in good faith to show others are mistaken in counsels, policies or actions
• [May] Person may be defended if they point out errors in government, constitution or legislation in good faith
• [May] Person may be defended if they urge others to attempt lawful change to matters established by law</t>
        </is>
      </c>
      <c r="N971" s="11" t="inlineStr">
        <is>
          <t>• [May] Person may be defended if they point out matters producing ill-will between groups to remove them
• [May] Person may be defended if they engage in good faith industrial dispute activities
• [May] Person may be defended if they publish good faith reports on matters of public interest</t>
        </is>
      </c>
      <c r="O971" s="11" t="inlineStr">
        <is>
          <t>Section 80.3(1): Subdivisions B and C (other than sections 80.2A, 80.2B, 80.2BA, 80.2BB, 80.2BC, 80.2BD and 80.2BE), and sections 83.1 and 83.4, do not apply to a person who tries in good faith to show any of the following persons are mistaken in any of his or her counsels, policies or actions...</t>
        </is>
      </c>
      <c r="P971" s="12" t="n">
        <v>17</v>
      </c>
    </row>
    <row r="972">
      <c r="A972" t="inlineStr">
        <is>
          <t>Australia</t>
        </is>
      </c>
      <c r="B972" t="inlineStr">
        <is>
          <t>C2026C00243VOL01 (Australia - Row 14)</t>
        </is>
      </c>
      <c r="C972" t="inlineStr">
        <is>
          <t>16 (part 25)</t>
        </is>
      </c>
      <c r="D972" s="11" t="inlineStr">
        <is>
          <t>National security vulnerabilities and reckless conduct</t>
        </is>
      </c>
      <c r="E972" t="inlineStr">
        <is>
          <t>211–219</t>
        </is>
      </c>
      <c r="F972" t="inlineStr">
        <is>
          <t>Low</t>
        </is>
      </c>
      <c r="G972" t="inlineStr">
        <is>
          <t>High (explicit)</t>
        </is>
      </c>
      <c r="H972" s="11" t="inlineStr">
        <is>
          <t>Security, Cross-border Transfer, International Processing</t>
        </is>
      </c>
      <c r="I972" s="11" t="inlineStr">
        <is>
          <t>Personal Information</t>
        </is>
      </c>
      <c r="J972" t="inlineStr">
        <is>
          <t>Attorney-General</t>
        </is>
      </c>
      <c r="K972" s="11" t="inlineStr">
        <is>
          <t>This section defines when conduct becomes vulnerable to misuse or impairment, accessible by unauthorized persons, and part of public infrastructure, with reckless disregard for national security consequences. It specifies that reckless conduct causing such vulnerabilities in public infrastructure constitutes an offence against the Division. The section also outlines alternative verdicts and requires Attorney-General consent for prosecutions.</t>
        </is>
      </c>
      <c r="L972" s="11" t="inlineStr">
        <is>
          <t>This section establishes conditions under which technical vulnerabilities in public infrastructure could be considered national security threats, requiring careful assessment of data handling practices to avoid reckless conduct that impacts national security.</t>
        </is>
      </c>
      <c r="M972" s="11" t="inlineStr">
        <is>
          <t>• [Must] Conduct must result in an article or software becoming vulnerable to misuse or impairment
• [Must] Conduct must result in an article or software being accessible or modifiable by unauthorized persons</t>
        </is>
      </c>
      <c r="N972" s="11" t="inlineStr">
        <is>
          <t>• [Must] Article or software must be part of public infrastructure
• [Must] Conduct must be reckless regarding prejudice to Australia's national security</t>
        </is>
      </c>
      <c r="O972" s="11" t="inlineStr">
        <is>
          <t>Section 82.9 (b) the conduct has the result that an article or thing, or software, becomes vulnerable: (i) to misuse or impairment; or (ii) to being accessed or modified by a person not entitled to access or modify it; and (c) the article or thing, or software, is or is part of public infrastructure; and (d) the person engages in the conduct reckless as to whether prejudice to Australia's national security will occur</t>
        </is>
      </c>
      <c r="P972" s="12" t="n">
        <v>17</v>
      </c>
    </row>
    <row r="973">
      <c r="A973" t="inlineStr">
        <is>
          <t>Australia</t>
        </is>
      </c>
      <c r="B973" t="inlineStr">
        <is>
          <t>C2026C00243VOL01 (Australia - Row 14)</t>
        </is>
      </c>
      <c r="C973" t="inlineStr">
        <is>
          <t>16 (part 26)</t>
        </is>
      </c>
      <c r="D973" s="11" t="inlineStr">
        <is>
          <t>Defences for national security offences</t>
        </is>
      </c>
      <c r="E973" t="inlineStr">
        <is>
          <t>219–227</t>
        </is>
      </c>
      <c r="F973" t="inlineStr">
        <is>
          <t>Low</t>
        </is>
      </c>
      <c r="G973" t="inlineStr">
        <is>
          <t>High (explicit)</t>
        </is>
      </c>
      <c r="H973" s="11" t="inlineStr">
        <is>
          <t>Security, Cross-border Transfer, International Processing</t>
        </is>
      </c>
      <c r="I973" s="11" t="inlineStr">
        <is>
          <t>Personal Information</t>
        </is>
      </c>
      <c r="J973" t="inlineStr">
        <is>
          <t>Attorney-General</t>
        </is>
      </c>
      <c r="K973" s="11" t="inlineStr">
        <is>
          <t>This section outlines defences for national security offences, requiring the person to be a public official acting in good faith, with reasonable conduct within lawful authority. It also includes specific defences for foreign work authorizations and humanitarian purposes, which may exempt certain activities from liability.</t>
        </is>
      </c>
      <c r="L973" s="11" t="inlineStr">
        <is>
          <t>This section provides defences that could apply to data handling activities involving foreign entities, particularly where activities are authorized under specific frameworks like the Defence Act 1903 or humanitarian purposes.</t>
        </is>
      </c>
      <c r="M973" s="11" t="inlineStr">
        <is>
          <t>• [Must] Person must be a public official at the time of the offence
• [Must] Person must engage in conduct in good faith while performing duties
• [Must] Conduct must be reasonable for the purpose of performing duties</t>
        </is>
      </c>
      <c r="N973" s="11" t="inlineStr">
        <is>
          <t>• [Must] Person must be an owner or operator of public infrastructure
• [Must] Conduct must be within lawful authority of the owner or operator</t>
        </is>
      </c>
      <c r="O973" s="11" t="inlineStr">
        <is>
          <t>Section 82.10 (a) the person is, at the time of the offence, a public official; and (b) the person engaged in the conduct in good faith in the course of performing duties as a public official; and (c) the conduct is reasonable in the circumstances for the purpose of performing those duties.</t>
        </is>
      </c>
      <c r="P973" s="12" t="n">
        <v>17</v>
      </c>
    </row>
    <row r="974">
      <c r="A974" t="inlineStr">
        <is>
          <t>Australia</t>
        </is>
      </c>
      <c r="B974" t="inlineStr">
        <is>
          <t>C2026C00243VOL01 (Australia - Row 14)</t>
        </is>
      </c>
      <c r="C974" t="inlineStr">
        <is>
          <t>16 (part 27)</t>
        </is>
      </c>
      <c r="D974" s="11" t="inlineStr">
        <is>
          <t>Security classification definitions and application</t>
        </is>
      </c>
      <c r="E974" t="inlineStr">
        <is>
          <t>227–238</t>
        </is>
      </c>
      <c r="F974" t="inlineStr">
        <is>
          <t>Low</t>
        </is>
      </c>
      <c r="G974" t="inlineStr">
        <is>
          <t>High (explicit)</t>
        </is>
      </c>
      <c r="H974" s="11" t="inlineStr">
        <is>
          <t>Security</t>
        </is>
      </c>
      <c r="I974" s="11" t="inlineStr">
        <is>
          <t>Special Personal Information</t>
        </is>
      </c>
      <c r="J974" t="inlineStr">
        <is>
          <t>Commonwealth</t>
        </is>
      </c>
      <c r="K974" s="11" t="inlineStr">
        <is>
          <t>This section defines security classifications for information that could cause serious or exceptionally grave damage to national interest if disclosed improperly. It specifies that classifications include secret (serious damage) and top secret (exceptionally grave damage) levels, with equivalent classifications prescribed by regulations. The section also establishes strict liability for applying classifications according to the Commonwealth's policy framework and for regulations that align with these classifications.</t>
        </is>
      </c>
      <c r="L974" s="11" t="inlineStr">
        <is>
          <t>Defines security classifications that could impact data transfer assessments when handling sensitive information across borders, requiring adherence to specific classification frameworks and policy frameworks for cross-border data transfers involving national security.</t>
        </is>
      </c>
      <c r="M974" s="11" t="inlineStr">
        <is>
          <t>• [Must] Information classified as secret if disclosed improperly could cause serious damage to national interest
• [Must] Information classified as top secret if disclosed improperly could cause exceptionally grave damage to national interest
• [Must] Regulations may prescribe equivalent security classifications</t>
        </is>
      </c>
      <c r="N974" s="11" t="inlineStr">
        <is>
          <t>• [Must] Classifications must be applied according to Commonwealth policy framework
• [Must] Regulations must align with security classification policy framework</t>
        </is>
      </c>
      <c r="O974" s="11" t="inlineStr">
        <is>
          <t>Section 90.6: for a classification of secret—that, if disclosed in an unauthorised manner, could be expected to cause serious damage to the national interest, organisations or individuals; or for a classification of top secret—that, if disclosed in an unauthorised manner, could be expected to cause exceptionally grave damage to the national interest</t>
        </is>
      </c>
      <c r="P974" s="12" t="n">
        <v>17</v>
      </c>
    </row>
    <row r="975">
      <c r="A975" t="inlineStr">
        <is>
          <t>Australia</t>
        </is>
      </c>
      <c r="B975" t="inlineStr">
        <is>
          <t>C2026C00243VOL01 (Australia - Row 14)</t>
        </is>
      </c>
      <c r="C975" t="inlineStr">
        <is>
          <t>16 (part 28)</t>
        </is>
      </c>
      <c r="D975" s="11" t="inlineStr">
        <is>
          <t>Foreign interference offences and defences</t>
        </is>
      </c>
      <c r="E975" t="inlineStr">
        <is>
          <t>238–250</t>
        </is>
      </c>
      <c r="F975" t="inlineStr">
        <is>
          <t>Low</t>
        </is>
      </c>
      <c r="G975" t="inlineStr">
        <is>
          <t>High (explicit)</t>
        </is>
      </c>
      <c r="H975" s="11" t="inlineStr">
        <is>
          <t>Cross-border Transfer, International Processing, Security</t>
        </is>
      </c>
      <c r="I975" s="11" t="inlineStr">
        <is>
          <t>Special Personal Information</t>
        </is>
      </c>
      <c r="J975" t="inlineStr">
        <is>
          <t>Commonwealth</t>
        </is>
      </c>
      <c r="K975" s="11" t="inlineStr">
        <is>
          <t>This section outlines offences related to foreign interference, including intentional or reckless interference with political processes, democratic rights, intelligence activities, and national security. It specifies that interference must involve deception, threats, or demands with menaces, and includes defences such as prior publication or reasonable belief in non-prejudice to national security. The section also covers offences of preparing for such interference and geographical jurisdiction.</t>
        </is>
      </c>
      <c r="L975" s="11" t="inlineStr">
        <is>
          <t>Defines foreign interference offences that could impact data transfers involving foreign entities, requiring assessments of whether data transfers constitute interference with national security or democratic processes across borders.</t>
        </is>
      </c>
      <c r="M975" s="11" t="inlineStr">
        <is>
          <t>• [Must] Person must engage in conduct on behalf of foreign principal
• [Must] Conduct must influence political or governmental processes
• [Must] Conduct must influence exercise of Australian democratic rights
• [Must] Conduct must support foreign intelligence activities
• [Must] Conduct must prejudice Australia's national security</t>
        </is>
      </c>
      <c r="N975" s="11" t="inlineStr">
        <is>
          <t>• [Must] Conduct must involve deception
• [Must] Conduct must involve threats to cause serious harm
• [Must] Conduct must involve demands with menaces
• [Must] Person must conceal from target the circumstances of conduct</t>
        </is>
      </c>
      <c r="O975" s="11" t="inlineStr">
        <is>
          <t>Section 92.2: (i) influence a political or governmental process of the [target]; (ii) influence the exercise (whether or not in Australia) of an Australian democratic or political right or duty; (iii) support intelligence activities of a foreign principal; (iv) prejudice Australia's national security</t>
        </is>
      </c>
      <c r="P975" s="12" t="n">
        <v>17</v>
      </c>
    </row>
    <row r="976">
      <c r="A976" t="inlineStr">
        <is>
          <t>Australia</t>
        </is>
      </c>
      <c r="B976" t="inlineStr">
        <is>
          <t>C2026C00243VOL01 (Australia - Row 14)</t>
        </is>
      </c>
      <c r="C976" t="inlineStr">
        <is>
          <t>16 (part 29)</t>
        </is>
      </c>
      <c r="D976" s="11" t="inlineStr">
        <is>
          <t>Hearing in camera for national security</t>
        </is>
      </c>
      <c r="E976" t="inlineStr">
        <is>
          <t>250–258</t>
        </is>
      </c>
      <c r="F976" t="inlineStr">
        <is>
          <t>Low</t>
        </is>
      </c>
      <c r="G976" t="inlineStr">
        <is>
          <t>High (explicit)</t>
        </is>
      </c>
      <c r="H976" s="11" t="inlineStr">
        <is>
          <t>Cross-border Transfer, International Processing, Data Storage, Security</t>
        </is>
      </c>
      <c r="I976" s="11" t="inlineStr">
        <is>
          <t>Personal Information</t>
        </is>
      </c>
      <c r="J976" t="inlineStr">
        <is>
          <t>Federal Court of Australia</t>
        </is>
      </c>
      <c r="K976" s="11" t="inlineStr">
        <is>
          <t>This section allows federal courts, territorial courts, or courts exercising federal jurisdiction to exclude the public from hearings or prohibit reporting of proceedings if national security interests are at stake. It also permits court-ordered restrictions on accessing sensitive documents without approval. Violating these orders constitutes an offence.</t>
        </is>
      </c>
      <c r="L976" s="11" t="inlineStr">
        <is>
          <t>This section establishes conditions for court-ordered restrictions on public access and document disclosure during proceedings involving national security, which may impact data transfer if sensitive information is shared across borders.</t>
        </is>
      </c>
      <c r="M976" s="11" t="inlineStr">
        <is>
          <t>• [Must] Judge may exclude public from hearing if national security interests require it
• [Must] Judge may prohibit publication of proceedings if national security interests require it</t>
        </is>
      </c>
      <c r="N976" s="11" t="inlineStr">
        <is>
          <t>• [Must] Judge may order restrictions on document access without court approval</t>
        </is>
      </c>
      <c r="O976" s="11" t="inlineStr">
        <is>
          <t>At any time before or during the hearing, the judge or magistrate, or other person presiding or competent to preside over the proceedings, may, if satisfied that it is in the interests of Australia's national security: order that some or all of the members of the public be excluded during the whole or a part of the hearing; or order that no report of the whole or a specified part of, or relating to, the application or proceedings be published; or make such order and give such directions as he or she thinks necessary for ensuring that no person, without the approval of the court, has access to any affidavit, exhibit, information or other document used in the application or the proceedings that is on the file in the court or in the records of the court.</t>
        </is>
      </c>
      <c r="P976" s="12" t="n">
        <v>17</v>
      </c>
    </row>
    <row r="977">
      <c r="A977" t="inlineStr">
        <is>
          <t>Australia</t>
        </is>
      </c>
      <c r="B977" t="inlineStr">
        <is>
          <t>C2026C00243VOL01 (Australia - Row 14)</t>
        </is>
      </c>
      <c r="C977" t="inlineStr">
        <is>
          <t>16 (part 30)</t>
        </is>
      </c>
      <c r="D977" s="11" t="inlineStr">
        <is>
          <t>Definitions for terrorism-related legal terms</t>
        </is>
      </c>
      <c r="E977" t="inlineStr">
        <is>
          <t>258–264</t>
        </is>
      </c>
      <c r="F977" t="inlineStr">
        <is>
          <t>Low</t>
        </is>
      </c>
      <c r="G977" t="inlineStr">
        <is>
          <t>High (explicit)</t>
        </is>
      </c>
      <c r="H977" s="11" t="inlineStr">
        <is>
          <t>Cross-border Transfer, International Processing, Data Storage, Security</t>
        </is>
      </c>
      <c r="I977" s="11" t="inlineStr">
        <is>
          <t>Personal Information</t>
        </is>
      </c>
      <c r="J977" t="inlineStr"/>
      <c r="K977" s="11" t="inlineStr">
        <is>
          <t>This section defines key terms used in terrorism-related legislation, including 'terrorist act', 'detained in custody', 'referring State', and 'constitutional corporation'. These definitions establish the legal framework for applying anti-terrorism laws across Australian jurisdictions and international contexts.</t>
        </is>
      </c>
      <c r="L977" s="11" t="inlineStr">
        <is>
          <t>These definitions clarify how terrorism-related data and activities are treated across borders, particularly for cross-jurisdictional data transfers involving security intelligence.</t>
        </is>
      </c>
      <c r="M977" s="11" t="inlineStr">
        <is>
          <t>• [Definition] Terrorist act means action or threat causing serious harm, damage, death, or endangering life
• [Definition] Detained in custody means detention under Commonwealth, State, or Territory law</t>
        </is>
      </c>
      <c r="N977" s="11" t="inlineStr">
        <is>
          <t>• [Definition] Referring State means State that has referred matters to Commonwealth Parliament
• [Definition] Constitutional corporation means entity covered by Constitution paragraph 51(xx)</t>
        </is>
      </c>
      <c r="O977" s="11" t="inlineStr">
        <is>
          <t>Terrorist act means an action or threat of action where: (a) the action falls within subsection (2) and does not fall within (b) the action is done or the threat is made with the intention of advancing a political, religious or ideological cause; and (c) the action causes serious harm that is physical harm to a person; or causes serious damage to property; or causes a person's death; or endangers a person's life, other than the life of the person; or creates a serious risk to the health or safety of the public or a section of the public; or affects an electronic system including information systems, telecommunications systems, financial systems, essential government services, public utilities, or transport systems.</t>
        </is>
      </c>
      <c r="P977" s="12" t="n">
        <v>17</v>
      </c>
    </row>
    <row r="978">
      <c r="A978" t="inlineStr">
        <is>
          <t>Australia</t>
        </is>
      </c>
      <c r="B978" t="inlineStr">
        <is>
          <t>C2026C00243VOL01 (Australia - Row 14)</t>
        </is>
      </c>
      <c r="C978" t="inlineStr">
        <is>
          <t>16 (part 31)</t>
        </is>
      </c>
      <c r="D978" s="11" t="inlineStr">
        <is>
          <t>Cross-border transfer of personal data: adequacy and safeguards</t>
        </is>
      </c>
      <c r="E978" t="inlineStr">
        <is>
          <t>264–275</t>
        </is>
      </c>
      <c r="F978" t="inlineStr">
        <is>
          <t>High</t>
        </is>
      </c>
      <c r="G978" t="inlineStr">
        <is>
          <t>High (explicit)</t>
        </is>
      </c>
      <c r="H978" s="11" t="inlineStr">
        <is>
          <t>Cross-border Transfer, International Processing, Data Storage, Security</t>
        </is>
      </c>
      <c r="I978" s="11" t="inlineStr">
        <is>
          <t>Personal Information, Financial Data</t>
        </is>
      </c>
      <c r="J978" t="inlineStr">
        <is>
          <t>Commonwealth</t>
        </is>
      </c>
      <c r="K978" s="11" t="inlineStr">
        <is>
          <t>This section establishes conditions for cross-border data transfers between Australia and other countries, among States, or within Territories. It specifies that transfers must not disrupt banking, insurance, or international law obligations. The section also ensures concurrent operation of State and Territory laws without conflict, allowing for regulatory adjustments to maintain consistency.</t>
        </is>
      </c>
      <c r="L978" s="11" t="inlineStr">
        <is>
          <t>This section requires data transfers to avoid disrupting critical financial services and international legal obligations, ensuring cross-border transfers do not conflict with State/Territory laws. It mandates regulatory adjustments to maintain consistency in data handling across jurisdictions.</t>
        </is>
      </c>
      <c r="M978" s="11" t="inlineStr">
        <is>
          <t>• [Must] Transfers between Australia and places outside Australia
• [Must] Transfers among the States
• [Must] Transfers within a Territory between a State and a Territory or between 2 Territories
• [Must Not] Transfers must not disrupt banking (other than State banking not extending beyond the limits of the State concerned)</t>
        </is>
      </c>
      <c r="N978" s="11" t="inlineStr">
        <is>
          <t>• [Must Not] Transfers must not disrupt insurance (other than State insurance not extending beyond the limits of the State concerned)
• [Must Not] Transfers must not be actions in relation to which the Commonwealth is obliged to create an offence under international law
• [Must Not] Transfers must not be threats in relation to which the Commonwealth is obliged to create an offence under international law
• [Condition] Subsections (2) and (3) apply to a State that is not a referring State at a particular time</t>
        </is>
      </c>
      <c r="O978" s="11" t="inlineStr">
        <is>
          <t>Section 100.5 (i) between Australia and places outside Australia; or (ii) among the States; or (iii) within a Territory, between a State and a Territory or between 2 Territories; or (k) the action disrupts, or if carried out would disrupt: banking (other than State banking not extending beyond the limits of the State concerned); or insurance (other than State insurance not extending beyond the limits of the State concerned); or the action is, or if carried out would be, an action in relation to which the Commonwealth is obliged to create an offence under international law; or the threat is one in relation to which the Commonwealth is obliged to create an offence under international law.</t>
        </is>
      </c>
      <c r="P978" s="12" t="n">
        <v>17</v>
      </c>
    </row>
    <row r="979">
      <c r="A979" t="inlineStr">
        <is>
          <t>Australia</t>
        </is>
      </c>
      <c r="B979" t="inlineStr">
        <is>
          <t>C2026C00243VOL01 (Australia - Row 14)</t>
        </is>
      </c>
      <c r="C979" t="inlineStr">
        <is>
          <t>16 (part 34)</t>
        </is>
      </c>
      <c r="D979" s="11" t="inlineStr">
        <is>
          <t>Conditions for interim control orders in national security cases</t>
        </is>
      </c>
      <c r="E979" t="inlineStr">
        <is>
          <t>293–299</t>
        </is>
      </c>
      <c r="F979" t="inlineStr">
        <is>
          <t>Medium</t>
        </is>
      </c>
      <c r="G979" t="inlineStr">
        <is>
          <t>High (explicit)</t>
        </is>
      </c>
      <c r="H979" s="11" t="inlineStr">
        <is>
          <t>Cross-border Transfer, International Processing, Data Storage, Security, Access Control, Processing, Data Sharing, Third Party Processing, Cloud Services, Incident Reporting, Breach Notification, Consent, Customer Information, Employee Information, Special Personal Information, Children, Financial Data, KYC, AML, Governance, Record Keeping</t>
        </is>
      </c>
      <c r="I979" s="11" t="inlineStr">
        <is>
          <t>Personal Information, Financial Data, Customer Data, Employee Data, Health Data, Children's Data, Biometric Data, Special Personal Information</t>
        </is>
      </c>
      <c r="J979" t="inlineStr">
        <is>
          <t>Court</t>
        </is>
      </c>
      <c r="K979" s="11" t="inlineStr">
        <is>
          <t>This section details the conditions that must be imposed on individuals by an interim control order, including restrictions on movement, residence, communications, and electronic monitoring. The court must ensure these conditions are reasonably necessary and appropriate for protecting the public from terrorist acts or hostile activities abroad. The conditions must also consider the person's best interests, particularly for those aged 14-17, and their financial circumstances.</t>
        </is>
      </c>
      <c r="L979" s="11" t="inlineStr">
        <is>
          <t>These conditions impose strict restrictions on individuals' movements, communications, and digital activities for national security purposes, requiring detailed monitoring and compliance mechanisms that could impact data transfers and cross-border data flows.</t>
        </is>
      </c>
      <c r="M979" s="11" t="inlineStr">
        <is>
          <t>• [Must] The court must ensure conditions are reasonably necessary and appropriate for protecting the public from terrorist acts or hostile activities abroad
• [Must] The court must consider the person's best interests, particularly for those aged 14-17
• [Must] The court must assess the impact of conditions on the person's financial and personal circumstances
• [Must] Conditions may restrict the person from being present at specified areas or places
• [Must] Conditions may require the person to reside at specified premises without changing residence without permission
• [Must] Conditions may require the person to remain at specified premises between specified times each day
• [Must] Conditions may prohibit the person from leaving Australia or their State/Territory
• [Must] Conditions may require the person to provide their passport to a specified authority
• [Must] Conditions may prohibit the person from changing their name or using names not specified in the order
• [Must] Conditions may prohibit the person from applying for Australian travel documents or foreign travel documents
• [Must] Conditions may prohibit the person from communicating with specified individuals or classes of individuals
• [Must] Conditions may prohibit the person from accessing specified forms of telecommunication or technology
• [Must] Conditions may prohibit the person from possessing or using specified articles or substances
• [Must] Conditions may prohibit the person from engaging in specified work or activities</t>
        </is>
      </c>
      <c r="N979" s="11" t="inlineStr">
        <is>
          <t>• [Must] Conditions may require the person to attend treatment, rehabilitation or intervention programs
• [Must] Conditions may require the person to provide specified information to a specified authority within a specified period
• [Must] Conditions may require the person to comply with reasonable directions from a specified authority
• [Must] Conditions may require the person to submit to testing by a specified authority
• [Must] Conditions may require the person to allow themselves to be photographed by a specified authority
• [Must] Conditions may require the person to allow fingerprints to be taken by a specified authority
• [Must] Conditions may require the person to wear a monitoring device at all times
• [Must] Conditions may require the person to be available to answer calls from a specified authority
• [Must] Conditions may require the person to allow visits from specified authorities at any time
• [Must] Conditions may require the person to provide a schedule of proposed movements for a specified period
• [Must] Conditions may require the person to allow police to search their residence or premises
• [Must] Conditions may require the person to facilitate access to electronic equipment for police searches
• [Must] The person must not remain at specified premises for more than 12 hours within any 24 hours</t>
        </is>
      </c>
      <c r="O979" s="11" t="inlineStr">
        <is>
          <t>Section 104.5A(1) states that conditions may relate to any of the following: [list of conditions]. Section 104.5A(2) specifies monitoring conditions and requirements for electronic monitoring.</t>
        </is>
      </c>
      <c r="P979" s="12" t="n">
        <v>17</v>
      </c>
    </row>
    <row r="980">
      <c r="A980" t="inlineStr">
        <is>
          <t>Australia</t>
        </is>
      </c>
      <c r="B980" t="inlineStr">
        <is>
          <t>C2026C00243VOL01 (Australia - Row 14)</t>
        </is>
      </c>
      <c r="C980" t="inlineStr">
        <is>
          <t>16 (part 36)</t>
        </is>
      </c>
      <c r="D980" s="11" t="inlineStr">
        <is>
          <t>Urgent interim control orders: electronic requests and court procedures</t>
        </is>
      </c>
      <c r="E980" t="inlineStr">
        <is>
          <t>305–311</t>
        </is>
      </c>
      <c r="F980" t="inlineStr">
        <is>
          <t>Low</t>
        </is>
      </c>
      <c r="G980" t="inlineStr">
        <is>
          <t>High (explicit)</t>
        </is>
      </c>
      <c r="H980" s="11" t="inlineStr"/>
      <c r="I980" s="11" t="inlineStr">
        <is>
          <t>Personal Information</t>
        </is>
      </c>
      <c r="J980" t="inlineStr">
        <is>
          <t>Australian Federal Police (AFP)</t>
        </is>
      </c>
      <c r="K980" s="11" t="inlineStr">
        <is>
          <t>This section outlines procedures for requesting urgent interim control orders via electronic means without prior AFP Minister's consent. Senior AFP members must provide specific information including reasons for urgency and suspected matters under section 104.2(2). The court must consider the request and may issue the order within the same form as standard procedures. If the AFP Minister's consent is not obtained initially, it must be secured within 8 hours. The request must include sworn or affirmed explanations and specific details about the urgency.</t>
        </is>
      </c>
      <c r="L980" s="11" t="inlineStr">
        <is>
          <t>This section establishes time-sensitive procedures for urgent cross-border data transfers involving electronic requests for interim control orders, requiring specific notifications and time limits for ministerial consent. It impacts DTIAs through its strict timelines and electronic communication requirements for urgent orders.</t>
        </is>
      </c>
      <c r="M980" s="11" t="inlineStr">
        <is>
          <t>• [Must] Senior AFP member may request urgent interim control order via electronic means if considers it necessary due to urgent circumstances
• [Must] Senior AFP member must suspect matters under subsection 104.2(2) on reasonable grounds
• [Must] Request must include all requirements under paragraphs 104.3(b) to (e) for ordinary interim control orders
• [Must] Request must include explanation of why making the order is urgent
• [Must] Request must include copy of AFP Minister's consent if obtained before request</t>
        </is>
      </c>
      <c r="N980" s="11" t="inlineStr">
        <is>
          <t>• [Must] Information and explanation in request must be sworn or affirmed by member
• [Must] Court must consider information and explanation in request
• [May] Court may complete same form of order as under sections 104.4 and 104.5
• [Must] If AFP Minister's consent not obtained before request, must obtain within 8 hours</t>
        </is>
      </c>
      <c r="O980" s="11" t="inlineStr">
        <is>
          <t>A senior AFP member may request, by telephone, fax, email or other electronic means, an issuing court to make an interim control order in relation to a person if: (a) the member considers it necessary to use such means because of urgent circumstances; and (b) the member suspects the matters mentioned in subsection 104.2(2) on reasonable grounds.</t>
        </is>
      </c>
      <c r="P980" s="12" t="n">
        <v>17</v>
      </c>
    </row>
    <row r="981">
      <c r="A981" t="inlineStr">
        <is>
          <t>Australia</t>
        </is>
      </c>
      <c r="B981" t="inlineStr">
        <is>
          <t>C2026C00243VOL01 (Australia - Row 14)</t>
        </is>
      </c>
      <c r="C981" t="inlineStr">
        <is>
          <t>16 (part 38)</t>
        </is>
      </c>
      <c r="D981" s="11" t="inlineStr">
        <is>
          <t>Confirmation and service of control orders with specific conditions</t>
        </is>
      </c>
      <c r="E981" t="inlineStr">
        <is>
          <t>317–323</t>
        </is>
      </c>
      <c r="F981" t="inlineStr">
        <is>
          <t>Low</t>
        </is>
      </c>
      <c r="G981" t="inlineStr">
        <is>
          <t>High (explicit)</t>
        </is>
      </c>
      <c r="H981"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981" s="11" t="inlineStr">
        <is>
          <t>Personal Information, Special Personal Information, Children's Data</t>
        </is>
      </c>
      <c r="J981" t="inlineStr">
        <is>
          <t>Australian Federal Police (AFP)</t>
        </is>
      </c>
      <c r="K981" s="11" t="inlineStr">
        <is>
          <t>This section outlines the conditions under which a confirmed control order takes effect and the requirements for its service. It specifies that the order begins to be in force only when the person is released from custody into the community without an active supervision order, and that the confirmed order must not end more than 12 months after the interim order was made. For minors aged 14-17, the order must end within 3 months. The section also mandates that the order must include specific details such as the person's name, conditions, duration, and the right for the person's lawyer to obtain a copy.</t>
        </is>
      </c>
      <c r="L981" s="11" t="inlineStr">
        <is>
          <t>This section establishes specific conditions for when a control order becomes effective and requires precise service procedures, including the need for personal service and notification to minors' guardians. These conditions impact the timing and scope of data transfers related to individuals under control orders.</t>
        </is>
      </c>
      <c r="M981" s="11" t="inlineStr">
        <is>
          <t>• [Must] The confirmed control order begins to be in force when the person is released from custody into the community without an active supervision order.
• [Must] The confirmed control order must not end more than 12 months after the interim order was made.
• [Must] For minors aged 14-17, the confirmed control order must not end more than 3 months after the interim order was made.
• [Must] The confirmed control order must specify the person's name, conditions, duration, and the right for the person's lawyer to obtain a copy.</t>
        </is>
      </c>
      <c r="N981" s="11" t="inlineStr">
        <is>
          <t>• [Must] The AFP must serve the confirmed control order personally on the person.
• [Must] The AFP must inform the person of their right to appeal, apply for revocation, and have the order varied by consent.
• [Must] The AFP must ensure the person understands the information provided, considering their age, language skills, and mental capacity.
• [Must] The AFP must take reasonable steps to serve a copy of the order on a parent or guardian for minors aged 14-17.</t>
        </is>
      </c>
      <c r="O981" s="11" t="inlineStr">
        <is>
          <t>Section 104.16(5) states: 'The confirmed control order begins to be in force when all of the following conditions are met: (a) the relevant interim control order did not begin to be in force when it was served personally on the person because of subsection 104.5(1D); (b) either of the following events occurs: (i) the person is released from custody in a prison into the community; (ii) the extended supervision order or interim supervision order referred to in paragraph 104.5(1D)(b) ceases to be in force in relation to the person; (c) when the event occurs, the person is in the community without an extended supervision order or interim supervision order being in force in relation to the person.'</t>
        </is>
      </c>
      <c r="P981" s="12" t="n">
        <v>17</v>
      </c>
    </row>
    <row r="982">
      <c r="A982" t="inlineStr">
        <is>
          <t>Australia</t>
        </is>
      </c>
      <c r="B982" t="inlineStr">
        <is>
          <t>C2026C00243VOL01 (Australia - Row 14)</t>
        </is>
      </c>
      <c r="C982" t="inlineStr">
        <is>
          <t>16 (part 40)</t>
        </is>
      </c>
      <c r="D982" s="11" t="inlineStr">
        <is>
          <t>Variation of control orders: personal service and information requirements</t>
        </is>
      </c>
      <c r="E982" t="inlineStr">
        <is>
          <t>329–336</t>
        </is>
      </c>
      <c r="F982" t="inlineStr">
        <is>
          <t>Low</t>
        </is>
      </c>
      <c r="G982" t="inlineStr">
        <is>
          <t>High (explicit)</t>
        </is>
      </c>
      <c r="H982" s="11" t="inlineStr"/>
      <c r="I982" s="11" t="inlineStr">
        <is>
          <t>Personal Information</t>
        </is>
      </c>
      <c r="J982" t="inlineStr">
        <is>
          <t>Australian Federal Police (AFP)</t>
        </is>
      </c>
      <c r="K982" s="11" t="inlineStr">
        <is>
          <t>When a control order is varied, the AFP must personally serve the varied order on the person, inform them of additional conditions, explain the effects of those conditions, and ensure they understand the information provided. The AFP must also inform the person of their right to appeal and review, and their right to apply for revocation or variation of the order. These obligations apply to the AFP member acting under section 104.24.</t>
        </is>
      </c>
      <c r="L982" s="11" t="inlineStr">
        <is>
          <t>This section mandates specific communication requirements for varied control orders, including personal service and clear explanation of conditions to ensure understanding. These requirements impact data transfer assessments by establishing how personal data must be communicated across jurisdictions.</t>
        </is>
      </c>
      <c r="M982" s="11" t="inlineStr">
        <is>
          <t>• [Must] AFP must serve varied order personally on person
• [Must] AFP must inform person of additional conditions
• [Must] AFP must explain effect of additional conditions</t>
        </is>
      </c>
      <c r="N982" s="11" t="inlineStr">
        <is>
          <t>• [Must] AFP must inform person of effects of sections 104.18, 104.21, 104.27
• [Must] AFP must inform person of right to apply for revocation or variation
• [Must] AFP must ensure person understands information provided</t>
        </is>
      </c>
      <c r="O982" s="11" t="inlineStr">
        <is>
          <t>Section 104.26(1)(a) to (d): 'As soon as practicable after a control order is varied under section 104.24, an AFP member: (a) must serve the varied order personally on the person; (b) must inform the person that the order has been varied to impose additional conditions; (c) must inform the person of the following: (i) the effect of the additional conditions; (ii) the effect of sections 104.18, 104.21 and 104.27 (and section 104.5C if appropriate); (iii) that the person may have appeal and review rights in relation to the decision of the issuing court to vary the order; (iv) the person's right to apply under section 104.18 for an order revoking or varying the order; (v) the right of the person or one or more representatives of relation to an application to revoke or vary the order; and (d) must ensure that the person understands the information provided under paragraph (c) (taking into account the person's age, language skills, mental capacity and any other relevant factor).'</t>
        </is>
      </c>
      <c r="P982" s="12" t="n">
        <v>17</v>
      </c>
    </row>
    <row r="983">
      <c r="A983" t="inlineStr">
        <is>
          <t>Australia</t>
        </is>
      </c>
      <c r="B983" t="inlineStr">
        <is>
          <t>C2026C00243VOL01 (Australia - Row 14)</t>
        </is>
      </c>
      <c r="C983" t="inlineStr">
        <is>
          <t>16 (part 41)</t>
        </is>
      </c>
      <c r="D983" s="11" t="inlineStr">
        <is>
          <t>Reporting requirements for control orders</t>
        </is>
      </c>
      <c r="E983" t="inlineStr">
        <is>
          <t>336–343</t>
        </is>
      </c>
      <c r="F983" t="inlineStr">
        <is>
          <t>Low</t>
        </is>
      </c>
      <c r="G983" t="inlineStr">
        <is>
          <t>High (explicit)</t>
        </is>
      </c>
      <c r="H983" s="11" t="inlineStr"/>
      <c r="I983" s="11" t="inlineStr">
        <is>
          <t>Personal Information</t>
        </is>
      </c>
      <c r="J983" t="inlineStr">
        <is>
          <t>Australian Federal Police (AFP)</t>
        </is>
      </c>
      <c r="K983" s="11" t="inlineStr">
        <is>
          <t>The AFP must report to the Minister on the number of interim and confirmed control orders, variations, revocations, and void declarations made during the year. This includes specific reporting on control orders for people aged 14 to 17 years. The reporting requirements apply to the AFP Commissioner and cover the operation of control orders under this Division.</t>
        </is>
      </c>
      <c r="L983" s="11" t="inlineStr">
        <is>
          <t>This section requires detailed reporting on control orders, which impacts data transfer assessments by establishing how personal data is tracked and reported across jurisdictions.</t>
        </is>
      </c>
      <c r="M983" s="11" t="inlineStr">
        <is>
          <t>• [Must] AFP must report number of interim control orders made under sections 104.4, 104.7, 104.9
• [Must] AFP must report number of control orders confirmed under section 104.14
• [Must] AFP must report number of control orders declared void under section 104.14
• [Must] AFP must report number of control orders revoked under sections 104.14 and 104.20
• [Must] AFP must report number of control orders varied under sections 104.14, 104.20, 104.24</t>
        </is>
      </c>
      <c r="N983" s="11" t="inlineStr">
        <is>
          <t>• [Must] AFP must report particulars of complaints made to Commonwealth Ombudsman related to control orders
• [Must] AFP must report information given under section 40SA of Australian Federal Police Act 1979 related to control orders
• [Must] AFP must report number of monitoring warrants issued under Division 5 of Part IAAB of Crimes Act 1914
• [Must] AFP must report number of monitoring warrants executed
• [Must] AFP must report the Ombudsman's report under subsection 3ZZUH(1) of Crimes Act 1914</t>
        </is>
      </c>
      <c r="O983" s="11" t="inlineStr">
        <is>
          <t>Section 104.29: 'The Commissioner must cause: (a) the AFP Minister to be notified in writing if: (i) a control order is declared to be void under section 104.14; (ii) a control order is revoked under section 104.14 or 104.20; (iii) a control order is varied under section 104.14, 104.20 or 104.24; and (b) the AFP Minister to be given a copy of the varied order (if appropriate).'</t>
        </is>
      </c>
      <c r="P983" s="12" t="n">
        <v>17</v>
      </c>
    </row>
    <row r="984">
      <c r="A984" t="inlineStr">
        <is>
          <t>Australia</t>
        </is>
      </c>
      <c r="B984" t="inlineStr">
        <is>
          <t>C2026C00243VOL01 (Australia - Row 14)</t>
        </is>
      </c>
      <c r="C984" t="inlineStr">
        <is>
          <t>16 (part 42)</t>
        </is>
      </c>
      <c r="D984" s="11" t="inlineStr">
        <is>
          <t>Preventative detention order conditions for reapplication</t>
        </is>
      </c>
      <c r="E984" t="inlineStr">
        <is>
          <t>343–350</t>
        </is>
      </c>
      <c r="F984" t="inlineStr">
        <is>
          <t>Low</t>
        </is>
      </c>
      <c r="G984" t="inlineStr">
        <is>
          <t>High (explicit)</t>
        </is>
      </c>
      <c r="H984" s="11" t="inlineStr">
        <is>
          <t>Cross-border Transfer, International Processing, Data Storage, Security</t>
        </is>
      </c>
      <c r="I984" s="11" t="inlineStr">
        <is>
          <t>Special Personal Information</t>
        </is>
      </c>
      <c r="J984" t="inlineStr">
        <is>
          <t>Australian Federal Police (AFP)</t>
        </is>
      </c>
      <c r="K984" s="11" t="inlineStr">
        <is>
          <t>This section outlines conditions under which a new preventative detention order cannot be applied for based on assisting in preventing a different terrorist act within a specified period. It requires that the application or order must be based on information that became available only after the initial order was made. The section also specifies that if the person is taken into custody under the order, another order cannot be applied for on the basis of preserving evidence of the same terrorist act.</t>
        </is>
      </c>
      <c r="L984" s="11" t="inlineStr">
        <is>
          <t>This section imposes conditions on reapplying for preventative detention orders, requiring that new applications must be based on information available after the initial order was made. This affects cross-border data transfers involving individuals subject to such orders by limiting the scope of information used for reapplications.</t>
        </is>
      </c>
      <c r="M984" s="11" t="inlineStr">
        <is>
          <t>• [Must] An initial preventative detention order cannot be applied for on the basis of assisting in preventing a different terrorist act occurring within that period unless the application or order is based on information that became available to the issuing authority only after the initial order was made</t>
        </is>
      </c>
      <c r="N984" s="11" t="inlineStr">
        <is>
          <t>• [Must Not] An initial preventative detention order cannot be applied for on the basis of preserving evidence of the same terrorist act</t>
        </is>
      </c>
      <c r="O984" s="11" t="inlineStr">
        <is>
          <t>Section 105.6(2): 'another initial preventative detention order cannot be applied for, or made, in relation to the person on the basis of assisting in preventing a different terrorist act occurring within that period unless the application, or the order, is based on information that became available to be put before an issuing authority only after the initial preventative detention order referred to in paragraph (a) was made.'</t>
        </is>
      </c>
      <c r="P984" s="12" t="n">
        <v>17</v>
      </c>
    </row>
    <row r="985">
      <c r="A985" t="inlineStr">
        <is>
          <t>Australia</t>
        </is>
      </c>
      <c r="B985" t="inlineStr">
        <is>
          <t>C2026C00243VOL01 (Australia - Row 14)</t>
        </is>
      </c>
      <c r="C985" t="inlineStr">
        <is>
          <t>16 (part 43)</t>
        </is>
      </c>
      <c r="D985" s="11" t="inlineStr">
        <is>
          <t>Preventative detention order extensions and notifications</t>
        </is>
      </c>
      <c r="E985" t="inlineStr">
        <is>
          <t>350–356</t>
        </is>
      </c>
      <c r="F985" t="inlineStr">
        <is>
          <t>Low</t>
        </is>
      </c>
      <c r="G985" t="inlineStr">
        <is>
          <t>High (explicit)</t>
        </is>
      </c>
      <c r="H985" s="11" t="inlineStr">
        <is>
          <t>Cross-border Transfer, International Processing, Data Storage, Security</t>
        </is>
      </c>
      <c r="I985" s="11" t="inlineStr">
        <is>
          <t>Special Personal Information</t>
        </is>
      </c>
      <c r="J985" t="inlineStr">
        <is>
          <t>Australian Federal Police (AFP)</t>
        </is>
      </c>
      <c r="K985" s="11" t="inlineStr">
        <is>
          <t>This section details the process for extending preventative detention orders, requiring that applications must be made in writing and specify the period for continued detention. It mandates that applicants notify the person of the proposed application and inform them that any material they provide will be shared with the issuing authority. The order must be in writing and the extension period cannot exceed 24 hours.</t>
        </is>
      </c>
      <c r="L985" s="11" t="inlineStr">
        <is>
          <t>This section governs the extension of preventative detention orders, requiring written applications and specific notifications to the person. It impacts data transfers involving individuals subject to such orders by limiting the duration of detention and requiring transparency in the application process.</t>
        </is>
      </c>
      <c r="M985" s="11" t="inlineStr">
        <is>
          <t>• [May] An AFP member may apply for an extension of the period for which the order is in force in relation to a person
• [Must] The extension must be made in writing
• [Must] The extension period must end no later than 24 hours after the person is first taken into custody under the order</t>
        </is>
      </c>
      <c r="N985" s="11" t="inlineStr">
        <is>
          <t>• [Must] An AFP member must notify the person of the proposed application for a continued preventative detention order
• [Must] An AFP member must inform the person that any material they provide will be put before the issuing authority</t>
        </is>
      </c>
      <c r="O985" s="11" t="inlineStr">
        <is>
          <t>Section 105.10(1): 'If: (a) the person is taken into custody under the order; (b) the order is in force in relation to the person; an AFP member may apply to an issuing authority for initial preventative detention orders for an extension, or a further extension, of the period for which the order is to be in force in relation to the person.'</t>
        </is>
      </c>
      <c r="P985" s="12" t="n">
        <v>17</v>
      </c>
    </row>
    <row r="986">
      <c r="A986" t="inlineStr">
        <is>
          <t>Australia</t>
        </is>
      </c>
      <c r="B986" t="inlineStr">
        <is>
          <t>C2026C00243VOL01 (Australia - Row 14)</t>
        </is>
      </c>
      <c r="C986" t="inlineStr">
        <is>
          <t>16 (part 44)</t>
        </is>
      </c>
      <c r="D986" s="11" t="inlineStr">
        <is>
          <t>Extension of continued preventative detention orders</t>
        </is>
      </c>
      <c r="E986" t="inlineStr">
        <is>
          <t>356–363</t>
        </is>
      </c>
      <c r="F986" t="inlineStr">
        <is>
          <t>Low</t>
        </is>
      </c>
      <c r="G986" t="inlineStr">
        <is>
          <t>High (explicit)</t>
        </is>
      </c>
      <c r="H986" s="11" t="inlineStr">
        <is>
          <t>Cross-border Transfer, International Processing, Data Storage, Security</t>
        </is>
      </c>
      <c r="I986" s="11" t="inlineStr">
        <is>
          <t>Personal Information</t>
        </is>
      </c>
      <c r="J986" t="inlineStr">
        <is>
          <t>Issuing authority</t>
        </is>
      </c>
      <c r="K986" s="11" t="inlineStr">
        <is>
          <t>An AFP member may apply to an issuing authority for an extension of a continued preventative detention order if the extension is reasonably necessary for the purpose of the original order. The application must include outcomes and particulars of previous extensions. The issuing authority may extend the order if it is satisfied the extension is reasonably necessary for the original purpose. The extension must end no later than 48 hours after the person is first taken into custody under the initial order.</t>
        </is>
      </c>
      <c r="L986" s="11" t="inlineStr">
        <is>
          <t>This section requires extensions of preventative detention orders to be time-bound (48 hours) and must be justified by the original purpose, impacting cross-border data transfers involving detained persons.</t>
        </is>
      </c>
      <c r="M986" s="11" t="inlineStr">
        <is>
          <t>• [May] An AFP member may apply to an issuing authority for continued preventative detention orders for an extension of the period for which the continued preventative detention order is in force
• [Must] The application must set out outcomes and particulars of all previous extensions</t>
        </is>
      </c>
      <c r="N986" s="11" t="inlineStr">
        <is>
          <t>• [May] The issuing authority may extend the period if satisfied the extension is reasonably necessary for the original purpose
• [Must] The extension must end no later than 48 hours after the person is first taken into custody under the initial order</t>
        </is>
      </c>
      <c r="O986" s="11" t="inlineStr">
        <is>
          <t>Section 105.14(1) - If: (a) a continued preventative detention order is in force in an AFP member may apply to an issuing authority for continued preventative detention orders for an extension, or a further extension, of the period for which the continued preventative detention order is to be in force in relation to the person.</t>
        </is>
      </c>
      <c r="P986" s="12" t="n">
        <v>17</v>
      </c>
    </row>
    <row r="987">
      <c r="A987" t="inlineStr">
        <is>
          <t>Australia</t>
        </is>
      </c>
      <c r="B987" t="inlineStr">
        <is>
          <t>C2026C00243VOL01 (Australia - Row 14)</t>
        </is>
      </c>
      <c r="C987" t="inlineStr">
        <is>
          <t>16 (part 45)</t>
        </is>
      </c>
      <c r="D987" s="11" t="inlineStr">
        <is>
          <t>Prohibited contact orders for detained persons</t>
        </is>
      </c>
      <c r="E987" t="inlineStr">
        <is>
          <t>363–369</t>
        </is>
      </c>
      <c r="F987" t="inlineStr">
        <is>
          <t>Low</t>
        </is>
      </c>
      <c r="G987" t="inlineStr">
        <is>
          <t>High (explicit)</t>
        </is>
      </c>
      <c r="H987" s="11" t="inlineStr">
        <is>
          <t>Cross-border Transfer, International Processing, Data Storage, Security</t>
        </is>
      </c>
      <c r="I987" s="11" t="inlineStr">
        <is>
          <t>Personal Information</t>
        </is>
      </c>
      <c r="J987" t="inlineStr">
        <is>
          <t>Issuing authority</t>
        </is>
      </c>
      <c r="K987" s="11" t="inlineStr">
        <is>
          <t>Prohibited contact orders restrict a detained person's contact with specified individuals to prevent terrorist acts, serious harm, evidence preservation, or interference with investigations. The order requires the applicant to demonstrate reasonable necessity for the order. The issuing authority may refuse the order unless the applicant provides additional information. The order must be in writing and may be made orally in urgent circumstances with specific recording requirements.</t>
        </is>
      </c>
      <c r="L987" s="11" t="inlineStr">
        <is>
          <t>Prohibited contact orders restrict communications with specific individuals to prevent terrorist activities, requiring justification and recording for data transfers involving detained persons.</t>
        </is>
      </c>
      <c r="M987" s="11" t="inlineStr">
        <is>
          <t>• [Must] An AFP member may apply for a prohibited contact order only if the order is reasonably necessary to avoid terrorist acts, prevent serious harm, preserve evidence, or prevent interference with investigations
• [May] The issuing authority may refuse the order unless the applicant provides additional information</t>
        </is>
      </c>
      <c r="N987" s="11" t="inlineStr">
        <is>
          <t>• [Must] The prohibited contact order must be in writing
• [Must] If applied for orally in urgent circumstances, the issuing authority must ensure audio or audio-visual recording</t>
        </is>
      </c>
      <c r="O987" s="11" t="inlineStr">
        <is>
          <t>Section 105.14A(4) - A person meets the requirements of this subsection if the person is satisfied that making the prohibited contact order is reasonably necessary: (a) to avoid a risk to action being taken to prevent a terrorist act occurring; or (b) to prevent serious harm to a person; or (c) to preserve evidence of, or relating to, a terrorist act; or (d) to prevent interference with the gathering of information about: (i) a terrorist act; or (ii) the preparation for, or the planning of, a terrorist act; or (e) to avoid a risk to: (i) the arrest of a person who is suspected of having committed an offence against this Part; or (ii) the taking into custody of a person in relation to whom a preventative detention order is in force, or in relation to whom a preventative detention order is likely to be made; or (iii) the service on a person of a control order or post-sentence order.</t>
        </is>
      </c>
      <c r="P987" s="12" t="n">
        <v>17</v>
      </c>
    </row>
    <row r="988">
      <c r="A988" t="inlineStr">
        <is>
          <t>Australia</t>
        </is>
      </c>
      <c r="B988" t="inlineStr">
        <is>
          <t>C2026C00243VOL01 (Australia - Row 14)</t>
        </is>
      </c>
      <c r="C988" t="inlineStr">
        <is>
          <t>16 (part 46)</t>
        </is>
      </c>
      <c r="D988" s="11" t="inlineStr">
        <is>
          <t>Police search and release during preventative detention</t>
        </is>
      </c>
      <c r="E988" t="inlineStr">
        <is>
          <t>369–375</t>
        </is>
      </c>
      <c r="F988" t="inlineStr">
        <is>
          <t>Low</t>
        </is>
      </c>
      <c r="G988" t="inlineStr">
        <is>
          <t>High (explicit)</t>
        </is>
      </c>
      <c r="H988" s="11" t="inlineStr">
        <is>
          <t>Cross-border Transfer, International Processing, Data Storage, Security</t>
        </is>
      </c>
      <c r="I988" s="11" t="inlineStr">
        <is>
          <t>Personal Information</t>
        </is>
      </c>
      <c r="J988" t="inlineStr">
        <is>
          <t>Australian Federal Police</t>
        </is>
      </c>
      <c r="K988" s="11" t="inlineStr">
        <is>
          <t>A police officer who takes a person into custody under a preventative detention order may conduct an ordinary search if they suspect the person is carrying evidence of a terrorist act or a seizable item. The officer must seize any such items found. If the person is being detained under a preventative order and a warrant under the Australian Security Intelligence Organisation Act 1979 is in force, the officer must ensure the person is dealt with per the warrant. The officer may release the person from detention to comply with the warrant, but this does not extend the preventative detention order's validity. Senior AFP members must approve releases for non-AFP officers.</t>
        </is>
      </c>
      <c r="L988" s="11" t="inlineStr">
        <is>
          <t>This section outlines conditions for police searches and releases during preventative detention, which may impact data transfer if the person's data is involved in security investigations. The requirement for warrants and approvals could affect cross-border data handling in security contexts.</t>
        </is>
      </c>
      <c r="M988" s="11" t="inlineStr">
        <is>
          <t>• [Must] Police officer may conduct ordinary search if suspects person carries evidence of terrorist act or seizable item
• [Must] Police officer must seize any items found during search
• [Must] Police officer must ensure person is dealt with per warrant under Australian Security Intelligence Organisation Act 1979</t>
        </is>
      </c>
      <c r="N988" s="11" t="inlineStr">
        <is>
          <t>• [May] Police officer may release person from detention to comply with warrant
• [Condition] Release does not extend preventative detention order's validity
• [Must] Non-AFP officers must get senior AFP approval to release person</t>
        </is>
      </c>
      <c r="O988" s="11" t="inlineStr">
        <is>
          <t>A police officer who takes a person into custody under a preventative detention order, or who is present when the person is taken into custody, may, if the police officer suspects on reasonable grounds that the person is carrying: (a) evidence of, or relating to, a terrorist act; or (b) a seizable item; conduct an ordinary search of the person at, or soon after, the time when the person is taken into custody, and seize any such thing found as a result of the search.</t>
        </is>
      </c>
      <c r="P988" s="12" t="n">
        <v>17</v>
      </c>
    </row>
    <row r="989">
      <c r="A989" t="inlineStr">
        <is>
          <t>Australia</t>
        </is>
      </c>
      <c r="B989" t="inlineStr">
        <is>
          <t>C2026C00243VOL01 (Australia - Row 14)</t>
        </is>
      </c>
      <c r="C989" t="inlineStr">
        <is>
          <t>16 (part 48)</t>
        </is>
      </c>
      <c r="D989" s="11" t="inlineStr">
        <is>
          <t>Detained person's rights to contact lawyer and ombudsman</t>
        </is>
      </c>
      <c r="E989" t="inlineStr">
        <is>
          <t>381–387</t>
        </is>
      </c>
      <c r="F989" t="inlineStr">
        <is>
          <t>Low</t>
        </is>
      </c>
      <c r="G989" t="inlineStr">
        <is>
          <t>High (explicit)</t>
        </is>
      </c>
      <c r="H989" s="11" t="inlineStr">
        <is>
          <t>Data Sharing, Third Party Processing, Security</t>
        </is>
      </c>
      <c r="I989" s="11" t="inlineStr">
        <is>
          <t>Personal Information</t>
        </is>
      </c>
      <c r="J989" t="inlineStr">
        <is>
          <t>Australian Federal Police</t>
        </is>
      </c>
      <c r="K989" s="11" t="inlineStr">
        <is>
          <t>A person detained under a preventative detention order has the right to contact the Commonwealth Ombudsman or a lawyer for specific purposes, including legal advice, court proceedings, complaints, and information under the Australian Federal Police Act 1979. The police officer must assist in choosing a lawyer if the person is unable to contact one due to prohibited contact orders or other barriers. Contact with lawyers must be monitored by police to ensure compliance with the order.</t>
        </is>
      </c>
      <c r="L989" s="11" t="inlineStr">
        <is>
          <t>This section defines the rights of detained persons to contact lawyers and ombudsmen, which could impact data transfer if the person's data is shared with international entities. The monitoring requirement may affect data handling across borders.</t>
        </is>
      </c>
      <c r="M989" s="11" t="inlineStr">
        <is>
          <t>• [Must] Detained person entitled to contact Commonwealth Ombudsman for complaints
• [Must] Detained person entitled to contact lawyer for legal advice on detention order
• [Must] Detained person entitled to contact lawyer for court proceedings related to detention</t>
        </is>
      </c>
      <c r="N989" s="11" t="inlineStr">
        <is>
          <t>• [Must] Police officer must assist in choosing lawyer if prohibited contact order applies
• [Must] Contact with lawyer must be monitored by police officer</t>
        </is>
      </c>
      <c r="O989" s="11" t="inlineStr">
        <is>
          <t>The person being detained is entitled to contact: (a) the Commonwealth Ombudsman in accordance with subsections 7(3) to (5) of the Ombudsman Act 1976; or (b) a person referred to in subsection 40SA(1) of the Australian Federal Police Act 1979 in accordance with section 40SB of that Act.</t>
        </is>
      </c>
      <c r="P989" s="12" t="n">
        <v>17</v>
      </c>
    </row>
    <row r="990">
      <c r="A990" t="inlineStr">
        <is>
          <t>Australia</t>
        </is>
      </c>
      <c r="B990" t="inlineStr">
        <is>
          <t>C2026C00243VOL01 (Australia - Row 14)</t>
        </is>
      </c>
      <c r="C990" t="inlineStr">
        <is>
          <t>16 (part 50)</t>
        </is>
      </c>
      <c r="D990" s="11" t="inlineStr">
        <is>
          <t>Prohibited disclosures during detainee contact with third parties</t>
        </is>
      </c>
      <c r="E990" t="inlineStr">
        <is>
          <t>393–400</t>
        </is>
      </c>
      <c r="F990" t="inlineStr">
        <is>
          <t>Low</t>
        </is>
      </c>
      <c r="G990" t="inlineStr">
        <is>
          <t>High (explicit)</t>
        </is>
      </c>
      <c r="H990" s="11" t="inlineStr">
        <is>
          <t>Data Sharing, Third Party Processing</t>
        </is>
      </c>
      <c r="I990" s="11" t="inlineStr">
        <is>
          <t>Personal Information</t>
        </is>
      </c>
      <c r="J990" t="inlineStr">
        <is>
          <t>Australian Federal Police</t>
        </is>
      </c>
      <c r="K990" s="11" t="inlineStr">
        <is>
          <t>This section prohibits specific disclosures by persons interacting with detained individuals under preventative detention orders. It defines offences for disclosing detainee's identity, detention status, detention period, or communications during contact with lawyers, parents/guardians, or interpreters. Disclosures must not occur without specific authorizations related to legal proceedings, ombudsman complaints, or AFP internal processes. The offences apply to the person making the disclosure and require the disclosure to occur while the detainee is being detained.</t>
        </is>
      </c>
      <c r="L990" s="11" t="inlineStr">
        <is>
          <t>Restricts data sharing during detainee contact with third parties by prohibiting disclosures of detainee's identity, detention status, or communications without specific authorizations related to legal proceedings or ombudsman complaints. Requires police to verify disclosures are for legitimate purposes before allowing sharing.</t>
        </is>
      </c>
      <c r="M990" s="11" t="inlineStr">
        <is>
          <t>• [Must] Police officer must arrange for interpreter services if reasonably practicable during detention
• [Must] Police officer must arrange for interpreter services as soon as practicable if reasonably practicable
• [Must Not] Person commits offence if disclosing detainee's identity, detention status, or detention period</t>
        </is>
      </c>
      <c r="N990" s="11" t="inlineStr">
        <is>
          <t>• [Must Not] Person commits offence if disclosing detainee's communications during contact
• [Must Not] Disclosure must not occur while detainee is being detained
• [Must Not] Disclosure must not be made for purposes not authorized under specific conditions</t>
        </is>
      </c>
      <c r="O990" s="11" t="inlineStr">
        <is>
          <t>Section 105.41(1) - A person commits an offence if: (a) the subject is being detained under a preventative detention order; (b) the subject discloses to another person: (i) the fact that the subject is being detained; (ii) the period for which the subject is being detained; (c) the disclosure occurs while the subject is being detained; (d) the disclosure is not one that the subject is entitled to make under section 105.36, 105.37 or 105.39.</t>
        </is>
      </c>
      <c r="P990" s="12" t="n">
        <v>17</v>
      </c>
    </row>
    <row r="991">
      <c r="A991" t="inlineStr">
        <is>
          <t>Australia</t>
        </is>
      </c>
      <c r="B991" t="inlineStr">
        <is>
          <t>C2026C00243VOL01 (Australia - Row 14)</t>
        </is>
      </c>
      <c r="C991" t="inlineStr">
        <is>
          <t>16 (part 51)</t>
        </is>
      </c>
      <c r="D991" s="11" t="inlineStr">
        <is>
          <t>Post-sentence orders for terrorist offenders</t>
        </is>
      </c>
      <c r="E991" t="inlineStr">
        <is>
          <t>400–407</t>
        </is>
      </c>
      <c r="F991" t="inlineStr">
        <is>
          <t>Low</t>
        </is>
      </c>
      <c r="G991" t="inlineStr">
        <is>
          <t>High (explicit)</t>
        </is>
      </c>
      <c r="H991" s="11" t="inlineStr"/>
      <c r="I991" s="11" t="inlineStr">
        <is>
          <t>Special Personal Information</t>
        </is>
      </c>
      <c r="J991" t="inlineStr">
        <is>
          <t>Supreme Court of a State or Territory</t>
        </is>
      </c>
      <c r="K991" s="11" t="inlineStr">
        <is>
          <t>This section establishes conditions under which post-sentence orders, including continuing detention orders and extended supervision orders, may be imposed on terrorist offenders. The orders apply to individuals convicted of serious offences, including international terrorist activities, serious Part 5.3 or 5.3A offences, or foreign incursions. The orders require specific preconditions, such as continuous detention in custody since conviction or the presence of a continuing detention order. The orders must be made by a court after satisfying certain conditions.</t>
        </is>
      </c>
      <c r="L991" s="11" t="inlineStr">
        <is>
          <t>This section defines the legal framework for post-sentence orders that may affect data handling for terrorist offenders in custody, including requirements for prison accommodation and treatment. It has implications for data storage and processing of sensitive information related to high-risk individuals.</t>
        </is>
      </c>
      <c r="M991" s="11" t="inlineStr">
        <is>
          <t>• [Must] A post-sentence order may be made under section 105A.7 or 105A.7A in relation to a person if the person has been convicted of a serious Part 5.3 or 5.3A offence
• [Must] A post-sentence order may be made in relation to a person if the person is detained in custody in a prison serving a sentence of imprisonment for an offence referred to in paragraph 105A.3(1)(a)
• [Must] A post-sentence order may be made in relation to a person if a continuing detention order or interim detention order is in force in relation to the person
• [Must] A post-sentence order may be made in relation to a person if the person has been continuously detained in custody in a prison since being convicted of the offence referred to in paragraph 105A.3(1)(a)</t>
        </is>
      </c>
      <c r="N991" s="11" t="inlineStr">
        <is>
          <t>• [Must] A post-sentence order may be made in relation to a person if the person served a sentence of imprisonment for an offence referred to in paragraph 105A.3(1)(a) and the AFP Minister's consent to a request for an interim control order was sought under section 104.2
• [Must] A continuing detention order commits the person to detention in a prison for the period the order is in force
• [Must] An extended supervision order imposes conditions contravention of which is an offence</t>
        </is>
      </c>
      <c r="O991" s="11" t="inlineStr">
        <is>
          <t>Section 105A.3(1) states: A post-sentence order may be made under section 105A.7 or 105A.7A in relation to a person if the person has been convicted of: (i) an offence against Subdivision A of Division 72 (international terrorist activities using explosive or lethal devices); or (ii) a serious Part 5.3 or 5.3A offence; or (iii) an offence against Part 5.5 (foreign incursions and recruitment)</t>
        </is>
      </c>
      <c r="P991" s="12" t="n">
        <v>17</v>
      </c>
    </row>
    <row r="992">
      <c r="A992" t="inlineStr">
        <is>
          <t>Australia</t>
        </is>
      </c>
      <c r="B992" t="inlineStr">
        <is>
          <t>C2026C00243VOL01 (Australia - Row 14)</t>
        </is>
      </c>
      <c r="C992" t="inlineStr">
        <is>
          <t>16 (part 53)</t>
        </is>
      </c>
      <c r="D992" s="11" t="inlineStr">
        <is>
          <t>Terrorist offender post-sentence order assessment requirements</t>
        </is>
      </c>
      <c r="E992" t="inlineStr">
        <is>
          <t>413–419</t>
        </is>
      </c>
      <c r="F992" t="inlineStr">
        <is>
          <t>Low</t>
        </is>
      </c>
      <c r="G992" t="inlineStr">
        <is>
          <t>High (explicit)</t>
        </is>
      </c>
      <c r="H992" s="11" t="inlineStr"/>
      <c r="I992" s="11" t="inlineStr">
        <is>
          <t>Special Personal Information</t>
        </is>
      </c>
      <c r="J992" t="inlineStr">
        <is>
          <t>Supreme Court of a State or Territory</t>
        </is>
      </c>
      <c r="K992" s="11" t="inlineStr">
        <is>
          <t>This section requires courts to conduct assessments for terrorist offenders applying for post-sentence orders. The assessment must include risk evaluations, offender behavior patterns, rehabilitation efforts, and compliance history. Courts must consider expert reports, rehabilitation participation, prior convictions, and sentencing court views when determining whether to impose continuing detention or extended supervision orders. The assessment process ensures ongoing monitoring of high-risk individuals through specific conditions.</t>
        </is>
      </c>
      <c r="L992" s="11" t="inlineStr">
        <is>
          <t>This section establishes detailed requirements for assessing terrorist offenders before imposing post-sentence orders, including risk evaluations and behavioral monitoring. These conditions directly impact data transfer considerations for law enforcement agencies handling sensitive offender information across jurisdictions.</t>
        </is>
      </c>
      <c r="M992" s="11" t="inlineStr">
        <is>
          <t>• [Must] The Court must hold a preliminary hearing within 28 days after application to determine if relevant experts should be appointed
• [Must] The relevant expert must assess the risk of the offender committing serious Part 5.3 or 5.3A offences
• [Must] The expert must provide a report to the Court, AFP Minister, and offender
• [Must] The offender must attend the assessment
• [Must Not] The assessment may not be admissible in criminal proceedings except for sentencing related to Division 104 offences</t>
        </is>
      </c>
      <c r="N992" s="11" t="inlineStr">
        <is>
          <t>• [Must Not] The assessment may not be admissible in civil proceedings except for Division 104 matters
• [Must] The Court must consider expert reports and offender participation in assessments
• [Must] The Court must consider the offender's history of prior convictions
• [Must] The Court must consider the sentencing court's views at the time of sentencing</t>
        </is>
      </c>
      <c r="O992" s="11" t="inlineStr">
        <is>
          <t>The Court must hold a preliminary hearing to determine whether to appoint one or more relevant experts. The hearing must be held within 28 days after a copy of the application is given to the offender.</t>
        </is>
      </c>
      <c r="P992" s="12" t="n">
        <v>17</v>
      </c>
    </row>
    <row r="993">
      <c r="A993" t="inlineStr">
        <is>
          <t>Australia</t>
        </is>
      </c>
      <c r="B993" t="inlineStr">
        <is>
          <t>C2026C00243VOL01 (Australia - Row 14)</t>
        </is>
      </c>
      <c r="C993" t="inlineStr">
        <is>
          <t>16 (part 56)</t>
        </is>
      </c>
      <c r="D993" s="11" t="inlineStr">
        <is>
          <t>Removal of monitoring devices by authorized personnel</t>
        </is>
      </c>
      <c r="E993" t="inlineStr">
        <is>
          <t>431–438</t>
        </is>
      </c>
      <c r="F993" t="inlineStr">
        <is>
          <t>Low</t>
        </is>
      </c>
      <c r="G993" t="inlineStr">
        <is>
          <t>High (explicit)</t>
        </is>
      </c>
      <c r="H993" s="11" t="inlineStr"/>
      <c r="I993" s="11" t="inlineStr">
        <is>
          <t>Special Personal Information</t>
        </is>
      </c>
      <c r="J993" t="inlineStr">
        <is>
          <t>Police</t>
        </is>
      </c>
      <c r="K993" s="11" t="inlineStr">
        <is>
          <t>This section permits specified authorities, police officers, or corrective services officers to remove monitoring devices and related equipment from terrorist offenders under certain conditions. Removal may occur without prior authorization if the order ceases to be in force, the offender is detained in custody, or specific conditions are met. The offender must be informed of the action, its timing, and the possibility of consent before removal.</t>
        </is>
      </c>
      <c r="L993" s="11" t="inlineStr">
        <is>
          <t>This section outlines conditions under which monitoring devices can be removed without authorization, relevant to data transfer impact assessments involving surveillance equipment across borders.</t>
        </is>
      </c>
      <c r="M993" s="11" t="inlineStr">
        <is>
          <t>• [Must] One or more specified authorities, police officers, or corrective services officers may remove the monitoring device
• [Must] One or more police officers may remove any related monitoring equipment
• [Condition] Removal may occur without authorization if the order ceases to be in force</t>
        </is>
      </c>
      <c r="N993" s="11" t="inlineStr">
        <is>
          <t>• [Condition] Removal may occur without authorization if the offender is detained in custody
• [Must] Before removal, the offender must be informed of the action, timing, and possibility of consent
• [May] If consent is not given, reasonable force may be used to take the action</t>
        </is>
      </c>
      <c r="O993" s="11" t="inlineStr">
        <is>
          <t>Section 105A.7E (d) one or more specified authorities, police officers or corrective services officers to remove the monitoring device; and (e) one or more police officers to remove any related monitoring equipment.</t>
        </is>
      </c>
      <c r="P993" s="12" t="n">
        <v>17</v>
      </c>
    </row>
    <row r="994">
      <c r="A994" t="inlineStr">
        <is>
          <t>Australia</t>
        </is>
      </c>
      <c r="B994" t="inlineStr">
        <is>
          <t>C2026C00243VOL01 (Australia - Row 14)</t>
        </is>
      </c>
      <c r="C994" t="inlineStr">
        <is>
          <t>16 (part 57)</t>
        </is>
      </c>
      <c r="D994" s="11" t="inlineStr">
        <is>
          <t>Variation of supervision orders by application</t>
        </is>
      </c>
      <c r="E994" t="inlineStr">
        <is>
          <t>438–444</t>
        </is>
      </c>
      <c r="F994" t="inlineStr">
        <is>
          <t>Low</t>
        </is>
      </c>
      <c r="G994" t="inlineStr">
        <is>
          <t>High (explicit)</t>
        </is>
      </c>
      <c r="H994" s="11" t="inlineStr"/>
      <c r="I994" s="11" t="inlineStr">
        <is>
          <t>Special Personal Information</t>
        </is>
      </c>
      <c r="J994" t="inlineStr">
        <is>
          <t>Supreme Court</t>
        </is>
      </c>
      <c r="K994" s="11" t="inlineStr">
        <is>
          <t>This section requires applications for variations of extended or interim supervision orders to be made to the Supreme Court. Applications must include specific documentation, such as copies of conditions, explanations for changes, and previous application records. The Court may vary the order if it is satisfied that the changes are necessary for community protection.</t>
        </is>
      </c>
      <c r="L994" s="11" t="inlineStr">
        <is>
          <t>This section details the process for varying supervision orders, relevant to data transfer impact assessments involving third-party data handling and monitoring.</t>
        </is>
      </c>
      <c r="M994" s="11" t="inlineStr">
        <is>
          <t>• [Must] The AFP Minister or legal representative must apply to vary conditions if they are no longer reasonably necessary
• [May] The terrorist offender or legal representative may apply to vary conditions
• [Must] Applications must be made to the Supreme Court where the offender resides</t>
        </is>
      </c>
      <c r="N994" s="11" t="inlineStr">
        <is>
          <t>• [Must] Applications must include copies of conditions and explanations for changes
• [Must] The Court may vary the order if it is satisfied that conditions are reasonably necessary for community protection</t>
        </is>
      </c>
      <c r="O994" s="11" t="inlineStr">
        <is>
          <t>Section 105A.9B (1A) If the AFP Minister is satisfied that a condition in an extended terrorist offender is no longer reasonably necessary, or reasonably appropriate and adapted, for the purpose of protecting the community from the unacceptable risk of the offender committing a serious Part 5.3 or 5.3A offence, the Minister or a legal representative of the Minister must apply to a Supreme Court of a State or Territory to vary, under section 105A.9C, the order by: (a) removing the condition; or (b) varying the condition.</t>
        </is>
      </c>
      <c r="P994" s="12" t="n">
        <v>17</v>
      </c>
    </row>
    <row r="995">
      <c r="A995" t="inlineStr">
        <is>
          <t>Australia</t>
        </is>
      </c>
      <c r="B995" t="inlineStr">
        <is>
          <t>C2026C00243VOL01 (Australia - Row 14)</t>
        </is>
      </c>
      <c r="C995" t="inlineStr">
        <is>
          <t>16 (part 58)</t>
        </is>
      </c>
      <c r="D995" s="11" t="inlineStr">
        <is>
          <t>Review process for terrorist offender post-sentence orders</t>
        </is>
      </c>
      <c r="E995" t="inlineStr">
        <is>
          <t>444–450</t>
        </is>
      </c>
      <c r="F995" t="inlineStr">
        <is>
          <t>Low</t>
        </is>
      </c>
      <c r="G995" t="inlineStr">
        <is>
          <t>High (explicit)</t>
        </is>
      </c>
      <c r="H995" s="11" t="inlineStr"/>
      <c r="I995" s="11" t="inlineStr">
        <is>
          <t>Special Personal Information</t>
        </is>
      </c>
      <c r="J995" t="inlineStr">
        <is>
          <t>Supreme Court of a State or Territory</t>
        </is>
      </c>
      <c r="K995" s="11" t="inlineStr">
        <is>
          <t>This section outlines the procedure for reviewing post-sentence orders of terrorist offenders. The Court must determine if the order should be affirmed, revoked, or varied based on whether the order was reasonably necessary to prevent serious offences. The review involves specific parties, relevant experts, and requires the AFP Minister to provide evidence supporting the order's validity. The Court may also impose extended supervision orders if the original order is revoked.</t>
        </is>
      </c>
      <c r="L995" s="11" t="inlineStr">
        <is>
          <t>This section establishes a review mechanism for post-sentence orders of terrorist offenders, requiring courts to assess whether the order remains necessary for community protection. It impacts DTIAs by mandating specific review procedures and conditions for order validity.</t>
        </is>
      </c>
      <c r="M995" s="11" t="inlineStr">
        <is>
          <t>• [Must] The Court may affirm the order if it could have made the order under section 105A.7 for continuing detention orders
• [Must] The Court may affirm the order if it could have made the order under section 105A.7A for extended supervision orders
• [Must] The Court must consider making an extended supervision order if it does not affirm the continuing detention order
• [Must] The AFP Minister must ensure reasonable inquiries are made to ascertain facts supporting the order's invalidity</t>
        </is>
      </c>
      <c r="N995" s="11" t="inlineStr">
        <is>
          <t>• [Must] The AFP Minister bears the onus of satisfying the Court of matters referred to in section 105A.7 or 105A.7A
• [Must] The Court must vary the period specified in a post-sentence order if it is not reasonably necessary to prevent serious offences
• [Must] The Court must vary or remove conditions if they are not reasonably necessary for community protection</t>
        </is>
      </c>
      <c r="O995" s="11" t="inlineStr">
        <is>
          <t>The Court may affirm the order (including affirm the order with variations made under section 105A.12A) if, after having regard to the matters in section 105A.6B, the Court is satisfied that the Court: (a) for a continuing detention order—could have made the order under section 105A.7; or (b) for an extended supervision order—could have made the order under section 105A.7A, or could have made the order disregarding paragraph 105A.7A(1)(c).</t>
        </is>
      </c>
      <c r="P995" s="12" t="n">
        <v>17</v>
      </c>
    </row>
    <row r="996">
      <c r="A996" t="inlineStr">
        <is>
          <t>Australia</t>
        </is>
      </c>
      <c r="B996" t="inlineStr">
        <is>
          <t>C2026C00243VOL01 (Australia - Row 14)</t>
        </is>
      </c>
      <c r="C996" t="inlineStr">
        <is>
          <t>16 (part 60)</t>
        </is>
      </c>
      <c r="D996" s="11" t="inlineStr">
        <is>
          <t>Police detention powers for terrorist offenders under supervision orders</t>
        </is>
      </c>
      <c r="E996" t="inlineStr">
        <is>
          <t>456–463</t>
        </is>
      </c>
      <c r="F996" t="inlineStr">
        <is>
          <t>Low</t>
        </is>
      </c>
      <c r="G996" t="inlineStr">
        <is>
          <t>High (explicit)</t>
        </is>
      </c>
      <c r="H996" s="11" t="inlineStr"/>
      <c r="I996" s="11" t="inlineStr">
        <is>
          <t>Personal Information</t>
        </is>
      </c>
      <c r="J996" t="inlineStr">
        <is>
          <t>Police</t>
        </is>
      </c>
      <c r="K996" s="11" t="inlineStr">
        <is>
          <t>This section grants police officers authority to detain terrorist offenders in non-prison custody to enforce continuing or interim detention orders. It specifies that such detention carries the same powers and obligations as arrest for an offence, with the definition of 'offence' depending on whether the officer is an AFP member or a member of another police force. The section also states that persons detained in non-prison custody are considered to be in the community for the purposes of this Part.</t>
        </is>
      </c>
      <c r="L996" s="11" t="inlineStr">
        <is>
          <t>This section establishes conditions under which police can detain terrorist offenders outside prisons, relevant to data transfers involving individuals subject to supervision orders.</t>
        </is>
      </c>
      <c r="M996" s="11" t="inlineStr">
        <is>
          <t>• [Must] Any police officer may take the offender into custody for the purpose of giving effect to the order
• [Must] Any police officer may detain the offender for the purpose of giving effect to the order</t>
        </is>
      </c>
      <c r="N996" s="11" t="inlineStr">
        <is>
          <t>• [Must] A police officer taking or detaining an offender under this subsection has the same powers and obligations as if arresting or detaining for an offence
• [Must] A person detained in non-prison custody is taken to be in the community for the purposes of this Part</t>
        </is>
      </c>
      <c r="O996" s="11" t="inlineStr">
        <is>
          <t>Section 105A.18AA (3) If a continuing detention order or interim detention order is in force in relation to the offender at any time after the offender is released as mentioned in paragraph (1)(b): (a) any police officer may take the offender into custody; and (b) any police officer may detain the offender; for the purpose of giving effect to the order.</t>
        </is>
      </c>
      <c r="P996" s="12" t="n">
        <v>17</v>
      </c>
    </row>
    <row r="997">
      <c r="A997" t="inlineStr">
        <is>
          <t>Australia</t>
        </is>
      </c>
      <c r="B997" t="inlineStr">
        <is>
          <t>C2026C00243VOL01 (Australia - Row 14)</t>
        </is>
      </c>
      <c r="C997" t="inlineStr">
        <is>
          <t>16 (part 61)</t>
        </is>
      </c>
      <c r="D997" s="11" t="inlineStr">
        <is>
          <t>Transitional provisions for regulations</t>
        </is>
      </c>
      <c r="E997" t="inlineStr">
        <is>
          <t>463–470</t>
        </is>
      </c>
      <c r="F997" t="inlineStr">
        <is>
          <t>Low</t>
        </is>
      </c>
      <c r="G997" t="inlineStr">
        <is>
          <t>High (explicit)</t>
        </is>
      </c>
      <c r="H997" s="11" t="inlineStr"/>
      <c r="I997" s="11" t="inlineStr">
        <is>
          <t>Personal Information</t>
        </is>
      </c>
      <c r="J997" t="inlineStr"/>
      <c r="K997" s="11" t="inlineStr">
        <is>
          <t>This section provides transitional provisions for regulations originally made for the purposes of paragraph (c) of the definition of terrorist organisation. It states that such regulations continue to have effect after commencement as if they had been made for paragraph (b) of the definition of terrorist organisation.</t>
        </is>
      </c>
      <c r="L997" s="11" t="inlineStr">
        <is>
          <t>This section outlines transitional provisions for regulations related to terrorist organisations, relevant to data transfers involving individuals subject to supervision orders.</t>
        </is>
      </c>
      <c r="M997" s="11" t="inlineStr">
        <is>
          <t>• [Must] Regulations made before commencement for the purposes of paragraph (c) of the definition of terrorist organisation continue to have effect after commencement as if made for paragraph (b) of the definition of terrorist organisation</t>
        </is>
      </c>
      <c r="N997" s="11" t="inlineStr"/>
      <c r="O997" s="11" t="inlineStr">
        <is>
          <t>Section 106.1 (1) If regulations were made before commencement for the purposes of paragraph (c) of the definition of terrorist organisation in subsection 102.1(1), as in force before commencement; and the regulations were in force immediately before commencement; the regulations have effect, after commencement, as if they had been made for the purposes of paragraph (b) of the definition of terrorist organisation in subsection 102.1(1), as in force after commencement.</t>
        </is>
      </c>
      <c r="P997" s="12" t="n">
        <v>17</v>
      </c>
    </row>
    <row r="998">
      <c r="A998" t="inlineStr">
        <is>
          <t>Australia</t>
        </is>
      </c>
      <c r="B998" t="inlineStr">
        <is>
          <t>C2026C00243VOL01 (Australia - Row 14)</t>
        </is>
      </c>
      <c r="C998" t="inlineStr">
        <is>
          <t>16 (part 62)</t>
        </is>
      </c>
      <c r="D998" s="11" t="inlineStr">
        <is>
          <t>Application of amended counter-terrorism provisions to control orders</t>
        </is>
      </c>
      <c r="E998" t="inlineStr">
        <is>
          <t>470–475</t>
        </is>
      </c>
      <c r="F998" t="inlineStr">
        <is>
          <t>Medium</t>
        </is>
      </c>
      <c r="G998" t="inlineStr">
        <is>
          <t>High (explicit)</t>
        </is>
      </c>
      <c r="H998" s="11" t="inlineStr">
        <is>
          <t>Cross-border Transfer, International Processing, Data Storage, Security</t>
        </is>
      </c>
      <c r="I998" s="11" t="inlineStr">
        <is>
          <t>Special Personal Information</t>
        </is>
      </c>
      <c r="J998" t="inlineStr">
        <is>
          <t>Australian Government</t>
        </is>
      </c>
      <c r="K998" s="11" t="inlineStr">
        <is>
          <t>This section specifies that certain amendments to counter-terrorism legislation do not affect existing regulations for the period before the amendment. It outlines when amended sections apply to interim control orders, preventative detention orders, and variations of control orders made after the commencement of the section, regardless of when the underlying conduct occurred. The provisions ensure continuity of orders and applications made before the amendment takes effect.</t>
        </is>
      </c>
      <c r="L998" s="11" t="inlineStr">
        <is>
          <t>This section ensures that amended counter-terrorism provisions apply to orders made after the commencement date, maintaining continuity for control orders and preventative detention orders regardless of when the underlying conduct occurred. This affects data transfer assessments involving terrorism-related data.</t>
        </is>
      </c>
      <c r="M998" s="11" t="inlineStr">
        <is>
          <t>• [Must] Amendments to section 102.1 do not affect continuity of regulations in force before commencement
• [Must] Section 104.2 applies to interim control orders made after commencement where conduct occurs before or after commencement
• [Must] Section 104.4 applies to orders made after commencement where conduct occurs before or after commencement
• [Must] Sections 104.6 and 104.8 apply to requests made after commencement where conduct occurs before or after commencement
• [Must] Section 104.23 applies to variations of control orders where interim control order is requested after commencement
• [Must] Section 105.4 applies to applications for preventative detention orders made after commencement</t>
        </is>
      </c>
      <c r="N998" s="11" t="inlineStr">
        <is>
          <t>• [Must] Section 105.7 applies to initial preventative detention orders made after commencement
• [Must] Section 105.8 applies to initial preventative detention orders made after commencement
• [Must] Section 105.12 applies to continued preventative detention orders made after commencement regardless of initial order timing
• [Must] Section 105.15 applies to prohibited contact orders made after commencement regardless of preventative detention order timing
• [Must] Section 105.16 applies to prohibited contact orders made after commencement regardless of preventative detention order timing</t>
        </is>
      </c>
      <c r="O998" s="11" t="inlineStr">
        <is>
          <t>Section 106.5(1) The amendments of section 102.1, made by Schedule 1 to the Counter-Terrorism Legislation Amendment (Foreign Fighters) Act 2014, do not affect the continuity of any regulations that are in force for the purposes of that section immediately before the</t>
        </is>
      </c>
      <c r="P998" s="12" t="n">
        <v>17</v>
      </c>
    </row>
    <row r="999">
      <c r="A999" t="inlineStr">
        <is>
          <t>Australia</t>
        </is>
      </c>
      <c r="B999" t="inlineStr">
        <is>
          <t>C2026C00243VOL01 (Australia - Row 14)</t>
        </is>
      </c>
      <c r="C999" t="inlineStr">
        <is>
          <t>16 (part 64)</t>
        </is>
      </c>
      <c r="D999" s="11" t="inlineStr">
        <is>
          <t>Definitions for state sponsors of terrorism</t>
        </is>
      </c>
      <c r="E999" t="inlineStr">
        <is>
          <t>481–490</t>
        </is>
      </c>
      <c r="F999" t="inlineStr">
        <is>
          <t>Low</t>
        </is>
      </c>
      <c r="G999" t="inlineStr">
        <is>
          <t>High (explicit)</t>
        </is>
      </c>
      <c r="H999" s="11" t="inlineStr">
        <is>
          <t>Cross-border Transfer, International Processing, Data Storage, Security</t>
        </is>
      </c>
      <c r="I999" s="11" t="inlineStr">
        <is>
          <t>Special Personal Information</t>
        </is>
      </c>
      <c r="J999" t="inlineStr"/>
      <c r="K999" s="11" t="inlineStr">
        <is>
          <t>This section defines key terms used in the state sponsors of terrorism framework, including Australian permanent resident, foreign state entity, funds, members of an entity, and state sponsor of terrorism. It specifies that state sponsor of terrorism refers to entities specified by regulations, and provides criteria for entities to be considered as having advocated terrorist acts targeted at Australia.</t>
        </is>
      </c>
      <c r="L999" s="11" t="inlineStr">
        <is>
          <t>These definitions establish the legal framework for identifying state sponsors of terrorism, which is critical for data transfer assessments involving terrorism-related data flows and cross-border data processing.</t>
        </is>
      </c>
      <c r="M999" s="11" t="inlineStr">
        <is>
          <t>• [Must] Australian permanent resident means a person who is a permanent resident within the meaning of the Australian Citizenship Act 2007
• [Must] Foreign state entity means any of the following entities: a country, an authority of the government of a foreign country, a government body, or an entity prescribed by regulations
• [Must] Funds means credit</t>
        </is>
      </c>
      <c r="N999" s="11" t="inlineStr">
        <is>
          <t>• [Must] Member of an entity includes employees, contractors, individuals holding positions under foreign law, individuals in service, and authorized intermediaries
• [Must] State sponsor of terrorism means an entity specified by regulations for the purposes of this definition</t>
        </is>
      </c>
      <c r="O999" s="11" t="inlineStr">
        <is>
          <t>Section 110.1 Australian permanent resident means a person who is a permanent resident within the meaning of the Australian Citizenship Act 2007.</t>
        </is>
      </c>
      <c r="P999" s="12" t="n">
        <v>17</v>
      </c>
    </row>
    <row r="1000">
      <c r="A1000" t="inlineStr">
        <is>
          <t>Australia</t>
        </is>
      </c>
      <c r="B1000" t="inlineStr">
        <is>
          <t>C2026C00243VOL01 (Australia - Row 14)</t>
        </is>
      </c>
      <c r="C1000" t="inlineStr">
        <is>
          <t>16 (part 66)</t>
        </is>
      </c>
      <c r="D1000" s="11" t="inlineStr">
        <is>
          <t>State sponsor of terrorism activities and offences</t>
        </is>
      </c>
      <c r="E1000" t="inlineStr">
        <is>
          <t>501–515</t>
        </is>
      </c>
      <c r="F1000" t="inlineStr">
        <is>
          <t>High</t>
        </is>
      </c>
      <c r="G1000" t="inlineStr">
        <is>
          <t>High (explicit)</t>
        </is>
      </c>
      <c r="H1000" s="11" t="inlineStr">
        <is>
          <t>Cross-border Transfer, International Processing, Data Storage, Security, Incident Reporting, Breach Notification, Governance, Record Keeping</t>
        </is>
      </c>
      <c r="I1000" s="11" t="inlineStr">
        <is>
          <t>Special Personal Information</t>
        </is>
      </c>
      <c r="J1000" t="inlineStr">
        <is>
          <t>Australian Government</t>
        </is>
      </c>
      <c r="K1000" s="11" t="inlineStr">
        <is>
          <t>This section defines offences related to state sponsors of terrorism, including providing training, possessing items, and collecting documents that facilitate terrorist acts. It specifies that a person commits an offence if they engage in activities that prepare for or plan terrorist acts, or assist in terrorist acts. The offences apply to both individuals and entities, with specific exceptions for lawful activities and certain defences.</t>
        </is>
      </c>
      <c r="L1000" s="11" t="inlineStr">
        <is>
          <t>This section establishes conditions for when data transfers involving state sponsors of terrorism could be prohibited, requiring assessments of whether activities constitute facilitation of terrorist acts. It impacts DTIAs by introducing restrictions on cross-border data flows related to terrorism.</t>
        </is>
      </c>
      <c r="M1000" s="11" t="inlineStr">
        <is>
          <t>• [Must] A person commits an offence if they engage in activities that prepare for or plan terrorist acts
• [Must] A person commits an offence if they assist in terrorist acts
• [Must] A person commits an offence if they possess items connected with terrorist acts
• [Must] A person commits an offence if they collect documents likely to facilitate terrorist acts
• [Must] A person commits an offence if they provide or receive training connected with terrorist acts
• [Must] A person commits an offence if they engage in activities that prepare for or plan state terrorist acts
• [Must] A person commits an offence if they engage in activities that prepare for or plan specific state terrorist acts
• [Must] A person commits an offence if they engage in activities that prepare for or plan more than one state terrorist act</t>
        </is>
      </c>
      <c r="N1000" s="11" t="inlineStr">
        <is>
          <t>• [Must] A person commits an offence if they direct the activities of a state sponsor of terrorism
• [Must] A person commits an offence if they are a member of a foreign state entity that is a state sponsor of terrorism
• [Must] A person commits an offence if they provide support to a state sponsor of terrorism
• [Must] A person commits an offence if they associate with a state sponsor of terrorism
• [Must] A person commits an offence if they are reckless as to whether funds will be used for state terrorist acts
• [Must] A person commits an offence if they provide funds to a state sponsor of terrorism
• [Must] A person commits an offence if they collect funds for a state sponsor of terrorism</t>
        </is>
      </c>
      <c r="O1000" s="11" t="inlineStr">
        <is>
          <t>Section 111.6: Other acts done in preparation for, or planning, state terrorist acts</t>
        </is>
      </c>
      <c r="P1000" s="12" t="n">
        <v>17</v>
      </c>
    </row>
    <row r="1001">
      <c r="A1001" t="inlineStr">
        <is>
          <t>Australia</t>
        </is>
      </c>
      <c r="B1001" t="inlineStr">
        <is>
          <t>C2026C00243VOL01 (Australia - Row 14)</t>
        </is>
      </c>
      <c r="C1001" t="inlineStr">
        <is>
          <t>16 (part 68)</t>
        </is>
      </c>
      <c r="D1001" s="11" t="inlineStr">
        <is>
          <t>Definition of prohibited hate groups and related terms</t>
        </is>
      </c>
      <c r="E1001" t="inlineStr">
        <is>
          <t>523–529</t>
        </is>
      </c>
      <c r="F1001" t="inlineStr">
        <is>
          <t>Low</t>
        </is>
      </c>
      <c r="G1001" t="inlineStr">
        <is>
          <t>High (explicit)</t>
        </is>
      </c>
      <c r="H1001" s="11" t="inlineStr">
        <is>
          <t>Cross-border Transfer, International Processing, Data Storage, Security</t>
        </is>
      </c>
      <c r="I1001" s="11" t="inlineStr">
        <is>
          <t>Special Personal Information</t>
        </is>
      </c>
      <c r="J1001" t="inlineStr">
        <is>
          <t>Australian Federal Police (AFP) Minister</t>
        </is>
      </c>
      <c r="K1001" s="11" t="inlineStr">
        <is>
          <t>This section defines key terms including 'hate crime', 'prohibited hate group', and 'organisations'. It specifies that a hate crime involves conduct constituting offences under certain laws related to race or national/ethnic origin. A prohibited hate group is an organisation specified by regulations that engages in or advocates hate crimes. The definitions include conditions for when conduct constitutes a hate crime and the legal basis for specifying organisations as prohibited hate groups.</t>
        </is>
      </c>
      <c r="L1001" s="11" t="inlineStr">
        <is>
          <t>Defines terms critical for identifying prohibited hate groups, which may impact cross-border data transfers involving organisations engaged in hate-related activities.</t>
        </is>
      </c>
      <c r="M1001" s="11" t="inlineStr">
        <is>
          <t>• [Must] A hate crime is conduct that would constitute an offence under Subdivision C of Division 80 (urging or threatening violence and offences against groups or members of groups) to the extent the targeted group is distinguished by race or national or ethnic origin
• [Must] A hate crime is conduct that involves publicly inciting hatred because of race or national or ethnic origin and would cause a reasonable person to fear intimidation or violence
• [Must] A prohibited hate group is an organisation specified by regulations for the purposes of this definition</t>
        </is>
      </c>
      <c r="N1001" s="11" t="inlineStr">
        <is>
          <t>• [Must] The AFP Minister must be satisfied on reasonable grounds that the organisation has engaged in, prepared or planned to engage in, or assisted the engagement in conduct constituting a hate crime
• [Must] The AFP Minister must be satisfied that specifying the organisation as a prohibited hate group is reasonably necessary to protect the Australian community against harm</t>
        </is>
      </c>
      <c r="O1001" s="11" t="inlineStr">
        <is>
          <t>Section 114A.2(1): A hate crime is conduct (whether engaged in before or after this section commences) that would constitute an offence under Subdivision C of Division 80 (urging or threatening violence and offences against groups or members of groups) to the extent the targeted group is distinguished by race or national or ethnic origin</t>
        </is>
      </c>
      <c r="P1001" s="12" t="n">
        <v>17</v>
      </c>
    </row>
    <row r="1002">
      <c r="A1002" t="inlineStr">
        <is>
          <t>Australia</t>
        </is>
      </c>
      <c r="B1002" t="inlineStr">
        <is>
          <t>C2026C00243VOL01 (Australia - Row 14)</t>
        </is>
      </c>
      <c r="C1002" t="inlineStr">
        <is>
          <t>16 (part 69)</t>
        </is>
      </c>
      <c r="D1002" s="11" t="inlineStr">
        <is>
          <t>Process for specifying organisations as prohibited hate groups</t>
        </is>
      </c>
      <c r="E1002" t="inlineStr">
        <is>
          <t>529–540</t>
        </is>
      </c>
      <c r="F1002" t="inlineStr">
        <is>
          <t>Low</t>
        </is>
      </c>
      <c r="G1002" t="inlineStr">
        <is>
          <t>High (explicit)</t>
        </is>
      </c>
      <c r="H1002" s="11" t="inlineStr">
        <is>
          <t>Cross-border Transfer, International Processing, Data Storage, Security</t>
        </is>
      </c>
      <c r="I1002" s="11" t="inlineStr">
        <is>
          <t>Special Personal Information</t>
        </is>
      </c>
      <c r="J1002" t="inlineStr">
        <is>
          <t>Australian Federal Police (AFP) Minister</t>
        </is>
      </c>
      <c r="K1002" s="11" t="inlineStr">
        <is>
          <t>This section outlines the process for the AFP Minister to specify organisations as prohibited hate groups. It requires the AFP Minister to obtain the Attorney-General's written agreement and arrange for the Leader of the Opposition to be consulted before making a prohibited hate group regulation. The process includes receiving advice from the Director-General of Security and ensuring procedural fairness is not required.</t>
        </is>
      </c>
      <c r="L1002" s="11" t="inlineStr">
        <is>
          <t>Specifies the procedural requirements for identifying organisations as prohibited hate groups, which may affect data transfers involving such organisations due to heightened security risks.</t>
        </is>
      </c>
      <c r="M1002" s="11" t="inlineStr">
        <is>
          <t>• [Must] The AFP Minister must obtain the Attorney-General's written agreement before specifying an organisation as a prohibited hate group
• [Must] The AFP Minister must arrange for the Leader of the Opposition to be consulted before making a prohibited hate group regulation</t>
        </is>
      </c>
      <c r="N1002" s="11" t="inlineStr">
        <is>
          <t>• [Must] The AFP Minister may consider recommending that the Governor-General makes a prohibited hate group regulation only if they have received advice from the Director-General of Security</t>
        </is>
      </c>
      <c r="O1002" s="11" t="inlineStr">
        <is>
          <t>Section 114A.7(1): Before the Governor-General makes a prohibited hate group regulation specifying an organisation, the AFP Minister must obtain the Attorney-General's agreement in writing to the organisation being specified</t>
        </is>
      </c>
      <c r="P1002" s="12" t="n">
        <v>17</v>
      </c>
    </row>
    <row r="1003">
      <c r="A1003" t="inlineStr">
        <is>
          <t>Australia</t>
        </is>
      </c>
      <c r="B1003" t="inlineStr">
        <is>
          <t>C2026C00243VOL01 (Australia - Row 14)</t>
        </is>
      </c>
      <c r="C1003" t="inlineStr">
        <is>
          <t>16 (part 70)</t>
        </is>
      </c>
      <c r="D1003" s="11" t="inlineStr">
        <is>
          <t>Murder and manslaughter of Australians abroad</t>
        </is>
      </c>
      <c r="E1003" t="inlineStr">
        <is>
          <t>540–547</t>
        </is>
      </c>
      <c r="F1003" t="inlineStr">
        <is>
          <t>Low</t>
        </is>
      </c>
      <c r="G1003" t="inlineStr">
        <is>
          <t>High (explicit)</t>
        </is>
      </c>
      <c r="H1003" s="11" t="inlineStr">
        <is>
          <t>Cross-border Transfer, International Processing</t>
        </is>
      </c>
      <c r="I1003" s="11" t="inlineStr">
        <is>
          <t>Personal Information</t>
        </is>
      </c>
      <c r="J1003" t="inlineStr">
        <is>
          <t>Australian Government</t>
        </is>
      </c>
      <c r="K1003" s="11" t="inlineStr">
        <is>
          <t>This section defines offences for murder or manslaughter of Australian citizens or residents occurring outside Australia. It requires that the conduct causes death, involves intent or recklessness regarding death, and applies to conduct before or after October 1, 2002. The section specifies that offences committed before this date must have constituted an offence under foreign law at the time. Absolute liability applies to certain elements.</t>
        </is>
      </c>
      <c r="L1003" s="11" t="inlineStr">
        <is>
          <t>This section establishes jurisdictional conditions for offences against Australians abroad, relevant to cross-border data transfers involving individuals who commit acts outside Australia that cause harm to Australians.</t>
        </is>
      </c>
      <c r="M1003" s="11" t="inlineStr">
        <is>
          <t>• [Must] The person engages in conduct outside Australia
• [Must] The conduct causes death of another person</t>
        </is>
      </c>
      <c r="N1003" s="11" t="inlineStr">
        <is>
          <t>• [Must] The person intends to cause death or is reckless as to causing death
• [Must] The conduct constitutes an offence under foreign law at the time (for conduct before 1 October 2002)</t>
        </is>
      </c>
      <c r="O1003" s="11" t="inlineStr">
        <is>
          <t>Section 115.1: (a) the person engages in conduct outside Australia (whether before or after 1 October 2002 or the commencement of this Code); and (b) the conduct causes the death of another person; and (c) the person is an Australian citizen or resident of Australia; and (d) the first-mentioned person intends to cause, or is reckless as to causing, the death of the Australian citizen or resident of Australia or any other person by the conduct; and (e) if the conduct was engaged in before 1 October 2002—at the time the conduct was engaged in, the conduct constituted an offence against a law of the foreign country, or the part of the foreign country, in which the conduct was engaged.</t>
        </is>
      </c>
      <c r="P1003" s="12" t="n">
        <v>17</v>
      </c>
    </row>
    <row r="1004">
      <c r="A1004" t="inlineStr">
        <is>
          <t>Australia</t>
        </is>
      </c>
      <c r="B1004" t="inlineStr">
        <is>
          <t>C2026C00243VOL01 (Australia - Row 14)</t>
        </is>
      </c>
      <c r="C1004" t="inlineStr">
        <is>
          <t>16 (part 71)</t>
        </is>
      </c>
      <c r="D1004" s="11" t="inlineStr">
        <is>
          <t>Foreign incursions and recruitment offences</t>
        </is>
      </c>
      <c r="E1004" t="inlineStr">
        <is>
          <t>547–555</t>
        </is>
      </c>
      <c r="F1004" t="inlineStr">
        <is>
          <t>Low</t>
        </is>
      </c>
      <c r="G1004" t="inlineStr">
        <is>
          <t>High (explicit)</t>
        </is>
      </c>
      <c r="H1004" s="11" t="inlineStr">
        <is>
          <t>Cross-border Transfer, International Processing</t>
        </is>
      </c>
      <c r="I1004" s="11" t="inlineStr">
        <is>
          <t>Personal Information</t>
        </is>
      </c>
      <c r="J1004" t="inlineStr">
        <is>
          <t>Australian Government</t>
        </is>
      </c>
      <c r="K1004" s="11" t="inlineStr">
        <is>
          <t>This section defines offences related to hostile activities in foreign countries, including incursions, recruitment, and preparations for hostile activities. It specifies that a person engages in hostile activities if they intend to overthrow governments, engage in actions that would constitute serious offences, or cause harm to public officials. The section also outlines exceptions for humanitarian purposes, official duties, and military service.</t>
        </is>
      </c>
      <c r="L1004" s="11" t="inlineStr">
        <is>
          <t>This section establishes jurisdictional conditions for offences against Australians abroad, relevant to cross-border data transfers involving individuals who commit acts outside Australia that cause harm to Australians.</t>
        </is>
      </c>
      <c r="M1004" s="11" t="inlineStr">
        <is>
          <t>• [Must] The person enters a foreign country with the intention of engaging in a hostile activity
• [Must] The person engages in hostile activities in a foreign country</t>
        </is>
      </c>
      <c r="N1004" s="11" t="inlineStr">
        <is>
          <t>• [Must Not] The person is not engaged in legitimate purposes such as humanitarian aid, official duties, or journalism</t>
        </is>
      </c>
      <c r="O1004" s="11" t="inlineStr">
        <is>
          <t>Section 119.1: (a) the person enters a foreign country with the intention of engaging in a hostile activity in that or any other foreign country; and (b) when the person enters the country, the person: (i) engages in conduct that would constitute a serious offence under Australian law; (ii) is not engaged in legitimate purposes such as humanitarian aid, official duties, or journalism.</t>
        </is>
      </c>
      <c r="P1004" s="12" t="n">
        <v>17</v>
      </c>
    </row>
    <row r="1005">
      <c r="A1005" t="inlineStr">
        <is>
          <t>Australia</t>
        </is>
      </c>
      <c r="B1005" t="inlineStr">
        <is>
          <t>C2026C00243VOL01 (Australia - Row 14)</t>
        </is>
      </c>
      <c r="C1005" t="inlineStr">
        <is>
          <t>16 (part 72)</t>
        </is>
      </c>
      <c r="D1005" s="11" t="inlineStr">
        <is>
          <t>Military training and recruitment for hostile activities</t>
        </is>
      </c>
      <c r="E1005" t="inlineStr">
        <is>
          <t>555–563</t>
        </is>
      </c>
      <c r="F1005" t="inlineStr">
        <is>
          <t>Low</t>
        </is>
      </c>
      <c r="G1005" t="inlineStr">
        <is>
          <t>High (explicit)</t>
        </is>
      </c>
      <c r="H1005" s="11" t="inlineStr">
        <is>
          <t>Cross-border Transfer, International Processing, Data Storage, Security</t>
        </is>
      </c>
      <c r="I1005" s="11" t="inlineStr">
        <is>
          <t>Special Personal Information</t>
        </is>
      </c>
      <c r="J1005" t="inlineStr">
        <is>
          <t>Australian Federal Police (AFP) Minister</t>
        </is>
      </c>
      <c r="K1005" s="11" t="inlineStr">
        <is>
          <t>This section prohibits engaging in conduct that prepares or facilitates military training for offences under section 119.1, including allowing oneself to be present at meetings, providing goods/services to promote offences, or permitting buildings/vessels/aircraft to be used for such purposes. It also covers recruiting persons to join organisations engaged in hostile activities against foreign governments or armed forces. Absolute liability applies to certain conduct, and humanitarian activities are exempt.</t>
        </is>
      </c>
      <c r="L1005" s="11" t="inlineStr">
        <is>
          <t>This section imposes restrictions on cross-border military training and recruitment activities that could impact data transfers involving sensitive security information. It requires assessments of whether data transfers relate to prohibited activities.</t>
        </is>
      </c>
      <c r="M1005" s="11" t="inlineStr">
        <is>
          <t>• [Must] Person must engage in conduct intending to prepare another to commit an offence against section 119.1
• [Must] Person must allow military training to be provided to themselves
• [Must] Person must permit meetings of persons intending to allow military training to be provided to themselves
• [Must] Person must give money or goods to, or perform services for, another person to promote offences</t>
        </is>
      </c>
      <c r="N1005" s="11" t="inlineStr">
        <is>
          <t>• [Must] Person must permit buildings, vessels or aircraft to be used for offences
• [Must] Person must intend to commit or support offences against section 119.4
• [Must] Person must recruit another person to join organisations engaged in hostile activities against foreign governments
• [Must] Person must engage in conduct intending to facilitate recruitment for foreign armed forces</t>
        </is>
      </c>
      <c r="O1005" s="11" t="inlineStr">
        <is>
          <t>Section 119.4: Person must engage in conduct intending to prepare another to commit an offence against section 119.1</t>
        </is>
      </c>
      <c r="P1005" s="12" t="n">
        <v>17</v>
      </c>
    </row>
    <row r="1006">
      <c r="A1006" t="inlineStr">
        <is>
          <t>Australia</t>
        </is>
      </c>
      <c r="B1006" t="inlineStr">
        <is>
          <t>C2026C00243VOL01 (Australia - Row 14)</t>
        </is>
      </c>
      <c r="C1006" t="inlineStr">
        <is>
          <t>16 (part 73)</t>
        </is>
      </c>
      <c r="D1006" s="11" t="inlineStr">
        <is>
          <t>Secrecy of information and definitions</t>
        </is>
      </c>
      <c r="E1006" t="inlineStr">
        <is>
          <t>563–571</t>
        </is>
      </c>
      <c r="F1006" t="inlineStr">
        <is>
          <t>Low</t>
        </is>
      </c>
      <c r="G1006" t="inlineStr">
        <is>
          <t>High (explicit)</t>
        </is>
      </c>
      <c r="H1006" s="11" t="inlineStr">
        <is>
          <t>Security, Data Storage, Data Sharing</t>
        </is>
      </c>
      <c r="I1006" s="11" t="inlineStr">
        <is>
          <t>Special Personal Information</t>
        </is>
      </c>
      <c r="J1006" t="inlineStr"/>
      <c r="K1006" s="11" t="inlineStr">
        <is>
          <t>This section defines key terms related to secrecy of information, including 'cause harm to Australia's interests', 'Commonwealth officer', 'domestic intelligence agency', 'foreign military organisation', 'inherently harmful information', and 'security classified information'. It specifies conditions under which communications with such information are prohibited and outlines the legal framework for handling sensitive information.</t>
        </is>
      </c>
      <c r="L1006" s="11" t="inlineStr">
        <is>
          <t>These definitions establish the scope of information that requires special handling in cross-border data transfers, particularly sensitive security information that could impact national security or international relations.</t>
        </is>
      </c>
      <c r="M1006" s="11" t="inlineStr">
        <is>
          <t>• [Must] Cause harm to Australia's interests means interfering with criminal investigations or defence operations
• [Must] Commonwealth officer includes APS employees and Defence Force members</t>
        </is>
      </c>
      <c r="N1006" s="11" t="inlineStr">
        <is>
          <t>• [Must] Domestic intelligence agency includes ASIO and Australian Security Intelligence Organisation
• [Must] Inherently harmful information includes security classified information</t>
        </is>
      </c>
      <c r="O1006" s="11" t="inlineStr">
        <is>
          <t>Section 121.1: Cause harm to Australia's interests means to interfere with or prejudice the prevention, detection, investigation or prosecution of a criminal offence against a law of the Commonwealth</t>
        </is>
      </c>
      <c r="P1006" s="12" t="n">
        <v>17</v>
      </c>
    </row>
    <row r="1007">
      <c r="A1007" t="inlineStr">
        <is>
          <t>Australia</t>
        </is>
      </c>
      <c r="B1007" t="inlineStr">
        <is>
          <t>C2026C00243VOL01 (Australia - Row 14)</t>
        </is>
      </c>
      <c r="C1007" t="inlineStr">
        <is>
          <t>16 (part 74)</t>
        </is>
      </c>
      <c r="D1007" s="11" t="inlineStr">
        <is>
          <t>Security classification and disclosure of information by Commonwealth officers</t>
        </is>
      </c>
      <c r="E1007" t="inlineStr">
        <is>
          <t>571–578</t>
        </is>
      </c>
      <c r="F1007" t="inlineStr">
        <is>
          <t>Low</t>
        </is>
      </c>
      <c r="G1007" t="inlineStr">
        <is>
          <t>High (explicit)</t>
        </is>
      </c>
      <c r="H1007" s="11" t="inlineStr">
        <is>
          <t>Security</t>
        </is>
      </c>
      <c r="I1007" s="11" t="inlineStr">
        <is>
          <t>Special Personal Information</t>
        </is>
      </c>
      <c r="J1007" t="inlineStr">
        <is>
          <t>Commonwealth</t>
        </is>
      </c>
      <c r="K1007" s="11" t="inlineStr">
        <is>
          <t>This section establishes conditions under which Commonwealth officers may be held liable for unauthorized disclosure of information. It specifies that disclosure is unlawful if the information was obtained by the officer through their Commonwealth role, the disclosure violates a duty not to disclose, and the disclosure causes or is likely to cause harm to Australia's interests. The section also outlines aggravating factors for enhanced penalties, including the handling of classified records, multiple records with security classifications, and the officer having a high-level security clearance.</t>
        </is>
      </c>
      <c r="L1007" s="11" t="inlineStr">
        <is>
          <t>This section imposes restrictions on cross-border data transfers involving Commonwealth officers by requiring that disclosures of classified information do not harm national security. It mandates specific safeguards for handling sensitive information to prevent unauthorized access or disclosure.</t>
        </is>
      </c>
      <c r="M1007" s="11" t="inlineStr">
        <is>
          <t>• [Must] The person must have made or obtained information by reason of being a Commonwealth officer
• [Must] The person must be under a duty not to disclose the information</t>
        </is>
      </c>
      <c r="N1007" s="11" t="inlineStr">
        <is>
          <t>• [Must Not] The person must not disclose information that causes harm to Australia's interests</t>
        </is>
      </c>
      <c r="O1007" s="11" t="inlineStr">
        <is>
          <t>Section 122.4: (b) the person made or obtained the information by reason of his or her being, or having been, a Commonwealth officer or otherwise engaged to perform work for a Commonwealth entity; and (c) the person is under a duty not to disclose the information; and (d) the duty arises under a law of the Commonwealth.</t>
        </is>
      </c>
      <c r="P1007" s="12" t="n">
        <v>17</v>
      </c>
    </row>
    <row r="1008">
      <c r="A1008" t="inlineStr">
        <is>
          <t>Australia</t>
        </is>
      </c>
      <c r="B1008" t="inlineStr">
        <is>
          <t>C2026C00243VOL01 (Australia - Row 14)</t>
        </is>
      </c>
      <c r="C1008" t="inlineStr">
        <is>
          <t>16 (part 75)</t>
        </is>
      </c>
      <c r="D1008" s="11" t="inlineStr">
        <is>
          <t>Defences for unauthorized disclosure of information</t>
        </is>
      </c>
      <c r="E1008" t="inlineStr">
        <is>
          <t>578–585</t>
        </is>
      </c>
      <c r="F1008" t="inlineStr">
        <is>
          <t>Low</t>
        </is>
      </c>
      <c r="G1008" t="inlineStr">
        <is>
          <t>High (explicit)</t>
        </is>
      </c>
      <c r="H1008" s="11" t="inlineStr">
        <is>
          <t>Security</t>
        </is>
      </c>
      <c r="I1008" s="11" t="inlineStr">
        <is>
          <t>Special Personal Information</t>
        </is>
      </c>
      <c r="J1008" t="inlineStr">
        <is>
          <t>Commonwealth</t>
        </is>
      </c>
      <c r="K1008" s="11" t="inlineStr">
        <is>
          <t>This section outlines defences that may prevent prosecution for unauthorized disclosure of information. It includes scenarios where information is communicated to integrity agencies, in accordance with public interest disclosure laws, for legal advice, news reporting, or to royal commissions. The defences require that the person reasonably believed the disclosure was in the public interest or authorized by law, and that the disclosure did not cause harm to Australia's interests.</t>
        </is>
      </c>
      <c r="L1008" s="11" t="inlineStr">
        <is>
          <t>This section provides defences that can be used when transferring sensitive information across borders, particularly for Commonwealth officers. It ensures that disclosures made for legitimate purposes, such as public interest or legal compliance, are not penalized, thereby facilitating lawful data transfers without compromising national security.</t>
        </is>
      </c>
      <c r="M1008" s="11" t="inlineStr">
        <is>
          <t>• [Must] The person must reasonably believe the disclosure is in the public interest
• [Must Not] The person must not engage in conduct that would be an offence under specific laws</t>
        </is>
      </c>
      <c r="N1008" s="11" t="inlineStr">
        <is>
          <t>• [Must Not] The person must not have engaged in conduct that harms Australia's interests</t>
        </is>
      </c>
      <c r="O1008" s="11" t="inlineStr">
        <is>
          <t>Section 122.5: (3) It is a defence to a prosecution for an offence by a person against this Division that: (a) the person communicated, removed, held or otherwise dealt with the relevant information for the primary purpose of communicating it to a Royal Commission within the meaning of the Royal Commissions Act 1902 (whether or not as a result of a requirement); and (b) at that time, the person reasonably believed that the relevant information was relevant to the Royal Commission's inquiry.</t>
        </is>
      </c>
      <c r="P1008" s="12" t="n">
        <v>17</v>
      </c>
    </row>
    <row r="1009">
      <c r="A1009" t="inlineStr">
        <is>
          <t>Australia</t>
        </is>
      </c>
      <c r="B1009" t="inlineStr">
        <is>
          <t>C2026C00243VOL01 (Australia - Row 14)</t>
        </is>
      </c>
      <c r="C1009" t="inlineStr">
        <is>
          <t>16 (part 76)</t>
        </is>
      </c>
      <c r="D1009" s="11" t="inlineStr">
        <is>
          <t>Definitions of key legal terms for property and property rights</t>
        </is>
      </c>
      <c r="E1009" t="inlineStr">
        <is>
          <t>585–592</t>
        </is>
      </c>
      <c r="F1009" t="inlineStr">
        <is>
          <t>None</t>
        </is>
      </c>
      <c r="G1009" t="inlineStr">
        <is>
          <t>High (explicit)</t>
        </is>
      </c>
      <c r="H1009" s="11" t="inlineStr"/>
      <c r="I1009" s="11" t="inlineStr">
        <is>
          <t>Personal Information</t>
        </is>
      </c>
      <c r="J1009" t="inlineStr"/>
      <c r="K1009" s="11" t="inlineStr">
        <is>
          <t>This section defines critical legal terms including 'duty', 'gain', 'loss', 'obtaining', 'property', 'services', and 'supply'. It specifies that property encompasses real and personal property, money, intangible assets, and certain living creatures. The definitions establish the legal framework for determining ownership, possession, and the transfer of property rights within Commonwealth law. These definitions apply to all persons, including Commonwealth entities, and are foundational for subsequent property-related offences.</t>
        </is>
      </c>
      <c r="L1009" s="11" t="inlineStr"/>
      <c r="M1009" s="11" t="inlineStr">
        <is>
          <t>• [Definition] duty: in relation to a Commonwealth public official means any authority, duty, function or power conferred on the person as a Commonwealth public official or held by the person as such
• [Definition] gain: a gain in property, whether temporary or permanent, or a gain by way of the supply of services, including keeping what one has
• [Definition] loss: a loss in property, whether temporary or permanent, including not getting what one might get
• [Definition] obtaining: obtaining for another person or inducing a third person to do something that results in another person obtaining</t>
        </is>
      </c>
      <c r="N1009" s="11" t="inlineStr">
        <is>
          <t>• [Definition] property includes real property, personal property, money, a thing in action or other intangible property, electricity, and wild creatures that are tamed, ordinarily kept in captivity, or reduced into the possession of a person
• [Definition] services includes any rights, benefits, privileges or facilities but does not include rights or benefits being the supply of goods
• [Definition] supply includes in relation to goods: supply (including re-supply) by way of sale, exchange, lease, hire or hire-purchase; and in relation to services: provide, grant or confer</t>
        </is>
      </c>
      <c r="O1009" s="11" t="inlineStr">
        <is>
          <t>In this Chapter: duty: (a) in relation to a person who is a Commonwealth public official—means any authority, duty, function or power that: (i) is conferred on the person as a Commonwealth public official; or (ii) the person holds himself or herself out as having as a Commonwealth public official; and (b) in relation to a person who is a public official—means any authority, duty, function or power that: (i) is conferred on the person as a public official; or (ii) the person holds himself or herself out as having as a public official; gain means: (a) a gain in property, whether temporary or permanent; or (b) a gain by way of the supply of services; and includes keeping what one has.</t>
        </is>
      </c>
      <c r="P1009" s="12" t="n">
        <v>17</v>
      </c>
    </row>
    <row r="1010">
      <c r="A1010" t="inlineStr">
        <is>
          <t>Australia</t>
        </is>
      </c>
      <c r="B1010" t="inlineStr">
        <is>
          <t>C2026C00243VOL01 (Australia - Row 14)</t>
        </is>
      </c>
      <c r="C1010" t="inlineStr">
        <is>
          <t>16 (part 78)</t>
        </is>
      </c>
      <c r="D1010" s="11" t="inlineStr">
        <is>
          <t>Burglary and aggravated burglary offences with Commonwealth property</t>
        </is>
      </c>
      <c r="E1010" t="inlineStr">
        <is>
          <t>599–607</t>
        </is>
      </c>
      <c r="F1010" t="inlineStr">
        <is>
          <t>High</t>
        </is>
      </c>
      <c r="G1010" t="inlineStr">
        <is>
          <t>High (explicit)</t>
        </is>
      </c>
      <c r="H1010"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10" s="11" t="inlineStr">
        <is>
          <t>Personal Information, Financial Data, Customer Data, Employee Data, Health Data, Children's Data, Biometric Data, Special Personal Information</t>
        </is>
      </c>
      <c r="J1010" t="inlineStr">
        <is>
          <t>Australian Criminal Code</t>
        </is>
      </c>
      <c r="K1010" s="11" t="inlineStr">
        <is>
          <t>This section defines burglary as entering or remaining in a building as a trespasser with intent to commit an offence causing harm or property damage, where the offence is punishable by imprisonment for life or 5+ years and the building is owned/occupied by a Commonwealth entity. It specifies that aggravated burglary involves committing burglary with one or more others or with an offensive weapon. Absolute liability applies to the Commonwealth entity ownership element. The penalty is 13 years imprisonment for burglary and 17 years for aggravated burglary.</t>
        </is>
      </c>
      <c r="L1010" s="11" t="inlineStr">
        <is>
          <t>This section establishes conditions for Commonwealth property offences involving burglary that could impact data transfers if data is stored in Commonwealth-owned buildings or systems.</t>
        </is>
      </c>
      <c r="M1010" s="11" t="inlineStr">
        <is>
          <t>• [Must] The person enters or remains in a building as a trespasser with intent to commit an offence causing harm to another person or damage to property
• [Must] The offence is punishable by imprisonment for life or 5 years or more
• [Must] The building is owned or occupied by a Commonwealth entity
• [Must] The person commits an offence if they enter or remain in a building as a trespasser with intent to commit an offence causing harm or property damage</t>
        </is>
      </c>
      <c r="N1010" s="11" t="inlineStr">
        <is>
          <t>• [Must] The offence is an offence against a law of the Commonwealth, a State or a Territory
• [Must] The person commits aggravated burglary if they commit burglary with one or more others or with an offensive weapon
• [Must] Absolute liability applies to the building being owned or occupied by a Commonwealth entity</t>
        </is>
      </c>
      <c r="O1010" s="11" t="inlineStr">
        <is>
          <t>Section 132.4(6): A person commits an offence if: (a) the person enters, or remains in, a building, as a trespasser, with intent to commit an offence in the building that involves causing harm to another person or damage to property; and (aa) the offence referred to in paragraph (a) is an offence against a law of the Commonwealth, a State or a Territory; and (b) the offence referred to in paragraph (a) is punishable by imprisonment for life or for a term of 5 years or more; and (c) the building is owned or occupied by a Commonwealth entity.</t>
        </is>
      </c>
      <c r="P1010" s="12" t="n">
        <v>17</v>
      </c>
    </row>
    <row r="1011">
      <c r="A1011" t="inlineStr">
        <is>
          <t>Australia</t>
        </is>
      </c>
      <c r="B1011" t="inlineStr">
        <is>
          <t>C2026C00243VOL01 (Australia - Row 14)</t>
        </is>
      </c>
      <c r="C1011" t="inlineStr">
        <is>
          <t>16 (part 79)</t>
        </is>
      </c>
      <c r="D1011" s="11" t="inlineStr">
        <is>
          <t>Obtaining property or financial advantage by deception</t>
        </is>
      </c>
      <c r="E1011" t="inlineStr">
        <is>
          <t>607–614</t>
        </is>
      </c>
      <c r="F1011" t="inlineStr">
        <is>
          <t>High</t>
        </is>
      </c>
      <c r="G1011" t="inlineStr">
        <is>
          <t>High (explicit)</t>
        </is>
      </c>
      <c r="H1011"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11" s="11" t="inlineStr">
        <is>
          <t>Personal Information, Financial Data, Customer Data, Employee Data, Health Data, Children's Data, Biometric Data, Special Personal Information</t>
        </is>
      </c>
      <c r="J1011" t="inlineStr">
        <is>
          <t>Australian Criminal Code</t>
        </is>
      </c>
      <c r="K1011" s="11" t="inlineStr">
        <is>
          <t>This section defines offences involving obtaining property or financial advantage through deception. It specifies that obtaining property means acquiring ownership, possession, or control, or enabling such acquisition. It covers cases where property is transferred via accounts, credit/debit transactions, or other financial mechanisms. The offences include theft, aggravated robbery, burglary, and other property-related offences. Absolute liability applies to certain elements.</t>
        </is>
      </c>
      <c r="L1011" s="11" t="inlineStr">
        <is>
          <t>This section defines deception-related offences that could impact data transfers if data is obtained through deceptive practices involving Commonwealth entities.</t>
        </is>
      </c>
      <c r="M1011" s="11" t="inlineStr">
        <is>
          <t>• [Must] The person obtains property belonging to another with the intention of permanently depriving the other of the property
• [Must] The person obtains property by deception
• [Must] The person causes an amount to be transferred from an account held by another person to an account held by themselves</t>
        </is>
      </c>
      <c r="N1011" s="11" t="inlineStr">
        <is>
          <t>• [Must] The person causes an amount to be transferred from an account held by another person to an account held by a third person
• [Must] The person conspires with another person to dishonestly obtain a gain from a Commonwealth entity
• [Must] The person conspires with another person to dishonestly cause a loss to a Commonwealth entity</t>
        </is>
      </c>
      <c r="O1011" s="11" t="inlineStr">
        <is>
          <t>Section 134.1(1): A person commits an offence if the person, by a deception, dishonestly obtains property belonging to another with the intention of permanently depriving the other of the property.</t>
        </is>
      </c>
      <c r="P1011" s="12" t="n">
        <v>17</v>
      </c>
    </row>
    <row r="1012">
      <c r="A1012" t="inlineStr">
        <is>
          <t>Australia</t>
        </is>
      </c>
      <c r="B1012" t="inlineStr">
        <is>
          <t>C2026C00243VOL01 (Australia - Row 14)</t>
        </is>
      </c>
      <c r="C1012" t="inlineStr">
        <is>
          <t>16 (part 80)</t>
        </is>
      </c>
      <c r="D1012" s="11" t="inlineStr">
        <is>
          <t>False statements in Commonwealth applications</t>
        </is>
      </c>
      <c r="E1012" t="inlineStr">
        <is>
          <t>614–623</t>
        </is>
      </c>
      <c r="F1012" t="inlineStr">
        <is>
          <t>Medium</t>
        </is>
      </c>
      <c r="G1012" t="inlineStr">
        <is>
          <t>High (explicit)</t>
        </is>
      </c>
      <c r="H1012" s="11" t="inlineStr"/>
      <c r="I1012" s="11" t="inlineStr">
        <is>
          <t>Personal Information</t>
        </is>
      </c>
      <c r="J1012" t="inlineStr">
        <is>
          <t>Commonwealth</t>
        </is>
      </c>
      <c r="K1012" s="11" t="inlineStr">
        <is>
          <t>This section defines when making false or misleading statements in applications to Commonwealth entities constitutes an offence. It requires the statement to be made to a Commonwealth entity, in connection with an application for a licence, permit, authority, registration, or benefit, and the person must know the statement is false or misleading in a material particular. The offence includes both recklessness and absolute liability for certain elements.</t>
        </is>
      </c>
      <c r="L1012" s="11" t="inlineStr">
        <is>
          <t>This section imposes restrictions on false statements in Commonwealth applications, relevant to DTIAs when transferring data to Commonwealth entities or applications requiring data accuracy.</t>
        </is>
      </c>
      <c r="M1012" s="11" t="inlineStr">
        <is>
          <t>• [Must] The person makes a statement (whether orally, in a document or in any other way)
• [Must] The person knows the statement is false or misleading in a material particular
• [Must] The statement is made to a Commonwealth entity</t>
        </is>
      </c>
      <c r="N1012" s="11" t="inlineStr">
        <is>
          <t>• [Must] The statement is made in connection with an application for a licence, permit or authority
• [Must] The statement is made in connection with an application for registration
• [Must] The statement is made in connection with an application or claim for a benefit</t>
        </is>
      </c>
      <c r="O1012" s="11" t="inlineStr">
        <is>
          <t>Section 136.1: (a) the person makes a statement (whether orally, in a document or in any other way); and (b) the person does so knowing that the statement: (ii) omits any matter or thing without which the statement is misleading in a material particular; (c) the statement is made in, or in connection with: (i) an application for a licence, permit or authority; or (ii) an application for registration; or (iii) an application or claim for a benefit; and (i) the statement is made to a Commonwealth entity</t>
        </is>
      </c>
      <c r="P1012" s="12" t="n">
        <v>17</v>
      </c>
    </row>
    <row r="1013">
      <c r="A1013" t="inlineStr">
        <is>
          <t>Australia</t>
        </is>
      </c>
      <c r="B1013" t="inlineStr">
        <is>
          <t>C2026C00243VOL01 (Australia - Row 14)</t>
        </is>
      </c>
      <c r="C1013" t="inlineStr">
        <is>
          <t>16 (part 82)</t>
        </is>
      </c>
      <c r="D1013" s="11" t="inlineStr">
        <is>
          <t>False Commonwealth documents</t>
        </is>
      </c>
      <c r="E1013" t="inlineStr">
        <is>
          <t>634–646</t>
        </is>
      </c>
      <c r="F1013" t="inlineStr">
        <is>
          <t>Low</t>
        </is>
      </c>
      <c r="G1013" t="inlineStr">
        <is>
          <t>High (explicit)</t>
        </is>
      </c>
      <c r="H1013" s="11" t="inlineStr"/>
      <c r="I1013" s="11" t="inlineStr">
        <is>
          <t>Personal Information</t>
        </is>
      </c>
      <c r="J1013" t="inlineStr">
        <is>
          <t>Commonwealth</t>
        </is>
      </c>
      <c r="K1013" s="11" t="inlineStr">
        <is>
          <t>This section defines false Commonwealth documents as those made by or on behalf of Commonwealth entities or public officials without proper authority. It specifies that a false Commonwealth document must be created by a Commonwealth entity or public official who did not make it in that form or terms, or was authorized by someone who did not authorize its making.</t>
        </is>
      </c>
      <c r="L1013" s="11" t="inlineStr">
        <is>
          <t>This section defines false Commonwealth documents, relevant to DTIAs when data is transferred to Commonwealth entities or processed by public officials.</t>
        </is>
      </c>
      <c r="M1013" s="11" t="inlineStr">
        <is>
          <t>• [Must] A document is a false Commonwealth document if made by a Commonwealth entity, or a Commonwealth public official, who did not make it in that form
• [Must] A document is a false Commonwealth document if made on the authority of a Commonwealth entity, or a Commonwealth public official, who did not authorize its making in that form</t>
        </is>
      </c>
      <c r="N1013" s="11" t="inlineStr">
        <is>
          <t>• [Must] A document is a false Commonwealth document if made by a Commonwealth entity, or a Commonwealth public official, who did not make it in those terms
• [Must] A document is a false Commonwealth document if made on the authority of a Commonwealth entity, or a Commonwealth public official, who did not authorize its making in those terms</t>
        </is>
      </c>
      <c r="O1013" s="11" t="inlineStr">
        <is>
          <t>Section 143.3: (1) For the purposes of this Part, a document is a false Commonwealth document if, and only if: (i) made by a Commonwealth entity, or a Commonwealth public official, who did not make it in that form; or (ii) made on the authority of a Commonwealth entity, or a Commonwealth public official, who did not authorise its making in that form; or (iii) made by a Commonwealth entity, or a Commonwealth public official, who did not make it in those terms; or (iv) made on the authority of a Commonwealth entity, or a Commonwealth public official, who did not authorise its making in those terms</t>
        </is>
      </c>
      <c r="P1013" s="12" t="n">
        <v>17</v>
      </c>
    </row>
    <row r="1014">
      <c r="A1014" t="inlineStr">
        <is>
          <t>Australia</t>
        </is>
      </c>
      <c r="B1014" t="inlineStr">
        <is>
          <t>C2026C00243VOL01 (Australia - Row 14)</t>
        </is>
      </c>
      <c r="C1014" t="inlineStr">
        <is>
          <t>16 (part 83)</t>
        </is>
      </c>
      <c r="D1014" s="11" t="inlineStr">
        <is>
          <t>Falsification of Commonwealth documents and related offences</t>
        </is>
      </c>
      <c r="E1014" t="inlineStr">
        <is>
          <t>646–655</t>
        </is>
      </c>
      <c r="F1014" t="inlineStr">
        <is>
          <t>Low</t>
        </is>
      </c>
      <c r="G1014" t="inlineStr">
        <is>
          <t>High (explicit)</t>
        </is>
      </c>
      <c r="H1014"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14" s="11" t="inlineStr">
        <is>
          <t>Personal Information, Financial Data, Customer Data, Employee Data, Health Data, Children's Data, Biometric Data, Special Personal Information</t>
        </is>
      </c>
      <c r="J1014" t="inlineStr"/>
      <c r="K1014" s="11" t="inlineStr">
        <is>
          <t>This section defines offences for dishonestly damaging, destroying, altering, concealing or falsifying Commonwealth documents. The documents must be kept, retained or issued for legal purposes, made or held by Commonwealth entities or officials, and the act must cause loss. Absolute liability applies to the loss element. The offences also include giving information derived from false or misleading documents to others with intent to gain or cause loss to a Commonwealth entity.</t>
        </is>
      </c>
      <c r="L1014" s="11" t="inlineStr">
        <is>
          <t>This section establishes conditions for when falsifying Commonwealth documents constitutes an offence, relevant to DTIAs involving Commonwealth entities or officials. It specifies that documents must be legally maintained by Commonwealth entities and that the act must cause loss.</t>
        </is>
      </c>
      <c r="M1014" s="11" t="inlineStr">
        <is>
          <t>• [Must] The person dishonestly damages, destroys, alters, conceals or falsifies a document
• [Must] The document is kept, retained or issued for the purposes of a law of the Commonwealth
• [Must] The document is made by a Commonwealth entity or a person in the capacity of a Commonwealth public official
• [Must] The document is held by a Commonwealth entity or a person in the capacity of a Commonwealth public official
• [Must] The person does so with the intention of obtaining a gain from another person
• [Must] The person does so with the intention of causing a loss to another person
• [Must] The other person is a Commonwealth entity
• [Must] The person dishonestly gives information to another person</t>
        </is>
      </c>
      <c r="N1014" s="11" t="inlineStr">
        <is>
          <t>• [Must] The information was derived from a document that is false or misleading in a material particular
• [Must] The document is kept, retained or issued for the purposes of a law of the Commonwealth
• [Must] The document is made by a Commonwealth entity or a person in the capacity of a Commonwealth public official
• [Must] The document is held by a Commonwealth entity or a person in the capacity of a Commonwealth public official
• [Must] The person does so with the intention of obtaining a gain from another person
• [Must] The person does so with the intention of causing a loss to another person
• [Must] The other person is a Commonwealth entity</t>
        </is>
      </c>
      <c r="O1014" s="11" t="inlineStr">
        <is>
          <t>Section 145.4: (a) the person dishonestly damages, destroys, alters, conceals or falsifies a document; and (b) the document is: (i) kept, retained or issued for the purposes of a law of the Commonwealth; (ii) made by a Commonwealth entity or a person in the capacity of a Commonwealth public official; or (iii) held by a Commonwealth entity or a person in the capacity of a Commonwealth public official; and (ii) causing a loss.</t>
        </is>
      </c>
      <c r="P1014" s="12" t="n">
        <v>17</v>
      </c>
    </row>
    <row r="1015">
      <c r="A1015" t="inlineStr">
        <is>
          <t>Australia</t>
        </is>
      </c>
      <c r="B1015" t="inlineStr">
        <is>
          <t>C2026C00243VOL01 (Australia - Row 14)</t>
        </is>
      </c>
      <c r="C1015" t="inlineStr">
        <is>
          <t>16 (part 84)</t>
        </is>
      </c>
      <c r="D1015" s="11" t="inlineStr">
        <is>
          <t>Impersonation and obstruction of Commonwealth public officials</t>
        </is>
      </c>
      <c r="E1015" t="inlineStr">
        <is>
          <t>655–665</t>
        </is>
      </c>
      <c r="F1015" t="inlineStr">
        <is>
          <t>Low</t>
        </is>
      </c>
      <c r="G1015" t="inlineStr">
        <is>
          <t>High (explicit)</t>
        </is>
      </c>
      <c r="H1015" s="11" t="inlineStr">
        <is>
          <t>Cross-border Transfer, International Processing, Data Storage, Data Residency, Security,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015" s="11" t="inlineStr">
        <is>
          <t>Personal Information, Financial Data, Customer Data, Employee Data, Health Data, Children's Data, Biometric Data, Special Personal Information</t>
        </is>
      </c>
      <c r="J1015" t="inlineStr"/>
      <c r="K1015" s="11" t="inlineStr">
        <is>
          <t>This section covers offences related to impersonating Commonwealth public officials, obstructing their functions, and making false representations about Commonwealth bodies. It defines specific conduct that constitutes obstruction, including knowing another person is a public official and obstructing them in performing functions. The offences also include impersonation by non-officials and officials, and false representations about Commonwealth entities.</t>
        </is>
      </c>
      <c r="L1015" s="11" t="inlineStr">
        <is>
          <t>This section is relevant to DTIAs involving Commonwealth public officials and entities, as it specifies conditions under which impersonation or obstruction of officials constitutes an offence, impacting data transfer and processing involving Commonwealth entities.</t>
        </is>
      </c>
      <c r="M1015" s="11" t="inlineStr">
        <is>
          <t>• [Must] The person knows that another person is a public official
• [Must] The person obstructs, hinders, intimidates or resists the official in the performance of the official's functions
• [Must] The official is a Commonwealth public official
• [Must] The functions are functions as a Commonwealth public official
• [Must] The person impersonates another person in that other person's capacity as a Commonwealth public official</t>
        </is>
      </c>
      <c r="N1015" s="11" t="inlineStr">
        <is>
          <t>• [Must] The person does so knowing it to be in circumstances when the official is likely to be on duty
• [Must] The person does so with intent to deceive
• [Must] The person falsely represents himself or herself to be a Commonwealth public official in a particular capacity
• [Must] The person does so in the course of doing an act or attending a place in the assumed capacity</t>
        </is>
      </c>
      <c r="O1015" s="11" t="inlineStr">
        <is>
          <t>Section 149.1: (a) the person knows that another person is a public official; (b) the first-mentioned person obstructs, hinders, intimidates or resists the official in the performance of the official's functions; (c) the official is a Commonwealth public official; (d) the functions are functions as a Commonwealth public official.</t>
        </is>
      </c>
      <c r="P1015" s="12" t="n">
        <v>17</v>
      </c>
    </row>
    <row r="1016">
      <c r="A1016" t="inlineStr">
        <is>
          <t>Australia</t>
        </is>
      </c>
      <c r="B1016" t="inlineStr">
        <is>
          <t>Essential Eight explained (November 2023) (Australia - Row 11)</t>
        </is>
      </c>
      <c r="C1016" t="inlineStr">
        <is>
          <t>p1</t>
        </is>
      </c>
      <c r="D1016" s="11" t="inlineStr">
        <is>
          <t>Essential Eight cybersecurity mitigation strategies for organizations</t>
        </is>
      </c>
      <c r="E1016" t="inlineStr">
        <is>
          <t>1–2</t>
        </is>
      </c>
      <c r="F1016" t="inlineStr">
        <is>
          <t>Medium</t>
        </is>
      </c>
      <c r="G1016" t="inlineStr">
        <is>
          <t>High (explicit)</t>
        </is>
      </c>
      <c r="H1016" s="11" t="inlineStr">
        <is>
          <t>Security</t>
        </is>
      </c>
      <c r="I1016" s="11" t="inlineStr">
        <is>
          <t>Personal Information</t>
        </is>
      </c>
      <c r="J1016" t="inlineStr">
        <is>
          <t>Australian Signals Directorate (ASD)</t>
        </is>
      </c>
      <c r="K1016" s="11" t="inlineStr">
        <is>
          <t>The Essential Eight are prioritized cyber security mitigation strategies developed by the Australian Signals Directorate (ASD) to protect organizations' internet-connected information technology networks. These strategies include patching applications and operating systems, implementing multi-factor authentication, restricting administrative privileges, applying application controls, limiting Microsoft Office macros, hardening user applications, and maintaining regular backups. The strategies are designed specifically for standard IT networks and not for enterprise mobility or operational technology environments where alternative approaches may be more appropriate.</t>
        </is>
      </c>
      <c r="L1016" s="11" t="inlineStr">
        <is>
          <t>These eight specific technical controls are critical for DTIAs as they define baseline security requirements that must be implemented when transferring or processing data across borders to ensure adequate protection against cyber threats.</t>
        </is>
      </c>
      <c r="M1016" s="11" t="inlineStr">
        <is>
          <t>• [Must] Implement patch applications
• [Must] Implement patch operating systems
• [Must] Implement multi-factor authentication
• [Must] Restrict administrative privileges</t>
        </is>
      </c>
      <c r="N1016" s="11" t="inlineStr">
        <is>
          <t>• [Must] Implement application control
• [Must] Restrict Microsoft Office macros
• [Must] Harden user applications
• [Must] Maintain regular backups</t>
        </is>
      </c>
      <c r="O1016" s="11" t="inlineStr">
        <is>
          <t>The Essential Eight mitigation strategies are: patch applications, patch operating systems, multi-factor authentication, restrict administrative privileges, application control, restrict Microsoft Office macros, user application hardening, regular backups.</t>
        </is>
      </c>
      <c r="P1016" s="12" t="n">
        <v>19</v>
      </c>
    </row>
    <row r="1017">
      <c r="A1017" t="inlineStr">
        <is>
          <t>Australia</t>
        </is>
      </c>
      <c r="B1017" t="inlineStr">
        <is>
          <t>Essential Eight explained (November 2023) (Australia - Row 11)</t>
        </is>
      </c>
      <c r="C1017" t="inlineStr">
        <is>
          <t>p2</t>
        </is>
      </c>
      <c r="D1017" s="11" t="inlineStr">
        <is>
          <t>Essential Eight implementation assessment process</t>
        </is>
      </c>
      <c r="E1017" t="inlineStr">
        <is>
          <t>2–3</t>
        </is>
      </c>
      <c r="F1017" t="inlineStr">
        <is>
          <t>Medium</t>
        </is>
      </c>
      <c r="G1017" t="inlineStr">
        <is>
          <t>High (explicit)</t>
        </is>
      </c>
      <c r="H1017" s="11" t="inlineStr">
        <is>
          <t>Security</t>
        </is>
      </c>
      <c r="I1017" s="11" t="inlineStr">
        <is>
          <t>Personal Information</t>
        </is>
      </c>
      <c r="J1017" t="inlineStr">
        <is>
          <t>Australian Signals Directorate (ASD)</t>
        </is>
      </c>
      <c r="K1017" s="11" t="inlineStr">
        <is>
          <t>Organizations must use the Essential Eight assessment process guide to evaluate their implementation of the mitigation strategies. This assessment process is part of the maturity model that supports the implementation of the Essential Eight, ensuring organizations meet the required security standards for their information technology networks.</t>
        </is>
      </c>
      <c r="L1017" s="11" t="inlineStr">
        <is>
          <t>The assessment process ensures that data transfers and processing activities comply with the Essential Eight security requirements, which is critical for DTIAs involving cross-border data flows.</t>
        </is>
      </c>
      <c r="M1017" s="11" t="inlineStr">
        <is>
          <t>• [Must] Conduct assessments against the Essential Eight using the Essential Eight assessment process guide</t>
        </is>
      </c>
      <c r="N1017" s="11" t="inlineStr"/>
      <c r="O1017" s="11" t="inlineStr">
        <is>
          <t>Assessments against the Essential Eight should be conducted using the Essential Eight assessment process guide.</t>
        </is>
      </c>
      <c r="P1017" s="12" t="n">
        <v>19</v>
      </c>
    </row>
    <row r="1018">
      <c r="A1018" t="inlineStr">
        <is>
          <t>Australia</t>
        </is>
      </c>
      <c r="B1018" t="inlineStr">
        <is>
          <t>F2026C00274 (Australia - Row 10)</t>
        </is>
      </c>
      <c r="C1018" t="inlineStr">
        <is>
          <t>21</t>
        </is>
      </c>
      <c r="D1018" s="11" t="inlineStr">
        <is>
          <t>Registration requirements for remittance networks</t>
        </is>
      </c>
      <c r="E1018" t="inlineStr">
        <is>
          <t>3–4</t>
        </is>
      </c>
      <c r="F1018" t="inlineStr">
        <is>
          <t>Medium</t>
        </is>
      </c>
      <c r="G1018" t="inlineStr">
        <is>
          <t>High (explicit)</t>
        </is>
      </c>
      <c r="H1018" s="11" t="inlineStr">
        <is>
          <t>Customer Information</t>
        </is>
      </c>
      <c r="I1018" s="11" t="inlineStr">
        <is>
          <t>Customer Data</t>
        </is>
      </c>
      <c r="J1018" t="inlineStr"/>
      <c r="K1018" s="11" t="inlineStr">
        <is>
          <t>This section outlines additional requirements for applying to register as a remittance network provider, independent remittance dealer, or virtual remittance network provider. It specifies the application process and documentation needed for registration decisions under Division 3. The requirements apply to entities seeking to operate in the remittance sector.</t>
        </is>
      </c>
      <c r="L1018" s="11" t="inlineStr">
        <is>
          <t>This section establishes registration requirements for remittance networks, which may impact data transfer assessments when processing customer information across borders.</t>
        </is>
      </c>
      <c r="M1018" s="11" t="inlineStr">
        <is>
          <t>• [Must] Additional requirements for application for registration as a remittance network provider
• [Must] Additional requirements for application by remittance network</t>
        </is>
      </c>
      <c r="N1018" s="11" t="inlineStr">
        <is>
          <t>• [Must] Additional requirements for application by independent remittance dealer
• [Must] Additional requirements for application for registration as a virtual remittance network provider</t>
        </is>
      </c>
      <c r="O1018" s="11" t="inlineStr">
        <is>
          <t>21 4-3 4-4 4-5 4-6 4-7 4-8 4-9</t>
        </is>
      </c>
      <c r="P1018" s="12" t="n">
        <v>20</v>
      </c>
    </row>
    <row r="1019">
      <c r="A1019" t="inlineStr">
        <is>
          <t>Australia</t>
        </is>
      </c>
      <c r="B1019" t="inlineStr">
        <is>
          <t>F2026C00274 (Australia - Row 10)</t>
        </is>
      </c>
      <c r="C1019" t="inlineStr">
        <is>
          <t>56</t>
        </is>
      </c>
      <c r="D1019" s="11" t="inlineStr">
        <is>
          <t>Customer due diligence for real estate transactions</t>
        </is>
      </c>
      <c r="E1019" t="inlineStr">
        <is>
          <t>5</t>
        </is>
      </c>
      <c r="F1019" t="inlineStr">
        <is>
          <t>High</t>
        </is>
      </c>
      <c r="G1019" t="inlineStr">
        <is>
          <t>High (explicit)</t>
        </is>
      </c>
      <c r="H1019" s="11" t="inlineStr">
        <is>
          <t>Customer Information</t>
        </is>
      </c>
      <c r="I1019" s="11" t="inlineStr">
        <is>
          <t>Customer Data</t>
        </is>
      </c>
      <c r="J1019" t="inlineStr"/>
      <c r="K1019" s="11" t="inlineStr">
        <is>
          <t>This section mandates policies for customer due diligence in real estate transactions. It requires entities to implement specific measures to verify customer identity and assess risks associated with real estate-related financial activities. The obligations apply to financial institutions handling real estate transactions.</t>
        </is>
      </c>
      <c r="L1019" s="11" t="inlineStr">
        <is>
          <t>This section requires customer due diligence policies for real estate transactions, which may affect data transfer assessments when processing customer information across borders.</t>
        </is>
      </c>
      <c r="M1019" s="11" t="inlineStr">
        <is>
          <t>• [Must] Policies relating to customer due diligence for real estate</t>
        </is>
      </c>
      <c r="N1019" s="11" t="inlineStr"/>
      <c r="O1019" s="11" t="inlineStr">
        <is>
          <t>56 5-20</t>
        </is>
      </c>
      <c r="P1019" s="12" t="n">
        <v>20</v>
      </c>
    </row>
    <row r="1020">
      <c r="A1020" t="inlineStr">
        <is>
          <t>Australia</t>
        </is>
      </c>
      <c r="B1020" t="inlineStr">
        <is>
          <t>F2026C00274 (Australia - Row 10)</t>
        </is>
      </c>
      <c r="C1020" t="inlineStr">
        <is>
          <t>57</t>
        </is>
      </c>
      <c r="D1020" s="11" t="inlineStr">
        <is>
          <t>Initial customer due diligence procedures</t>
        </is>
      </c>
      <c r="E1020" t="inlineStr">
        <is>
          <t>5</t>
        </is>
      </c>
      <c r="F1020" t="inlineStr">
        <is>
          <t>High</t>
        </is>
      </c>
      <c r="G1020" t="inlineStr">
        <is>
          <t>High (explicit)</t>
        </is>
      </c>
      <c r="H1020" s="11" t="inlineStr">
        <is>
          <t>Customer Information</t>
        </is>
      </c>
      <c r="I1020" s="11" t="inlineStr">
        <is>
          <t>Customer Data</t>
        </is>
      </c>
      <c r="J1020" t="inlineStr"/>
      <c r="K1020" s="11" t="inlineStr">
        <is>
          <t>This section details the initial customer due diligence procedures for identifying and verifying customer identity. It specifies requirements for determining whether a customer is a body corporate, partnership, or unincorporated entity, and for identifying beneficial owners and senior managers. The obligations apply to financial institutions conducting customer due diligence.</t>
        </is>
      </c>
      <c r="L1020" s="11" t="inlineStr">
        <is>
          <t>This section establishes initial customer due diligence procedures, which may impact data transfer assessments when processing customer information across borders.</t>
        </is>
      </c>
      <c r="M1020" s="11" t="inlineStr">
        <is>
          <t>• [Must] Customer is body corporate, partnership or unincorporated
• [Must] Beneficial owners and senior manager, for bodies corporate</t>
        </is>
      </c>
      <c r="N1020" s="11" t="inlineStr">
        <is>
          <t>• [Must] The nature and purpose of the business relationship or occasional</t>
        </is>
      </c>
      <c r="O1020" s="11" t="inlineStr">
        <is>
          <t>57 Division 1—Initial customer due diligence</t>
        </is>
      </c>
      <c r="P1020" s="12" t="n">
        <v>20</v>
      </c>
    </row>
    <row r="1021">
      <c r="A1021" t="inlineStr">
        <is>
          <t>Australia</t>
        </is>
      </c>
      <c r="B1021" t="inlineStr">
        <is>
          <t>F2026C00274 (Australia - Row 10)</t>
        </is>
      </c>
      <c r="C1021" t="inlineStr">
        <is>
          <t>65</t>
        </is>
      </c>
      <c r="D1021" s="11" t="inlineStr">
        <is>
          <t>Delayed verification for remittance services</t>
        </is>
      </c>
      <c r="E1021" t="inlineStr">
        <is>
          <t>5–6</t>
        </is>
      </c>
      <c r="F1021" t="inlineStr">
        <is>
          <t>High</t>
        </is>
      </c>
      <c r="G1021" t="inlineStr">
        <is>
          <t>High (explicit)</t>
        </is>
      </c>
      <c r="H1021" s="11" t="inlineStr">
        <is>
          <t>Customer Information</t>
        </is>
      </c>
      <c r="I1021" s="11" t="inlineStr">
        <is>
          <t>Customer Data</t>
        </is>
      </c>
      <c r="J1021" t="inlineStr"/>
      <c r="K1021" s="11" t="inlineStr">
        <is>
          <t>This section outlines procedures for delayed verification of customer identity in remittance services. It specifies conditions under which initial customer due diligence can be conducted after the commencement of services, particularly for foreign services. The requirements apply to remittance providers handling customer information.</t>
        </is>
      </c>
      <c r="L1021" s="11" t="inlineStr">
        <is>
          <t>This section addresses delayed verification procedures for remittance services, which may impact data transfer assessments when processing customer information across borders.</t>
        </is>
      </c>
      <c r="M1021" s="11" t="inlineStr">
        <is>
          <t>• [Must] Delayed verification—various designated services provided in</t>
        </is>
      </c>
      <c r="N1021" s="11" t="inlineStr">
        <is>
          <t>• [Must] Delayed initial customer due diligence—service provided in foreign</t>
        </is>
      </c>
      <c r="O1021" s="11" t="inlineStr">
        <is>
          <t>65 6-12</t>
        </is>
      </c>
      <c r="P1021" s="12" t="n">
        <v>20</v>
      </c>
    </row>
    <row r="1022">
      <c r="A1022" t="inlineStr">
        <is>
          <t>Australia</t>
        </is>
      </c>
      <c r="B1022" t="inlineStr">
        <is>
          <t>F2026C00274 (Australia - Row 10)</t>
        </is>
      </c>
      <c r="C1022" t="inlineStr">
        <is>
          <t>69</t>
        </is>
      </c>
      <c r="D1022" s="11" t="inlineStr">
        <is>
          <t>Simplified customer due diligence for beneficial owners</t>
        </is>
      </c>
      <c r="E1022" t="inlineStr">
        <is>
          <t>6</t>
        </is>
      </c>
      <c r="F1022" t="inlineStr">
        <is>
          <t>High</t>
        </is>
      </c>
      <c r="G1022" t="inlineStr">
        <is>
          <t>High (explicit)</t>
        </is>
      </c>
      <c r="H1022" s="11" t="inlineStr">
        <is>
          <t>Customer Information</t>
        </is>
      </c>
      <c r="I1022" s="11" t="inlineStr">
        <is>
          <t>Customer Data</t>
        </is>
      </c>
      <c r="J1022" t="inlineStr"/>
      <c r="K1022" s="11" t="inlineStr">
        <is>
          <t>This section specifies simplified initial customer due diligence procedures for identifying beneficial owners. It outlines requirements for entities to verify the identity of beneficial owners in a streamlined manner, applicable to certain high-risk transactions. The obligations apply to financial institutions conducting customer due diligence.</t>
        </is>
      </c>
      <c r="L1022" s="11" t="inlineStr">
        <is>
          <t>This section establishes simplified customer due diligence procedures for beneficial owners, which may impact data transfer assessments when processing customer information across borders.</t>
        </is>
      </c>
      <c r="M1022" s="11" t="inlineStr">
        <is>
          <t>• [Must] Simplified initial customer due diligence for identity of beneficial</t>
        </is>
      </c>
      <c r="N1022" s="11" t="inlineStr"/>
      <c r="O1022" s="11" t="inlineStr">
        <is>
          <t>69 6-16</t>
        </is>
      </c>
      <c r="P1022" s="12" t="n">
        <v>20</v>
      </c>
    </row>
    <row r="1023">
      <c r="A1023" t="inlineStr">
        <is>
          <t>Australia</t>
        </is>
      </c>
      <c r="B1023" t="inlineStr">
        <is>
          <t>F2026C00274 (Australia - Row 10)</t>
        </is>
      </c>
      <c r="C1023" t="inlineStr">
        <is>
          <t>71</t>
        </is>
      </c>
      <c r="D1023" s="11" t="inlineStr">
        <is>
          <t>Enhanced customer due diligence for virtual assets</t>
        </is>
      </c>
      <c r="E1023" t="inlineStr">
        <is>
          <t>6</t>
        </is>
      </c>
      <c r="F1023" t="inlineStr">
        <is>
          <t>High</t>
        </is>
      </c>
      <c r="G1023" t="inlineStr">
        <is>
          <t>High (explicit)</t>
        </is>
      </c>
      <c r="H1023" s="11" t="inlineStr">
        <is>
          <t>Customer Information, Financial Data, KYC, AML</t>
        </is>
      </c>
      <c r="I1023" s="11" t="inlineStr">
        <is>
          <t>Financial Data, Customer Data</t>
        </is>
      </c>
      <c r="J1023" t="inlineStr"/>
      <c r="K1023" s="11" t="inlineStr">
        <is>
          <t>This section mandates enhanced customer due diligence for certain virtual assets. It requires establishing the source of wealth and source of funds for these assets. The requirements apply to financial institutions conducting virtual asset transactions.</t>
        </is>
      </c>
      <c r="L1023" s="11" t="inlineStr">
        <is>
          <t>This section imposes specific enhanced due diligence requirements for virtual asset transactions, which may impact data transfer assessments when handling customer financial information across borders.</t>
        </is>
      </c>
      <c r="M1023" s="11" t="inlineStr">
        <is>
          <t>• [Must] Enhanced customer due diligence required when customer seeks virtual assets</t>
        </is>
      </c>
      <c r="N1023" s="11" t="inlineStr">
        <is>
          <t>• [Must] Establish source of wealth and source of funds for virtual assets</t>
        </is>
      </c>
      <c r="O1023" s="11" t="inlineStr">
        <is>
          <t>71 6-20 Enhanced customer due diligence required when customer seeks 6-21 Establishing source of wealth and source of funds when enhanced</t>
        </is>
      </c>
      <c r="P1023" s="12" t="n">
        <v>20</v>
      </c>
    </row>
    <row r="1024">
      <c r="A1024" t="inlineStr">
        <is>
          <t>Australia</t>
        </is>
      </c>
      <c r="B1024" t="inlineStr">
        <is>
          <t>F2026C00274 (Australia - Row 10)</t>
        </is>
      </c>
      <c r="C1024" t="inlineStr">
        <is>
          <t>73</t>
        </is>
      </c>
      <c r="D1024" s="11" t="inlineStr">
        <is>
          <t>Initial customer due diligence for politically exposed persons</t>
        </is>
      </c>
      <c r="E1024" t="inlineStr">
        <is>
          <t>6</t>
        </is>
      </c>
      <c r="F1024" t="inlineStr">
        <is>
          <t>High</t>
        </is>
      </c>
      <c r="G1024" t="inlineStr">
        <is>
          <t>High (explicit)</t>
        </is>
      </c>
      <c r="H1024" s="11" t="inlineStr">
        <is>
          <t>Customer Information, Financial Data, KYC, AML</t>
        </is>
      </c>
      <c r="I1024" s="11" t="inlineStr">
        <is>
          <t>Customer Data</t>
        </is>
      </c>
      <c r="J1024" t="inlineStr"/>
      <c r="K1024" s="11" t="inlineStr">
        <is>
          <t>This section specifies initial customer due diligence requirements for politically exposed persons. It applies to financial institutions that must verify the identity and source of funds for these high-risk clients. The requirements are part of the anti-money laundering framework.</t>
        </is>
      </c>
      <c r="L1024" s="11" t="inlineStr">
        <is>
          <t>This section requires specific due diligence for politically exposed persons, which may affect data transfer assessments when handling sensitive personal information across borders.</t>
        </is>
      </c>
      <c r="M1024" s="11" t="inlineStr">
        <is>
          <t>• [Must] Matters for initial customer due diligence—politically exposed persons</t>
        </is>
      </c>
      <c r="N1024" s="11" t="inlineStr"/>
      <c r="O1024" s="11" t="inlineStr">
        <is>
          <t>73 6-23 Matters for initial customer due diligence—politically exposed</t>
        </is>
      </c>
      <c r="P1024" s="12" t="n">
        <v>20</v>
      </c>
    </row>
    <row r="1025">
      <c r="A1025" t="inlineStr">
        <is>
          <t>Australia</t>
        </is>
      </c>
      <c r="B1025" t="inlineStr">
        <is>
          <t>F2026C00274 (Australia - Row 10)</t>
        </is>
      </c>
      <c r="C1025" t="inlineStr">
        <is>
          <t>75</t>
        </is>
      </c>
      <c r="D1025" s="11" t="inlineStr">
        <is>
          <t>Initial customer due diligence for nested services</t>
        </is>
      </c>
      <c r="E1025" t="inlineStr">
        <is>
          <t>6</t>
        </is>
      </c>
      <c r="F1025" t="inlineStr">
        <is>
          <t>High</t>
        </is>
      </c>
      <c r="G1025" t="inlineStr">
        <is>
          <t>High (explicit)</t>
        </is>
      </c>
      <c r="H1025" s="11" t="inlineStr">
        <is>
          <t>Customer Information, Financial Data, KYC, AML</t>
        </is>
      </c>
      <c r="I1025" s="11" t="inlineStr">
        <is>
          <t>Customer Data</t>
        </is>
      </c>
      <c r="J1025" t="inlineStr"/>
      <c r="K1025" s="11" t="inlineStr">
        <is>
          <t>This section outlines initial customer due diligence requirements for nested services relationships. It applies to financial institutions that must verify the identity and source of funds for clients involved in nested service arrangements. The requirements are part of the anti-money laundering framework.</t>
        </is>
      </c>
      <c r="L1025" s="11" t="inlineStr">
        <is>
          <t>This section requires specific due diligence for nested services, which may impact data transfer assessments when handling customer information across borders.</t>
        </is>
      </c>
      <c r="M1025" s="11" t="inlineStr">
        <is>
          <t>• [Must] Matters for initial customer due diligence—nested services</t>
        </is>
      </c>
      <c r="N1025" s="11" t="inlineStr"/>
      <c r="O1025" s="11" t="inlineStr">
        <is>
          <t>75 6-25 Matters for initial customer due diligence—nested services</t>
        </is>
      </c>
      <c r="P1025" s="12" t="n">
        <v>20</v>
      </c>
    </row>
    <row r="1026">
      <c r="A1026" t="inlineStr">
        <is>
          <t>Australia</t>
        </is>
      </c>
      <c r="B1026" t="inlineStr">
        <is>
          <t>F2026C00274 (Australia - Row 10)</t>
        </is>
      </c>
      <c r="C1026" t="inlineStr">
        <is>
          <t>77</t>
        </is>
      </c>
      <c r="D1026" s="11" t="inlineStr">
        <is>
          <t>Ongoing customer due diligence for transferred customers</t>
        </is>
      </c>
      <c r="E1026" t="inlineStr">
        <is>
          <t>6</t>
        </is>
      </c>
      <c r="F1026" t="inlineStr">
        <is>
          <t>High</t>
        </is>
      </c>
      <c r="G1026" t="inlineStr">
        <is>
          <t>High (explicit)</t>
        </is>
      </c>
      <c r="H1026" s="11" t="inlineStr">
        <is>
          <t>Customer Information, Financial Data, KYC, AML</t>
        </is>
      </c>
      <c r="I1026" s="11" t="inlineStr">
        <is>
          <t>Customer Data</t>
        </is>
      </c>
      <c r="J1026" t="inlineStr"/>
      <c r="K1026" s="11" t="inlineStr">
        <is>
          <t>This section specifies ongoing customer due diligence requirements for transferred customers. It applies to financial institutions that must verify the identity and source of funds for customers who have been transferred between entities. The requirements are part of the anti-money laundering framework.</t>
        </is>
      </c>
      <c r="L1026" s="11" t="inlineStr">
        <is>
          <t>This section requires specific ongoing due diligence for transferred customers, which may affect data transfer assessments when handling customer information across borders.</t>
        </is>
      </c>
      <c r="M1026" s="11" t="inlineStr">
        <is>
          <t>• [Must] Ongoing customer due diligence—transferred pre-commencement</t>
        </is>
      </c>
      <c r="N1026" s="11" t="inlineStr"/>
      <c r="O1026" s="11" t="inlineStr">
        <is>
          <t>77 6-27 6-28 Ongoing customer due diligence—transferred pre-commencement</t>
        </is>
      </c>
      <c r="P1026" s="12" t="n">
        <v>20</v>
      </c>
    </row>
    <row r="1027">
      <c r="A1027" t="inlineStr">
        <is>
          <t>Australia</t>
        </is>
      </c>
      <c r="B1027" t="inlineStr">
        <is>
          <t>F2026C00274 (Australia - Row 10)</t>
        </is>
      </c>
      <c r="C1027" t="inlineStr">
        <is>
          <t>79</t>
        </is>
      </c>
      <c r="D1027" s="11" t="inlineStr">
        <is>
          <t>Agreement for collection and verification of KYC information</t>
        </is>
      </c>
      <c r="E1027" t="inlineStr">
        <is>
          <t>6</t>
        </is>
      </c>
      <c r="F1027" t="inlineStr">
        <is>
          <t>High</t>
        </is>
      </c>
      <c r="G1027" t="inlineStr">
        <is>
          <t>High (explicit)</t>
        </is>
      </c>
      <c r="H1027" s="11" t="inlineStr">
        <is>
          <t>Customer Information, Financial Data, KYC, AML</t>
        </is>
      </c>
      <c r="I1027" s="11" t="inlineStr">
        <is>
          <t>Customer Data</t>
        </is>
      </c>
      <c r="J1027" t="inlineStr"/>
      <c r="K1027" s="11" t="inlineStr">
        <is>
          <t>This section requires agreements or arrangements for the collection and verification of KYC information. It applies to financial institutions that must establish formal agreements with third parties to verify customer identity and financial information. The requirements are part of the anti-money laundering framework.</t>
        </is>
      </c>
      <c r="L1027" s="11" t="inlineStr">
        <is>
          <t>This section mandates agreements for KYC information collection and verification, which may impact data transfer assessments when sharing customer information across borders.</t>
        </is>
      </c>
      <c r="M1027" s="11" t="inlineStr">
        <is>
          <t>• [Must] Requirements for agreement or arrangement on collection and verification of KYC information</t>
        </is>
      </c>
      <c r="N1027" s="11" t="inlineStr">
        <is>
          <t>• [Must] Requirements for reliance on collection and verification of KYC information</t>
        </is>
      </c>
      <c r="O1027" s="11" t="inlineStr">
        <is>
          <t>79 6-29 Requirements for agreement or arrangement on collection and verification of KYC 6-30 6-31 Requirements for reliance on collection and verification of KYC</t>
        </is>
      </c>
      <c r="P1027" s="12" t="n">
        <v>20</v>
      </c>
    </row>
    <row r="1028">
      <c r="A1028" t="inlineStr">
        <is>
          <t>Australia</t>
        </is>
      </c>
      <c r="B1028" t="inlineStr">
        <is>
          <t>F2026C00274 (Australia - Row 10)</t>
        </is>
      </c>
      <c r="C1028" t="inlineStr">
        <is>
          <t>85</t>
        </is>
      </c>
      <c r="D1028" s="11" t="inlineStr">
        <is>
          <t>Initial customer due diligence for life policies and sinking funds</t>
        </is>
      </c>
      <c r="E1028" t="inlineStr">
        <is>
          <t>6</t>
        </is>
      </c>
      <c r="F1028" t="inlineStr">
        <is>
          <t>High</t>
        </is>
      </c>
      <c r="G1028" t="inlineStr">
        <is>
          <t>High (explicit)</t>
        </is>
      </c>
      <c r="H1028" s="11" t="inlineStr">
        <is>
          <t>Customer Information, Financial Data, KYC, AML</t>
        </is>
      </c>
      <c r="I1028" s="11" t="inlineStr">
        <is>
          <t>Financial Data</t>
        </is>
      </c>
      <c r="J1028" t="inlineStr"/>
      <c r="K1028" s="11" t="inlineStr">
        <is>
          <t>This section specifies initial customer due diligence requirements for life policies and sinking funds. It applies to financial institutions that must verify the identity and source of funds for clients with life insurance policies and sinking funds. The requirements are part of the anti-money laundering framework.</t>
        </is>
      </c>
      <c r="L1028" s="11" t="inlineStr">
        <is>
          <t>This section requires specific due diligence for life policies and sinking funds, which may affect data transfer assessments when handling customer financial information across borders.</t>
        </is>
      </c>
      <c r="M1028" s="11" t="inlineStr">
        <is>
          <t>• [Must] Initial customer due diligence—life policies and sinking fund</t>
        </is>
      </c>
      <c r="N1028" s="11" t="inlineStr"/>
      <c r="O1028" s="11" t="inlineStr">
        <is>
          <t>85 6-34 Initial customer due diligence—life policies and sinking fund</t>
        </is>
      </c>
      <c r="P1028" s="12" t="n">
        <v>20</v>
      </c>
    </row>
    <row r="1029">
      <c r="A1029" t="inlineStr">
        <is>
          <t>Australia</t>
        </is>
      </c>
      <c r="B1029" t="inlineStr">
        <is>
          <t>F2026C00274 (Australia - Row 10)</t>
        </is>
      </c>
      <c r="C1029" t="inlineStr">
        <is>
          <t>90</t>
        </is>
      </c>
      <c r="D1029" s="11" t="inlineStr">
        <is>
          <t>Initial customer due diligence for foreign services</t>
        </is>
      </c>
      <c r="E1029" t="inlineStr">
        <is>
          <t>7</t>
        </is>
      </c>
      <c r="F1029" t="inlineStr">
        <is>
          <t>High</t>
        </is>
      </c>
      <c r="G1029" t="inlineStr">
        <is>
          <t>High (explicit)</t>
        </is>
      </c>
      <c r="H1029" s="11" t="inlineStr">
        <is>
          <t>Cross-border Transfer, Customer Information, AML</t>
        </is>
      </c>
      <c r="I1029" s="11" t="inlineStr">
        <is>
          <t>Customer Data</t>
        </is>
      </c>
      <c r="J1029" t="inlineStr"/>
      <c r="K1029" s="11" t="inlineStr">
        <is>
          <t>This section requires institutions to conduct initial customer due diligence when providing services in foreign jurisdictions. It applies to correspondent banking arrangements where the service is delivered outside the home country. The obligations focus on verifying customer identity and assessing risks before initiating cross-border financial transactions.</t>
        </is>
      </c>
      <c r="L1029" s="11" t="inlineStr">
        <is>
          <t>This section mandates initial due diligence for foreign services, requiring institutions to verify customer identity and assess risks before engaging in cross-border financial transactions. It impacts DTIAs by establishing baseline requirements for international correspondent banking activities.</t>
        </is>
      </c>
      <c r="M1029" s="11" t="inlineStr">
        <is>
          <t>• [Must] Conduct initial customer due diligence for services provided in foreign jurisdictions</t>
        </is>
      </c>
      <c r="N1029" s="11" t="inlineStr"/>
      <c r="O1029" s="11" t="inlineStr">
        <is>
          <t>Initial customer due diligence—previous carrying out of applicable</t>
        </is>
      </c>
      <c r="P1029" s="12" t="n">
        <v>20</v>
      </c>
    </row>
    <row r="1030">
      <c r="A1030" t="inlineStr">
        <is>
          <t>Australia</t>
        </is>
      </c>
      <c r="B1030" t="inlineStr">
        <is>
          <t>F2026C00274 (Australia - Row 10)</t>
        </is>
      </c>
      <c r="C1030" t="inlineStr">
        <is>
          <t>97</t>
        </is>
      </c>
      <c r="D1030" s="11" t="inlineStr">
        <is>
          <t>Obligations for collecting and verifying customer information</t>
        </is>
      </c>
      <c r="E1030" t="inlineStr">
        <is>
          <t>7</t>
        </is>
      </c>
      <c r="F1030" t="inlineStr">
        <is>
          <t>High</t>
        </is>
      </c>
      <c r="G1030" t="inlineStr">
        <is>
          <t>High (explicit)</t>
        </is>
      </c>
      <c r="H1030" s="11" t="inlineStr">
        <is>
          <t>Cross-border Transfer, Customer Information, AML</t>
        </is>
      </c>
      <c r="I1030" s="11" t="inlineStr">
        <is>
          <t>Customer Data</t>
        </is>
      </c>
      <c r="J1030" t="inlineStr"/>
      <c r="K1030" s="11" t="inlineStr">
        <is>
          <t>This section outlines obligations for ordering and beneficiary institutions to collect, verify, and monitor customer information when handling cross-border payments. It requires institutions to ensure accurate identification and ongoing monitoring of transactions to prevent money laundering activities. These obligations apply to financial institutions engaged in correspondent banking arrangements.</t>
        </is>
      </c>
      <c r="L1030" s="11" t="inlineStr">
        <is>
          <t>This section requires institutions to collect, verify, and monitor customer information for cross-border payments, impacting DTIAs by establishing specific due diligence procedures for international transactions.</t>
        </is>
      </c>
      <c r="M1030" s="11" t="inlineStr">
        <is>
          <t>• [Must] Collect, verify and monitor customer information for cross-border payments</t>
        </is>
      </c>
      <c r="N1030" s="11" t="inlineStr"/>
      <c r="O1030" s="11" t="inlineStr">
        <is>
          <t>Obligations of ordering institutions—collecting, verifying and</t>
        </is>
      </c>
      <c r="P1030" s="12" t="n">
        <v>20</v>
      </c>
    </row>
    <row r="1031">
      <c r="A1031" t="inlineStr">
        <is>
          <t>Australia</t>
        </is>
      </c>
      <c r="B1031" t="inlineStr">
        <is>
          <t>F2026C00274 (Australia - Row 10)</t>
        </is>
      </c>
      <c r="C1031" t="inlineStr">
        <is>
          <t>115</t>
        </is>
      </c>
      <c r="D1031" s="11" t="inlineStr">
        <is>
          <t>Threshold transaction reporting requirements</t>
        </is>
      </c>
      <c r="E1031" t="inlineStr">
        <is>
          <t>7–8</t>
        </is>
      </c>
      <c r="F1031" t="inlineStr">
        <is>
          <t>High</t>
        </is>
      </c>
      <c r="G1031" t="inlineStr">
        <is>
          <t>High (explicit)</t>
        </is>
      </c>
      <c r="H1031" s="11" t="inlineStr">
        <is>
          <t>Cross-border Transfer, Financial Data, AML</t>
        </is>
      </c>
      <c r="I1031" s="11" t="inlineStr">
        <is>
          <t>Financial Data, Customer Data</t>
        </is>
      </c>
      <c r="J1031" t="inlineStr"/>
      <c r="K1031" s="11" t="inlineStr">
        <is>
          <t>This section mandates reporting of threshold transactions to authorities, including information about the customer and transaction details. It applies to financial institutions that handle transactions exceeding specified monetary thresholds. The reporting requirements are part of AML/CTF compliance and must be completed for cross-border transactions involving significant sums.</t>
        </is>
      </c>
      <c r="L1031" s="11" t="inlineStr">
        <is>
          <t>This section requires reporting of threshold transactions, impacting DTIAs by mandating specific information collection and reporting for cross-border transactions exceeding monetary thresholds.</t>
        </is>
      </c>
      <c r="M1031" s="11" t="inlineStr">
        <is>
          <t>• [Must] Report information about the customer for threshold transactions</t>
        </is>
      </c>
      <c r="N1031" s="11" t="inlineStr"/>
      <c r="O1031" s="11" t="inlineStr">
        <is>
          <t>Reports of threshold transactions—information about the customer</t>
        </is>
      </c>
      <c r="P1031" s="12" t="n">
        <v>20</v>
      </c>
    </row>
    <row r="1032">
      <c r="A1032" t="inlineStr">
        <is>
          <t>Australia</t>
        </is>
      </c>
      <c r="B1032" t="inlineStr">
        <is>
          <t>F2026C00274 (Australia - Row 10)</t>
        </is>
      </c>
      <c r="C1032" t="inlineStr">
        <is>
          <t>123</t>
        </is>
      </c>
      <c r="D1032" s="11" t="inlineStr">
        <is>
          <t>Cross-border movement reporting requirements</t>
        </is>
      </c>
      <c r="E1032" t="inlineStr">
        <is>
          <t>8</t>
        </is>
      </c>
      <c r="F1032" t="inlineStr">
        <is>
          <t>High</t>
        </is>
      </c>
      <c r="G1032" t="inlineStr">
        <is>
          <t>High (explicit)</t>
        </is>
      </c>
      <c r="H1032" s="11" t="inlineStr">
        <is>
          <t>Cross-border Transfer, Financial Data, AML</t>
        </is>
      </c>
      <c r="I1032" s="11" t="inlineStr">
        <is>
          <t>Financial Data</t>
        </is>
      </c>
      <c r="J1032" t="inlineStr"/>
      <c r="K1032" s="11" t="inlineStr">
        <is>
          <t>This section establishes requirements for reporting cross-border movements of funds. It applies to financial institutions that facilitate international transfers and mandates specific information to be reported to relevant authorities. The reporting is part of AML/CTF compliance and ensures transparency in cross-border financial flows.</t>
        </is>
      </c>
      <c r="L1032" s="11" t="inlineStr">
        <is>
          <t>This section mandates cross-border movement reporting, impacting DTIAs by requiring specific information to be reported for international fund transfers.</t>
        </is>
      </c>
      <c r="M1032" s="11" t="inlineStr">
        <is>
          <t>• [Must] Report cross-border movement of funds</t>
        </is>
      </c>
      <c r="N1032" s="11" t="inlineStr"/>
      <c r="O1032" s="11" t="inlineStr">
        <is>
          <t>Division 5—Cross-border movement reports</t>
        </is>
      </c>
      <c r="P1032" s="12" t="n">
        <v>20</v>
      </c>
    </row>
    <row r="1033">
      <c r="A1033" t="inlineStr">
        <is>
          <t>Australia</t>
        </is>
      </c>
      <c r="B1033" t="inlineStr">
        <is>
          <t>F2026C00274 (Australia - Row 10)</t>
        </is>
      </c>
      <c r="C1033" t="inlineStr">
        <is>
          <t>124</t>
        </is>
      </c>
      <c r="D1033" s="11" t="inlineStr">
        <is>
          <t>Notices for cross-border movement reporting</t>
        </is>
      </c>
      <c r="E1033" t="inlineStr">
        <is>
          <t>8</t>
        </is>
      </c>
      <c r="F1033" t="inlineStr">
        <is>
          <t>High</t>
        </is>
      </c>
      <c r="G1033" t="inlineStr">
        <is>
          <t>High (explicit)</t>
        </is>
      </c>
      <c r="H1033" s="11" t="inlineStr">
        <is>
          <t>Cross-border Transfer, Financial Data, AML</t>
        </is>
      </c>
      <c r="I1033" s="11" t="inlineStr">
        <is>
          <t>Financial Data</t>
        </is>
      </c>
      <c r="J1033" t="inlineStr"/>
      <c r="K1033" s="11" t="inlineStr">
        <is>
          <t>This section requires institutions to affix notices about cross-border movement reporting to ensure transparency and compliance with reporting obligations. It applies to financial institutions that handle international transactions and mandates specific disclosures to inform customers about reporting requirements.</t>
        </is>
      </c>
      <c r="L1033" s="11" t="inlineStr">
        <is>
          <t>This section requires notices about cross-border movement reporting, impacting DTIAs by mandating specific disclosures for international transactions.</t>
        </is>
      </c>
      <c r="M1033" s="11" t="inlineStr">
        <is>
          <t>• [Must] Affix notices about cross-border movement reporting</t>
        </is>
      </c>
      <c r="N1033" s="11" t="inlineStr"/>
      <c r="O1033" s="11" t="inlineStr">
        <is>
          <t>Affixing of notices about cross-border movement reporting</t>
        </is>
      </c>
      <c r="P1033" s="12" t="n">
        <v>20</v>
      </c>
    </row>
    <row r="1034">
      <c r="A1034" t="inlineStr">
        <is>
          <t>Australia</t>
        </is>
      </c>
      <c r="B1034" t="inlineStr">
        <is>
          <t>F2026C00274 (Australia - Row 10)</t>
        </is>
      </c>
      <c r="C1034" t="inlineStr">
        <is>
          <t>130</t>
        </is>
      </c>
      <c r="D1034" s="11" t="inlineStr">
        <is>
          <t>Computer use for administrative actions</t>
        </is>
      </c>
      <c r="E1034" t="inlineStr">
        <is>
          <t>8</t>
        </is>
      </c>
      <c r="F1034" t="inlineStr">
        <is>
          <t>Medium</t>
        </is>
      </c>
      <c r="G1034" t="inlineStr">
        <is>
          <t>High (explicit)</t>
        </is>
      </c>
      <c r="H1034" s="11" t="inlineStr">
        <is>
          <t>Cross-border Transfer</t>
        </is>
      </c>
      <c r="I1034" s="11" t="inlineStr">
        <is>
          <t>Customer Data</t>
        </is>
      </c>
      <c r="J1034" t="inlineStr"/>
      <c r="K1034" s="11" t="inlineStr">
        <is>
          <t>This section specifies that institutions may use computers to take administrative actions, including processing applications for reconsideration of decisions made by delegates. It applies to financial institutions that handle administrative tasks and mandates specific procedures for computer-based actions related to regulatory decisions.</t>
        </is>
      </c>
      <c r="L1034" s="11" t="inlineStr">
        <is>
          <t>This section allows computer use for administrative actions, impacting DTIAs by specifying procedures for handling regulatory decisions through digital means.</t>
        </is>
      </c>
      <c r="M1034" s="11" t="inlineStr">
        <is>
          <t>• [May] Use computers to take administrative actions</t>
        </is>
      </c>
      <c r="N1034" s="11" t="inlineStr"/>
      <c r="O1034" s="11" t="inlineStr">
        <is>
          <t>Use of computers to take administrative action—prescribed</t>
        </is>
      </c>
      <c r="P1034" s="12" t="n">
        <v>20</v>
      </c>
    </row>
    <row r="1035">
      <c r="A1035" t="inlineStr">
        <is>
          <t>Australia</t>
        </is>
      </c>
      <c r="B1035" t="inlineStr">
        <is>
          <t>F2026C00274 (Australia - Row 10)</t>
        </is>
      </c>
      <c r="C1035" t="inlineStr">
        <is>
          <t>132</t>
        </is>
      </c>
      <c r="D1035" s="11" t="inlineStr">
        <is>
          <t>Transitional reporting forms for suspicious activity</t>
        </is>
      </c>
      <c r="E1035" t="inlineStr">
        <is>
          <t>8–9</t>
        </is>
      </c>
      <c r="F1035" t="inlineStr">
        <is>
          <t>Low</t>
        </is>
      </c>
      <c r="G1035" t="inlineStr">
        <is>
          <t>High (explicit)</t>
        </is>
      </c>
      <c r="H1035" s="11" t="inlineStr"/>
      <c r="I1035" s="11" t="inlineStr">
        <is>
          <t>Financial Data</t>
        </is>
      </c>
      <c r="J1035" t="inlineStr"/>
      <c r="K1035" s="11" t="inlineStr">
        <is>
          <t>This section specifies that reports of suspicious matters must continue to use the old form structure during a transitional period. Reporting entities must maintain the previous reporting format for suspicious activity reports while transitioning to new requirements. The section applies to entities that are required to submit such reports under the Anti-Money Laundering and Counter-Terrorism Financing Act 2006.</t>
        </is>
      </c>
      <c r="L1035" s="11" t="inlineStr">
        <is>
          <t>This section is transitional and does not directly impact data transfer assessments as it pertains to reporting formats rather than data flows or cross-border processing.</t>
        </is>
      </c>
      <c r="M1035" s="11" t="inlineStr">
        <is>
          <t>• [Must] Reports of suspicious matters must use old form structure during transitional period</t>
        </is>
      </c>
      <c r="N1035" s="11" t="inlineStr"/>
      <c r="O1035" s="11" t="inlineStr">
        <is>
          <t>Transitional—reports of suspicious matters to be in old form for</t>
        </is>
      </c>
      <c r="P1035" s="12" t="n">
        <v>20</v>
      </c>
    </row>
    <row r="1036">
      <c r="A1036" t="inlineStr">
        <is>
          <t>Australia</t>
        </is>
      </c>
      <c r="B1036" t="inlineStr">
        <is>
          <t>F2026C00274 (Australia - Row 10)</t>
        </is>
      </c>
      <c r="C1036" t="inlineStr">
        <is>
          <t>144</t>
        </is>
      </c>
      <c r="D1036" s="11" t="inlineStr">
        <is>
          <t>Definitions for AML/CTF regulations</t>
        </is>
      </c>
      <c r="E1036" t="inlineStr">
        <is>
          <t>9–16</t>
        </is>
      </c>
      <c r="F1036" t="inlineStr">
        <is>
          <t>High</t>
        </is>
      </c>
      <c r="G1036" t="inlineStr">
        <is>
          <t>High (explicit)</t>
        </is>
      </c>
      <c r="H1036" s="11" t="inlineStr">
        <is>
          <t>Financial Data, Cross-border Transfer</t>
        </is>
      </c>
      <c r="I1036" s="11" t="inlineStr">
        <is>
          <t>Financial Data, Special Personal Information</t>
        </is>
      </c>
      <c r="J1036" t="inlineStr">
        <is>
          <t>Australian Government</t>
        </is>
      </c>
      <c r="K1036" s="11" t="inlineStr">
        <is>
          <t>This section provides detailed definitions critical for understanding the Anti-Money Laundering and Counter-Terrorism Financing Act 2006. It clarifies terms such as financial institution, reporting entity, senior manager, and transfer of value, including specific contexts for virtual assets and cross-border transactions. These definitions apply to entities subject to the Act and its associated regulations.</t>
        </is>
      </c>
      <c r="L1036" s="11" t="inlineStr">
        <is>
          <t>These definitions establish foundational terms for data transfers involving financial institutions, including virtual assets and cross-border transactions, which are essential for DTIA compliance.</t>
        </is>
      </c>
      <c r="M1036" s="11" t="inlineStr">
        <is>
          <t>• [Must] Designated service has specific meaning under the Act
• [Must] Financial institution is defined as an entity subject to the Act
• [Must] Reporting entity must comply with AML/CTF obligations
• [Must] Senior manager refers to individuals with governance responsibilities</t>
        </is>
      </c>
      <c r="N1036" s="11" t="inlineStr">
        <is>
          <t>• [Must] Transfer of value includes virtual asset transfers
• [Must] Merchant payment requires specific conditions for card transactions
• [Must] Tracing information must enable identification of transactions</t>
        </is>
      </c>
      <c r="O1036" s="11" t="inlineStr">
        <is>
          <t>This instrument is the Anti-Money Laundering and Counter-Terrorism Financing Rules 2025.</t>
        </is>
      </c>
      <c r="P1036" s="12" t="n">
        <v>20</v>
      </c>
    </row>
    <row r="1037">
      <c r="A1037" t="inlineStr">
        <is>
          <t>Australia</t>
        </is>
      </c>
      <c r="B1037" t="inlineStr">
        <is>
          <t>F2026C00274 (Australia - Row 10)</t>
        </is>
      </c>
      <c r="C1037" t="inlineStr">
        <is>
          <t>144 (part 3)</t>
        </is>
      </c>
      <c r="D1037" s="11" t="inlineStr">
        <is>
          <t>Reporting group membership and obligations for financial entities</t>
        </is>
      </c>
      <c r="E1037" t="inlineStr">
        <is>
          <t>21–25</t>
        </is>
      </c>
      <c r="F1037" t="inlineStr">
        <is>
          <t>High</t>
        </is>
      </c>
      <c r="G1037" t="inlineStr">
        <is>
          <t>High (explicit)</t>
        </is>
      </c>
      <c r="H1037" s="11" t="inlineStr">
        <is>
          <t>Cross-border Transfer, International Processing, AML, Financial Data</t>
        </is>
      </c>
      <c r="I1037" s="11" t="inlineStr">
        <is>
          <t>Financial Data</t>
        </is>
      </c>
      <c r="J1037" t="inlineStr">
        <is>
          <t>AUSTRAC</t>
        </is>
      </c>
      <c r="K1037" s="11" t="inlineStr">
        <is>
          <t>Reporting groups must have a lead entity for at least 28 days to comply with AML/CTF policies. Members must continue to follow the previous lead entity's policies during transitions. Non-reporting entity members must complete due diligence and training for obligations. This applies to financial entities operating across borders under Australia's AML/CTF framework.</t>
        </is>
      </c>
      <c r="L1037" s="11" t="inlineStr">
        <is>
          <t>Requires maintaining a lead entity for reporting groups during transitions to ensure continuity of AML/CTF compliance across international entities. Critical for cross-border financial operations where entities must adhere to the previous lead entity's policies.</t>
        </is>
      </c>
      <c r="M1037" s="11" t="inlineStr">
        <is>
          <t>• [Must] Reporting group must not operate without a lead entity for more than 28 days
• [Must] Members must continue to comply with previous lead entity's AML/CTF policies</t>
        </is>
      </c>
      <c r="N1037" s="11" t="inlineStr">
        <is>
          <t>• [Must] Non-reporting entity members must complete due diligence for obligations
• [Must] Non-reporting entity members must provide training meeting AML/CTF policy requirements</t>
        </is>
      </c>
      <c r="O1037" s="11" t="inlineStr">
        <is>
          <t>For the purposes of paragraph 236B(5)(c) of the Act, it is a condition for discharging an obligation imposed on a reporting entity that is a member of a reporting group that the reporting group has a lead entity.</t>
        </is>
      </c>
      <c r="P1037" s="12" t="n">
        <v>20</v>
      </c>
    </row>
    <row r="1038">
      <c r="A1038" t="inlineStr">
        <is>
          <t>Australia</t>
        </is>
      </c>
      <c r="B1038" t="inlineStr">
        <is>
          <t>F2026C00274 (Australia - Row 10)</t>
        </is>
      </c>
      <c r="C1038" t="inlineStr">
        <is>
          <t>144 (part 4)</t>
        </is>
      </c>
      <c r="D1038" s="11" t="inlineStr">
        <is>
          <t>Enrolment and correction of financial reporting entities</t>
        </is>
      </c>
      <c r="E1038" t="inlineStr">
        <is>
          <t>25–31</t>
        </is>
      </c>
      <c r="F1038" t="inlineStr">
        <is>
          <t>High</t>
        </is>
      </c>
      <c r="G1038" t="inlineStr">
        <is>
          <t>High (explicit)</t>
        </is>
      </c>
      <c r="H1038" s="11" t="inlineStr">
        <is>
          <t>Cross-border Transfer, Financial Data, AML, Record Keeping</t>
        </is>
      </c>
      <c r="I1038" s="11" t="inlineStr">
        <is>
          <t>Financial Data</t>
        </is>
      </c>
      <c r="J1038" t="inlineStr">
        <is>
          <t>AUSTRAC</t>
        </is>
      </c>
      <c r="K1038" s="11" t="inlineStr">
        <is>
          <t>Applications for financial reporting entities must include detailed information about business structure, designated services, earnings, and reporting group membership. AUSTRAC may correct or remove entries from registers if errors or cessation of services are identified. This ensures accurate reporting of financial entities across Australia and internationally.</t>
        </is>
      </c>
      <c r="L1038" s="11" t="inlineStr">
        <is>
          <t>Requires comprehensive registration of financial entities with detailed cross-border operational data. Critical for ensuring accurate reporting of international financial activities and compliance with AML/CTF regulations.</t>
        </is>
      </c>
      <c r="M1038" s="11" t="inlineStr">
        <is>
          <t>• [Must] Application must include description of designated services and commencement dates
• [Must] Application must specify if services are provided through Australian or foreign establishments
• [Must] Application must detail earnings for the period, with specific definitions for different entity types</t>
        </is>
      </c>
      <c r="N1038" s="11" t="inlineStr">
        <is>
          <t>• [Must] Application must include information about reporting group membership and lead entities
• [May] AUSTRAC may correct errors in reporting entities register
• [May] AUSTRAC may remove names from register if services cease</t>
        </is>
      </c>
      <c r="O1038" s="11" t="inlineStr">
        <is>
          <t>For the purposes of paragraph 51C(4)(a) of the Act, if the AUSTRAC CEO reasonably believes that there is an error in, or an omission from, an entry in the Reporting Entities Roll, the AUSTRAC CEO may correct the error or omission.</t>
        </is>
      </c>
      <c r="P1038" s="12" t="n">
        <v>20</v>
      </c>
    </row>
    <row r="1039">
      <c r="A1039" t="inlineStr">
        <is>
          <t>Australia</t>
        </is>
      </c>
      <c r="B1039" t="inlineStr">
        <is>
          <t>F2026C00274 (Australia - Row 10)</t>
        </is>
      </c>
      <c r="C1039" t="inlineStr">
        <is>
          <t>144 (part 5)</t>
        </is>
      </c>
      <c r="D1039" s="11" t="inlineStr">
        <is>
          <t>Registration applications for remittance providers: information requirements</t>
        </is>
      </c>
      <c r="E1039" t="inlineStr">
        <is>
          <t>31–36</t>
        </is>
      </c>
      <c r="F1039" t="inlineStr">
        <is>
          <t>High</t>
        </is>
      </c>
      <c r="G1039" t="inlineStr">
        <is>
          <t>High (explicit)</t>
        </is>
      </c>
      <c r="H1039" s="11" t="inlineStr">
        <is>
          <t>Cross-border Transfer, International Processing, Data Storage, Security, AML, KYC, Governance, Record Keeping</t>
        </is>
      </c>
      <c r="I1039" s="11" t="inlineStr">
        <is>
          <t>Financial Data, Customer Data, Employee Data, Special Personal Information</t>
        </is>
      </c>
      <c r="J1039" t="inlineStr">
        <is>
          <t>Australian Financial Services Authority (AFS)</t>
        </is>
      </c>
      <c r="K1039" s="11" t="inlineStr">
        <is>
          <t>This section mandates specific information for applications to register as remittance network providers, independent remittance dealers, or remittance affiliates. It requires candidate details including names, addresses, business activities, financial identifiers, and information on foreign registrations. It also requires ML/TF risk assessments, AML/CTF policies, and details of accounts with financial institutions. The application must include a declaration of truthfulness and information on key personnel with past unlawful activity.</t>
        </is>
      </c>
      <c r="L1039" s="11" t="inlineStr">
        <is>
          <t>This section defines detailed information requirements for remittance providers, including cross-border operational details and ML/TF risk assessments. It impacts DTIAs by requiring specific data on foreign operations and risk assessments that must be verified.</t>
        </is>
      </c>
      <c r="M1039" s="11" t="inlineStr">
        <is>
          <t>• [Must] Application must contain candidate's full name
• [Must] Application must contain candidate's ABN, ACN, ARBN and ARSN (as applicable)
• [Must] Application must contain candidate's legal entity identifier (if applicable)
• [Must] Application must contain information on foreign registrations if candidate operates internationally
• [Must] Application must contain ML/TF risk assessment information
• [Must] Application must contain AML/CTF policies for risk management</t>
        </is>
      </c>
      <c r="N1039" s="11" t="inlineStr">
        <is>
          <t>• [Must] Application must contain information on accounts with financial institutions
• [Must] Application must contain information on key personnel with past unlawful activity
• [Must] Application must contain declaration that information is true and correct
• [Must] Application must contain information on foreign countries where candidate operates
• [Must] Application must contain details of training providers for compliance</t>
        </is>
      </c>
      <c r="O1039" s="11" t="inlineStr">
        <is>
          <t>Section 4-3(1) of the Act sets out information that must be contained in registration applications for remittance network providers, independent remittance dealers or remittance affiliates.</t>
        </is>
      </c>
      <c r="P1039" s="12" t="n">
        <v>20</v>
      </c>
    </row>
    <row r="1040">
      <c r="A1040" t="inlineStr">
        <is>
          <t>Australia</t>
        </is>
      </c>
      <c r="B1040" t="inlineStr">
        <is>
          <t>F2026C00274 (Australia - Row 10)</t>
        </is>
      </c>
      <c r="C1040" t="inlineStr">
        <is>
          <t>144 (part 7)</t>
        </is>
      </c>
      <c r="D1040" s="11" t="inlineStr">
        <is>
          <t>Registration decisions for financial service providers</t>
        </is>
      </c>
      <c r="E1040" t="inlineStr">
        <is>
          <t>40–45</t>
        </is>
      </c>
      <c r="F1040" t="inlineStr">
        <is>
          <t>High</t>
        </is>
      </c>
      <c r="G1040" t="inlineStr">
        <is>
          <t>High (explicit)</t>
        </is>
      </c>
      <c r="H1040" s="11" t="inlineStr">
        <is>
          <t>AML, Financial Data, Customer Information</t>
        </is>
      </c>
      <c r="I1040" s="11" t="inlineStr">
        <is>
          <t>Financial Data, Customer Data</t>
        </is>
      </c>
      <c r="J1040" t="inlineStr">
        <is>
          <t>AUSTRAC</t>
        </is>
      </c>
      <c r="K1040" s="11" t="inlineStr">
        <is>
          <t>This section specifies matters that AUSTRAC must consider when deciding whether to register a person as a remittance network provider or virtual asset service provider. It requires assessment of criminal history, compliance with laws, business experience, operational readiness, and financial resources. The decisions apply to candidates applying for registration under sections 75B or 76D of the Act.</t>
        </is>
      </c>
      <c r="L1040" s="11" t="inlineStr">
        <is>
          <t>This section defines the criteria for AUSTRAC's registration decisions, which impact data transfer assessments by requiring detailed information about financial operations, customer data handling, and compliance with anti-money laundering regulations.</t>
        </is>
      </c>
      <c r="M1040" s="11" t="inlineStr">
        <is>
          <t>• [Must] Assess criminal history of candidate and key personnel
• [Must] Evaluate compliance history with laws and regulations
• [Must] Verify business experience appropriate for the candidate's operations</t>
        </is>
      </c>
      <c r="N1040" s="11" t="inlineStr">
        <is>
          <t>• [Must] Confirm operational readiness to comply with the Act and AML/CTF Rules
• [Must] Assess financial resources for providing registrable services</t>
        </is>
      </c>
      <c r="O1040" s="11" t="inlineStr">
        <is>
          <t>For the purposes of paragraphs 75C(2)(b) and 76E(2)(b) of the Act, in deciding whether to register a person (the candidate) in accordance with an application made under section 75B or 76D of the Act, the following matters are specified</t>
        </is>
      </c>
      <c r="P1040" s="12" t="n">
        <v>20</v>
      </c>
    </row>
    <row r="1041">
      <c r="A1041" t="inlineStr">
        <is>
          <t>Australia</t>
        </is>
      </c>
      <c r="B1041" t="inlineStr">
        <is>
          <t>F2026C00274 (Australia - Row 10)</t>
        </is>
      </c>
      <c r="C1041" t="inlineStr">
        <is>
          <t>144 (part 8)</t>
        </is>
      </c>
      <c r="D1041" s="11" t="inlineStr">
        <is>
          <t>Suspension and cancellation of financial service registrations</t>
        </is>
      </c>
      <c r="E1041" t="inlineStr">
        <is>
          <t>45–52</t>
        </is>
      </c>
      <c r="F1041" t="inlineStr">
        <is>
          <t>High</t>
        </is>
      </c>
      <c r="G1041" t="inlineStr">
        <is>
          <t>High (explicit)</t>
        </is>
      </c>
      <c r="H1041" s="11" t="inlineStr">
        <is>
          <t>AML, Financial Data, Customer Information</t>
        </is>
      </c>
      <c r="I1041" s="11" t="inlineStr">
        <is>
          <t>Financial Data, Customer Data</t>
        </is>
      </c>
      <c r="J1041" t="inlineStr">
        <is>
          <t>AUSTRAC</t>
        </is>
      </c>
      <c r="K1041" s="11" t="inlineStr">
        <is>
          <t>This section outlines the conditions under which AUSTRAC may suspend or cancel a person's registration as a remittance network provider or virtual asset service provider. It specifies grounds for suspension including criminal convictions, regulatory breaches, and operational deficiencies. Cancellation requires assessment of ongoing compliance with anti-money laundering obligations.</t>
        </is>
      </c>
      <c r="L1041" s="11" t="inlineStr">
        <is>
          <t>This section details suspension and cancellation procedures that affect data transfer assessments by requiring ongoing compliance with financial regulations and timely reporting of changes to registration details.</t>
        </is>
      </c>
      <c r="M1041" s="11" t="inlineStr">
        <is>
          <t>• [Must] AUSTRAC may suspend registration if candidate has been charged or convicted of serious offences
• [Must] Suspension requires written notice to candidate and relevant parties
• [Condition] Suspension period may be extended up to 3 months</t>
        </is>
      </c>
      <c r="N1041" s="11" t="inlineStr">
        <is>
          <t>• [Must] AUSTRAC must remove suspension information from registers once revoked
• [Must] Cancellation requires assessment of ongoing compliance with AML obligations</t>
        </is>
      </c>
      <c r="O1041" s="11" t="inlineStr">
        <is>
          <t>The AUSTRAC CEO may suspend a person's registration under Part 6 or 6A of the Act if the AUSTRAC CEO reasonably suspects that: (a) the person, any of its key personnel or any associate of the person or its key personnel, has been charged or convicted of an offence against the Act, or of an offence against a law of the Commonwealth, a State or Territory or a foreign country of any of the following kinds: (ii) terrorism or financing of terrorism; (vi) a serious offence of any other kind</t>
        </is>
      </c>
      <c r="P1041" s="12" t="n">
        <v>20</v>
      </c>
    </row>
    <row r="1042">
      <c r="A1042" t="inlineStr">
        <is>
          <t>Australia</t>
        </is>
      </c>
      <c r="B1042" t="inlineStr">
        <is>
          <t>F2026C00274 (Australia - Row 10)</t>
        </is>
      </c>
      <c r="C1042" t="inlineStr">
        <is>
          <t>144 (part 9)</t>
        </is>
      </c>
      <c r="D1042" s="11" t="inlineStr">
        <is>
          <t>Personnel due diligence for AML/CTF</t>
        </is>
      </c>
      <c r="E1042" t="inlineStr">
        <is>
          <t>52–57</t>
        </is>
      </c>
      <c r="F1042" t="inlineStr">
        <is>
          <t>High</t>
        </is>
      </c>
      <c r="G1042" t="inlineStr">
        <is>
          <t>High (explicit)</t>
        </is>
      </c>
      <c r="H1042" s="11" t="inlineStr">
        <is>
          <t>AML</t>
        </is>
      </c>
      <c r="I1042" s="11" t="inlineStr">
        <is>
          <t>Financial Data</t>
        </is>
      </c>
      <c r="J1042" t="inlineStr">
        <is>
          <t>Australian Financial Regulations</t>
        </is>
      </c>
      <c r="K1042" s="11" t="inlineStr">
        <is>
          <t>Reporting entities must assess personnel skills, knowledge and expertise relevant to AML/CTF responsibilities before and during employment. This applies to financial institutions and entities subject to anti-money laundering regulations.</t>
        </is>
      </c>
      <c r="L1042" s="11" t="inlineStr">
        <is>
          <t>Requires personnel due diligence for AML/CTF roles, impacting data transfer and processing practices for high-risk customers.</t>
        </is>
      </c>
      <c r="M1042" s="11" t="inlineStr">
        <is>
          <t>• [Must] Reporting entity must assess personnel skills, knowledge and expertise relevant to AML/CTF responsibilities before employment</t>
        </is>
      </c>
      <c r="N1042" s="11" t="inlineStr">
        <is>
          <t>• [Must] Reporting entity must assess personnel skills, knowledge and expertise relevant to AML/CTF responsibilities during employment</t>
        </is>
      </c>
      <c r="O1042" s="11" t="inlineStr">
        <is>
          <t>The AML/CTF policies of the reporting entity must require the reporting entity, as part of undertaking that due diligence, to assess, both before a person's employment or engagement and during a person's employment or engagement: (a) the person's skills, knowledge and expertise relevant to the particular responsibilities of the person under the AML/CTF policies;</t>
        </is>
      </c>
      <c r="P1042" s="12" t="n">
        <v>20</v>
      </c>
    </row>
    <row r="1043">
      <c r="A1043" t="inlineStr">
        <is>
          <t>Australia</t>
        </is>
      </c>
      <c r="B1043" t="inlineStr">
        <is>
          <t>F2026C00274 (Australia - Row 10)</t>
        </is>
      </c>
      <c r="C1043" t="inlineStr">
        <is>
          <t>144 (part 10)</t>
        </is>
      </c>
      <c r="D1043" s="11" t="inlineStr">
        <is>
          <t>AML/CTF personnel training and independent evaluations</t>
        </is>
      </c>
      <c r="E1043" t="inlineStr">
        <is>
          <t>57–63</t>
        </is>
      </c>
      <c r="F1043" t="inlineStr">
        <is>
          <t>High</t>
        </is>
      </c>
      <c r="G1043" t="inlineStr">
        <is>
          <t>High (explicit)</t>
        </is>
      </c>
      <c r="H1043" s="11" t="inlineStr"/>
      <c r="I1043" s="11" t="inlineStr">
        <is>
          <t>Financial Data</t>
        </is>
      </c>
      <c r="J1043" t="inlineStr">
        <is>
          <t>Australian Transaction Reports and Security (ATRS) Act</t>
        </is>
      </c>
      <c r="K1043" s="11" t="inlineStr">
        <is>
          <t>Reporting entities must implement initial and ongoing AML/CTF training for employees, ensuring it is function-specific, risk-appropriate, and understandable. Policies must also require independent evaluations covering ML/TF risk assessments, policy design, compliance testing, risk mitigation, and reporting of findings to governing bodies. These obligations apply to all entities subject to the Act's AML/CTF requirements.</t>
        </is>
      </c>
      <c r="L1043" s="11" t="inlineStr">
        <is>
          <t>Mandates specific training and independent evaluations for AML/CTF compliance, directly impacting cross-border data transfers involving financial institutions by requiring robust internal controls and risk assessments.</t>
        </is>
      </c>
      <c r="M1043" s="11" t="inlineStr">
        <is>
          <t>• [Must] Reporting entities must provide initial and ongoing AML/CTF training for employees
• [Must] Training must be function-specific, risk-appropriate, and understandable
• [Must] Reporting entities must conduct independent evaluations of ML/TF risk assessments
• [Must] Reporting entities must evaluate policy design against Act, regulations, and AML/CTF Rules
• [Must] Reporting entities must test compliance with their AML/CTF policies
• [Must] Reporting entities must evaluate risk mitigation for ML/TF threats</t>
        </is>
      </c>
      <c r="N1043" s="11" t="inlineStr">
        <is>
          <t>• [Must] Reporting entities must produce written reports of independent evaluations
• [Must] Reporting entities must deliver independent evaluation reports to governing bodies
• [Must] Reporting entities must respond to independent evaluation reports
• [Must] Reporting entities must ensure reported information is complete, accurate, and unaltered
• [Must] Reporting entities must establish safeguards to prevent tipping off</t>
        </is>
      </c>
      <c r="O1043" s="11" t="inlineStr">
        <is>
          <t>The AML/CTF policies of the reporting entity must deal with both initial training upon a person's employment or engagement and ongoing training during a person's employment or engagement.</t>
        </is>
      </c>
      <c r="P1043" s="12" t="n">
        <v>20</v>
      </c>
    </row>
    <row r="1044">
      <c r="A1044" t="inlineStr">
        <is>
          <t>Australia</t>
        </is>
      </c>
      <c r="B1044" t="inlineStr">
        <is>
          <t>F2026C00274 (Australia - Row 10)</t>
        </is>
      </c>
      <c r="C1044" t="inlineStr">
        <is>
          <t>144 (part 11)</t>
        </is>
      </c>
      <c r="D1044" s="11" t="inlineStr">
        <is>
          <t>Virtual asset transfers: AML/CTF due diligence requirements</t>
        </is>
      </c>
      <c r="E1044" t="inlineStr">
        <is>
          <t>63–68</t>
        </is>
      </c>
      <c r="F1044" t="inlineStr">
        <is>
          <t>High</t>
        </is>
      </c>
      <c r="G1044" t="inlineStr">
        <is>
          <t>High (explicit)</t>
        </is>
      </c>
      <c r="H1044" s="11" t="inlineStr">
        <is>
          <t>AML</t>
        </is>
      </c>
      <c r="I1044" s="11" t="inlineStr">
        <is>
          <t>Financial Data, Customer Data</t>
        </is>
      </c>
      <c r="J1044" t="inlineStr">
        <is>
          <t>Australian Transaction Reports and Analysis Centre (AUSTRAC)</t>
        </is>
      </c>
      <c r="K1044" s="11" t="inlineStr">
        <is>
          <t>Reporting entities must implement specific due diligence procedures for virtual asset transfers. They must determine whether wallets are custodial or self-hosted, verify wallet controllers, assess capability to securely pass information, and mitigate money laundering risks. These obligations apply to reporting entities providing designated virtual asset transfer services.</t>
        </is>
      </c>
      <c r="L1044" s="11" t="inlineStr">
        <is>
          <t>This section mandates detailed due diligence for virtual asset transfers, requiring verification of wallet types, controller identity, and risk mitigation measures. It directly impacts cross-border data transfers involving virtual assets by imposing strict AML/CTF checks.</t>
        </is>
      </c>
      <c r="M1044" s="11" t="inlineStr">
        <is>
          <t>• [Must] Reporting entity must determine if wallet is custodial or self-hosted
• [Must] Reporting entity must verify wallet controller identity if custodial wallet</t>
        </is>
      </c>
      <c r="N1044" s="11" t="inlineStr">
        <is>
          <t>• [Must] Reporting entity must assess capability to securely pass information
• [Must] Reporting entity must mitigate ML/TF risk for unverified wallet controllers</t>
        </is>
      </c>
      <c r="O1044" s="11" t="inlineStr">
        <is>
          <t>Section 5-18(3)(a) requires reporting entities to determine whether wallet is custodial or self-hosted for virtual asset transfers.</t>
        </is>
      </c>
      <c r="P1044" s="12" t="n">
        <v>20</v>
      </c>
    </row>
    <row r="1045">
      <c r="A1045" t="inlineStr">
        <is>
          <t>Australia</t>
        </is>
      </c>
      <c r="B1045" t="inlineStr">
        <is>
          <t>F2026C00274 (Australia - Row 10)</t>
        </is>
      </c>
      <c r="C1045" t="inlineStr">
        <is>
          <t>144 (part 12)</t>
        </is>
      </c>
      <c r="D1045" s="11" t="inlineStr">
        <is>
          <t>Customer identity verification for financial services</t>
        </is>
      </c>
      <c r="E1045" t="inlineStr">
        <is>
          <t>68–73</t>
        </is>
      </c>
      <c r="F1045" t="inlineStr">
        <is>
          <t>High</t>
        </is>
      </c>
      <c r="G1045" t="inlineStr">
        <is>
          <t>High (explicit)</t>
        </is>
      </c>
      <c r="H1045" s="11" t="inlineStr">
        <is>
          <t>Customer Information, KYC</t>
        </is>
      </c>
      <c r="I1045" s="11" t="inlineStr">
        <is>
          <t>Customer Data, Financial Data</t>
        </is>
      </c>
      <c r="J1045" t="inlineStr">
        <is>
          <t>Australian Transaction Reports and Analysis Centre (AUSTRAC)</t>
        </is>
      </c>
      <c r="K1045" s="11" t="inlineStr">
        <is>
          <t>Reporting entities must collect specific KYC information for customers based on their legal structure. For sole traders, they must collect business names, alternative names, unique identifiers, and business addresses. For corporates, they must collect additional details including ownership structures and beneficial owners. These requirements apply to entities providing designated financial services.</t>
        </is>
      </c>
      <c r="L1045" s="11" t="inlineStr">
        <is>
          <t>This section establishes detailed customer identity verification requirements that impact data transfer assessments by mandating comprehensive KYC information collection for different customer types, particularly affecting cross-border financial transactions.</t>
        </is>
      </c>
      <c r="M1045" s="11" t="inlineStr">
        <is>
          <t>• [Must] Reporting entity must collect business names for sole traders
• [Must] Reporting entity must collect alternative names for customers
• [Must] Reporting entity must collect unique identifiers for customers</t>
        </is>
      </c>
      <c r="N1045" s="11" t="inlineStr">
        <is>
          <t>• [Must] Reporting entity must collect business addresses for customers
• [Must] Reporting entity must collect ownership structures for corporates</t>
        </is>
      </c>
      <c r="O1045" s="11" t="inlineStr">
        <is>
          <t>Section 6-1(2) requires reporting entities to collect business names, alternative names, unique identifiers, and business addresses for sole traders.</t>
        </is>
      </c>
      <c r="P1045" s="12" t="n">
        <v>20</v>
      </c>
    </row>
    <row r="1046">
      <c r="A1046" t="inlineStr">
        <is>
          <t>Australia</t>
        </is>
      </c>
      <c r="B1046" t="inlineStr">
        <is>
          <t>F2026C00274 (Australia - Row 10)</t>
        </is>
      </c>
      <c r="C1046" t="inlineStr">
        <is>
          <t>144 (part 13)</t>
        </is>
      </c>
      <c r="D1046" s="11" t="inlineStr">
        <is>
          <t>Customer identity verification for financial services</t>
        </is>
      </c>
      <c r="E1046" t="inlineStr">
        <is>
          <t>73–78</t>
        </is>
      </c>
      <c r="F1046" t="inlineStr">
        <is>
          <t>High</t>
        </is>
      </c>
      <c r="G1046" t="inlineStr">
        <is>
          <t>High (explicit)</t>
        </is>
      </c>
      <c r="H1046" s="11" t="inlineStr">
        <is>
          <t>Customer Information</t>
        </is>
      </c>
      <c r="I1046" s="11" t="inlineStr">
        <is>
          <t>Customer Data</t>
        </is>
      </c>
      <c r="J1046" t="inlineStr">
        <is>
          <t>Australian Financial Regulations</t>
        </is>
      </c>
      <c r="K1046" s="11" t="inlineStr">
        <is>
          <t>Reporting entities must verify customer identity and ML/TF risk when providing financial services. For individuals, they must confirm the customer's identity through reasonable steps. They must identify ML/TF risk based on KYC information and collect relevant KYC data. This applies to designated services where enhanced due diligence is not required. The reporting entity must also ensure they have AML/CTF policies to mitigate risks.</t>
        </is>
      </c>
      <c r="L1046" s="11" t="inlineStr">
        <is>
          <t>Requires verification of customer identity and ML/TF risk before service commencement. Mandates collection of KYC information appropriate to risk level. Affects data transfer assessments for financial services involving cross-border transactions.</t>
        </is>
      </c>
      <c r="M1046" s="11" t="inlineStr">
        <is>
          <t>• [Must] Reporting entity must take reasonable steps to establish customer identity for individuals
• [Must] Reporting entity must identify ML/TF risk based on KYC information
• [Must] Reporting entity must collect KYC information appropriate to ML/TF risk</t>
        </is>
      </c>
      <c r="N1046" s="11" t="inlineStr">
        <is>
          <t>• [Must] Reporting entity must establish on reasonable grounds matters in paragraphs 28(2)(a) and (c) of the Act
• [Must] Reporting entity must have AML/CTF policies to mitigate additional ML/TF risk</t>
        </is>
      </c>
      <c r="O1046" s="11" t="inlineStr">
        <is>
          <t>Section 6-9: The reporting entity has taken reasonable steps to establish that the customer is the person the customer claims to be; and the reporting entity has identified the ML/TF risk of the customer, based on KYC information about the customer that is reasonably available to the reporting entity.</t>
        </is>
      </c>
      <c r="P1046" s="12" t="n">
        <v>20</v>
      </c>
    </row>
    <row r="1047">
      <c r="A1047" t="inlineStr">
        <is>
          <t>Australia</t>
        </is>
      </c>
      <c r="B1047" t="inlineStr">
        <is>
          <t>F2026C00274 (Australia - Row 10)</t>
        </is>
      </c>
      <c r="C1047" t="inlineStr">
        <is>
          <t>144 (part 14)</t>
        </is>
      </c>
      <c r="D1047" s="11" t="inlineStr">
        <is>
          <t>Simplified customer due diligence for financial services</t>
        </is>
      </c>
      <c r="E1047" t="inlineStr">
        <is>
          <t>78–85</t>
        </is>
      </c>
      <c r="F1047" t="inlineStr">
        <is>
          <t>High</t>
        </is>
      </c>
      <c r="G1047" t="inlineStr">
        <is>
          <t>High (explicit)</t>
        </is>
      </c>
      <c r="H1047" s="11" t="inlineStr">
        <is>
          <t>Customer Information</t>
        </is>
      </c>
      <c r="I1047" s="11" t="inlineStr">
        <is>
          <t>Customer Data</t>
        </is>
      </c>
      <c r="J1047" t="inlineStr">
        <is>
          <t>Australian Financial Regulations</t>
        </is>
      </c>
      <c r="K1047" s="11" t="inlineStr">
        <is>
          <t>Reporting entities can apply simplified customer due diligence measures if authorized by the Act. They must verify customer identity for individuals, identify ML/TF risk, collect relevant KYC information, and ensure no reasonable grounds to doubt KYC information's adequacy or veracity. This applies to specific customer types and services where simplified measures are permitted.</t>
        </is>
      </c>
      <c r="L1047" s="11" t="inlineStr">
        <is>
          <t>Allows reduced due diligence for certain customers but requires verification of identity and risk assessment. Impacts data transfer assessments for services where simplified measures apply across borders.</t>
        </is>
      </c>
      <c r="M1047" s="11" t="inlineStr">
        <is>
          <t>• [Must] Reporting entity must take reasonable steps to establish customer identity for individuals
• [Must] Reporting entity must identify ML/TF risk based on KYC information</t>
        </is>
      </c>
      <c r="N1047" s="11" t="inlineStr">
        <is>
          <t>• [Must] Reporting entity must collect KYC information appropriate to ML/TF risk
• [Must] Reporting entity must have no reasonable grounds to doubt KYC information's adequacy or veracity</t>
        </is>
      </c>
      <c r="O1047" s="11" t="inlineStr">
        <is>
          <t>Section 6-17: the reporting entity has taken reasonable steps to establish that the customer is the person the customer claims to be; and the reporting entity has identified the ML/TF risk of the customer, based on KYC information about the customer that is reasonably available to the reporting entity.</t>
        </is>
      </c>
      <c r="P1047" s="12" t="n">
        <v>20</v>
      </c>
    </row>
    <row r="1048">
      <c r="A1048" t="inlineStr">
        <is>
          <t>Australia</t>
        </is>
      </c>
      <c r="B1048" t="inlineStr">
        <is>
          <t>F2026C00274 (Australia - Row 10)</t>
        </is>
      </c>
      <c r="C1048" t="inlineStr">
        <is>
          <t>144 (part 15)</t>
        </is>
      </c>
      <c r="D1048" s="11" t="inlineStr">
        <is>
          <t>Nested services relationships: initial and ongoing customer due diligence requirements</t>
        </is>
      </c>
      <c r="E1048" t="inlineStr">
        <is>
          <t>85–90</t>
        </is>
      </c>
      <c r="F1048" t="inlineStr">
        <is>
          <t>High</t>
        </is>
      </c>
      <c r="G1048" t="inlineStr">
        <is>
          <t>High (explicit)</t>
        </is>
      </c>
      <c r="H1048" s="11" t="inlineStr">
        <is>
          <t>Cross-border Transfer, International Processing, Data Storage, Security, AML, KYC</t>
        </is>
      </c>
      <c r="I1048" s="11" t="inlineStr">
        <is>
          <t>Financial Data, Customer Data</t>
        </is>
      </c>
      <c r="J1048" t="inlineStr">
        <is>
          <t>Australian Financial Services Regulatory Authority</t>
        </is>
      </c>
      <c r="K1048" s="11" t="inlineStr">
        <is>
          <t>Reporting entities must conduct initial customer due diligence for nested services relationships, including ownership structures, business complexity, country of operation, AML/CFT compliance, reputation, and risk assessment. They must also review ML/TF risk and KYC information every two years or when new services are introduced to ensure ongoing compliance with anti-money laundering and counter-terrorism financing obligations.</t>
        </is>
      </c>
      <c r="L1048" s="11" t="inlineStr">
        <is>
          <t>This section mandates specific due diligence for nested services relationships, requiring detailed customer assessments and periodic reviews to ensure robust AML/CFT compliance when transferring services across entities.</t>
        </is>
      </c>
      <c r="M1048" s="11" t="inlineStr">
        <is>
          <t>• [Must] Reporting entity must review ML/TF risk of customer every two years if providing designated services as part of nested services relationship
• [Must] Reporting entity must review and update KYC information every two years if providing designated services as part of nested services relationship
• [Must] Reporting entity must review KYC information when commencing new designated services in nested services relationship
• [Must] Reporting entity must assess customer ownership, control and management structures
• [Must] Reporting entity must assess customer business complexity including products, services, and customer types
• [Must] Reporting entity must assess customer country of operation and AML/CFT compliance in those countries</t>
        </is>
      </c>
      <c r="N1048" s="11" t="inlineStr">
        <is>
          <t>• [Must] Reporting entity must assess customer's AML/CFT systems and controls
• [Must] Reporting entity must assess customer reputation based on publicly available information
• [Must] Reporting entity must assess customer's history of regulatory investigations or adverse actions
• [Must] Reporting entity must determine if customer can provide KYC information independently
• [Must] Reporting entity must determine if customer allows shell banks to receive services
• [Must] Reporting entity must determine if customer ensures no services to customers with shell bank relationships</t>
        </is>
      </c>
      <c r="O1048" s="11" t="inlineStr">
        <is>
          <t>For the purposes of paragraph 30(2)(b)(iii) of the Act, the reporting entity must review, and where appropriate, update the reporting entity's identification and assessment of the ML/TF risk of a customer if: (a) the reporting entity provides designated services to the customer as part of a nested services relationship; and (b) 2 years have elapsed since the reporting entity last identified and assessed the ML/TF risk of the customer.</t>
        </is>
      </c>
      <c r="P1048" s="12" t="n">
        <v>20</v>
      </c>
    </row>
    <row r="1049">
      <c r="A1049" t="inlineStr">
        <is>
          <t>Australia</t>
        </is>
      </c>
      <c r="B1049" t="inlineStr">
        <is>
          <t>F2026C00274 (Australia - Row 10)</t>
        </is>
      </c>
      <c r="C1049" t="inlineStr">
        <is>
          <t>144 (part 16)</t>
        </is>
      </c>
      <c r="D1049" s="11" t="inlineStr">
        <is>
          <t>Reliance on KYC information collection and verification across international arrangements</t>
        </is>
      </c>
      <c r="E1049" t="inlineStr">
        <is>
          <t>90–95</t>
        </is>
      </c>
      <c r="F1049" t="inlineStr">
        <is>
          <t>High</t>
        </is>
      </c>
      <c r="G1049" t="inlineStr">
        <is>
          <t>High (explicit)</t>
        </is>
      </c>
      <c r="H1049" s="11" t="inlineStr">
        <is>
          <t>Cross-border Transfer, International Processing, Data Storage, Security, AML, KYC</t>
        </is>
      </c>
      <c r="I1049" s="11" t="inlineStr">
        <is>
          <t>Financial Data, Customer Data</t>
        </is>
      </c>
      <c r="J1049" t="inlineStr">
        <is>
          <t>Australian Financial Services Regulatory Authority</t>
        </is>
      </c>
      <c r="K1049" s="11" t="inlineStr">
        <is>
          <t>Reporting entities must establish agreements with foreign entities that meet specific KYC information collection and verification requirements. These agreements must ensure timely access to KYC information, verification data, and compliance with AML/CFT obligations, with regular assessments to maintain alignment with risk profiles.</t>
        </is>
      </c>
      <c r="L1049" s="11" t="inlineStr">
        <is>
          <t>This section defines requirements for international KYC information sharing arrangements, ensuring that data transfers for compliance purposes meet AML/CFT standards without compromising data security or privacy.</t>
        </is>
      </c>
      <c r="M1049" s="11" t="inlineStr">
        <is>
          <t>• [Must] Agreement must involve reporting entities or persons regulated by foreign countries with FATF-compliant laws
• [Must] Agreement must ensure compliance with reporting entity's obligations or equivalent foreign laws
• [Must] Agreement must be appropriate to the reporting entity's ML/TF risk exposure
• [Must] Agreement must enable access to KYC information before service commencement</t>
        </is>
      </c>
      <c r="N1049" s="11" t="inlineStr">
        <is>
          <t>• [Must] Agreement must enable access to verification data immediately upon request
• [Must] Agreement must document responsibilities for record-keeping
• [Must] Reporting entity must assess agreement compliance every two years or when significant changes occur</t>
        </is>
      </c>
      <c r="O1049" s="11" t="inlineStr">
        <is>
          <t>For the purposes of paragraph 37A(1)(b) of the Act, the following requirements are prescribed in relation to an agreement or arrangement of the kind referred to in paragraph 37A(1)(a) of the Act: (a) the other party to the agreement or arrangement must be a reporting entity or a person regulated by one or more laws of a foreign country that give effect to the FATF Recommendations relating to customer due diligence and record-keeping.</t>
        </is>
      </c>
      <c r="P1049" s="12" t="n">
        <v>20</v>
      </c>
    </row>
    <row r="1050">
      <c r="A1050" t="inlineStr">
        <is>
          <t>Australia</t>
        </is>
      </c>
      <c r="B1050" t="inlineStr">
        <is>
          <t>F2026C00274 (Australia - Row 10)</t>
        </is>
      </c>
      <c r="C1050" t="inlineStr">
        <is>
          <t>144 (part 17)</t>
        </is>
      </c>
      <c r="D1050" s="11" t="inlineStr">
        <is>
          <t>Customer due diligence for life policies and sinking fund policies</t>
        </is>
      </c>
      <c r="E1050" t="inlineStr">
        <is>
          <t>95–102</t>
        </is>
      </c>
      <c r="F1050" t="inlineStr">
        <is>
          <t>High</t>
        </is>
      </c>
      <c r="G1050" t="inlineStr">
        <is>
          <t>High (explicit)</t>
        </is>
      </c>
      <c r="H1050" s="11" t="inlineStr">
        <is>
          <t>Customer Information, Financial Data, AML</t>
        </is>
      </c>
      <c r="I1050" s="11" t="inlineStr">
        <is>
          <t>Personal Information, Financial Data</t>
        </is>
      </c>
      <c r="J1050" t="inlineStr">
        <is>
          <t>AUSTRAC</t>
        </is>
      </c>
      <c r="K1050" s="11" t="inlineStr">
        <is>
          <t>A reporting entity establishes customer identity for life policies or sinking fund policies if it provides services covered by items 37 or 38 of table 1 in section 6 of the Act. This requires collecting full names of potential beneficiaries or descriptive information about beneficiary classes when individual identification is impossible. The requirement applies to reporting entities conducting these specific financial services.</t>
        </is>
      </c>
      <c r="L1050" s="11" t="inlineStr">
        <is>
          <t>This section mandates specific customer identification procedures for life policies and sinking fund policies, which are critical for DTIAs involving cross-border transfers of financial data related to policy beneficiaries.</t>
        </is>
      </c>
      <c r="M1050" s="11" t="inlineStr">
        <is>
          <t>• [Must] Reporting entity must have established on reasonable grounds customer identity for life policies or sinking fund policies
• [Must] Reporting entity must collect full name of any person entitled to receive policy payment</t>
        </is>
      </c>
      <c r="N1050" s="11" t="inlineStr">
        <is>
          <t>• [Must] If individual identification impossible, reporting entity must collect descriptive information about beneficiary classes</t>
        </is>
      </c>
      <c r="O1050" s="11" t="inlineStr">
        <is>
          <t>For purposes of paragraph 28(6)(b) of the Act, a reporting entity is taken to have established on reasonable grounds the matter mentioned in paragraph 28(2)(b) of the Act in relation to a customer if: (a) the designated service proposed to be provided by the reporting entity to the customer is covered by item 37 or 38 of table 1 in section 6 of the Act (services relating to a life policy or sinking fund policy); and (b) the reporting entity has: (i) collected the full name of any person who may be entitled to receive a payment under the policy; or (ii) if the nature of the policy means that it is not possible to identify each such person—collected information describing each class of persons that may be entitled to a payment under the policy.</t>
        </is>
      </c>
      <c r="P1050" s="12" t="n">
        <v>20</v>
      </c>
    </row>
    <row r="1051">
      <c r="A1051" t="inlineStr">
        <is>
          <t>Australia</t>
        </is>
      </c>
      <c r="B1051" t="inlineStr">
        <is>
          <t>F2026C00274 (Australia - Row 10)</t>
        </is>
      </c>
      <c r="C1051" t="inlineStr">
        <is>
          <t>144 (part 18)</t>
        </is>
      </c>
      <c r="D1051" s="11" t="inlineStr">
        <is>
          <t>Correspondent banking due diligence requirements</t>
        </is>
      </c>
      <c r="E1051" t="inlineStr">
        <is>
          <t>102–108</t>
        </is>
      </c>
      <c r="F1051" t="inlineStr">
        <is>
          <t>High</t>
        </is>
      </c>
      <c r="G1051" t="inlineStr">
        <is>
          <t>High (explicit)</t>
        </is>
      </c>
      <c r="H1051" s="11" t="inlineStr">
        <is>
          <t>Customer Information, Financial Data, AML</t>
        </is>
      </c>
      <c r="I1051" s="11" t="inlineStr">
        <is>
          <t>Financial Data</t>
        </is>
      </c>
      <c r="J1051" t="inlineStr">
        <is>
          <t>AUSTRAC</t>
        </is>
      </c>
      <c r="K1051" s="11" t="inlineStr">
        <is>
          <t>Financial institutions must conduct due diligence assessments for correspondent banking relationships involving vostro accounts. This includes assessing risks of money laundering, terrorism financing, and other serious crimes, evaluating the respondent's ownership structures, business complexity, operational countries, regulatory compliance, and anti-money laundering policies. The assessments must be completed before establishing new correspondent banking relationships.</t>
        </is>
      </c>
      <c r="L1051" s="11" t="inlineStr">
        <is>
          <t>This section establishes specific due diligence requirements for correspondent banking relationships, which are critical for DTIAs as they mandate detailed risk assessments for cross-border financial data transfers involving virtual asset service providers.</t>
        </is>
      </c>
      <c r="M1051" s="11" t="inlineStr">
        <is>
          <t>• [Must] Correspondent must assess risks of money laundering, terrorism financing, and other serious crimes
• [Must] Correspondent must evaluate respondent's ownership, control, and management structures
• [Must] Correspondent must assess respondent's business size, complexity, and customer types</t>
        </is>
      </c>
      <c r="N1051" s="11" t="inlineStr">
        <is>
          <t>• [Must] Correspondent must evaluate respondent's operational countries and regulatory compliance
• [Must] Correspondent must assess respondent's anti-money laundering and counter-terrorism financing policies</t>
        </is>
      </c>
      <c r="O1051" s="11" t="inlineStr">
        <is>
          <t>For the purposes of paragraph 96(1)(a) of the Act, this section sets out requirements for the due diligence assessment to be carried out by a financial institution (the correspondent) in relation to an entry into a correspondent banking relationship with another financial institution (the respondent) that will involve a vostro account. The due diligence assessment required to be carried out is an assessment of the risks of money laundering, financing of terrorism, proliferation financing and other serious crimes associated with the entry into the correspondent banking relationship.</t>
        </is>
      </c>
      <c r="P1051" s="12" t="n">
        <v>20</v>
      </c>
    </row>
    <row r="1052">
      <c r="A1052" t="inlineStr">
        <is>
          <t>Australia</t>
        </is>
      </c>
      <c r="B1052" t="inlineStr">
        <is>
          <t>F2026C00274 (Australia - Row 10)</t>
        </is>
      </c>
      <c r="C1052" t="inlineStr">
        <is>
          <t>144 (part 19)</t>
        </is>
      </c>
      <c r="D1052" s="11" t="inlineStr">
        <is>
          <t>Obligations for collecting, verifying and passing on payment information</t>
        </is>
      </c>
      <c r="E1052" t="inlineStr">
        <is>
          <t>108–114</t>
        </is>
      </c>
      <c r="F1052" t="inlineStr">
        <is>
          <t>High</t>
        </is>
      </c>
      <c r="G1052" t="inlineStr">
        <is>
          <t>High (explicit)</t>
        </is>
      </c>
      <c r="H1052" s="11" t="inlineStr">
        <is>
          <t>Data Sharing, Financial Data</t>
        </is>
      </c>
      <c r="I1052" s="11" t="inlineStr">
        <is>
          <t>Financial Data, Customer Data</t>
        </is>
      </c>
      <c r="J1052" t="inlineStr">
        <is>
          <t>AUSTRAC</t>
        </is>
      </c>
      <c r="K1052" s="11" t="inlineStr">
        <is>
          <t>This section specifies information that ordering institutions must collect, verify, and pass on for different types of value transfers. It details required information for merchant payments, refunds, ATM withdrawals, and self-hosted virtual asset wallets. The obligations apply to reporting entities handling payments within Australia's financial system. The section includes specific data fields for payers and payees depending on the transfer type.</t>
        </is>
      </c>
      <c r="L1052" s="11" t="inlineStr">
        <is>
          <t>This section defines precise data requirements for payment transfers, impacting DTIA by specifying which information must be collected, verified, and shared across different payment mechanisms. It affects cross-border transfers involving virtual assets.</t>
        </is>
      </c>
      <c r="M1052" s="11" t="inlineStr">
        <is>
          <t>• [Must] For merchant payments, collect card number of payer used in merchant payment
• [Must] For refunds of merchant payments, collect card number of payer used in refunded payment</t>
        </is>
      </c>
      <c r="N1052" s="11" t="inlineStr">
        <is>
          <t>• [Must] For ATM withdrawals, collect payer's full name and card number used
• [Must] For transfers to self-hosted virtual asset wallets, collect payer information and payee's full name</t>
        </is>
      </c>
      <c r="O1052" s="11" t="inlineStr">
        <is>
          <t>Section 8-3: Obligations of ordering institutions—collecting, verifying and passing on information</t>
        </is>
      </c>
      <c r="P1052" s="12" t="n">
        <v>20</v>
      </c>
    </row>
    <row r="1053">
      <c r="A1053" t="inlineStr">
        <is>
          <t>Australia</t>
        </is>
      </c>
      <c r="B1053" t="inlineStr">
        <is>
          <t>F2026C00274 (Australia - Row 10)</t>
        </is>
      </c>
      <c r="C1053" t="inlineStr">
        <is>
          <t>144 (part 20)</t>
        </is>
      </c>
      <c r="D1053" s="11" t="inlineStr">
        <is>
          <t>Exemptions for international value transfers</t>
        </is>
      </c>
      <c r="E1053" t="inlineStr">
        <is>
          <t>114–120</t>
        </is>
      </c>
      <c r="F1053" t="inlineStr">
        <is>
          <t>High</t>
        </is>
      </c>
      <c r="G1053" t="inlineStr">
        <is>
          <t>High (explicit)</t>
        </is>
      </c>
      <c r="H1053" s="11" t="inlineStr">
        <is>
          <t>International Processing</t>
        </is>
      </c>
      <c r="I1053" s="11" t="inlineStr">
        <is>
          <t>Financial Data</t>
        </is>
      </c>
      <c r="J1053" t="inlineStr">
        <is>
          <t>AUSTRAC</t>
        </is>
      </c>
      <c r="K1053" s="11" t="inlineStr">
        <is>
          <t>This section outlines specific circumstances where obligations for value transfers do not apply, including transfers through foreign permanent establishments, inter-financial institution transfers, SWIFT systems, and cheques. It also provides exemptions for merchant payments and refunds, and certain existing customers. These exemptions apply to reporting entities handling value transfers under the Act.</t>
        </is>
      </c>
      <c r="L1053" s="11" t="inlineStr">
        <is>
          <t>This section identifies specific transfer scenarios exempt from data collection obligations, which is critical for DTIA as it determines when cross-border transfers require additional safeguards.</t>
        </is>
      </c>
      <c r="M1053" s="11" t="inlineStr">
        <is>
          <t>• [Condition] Exemptions apply to transfers through foreign permanent establishments meeting FATF Recommendations
• [Condition] Exemptions apply to inter-financial institution transfers acting on their own behalf
• [Condition] Exemptions apply to SWIFT system transfers between supervised financial institutions</t>
        </is>
      </c>
      <c r="N1053" s="11" t="inlineStr">
        <is>
          <t>• [Condition] Exemptions apply to cheques drawn on ordering institutions
• [Condition] Exemptions apply to merchant payments and refunds</t>
        </is>
      </c>
      <c r="O1053" s="11" t="inlineStr">
        <is>
          <t>Section 8-7: Exemptions—designated services provided at or through foreign permanent establishments</t>
        </is>
      </c>
      <c r="P1053" s="12" t="n">
        <v>20</v>
      </c>
    </row>
    <row r="1054">
      <c r="A1054" t="inlineStr">
        <is>
          <t>Australia</t>
        </is>
      </c>
      <c r="B1054" t="inlineStr">
        <is>
          <t>F2026C00274 (Australia - Row 10)</t>
        </is>
      </c>
      <c r="C1054" t="inlineStr">
        <is>
          <t>144 (part 21)</t>
        </is>
      </c>
      <c r="D1054" s="11" t="inlineStr">
        <is>
          <t>Suspicious activity reports: required information for reporting entities</t>
        </is>
      </c>
      <c r="E1054" t="inlineStr">
        <is>
          <t>120–124</t>
        </is>
      </c>
      <c r="F1054" t="inlineStr">
        <is>
          <t>High</t>
        </is>
      </c>
      <c r="G1054" t="inlineStr">
        <is>
          <t>High (explicit)</t>
        </is>
      </c>
      <c r="H1054" s="11" t="inlineStr">
        <is>
          <t>Cross-border Transfer, International Processing, Data Sharing, Financial Data, KYC</t>
        </is>
      </c>
      <c r="I1054" s="11" t="inlineStr">
        <is>
          <t>Financial Data, Customer Data</t>
        </is>
      </c>
      <c r="J1054" t="inlineStr">
        <is>
          <t>AUSTRAC</t>
        </is>
      </c>
      <c r="K1054" s="11" t="inlineStr">
        <is>
          <t>Reporting entities must include specific information in suspicious activity reports, including reportable details about the person involved, their relationship to the matter, and the designated service. The report must contain applicable and known information about the matter, involved persons, and transactions. Reporting entities must also provide descriptions of relationships and relevant transaction details where applicable. This applies to entities obligated to report suspicious matters under the Act.</t>
        </is>
      </c>
      <c r="L1054" s="11" t="inlineStr">
        <is>
          <t>This section mandates detailed information reporting for suspicious activity, impacting data transfer assessments by requiring comprehensive reporting of involved persons, transaction details, and relationships across borders.</t>
        </is>
      </c>
      <c r="M1054" s="11" t="inlineStr">
        <is>
          <t>• [Must] Report must contain reportable information about the person in relation to whom the suspicious matter reporting obligation arose
• [Must] Report must contain information on the person's involvement in the matter
• [Must] Report must contain reportable information about another person if required by the reportable information
• [Must] Report must contain reportable information about the involved person to the extent applicable and known
• [Must] Report must contain a description of the relationship between the involved person and the person in relation to whom the suspicious matter reporting obligation arose
• [Must] Report must contain a description of the circumstances in paragraphs 41(1)(a) to (c) of the Act that apply to the matter
• [Must] Report must contain a description of the conditions in paragraphs 41(1)(d) to (j) of the Act that are satisfied in respect of the matter
• [Must] Report must contain the date and time the reporting entity commenced to provide the designated service to the first person if paragraph 41(1)(a) applies
• [Must] Report must contain the date and time the first person requested the reporting entity to provide the designated service if paragraph 41(1)(b) applies
• [Must] Report must contain the date and time the first person inquired of the reporting entity whether the reporting entity would be willing to provide the designated service if paragraph 41(1)(c) applies
• [Must] Report must contain information on the offence against a law of the Commonwealth or a State or Territory if conditions in subparagraph 41(1)(f)(iii) are satisfied
• [Must] Report must contain any addresses or locations relevant to the matter
• [Must] Report must contain the reporting entity's reference number relating to the provision or proposed provision of the designated service
• [Must] Report must contain a description of each designated service that relates to the matter
• [Must] Report must contain the full name of the person providing the account
• [Must] Report must contain information about the account holder that would be required under subsection 9-3(3) if the account holder were the person in relation to whom the suspicious matter reporting obligation arose
• [Must] Report must contain the kind of account (such as a savings account, loan account or credit card account)
• [Must] Report must contain the unique identification details assigned to the account (such as the BSB)
• [Must] Report must contain information for each signatory to whom the matter relates that would be required under subsection 9-3(3)
• [Must] Report must contain the full name of the other signatories to the account or a description of each type or class of signatory if there are more than 10 signatories
• [Must] Report must contain the date the account was opened
• [Must] Report must contain the balance of the account on dates relevant to the matter
• [Must] Report must contain a description of the transaction
• [Must] Report must contain the value associated with the transaction (in Australian dollars or a foreign currency)
• [Must] Report must contain the kind and amount of foreign currency involved and the exchange rate used if the transaction involved foreign currency</t>
        </is>
      </c>
      <c r="N1054" s="11" t="inlineStr">
        <is>
          <t>• [Must] Report must contain a description of the products or instruments
• [Must] Report must contain the value of the products or instruments (in Australian dollars or a foreign currency)
• [Must] Report must contain information for each payer or transferor of the products or instruments that would be required under subsection 9-3(3)
• [Must] Report must contain the full name of the issuer and the address or location where the products or instruments were issued if the issuer is not the reporting entity
• [Must] Report must contain information for each payee, transferee or beneficiary of the transaction that would be required under subsection 9-3(3)
• [Must] Report must contain the date and time when the transaction took place
• [Must] Report must contain the value of the money, virtual assets or property that is the subject of the transfer of value
• [Must] Report must contain a unique transaction reference number
• [Must] Report must contain information on the kind of virtual assets, including details of the backing asset
• [Must] Report must contain the full name of any person who controls, or controlled, the virtual asset
• [Must] Report must contain the full name of any person in whose name the assets are, or were, held
• [Must] Report must contain the number of virtual asset units
• [Must] Report must contain the value of the virtual assets in Australian dollars
• [Must] Report must contain the exchange rate used in determining the value
• [Must] Report must contain the unique transaction reference number, including a transaction hash
• [Must] Report must contain any virtual asset wallet addresses, including destination tags or memo details
• [Must] Report must contain the full name of the person who provided or proposed to provide a designated service
• [Must] Report must contain the address or location where the person provided or proposed to provide a designated service
• [Must] Report must contain the kind of designated service provided or proposed to be provided by the person
• [Must] Report must contain unique network identification numbers for the networks used by the person
• [Must] Report must contain the date and time that online activity was recorded occurring
• [Must] Report must contain unique identification numbers for the relevant devices involved
• [Must] Report must contain a description of the software or application being used by the person
• [Must] Report must contain the full name, and any user name, used by the person for the purposes of the software or application</t>
        </is>
      </c>
      <c r="O1054" s="11" t="inlineStr">
        <is>
          <t>Section 9-4(3) The report must contain the following information, to the extent it is applicable and known to the reporting entity: (a) reportable information about the person in relation to whom the suspicious matter reporting obligation arose for the reporting entity; (b) information on the person's involvement in the matter.</t>
        </is>
      </c>
      <c r="P1054" s="12" t="n">
        <v>20</v>
      </c>
    </row>
    <row r="1055">
      <c r="A1055" t="inlineStr">
        <is>
          <t>Australia</t>
        </is>
      </c>
      <c r="B1055" t="inlineStr">
        <is>
          <t>F2026C00274 (Australia - Row 10)</t>
        </is>
      </c>
      <c r="C1055" t="inlineStr">
        <is>
          <t>144 (part 22)</t>
        </is>
      </c>
      <c r="D1055" s="11" t="inlineStr">
        <is>
          <t>Threshold transaction reporting requirements</t>
        </is>
      </c>
      <c r="E1055" t="inlineStr">
        <is>
          <t>124–129</t>
        </is>
      </c>
      <c r="F1055" t="inlineStr">
        <is>
          <t>High</t>
        </is>
      </c>
      <c r="G1055" t="inlineStr">
        <is>
          <t>High (explicit)</t>
        </is>
      </c>
      <c r="H1055" s="11" t="inlineStr">
        <is>
          <t>Cross-border Transfer, Financial Data, KYC, Data Sharing</t>
        </is>
      </c>
      <c r="I1055" s="11" t="inlineStr">
        <is>
          <t>Financial Data, Customer Data</t>
        </is>
      </c>
      <c r="J1055" t="inlineStr">
        <is>
          <t>AUSTRAC</t>
        </is>
      </c>
      <c r="K1055" s="11" t="inlineStr">
        <is>
          <t>Reporting entities must include specific information in threshold transaction reports, including entity details, customer information, transaction details, and related persons. The reports must contain reportable information about individuals and non-individuals, with specific requirements for accounts, products, and property transfers. This applies to entities reporting threshold transactions under the Act.</t>
        </is>
      </c>
      <c r="L1055" s="11" t="inlineStr">
        <is>
          <t>This section specifies detailed reporting requirements for threshold transactions, impacting data transfer assessments by mandating comprehensive information on transactions, customers, and related entities.</t>
        </is>
      </c>
      <c r="M1055" s="11" t="inlineStr">
        <is>
          <t>• [Must] Report must contain the reporting entity's full name and the identifier assigned to the entity by AUSTRAC
• [Must] Report must contain the date the report is given to the AUSTRAC CEO
• [Must] Report must contain the individual's position with the reporting entity
• [Must] Report must contain reportable information about the customer to the extent applicable and known
• [Must] Report must contain reportable information about the transferor or transferee in the transaction (if different to the customer)
• [Must] Report must contain reportable information about another person if the customer received the designated service on behalf of another person
• Report must contain a description of the relationship between the person and the customer
• [Must] Report must contain a description of the authority for the person to act on behalf of the customer
• [Must] Report must contain reportable information about the person
• [Must] Report must contain a statement as to the circumstances of the designated service if the customer was represented by a person in circumstances where the threshold transaction was a deposit with no personal contact
• [Must] Report must contain a statement as to the circumstances of the designated service if the transaction did not involve a virtual asset
• [Must] Report must contain a statement as to the circumstances of the designated service if the person was acting in the course of a business of collecting, holding or delivering physical currency
• [Must] Report must contain the date and time when the transaction took place
• [Must] Report must contain the address or location where the transaction took place</t>
        </is>
      </c>
      <c r="N1055" s="11" t="inlineStr">
        <is>
          <t>• [Must] Report must contain the person's role in the transaction (to the extent known)
• [Must] Report must contain a description of the purpose of the transaction (to the extent known)
• [Must] Report must contain the kind of designated service that was provided and that involved the transaction
• [Must] Report must contain the reporting entity's reference number relating to the provision of the designated service
• [Must] Report must contain the value, in Australian dollars, of the physical currency involved in the transaction
• [Must] Report must contain the kind and amount of foreign currency involved and the exchange rate used if the transaction involves foreign currency
• [Must] Report must contain the full name of the person providing the account
• [Must] Report must contain the full name of each account holder
• [Must] Report must contain the kind of account (such as a savings account, loan account or credit card account)
• [Must] Report must contain the unique identification details assigned to the account (such as the BSB)
• [Must] Report must contain the full name of the signatory to the account who is conducting the transaction
• [Must] Report must contain the date the account was opened
• [Must] Report must contain a description of the products or instruments and their value</t>
        </is>
      </c>
      <c r="O1055" s="11" t="inlineStr">
        <is>
          <t>Section 9-8(1) The report must contain the following information about the threshold transaction: (a) the date and time when the transaction took place; (b) the address or location where the transaction took place; (c) for each person in relation to whom information is reportable under section 9-7—the person's role in the transaction (to the extent known); (d) a description of the purpose of the transaction (to the extent known); (e) the kind of designated service that was provided and that involved the transaction; (f) the reporting entity's reference number relating to the provision of the designated service that involved the transaction (including, but not limited to, a transaction reference number); (g) the value, in Australian dollars, of the physical currency involved in the transaction; (h) if the transaction involves foreign currency—the kind and amount of the foreign currency involved and the exchange rate used.</t>
        </is>
      </c>
      <c r="P1055" s="12" t="n">
        <v>20</v>
      </c>
    </row>
    <row r="1056">
      <c r="A1056" t="inlineStr">
        <is>
          <t>Australia</t>
        </is>
      </c>
      <c r="B1056" t="inlineStr">
        <is>
          <t>F2026C00274 (Australia - Row 10)</t>
        </is>
      </c>
      <c r="C1056" t="inlineStr">
        <is>
          <t>144 (part 23)</t>
        </is>
      </c>
      <c r="D1056" s="11" t="inlineStr">
        <is>
          <t>Reporting requirements for virtual assets and cross-border monetary instruments</t>
        </is>
      </c>
      <c r="E1056" t="inlineStr">
        <is>
          <t>129–136</t>
        </is>
      </c>
      <c r="F1056" t="inlineStr">
        <is>
          <t>High</t>
        </is>
      </c>
      <c r="G1056" t="inlineStr">
        <is>
          <t>High (explicit)</t>
        </is>
      </c>
      <c r="H1056" s="11" t="inlineStr">
        <is>
          <t>Cross-border Transfer, International Processing, Data Storage, Security, Consent, Financial Data, KYC, AML</t>
        </is>
      </c>
      <c r="I1056" s="11" t="inlineStr">
        <is>
          <t>Financial Data, Customer Data, Employee Data, Special Personal Information</t>
        </is>
      </c>
      <c r="J1056" t="inlineStr">
        <is>
          <t>AUSTRAC</t>
        </is>
      </c>
      <c r="K1056" s="11" t="inlineStr">
        <is>
          <t>This section mandates detailed reporting for virtual assets and monetary instruments moving across borders. Reporting entities must disclose specific information about virtual assets, including their type, value, and controlling persons, when transactions exceed thresholds. It also requires comprehensive details about individuals or entities moving monetary instruments into or out of Australia, including personal identifiers, addresses, and financial details. These obligations apply to reporting entities under the Australian Transaction Reports and Analysis Centre (AUSTRAC) framework.</t>
        </is>
      </c>
      <c r="L1056" s="11" t="inlineStr">
        <is>
          <t>This section imposes strict data reporting requirements for cross-border monetary instrument transfers and virtual assets, necessitating detailed personal and financial information. It affects DTIAs by requiring thorough data collection and validation of cross-border transactions to prevent illicit financial flows.</t>
        </is>
      </c>
      <c r="M1056" s="11" t="inlineStr">
        <is>
          <t>• [Must] Reports must include information on virtual assets, including their type, backing asset, controlling persons, and value in Australian dollars
• [Must] Reports must specify the full name of persons controlling virtual assets, including decentralised autonomous organisations
• [Must] Reports must include the number of virtual asset units and exchange rate used to determine value
• [Must] Reports must contain unique transaction reference numbers and virtual asset wallet addresses
• [Must] Reports must include details of individuals moving monetary instruments into or out of Australia</t>
        </is>
      </c>
      <c r="N1056" s="11" t="inlineStr">
        <is>
          <t>• [Must] Reports must contain full name, date of birth, citizenship, residential address, and telephone number for individuals
• [Must] Reports must include ABN, ACN, and ARBN details for non-individual entities
• [Must] Reports must specify the monetary instrument type, amount, and currency being moved
• [Must] Reports must include details of the person receiving monetary instruments
• [Must] Reports must be submitted within specific timeframes depending on movement method</t>
        </is>
      </c>
      <c r="O1056" s="11" t="inlineStr">
        <is>
          <t>Section 9-8(5) states: 'If the threshold transaction relates to virtual assets, the report must contain the following information about the virtual assets (as applicable and to the extent that the information is known): (a) information on the kind of virtual assets, including details of the backing asset (if any); (b) the full name of any person who controls, or controlled, the virtual asset (including a decentralised autonomous organisation, if applicable); ...'</t>
        </is>
      </c>
      <c r="P1056" s="12" t="n">
        <v>20</v>
      </c>
    </row>
    <row r="1057">
      <c r="A1057" t="inlineStr">
        <is>
          <t>Australia</t>
        </is>
      </c>
      <c r="B1057" t="inlineStr">
        <is>
          <t>F2026C00274 (Australia - Row 10)</t>
        </is>
      </c>
      <c r="C1057" t="inlineStr">
        <is>
          <t>144 (part 24)</t>
        </is>
      </c>
      <c r="D1057" s="11" t="inlineStr">
        <is>
          <t>Cross-border monetary instrument reporting obligations</t>
        </is>
      </c>
      <c r="E1057" t="inlineStr">
        <is>
          <t>136–141</t>
        </is>
      </c>
      <c r="F1057" t="inlineStr">
        <is>
          <t>High</t>
        </is>
      </c>
      <c r="G1057" t="inlineStr">
        <is>
          <t>High (explicit)</t>
        </is>
      </c>
      <c r="H1057" s="11" t="inlineStr">
        <is>
          <t>Cross-border Transfer, International Processing, Data Storage, Security, Financial Data, KYC, AML</t>
        </is>
      </c>
      <c r="I1057" s="11" t="inlineStr">
        <is>
          <t>Financial Data, Customer Data, Special Personal Information</t>
        </is>
      </c>
      <c r="J1057" t="inlineStr">
        <is>
          <t>AUSTRAC</t>
        </is>
      </c>
      <c r="K1057" s="11" t="inlineStr">
        <is>
          <t>This section establishes reporting requirements for monetary instruments moving across Australia's borders. It specifies detailed information that must be included in reports for individuals or entities moving monetary instruments into or out of Australia, including personal identifiers, addresses, and financial details. The reporting must be completed within specific timeframes depending on the movement method, with penalties for non-compliance. These obligations apply to reporting entities under AUSTRAC's framework.</t>
        </is>
      </c>
      <c r="L1057" s="11" t="inlineStr">
        <is>
          <t>This section requires comprehensive data collection for cross-border monetary transfers, impacting DTIAs by mandating detailed personal and financial information validation to ensure compliance with Australian financial regulations.</t>
        </is>
      </c>
      <c r="M1057" s="11" t="inlineStr">
        <is>
          <t>• [Must] Reports must include full name, date of birth, citizenship, residential address, and telephone number for individuals moving monetary instruments
• [Must] Reports must contain ABN, ACN, and ARBN details for non-individual entities
• [Must] Reports must specify the monetary instrument type, amount, and currency being moved</t>
        </is>
      </c>
      <c r="N1057" s="11" t="inlineStr">
        <is>
          <t>• [Must] Reports must include details of the person receiving monetary instruments
• [Must] Reports must be submitted within specific timeframes depending on movement method</t>
        </is>
      </c>
      <c r="O1057" s="11" t="inlineStr">
        <is>
          <t>Section 9-12(2) states: 'For the purposes of paragraph (1)(a), the information is as follows: (a) if the person is an individual: (i) the person's full name; (ii) the person's date and place of birth; ... (ix) the person's ABN (if any);'</t>
        </is>
      </c>
      <c r="P1057" s="12" t="n">
        <v>20</v>
      </c>
    </row>
    <row r="1058">
      <c r="A1058" t="inlineStr">
        <is>
          <t>Australia</t>
        </is>
      </c>
      <c r="B1058" t="inlineStr">
        <is>
          <t>F2026C00274 (Australia - Row 10)</t>
        </is>
      </c>
      <c r="C1058" t="inlineStr">
        <is>
          <t>144 (part 25)</t>
        </is>
      </c>
      <c r="D1058" s="11" t="inlineStr">
        <is>
          <t>Transitional reporting requirements for suspicious and threshold transactions</t>
        </is>
      </c>
      <c r="E1058" t="inlineStr">
        <is>
          <t>141–147</t>
        </is>
      </c>
      <c r="F1058" t="inlineStr">
        <is>
          <t>High</t>
        </is>
      </c>
      <c r="G1058" t="inlineStr">
        <is>
          <t>High (explicit)</t>
        </is>
      </c>
      <c r="H1058" s="11" t="inlineStr"/>
      <c r="I1058" s="11" t="inlineStr">
        <is>
          <t>Financial Data, Customer Data</t>
        </is>
      </c>
      <c r="J1058" t="inlineStr">
        <is>
          <t>AUSTRAC CEO</t>
        </is>
      </c>
      <c r="K1058" s="11" t="inlineStr">
        <is>
          <t>This section establishes transitional requirements for reporting suspicious matters and threshold transactions in the first three months after the instrument's commencement. Reporting entities must use the approved form from before the instrument's commencement and comply with specific Anti-Money Laundering and Counter-Terrorism Financing Rules. Reports must be submitted within defined timeframes and include specific information to satisfy the reporting obligations under the Act.</t>
        </is>
      </c>
      <c r="L1058" s="11" t="inlineStr">
        <is>
          <t>Requires specific reporting formats and timelines for suspicious and threshold transactions during transitional periods, impacting data transfer and reporting practices across borders for financial institutions.</t>
        </is>
      </c>
      <c r="M1058" s="11" t="inlineStr">
        <is>
          <t>• [Must] Reports must be in the form approved immediately before commencement
• [Must] Reports must comply with Chapter 18 of the Anti-Money Laundering and Counter-Terrorism Financing Rules Instrument 2007</t>
        </is>
      </c>
      <c r="N1058" s="11" t="inlineStr">
        <is>
          <t>• [Must] Reports must be submitted within 3 months after commencement
• [Must] Reports must include information required under Division 1 of Part 9</t>
        </is>
      </c>
      <c r="O1058" s="11" t="inlineStr">
        <is>
          <t>12-1  Transitional—reports of suspicious matters to be in old form for first 3 months after commencement (1) Subsections (2) and (3) apply if: (a) a suspicious matter reporting obligation arises for a reporting entity in relation to a person; and (b) the reporting entity is required under subsection 41(2) of the Act to give a report about the matter to the AUSTRAC CEO at any time in the period: (i) beginning at the commencement of this instrument; and (ii) ending on 30 June 2026.</t>
        </is>
      </c>
      <c r="P1058" s="12" t="n">
        <v>20</v>
      </c>
    </row>
    <row r="1059">
      <c r="A1059" t="inlineStr">
        <is>
          <t>Australia</t>
        </is>
      </c>
      <c r="B1059" t="inlineStr">
        <is>
          <t>F2026C00274 (Australia - Row 10)</t>
        </is>
      </c>
      <c r="C1059" t="inlineStr">
        <is>
          <t>144 (part 26)</t>
        </is>
      </c>
      <c r="D1059" s="11" t="inlineStr">
        <is>
          <t>Extension notices for keep open notices</t>
        </is>
      </c>
      <c r="E1059" t="inlineStr">
        <is>
          <t>147–155</t>
        </is>
      </c>
      <c r="F1059" t="inlineStr">
        <is>
          <t>High</t>
        </is>
      </c>
      <c r="G1059" t="inlineStr">
        <is>
          <t>High (explicit)</t>
        </is>
      </c>
      <c r="H1059" s="11" t="inlineStr"/>
      <c r="I1059" s="11" t="inlineStr">
        <is>
          <t>Financial Data, Customer Data</t>
        </is>
      </c>
      <c r="J1059" t="inlineStr">
        <is>
          <t>AUSTRAC CEO</t>
        </is>
      </c>
      <c r="K1059" s="11" t="inlineStr">
        <is>
          <t>This section details the requirements for extension notices that can prolong the validity of keep open notices. The extension notices must be issued by a senior member of an agency, specify a further 6-month period, and maintain exemptions from certain sections of the Act. The notices do not compel reporting entities to continue services but may trigger suspicious matter reporting obligations.</t>
        </is>
      </c>
      <c r="L1059" s="11" t="inlineStr">
        <is>
          <t>Allows for extended periods of exemptions from certain financial regulations through keep open notices, impacting data transfer and processing practices across borders for financial institutions.</t>
        </is>
      </c>
      <c r="M1059" s="11" t="inlineStr">
        <is>
          <t>• [Must] Extension notices extend keep open notices by a further 6 months
• [Must] Extension notices must be issued to the reporting entity before the expiry of the keep open notice</t>
        </is>
      </c>
      <c r="N1059" s="11" t="inlineStr">
        <is>
          <t>• [Must] Senior members must reasonably believe continued service provision assists investigation
• [Must] Reporting entities remain exempt from sections 26G, 28 or 30 of the Act</t>
        </is>
      </c>
      <c r="O1059" s="11" t="inlineStr">
        <is>
          <t>Form 2—Extension notice: This extension notice extends the period that a keep open notice remains in force for a further period of 6 months.</t>
        </is>
      </c>
      <c r="P1059" s="12" t="n">
        <v>20</v>
      </c>
    </row>
    <row r="1060">
      <c r="A1060" t="inlineStr">
        <is>
          <t>Australia</t>
        </is>
      </c>
      <c r="B1060" t="inlineStr">
        <is>
          <t>Prudential Standard - CPS 230 Operational Risk Management - clean (Australia - Row 3)</t>
        </is>
      </c>
      <c r="C1060" t="inlineStr">
        <is>
          <t>1</t>
        </is>
      </c>
      <c r="D1060" s="11" t="inlineStr">
        <is>
          <t>Prudential Standard authority basis</t>
        </is>
      </c>
      <c r="E1060" t="inlineStr">
        <is>
          <t>2</t>
        </is>
      </c>
      <c r="F1060" t="inlineStr">
        <is>
          <t>Low</t>
        </is>
      </c>
      <c r="G1060" t="inlineStr">
        <is>
          <t>High (explicit)</t>
        </is>
      </c>
      <c r="H1060" s="11" t="inlineStr"/>
      <c r="I1060" s="11" t="inlineStr"/>
      <c r="J1060" t="inlineStr"/>
      <c r="K1060" s="11" t="inlineStr">
        <is>
          <t>This section specifies the legislative basis for the Prudential Standard by referencing relevant sections of multiple Australian Acts. It establishes that the standard is enacted under the Banking Act 1959, Insurance Act 1973, Life Insurance Act 1995, Private Health Insurance (Prudential Supervision) Act 2015, and Superannuation Industry (Supervision) Act 1993. The section does not impose operational requirements but clarifies the legal foundation for the standard.</t>
        </is>
      </c>
      <c r="L1060" s="11" t="inlineStr"/>
      <c r="M1060" s="11" t="inlineStr">
        <is>
          <t>• [Must] This Prudential Standard is made under section 11AF of the Banking Act 1959
• [Must] This Prudential Standard is made under section 32 of the Insurance Act 1973
• [Must] This Prudential Standard is made under section 230A of the Life Insurance Act 1995</t>
        </is>
      </c>
      <c r="N1060" s="11" t="inlineStr">
        <is>
          <t>• [Must] This Prudential Standard is made under section 92 of the Private Health Insurance (Prudential Supervision) Act 2015
• [Must] This Prudential Standard is made under section 34C of the Superannuation Industry (Supervision) Act 1993</t>
        </is>
      </c>
      <c r="O1060" s="11" t="inlineStr">
        <is>
          <t>This Prudential Standard is made under: (a) section 11AF of the Banking Act 1959 (Banking Act); (b) section 32 of the Insurance Act 1973 (Insurance Act); (c) section 230A of the Life Insurance Act 1995 (Life Insurance Act); (d) section 92 of the Private Health Insurance (Prudential Supervision) Act 2015 (PHIPS Act); and (e) section 34C of the Superannuation Industry (Supervision) Act 1993 (SIS Act).</t>
        </is>
      </c>
      <c r="P1060" s="12" t="n">
        <v>21</v>
      </c>
    </row>
    <row r="1061">
      <c r="A1061" t="inlineStr">
        <is>
          <t>Australia</t>
        </is>
      </c>
      <c r="B1061" t="inlineStr">
        <is>
          <t>Prudential Standard - CPS 230 Operational Risk Management - clean (Australia - Row 3)</t>
        </is>
      </c>
      <c r="C1061" t="inlineStr">
        <is>
          <t>2</t>
        </is>
      </c>
      <c r="D1061" s="11" t="inlineStr">
        <is>
          <t>APRA-regulated entities covered by the standard</t>
        </is>
      </c>
      <c r="E1061" t="inlineStr">
        <is>
          <t>2</t>
        </is>
      </c>
      <c r="F1061" t="inlineStr">
        <is>
          <t>Low</t>
        </is>
      </c>
      <c r="G1061" t="inlineStr">
        <is>
          <t>High (explicit)</t>
        </is>
      </c>
      <c r="H1061" s="11" t="inlineStr"/>
      <c r="I1061" s="11" t="inlineStr"/>
      <c r="J1061" t="inlineStr"/>
      <c r="K1061" s="11" t="inlineStr">
        <is>
          <t>This section defines which APRA-regulated entities are subject to the Prudential Standard. It includes authorized deposit-taking institutions (ADIs), foreign ADIs, non-operating holding companies, general insurers, Category C insurers, non-operating holding companies, life companies, friendly societies, eligible foreign life insurance companies, private health insurers, and registrable superannuation entity licensees. The scope covers entities operating under specific Australian Acts.</t>
        </is>
      </c>
      <c r="L1061" s="11" t="inlineStr"/>
      <c r="M1061" s="11" t="inlineStr">
        <is>
          <t>• [Must] This Prudential Standard applies to all APRA-regulated entities defined as: authorized deposit-taking institutions (ADIs), including foreign ADIs, and non-operating holding companies authorized under the Banking Act
• [Must] This Prudential Standard applies to all APRA-regulated entities defined as: general insurers, including Category C insurers, non-operating holding companies authorized under the Insurance Act, and parent entities of Level 2 insurance groups
• [Must] This Prudential Standard applies to all APRA-regulated entities defined as: life companies, including friendly societies, eligible foreign life insurance companies (EFLICs) and registered non-operating holding companies</t>
        </is>
      </c>
      <c r="N1061" s="11" t="inlineStr">
        <is>
          <t>• [Must] This Prudential Standard applies to all APRA-regulated entities defined as: private health insurers registered under the PHIPS Act
• [Must] This Prudential Standard applies to all APRA-regulated entities defined as: registrable superannuation entity licensees (RSE licensees) under the SIS Act in respect of their business operations</t>
        </is>
      </c>
      <c r="O1061" s="11" t="inlineStr">
        <is>
          <t>This Prudential Standard applies to all APRA-regulated entities defined as: (a) authorized deposit-taking institutions (ADIs), including foreign ADIs, and non-operating holding companies authorized under the Banking Act (authorized banking NOHCs); (b) general insurers, including Category C insurers, non-operating holding companies authorized under the Insurance Act (authorised insurance NOHCs) and parent entities of Level 2 insurance groups; (c) life companies, including friendly societies, eligible foreign life insurance companies (EFLICs) and registered NOHCs; (d) private health insurers registered under the PHIPS Act; and (e) registrable superannuation entity licensees (RSE licensees) under the SIS Act in respect of their business operations.</t>
        </is>
      </c>
      <c r="P1061" s="12" t="n">
        <v>21</v>
      </c>
    </row>
    <row r="1062">
      <c r="A1062" t="inlineStr">
        <is>
          <t>Australia</t>
        </is>
      </c>
      <c r="B1062" t="inlineStr">
        <is>
          <t>Prudential Standard - CPS 230 Operational Risk Management - clean (Australia - Row 3)</t>
        </is>
      </c>
      <c r="C1062" t="inlineStr">
        <is>
          <t>11</t>
        </is>
      </c>
      <c r="D1062" s="11" t="inlineStr">
        <is>
          <t>Operational risk management obligations</t>
        </is>
      </c>
      <c r="E1062" t="inlineStr">
        <is>
          <t>3–4</t>
        </is>
      </c>
      <c r="F1062" t="inlineStr">
        <is>
          <t>High</t>
        </is>
      </c>
      <c r="G1062" t="inlineStr">
        <is>
          <t>High (explicit)</t>
        </is>
      </c>
      <c r="H1062" s="11" t="inlineStr"/>
      <c r="I1062" s="11" t="inlineStr">
        <is>
          <t>Financial Data</t>
        </is>
      </c>
      <c r="J1062" t="inlineStr">
        <is>
          <t>APRA</t>
        </is>
      </c>
      <c r="K1062" s="11" t="inlineStr">
        <is>
          <t>APRA-regulated entities must effectively manage operational risks, maintain critical operations within tolerance levels during severe disruptions, and manage risks associated with service providers. This section establishes core operational risk management responsibilities for entities, including setting appropriate standards for conduct and compliance, ensuring resilience through disruptions, and overseeing third-party risks.</t>
        </is>
      </c>
      <c r="L1062" s="11" t="inlineStr">
        <is>
          <t>This section requires entities to manage operational risks including data risk, which impacts data transfer and storage across borders due to the need for robust incident response and business continuity planning.</t>
        </is>
      </c>
      <c r="M1062" s="11" t="inlineStr">
        <is>
          <t>• [Must] Effectively manage its operational risks, and set and maintain appropriate standards for conduct and compliance
• [Must] Maintain its critical operations within tolerance levels through severe disruptions</t>
        </is>
      </c>
      <c r="N1062" s="11" t="inlineStr">
        <is>
          <t>• [Must] Manage the risks associated with the use of service providers</t>
        </is>
      </c>
      <c r="O1062" s="11" t="inlineStr">
        <is>
          <t>An APRA-regulated entity must: (a) effectively manage its operational risks, and set and maintain appropriate standards for conduct and compliance; (b) maintain its critical operations within tolerance levels through severe disruptions; and (c) manage the risks associated with the use of service providers.</t>
        </is>
      </c>
      <c r="P1062" s="12" t="n">
        <v>21</v>
      </c>
    </row>
    <row r="1063">
      <c r="A1063" t="inlineStr">
        <is>
          <t>Australia</t>
        </is>
      </c>
      <c r="B1063" t="inlineStr">
        <is>
          <t>Prudential Standard - CPS 230 Operational Risk Management - clean (Australia - Row 3)</t>
        </is>
      </c>
      <c r="C1063" t="inlineStr">
        <is>
          <t>15</t>
        </is>
      </c>
      <c r="D1063" s="11" t="inlineStr">
        <is>
          <t>Operational risk management framework requirements</t>
        </is>
      </c>
      <c r="E1063" t="inlineStr">
        <is>
          <t>4</t>
        </is>
      </c>
      <c r="F1063" t="inlineStr">
        <is>
          <t>High</t>
        </is>
      </c>
      <c r="G1063" t="inlineStr">
        <is>
          <t>High (explicit)</t>
        </is>
      </c>
      <c r="H1063" s="11" t="inlineStr"/>
      <c r="I1063" s="11" t="inlineStr">
        <is>
          <t>Financial Data</t>
        </is>
      </c>
      <c r="J1063" t="inlineStr">
        <is>
          <t>APRA</t>
        </is>
      </c>
      <c r="K1063" s="11" t="inlineStr">
        <is>
          <t>APRA-regulated entities must develop and maintain a comprehensive operational risk management framework. This includes governance arrangements for oversight, assessment of operational risk profiles with defined risk appetite, effective internal controls, monitoring and reporting mechanisms, business continuity plans that are regularly tested with severe scenarios, and processes for managing service provider arrangements.</t>
        </is>
      </c>
      <c r="L1063" s="11" t="inlineStr">
        <is>
          <t>This section mandates robust operational risk frameworks that impact data transfer and storage by requiring business continuity planning, risk assessment, and service provider management, which are critical for cross-border data resilience.</t>
        </is>
      </c>
      <c r="M1063" s="11" t="inlineStr">
        <is>
          <t>• [Must] Develop and maintain governance arrangements for the oversight of operational risk
• [Must] Assess its operational risk profile with a defined risk appetite supported by indicators, limits and tolerance levels
• [Must] Maintain internal controls designed and operating effectively for the management of operational risks</t>
        </is>
      </c>
      <c r="N1063" s="11" t="inlineStr">
        <is>
          <t>• [Must] Monitor, analyze and report on operational risks and establish escalation processes for operational incidents and events
• [Must] Develop business continuity plans (BCPs) that set out how the entity would identify, manage and respond to disruptions within tolerance levels and are regularly tested with severe but plausible scenarios
• [Must] Develop processes for the management of service provider arrangements</t>
        </is>
      </c>
      <c r="O1063" s="11" t="inlineStr">
        <is>
          <t>As part of its risk management framework required under Prudential Standard CPS 220 Risk Management (CPS 220) and Prudential Standard SPS 220 Risk Management (SPS 220), an APRA-regulated entity must develop and maintain: (a) governance arrangements for the oversight of operational risk; (b) an assessment of its operational risk profile, with a defined risk appetite supported by indicators, limits and tolerance levels; (c) internal controls that are designed and operating effectively for the management of operational risks; (d) appropriate monitoring, analysis and reporting of operational risks and escalation processes for operational incidents and events; (e) business continuity plan(s) (BCPs) that set out how the entity would identify, manage and respond to a disruption within tolerance levels and are regularly tested with severe but plausible scenarios; and (f) processes for the management of service provider arrangements.</t>
        </is>
      </c>
      <c r="P1063" s="12" t="n">
        <v>21</v>
      </c>
    </row>
    <row r="1064">
      <c r="A1064" t="inlineStr">
        <is>
          <t>Australia</t>
        </is>
      </c>
      <c r="B1064" t="inlineStr">
        <is>
          <t>Prudential Standard - CPS 230 Operational Risk Management - clean (Australia - Row 3)</t>
        </is>
      </c>
      <c r="C1064" t="inlineStr">
        <is>
          <t>21</t>
        </is>
      </c>
      <c r="D1064" s="11" t="inlineStr">
        <is>
          <t>Board oversight of operational risk management</t>
        </is>
      </c>
      <c r="E1064" t="inlineStr">
        <is>
          <t>5–6</t>
        </is>
      </c>
      <c r="F1064" t="inlineStr">
        <is>
          <t>High</t>
        </is>
      </c>
      <c r="G1064" t="inlineStr">
        <is>
          <t>High (explicit)</t>
        </is>
      </c>
      <c r="H1064" s="11" t="inlineStr"/>
      <c r="I1064" s="11" t="inlineStr">
        <is>
          <t>Financial Data</t>
        </is>
      </c>
      <c r="J1064" t="inlineStr">
        <is>
          <t>APRA</t>
        </is>
      </c>
      <c r="K1064" s="11" t="inlineStr">
        <is>
          <t>The Board must oversee operational risk management effectiveness, approve business continuity plans and tolerance levels for critical operations, review testing results, and approve service provider management policies. The Board is responsible for ensuring senior management takes action on operational risk concerns and provides regular updates on the entity's risk profile.</t>
        </is>
      </c>
      <c r="L1064" s="11" t="inlineStr">
        <is>
          <t>This section requires Board-level oversight of operational risk, which impacts data transfer and storage by mandating regular reviews of business continuity plans and service provider risks, critical for cross-border data resilience.</t>
        </is>
      </c>
      <c r="M1064" s="11" t="inlineStr">
        <is>
          <t>• [Must] Oversee operational risk management and the effectiveness of key internal controls in maintaining the entity's operational risk profile within risk appetite
• [Must] Be provided with regular updates on the APRA-regulated entity's operational risk profile and ensure senior management takes action as required to address any areas of concern
• [Must] Approve the business continuity plan and tolerance levels for disruptions to critical operations</t>
        </is>
      </c>
      <c r="N1064" s="11" t="inlineStr">
        <is>
          <t>• [Must] Review the results of testing and oversee the execution of any findings
• [Must] Approve the service provider management policy
• [Must] Review risk and performance reporting on material service providers</t>
        </is>
      </c>
      <c r="O1064" s="11" t="inlineStr">
        <is>
          <t>The Board must: (a) oversee operational risk management and the effectiveness of key internal controls in maintaining the entity's operational risk profile within risk appetite. The Board must be provided with regular updates on the APRA-regulated entity's operational risk profile and ensure senior management takes action as required to address any areas of concern; (b) approve the BCP and tolerance levels for disruptions to critical operations, review the results of testing and oversee the execution of any findings; and (c) approve the service provider management policy, and review risk and performance reporting on material service providers.</t>
        </is>
      </c>
      <c r="P1064" s="12" t="n">
        <v>21</v>
      </c>
    </row>
    <row r="1065">
      <c r="A1065" t="inlineStr">
        <is>
          <t>Australia</t>
        </is>
      </c>
      <c r="B1065" t="inlineStr">
        <is>
          <t>Prudential Standard - CPS 230 Operational Risk Management - clean (Australia - Row 3)</t>
        </is>
      </c>
      <c r="C1065" t="inlineStr">
        <is>
          <t>23</t>
        </is>
      </c>
      <c r="D1065" s="11" t="inlineStr">
        <is>
          <t>Operational risk scope definition</t>
        </is>
      </c>
      <c r="E1065" t="inlineStr">
        <is>
          <t>6</t>
        </is>
      </c>
      <c r="F1065" t="inlineStr">
        <is>
          <t>High</t>
        </is>
      </c>
      <c r="G1065" t="inlineStr">
        <is>
          <t>High (explicit)</t>
        </is>
      </c>
      <c r="H1065" s="11" t="inlineStr"/>
      <c r="I1065" s="11" t="inlineStr">
        <is>
          <t>Financial Data</t>
        </is>
      </c>
      <c r="J1065" t="inlineStr">
        <is>
          <t>APRA</t>
        </is>
      </c>
      <c r="K1065" s="11" t="inlineStr">
        <is>
          <t>APRA-regulated entities must manage all operational risks including legal, regulatory, compliance, conduct, technology, data, and change management risks. Senior management is responsible for operational risk management across end-to-end business processes.</t>
        </is>
      </c>
      <c r="L1065" s="11" t="inlineStr">
        <is>
          <t>This section defines operational risk scope, which includes data risk, impacting data transfer and storage by requiring comprehensive risk management across all business operations.</t>
        </is>
      </c>
      <c r="M1065" s="11" t="inlineStr">
        <is>
          <t>• [Must] Manage its full range of operational risks, including but not limited to legal risk, regulatory risk, compliance risk, conduct risk, technology risk, data risk and change management risk</t>
        </is>
      </c>
      <c r="N1065" s="11" t="inlineStr">
        <is>
          <t>• [Must] Senior management are responsible for operational risk management across the end-to-end process for all business operations</t>
        </is>
      </c>
      <c r="O1065" s="11" t="inlineStr">
        <is>
          <t>An APRA-regulated entity must manage its full range of operational risks, including but not limited to legal risk, regulatory risk, compliance risk, conduct risk, technology risk, data risk and change management risk. Senior management are responsible for operational risk management across the end-to-end process for all business operations.</t>
        </is>
      </c>
      <c r="P1065" s="12" t="n">
        <v>21</v>
      </c>
    </row>
    <row r="1066">
      <c r="A1066" t="inlineStr">
        <is>
          <t>Australia</t>
        </is>
      </c>
      <c r="B1066" t="inlineStr">
        <is>
          <t>Prudential Standard - CPS 230 Operational Risk Management - clean (Australia - Row 3)</t>
        </is>
      </c>
      <c r="C1066" t="inlineStr">
        <is>
          <t>24</t>
        </is>
      </c>
      <c r="D1066" s="11" t="inlineStr">
        <is>
          <t>Maintain IT capabilities for operational risk management</t>
        </is>
      </c>
      <c r="E1066" t="inlineStr">
        <is>
          <t>6</t>
        </is>
      </c>
      <c r="F1066" t="inlineStr">
        <is>
          <t>High</t>
        </is>
      </c>
      <c r="G1066" t="inlineStr">
        <is>
          <t>High (explicit)</t>
        </is>
      </c>
      <c r="H1066" s="11" t="inlineStr">
        <is>
          <t>Data Storage, Security</t>
        </is>
      </c>
      <c r="I1066" s="11" t="inlineStr">
        <is>
          <t>Personal Information, Financial Data</t>
        </is>
      </c>
      <c r="J1066" t="inlineStr">
        <is>
          <t>APRA</t>
        </is>
      </c>
      <c r="K1066" s="11" t="inlineStr">
        <is>
          <t>APRA-regulated entities must maintain robust information and information technology capabilities to meet current and projected business needs and support critical operations. They must monitor the age and health of information assets and comply with information security requirements outlined in Prudential Standard CPS 234.</t>
        </is>
      </c>
      <c r="L1066" s="11" t="inlineStr">
        <is>
          <t>This section requires entities to maintain IT capabilities that support critical operations, directly impacting data storage and processing resilience during cross-border operations.</t>
        </is>
      </c>
      <c r="M1066" s="11" t="inlineStr">
        <is>
          <t>• [Must] Maintain appropriate and sound information and information technology capability to meet current and projected business requirements
• [Must] Monitor the age and health of information assets</t>
        </is>
      </c>
      <c r="N1066" s="11" t="inlineStr">
        <is>
          <t>• [Must] Meet information security requirements in Prudential Standard CPS 234</t>
        </is>
      </c>
      <c r="O1066" s="11" t="inlineStr">
        <is>
          <t>An APRA-regulated entity must maintain appropriate and sound information and information technology (IT) capability to meet its current and projected business requirements and to support its critical operations and risk management.</t>
        </is>
      </c>
      <c r="P1066" s="12" t="n">
        <v>21</v>
      </c>
    </row>
    <row r="1067">
      <c r="A1067" t="inlineStr">
        <is>
          <t>Australia</t>
        </is>
      </c>
      <c r="B1067" t="inlineStr">
        <is>
          <t>Prudential Standard - CPS 230 Operational Risk Management - clean (Australia - Row 3)</t>
        </is>
      </c>
      <c r="C1067" t="inlineStr">
        <is>
          <t>26</t>
        </is>
      </c>
      <c r="D1067" s="11" t="inlineStr">
        <is>
          <t>Conduct comprehensive operational risk assessment</t>
        </is>
      </c>
      <c r="E1067" t="inlineStr">
        <is>
          <t>6</t>
        </is>
      </c>
      <c r="F1067" t="inlineStr">
        <is>
          <t>High</t>
        </is>
      </c>
      <c r="G1067" t="inlineStr">
        <is>
          <t>High (explicit)</t>
        </is>
      </c>
      <c r="H1067" s="11" t="inlineStr">
        <is>
          <t>Data Storage</t>
        </is>
      </c>
      <c r="I1067" s="11" t="inlineStr">
        <is>
          <t>Financial Data</t>
        </is>
      </c>
      <c r="J1067" t="inlineStr">
        <is>
          <t>APRA</t>
        </is>
      </c>
      <c r="K1067" s="11" t="inlineStr">
        <is>
          <t>APRA-regulated entities must maintain a comprehensive assessment of their operational risk profile. This includes monitoring operational risk, compiling and analyzing risk data, identifying critical operations, and conducting scenario analysis to test resilience and identify mitigation strategies.</t>
        </is>
      </c>
      <c r="L1067" s="11" t="inlineStr">
        <is>
          <t>This section mandates detailed operational risk assessments that affect data storage, processing, and resilience planning for cross-border data transfers.</t>
        </is>
      </c>
      <c r="M1067" s="11" t="inlineStr">
        <is>
          <t>• [Must] Maintain appropriate and effective information systems to monitor operational risk, compile and analyze operational risk data, and facilitate reporting to the Board and senior management
• [Must] Identify and document processes and resources needed for critical operations, including people, technology, information, facilities, service providers, interdependencies, and associated risks</t>
        </is>
      </c>
      <c r="N1067" s="11" t="inlineStr">
        <is>
          <t>• [Must] Undertake scenario analysis to identify and assess potential impacts of severe operational risk events</t>
        </is>
      </c>
      <c r="O1067" s="11" t="inlineStr">
        <is>
          <t>An APRA-regulated entity must maintain a comprehensive assessment of its operational risk profile. As part of this, an APRA-regulated entity must: (a) maintain appropriate and effective information systems to monitor operational risk, compile and analyse operational risk data and facilitate reporting to the Board and senior management; (b) identify and document the processes and resources needed to deliver critical operations, including people, technology, information, facilities and service providers, the interdependencies across them, and the associated risks, obligations, key data and controls; and (c) undertake scenario analysis to identify and assess the potential impact of severe operational risk events, test its operational resilience and identify the need for new or amended controls and other mitigation strategies.</t>
        </is>
      </c>
      <c r="P1067" s="12" t="n">
        <v>21</v>
      </c>
    </row>
    <row r="1068">
      <c r="A1068" t="inlineStr">
        <is>
          <t>Australia</t>
        </is>
      </c>
      <c r="B1068" t="inlineStr">
        <is>
          <t>Prudential Standard - CPS 230 Operational Risk Management - clean (Australia - Row 3)</t>
        </is>
      </c>
      <c r="C1068" t="inlineStr">
        <is>
          <t>30</t>
        </is>
      </c>
      <c r="D1068" s="11" t="inlineStr">
        <is>
          <t>Remediate operational risk weaknesses</t>
        </is>
      </c>
      <c r="E1068" t="inlineStr">
        <is>
          <t>7</t>
        </is>
      </c>
      <c r="F1068" t="inlineStr">
        <is>
          <t>High</t>
        </is>
      </c>
      <c r="G1068" t="inlineStr">
        <is>
          <t>High (explicit)</t>
        </is>
      </c>
      <c r="H1068" s="11" t="inlineStr">
        <is>
          <t>Data Storage</t>
        </is>
      </c>
      <c r="I1068" s="11" t="inlineStr">
        <is>
          <t>Financial Data</t>
        </is>
      </c>
      <c r="J1068" t="inlineStr">
        <is>
          <t>APRA</t>
        </is>
      </c>
      <c r="K1068" s="11" t="inlineStr">
        <is>
          <t>APRA-regulated entities must address material weaknesses in operational risk management, including control gaps and failures. Remediation requires clear accountability, assurance, and timely root cause analysis, with identified weaknesses documented in the operational risk profile until resolved.</t>
        </is>
      </c>
      <c r="L1068" s="11" t="inlineStr">
        <is>
          <t>This section requires remediation of operational risk weaknesses, affecting data storage and processing resilience for cross-border data transfers.</t>
        </is>
      </c>
      <c r="M1068" s="11" t="inlineStr">
        <is>
          <t>• [Must] Remediate material weaknesses in operational risk management, including control gaps, weaknesses and failures
• [Must] Support remediation with clear accountabilities and assurance</t>
        </is>
      </c>
      <c r="N1068" s="11" t="inlineStr">
        <is>
          <t>• [Must] Address root causes of weaknesses in a timely manner
• [Must] Include identified control gaps, weaknesses and failures in operational risk profile until remediated</t>
        </is>
      </c>
      <c r="O1068" s="11" t="inlineStr">
        <is>
          <t>An APRA-regulated entity must remediate material weaknesses in its operational risk management, including control gaps, weaknesses and failures. This remediation must be supported by clear accountabilities and assurance and address the root causes of weaknesses in a timely manner. An APRA-regulated entity must include identified control gaps, weaknesses and failures in its operational risk profile until such matters are remediated.</t>
        </is>
      </c>
      <c r="P1068" s="12" t="n">
        <v>21</v>
      </c>
    </row>
    <row r="1069">
      <c r="A1069" t="inlineStr">
        <is>
          <t>Australia</t>
        </is>
      </c>
      <c r="B1069" t="inlineStr">
        <is>
          <t>Prudential Standard - CPS 230 Operational Risk Management - clean (Australia - Row 3)</t>
        </is>
      </c>
      <c r="C1069" t="inlineStr">
        <is>
          <t>31</t>
        </is>
      </c>
      <c r="D1069" s="11" t="inlineStr">
        <is>
          <t>Report operational risk incidents and near misses</t>
        </is>
      </c>
      <c r="E1069" t="inlineStr">
        <is>
          <t>7</t>
        </is>
      </c>
      <c r="F1069" t="inlineStr">
        <is>
          <t>High</t>
        </is>
      </c>
      <c r="G1069" t="inlineStr">
        <is>
          <t>High (explicit)</t>
        </is>
      </c>
      <c r="H1069" s="11" t="inlineStr">
        <is>
          <t>Incident Reporting</t>
        </is>
      </c>
      <c r="I1069" s="11" t="inlineStr">
        <is>
          <t>Financial Data</t>
        </is>
      </c>
      <c r="J1069" t="inlineStr">
        <is>
          <t>APRA</t>
        </is>
      </c>
      <c r="K1069" s="11" t="inlineStr">
        <is>
          <t>APRA-regulated entities must identify, escalate, record, and address operational risk incidents and near misses within a timely manner. They must also incorporate these incidents into operational risk profile assessments to evaluate control effectiveness.</t>
        </is>
      </c>
      <c r="L1069" s="11" t="inlineStr">
        <is>
          <t>This section mandates timely reporting of operational incidents, impacting data storage and processing resilience for cross-border data transfers.</t>
        </is>
      </c>
      <c r="M1069" s="11" t="inlineStr">
        <is>
          <t>• [Must] Identify, escalate, record and address operational risk incidents and near misses in a timely manner</t>
        </is>
      </c>
      <c r="N1069" s="11" t="inlineStr">
        <is>
          <t>• [Must] Take incidents and near misses into account in operational risk profile assessment and control effectiveness evaluation</t>
        </is>
      </c>
      <c r="O1069" s="11" t="inlineStr">
        <is>
          <t>An APRA-regulated entity must ensure that operational risk incidents and near misses are identified, escalated, recorded and addressed in a timely manner. An APRA-regulated entity must take incidents and near misses into account in its assessment of its operational risk profile and control effectiveness in a timely manner.</t>
        </is>
      </c>
      <c r="P1069" s="12" t="n">
        <v>21</v>
      </c>
    </row>
    <row r="1070">
      <c r="A1070" t="inlineStr">
        <is>
          <t>Australia</t>
        </is>
      </c>
      <c r="B1070" t="inlineStr">
        <is>
          <t>Prudential Standard - CPS 230 Operational Risk Management - clean (Australia - Row 3)</t>
        </is>
      </c>
      <c r="C1070" t="inlineStr">
        <is>
          <t>32</t>
        </is>
      </c>
      <c r="D1070" s="11" t="inlineStr">
        <is>
          <t>Notify APRA of material operational incidents</t>
        </is>
      </c>
      <c r="E1070" t="inlineStr">
        <is>
          <t>7</t>
        </is>
      </c>
      <c r="F1070" t="inlineStr">
        <is>
          <t>High</t>
        </is>
      </c>
      <c r="G1070" t="inlineStr">
        <is>
          <t>High (explicit)</t>
        </is>
      </c>
      <c r="H1070" s="11" t="inlineStr">
        <is>
          <t>Breach Notification</t>
        </is>
      </c>
      <c r="I1070" s="11" t="inlineStr">
        <is>
          <t>Financial Data</t>
        </is>
      </c>
      <c r="J1070" t="inlineStr">
        <is>
          <t>APRA</t>
        </is>
      </c>
      <c r="K1070" s="11" t="inlineStr">
        <is>
          <t>APRA-regulated entities must notify APRA within 72 hours of becoming aware of operational risk incidents that could have a material financial impact or disrupt critical operations.</t>
        </is>
      </c>
      <c r="L1070" s="11" t="inlineStr">
        <is>
          <t>This section requires timely notification of material operational incidents, affecting data storage and processing resilience for cross-border data transfers.</t>
        </is>
      </c>
      <c r="M1070" s="11" t="inlineStr">
        <is>
          <t>• [Must] Notify APRA as soon as possible, not later than 72 hours after becoming aware of an operational risk incident likely to have material financial impact or disrupt critical operations</t>
        </is>
      </c>
      <c r="N1070" s="11" t="inlineStr"/>
      <c r="O1070" s="11" t="inlineStr">
        <is>
          <t>An APRA-regulated entity must notify APRA as soon as possible, and not later than 72 hours, after becoming aware of an operational risk incident that it determines to be likely to have a material financial impact or a material impact on the ability of the entity to maintain its critical operations.</t>
        </is>
      </c>
      <c r="P1070" s="12" t="n">
        <v>21</v>
      </c>
    </row>
    <row r="1071">
      <c r="A1071" t="inlineStr">
        <is>
          <t>Australia</t>
        </is>
      </c>
      <c r="B1071" t="inlineStr">
        <is>
          <t>Prudential Standard - CPS 230 Operational Risk Management - clean (Australia - Row 3)</t>
        </is>
      </c>
      <c r="C1071" t="inlineStr">
        <is>
          <t>33</t>
        </is>
      </c>
      <c r="D1071" s="11" t="inlineStr">
        <is>
          <t>Maintain critical operations continuity</t>
        </is>
      </c>
      <c r="E1071" t="inlineStr">
        <is>
          <t>7–8</t>
        </is>
      </c>
      <c r="F1071" t="inlineStr">
        <is>
          <t>High</t>
        </is>
      </c>
      <c r="G1071" t="inlineStr">
        <is>
          <t>High (explicit)</t>
        </is>
      </c>
      <c r="H1071" s="11" t="inlineStr"/>
      <c r="I1071" s="11" t="inlineStr">
        <is>
          <t>Financial Data</t>
        </is>
      </c>
      <c r="J1071" t="inlineStr">
        <is>
          <t>APRA</t>
        </is>
      </c>
      <c r="K1071" s="11" t="inlineStr">
        <is>
          <t>APRA-regulated entities must define critical operations, minimize disruption risks, maintain credible business continuity plans, activate plans during disruptions, and return to normal operations promptly after disruptions.</t>
        </is>
      </c>
      <c r="L1071" s="11" t="inlineStr">
        <is>
          <t>This section requires business continuity planning for critical operations, directly impacting data storage and processing resilience during cross-border data transfers.</t>
        </is>
      </c>
      <c r="M1071" s="11" t="inlineStr">
        <is>
          <t>• [Must] Define, identify and maintain a register of critical operations
• [Must] Take reasonable steps to minimize likelihood and impact of disruptions to critical operations
• [Must] Maintain a credible business continuity plan for critical operations within tolerance levels</t>
        </is>
      </c>
      <c r="N1071" s="11" t="inlineStr">
        <is>
          <t>• [Must] Activate business continuity plan if needed during disruptions
• [Must] Return to normal operations promptly after disruptions</t>
        </is>
      </c>
      <c r="O1071" s="11" t="inlineStr">
        <is>
          <t>An APRA-regulated entity must: (a) define, identify and maintain a register of its critical operations; (b) take reasonable steps to minimise the likelihood and impact of disruptions to its critical operations; (c) maintain a credible BCP that sets out how it would maintain its critical operations within tolerance levels through disruptions, including disaster recovery planning for critical information assets; (d) activate its BCP if needed in the event of a disruption; and (e) return to normal operations promptly after a disruption is over.</t>
        </is>
      </c>
      <c r="P1071" s="12" t="n">
        <v>21</v>
      </c>
    </row>
    <row r="1072">
      <c r="A1072" t="inlineStr">
        <is>
          <t>Australia</t>
        </is>
      </c>
      <c r="B1072" t="inlineStr">
        <is>
          <t>Prudential Standard - CPS 230 Operational Risk Management - clean (Australia - Row 3)</t>
        </is>
      </c>
      <c r="C1072" t="inlineStr">
        <is>
          <t>34</t>
        </is>
      </c>
      <c r="D1072" s="11" t="inlineStr">
        <is>
          <t>Definition of critical operations for financial entities</t>
        </is>
      </c>
      <c r="E1072" t="inlineStr">
        <is>
          <t>8</t>
        </is>
      </c>
      <c r="F1072" t="inlineStr">
        <is>
          <t>High</t>
        </is>
      </c>
      <c r="G1072" t="inlineStr">
        <is>
          <t>High (explicit)</t>
        </is>
      </c>
      <c r="H1072" s="11" t="inlineStr"/>
      <c r="I1072" s="11" t="inlineStr">
        <is>
          <t>Customer Data</t>
        </is>
      </c>
      <c r="J1072" t="inlineStr">
        <is>
          <t>APRA</t>
        </is>
      </c>
      <c r="K1072" s="11" t="inlineStr">
        <is>
          <t>This section defines critical operations as processes within an APRA-regulated entity or its service provider that, if disrupted beyond tolerance levels, would cause material adverse impacts on depositors, policyholders, beneficiaries, other customers, or the entity's role in the financial system. The definition specifies the types of processes that qualify as critical operations based on the entity's regulatory category.</t>
        </is>
      </c>
      <c r="L1072" s="11" t="inlineStr">
        <is>
          <t>Critical operations must be identified to ensure data transfers and processing activities are resilient against disruptions that could affect financial stability or customer trust.</t>
        </is>
      </c>
      <c r="M1072" s="11" t="inlineStr">
        <is>
          <t>• [Definition] Critical operations are processes undertaken by an APRA-regulated entity or its service provider
• [Definition] If disrupted beyond tolerance levels, would have a material adverse impact on depositors, policyholders, beneficiaries or other customers</t>
        </is>
      </c>
      <c r="N1072" s="11" t="inlineStr">
        <is>
          <t>• [Definition] If disrupted beyond tolerance levels, would have a material adverse impact on the entity's role in the financial system</t>
        </is>
      </c>
      <c r="O1072" s="11" t="inlineStr">
        <is>
          <t>Critical operations are processes undertaken by an APRA-regulated entity or its service provider which, if disrupted beyond tolerance levels, would have a material adverse impact on its depositors, policyholders, beneficiaries or other customers, or its role in the financial system.</t>
        </is>
      </c>
      <c r="P1072" s="12" t="n">
        <v>21</v>
      </c>
    </row>
    <row r="1073">
      <c r="A1073" t="inlineStr">
        <is>
          <t>Australia</t>
        </is>
      </c>
      <c r="B1073" t="inlineStr">
        <is>
          <t>Prudential Standard - CPS 230 Operational Risk Management - clean (Australia - Row 3)</t>
        </is>
      </c>
      <c r="C1073" t="inlineStr">
        <is>
          <t>35</t>
        </is>
      </c>
      <c r="D1073" s="11" t="inlineStr">
        <is>
          <t>Minimum critical operations classification for financial entities</t>
        </is>
      </c>
      <c r="E1073" t="inlineStr">
        <is>
          <t>8</t>
        </is>
      </c>
      <c r="F1073" t="inlineStr">
        <is>
          <t>High</t>
        </is>
      </c>
      <c r="G1073" t="inlineStr">
        <is>
          <t>High (explicit)</t>
        </is>
      </c>
      <c r="H1073" s="11" t="inlineStr"/>
      <c r="I1073" s="11" t="inlineStr">
        <is>
          <t>Customer Data</t>
        </is>
      </c>
      <c r="J1073" t="inlineStr">
        <is>
          <t>APRA</t>
        </is>
      </c>
      <c r="K1073" s="11" t="inlineStr">
        <is>
          <t>APRA-regulated entities must classify specific business operations as critical operations unless justified otherwise. For Australian deposit-taking institutions, critical operations include payments, deposit-taking and management, custody, settlements and clearing. Insurers must classify claims processing as critical, while RSE licensees must classify investment management and fund administration as critical. All entities must classify customer enquiries and supporting systems as critical.</t>
        </is>
      </c>
      <c r="L1073" s="11" t="inlineStr">
        <is>
          <t>Identifying critical operations ensures data transfers and processing activities are prioritized for resilience, reducing risks to financial stability and customer trust.</t>
        </is>
      </c>
      <c r="M1073" s="11" t="inlineStr">
        <is>
          <t>• [Must] An APRA-regulated entity must classify the following business operations as critical operations, unless it can justify otherwise
• [Must] For an ADI: payments, deposit-taking and management, custody, settlements and clearing
• [Must] For an insurer (general, life, private health): claims processing</t>
        </is>
      </c>
      <c r="N1073" s="11" t="inlineStr">
        <is>
          <t>• [Must] For an RSE licensee: investment management and fund administration
• [Must] For all APRA-regulated entities: customer enquiries and the systems and infrastructure needed to support critical operations</t>
        </is>
      </c>
      <c r="O1073" s="11" t="inlineStr">
        <is>
          <t>An APRA-regulated entity must, at a minimum, classify the following business operations as critical operations, unless it can justify otherwise: (a) for an ADI: payments, deposit-taking and management, custody, settlements and clearing; (b) for an insurer (general, life, private health): claims processing; (c) for an RSE licensee: investment management and fund administration; and (d) for all APRA-regulated entities: customer enquiries and the systems and infrastructure needed to support critical operations.</t>
        </is>
      </c>
      <c r="P1073" s="12" t="n">
        <v>21</v>
      </c>
    </row>
    <row r="1074">
      <c r="A1074" t="inlineStr">
        <is>
          <t>Australia</t>
        </is>
      </c>
      <c r="B1074" t="inlineStr">
        <is>
          <t>Prudential Standard - CPS 230 Operational Risk Management - clean (Australia - Row 3)</t>
        </is>
      </c>
      <c r="C1074" t="inlineStr">
        <is>
          <t>41</t>
        </is>
      </c>
      <c r="D1074" s="11" t="inlineStr">
        <is>
          <t>Notification requirement for critical operation disruptions</t>
        </is>
      </c>
      <c r="E1074" t="inlineStr">
        <is>
          <t>9</t>
        </is>
      </c>
      <c r="F1074" t="inlineStr">
        <is>
          <t>High</t>
        </is>
      </c>
      <c r="G1074" t="inlineStr">
        <is>
          <t>High (explicit)</t>
        </is>
      </c>
      <c r="H1074" s="11" t="inlineStr">
        <is>
          <t>Incident Reporting, Breach Notification</t>
        </is>
      </c>
      <c r="I1074" s="11" t="inlineStr">
        <is>
          <t>Customer Data</t>
        </is>
      </c>
      <c r="J1074" t="inlineStr">
        <is>
          <t>APRA</t>
        </is>
      </c>
      <c r="K1074" s="11" t="inlineStr">
        <is>
          <t>APRA-regulated entities must notify APRA within 24 hours of any disruption to a critical operation that exceeds tolerance levels. The notification must detail the nature of the disruption, actions taken, likely impact on business operations, and the timeframe for returning to normal operations. This ensures timely regulatory oversight of critical system failures.</t>
        </is>
      </c>
      <c r="L1074" s="11" t="inlineStr">
        <is>
          <t>Critical operation disruptions must be reported to regulators within 24 hours to ensure timely intervention and mitigation of cross-border data transfer risks.</t>
        </is>
      </c>
      <c r="M1074" s="11" t="inlineStr">
        <is>
          <t>• [Must] An APRA-regulated entity must notify APRA as soon as possible, and not later than 24 hours after, if it has suffered a disruption to a critical operation outside tolerance
• [Must] The notification must cover the nature of the disruption
• [Must] The notification must cover the action taken</t>
        </is>
      </c>
      <c r="N1074" s="11" t="inlineStr">
        <is>
          <t>• [Must] The notification must cover the likely impact on the entity's business operations
• [Must] The notification must cover the timeframe for returning to normal operations</t>
        </is>
      </c>
      <c r="O1074" s="11" t="inlineStr">
        <is>
          <t>An APRA-regulated entity must notify APRA as soon as possible, and not later than 24 hours after, if it has suffered a disruption to a critical operation outside tolerance. The notification must cover the nature of the disruption, the action taken, the likely impact on the entity's business operations and the timeframe for returning to normal operations.</t>
        </is>
      </c>
      <c r="P1074" s="12" t="n">
        <v>21</v>
      </c>
    </row>
    <row r="1075">
      <c r="A1075" t="inlineStr">
        <is>
          <t>Australia</t>
        </is>
      </c>
      <c r="B1075" t="inlineStr">
        <is>
          <t>Prudential Standard - CPS 230 Operational Risk Management - clean (Australia - Row 3)</t>
        </is>
      </c>
      <c r="C1075" t="inlineStr">
        <is>
          <t>49</t>
        </is>
      </c>
      <c r="D1075" s="11" t="inlineStr">
        <is>
          <t>Material service provider classification for financial entities</t>
        </is>
      </c>
      <c r="E1075" t="inlineStr">
        <is>
          <t>10–11</t>
        </is>
      </c>
      <c r="F1075" t="inlineStr">
        <is>
          <t>High</t>
        </is>
      </c>
      <c r="G1075" t="inlineStr">
        <is>
          <t>High (explicit)</t>
        </is>
      </c>
      <c r="H1075" s="11" t="inlineStr"/>
      <c r="I1075" s="11" t="inlineStr">
        <is>
          <t>Customer Data</t>
        </is>
      </c>
      <c r="J1075" t="inlineStr">
        <is>
          <t>APRA</t>
        </is>
      </c>
      <c r="K1075" s="11" t="inlineStr">
        <is>
          <t>APRA-regulated entities must classify specific service providers as material service providers unless justified otherwise. For Australian deposit-taking institutions, material service providers include credit assessment, funding and liquidity management, and mortgage brokerage. Insurers must classify underwriting, claims management, insurance brokerage, and reinsurance as material service providers. RSE licensees must classify fund administration, custodial services, investment management, and arrangements with promoters and financial planners as material service providers. All entities must classify risk management, core technology services, and internal audit as material service providers.</t>
        </is>
      </c>
      <c r="L1075" s="11" t="inlineStr">
        <is>
          <t>Material service providers must be identified to ensure data transfers and processing activities are monitored for risks to financial stability and customer trust.</t>
        </is>
      </c>
      <c r="M1075" s="11" t="inlineStr">
        <is>
          <t>• [Must] An APRA-regulated entity must classify a provider of the following services as a material service provider, unless it can justify otherwise
• [Must] For an ADI: credit assessment, funding and liquidity management and mortgage brokerage
• [Must] For an insurer (general, life, private health): underwriting, claims management, insurance brokerage and reinsurance</t>
        </is>
      </c>
      <c r="N1075" s="11" t="inlineStr">
        <is>
          <t>• [Must] For an RSE licensee: fund administration, custodial services, investment management and arrangements with promoters and financial planners
• [Must] For all APRA-regulated entities: risk management, core technology services and internal audit</t>
        </is>
      </c>
      <c r="O1075" s="11" t="inlineStr">
        <is>
          <t>An APRA-regulated entity must, at a minimum, classify a provider of the following services as a material service provider, unless it can justify otherwise: (a) for an ADI: credit assessment, funding and liquidity management and mortgage brokerage; (b) for an insurer (general, life, private health): underwriting, claims management, insurance brokerage and reinsurance; (c) for an RSE licensee: fund administration, custodial services, investment management and arrangements with promoters and financial planners; and (d) for all APRA-regulated entities: risk management, core technology services and internal audit.</t>
        </is>
      </c>
      <c r="P1075" s="12" t="n">
        <v>21</v>
      </c>
    </row>
    <row r="1076">
      <c r="A1076" t="inlineStr">
        <is>
          <t>Australia</t>
        </is>
      </c>
      <c r="B1076" t="inlineStr">
        <is>
          <t>Prudential Standard - CPS 230 Operational Risk Management - clean (Australia - Row 3)</t>
        </is>
      </c>
      <c r="C1076" t="inlineStr">
        <is>
          <t>52</t>
        </is>
      </c>
      <c r="D1076" s="11" t="inlineStr">
        <is>
          <t>Due diligence for material service providers</t>
        </is>
      </c>
      <c r="E1076" t="inlineStr">
        <is>
          <t>11</t>
        </is>
      </c>
      <c r="F1076" t="inlineStr">
        <is>
          <t>High</t>
        </is>
      </c>
      <c r="G1076" t="inlineStr">
        <is>
          <t>High (explicit)</t>
        </is>
      </c>
      <c r="H1076" s="11" t="inlineStr"/>
      <c r="I1076" s="11" t="inlineStr">
        <is>
          <t>Customer Data</t>
        </is>
      </c>
      <c r="J1076" t="inlineStr">
        <is>
          <t>APRA</t>
        </is>
      </c>
      <c r="K1076" s="11" t="inlineStr">
        <is>
          <t>Before entering into or materially modifying a material arrangement, APRA-regulated entities must conduct due diligence, including a selection process and assessment of the service provider's ability to provide services on an ongoing basis. They must also assess financial and non-financial risks from reliance on the service provider, including risks related to geographic location or concentration of service providers.</t>
        </is>
      </c>
      <c r="L1076" s="11" t="inlineStr">
        <is>
          <t>Material service providers must undergo due diligence to ensure data transfers and processing activities are resilient against financial and operational risks.</t>
        </is>
      </c>
      <c r="M1076" s="11" t="inlineStr">
        <is>
          <t>• [Must] Before entering into or materially modifying a material arrangement, an APRA-regulated entity must undertake appropriate due diligence, including an appropriate selection process and an assessment of the ability of the service provider to provide the service on an ongoing basis
• [Must] Before entering into or materially modifying a material arrangement, an APRA-regulated entity must assess the financial and non-financial risks from reliance on the service provider</t>
        </is>
      </c>
      <c r="N1076" s="11" t="inlineStr">
        <is>
          <t>• [Must] Assess risks associated with geographic location or concentration of the service provider(s) or parties the service provider relies on in providing the service</t>
        </is>
      </c>
      <c r="O1076" s="11" t="inlineStr">
        <is>
          <t>Before entering into or materially modifying a material arrangement, an APRA-regulated entity must: (a) undertake appropriate due diligence, including an appropriate selection process and an assessment of the ability of the service provider to provide the service on an ongoing basis; and (b) assess the financial and non-financial risks from reliance on the service provider, including risks associated with geographic location or concentration of the service provider(s) or parties the service provider relies on in providing the service.</t>
        </is>
      </c>
      <c r="P1076" s="12" t="n">
        <v>21</v>
      </c>
    </row>
    <row r="1077">
      <c r="A1077" t="inlineStr">
        <is>
          <t>Australia</t>
        </is>
      </c>
      <c r="B1077" t="inlineStr">
        <is>
          <t>Prudential Standard - CPS 230 Operational Risk Management - clean (Australia - Row 3)</t>
        </is>
      </c>
      <c r="C1077" t="inlineStr">
        <is>
          <t>53</t>
        </is>
      </c>
      <c r="D1077" s="11" t="inlineStr">
        <is>
          <t>Formal agreements for material service providers</t>
        </is>
      </c>
      <c r="E1077" t="inlineStr">
        <is>
          <t>11–12</t>
        </is>
      </c>
      <c r="F1077" t="inlineStr">
        <is>
          <t>High</t>
        </is>
      </c>
      <c r="G1077" t="inlineStr">
        <is>
          <t>High (explicit)</t>
        </is>
      </c>
      <c r="H1077" s="11" t="inlineStr"/>
      <c r="I1077" s="11" t="inlineStr">
        <is>
          <t>Customer Data</t>
        </is>
      </c>
      <c r="J1077" t="inlineStr">
        <is>
          <t>APRA</t>
        </is>
      </c>
      <c r="K1077" s="11" t="inlineStr">
        <is>
          <t>APRA-regulated entities must maintain formal legally binding agreements for all material arrangements. These agreements must specify services covered, rights and responsibilities of each party, ownership of assets, data control, dispute resolution, audit access, liability, indemnity, notification of sub-contractors, force majeure provisions, and termination rights. For RSE licensees, termination provisions must align with their duty to act in the best financial interests of beneficiaries.</t>
        </is>
      </c>
      <c r="L1077" s="11" t="inlineStr">
        <is>
          <t>Formal agreements for material service providers ensure data transfers and processing activities are governed by clear contractual safeguards to mitigate financial and operational risks.</t>
        </is>
      </c>
      <c r="M1077" s="11" t="inlineStr">
        <is>
          <t>• [Must] For all material arrangements, an APRA-regulated entity must maintain a formal legally binding agreement
• [Must] The formal agreement must specify the services covered by the agreement and associated service levels
• [Must] The formal agreement must set out the rights, responsibilities and expectations of each party to the agreement, including in relation to the ownership of assets, ownership and control of data, dispute resolution, audit access, liability and indemnity
• [Must] The formal agreement must include provisions to ensure the entity can meet its legal and compliance obligations
• [Must] The formal agreement must require notification by the service provider of its use of other material service providers that it materially relies upon in providing the service through sub-contracting or other arrangements</t>
        </is>
      </c>
      <c r="N1077" s="11" t="inlineStr">
        <is>
          <t>• [Must] The formal agreement must require the liability for any failure on the part of any sub-contractor to be the responsibility of the service provider
• [Must] The formal agreement must include a force majeure provision indicating those parts of the contract that would continue in the case of a force majeure event
• [Must] The formal agreement must include termination provisions including the right to terminate both the arrangement in its entirety or parts of the arrangement
• [Must] For an RSE licensee, termination provisions must include the ability to terminate the arrangement where continuing would be inconsistent with the duty to act in the best financial interests of beneficiaries</t>
        </is>
      </c>
      <c r="O1077" s="11" t="inlineStr">
        <is>
          <t>For all material arrangements, an APRA-regulated entity must maintain a formal legally binding agreement (formal agreement). The formal agreement must, at a minimum: (a) specify the services covered by the agreement and associated service levels; (b) set out the rights, responsibilities and expectations of each party to the agreement, including in relation to the ownership of assets, ownership and control of data, dispute resolution, audit access, liability and indemnity; (c) include provisions to ensure the ability of the entity to meet its legal and compliance obligations; (d) require notification by the service provider of its use of other material service providers that it materially relies upon in providing the service to the APRA-regulated entity through sub-contracting or other arrangements; (e) require the liability for any failure on the part of any sub-contractor to be the responsibility of the service provider; (f) include a force majeure provision indicating those parts of the contract that would continue in the case of a force majeure event; and (g) termination provisions including, but not limited to, the right to terminate both the arrangement in its entirety or parts of the arrangement.</t>
        </is>
      </c>
      <c r="P1077" s="12" t="n">
        <v>21</v>
      </c>
    </row>
    <row r="1078">
      <c r="A1078" t="inlineStr">
        <is>
          <t>Australia</t>
        </is>
      </c>
      <c r="B1078" t="inlineStr">
        <is>
          <t>Prudential Standard - CPS 230 Operational Risk Management - clean (Australia - Row 3)</t>
        </is>
      </c>
      <c r="C1078" t="inlineStr">
        <is>
          <t>61</t>
        </is>
      </c>
      <c r="D1078" s="11" t="inlineStr">
        <is>
          <t>Internal audit review of critical outsourcing arrangements</t>
        </is>
      </c>
      <c r="E1078" t="inlineStr">
        <is>
          <t>13–14</t>
        </is>
      </c>
      <c r="F1078" t="inlineStr">
        <is>
          <t>High</t>
        </is>
      </c>
      <c r="G1078" t="inlineStr">
        <is>
          <t>High (explicit)</t>
        </is>
      </c>
      <c r="H1078" s="11" t="inlineStr">
        <is>
          <t>Third Party Processing, Cloud Services, Outsourcing</t>
        </is>
      </c>
      <c r="I1078" s="11" t="inlineStr">
        <is>
          <t>Financial Data</t>
        </is>
      </c>
      <c r="J1078" t="inlineStr">
        <is>
          <t>APRA</t>
        </is>
      </c>
      <c r="K1078" s="11" t="inlineStr">
        <is>
          <t>An APRA-regulated entity's internal audit function must review any proposed material arrangement involving the outsourcing of a critical operation. The internal audit function must regularly report to the Board or Board Audit Committee on compliance with the entity's service provider management policy regarding such arrangements.</t>
        </is>
      </c>
      <c r="L1078" s="11" t="inlineStr">
        <is>
          <t>This section requires internal audit oversight of critical outsourcing arrangements, impacting data transfer impact assessments by mandating specific review and reporting mechanisms for offshoring activities involving critical operations.</t>
        </is>
      </c>
      <c r="M1078" s="11" t="inlineStr">
        <is>
          <t>• [Must] An APRA-regulated entity's internal audit function must review any proposed material arrangement involving the outsourcing of a critical operation</t>
        </is>
      </c>
      <c r="N1078" s="11" t="inlineStr">
        <is>
          <t>• [Must] The internal audit function must regularly report to the Board or Board Audit Committee on compliance of such arrangements with the entity's service provider management policy</t>
        </is>
      </c>
      <c r="O1078" s="11" t="inlineStr">
        <is>
          <t>61. An APRA-regulated entity's internal audit function must review any proposed material arrangement involving the outsourcing of a critical operation. The internal audit function must regularly report to the Board or Board Audit Committee on compliance of such arrangements with the entity's service provider management policy.</t>
        </is>
      </c>
      <c r="P1078" s="12" t="n">
        <v>21</v>
      </c>
    </row>
    <row r="1079">
      <c r="A1079" t="inlineStr">
        <is>
          <t>Australia</t>
        </is>
      </c>
      <c r="B1079" t="inlineStr">
        <is>
          <t>Prudential-Practice-Guide-CPG-235-Managing-Data-Risk_1 (Australia - Row 4)</t>
        </is>
      </c>
      <c r="C1079" t="inlineStr">
        <is>
          <t>1</t>
        </is>
      </c>
      <c r="D1079" s="11" t="inlineStr">
        <is>
          <t>Data risk management importance for business objectives</t>
        </is>
      </c>
      <c r="E1079" t="inlineStr">
        <is>
          <t>6</t>
        </is>
      </c>
      <c r="F1079" t="inlineStr">
        <is>
          <t>High</t>
        </is>
      </c>
      <c r="G1079" t="inlineStr">
        <is>
          <t>High (explicit)</t>
        </is>
      </c>
      <c r="H1079" s="11" t="inlineStr">
        <is>
          <t>Governance</t>
        </is>
      </c>
      <c r="I1079" s="11" t="inlineStr">
        <is>
          <t>Personal Information</t>
        </is>
      </c>
      <c r="J1079" t="inlineStr">
        <is>
          <t>APRA</t>
        </is>
      </c>
      <c r="K1079" s="11" t="inlineStr">
        <is>
          <t>This section states that managing data and associated risks is crucial for meeting financial and stakeholder obligations, effective management, and proper governance. It emphasizes that weaknesses in data risk management are a recurring focus of APRA's supervision activities, highlighting the need for this practice guide to address ongoing gaps.</t>
        </is>
      </c>
      <c r="L1079" s="11" t="inlineStr">
        <is>
          <t>This section establishes the foundational importance of data risk management for regulated entities, directly impacting how data transfers and processing activities are assessed for compliance with governance and oversight requirements.</t>
        </is>
      </c>
      <c r="M1079" s="11" t="inlineStr">
        <is>
          <t>• [Must] Management of data and associated risks is important for meeting financial and stakeholder obligations</t>
        </is>
      </c>
      <c r="N1079" s="11" t="inlineStr">
        <is>
          <t>• [Must] Effective data risk management is a recurring focus of APRA's supervision activities</t>
        </is>
      </c>
      <c r="O1079" s="11" t="inlineStr">
        <is>
          <t>The management of data and associated risks is important for a broad range of business objectives including meeting financial and other obligations to stakeholders, effective management and proper governance.</t>
        </is>
      </c>
      <c r="P1079" s="12" t="n">
        <v>22</v>
      </c>
    </row>
    <row r="1080">
      <c r="A1080" t="inlineStr">
        <is>
          <t>Australia</t>
        </is>
      </c>
      <c r="B1080" t="inlineStr">
        <is>
          <t>Prudential-Practice-Guide-CPG-235-Managing-Data-Risk_1 (Australia - Row 4)</t>
        </is>
      </c>
      <c r="C1080" t="inlineStr">
        <is>
          <t>3</t>
        </is>
      </c>
      <c r="D1080" s="11" t="inlineStr">
        <is>
          <t>Data's role in business objectives and stakeholder expectations</t>
        </is>
      </c>
      <c r="E1080" t="inlineStr">
        <is>
          <t>6</t>
        </is>
      </c>
      <c r="F1080" t="inlineStr">
        <is>
          <t>High</t>
        </is>
      </c>
      <c r="G1080" t="inlineStr">
        <is>
          <t>High (explicit)</t>
        </is>
      </c>
      <c r="H1080" s="11" t="inlineStr"/>
      <c r="I1080" s="11" t="inlineStr">
        <is>
          <t>Financial Data</t>
        </is>
      </c>
      <c r="J1080" t="inlineStr"/>
      <c r="K1080" s="11" t="inlineStr">
        <is>
          <t>This section explains that data is essential for regulated entities to achieve business objectives, with increased reliance on data due to process automation and analytics. Stakeholders including boards, management, customers, and regulators now expect effective data management, treating data as a valuable asset.</t>
        </is>
      </c>
      <c r="L1080" s="11" t="inlineStr">
        <is>
          <t>This section clarifies the strategic importance of data as an asset, influencing how data transfers and processing activities are evaluated for alignment with stakeholder expectations and business objectives.</t>
        </is>
      </c>
      <c r="M1080" s="11" t="inlineStr">
        <is>
          <t>• [Must] Data is essential for achieving business objectives
• [Must] Reliance on data has increased due to process automation and analytics</t>
        </is>
      </c>
      <c r="N1080" s="11" t="inlineStr">
        <is>
          <t>• [Must] Stakeholders including boards, management, customers, and regulators expect effective data management
• [Must] Data should be treated as a valuable asset</t>
        </is>
      </c>
      <c r="O1080" s="11" t="inlineStr">
        <is>
          <t>Data is essential for a regulated entity to achieve its business objectives. Furthermore, reliance on data has increased as a result of process automation and greater reliance on analytics and business intelligence to support decision-making.</t>
        </is>
      </c>
      <c r="P1080" s="12" t="n">
        <v>22</v>
      </c>
    </row>
    <row r="1081">
      <c r="A1081" t="inlineStr">
        <is>
          <t>Australia</t>
        </is>
      </c>
      <c r="B1081" t="inlineStr">
        <is>
          <t>Prudential-Practice-Guide-CPG-235-Managing-Data-Risk_1 (Australia - Row 4)</t>
        </is>
      </c>
      <c r="C1081" t="inlineStr">
        <is>
          <t>4</t>
        </is>
      </c>
      <c r="D1081" s="11" t="inlineStr">
        <is>
          <t>Guidance for data risk management audiences</t>
        </is>
      </c>
      <c r="E1081" t="inlineStr">
        <is>
          <t>6</t>
        </is>
      </c>
      <c r="F1081" t="inlineStr">
        <is>
          <t>High</t>
        </is>
      </c>
      <c r="G1081" t="inlineStr">
        <is>
          <t>High (explicit)</t>
        </is>
      </c>
      <c r="H1081" s="11" t="inlineStr">
        <is>
          <t>Governance</t>
        </is>
      </c>
      <c r="I1081" s="11" t="inlineStr">
        <is>
          <t>Financial Data</t>
        </is>
      </c>
      <c r="J1081" t="inlineStr"/>
      <c r="K1081" s="11" t="inlineStr">
        <is>
          <t>This section states that the practice guide provides guidance to senior management, risk management, business, and technical specialists. It emphasizes the need for sound risk management disciplines and business understanding to effectively manage data risk profiles, facilitating business initiatives and compliance with regulatory requirements.</t>
        </is>
      </c>
      <c r="L1081" s="11" t="inlineStr">
        <is>
          <t>This section outlines the target audiences for data risk management guidance, ensuring that all relevant stakeholders understand their roles in assessing data transfers and processing activities.</t>
        </is>
      </c>
      <c r="M1081" s="11" t="inlineStr">
        <is>
          <t>• [Must] This PPG provides guidance to senior management, risk management, business and technical specialists
• [Must] Effective data risk management facilitates business initiatives</t>
        </is>
      </c>
      <c r="N1081" s="11" t="inlineStr">
        <is>
          <t>• [Must] Effective data risk management assists compliance with regulatory and legal requirements</t>
        </is>
      </c>
      <c r="O1081" s="11" t="inlineStr">
        <is>
          <t>This PPG aims to provide guidance to senior management, risk management, business and technical specialists.</t>
        </is>
      </c>
      <c r="P1081" s="12" t="n">
        <v>22</v>
      </c>
    </row>
    <row r="1082">
      <c r="A1082" t="inlineStr">
        <is>
          <t>Australia</t>
        </is>
      </c>
      <c r="B1082" t="inlineStr">
        <is>
          <t>Prudential-Practice-Guide-CPG-235-Managing-Data-Risk_1 (Australia - Row 4)</t>
        </is>
      </c>
      <c r="C1082" t="inlineStr">
        <is>
          <t>5</t>
        </is>
      </c>
      <c r="D1082" s="11" t="inlineStr">
        <is>
          <t>Governance for effective data risk management</t>
        </is>
      </c>
      <c r="E1082" t="inlineStr">
        <is>
          <t>6</t>
        </is>
      </c>
      <c r="F1082" t="inlineStr">
        <is>
          <t>High</t>
        </is>
      </c>
      <c r="G1082" t="inlineStr">
        <is>
          <t>High (explicit)</t>
        </is>
      </c>
      <c r="H1082" s="11" t="inlineStr">
        <is>
          <t>Governance</t>
        </is>
      </c>
      <c r="I1082" s="11" t="inlineStr">
        <is>
          <t>Financial Data</t>
        </is>
      </c>
      <c r="J1082" t="inlineStr"/>
      <c r="K1082" s="11" t="inlineStr">
        <is>
          <t>This section states that governance is vital to ensure data risk management processes are properly designed and operating effectively. It requires clear articulation of Board and senior management responsibilities, formal delegation of authority, and regular oversight to align with corporate governance frameworks.</t>
        </is>
      </c>
      <c r="L1082" s="11" t="inlineStr">
        <is>
          <t>This section specifies governance requirements for data risk management, directly impacting how data transfers and processing activities are assessed for compliance with oversight and accountability standards.</t>
        </is>
      </c>
      <c r="M1082" s="11" t="inlineStr">
        <is>
          <t>• [Must] Governance ensures data risk management and related business processes are properly designed and operating effectively
• [Must] Effective governance involves clear articulation of Board and senior management responsibilities</t>
        </is>
      </c>
      <c r="N1082" s="11" t="inlineStr">
        <is>
          <t>• [Must] Effective governance requires formal delegation of authority
• [Must] Effective governance includes regular oversight</t>
        </is>
      </c>
      <c r="O1082" s="11" t="inlineStr">
        <is>
          <t>As with any process, governance is vital to ensure that data risk management and related business processes are properly designed and operating effectively to meet the needs of the regulated entity.</t>
        </is>
      </c>
      <c r="P1082" s="12" t="n">
        <v>22</v>
      </c>
    </row>
    <row r="1083">
      <c r="A1083" t="inlineStr">
        <is>
          <t>Australia</t>
        </is>
      </c>
      <c r="B1083" t="inlineStr">
        <is>
          <t>Prudential-Practice-Guide-CPG-235-Managing-Data-Risk_1 (Australia - Row 4)</t>
        </is>
      </c>
      <c r="C1083" t="inlineStr">
        <is>
          <t>11</t>
        </is>
      </c>
      <c r="D1083" s="11" t="inlineStr">
        <is>
          <t>Data risk examples and scope</t>
        </is>
      </c>
      <c r="E1083" t="inlineStr">
        <is>
          <t>7</t>
        </is>
      </c>
      <c r="F1083" t="inlineStr">
        <is>
          <t>High</t>
        </is>
      </c>
      <c r="G1083" t="inlineStr">
        <is>
          <t>High (explicit)</t>
        </is>
      </c>
      <c r="H1083" s="11" t="inlineStr">
        <is>
          <t>Data Storage</t>
        </is>
      </c>
      <c r="I1083" s="11" t="inlineStr">
        <is>
          <t>Financial Data</t>
        </is>
      </c>
      <c r="J1083" t="inlineStr"/>
      <c r="K1083" s="11" t="inlineStr">
        <is>
          <t>This section defines data risk as the risk of loss from inadequate internal processes, people, systems, or external events. It includes examples such as fraud due to data theft, business disruption from data corruption, execution failures from inaccurate data, and breaches of legal obligations due to sensitive data disclosure.</t>
        </is>
      </c>
      <c r="L1083" s="11" t="inlineStr">
        <is>
          <t>This section provides concrete examples of data risks that must be considered during data transfer impact assessments, particularly for financial data transfers and processing activities.</t>
        </is>
      </c>
      <c r="M1083" s="11" t="inlineStr">
        <is>
          <t>• [Must] Data risk encompasses risk of loss from inadequate or failed internal processes, people and systems
• [Must] Data risk encompasses risk of loss from external events impacting on data
• [Must] Data risk includes fraud due to theft of data</t>
        </is>
      </c>
      <c r="N1083" s="11" t="inlineStr">
        <is>
          <t>• [Must] Data risk includes business disruption due to data corruption or unavailability
• [Must] Data risk includes execution delivery failure due to inaccurate data
• [Must] Data risk includes breach of legal or compliance obligations from disclosure of sensitive data</t>
        </is>
      </c>
      <c r="O1083" s="11" t="inlineStr">
        <is>
          <t>Data risk encompasses the risk of loss resulting from inadequate or failed internal processes, people and systems or from external events impacting on data.</t>
        </is>
      </c>
      <c r="P1083" s="12" t="n">
        <v>22</v>
      </c>
    </row>
    <row r="1084">
      <c r="A1084" t="inlineStr">
        <is>
          <t>Australia</t>
        </is>
      </c>
      <c r="B1084" t="inlineStr">
        <is>
          <t>Prudential-Practice-Guide-CPG-235-Managing-Data-Risk_1 (Australia - Row 4)</t>
        </is>
      </c>
      <c r="C1084" t="inlineStr">
        <is>
          <t>12</t>
        </is>
      </c>
      <c r="D1084" s="11" t="inlineStr">
        <is>
          <t>Data risk as a subset of operational risk</t>
        </is>
      </c>
      <c r="E1084" t="inlineStr">
        <is>
          <t>7</t>
        </is>
      </c>
      <c r="F1084" t="inlineStr">
        <is>
          <t>High</t>
        </is>
      </c>
      <c r="G1084" t="inlineStr">
        <is>
          <t>High (explicit)</t>
        </is>
      </c>
      <c r="H1084" s="11" t="inlineStr">
        <is>
          <t>Data Storage</t>
        </is>
      </c>
      <c r="I1084" s="11" t="inlineStr">
        <is>
          <t>Financial Data</t>
        </is>
      </c>
      <c r="J1084" t="inlineStr"/>
      <c r="K1084" s="11" t="inlineStr">
        <is>
          <t>This section states that data risk is a subset of operational risk, including information and IT risk. It overlaps with information and IT security risk, and emphasizes that data risk can adversely affect regulated entities and result in failure to meet business objectives, including regulatory and legal requirements.</t>
        </is>
      </c>
      <c r="L1084" s="11" t="inlineStr">
        <is>
          <t>This section clarifies the relationship between data risk and operational risk, which is critical for assessing the impact of data transfers and processing activities on regulatory compliance.</t>
        </is>
      </c>
      <c r="M1084" s="11" t="inlineStr">
        <is>
          <t>• [Must] Data risk is considered a subset of operational risk
• [Must] Data risk includes information and information technology risk
• [Must] Information and information technology security risk overlaps with data risk</t>
        </is>
      </c>
      <c r="N1084" s="11" t="inlineStr">
        <is>
          <t>• [Must] Data risk can adversely affect a regulated entity
• [Must] Data risk may result in failure to meet business objectives</t>
        </is>
      </c>
      <c r="O1084" s="11" t="inlineStr">
        <is>
          <t>For the purposes of this PPG, data risk is considered to be a subset of operational risk, which includes information and information technology risk.</t>
        </is>
      </c>
      <c r="P1084" s="12" t="n">
        <v>22</v>
      </c>
    </row>
    <row r="1085">
      <c r="A1085" t="inlineStr">
        <is>
          <t>Australia</t>
        </is>
      </c>
      <c r="B1085" t="inlineStr">
        <is>
          <t>Prudential-Practice-Guide-CPG-235-Managing-Data-Risk_1 (Australia - Row 4)</t>
        </is>
      </c>
      <c r="C1085" t="inlineStr">
        <is>
          <t>13</t>
        </is>
      </c>
      <c r="D1085" s="11" t="inlineStr">
        <is>
          <t>Data risk management aligned with operational risk frameworks</t>
        </is>
      </c>
      <c r="E1085" t="inlineStr">
        <is>
          <t>7</t>
        </is>
      </c>
      <c r="F1085" t="inlineStr">
        <is>
          <t>High</t>
        </is>
      </c>
      <c r="G1085" t="inlineStr">
        <is>
          <t>High (explicit)</t>
        </is>
      </c>
      <c r="H1085" s="11" t="inlineStr"/>
      <c r="I1085" s="11" t="inlineStr">
        <is>
          <t>Personal Information</t>
        </is>
      </c>
      <c r="J1085" t="inlineStr">
        <is>
          <t>Australian Prudential Regulation Authority</t>
        </is>
      </c>
      <c r="K1085" s="11" t="inlineStr">
        <is>
          <t>Regulated entities must align their data risk management with operational risk frameworks and other relevant risk management frameworks such as credit, market, and insurance risk frameworks. This alignment depends on the specific data involved and ensures comprehensive risk coverage across different business areas.</t>
        </is>
      </c>
      <c r="L1085" s="11" t="inlineStr">
        <is>
          <t>Data risk management must be integrated with operational risk frameworks to ensure consistent handling of data across business processes, critical for cross-border data transfers involving financial institutions.</t>
        </is>
      </c>
      <c r="M1085" s="11" t="inlineStr">
        <is>
          <t>• [Must] Regulated entities must manage data risk in alignment with operational risk frameworks</t>
        </is>
      </c>
      <c r="N1085" s="11" t="inlineStr">
        <is>
          <t>• [Must] Regulated entities must align data risk management with other relevant risk management frameworks</t>
        </is>
      </c>
      <c r="O1085" s="11" t="inlineStr">
        <is>
          <t>A regulated entity would typically manage data risk in alignment with the operational risk framework and, where relevant, in conjunction with other risk management frameworks (e.g. credit, market and insurance risk management frameworks), depending on the nature of the data involved.</t>
        </is>
      </c>
      <c r="P1085" s="12" t="n">
        <v>22</v>
      </c>
    </row>
    <row r="1086">
      <c r="A1086" t="inlineStr">
        <is>
          <t>Australia</t>
        </is>
      </c>
      <c r="B1086" t="inlineStr">
        <is>
          <t>Prudential-Practice-Guide-CPG-235-Managing-Data-Risk_1 (Australia - Row 4)</t>
        </is>
      </c>
      <c r="C1086" t="inlineStr">
        <is>
          <t>15</t>
        </is>
      </c>
      <c r="D1086" s="11" t="inlineStr">
        <is>
          <t>Regular assessment of data control adequacy</t>
        </is>
      </c>
      <c r="E1086" t="inlineStr">
        <is>
          <t>7–8</t>
        </is>
      </c>
      <c r="F1086" t="inlineStr">
        <is>
          <t>High</t>
        </is>
      </c>
      <c r="G1086" t="inlineStr">
        <is>
          <t>High (explicit)</t>
        </is>
      </c>
      <c r="H1086" s="11" t="inlineStr"/>
      <c r="I1086" s="11" t="inlineStr">
        <is>
          <t>Personal Information</t>
        </is>
      </c>
      <c r="J1086" t="inlineStr">
        <is>
          <t>Australian Prudential Regulation Authority</t>
        </is>
      </c>
      <c r="K1086" s="11" t="inlineStr">
        <is>
          <t>Regulated entities must regularly assess the adequacy of data controls to ensure they operate within their risk appetite. This assessment occurs when introducing new business processes and periodically thereafter, or after significant changes to data usage, internal controls, or external environments. The assessment considers end-to-end data use and related controls.</t>
        </is>
      </c>
      <c r="L1086" s="11" t="inlineStr">
        <is>
          <t>Regular assessment of data controls ensures data transfers comply with risk appetite, critical for DTIAs involving financial data across borders.</t>
        </is>
      </c>
      <c r="M1086" s="11" t="inlineStr">
        <is>
          <t>• [Must] Regulated entities must assess data control adequacy when introducing new business processes
• [Must] Regulated entities must periodically assess data control adequacy after material changes to data usage, internal controls, or external environments</t>
        </is>
      </c>
      <c r="N1086" s="11" t="inlineStr">
        <is>
          <t>• [Must] Assessment must consider end-to-end use of data and related control environment</t>
        </is>
      </c>
      <c r="O1086" s="11" t="inlineStr">
        <is>
          <t>The adequacy of data controls in ensuring that a regulated entity operates within its risk appetite would normally be assessed as part of introducing new business processes and then on a regular basis thereafter (or following material change to either the process, usage of data, internal controls or external environments).</t>
        </is>
      </c>
      <c r="P1086" s="12" t="n">
        <v>22</v>
      </c>
    </row>
    <row r="1087">
      <c r="A1087" t="inlineStr">
        <is>
          <t>Australia</t>
        </is>
      </c>
      <c r="B1087" t="inlineStr">
        <is>
          <t>Prudential-Practice-Guide-CPG-235-Managing-Data-Risk_1 (Australia - Row 4)</t>
        </is>
      </c>
      <c r="C1087" t="inlineStr">
        <is>
          <t>17</t>
        </is>
      </c>
      <c r="D1087" s="11" t="inlineStr">
        <is>
          <t>Data classification dimensions for risk management</t>
        </is>
      </c>
      <c r="E1087" t="inlineStr">
        <is>
          <t>8</t>
        </is>
      </c>
      <c r="F1087" t="inlineStr">
        <is>
          <t>High</t>
        </is>
      </c>
      <c r="G1087" t="inlineStr">
        <is>
          <t>High (explicit)</t>
        </is>
      </c>
      <c r="H1087" s="11" t="inlineStr"/>
      <c r="I1087" s="11" t="inlineStr">
        <is>
          <t>Personal Information</t>
        </is>
      </c>
      <c r="J1087" t="inlineStr">
        <is>
          <t>Australian Prudential Regulation Authority</t>
        </is>
      </c>
      <c r="K1087" s="11" t="inlineStr">
        <is>
          <t>Regulated entities must consider confidentiality, accountability, authenticity, and non-repudiation when classifying data based on business criticality and sensitivity. These dimensions ensure data access is restricted to authorized users, actions can be attributed, data is genuine, and events cannot be denied.</t>
        </is>
      </c>
      <c r="L1087" s="11" t="inlineStr">
        <is>
          <t>Data classification dimensions like confidentiality and non-repudiation are critical for DTIAs to ensure data transfers maintain integrity and traceability across borders.</t>
        </is>
      </c>
      <c r="M1087" s="11" t="inlineStr">
        <is>
          <t>• [Must] Confidentiality: restriction of data access to authorized users, software and hardware
• [Must] Accountability: ability to attribute responsibility for an action</t>
        </is>
      </c>
      <c r="N1087" s="11" t="inlineStr">
        <is>
          <t>• [Must] Authenticity: condition of being genuine
• [Must] Non-repudiation: concept that an event cannot later be denied</t>
        </is>
      </c>
      <c r="O1087" s="11" t="inlineStr">
        <is>
          <t>Other dimensions that could also be relevant, depending on the nature and use of specific data, include: (a) confidentiality: restriction of data access to authorised users, software and hardware; (b) accountability: the ability to attribute the responsibility for an action; (c) authenticity: the condition of being genuine; and (d) non-repudiation: the concept that an event cannot later be denied.</t>
        </is>
      </c>
      <c r="P1087" s="12" t="n">
        <v>22</v>
      </c>
    </row>
    <row r="1088">
      <c r="A1088" t="inlineStr">
        <is>
          <t>Australia</t>
        </is>
      </c>
      <c r="B1088" t="inlineStr">
        <is>
          <t>Prudential-Practice-Guide-CPG-235-Managing-Data-Risk_1 (Australia - Row 4)</t>
        </is>
      </c>
      <c r="C1088" t="inlineStr">
        <is>
          <t>18</t>
        </is>
      </c>
      <c r="D1088" s="11" t="inlineStr">
        <is>
          <t>Data classification by criticality and sensitivity</t>
        </is>
      </c>
      <c r="E1088" t="inlineStr">
        <is>
          <t>8</t>
        </is>
      </c>
      <c r="F1088" t="inlineStr">
        <is>
          <t>High</t>
        </is>
      </c>
      <c r="G1088" t="inlineStr">
        <is>
          <t>High (explicit)</t>
        </is>
      </c>
      <c r="H1088" s="11" t="inlineStr"/>
      <c r="I1088" s="11" t="inlineStr">
        <is>
          <t>Personal Information</t>
        </is>
      </c>
      <c r="J1088" t="inlineStr">
        <is>
          <t>Australian Prudential Regulation Authority</t>
        </is>
      </c>
      <c r="K1088" s="11" t="inlineStr">
        <is>
          <t>Regulated entities must classify data based on business criticality and sensitivity, considering end-to-end use. This classification should leverage existing business impact analysis processes and be determined by business requirements to ensure appropriate risk management.</t>
        </is>
      </c>
      <c r="L1088" s="11" t="inlineStr">
        <is>
          <t>Data classification by criticality and sensitivity ensures DTIAs account for data's importance in cross-border transfers, critical for financial institutions.</t>
        </is>
      </c>
      <c r="M1088" s="11" t="inlineStr">
        <is>
          <t>• [Must] Regulated entities must classify data based on business criticality and sensitivity</t>
        </is>
      </c>
      <c r="N1088" s="11" t="inlineStr">
        <is>
          <t>• [Must] Classification must consider end-to-end use of data</t>
        </is>
      </c>
      <c r="O1088" s="11" t="inlineStr">
        <is>
          <t>For the purposes of managing data risk, a regulated entity would typically classify data based on business criticality and sensitivity. The assessment would typically take into account the end-to-end use of the data.</t>
        </is>
      </c>
      <c r="P1088" s="12" t="n">
        <v>22</v>
      </c>
    </row>
    <row r="1089">
      <c r="A1089" t="inlineStr">
        <is>
          <t>Australia</t>
        </is>
      </c>
      <c r="B1089" t="inlineStr">
        <is>
          <t>Prudential-Practice-Guide-CPG-235-Managing-Data-Risk_1 (Australia - Row 4)</t>
        </is>
      </c>
      <c r="C1089" t="inlineStr">
        <is>
          <t>20</t>
        </is>
      </c>
      <c r="D1089" s="11" t="inlineStr">
        <is>
          <t>Formal data risk management framework requirements</t>
        </is>
      </c>
      <c r="E1089" t="inlineStr">
        <is>
          <t>8–9</t>
        </is>
      </c>
      <c r="F1089" t="inlineStr">
        <is>
          <t>High</t>
        </is>
      </c>
      <c r="G1089" t="inlineStr">
        <is>
          <t>High (explicit)</t>
        </is>
      </c>
      <c r="H1089" s="11" t="inlineStr"/>
      <c r="I1089" s="11" t="inlineStr">
        <is>
          <t>Personal Information</t>
        </is>
      </c>
      <c r="J1089" t="inlineStr">
        <is>
          <t>Australian Prudential Regulation Authority</t>
        </is>
      </c>
      <c r="K1089" s="11" t="inlineStr">
        <is>
          <t>Regulated entities must adopt a systematic and formalized data risk management framework that includes policies, standards, alignment with enterprise frameworks, designated owners, roles and responsibilities, and regular reviews. This framework must ensure data risk is integrated into change management and business-as-usual processes.</t>
        </is>
      </c>
      <c r="L1089" s="11" t="inlineStr">
        <is>
          <t>Formal data risk management frameworks are essential for DTIAs to ensure data transfers comply with robust controls and risk appetite, critical for financial data.</t>
        </is>
      </c>
      <c r="M1089" s="11" t="inlineStr">
        <is>
          <t>• [Must] Data risk management framework must include a hierarchy of policies, standards, guidelines, procedures and documentation
• [Must] Framework must align with enterprise frameworks such as operational risk, security, project management, system development, business continuity, outsourcing/offshoring, and risk management
• [Must] Framework must include expectations of the Board and senior management
• [Must] Framework must assign designated owners</t>
        </is>
      </c>
      <c r="N1089" s="11" t="inlineStr">
        <is>
          <t>• [Must] Framework must outline roles and responsibilities of staff
• [Must] Framework must enable design and implementation of data controls commensurate with data criticality and sensitivity
• [Must] Framework must be reviewed on a regular basis with periodic assessment against current practices and industry standards</t>
        </is>
      </c>
      <c r="O1089" s="11" t="inlineStr">
        <is>
          <t>A regulated entity would typically adopt a systematic and formalised approach that ensures data risk is taken into consideration as part of its change management and business-as-usual processes. This could be encapsulated in a formally approved data risk management framework outlining the entity's approach to managing data risk that: (a) includes a hierarchy of policies, standards, guidelines, procedures and other documentation supporting business processes; (b) aligns with other enterprise frameworks such as operational risk, security, project management, system development, business continuity management, outsourcing/offshoring management and risk management; (c) includes the expectations of the Board and senior management; (d) assigns a designated owner or owners; (e) outlines the roles and responsibilities of staff to ensure effective data risk management outcomes; (f) enables the design and implementation of data controls. The strength of controls would normally be commensurate with the criticality and sensitivity of the data involved; and (g) is reviewed on a regular basis, with periodic assessment for completeness against current practices and industry standards.</t>
        </is>
      </c>
      <c r="P1089" s="12" t="n">
        <v>22</v>
      </c>
    </row>
    <row r="1090">
      <c r="A1090" t="inlineStr">
        <is>
          <t>Australia</t>
        </is>
      </c>
      <c r="B1090" t="inlineStr">
        <is>
          <t>Prudential-Practice-Guide-CPG-235-Managing-Data-Risk_1 (Australia - Row 4)</t>
        </is>
      </c>
      <c r="C1090" t="inlineStr">
        <is>
          <t>21</t>
        </is>
      </c>
      <c r="D1090" s="11" t="inlineStr">
        <is>
          <t>Data risk management framework development strategy</t>
        </is>
      </c>
      <c r="E1090" t="inlineStr">
        <is>
          <t>9</t>
        </is>
      </c>
      <c r="F1090" t="inlineStr">
        <is>
          <t>High</t>
        </is>
      </c>
      <c r="G1090" t="inlineStr">
        <is>
          <t>High (explicit)</t>
        </is>
      </c>
      <c r="H1090" s="11" t="inlineStr"/>
      <c r="I1090" s="11" t="inlineStr">
        <is>
          <t>Personal Information</t>
        </is>
      </c>
      <c r="J1090" t="inlineStr">
        <is>
          <t>Australian Prudential Regulation Authority</t>
        </is>
      </c>
      <c r="K1090" s="11" t="inlineStr">
        <is>
          <t>Regulated entities must establish and continuously develop their data risk management framework through a defined strategy and program of work with clear budget, resources, timelines, and milestones. This framework must be integrated into change management and business-as-usual processes and aligned with business, IT, and security strategies.</t>
        </is>
      </c>
      <c r="L1090" s="11" t="inlineStr">
        <is>
          <t>Data risk management framework development ensures DTIAs incorporate strategic alignment with business and IT strategies, critical for cross-border data transfers.</t>
        </is>
      </c>
      <c r="M1090" s="11" t="inlineStr">
        <is>
          <t>• [Must] Data risk management framework establishment must be directed by a data risk management strategy and supporting program of work with defined budget, resource requirements, timeframes and milestones
• [Must] Data risk management framework development must be an integral part of change management and business-as-usual processes</t>
        </is>
      </c>
      <c r="N1090" s="11" t="inlineStr">
        <is>
          <t>• [Must] Data risk management strategy must align with business, information technology, and security strategies</t>
        </is>
      </c>
      <c r="O1090" s="11" t="inlineStr">
        <is>
          <t>The establishment and ongoing development of the data risk management framework would normally be: (a) directed by a data risk management strategy and supporting program of work with a clearly defined budget, resource requirements, timeframes and milestones; and (b) an integral part of a regulated entity's change management and business-as-usual processes. A data risk management strategy would typically be aligned with the regulated entity's business, information technology, and security strategies as appropriate.</t>
        </is>
      </c>
      <c r="P1090" s="12" t="n">
        <v>22</v>
      </c>
    </row>
    <row r="1091">
      <c r="A1091" t="inlineStr">
        <is>
          <t>Australia</t>
        </is>
      </c>
      <c r="B1091" t="inlineStr">
        <is>
          <t>Prudential-Practice-Guide-CPG-235-Managing-Data-Risk_1 (Australia - Row 4)</t>
        </is>
      </c>
      <c r="C1091" t="inlineStr">
        <is>
          <t>22</t>
        </is>
      </c>
      <c r="D1091" s="11" t="inlineStr">
        <is>
          <t>Data risk management principles for regulated entities</t>
        </is>
      </c>
      <c r="E1091" t="inlineStr">
        <is>
          <t>9</t>
        </is>
      </c>
      <c r="F1091" t="inlineStr">
        <is>
          <t>High</t>
        </is>
      </c>
      <c r="G1091" t="inlineStr">
        <is>
          <t>High (explicit)</t>
        </is>
      </c>
      <c r="H1091" s="11" t="inlineStr">
        <is>
          <t>Data Storage, Data Sharing</t>
        </is>
      </c>
      <c r="I1091" s="11" t="inlineStr">
        <is>
          <t>Personal Information, Financial Data</t>
        </is>
      </c>
      <c r="J1091" t="inlineStr">
        <is>
          <t>APRA</t>
        </is>
      </c>
      <c r="K1091" s="11" t="inlineStr">
        <is>
          <t>Regulated entities must establish high-level data risk management principles to ensure sound data risk management. These principles include limiting data access to business needs, validating data close to capture points, using automation where feasible, timely issue reporting, assessing data quality, and designing controls assuming staff lack knowledge of policies. These principles apply to all staff and processes within the entity.</t>
        </is>
      </c>
      <c r="L1091" s="11" t="inlineStr">
        <is>
          <t>These principles provide foundational safeguards for data risk management that impact cross-border data transfers by requiring data minimization, quality assurance, and timely issue resolution.</t>
        </is>
      </c>
      <c r="M1091" s="11" t="inlineStr">
        <is>
          <t>• [Must] Access to data is only granted where required to conduct business processes
• [Must] Data validation, correction and cleansing occur as close to the point of capture as possible
• [Must] Automation (where viable) is used as an alternative to manual processes</t>
        </is>
      </c>
      <c r="N1091" s="11" t="inlineStr">
        <is>
          <t>• [Must] Timely detection and reporting of data issues to minimise the time in which an issue can impact on the entity
• [Must] Assessment of data quality to ensure it is acceptable for the intended purpose
• [Must] Design of the control environment is based on the assumption that staff do not know what the data risk management policies and procedures are</t>
        </is>
      </c>
      <c r="O1091" s="11" t="inlineStr">
        <is>
          <t>APRA envisages that a regulated entity would adopt a set of high-level principles in order to establish a sound foundation for data risk management. Data risk management principles could include: (a) access to data is only granted where required to conduct business processes; (b) data validation, correction and cleansing occur as close to the point of capture as possible; (c) automation (where viable) is used as an alternative to manual processes; (d) timely detection and reporting of data issues to minimise the time in which an issue can impact on the entity; (e) assessment of data quality to ensure it is acceptable for the intended purpose; and (f) design of the control environment is based on the assumption that staff do not know what the data risk management policies and procedures are.</t>
        </is>
      </c>
      <c r="P1091" s="12" t="n">
        <v>22</v>
      </c>
    </row>
    <row r="1092">
      <c r="A1092" t="inlineStr">
        <is>
          <t>Australia</t>
        </is>
      </c>
      <c r="B1092" t="inlineStr">
        <is>
          <t>Prudential-Practice-Guide-CPG-235-Managing-Data-Risk_1 (Australia - Row 4)</t>
        </is>
      </c>
      <c r="C1092" t="inlineStr">
        <is>
          <t>23</t>
        </is>
      </c>
      <c r="D1092" s="11" t="inlineStr">
        <is>
          <t>Formal roles and responsibilities for data risk management</t>
        </is>
      </c>
      <c r="E1092" t="inlineStr">
        <is>
          <t>9–10</t>
        </is>
      </c>
      <c r="F1092" t="inlineStr">
        <is>
          <t>High</t>
        </is>
      </c>
      <c r="G1092" t="inlineStr">
        <is>
          <t>High (explicit)</t>
        </is>
      </c>
      <c r="H1092" s="11" t="inlineStr">
        <is>
          <t>Data Sharing</t>
        </is>
      </c>
      <c r="I1092" s="11" t="inlineStr">
        <is>
          <t>Personal Information, Financial Data</t>
        </is>
      </c>
      <c r="J1092" t="inlineStr">
        <is>
          <t>APRA</t>
        </is>
      </c>
      <c r="K1092" s="11" t="inlineStr">
        <is>
          <t>Regulated entities must formally assign data risk management roles and responsibilities to staff, customers, service providers, and third parties. This includes defining data-specific roles such as data officers, custodians, owners/stewards, and governance functions, as well as risk management and compliance roles. These responsibilities apply to all entities subject to APRA regulation.</t>
        </is>
      </c>
      <c r="L1092" s="11" t="inlineStr">
        <is>
          <t>Clear role definitions are critical for DTIAs as they ensure accountability in data transfers and processing, particularly for third parties and cross-border data flows.</t>
        </is>
      </c>
      <c r="M1092" s="11" t="inlineStr">
        <is>
          <t>• [Must] Formal roles and responsibilities for data risk management are allocated to appropriately skilled staff
• [Must] Data roles and responsibilities for general staff and data users are defined
• [Must] Data-specific roles and responsibilities, such as data officers, custodians, owners/stewards, and designated business sponsors, are established
• [Must] Governance functions and reporting mechanisms to assess data risk management framework effectiveness are implemented</t>
        </is>
      </c>
      <c r="N1092" s="11" t="inlineStr">
        <is>
          <t>• [Must] Risk management, assurance and compliance roles are defined
• [Must] Data risk management framework roles, including maintenance, review, compliance monitoring, training and awareness, are established
• [Must] Responsibilities for data monitoring and management are assigned</t>
        </is>
      </c>
      <c r="O1092" s="11" t="inlineStr">
        <is>
          <t>A key element in effective data risk management is the allocation of formal roles and responsibilities (pertaining to data) to appropriately skilled staff. This would typically articulate the data risk management responsibilities of staff, customers, service providers and other third parties.</t>
        </is>
      </c>
      <c r="P1092" s="12" t="n">
        <v>22</v>
      </c>
    </row>
    <row r="1093">
      <c r="A1093" t="inlineStr">
        <is>
          <t>Australia</t>
        </is>
      </c>
      <c r="B1093" t="inlineStr">
        <is>
          <t>Prudential-Practice-Guide-CPG-235-Managing-Data-Risk_1 (Australia - Row 4)</t>
        </is>
      </c>
      <c r="C1093" t="inlineStr">
        <is>
          <t>24</t>
        </is>
      </c>
      <c r="D1093" s="11" t="inlineStr">
        <is>
          <t>Ongoing compliance with data risk management</t>
        </is>
      </c>
      <c r="E1093" t="inlineStr">
        <is>
          <t>10</t>
        </is>
      </c>
      <c r="F1093" t="inlineStr">
        <is>
          <t>High</t>
        </is>
      </c>
      <c r="G1093" t="inlineStr">
        <is>
          <t>High (explicit)</t>
        </is>
      </c>
      <c r="H1093" s="11" t="inlineStr"/>
      <c r="I1093" s="11" t="inlineStr">
        <is>
          <t>Personal Information, Financial Data</t>
        </is>
      </c>
      <c r="J1093" t="inlineStr">
        <is>
          <t>APRA</t>
        </is>
      </c>
      <c r="K1093" s="11" t="inlineStr">
        <is>
          <t>Regulated entities must implement processes to ensure ongoing compliance with regulatory and data risk management requirements. This includes regular checks by the compliance function, reporting mechanisms such as metrics and exceptions, and management reviews to verify adherence to data risk management standards.</t>
        </is>
      </c>
      <c r="L1093" s="11" t="inlineStr">
        <is>
          <t>Ongoing compliance mechanisms are essential for DTIAs to ensure that data transfers remain compliant over time, particularly in dynamic regulatory environments.</t>
        </is>
      </c>
      <c r="M1093" s="11" t="inlineStr">
        <is>
          <t>• [Must] Regulated entities implement processes to ensure compliance with regulatory and legal requirements and data risk management requirements
• [Must] Ongoing checks by the compliance function (or equivalent) are conducted</t>
        </is>
      </c>
      <c r="N1093" s="11" t="inlineStr">
        <is>
          <t>• [Must] Reporting mechanisms (e.g. metrics, exceptions) are established
• [Must] Management reviews are conducted to verify compliance with data risk management requirements</t>
        </is>
      </c>
      <c r="O1093" s="11" t="inlineStr">
        <is>
          <t>APRA expects that a regulated entity would implement processes that ensure compliance with regulatory and legal requirements and data risk management requirements. This would typically include ongoing checks by the compliance function (or equivalent), supported by reporting mechanisms (e.g. metrics, exceptions) and management reviews.</t>
        </is>
      </c>
      <c r="P1093" s="12" t="n">
        <v>22</v>
      </c>
    </row>
    <row r="1094">
      <c r="A1094" t="inlineStr">
        <is>
          <t>Australia</t>
        </is>
      </c>
      <c r="B1094" t="inlineStr">
        <is>
          <t>Prudential-Practice-Guide-CPG-235-Managing-Data-Risk_1 (Australia - Row 4)</t>
        </is>
      </c>
      <c r="C1094" t="inlineStr">
        <is>
          <t>27</t>
        </is>
      </c>
      <c r="D1094" s="11" t="inlineStr">
        <is>
          <t>Understanding data characteristics for risk management</t>
        </is>
      </c>
      <c r="E1094" t="inlineStr">
        <is>
          <t>10</t>
        </is>
      </c>
      <c r="F1094" t="inlineStr">
        <is>
          <t>High</t>
        </is>
      </c>
      <c r="G1094" t="inlineStr">
        <is>
          <t>High (explicit)</t>
        </is>
      </c>
      <c r="H1094" s="11" t="inlineStr"/>
      <c r="I1094" s="11" t="inlineStr">
        <is>
          <t>Personal Information, Financial Data</t>
        </is>
      </c>
      <c r="J1094" t="inlineStr">
        <is>
          <t>APRA</t>
        </is>
      </c>
      <c r="K1094" s="11" t="inlineStr">
        <is>
          <t>Regulated entities must understand the nature and characteristics of data used for business purposes, assess data quality, map data flows (data lineage), and identify data risks and associated controls. These requirements apply to all entities subject to APRA regulation.</t>
        </is>
      </c>
      <c r="L1094" s="11" t="inlineStr">
        <is>
          <t>Understanding data characteristics is critical for DTIAs as it helps identify data risks and appropriate safeguards when transferring data across borders.</t>
        </is>
      </c>
      <c r="M1094" s="11" t="inlineStr">
        <is>
          <t>• [Must] Regulated entities understand the nature and characteristics of the data used for business purposes
• [Must] Regulated entities are able to assess the quality of the data</t>
        </is>
      </c>
      <c r="N1094" s="11" t="inlineStr">
        <is>
          <t>• [Must] Regulated entities understand the flow of data and processing undertaken (data lineage)
• [Must] Regulated entities understand the data risks and associated controls</t>
        </is>
      </c>
      <c r="O1094" s="11" t="inlineStr">
        <is>
          <t>In order to ensure that data risk management is effective, it is important that a regulated entity: (a) understands the nature and characteristics of the data used for business purposes; (b) is able to assess the quality of the data; (c) understands the flow of data and processing undertaken (i.e. data lineage); and (d) understands the data risks and associated controls.</t>
        </is>
      </c>
      <c r="P1094" s="12" t="n">
        <v>22</v>
      </c>
    </row>
    <row r="1095">
      <c r="A1095" t="inlineStr">
        <is>
          <t>Australia</t>
        </is>
      </c>
      <c r="B1095" t="inlineStr">
        <is>
          <t>Prudential-Practice-Guide-CPG-235-Managing-Data-Risk_1 (Australia - Row 4)</t>
        </is>
      </c>
      <c r="C1095" t="inlineStr">
        <is>
          <t>28</t>
        </is>
      </c>
      <c r="D1095" s="11" t="inlineStr">
        <is>
          <t>Data architecture practices for risk management</t>
        </is>
      </c>
      <c r="E1095" t="inlineStr">
        <is>
          <t>10–11</t>
        </is>
      </c>
      <c r="F1095" t="inlineStr">
        <is>
          <t>High</t>
        </is>
      </c>
      <c r="G1095" t="inlineStr">
        <is>
          <t>High (explicit)</t>
        </is>
      </c>
      <c r="H1095" s="11" t="inlineStr">
        <is>
          <t>Data Storage</t>
        </is>
      </c>
      <c r="I1095" s="11" t="inlineStr">
        <is>
          <t>Personal Information, Financial Data</t>
        </is>
      </c>
      <c r="J1095" t="inlineStr">
        <is>
          <t>APRA</t>
        </is>
      </c>
      <c r="K1095" s="11" t="inlineStr">
        <is>
          <t>Regulated entities can use data architecture practices to support data risk management, including defining data strategy, metadata, technical diagrams, data lifecycle controls, and standards for systems and data repositories. These practices help ensure data is captured, processed, retained, published, and disposed of securely.</t>
        </is>
      </c>
      <c r="L1095" s="11" t="inlineStr">
        <is>
          <t>Data architecture practices provide DTIAs with a framework to assess data flows and controls, particularly important for cross-border data transfers involving multiple systems and third parties.</t>
        </is>
      </c>
      <c r="M1095" s="11" t="inlineStr">
        <is>
          <t>• [May] Data architecture practices assist in understanding how data is captured, processed, retained, published and disposed of
• [May] Data strategy is a component of the broader business and information technology strategies
• [May] Metadata, including definitions, descriptions, sources, usages, update mechanisms, owners, authorised users, criticality, sensitivity and quality requirements, is documented</t>
        </is>
      </c>
      <c r="N1095" s="11" t="inlineStr">
        <is>
          <t>• [May] Diagrams and detailed technical information describing data structure, flow, systems and repositories are maintained
• [May] Controls necessary across the data life-cycle are implemented
• [May] Standards and guidelines for systems, data repositories, interfaces and data controls are established</t>
        </is>
      </c>
      <c r="O1095" s="11" t="inlineStr">
        <is>
          <t>Data risk management could be supported by the use of data architecture practices. These practices assist in understanding how data is captured, processed, retained, published and disposed of.</t>
        </is>
      </c>
      <c r="P1095" s="12" t="n">
        <v>22</v>
      </c>
    </row>
    <row r="1096">
      <c r="A1096" t="inlineStr">
        <is>
          <t>Australia</t>
        </is>
      </c>
      <c r="B1096" t="inlineStr">
        <is>
          <t>Prudential-Practice-Guide-CPG-235-Managing-Data-Risk_1 (Australia - Row 4)</t>
        </is>
      </c>
      <c r="C1096" t="inlineStr">
        <is>
          <t>33</t>
        </is>
      </c>
      <c r="D1096" s="11" t="inlineStr">
        <is>
          <t>Data risk management across the data lifecycle</t>
        </is>
      </c>
      <c r="E1096" t="inlineStr">
        <is>
          <t>11</t>
        </is>
      </c>
      <c r="F1096" t="inlineStr">
        <is>
          <t>High</t>
        </is>
      </c>
      <c r="G1096" t="inlineStr">
        <is>
          <t>High (explicit)</t>
        </is>
      </c>
      <c r="H1096" s="11" t="inlineStr">
        <is>
          <t>Data Storage</t>
        </is>
      </c>
      <c r="I1096" s="11" t="inlineStr">
        <is>
          <t>Personal Information, Financial Data</t>
        </is>
      </c>
      <c r="J1096" t="inlineStr">
        <is>
          <t>APRA</t>
        </is>
      </c>
      <c r="K1096" s="11" t="inlineStr">
        <is>
          <t>Regulated entities must ensure data risk is considered at each stage of the data lifecycle (capture, processing, retention, publication, disposal) with appropriate controls implemented to meet data requirements. This applies to all entities subject to APRA regulation.</t>
        </is>
      </c>
      <c r="L1096" s="11" t="inlineStr">
        <is>
          <t>This section is critical for DTIAs as it mandates comprehensive data lifecycle controls, which directly impact cross-border data transfers and storage.</t>
        </is>
      </c>
      <c r="M1096" s="11" t="inlineStr">
        <is>
          <t>• [Must] Data risk is considered at each stage of the data lifecycle</t>
        </is>
      </c>
      <c r="N1096" s="11" t="inlineStr">
        <is>
          <t>• [Must] Appropriate controls are implemented to ensure data requirements are met at each lifecycle stage</t>
        </is>
      </c>
      <c r="O1096" s="11" t="inlineStr">
        <is>
          <t>APRA envisages that a regulated entity would ensure that data risk is considered at each stage of its life-cycle and that appropriate controls are implemented to ensure that data requirements are met. Data-related life-cycle stages typically include data capture, processing, retention, publication and disposal.</t>
        </is>
      </c>
      <c r="P1096" s="12" t="n">
        <v>22</v>
      </c>
    </row>
    <row r="1097">
      <c r="A1097" t="inlineStr">
        <is>
          <t>Australia</t>
        </is>
      </c>
      <c r="B1097" t="inlineStr">
        <is>
          <t>Prudential-Practice-Guide-CPG-235-Managing-Data-Risk_1 (Australia - Row 4)</t>
        </is>
      </c>
      <c r="C1097" t="inlineStr">
        <is>
          <t>34</t>
        </is>
      </c>
      <c r="D1097" s="11" t="inlineStr">
        <is>
          <t>Data capture controls for quality validation</t>
        </is>
      </c>
      <c r="E1097" t="inlineStr">
        <is>
          <t>11</t>
        </is>
      </c>
      <c r="F1097" t="inlineStr">
        <is>
          <t>Medium</t>
        </is>
      </c>
      <c r="G1097" t="inlineStr">
        <is>
          <t>High (explicit)</t>
        </is>
      </c>
      <c r="H1097" s="11" t="inlineStr"/>
      <c r="I1097" s="11" t="inlineStr">
        <is>
          <t>Personal Information</t>
        </is>
      </c>
      <c r="J1097" t="inlineStr">
        <is>
          <t>APRA</t>
        </is>
      </c>
      <c r="K1097" s="11" t="inlineStr">
        <is>
          <t>This section mandates that data capture controls, including manual entry and automated feeds, must ensure new data meets quality standards. It requires validation mechanisms before data acceptance, error detection for automated feeds, and specifications for handling quality issues in agreements with internal and external parties. These controls apply to regulated entities handling data processing activities.</t>
        </is>
      </c>
      <c r="L1097" s="11" t="inlineStr">
        <is>
          <t>Data capture controls ensure data quality before transfer or processing, critical for maintaining data integrity during cross-border data flows.</t>
        </is>
      </c>
      <c r="M1097" s="11" t="inlineStr">
        <is>
          <t>• [Must] User interfaces must conduct appropriate validation before data is accepted
• [Must] Mechanisms must detect if automated data feeds are functioning as expected and prevent erroneous data from progressing beyond capture</t>
        </is>
      </c>
      <c r="N1097" s="11" t="inlineStr">
        <is>
          <t>• [Must] Specification of data quality requirements and mechanisms for handling data quality issues must be included in agreements with internal and external parties</t>
        </is>
      </c>
      <c r="O1097" s="11" t="inlineStr">
        <is>
          <t>Data capture controls, including manual entry of data as well as automated data feeds from internal business units and external sources, would typically be designed to ensure that newly introduced data meets data quality requirements.</t>
        </is>
      </c>
      <c r="P1097" s="12" t="n">
        <v>22</v>
      </c>
    </row>
    <row r="1098">
      <c r="A1098" t="inlineStr">
        <is>
          <t>Australia</t>
        </is>
      </c>
      <c r="B1098" t="inlineStr">
        <is>
          <t>Prudential-Practice-Guide-CPG-235-Managing-Data-Risk_1 (Australia - Row 4)</t>
        </is>
      </c>
      <c r="C1098" t="inlineStr">
        <is>
          <t>35</t>
        </is>
      </c>
      <c r="D1098" s="11" t="inlineStr">
        <is>
          <t>Data processing quality controls for regulatory compliance</t>
        </is>
      </c>
      <c r="E1098" t="inlineStr">
        <is>
          <t>11–12</t>
        </is>
      </c>
      <c r="F1098" t="inlineStr">
        <is>
          <t>High</t>
        </is>
      </c>
      <c r="G1098" t="inlineStr">
        <is>
          <t>High (explicit)</t>
        </is>
      </c>
      <c r="H1098" s="11" t="inlineStr"/>
      <c r="I1098" s="11" t="inlineStr">
        <is>
          <t>Personal Information</t>
        </is>
      </c>
      <c r="J1098" t="inlineStr">
        <is>
          <t>APRA</t>
        </is>
      </c>
      <c r="K1098" s="11" t="inlineStr">
        <is>
          <t>Regulated entities must implement controls to ensure data processing and outputs continue meeting quality requirements. This includes managing data integration, ensuring changes to production environments maintain quality through approved methodologies, exception handling for timely issue resolution, and error-handling mechanisms like backups and rollbacks. These controls apply to entities processing data for regulatory purposes.</t>
        </is>
      </c>
      <c r="L1098" s="11" t="inlineStr">
        <is>
          <t>Data processing quality controls prevent downstream data issues during cross-border transfers by ensuring consistent data quality through integrated validation and error recovery mechanisms.</t>
        </is>
      </c>
      <c r="M1098" s="11" t="inlineStr">
        <is>
          <t>• [Must] Controls must manage data integration to handle extraction, transformation and loading mechanisms
• [Must] Acquisition and implementation via approved development, change and project management methodologies must ensure data quality is not compromised by production environment changes</t>
        </is>
      </c>
      <c r="N1098" s="11" t="inlineStr">
        <is>
          <t>• [Must] Exception handling must identify and respond to data quality issues in a timely manner
• [Must] Error-handling must ensure data can be restored or corrected to a known level of data quality through mechanisms like database checkpoints, rollbacks, backups, and re-runnable processes</t>
        </is>
      </c>
      <c r="O1098" s="11" t="inlineStr">
        <is>
          <t>A regulated entity would typically implement controls to ensure that data processing (the application of business rules to data, including regulatory and legal requirements) and the output generated continue to meet data quality requirements.</t>
        </is>
      </c>
      <c r="P1098" s="12" t="n">
        <v>22</v>
      </c>
    </row>
    <row r="1099">
      <c r="A1099" t="inlineStr">
        <is>
          <t>Australia</t>
        </is>
      </c>
      <c r="B1099" t="inlineStr">
        <is>
          <t>Prudential-Practice-Guide-CPG-235-Managing-Data-Risk_1 (Australia - Row 4)</t>
        </is>
      </c>
      <c r="C1099" t="inlineStr">
        <is>
          <t>36</t>
        </is>
      </c>
      <c r="D1099" s="11" t="inlineStr">
        <is>
          <t>Data retention controls for offshore hosting risks</t>
        </is>
      </c>
      <c r="E1099" t="inlineStr">
        <is>
          <t>12</t>
        </is>
      </c>
      <c r="F1099" t="inlineStr">
        <is>
          <t>High</t>
        </is>
      </c>
      <c r="G1099" t="inlineStr">
        <is>
          <t>High (explicit)</t>
        </is>
      </c>
      <c r="H1099" s="11" t="inlineStr">
        <is>
          <t>Data Storage</t>
        </is>
      </c>
      <c r="I1099" s="11" t="inlineStr">
        <is>
          <t>Personal Information</t>
        </is>
      </c>
      <c r="J1099" t="inlineStr">
        <is>
          <t>APRA</t>
        </is>
      </c>
      <c r="K1099" s="11" t="inlineStr">
        <is>
          <t>Data retention controls must address risks from data storage, including offshore hosting and outsourcing. These controls ensure data requirements are not compromised by storage-related risks, with specific guidance provided by APRA's prudential standards on security, business continuity, and outsourcing. This applies to regulated entities managing data storage.</t>
        </is>
      </c>
      <c r="L1099" s="11" t="inlineStr">
        <is>
          <t>Data retention controls mitigate risks associated with offshore data storage and outsourcing, critical for ensuring data integrity during cross-border data transfers.</t>
        </is>
      </c>
      <c r="M1099" s="11" t="inlineStr">
        <is>
          <t>• [Must] Data retention controls must ensure data requirements are not compromised as a result of risks associated with storage, including offshore hosting and outsourcing</t>
        </is>
      </c>
      <c r="N1099" s="11" t="inlineStr"/>
      <c r="O1099" s="11" t="inlineStr">
        <is>
          <t>Data retention controls would typically be in place to ensure that data requirements are not compromised as a result of risks associated with the storage of data.</t>
        </is>
      </c>
      <c r="P1099" s="12" t="n">
        <v>22</v>
      </c>
    </row>
    <row r="1100">
      <c r="A1100" t="inlineStr">
        <is>
          <t>Australia</t>
        </is>
      </c>
      <c r="B1100" t="inlineStr">
        <is>
          <t>Prudential-Practice-Guide-CPG-235-Managing-Data-Risk_1 (Australia - Row 4)</t>
        </is>
      </c>
      <c r="C1100" t="inlineStr">
        <is>
          <t>37</t>
        </is>
      </c>
      <c r="D1100" s="11" t="inlineStr">
        <is>
          <t>Formal retention strategy for data accessibility</t>
        </is>
      </c>
      <c r="E1100" t="inlineStr">
        <is>
          <t>12</t>
        </is>
      </c>
      <c r="F1100" t="inlineStr">
        <is>
          <t>High</t>
        </is>
      </c>
      <c r="G1100" t="inlineStr">
        <is>
          <t>Medium (minor interpretation)</t>
        </is>
      </c>
      <c r="H1100" s="11" t="inlineStr"/>
      <c r="I1100" s="11" t="inlineStr">
        <is>
          <t>Personal Information</t>
        </is>
      </c>
      <c r="J1100" t="inlineStr">
        <is>
          <t>APRA</t>
        </is>
      </c>
      <c r="K1100" s="11" t="inlineStr">
        <is>
          <t>Regulated entities should develop formal retention strategies addressing data accessibility risks and archiving/recovery requirements. This includes mechanisms to ensure compliance with business and regulatory needs, while mitigating issues like accidental deletion, data corruption, technology changes, and poor asset management. These strategies apply to entities managing data retention.</t>
        </is>
      </c>
      <c r="L1100" s="11" t="inlineStr">
        <is>
          <t>Formal retention strategies ensure data accessibility and compliance with regulatory requirements, reducing risks during cross-border data transfers.</t>
        </is>
      </c>
      <c r="M1100" s="11" t="inlineStr">
        <is>
          <t>• [Should] A formal retention strategy must address risks associated with data accessibility and take into account archiving and recovery requirements</t>
        </is>
      </c>
      <c r="N1100" s="11" t="inlineStr"/>
      <c r="O1100" s="11" t="inlineStr">
        <is>
          <t>A regulated entity could find it beneficial to develop a formal retention strategy that addresses the risks associated with data accessibility, and takes into account archiving and recovery requirements.</t>
        </is>
      </c>
      <c r="P1100" s="12" t="n">
        <v>22</v>
      </c>
    </row>
    <row r="1101">
      <c r="A1101" t="inlineStr">
        <is>
          <t>Australia</t>
        </is>
      </c>
      <c r="B1101" t="inlineStr">
        <is>
          <t>Prudential-Practice-Guide-CPG-235-Managing-Data-Risk_1 (Australia - Row 4)</t>
        </is>
      </c>
      <c r="C1101" t="inlineStr">
        <is>
          <t>39</t>
        </is>
      </c>
      <c r="D1101" s="11" t="inlineStr">
        <is>
          <t>Data publication controls for quality assurance</t>
        </is>
      </c>
      <c r="E1101" t="inlineStr">
        <is>
          <t>12</t>
        </is>
      </c>
      <c r="F1101" t="inlineStr">
        <is>
          <t>High</t>
        </is>
      </c>
      <c r="G1101" t="inlineStr">
        <is>
          <t>High (explicit)</t>
        </is>
      </c>
      <c r="H1101" s="11" t="inlineStr">
        <is>
          <t>Data Sharing</t>
        </is>
      </c>
      <c r="I1101" s="11" t="inlineStr">
        <is>
          <t>Personal Information</t>
        </is>
      </c>
      <c r="J1101" t="inlineStr">
        <is>
          <t>APRA</t>
        </is>
      </c>
      <c r="K1101" s="11" t="inlineStr">
        <is>
          <t>Data publication controls must ensure published information meets user content and quality requirements. This includes acquisition and implementation controls for new publication mechanisms, validation and monitoring to maintain quality, and processes for managing user-raised data issues. These controls apply to entities producing information for internal and external stakeholders.</t>
        </is>
      </c>
      <c r="L1101" s="11" t="inlineStr">
        <is>
          <t>Data publication controls ensure quality of externally shared data, critical for maintaining data integrity during cross-border data transfers.</t>
        </is>
      </c>
      <c r="M1101" s="11" t="inlineStr">
        <is>
          <t>• [Must] Acquisition and implementation controls must be in place for new publication mechanisms to ensure published data meets user requirements
• [Must] Validation and monitoring controls must ensure published data continues to meet specified user requirements</t>
        </is>
      </c>
      <c r="N1101" s="11" t="inlineStr">
        <is>
          <t>• [Must] Processes must manage data issues raised by users</t>
        </is>
      </c>
      <c r="O1101" s="11" t="inlineStr">
        <is>
          <t>Data publication refers to the production of information for internal and external stakeholders (e.g. operational information, management information, customer information, media releases, regulatory reporting).</t>
        </is>
      </c>
      <c r="P1101" s="12" t="n">
        <v>22</v>
      </c>
    </row>
    <row r="1102">
      <c r="A1102" t="inlineStr">
        <is>
          <t>Australia</t>
        </is>
      </c>
      <c r="B1102" t="inlineStr">
        <is>
          <t>Prudential-Practice-Guide-CPG-235-Managing-Data-Risk_1 (Australia - Row 4)</t>
        </is>
      </c>
      <c r="C1102" t="inlineStr">
        <is>
          <t>40</t>
        </is>
      </c>
      <c r="D1102" s="11" t="inlineStr">
        <is>
          <t>Data publication confidentiality and quality</t>
        </is>
      </c>
      <c r="E1102" t="inlineStr">
        <is>
          <t>12</t>
        </is>
      </c>
      <c r="F1102" t="inlineStr">
        <is>
          <t>High</t>
        </is>
      </c>
      <c r="G1102" t="inlineStr">
        <is>
          <t>High (explicit)</t>
        </is>
      </c>
      <c r="H1102" s="11" t="inlineStr">
        <is>
          <t>Data Sharing</t>
        </is>
      </c>
      <c r="I1102" s="11" t="inlineStr">
        <is>
          <t>Personal Information</t>
        </is>
      </c>
      <c r="J1102" t="inlineStr">
        <is>
          <t>APRA</t>
        </is>
      </c>
      <c r="K1102" s="11" t="inlineStr">
        <is>
          <t>APRA emphasizes that data quality requirements must be clearly specified and that confidentiality must not be compromised through data publication. This section does not impose direct obligations but highlights the importance of balancing data quality and confidentiality in published information.</t>
        </is>
      </c>
      <c r="L1102" s="11" t="inlineStr">
        <is>
          <t>Clear data quality specifications and confidentiality safeguards are essential for preventing data breaches during cross-border data publication.</t>
        </is>
      </c>
      <c r="M1102" s="11" t="inlineStr">
        <is>
          <t>• [Must] Data quality requirements must be clearly specified</t>
        </is>
      </c>
      <c r="N1102" s="11" t="inlineStr">
        <is>
          <t>• [Must Not] Confidentiality must not be compromised through the publication of data</t>
        </is>
      </c>
      <c r="O1102" s="11" t="inlineStr">
        <is>
          <t>In APRA's view, it is important that data quality requirements are clearly specified and that confidentiality is not compromised through the publication of data.</t>
        </is>
      </c>
      <c r="P1102" s="12" t="n">
        <v>22</v>
      </c>
    </row>
    <row r="1103">
      <c r="A1103" t="inlineStr">
        <is>
          <t>Australia</t>
        </is>
      </c>
      <c r="B1103" t="inlineStr">
        <is>
          <t>Prudential-Practice-Guide-CPG-235-Managing-Data-Risk_1 (Australia - Row 4)</t>
        </is>
      </c>
      <c r="C1103" t="inlineStr">
        <is>
          <t>42</t>
        </is>
      </c>
      <c r="D1103" s="11" t="inlineStr">
        <is>
          <t>Disposal controls for data compliance and confidentiality</t>
        </is>
      </c>
      <c r="E1103" t="inlineStr">
        <is>
          <t>12–13</t>
        </is>
      </c>
      <c r="F1103" t="inlineStr">
        <is>
          <t>Medium</t>
        </is>
      </c>
      <c r="G1103" t="inlineStr">
        <is>
          <t>High (explicit)</t>
        </is>
      </c>
      <c r="H1103" s="11" t="inlineStr">
        <is>
          <t>Data Storage</t>
        </is>
      </c>
      <c r="I1103" s="11" t="inlineStr">
        <is>
          <t>Personal Information</t>
        </is>
      </c>
      <c r="J1103" t="inlineStr">
        <is>
          <t>Australian Prudential Regulation Authority</t>
        </is>
      </c>
      <c r="K1103" s="11" t="inlineStr">
        <is>
          <t>This section mandates that disposal controls ensure data is deleted or archived according to retention strategies and confidentiality requirements. It specifies that hardware, software, or data must not compromise business confidentiality when reaching end-of-life or recommissioning. The controls apply to regulated entities handling sensitive information.</t>
        </is>
      </c>
      <c r="L1103" s="11" t="inlineStr">
        <is>
          <t>Disposal controls are critical for DTIAs to ensure data is securely removed before hardware decommissioning, preventing unauthorized access to sensitive information during transitions.</t>
        </is>
      </c>
      <c r="M1103" s="11" t="inlineStr">
        <is>
          <t>• [Must] Data must be disposed of in compliance with retention strategy</t>
        </is>
      </c>
      <c r="N1103" s="11" t="inlineStr">
        <is>
          <t>• [Must] Business confidentiality requirements must not be compromised when hardware, software or data reach end of useful life</t>
        </is>
      </c>
      <c r="O1103" s="11" t="inlineStr">
        <is>
          <t>Disposal controls would typically be in place to ensure: (a) data is disposed of in compliance with the retention strategy; and (b) business requirements with respect to confidentiality are not compromised as hardware, software or data reach the end of their useful life or the hardware/software is recommissioned for another use.</t>
        </is>
      </c>
      <c r="P1103" s="12" t="n">
        <v>22</v>
      </c>
    </row>
    <row r="1104">
      <c r="A1104" t="inlineStr">
        <is>
          <t>Australia</t>
        </is>
      </c>
      <c r="B1104" t="inlineStr">
        <is>
          <t>Prudential-Practice-Guide-CPG-235-Managing-Data-Risk_1 (Australia - Row 4)</t>
        </is>
      </c>
      <c r="C1104" t="inlineStr">
        <is>
          <t>44</t>
        </is>
      </c>
      <c r="D1104" s="11" t="inlineStr">
        <is>
          <t>Desensitisation techniques for data confidentiality</t>
        </is>
      </c>
      <c r="E1104" t="inlineStr">
        <is>
          <t>13</t>
        </is>
      </c>
      <c r="F1104" t="inlineStr">
        <is>
          <t>Medium</t>
        </is>
      </c>
      <c r="G1104" t="inlineStr">
        <is>
          <t>High (explicit)</t>
        </is>
      </c>
      <c r="H1104" s="11" t="inlineStr">
        <is>
          <t>Data Sharing, Security</t>
        </is>
      </c>
      <c r="I1104" s="11" t="inlineStr">
        <is>
          <t>Personal Information</t>
        </is>
      </c>
      <c r="J1104" t="inlineStr">
        <is>
          <t>Australian Prudential Regulation Authority</t>
        </is>
      </c>
      <c r="K1104" s="11" t="inlineStr">
        <is>
          <t>This section describes desensitisation as reducing data sensitivity to match authorized end-user access levels. It requires using cryptographic or de-identification techniques when transferring data to less trusted environments. The strength of desensitisation must prevent reconstruction of original data through brute force or other means.</t>
        </is>
      </c>
      <c r="L1104" s="11" t="inlineStr">
        <is>
          <t>Desensitisation is essential for DTIAs to ensure data transferred across borders or to third parties remains sufficiently anonymised to prevent unauthorized reconstruction.</t>
        </is>
      </c>
      <c r="M1104" s="11" t="inlineStr">
        <is>
          <t>• [Must] Desensitisation reduces data sensitivity to comply with authorized end-user access levels
• [Must] Use cryptographic or de-identification techniques when transferring data to less trusted environments</t>
        </is>
      </c>
      <c r="N1104" s="11" t="inlineStr">
        <is>
          <t>• [Must] Desensitisation strength must prevent reconstruction of original data using brute force techniques</t>
        </is>
      </c>
      <c r="O1104" s="11" t="inlineStr">
        <is>
          <t>Desensitisation (the process of reducing a data set's sensitivity to a level which complies with the authorised access of the end-user) is a useful approach for maintaining the confidentiality of data while extending its usage.</t>
        </is>
      </c>
      <c r="P1104" s="12" t="n">
        <v>22</v>
      </c>
    </row>
    <row r="1105">
      <c r="A1105" t="inlineStr">
        <is>
          <t>Australia</t>
        </is>
      </c>
      <c r="B1105" t="inlineStr">
        <is>
          <t>Prudential-Practice-Guide-CPG-235-Managing-Data-Risk_1 (Australia - Row 4)</t>
        </is>
      </c>
      <c r="C1105" t="inlineStr">
        <is>
          <t>46</t>
        </is>
      </c>
      <c r="D1105" s="11" t="inlineStr">
        <is>
          <t>Software risk assessment for critical data</t>
        </is>
      </c>
      <c r="E1105" t="inlineStr">
        <is>
          <t>13</t>
        </is>
      </c>
      <c r="F1105" t="inlineStr">
        <is>
          <t>High</t>
        </is>
      </c>
      <c r="G1105" t="inlineStr">
        <is>
          <t>High (explicit)</t>
        </is>
      </c>
      <c r="H1105" s="11" t="inlineStr"/>
      <c r="I1105" s="11" t="inlineStr"/>
      <c r="J1105" t="inlineStr">
        <is>
          <t>Australian Prudential Regulation Authority</t>
        </is>
      </c>
      <c r="K1105" s="11" t="inlineStr">
        <is>
          <t>This section requires regulated entities to identify end-user developed/configured software and assess its risk exposure, particularly for critical or sensitive data. The entity must ensure such software complies with relevant lifecycle controls to maintain data security and confidentiality.</t>
        </is>
      </c>
      <c r="L1105" s="11" t="inlineStr">
        <is>
          <t>Software risk assessments are vital for DTIAs to ensure third-party software used in data processing does not introduce vulnerabilities when handling sensitive information across jurisdictions.</t>
        </is>
      </c>
      <c r="M1105" s="11" t="inlineStr">
        <is>
          <t>• [Must] Regulated entities must identify end-user developed/configured software
• [Must] Regulated entities must assess risk exposure of software handling critical or sensitive data</t>
        </is>
      </c>
      <c r="N1105" s="11" t="inlineStr">
        <is>
          <t>• [Must] Software used for critical/sensitive data must comply with entity's lifecycle controls</t>
        </is>
      </c>
      <c r="O1105" s="11" t="inlineStr">
        <is>
          <t>A regulated entity would normally introduce processes to identify the existence of end-user developed/configured software and assess its risk exposure. In APRA's view, any software that is used for the processing and retention of critical or sensitive data would comply with the relevant life-cycle controls of the entity.</t>
        </is>
      </c>
      <c r="P1105" s="12" t="n">
        <v>22</v>
      </c>
    </row>
    <row r="1106">
      <c r="A1106" t="inlineStr">
        <is>
          <t>Australia</t>
        </is>
      </c>
      <c r="B1106" t="inlineStr">
        <is>
          <t>Prudential-Practice-Guide-CPG-235-Managing-Data-Risk_1 (Australia - Row 4)</t>
        </is>
      </c>
      <c r="C1106" t="inlineStr">
        <is>
          <t>48</t>
        </is>
      </c>
      <c r="D1106" s="11" t="inlineStr">
        <is>
          <t>Jurisdictional data retention risks</t>
        </is>
      </c>
      <c r="E1106" t="inlineStr">
        <is>
          <t>13–14</t>
        </is>
      </c>
      <c r="F1106" t="inlineStr">
        <is>
          <t>High</t>
        </is>
      </c>
      <c r="G1106" t="inlineStr">
        <is>
          <t>High (explicit)</t>
        </is>
      </c>
      <c r="H1106" s="11" t="inlineStr">
        <is>
          <t>Cross-border Transfer, Data Storage</t>
        </is>
      </c>
      <c r="I1106" s="11" t="inlineStr"/>
      <c r="J1106" t="inlineStr">
        <is>
          <t>Australian Prudential Regulation Authority</t>
        </is>
      </c>
      <c r="K1106" s="11" t="inlineStr">
        <is>
          <t>This section requires regulated entities to apply a cautious approach when retaining data outside their jurisdiction, ensuring they understand risks and make informed decisions about whether additional risks are within their risk appetite. The entity must be aware of jurisdictional and technical hurdles that could impede regulatory oversight.</t>
        </is>
      </c>
      <c r="L1106" s="11" t="inlineStr">
        <is>
          <t>Jurisdictional data retention is critical for DTIAs to assess whether transferring data to foreign jurisdictions introduces unacceptable risks to regulatory oversight and data security.</t>
        </is>
      </c>
      <c r="M1106" s="11" t="inlineStr">
        <is>
          <t>• [Must] Regulated entities must apply a cautious and measured approach when retaining data outside jurisdiction
• [Must] Regulated entities must be fully aware of risks involved in retaining data outside jurisdiction</t>
        </is>
      </c>
      <c r="N1106" s="11" t="inlineStr">
        <is>
          <t>• [Must] Regulated entities must make informed decisions about whether additional risks are within risk appetite</t>
        </is>
      </c>
      <c r="O1106" s="11" t="inlineStr">
        <is>
          <t>APRA expects a regulated entity to apply a cautious and measured approach when considering retaining data outside the jurisdiction it pertains to. It is important that a regulated entity is fully aware of the risks involved and makes a conscious and informed decision as to whether the additional risks are within its risk appetite.</t>
        </is>
      </c>
      <c r="P1106" s="12" t="n">
        <v>22</v>
      </c>
    </row>
    <row r="1107">
      <c r="A1107" t="inlineStr">
        <is>
          <t>Australia</t>
        </is>
      </c>
      <c r="B1107" t="inlineStr">
        <is>
          <t>Prudential-Practice-Guide-CPG-235-Managing-Data-Risk_1 (Australia - Row 4)</t>
        </is>
      </c>
      <c r="C1107" t="inlineStr">
        <is>
          <t>49</t>
        </is>
      </c>
      <c r="D1107" s="11" t="inlineStr">
        <is>
          <t>Outsourcing/offshoring data management requirements</t>
        </is>
      </c>
      <c r="E1107" t="inlineStr">
        <is>
          <t>14</t>
        </is>
      </c>
      <c r="F1107" t="inlineStr">
        <is>
          <t>High</t>
        </is>
      </c>
      <c r="G1107" t="inlineStr">
        <is>
          <t>High (explicit)</t>
        </is>
      </c>
      <c r="H1107" s="11" t="inlineStr">
        <is>
          <t>Third Party Processing, Data Storage</t>
        </is>
      </c>
      <c r="I1107" s="11" t="inlineStr"/>
      <c r="J1107" t="inlineStr">
        <is>
          <t>Australian Prudential Regulation Authority</t>
        </is>
      </c>
      <c r="K1107" s="11" t="inlineStr">
        <is>
          <t>This section specifies that regulated entities must demonstrate the ability to continue operations after service loss, maintain critical/sensitive data quality, comply with legislative requirements, and ensure no jurisdictional or technical barriers prevent regulators from accessing data. These requirements apply to data management outsourcing or offshoring.</t>
        </is>
      </c>
      <c r="L1107" s="11" t="inlineStr">
        <is>
          <t>Outsourcing/offshoring data management requires DTIAs to verify that third-party arrangements maintain data security, regulatory compliance, and uninterrupted access for regulators.</t>
        </is>
      </c>
      <c r="M1107" s="11" t="inlineStr">
        <is>
          <t>• [Must] Regulated entities must demonstrate ability to continue operations after loss of services
• [Must] Regulated entities must maintain quality of critical or sensitive data</t>
        </is>
      </c>
      <c r="N1107" s="11" t="inlineStr">
        <is>
          <t>• [Must] Regulated entities must comply with legislative and prudential requirements
• [Must] Regulated entities must ensure no impediments to APRA's ability to fulfil regulatory duties</t>
        </is>
      </c>
      <c r="O1107" s="11" t="inlineStr">
        <is>
          <t>When outsourcing/offshoring data management responsibilities, APRA expects that a regulated entity would be able to demonstrate the following: (a) ability to continue operations and meet core obligations following a loss of services; (b) maintenance of the quality of critical or sensitive data; (c) compliance with legislative and prudential requirements; and (d) a lack of impediments (from jurisdictional hurdles or technical complications) to APRA being able to fulfil its duties as prudential regulator (including timely access to data in a usable form).</t>
        </is>
      </c>
      <c r="P1107" s="12" t="n">
        <v>22</v>
      </c>
    </row>
    <row r="1108">
      <c r="A1108" t="inlineStr">
        <is>
          <t>Australia</t>
        </is>
      </c>
      <c r="B1108" t="inlineStr">
        <is>
          <t>Prudential-Practice-Guide-CPG-235-Managing-Data-Risk_1 (Australia - Row 4)</t>
        </is>
      </c>
      <c r="C1108" t="inlineStr">
        <is>
          <t>50</t>
        </is>
      </c>
      <c r="D1108" s="11" t="inlineStr">
        <is>
          <t>Outsourcing/offshoring risk management framework</t>
        </is>
      </c>
      <c r="E1108" t="inlineStr">
        <is>
          <t>14</t>
        </is>
      </c>
      <c r="F1108" t="inlineStr">
        <is>
          <t>High</t>
        </is>
      </c>
      <c r="G1108" t="inlineStr">
        <is>
          <t>High (explicit)</t>
        </is>
      </c>
      <c r="H1108" s="11" t="inlineStr">
        <is>
          <t>Third Party Processing, Data Storage</t>
        </is>
      </c>
      <c r="I1108" s="11" t="inlineStr"/>
      <c r="J1108" t="inlineStr">
        <is>
          <t>Australian Prudential Regulation Authority</t>
        </is>
      </c>
      <c r="K1108" s="11" t="inlineStr">
        <is>
          <t>This section mandates that regulated entities apply enterprise frameworks, detailed risk assessments, understanding of business processes, data sensitivity, alignment with data architecture, business cases, and periodic reassessment of risks when outsourcing or offshoring data management responsibilities. These requirements ensure ongoing risk management for data transfers.</t>
        </is>
      </c>
      <c r="L1108" s="11" t="inlineStr">
        <is>
          <t>Outsourcing/offshoring risk frameworks are critical for DTIAs to ensure third-party data arrangements maintain robust security, compliance, and regulatory oversight capabilities.</t>
        </is>
      </c>
      <c r="M1108" s="11" t="inlineStr">
        <is>
          <t>• [Must] Regulated entities must apply enterprise frameworks such as security, project management, system development, business continuity management, outsourcing/offshoring management, risk management and delegation limits
• [Must] Regulated entities must conduct detailed risk assessments of specific arrangements
• [Must] Regulated entities must understand the extent and nature of business processes and data sensitivity
• [Must] Regulated entities must align with data architecture supporting broader IT and business strategies</t>
        </is>
      </c>
      <c r="N1108" s="11" t="inlineStr">
        <is>
          <t>• [Must] Regulated entities must justify additional risk exposures with a business case
• [Must] Regulated entities must have board/senior management approval of resulting risk profile
• [Must] Regulated entities must periodically reassess risks in line with risk management framework</t>
        </is>
      </c>
      <c r="O1108" s="11" t="inlineStr">
        <is>
          <t>In APRA's view, the following would normally be applied to the assessment and ongoing management of outsourced/offshored data management responsibilities: (a) enterprise frameworks such as security, project management, system development, business continuity management, outsourcing/offshoring management, risk management and delegation limits; (b) detailed risk assessments of the specific arrangements underlying the services offered.</t>
        </is>
      </c>
      <c r="P1108" s="12" t="n">
        <v>22</v>
      </c>
    </row>
    <row r="1109">
      <c r="A1109" t="inlineStr">
        <is>
          <t>Australia</t>
        </is>
      </c>
      <c r="B1109" t="inlineStr">
        <is>
          <t>Prudential-Practice-Guide-CPG-235-Managing-Data-Risk_1 (Australia - Row 4)</t>
        </is>
      </c>
      <c r="C1109" t="inlineStr">
        <is>
          <t>51</t>
        </is>
      </c>
      <c r="D1109" s="11" t="inlineStr">
        <is>
          <t>Data validation assesses data quality against business rules</t>
        </is>
      </c>
      <c r="E1109" t="inlineStr">
        <is>
          <t>14</t>
        </is>
      </c>
      <c r="F1109" t="inlineStr">
        <is>
          <t>Medium</t>
        </is>
      </c>
      <c r="G1109" t="inlineStr">
        <is>
          <t>High (explicit)</t>
        </is>
      </c>
      <c r="H1109" s="11" t="inlineStr"/>
      <c r="I1109" s="11" t="inlineStr">
        <is>
          <t>Personal Information</t>
        </is>
      </c>
      <c r="J1109" t="inlineStr">
        <is>
          <t>APRA</t>
        </is>
      </c>
      <c r="K1109" s="11" t="inlineStr">
        <is>
          <t>This section defines data validation as assessing data against business rules to determine its fitness for use before further processing. It establishes data validation as a key control mechanism for ensuring data meets quality requirements. Regulated entities must implement this validation process to maintain data integrity throughout their operations.</t>
        </is>
      </c>
      <c r="L1109" s="11" t="inlineStr">
        <is>
          <t>Data validation is critical for ensuring transferred data meets quality standards before processing, reducing risks associated with poor data quality in cross-border transfers.</t>
        </is>
      </c>
      <c r="M1109" s="11" t="inlineStr">
        <is>
          <t>• [Must] Data validation assesses data against business rules to determine fitness for use prior to further processing</t>
        </is>
      </c>
      <c r="N1109" s="11" t="inlineStr">
        <is>
          <t>• [Must] Data validation constitutes a key set of controls for ensuring data meets quality requirements</t>
        </is>
      </c>
      <c r="O1109" s="11" t="inlineStr">
        <is>
          <t>Data validation is the assessment of the data against business rules to determine its fitness for use prior to further processing. It constitutes a key set of controls for ensuring that data meets quality requirements.</t>
        </is>
      </c>
      <c r="P1109" s="12" t="n">
        <v>22</v>
      </c>
    </row>
    <row r="1110">
      <c r="A1110" t="inlineStr">
        <is>
          <t>Australia</t>
        </is>
      </c>
      <c r="B1110" t="inlineStr">
        <is>
          <t>Prudential-Practice-Guide-CPG-235-Managing-Data-Risk_1 (Australia - Row 4)</t>
        </is>
      </c>
      <c r="C1110" t="inlineStr">
        <is>
          <t>53</t>
        </is>
      </c>
      <c r="D1110" s="11" t="inlineStr">
        <is>
          <t>Data validation considerations for quality degradation</t>
        </is>
      </c>
      <c r="E1110" t="inlineStr">
        <is>
          <t>14</t>
        </is>
      </c>
      <c r="F1110" t="inlineStr">
        <is>
          <t>High</t>
        </is>
      </c>
      <c r="G1110" t="inlineStr">
        <is>
          <t>High (explicit)</t>
        </is>
      </c>
      <c r="H1110" s="11" t="inlineStr"/>
      <c r="I1110" s="11" t="inlineStr">
        <is>
          <t>Financial Data</t>
        </is>
      </c>
      <c r="J1110" t="inlineStr">
        <is>
          <t>APRA</t>
        </is>
      </c>
      <c r="K1110" s="11" t="inlineStr">
        <is>
          <t>This section specifies that data validation must consider the level of trustworthiness of data sources and how data quality degrades over time. Regulated entities should design business processes to revalidate data periodically based on data criticality and risk of degradation to maintain data quality standards.</t>
        </is>
      </c>
      <c r="L1110" s="11" t="inlineStr">
        <is>
          <t>Periodic revalidation of data is essential for maintaining data quality across borders, particularly for high-risk financial data where degradation could impact regulatory compliance.</t>
        </is>
      </c>
      <c r="M1110" s="11" t="inlineStr">
        <is>
          <t>• [Should] Regulated entities should design business processes to revalidate data on a periodic basis to minimise data quality degradation</t>
        </is>
      </c>
      <c r="N1110" s="11" t="inlineStr">
        <is>
          <t>• [Must] The comprehensiveness of revalidation would normally be commensurate with the criticality of the data and the risk of degradation</t>
        </is>
      </c>
      <c r="O1110" s="11" t="inlineStr">
        <is>
          <t>Regulated entities would design business processes to revalidate data on a periodic basis to minimise the degree of data quality degradation. The comprehensiveness of revalidation would normally be commensurate with the criticality of the data and the risk of degradation.</t>
        </is>
      </c>
      <c r="P1110" s="12" t="n">
        <v>22</v>
      </c>
    </row>
    <row r="1111">
      <c r="A1111" t="inlineStr">
        <is>
          <t>Australia</t>
        </is>
      </c>
      <c r="B1111" t="inlineStr">
        <is>
          <t>Prudential-Practice-Guide-CPG-235-Managing-Data-Risk_1 (Australia - Row 4)</t>
        </is>
      </c>
      <c r="C1111" t="inlineStr">
        <is>
          <t>54</t>
        </is>
      </c>
      <c r="D1111" s="11" t="inlineStr">
        <is>
          <t>Common data validation techniques and methods</t>
        </is>
      </c>
      <c r="E1111" t="inlineStr">
        <is>
          <t>14–15</t>
        </is>
      </c>
      <c r="F1111" t="inlineStr">
        <is>
          <t>High</t>
        </is>
      </c>
      <c r="G1111" t="inlineStr">
        <is>
          <t>High (explicit)</t>
        </is>
      </c>
      <c r="H1111" s="11" t="inlineStr"/>
      <c r="I1111" s="11" t="inlineStr">
        <is>
          <t>Financial Data</t>
        </is>
      </c>
      <c r="J1111" t="inlineStr">
        <is>
          <t>APRA</t>
        </is>
      </c>
      <c r="K1111" s="11" t="inlineStr">
        <is>
          <t>This section lists common data validation techniques including format verification, type checks, value range validation, and dataset-level methods such as control totalling, reconciliation, benchmarking, data profiling, and expert review for reasonableness. These techniques help ensure data accuracy and completeness before processing.</t>
        </is>
      </c>
      <c r="L1111" s="11" t="inlineStr">
        <is>
          <t>These validation techniques are critical for ensuring data quality in cross-border transfers, particularly for financial data where accuracy impacts regulatory compliance and risk management.</t>
        </is>
      </c>
      <c r="M1111" s="11" t="inlineStr">
        <is>
          <t>• [Must] Verification of format, type, value range, currency, presence, consistency and completeness
• [Must] Control totalling: aggregation techniques including hash totalling, amount totalling and record counts
• [Must] Reconciliation: comparing two sets of data and explaining variances</t>
        </is>
      </c>
      <c r="N1111" s="11" t="inlineStr">
        <is>
          <t>• [Must] Benchmarking: comparing two sets of data that would normally exhibit similar characteristics to highlight material variations
• [Must] Data profiling: examination of a data set to gather statistics and highlight data anomalies
• [Must] Review of data for reasonableness using expert judgement</t>
        </is>
      </c>
      <c r="O1111" s="11" t="inlineStr">
        <is>
          <t>Common forms of data validation include verification of format, type, value range, currency, presence, consistency and completeness. Data validation can also be usefully conducted at a dataset level such as the use of: (a) control totalling, (b) reconciliation, (c) benchmarking, (d) data profiling, and (e) a review of data for reasonableness using expert judgement.</t>
        </is>
      </c>
      <c r="P1111" s="12" t="n">
        <v>22</v>
      </c>
    </row>
    <row r="1112">
      <c r="A1112" t="inlineStr">
        <is>
          <t>Australia</t>
        </is>
      </c>
      <c r="B1112" t="inlineStr">
        <is>
          <t>Prudential-Practice-Guide-CPG-235-Managing-Data-Risk_1 (Australia - Row 4)</t>
        </is>
      </c>
      <c r="C1112" t="inlineStr">
        <is>
          <t>56</t>
        </is>
      </c>
      <c r="D1112" s="11" t="inlineStr">
        <is>
          <t>Documenting data validation processes and accountability</t>
        </is>
      </c>
      <c r="E1112" t="inlineStr">
        <is>
          <t>15</t>
        </is>
      </c>
      <c r="F1112" t="inlineStr">
        <is>
          <t>High</t>
        </is>
      </c>
      <c r="G1112" t="inlineStr">
        <is>
          <t>High (explicit)</t>
        </is>
      </c>
      <c r="H1112" s="11" t="inlineStr"/>
      <c r="I1112" s="11" t="inlineStr">
        <is>
          <t>Financial Data</t>
        </is>
      </c>
      <c r="J1112" t="inlineStr">
        <is>
          <t>APRA</t>
        </is>
      </c>
      <c r="K1112" s="11" t="inlineStr">
        <is>
          <t>This section requires regulated entities to document data validation processes, including their nature, frequency, granularity, and accountability for detecting, investigating, reporting, and escalating data anomalies. It also states that data validation processes should inform the design of data quality metrics.</t>
        </is>
      </c>
      <c r="L1112" s="11" t="inlineStr">
        <is>
          <t>Documenting data validation processes ensures transparency and accountability in data handling, which is critical for cross-border data transfers where data quality impacts regulatory compliance.</t>
        </is>
      </c>
      <c r="M1112" s="11" t="inlineStr">
        <is>
          <t>• [Must] Regulated entities must document data validation processes, including their nature, frequency and level of granularity
• [Must] Regulated entities must provide clear allocation of accountabilities for detection, investigation, reporting and escalation of data anomalies</t>
        </is>
      </c>
      <c r="N1112" s="11" t="inlineStr">
        <is>
          <t>• [Should] Data validation processes can be a key consideration when designing data quality metrics</t>
        </is>
      </c>
      <c r="O1112" s="11" t="inlineStr">
        <is>
          <t>A regulated entity would normally document data validation processes, including their nature, frequency and level of granularity, and provide clear allocation of accountabilities for the detection, investigation, reporting and escalation of data anomalies.</t>
        </is>
      </c>
      <c r="P1112" s="12" t="n">
        <v>22</v>
      </c>
    </row>
    <row r="1113">
      <c r="A1113" t="inlineStr">
        <is>
          <t>Australia</t>
        </is>
      </c>
      <c r="B1113" t="inlineStr">
        <is>
          <t>Prudential-Practice-Guide-CPG-235-Managing-Data-Risk_1 (Australia - Row 4)</t>
        </is>
      </c>
      <c r="C1113" t="inlineStr">
        <is>
          <t>60</t>
        </is>
      </c>
      <c r="D1113" s="11" t="inlineStr">
        <is>
          <t>Data issue management processes</t>
        </is>
      </c>
      <c r="E1113" t="inlineStr">
        <is>
          <t>15–16</t>
        </is>
      </c>
      <c r="F1113" t="inlineStr">
        <is>
          <t>High</t>
        </is>
      </c>
      <c r="G1113" t="inlineStr">
        <is>
          <t>High (explicit)</t>
        </is>
      </c>
      <c r="H1113" s="11" t="inlineStr"/>
      <c r="I1113" s="11" t="inlineStr">
        <is>
          <t>Financial Data</t>
        </is>
      </c>
      <c r="J1113" t="inlineStr">
        <is>
          <t>APRA</t>
        </is>
      </c>
      <c r="K1113" s="11" t="inlineStr">
        <is>
          <t>This section outlines that regulated entities must develop processes to manage all stages of data issues, including detection, identification, containment, investigation, evidence gathering, resolution, return to business-as-usual, and adjustment of controls. Common data issues include processing errors, lack of timeliness, pricing errors, data leakage, instruction failures, migration issues, and unfit data.</t>
        </is>
      </c>
      <c r="L1113" s="11" t="inlineStr">
        <is>
          <t>Robust data issue management processes are essential for maintaining data quality in cross-border transfers, particularly for financial data where errors can lead to regulatory non-compliance and financial losses.</t>
        </is>
      </c>
      <c r="M1113" s="11" t="inlineStr">
        <is>
          <t>• [Must] Regulated entities must develop processes to manage all stages of a data issue including detection, identification, containment, investigation, evidence gathering, resolution, return to business-as-usual and adjustment of controls
• [Must] Common data issues include processing errors impacting accuracy and completeness of balances and transactions
• [Must] Common data issues include lack of timeliness in updating data to reflect recent market conditions
• [Must] Common data issues include inadequate data availability, accuracy or consistency resulting in pricing and valuation errors</t>
        </is>
      </c>
      <c r="N1113" s="11" t="inlineStr">
        <is>
          <t>• [Must] Common data issues include data leakage leading to breach of confidentiality
• [Must] Common data issues include failure to accurately execute instructions in a timely manner
• [Must] Common data issues include failure to maintain data quality when migrating data to another system
• [Must] Common data issues include data that is not fit-for-use resulting in poor business decisions</t>
        </is>
      </c>
      <c r="O1113" s="11" t="inlineStr">
        <is>
          <t>APRA envisages that a regulated entity would develop appropriate processes to manage all stages of a data issue including detection, identification, containment, investigation, evidence gathering, resolution, return to business-as-usual and the adjustment of controls to reduce the risk of similar issues in the future.</t>
        </is>
      </c>
      <c r="P1113" s="12" t="n">
        <v>22</v>
      </c>
    </row>
    <row r="1114">
      <c r="A1114" t="inlineStr">
        <is>
          <t>Australia</t>
        </is>
      </c>
      <c r="B1114" t="inlineStr">
        <is>
          <t>Prudential-Practice-Guide-CPG-235-Managing-Data-Risk_1 (Australia - Row 4)</t>
        </is>
      </c>
      <c r="C1114" t="inlineStr">
        <is>
          <t>61</t>
        </is>
      </c>
      <c r="D1114" s="11" t="inlineStr">
        <is>
          <t>Data issue response and root cause analysis</t>
        </is>
      </c>
      <c r="E1114" t="inlineStr">
        <is>
          <t>16</t>
        </is>
      </c>
      <c r="F1114" t="inlineStr">
        <is>
          <t>High</t>
        </is>
      </c>
      <c r="G1114" t="inlineStr">
        <is>
          <t>High (explicit)</t>
        </is>
      </c>
      <c r="H1114" s="11" t="inlineStr"/>
      <c r="I1114" s="11" t="inlineStr">
        <is>
          <t>Financial Data</t>
        </is>
      </c>
      <c r="J1114" t="inlineStr">
        <is>
          <t>APRA</t>
        </is>
      </c>
      <c r="K1114" s="11" t="inlineStr">
        <is>
          <t>This section requires regulated entities to have clear accountability and communication strategies to limit the impact of data issues, including defined escalation and reporting mechanisms to the Board and senior management. It also mandates root cause analysis to identify underlying causes and adjust controls to prevent future occurrences, with prioritization of remediation based on resource constraints.</t>
        </is>
      </c>
      <c r="L1114" s="11" t="inlineStr">
        <is>
          <t>Effective data issue response and root cause analysis are critical for maintaining data quality in cross-border transfers, ensuring timely resolution of issues that could impact financial compliance and regulatory reporting.</t>
        </is>
      </c>
      <c r="M1114" s="11" t="inlineStr">
        <is>
          <t>• [Must] Regulated entities must have clear accountability and communication strategies to limit the impact of data issues
• [Must] Regulated entities must define mechanisms and thresholds for escalation and reporting to the Board and senior management</t>
        </is>
      </c>
      <c r="N1114" s="11" t="inlineStr">
        <is>
          <t>• [Must] Regulated entities must conduct root cause analysis of data issues to identify underlying causes and adjust controls
• [Should] Regulated entities must prioritize remediation of data issues due to resource constraints</t>
        </is>
      </c>
      <c r="O1114" s="11" t="inlineStr">
        <is>
          <t>Subject to the nature of the data, a regulated entity would: (a) have clear accountability and communication strategies to limit the impact of data issues, including defined mechanisms and thresholds for escalation and reporting to the Board and senior management, and customer communication where appropriate; and (b) conduct root cause analysis of the data issue, where the underlying cause is identified and analysed, with controls adjusted to reduce the likelihood of future occurrence.</t>
        </is>
      </c>
      <c r="P1114" s="12" t="n">
        <v>22</v>
      </c>
    </row>
    <row r="1115">
      <c r="A1115" t="inlineStr">
        <is>
          <t>Australia</t>
        </is>
      </c>
      <c r="B1115" t="inlineStr">
        <is>
          <t>Prudential-Practice-Guide-CPG-235-Managing-Data-Risk_1 (Australia - Row 4)</t>
        </is>
      </c>
      <c r="C1115" t="inlineStr">
        <is>
          <t>63</t>
        </is>
      </c>
      <c r="D1115" s="11" t="inlineStr">
        <is>
          <t>Data quality metrics for assessing data risk success</t>
        </is>
      </c>
      <c r="E1115" t="inlineStr">
        <is>
          <t>16</t>
        </is>
      </c>
      <c r="F1115" t="inlineStr">
        <is>
          <t>Low</t>
        </is>
      </c>
      <c r="G1115" t="inlineStr">
        <is>
          <t>High (explicit)</t>
        </is>
      </c>
      <c r="H1115" s="11" t="inlineStr"/>
      <c r="I1115" s="11" t="inlineStr">
        <is>
          <t>Personal Information</t>
        </is>
      </c>
      <c r="J1115" t="inlineStr"/>
      <c r="K1115" s="11" t="inlineStr">
        <is>
          <t>This section states that data quality metrics help evaluate data quality and data risk management effectiveness. The metrics should focus on areas with regulatory, legal, or industry requirements and those with high sensitivity or criticality as identified by the risk assessment process. These areas are prioritized to ensure data risk management aligns with compliance needs and risk levels.</t>
        </is>
      </c>
      <c r="L1115" s="11" t="inlineStr"/>
      <c r="M1115" s="11" t="inlineStr">
        <is>
          <t>• [Must] Data quality metrics are a useful mechanism for assessing data quality and data risk management success
• [Must] Metrics should be targeted to areas with regulatory, legal, and specific industry requirements</t>
        </is>
      </c>
      <c r="N1115" s="11" t="inlineStr">
        <is>
          <t>• [Must] Metrics should be targeted to areas with the greatest sensitivity/criticality as determined by the risk assessment process</t>
        </is>
      </c>
      <c r="O1115" s="11" t="inlineStr">
        <is>
          <t>Data quality metrics are a useful mechanism for assessing data quality and the success of data risk management. Typically, the use of metrics would be targeted to areas: (a) where there are regulatory, legal and specific industry requirements; and (b) that have the greatest sensitivity/criticality, as determined by the risk assessment process.</t>
        </is>
      </c>
      <c r="P1115" s="12" t="n">
        <v>22</v>
      </c>
    </row>
    <row r="1116">
      <c r="A1116" t="inlineStr">
        <is>
          <t>Australia</t>
        </is>
      </c>
      <c r="B1116" t="inlineStr">
        <is>
          <t>Prudential-Standard-CPS-232-Business-Continuity-Management-(July-2017) (Australia - Row 5)</t>
        </is>
      </c>
      <c r="C1116" t="inlineStr">
        <is>
          <t>1</t>
        </is>
      </c>
      <c r="D1116" s="11" t="inlineStr">
        <is>
          <t>Prudential Standard authority basis</t>
        </is>
      </c>
      <c r="E1116" t="inlineStr">
        <is>
          <t>3</t>
        </is>
      </c>
      <c r="F1116" t="inlineStr">
        <is>
          <t>Low</t>
        </is>
      </c>
      <c r="G1116" t="inlineStr">
        <is>
          <t>High (explicit)</t>
        </is>
      </c>
      <c r="H1116" s="11" t="inlineStr">
        <is>
          <t>Governance</t>
        </is>
      </c>
      <c r="I1116" s="11" t="inlineStr"/>
      <c r="J1116" t="inlineStr">
        <is>
          <t>APRA</t>
        </is>
      </c>
      <c r="K1116" s="11" t="inlineStr">
        <is>
          <t>This section specifies that the Prudential Standard is enacted under three specific sections of Australian legislation: the Banking Act 1959, Insurance Act 1973, and Life Insurance Act 1995. It establishes the legal foundation for the standard by referencing relevant regulatory acts that authorize its implementation.</t>
        </is>
      </c>
      <c r="L1116" s="11" t="inlineStr"/>
      <c r="M1116" s="11" t="inlineStr">
        <is>
          <t>• [Must] This Prudential Standard is made under section 11AF of the Banking Act 1959
• [Must] This Prudential Standard is made under section 32 of the Insurance Act 1973</t>
        </is>
      </c>
      <c r="N1116" s="11" t="inlineStr">
        <is>
          <t>• [Must] This Prudential Standard is made under section 230A of the Life Insurance Act 1995</t>
        </is>
      </c>
      <c r="O1116" s="11" t="inlineStr">
        <is>
          <t>This Prudential Standard is made under: (a) section 11AF of the Banking Act 1959 (Banking Act); (b) section 32 of the Insurance Act 1973 (Insurance Act); and (c) section 230A of the Life Insurance Act 1995 (Life Insurance Act).</t>
        </is>
      </c>
      <c r="P1116" s="12" t="n">
        <v>23</v>
      </c>
    </row>
    <row r="1117">
      <c r="A1117" t="inlineStr">
        <is>
          <t>Australia</t>
        </is>
      </c>
      <c r="B1117" t="inlineStr">
        <is>
          <t>Prudential-Standard-CPS-232-Business-Continuity-Management-(July-2017) (Australia - Row 5)</t>
        </is>
      </c>
      <c r="C1117" t="inlineStr">
        <is>
          <t>2</t>
        </is>
      </c>
      <c r="D1117" s="11" t="inlineStr">
        <is>
          <t>APRA-regulated institutions scope</t>
        </is>
      </c>
      <c r="E1117" t="inlineStr">
        <is>
          <t>3</t>
        </is>
      </c>
      <c r="F1117" t="inlineStr">
        <is>
          <t>Low</t>
        </is>
      </c>
      <c r="G1117" t="inlineStr">
        <is>
          <t>High (explicit)</t>
        </is>
      </c>
      <c r="H1117" s="11" t="inlineStr">
        <is>
          <t>Governance</t>
        </is>
      </c>
      <c r="I1117" s="11" t="inlineStr"/>
      <c r="J1117" t="inlineStr">
        <is>
          <t>APRA</t>
        </is>
      </c>
      <c r="K1117" s="11" t="inlineStr">
        <is>
          <t>This section defines which financial institutions fall under the Prudential Standard. It includes authorized deposit-taking institutions (ADIs), foreign ADIs, non-operating holding companies, general insurers, Category C insurers, authorized insurance NOHCs, parent entities of Level 2 insurance groups, life companies, friendly societies, eligible foreign life insurance companies (EFLICs), and registered life NOHCs. The scope covers all APRA-regulated entities in Australia and internationally.</t>
        </is>
      </c>
      <c r="L1117" s="11" t="inlineStr"/>
      <c r="M1117" s="11" t="inlineStr">
        <is>
          <t>• [Must] This Prudential Standard applies to all 'APRA-regulated institutions' defined as: all authorised deposit-taking institutions (ADIs), including foreign ADIs, and non-operating holding companies authorised under the Banking Act
• [Must] This Prudential Standard applies to all 'APRA-regulated institutions' defined as: all general insurers, including Category C insurers, non-operating holding companies authorised under the Insurance Act, and parent entities of Level 2 insurance groups</t>
        </is>
      </c>
      <c r="N1117" s="11" t="inlineStr">
        <is>
          <t>• [Must] This Prudential Standard applies to all 'APRA-regulated institutions' defined as: all life companies, including friendly societies and eligible foreign life insurance companies (EFLICs), and non-operating holding companies registered under the Life Insurance Act</t>
        </is>
      </c>
      <c r="O1117" s="11" t="inlineStr">
        <is>
          <t>This Prudential Standard applies to all 'APRA-regulated institutions', defined as: (a) all authorised deposit-taking institutions (ADIs), including foreign ADIs, and non-operating holding companies authorised under the Banking Act (authorised banking NOHCs); (b) all general insurers, including Category C insurers, non-operating holding companies authorised under the Insurance Act (authorised insurance NOHCs) and parent entities of Level 2 insurance groups; and (c) all life companies, including friendly societies and eligible foreign life insurance companies (EFLICs), and non-operating holding companies registered under the Life Insurance Act (registered life NOHCs).</t>
        </is>
      </c>
      <c r="P1117" s="12" t="n">
        <v>23</v>
      </c>
    </row>
    <row r="1118">
      <c r="A1118" t="inlineStr">
        <is>
          <t>Australia</t>
        </is>
      </c>
      <c r="B1118" t="inlineStr">
        <is>
          <t>Prudential-Standard-CPS-232-Business-Continuity-Management-(July-2017) (Australia - Row 5)</t>
        </is>
      </c>
      <c r="C1118" t="inlineStr">
        <is>
          <t>8</t>
        </is>
      </c>
      <c r="D1118" s="11" t="inlineStr">
        <is>
          <t>Defined terms reference</t>
        </is>
      </c>
      <c r="E1118" t="inlineStr">
        <is>
          <t>4</t>
        </is>
      </c>
      <c r="F1118" t="inlineStr">
        <is>
          <t>None</t>
        </is>
      </c>
      <c r="G1118" t="inlineStr">
        <is>
          <t>High (explicit)</t>
        </is>
      </c>
      <c r="H1118" s="11" t="inlineStr">
        <is>
          <t>Governance</t>
        </is>
      </c>
      <c r="I1118" s="11" t="inlineStr"/>
      <c r="J1118" t="inlineStr"/>
      <c r="K1118" s="11" t="inlineStr">
        <is>
          <t>This section states that terms defined in other Prudential Standards (APS 001, GPS 001, LPS 001) will be highlighted in bold when first used in this standard. It ensures consistency in terminology across regulatory documents by directing users to the relevant definitions.</t>
        </is>
      </c>
      <c r="L1118" s="11" t="inlineStr"/>
      <c r="M1118" s="11" t="inlineStr">
        <is>
          <t>• [Must] Terms that are defined in Prudential Standard 3PS 001 Definitions, Prudential Standard APS 001 Definitions (APS 001), Prudential Standard GPS 001 Definitions (GPS 001) or Prudential Standard LPS 001 Definitions appear in bold the first time they are used in this Prudential Standard</t>
        </is>
      </c>
      <c r="N1118" s="11" t="inlineStr"/>
      <c r="O1118" s="11" t="inlineStr">
        <is>
          <t>Terms that are defined in Prudential Standard 3PS 001 Definitions, Prudential Standard APS 001 Definitions (APS 001), Prudential Standard GPS 001 Definitions (GPS 001) or Prudential Standard LPS 001 Definitions appear in bold the first time they are used in this Prudential Standard.</t>
        </is>
      </c>
      <c r="P1118" s="12" t="n">
        <v>23</v>
      </c>
    </row>
    <row r="1119">
      <c r="A1119" t="inlineStr">
        <is>
          <t>Australia</t>
        </is>
      </c>
      <c r="B1119" t="inlineStr">
        <is>
          <t>Prudential-Standard-CPS-232-Business-Continuity-Management-(July-2017) (Australia - Row 5)</t>
        </is>
      </c>
      <c r="C1119" t="inlineStr">
        <is>
          <t>10</t>
        </is>
      </c>
      <c r="D1119" s="11" t="inlineStr">
        <is>
          <t>Group and Head definitions</t>
        </is>
      </c>
      <c r="E1119" t="inlineStr">
        <is>
          <t>4</t>
        </is>
      </c>
      <c r="F1119" t="inlineStr">
        <is>
          <t>Low</t>
        </is>
      </c>
      <c r="G1119" t="inlineStr">
        <is>
          <t>High (explicit)</t>
        </is>
      </c>
      <c r="H1119" s="11" t="inlineStr">
        <is>
          <t>Governance</t>
        </is>
      </c>
      <c r="I1119" s="11" t="inlineStr"/>
      <c r="J1119" t="inlineStr"/>
      <c r="K1119" s="11" t="inlineStr">
        <is>
          <t>This section defines key terms for group structures within APRA-regulated institutions. It specifies what constitutes a 'group', 'Head of a group', 'Level 2 group', and 'Level 2 Head' based on regulatory frameworks. These definitions are critical for understanding organizational hierarchies and reporting responsibilities under business continuity management.</t>
        </is>
      </c>
      <c r="L1119" s="11" t="inlineStr"/>
      <c r="M1119" s="11" t="inlineStr">
        <is>
          <t>• [Must] For the purposes of this Prudential Standard, 'group' means a Level 2 group or a Level 3 group, as relevant
• [Must] For the purposes of this Prudential Standard, 'Head of a group' means a Level 2 Head or Level 3 Head, as relevant</t>
        </is>
      </c>
      <c r="N1119" s="11" t="inlineStr">
        <is>
          <t>• [Must] For the purposes of this Prudential Standard, 'Level 2 group' means the entities that comprise: Level 2 as defined in APS 001 or a Level 2 insurance group as defined in GPS 001
• [Must] For the purposes of this Prudential Standard, 'Level 2 Head' means: where an ADI that is a member of a Level 2 group is not a subsidiary of an authorised banking NOHC or another ADI, that ADI; where an ADI that is a member of a Level 2 group is a subsidiary of an authorised banking NOHC, that authorised banking NOHC; or the parent entity of a Leve…</t>
        </is>
      </c>
      <c r="O1119" s="11" t="inlineStr">
        <is>
          <t>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t>
        </is>
      </c>
      <c r="P1119" s="12" t="n">
        <v>23</v>
      </c>
    </row>
    <row r="1120">
      <c r="A1120" t="inlineStr">
        <is>
          <t>Australia</t>
        </is>
      </c>
      <c r="B1120" t="inlineStr">
        <is>
          <t>Prudential-Standard-CPS-232-Business-Continuity-Management-(July-2017) (Australia - Row 5)</t>
        </is>
      </c>
      <c r="C1120" t="inlineStr">
        <is>
          <t>14</t>
        </is>
      </c>
      <c r="D1120" s="11" t="inlineStr">
        <is>
          <t>Major disruption notification</t>
        </is>
      </c>
      <c r="E1120" t="inlineStr">
        <is>
          <t>5</t>
        </is>
      </c>
      <c r="F1120" t="inlineStr">
        <is>
          <t>Low</t>
        </is>
      </c>
      <c r="G1120" t="inlineStr">
        <is>
          <t>High (explicit)</t>
        </is>
      </c>
      <c r="H1120" s="11" t="inlineStr">
        <is>
          <t>Incident Reporting</t>
        </is>
      </c>
      <c r="I1120" s="11" t="inlineStr"/>
      <c r="J1120" t="inlineStr">
        <is>
          <t>APRA</t>
        </is>
      </c>
      <c r="K1120" s="11" t="inlineStr">
        <is>
          <t>This section mandates that the Head of a group must notify APRA if an institution experiences a major disruption that could materially impact its risk profile or financial soundness. The notification is required unless another APRA-regulated institution within the group has already reported the same information to APRA.</t>
        </is>
      </c>
      <c r="L1120" s="11" t="inlineStr"/>
      <c r="M1120" s="11" t="inlineStr">
        <is>
          <t>• [Must] The Head of a group must notify APRA in accordance with paragraph 36 if the institution experiences a major disruption that has the potential to have a material impact on the institution's risk profile, or affect its financial soundness</t>
        </is>
      </c>
      <c r="N1120" s="11" t="inlineStr">
        <is>
          <t>• [Must Not] 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t>
        </is>
      </c>
      <c r="O1120" s="11" t="inlineStr">
        <is>
          <t>The Head of a group must notify APRA in accordance with paragraph 36 if the institution experiences a major disruption that has the potential to have a material impact on the institution's risk profile, or affect its financial soundness, except where an APRA-regulated institution within the group has otherwise notified APRA of that information.</t>
        </is>
      </c>
      <c r="P1120" s="12" t="n">
        <v>23</v>
      </c>
    </row>
    <row r="1121">
      <c r="A1121" t="inlineStr">
        <is>
          <t>Australia</t>
        </is>
      </c>
      <c r="B1121" t="inlineStr">
        <is>
          <t>Prudential-Standard-CPS-232-Business-Continuity-Management-(July-2017) (Australia - Row 5)</t>
        </is>
      </c>
      <c r="C1121" t="inlineStr">
        <is>
          <t>17</t>
        </is>
      </c>
      <c r="D1121" s="11" t="inlineStr">
        <is>
          <t>Business continuity risk management</t>
        </is>
      </c>
      <c r="E1121" t="inlineStr">
        <is>
          <t>5</t>
        </is>
      </c>
      <c r="F1121" t="inlineStr">
        <is>
          <t>High</t>
        </is>
      </c>
      <c r="G1121" t="inlineStr">
        <is>
          <t>High (explicit)</t>
        </is>
      </c>
      <c r="H1121" s="11" t="inlineStr"/>
      <c r="I1121" s="11" t="inlineStr"/>
      <c r="J1121" t="inlineStr">
        <is>
          <t>APRA</t>
        </is>
      </c>
      <c r="K1121" s="11" t="inlineStr">
        <is>
          <t>This section requires APRA-regulated institutions to identify, assess, manage, mitigate, and report on potential business continuity risks. The purpose is to ensure institutions can meet financial and service obligations to depositors, policyholders, and other stakeholders during disruptions.</t>
        </is>
      </c>
      <c r="L1121" s="11" t="inlineStr"/>
      <c r="M1121" s="11" t="inlineStr">
        <is>
          <t>• [Must] An APRA-regulated institution must identify, assess, manage, mitigate and report on potential business continuity risks</t>
        </is>
      </c>
      <c r="N1121" s="11" t="inlineStr">
        <is>
          <t>• [Must] An APRA-regulated institution must ensure it is able to meet its financial and service obligations to its depositors, policyholders and other stakeholders</t>
        </is>
      </c>
      <c r="O1121" s="11" t="inlineStr">
        <is>
          <t>An APRA-regulated institution must identify, assess, manage, mitigate and report on potential business continuity risks to ensure that the institution is able to meet its financial and service obligations to its depositors, policyholders and other stakeholders.</t>
        </is>
      </c>
      <c r="P1121" s="12" t="n">
        <v>23</v>
      </c>
    </row>
    <row r="1122">
      <c r="A1122" t="inlineStr">
        <is>
          <t>Australia</t>
        </is>
      </c>
      <c r="B1122" t="inlineStr">
        <is>
          <t>Prudential-Standard-CPS-232-Business-Continuity-Management-(July-2017) (Australia - Row 5)</t>
        </is>
      </c>
      <c r="C1122" t="inlineStr">
        <is>
          <t>19</t>
        </is>
      </c>
      <c r="D1122" s="11" t="inlineStr">
        <is>
          <t>Business continuity risks integrated into risk management strategy</t>
        </is>
      </c>
      <c r="E1122" t="inlineStr">
        <is>
          <t>5–6</t>
        </is>
      </c>
      <c r="F1122" t="inlineStr">
        <is>
          <t>High</t>
        </is>
      </c>
      <c r="G1122" t="inlineStr">
        <is>
          <t>High (explicit)</t>
        </is>
      </c>
      <c r="H1122" s="11" t="inlineStr"/>
      <c r="I1122" s="11" t="inlineStr">
        <is>
          <t>Financial Data</t>
        </is>
      </c>
      <c r="J1122" t="inlineStr">
        <is>
          <t>APRA</t>
        </is>
      </c>
      <c r="K1122" s="11" t="inlineStr">
        <is>
          <t>The Board must ensure business continuity risks and controls are incorporated into the institution's overall risk management strategy and included in the risk management declaration submitted to APRA. This requirement applies to APRA-regulated financial institutions to maintain alignment with regulatory expectations for risk management.</t>
        </is>
      </c>
      <c r="L1122" s="11" t="inlineStr">
        <is>
          <t>This section mandates that business continuity risks be systematically integrated into risk management, which is critical for assessing cross-border data transfer impacts in financial institutions due to the need for comprehensive risk coverage.</t>
        </is>
      </c>
      <c r="M1122" s="11" t="inlineStr">
        <is>
          <t>• [Must] The Board must ensure business continuity risks and controls are taken into account as part of the institution's risk management strategy</t>
        </is>
      </c>
      <c r="N1122" s="11" t="inlineStr">
        <is>
          <t>• [Must] The Board must ensure business continuity risks and controls are included in the risk management declaration required to be provided to APRA</t>
        </is>
      </c>
      <c r="O1122" s="11" t="inlineStr">
        <is>
          <t>The Board must ensure that the business continuity risks and controls are taken into account as part of the institution's risk management strategy and when completing a risk management declaration required to be provided to APRA.</t>
        </is>
      </c>
      <c r="P1122" s="12" t="n">
        <v>23</v>
      </c>
    </row>
    <row r="1123">
      <c r="A1123" t="inlineStr">
        <is>
          <t>Australia</t>
        </is>
      </c>
      <c r="B1123" t="inlineStr">
        <is>
          <t>Prudential-Standard-CPS-232-Business-Continuity-Management-(July-2017) (Australia - Row 5)</t>
        </is>
      </c>
      <c r="C1123" t="inlineStr">
        <is>
          <t>20</t>
        </is>
      </c>
      <c r="D1123" s="11" t="inlineStr">
        <is>
          <t>Business continuity as whole-of-business approach</t>
        </is>
      </c>
      <c r="E1123" t="inlineStr">
        <is>
          <t>6</t>
        </is>
      </c>
      <c r="F1123" t="inlineStr">
        <is>
          <t>High</t>
        </is>
      </c>
      <c r="G1123" t="inlineStr">
        <is>
          <t>High (explicit)</t>
        </is>
      </c>
      <c r="H1123" s="11" t="inlineStr"/>
      <c r="I1123" s="11" t="inlineStr">
        <is>
          <t>Financial Data</t>
        </is>
      </c>
      <c r="J1123" t="inlineStr">
        <is>
          <t>APRA</t>
        </is>
      </c>
      <c r="K1123" s="11" t="inlineStr">
        <is>
          <t>Business continuity management (BCM) requires institutions to establish policies, standards, and procedures that ensure critical business operations can be maintained or recovered during disruptions. This approach aims to minimize financial, legal, regulatory, and reputational consequences from operational interruptions.</t>
        </is>
      </c>
      <c r="L1123" s="11" t="inlineStr">
        <is>
          <t>This section defines BCM as a whole-of-business approach, which is relevant for DTIAs as it establishes foundational requirements for maintaining critical operations during disruptions, impacting data transfer resilience.</t>
        </is>
      </c>
      <c r="M1123" s="11" t="inlineStr">
        <is>
          <t>• [Must] BCM includes policies, standards and procedures for ensuring critical business operations can be maintained or recovered in a timely fashion during disruptions</t>
        </is>
      </c>
      <c r="N1123" s="11" t="inlineStr">
        <is>
          <t>• [Must] BCM aims to minimise financial, legal, regulatory and reputational consequences arising from disruptions</t>
        </is>
      </c>
      <c r="O1123" s="11" t="inlineStr">
        <is>
          <t>BCM is a whole-of-business approach that includes policies, standards and procedures for ensuring that critical business operations can be maintained or recovered in a timely fashion, in the event of a disruption. Its purpose is to minimise the financial, legal, regulatory, reputational and other material consequences arising from a disruption.</t>
        </is>
      </c>
      <c r="P1123" s="12" t="n">
        <v>23</v>
      </c>
    </row>
    <row r="1124">
      <c r="A1124" t="inlineStr">
        <is>
          <t>Australia</t>
        </is>
      </c>
      <c r="B1124" t="inlineStr">
        <is>
          <t>Prudential-Standard-CPS-232-Business-Continuity-Management-(July-2017) (Australia - Row 5)</t>
        </is>
      </c>
      <c r="C1124" t="inlineStr">
        <is>
          <t>27</t>
        </is>
      </c>
      <c r="D1124" s="11" t="inlineStr">
        <is>
          <t>Business impact analysis considerations for disruptions</t>
        </is>
      </c>
      <c r="E1124" t="inlineStr">
        <is>
          <t>6–7</t>
        </is>
      </c>
      <c r="F1124" t="inlineStr">
        <is>
          <t>High</t>
        </is>
      </c>
      <c r="G1124" t="inlineStr">
        <is>
          <t>High (explicit)</t>
        </is>
      </c>
      <c r="H1124" s="11" t="inlineStr"/>
      <c r="I1124" s="11" t="inlineStr">
        <is>
          <t>Financial Data</t>
        </is>
      </c>
      <c r="J1124" t="inlineStr">
        <is>
          <t>APRA</t>
        </is>
      </c>
      <c r="K1124" s="11" t="inlineStr">
        <is>
          <t>APRA-regulated institutions must evaluate plausible disruption scenarios, operational downtime periods, impact on depositors/policyholders, and financial/legal/regulatory consequences when conducting a Business Impact Analysis (BIA). This ensures comprehensive risk assessment for critical operations.</t>
        </is>
      </c>
      <c r="L1124" s="11" t="inlineStr">
        <is>
          <t>This section specifies key considerations for BIAs, which are essential for DTIAs to evaluate the impact of disruptions on data transfers, particularly regarding financial and regulatory consequences.</t>
        </is>
      </c>
      <c r="M1124" s="11" t="inlineStr">
        <is>
          <t>• [Must] The institution must consider plausible disruption scenarios over varying periods of time
• [Must] The institution must determine the period of time for which critical business operations could not operate without the institution</t>
        </is>
      </c>
      <c r="N1124" s="11" t="inlineStr">
        <is>
          <t>• [Must] The institution must assess the extent to which disruptions might impact depositors and/or policyholders
• [Must] The institution must evaluate financial, legal, regulatory and reputational impacts of disruptions over varying periods</t>
        </is>
      </c>
      <c r="O1124" s="11" t="inlineStr">
        <is>
          <t>When conducting the BIA, the APRA-regulated institution must consider: (a) plausible disruption scenarios over varying periods of time; (b) the period of time for which the institution could not operate without each of its critical business operations; (c) the extent to which a disruption to the critical business operations might have a material impact on the interests of depositors and/or policyholders of the institution; and (d) the financial, legal, regulatory and reputational impact of a disruption to the institution's critical business operations over varying periods of time.</t>
        </is>
      </c>
      <c r="P1124" s="12" t="n">
        <v>23</v>
      </c>
    </row>
    <row r="1125">
      <c r="A1125" t="inlineStr">
        <is>
          <t>Australia</t>
        </is>
      </c>
      <c r="B1125" t="inlineStr">
        <is>
          <t>Prudential-Standard-CPS-232-Business-Continuity-Management-(July-2017) (Australia - Row 5)</t>
        </is>
      </c>
      <c r="C1125" t="inlineStr">
        <is>
          <t>36</t>
        </is>
      </c>
      <c r="D1125" s="11" t="inlineStr">
        <is>
          <t>Notification of major disruptions to APRA</t>
        </is>
      </c>
      <c r="E1125" t="inlineStr">
        <is>
          <t>8</t>
        </is>
      </c>
      <c r="F1125" t="inlineStr">
        <is>
          <t>High</t>
        </is>
      </c>
      <c r="G1125" t="inlineStr">
        <is>
          <t>High (explicit)</t>
        </is>
      </c>
      <c r="H1125" s="11" t="inlineStr"/>
      <c r="I1125" s="11" t="inlineStr">
        <is>
          <t>Financial Data</t>
        </is>
      </c>
      <c r="J1125" t="inlineStr">
        <is>
          <t>APRA</t>
        </is>
      </c>
      <c r="K1125" s="11" t="inlineStr">
        <is>
          <t>APRA-regulated institutions must notify APRA within 24 hours of experiencing a major disruption that could materially impact their risk profile or financial soundness. The notification must detail the disruption's nature, actions taken, expected effects, and timeline for recovery, with a follow-up notification upon resumption of normal operations.</t>
        </is>
      </c>
      <c r="L1125" s="11" t="inlineStr">
        <is>
          <t>This section requires timely reporting of disruptions to APRA, which is critical for DTIAs to ensure data transfer continuity during incidents and to maintain regulatory oversight of cross-border data flows.</t>
        </is>
      </c>
      <c r="M1125" s="11" t="inlineStr">
        <is>
          <t>• [Must] APRA-regulated institutions must notify APRA as soon as possible and no later than 24 hours after experiencing a major disruption
• [Must] The institution must explain the nature of the disruption, actions being taken, likely effects, and timeframe for returning to normal operations</t>
        </is>
      </c>
      <c r="N1125" s="11" t="inlineStr">
        <is>
          <t>• [Must] The institution must notify APRA when normal operations resume</t>
        </is>
      </c>
      <c r="O1125" s="11" t="inlineStr">
        <is>
          <t>An APRA-regulated institution must notify APRA as soon as possible and no later than 24 hours after the institution experiences a major disruption that has the potential to have a material impact on the institution's risk profile, or affect its financial soundness.</t>
        </is>
      </c>
      <c r="P1125" s="12" t="n">
        <v>23</v>
      </c>
    </row>
    <row r="1126">
      <c r="A1126" t="inlineStr">
        <is>
          <t>Australia</t>
        </is>
      </c>
      <c r="B1126" t="inlineStr">
        <is>
          <t>Prudential-Standard-CPS-232-Business-Continuity-Management-(July-2017) (Australia - Row 5)</t>
        </is>
      </c>
      <c r="C1126" t="inlineStr">
        <is>
          <t>40</t>
        </is>
      </c>
      <c r="D1126" s="11" t="inlineStr">
        <is>
          <t>APRA's authority to adjust prudential standards</t>
        </is>
      </c>
      <c r="E1126" t="inlineStr">
        <is>
          <t>8–9</t>
        </is>
      </c>
      <c r="F1126" t="inlineStr">
        <is>
          <t>High</t>
        </is>
      </c>
      <c r="G1126" t="inlineStr">
        <is>
          <t>High (explicit)</t>
        </is>
      </c>
      <c r="H1126" s="11" t="inlineStr"/>
      <c r="I1126" s="11" t="inlineStr">
        <is>
          <t>Financial Data</t>
        </is>
      </c>
      <c r="J1126" t="inlineStr">
        <is>
          <t>APRA</t>
        </is>
      </c>
      <c r="K1126" s="11" t="inlineStr">
        <is>
          <t>APRA has the authority to adjust or exclude specific requirements within this Prudential Standard for regulated institutions, subject to relevant legal provisions under the Banking Act, Insurance Act, and Life Insurance Act.</t>
        </is>
      </c>
      <c r="L1126" s="11" t="inlineStr">
        <is>
          <t>This section grants APRA flexibility to modify requirements, which may impact DTIAs by allowing tailored approaches to data transfer compliance in specific regulatory contexts.</t>
        </is>
      </c>
      <c r="M1126" s="11" t="inlineStr">
        <is>
          <t>• [May] APRA may adjust or exclude a specific requirement in this Prudential Standard in relation to an APRA-regulated institution</t>
        </is>
      </c>
      <c r="N1126" s="11" t="inlineStr"/>
      <c r="O1126" s="11" t="inlineStr">
        <is>
          <t>APRA may adjust or exclude a specific requirement in this Prudential Standard in relation to an APRA-regulated institution.</t>
        </is>
      </c>
      <c r="P1126" s="12" t="n">
        <v>23</v>
      </c>
    </row>
    <row r="1127">
      <c r="A1127" t="inlineStr">
        <is>
          <t>Australia</t>
        </is>
      </c>
      <c r="B1127" t="inlineStr">
        <is>
          <t>Statutory tort for serious invasions of privacy _ OAIC (Australia - Row 24)</t>
        </is>
      </c>
      <c r="C1127" t="inlineStr">
        <is>
          <t>p1</t>
        </is>
      </c>
      <c r="D1127" s="11" t="inlineStr">
        <is>
          <t>Statutory tort for serious invasions of privacy</t>
        </is>
      </c>
      <c r="E1127" t="inlineStr">
        <is>
          <t>1–2</t>
        </is>
      </c>
      <c r="F1127" t="inlineStr">
        <is>
          <t>Medium</t>
        </is>
      </c>
      <c r="G1127" t="inlineStr">
        <is>
          <t>High (explicit)</t>
        </is>
      </c>
      <c r="H1127"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127" s="11" t="inlineStr">
        <is>
          <t>Personal Information</t>
        </is>
      </c>
      <c r="J1127" t="inlineStr"/>
      <c r="K1127" s="11" t="inlineStr">
        <is>
          <t>This section introduces the statutory tort for serious invasions of privacy as a legal mechanism allowing individuals to seek redress for privacy harms in court. It establishes that the tort applies beyond traditional Privacy Act entities to include individuals and other entities. The section outlines key components such as the definition of invasion, required elements for a claim, and the role of the court in determining remedies.</t>
        </is>
      </c>
      <c r="L1127" s="11" t="inlineStr"/>
      <c r="M1127" s="11" t="inlineStr">
        <is>
          <t>• [Must] Statutory tort for serious invasions of privacy</t>
        </is>
      </c>
      <c r="N1127" s="11" t="inlineStr"/>
      <c r="O1127" s="11" t="inlineStr">
        <is>
          <t>Statutory tort for serious invasions of privacy | OAIC</t>
        </is>
      </c>
      <c r="P1127" s="12" t="n">
        <v>25</v>
      </c>
    </row>
    <row r="1128">
      <c r="A1128" t="inlineStr">
        <is>
          <t>Australia</t>
        </is>
      </c>
      <c r="B1128" t="inlineStr">
        <is>
          <t>Statutory tort for serious invasions of privacy _ OAIC (Australia - Row 24)</t>
        </is>
      </c>
      <c r="C1128" t="inlineStr">
        <is>
          <t>p2</t>
        </is>
      </c>
      <c r="D1128" s="11" t="inlineStr">
        <is>
          <t>Statutory tort for serious invasions of privacy: claims and defences</t>
        </is>
      </c>
      <c r="E1128" t="inlineStr">
        <is>
          <t>2–3</t>
        </is>
      </c>
      <c r="F1128" t="inlineStr">
        <is>
          <t>Medium</t>
        </is>
      </c>
      <c r="G1128" t="inlineStr">
        <is>
          <t>High (explicit)</t>
        </is>
      </c>
      <c r="H1128"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128" s="11" t="inlineStr">
        <is>
          <t>Personal Information</t>
        </is>
      </c>
      <c r="J1128" t="inlineStr"/>
      <c r="K1128" s="11" t="inlineStr">
        <is>
          <t>This section details the conditions under which an individual may claim a statutory tort for serious invasions of privacy, including the requirement that the plaintiff had a reasonable expectation of privacy. It specifies that the defendant must have invaded privacy through actions like intruding upon seclusion or misusing information. The section also outlines defences such as consent or lawful authority, and exemptions for intelligence agencies, law enforcement, and journalists.</t>
        </is>
      </c>
      <c r="L1128" s="11" t="inlineStr"/>
      <c r="M1128" s="11" t="inlineStr">
        <is>
          <t>• [Must] An individual may have a cause of action against another person or organisation who has invaded their privacy by doing one or more of the following: intruding upon the individual's seclusion or misusing information that relates to the plaintiff
• [Must] The plaintiff must have had a reasonable expectation of privacy in all circumstances
• [Must] The plaintiff must demonstrate that the public interest in protecting their privacy outweighs any countervailing public interest</t>
        </is>
      </c>
      <c r="N1128" s="11" t="inlineStr">
        <is>
          <t>• [Must Not] Consent or lawful authority is a defence
• [Must Not] Exemptions apply to intelligence agencies, law enforcement bodies, and journalists in certain circumstances</t>
        </is>
      </c>
      <c r="O1128" s="11" t="inlineStr">
        <is>
          <t>An individual (plaintiff) may have a cause of action against another person or organisation (defendant) who has invaded their privacy by doing one or more of the following, in instances where the plaintiff would have had a reasonable expectation of privacy in all the circumstances: • intruding upon the individual's seclusion – for example, by physically intruding into their private space; • misusing information that relates to the plaintiff.</t>
        </is>
      </c>
      <c r="P1128" s="12" t="n">
        <v>25</v>
      </c>
    </row>
    <row r="1129">
      <c r="A1129" t="inlineStr">
        <is>
          <t>Australia</t>
        </is>
      </c>
      <c r="B1129" t="inlineStr">
        <is>
          <t>Statutory tort for serious invasions of privacy _ OAIC (Australia - Row 24)</t>
        </is>
      </c>
      <c r="C1129" t="inlineStr">
        <is>
          <t>p3</t>
        </is>
      </c>
      <c r="D1129" s="11" t="inlineStr">
        <is>
          <t>Timeframes for statutory tort claims</t>
        </is>
      </c>
      <c r="E1129" t="inlineStr">
        <is>
          <t>3–4</t>
        </is>
      </c>
      <c r="F1129" t="inlineStr">
        <is>
          <t>Medium</t>
        </is>
      </c>
      <c r="G1129" t="inlineStr">
        <is>
          <t>High (explicit)</t>
        </is>
      </c>
      <c r="H1129"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129" s="11" t="inlineStr">
        <is>
          <t>Personal Information</t>
        </is>
      </c>
      <c r="J1129" t="inlineStr"/>
      <c r="K1129" s="11" t="inlineStr">
        <is>
          <t>This section specifies the timeframes within which legal proceedings for the statutory tort must be commenced. If the plaintiff is under 18 at the time of the alleged invasion, proceedings must begin before their 21st birthday. Otherwise, the timeframe is the earlier of one year after the plaintiff became aware of the invasion or three years after the invasion occurred. The section also notes that courts may grant remedies such as damages, injunctions, or orders requiring an apology.</t>
        </is>
      </c>
      <c r="L1129" s="11" t="inlineStr"/>
      <c r="M1129" s="11" t="inlineStr">
        <is>
          <t>• [Must] Proceedings must be commenced within 1 year after the plaintiff became aware of the invasion of privacy or 3 years after the invasion occurred, whichever is earlier
• [Must] If the plaintiff is under 18 at the time of the alleged invasion, proceedings must be commenced before their 21st birthday</t>
        </is>
      </c>
      <c r="N1129" s="11" t="inlineStr">
        <is>
          <t>• [May] Courts may grant remedies including damages, injunctions, or orders requiring an apology</t>
        </is>
      </c>
      <c r="O1129" s="11" t="inlineStr">
        <is>
          <t>Proceedings under the statutory tort must be commenced within certain timeframes. If a plaintiff is under 18 years of age when the alleged invasion of privacy occurred, proceedings must commence before their 21st birthday. In other circumstances, the timeframe is the earlier of: • 1 year after the day on which the plaintiff became aware of the invasion of privacy; and • 3 years after the invasion of privacy occurred.</t>
        </is>
      </c>
      <c r="P1129" s="12" t="n">
        <v>25</v>
      </c>
    </row>
    <row r="1130">
      <c r="A1130" t="inlineStr">
        <is>
          <t>Australia</t>
        </is>
      </c>
      <c r="B1130" t="inlineStr">
        <is>
          <t>Statutory tort for serious invasions of privacy _ OAIC (Australia - Row 24)</t>
        </is>
      </c>
      <c r="C1130" t="inlineStr">
        <is>
          <t>p4</t>
        </is>
      </c>
      <c r="D1130" s="11" t="inlineStr">
        <is>
          <t>Site map for statutory tort information</t>
        </is>
      </c>
      <c r="E1130" t="inlineStr">
        <is>
          <t>4–5</t>
        </is>
      </c>
      <c r="F1130" t="inlineStr">
        <is>
          <t>Medium</t>
        </is>
      </c>
      <c r="G1130" t="inlineStr">
        <is>
          <t>High (explicit)</t>
        </is>
      </c>
      <c r="H1130"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130" s="11" t="inlineStr">
        <is>
          <t>Personal Information</t>
        </is>
      </c>
      <c r="J1130" t="inlineStr"/>
      <c r="K1130" s="11" t="inlineStr">
        <is>
          <t>This section provides a site map for the statutory tort for serious invasions of privacy, including links to copyright, terms and conditions, privacy policy, accessibility, and contact information. It does not contain substantive legal requirements or obligations related to data transfers or privacy practices.</t>
        </is>
      </c>
      <c r="L1130" s="11" t="inlineStr"/>
      <c r="M1130" s="11" t="inlineStr">
        <is>
          <t>• [Must] Site map includes links to copyright, terms and conditions, privacy policy, accessibility, and contact information</t>
        </is>
      </c>
      <c r="N1130" s="11" t="inlineStr"/>
      <c r="O1130" s="11" t="inlineStr">
        <is>
          <t>Site map</t>
        </is>
      </c>
      <c r="P1130" s="12" t="n">
        <v>25</v>
      </c>
    </row>
    <row r="1131">
      <c r="A1131" t="inlineStr">
        <is>
          <t>Australia</t>
        </is>
      </c>
      <c r="B1131" t="inlineStr">
        <is>
          <t>Statutory tort for serious invasions of privacy _ OAIC (Australia - Row 24)</t>
        </is>
      </c>
      <c r="C1131" t="inlineStr">
        <is>
          <t>p5</t>
        </is>
      </c>
      <c r="D1131" s="11" t="inlineStr">
        <is>
          <t>Contact information for statutory tort support</t>
        </is>
      </c>
      <c r="E1131" t="inlineStr">
        <is>
          <t>5</t>
        </is>
      </c>
      <c r="F1131" t="inlineStr">
        <is>
          <t>Medium</t>
        </is>
      </c>
      <c r="G1131" t="inlineStr">
        <is>
          <t>High (explicit)</t>
        </is>
      </c>
      <c r="H1131"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131" s="11" t="inlineStr">
        <is>
          <t>Personal Information</t>
        </is>
      </c>
      <c r="J1131" t="inlineStr"/>
      <c r="K1131" s="11" t="inlineStr">
        <is>
          <t>This section provides contact details for the Office of the Australian Information Commissioner (OAIC), including a phone number and operating hours. It also includes an acknowledgment of country statement and copyright information, but does not contain substantive legal requirements for data transfers or privacy practices.</t>
        </is>
      </c>
      <c r="L1131" s="11" t="inlineStr"/>
      <c r="M1131" s="11" t="inlineStr">
        <is>
          <t>• [Must] Contact number: 1300 363 992</t>
        </is>
      </c>
      <c r="N1131" s="11" t="inlineStr">
        <is>
          <t>• [Must] Operating hours: Monday to Thursday 10 am to 4 pm (AEST/AEDT)</t>
        </is>
      </c>
      <c r="O1131" s="11" t="inlineStr">
        <is>
          <t>Contact us 1300 363 992 Monday to Thursday 10 am to 4 pm (AEST/AEDT)</t>
        </is>
      </c>
      <c r="P1131" s="12" t="n">
        <v>25</v>
      </c>
    </row>
    <row r="1132">
      <c r="A1132" t="inlineStr">
        <is>
          <t>Australia</t>
        </is>
      </c>
      <c r="B1132" t="inlineStr">
        <is>
          <t>cps_234_july_2019_for_public_release (Australia - Row 6)</t>
        </is>
      </c>
      <c r="C1132" t="inlineStr">
        <is>
          <t>1</t>
        </is>
      </c>
      <c r="D1132" s="11" t="inlineStr">
        <is>
          <t>Prudential Standard authority basis</t>
        </is>
      </c>
      <c r="E1132" t="inlineStr">
        <is>
          <t>2</t>
        </is>
      </c>
      <c r="F1132" t="inlineStr">
        <is>
          <t>High</t>
        </is>
      </c>
      <c r="G1132" t="inlineStr">
        <is>
          <t>High (explicit)</t>
        </is>
      </c>
      <c r="H1132" s="11" t="inlineStr">
        <is>
          <t>Governance</t>
        </is>
      </c>
      <c r="I1132" s="11" t="inlineStr"/>
      <c r="J1132" t="inlineStr">
        <is>
          <t>APRA</t>
        </is>
      </c>
      <c r="K1132" s="11" t="inlineStr">
        <is>
          <t>This section specifies the legislative basis for the Prudential Standard, stating it is enacted under five specific sections of Australian financial legislation: Banking Act 1959, Insurance Act 1973, Life Insurance Act 1995, Private Health Insurance (Prudential Supervision) Act 2015, and Superannuation Industry (Supervision) Act 1993. The section establishes the legal foundation for the Prudential Standard's authority.</t>
        </is>
      </c>
      <c r="L1132" s="11" t="inlineStr"/>
      <c r="M1132" s="11" t="inlineStr">
        <is>
          <t>• [Must] This Prudential Standard is made under section 11AF of the Banking Act 1959
• [Must] This Prudential Standard is made under section 32 of the Insurance Act 1973
• [Must] This Prudential Standard is made under section 230A of the Life Insurance Act 1995</t>
        </is>
      </c>
      <c r="N1132" s="11" t="inlineStr">
        <is>
          <t>• [Must] This Prudential Standard is made under section 92 of the Private Health Insurance (Prudential Supervision) Act 2015
• [Must] This Prudential Standard is made under section 34C of the Superannuation Industry (Supervision) Act 1993</t>
        </is>
      </c>
      <c r="O1132" s="11" t="inlineStr">
        <is>
          <t>This Prudential Standard is made under: (a) section 11AF of the Banking Act 1959 (Banking Act); (b) section 32 of the Insurance Act 1973 (Insurance Act); (c) section 230A of the Life Insurance Act 1995 (Life Insurance Act); (d) section 92 of the Private Health Insurance (Prudential Supervision) Act 2015 (PHIPS Act); and (e) section 34C of the Superannuation Industry (Supervision) Act 1993 (SIS Act).</t>
        </is>
      </c>
      <c r="P1132" s="12" t="n">
        <v>18</v>
      </c>
    </row>
    <row r="1133">
      <c r="A1133" t="inlineStr">
        <is>
          <t>Australia</t>
        </is>
      </c>
      <c r="B1133" t="inlineStr">
        <is>
          <t>cps_234_july_2019_for_public_release (Australia - Row 6)</t>
        </is>
      </c>
      <c r="C1133" t="inlineStr">
        <is>
          <t>2</t>
        </is>
      </c>
      <c r="D1133" s="11" t="inlineStr">
        <is>
          <t>APRA-regulated entities covered by the standard</t>
        </is>
      </c>
      <c r="E1133" t="inlineStr">
        <is>
          <t>2</t>
        </is>
      </c>
      <c r="F1133" t="inlineStr">
        <is>
          <t>High</t>
        </is>
      </c>
      <c r="G1133" t="inlineStr">
        <is>
          <t>High (explicit)</t>
        </is>
      </c>
      <c r="H1133" s="11" t="inlineStr">
        <is>
          <t>Governance</t>
        </is>
      </c>
      <c r="I1133" s="11" t="inlineStr"/>
      <c r="J1133" t="inlineStr">
        <is>
          <t>APRA</t>
        </is>
      </c>
      <c r="K1133" s="11" t="inlineStr">
        <is>
          <t>This section defines which entities fall under the Prudential Standard by specifying APRA-regulated entities, including authorized deposit-taking institutions, general insurers, life companies, private health insurers, and superannuation industry licensees. The scope covers both Australian and foreign entities operating within these categories.</t>
        </is>
      </c>
      <c r="L1133" s="11" t="inlineStr"/>
      <c r="M1133" s="11" t="inlineStr">
        <is>
          <t>• [Must] This Prudential Standard applies to all 'APRA-regulated entities' defined as: (a) authorized deposit-taking institutions (ADIs), including foreign ADIs, and non-operating holding companies authorized under the Banking Act
• [Must] This Prudential Standard applies to all 'APRA-regulated entities' defined as: (b) general insurers, including Category C insurers, non-operating holding companies authorized under the Insurance Act, and parent entities of Level 2 insurance groups
• [Must] This Prudential Standard applies to all 'APRA-regulated entities' defined as: (c) life companies, including friendly societies, eligible foreign life insurance companies (EFLICs) and non-operating holding companies registered under the Life Insurance Act</t>
        </is>
      </c>
      <c r="N1133" s="11" t="inlineStr">
        <is>
          <t>• [Must] This Prudential Standard applies to all 'APRA-regulated entities' defined as: (d) private health insurers registered under the PHIPS Act
• [Must] This Prudential Standard applies to all 'APRA-regulated entities' defined as: (e) RSE licensees under the SIS Act in respect of their business operations</t>
        </is>
      </c>
      <c r="O1133" s="11" t="inlineStr">
        <is>
          <t>This Prudential Standard applies to all 'APRA-regulated entities' defined as: (a) authorized deposit-taking institutions (ADIs), including foreign ADIs, and non-operating holding companies authorized under the Banking Act (authorized banking NOHCs); (b) general insurers, including Category C insurers, non-operating holding companies authorized under the Insurance Act (authorised insurance NOHCs), and parent entities of Level 2 insurance groups; (c) life companies, including friendly societies, eligible foreign life insurance companies (EFLICs) and non-operating holding companies registered under the Life Insurance Act (registered life NOHCs); (d) private health insurers registered under the PHIPS Act; and (e) RSE licensees under the SIS Act in respect of their business operations.</t>
        </is>
      </c>
      <c r="P1133" s="12" t="n">
        <v>18</v>
      </c>
    </row>
    <row r="1134">
      <c r="A1134" t="inlineStr">
        <is>
          <t>Australia</t>
        </is>
      </c>
      <c r="B1134" t="inlineStr">
        <is>
          <t>cps_234_july_2019_for_public_release (Australia - Row 6)</t>
        </is>
      </c>
      <c r="C1134" t="inlineStr">
        <is>
          <t>3</t>
        </is>
      </c>
      <c r="D1134" s="11" t="inlineStr">
        <is>
          <t>Foreign entities' Australian branch operations scope</t>
        </is>
      </c>
      <c r="E1134" t="inlineStr">
        <is>
          <t>2</t>
        </is>
      </c>
      <c r="F1134" t="inlineStr">
        <is>
          <t>High</t>
        </is>
      </c>
      <c r="G1134" t="inlineStr">
        <is>
          <t>High (explicit)</t>
        </is>
      </c>
      <c r="H1134" s="11" t="inlineStr">
        <is>
          <t>Governance</t>
        </is>
      </c>
      <c r="I1134" s="11" t="inlineStr"/>
      <c r="J1134" t="inlineStr">
        <is>
          <t>APRA</t>
        </is>
      </c>
      <c r="K1134" s="11" t="inlineStr">
        <is>
          <t>This section limits the application of the Prudential Standard to Australian branch operations of foreign entities. It specifies that obligations only apply to foreign ADIs, Category C insurers, or EFLICs in relation to their Australian branch activities, excluding other operations.</t>
        </is>
      </c>
      <c r="L1134" s="11" t="inlineStr"/>
      <c r="M1134" s="11" t="inlineStr">
        <is>
          <t>• [Must] The obligations imposed by this Prudential Standard on, or in relation to, a foreign ADI, a Category C insurer or an EFLIC apply only in relation to the Australian branch operations of that entity</t>
        </is>
      </c>
      <c r="N1134" s="11" t="inlineStr"/>
      <c r="O1134" s="11" t="inlineStr">
        <is>
          <t>The obligations imposed by this Prudential Standard on, or in relation to, a foreign ADI, a Category C insurer or an EFLIC apply only in relation to the Australian branch operations of that entity.</t>
        </is>
      </c>
      <c r="P1134" s="12" t="n">
        <v>18</v>
      </c>
    </row>
    <row r="1135">
      <c r="A1135" t="inlineStr">
        <is>
          <t>Australia</t>
        </is>
      </c>
      <c r="B1135" t="inlineStr">
        <is>
          <t>cps_234_july_2019_for_public_release (Australia - Row 6)</t>
        </is>
      </c>
      <c r="C1135" t="inlineStr">
        <is>
          <t>4</t>
        </is>
      </c>
      <c r="D1135" s="11" t="inlineStr">
        <is>
          <t>Group compliance requirements</t>
        </is>
      </c>
      <c r="E1135" t="inlineStr">
        <is>
          <t>2–3</t>
        </is>
      </c>
      <c r="F1135" t="inlineStr">
        <is>
          <t>High</t>
        </is>
      </c>
      <c r="G1135" t="inlineStr">
        <is>
          <t>High (explicit)</t>
        </is>
      </c>
      <c r="H1135" s="11" t="inlineStr">
        <is>
          <t>Governance</t>
        </is>
      </c>
      <c r="I1135" s="11" t="inlineStr"/>
      <c r="J1135" t="inlineStr">
        <is>
          <t>APRA</t>
        </is>
      </c>
      <c r="K1135" s="11" t="inlineStr">
        <is>
          <t>This section mandates that group entities must comply with the Prudential Standard in their capacity as APRA-regulated entities, ensuring requirements are applied appropriately throughout the group, including non-regulated entities, and on a group basis. It clarifies that references to 'APRA-regulated entity' in the standard apply to 'Head of a group' and 'entity' to 'group' when applying requirements group-wide.</t>
        </is>
      </c>
      <c r="L1135" s="11" t="inlineStr"/>
      <c r="M1135" s="11" t="inlineStr">
        <is>
          <t>• [Must] Where an APRA-regulated entity is the 'Head of a group', it must comply with a requirement of this Prudential Standard in its capacity as an APRA-regulated entity
• [Must] Where an APRA-regulated entity is the 'Head of a group', it must ensure that the requirement is applied appropriately throughout the group, including in relation to entities that are not APRA-regulated
• [Must] Where an APRA-regulated entity is the 'Head of a group', it must comply with the requirement on a group basis</t>
        </is>
      </c>
      <c r="N1135" s="11" t="inlineStr">
        <is>
          <t>• [Must] In applying the requirements of this Prudential Standard on a group basis, references in paragraphs 13 to 36 to an 'APRA-regulated entity' are to be read as 'Head of a group'
• [Must] In applying the requirements of this Prudential Standard on a group basis, references to 'entity' are to be read as 'group'</t>
        </is>
      </c>
      <c r="O1135" s="11" t="inlineStr">
        <is>
          <t>Where an APRA-regulated entity is the 'Head of a group', it must comply with a requirement of this Prudential Standard: (a) in its capacity as an APRA-regulated entity; (b) by ensuring that the requirement is applied appropriately throughout the group, including in relation to entities that are not APRA-regulated; and (c) on a group basis.</t>
        </is>
      </c>
      <c r="P1135" s="12" t="n">
        <v>18</v>
      </c>
    </row>
    <row r="1136">
      <c r="A1136" t="inlineStr">
        <is>
          <t>Australia</t>
        </is>
      </c>
      <c r="B1136" t="inlineStr">
        <is>
          <t>cps_234_july_2019_for_public_release (Australia - Row 6)</t>
        </is>
      </c>
      <c r="C1136" t="inlineStr">
        <is>
          <t>6</t>
        </is>
      </c>
      <c r="D1136" s="11" t="inlineStr">
        <is>
          <t>Third-party information asset compliance timeline</t>
        </is>
      </c>
      <c r="E1136" t="inlineStr">
        <is>
          <t>3</t>
        </is>
      </c>
      <c r="F1136" t="inlineStr">
        <is>
          <t>High</t>
        </is>
      </c>
      <c r="G1136" t="inlineStr">
        <is>
          <t>High (explicit)</t>
        </is>
      </c>
      <c r="H1136" s="11" t="inlineStr">
        <is>
          <t>Governance</t>
        </is>
      </c>
      <c r="I1136" s="11" t="inlineStr"/>
      <c r="J1136" t="inlineStr">
        <is>
          <t>APRA</t>
        </is>
      </c>
      <c r="K1136" s="11" t="inlineStr">
        <is>
          <t>This section establishes when the Prudential Standard applies to information assets managed by third parties, specifying that requirements take effect from the earlier of the next renewal date of the third-party contract or 1 July 2020. This ensures timely compliance with data management obligations.</t>
        </is>
      </c>
      <c r="L1136" s="11" t="inlineStr"/>
      <c r="M1136" s="11" t="inlineStr">
        <is>
          <t>• [Must] Where an APRA-regulated entity's information assets are managed by a third party, the requirements in this Prudential Standard will apply in relation to those information assets from the earlier of the next renewal date of the contract with the third party or 1 July 2020</t>
        </is>
      </c>
      <c r="N1136" s="11" t="inlineStr"/>
      <c r="O1136" s="11" t="inlineStr">
        <is>
          <t>Where an APRA-regulated entity's information assets are managed by a third party, the requirements in this Prudential Standard will apply in relation to those information assets from the earlier of the next renewal date of the contract with the third party or 1 July 2020.</t>
        </is>
      </c>
      <c r="P1136" s="12" t="n">
        <v>18</v>
      </c>
    </row>
    <row r="1137">
      <c r="A1137" t="inlineStr">
        <is>
          <t>Australia</t>
        </is>
      </c>
      <c r="B1137" t="inlineStr">
        <is>
          <t>cps_234_july_2019_for_public_release (Australia - Row 6)</t>
        </is>
      </c>
      <c r="C1137" t="inlineStr">
        <is>
          <t>7</t>
        </is>
      </c>
      <c r="D1137" s="11" t="inlineStr">
        <is>
          <t>Definition usage in standard</t>
        </is>
      </c>
      <c r="E1137" t="inlineStr">
        <is>
          <t>3</t>
        </is>
      </c>
      <c r="F1137" t="inlineStr">
        <is>
          <t>High</t>
        </is>
      </c>
      <c r="G1137" t="inlineStr">
        <is>
          <t>High (explicit)</t>
        </is>
      </c>
      <c r="H1137" s="11" t="inlineStr">
        <is>
          <t>Governance</t>
        </is>
      </c>
      <c r="I1137" s="11" t="inlineStr"/>
      <c r="J1137" t="inlineStr">
        <is>
          <t>APRA</t>
        </is>
      </c>
      <c r="K1137" s="11" t="inlineStr">
        <is>
          <t>This section states that terms defined in other Prudential Standards (APS 001, GPS 001, LPS 001, HPS 001, 3PS 001) appear in bold for the first time they are used in this Prudential Standard. This ensures consistency in terminology across regulatory documents.</t>
        </is>
      </c>
      <c r="L1137" s="11" t="inlineStr"/>
      <c r="M1137" s="11" t="inlineStr">
        <is>
          <t>• [Must] Terms that are defined in Prudential Standard APS 001 Definitions (APS 001), Prudential Standard GPS 001 Definitions (GPS 001), Prudential Standard LPS 001 Definitions, Prudential Standard HPS 001 Definitions or Prudential Standard 3PS 001 Definitions appear in bold the first time they are used in this Prudential Standard</t>
        </is>
      </c>
      <c r="N1137" s="11" t="inlineStr"/>
      <c r="O1137" s="11" t="inlineStr">
        <is>
          <t>Terms that are defined in Prudential Standard APS 001 Definitions (APS 001), Prudential Standard GPS 001 Definitions (GPS 001), Prudential Standard LPS 001 Definitions, Prudential Standard HPS 001 Definitions or Prudential Standard 3PS 001 Definitions appear in bold the first time they are used in this Prudential Standard.</t>
        </is>
      </c>
      <c r="P1137" s="12" t="n">
        <v>18</v>
      </c>
    </row>
    <row r="1138">
      <c r="A1138" t="inlineStr">
        <is>
          <t>Australia</t>
        </is>
      </c>
      <c r="B1138" t="inlineStr">
        <is>
          <t>cps_234_july_2019_for_public_release (Australia - Row 6)</t>
        </is>
      </c>
      <c r="C1138" t="inlineStr">
        <is>
          <t>8</t>
        </is>
      </c>
      <c r="D1138" s="11" t="inlineStr">
        <is>
          <t>Reference to Acts and Standards</t>
        </is>
      </c>
      <c r="E1138" t="inlineStr">
        <is>
          <t>3</t>
        </is>
      </c>
      <c r="F1138" t="inlineStr">
        <is>
          <t>None</t>
        </is>
      </c>
      <c r="G1138" t="inlineStr">
        <is>
          <t>High (explicit)</t>
        </is>
      </c>
      <c r="H1138" s="11" t="inlineStr"/>
      <c r="I1138" s="11" t="inlineStr"/>
      <c r="J1138" t="inlineStr"/>
      <c r="K1138" s="11" t="inlineStr">
        <is>
          <t>This section clarifies that references to Acts, Regulations, or Prudential Standards within the standard refer to the current in-force versions. It establishes the temporal scope for such references without specifying any particular version or amendment.</t>
        </is>
      </c>
      <c r="L1138" s="11" t="inlineStr"/>
      <c r="M1138" s="11" t="inlineStr">
        <is>
          <t>• [Definition] References to Acts, Regulations, or Prudential Standards refer to the current in-force versions</t>
        </is>
      </c>
      <c r="N1138" s="11" t="inlineStr"/>
      <c r="O1138" s="11" t="inlineStr">
        <is>
          <t>In this Prudential Standard, unless the contrary intention appears, a reference to an Act, Regulation or Prudential Standard is a reference to the Act, Regulation or Prudential Standard as in force from time to time.</t>
        </is>
      </c>
      <c r="P1138" s="12" t="n">
        <v>18</v>
      </c>
    </row>
    <row r="1139">
      <c r="A1139" t="inlineStr">
        <is>
          <t>Australia</t>
        </is>
      </c>
      <c r="B1139" t="inlineStr">
        <is>
          <t>cps_234_july_2019_for_public_release (Australia - Row 6)</t>
        </is>
      </c>
      <c r="C1139" t="inlineStr">
        <is>
          <t>10</t>
        </is>
      </c>
      <c r="D1139" s="11" t="inlineStr">
        <is>
          <t>Group and Head Definitions</t>
        </is>
      </c>
      <c r="E1139" t="inlineStr">
        <is>
          <t>3–4</t>
        </is>
      </c>
      <c r="F1139" t="inlineStr">
        <is>
          <t>Low</t>
        </is>
      </c>
      <c r="G1139" t="inlineStr">
        <is>
          <t>High (explicit)</t>
        </is>
      </c>
      <c r="H1139" s="11" t="inlineStr"/>
      <c r="I1139" s="11" t="inlineStr"/>
      <c r="J1139" t="inlineStr"/>
      <c r="K1139" s="11" t="inlineStr">
        <is>
          <t>This section defines key terms such as 'group', 'Head of a group', 'Level 2 group', and 'Level 2 Head' to clarify the organizational structure and leadership roles within APRA-regulated entities. These definitions are critical for understanding the scope of regulatory oversight and responsibilities.</t>
        </is>
      </c>
      <c r="L1139" s="11" t="inlineStr"/>
      <c r="M1139" s="11" t="inlineStr">
        <is>
          <t>• [Definition] ‘group' means a Level 2 group or a Level 3 group, as relevant
• [Definition] ‘Head of a group' means a Level 2 Head or Level 3 Head, as relevant</t>
        </is>
      </c>
      <c r="N1139" s="11" t="inlineStr">
        <is>
          <t>• [Definition] ‘Level 2 group' means the entities that comprise: (a) Level 2 as defined in APS 001; or (b) a Level 2 insurance group as defined in GPS 001
• [Definition]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t>
        </is>
      </c>
      <c r="O1139" s="11" t="inlineStr">
        <is>
          <t>For the purposes of this Prudential Standard: ‘group' means a Level 2 group or a Level 3 group, as relevant; ‘Head of a group' means a Level 2 Head or Level 3 Head, as relevant; ‘Level 2 group' means the entities that comprise: (a) Level 2 as defined in APS 001; or (b) a Level 2 insurance group as defined in GPS 001; ‘Level 2 Head' means: (a) where an ADI that is a member of a Level 2 group is not a subsidiary of an authorised banking NOHC or another ADI, that ADI; (b) where an ADI that is a member of a Level 2 group is a subsidiary of an authorised banking NOHC, that authorised banking NOHC; or (c) the parent entity of a Level 2 insurance group as defined in GPS 001.</t>
        </is>
      </c>
      <c r="P1139" s="12" t="n">
        <v>18</v>
      </c>
    </row>
    <row r="1140">
      <c r="A1140" t="inlineStr">
        <is>
          <t>Australia</t>
        </is>
      </c>
      <c r="B1140" t="inlineStr">
        <is>
          <t>cps_234_july_2019_for_public_release (Australia - Row 6)</t>
        </is>
      </c>
      <c r="C1140" t="inlineStr">
        <is>
          <t>12</t>
        </is>
      </c>
      <c r="D1140" s="11" t="inlineStr">
        <is>
          <t>Information Security Definitions</t>
        </is>
      </c>
      <c r="E1140" t="inlineStr">
        <is>
          <t>4–5</t>
        </is>
      </c>
      <c r="F1140" t="inlineStr">
        <is>
          <t>Low</t>
        </is>
      </c>
      <c r="G1140" t="inlineStr">
        <is>
          <t>High (explicit)</t>
        </is>
      </c>
      <c r="H1140" s="11" t="inlineStr"/>
      <c r="I1140" s="11" t="inlineStr"/>
      <c r="J1140" t="inlineStr"/>
      <c r="K1140" s="11" t="inlineStr">
        <is>
          <t>This section provides detailed definitions for information security terms such as availability, confidentiality, criticality, information assets, information security, information security capability, information security controls, information security incidents, information security policy frameworks, information security threats, information security vulnerabilities, integrity, and sensitivity. These definitions are foundational for implementing information security measures.</t>
        </is>
      </c>
      <c r="L1140" s="11" t="inlineStr"/>
      <c r="M1140" s="11" t="inlineStr">
        <is>
          <t>• [Definition] availability refers to accessibility and usability when required
• [Definition] confidentiality refers to access being restricted only to those authorised
• [Definition] criticality refers to the potential impact of a loss of availability
• [Definition] information asset means information and information technology, including software, hardware and data (both soft and hard copy)
• [Definition] information security means the preservation of an information asset's confidentiality, integrity and availability
• [Definition] information security capability means the totality of resources, skills and controls which provide the ability and capacity to maintain information security
• [Definition] information security control means a prevention, detection or response measure to reduce the likelihood or impact of an information security incident</t>
        </is>
      </c>
      <c r="N1140" s="11" t="inlineStr">
        <is>
          <t>• [Definition] information security incident means an actual or potential compromise of information security
• [Definition] information security policy framework means the totality of policies, standards, guidelines and procedures pertaining to information security
• [Definition] information security threat (threat) is a circumstance or event that has the potential to exploit an information security vulnerability
• [Definition] information security vulnerability (vulnerability) is a weakness in an information asset or information security control that could be exploited to compromise information security
• [Definition] integrity refers to completeness, accuracy and freedom from unauthorised change or usage
• [Definition] sensitivity means the potential impact of a loss of confidentiality or integrity</t>
        </is>
      </c>
      <c r="O1140" s="11" t="inlineStr">
        <is>
          <t>The following definitions are used in this Prudential Standard: (a) availability refers to accessibility and usability when required; (b) confidentiality refers to access being restricted only to those authorised; (c) criticality refers to the potential impact of a loss of availability; (d) information asset means information and information technology, including software, hardware and data (both soft and hard copy); (e) information security means the preservation of an information asset's confidentiality, integrity and availability; (f) information security capability means the totality of resources, skills and controls which provide the ability and capacity to maintain information security; (g) information security control means a prevention, detection or response measure to reduce the likelihood or impact of an information security incident; (h) information security incident means an actual or potential compromise of information security; (i) information security policy framework means the totality of policies, standards, guidelines and procedures pertaining to information security; (j) information security threat (threat) is a circumstance or event that has the potential to exploit an information security vulnerability; (k) information security vulnerability (vulnerability) is a weakness in an information asset or information security control that could be exploited to compromise information security; (l) integrity refers to completeness, accuracy and freedom from unauthorised change or usage; and (m) sensitivity means the potential impact of a loss of confidentiality or integrity.</t>
        </is>
      </c>
      <c r="P1140" s="12" t="n">
        <v>18</v>
      </c>
    </row>
    <row r="1141">
      <c r="A1141" t="inlineStr">
        <is>
          <t>Australia</t>
        </is>
      </c>
      <c r="B1141" t="inlineStr">
        <is>
          <t>cps_234_july_2019_for_public_release (Australia - Row 6)</t>
        </is>
      </c>
      <c r="C1141" t="inlineStr">
        <is>
          <t>13</t>
        </is>
      </c>
      <c r="D1141" s="11" t="inlineStr">
        <is>
          <t>Board Responsibility for Information Security</t>
        </is>
      </c>
      <c r="E1141" t="inlineStr">
        <is>
          <t>5</t>
        </is>
      </c>
      <c r="F1141" t="inlineStr">
        <is>
          <t>Low</t>
        </is>
      </c>
      <c r="G1141" t="inlineStr">
        <is>
          <t>High (explicit)</t>
        </is>
      </c>
      <c r="H1141" s="11" t="inlineStr">
        <is>
          <t>Governance</t>
        </is>
      </c>
      <c r="I1141" s="11" t="inlineStr"/>
      <c r="J1141" t="inlineStr">
        <is>
          <t>APRA</t>
        </is>
      </c>
      <c r="K1141" s="11" t="inlineStr">
        <is>
          <t>This section mandates that the Board of an APRA-regulated entity is ultimately responsible for the information security of the entity. The Board must ensure that information security measures are commensurate with the size and extent of threats to information assets and support the continued sound operation of the entity.</t>
        </is>
      </c>
      <c r="L1141" s="11" t="inlineStr"/>
      <c r="M1141" s="11" t="inlineStr">
        <is>
          <t>• [Must] The Board of an APRA-regulated entity is ultimately responsible for the information security of the entity
• [Must] The Board must ensure that the entity maintains information security in a manner commensurate with the size and extent of threats to its information assets</t>
        </is>
      </c>
      <c r="N1141" s="11" t="inlineStr">
        <is>
          <t>• [Must] The Board must ensure that the entity maintains information security which enables the continued sound operation of the entity</t>
        </is>
      </c>
      <c r="O1141" s="11" t="inlineStr">
        <is>
          <t>The Board4 of an APRA-regulated entity (Board) is ultimately responsible for the information security of the entity. The Board must ensure that the entity maintains information security in a manner commensurate with the size and extent of threats to its information assets, and which enables the continued sound operation of the entity.</t>
        </is>
      </c>
      <c r="P1141" s="12" t="n">
        <v>18</v>
      </c>
    </row>
    <row r="1142">
      <c r="A1142" t="inlineStr">
        <is>
          <t>Australia</t>
        </is>
      </c>
      <c r="B1142" t="inlineStr">
        <is>
          <t>cps_234_july_2019_for_public_release (Australia - Row 6)</t>
        </is>
      </c>
      <c r="C1142" t="inlineStr">
        <is>
          <t>14</t>
        </is>
      </c>
      <c r="D1142" s="11" t="inlineStr">
        <is>
          <t>Definition of Information Security Roles</t>
        </is>
      </c>
      <c r="E1142" t="inlineStr">
        <is>
          <t>5</t>
        </is>
      </c>
      <c r="F1142" t="inlineStr">
        <is>
          <t>Low</t>
        </is>
      </c>
      <c r="G1142" t="inlineStr">
        <is>
          <t>High (explicit)</t>
        </is>
      </c>
      <c r="H1142" s="11" t="inlineStr">
        <is>
          <t>Governance</t>
        </is>
      </c>
      <c r="I1142" s="11" t="inlineStr"/>
      <c r="J1142" t="inlineStr">
        <is>
          <t>APRA</t>
        </is>
      </c>
      <c r="K1142" s="11" t="inlineStr">
        <is>
          <t>This section requires APRA-regulated entities to clearly define the information security-related roles and responsibilities of the Board, senior management, governing bodies, and individuals with decision-making authority. This includes oversight, approval, operations, and other information security functions.</t>
        </is>
      </c>
      <c r="L1142" s="11" t="inlineStr"/>
      <c r="M1142" s="11" t="inlineStr">
        <is>
          <t>• [Must] An APRA-regulated entity must clearly define the information security-related roles and responsibilities of the Board, senior management, governing bodies and individuals with responsibility for decision-making</t>
        </is>
      </c>
      <c r="N1142" s="11" t="inlineStr">
        <is>
          <t>• [Must] An APRA-regulated entity must clearly define the information security-related roles and responsibilities for approval, oversight, operations and other information security functions</t>
        </is>
      </c>
      <c r="O1142" s="11" t="inlineStr">
        <is>
          <t>An APRA-regulated entity must clearly define the information security-related roles and responsibilities of the Board, senior management, governing bodies and individuals with responsibility for decision-making, approval, oversight, operations and other information security functions.</t>
        </is>
      </c>
      <c r="P1142" s="12" t="n">
        <v>18</v>
      </c>
    </row>
    <row r="1143">
      <c r="A1143" t="inlineStr">
        <is>
          <t>Australia</t>
        </is>
      </c>
      <c r="B1143" t="inlineStr">
        <is>
          <t>cps_234_july_2019_for_public_release (Australia - Row 6)</t>
        </is>
      </c>
      <c r="C1143" t="inlineStr">
        <is>
          <t>15</t>
        </is>
      </c>
      <c r="D1143" s="11" t="inlineStr">
        <is>
          <t>Information Security Capability Maintenance</t>
        </is>
      </c>
      <c r="E1143" t="inlineStr">
        <is>
          <t>5</t>
        </is>
      </c>
      <c r="F1143" t="inlineStr">
        <is>
          <t>Low</t>
        </is>
      </c>
      <c r="G1143" t="inlineStr">
        <is>
          <t>High (explicit)</t>
        </is>
      </c>
      <c r="H1143" s="11" t="inlineStr">
        <is>
          <t>Security</t>
        </is>
      </c>
      <c r="I1143" s="11" t="inlineStr"/>
      <c r="J1143" t="inlineStr">
        <is>
          <t>APRA</t>
        </is>
      </c>
      <c r="K1143" s="11" t="inlineStr">
        <is>
          <t>This section requires APRA-regulated entities to maintain an information security capability that is commensurate with the size and extent of threats to their information assets and supports the continued sound operation of the entity. This capability must be sufficient to address evolving risks.</t>
        </is>
      </c>
      <c r="L1143" s="11" t="inlineStr"/>
      <c r="M1143" s="11" t="inlineStr">
        <is>
          <t>• [Must] An APRA-regulated entity must maintain an information security capability commensurate with the size and extent of threats to its information assets</t>
        </is>
      </c>
      <c r="N1143" s="11" t="inlineStr">
        <is>
          <t>• [Must] An APRA-regulated entity must maintain an information security capability which enables the continued sound operation of the entity</t>
        </is>
      </c>
      <c r="O1143" s="11" t="inlineStr">
        <is>
          <t>An APRA-regulated entity must maintain an information security capability commensurate with the size and extent of threats to its information assets, and which enables the continued sound operation of the entity.</t>
        </is>
      </c>
      <c r="P1143" s="12" t="n">
        <v>18</v>
      </c>
    </row>
    <row r="1144">
      <c r="A1144" t="inlineStr">
        <is>
          <t>Australia</t>
        </is>
      </c>
      <c r="B1144" t="inlineStr">
        <is>
          <t>cps_234_july_2019_for_public_release (Australia - Row 6)</t>
        </is>
      </c>
      <c r="C1144" t="inlineStr">
        <is>
          <t>16</t>
        </is>
      </c>
      <c r="D1144" s="11" t="inlineStr">
        <is>
          <t>Assess information security capability of related parties and third parties</t>
        </is>
      </c>
      <c r="E1144" t="inlineStr">
        <is>
          <t>5</t>
        </is>
      </c>
      <c r="F1144" t="inlineStr">
        <is>
          <t>High</t>
        </is>
      </c>
      <c r="G1144" t="inlineStr">
        <is>
          <t>High (explicit)</t>
        </is>
      </c>
      <c r="H1144" s="11" t="inlineStr">
        <is>
          <t>Security, Third Party Processing</t>
        </is>
      </c>
      <c r="I1144" s="11" t="inlineStr">
        <is>
          <t>Personal Information</t>
        </is>
      </c>
      <c r="J1144" t="inlineStr">
        <is>
          <t>APRA</t>
        </is>
      </c>
      <c r="K1144" s="11" t="inlineStr">
        <is>
          <t>APRA-regulated entities must evaluate the information security capabilities of related parties and third parties managing their information assets. This assessment must consider the potential impact of security incidents on those assets. The requirement applies to all information assets handled by external parties, not just outsourced activities.</t>
        </is>
      </c>
      <c r="L1144" s="11" t="inlineStr">
        <is>
          <t>This section requires assessing third-party security capabilities before transferring data, directly impacting DTIA by mandating risk-based evaluations of external data handlers.</t>
        </is>
      </c>
      <c r="M1144" s="11" t="inlineStr">
        <is>
          <t>• [Must] APRA-regulated entity must assess information security capability of related parties and third parties managing information assets</t>
        </is>
      </c>
      <c r="N1144" s="11" t="inlineStr">
        <is>
          <t>• [Must] Assessment must be commensurate with potential consequences of security incidents affecting those assets</t>
        </is>
      </c>
      <c r="O1144" s="11" t="inlineStr">
        <is>
          <t>Where information assets are managed by a related party or third party, the APRA-regulated entity must assess the information security capability of that party, commensurate with the potential consequences of an information security incident affecting those assets.</t>
        </is>
      </c>
      <c r="P1144" s="12" t="n">
        <v>18</v>
      </c>
    </row>
    <row r="1145">
      <c r="A1145" t="inlineStr">
        <is>
          <t>Australia</t>
        </is>
      </c>
      <c r="B1145" t="inlineStr">
        <is>
          <t>cps_234_july_2019_for_public_release (Australia - Row 6)</t>
        </is>
      </c>
      <c r="C1145" t="inlineStr">
        <is>
          <t>17</t>
        </is>
      </c>
      <c r="D1145" s="11" t="inlineStr">
        <is>
          <t>Maintain information security capability through threat monitoring</t>
        </is>
      </c>
      <c r="E1145" t="inlineStr">
        <is>
          <t>5</t>
        </is>
      </c>
      <c r="F1145" t="inlineStr">
        <is>
          <t>High</t>
        </is>
      </c>
      <c r="G1145" t="inlineStr">
        <is>
          <t>High (explicit)</t>
        </is>
      </c>
      <c r="H1145" s="11" t="inlineStr">
        <is>
          <t>Security</t>
        </is>
      </c>
      <c r="I1145" s="11" t="inlineStr">
        <is>
          <t>Personal Information</t>
        </is>
      </c>
      <c r="J1145" t="inlineStr">
        <is>
          <t>APRA</t>
        </is>
      </c>
      <c r="K1145" s="11" t="inlineStr">
        <is>
          <t>APRA-regulated entities must continuously update their information security capabilities to address evolving vulnerabilities and threats. This includes adapting to changes in information assets or business environments. The requirement emphasizes active maintenance rather than static security measures.</t>
        </is>
      </c>
      <c r="L1145" s="11" t="inlineStr">
        <is>
          <t>This section mandates ongoing security updates, critical for DTIA as it requires continuous risk assessment and adaptation to changing threats when handling cross-border data.</t>
        </is>
      </c>
      <c r="M1145" s="11" t="inlineStr">
        <is>
          <t>• [Must] APRA-regulated entity must actively maintain information security capability with respect to changes in vulnerabilities and threats</t>
        </is>
      </c>
      <c r="N1145" s="11" t="inlineStr">
        <is>
          <t>• [Must] This includes threats resulting from changes to information assets or business environment</t>
        </is>
      </c>
      <c r="O1145" s="11" t="inlineStr">
        <is>
          <t>An APRA-regulated entity must actively maintain its information security capability with respect to changes in vulnerabilities and threats, including those resulting from changes to information assets or its business environment.</t>
        </is>
      </c>
      <c r="P1145" s="12" t="n">
        <v>18</v>
      </c>
    </row>
    <row r="1146">
      <c r="A1146" t="inlineStr">
        <is>
          <t>Australia</t>
        </is>
      </c>
      <c r="B1146" t="inlineStr">
        <is>
          <t>cps_234_july_2019_for_public_release (Australia - Row 6)</t>
        </is>
      </c>
      <c r="C1146" t="inlineStr">
        <is>
          <t>18</t>
        </is>
      </c>
      <c r="D1146" s="11" t="inlineStr">
        <is>
          <t>Maintain information security policy framework</t>
        </is>
      </c>
      <c r="E1146" t="inlineStr">
        <is>
          <t>5</t>
        </is>
      </c>
      <c r="F1146" t="inlineStr">
        <is>
          <t>High</t>
        </is>
      </c>
      <c r="G1146" t="inlineStr">
        <is>
          <t>High (explicit)</t>
        </is>
      </c>
      <c r="H1146" s="11" t="inlineStr">
        <is>
          <t>Security</t>
        </is>
      </c>
      <c r="I1146" s="11" t="inlineStr">
        <is>
          <t>Personal Information</t>
        </is>
      </c>
      <c r="J1146" t="inlineStr">
        <is>
          <t>APRA</t>
        </is>
      </c>
      <c r="K1146" s="11" t="inlineStr">
        <is>
          <t>APRA-regulated entities must maintain an information security policy framework that matches their exposure to vulnerabilities and threats. This framework must be tailored to the specific risks the entity faces, ensuring appropriate security measures are in place.</t>
        </is>
      </c>
      <c r="L1146" s="11" t="inlineStr">
        <is>
          <t>This section requires a risk-based security policy framework, directly relevant to DTIA as it mandates alignment between security policies and potential data transfer risks.</t>
        </is>
      </c>
      <c r="M1146" s="11" t="inlineStr">
        <is>
          <t>• [Must] APRA-regulated entity must maintain an information security policy framework</t>
        </is>
      </c>
      <c r="N1146" s="11" t="inlineStr">
        <is>
          <t>• [Must] Framework must be commensurate with exposures to vulnerabilities and threats</t>
        </is>
      </c>
      <c r="O1146" s="11" t="inlineStr">
        <is>
          <t>An APRA-regulated entity must maintain an information security policy framework commensurate with its exposures to vulnerabilities and threats.</t>
        </is>
      </c>
      <c r="P1146" s="12" t="n">
        <v>18</v>
      </c>
    </row>
    <row r="1147">
      <c r="A1147" t="inlineStr">
        <is>
          <t>Australia</t>
        </is>
      </c>
      <c r="B1147" t="inlineStr">
        <is>
          <t>cps_234_july_2019_for_public_release (Australia - Row 6)</t>
        </is>
      </c>
      <c r="C1147" t="inlineStr">
        <is>
          <t>19</t>
        </is>
      </c>
      <c r="D1147" s="11" t="inlineStr">
        <is>
          <t>Define information security responsibilities for all parties</t>
        </is>
      </c>
      <c r="E1147" t="inlineStr">
        <is>
          <t>5–6</t>
        </is>
      </c>
      <c r="F1147" t="inlineStr">
        <is>
          <t>High</t>
        </is>
      </c>
      <c r="G1147" t="inlineStr">
        <is>
          <t>High (explicit)</t>
        </is>
      </c>
      <c r="H1147" s="11" t="inlineStr">
        <is>
          <t>Security, Third Party Processing</t>
        </is>
      </c>
      <c r="I1147" s="11" t="inlineStr">
        <is>
          <t>Personal Information</t>
        </is>
      </c>
      <c r="J1147" t="inlineStr">
        <is>
          <t>APRA</t>
        </is>
      </c>
      <c r="K1147" s="11" t="inlineStr">
        <is>
          <t>APRA-regulated entities must ensure their information security policy framework specifies responsibilities for all parties obligated to maintain information security. This includes staff, contractors, related parties, third parties, and customers, ensuring comprehensive accountability.</t>
        </is>
      </c>
      <c r="L1147" s="11" t="inlineStr">
        <is>
          <t>This section clarifies responsibility allocation for third parties, critical for DTIA as it defines who is accountable for data security when transferring information across borders.</t>
        </is>
      </c>
      <c r="M1147" s="11" t="inlineStr">
        <is>
          <t>• [Must] Information security policy framework must provide direction on responsibilities of all parties with obligation to maintain information security</t>
        </is>
      </c>
      <c r="N1147" s="11" t="inlineStr"/>
      <c r="O1147" s="11" t="inlineStr">
        <is>
          <t>An APRA-regulated entity's information security policy framework must provide direction on the responsibilities of all parties who have an obligation to maintain information security.</t>
        </is>
      </c>
      <c r="P1147" s="12" t="n">
        <v>18</v>
      </c>
    </row>
    <row r="1148">
      <c r="A1148" t="inlineStr">
        <is>
          <t>Australia</t>
        </is>
      </c>
      <c r="B1148" t="inlineStr">
        <is>
          <t>cps_234_july_2019_for_public_release (Australia - Row 6)</t>
        </is>
      </c>
      <c r="C1148" t="inlineStr">
        <is>
          <t>20</t>
        </is>
      </c>
      <c r="D1148" s="11" t="inlineStr">
        <is>
          <t>Classify information assets by criticality and sensitivity</t>
        </is>
      </c>
      <c r="E1148" t="inlineStr">
        <is>
          <t>6</t>
        </is>
      </c>
      <c r="F1148" t="inlineStr">
        <is>
          <t>High</t>
        </is>
      </c>
      <c r="G1148" t="inlineStr">
        <is>
          <t>High (explicit)</t>
        </is>
      </c>
      <c r="H1148" s="11" t="inlineStr">
        <is>
          <t>Security</t>
        </is>
      </c>
      <c r="I1148" s="11" t="inlineStr">
        <is>
          <t>Personal Information</t>
        </is>
      </c>
      <c r="J1148" t="inlineStr">
        <is>
          <t>APRA</t>
        </is>
      </c>
      <c r="K1148" s="11" t="inlineStr">
        <is>
          <t>APRA-regulated entities must classify their information assets based on criticality and sensitivity, reflecting the potential financial or non-financial impact of security incidents. This classification includes assets managed by related parties and third parties, ensuring appropriate security measures are applied.</t>
        </is>
      </c>
      <c r="L1148" s="11" t="inlineStr">
        <is>
          <t>This section requires data classification for DTIA, as it mandates assessing the impact of security incidents on financial and customer interests when transferring data internationally.</t>
        </is>
      </c>
      <c r="M1148" s="11" t="inlineStr">
        <is>
          <t>• [Must] APRA-regulated entity must classify information assets by criticality and sensitivity</t>
        </is>
      </c>
      <c r="N1148" s="11" t="inlineStr">
        <is>
          <t>• [Must] Classification must reflect potential financial or non-financial impact of security incidents on entity or customers</t>
        </is>
      </c>
      <c r="O1148" s="11" t="inlineStr">
        <is>
          <t>An APRA-regulated entity must classify its information assets, including those managed by related parties and third parties, by criticality and sensitivity. This classification must reflect the degree to which an information security incident affecting an information asset has the potential to affect, financially or non-financially, the entity or the interests of depositors, policyholders, beneficiaries or other customers.</t>
        </is>
      </c>
      <c r="P1148" s="12" t="n">
        <v>18</v>
      </c>
    </row>
    <row r="1149">
      <c r="A1149" t="inlineStr">
        <is>
          <t>Australia</t>
        </is>
      </c>
      <c r="B1149" t="inlineStr">
        <is>
          <t>cps_234_july_2019_for_public_release (Australia - Row 6)</t>
        </is>
      </c>
      <c r="C1149" t="inlineStr">
        <is>
          <t>21</t>
        </is>
      </c>
      <c r="D1149" s="11" t="inlineStr">
        <is>
          <t>Implement security controls commensurate with risk</t>
        </is>
      </c>
      <c r="E1149" t="inlineStr">
        <is>
          <t>6</t>
        </is>
      </c>
      <c r="F1149" t="inlineStr">
        <is>
          <t>High</t>
        </is>
      </c>
      <c r="G1149" t="inlineStr">
        <is>
          <t>High (explicit)</t>
        </is>
      </c>
      <c r="H1149" s="11" t="inlineStr">
        <is>
          <t>Security</t>
        </is>
      </c>
      <c r="I1149" s="11" t="inlineStr">
        <is>
          <t>Personal Information</t>
        </is>
      </c>
      <c r="J1149" t="inlineStr">
        <is>
          <t>APRA</t>
        </is>
      </c>
      <c r="K1149" s="11" t="inlineStr">
        <is>
          <t>APRA-regulated entities must implement information security controls that are timely and proportionate to vulnerabilities, threats, asset criticality, sensitivity, life-cycle stage, and potential incident consequences. These controls must protect information assets managed by related parties and third parties.</t>
        </is>
      </c>
      <c r="L1149" s="11" t="inlineStr">
        <is>
          <t>This section requires risk-based security controls for DTIA, ensuring that data transfers are protected by measures proportional to the potential impact on financial stakeholders.</t>
        </is>
      </c>
      <c r="M1149" s="11" t="inlineStr">
        <is>
          <t>• [Must] APRA-regulated entity must have information security controls to protect information assets
• [Must] Controls must be implemented in a timely manner
• [Must] Controls must be commensurate with vulnerabilities and threats to information assets</t>
        </is>
      </c>
      <c r="N1149" s="11" t="inlineStr">
        <is>
          <t>• [Must] Controls must be commensurate with criticality and sensitivity of information assets
• [Must] Controls must be commensurate with stage of information assets within their life-cycle
• [Must] Controls must be commensurate with potential consequences of information security incidents</t>
        </is>
      </c>
      <c r="O1149" s="11" t="inlineStr">
        <is>
          <t>An APRA-regulated entity must have information security controls to protect its information assets, including those managed by related parties and third parties, that are implemented in a timely manner and that are commensurate with: (a) vulnerabilities and threats to the information assets; (b) the criticality and sensitivity of the information assets; (c) the stage at which the information assets are within their life-cycle; and (d) the potential consequences of an information security incident.</t>
        </is>
      </c>
      <c r="P1149" s="12" t="n">
        <v>18</v>
      </c>
    </row>
    <row r="1150">
      <c r="A1150" t="inlineStr">
        <is>
          <t>Australia</t>
        </is>
      </c>
      <c r="B1150" t="inlineStr">
        <is>
          <t>cps_234_july_2019_for_public_release (Australia - Row 6)</t>
        </is>
      </c>
      <c r="C1150" t="inlineStr">
        <is>
          <t>22</t>
        </is>
      </c>
      <c r="D1150" s="11" t="inlineStr">
        <is>
          <t>Information security controls for related parties</t>
        </is>
      </c>
      <c r="E1150" t="inlineStr">
        <is>
          <t>6</t>
        </is>
      </c>
      <c r="F1150" t="inlineStr">
        <is>
          <t>High</t>
        </is>
      </c>
      <c r="G1150" t="inlineStr">
        <is>
          <t>High (explicit)</t>
        </is>
      </c>
      <c r="H1150" s="11" t="inlineStr">
        <is>
          <t>Security, Third Party Processing</t>
        </is>
      </c>
      <c r="I1150" s="11" t="inlineStr">
        <is>
          <t>Personal Information</t>
        </is>
      </c>
      <c r="J1150" t="inlineStr">
        <is>
          <t>APRA</t>
        </is>
      </c>
      <c r="K1150" s="11" t="inlineStr">
        <is>
          <t>APRA-regulated entities must evaluate the design of information security controls managed by related parties or third parties that protect their information assets. This applies to all information assets handled by such parties, including those under outsourcing agreements. The evaluation ensures adequate protection mechanisms are in place for sensitive data.</t>
        </is>
      </c>
      <c r="L1150" s="11" t="inlineStr">
        <is>
          <t>Requires assessment of third-party security controls before data transfers involving related entities, critical for DTIA to verify cross-border data protection adequacy.</t>
        </is>
      </c>
      <c r="M1150" s="11" t="inlineStr">
        <is>
          <t>• [Must] APRA-regulated entity must evaluate design of information security controls protecting its information assets managed by related parties or third parties</t>
        </is>
      </c>
      <c r="N1150" s="11" t="inlineStr"/>
      <c r="O1150" s="11" t="inlineStr">
        <is>
          <t>Where an APRA-regulated entity's information assets are managed by a related party or third party, the APRA-regulated entity must evaluate the design of that party's information security controls that protects the information assets of the APRA-regulated entity.</t>
        </is>
      </c>
      <c r="P1150" s="12" t="n">
        <v>18</v>
      </c>
    </row>
    <row r="1151">
      <c r="A1151" t="inlineStr">
        <is>
          <t>Australia</t>
        </is>
      </c>
      <c r="B1151" t="inlineStr">
        <is>
          <t>cps_234_july_2019_for_public_release (Australia - Row 6)</t>
        </is>
      </c>
      <c r="C1151" t="inlineStr">
        <is>
          <t>23</t>
        </is>
      </c>
      <c r="D1151" s="11" t="inlineStr">
        <is>
          <t>Timely incident detection and response mechanisms</t>
        </is>
      </c>
      <c r="E1151" t="inlineStr">
        <is>
          <t>6</t>
        </is>
      </c>
      <c r="F1151" t="inlineStr">
        <is>
          <t>High</t>
        </is>
      </c>
      <c r="G1151" t="inlineStr">
        <is>
          <t>High (explicit)</t>
        </is>
      </c>
      <c r="H1151" s="11" t="inlineStr">
        <is>
          <t>Security, Incident Reporting, Breach Notification</t>
        </is>
      </c>
      <c r="I1151" s="11" t="inlineStr">
        <is>
          <t>Personal Information</t>
        </is>
      </c>
      <c r="J1151" t="inlineStr">
        <is>
          <t>APRA</t>
        </is>
      </c>
      <c r="K1151" s="11" t="inlineStr">
        <is>
          <t>APRA-regulated entities must establish robust mechanisms to detect and respond to information security incidents promptly. This ensures rapid containment and mitigation of potential breaches, minimizing financial and operational impacts on the entity.</t>
        </is>
      </c>
      <c r="L1151" s="11" t="inlineStr">
        <is>
          <t>Mandates real-time incident response capabilities, crucial for DTIA to assess timely breach containment during cross-border data transfers.</t>
        </is>
      </c>
      <c r="M1151" s="11" t="inlineStr">
        <is>
          <t>• [Must] APRA-regulated entity must have robust mechanisms to detect and respond to information security incidents in a timely manner</t>
        </is>
      </c>
      <c r="N1151" s="11" t="inlineStr"/>
      <c r="O1151" s="11" t="inlineStr">
        <is>
          <t>An APRA-regulated entity must have robust mechanisms in place to detect and respond to information security incidents in a timely manner.</t>
        </is>
      </c>
      <c r="P1151" s="12" t="n">
        <v>18</v>
      </c>
    </row>
    <row r="1152">
      <c r="A1152" t="inlineStr">
        <is>
          <t>Australia</t>
        </is>
      </c>
      <c r="B1152" t="inlineStr">
        <is>
          <t>cps_234_july_2019_for_public_release (Australia - Row 6)</t>
        </is>
      </c>
      <c r="C1152" t="inlineStr">
        <is>
          <t>24</t>
        </is>
      </c>
      <c r="D1152" s="11" t="inlineStr">
        <is>
          <t>Information security incident response plans</t>
        </is>
      </c>
      <c r="E1152" t="inlineStr">
        <is>
          <t>6</t>
        </is>
      </c>
      <c r="F1152" t="inlineStr">
        <is>
          <t>High</t>
        </is>
      </c>
      <c r="G1152" t="inlineStr">
        <is>
          <t>High (explicit)</t>
        </is>
      </c>
      <c r="H1152" s="11" t="inlineStr">
        <is>
          <t>Security, Incident Reporting, Breach Notification</t>
        </is>
      </c>
      <c r="I1152" s="11" t="inlineStr">
        <is>
          <t>Personal Information</t>
        </is>
      </c>
      <c r="J1152" t="inlineStr">
        <is>
          <t>APRA</t>
        </is>
      </c>
      <c r="K1152" s="11" t="inlineStr">
        <is>
          <t>APRA-regulated entities must maintain detailed response plans for information security incidents that could plausibly occur. These plans must address potential threats and ensure readiness to mitigate risks effectively.</t>
        </is>
      </c>
      <c r="L1152" s="11" t="inlineStr">
        <is>
          <t>Requires proactive planning for potential incidents, essential for DTIA to evaluate preparedness in cross-border data environments.</t>
        </is>
      </c>
      <c r="M1152" s="11" t="inlineStr">
        <is>
          <t>• [Must] APRA-regulated entity must maintain plans to respond to information security incidents that the entity considers could plausibly occur</t>
        </is>
      </c>
      <c r="N1152" s="11" t="inlineStr"/>
      <c r="O1152" s="11" t="inlineStr">
        <is>
          <t>An APRA-regulated entity must maintain plans to respond to information security incidents that the entity considers could plausibly occur (information security response plans).</t>
        </is>
      </c>
      <c r="P1152" s="12" t="n">
        <v>18</v>
      </c>
    </row>
    <row r="1153">
      <c r="A1153" t="inlineStr">
        <is>
          <t>Australia</t>
        </is>
      </c>
      <c r="B1153" t="inlineStr">
        <is>
          <t>cps_234_july_2019_for_public_release (Australia - Row 6)</t>
        </is>
      </c>
      <c r="C1153" t="inlineStr">
        <is>
          <t>25</t>
        </is>
      </c>
      <c r="D1153" s="11" t="inlineStr">
        <is>
          <t>Incident response plan components</t>
        </is>
      </c>
      <c r="E1153" t="inlineStr">
        <is>
          <t>6–7</t>
        </is>
      </c>
      <c r="F1153" t="inlineStr">
        <is>
          <t>High</t>
        </is>
      </c>
      <c r="G1153" t="inlineStr">
        <is>
          <t>High (explicit)</t>
        </is>
      </c>
      <c r="H1153" s="11" t="inlineStr">
        <is>
          <t>Security, Incident Reporting, Breach Notification</t>
        </is>
      </c>
      <c r="I1153" s="11" t="inlineStr">
        <is>
          <t>Personal Information</t>
        </is>
      </c>
      <c r="J1153" t="inlineStr">
        <is>
          <t>APRA</t>
        </is>
      </c>
      <c r="K1153" s="11" t="inlineStr">
        <is>
          <t>APRA-regulated entities' incident response plans must include mechanisms for managing incident stages from detection to post-incident review and for escalating incidents to appropriate oversight bodies. This ensures comprehensive incident handling and accountability.</t>
        </is>
      </c>
      <c r="L1153" s="11" t="inlineStr">
        <is>
          <t>Specifies detailed incident management requirements, critical for DTIA to assess thoroughness in cross-border data incident handling.</t>
        </is>
      </c>
      <c r="M1153" s="11" t="inlineStr">
        <is>
          <t>• [Must] APRA-regulated entity's information security response plans must include mechanisms for managing all relevant stages of an incident from detection to post-incident review</t>
        </is>
      </c>
      <c r="N1153" s="11" t="inlineStr">
        <is>
          <t>• [Must] APRA-regulated entity's information security response plans must include mechanisms for escalation and reporting of information security incidents to the Board, other governing bodies and individuals responsible for information security incident management and oversight</t>
        </is>
      </c>
      <c r="O1153" s="11" t="inlineStr">
        <is>
          <t>An APRA-regulated entity's information security response plans must include the mechanisms in place for: (a) managing all relevant stages of an incident, from detection to post-incident review; and (b) escalation and reporting of information security incidents to the Board, other governing bodies and individuals responsible for information security incident management and oversight, as appropriate.</t>
        </is>
      </c>
      <c r="P1153" s="12" t="n">
        <v>18</v>
      </c>
    </row>
    <row r="1154">
      <c r="A1154" t="inlineStr">
        <is>
          <t>Australia</t>
        </is>
      </c>
      <c r="B1154" t="inlineStr">
        <is>
          <t>cps_234_july_2019_for_public_release (Australia - Row 6)</t>
        </is>
      </c>
      <c r="C1154" t="inlineStr">
        <is>
          <t>26</t>
        </is>
      </c>
      <c r="D1154" s="11" t="inlineStr">
        <is>
          <t>Annual review and testing of response plans</t>
        </is>
      </c>
      <c r="E1154" t="inlineStr">
        <is>
          <t>7</t>
        </is>
      </c>
      <c r="F1154" t="inlineStr">
        <is>
          <t>High</t>
        </is>
      </c>
      <c r="G1154" t="inlineStr">
        <is>
          <t>High (explicit)</t>
        </is>
      </c>
      <c r="H1154" s="11" t="inlineStr">
        <is>
          <t>Security, Incident Reporting, Breach Notification</t>
        </is>
      </c>
      <c r="I1154" s="11" t="inlineStr">
        <is>
          <t>Personal Information</t>
        </is>
      </c>
      <c r="J1154" t="inlineStr">
        <is>
          <t>APRA</t>
        </is>
      </c>
      <c r="K1154" s="11" t="inlineStr">
        <is>
          <t>APRA-regulated entities must annually review and test their information security response plans to ensure they remain effective and fit for purpose. This ongoing validation maintains the relevance and reliability of incident response capabilities.</t>
        </is>
      </c>
      <c r="L1154" s="11" t="inlineStr">
        <is>
          <t>Mandates annual testing of incident response plans, vital for DTIA to confirm ongoing effectiveness in cross-border data scenarios.</t>
        </is>
      </c>
      <c r="M1154" s="11" t="inlineStr">
        <is>
          <t>• [Must] APRA-regulated entity must annually review and test its information security response plans to ensure they remain effective and fit-for-purpose</t>
        </is>
      </c>
      <c r="N1154" s="11" t="inlineStr"/>
      <c r="O1154" s="11" t="inlineStr">
        <is>
          <t>An APRA-regulated entity must annually review and test its information security response plans to ensure they remain effective and fit-for-purpose.</t>
        </is>
      </c>
      <c r="P1154" s="12" t="n">
        <v>18</v>
      </c>
    </row>
    <row r="1155">
      <c r="A1155" t="inlineStr">
        <is>
          <t>Australia</t>
        </is>
      </c>
      <c r="B1155" t="inlineStr">
        <is>
          <t>cps_234_july_2019_for_public_release (Australia - Row 6)</t>
        </is>
      </c>
      <c r="C1155" t="inlineStr">
        <is>
          <t>27</t>
        </is>
      </c>
      <c r="D1155" s="11" t="inlineStr">
        <is>
          <t>Systematic testing of security controls</t>
        </is>
      </c>
      <c r="E1155" t="inlineStr">
        <is>
          <t>7</t>
        </is>
      </c>
      <c r="F1155" t="inlineStr">
        <is>
          <t>High</t>
        </is>
      </c>
      <c r="G1155" t="inlineStr">
        <is>
          <t>High (explicit)</t>
        </is>
      </c>
      <c r="H1155" s="11" t="inlineStr">
        <is>
          <t>Security</t>
        </is>
      </c>
      <c r="I1155" s="11" t="inlineStr">
        <is>
          <t>Personal Information</t>
        </is>
      </c>
      <c r="J1155" t="inlineStr">
        <is>
          <t>APRA</t>
        </is>
      </c>
      <c r="K1155" s="11" t="inlineStr">
        <is>
          <t>APRA-regulated entities must conduct systematic testing of information security controls with frequency and scope commensurate to threat changes, asset criticality, incident consequences, policy enforcement risks, and asset changes. This ensures controls remain effective against evolving threats.</t>
        </is>
      </c>
      <c r="L1155" s="11" t="inlineStr">
        <is>
          <t>Requires tailored testing of security controls, critical for DTIA to assess adequacy of cross-border data protection mechanisms.</t>
        </is>
      </c>
      <c r="M1155" s="11" t="inlineStr">
        <is>
          <t>• [Must] APRA-regulated entity must test effectiveness of information security controls through systematic testing program
• [Must] Nature and frequency of systematic testing must be commensurate with rate of change in vulnerabilities and threats
• [Must] Nature and frequency of systematic testing must be commensurate with criticality and sensitivity of information asset</t>
        </is>
      </c>
      <c r="N1155" s="11" t="inlineStr">
        <is>
          <t>• [Must] Nature and frequency of systematic testing must be commensurate with consequences of information security incident
• [Must] Nature and frequency of systematic testing must be commensurate with risks associated with exposure to environments where APRA-regulated entity cannot enforce information security policies
• [Must] Nature and frequency of systematic testing must be commensurate with materiality and frequency of change to information assets</t>
        </is>
      </c>
      <c r="O1155" s="11" t="inlineStr">
        <is>
          <t>An APRA-regulated entity must test the effectiveness of its information security controls through a systematic testing program. The nature and frequency of the systematic testing must be commensurate with: (a) the rate at which the vulnerabilities and threats change; (b) the criticality and sensitivity of the information asset; (c) the consequences of an information security incident; (d) the risks associated with exposure to environments where the APRA-regulated entity is unable to enforce its information security policies; and (e) the materiality and frequency of change to information assets.</t>
        </is>
      </c>
      <c r="P1155" s="12" t="n">
        <v>18</v>
      </c>
    </row>
    <row r="1156">
      <c r="A1156" t="inlineStr">
        <is>
          <t>Australia</t>
        </is>
      </c>
      <c r="B1156" t="inlineStr">
        <is>
          <t>cps_234_july_2019_for_public_release (Australia - Row 6)</t>
        </is>
      </c>
      <c r="C1156" t="inlineStr">
        <is>
          <t>28</t>
        </is>
      </c>
      <c r="D1156" s="11" t="inlineStr">
        <is>
          <t>Information security testing adequacy for related parties</t>
        </is>
      </c>
      <c r="E1156" t="inlineStr">
        <is>
          <t>7</t>
        </is>
      </c>
      <c r="F1156" t="inlineStr">
        <is>
          <t>High</t>
        </is>
      </c>
      <c r="G1156" t="inlineStr">
        <is>
          <t>High (explicit)</t>
        </is>
      </c>
      <c r="H1156" s="11" t="inlineStr">
        <is>
          <t>Security</t>
        </is>
      </c>
      <c r="I1156" s="11" t="inlineStr">
        <is>
          <t>Personal Information</t>
        </is>
      </c>
      <c r="J1156" t="inlineStr">
        <is>
          <t>APRA</t>
        </is>
      </c>
      <c r="K1156" s="11" t="inlineStr">
        <is>
          <t>APRA-regulated entities must assess whether the frequency and nature of information security control testing by related parties or third parties aligns with specified prudential standards. This assessment is required when the entity relies on those parties' testing for security controls. The assessment ensures controls meet minimum standards for information assets managed externally.</t>
        </is>
      </c>
      <c r="L1156" s="11" t="inlineStr">
        <is>
          <t>Requires entities to verify that external parties' security testing meets baseline standards before relying on their controls, impacting cross-border data transfers involving third parties.</t>
        </is>
      </c>
      <c r="M1156" s="11" t="inlineStr">
        <is>
          <t>• [Must] APRA-regulated entity must assess whether the nature and frequency of testing of controls in respect of information assets is commensurate with paragraphs 27(a) to 27(e) of this Prudential Standard</t>
        </is>
      </c>
      <c r="N1156" s="11" t="inlineStr"/>
      <c r="O1156" s="11" t="inlineStr">
        <is>
          <t>Where an APRA-regulated entity's information assets are managed by a related party or a third party, and the APRA-regulated entity is reliant on that party's information security control testing, the APRA-regulated entity must assess whether the nature and frequency of testing of controls in respect of those information assets is commensurate with paragraphs 27(a) to 27(e) of this Prudential Standard.</t>
        </is>
      </c>
      <c r="P1156" s="12" t="n">
        <v>18</v>
      </c>
    </row>
    <row r="1157">
      <c r="A1157" t="inlineStr">
        <is>
          <t>Australia</t>
        </is>
      </c>
      <c r="B1157" t="inlineStr">
        <is>
          <t>cps_234_july_2019_for_public_release (Australia - Row 6)</t>
        </is>
      </c>
      <c r="C1157" t="inlineStr">
        <is>
          <t>29</t>
        </is>
      </c>
      <c r="D1157" s="11" t="inlineStr">
        <is>
          <t>Escalation of critical security control deficiencies</t>
        </is>
      </c>
      <c r="E1157" t="inlineStr">
        <is>
          <t>7</t>
        </is>
      </c>
      <c r="F1157" t="inlineStr">
        <is>
          <t>High</t>
        </is>
      </c>
      <c r="G1157" t="inlineStr">
        <is>
          <t>High (explicit)</t>
        </is>
      </c>
      <c r="H1157" s="11" t="inlineStr">
        <is>
          <t>Security, Incident Reporting</t>
        </is>
      </c>
      <c r="I1157" s="11" t="inlineStr">
        <is>
          <t>Personal Information</t>
        </is>
      </c>
      <c r="J1157" t="inlineStr">
        <is>
          <t>APRA</t>
        </is>
      </c>
      <c r="K1157" s="11" t="inlineStr">
        <is>
          <t>APRA-regulated entities must escalate and report to their Board or senior management any information security control deficiencies that cannot be fixed promptly. This requirement applies to deficiencies identified through testing that pose significant risks to the entity or its customers. The escalation ensures timely resolution of critical security issues.</t>
        </is>
      </c>
      <c r="L1157" s="11" t="inlineStr">
        <is>
          <t>Mandates reporting of unremediable security control gaps to leadership, critical for assessing risks in data transfers involving third parties.</t>
        </is>
      </c>
      <c r="M1157" s="11" t="inlineStr">
        <is>
          <t>• [Must] APRA-regulated entity must escalate and report to the Board or senior management any testing results that identify information security control deficiencies that cannot be remediated in a timely manner</t>
        </is>
      </c>
      <c r="N1157" s="11" t="inlineStr"/>
      <c r="O1157" s="11" t="inlineStr">
        <is>
          <t>An APRA-regulated entity must escalate and report to the Board or senior management any testing results that identify information security control deficiencies that cannot be remediated in a timely manner.</t>
        </is>
      </c>
      <c r="P1157" s="12" t="n">
        <v>18</v>
      </c>
    </row>
    <row r="1158">
      <c r="A1158" t="inlineStr">
        <is>
          <t>Australia</t>
        </is>
      </c>
      <c r="B1158" t="inlineStr">
        <is>
          <t>cps_234_july_2019_for_public_release (Australia - Row 6)</t>
        </is>
      </c>
      <c r="C1158" t="inlineStr">
        <is>
          <t>31</t>
        </is>
      </c>
      <c r="D1158" s="11" t="inlineStr">
        <is>
          <t>Annual review of information security testing program</t>
        </is>
      </c>
      <c r="E1158" t="inlineStr">
        <is>
          <t>7</t>
        </is>
      </c>
      <c r="F1158" t="inlineStr">
        <is>
          <t>High</t>
        </is>
      </c>
      <c r="G1158" t="inlineStr">
        <is>
          <t>High (explicit)</t>
        </is>
      </c>
      <c r="H1158" s="11" t="inlineStr">
        <is>
          <t>Security</t>
        </is>
      </c>
      <c r="I1158" s="11" t="inlineStr">
        <is>
          <t>Personal Information</t>
        </is>
      </c>
      <c r="J1158" t="inlineStr">
        <is>
          <t>APRA</t>
        </is>
      </c>
      <c r="K1158" s="11" t="inlineStr">
        <is>
          <t>APRA-regulated entities must review the sufficiency of their information security testing program at least annually or whenever there are significant changes to information assets or the business environment. This review ensures the testing program remains aligned with evolving risks and operational needs, particularly for data transfers involving third parties.</t>
        </is>
      </c>
      <c r="L1158" s="11" t="inlineStr">
        <is>
          <t>Requires periodic review of security testing adequacy, critical for maintaining robust data transfer safeguards with external parties.</t>
        </is>
      </c>
      <c r="M1158" s="11" t="inlineStr">
        <is>
          <t>• [Must] APRA-regulated entity must review the sufficiency of the testing program at least annually or when there is a material change to information assets or the business environment</t>
        </is>
      </c>
      <c r="N1158" s="11" t="inlineStr"/>
      <c r="O1158" s="11" t="inlineStr">
        <is>
          <t>An APRA-regulated entity must review the sufficiency of the testing program at least annually or when there is a material change to information assets or the business environment.</t>
        </is>
      </c>
      <c r="P1158" s="12" t="n">
        <v>18</v>
      </c>
    </row>
    <row r="1159">
      <c r="A1159" t="inlineStr">
        <is>
          <t>Australia</t>
        </is>
      </c>
      <c r="B1159" t="inlineStr">
        <is>
          <t>cps_234_july_2019_for_public_release (Australia - Row 6)</t>
        </is>
      </c>
      <c r="C1159" t="inlineStr">
        <is>
          <t>32</t>
        </is>
      </c>
      <c r="D1159" s="11" t="inlineStr">
        <is>
          <t>Internal audit review of third-party security controls</t>
        </is>
      </c>
      <c r="E1159" t="inlineStr">
        <is>
          <t>7–8</t>
        </is>
      </c>
      <c r="F1159" t="inlineStr">
        <is>
          <t>High</t>
        </is>
      </c>
      <c r="G1159" t="inlineStr">
        <is>
          <t>High (explicit)</t>
        </is>
      </c>
      <c r="H1159" s="11" t="inlineStr">
        <is>
          <t>Security</t>
        </is>
      </c>
      <c r="I1159" s="11" t="inlineStr">
        <is>
          <t>Personal Information</t>
        </is>
      </c>
      <c r="J1159" t="inlineStr">
        <is>
          <t>APRA</t>
        </is>
      </c>
      <c r="K1159" s="11" t="inlineStr">
        <is>
          <t>Internal audit activities must include reviewing the design and operating effectiveness of information security controls maintained by related parties and third parties. This ensures that external parties' security controls provide adequate assurance before being relied upon by the entity, particularly for critical information assets.</t>
        </is>
      </c>
      <c r="L1159" s="11" t="inlineStr">
        <is>
          <t>Requires internal audits to validate third-party security controls, essential for assessing data transfer risks with external entities.</t>
        </is>
      </c>
      <c r="M1159" s="11" t="inlineStr">
        <is>
          <t>• [Must] APRA-regulated entity's internal audit activities must include a review of the design and operating effectiveness of information security controls, including those maintained by related parties and third parties (information security control assurance)</t>
        </is>
      </c>
      <c r="N1159" s="11" t="inlineStr"/>
      <c r="O1159" s="11" t="inlineStr">
        <is>
          <t>An APRA-regulated entity's internal audit activities must include a review of the design and operating effectiveness of information security controls, including those maintained by related parties and third parties (information security control assurance).</t>
        </is>
      </c>
      <c r="P1159" s="12" t="n">
        <v>18</v>
      </c>
    </row>
    <row r="1160">
      <c r="A1160" t="inlineStr">
        <is>
          <t>Australia</t>
        </is>
      </c>
      <c r="B1160" t="inlineStr">
        <is>
          <t>cps_234_july_2019_for_public_release (Australia - Row 6)</t>
        </is>
      </c>
      <c r="C1160" t="inlineStr">
        <is>
          <t>33</t>
        </is>
      </c>
      <c r="D1160" s="11" t="inlineStr">
        <is>
          <t>Skilled personnel for information security assurance</t>
        </is>
      </c>
      <c r="E1160" t="inlineStr">
        <is>
          <t>8</t>
        </is>
      </c>
      <c r="F1160" t="inlineStr">
        <is>
          <t>High</t>
        </is>
      </c>
      <c r="G1160" t="inlineStr">
        <is>
          <t>High (explicit)</t>
        </is>
      </c>
      <c r="H1160" s="11" t="inlineStr">
        <is>
          <t>Security</t>
        </is>
      </c>
      <c r="I1160" s="11" t="inlineStr">
        <is>
          <t>Personal Information</t>
        </is>
      </c>
      <c r="J1160" t="inlineStr">
        <is>
          <t>APRA</t>
        </is>
      </c>
      <c r="K1160" s="11" t="inlineStr">
        <is>
          <t>APRA-regulated entities must ensure that personnel providing information security control assurance are appropriately skilled. This requirement ensures that external parties' security assessments are conducted by qualified individuals, reducing risks associated with inadequate security evaluations.</t>
        </is>
      </c>
      <c r="L1160" s="11" t="inlineStr">
        <is>
          <t>Mandates skilled personnel for third-party security assurance, critical for validating data transfer security.</t>
        </is>
      </c>
      <c r="M1160" s="11" t="inlineStr">
        <is>
          <t>• [Must] APRA-regulated entity must ensure that the information security control assurance is provided by personnel appropriately skilled in providing such assurance</t>
        </is>
      </c>
      <c r="N1160" s="11" t="inlineStr"/>
      <c r="O1160" s="11" t="inlineStr">
        <is>
          <t>An APRA-regulated entity must ensure that the information security control assurance is provided by personnel appropriately skilled in providing such assurance.</t>
        </is>
      </c>
      <c r="P1160" s="12" t="n">
        <v>18</v>
      </c>
    </row>
    <row r="1161">
      <c r="A1161" t="inlineStr">
        <is>
          <t>Australia</t>
        </is>
      </c>
      <c r="B1161" t="inlineStr">
        <is>
          <t>cps_234_july_2019_for_public_release (Australia - Row 6)</t>
        </is>
      </c>
      <c r="C1161" t="inlineStr">
        <is>
          <t>34</t>
        </is>
      </c>
      <c r="D1161" s="11" t="inlineStr">
        <is>
          <t>Internal audit assessment of third-party security incidents</t>
        </is>
      </c>
      <c r="E1161" t="inlineStr">
        <is>
          <t>8</t>
        </is>
      </c>
      <c r="F1161" t="inlineStr">
        <is>
          <t>High</t>
        </is>
      </c>
      <c r="G1161" t="inlineStr">
        <is>
          <t>High (explicit)</t>
        </is>
      </c>
      <c r="H1161" s="11" t="inlineStr">
        <is>
          <t>Security</t>
        </is>
      </c>
      <c r="I1161" s="11" t="inlineStr">
        <is>
          <t>Personal Information</t>
        </is>
      </c>
      <c r="J1161" t="inlineStr">
        <is>
          <t>APRA</t>
        </is>
      </c>
      <c r="K1161" s="11" t="inlineStr">
        <is>
          <t>Internal audit must assess information security control assurance provided by related parties or third parties when there is a potential for significant financial or non-financial impact from incidents affecting information assets, or when internal audit intends to rely on those parties' assurance. This ensures critical risks are addressed before external parties are used for data processing.</t>
        </is>
      </c>
      <c r="L1161" s="11" t="inlineStr">
        <is>
          <t>Requires internal audits to evaluate third-party security assurance in high-risk scenarios, directly impacting data transfer security.</t>
        </is>
      </c>
      <c r="M1161" s="11" t="inlineStr">
        <is>
          <t>• [Must] APRA-regulated entity's internal audit function must assess the information security control assurance provided by a related party or third party where: (a) an information security incident affecting the information assets has the potential to materially affect, financially or non-financially, the entity or the interests of depositors, policyholde…</t>
        </is>
      </c>
      <c r="N1161" s="11" t="inlineStr"/>
      <c r="O1161" s="11" t="inlineStr">
        <is>
          <t>An APRA-regulated entity's internal audit function must assess the information security control assurance provided by a related party or third party where: (a) an information security incident affecting the information assets has the potential to materially affect, financially or non-financially, the entity or the interests of depositors, policyholders, beneficiaries or other customers; and (b) internal audit intends to rely on the information security control assurance provided by the related party or third party.</t>
        </is>
      </c>
      <c r="P1161" s="12" t="n">
        <v>18</v>
      </c>
    </row>
    <row r="1162">
      <c r="A1162" t="inlineStr">
        <is>
          <t>Australia</t>
        </is>
      </c>
      <c r="B1162" t="inlineStr">
        <is>
          <t>cps_234_july_2019_for_public_release (Australia - Row 6)</t>
        </is>
      </c>
      <c r="C1162" t="inlineStr">
        <is>
          <t>35</t>
        </is>
      </c>
      <c r="D1162" s="11" t="inlineStr">
        <is>
          <t>Notification of material information security incidents to APRA</t>
        </is>
      </c>
      <c r="E1162" t="inlineStr">
        <is>
          <t>8</t>
        </is>
      </c>
      <c r="F1162" t="inlineStr">
        <is>
          <t>High</t>
        </is>
      </c>
      <c r="G1162" t="inlineStr">
        <is>
          <t>High (explicit)</t>
        </is>
      </c>
      <c r="H1162" s="11" t="inlineStr">
        <is>
          <t>Incident Reporting, Breach Notification</t>
        </is>
      </c>
      <c r="I1162" s="11" t="inlineStr">
        <is>
          <t>Personal Information</t>
        </is>
      </c>
      <c r="J1162" t="inlineStr">
        <is>
          <t>APRA</t>
        </is>
      </c>
      <c r="K1162" s="11" t="inlineStr">
        <is>
          <t>An APRA-regulated entity must notify APRA within 72 hours of becoming aware of an information security incident that materially affected or had the potential to materially affect financially or non-financially the entity or its customers. The incident must involve depositors, policyholders, beneficiaries, or other customers. The notification must be made as soon as possible, with a maximum deadline of 72 hours.</t>
        </is>
      </c>
      <c r="L1162" s="11" t="inlineStr">
        <is>
          <t>This section requires timely reporting of material information security incidents that could impact financial or non-financial interests, directly affecting DTIA timelines for incident response and cross-border data handling.</t>
        </is>
      </c>
      <c r="M1162" s="11" t="inlineStr">
        <is>
          <t>• [Must] An APRA-regulated entity must notify APRA as soon as possible
• [Must] An APRA-regulated entity must notify APRA no later than 72 hours after becoming aware of an information security incident</t>
        </is>
      </c>
      <c r="N1162" s="11" t="inlineStr">
        <is>
          <t>• [Must] The information security incident must materially affect or have the potential to materially affect financially or non-financially the entity or the interests of depositors, policyholders, beneficiaries or other customers</t>
        </is>
      </c>
      <c r="O1162" s="11" t="inlineStr">
        <is>
          <t>An APRA-regulated entity must notify APRA as soon as possible and, in any case, no later than 72 hours, after becoming aware of an information security incident that: (a) materially affected, or had the potential to materially affect, financially or non-financially, the entity or the interests of depositors, policyholders, beneficiaries or other customers; or (b) has been notified to other regulators, either in Australia or other jurisdictions.</t>
        </is>
      </c>
      <c r="P1162" s="12" t="n">
        <v>18</v>
      </c>
    </row>
    <row r="1163">
      <c r="A1163" t="inlineStr">
        <is>
          <t>Australia</t>
        </is>
      </c>
      <c r="B1163" t="inlineStr">
        <is>
          <t>cps_234_july_2019_for_public_release (Australia - Row 6)</t>
        </is>
      </c>
      <c r="C1163" t="inlineStr">
        <is>
          <t>36</t>
        </is>
      </c>
      <c r="D1163" s="11" t="inlineStr">
        <is>
          <t>Notification of material information security control weaknesses to APRA</t>
        </is>
      </c>
      <c r="E1163" t="inlineStr">
        <is>
          <t>8</t>
        </is>
      </c>
      <c r="F1163" t="inlineStr">
        <is>
          <t>High</t>
        </is>
      </c>
      <c r="G1163" t="inlineStr">
        <is>
          <t>High (explicit)</t>
        </is>
      </c>
      <c r="H1163" s="11" t="inlineStr">
        <is>
          <t>Incident Reporting, Breach Notification</t>
        </is>
      </c>
      <c r="I1163" s="11" t="inlineStr">
        <is>
          <t>Personal Information</t>
        </is>
      </c>
      <c r="J1163" t="inlineStr">
        <is>
          <t>APRA</t>
        </is>
      </c>
      <c r="K1163" s="11" t="inlineStr">
        <is>
          <t>An APRA-regulated entity must notify APRA within 10 business days of becoming aware of a material information security control weakness that the entity expects it will not be able to remediate in a timely manner. This applies to weaknesses that could impact the entity's operations or customer interests.</t>
        </is>
      </c>
      <c r="L1163" s="11" t="inlineStr">
        <is>
          <t>This section mandates reporting of unresolved information security control weaknesses, which impacts DTIA assessments for third-party risk and remediation timelines in cross-border data environments.</t>
        </is>
      </c>
      <c r="M1163" s="11" t="inlineStr">
        <is>
          <t>• [Must] An APRA-regulated entity must notify APRA as soon as possible
• [Must] An APRA-regulated entity must notify APRA no later than 10 business days after becoming aware of a material information security control weakness</t>
        </is>
      </c>
      <c r="N1163" s="11" t="inlineStr">
        <is>
          <t>• [Must] The information security control weakness must be one the entity expects it will not be able to remediate in a timely manner</t>
        </is>
      </c>
      <c r="O1163" s="11" t="inlineStr">
        <is>
          <t>An APRA-regulated entity must notify APRA as soon as possible and, in any case, no later than 10 business days, after it becomes aware of a material information security control weakness which the entity expects it will not be able to remediate in a timely manner.</t>
        </is>
      </c>
      <c r="P1163" s="12" t="n">
        <v>18</v>
      </c>
    </row>
    <row r="1164">
      <c r="A1164" t="inlineStr">
        <is>
          <t>Australia</t>
        </is>
      </c>
      <c r="B1164" t="inlineStr">
        <is>
          <t>rg255-published-30-august-2016-20220328 (Australia - Row 9)</t>
        </is>
      </c>
      <c r="C1164" t="inlineStr">
        <is>
          <t>p1</t>
        </is>
      </c>
      <c r="D1164" s="11" t="inlineStr">
        <is>
          <t>Digital advice definition and scope</t>
        </is>
      </c>
      <c r="E1164" t="inlineStr">
        <is>
          <t>1–2</t>
        </is>
      </c>
      <c r="F1164" t="inlineStr">
        <is>
          <t>High</t>
        </is>
      </c>
      <c r="G1164" t="inlineStr">
        <is>
          <t>High (explicit)</t>
        </is>
      </c>
      <c r="H1164" s="11" t="inlineStr"/>
      <c r="I1164" s="11" t="inlineStr">
        <is>
          <t>Customer Data</t>
        </is>
      </c>
      <c r="J1164" t="inlineStr">
        <is>
          <t>ASIC</t>
        </is>
      </c>
      <c r="K1164" s="11" t="inlineStr">
        <is>
          <t>This section defines digital advice as automated financial product advice using algorithms and technology without direct human involvement. It clarifies that digital advice can range from narrow scope advice (e.g., portfolio construction) to comprehensive financial planning. The definition distinguishes digital advice from traditional personal advice and specifies that it applies to retail clients.</t>
        </is>
      </c>
      <c r="L1164" s="11" t="inlineStr"/>
      <c r="M1164" s="11" t="inlineStr">
        <is>
          <t>• [Definition] Digital advice (also known as 'robo-advice' or 'automated advice') is the provision of automated financial product advice using algorithms and technology and without the direct involvement of a human adviser.</t>
        </is>
      </c>
      <c r="N1164" s="11" t="inlineStr">
        <is>
          <t>• [Definition] Digital advice can comprise general or personal advice, and range from advice that is narrow in scope (e.g. advice about portfolio construction) to a comprehensive financial plan.</t>
        </is>
      </c>
      <c r="O1164" s="11" t="inlineStr">
        <is>
          <t>Digital advice (also known as robo-advice or automated advice) is the provision of automated financial product advice using algorithms and technology and without the direct involvement of a human adviser.</t>
        </is>
      </c>
      <c r="P1164" s="12" t="n">
        <v>24</v>
      </c>
    </row>
    <row r="1165">
      <c r="A1165" t="inlineStr">
        <is>
          <t>Australia</t>
        </is>
      </c>
      <c r="B1165" t="inlineStr">
        <is>
          <t>rg255-published-30-august-2016-20220328 (Australia - Row 9)</t>
        </is>
      </c>
      <c r="C1165" t="inlineStr">
        <is>
          <t>p2</t>
        </is>
      </c>
      <c r="D1165" s="11" t="inlineStr">
        <is>
          <t>ASIC regulatory document types and history</t>
        </is>
      </c>
      <c r="E1165" t="inlineStr">
        <is>
          <t>2–3</t>
        </is>
      </c>
      <c r="F1165" t="inlineStr">
        <is>
          <t>High</t>
        </is>
      </c>
      <c r="G1165" t="inlineStr">
        <is>
          <t>High (explicit)</t>
        </is>
      </c>
      <c r="H1165" s="11" t="inlineStr"/>
      <c r="I1165" s="11" t="inlineStr"/>
      <c r="J1165" t="inlineStr">
        <is>
          <t>ASIC</t>
        </is>
      </c>
      <c r="K1165" s="11" t="inlineStr">
        <is>
          <t>This section explains the types of regulatory documents ASIC issues, including consultation papers, regulatory guides, information sheets, and reports. It details the document's history, noting minor updates in 2021 and 2022 to reflect changes in fee arrangements, training requirements, and breach reporting reforms. The document emphasizes that it does not constitute legal advice and is illustrative only.</t>
        </is>
      </c>
      <c r="L1165" s="11" t="inlineStr"/>
      <c r="M1165" s="11" t="inlineStr">
        <is>
          <t>• [Definition] ASIC issues regulatory documents such as consultation papers, regulatory guides, information sheets, and reports.
• [Definition] Regulatory guides explain when and how ASIC will exercise specific powers under legislation, interpret the law, describe principles, and provide practical guidance.
• [Definition] This guide was issued in August 2016 and is based on legislation and regulations as at the date of issue.
• [Definition] Minor updates were made in June 2021 to Table 1 in the Appendix to reflect changes to ongoing fee arrangements.</t>
        </is>
      </c>
      <c r="N1165" s="11" t="inlineStr">
        <is>
          <t>• [Definition] RG 255.51 was updated in June 2021 to reflect changes to training, education, and ethical standards for financial advisers.
• [Definition] One sample question at RG 255.41 and RG 255.115 was updated in March 2022 to reflect breach reporting reforms effective from 1 October 2021.
• [Definition] This guide does not constitute legal advice; users must seek their own professional advice to determine obligations.</t>
        </is>
      </c>
      <c r="O1165" s="11" t="inlineStr">
        <is>
          <t>Regulatory guides: give guidance to regulated entities by: explaining when and how ASIC will exercise specific powers under legislation (primarily the Corporations Act)...</t>
        </is>
      </c>
      <c r="P1165" s="12" t="n">
        <v>24</v>
      </c>
    </row>
    <row r="1166">
      <c r="A1166" t="inlineStr">
        <is>
          <t>Australia</t>
        </is>
      </c>
      <c r="B1166" t="inlineStr">
        <is>
          <t>rg255-published-30-august-2016-20220328 (Australia - Row 9)</t>
        </is>
      </c>
      <c r="C1166" t="inlineStr">
        <is>
          <t>p3</t>
        </is>
      </c>
      <c r="D1166" s="11" t="inlineStr">
        <is>
          <t>Regulatory guide structure and contents</t>
        </is>
      </c>
      <c r="E1166" t="inlineStr">
        <is>
          <t>3–4</t>
        </is>
      </c>
      <c r="F1166" t="inlineStr">
        <is>
          <t>High</t>
        </is>
      </c>
      <c r="G1166" t="inlineStr">
        <is>
          <t>High (explicit)</t>
        </is>
      </c>
      <c r="H1166" s="11" t="inlineStr"/>
      <c r="I1166" s="11" t="inlineStr"/>
      <c r="J1166" t="inlineStr">
        <is>
          <t>ASIC</t>
        </is>
      </c>
      <c r="K1166" s="11" t="inlineStr">
        <is>
          <t>This section outlines the structure of the regulatory guide, including sections on digital advice in Australia, AFS licensing requirements, general obligations for digital advice licensees, and providing scaled advice in the best interests of clients. It lists the guide's contents and related information, such as key terms and non-ASIC publications.</t>
        </is>
      </c>
      <c r="L1166" s="11" t="inlineStr"/>
      <c r="M1166" s="11" t="inlineStr">
        <is>
          <t>• [Definition] The guide includes an overview section on digital advice in Australia.
• [Definition] The guide covers scope of this regulatory guide.
• [Definition] The guide lists other relevant guidance.
• [Definition] The guide addresses digital advice and the AFS licensing regime.</t>
        </is>
      </c>
      <c r="N1166" s="11" t="inlineStr">
        <is>
          <t>• [Definition] The guide includes general obligations applying to digital advice licensees.
• [Definition] The guide covers providing scaled advice in the best interests of the client.
• [Definition] The guide provides an appendix with other ASIC guidance.</t>
        </is>
      </c>
      <c r="O1166" s="11" t="inlineStr">
        <is>
          <t>A Overview ........................................................................................... 4 Digital advice in Australia ................................................................... 4 Scope of this regulatory guide ........................................................... 5</t>
        </is>
      </c>
      <c r="P1166" s="12" t="n">
        <v>24</v>
      </c>
    </row>
    <row r="1167">
      <c r="A1167" t="inlineStr">
        <is>
          <t>Australia</t>
        </is>
      </c>
      <c r="B1167" t="inlineStr">
        <is>
          <t>rg255-published-30-august-2016-20220328 (Australia - Row 9)</t>
        </is>
      </c>
      <c r="C1167" t="inlineStr">
        <is>
          <t>p4</t>
        </is>
      </c>
      <c r="D1167" s="11" t="inlineStr">
        <is>
          <t>Digital advice definition and market context</t>
        </is>
      </c>
      <c r="E1167" t="inlineStr">
        <is>
          <t>4–5</t>
        </is>
      </c>
      <c r="F1167" t="inlineStr">
        <is>
          <t>High</t>
        </is>
      </c>
      <c r="G1167" t="inlineStr">
        <is>
          <t>High (explicit)</t>
        </is>
      </c>
      <c r="H1167" s="11" t="inlineStr"/>
      <c r="I1167" s="11" t="inlineStr">
        <is>
          <t>Customer Data</t>
        </is>
      </c>
      <c r="J1167" t="inlineStr">
        <is>
          <t>ASIC</t>
        </is>
      </c>
      <c r="K1167" s="11" t="inlineStr">
        <is>
          <t>This section defines digital advice as automated financial product advice without direct human involvement, clarifies its scope (from narrow to comprehensive advice), and notes its rapid growth in Australia since 2014. It emphasizes ASIC's support for a healthy digital advice market and the potential for digital advice to serve retail clients who do not seek traditional advice.</t>
        </is>
      </c>
      <c r="L1167" s="11" t="inlineStr"/>
      <c r="M1167" s="11" t="inlineStr">
        <is>
          <t>• [Definition] Digital advice (also known as 'robo-advice' or 'automated advice') is the provision of automated financial product advice using algorithms and technology and without the direct involvement of a human adviser.
• [Definition] Digital advice can comprise general or personal advice, and range from advice that is narrow in scope (e.g. advice about portfolio construction) to a comprehensive financial plan.
• [Definition] The provision of digital advice has grown rapidly in Australia since 2014, with a number of start-up Australian financial services (AFS) licensees and existing AFS licensees developing digital advice models.</t>
        </is>
      </c>
      <c r="N1167" s="11" t="inlineStr">
        <is>
          <t>• [Definition] ASIC supports the development of a healthy and robust digital advice market in Australia.
• [Definition] In an environment where only around 20% of adult Australians seek personal advice, digital advice has the potential to be a convenient and low-cost option for retail clients who may not otherwise seek advice.</t>
        </is>
      </c>
      <c r="O1167" s="11" t="inlineStr">
        <is>
          <t>Digital advice (also known as 'robo-advice' or 'automated advice') is the provision of automated financial product advice using algorithms and technology and without the direct involvement of a human adviser.</t>
        </is>
      </c>
      <c r="P1167" s="12" t="n">
        <v>24</v>
      </c>
    </row>
    <row r="1168">
      <c r="A1168" t="inlineStr">
        <is>
          <t>Australia</t>
        </is>
      </c>
      <c r="B1168" t="inlineStr">
        <is>
          <t>rg255-published-30-august-2016-20220328 (Australia - Row 9)</t>
        </is>
      </c>
      <c r="C1168" t="inlineStr">
        <is>
          <t>p5</t>
        </is>
      </c>
      <c r="D1168" s="11" t="inlineStr">
        <is>
          <t>Scope and purpose of regulatory guide</t>
        </is>
      </c>
      <c r="E1168" t="inlineStr">
        <is>
          <t>5–6</t>
        </is>
      </c>
      <c r="F1168" t="inlineStr">
        <is>
          <t>High</t>
        </is>
      </c>
      <c r="G1168" t="inlineStr">
        <is>
          <t>High (explicit)</t>
        </is>
      </c>
      <c r="H1168" s="11" t="inlineStr"/>
      <c r="I1168" s="11" t="inlineStr"/>
      <c r="J1168" t="inlineStr">
        <is>
          <t>ASIC</t>
        </is>
      </c>
      <c r="K1168" s="11" t="inlineStr">
        <is>
          <t>This section explains that the regulatory guide builds on existing ASIC guidance without introducing new regulatory concepts, as the law is technology neutral. It clarifies the guide's scope, including its focus on obligations for digital advice providers and the need for digital advice licensees to comply with the best interests duty. It also addresses unique aspects of digital advice, such as organizational competence obligations and algorithm monitoring.</t>
        </is>
      </c>
      <c r="L1168" s="11" t="inlineStr"/>
      <c r="M1168" s="11" t="inlineStr">
        <is>
          <t>• [Definition] This regulatory guide generally builds on existing ASIC guidance and does not introduce new regulatory concepts.
• [Definition] This guide brings together some of the issues that you will need to consider if you want to provide digital advice when operating in Australia—from the licensing stage (i.e. obtaining an AFS licence) through to the actual provision of advice.
• [Definition] Our guidance focuses on the obligations of those providing, or wanting to provide, digital advice.
• [Definition] Businesses that provide associated services (e.g. technology or compliance services) may also find this guidance useful.</t>
        </is>
      </c>
      <c r="N1168" s="11" t="inlineStr">
        <is>
          <t>• [Definition] Those who provide combined (or hybrid) financial product advice models should also consider this guidance.
• [Definition] This guide provides guidance on how the organisational competence obligation in s912A(1)(e) of the Corporations Act applies to digital advice licensees.
• [Definition] The guide outlines ways in which digital advice licensees should monitor and test their algorithms.
• [Definition] The guide specifies minimum steps for digital advice providers to comply with the best interests duty when providing scaled advice.</t>
        </is>
      </c>
      <c r="O1168" s="11" t="inlineStr">
        <is>
          <t>This regulatory guide generally builds on existing ASIC guidance and does not introduce new regulatory concepts.</t>
        </is>
      </c>
      <c r="P1168" s="12" t="n">
        <v>24</v>
      </c>
    </row>
    <row r="1169">
      <c r="A1169" t="inlineStr">
        <is>
          <t>Australia</t>
        </is>
      </c>
      <c r="B1169" t="inlineStr">
        <is>
          <t>rg255-published-30-august-2016-20220328 (Australia - Row 9)</t>
        </is>
      </c>
      <c r="C1169" t="inlineStr">
        <is>
          <t>p6</t>
        </is>
      </c>
      <c r="D1169" s="11" t="inlineStr">
        <is>
          <t>Regulatory framework principles and compliance expectations</t>
        </is>
      </c>
      <c r="E1169" t="inlineStr">
        <is>
          <t>6–7</t>
        </is>
      </c>
      <c r="F1169" t="inlineStr">
        <is>
          <t>High</t>
        </is>
      </c>
      <c r="G1169" t="inlineStr">
        <is>
          <t>High (explicit)</t>
        </is>
      </c>
      <c r="H1169" s="11" t="inlineStr"/>
      <c r="I1169" s="11" t="inlineStr"/>
      <c r="J1169" t="inlineStr">
        <is>
          <t>ASIC</t>
        </is>
      </c>
      <c r="K1169" s="11" t="inlineStr">
        <is>
          <t>This section describes Australia's principles-based financial services regulatory regime, emphasizing that it does not prescribe specific compliance steps. It explains that ASIC provides guidance to help industry understand regulatory obligations, using terms like 'must' for legal obligations and 'expect' for recommended practices. It encourages digital advice providers to contact ASIC if they have alternative compliance methods.</t>
        </is>
      </c>
      <c r="L1169" s="11" t="inlineStr"/>
      <c r="M1169" s="11" t="inlineStr">
        <is>
          <t>• [Definition] Australia's financial services regulatory regime is principles based and does not prescribe the steps that an AFS licensee needs to take to comply with the law.
• [Definition] From engagement with industry, ASIC has issued this guide to assist in understanding regulatory obligations for digital advice providers.
• [Definition] In this guide, 'must' or 'required to' refers to legal obligations that must be complied with.
• [Definition] In this guide, 'expect' or 'should' refers to recommended practices for compliance.</t>
        </is>
      </c>
      <c r="N1169" s="11" t="inlineStr">
        <is>
          <t>• [Definition] AFS licensees will generally be able to comply with the law by adhering to the ways ASIC thinks they can comply.
• [Definition] Failure to do what is expected may result in further regulatory inquiry from ASIC.
• [Definition] ASIC is open to hearing about new or alternative ways to comply with the law.</t>
        </is>
      </c>
      <c r="O1169" s="11" t="inlineStr">
        <is>
          <t>Generally, Australia's financial services regulatory regime is principles based and does not prescribe the steps that an AFS licensee needs to take to comply with the law.</t>
        </is>
      </c>
      <c r="P1169" s="12" t="n">
        <v>24</v>
      </c>
    </row>
    <row r="1170">
      <c r="A1170" t="inlineStr">
        <is>
          <t>Australia</t>
        </is>
      </c>
      <c r="B1170" t="inlineStr">
        <is>
          <t>rg255-published-30-august-2016-20220328 (Australia - Row 9)</t>
        </is>
      </c>
      <c r="C1170" t="inlineStr">
        <is>
          <t>p7</t>
        </is>
      </c>
      <c r="D1170" s="11" t="inlineStr">
        <is>
          <t>Digital advice communication design and disclosure requirements</t>
        </is>
      </c>
      <c r="E1170" t="inlineStr">
        <is>
          <t>7–8</t>
        </is>
      </c>
      <c r="F1170" t="inlineStr">
        <is>
          <t>High</t>
        </is>
      </c>
      <c r="G1170" t="inlineStr">
        <is>
          <t>High (explicit)</t>
        </is>
      </c>
      <c r="H1170" s="11" t="inlineStr"/>
      <c r="I1170" s="11" t="inlineStr">
        <is>
          <t>Customer Data</t>
        </is>
      </c>
      <c r="J1170" t="inlineStr">
        <is>
          <t>ASIC</t>
        </is>
      </c>
      <c r="K1170" s="11" t="inlineStr">
        <is>
          <t>Digital advice providers must design communications and disclosures with a user-focused approach prioritizing client needs. They should consider device-specific contexts and implement ongoing testing to enhance communication effectiveness. This applies to all digital advice providers operating in Australia.</t>
        </is>
      </c>
      <c r="L1170" s="11" t="inlineStr">
        <is>
          <t>Digital advice providers must ensure communications are designed with client needs first and undergo ongoing testing to avoid misinterpretation of advice type. This affects how data is shared and disclosed across digital channels.</t>
        </is>
      </c>
      <c r="M1170" s="11" t="inlineStr">
        <is>
          <t>• [Must] Digital advice providers must design communications and disclosures with a user-focused approach prioritizing client needs
• [Should] Digital advice providers should consider device-specific contexts for communication effectiveness</t>
        </is>
      </c>
      <c r="N1170" s="11" t="inlineStr">
        <is>
          <t>• [Should] Digital advice providers should implement ongoing testing to enhance communication effectiveness</t>
        </is>
      </c>
      <c r="O1170" s="11" t="inlineStr">
        <is>
          <t>Communication in a digital context: RG 255.15</t>
        </is>
      </c>
      <c r="P1170" s="12" t="n">
        <v>24</v>
      </c>
    </row>
    <row r="1171">
      <c r="A1171" t="inlineStr">
        <is>
          <t>Australia</t>
        </is>
      </c>
      <c r="B1171" t="inlineStr">
        <is>
          <t>rg255-published-30-august-2016-20220328 (Australia - Row 9)</t>
        </is>
      </c>
      <c r="C1171" t="inlineStr">
        <is>
          <t>p8</t>
        </is>
      </c>
      <c r="D1171" s="11" t="inlineStr">
        <is>
          <t>AFS licensing requirements for digital advice providers</t>
        </is>
      </c>
      <c r="E1171" t="inlineStr">
        <is>
          <t>8–9</t>
        </is>
      </c>
      <c r="F1171" t="inlineStr">
        <is>
          <t>High</t>
        </is>
      </c>
      <c r="G1171" t="inlineStr">
        <is>
          <t>High (explicit)</t>
        </is>
      </c>
      <c r="H1171" s="11" t="inlineStr"/>
      <c r="I1171" s="11" t="inlineStr">
        <is>
          <t>Customer Data</t>
        </is>
      </c>
      <c r="J1171" t="inlineStr">
        <is>
          <t>ASIC</t>
        </is>
      </c>
      <c r="K1171" s="11" t="inlineStr">
        <is>
          <t>Digital advice providers must hold an AFS licence or be an authorised representative of an AFS licensee unless exempted. This applies to all providers of financial product advice to retail clients. Providers must comply with conduct and disclosure obligations under the Corporations Act. Factual information provision does not require AFS licensing.</t>
        </is>
      </c>
      <c r="L1171" s="11" t="inlineStr">
        <is>
          <t>Digital advice providers must obtain AFS licensing before providing financial product advice, which affects data transfer and processing across borders due to licensing requirements. This section clarifies when AFS licensing is required for digital advice.</t>
        </is>
      </c>
      <c r="M1171" s="11" t="inlineStr">
        <is>
          <t>• [Must] Digital advice providers must hold an AFS licence or act as an authorised representative of an AFS licensee unless exempted
• [Must] Digital advice providers must comply with conduct and disclosure obligations under Pt 7.7 and Div 2 of Pt 7.7A</t>
        </is>
      </c>
      <c r="N1171" s="11" t="inlineStr">
        <is>
          <t>• [Must] Factual information provision does not require AFS licensing</t>
        </is>
      </c>
      <c r="O1171" s="11" t="inlineStr">
        <is>
          <t>Under the Corporations Act, you are required to hold an AFS licence, or to be an authorised representative of an AFS licensee, if you are carrying on a financial services business, unless an exemption applies.</t>
        </is>
      </c>
      <c r="P1171" s="12" t="n">
        <v>24</v>
      </c>
    </row>
    <row r="1172">
      <c r="A1172" t="inlineStr">
        <is>
          <t>Australia</t>
        </is>
      </c>
      <c r="B1172" t="inlineStr">
        <is>
          <t>rg255-published-30-august-2016-20220328 (Australia - Row 9)</t>
        </is>
      </c>
      <c r="C1172" t="inlineStr">
        <is>
          <t>p9</t>
        </is>
      </c>
      <c r="D1172" s="11" t="inlineStr">
        <is>
          <t>Definition of financial product advice types for digital services</t>
        </is>
      </c>
      <c r="E1172" t="inlineStr">
        <is>
          <t>9–10</t>
        </is>
      </c>
      <c r="F1172" t="inlineStr">
        <is>
          <t>High</t>
        </is>
      </c>
      <c r="G1172" t="inlineStr">
        <is>
          <t>High (explicit)</t>
        </is>
      </c>
      <c r="H1172" s="11" t="inlineStr"/>
      <c r="I1172" s="11" t="inlineStr">
        <is>
          <t>Customer Data</t>
        </is>
      </c>
      <c r="J1172" t="inlineStr">
        <is>
          <t>ASIC</t>
        </is>
      </c>
      <c r="K1172" s="11" t="inlineStr">
        <is>
          <t>Financial product advice is classified as either personal or general advice under the Corporations Act. Personal advice requires consideration of client objectives, financial situation, and needs. General advice does not consider these factors. Digital advice providers must determine whether their communications constitute personal or general advice to ensure appropriate licensing.</t>
        </is>
      </c>
      <c r="L1172" s="11" t="inlineStr">
        <is>
          <t>Digital advice providers must classify their communications as factual information, general advice, or personal advice to determine licensing requirements. This classification affects data processing and transfer obligations.</t>
        </is>
      </c>
      <c r="M1172" s="11" t="inlineStr">
        <is>
          <t>• [Must] Financial product advice is either personal or general advice under the Corporations Act
• [Must] Personal advice requires consideration of client objectives, financial situation, and needs</t>
        </is>
      </c>
      <c r="N1172" s="11" t="inlineStr">
        <is>
          <t>• [Must] General advice does not consider client objectives, financial situation, or needs</t>
        </is>
      </c>
      <c r="O1172" s="11" t="inlineStr">
        <is>
          <t>Under the Corporations Act, all financial product advice is either 'personal advice' or 'general advice'.</t>
        </is>
      </c>
      <c r="P1172" s="12" t="n">
        <v>24</v>
      </c>
    </row>
    <row r="1173">
      <c r="A1173" t="inlineStr">
        <is>
          <t>Australia</t>
        </is>
      </c>
      <c r="B1173" t="inlineStr">
        <is>
          <t>rg255-published-30-august-2016-20220328 (Australia - Row 9)</t>
        </is>
      </c>
      <c r="C1173" t="inlineStr">
        <is>
          <t>p10</t>
        </is>
      </c>
      <c r="D1173" s="11" t="inlineStr">
        <is>
          <t>Examples of digital advice classification and licensing requirements</t>
        </is>
      </c>
      <c r="E1173" t="inlineStr">
        <is>
          <t>10–11</t>
        </is>
      </c>
      <c r="F1173" t="inlineStr">
        <is>
          <t>High</t>
        </is>
      </c>
      <c r="G1173" t="inlineStr">
        <is>
          <t>High (explicit)</t>
        </is>
      </c>
      <c r="H1173" s="11" t="inlineStr"/>
      <c r="I1173" s="11" t="inlineStr">
        <is>
          <t>Customer Data</t>
        </is>
      </c>
      <c r="J1173" t="inlineStr">
        <is>
          <t>ASIC</t>
        </is>
      </c>
      <c r="K1173" s="11" t="inlineStr">
        <is>
          <t>Digital advice providers must determine whether their services constitute factual information, general advice, or personal advice. Examples show that providing recommendations or statements of opinion that influence client decisions requires AFS licensing. Providers must ensure their services meet the criteria for personal advice (considering client circumstances) or general advice (not considering client circumstances).</t>
        </is>
      </c>
      <c r="L1173" s="11" t="inlineStr">
        <is>
          <t>Digital advice providers must classify their services as factual information, general advice, or personal advice to determine AFS licensing requirements. This classification directly impacts data transfer and processing obligations.</t>
        </is>
      </c>
      <c r="M1173" s="11" t="inlineStr">
        <is>
          <t>• [Must] Digital advice providers must determine whether their services constitute factual information, general advice, or personal advice
• [Must] Services providing recommendations or statements of opinion that influence client decisions require AFS licensing</t>
        </is>
      </c>
      <c r="N1173" s="11" t="inlineStr">
        <is>
          <t>• [Must] Personal advice requires consideration of client objectives, financial situation, and needs</t>
        </is>
      </c>
      <c r="O1173" s="11" t="inlineStr">
        <is>
          <t>If a communication is a recommendation or a statement of opinion, or a report of either of these things, that is intended to, or can reasonably be regarded as being intended to, influence a client in making a decision about a particular financial product or class of financial product (or an interest in either of these), it is financial product advice: s766B (see RG 244.27).</t>
        </is>
      </c>
      <c r="P1173" s="12" t="n">
        <v>24</v>
      </c>
    </row>
    <row r="1174">
      <c r="A1174" t="inlineStr">
        <is>
          <t>Australia</t>
        </is>
      </c>
      <c r="B1174" t="inlineStr">
        <is>
          <t>rg255-published-30-august-2016-20220328 (Australia - Row 9)</t>
        </is>
      </c>
      <c r="C1174" t="inlineStr">
        <is>
          <t>p11</t>
        </is>
      </c>
      <c r="D1174" s="11" t="inlineStr">
        <is>
          <t>Exemptions and AFS licensing arrangements for digital advice</t>
        </is>
      </c>
      <c r="E1174" t="inlineStr">
        <is>
          <t>11–12</t>
        </is>
      </c>
      <c r="F1174" t="inlineStr">
        <is>
          <t>High</t>
        </is>
      </c>
      <c r="G1174" t="inlineStr">
        <is>
          <t>High (explicit)</t>
        </is>
      </c>
      <c r="H1174" s="11" t="inlineStr"/>
      <c r="I1174" s="11" t="inlineStr">
        <is>
          <t>Customer Data</t>
        </is>
      </c>
      <c r="J1174" t="inlineStr">
        <is>
          <t>ASIC</t>
        </is>
      </c>
      <c r="K1174" s="11" t="inlineStr">
        <is>
          <t>Digital advice providers may be exempt from AFS licensing if they provide generic financial calculators or only allocate funds among general asset types without recommending specific products. Existing AFS licensees may not need to change licensing arrangements but must review compliance. Start-up fintech businesses must obtain their own licence or become authorised representatives.</t>
        </is>
      </c>
      <c r="L1174" s="11" t="inlineStr">
        <is>
          <t>Digital advice providers must determine if they qualify for exemptions from AFS licensing, which affects data transfer and processing obligations. This section clarifies when licensing is required for digital advice services.</t>
        </is>
      </c>
      <c r="M1174" s="11" t="inlineStr">
        <is>
          <t>• [May] Digital advice providers may be exempt from AFS licensing if they provide generic financial calculators
• [May] Digital advice providers may be exempt from AFS licensing if they only allocate funds among general asset types without recommending specific products</t>
        </is>
      </c>
      <c r="N1174" s="11" t="inlineStr">
        <is>
          <t>• [May] Existing AFS licensees may not need to change licensing arrangements to provide digital advice
• [Must] Start-up fintech businesses must obtain their own AFS licence or become authorised representatives</t>
        </is>
      </c>
      <c r="O1174" s="11" t="inlineStr">
        <is>
          <t>Depending on your circumstances, you may be exempt or have relief from the requirement to hold an AFS licence: see 911A(2) and RG 36.34.</t>
        </is>
      </c>
      <c r="P1174" s="12" t="n">
        <v>24</v>
      </c>
    </row>
    <row r="1175">
      <c r="A1175" t="inlineStr">
        <is>
          <t>Australia</t>
        </is>
      </c>
      <c r="B1175" t="inlineStr">
        <is>
          <t>rg255-published-30-august-2016-20220328 (Australia - Row 9)</t>
        </is>
      </c>
      <c r="C1175" t="inlineStr">
        <is>
          <t>p12</t>
        </is>
      </c>
      <c r="D1175" s="11" t="inlineStr">
        <is>
          <t>Becoming an authorised representative for digital advice services</t>
        </is>
      </c>
      <c r="E1175" t="inlineStr">
        <is>
          <t>12–13</t>
        </is>
      </c>
      <c r="F1175" t="inlineStr">
        <is>
          <t>High</t>
        </is>
      </c>
      <c r="G1175" t="inlineStr">
        <is>
          <t>High (explicit)</t>
        </is>
      </c>
      <c r="H1175" s="11" t="inlineStr"/>
      <c r="I1175" s="11" t="inlineStr">
        <is>
          <t>Customer Data</t>
        </is>
      </c>
      <c r="J1175" t="inlineStr">
        <is>
          <t>ASIC</t>
        </is>
      </c>
      <c r="K1175" s="11" t="inlineStr">
        <is>
          <t>Digital advice providers considering becoming authorised representatives must obtain written authorisation from an AFS licensee. They must consider the type of financial services, required licence authorisations, and compliance assistance needs. AFS licensees must have appropriate licence authorisations to provide financial product advice to clients.</t>
        </is>
      </c>
      <c r="L1175" s="11" t="inlineStr">
        <is>
          <t>Digital advice providers must obtain written authorisation from an AFS licensee to act as an authorised representative, which affects data transfer and processing obligations. This section outlines the requirements for becoming an authorised representative.</t>
        </is>
      </c>
      <c r="M1175" s="11" t="inlineStr">
        <is>
          <t>• [Must] Digital advice providers must obtain written authorisation from an AFS licensee to act as an authorised representative
• [Must] Digital advice providers must consider the type of financial services they intend to offer</t>
        </is>
      </c>
      <c r="N1175" s="11" t="inlineStr">
        <is>
          <t>• [Must] Digital advice providers must consider the required licence authorisations for their business
• [Must] Digital advice providers must consider compliance assistance needs</t>
        </is>
      </c>
      <c r="O1175" s="11" t="inlineStr">
        <is>
          <t>If you would like to provide a financial service, such as digital advice, as an authorised representative on behalf of an AFS licensee, you must hold a written authorisation from that licensee: see s916A of the Corporations Act.</t>
        </is>
      </c>
      <c r="P1175" s="12" t="n">
        <v>24</v>
      </c>
    </row>
    <row r="1176">
      <c r="A1176" t="inlineStr">
        <is>
          <t>Australia</t>
        </is>
      </c>
      <c r="B1176" t="inlineStr">
        <is>
          <t>rg255-published-30-august-2016-20220328 (Australia - Row 9)</t>
        </is>
      </c>
      <c r="C1176" t="inlineStr">
        <is>
          <t>p13</t>
        </is>
      </c>
      <c r="D1176" s="11" t="inlineStr">
        <is>
          <t>Digital advice provider assessment questions for AFS licensees</t>
        </is>
      </c>
      <c r="E1176" t="inlineStr">
        <is>
          <t>13–14</t>
        </is>
      </c>
      <c r="F1176" t="inlineStr">
        <is>
          <t>High</t>
        </is>
      </c>
      <c r="G1176" t="inlineStr">
        <is>
          <t>High (explicit)</t>
        </is>
      </c>
      <c r="H1176" s="11" t="inlineStr">
        <is>
          <t>Cross-border Transfer, Data Storage, Security, Processing, Data Sharing, Third Party Processing, Cloud Services, Incident Reporting, Breach Notification</t>
        </is>
      </c>
      <c r="I1176" s="11" t="inlineStr">
        <is>
          <t>Financial Data, Customer Data</t>
        </is>
      </c>
      <c r="J1176" t="inlineStr">
        <is>
          <t>ASIC</t>
        </is>
      </c>
      <c r="K1176" s="11" t="inlineStr">
        <is>
          <t>This section outlines sample questions for prospective Australian Financial Services (AFS) licensees to assess their capability in providing digital financial advice. It covers business model, revenue sources, license scope, experience with innovation, algorithm testing, representative numbers, compliance assistance, training provision, monitoring capabilities, record-keeping procedures, past regulatory notifications, and enforcement history. The questions aim to evaluate whether the licensee can meet regulatory obligations for digital advice services.</t>
        </is>
      </c>
      <c r="L1176" s="11" t="inlineStr">
        <is>
          <t>This section identifies key questions to assess AFS licensees' capacity for digital advice, including algorithm testing and compliance monitoring, which are critical for data transfer impact assessments involving algorithmic financial advice systems.</t>
        </is>
      </c>
      <c r="M1176" s="11" t="inlineStr">
        <is>
          <t>• [Must] What is your main financial services business?
• [Must] Do you operate your own financial services business or only obtain revenue by appointing authorised representatives?
• [Must] Does your AFS licence include authorisations needed to provide digital advice and related services?
• [Must] What experience do you have with innovation and digital advice?
• [Must] What monitoring and testing will you carry out in relation to advice algorithms?
• [Must] How many other authorised representatives do you have?</t>
        </is>
      </c>
      <c r="N1176" s="11" t="inlineStr">
        <is>
          <t>• [Must] What compliance assistance will you provide?
• [Must] Will you provide my business with any training?
• [Must] Will you provide enough monitoring and supervision to ensure my business operates within the law?
• [Must] Do you have compliance procedures for record keeping?
• [Must] How many notifications of reportable situations have you lodged with ASIC in the past two years?
• [Must] Have you been the subject of any ASIC or other regulatory agency's surveillance, investigation, enforceable undertaking or enforcement action?</t>
        </is>
      </c>
      <c r="O1176" s="11" t="inlineStr">
        <is>
          <t>Sample questions to ask prospective AFS licensees • What is your main financial services business? • Do you operate your own financial services business or do you only obtain your revenue by appointing authorised representatives? • Does your AFS licence include the authorisations that my business needs to provide digital advice and any related services? • What experience do you have with innovation and digital advice? • What monitoring and testing will you carry out in relation to my advice algorithms? • How many other authorised representatives do you have? • What compliance assistance will you provide? • Will you provide my business with any training? • Will you provide enough monitoring and supervision to ensure that my business is operating within the law? • Do you have compliance procedures for record keeping? • How many notifications of reportable situations have you lodged with ASIC in the past two years? • Have you been the subject of any ASIC or other regulatory agency's surveillance, investigation, enforceable undertaking or enforcement action?</t>
        </is>
      </c>
      <c r="P1176" s="12" t="n">
        <v>24</v>
      </c>
    </row>
    <row r="1177">
      <c r="A1177" t="inlineStr">
        <is>
          <t>Australia</t>
        </is>
      </c>
      <c r="B1177" t="inlineStr">
        <is>
          <t>rg255-published-30-august-2016-20220328 (Australia - Row 9)</t>
        </is>
      </c>
      <c r="C1177" t="inlineStr">
        <is>
          <t>p14</t>
        </is>
      </c>
      <c r="D1177" s="11" t="inlineStr">
        <is>
          <t>Additional information required for AFS licensees providing digital advice</t>
        </is>
      </c>
      <c r="E1177" t="inlineStr">
        <is>
          <t>14–15</t>
        </is>
      </c>
      <c r="F1177" t="inlineStr">
        <is>
          <t>High</t>
        </is>
      </c>
      <c r="G1177" t="inlineStr">
        <is>
          <t>High (explicit)</t>
        </is>
      </c>
      <c r="H1177" s="11" t="inlineStr">
        <is>
          <t>Cross-border Transfer, Data Storage, Security, Processing, Data Sharing, Third Party Processing, Cloud Services, Incident Reporting, Breach Notification</t>
        </is>
      </c>
      <c r="I1177" s="11" t="inlineStr">
        <is>
          <t>Financial Data, Customer Data</t>
        </is>
      </c>
      <c r="J1177" t="inlineStr">
        <is>
          <t>ASIC</t>
        </is>
      </c>
      <c r="K1177" s="11" t="inlineStr">
        <is>
          <t>This section specifies additional information AFS licensees must provide to ASIC when applying for a license to offer digital financial advice. It covers human resources with technological knowledge, human review for personal advice, outsourcing measures, algorithm monitoring procedures, record-keeping arrangements, risk management and security systems, and professional indemnity insurance adequacy. The requirements ensure digital advice providers meet regulatory standards for client data handling and service delivery.</t>
        </is>
      </c>
      <c r="L1177" s="11" t="inlineStr">
        <is>
          <t>This section details specific information needed for digital advice providers to ensure compliance with data handling and security requirements, which are critical for data transfer impact assessments involving algorithmic financial advice.</t>
        </is>
      </c>
      <c r="M1177" s="11" t="inlineStr">
        <is>
          <t>• [Must] Provide information about human resources with technological knowledge and skills to understand algorithms and review digital advice
• [Must] Specify the level of human review for personal advice generated by algorithms
• [Must] Describe measures to ensure due skill and care in selecting service providers when outsourcing functions
• [Must] Outline procedures to monitor ongoing performance of service providers</t>
        </is>
      </c>
      <c r="N1177" s="11" t="inlineStr">
        <is>
          <t>• [Must] Detail procedures for monitoring and testing algorithms
• [Must] Explain arrangements for complying with record-keeping obligations
• [Must] Describe risk management and security arrangements for client information storage and transmission
• [Must] Explain how professional indemnity insurance cover is determined to be adequate</t>
        </is>
      </c>
      <c r="O1177" s="11" t="inlineStr">
        <is>
          <t>RG 255.45: RG 2 explains what information you need to provide to ASIC as part of your AFS licence application. Depending on the nature, scale and complexity of your business, we may ask you for additional information about: (a) the human resources you will have with the technological knowledge and skills to: (i) generally understand the technology and algorithms used to provide the digital advice; and (ii) review the digital advice generated by algorithms (see RG 255.60–RG 255.64); (b) if you are providing personal advice, the level of human review that will be undertaken on the advice generated (see RG 255.109–RG 255.112); (c) if you outsource any functions, the measures you will put in place to ensure that: (i) due skill and care are taken in choosing suitable service providers; and (ii) you can and will monitor the ongoing performance of service providers (see RG 255.67–RG 255.68); (d) the procedures you have in place to monitor and test algorithms (see RG 255.72–RG 255.74); (e) the arrangements you will put in place to comply with your record-keeping obligations; (f) the risk management and security arrangements you will have in place to ensure that client information is stored and transmitted securely (see RG 255.70–RG 255.79); and (g) how you have determined that your professional indemnity (PI) insurance cover is adequate (see RG 255.80–RG 255.85).</t>
        </is>
      </c>
      <c r="P1177" s="12" t="n">
        <v>24</v>
      </c>
    </row>
    <row r="1178">
      <c r="A1178" t="inlineStr">
        <is>
          <t>Australia</t>
        </is>
      </c>
      <c r="B1178" t="inlineStr">
        <is>
          <t>rg255-published-30-august-2016-20220328 (Australia - Row 9)</t>
        </is>
      </c>
      <c r="C1178" t="inlineStr">
        <is>
          <t>p15</t>
        </is>
      </c>
      <c r="D1178" s="11" t="inlineStr">
        <is>
          <t>Organisational competence requirements for digital advice licensees</t>
        </is>
      </c>
      <c r="E1178" t="inlineStr">
        <is>
          <t>15–16</t>
        </is>
      </c>
      <c r="F1178" t="inlineStr">
        <is>
          <t>High</t>
        </is>
      </c>
      <c r="G1178" t="inlineStr">
        <is>
          <t>High (explicit)</t>
        </is>
      </c>
      <c r="H1178" s="11" t="inlineStr">
        <is>
          <t>Cross-border Transfer, Data Storage, Security, Processing, Data Sharing, Third Party Processing, Cloud Services, Incident Reporting, Breach Notification</t>
        </is>
      </c>
      <c r="I1178" s="11" t="inlineStr">
        <is>
          <t>Financial Data, Customer Data</t>
        </is>
      </c>
      <c r="J1178" t="inlineStr">
        <is>
          <t>ASIC</t>
        </is>
      </c>
      <c r="K1178" s="11" t="inlineStr">
        <is>
          <t>This section details the organisational competence obligations for AFS licensees providing digital financial advice. It specifies that digital advice licensees must have at least one responsible manager who meets training and competence standards, as there is no natural person directly involved in providing advice. The requirements ensure that digital advice providers maintain appropriate knowledge and skills to operate within the law, with specific focus on algorithmic advice systems.</t>
        </is>
      </c>
      <c r="L1178" s="11" t="inlineStr">
        <is>
          <t>This section addresses the organisational competence requirements for digital advice providers, which are critical for ensuring that algorithmic advice systems meet regulatory standards and do not pose risks to client data.</t>
        </is>
      </c>
      <c r="M1178" s="11" t="inlineStr">
        <is>
          <t>• [Must] Maintain competence to provide financial services covered by their licence
• [Must] Ensure representatives are adequately trained and competent to provide financial services
• [Must] Demonstrate that each responsible manager meets one of five options for appropriate knowledge and skills</t>
        </is>
      </c>
      <c r="N1178" s="11" t="inlineStr">
        <is>
          <t>• [Must] Ensure responsible managers collectively have appropriate knowledge and skills to cover all financial services and products
• [Must] In digital advice contexts, there is no natural person directly involved in providing advice, so training and competence standards do not apply
• [Must] Digital advice licensees must have at least one responsible manager who meets training and competence standards</t>
        </is>
      </c>
      <c r="O1178" s="11" t="inlineStr">
        <is>
          <t>RG 255.48: Under the Corporations Act, AFS licensees are required to: (a) maintain competence to provide the financial services covered by their licence (s912A(1)(e)); and (b) ensure that their representatives are adequately trained and competent to provide those financial services (s912A(1)(f)).</t>
        </is>
      </c>
      <c r="P1178" s="12" t="n">
        <v>24</v>
      </c>
    </row>
    <row r="1179">
      <c r="A1179" t="inlineStr">
        <is>
          <t>Australia</t>
        </is>
      </c>
      <c r="B1179" t="inlineStr">
        <is>
          <t>rg255-published-30-august-2016-20220328 (Australia - Row 9)</t>
        </is>
      </c>
      <c r="C1179" t="inlineStr">
        <is>
          <t>p16</t>
        </is>
      </c>
      <c r="D1179" s="11" t="inlineStr">
        <is>
          <t>Responsible manager competence for digital advice licensees</t>
        </is>
      </c>
      <c r="E1179" t="inlineStr">
        <is>
          <t>16–17</t>
        </is>
      </c>
      <c r="F1179" t="inlineStr">
        <is>
          <t>High</t>
        </is>
      </c>
      <c r="G1179" t="inlineStr">
        <is>
          <t>High (explicit)</t>
        </is>
      </c>
      <c r="H1179" s="11" t="inlineStr">
        <is>
          <t>Cross-border Transfer, Data Storage, Security, Processing, Data Sharing, Third Party Processing, Cloud Services, Incident Reporting, Breach Notification</t>
        </is>
      </c>
      <c r="I1179" s="11" t="inlineStr">
        <is>
          <t>Financial Data, Customer Data</t>
        </is>
      </c>
      <c r="J1179" t="inlineStr">
        <is>
          <t>ASIC</t>
        </is>
      </c>
      <c r="K1179" s="11" t="inlineStr">
        <is>
          <t>This section explains that in most cases, existing AFS licensees already have a responsible manager who meets training and competence standards. However, in some instances, a licensee may not have a responsible manager who meets these standards, particularly if the responsible manager previously demonstrated competence through relevant experience over the past 10 years.</t>
        </is>
      </c>
      <c r="L1179" s="11" t="inlineStr">
        <is>
          <t>This section clarifies the competence requirements for responsible managers in digital advice licensees, which is relevant for ensuring that algorithmic advice systems are operated within regulatory frameworks.</t>
        </is>
      </c>
      <c r="M1179" s="11" t="inlineStr">
        <is>
          <t>• [Must] At least one responsible manager of an existing AFS licensee will meet the training and competence standards
• [Must] In some instances, a licensee may not have a responsible manager who meets training and competence standards</t>
        </is>
      </c>
      <c r="N1179" s="11" t="inlineStr">
        <is>
          <t>• [Must] Responsible managers who previously demonstrated competence through relevant experience over the past 10 years may not meet current standards</t>
        </is>
      </c>
      <c r="O1179" s="11" t="inlineStr">
        <is>
          <t>RG 255.54: In most cases, at least one responsible manager of an existing AFS licensee will meet the training and competence standards. In a small number of instances, however, a licensee may not have a responsible manager who meets these standards. This is because the responsible manager was previously able to demonstrate their competence under RG 105 by showing they had relevant experience over the previous 10 years.</t>
        </is>
      </c>
      <c r="P1179" s="12" t="n">
        <v>24</v>
      </c>
    </row>
    <row r="1180">
      <c r="A1180" t="inlineStr">
        <is>
          <t>Australia</t>
        </is>
      </c>
      <c r="B1180" t="inlineStr">
        <is>
          <t>rg255-published-30-august-2016-20220328 (Australia - Row 9)</t>
        </is>
      </c>
      <c r="C1180" t="inlineStr">
        <is>
          <t>p17</t>
        </is>
      </c>
      <c r="D1180" s="11" t="inlineStr">
        <is>
          <t>General obligations for digital advice licensees</t>
        </is>
      </c>
      <c r="E1180" t="inlineStr">
        <is>
          <t>17–18</t>
        </is>
      </c>
      <c r="F1180" t="inlineStr">
        <is>
          <t>High</t>
        </is>
      </c>
      <c r="G1180" t="inlineStr">
        <is>
          <t>High (explicit)</t>
        </is>
      </c>
      <c r="H1180" s="11" t="inlineStr">
        <is>
          <t>Cross-border Transfer, Data Storage, Security, Processing, Data Sharing, Third Party Processing, Cloud Services, Incident Reporting, Breach Notification</t>
        </is>
      </c>
      <c r="I1180" s="11" t="inlineStr">
        <is>
          <t>Financial Data, Customer Data</t>
        </is>
      </c>
      <c r="J1180" t="inlineStr">
        <is>
          <t>ASIC</t>
        </is>
      </c>
      <c r="K1180" s="11" t="inlineStr">
        <is>
          <t>This section outlines the general obligations that apply to all AFS licensees, including the requirement to have adequate resources, establish risk management systems, and comply with financial services laws. It specifies that digital advice licensees must meet these obligations, with additional guidance on human resources, technological capabilities, and risk management to ensure compliance with the Corporations Act.</t>
        </is>
      </c>
      <c r="L1180" s="11" t="inlineStr">
        <is>
          <t>This section details the general obligations for digital advice licensees, which are critical for ensuring that algorithmic advice systems comply with regulatory requirements and data handling standards.</t>
        </is>
      </c>
      <c r="M1180" s="11" t="inlineStr">
        <is>
          <t>• [Must] Have adequate financial, technological and human resources to provide financial services and carry out supervisory arrangements
• [Must] Establish and maintain adequate risk management systems
• [Must] Comply with financial services laws</t>
        </is>
      </c>
      <c r="N1180" s="11" t="inlineStr">
        <is>
          <t>• [Must] Take reasonable steps to ensure representatives comply with financial services laws
• [Must] Maintain competence to provide financial services
• [Must] Ensure representatives are adequately trained and competent to provide financial services</t>
        </is>
      </c>
      <c r="O1180" s="11" t="inlineStr">
        <is>
          <t>RG 255.55: If you are an AFS licensee, you have general obligations under s912A(1) of the Corporations Act to: (a) do all things necessary to ensure that the financial services covered by your licence are provided efficiently, honestly and fairly (s912A(1)(a)); (b) have adequate arrangements in place for managing conflicts of interest (s912A(1)(aa)); (c) comply with the conditions on your licence (s912A(1)(b)); (d) comply with the financial services laws (s912A(1)(c)); (e) take reasonable steps to ensure that your representatives comply with the financial services laws (s912A(1)(ca)); (f) have adequate financial, technological and human resources to provide the financial services covered by your licence and to carry out supervisory arrangements (s912A(1)(d)); (g) maintain the competence to provide the financial services covered by your licence (s912A(1)(e)); (h) ensure that your representatives are adequately trained and competent to provide those financial services (s912A(1)(f)); (i) if you provide financial services to retail clients, have a dispute resolution system (s912A(1)(g)); and (j) establish and maintain adequate risk management systems (s912A(1)(h)).</t>
        </is>
      </c>
      <c r="P1180" s="12" t="n">
        <v>24</v>
      </c>
    </row>
    <row r="1181">
      <c r="A1181" t="inlineStr">
        <is>
          <t>Australia</t>
        </is>
      </c>
      <c r="B1181" t="inlineStr">
        <is>
          <t>rg255-published-30-august-2016-20220328 (Australia - Row 9)</t>
        </is>
      </c>
      <c r="C1181" t="inlineStr">
        <is>
          <t>p18</t>
        </is>
      </c>
      <c r="D1181" s="11" t="inlineStr">
        <is>
          <t>Resource requirements for digital advice licensees</t>
        </is>
      </c>
      <c r="E1181" t="inlineStr">
        <is>
          <t>18–19</t>
        </is>
      </c>
      <c r="F1181" t="inlineStr">
        <is>
          <t>High</t>
        </is>
      </c>
      <c r="G1181" t="inlineStr">
        <is>
          <t>High (explicit)</t>
        </is>
      </c>
      <c r="H1181" s="11" t="inlineStr">
        <is>
          <t>Cross-border Transfer, Data Storage, Security, Processing, Data Sharing, Third Party Processing, Cloud Services, Incident Reporting, Breach Notification</t>
        </is>
      </c>
      <c r="I1181" s="11" t="inlineStr">
        <is>
          <t>Financial Data, Customer Data</t>
        </is>
      </c>
      <c r="J1181" t="inlineStr">
        <is>
          <t>ASIC</t>
        </is>
      </c>
      <c r="K1181" s="11" t="inlineStr">
        <is>
          <t>This section focuses on the resource requirements for AFS licensees providing digital financial advice, emphasizing the need for adequate human resources to understand algorithms and review digital advice outputs. It specifies that digital advice licensees must have individuals within their business who can comprehend the technology and algorithms used to provide advice and assess the generated advice for compliance.</t>
        </is>
      </c>
      <c r="L1181" s="11" t="inlineStr">
        <is>
          <t>This section addresses the human resource requirements for digital advice licensees, which are critical for ensuring that algorithmic advice systems are properly monitored and compliant with regulatory standards.</t>
        </is>
      </c>
      <c r="M1181" s="11" t="inlineStr">
        <is>
          <t>• [Must] Ensure there are people within the business who understand the technology and algorithms used to provide digital advice</t>
        </is>
      </c>
      <c r="N1181" s="11" t="inlineStr">
        <is>
          <t>• [Must] Ensure there are people within the business who can review digital advice generated by algorithms</t>
        </is>
      </c>
      <c r="O1181" s="11" t="inlineStr">
        <is>
          <t>RG 255.60: As a digital advice licensee, you should ensure that there are people within your business who: (a) have an understanding of the technology and algorithms used to provide digital advice; and (b) are able to review the digital advice generated by algorithms.</t>
        </is>
      </c>
      <c r="P1181" s="12" t="n">
        <v>24</v>
      </c>
    </row>
    <row r="1182">
      <c r="A1182" t="inlineStr">
        <is>
          <t>Australia</t>
        </is>
      </c>
      <c r="B1182" t="inlineStr">
        <is>
          <t>rg255-published-30-august-2016-20220328 (Australia - Row 9)</t>
        </is>
      </c>
      <c r="C1182" t="inlineStr">
        <is>
          <t>p19</t>
        </is>
      </c>
      <c r="D1182" s="11" t="inlineStr">
        <is>
          <t>Digital advice licensees must have staff understanding algorithms and technology</t>
        </is>
      </c>
      <c r="E1182" t="inlineStr">
        <is>
          <t>19–20</t>
        </is>
      </c>
      <c r="F1182" t="inlineStr">
        <is>
          <t>High</t>
        </is>
      </c>
      <c r="G1182" t="inlineStr">
        <is>
          <t>High (explicit)</t>
        </is>
      </c>
      <c r="H1182" s="11" t="inlineStr"/>
      <c r="I1182" s="11" t="inlineStr">
        <is>
          <t>Financial Data</t>
        </is>
      </c>
      <c r="J1182" t="inlineStr">
        <is>
          <t>ASIC</t>
        </is>
      </c>
      <c r="K1182" s="11" t="inlineStr">
        <is>
          <t>Digital advice licensees must have at least one person who understands the technology and algorithms used for digital advice. This person does not need to understand the specific computer coding but must comprehend the rationale, risks, and rules behind the algorithms. The requirement applies to all digital advice licensees regardless of business size, with the extent of human resources depending on the scale of operations.</t>
        </is>
      </c>
      <c r="L1182" s="11" t="inlineStr">
        <is>
          <t>Digital advice licensees must ensure staff can review algorithmic advice for compliance, which impacts data transfer assessments by requiring technical oversight of algorithmic systems.</t>
        </is>
      </c>
      <c r="M1182" s="11" t="inlineStr">
        <is>
          <t>• [Must] Digital advice licensees must have at least one person who understands the technology and algorithms used for digital advice</t>
        </is>
      </c>
      <c r="N1182" s="11" t="inlineStr">
        <is>
          <t>• [Must] This person must comprehend the rationale, risks, and rules behind the algorithms without needing to understand specific computer coding</t>
        </is>
      </c>
      <c r="O1182" s="11" t="inlineStr">
        <is>
          <t>RG 255.61: Digital advice is provided through technology... we expect digital advice licensees to have at least one person who has a general understanding of the technology and algorithms...</t>
        </is>
      </c>
      <c r="P1182" s="12" t="n">
        <v>24</v>
      </c>
    </row>
    <row r="1183">
      <c r="A1183" t="inlineStr">
        <is>
          <t>Australia</t>
        </is>
      </c>
      <c r="B1183" t="inlineStr">
        <is>
          <t>rg255-published-30-august-2016-20220328 (Australia - Row 9)</t>
        </is>
      </c>
      <c r="C1183" t="inlineStr">
        <is>
          <t>p20</t>
        </is>
      </c>
      <c r="D1183" s="11" t="inlineStr">
        <is>
          <t>Digital advice licensees must monitor outsourced algorithm functions</t>
        </is>
      </c>
      <c r="E1183" t="inlineStr">
        <is>
          <t>20–21</t>
        </is>
      </c>
      <c r="F1183" t="inlineStr">
        <is>
          <t>High</t>
        </is>
      </c>
      <c r="G1183" t="inlineStr">
        <is>
          <t>High (explicit)</t>
        </is>
      </c>
      <c r="H1183" s="11" t="inlineStr">
        <is>
          <t>Third Party Processing</t>
        </is>
      </c>
      <c r="I1183" s="11" t="inlineStr">
        <is>
          <t>Financial Data</t>
        </is>
      </c>
      <c r="J1183" t="inlineStr">
        <is>
          <t>ASIC</t>
        </is>
      </c>
      <c r="K1183" s="11" t="inlineStr">
        <is>
          <t>Digital advice licensees outsourcing algorithm functions must ensure suitable service providers are chosen and monitored. Licensees remain responsible for financial services provided to clients even when functions are outsourced. This includes understanding algorithm rationale, risks, and rules without needing to code the algorithms.</t>
        </is>
      </c>
      <c r="L1183" s="11" t="inlineStr">
        <is>
          <t>Outsourcing algorithm functions requires licensees to maintain oversight of third-party providers to ensure compliance, affecting data transfer assessments through third-party data handling risks.</t>
        </is>
      </c>
      <c r="M1183" s="11" t="inlineStr">
        <is>
          <t>• [Must] Digital advice licensees must choose service providers with due skill and care for outsourced functions
• [Must] Digital advice licensees must monitor ongoing performance of outsourced service providers</t>
        </is>
      </c>
      <c r="N1183" s="11" t="inlineStr">
        <is>
          <t>• [Must] Digital advice licensees remain responsible for financial services provided to clients even when functions are outsourced</t>
        </is>
      </c>
      <c r="O1183" s="11" t="inlineStr">
        <is>
          <t>RG 255.67: We expect that you will have measures in place to ensure that due skill and care are taken in choosing suitable outsourced service providers; and you can and will monitor the ongoing performance of outsourced service providers.</t>
        </is>
      </c>
      <c r="P1183" s="12" t="n">
        <v>24</v>
      </c>
    </row>
    <row r="1184">
      <c r="A1184" t="inlineStr">
        <is>
          <t>Australia</t>
        </is>
      </c>
      <c r="B1184" t="inlineStr">
        <is>
          <t>rg255-published-30-august-2016-20220328 (Australia - Row 9)</t>
        </is>
      </c>
      <c r="C1184" t="inlineStr">
        <is>
          <t>p21</t>
        </is>
      </c>
      <c r="D1184" s="11" t="inlineStr">
        <is>
          <t>Digital advice licensees must monitor and test algorithms regularly</t>
        </is>
      </c>
      <c r="E1184" t="inlineStr">
        <is>
          <t>21–22</t>
        </is>
      </c>
      <c r="F1184" t="inlineStr">
        <is>
          <t>High</t>
        </is>
      </c>
      <c r="G1184" t="inlineStr">
        <is>
          <t>High (explicit)</t>
        </is>
      </c>
      <c r="H1184" s="11" t="inlineStr"/>
      <c r="I1184" s="11" t="inlineStr">
        <is>
          <t>Financial Data</t>
        </is>
      </c>
      <c r="J1184" t="inlineStr">
        <is>
          <t>ASIC</t>
        </is>
      </c>
      <c r="K1184" s="11" t="inlineStr">
        <is>
          <t>Digital advice licensees must regularly monitor and test algorithms to ensure compliance. This includes having system design documentation, documented test strategies, processes for managing algorithm changes, records of algorithm changes over seven years, and mechanisms to suspend advice if errors are detected. These requirements apply to all digital advice licensees regardless of business scale.</t>
        </is>
      </c>
      <c r="L1184" s="11" t="inlineStr">
        <is>
          <t>Algorithm monitoring and testing requirements directly impact data transfer assessments by mandating technical oversight of algorithmic systems to ensure compliance with financial regulations.</t>
        </is>
      </c>
      <c r="M1184" s="11" t="inlineStr">
        <is>
          <t>• [Must] Digital advice licensees must have system design documentation that clearly sets out the purpose, scope, and design of algorithms
• [Must] Digital advice licensees must have a documented test strategy explaining the scope of algorithm testing
• [Must] Digital advice licensees must have processes for managing changes to algorithms with security arrangements to prevent unauthorized access
• [Must] Digital advice licensees must control, monitor, and retain records of algorithm changes for seven years</t>
        </is>
      </c>
      <c r="N1184" s="11" t="inlineStr">
        <is>
          <t>• [Must] Digital advice licensees must review and update algorithms when factors affecting their currency change
• [Must] Digital advice licensees must suspend advice provision if algorithm errors are detected that could cause client loss or breach of the Corporations Act
• [Must] Digital advice licensees must have adequate resources to monitor and supervise algorithm performance
• [Must] Digital advice licensees must have an internal sign-off process to ensure compliance with algorithm monitoring requirements</t>
        </is>
      </c>
      <c r="O1184" s="11" t="inlineStr">
        <is>
          <t>RG 255.72: As part of your risk management systems, you should regularly monitor and test the algorithms that underpin the advice.</t>
        </is>
      </c>
      <c r="P1184" s="12" t="n">
        <v>24</v>
      </c>
    </row>
    <row r="1185">
      <c r="A1185" t="inlineStr">
        <is>
          <t>Australia</t>
        </is>
      </c>
      <c r="B1185" t="inlineStr">
        <is>
          <t>rg255-published-30-august-2016-20220328 (Australia - Row 9)</t>
        </is>
      </c>
      <c r="C1185" t="inlineStr">
        <is>
          <t>p22</t>
        </is>
      </c>
      <c r="D1185" s="11" t="inlineStr">
        <is>
          <t>Digital advice licensees must implement cyber security frameworks</t>
        </is>
      </c>
      <c r="E1185" t="inlineStr">
        <is>
          <t>22–23</t>
        </is>
      </c>
      <c r="F1185" t="inlineStr">
        <is>
          <t>High</t>
        </is>
      </c>
      <c r="G1185" t="inlineStr">
        <is>
          <t>High (explicit)</t>
        </is>
      </c>
      <c r="H1185" s="11" t="inlineStr">
        <is>
          <t>Security, Cloud Services</t>
        </is>
      </c>
      <c r="I1185" s="11" t="inlineStr">
        <is>
          <t>Financial Data</t>
        </is>
      </c>
      <c r="J1185" t="inlineStr">
        <is>
          <t>ASIC</t>
        </is>
      </c>
      <c r="K1185" s="11" t="inlineStr">
        <is>
          <t>Digital advice licensees must assess cyber security using recognized frameworks like NIST or Australian Signals Directorate strategies. They must also comply with information security standards such as ISO/IEC 27001 and have adequate cloud security measures to mitigate malicious cyber activity risks.</t>
        </is>
      </c>
      <c r="L1185" s="11" t="inlineStr">
        <is>
          <t>Cyber security requirements directly impact data transfer assessments by mandating robust security frameworks for digital advice systems, affecting cross-border data transfers.</t>
        </is>
      </c>
      <c r="M1185" s="11" t="inlineStr">
        <is>
          <t>• [Must] Digital advice licensees must assess cyber security using recognized frameworks such as NIST or Australian Signals Directorate strategies
• [Must] Digital advice licensees must comply with information security standards including ISO/IEC 27001:2015</t>
        </is>
      </c>
      <c r="N1185" s="11" t="inlineStr">
        <is>
          <t>• [Must] Digital advice licensees must implement adequate cloud security measures to mitigate malicious cyber activity</t>
        </is>
      </c>
      <c r="O1185" s="11" t="inlineStr">
        <is>
          <t>RG 255.77: We expect digital advice licensees to assess their cyber security using recognised frameworks, such as the National Institute of Standards and Technology's Framework for improving critical infrastructure cybersecurity...</t>
        </is>
      </c>
      <c r="P1185" s="12" t="n">
        <v>24</v>
      </c>
    </row>
    <row r="1186">
      <c r="A1186" t="inlineStr">
        <is>
          <t>Australia</t>
        </is>
      </c>
      <c r="B1186" t="inlineStr">
        <is>
          <t>rg255-published-30-august-2016-20220328 (Australia - Row 9)</t>
        </is>
      </c>
      <c r="C1186" t="inlineStr">
        <is>
          <t>p23</t>
        </is>
      </c>
      <c r="D1186" s="11" t="inlineStr">
        <is>
          <t>Digital advice licensees must have adequate compensation arrangements</t>
        </is>
      </c>
      <c r="E1186" t="inlineStr">
        <is>
          <t>23–24</t>
        </is>
      </c>
      <c r="F1186" t="inlineStr">
        <is>
          <t>High</t>
        </is>
      </c>
      <c r="G1186" t="inlineStr">
        <is>
          <t>High (explicit)</t>
        </is>
      </c>
      <c r="H1186" s="11" t="inlineStr"/>
      <c r="I1186" s="11" t="inlineStr">
        <is>
          <t>Financial Data</t>
        </is>
      </c>
      <c r="J1186" t="inlineStr">
        <is>
          <t>ASIC</t>
        </is>
      </c>
      <c r="K1186" s="11" t="inlineStr">
        <is>
          <t>Digital advice licensees must have arrangements for compensating clients for losses resulting from breaches of obligations under the Corporations Act. These arrangements must either satisfy professional indemnity insurance requirements or be approved by ASIC as alternative arrangements, considering factors like client growth, potential widespread losses, and claim aggregation.</t>
        </is>
      </c>
      <c r="L1186" s="11" t="inlineStr">
        <is>
          <t>Compensation arrangements requirements impact data transfer assessments by mandating financial safeguards for client losses, affecting cross-border data handling risks.</t>
        </is>
      </c>
      <c r="M1186" s="11" t="inlineStr">
        <is>
          <t>• [Must] Digital advice licensees must have arrangements for compensating clients for losses from breaches of obligations under the Corporations Act
• [Must] Compensation arrangements must satisfy professional indemnity insurance requirements or be approved by ASIC as alternatives
• [Must] Digital advice licensees must regularly review business risks to assess PI insurance adequacy</t>
        </is>
      </c>
      <c r="N1186" s="11" t="inlineStr">
        <is>
          <t>• [Must] Digital advice licensees must notify PI insurers of material business changes
• [Must] Digital advice licensees must review PI insurance policy features at least annually</t>
        </is>
      </c>
      <c r="O1186" s="11" t="inlineStr">
        <is>
          <t>RG 255.80: Under s912B, AFS licensees that provide financial services to retail clients must have arrangements for compensating clients for loss they suffer as a result of a breach by the licensee or its representatives of their obligations in Ch 7 of the Corporations Act.</t>
        </is>
      </c>
      <c r="P1186" s="12" t="n">
        <v>24</v>
      </c>
    </row>
    <row r="1187">
      <c r="A1187" t="inlineStr">
        <is>
          <t>Australia</t>
        </is>
      </c>
      <c r="B1187" t="inlineStr">
        <is>
          <t>rg255-published-30-august-2016-20220328 (Australia - Row 9)</t>
        </is>
      </c>
      <c r="C1187" t="inlineStr">
        <is>
          <t>p24</t>
        </is>
      </c>
      <c r="D1187" s="11" t="inlineStr">
        <is>
          <t>Digital advice must comply with best interests duty</t>
        </is>
      </c>
      <c r="E1187" t="inlineStr">
        <is>
          <t>24–25</t>
        </is>
      </c>
      <c r="F1187" t="inlineStr">
        <is>
          <t>High</t>
        </is>
      </c>
      <c r="G1187" t="inlineStr">
        <is>
          <t>High (explicit)</t>
        </is>
      </c>
      <c r="H1187" s="11" t="inlineStr"/>
      <c r="I1187" s="11" t="inlineStr">
        <is>
          <t>Financial Data</t>
        </is>
      </c>
      <c r="J1187" t="inlineStr">
        <is>
          <t>ASIC</t>
        </is>
      </c>
      <c r="K1187" s="11" t="inlineStr">
        <is>
          <t>Digital advice providers must act in the best interests of clients when providing advice, as the law is technology neutral. This obligation applies to all digital advice providers, including those using computer programs, and requires adherence to the same standards as traditional financial advice.</t>
        </is>
      </c>
      <c r="L1187" s="11" t="inlineStr">
        <is>
          <t>Best interests duty requirements impact data transfer assessments by mandating client-centric advice practices, affecting data handling and processing across borders.</t>
        </is>
      </c>
      <c r="M1187" s="11" t="inlineStr">
        <is>
          <t>• [Must] Digital advice providers must act in the best interests of clients when providing advice</t>
        </is>
      </c>
      <c r="N1187" s="11" t="inlineStr"/>
      <c r="O1187" s="11" t="inlineStr">
        <is>
          <t>RG 255.87: When providing personal advice to a retail client, advice providers must act in the best interests of the client in relation to that advice: s961B(1).</t>
        </is>
      </c>
      <c r="P1187" s="12" t="n">
        <v>24</v>
      </c>
    </row>
    <row r="1188">
      <c r="A1188" t="inlineStr">
        <is>
          <t>Australia</t>
        </is>
      </c>
      <c r="B1188" t="inlineStr">
        <is>
          <t>rg255-published-30-august-2016-20220328 (Australia - Row 9)</t>
        </is>
      </c>
      <c r="C1188" t="inlineStr">
        <is>
          <t>p25</t>
        </is>
      </c>
      <c r="D1188" s="11" t="inlineStr">
        <is>
          <t>Digital advice provider obligations for retail clients</t>
        </is>
      </c>
      <c r="E1188" t="inlineStr">
        <is>
          <t>25–26</t>
        </is>
      </c>
      <c r="F1188" t="inlineStr">
        <is>
          <t>High</t>
        </is>
      </c>
      <c r="G1188" t="inlineStr">
        <is>
          <t>High (explicit)</t>
        </is>
      </c>
      <c r="H1188" s="11" t="inlineStr">
        <is>
          <t>Data Sharing, Cross-border Transfer, Financial Data</t>
        </is>
      </c>
      <c r="I1188" s="11" t="inlineStr">
        <is>
          <t>Financial Data</t>
        </is>
      </c>
      <c r="J1188" t="inlineStr">
        <is>
          <t>ASIC</t>
        </is>
      </c>
      <c r="K1188" s="11" t="inlineStr">
        <is>
          <t>Digital advice providers must provide appropriate advice, warn clients about incomplete or inaccurate information, and prioritize client interests over their own or associates' interests when giving personal financial advice. These obligations apply to all personal advice but exclude general advice. The guidance specifies that scaled advice (limited scope personal advice) must be handled with particular care due to the absence of direct client interaction in digital contexts.</t>
        </is>
      </c>
      <c r="L1188" s="11" t="inlineStr">
        <is>
          <t>Digital advice providers must clearly communicate the scope of advice, obtain client consent for limited advice, and ensure advice remains within client's best interests to avoid cross-border data transfer risks.</t>
        </is>
      </c>
      <c r="M1188" s="11" t="inlineStr">
        <is>
          <t>• [Must] Provide appropriate financial advice to retail clients
• [Must] Warn clients if advice is based on incomplete or inaccurate information</t>
        </is>
      </c>
      <c r="N1188" s="11" t="inlineStr">
        <is>
          <t>• [Must] Prioritize client's interests over own interests or associates' interests</t>
        </is>
      </c>
      <c r="O1188" s="11" t="inlineStr">
        <is>
          <t>RG 255.90: A digital advice provider giving personal advice to a client also has related obligations in Div 2 of Pt 7.7A of the Corporations Act to provide appropriate advice, to warn the client if advice is based on incomplete or inaccurate information, and to prioritise the client's interests over its own interests or that of the advice provider's associates.</t>
        </is>
      </c>
      <c r="P1188" s="12" t="n">
        <v>24</v>
      </c>
    </row>
    <row r="1189">
      <c r="A1189" t="inlineStr">
        <is>
          <t>Australia</t>
        </is>
      </c>
      <c r="B1189" t="inlineStr">
        <is>
          <t>rg255-published-30-august-2016-20220328 (Australia - Row 9)</t>
        </is>
      </c>
      <c r="C1189" t="inlineStr">
        <is>
          <t>p26</t>
        </is>
      </c>
      <c r="D1189" s="11" t="inlineStr">
        <is>
          <t>Minimum expectations for digital scaled advice</t>
        </is>
      </c>
      <c r="E1189" t="inlineStr">
        <is>
          <t>26–27</t>
        </is>
      </c>
      <c r="F1189" t="inlineStr">
        <is>
          <t>High</t>
        </is>
      </c>
      <c r="G1189" t="inlineStr">
        <is>
          <t>High (explicit)</t>
        </is>
      </c>
      <c r="H1189" s="11" t="inlineStr">
        <is>
          <t>Data Sharing, Cross-border Transfer, Financial Data</t>
        </is>
      </c>
      <c r="I1189" s="11" t="inlineStr">
        <is>
          <t>Financial Data</t>
        </is>
      </c>
      <c r="J1189" t="inlineStr">
        <is>
          <t>ASIC</t>
        </is>
      </c>
      <c r="K1189" s="11" t="inlineStr">
        <is>
          <t>Digital advice providers must explain the scope of advice upfront, require clients to actively demonstrate advice relevance, inform about limitations and consequences at key points, provide key concepts and risks/benefits, filter inappropriate clients, disclose costs, withdrawal options, dispute resolution, and explain benefits of following advice. These minimum expectations ensure scaled advice remains in the client's best interests without direct interaction.</t>
        </is>
      </c>
      <c r="L1189" s="11" t="inlineStr">
        <is>
          <t>Digital advice providers must implement clear communication protocols to define advice scope and ensure client understanding, critical for data transfer compliance in cross-border financial contexts.</t>
        </is>
      </c>
      <c r="M1189" s="11" t="inlineStr">
        <is>
          <t>• [Must] Explain advice scope and what is not offered from the outset
• [Must] Require client to actively demonstrate advice relevance
• [Must] Inform about limitations and consequences at key points
• [Must] Inform about key concepts and associated risks/benefits
• [Must] Filter clients for whom advice is inappropriate</t>
        </is>
      </c>
      <c r="N1189" s="11" t="inlineStr">
        <is>
          <t>• [Must] Disclose upfront and ongoing costs of advice
• [Must] Inform about withdrawal options and associated costs
• [Must] Explain dispute resolution processes
• [Must] Explain why client will be in better position following advice</t>
        </is>
      </c>
      <c r="O1189" s="11" t="inlineStr">
        <is>
          <t>RG 255.98: As a minimum, you should: explain to the client from the outset what advice is being offered and what is not being offered (i.e. the scope of the advice); require the client to actively demonstrate that the advice they are seeking is within the scope of what is being offered by the digital advice model; at key points in the advice process, inform the client about the limitations and potential consequences of the scope of advice; throughout the advice process, inform the client about key concepts and the relevant risks and benefits associated with the advice being provided; filter out clients for whom the advice being offered is not appropriate, or who want advice on a topic outside the scope of advice being offered; inform the client about the upfront and ongoing costs of the advice before the advice is given or implemented; inform the client about how they can withdraw from the advice being provided, and any associated costs, before the advice is implemented; explain what dispute resolution processes are available to the client if they wish to make a complaint; and explain why the client is likely to be in a better position if they follow the advice.</t>
        </is>
      </c>
      <c r="P1189" s="12" t="n">
        <v>24</v>
      </c>
    </row>
    <row r="1190">
      <c r="A1190" t="inlineStr">
        <is>
          <t>Australia</t>
        </is>
      </c>
      <c r="B1190" t="inlineStr">
        <is>
          <t>rg255-published-30-august-2016-20220328 (Australia - Row 9)</t>
        </is>
      </c>
      <c r="C1190" t="inlineStr">
        <is>
          <t>p27</t>
        </is>
      </c>
      <c r="D1190" s="11" t="inlineStr">
        <is>
          <t>Example of scaled digital advice in client's best interests</t>
        </is>
      </c>
      <c r="E1190" t="inlineStr">
        <is>
          <t>27–28</t>
        </is>
      </c>
      <c r="F1190" t="inlineStr">
        <is>
          <t>High</t>
        </is>
      </c>
      <c r="G1190" t="inlineStr">
        <is>
          <t>Medium (interpretation)</t>
        </is>
      </c>
      <c r="H1190" s="11" t="inlineStr">
        <is>
          <t>Data Sharing, Cross-border Transfer, Financial Data</t>
        </is>
      </c>
      <c r="I1190" s="11" t="inlineStr">
        <is>
          <t>Financial Data</t>
        </is>
      </c>
      <c r="J1190" t="inlineStr"/>
      <c r="K1190" s="11" t="inlineStr">
        <is>
          <t>The example demonstrates that digital advice is in the client's best interests when it clearly identifies advice scope, explains consequences of limited advice, obtains client consent, provides ongoing reinforcement of scope limitations, and filters clients based on relevant circumstances. This ensures advice remains appropriate and within legal scope without direct interaction.</t>
        </is>
      </c>
      <c r="L1190" s="11" t="inlineStr">
        <is>
          <t>Digital advice must clearly define scope, obtain explicit consent, and implement ongoing client communication to ensure advice remains within client's best interests during data transfers.</t>
        </is>
      </c>
      <c r="M1190" s="11" t="inlineStr">
        <is>
          <t>• [Must] Clearly identify what advice is provided and what is not
• [Must] Explain consequences of proceeding with scaled advice
• [Must] Obtain client consent to proceed with scaled advice</t>
        </is>
      </c>
      <c r="N1190" s="11" t="inlineStr">
        <is>
          <t>• [Must] Provide pop-up information to reinforce limited scope and implications
• [Must] Identify whether client's circumstances are consistent with advice scope</t>
        </is>
      </c>
      <c r="O1190" s="11" t="inlineStr">
        <is>
          <t>RG 255.99: In Example 5, we consider that the digital advice provider provides scaled advice that is in the best interests of the client.</t>
        </is>
      </c>
      <c r="P1190" s="12" t="n">
        <v>24</v>
      </c>
    </row>
    <row r="1191">
      <c r="A1191" t="inlineStr">
        <is>
          <t>Australia</t>
        </is>
      </c>
      <c r="B1191" t="inlineStr">
        <is>
          <t>rg255-published-30-august-2016-20220328 (Australia - Row 9)</t>
        </is>
      </c>
      <c r="C1191" t="inlineStr">
        <is>
          <t>p28</t>
        </is>
      </c>
      <c r="D1191" s="11" t="inlineStr">
        <is>
          <t>Triage and filtering process for digital advice</t>
        </is>
      </c>
      <c r="E1191" t="inlineStr">
        <is>
          <t>28–29</t>
        </is>
      </c>
      <c r="F1191" t="inlineStr">
        <is>
          <t>High</t>
        </is>
      </c>
      <c r="G1191" t="inlineStr">
        <is>
          <t>High (explicit)</t>
        </is>
      </c>
      <c r="H1191" s="11" t="inlineStr">
        <is>
          <t>Data Sharing, Cross-border Transfer, Financial Data</t>
        </is>
      </c>
      <c r="I1191" s="11" t="inlineStr">
        <is>
          <t>Financial Data</t>
        </is>
      </c>
      <c r="J1191" t="inlineStr">
        <is>
          <t>ASIC</t>
        </is>
      </c>
      <c r="K1191" s="11" t="inlineStr">
        <is>
          <t>Digital advice providers must implement a robust triage or filtering process to identify clients for whom advice is inappropriate. This includes testing at key points in the advice process whether advice is appropriate and in the client's best interests, filtering clients who seek advice outside scope, and handling inconsistent client responses through clarification or exclusion.</t>
        </is>
      </c>
      <c r="L1191" s="11" t="inlineStr">
        <is>
          <t>Digital advice providers must actively filter clients to ensure advice remains within scope and in client's best interests, critical for data transfer compliance.</t>
        </is>
      </c>
      <c r="M1191" s="11" t="inlineStr">
        <is>
          <t>• [Must] Ensure robust triage or filtering process to identify inappropriate clients
• [Must] Test at key points whether advice is appropriate and in client's best interests</t>
        </is>
      </c>
      <c r="N1191" s="11" t="inlineStr">
        <is>
          <t>• [Must] Filter clients seeking advice outside scope of digital advice
• [Must] Identify inconsistencies in client responses and provide clarification or exclusion</t>
        </is>
      </c>
      <c r="O1191" s="11" t="inlineStr">
        <is>
          <t>RG 255.102: If a client seeks advice on an area outside the scope of the advice being offered, the client should be filtered out of the digital advice model.</t>
        </is>
      </c>
      <c r="P1191" s="12" t="n">
        <v>24</v>
      </c>
    </row>
    <row r="1192">
      <c r="A1192" t="inlineStr">
        <is>
          <t>Australia</t>
        </is>
      </c>
      <c r="B1192" t="inlineStr">
        <is>
          <t>rg255-published-30-august-2016-20220328 (Australia - Row 9)</t>
        </is>
      </c>
      <c r="C1192" t="inlineStr">
        <is>
          <t>p29</t>
        </is>
      </c>
      <c r="D1192" s="11" t="inlineStr">
        <is>
          <t>Combined financial advice model example</t>
        </is>
      </c>
      <c r="E1192" t="inlineStr">
        <is>
          <t>29–30</t>
        </is>
      </c>
      <c r="F1192" t="inlineStr">
        <is>
          <t>High</t>
        </is>
      </c>
      <c r="G1192" t="inlineStr">
        <is>
          <t>High (explicit)</t>
        </is>
      </c>
      <c r="H1192" s="11" t="inlineStr">
        <is>
          <t>Data Sharing, Cross-border Transfer, Financial Data</t>
        </is>
      </c>
      <c r="I1192" s="11" t="inlineStr">
        <is>
          <t>Financial Data</t>
        </is>
      </c>
      <c r="J1192" t="inlineStr">
        <is>
          <t>ASIC</t>
        </is>
      </c>
      <c r="K1192" s="11" t="inlineStr">
        <is>
          <t>A combined model uses digital advice tools for initial assessment and human advisers for complex cases. The digital tool filters clients based on circumstances, and human advisers verify information and provide tailored advice, ensuring compliance with best interests obligations and SOA requirements.</t>
        </is>
      </c>
      <c r="L1192" s="11" t="inlineStr">
        <is>
          <t>Digital advice models must include mechanisms to identify and handle complex client cases to maintain data transfer compliance and client protection.</t>
        </is>
      </c>
      <c r="M1192" s="11" t="inlineStr">
        <is>
          <t>• [Must] Use digital advice tool for initial assessment and human adviser for complex cases
• [Must] Verify client information with client</t>
        </is>
      </c>
      <c r="N1192" s="11" t="inlineStr">
        <is>
          <t>• [Must] Identify information gaps or inconsistencies
• [Must] Provide advice considering all client circumstances</t>
        </is>
      </c>
      <c r="O1192" s="11" t="inlineStr">
        <is>
          <t>RG 255.106: In Example 6, a digital advice licensee provides a combined (or hybrid) financial product advice model. The licensee correctly filters the client out of the digital advice tool because the advice would not be appropriate for the client's more complex personal circumstances.</t>
        </is>
      </c>
      <c r="P1192" s="12" t="n">
        <v>24</v>
      </c>
    </row>
    <row r="1193">
      <c r="A1193" t="inlineStr">
        <is>
          <t>Australia</t>
        </is>
      </c>
      <c r="B1193" t="inlineStr">
        <is>
          <t>rg255-published-30-august-2016-20220328 (Australia - Row 9)</t>
        </is>
      </c>
      <c r="C1193" t="inlineStr">
        <is>
          <t>p30</t>
        </is>
      </c>
      <c r="D1193" s="11" t="inlineStr">
        <is>
          <t>Digital strategic advice without product recommendations</t>
        </is>
      </c>
      <c r="E1193" t="inlineStr">
        <is>
          <t>30–31</t>
        </is>
      </c>
      <c r="F1193" t="inlineStr">
        <is>
          <t>High</t>
        </is>
      </c>
      <c r="G1193" t="inlineStr">
        <is>
          <t>High (explicit)</t>
        </is>
      </c>
      <c r="H1193" s="11" t="inlineStr">
        <is>
          <t>Data Sharing, Cross-border Transfer, Financial Data</t>
        </is>
      </c>
      <c r="I1193" s="11" t="inlineStr">
        <is>
          <t>Financial Data</t>
        </is>
      </c>
      <c r="J1193" t="inlineStr">
        <is>
          <t>ASIC</t>
        </is>
      </c>
      <c r="K1193" s="11" t="inlineStr">
        <is>
          <t>Digital advice providers must ensure clients understand advice scope, obtain consent, and confirm data completeness before generating SOAs. This includes verifying client circumstances and readiness to proceed with advice, critical for maintaining compliance in digital contexts.</t>
        </is>
      </c>
      <c r="L1193" s="11" t="inlineStr">
        <is>
          <t>Digital advice providers must confirm client data completeness and readiness before finalizing advice to ensure data transfer compliance.</t>
        </is>
      </c>
      <c r="M1193" s="11" t="inlineStr">
        <is>
          <t>• [Must] Confirm client has finished inputting data and is ready to proceed</t>
        </is>
      </c>
      <c r="N1193" s="11" t="inlineStr">
        <is>
          <t>• [Must] Provide SOA after confirming client circumstances are up to date and accurate</t>
        </is>
      </c>
      <c r="O1193" s="11" t="inlineStr">
        <is>
          <t>RG 255.107: In a digital advice context, it may not always be clear when a client has finished inputting their data into the digital advice tool. This is because a client may 'play around' and change the variables of the tool.</t>
        </is>
      </c>
      <c r="P1193" s="12" t="n">
        <v>24</v>
      </c>
    </row>
    <row r="1194">
      <c r="A1194" t="inlineStr">
        <is>
          <t>Australia</t>
        </is>
      </c>
      <c r="B1194" t="inlineStr">
        <is>
          <t>rg255-published-30-august-2016-20220328 (Australia - Row 9)</t>
        </is>
      </c>
      <c r="C1194" t="inlineStr">
        <is>
          <t>p31</t>
        </is>
      </c>
      <c r="D1194" s="11" t="inlineStr">
        <is>
          <t>Digital advice algorithm monitoring and error correction</t>
        </is>
      </c>
      <c r="E1194" t="inlineStr">
        <is>
          <t>31–32</t>
        </is>
      </c>
      <c r="F1194" t="inlineStr">
        <is>
          <t>High</t>
        </is>
      </c>
      <c r="G1194" t="inlineStr">
        <is>
          <t>High (explicit)</t>
        </is>
      </c>
      <c r="H1194" s="11" t="inlineStr"/>
      <c r="I1194" s="11" t="inlineStr">
        <is>
          <t>Financial Data</t>
        </is>
      </c>
      <c r="J1194" t="inlineStr">
        <is>
          <t>ASIC</t>
        </is>
      </c>
      <c r="K1194" s="11" t="inlineStr">
        <is>
          <t>Digital advice licensees must conduct frequent reviews of algorithms initially and after any changes, including testing scenarios to ensure advice quality. They must monitor algorithms through periodic and random reviews. If errors are detected that could cause client loss or breach the Corporations Act, licensees must immediately rectify the issues and stop providing advice until fixed. They must also have procedures to identify and contact clients affected by inappropriate advice.</t>
        </is>
      </c>
      <c r="L1194" s="11" t="inlineStr">
        <is>
          <t>Requires robust algorithm testing and error correction protocols for digital advice, critical for ensuring data transfers via algorithms comply with regulatory safeguards and client protection standards.</t>
        </is>
      </c>
      <c r="M1194" s="11" t="inlineStr">
        <is>
          <t>• [Must] Conduct frequent reviews of digital advice algorithms initially and after any changes
• [Must] Test scenarios to ensure quality of advice after algorithm changes
• [Must] Monitor algorithms through periodic and random advice reviews</t>
        </is>
      </c>
      <c r="N1194" s="11" t="inlineStr">
        <is>
          <t>• [Must] Immediately rectify algorithm errors that could cause client loss or breach the Corporations Act
• [Must] Stop providing advice until algorithm defects are rectified
• [Must] Have procedures to identify and contact clients affected by inappropriate advice</t>
        </is>
      </c>
      <c r="O1194" s="11" t="inlineStr">
        <is>
          <t>Frequent reviews of digital advice should be conducted initially, and with heightened scrutiny when any change to an algorithm is made. When changes are made, it would be prudent to run a number of test scenarios to test the quality of advice provided. Algorithms should be regularly monitored and tested through periodic and random advice reviews.</t>
        </is>
      </c>
      <c r="P1194" s="12" t="n">
        <v>24</v>
      </c>
    </row>
    <row r="1195">
      <c r="A1195" t="inlineStr">
        <is>
          <t>Australia</t>
        </is>
      </c>
      <c r="B1195" t="inlineStr">
        <is>
          <t>rg255-published-30-august-2016-20220328 (Australia - Row 9)</t>
        </is>
      </c>
      <c r="C1195" t="inlineStr">
        <is>
          <t>p32</t>
        </is>
      </c>
      <c r="D1195" s="11" t="inlineStr">
        <is>
          <t>Relevant ASIC regulatory guides for digital advice</t>
        </is>
      </c>
      <c r="E1195" t="inlineStr">
        <is>
          <t>32–33</t>
        </is>
      </c>
      <c r="F1195" t="inlineStr">
        <is>
          <t>Medium</t>
        </is>
      </c>
      <c r="G1195" t="inlineStr">
        <is>
          <t>Medium (minor interpretation)</t>
        </is>
      </c>
      <c r="H1195" s="11" t="inlineStr"/>
      <c r="I1195" s="11" t="inlineStr"/>
      <c r="J1195" t="inlineStr"/>
      <c r="K1195" s="11" t="inlineStr">
        <is>
          <t>This section lists regulatory guides that may be relevant to digital advice, including AFS licensing, product disclosure, training, and conflict of interest guidance. It emphasizes reading other ASIC guides for comprehensive compliance with financial services regulations.</t>
        </is>
      </c>
      <c r="L1195" s="11" t="inlineStr"/>
      <c r="M1195" s="11" t="inlineStr">
        <is>
          <t>• [Should] Read other relevant ASIC regulatory guides for comprehensive compliance</t>
        </is>
      </c>
      <c r="N1195" s="11" t="inlineStr"/>
      <c r="O1195" s="11" t="inlineStr">
        <is>
          <t>This regulatory guide should be read in conjunction with other relevant regulatory guides issued by ASIC.</t>
        </is>
      </c>
      <c r="P1195" s="12" t="n">
        <v>24</v>
      </c>
    </row>
    <row r="1196">
      <c r="A1196" t="inlineStr">
        <is>
          <t>Australia</t>
        </is>
      </c>
      <c r="B1196" t="inlineStr">
        <is>
          <t>rg255-published-30-august-2016-20220328 (Australia - Row 9)</t>
        </is>
      </c>
      <c r="C1196" t="inlineStr">
        <is>
          <t>p33</t>
        </is>
      </c>
      <c r="D1196" s="11" t="inlineStr">
        <is>
          <t>Additional ASIC guidance on digital advice compliance</t>
        </is>
      </c>
      <c r="E1196" t="inlineStr">
        <is>
          <t>33–34</t>
        </is>
      </c>
      <c r="F1196" t="inlineStr">
        <is>
          <t>High</t>
        </is>
      </c>
      <c r="G1196" t="inlineStr">
        <is>
          <t>High (explicit)</t>
        </is>
      </c>
      <c r="H1196" s="11" t="inlineStr"/>
      <c r="I1196" s="11" t="inlineStr">
        <is>
          <t>Financial Data</t>
        </is>
      </c>
      <c r="J1196" t="inlineStr">
        <is>
          <t>ASIC</t>
        </is>
      </c>
      <c r="K1196" s="11" t="inlineStr">
        <is>
          <t>This section details specific ASIC guidance on discretionary powers, product disclosure, financial product advisers, managed discretionary accounts, and conflicts of interest relevant to digital advice. It outlines obligations for managing conflicts and ensuring proper disclosure practices.</t>
        </is>
      </c>
      <c r="L1196" s="11" t="inlineStr"/>
      <c r="M1196" s="11" t="inlineStr">
        <is>
          <t>• [Should] Follow guidance on discretionary powers for compliance with Corporations Act
• [Must] Comply with product disclosure obligations for digital advice
• [Must] Adhere to conduct and disclosure obligations for financial product advisers</t>
        </is>
      </c>
      <c r="N1196" s="11" t="inlineStr">
        <is>
          <t>• [Must] Regulate managed discretionary account services for retail clients
• [Must] Manage conflicts of interest as required by s912A(1)(aa) of the Corporations Act</t>
        </is>
      </c>
      <c r="O1196" s="11" t="inlineStr">
        <is>
          <t>RG 175 Licensing: Financial product advisers—Conduct and disclosure: This is a guide for persons who provide financial product advice to retail clients, and their professional advisers (e.g. lawyers).</t>
        </is>
      </c>
      <c r="P1196" s="12" t="n">
        <v>24</v>
      </c>
    </row>
    <row r="1197">
      <c r="A1197" t="inlineStr">
        <is>
          <t>Australia</t>
        </is>
      </c>
      <c r="B1197" t="inlineStr">
        <is>
          <t>rg255-published-30-august-2016-20220328 (Australia - Row 9)</t>
        </is>
      </c>
      <c r="C1197" t="inlineStr">
        <is>
          <t>p34</t>
        </is>
      </c>
      <c r="D1197" s="11" t="inlineStr">
        <is>
          <t>Digital advice fee and remuneration compliance</t>
        </is>
      </c>
      <c r="E1197" t="inlineStr">
        <is>
          <t>34–35</t>
        </is>
      </c>
      <c r="F1197" t="inlineStr">
        <is>
          <t>High</t>
        </is>
      </c>
      <c r="G1197" t="inlineStr">
        <is>
          <t>High (explicit)</t>
        </is>
      </c>
      <c r="H1197" s="11" t="inlineStr"/>
      <c r="I1197" s="11" t="inlineStr">
        <is>
          <t>Financial Data</t>
        </is>
      </c>
      <c r="J1197" t="inlineStr">
        <is>
          <t>ASIC</t>
        </is>
      </c>
      <c r="K1197" s="11" t="inlineStr">
        <is>
          <t>This section covers guidance on scaled advice, conflicted remuneration, and ongoing fee arrangements for digital advice. It specifies obligations for fee disclosures, annual renewals, and written consent for fee deductions.</t>
        </is>
      </c>
      <c r="L1197" s="11" t="inlineStr"/>
      <c r="M1197" s="11" t="inlineStr">
        <is>
          <t>• [Must] Provide annual fee disclosure statements to clients
• [Must] Seek annual renewal of ongoing fee arrangements</t>
        </is>
      </c>
      <c r="N1197" s="11" t="inlineStr">
        <is>
          <t>• [Must] Obtain client written consent to deduct ongoing fees</t>
        </is>
      </c>
      <c r="O1197" s="11" t="inlineStr">
        <is>
          <t>INFO 256 FAQs: Ongoing fee arrangements: This information sheet contains frequently asked questions (FAQs) that explain the obligations in Div 3 of Pt 7.7A and Pt 10.46 of the Corporations Act which apply to persons who provide personal advice to retail clients under an ongoing fee arrangement.</t>
        </is>
      </c>
      <c r="P1197" s="12" t="n">
        <v>24</v>
      </c>
    </row>
    <row r="1198">
      <c r="A1198" t="inlineStr">
        <is>
          <t>Australia</t>
        </is>
      </c>
      <c r="B1198" t="inlineStr">
        <is>
          <t>rg255-published-30-august-2016-20220328 (Australia - Row 9)</t>
        </is>
      </c>
      <c r="C1198" t="inlineStr">
        <is>
          <t>p35</t>
        </is>
      </c>
      <c r="D1198" s="11" t="inlineStr">
        <is>
          <t>Key terms for digital advice compliance</t>
        </is>
      </c>
      <c r="E1198" t="inlineStr">
        <is>
          <t>35–36</t>
        </is>
      </c>
      <c r="F1198" t="inlineStr">
        <is>
          <t>Low</t>
        </is>
      </c>
      <c r="G1198" t="inlineStr">
        <is>
          <t>High (explicit)</t>
        </is>
      </c>
      <c r="H1198" s="11" t="inlineStr"/>
      <c r="I1198" s="11" t="inlineStr"/>
      <c r="J1198" t="inlineStr"/>
      <c r="K1198" s="11" t="inlineStr">
        <is>
          <t>This section defines critical terms such as digital advice, digital advice licensee, and financial product advice, clarifying their meanings within the context of the Corporations Act and regulatory obligations. These definitions are essential for understanding compliance requirements.</t>
        </is>
      </c>
      <c r="L1198" s="11" t="inlineStr"/>
      <c r="M1198" s="11" t="inlineStr">
        <is>
          <t>• [Definition] Digital advice is defined as automated financial product advice using algorithms without direct human involvement
• [Definition] Digital advice licensee is an AFS licensee offering digital advice to retail clients</t>
        </is>
      </c>
      <c r="N1198" s="11" t="inlineStr">
        <is>
          <t>• [Definition] Financial product advice is a recommendation or statement of opinion intended to influence financial product decisions</t>
        </is>
      </c>
      <c r="O1198" s="11" t="inlineStr">
        <is>
          <t>digital advice: Also known as 'robo-advice' or 'automated advice'—the provision of automated financial product advice using algorithms and technology and without the direct involvement of a human adviser</t>
        </is>
      </c>
      <c r="P1198" s="12" t="n">
        <v>24</v>
      </c>
    </row>
    <row r="1199">
      <c r="A1199" t="inlineStr">
        <is>
          <t>Australia</t>
        </is>
      </c>
      <c r="B1199" t="inlineStr">
        <is>
          <t>rg255-published-30-august-2016-20220328 (Australia - Row 9)</t>
        </is>
      </c>
      <c r="C1199" t="inlineStr">
        <is>
          <t>p36</t>
        </is>
      </c>
      <c r="D1199" s="11" t="inlineStr">
        <is>
          <t>Additional key terms for digital advice</t>
        </is>
      </c>
      <c r="E1199" t="inlineStr">
        <is>
          <t>36–37</t>
        </is>
      </c>
      <c r="F1199" t="inlineStr">
        <is>
          <t>Low</t>
        </is>
      </c>
      <c r="G1199" t="inlineStr">
        <is>
          <t>High (explicit)</t>
        </is>
      </c>
      <c r="H1199" s="11" t="inlineStr"/>
      <c r="I1199" s="11" t="inlineStr"/>
      <c r="J1199" t="inlineStr"/>
      <c r="K1199" s="11" t="inlineStr">
        <is>
          <t>This section provides further definitions of terms like client's relevant circumstances, Corporations Act, and financial product advice, which are crucial for understanding the scope and application of digital advice regulations.</t>
        </is>
      </c>
      <c r="L1199" s="11" t="inlineStr"/>
      <c r="M1199" s="11" t="inlineStr">
        <is>
          <t>• [Definition] Client's relevant circumstances include objectives, financial situation, and needs
• [Definition] Corporations Act refers to the Corporations Act 2001 and related regulations</t>
        </is>
      </c>
      <c r="N1199" s="11" t="inlineStr">
        <is>
          <t>• [Definition] Financial product advice is a recommendation or statement of opinion intended to influence financial product decisions</t>
        </is>
      </c>
      <c r="O1199" s="11" t="inlineStr">
        <is>
          <t>client's relevant circumstances: The objectives, financial situation and needs of a client that would reasonably be considered relevant to the subject matter of advice sought by the client</t>
        </is>
      </c>
      <c r="P1199" s="12" t="n">
        <v>24</v>
      </c>
    </row>
    <row r="1200">
      <c r="A1200" t="inlineStr">
        <is>
          <t>Australia</t>
        </is>
      </c>
      <c r="B1200" t="inlineStr">
        <is>
          <t>rg255-published-30-august-2016-20220328 (Australia - Row 9)</t>
        </is>
      </c>
      <c r="C1200" t="inlineStr">
        <is>
          <t>p37</t>
        </is>
      </c>
      <c r="D1200" s="11" t="inlineStr">
        <is>
          <t>Definitions for digital financial advice and AFS licensees</t>
        </is>
      </c>
      <c r="E1200" t="inlineStr">
        <is>
          <t>37–38</t>
        </is>
      </c>
      <c r="F1200" t="inlineStr">
        <is>
          <t>High</t>
        </is>
      </c>
      <c r="G1200" t="inlineStr">
        <is>
          <t>High (explicit)</t>
        </is>
      </c>
      <c r="H1200" s="11" t="inlineStr"/>
      <c r="I1200" s="11" t="inlineStr">
        <is>
          <t>Personal Information, Financial Data</t>
        </is>
      </c>
      <c r="J1200" t="inlineStr">
        <is>
          <t>ASIC</t>
        </is>
      </c>
      <c r="K1200" s="11" t="inlineStr">
        <is>
          <t>This section defines key terms used in providing digital financial product advice to retail clients. It specifies that general advice is non-personal advice, personal advice requires consideration of client objectives and financial situation, and outlines the roles of responsible managers, AFS licensees, and other critical entities. These definitions support compliance with the Corporations Act and ASIC regulatory requirements.</t>
        </is>
      </c>
      <c r="L1200" s="11" t="inlineStr"/>
      <c r="M1200" s="11" t="inlineStr">
        <is>
          <t>• [Definition] General advice is financial product advice that is not personal advice
• [Definition] Personal advice is financial product advice given or directed to a person in circumstances where the provider has considered one or more of the client's objectives, financial situation and needs</t>
        </is>
      </c>
      <c r="N1200" s="11" t="inlineStr">
        <is>
          <t>• [Definition] Responsible managers are persons nominated by an AFS licensee who are directly responsible for significant day-to-day decisions about the ongoing provision of financial services
• [Definition] Responsible managers must have appropriate knowledge and skills to ensure the licensee can provide financial services for which it has been authorised</t>
        </is>
      </c>
      <c r="O1200" s="11" t="inlineStr">
        <is>
          <t>Term: general advice - Financial product advice that is not personal advice. Term: personal advice - Financial product advice given or directed to a person (including by electronic means) in circumstances where: the provider of the advice has considered one or more of the client's objectives, financial situation and needs; or a reasonable person might expect the provider to have considered one or more of these matters</t>
        </is>
      </c>
      <c r="P1200" s="12" t="n">
        <v>24</v>
      </c>
    </row>
    <row r="1201">
      <c r="A1201" t="inlineStr">
        <is>
          <t>Australia</t>
        </is>
      </c>
      <c r="B1201" t="inlineStr">
        <is>
          <t>rg255-published-30-august-2016-20220328 (Australia - Row 9)</t>
        </is>
      </c>
      <c r="C1201" t="inlineStr">
        <is>
          <t>p38</t>
        </is>
      </c>
      <c r="D1201" s="11" t="inlineStr">
        <is>
          <t>Digital advice documentation and best interests standards</t>
        </is>
      </c>
      <c r="E1201" t="inlineStr">
        <is>
          <t>38–39</t>
        </is>
      </c>
      <c r="F1201" t="inlineStr">
        <is>
          <t>High</t>
        </is>
      </c>
      <c r="G1201" t="inlineStr">
        <is>
          <t>High (explicit)</t>
        </is>
      </c>
      <c r="H1201" s="11" t="inlineStr"/>
      <c r="I1201" s="11" t="inlineStr">
        <is>
          <t>Financial Data</t>
        </is>
      </c>
      <c r="J1201" t="inlineStr">
        <is>
          <t>ASIC</t>
        </is>
      </c>
      <c r="K1201" s="11" t="inlineStr">
        <is>
          <t>This section defines terms related to digital financial advice, including scaled advice as personal advice limited in scope, and the safe harbour for the best interests duty which refers to specific steps under the Corporations Act. It also specifies that a Statement of Advice (SOA) must be provided to clients for personal advice under certain conditions.</t>
        </is>
      </c>
      <c r="L1201" s="11" t="inlineStr"/>
      <c r="M1201" s="11" t="inlineStr">
        <is>
          <t>• [Definition] Scaled advice is personal advice that is limited in scope
• [Definition] Safe harbour for the best interests duty refers to the steps set out in s961B(2) of the Corporations Act</t>
        </is>
      </c>
      <c r="N1201" s="11" t="inlineStr">
        <is>
          <t>• [Definition] A Statement of Advice (SOA) must be given to a client for the provision of personal advice under Subdivs C and D of Div 3 of Pt 7.7 of the Corporations Act</t>
        </is>
      </c>
      <c r="O1201" s="11" t="inlineStr">
        <is>
          <t>Term: scaled advice - Personal advice that is limited in scope. Term: safe harbour for the best interests duty - The steps set out in s961B(2) of the Corporations Act. Term: SOA (Statement of Advice) - A document that must be given to a client for the provision of personal advice under Subdivs C and D of Div 3 of Pt 7.7 of the Corporations Act</t>
        </is>
      </c>
      <c r="P1201" s="12" t="n">
        <v>24</v>
      </c>
    </row>
    <row r="1202">
      <c r="A1202" t="inlineStr">
        <is>
          <t>Australia</t>
        </is>
      </c>
      <c r="B1202" t="inlineStr">
        <is>
          <t>rg255-published-30-august-2016-20220328 (Australia - Row 9)</t>
        </is>
      </c>
      <c r="C1202" t="inlineStr">
        <is>
          <t>p39</t>
        </is>
      </c>
      <c r="D1202" s="11" t="inlineStr">
        <is>
          <t>Related information and legislative references for digital advice</t>
        </is>
      </c>
      <c r="E1202" t="inlineStr">
        <is>
          <t>39–40</t>
        </is>
      </c>
      <c r="F1202" t="inlineStr">
        <is>
          <t>High</t>
        </is>
      </c>
      <c r="G1202" t="inlineStr">
        <is>
          <t>Medium (minor interpretation)</t>
        </is>
      </c>
      <c r="H1202" s="11" t="inlineStr"/>
      <c r="I1202" s="11" t="inlineStr">
        <is>
          <t>Financial Data</t>
        </is>
      </c>
      <c r="J1202" t="inlineStr">
        <is>
          <t>ASIC</t>
        </is>
      </c>
      <c r="K1202" s="11" t="inlineStr">
        <is>
          <t>This section lists related information and legislative references for digital financial advice, including headnotes on key terms, relevant legislation such as the Corporations Act, and regulatory instruments like ASIC's Corporations (Generic Calculators) Instrument and Product Disclosure Statements. It identifies specific regulations and guidance documents that support compliance with digital advice requirements.</t>
        </is>
      </c>
      <c r="L1202" s="11" t="inlineStr"/>
      <c r="M1202" s="11" t="inlineStr">
        <is>
          <t>• [Definition] Headnotes include advisers, AFS licensees, algorithms, automated advice, best interests duty, and other relevant terms
• [Definition] Legislation includes the Corporations Act, Ch 7, Pt 7.7, and specific sections such as 761G, 766B, 912A(1), and others</t>
        </is>
      </c>
      <c r="N1202" s="11" t="inlineStr">
        <is>
          <t>• [Definition] ASIC publications include the Corporations (Generic Calculators) Instrument 2016/207 and Corporations (Facilitating Electronic Delivery of Financial Services Disclosure) Instrument 2015/647</t>
        </is>
      </c>
      <c r="O1202" s="11" t="inlineStr">
        <is>
          <t>Headnotes and legislation: advisers, AFS licensees, algorithms, authorised representatives, automated advice, best interests duty, compensation arrangements, compliance, cyber security, digital advice, exchange-traded funds, factual information, financial product advice, fintech, general advice, licensing, managed discretionary account, monitoring and testing, organisational competence, outsourcing, personal advice, record-keeping obligations, responsible manager, retail client, robo-advice, scaled advice, start-up business, technology, training and competence standards, triage or filtering process</t>
        </is>
      </c>
      <c r="P1202" s="12" t="n">
        <v>24</v>
      </c>
    </row>
    <row r="1203">
      <c r="A1203" t="inlineStr">
        <is>
          <t>Australia</t>
        </is>
      </c>
      <c r="B1203" t="inlineStr">
        <is>
          <t>rg255-published-30-august-2016-20220328 (Australia - Row 9)</t>
        </is>
      </c>
      <c r="C1203" t="inlineStr">
        <is>
          <t>p40</t>
        </is>
      </c>
      <c r="D1203" s="11" t="inlineStr">
        <is>
          <t>Regulatory guides and reports for digital advice compliance</t>
        </is>
      </c>
      <c r="E1203" t="inlineStr">
        <is>
          <t>40</t>
        </is>
      </c>
      <c r="F1203" t="inlineStr">
        <is>
          <t>High</t>
        </is>
      </c>
      <c r="G1203" t="inlineStr">
        <is>
          <t>High (explicit)</t>
        </is>
      </c>
      <c r="H1203" s="11" t="inlineStr"/>
      <c r="I1203" s="11" t="inlineStr">
        <is>
          <t>Financial Data</t>
        </is>
      </c>
      <c r="J1203" t="inlineStr">
        <is>
          <t>ASIC</t>
        </is>
      </c>
      <c r="K1203" s="11" t="inlineStr">
        <is>
          <t>This section lists regulatory guides and reports relevant to digital financial advice, including ASIC's Regulatory Guide 3, RG 36, RG 78, RG 104, RG 105, RG 126, RG 146, RG 167, RG 168, RG 175, RG 179, RG 221, RG 244, and specific reports on cyber resilience. These resources provide detailed guidance on compliance with digital advice requirements and cybersecurity standards.</t>
        </is>
      </c>
      <c r="L1203" s="11" t="inlineStr"/>
      <c r="M1203" s="11" t="inlineStr">
        <is>
          <t>• [Definition] Regulatory guides include RG 3, RG 36, RG 78, RG 104, RG 105, RG 126, RG 146, RG 167, RG 168, RG 175, RG 179, RG 221, RG 244</t>
        </is>
      </c>
      <c r="N1203" s="11" t="inlineStr">
        <is>
          <t>• [Definition] Reports include REP 429 Cyber resilience: Health check and REP 468 Cyber resilience assessment report: ASX Group and Chi-X Australia Pty Ltd</t>
        </is>
      </c>
      <c r="O1203" s="11" t="inlineStr">
        <is>
          <t>Regulatory guides: RG 3 AFS Licensing Kit: Part 3—Preparing your additional proofs, RG 36 Licensing: Financial product advice and dealing, RG 78 Breach reporting by AFS licensees and credit licensees, RG 104 AFS licensing: Meeting the general obligations, RG 105 AFS licensing: Organisational competence, RG 126 Compensation and insurance arrangements for AFS licensees, RG 146 Licensing: Training of financial product advisers, RG 167 Licensing: Discretionary powers, RG 168 Disclosure: Product Disclosure Statements (and other disclosure obligations), RG 175 Licensing: Financial product advisers—Conduct and disclosure, RG 179 Managed discretionary account services, RG 221 Facilitating digital financial services disclosures, RG 244 Giving information, general advice and scaled advice</t>
        </is>
      </c>
      <c r="P1203" s="12" t="n">
        <v>24</v>
      </c>
    </row>
    <row r="1204">
      <c r="A1204" t="inlineStr">
        <is>
          <t>GDPR</t>
        </is>
      </c>
      <c r="B1204" t="inlineStr">
        <is>
          <t>CELEX_32002L0058_EN_TXT (GDPR Row 7)</t>
        </is>
      </c>
      <c r="C1204" t="inlineStr">
        <is>
          <t>1</t>
        </is>
      </c>
      <c r="D1204" s="11" t="inlineStr">
        <is>
          <t>Subscriber directory information disclosure</t>
        </is>
      </c>
      <c r="E1204" t="inlineStr">
        <is>
          <t>6–7</t>
        </is>
      </c>
      <c r="F1204" t="inlineStr">
        <is>
          <t>Low</t>
        </is>
      </c>
      <c r="G1204" t="inlineStr">
        <is>
          <t>High (explicit)</t>
        </is>
      </c>
      <c r="H1204" s="11" t="inlineStr">
        <is>
          <t>Data Sharing, Data Storage</t>
        </is>
      </c>
      <c r="I1204" s="11" t="inlineStr">
        <is>
          <t>Customer Data</t>
        </is>
      </c>
      <c r="J1204" t="inlineStr"/>
      <c r="K1204" s="11" t="inlineStr">
        <is>
          <t>Member States must ensure subscribers are informed free of charge before inclusion in public directories about directory purposes, data usage, and search functions. This applies to printed or electronic directories available to the public or through directory enquiry services.</t>
        </is>
      </c>
      <c r="L1204" s="11" t="inlineStr">
        <is>
          <t>Requires transparency in directory data usage, impacting how financial institutions share customer data across borders through public directories.</t>
        </is>
      </c>
      <c r="M1204" s="11" t="inlineStr">
        <is>
          <t>• [Must] Member States shall ensure subscribers are informed, free of charge and before they are included in the directory, about the purpose(s) of a printed or electronic directory of subscribers available to the public or obtainable through directory enquiry services</t>
        </is>
      </c>
      <c r="N1204" s="11" t="inlineStr">
        <is>
          <t>• [Must] Member States shall ensure subscribers are informed, free of charge and before they are included in the directory, about any further usage possibilities based on search functions embedded in electronic versions of the directory</t>
        </is>
      </c>
      <c r="O1204" s="11" t="inlineStr">
        <is>
          <t>Member States shall ensure that subscribers are informed, free of charge and before they are included in the directory, about the purpose(s) of a printed or electronic directory of subscribers available to the public or obtainable through directory enquiry services, in which their personal data can be included and of any further usage possibilities based on search functions embedded in electronic versions of the directory.</t>
        </is>
      </c>
      <c r="P1204" s="12" t="n">
        <v>26</v>
      </c>
    </row>
    <row r="1205">
      <c r="A1205" t="inlineStr">
        <is>
          <t>GDPR</t>
        </is>
      </c>
      <c r="B1205" t="inlineStr">
        <is>
          <t>CELEX_32002L0058_EN_TXT (GDPR Row 7)</t>
        </is>
      </c>
      <c r="C1205" t="inlineStr">
        <is>
          <t>2</t>
        </is>
      </c>
      <c r="D1205" s="11" t="inlineStr">
        <is>
          <t>Member States' obligation to report national law to Commission</t>
        </is>
      </c>
      <c r="E1205" t="inlineStr">
        <is>
          <t>7</t>
        </is>
      </c>
      <c r="F1205" t="inlineStr">
        <is>
          <t>Low</t>
        </is>
      </c>
      <c r="G1205" t="inlineStr">
        <is>
          <t>High (explicit)</t>
        </is>
      </c>
      <c r="H1205" s="11" t="inlineStr">
        <is>
          <t>Governance, Record Keeping</t>
        </is>
      </c>
      <c r="I1205" s="11" t="inlineStr"/>
      <c r="J1205" t="inlineStr">
        <is>
          <t>European Commission</t>
        </is>
      </c>
      <c r="K1205" s="11" t="inlineStr">
        <is>
          <t>Member States must report to the European Commission the text of national laws they adopt implementing this Directive and any subsequent amendments. The Commission is required to submit a report to the European Parliament and Council within three years of the Directive's entry into force, assessing its application and economic impact, particularly regarding unsolicited communications. The Commission may request information from Member States without undue delay to inform this report.</t>
        </is>
      </c>
      <c r="L1205" s="11" t="inlineStr">
        <is>
          <t>Requires Member States to report national laws affecting data transfers, relevant for understanding jurisdictional boundaries in cross-border data flows.</t>
        </is>
      </c>
      <c r="M1205" s="11" t="inlineStr">
        <is>
          <t>• [Must] Member States shall communicate to the Commission the text of national law provisions adopted in the field governed by this Directive
• [Must] Member States shall communicate any subsequent amendments to national law provisions</t>
        </is>
      </c>
      <c r="N1205" s="11" t="inlineStr">
        <is>
          <t>• [Must] Commission shall submit report to European Parliament and Council within three years of Directive entry into force
• [May] Commission may request information from Member States without undue delay</t>
        </is>
      </c>
      <c r="O1205" s="11" t="inlineStr">
        <is>
          <t>Member States shall communicate to the Commission the text of the provisions of national law which they adopt in the field governed by this Directive and of any subsequent amendments to those provisions.</t>
        </is>
      </c>
      <c r="P1205" s="12" t="n">
        <v>26</v>
      </c>
    </row>
    <row r="1206">
      <c r="A1206" t="inlineStr">
        <is>
          <t>GDPR</t>
        </is>
      </c>
      <c r="B1206" t="inlineStr">
        <is>
          <t>CELEX_32002L0058_EN_TXT (GDPR Row 7)</t>
        </is>
      </c>
      <c r="C1206" t="inlineStr">
        <is>
          <t>3</t>
        </is>
      </c>
      <c r="D1206" s="11" t="inlineStr">
        <is>
          <t>Working Party on individual data protection tasks</t>
        </is>
      </c>
      <c r="E1206" t="inlineStr">
        <is>
          <t>7</t>
        </is>
      </c>
      <c r="F1206" t="inlineStr">
        <is>
          <t>None</t>
        </is>
      </c>
      <c r="G1206" t="inlineStr">
        <is>
          <t>High (explicit)</t>
        </is>
      </c>
      <c r="H1206" s="11" t="inlineStr"/>
      <c r="I1206" s="11" t="inlineStr"/>
      <c r="J1206" t="inlineStr"/>
      <c r="K1206" s="11" t="inlineStr">
        <is>
          <t>The Working Party on the Protection of Individuals with regard to the Processing of Personal Data (established under Article 29 of Directive 95/46/EC) must carry out tasks related to protecting fundamental rights and freedoms and legitimate interests in the electronic communications sector.</t>
        </is>
      </c>
      <c r="L1206" s="11" t="inlineStr">
        <is>
          <t>Does not directly impact data transfer impact assessments as it is a procedural task for a specific working group, not a data transfer requirement.</t>
        </is>
      </c>
      <c r="M1206" s="11" t="inlineStr"/>
      <c r="N1206" s="11" t="inlineStr"/>
      <c r="O1206" s="11" t="inlineStr">
        <is>
          <t>The Working Party on the Protection of Individuals with regard to the Processing of Personal Data instituted by Article 29 of Directive 95/46/EC shall also carry out the tasks laid down in Article 30 of that Directive with regard to matters covered by this Directive, namely the protection of fundamental rights and freedoms and of legitimate interests in the electronic communications sector.</t>
        </is>
      </c>
      <c r="P1206" s="12" t="n">
        <v>26</v>
      </c>
    </row>
    <row r="1207">
      <c r="A1207" t="inlineStr">
        <is>
          <t>GDPR</t>
        </is>
      </c>
      <c r="B1207" t="inlineStr">
        <is>
          <t>CELEX_32002L0058_EN_TXT (GDPR Row 7)</t>
        </is>
      </c>
      <c r="C1207" t="inlineStr">
        <is>
          <t>4</t>
        </is>
      </c>
      <c r="D1207" s="11" t="inlineStr">
        <is>
          <t>Informing subscribers about traffic data processing</t>
        </is>
      </c>
      <c r="E1207" t="inlineStr">
        <is>
          <t>8</t>
        </is>
      </c>
      <c r="F1207" t="inlineStr">
        <is>
          <t>High</t>
        </is>
      </c>
      <c r="G1207" t="inlineStr">
        <is>
          <t>High (explicit)</t>
        </is>
      </c>
      <c r="H1207" s="11" t="inlineStr">
        <is>
          <t>Cross-border Transfer, Data Sharing, Consent</t>
        </is>
      </c>
      <c r="I1207" s="11" t="inlineStr"/>
      <c r="J1207" t="inlineStr"/>
      <c r="K1207" s="11" t="inlineStr">
        <is>
          <t>Service providers must inform subscribers about the types of traffic data processed and the duration of processing for billing and interconnection purposes. This disclosure must occur prior to obtaining consent for marketing activities.</t>
        </is>
      </c>
      <c r="L1207" s="11" t="inlineStr">
        <is>
          <t>Mandates transparency about traffic data processing duration and scope, critical for DTIA compliance in telecom data transfers.</t>
        </is>
      </c>
      <c r="M1207" s="11" t="inlineStr">
        <is>
          <t>• [Must] Service provider must inform subscriber of types of traffic data processed
• [Must] Service provider must inform subscriber of duration of processing for billing and interconnection purposes</t>
        </is>
      </c>
      <c r="N1207" s="11" t="inlineStr">
        <is>
          <t>• [Must] Service provider must inform subscriber of purposes before obtaining consent for marketing</t>
        </is>
      </c>
      <c r="O1207" s="11" t="inlineStr">
        <is>
          <t>4. The service provider must inform the subscriber or user of the types of traffic data which are processed and of the duration of such processing for the purposes mentioned in paragraph 2 and, prior to obtaining consent, for the purposes mentioned in paragraph 3.</t>
        </is>
      </c>
      <c r="P1207" s="12" t="n">
        <v>26</v>
      </c>
    </row>
    <row r="1208">
      <c r="A1208" t="inlineStr">
        <is>
          <t>GDPR</t>
        </is>
      </c>
      <c r="B1208" t="inlineStr">
        <is>
          <t>CELEX_32002L0058_EN_TXT (GDPR Row 7)</t>
        </is>
      </c>
      <c r="C1208" t="inlineStr">
        <is>
          <t>5</t>
        </is>
      </c>
      <c r="D1208" s="11" t="inlineStr">
        <is>
          <t>Restrictions on traffic data processing recipients</t>
        </is>
      </c>
      <c r="E1208" t="inlineStr">
        <is>
          <t>8</t>
        </is>
      </c>
      <c r="F1208" t="inlineStr">
        <is>
          <t>High</t>
        </is>
      </c>
      <c r="G1208" t="inlineStr">
        <is>
          <t>High (explicit)</t>
        </is>
      </c>
      <c r="H1208" s="11" t="inlineStr">
        <is>
          <t>Cross-border Transfer, Data Storage, Processing</t>
        </is>
      </c>
      <c r="I1208" s="11" t="inlineStr"/>
      <c r="J1208" t="inlineStr"/>
      <c r="K1208" s="11" t="inlineStr">
        <is>
          <t>Traffic data processing must be limited to persons authorized by providers of public communications networks and services handling billing, traffic management, customer enquiries, fraud detection, marketing, or value-added services. Processing must be restricted to what is necessary for these activities.</t>
        </is>
      </c>
      <c r="L1208" s="11" t="inlineStr">
        <is>
          <t>Defines permissible recipients for traffic data transfers, ensuring only authorized entities handle data for billing and service purposes across borders.</t>
        </is>
      </c>
      <c r="M1208" s="11" t="inlineStr">
        <is>
          <t>• [Must] Processing must be restricted to persons acting under authority of providers of public communications networks
• [Must] Processing must be restricted to persons handling billing or traffic management
• [Must] Processing must be restricted to persons handling customer enquiries
• [Must] Processing must be restricted to persons handling fraud detection</t>
        </is>
      </c>
      <c r="N1208" s="11" t="inlineStr">
        <is>
          <t>• [Must] Processing must be restricted to persons handling marketing electronic communications services
• [Must] Processing must be restricted to persons providing value added services
• [Must] Processing must be restricted to what is necessary for such activities</t>
        </is>
      </c>
      <c r="O1208" s="11" t="inlineStr">
        <is>
          <t>5. Processing of traffic data, in accordance with paragraphs 1, 2, 3 and 4, must be restricted to persons acting under the authority of providers of the public communications networks and publicly available electronic communications services handling billing or traffic management, customer enquiries, fraud detection, marketing electronic communications services or providing a value added service, and must be restricted to what is necessary for the purposes of such activities.</t>
        </is>
      </c>
      <c r="P1208" s="12" t="n">
        <v>26</v>
      </c>
    </row>
    <row r="1209">
      <c r="A1209" t="inlineStr">
        <is>
          <t>GDPR</t>
        </is>
      </c>
      <c r="B1209" t="inlineStr">
        <is>
          <t>CELEX_32014L0065_EN_TXT (GDPR - Row 16)</t>
        </is>
      </c>
      <c r="C1209" t="inlineStr">
        <is>
          <t>1</t>
        </is>
      </c>
      <c r="D1209" s="11" t="inlineStr">
        <is>
          <t>Definitions for investment firm and related terms in financial services</t>
        </is>
      </c>
      <c r="E1209" t="inlineStr">
        <is>
          <t>26</t>
        </is>
      </c>
      <c r="F1209" t="inlineStr">
        <is>
          <t>High</t>
        </is>
      </c>
      <c r="G1209" t="inlineStr">
        <is>
          <t>Medium (merged from chunks)</t>
        </is>
      </c>
      <c r="H1209" s="11" t="inlineStr">
        <is>
          <t>Financial Data, KYC, AML</t>
        </is>
      </c>
      <c r="I1209" s="11" t="inlineStr">
        <is>
          <t>Financial Data</t>
        </is>
      </c>
      <c r="J1209" t="inlineStr"/>
      <c r="K1209" s="11" t="inlineStr">
        <is>
          <t>This section defines key terms used throughout the Directive, including 'investment firm', 'investment services and activities', 'client', 'professional client', 'retail client', and other financial terms. It specifies that Member States may include non-legal persons as investment firms if they meet certain protection and supervision criteria. The definitions also cover specific financial instruments, trading venues, and market structures relevant to investment activities. This section lists specific financial regulations that are defined for the purpose of the GDPR. It identifies three directives related to UCITS, market transparency, and financial statements that are relevant to the context of the GDPR. These definitions are provided to clarify the scope of certain financial instruments and entities under the GDPR framework.</t>
        </is>
      </c>
      <c r="L1209" s="11" t="inlineStr"/>
      <c r="M1209" s="11" t="inlineStr">
        <is>
          <t>• [Condition] Member States may include in the definition of investment firms undertakings which are not legal persons, provided that: (a) their legal status ensures a level of protection for third parties' interests equivalent to that afforded by legal persons; and (b) they are subject to equivalent prudential supervision appropriate to their legal form.</t>
        </is>
      </c>
      <c r="N1209" s="11" t="inlineStr">
        <is>
          <t>• [Definition] Definitions of financial regulations relevant to the GDPR</t>
        </is>
      </c>
      <c r="O1209" s="11" t="inlineStr">
        <is>
          <t>For the purposes of this Directive, the following definitions apply: (1) ‘investment firm' means any legal person whose regular occupation or business is the provision of one or more investment services to third parties and/or the performance of one or more investment activities on a professional basis.</t>
        </is>
      </c>
      <c r="P1209" s="12" t="n">
        <v>27</v>
      </c>
    </row>
    <row r="1210">
      <c r="A1210" t="inlineStr">
        <is>
          <t>GDPR</t>
        </is>
      </c>
      <c r="B1210" t="inlineStr">
        <is>
          <t>CELEX_32014L0065_EN_TXT (GDPR - Row 16)</t>
        </is>
      </c>
      <c r="C1210" t="inlineStr">
        <is>
          <t>1 (part 2)</t>
        </is>
      </c>
      <c r="D1210" s="11" t="inlineStr">
        <is>
          <t>Definitions for investment services and financial entities</t>
        </is>
      </c>
      <c r="E1210" t="inlineStr">
        <is>
          <t>36–39</t>
        </is>
      </c>
      <c r="F1210" t="inlineStr">
        <is>
          <t>High</t>
        </is>
      </c>
      <c r="G1210" t="inlineStr">
        <is>
          <t>High (explicit)</t>
        </is>
      </c>
      <c r="H1210" s="11" t="inlineStr">
        <is>
          <t>Financial Data, KYC, AML, Governance, Record Keeping</t>
        </is>
      </c>
      <c r="I1210" s="11" t="inlineStr">
        <is>
          <t>Financial Data, Customer Data, Employee Data</t>
        </is>
      </c>
      <c r="J1210" t="inlineStr"/>
      <c r="K1210" s="11" t="inlineStr">
        <is>
          <t>This section defines key terms used throughout the GDPR, including subsidiaries, groups, close links, management bodies, senior management, and specific financial terms like matched principal trading and algorithmic trading. These definitions establish the scope and meaning of critical concepts for investment firms and regulated markets operating within the EU.</t>
        </is>
      </c>
      <c r="L1210" s="11" t="inlineStr">
        <is>
          <t>These definitions clarify the scope of entities and activities subject to the directive, which is crucial for determining which data transfers and processing activities fall under the scope of the GDPR.</t>
        </is>
      </c>
      <c r="M1210" s="11" t="inlineStr">
        <is>
          <t>• [Definition] ‘subsidiary' means a subsidiary undertaking within the meaning of Articles 2(10) and 22 of Directive 2013/34/EU, including any subsidiary of a subsidiary undertaking of an ultimate parent undertaking
• [Definition] ‘group' means a group as defined in Article 2(11) of Directive 2013/34/EU
• [Definition] ‘close links' means a situation in which two or more natural or legal persons are linked by participation in the form of ownership, direct or by way of control, of 20 % or more of the voting rights or capital of an undertaking
• [Definition] ‘control' means the relationship between a parent undertaking and a subsidiary, in all the cases referred to in Article 22(1) and (2) of Directive 2013/34/EU, or a similar relationship between any natural or legal person and an undertaking
• [Definition] ‘management body' means the body or bodies of an investment firm, market operator or data reporting services provider, which are appointed in accordance with national law, which are empowered to set the entity's strategy, objectives and overall direction
• [Definition] ‘senior management' means natural persons who exercise executive functions within an investment firm, a market operator or a data reporting services provider and who are responsible, and accountable to the management body, for the day-to-day management of the entity
• [Definition] ‘matched principal trading' means a transaction where the facilitator interposes itself between the buyer and the seller to the transaction in such a way that it is never exposed to market risk throughout the execution of the transaction
• [Definition] ‘algorithmic trading' means trading in financial instruments where a computer algorithm automatically determines individual parameters of orders such as whether to initiate the order, the timing, price or quantity of the order or how to manage the order after its submission, with limited or no human intervention
• [Definition] ‘high-frequency algorithmic trading technique' means an algorithmic trading technique characterised by infrastructure intended to minimise network and other types of latencies
• [Definition] ‘direct electronic access' means an arrangement where a member or participant or client of a trading venue permits a person to use its trading code so the person can electronically transmit orders relating to a financial instrument directly to the trading venue
• [Definition] ‘cross-selling practice' means the offering of an investment service together with another service or product as part of a package or as a condition for the same agreement or package
• [Definition] ‘structured deposit' means a deposit as defined in point (c) of Article 2(1) of Directive 2014/49/EU of the European Parliament and of the Council (1), which is fully repayable at maturity on terms under which interest or a premium will be paid or is at risk
• [Definition] ‘transferable securities' means those classes of securities which are negotiable on the capital market, with the exception of instruments of payment
• [Definition] ‘depositary receipts' means those securities which are negotiable on the capital market and which represent ownership of the securities of a non-domiciled issuer while being able to be admitted to trading on a regulated market
• [Definition] ‘exchange-traded fund' means a fund of which at least one unit or share class is traded throughout the day on at least one trading venue and with at least one market maker which takes action to ensure that the price of its units or shares on the trading venue does not vary significantly from its net asset value
• [Definition] ‘certificates' means certificates as defined in Article 2(1)(27) of Regulation (EU) No 600/2014</t>
        </is>
      </c>
      <c r="N1210" s="11" t="inlineStr">
        <is>
          <t>• [Definition] ‘structured finance products' means structured finance products as defined in Article 2(1)(28) of Regulation (EU) No 600/2014
• [Definition] ‘derivatives' means derivatives as defined in Article 2(1)(29) of Regulation (EU) No 600/2014
• [Definition] ‘commodity derivatives' means commodity derivatives as defined in Article 2(1)(30) of Regulation (EU) No 600/2014
• [Definition] ‘CCP' means a CCP as defined in Article 2(1) of Regulation (EU) No 648/2012
• [Definition] ‘approved publication arrangement' or ‘APA' means a person authorised under this Directive to provide the service of publishing trade reports on behalf of investment firms pursuant to Articles 20 and 21 of Regulation (EU) No 600/2014
• [Definition] ‘consolidated tape provider' or ‘CTP' means a person authorised under this Directive to provide the service of collecting trade reports for financial instruments listed in Articles 6, 7, 10, 12 and 13, 20 and 21 of Regulation (EU) No 600/2014 from regulated markets, MTFs, OTFs and APAs and consolidating them into a continuous electronic live data…
• [Definition] ‘approved reporting mechanism' or ‘ARM' means a person authorised under this Directive to provide the service of reporting details of transactions to competent authorities or to ESMA on behalf of investment firms
• [Definition] ‘home Member State' means: in the case of investment firms, the Member State in which its head office is situated (if natural person), registered office (if legal person), or head office (if no registered office)
• [Definition] ‘host Member State' means the Member State, other than the home Member State, in which an investment firm has a branch or provides investment services and/or activities
• [Definition] ‘third-country firm' means a firm that would be a credit institution providing investment services or performing investment activities or an investment firm if its head office or registered office were located within the Union
• [Definition] ‘wholesale energy product' means wholesale energy products as defined in point (4) of Article 2 of Regulation (EU) No 1227/2011
• [Definition] ‘agricultural commodity derivatives' means derivative contracts relating to products listed in Article 1 of, and Annex I, Parts I to XX and XXIV/1, to, Regulation (EU) No 1308/2013 of the European Parliament and of the Council
• [Definition] ‘sovereign issuer' means any of the following that issues debt instruments: the Union, a Member State, a federal Member State, a special purpose vehicle for several Member States, an international financial institution established by two or more Member States, or the European Investment Bank
• [Definition] ‘sovereign debt' means a debt instrument issued by a sovereign issuer
• [Definition] ‘durable medium' means any instrument which enables a client to store information addressed personally to that client in a way accessible for future reference and for a period of time adequate for the purposes of the information
• [Definition] ‘data reporting services provider' means an APA, a CTP or an ARM</t>
        </is>
      </c>
      <c r="O1210" s="11" t="inlineStr">
        <is>
          <t>For the purposes of this Directive, the following definitions apply: (cont.)</t>
        </is>
      </c>
      <c r="P1210" s="12" t="n">
        <v>27</v>
      </c>
    </row>
    <row r="1211">
      <c r="A1211" t="inlineStr">
        <is>
          <t>GDPR</t>
        </is>
      </c>
      <c r="B1211" t="inlineStr">
        <is>
          <t>CELEX_32014L0065_EN_TXT (GDPR - Row 16)</t>
        </is>
      </c>
      <c r="C1211" t="inlineStr">
        <is>
          <t>1 (part 3)</t>
        </is>
      </c>
      <c r="D1211" s="11" t="inlineStr">
        <is>
          <t>Definitions for investment services and financial entities</t>
        </is>
      </c>
      <c r="E1211" t="inlineStr">
        <is>
          <t>39–40</t>
        </is>
      </c>
      <c r="F1211" t="inlineStr">
        <is>
          <t>High</t>
        </is>
      </c>
      <c r="G1211" t="inlineStr">
        <is>
          <t>High (explicit)</t>
        </is>
      </c>
      <c r="H1211" s="11" t="inlineStr">
        <is>
          <t>Financial Data, KYC, AML, Governance, Record Keeping</t>
        </is>
      </c>
      <c r="I1211" s="11" t="inlineStr">
        <is>
          <t>Financial Data, Customer Data, Employee Data</t>
        </is>
      </c>
      <c r="J1211" t="inlineStr"/>
      <c r="K1211" s="11" t="inlineStr">
        <is>
          <t>This section continues the definition of key terms used throughout the GDPR, including home Member State, host Member State, third-country firm, and other financial terms. These definitions establish the scope and meaning of critical concepts for investment firms and regulated markets operating within the EU.</t>
        </is>
      </c>
      <c r="L1211" s="11" t="inlineStr">
        <is>
          <t>These definitions clarify the scope of entities and activities subject to the directive, which is crucial for determining which data transfers and processing activities fall under the scope of the GDPR.</t>
        </is>
      </c>
      <c r="M1211" s="11" t="inlineStr">
        <is>
          <t>• [Definition] ‘home Member State' means: in the case of investment firms, the Member State in which its head office is situated (if natural person), registered office (if legal person), or head office (if no registered office)
• [Definition] ‘host Member State' means the Member State, other than the home Member State, in which an investment firm has a branch or provides investment services and/or activities
• [Definition] ‘third-country firm' means a firm that would be a credit institution providing investment services or performing investment activities or an investment firm if its head office or registered office were located within the Union
• [Definition] ‘wholesale energy product' means wholesale energy products as defined in point (4) of Article 2 of Regulation (EU) No 1227/2011
• [Definition] ‘agricultural commodity derivatives' means derivative contracts relating to products listed in Article 1 of, and Annex I, Parts I to XX and XXIV/1, to, Regulation (EU) No 1308/2013 of the European Parliament and of the Council</t>
        </is>
      </c>
      <c r="N1211" s="11" t="inlineStr">
        <is>
          <t>• [Definition] ‘sovereign issuer' means any of the following that issues debt instruments: the Union, a Member State, a federal Member State, a special purpose vehicle for several Member States, an international financial institution established by two or more Member States, or the European Investment Bank
• [Definition] ‘sovereign debt' means a debt instrument issued by a sovereign issuer
• [Definition] ‘durable medium' means any instrument which enables a client to store information addressed personally to that client in a way accessible for future reference and for a period of time adequate for the purposes of the information
• [Definition] ‘data reporting services provider' means an APA, a CTP or an ARM</t>
        </is>
      </c>
      <c r="O1211" s="11" t="inlineStr">
        <is>
          <t>For the purposes of this Directive, the following definitions apply: (cont.)</t>
        </is>
      </c>
      <c r="P1211" s="12" t="n">
        <v>27</v>
      </c>
    </row>
    <row r="1212">
      <c r="A1212" t="inlineStr">
        <is>
          <t>GDPR</t>
        </is>
      </c>
      <c r="B1212" t="inlineStr">
        <is>
          <t>CELEX_32014L0065_EN_TXT (GDPR - Row 16)</t>
        </is>
      </c>
      <c r="C1212" t="inlineStr">
        <is>
          <t>2</t>
        </is>
      </c>
      <c r="D1212" s="11" t="inlineStr">
        <is>
          <t>Exemptions for C6 energy derivatives require authority notification</t>
        </is>
      </c>
      <c r="E1212" t="inlineStr">
        <is>
          <t>26–27</t>
        </is>
      </c>
      <c r="F1212" t="inlineStr">
        <is>
          <t>High</t>
        </is>
      </c>
      <c r="G1212" t="inlineStr">
        <is>
          <t>High (explicit)</t>
        </is>
      </c>
      <c r="H1212" s="11" t="inlineStr">
        <is>
          <t>Cross-border Transfer, Data Sharing, Third Party Processing</t>
        </is>
      </c>
      <c r="I1212" s="11" t="inlineStr">
        <is>
          <t>Financial Data</t>
        </is>
      </c>
      <c r="J1212" t="inlineStr">
        <is>
          <t>ESMA</t>
        </is>
      </c>
      <c r="K1212" s="11" t="inlineStr">
        <is>
          <t>The exemption for C6 energy derivative contracts from clearing obligations must be granted by the relevant competent authority, which must notify ESMA of the exempted contracts. ESMA shall publish a list of these contracts on its website. This requirement applies to all Member States and affects the regulatory oversight of energy derivatives.</t>
        </is>
      </c>
      <c r="L1212" s="11" t="inlineStr">
        <is>
          <t>This section requires competent authorities to grant exemptions for C6 energy derivatives and notify ESMA, impacting data transfers related to energy derivatives.</t>
        </is>
      </c>
      <c r="M1212" s="11" t="inlineStr">
        <is>
          <t>• [Must] The exemption for C6 energy derivative contracts must be granted by the relevant competent authority
• [Must] The competent authority must notify ESMA of C6 energy derivative contracts granted exemptions</t>
        </is>
      </c>
      <c r="N1212" s="11" t="inlineStr">
        <is>
          <t>• [Must] ESMA must publish a list of exempted C6 energy derivative contracts on its website</t>
        </is>
      </c>
      <c r="O1212" s="11" t="inlineStr">
        <is>
          <t>The exemption referred to in paragraph 1 shall be granted by the relevant competent authority. The competent authority shall notify ESMA of the C6 energy derivative contracts which have been granted an exemption in accordance with paragraph 1 and ESMA shall publish on its website a list of those C6 energy derivative contracts.</t>
        </is>
      </c>
      <c r="P1212" s="12" t="n">
        <v>27</v>
      </c>
    </row>
    <row r="1213">
      <c r="A1213" t="inlineStr">
        <is>
          <t>GDPR</t>
        </is>
      </c>
      <c r="B1213" t="inlineStr">
        <is>
          <t>CELEX_32014L0065_EN_TXT (GDPR - Row 16)</t>
        </is>
      </c>
      <c r="C1213" t="inlineStr">
        <is>
          <t>2 (part 2)</t>
        </is>
      </c>
      <c r="D1213" s="11" t="inlineStr">
        <is>
          <t>Professional client waiver procedure requirements</t>
        </is>
      </c>
      <c r="E1213" t="inlineStr">
        <is>
          <t>137–145</t>
        </is>
      </c>
      <c r="F1213" t="inlineStr">
        <is>
          <t>High</t>
        </is>
      </c>
      <c r="G1213" t="inlineStr">
        <is>
          <t>High (explicit)</t>
        </is>
      </c>
      <c r="H1213" s="11" t="inlineStr"/>
      <c r="I1213" s="11" t="inlineStr">
        <is>
          <t>Customer Data</t>
        </is>
      </c>
      <c r="J1213" t="inlineStr">
        <is>
          <t>European Commission</t>
        </is>
      </c>
      <c r="K1213" s="11" t="inlineStr">
        <is>
          <t>Investment firms must follow a written procedure to allow clients to waive detailed rules of conduct and be treated as professional clients. This requires clients to state in writing their intent to be treated as professional clients, receive a written warning about lost protections and compensation rights, and confirm awareness of consequences in a separate document. Firms must verify client eligibility before accepting waivers and implement written policies to categorize clients. If clients no longer meet professional criteria, firms must take action.</t>
        </is>
      </c>
      <c r="L1213" s="11" t="inlineStr">
        <is>
          <t>This section establishes specific procedural requirements for clients to be treated as professional clients, which impacts cross-border data transfers involving investment firms and clients by defining when and how client categorization occurs.</t>
        </is>
      </c>
      <c r="M1213" s="11" t="inlineStr">
        <is>
          <t>• [Must] Clients must state in writing to the investment firm their wish to be treated as a professional client
• [Must] Investment firms must provide written warning of protections and investor compensation rights lost
• [Must] Clients must state in writing, in a separate document from the contract, awareness of consequences of losing protections
• [Must] Investment firms must take reasonable steps to ensure client meets professional requirements before accepting waiver requests</t>
        </is>
      </c>
      <c r="N1213" s="11" t="inlineStr">
        <is>
          <t>• [Must] Firms must implement written internal policies to categorize clients
• [Must] Professional clients must inform investment firms of any changes affecting their categorization
• [Must] Investment firms must take action if clients no longer fulfill initial professional conditions</t>
        </is>
      </c>
      <c r="O1213" s="11" t="inlineStr">
        <is>
          <t>II.2. Procedure Those clients may waive the benefit of the detailed rules of conduct only where the following procedure is followed: — they must state in writing to the investment firm that they wish to be treated as a professional client, either generally or in respect of a particular investment service or transaction, or type of transaction or product, — the investment firm must give them a clear written warning of the protections and investor compensation rights they may lose, — they must state in writing, in a separate document from the contract, that they are aware of the consequences of losing such protections.</t>
        </is>
      </c>
      <c r="P1213" s="12" t="n">
        <v>27</v>
      </c>
    </row>
    <row r="1214">
      <c r="A1214" t="inlineStr">
        <is>
          <t>GDPR</t>
        </is>
      </c>
      <c r="B1214" t="inlineStr">
        <is>
          <t>CELEX_32014L0065_EN_TXT (GDPR - Row 16)</t>
        </is>
      </c>
      <c r="C1214" t="inlineStr">
        <is>
          <t>3</t>
        </is>
      </c>
      <c r="D1214" s="11" t="inlineStr">
        <is>
          <t>Member States may prohibit fees for insurance intermediaries</t>
        </is>
      </c>
      <c r="E1214" t="inlineStr">
        <is>
          <t>27</t>
        </is>
      </c>
      <c r="F1214" t="inlineStr">
        <is>
          <t>High</t>
        </is>
      </c>
      <c r="G1214" t="inlineStr">
        <is>
          <t>High (explicit)</t>
        </is>
      </c>
      <c r="H1214" s="11" t="inlineStr">
        <is>
          <t>Cross-border Transfer, Data Sharing, Third Party Processing</t>
        </is>
      </c>
      <c r="I1214" s="11" t="inlineStr">
        <is>
          <t>Financial Data</t>
        </is>
      </c>
      <c r="J1214" t="inlineStr"/>
      <c r="K1214" s="11" t="inlineStr">
        <is>
          <t>Member States may prohibit the acceptance or receipt of fees, commissions or monetary benefits paid to insurance intermediaries or undertakings by third parties in relation to the distribution of insurance-based investment products to customers. This prohibition applies to all Member States and affects the financial arrangements for insurance intermediaries operating within the EU.</t>
        </is>
      </c>
      <c r="L1214" s="11" t="inlineStr">
        <is>
          <t>This section allows Member States to prohibit certain fees for insurance intermediaries, which impacts data transfer practices related to insurance products.</t>
        </is>
      </c>
      <c r="M1214" s="11" t="inlineStr">
        <is>
          <t>• [May] Member States may prohibit acceptance or receipt of fees, commissions or monetary benefits paid to insurance intermediaries or undertakings by third parties</t>
        </is>
      </c>
      <c r="N1214" s="11" t="inlineStr"/>
      <c r="O1214" s="11" t="inlineStr">
        <is>
          <t>Member States may prohibit the acceptance or receipt of fees, commissions or any monetary benefits paid or provided to insurance intermediaries or insurance undertakings, by any third party or a person acting on behalf of a third party in relation to the distribution of insurance-based investment products to customers.</t>
        </is>
      </c>
      <c r="P1214" s="12" t="n">
        <v>27</v>
      </c>
    </row>
    <row r="1215">
      <c r="A1215" t="inlineStr">
        <is>
          <t>GDPR</t>
        </is>
      </c>
      <c r="B1215" t="inlineStr">
        <is>
          <t>CELEX_32014L0065_EN_TXT (GDPR - Row 16)</t>
        </is>
      </c>
      <c r="C1215" t="inlineStr">
        <is>
          <t>4</t>
        </is>
      </c>
      <c r="D1215" s="11" t="inlineStr">
        <is>
          <t>Commission report on energy derivatives clearing impact</t>
        </is>
      </c>
      <c r="E1215" t="inlineStr">
        <is>
          <t>27</t>
        </is>
      </c>
      <c r="F1215" t="inlineStr">
        <is>
          <t>High</t>
        </is>
      </c>
      <c r="G1215" t="inlineStr">
        <is>
          <t>High (explicit)</t>
        </is>
      </c>
      <c r="H1215" s="11" t="inlineStr">
        <is>
          <t>Cross-border Transfer, International Processing, Data Storage, Security, Consent, Customer Information, Financial Data, KYC, AML, Governance, Record Keeping</t>
        </is>
      </c>
      <c r="I1215" s="11" t="inlineStr">
        <is>
          <t>Financial Data, Customer Data</t>
        </is>
      </c>
      <c r="J1215" t="inlineStr">
        <is>
          <t>European Commission</t>
        </is>
      </c>
      <c r="K1215" s="11" t="inlineStr">
        <is>
          <t>The Commission must prepare a report by 1 January 2018 after consulting ESMA and ACER to assess the potential impact on energy prices and market functioning, feasibility, and benefits of subjecting C6 energy derivative contracts to clearing obligations, risk mitigation techniques, and clearing thresholds. If the Commission determines it is not feasible or beneficial, it may submit a legislative proposal to the European Parliament and Council. The Commission may extend the 42-month period for delegated acts by two years once and one year further.</t>
        </is>
      </c>
      <c r="L1215" s="11" t="inlineStr"/>
      <c r="M1215" s="11" t="inlineStr">
        <is>
          <t>• [Must] Commission shall prepare report on energy derivatives clearing impact by 1 January 2018
• [Must] Report assesses impact on energy prices and market functioning
• [Must] Report evaluates feasibility and benefits of C6 energy derivatives clearing</t>
        </is>
      </c>
      <c r="N1215" s="11" t="inlineStr">
        <is>
          <t>• [May] Commission may submit legislative proposal if not feasible or beneficial
• [May] Commission may extend 42-month period for delegated acts by two years once and one year further</t>
        </is>
      </c>
      <c r="O1215" s="11" t="inlineStr">
        <is>
          <t>By 1 January 2018 the Commission shall prepare a report, after consulting ESMA and ACER, assessing the potential impact on energy prices and on the functioning of the energy market as well as the feasibility and the benefits in terms of reducing counterparty and systemic risks and the direct costs of C6 energy derivative contracts being made subject to the clearing obligation set out in Article 4 of Regulation (EU) No 648/2012, the risk mitigation techniques set out in Article 11(3) thereof and their inclusion in calculating the clearing threshold pursuant to Article 10 thereof.</t>
        </is>
      </c>
      <c r="P1215" s="12" t="n">
        <v>27</v>
      </c>
    </row>
    <row r="1216">
      <c r="A1216" t="inlineStr">
        <is>
          <t>GDPR</t>
        </is>
      </c>
      <c r="B1216" t="inlineStr">
        <is>
          <t>CELEX_32014L0065_EN_TXT (GDPR - Row 16)</t>
        </is>
      </c>
      <c r="C1216" t="inlineStr">
        <is>
          <t>5</t>
        </is>
      </c>
      <c r="D1216" s="11" t="inlineStr">
        <is>
          <t>Delegated acts require approval from European Parliament and Council</t>
        </is>
      </c>
      <c r="E1216" t="inlineStr">
        <is>
          <t>41–42</t>
        </is>
      </c>
      <c r="F1216" t="inlineStr">
        <is>
          <t>None</t>
        </is>
      </c>
      <c r="G1216" t="inlineStr">
        <is>
          <t>High (explicit)</t>
        </is>
      </c>
      <c r="H1216" s="11" t="inlineStr"/>
      <c r="I1216" s="11" t="inlineStr"/>
      <c r="J1216" t="inlineStr">
        <is>
          <t>European Parliament and Council</t>
        </is>
      </c>
      <c r="K1216" s="11" t="inlineStr">
        <is>
          <t>Delegated acts adopted under specified provisions must enter into force within three months of notification to the European Parliament and Council unless they receive objections from both. The period may be extended by three months at the initiative of either the European Parliament or Council.</t>
        </is>
      </c>
      <c r="L1216" s="11" t="inlineStr">
        <is>
          <t>Does not directly impact data transfers but affects the legislative process for delegated acts that may influence data transfer rules.</t>
        </is>
      </c>
      <c r="M1216" s="11" t="inlineStr">
        <is>
          <t>• [Must] A delegated act adopted pursuant to Article 2(3), second subparagraph of Article 4(1)(2), Article 4(2), Article 13(1), Article 16(12), Article 23(4), Article 24(13), Article 25(8), Article 27(9), Article 28(3), Article 30(5), Article 31(4), Article 32(4), Article 33(8), Article 52(4), Article 54(4), Article 58(6), Article 64(7), Article 65(7) and…
• [Must] If, before the expiry of that period, the European Parliament and the Council have both informed the Commission that they will not object, the delegated act shall enter into force</t>
        </is>
      </c>
      <c r="N1216" s="11" t="inlineStr">
        <is>
          <t>• [May] That period shall be extended by three months at the initiative of the European Parliament or the Council</t>
        </is>
      </c>
      <c r="O1216" s="11" t="inlineStr">
        <is>
          <t>A delegated act adopted pursuant to Article 2(3), second subparagraph of Article 4(1)(2), Article 4(2), Article 13(1), Article 16(12), Article 23(4), Article 24(13), Article 25(8), Article 27(9), Article 28(3), Article 30(5), Article 31(4), Article 32(4), Article 33(8), Article 52(4), Article 54(4), Article 58(6), Article 64(7), Article 65(7) and Article 79(8) shall enter into force only if no objection has been expressed either by the European Parliament or the Council within a period of three months of notification of that act to the European Parliament and the Council or if, before the expiry of that period, the European Parliament and the Council have both informed the Commission that they will not object.</t>
        </is>
      </c>
      <c r="P1216" s="12" t="n">
        <v>27</v>
      </c>
    </row>
    <row r="1217">
      <c r="A1217" t="inlineStr">
        <is>
          <t>GDPR</t>
        </is>
      </c>
      <c r="B1217" t="inlineStr">
        <is>
          <t>CELEX_32014L0065_EN_TXT (GDPR - Row 16)</t>
        </is>
      </c>
      <c r="C1217" t="inlineStr">
        <is>
          <t>6</t>
        </is>
      </c>
      <c r="D1217" s="11" t="inlineStr">
        <is>
          <t>Published sanctions for financial entities in registers</t>
        </is>
      </c>
      <c r="E1217" t="inlineStr">
        <is>
          <t>43</t>
        </is>
      </c>
      <c r="F1217" t="inlineStr">
        <is>
          <t>High</t>
        </is>
      </c>
      <c r="G1217" t="inlineStr">
        <is>
          <t>High (explicit)</t>
        </is>
      </c>
      <c r="H1217" s="11" t="inlineStr">
        <is>
          <t>Record Keeping</t>
        </is>
      </c>
      <c r="I1217" s="11" t="inlineStr">
        <is>
          <t>Personal Information</t>
        </is>
      </c>
      <c r="J1217" t="inlineStr">
        <is>
          <t>ESMA</t>
        </is>
      </c>
      <c r="K1217" s="11" t="inlineStr">
        <is>
          <t>ESMA must add references to published criminal or administrative sanctions in relevant registers if they relate to investment firms, market operators, data reporting services providers, credit institutions, or branches of third-country firms authorized under this Directive.</t>
        </is>
      </c>
      <c r="L1217" s="11" t="inlineStr">
        <is>
          <t>Mandates inclusion of financial entity sanctions in registers, relevant for data transfer impact assessments involving financial sanctions databases.</t>
        </is>
      </c>
      <c r="M1217" s="11" t="inlineStr">
        <is>
          <t>• [Must] ESMA shall add references to published sanctions in relevant registers for investment firms, market operators, data reporting services providers, credit institutions, or branches of third-country firms</t>
        </is>
      </c>
      <c r="N1217" s="11" t="inlineStr"/>
      <c r="O1217" s="11" t="inlineStr">
        <is>
          <t>Where a published criminal or administrative sanction relates to an investment firm, market operator, data reporting services provider, credit institution in relation to investment services and activities or ancillary services, or a branch of third-country firms authorised in accordance with this Directive, ESMA shall add a reference to the published sanction in the relevant register.</t>
        </is>
      </c>
      <c r="P1217" s="12" t="n">
        <v>27</v>
      </c>
    </row>
    <row r="1218">
      <c r="A1218" t="inlineStr">
        <is>
          <t>GDPR</t>
        </is>
      </c>
      <c r="B1218" t="inlineStr">
        <is>
          <t>CELEX_32014L0065_EN_TXT (GDPR - Row 16)</t>
        </is>
      </c>
      <c r="C1218" t="inlineStr">
        <is>
          <t>7</t>
        </is>
      </c>
      <c r="D1218" s="11" t="inlineStr">
        <is>
          <t>Regular reporting of market participants to competent authorities</t>
        </is>
      </c>
      <c r="E1218" t="inlineStr">
        <is>
          <t>27–28</t>
        </is>
      </c>
      <c r="F1218" t="inlineStr">
        <is>
          <t>High</t>
        </is>
      </c>
      <c r="G1218" t="inlineStr">
        <is>
          <t>High (explicit)</t>
        </is>
      </c>
      <c r="H1218" s="11" t="inlineStr"/>
      <c r="I1218" s="11" t="inlineStr">
        <is>
          <t>Financial Data</t>
        </is>
      </c>
      <c r="J1218" t="inlineStr">
        <is>
          <t>Member States</t>
        </is>
      </c>
      <c r="K1218" s="11" t="inlineStr">
        <is>
          <t>Member States must mandate market operators to periodically disclose the list of market participants to their relevant competent authorities. This requirement applies to regulated markets and ensures transparency in market operations. The disclosure is a recurring obligation without specific timeframes.</t>
        </is>
      </c>
      <c r="L1218" s="11" t="inlineStr"/>
      <c r="M1218" s="11" t="inlineStr">
        <is>
          <t>• [Must] Member States shall require market operators to communicate the list of market participants on a regular basis</t>
        </is>
      </c>
      <c r="N1218" s="11" t="inlineStr"/>
      <c r="O1218" s="11" t="inlineStr">
        <is>
          <t>Member States shall require the market operator to communicate, on a regular basis, the list of the members or participants of the regulated market to the competent authority of the regulated market.</t>
        </is>
      </c>
      <c r="P1218" s="12" t="n">
        <v>27</v>
      </c>
    </row>
    <row r="1219">
      <c r="A1219" t="inlineStr">
        <is>
          <t>GDPR</t>
        </is>
      </c>
      <c r="B1219" t="inlineStr">
        <is>
          <t>CELEX_32014L0065_EN_TXT (GDPR - Row 16)</t>
        </is>
      </c>
      <c r="C1219" t="inlineStr">
        <is>
          <t>8</t>
        </is>
      </c>
      <c r="D1219" s="11" t="inlineStr">
        <is>
          <t>ESMA develops standards for market data consistency</t>
        </is>
      </c>
      <c r="E1219" t="inlineStr">
        <is>
          <t>46</t>
        </is>
      </c>
      <c r="F1219" t="inlineStr">
        <is>
          <t>High</t>
        </is>
      </c>
      <c r="G1219" t="inlineStr">
        <is>
          <t>High (explicit)</t>
        </is>
      </c>
      <c r="H1219" s="11" t="inlineStr">
        <is>
          <t>Cross-border Transfer, Financial Data, Data Storage, Data Sharing, Cloud Services</t>
        </is>
      </c>
      <c r="I1219" s="11" t="inlineStr">
        <is>
          <t>Financial Data</t>
        </is>
      </c>
      <c r="J1219" t="inlineStr">
        <is>
          <t>ESMA</t>
        </is>
      </c>
      <c r="K1219" s="11" t="inlineStr">
        <is>
          <t>ESMA must develop draft regulatory technical standards specifying how CTPs comply with information obligations, the content of published information, financial instruments data requirements, and systems for ensuring data consistency across sources. These standards must be submitted to the Commission by 3 July 2015, with delegated power for the Commission to adopt them.</t>
        </is>
      </c>
      <c r="L1219" s="11" t="inlineStr">
        <is>
          <t>Ensures cross-border financial data consistency and interoperability through standardized formats, critical for international market data transfers and aggregation.</t>
        </is>
      </c>
      <c r="M1219" s="11" t="inlineStr">
        <is>
          <t>• [Must] ESMA shall develop draft regulatory technical standards specifying: the means by which the CTP may comply with the information obligation referred to in paragraphs 1 and 2
• [Must] The content of the information published under paragraphs 1 and 2
• [Must] The financial instruments data of which must be provided in the data stream and for non-equity instruments the trading venues and APAs which need to be included</t>
        </is>
      </c>
      <c r="N1219" s="11" t="inlineStr">
        <is>
          <t>• [Must] Other means to ensure that the data published by different CTPs is consistent and allows for comprehensive mapping and cross-referencing against similar data from other sources
• [Must] And is capable of being aggregated at Union level
• [Must] The concrete organisational requirements laid down in paragraphs 4 and 5</t>
        </is>
      </c>
      <c r="O1219" s="11" t="inlineStr">
        <is>
          <t>ESMA shall develop draft regulatory technical standards specifying: (a) the means by which the CTP may comply with the information obligation referred to in paragraphs 1 and 2; (b) the content of the information published under paragraphs 1 and 2; (c) the financial instruments data of which must be provided in the data stream and for non-equity instruments the trading venues and APAs which need to be included; (d) other means to ensure that the data published by different CTPs is consistent and allows for comprehensive mapping and cross-referencing against similar data from other sources, and is capable of being aggregated at Union level; (e) the concrete organisational requirements laid down in paragraphs 4 and 5.</t>
        </is>
      </c>
      <c r="P1219" s="12" t="n">
        <v>27</v>
      </c>
    </row>
    <row r="1220">
      <c r="A1220" t="inlineStr">
        <is>
          <t>GDPR</t>
        </is>
      </c>
      <c r="B1220" t="inlineStr">
        <is>
          <t>CELEX_32014L0065_EN_TXT (GDPR - Row 16)</t>
        </is>
      </c>
      <c r="C1220" t="inlineStr">
        <is>
          <t>9</t>
        </is>
      </c>
      <c r="D1220" s="11" t="inlineStr">
        <is>
          <t>ESMA guidelines for management body requirements</t>
        </is>
      </c>
      <c r="E1220" t="inlineStr">
        <is>
          <t>49–50</t>
        </is>
      </c>
      <c r="F1220" t="inlineStr">
        <is>
          <t>High</t>
        </is>
      </c>
      <c r="G1220" t="inlineStr">
        <is>
          <t>High (explicit)</t>
        </is>
      </c>
      <c r="H1220" s="11" t="inlineStr">
        <is>
          <t>Governance</t>
        </is>
      </c>
      <c r="I1220" s="11" t="inlineStr">
        <is>
          <t>Financial Data</t>
        </is>
      </c>
      <c r="J1220" t="inlineStr">
        <is>
          <t>ESMA</t>
        </is>
      </c>
      <c r="K1220" s="11" t="inlineStr">
        <is>
          <t>ESMA must issue guidelines by January 2016 on specific management body competency concepts including time commitment, knowledge, skills, integrity, training resources, and diversity considerations for market operators.</t>
        </is>
      </c>
      <c r="L1220" s="11" t="inlineStr">
        <is>
          <t>Provides detailed criteria for assessing management body competence, critical for DTIA compliance in market operator governance.</t>
        </is>
      </c>
      <c r="M1220" s="11" t="inlineStr">
        <is>
          <t>• [Must] ESMA shall issue guidelines on sufficient time commitment of management body members
• [Must] ESMA shall issue guidelines on adequate collective knowledge, skills and experience of management body
• [Must] ESMA shall issue guidelines on honesty, integrity and independence of mind of management body members</t>
        </is>
      </c>
      <c r="N1220" s="11" t="inlineStr">
        <is>
          <t>• [Must] ESMA shall issue guidelines on adequate human and financial resources for management body induction and training
• [Must] ESMA shall issue guidelines on diversity considerations for management body selection</t>
        </is>
      </c>
      <c r="O1220" s="11" t="inlineStr">
        <is>
          <t>ESMA shall issue guidelines on the following: (a) the notion of sufficient time commitment of a member of the management body to perform that member's functions, in relation to the individual circumstances and the nature, scale and complexity of activities of the market operator; (b) the notion of adequate collective knowledge, skills and experience of the management body as referred to in point (b) of paragraph 2; (c) the notions of honesty, integrity and independence of mind of a member of the management body as referred to in point (c) of paragraph 2; (d) the notion of adequate human and financial resources devoted to the induction and training of members of the management body as referred to in paragraph 3; (e) the notion of diversity to be taken into account for the selection of members of the management body as referred to in paragraph 5.</t>
        </is>
      </c>
      <c r="P1220" s="12" t="n">
        <v>27</v>
      </c>
    </row>
    <row r="1221">
      <c r="A1221" t="inlineStr">
        <is>
          <t>GDPR</t>
        </is>
      </c>
      <c r="B1221" t="inlineStr">
        <is>
          <t>CELEX_32014L0065_EN_TXT (GDPR - Row 16)</t>
        </is>
      </c>
      <c r="C1221" t="inlineStr">
        <is>
          <t>10</t>
        </is>
      </c>
      <c r="D1221" s="11" t="inlineStr">
        <is>
          <t>Position management controls reporting to competent authority</t>
        </is>
      </c>
      <c r="E1221" t="inlineStr">
        <is>
          <t>50</t>
        </is>
      </c>
      <c r="F1221" t="inlineStr">
        <is>
          <t>High</t>
        </is>
      </c>
      <c r="G1221" t="inlineStr">
        <is>
          <t>High (explicit)</t>
        </is>
      </c>
      <c r="H1221" s="11" t="inlineStr"/>
      <c r="I1221" s="11" t="inlineStr">
        <is>
          <t>Financial Data</t>
        </is>
      </c>
      <c r="J1221" t="inlineStr">
        <is>
          <t>ESMA</t>
        </is>
      </c>
      <c r="K1221" s="11" t="inlineStr">
        <is>
          <t>Investment firms or trading venue operators must inform their competent authority of position management controls. Competent authorities must share position limit details with ESMA, which publishes a database of position limits and controls for public access. This ensures transparency and oversight of position management across jurisdictions.</t>
        </is>
      </c>
      <c r="L1221" s="11" t="inlineStr">
        <is>
          <t>Requires reporting of position management controls to authorities, ensuring transparency in cross-border commodity derivatives trading and facilitating regulatory oversight.</t>
        </is>
      </c>
      <c r="M1221" s="11" t="inlineStr">
        <is>
          <t>• [Must] Investment firm or trading venue operator must inform competent authority of position management controls
• [Must] Competent authority must communicate position management controls to ESMA</t>
        </is>
      </c>
      <c r="N1221" s="11" t="inlineStr">
        <is>
          <t>• [Must] ESMA must publish and maintain a database of position limits and controls</t>
        </is>
      </c>
      <c r="O1221" s="11" t="inlineStr">
        <is>
          <t>The investment firm or market operator operating the trading venue shall inform the competent authority of the details of position management controls. The competent authority shall communicate the same information as well as the details of the position limits it has established to ESMA, which shall publish and maintain on its website a database with summaries of the position limits and position management controls.</t>
        </is>
      </c>
      <c r="P1221" s="12" t="n">
        <v>27</v>
      </c>
    </row>
    <row r="1222">
      <c r="A1222" t="inlineStr">
        <is>
          <t>GDPR</t>
        </is>
      </c>
      <c r="B1222" t="inlineStr">
        <is>
          <t>CELEX_32014L0065_EN_TXT (GDPR - Row 16)</t>
        </is>
      </c>
      <c r="C1222" t="inlineStr">
        <is>
          <t>11</t>
        </is>
      </c>
      <c r="D1222" s="11" t="inlineStr">
        <is>
          <t>ESMA guidelines for non-complex financial instruments</t>
        </is>
      </c>
      <c r="E1222" t="inlineStr">
        <is>
          <t>50</t>
        </is>
      </c>
      <c r="F1222" t="inlineStr">
        <is>
          <t>High</t>
        </is>
      </c>
      <c r="G1222" t="inlineStr">
        <is>
          <t>High (explicit)</t>
        </is>
      </c>
      <c r="H1222" s="11" t="inlineStr">
        <is>
          <t>Cross-border Transfer, Financial Data, KYC, AML</t>
        </is>
      </c>
      <c r="I1222" s="11" t="inlineStr">
        <is>
          <t>Financial Data</t>
        </is>
      </c>
      <c r="J1222" t="inlineStr">
        <is>
          <t>ESMA</t>
        </is>
      </c>
      <c r="K1222" s="11" t="inlineStr">
        <is>
          <t>This section allows ESMA to develop guidelines for assessing financial instruments classified as non-complex, based on delegated acts from paragraph 8. The guidelines must consider the delegated acts to ensure instruments meet complexity thresholds for client understanding and risk assessment.</t>
        </is>
      </c>
      <c r="L1222" s="11" t="inlineStr">
        <is>
          <t>This section enables ESMA to create guidelines for non-complex financial instruments, which may affect data transfer requirements for client information across borders.</t>
        </is>
      </c>
      <c r="M1222" s="11" t="inlineStr">
        <is>
          <t>• [May] ESMA may develop guidelines for assessing non-complex financial instruments
• [Must] Guidelines must update periodically</t>
        </is>
      </c>
      <c r="N1222" s="11" t="inlineStr">
        <is>
          <t>• [Must] Guidelines must consider delegated acts adopted under paragraph 8</t>
        </is>
      </c>
      <c r="O1222" s="11" t="inlineStr">
        <is>
          <t>ESMA may develop guidelines, and update them periodically, for the assessment of financial instruments being classified as non-complex for the purpose of point (a)(vi) of paragraph 4, taking into account the delegated acts adopted under paragraph 8.</t>
        </is>
      </c>
      <c r="P1222" s="12" t="n">
        <v>27</v>
      </c>
    </row>
    <row r="1223">
      <c r="A1223" t="inlineStr">
        <is>
          <t>GDPR</t>
        </is>
      </c>
      <c r="B1223" t="inlineStr">
        <is>
          <t>CELEX_32014L0065_EN_TXT (GDPR - Row 16)</t>
        </is>
      </c>
      <c r="C1223" t="inlineStr">
        <is>
          <t>12</t>
        </is>
      </c>
      <c r="D1223" s="11" t="inlineStr">
        <is>
          <t>ESMA draft regulatory technical standards for position management</t>
        </is>
      </c>
      <c r="E1223" t="inlineStr">
        <is>
          <t>59–60</t>
        </is>
      </c>
      <c r="F1223" t="inlineStr">
        <is>
          <t>High</t>
        </is>
      </c>
      <c r="G1223" t="inlineStr">
        <is>
          <t>High (explicit)</t>
        </is>
      </c>
      <c r="H1223" s="11" t="inlineStr"/>
      <c r="I1223" s="11" t="inlineStr">
        <is>
          <t>Financial Data</t>
        </is>
      </c>
      <c r="J1223" t="inlineStr">
        <is>
          <t>ESMA</t>
        </is>
      </c>
      <c r="K1223" s="11" t="inlineStr">
        <is>
          <t>ESMA must develop draft regulatory technical standards to define criteria for determining risk-reducing positions, methods for aggregating positions within groups, economically equivalent OTC contracts, commodity derivative definitions, netting methodologies, and exemption procedures. These standards must be submitted to the Commission by 3 July 2015 and may be delegated to the Commission for adoption.</t>
        </is>
      </c>
      <c r="L1223" s="11" t="inlineStr">
        <is>
          <t>ESMA's technical standards define precise methodologies for position aggregation and netting, critical for ensuring consistent cross-border data reporting and risk management in commodity derivatives trading.</t>
        </is>
      </c>
      <c r="M1223" s="11" t="inlineStr">
        <is>
          <t>• [Must] ESMA must develop draft regulatory technical standards for determining risk-reducing positions
• [Must] ESMA must develop draft regulatory technical standards for aggregating positions within groups
• [Must] ESMA must develop draft regulatory technical standards for economically equivalent OTC contracts
• [Must] ESMA must develop draft regulatory technical standards for commodity derivative definitions</t>
        </is>
      </c>
      <c r="N1223" s="11" t="inlineStr">
        <is>
          <t>• [Must] ESMA must develop draft regulatory technical standards for netting methodologies
• [Must] ESMA must develop draft regulatory technical standards for exemption procedures
• [Must] ESMA must develop draft regulatory technical standards for calculating trading venues</t>
        </is>
      </c>
      <c r="O1223" s="11" t="inlineStr">
        <is>
          <t>ESMA shall develop draft regulatory technical standards to determine: (a) the criteria and methods for determining whether a position qualifies as reducing risks directly relating to commercial activities; (b) the methods to determine when positions of a person are to be aggregated within a group; (c) the criteria for determining whether a contract is an economically equivalent OTC contract to that traded on a trading venue, referred to in paragraph 1, in a way that facilitates the reporting of positions taken in equivalent OTC contracts to the relevant competent authority as determined in Article 58(2); (d) the definition of what constitutes the same commodity derivative and significant volumes under paragraph 6 of this Article; (e) the methodology for aggregating and netting OTC and on-venue commodity derivatives positions to establish the net position for purposes of assessing compliance with the limits. Such methodologies shall establish criteria to determine which positions may be netted against one another and shall not facilitate the build-up of positions in a manner inconsistent with the objectives set out in paragraph 1 of this Article; (f) the procedure setting out how persons may apply for the exemption under the second subparagraph of paragraph 1 of this Article and how the relevant competent authority will approve such applications; (g) the method for calculation to determine the venue where the largest volume of trading in a commodity derivative takes place and significant volumes under paragraph 6 of this Article.</t>
        </is>
      </c>
      <c r="P1223" s="12" t="n">
        <v>27</v>
      </c>
    </row>
    <row r="1224">
      <c r="A1224" t="inlineStr">
        <is>
          <t>GDPR</t>
        </is>
      </c>
      <c r="B1224" t="inlineStr">
        <is>
          <t>CELEX_32014L0065_EN_TXT (GDPR - Row 16)</t>
        </is>
      </c>
      <c r="C1224" t="inlineStr">
        <is>
          <t>13</t>
        </is>
      </c>
      <c r="D1224" s="11" t="inlineStr">
        <is>
          <t>Competent authorities' position limits and exceptions</t>
        </is>
      </c>
      <c r="E1224" t="inlineStr">
        <is>
          <t>60</t>
        </is>
      </c>
      <c r="F1224" t="inlineStr">
        <is>
          <t>High</t>
        </is>
      </c>
      <c r="G1224" t="inlineStr">
        <is>
          <t>High (explicit)</t>
        </is>
      </c>
      <c r="H1224" s="11" t="inlineStr"/>
      <c r="I1224" s="11" t="inlineStr">
        <is>
          <t>Financial Data</t>
        </is>
      </c>
      <c r="J1224" t="inlineStr">
        <is>
          <t>Competent Authority</t>
        </is>
      </c>
      <c r="K1224" s="11" t="inlineStr">
        <is>
          <t>Competent authorities cannot impose stricter position limits than those set by ESMA unless objectively justified and proportionate. They must publish any stricter limits for up to six months, renewable for six-month periods if justified, and notify ESMA of such decisions. ESMA must issue an opinion within 24 hours on the necessity of stricter limits.</t>
        </is>
      </c>
      <c r="L1224" s="11" t="inlineStr">
        <is>
          <t>Allows competent authorities to impose stricter limits with conditions, ensuring regulatory alignment while maintaining market liquidity and orderly functioning.</t>
        </is>
      </c>
      <c r="M1224" s="11" t="inlineStr">
        <is>
          <t>• [Must Not] Competent authorities shall not impose limits more restrictive than those adopted by ESMA
• [May] Competent authorities may impose more restrictive limits in exceptional cases
• [Must] Competent authorities must publish more restrictive limits for up to six months
• [May] Competent authorities may renew more restrictive limits for up to six months</t>
        </is>
      </c>
      <c r="N1224" s="11" t="inlineStr">
        <is>
          <t>• [Must] Competent authorities must notify ESMA of more restrictive limits
• [Must] ESMA must issue opinion within 24 hours on necessity of more restrictive limits
• [Must] Competent authorities must publish notice explaining reasons for imposing limits contrary to ESMA opinion</t>
        </is>
      </c>
      <c r="O1224" s="11" t="inlineStr">
        <is>
          <t>Competent authorities shall not impose limits which are more restrictive than those adopted pursuant to paragraph 1 except in exceptional cases where they are objectively justified and proportionate taking into account the liquidity of the specific market and the orderly functioning of that market. Competent authorities shall publish on their website the details of the more restrictive position limits they decide to impose, which shall be valid for an initial period not exceeding six months from the date of their publication on the website. The more restrictive position limits may be renewed for further periods not exceeding six months at a time if the grounds for the restriction continue to be applicable. If not renewed after that six-month period, they shall automatically expire. Where competent authorities decide to impose more restrictive position limits, they shall notify ESMA. The notification shall include a justification for the more restrictive position limits. ESMA shall, within 24 hours, issue an opinion on whether it considers that the more restrictive position limits are necessary to address the exceptional case. The opinion shall be published on ESMA's website. Where a competent authority imposes limits contrary to an ESMA opinion, it shall immediately publish on its website a notice fully explaining its reasons for doing so.</t>
        </is>
      </c>
      <c r="P1224" s="12" t="n">
        <v>27</v>
      </c>
    </row>
    <row r="1225">
      <c r="A1225" t="inlineStr">
        <is>
          <t>GDPR</t>
        </is>
      </c>
      <c r="B1225" t="inlineStr">
        <is>
          <t>CELEX_32014L0065_EN_TXT (GDPR - Row 16)</t>
        </is>
      </c>
      <c r="C1225" t="inlineStr">
        <is>
          <t>14</t>
        </is>
      </c>
      <c r="D1225" s="11" t="inlineStr">
        <is>
          <t>Sanctions for position limit violations</t>
        </is>
      </c>
      <c r="E1225" t="inlineStr">
        <is>
          <t>60</t>
        </is>
      </c>
      <c r="F1225" t="inlineStr">
        <is>
          <t>High</t>
        </is>
      </c>
      <c r="G1225" t="inlineStr">
        <is>
          <t>High (explicit)</t>
        </is>
      </c>
      <c r="H1225" s="11" t="inlineStr"/>
      <c r="I1225" s="11" t="inlineStr">
        <is>
          <t>Financial Data</t>
        </is>
      </c>
      <c r="J1225" t="inlineStr">
        <is>
          <t>Competent Authority</t>
        </is>
      </c>
      <c r="K1225" s="11" t="inlineStr">
        <is>
          <t>Member States must allow competent authorities to impose sanctions for violations of position limits. Sanctions apply to positions exceeding limits in their territory or in other Member States' territories, ensuring cross-border enforcement of position limits.</t>
        </is>
      </c>
      <c r="L1225" s="11" t="inlineStr">
        <is>
          <t>Defines sanctions for cross-border position limit violations, ensuring consistent enforcement of risk management across jurisdictions.</t>
        </is>
      </c>
      <c r="M1225" s="11" t="inlineStr">
        <is>
          <t>• [Must] Competent authorities may impose sanctions for position limit violations
• [Must] Sanctions apply to positions exceeding limits in Member States' territories</t>
        </is>
      </c>
      <c r="N1225" s="11" t="inlineStr">
        <is>
          <t>• [Must] Sanctions apply to positions exceeding limits in other Member States</t>
        </is>
      </c>
      <c r="O1225" s="11" t="inlineStr">
        <is>
          <t>Member States shall provide that competent authorities can apply their powers to impose sanctions under this Directive for the infringements of position limits set in accordance with this Article to: (a) positions held by persons situated or operating in its territory or abroad which exceed the limits on commodity derivative contracts the competent authority has set in relation to contracts on trading venues situated or operating in its territory or economically equivalent OTC contracts; (b) positions held by persons situated or operating in its territory which exceed the limits on commodity derivative contracts set by competent authorities in other Member States.</t>
        </is>
      </c>
      <c r="P1225" s="12" t="n">
        <v>27</v>
      </c>
    </row>
    <row r="1226">
      <c r="A1226" t="inlineStr">
        <is>
          <t>GDPR</t>
        </is>
      </c>
      <c r="B1226" t="inlineStr">
        <is>
          <t>CELEX_32014L0065_EN_TXT (GDPR - Row 16)</t>
        </is>
      </c>
      <c r="C1226" t="inlineStr">
        <is>
          <t>2010</t>
        </is>
      </c>
      <c r="D1226" s="11" t="inlineStr">
        <is>
          <t>Client order recording for market abuse detection</t>
        </is>
      </c>
      <c r="E1226" t="inlineStr">
        <is>
          <t>9–12</t>
        </is>
      </c>
      <c r="F1226" t="inlineStr">
        <is>
          <t>High</t>
        </is>
      </c>
      <c r="G1226" t="inlineStr">
        <is>
          <t>Medium (merged from chunks)</t>
        </is>
      </c>
      <c r="H1226" s="11" t="inlineStr">
        <is>
          <t>Cross-border Transfer, International Processing, Data Storage, Security, Consent, Financial Data, KYC, AML</t>
        </is>
      </c>
      <c r="I1226" s="11" t="inlineStr">
        <is>
          <t>Financial Data</t>
        </is>
      </c>
      <c r="J1226" t="inlineStr">
        <is>
          <t>European Securities and Markets Authority (ESMA)</t>
        </is>
      </c>
      <c r="K1226" s="11" t="inlineStr">
        <is>
          <t>Investment firms must maintain records proving client order terms and transaction correspondence to detect market abuse behavior. These records must cover all conversations with clients when dealing on own account, including alternative communication channels like emails and faxes. The records must be available to authorities for supervision and enforcement actions under relevant directives, and must demonstrate the development of client relationships. Firms must ensure no privately owned equipment is used for transactions to maintain legal certainty. Trading venues and investment firms must implement robust measures to prevent algorithmic trading from causing market disorder or abusive practices. Trading venues must ensure their systems are resilient to handle increased order flows and market stresses, including circuit breakers to halt trading during sudden price movements. Fee structures must be transparent, non-discriminatory, and fair to avoid promoting disorderly market conditions.</t>
        </is>
      </c>
      <c r="L1226" s="11" t="inlineStr">
        <is>
          <t>Requires detailed client order records to detect market abuse across borders, critical for DTIAs involving cross-border financial transactions and client data transfers. This section requires trading venues to implement technical safeguards for market stability during high-frequency trading, relevant to DTIA for cross-border trading systems.</t>
        </is>
      </c>
      <c r="M1226" s="11" t="inlineStr">
        <is>
          <t>• [Must] Investment firms must maintain records proving client order terms and transaction correspondence
• [Must] Records must cover all conversations with clients when dealing on own account
• [Must] Alternative communication channels must be recorded in durable media like emails or faxes
• [Must] Records must be available to authorities for supervision and enforcement actions
• [Must] Firms must ensure no privately owned equipment is used for transactions
• [Must] Records must demonstrate client relationship development</t>
        </is>
      </c>
      <c r="N1226" s="11" t="inlineStr">
        <is>
          <t>• [Must] Trading venues must ensure robust measures to prevent algorithmic trading from causing market disorder or abusive practices
• [Must] Trading venues must ensure their trading systems are resilient to handle increased order flows and market stresses
• [Must] Trading venues must implement circuit breakers to temporarily halt trading during sudden price movements
• [Must] Investment firms must implement robust measures to prevent algorithmic trading from causing market disorder or abusive practices
• [Must] Fee structures must be transparent, non-discriminatory, and fair to avoid promoting disorderly market conditions</t>
        </is>
      </c>
      <c r="O1226" s="11" t="inlineStr">
        <is>
          <t>2010. Such records should ensure that there is evidence to prove the terms of any orders given by clients and its correspondence with transactions executed by the investment firms, as well as to detect any behaviour that may have relevance in terms of market abuse, including when firms deal on own account.</t>
        </is>
      </c>
      <c r="P1226" s="12" t="n">
        <v>27</v>
      </c>
    </row>
    <row r="1227">
      <c r="A1227" t="inlineStr">
        <is>
          <t>GDPR</t>
        </is>
      </c>
      <c r="B1227" t="inlineStr">
        <is>
          <t>CELEX_32014L0065_EN_TXT (GDPR - Row 16)</t>
        </is>
      </c>
      <c r="C1227" t="inlineStr">
        <is>
          <t>2010 (part 2)</t>
        </is>
      </c>
      <c r="D1227" s="11" t="inlineStr">
        <is>
          <t>Algorithmic trading fees and client protection for investment firms</t>
        </is>
      </c>
      <c r="E1227" t="inlineStr">
        <is>
          <t>12–14</t>
        </is>
      </c>
      <c r="F1227" t="inlineStr">
        <is>
          <t>High</t>
        </is>
      </c>
      <c r="G1227" t="inlineStr">
        <is>
          <t>High (explicit)</t>
        </is>
      </c>
      <c r="H1227" s="11" t="inlineStr">
        <is>
          <t>Cross-border Transfer, Financial Data</t>
        </is>
      </c>
      <c r="I1227" s="11" t="inlineStr">
        <is>
          <t>Financial Data</t>
        </is>
      </c>
      <c r="J1227" t="inlineStr">
        <is>
          <t>ESMA</t>
        </is>
      </c>
      <c r="K1227" s="11" t="inlineStr">
        <is>
          <t>This section mandates that trading venues adjust fees for cancelled orders based on duration and financial instrument type. Member States must allow venues to impose higher fees for frequent cancellations or high-frequency algorithmic trading to reflect system capacity burdens. Investment firms providing direct electronic market access must implement robust client suitability assessments and risk controls, retaining responsibility for client trades.</t>
        </is>
      </c>
      <c r="L1227" s="11" t="inlineStr">
        <is>
          <t>Requires specific fee structures for algorithmic trading and client suitability checks that impact cross-border data transfers involving trading venues and investment firms.</t>
        </is>
      </c>
      <c r="M1227" s="11" t="inlineStr">
        <is>
          <t>• [Must] Trading venues must adjust fees for cancelled orders based on duration and financial instrument type
• [Must] Member States allow venues to impose higher fees for frequent cancellations or high-frequency algorithmic trading
• [Must] Investment firms providing direct electronic market access must assess client suitability</t>
        </is>
      </c>
      <c r="N1227" s="11" t="inlineStr">
        <is>
          <t>• [Must] Investment firms must implement risk controls for client trading via their systems
• [Must] Investment firms retain responsibility for client trades through their systems
• [Must] Detailed organizational requirements for algorithmic trading must be prescribed in regulatory technical standards</t>
        </is>
      </c>
      <c r="O1227" s="11" t="inlineStr">
        <is>
          <t>It is appropriate to ban the provision of direct electronic access to markets by investment firms for their clients where such access is not subject to proper systems and controls.</t>
        </is>
      </c>
      <c r="P1227" s="12" t="n">
        <v>27</v>
      </c>
    </row>
    <row r="1228">
      <c r="A1228" t="inlineStr">
        <is>
          <t>GDPR</t>
        </is>
      </c>
      <c r="B1228" t="inlineStr">
        <is>
          <t>CELEX_32014L0065_EN_TXT (GDPR - Row 16)</t>
        </is>
      </c>
      <c r="C1228" t="inlineStr">
        <is>
          <t>2010 (part 3)</t>
        </is>
      </c>
      <c r="D1228" s="11" t="inlineStr">
        <is>
          <t>Investment advice and client protection requirements</t>
        </is>
      </c>
      <c r="E1228" t="inlineStr">
        <is>
          <t>14–16</t>
        </is>
      </c>
      <c r="F1228" t="inlineStr">
        <is>
          <t>High</t>
        </is>
      </c>
      <c r="G1228" t="inlineStr">
        <is>
          <t>High (explicit)</t>
        </is>
      </c>
      <c r="H1228" s="11" t="inlineStr">
        <is>
          <t>Financial Data, Cross-border Transfer</t>
        </is>
      </c>
      <c r="I1228" s="11" t="inlineStr">
        <is>
          <t>Financial Data</t>
        </is>
      </c>
      <c r="J1228" t="inlineStr">
        <is>
          <t>ESMA</t>
        </is>
      </c>
      <c r="K1228" s="11" t="inlineStr">
        <is>
          <t>This section requires investment firms to provide detailed suitability assessments for clients, disclose costs of advice, and ensure independence in recommendations. Firms must avoid conflicts of interest through remuneration structures, and cannot accept third-party fees without transferring them to clients. Investment firms must also ensure staff competence in complex products and avoid cross-selling practices that distort client choice.</t>
        </is>
      </c>
      <c r="L1228" s="11" t="inlineStr">
        <is>
          <t>Mandates detailed client suitability assessments and fee transparency that affect data transfers related to investment advice and financial products.</t>
        </is>
      </c>
      <c r="M1228" s="11" t="inlineStr">
        <is>
          <t>• [Must] Investment firms must provide written suitability statements in durable media including electronic form
• [Must] Firms must disclose costs of advice and basis of recommendations to clients
• [Must] Firms must ensure independence in recommendations by avoiding third-party fees
• [Must] Firms must transfer all third-party payments to clients without offsetting</t>
        </is>
      </c>
      <c r="N1228" s="11" t="inlineStr">
        <is>
          <t>• [Must] Firms must avoid remuneration structures that conflict with client best interests
• [Must] Firms must ensure staff competence in complex financial products
• [Must] Firms must not engage in cross-selling practices that distort client choice</t>
        </is>
      </c>
      <c r="O1228" s="11" t="inlineStr">
        <is>
          <t>Investment firms should specify in a written statement on suitability how the advice given meets the preferences, needs and other characteristics of the retail client.</t>
        </is>
      </c>
      <c r="P1228" s="12" t="n">
        <v>27</v>
      </c>
    </row>
    <row r="1229">
      <c r="A1229" t="inlineStr">
        <is>
          <t>GDPR</t>
        </is>
      </c>
      <c r="B1229" t="inlineStr">
        <is>
          <t>CELEX_32014L0065_EN_TXT (GDPR - Row 16)</t>
        </is>
      </c>
      <c r="C1229" t="inlineStr">
        <is>
          <t>2010 (part 4)</t>
        </is>
      </c>
      <c r="D1229" s="11" t="inlineStr">
        <is>
          <t>Exclusion of pension products from scope of Directive</t>
        </is>
      </c>
      <c r="E1229" t="inlineStr">
        <is>
          <t>16–18</t>
        </is>
      </c>
      <c r="F1229" t="inlineStr">
        <is>
          <t>High</t>
        </is>
      </c>
      <c r="G1229" t="inlineStr">
        <is>
          <t>High (explicit)</t>
        </is>
      </c>
      <c r="H1229" s="11" t="inlineStr">
        <is>
          <t>Financial Data, Customer Information</t>
        </is>
      </c>
      <c r="I1229" s="11" t="inlineStr">
        <is>
          <t>Financial Data</t>
        </is>
      </c>
      <c r="J1229" t="inlineStr"/>
      <c r="K1229" s="11" t="inlineStr">
        <is>
          <t>This section excludes individual and occupational pension products from the Directive's scope due to their specific purpose of providing retirement income. It also excludes insurance-based investment products that do not offer investment opportunities and are solely exposed to interest rates. These exclusions are made considering the products' particularities and objectives.</t>
        </is>
      </c>
      <c r="L1229" s="11" t="inlineStr">
        <is>
          <t>Excludes specific pension and insurance products from the scope of the Directive, which may impact data transfer assessments for these products.</t>
        </is>
      </c>
      <c r="M1229" s="11" t="inlineStr">
        <is>
          <t>• [Must] Individual and occupational pension products with primary purpose of providing retirement income should be excluded from the Directive's scope</t>
        </is>
      </c>
      <c r="N1229" s="11" t="inlineStr">
        <is>
          <t>• [Must] Insurance-based investment products that do not offer investment opportunities and are solely exposed to interest rates should be excluded from the Directive's scope</t>
        </is>
      </c>
      <c r="O1229" s="11" t="inlineStr">
        <is>
          <t>(89) Insurance-based investment products that do not offer investment opportunities and deposits solely exposed to interest rates should be excluded from the scope of this Directive. Individual and occupational pension products, having the primary purpose of providing the investor an income in retirement, should be excluded from the scope of this Directive, in consideration of their particularities and objectives.</t>
        </is>
      </c>
      <c r="P1229" s="12" t="n">
        <v>27</v>
      </c>
    </row>
    <row r="1230">
      <c r="A1230" t="inlineStr">
        <is>
          <t>GDPR</t>
        </is>
      </c>
      <c r="B1230" t="inlineStr">
        <is>
          <t>CELEX_32014L0065_EN_TXT (GDPR - Row 16)</t>
        </is>
      </c>
      <c r="C1230" t="inlineStr">
        <is>
          <t>2010 (part 5)</t>
        </is>
      </c>
      <c r="D1230" s="11" t="inlineStr">
        <is>
          <t>Cross-border transactions and third-country firms in the Union</t>
        </is>
      </c>
      <c r="E1230" t="inlineStr">
        <is>
          <t>18–20</t>
        </is>
      </c>
      <c r="F1230" t="inlineStr">
        <is>
          <t>High</t>
        </is>
      </c>
      <c r="G1230" t="inlineStr">
        <is>
          <t>High (explicit)</t>
        </is>
      </c>
      <c r="H1230" s="11" t="inlineStr">
        <is>
          <t>Cross-border Transfer, Financial Data, Customer Information</t>
        </is>
      </c>
      <c r="I1230" s="11" t="inlineStr">
        <is>
          <t>Financial Data</t>
        </is>
      </c>
      <c r="J1230" t="inlineStr"/>
      <c r="K1230" s="11" t="inlineStr">
        <is>
          <t>This section addresses access to clearing and settlement systems across the Union for investment firms, third-country firms' regulatory requirements, and the distinction between services provided at the client's exclusive initiative versus solicitation within the Union. It specifies that third-country firms must comply with national regimes and that services provided at the client's exclusive initiative are not deemed as provided within the Union.</t>
        </is>
      </c>
      <c r="L1230" s="11" t="inlineStr">
        <is>
          <t>Regulates cross-border transactions and third-country firms' activities, impacting data transfer assessments for financial services across borders.</t>
        </is>
      </c>
      <c r="M1230" s="11" t="inlineStr">
        <is>
          <t>• [Must] Investment firms should have access to clearing and settlement systems throughout the Union regardless of where transactions were concluded
• [Must] Third-country firms must comply with national regimes and requirements when operating in the Union</t>
        </is>
      </c>
      <c r="N1230" s="11" t="inlineStr">
        <is>
          <t>• [Must] Services provided at the client's exclusive initiative by third-country firms are not deemed as provided within the Union
• [Must] Third-country firms that solicit clients or promote services within the Union are deemed to be providing services within the Union</t>
        </is>
      </c>
      <c r="O1230" s="11" t="inlineStr">
        <is>
          <t>(108) In order to facilitate the finalisation of cross-border transactions, it is appropriate to provide for access to clearing and settlement systems throughout the Union by investment firms, irrespective of whether transactions have been concluded through regulated markets in the Member State concerned.</t>
        </is>
      </c>
      <c r="P1230" s="12" t="n">
        <v>27</v>
      </c>
    </row>
    <row r="1231">
      <c r="A1231" t="inlineStr">
        <is>
          <t>GDPR</t>
        </is>
      </c>
      <c r="B1231" t="inlineStr">
        <is>
          <t>CELEX_32014L0065_EN_TXT (GDPR - Row 16)</t>
        </is>
      </c>
      <c r="C1231" t="inlineStr">
        <is>
          <t>2010 (part 6)</t>
        </is>
      </c>
      <c r="D1231" s="11" t="inlineStr">
        <is>
          <t>Competent authorities for financial market oversight</t>
        </is>
      </c>
      <c r="E1231" t="inlineStr">
        <is>
          <t>20–22</t>
        </is>
      </c>
      <c r="F1231" t="inlineStr">
        <is>
          <t>High</t>
        </is>
      </c>
      <c r="G1231" t="inlineStr">
        <is>
          <t>High (explicit)</t>
        </is>
      </c>
      <c r="H1231" s="11" t="inlineStr">
        <is>
          <t>Cross-border Transfer, International Processing</t>
        </is>
      </c>
      <c r="I1231" s="11" t="inlineStr">
        <is>
          <t>Financial Data</t>
        </is>
      </c>
      <c r="J1231" t="inlineStr">
        <is>
          <t>ESMA</t>
        </is>
      </c>
      <c r="K1231" s="11" t="inlineStr">
        <is>
          <t>Member States must designate independent public authorities to enforce financial market obligations. These authorities must be funded through national law and can delegate responsibilities without excluding national oversight. The directive requires coordination mechanisms between national authorities to ensure efficient communication on market abuse and disruptions, facilitated by ESMA.</t>
        </is>
      </c>
      <c r="L1231" s="11" t="inlineStr">
        <is>
          <t>This section establishes requirements for competent authorities to ensure effective oversight of financial markets across borders, including coordination mechanisms and information sharing with ESMA. It impacts DTIAs by mandating cross-border regulatory cooperation for market abuse prevention.</t>
        </is>
      </c>
      <c r="M1231" s="11" t="inlineStr">
        <is>
          <t>• [Must] Member States must designate independent public authorities to enforce financial market obligations
• [Must] Competent authorities must be funded through national law</t>
        </is>
      </c>
      <c r="N1231" s="11" t="inlineStr">
        <is>
          <t>• [May] Competent authorities may delegate responsibilities without excluding national oversight
• [Must] National authorities must establish coordination mechanisms with ESMA for efficient communication on market abuse and disruptions</t>
        </is>
      </c>
      <c r="O1231" s="11" t="inlineStr">
        <is>
          <t>Member States should be able to designate different competent authorities to enforce the wide-ranging obligations laid down in this Directive. Such authorities should be of a public nature guaranteeing their independence from economic actors and avoiding conflicts of interest.</t>
        </is>
      </c>
      <c r="P1231" s="12" t="n">
        <v>27</v>
      </c>
    </row>
    <row r="1232">
      <c r="A1232" t="inlineStr">
        <is>
          <t>GDPR</t>
        </is>
      </c>
      <c r="B1232" t="inlineStr">
        <is>
          <t>CELEX_32014L0065_EN_TXT (GDPR - Row 16)</t>
        </is>
      </c>
      <c r="C1232" t="inlineStr">
        <is>
          <t>2010 (part 8)</t>
        </is>
      </c>
      <c r="D1232" s="11" t="inlineStr">
        <is>
          <t>Cross-border data transfers for financial authorities</t>
        </is>
      </c>
      <c r="E1232" t="inlineStr">
        <is>
          <t>24–26</t>
        </is>
      </c>
      <c r="F1232" t="inlineStr">
        <is>
          <t>High</t>
        </is>
      </c>
      <c r="G1232" t="inlineStr">
        <is>
          <t>High (explicit)</t>
        </is>
      </c>
      <c r="H1232" s="11" t="inlineStr">
        <is>
          <t>Cross-border Transfer, International Processing, Data Sharing, Security</t>
        </is>
      </c>
      <c r="I1232" s="11" t="inlineStr">
        <is>
          <t>Financial Data</t>
        </is>
      </c>
      <c r="J1232" t="inlineStr">
        <is>
          <t>ESMA</t>
        </is>
      </c>
      <c r="K1232" s="11" t="inlineStr">
        <is>
          <t>Competent authorities must transfer personal data between Member States following rules for third-country transfers under Directive 95/46/EC and Regulation 45/2001. They must provide relevant information for effective enforcement, including in cross-border infringement cases, while maintaining strict professional secrecy to protect rights and ensure smooth transmission.</t>
        </is>
      </c>
      <c r="L1232" s="11" t="inlineStr">
        <is>
          <t>Requires cross-border data transfers between financial authorities to comply with specific third-country transfer rules and professional secrecy, impacting DTIA for financial data exchanges.</t>
        </is>
      </c>
      <c r="M1232" s="11" t="inlineStr">
        <is>
          <t>• [Must] Competent authorities must transfer personal data between Member States following rules for third-country transfers under Directive 95/46/EC
• [Must] Competent authorities must transfer personal data with third countries following rules for third-country transfers under Regulation 45/2001</t>
        </is>
      </c>
      <c r="N1232" s="11" t="inlineStr">
        <is>
          <t>• [Must] Competent authorities must provide relevant information for effective enforcement across borders
• [Must] Competent authorities must maintain strict professional secrecy during information exchanges</t>
        </is>
      </c>
      <c r="O1232" s="11" t="inlineStr">
        <is>
          <t>(152) Any exchange or transmission of information between competent authorities, other authorities, bodies or persons should be in accordance with the rules on transfer of personal data to third countries as laid down in Directive 95/46/EC.</t>
        </is>
      </c>
      <c r="P1232" s="12" t="n">
        <v>27</v>
      </c>
    </row>
    <row r="1233">
      <c r="A1233" t="inlineStr">
        <is>
          <t>GDPR</t>
        </is>
      </c>
      <c r="B1233" t="inlineStr">
        <is>
          <t>CELEX_32014L0065_EN_TXT (GDPR - Row 16)</t>
        </is>
      </c>
      <c r="C1233" t="inlineStr">
        <is>
          <t>2010 (part 9)</t>
        </is>
      </c>
      <c r="D1233" s="11" t="inlineStr">
        <is>
          <t>Cross-border data transfers for financial authorities</t>
        </is>
      </c>
      <c r="E1233" t="inlineStr">
        <is>
          <t>26</t>
        </is>
      </c>
      <c r="F1233" t="inlineStr">
        <is>
          <t>High</t>
        </is>
      </c>
      <c r="G1233" t="inlineStr">
        <is>
          <t>High (explicit)</t>
        </is>
      </c>
      <c r="H1233" s="11" t="inlineStr">
        <is>
          <t>Cross-border Transfer, International Processing, Data Sharing, Security</t>
        </is>
      </c>
      <c r="I1233" s="11" t="inlineStr">
        <is>
          <t>Financial Data</t>
        </is>
      </c>
      <c r="J1233" t="inlineStr">
        <is>
          <t>ESMA</t>
        </is>
      </c>
      <c r="K1233" s="11" t="inlineStr">
        <is>
          <t>Competent authorities must exchange information across borders to ensure effective enforcement of financial regulations, including in cross-border infringement cases. Strict professional secrecy is required to protect rights and ensure smooth transmission of information during exchanges.</t>
        </is>
      </c>
      <c r="L1233" s="11" t="inlineStr">
        <is>
          <t>Requires cross-border data exchanges between financial authorities with professional secrecy, impacting DTIA for financial data transfers.</t>
        </is>
      </c>
      <c r="M1233" s="11" t="inlineStr">
        <is>
          <t>• [Must] Competent authorities must provide relevant information for effective enforcement across borders</t>
        </is>
      </c>
      <c r="N1233" s="11" t="inlineStr">
        <is>
          <t>• [Must] Competent authorities must maintain strict professional secrecy during information exchanges</t>
        </is>
      </c>
      <c r="O1233" s="11" t="inlineStr">
        <is>
          <t>(153) Due to increasing cross-border activity, competent authorities should provide each other with the relevant information for the exercise of their functions, so as to ensure the effective enforcement of this Directive, including in situations where infringements or suspected infringements may be of concern to authorities in two or more Member States.</t>
        </is>
      </c>
      <c r="P1233" s="12" t="n">
        <v>27</v>
      </c>
    </row>
    <row r="1234">
      <c r="A1234" t="inlineStr">
        <is>
          <t>GDPR</t>
        </is>
      </c>
      <c r="B1234" t="inlineStr">
        <is>
          <t>CELEX_32015L2366_EN_TXT (GDPR - Row 18)</t>
        </is>
      </c>
      <c r="C1234" t="inlineStr">
        <is>
          <t>1</t>
        </is>
      </c>
      <c r="D1234" s="11" t="inlineStr">
        <is>
          <t>Payment account services definition</t>
        </is>
      </c>
      <c r="E1234" t="inlineStr">
        <is>
          <t>3</t>
        </is>
      </c>
      <c r="F1234" t="inlineStr">
        <is>
          <t>Medium</t>
        </is>
      </c>
      <c r="G1234" t="inlineStr">
        <is>
          <t>High (explicit)</t>
        </is>
      </c>
      <c r="H1234" s="11" t="inlineStr"/>
      <c r="I1234" s="11" t="inlineStr"/>
      <c r="J1234" t="inlineStr"/>
      <c r="K1234" s="11" t="inlineStr">
        <is>
          <t>This section defines payment account services as services that enable cash to be placed on a payment account and all operations required for operating a payment account. It provides a clear scope for payment services under the directive.</t>
        </is>
      </c>
      <c r="L1234" s="11" t="inlineStr"/>
      <c r="M1234" s="11" t="inlineStr">
        <is>
          <t>• [Definition] Services enabling cash to be placed on a payment account as well as all the operations required for operating a payment account</t>
        </is>
      </c>
      <c r="N1234" s="11" t="inlineStr"/>
      <c r="O1234" s="11" t="inlineStr">
        <is>
          <t>Services enabling cash to be placed on a payment account as well as all the operations required for operating a payment account.</t>
        </is>
      </c>
      <c r="P1234" s="12" t="n">
        <v>28</v>
      </c>
    </row>
    <row r="1235">
      <c r="A1235" t="inlineStr">
        <is>
          <t>GDPR</t>
        </is>
      </c>
      <c r="B1235" t="inlineStr">
        <is>
          <t>CELEX_32015L2366_EN_TXT (GDPR - Row 18)</t>
        </is>
      </c>
      <c r="C1235" t="inlineStr">
        <is>
          <t>2</t>
        </is>
      </c>
      <c r="D1235" s="11" t="inlineStr">
        <is>
          <t>Payment account withdrawal services definition</t>
        </is>
      </c>
      <c r="E1235" t="inlineStr">
        <is>
          <t>2</t>
        </is>
      </c>
      <c r="F1235" t="inlineStr">
        <is>
          <t>Medium</t>
        </is>
      </c>
      <c r="G1235" t="inlineStr">
        <is>
          <t>High (explicit)</t>
        </is>
      </c>
      <c r="H1235" s="11" t="inlineStr"/>
      <c r="I1235" s="11" t="inlineStr"/>
      <c r="J1235" t="inlineStr"/>
      <c r="K1235" s="11" t="inlineStr">
        <is>
          <t>This section defines payment account withdrawal services as services that enable cash withdrawals from a payment account and all operations required for operating a payment account. It clarifies the scope of withdrawal services under the directive.</t>
        </is>
      </c>
      <c r="L1235" s="11" t="inlineStr"/>
      <c r="M1235" s="11" t="inlineStr">
        <is>
          <t>• [Definition] Services enabling cash withdrawals from a payment account as well as all the operations required for operating a payment account</t>
        </is>
      </c>
      <c r="N1235" s="11" t="inlineStr"/>
      <c r="O1235" s="11" t="inlineStr">
        <is>
          <t>Services enabling cash withdrawals from a payment account as well as all the operations required for operating a payment account.</t>
        </is>
      </c>
      <c r="P1235" s="12" t="n">
        <v>28</v>
      </c>
    </row>
    <row r="1236">
      <c r="A1236" t="inlineStr">
        <is>
          <t>GDPR</t>
        </is>
      </c>
      <c r="B1236" t="inlineStr">
        <is>
          <t>CELEX_32015L2366_EN_TXT (GDPR - Row 18)</t>
        </is>
      </c>
      <c r="C1236" t="inlineStr">
        <is>
          <t>3</t>
        </is>
      </c>
      <c r="D1236" s="11" t="inlineStr">
        <is>
          <t>Payment transaction execution definition</t>
        </is>
      </c>
      <c r="E1236" t="inlineStr">
        <is>
          <t>2–3</t>
        </is>
      </c>
      <c r="F1236" t="inlineStr">
        <is>
          <t>Medium</t>
        </is>
      </c>
      <c r="G1236" t="inlineStr">
        <is>
          <t>High (explicit)</t>
        </is>
      </c>
      <c r="H1236" s="11" t="inlineStr"/>
      <c r="I1236" s="11" t="inlineStr"/>
      <c r="J1236" t="inlineStr"/>
      <c r="K1236" s="11" t="inlineStr">
        <is>
          <t>This section defines payment transaction execution services as services that include direct debits, payment card transactions, and credit transfers. It specifies the types of payment transactions covered under the directive.</t>
        </is>
      </c>
      <c r="L1236" s="11" t="inlineStr"/>
      <c r="M1236" s="11" t="inlineStr">
        <is>
          <t>• [Definition] Execution of payment transactions, including transfers of funds on a payment account with the user's payment service provider or with another payment service provider</t>
        </is>
      </c>
      <c r="N1236" s="11" t="inlineStr"/>
      <c r="O1236" s="11" t="inlineStr">
        <is>
          <t>Execution of payment transactions, including transfers of funds on a payment account with the user's payment service provider or with another payment service provider: (a) execution of direct debits, including one-off direct debits; (b) execution of payment transactions through a payment card or a similar device; (c) execution of credit transfers, including standing orders.</t>
        </is>
      </c>
      <c r="P1236" s="12" t="n">
        <v>28</v>
      </c>
    </row>
    <row r="1237">
      <c r="A1237" t="inlineStr">
        <is>
          <t>GDPR</t>
        </is>
      </c>
      <c r="B1237" t="inlineStr">
        <is>
          <t>CELEX_32015L2366_EN_TXT (GDPR - Row 18)</t>
        </is>
      </c>
      <c r="C1237" t="inlineStr">
        <is>
          <t>4</t>
        </is>
      </c>
      <c r="D1237" s="11" t="inlineStr">
        <is>
          <t>Execution of payment transactions using credit lines</t>
        </is>
      </c>
      <c r="E1237" t="inlineStr">
        <is>
          <t>4</t>
        </is>
      </c>
      <c r="F1237" t="inlineStr">
        <is>
          <t>High</t>
        </is>
      </c>
      <c r="G1237" t="inlineStr">
        <is>
          <t>High (explicit)</t>
        </is>
      </c>
      <c r="H1237" s="11" t="inlineStr">
        <is>
          <t>Cross-border Transfer</t>
        </is>
      </c>
      <c r="I1237" s="11" t="inlineStr">
        <is>
          <t>Financial Data</t>
        </is>
      </c>
      <c r="J1237" t="inlineStr"/>
      <c r="K1237" s="11" t="inlineStr">
        <is>
          <t>This section specifies payment transaction execution methods that use credit lines for payment service users. It includes direct debits, payment cards, and credit transfers. These activities are covered under the payment service framework where funds are backed by credit lines.</t>
        </is>
      </c>
      <c r="L1237" s="11" t="inlineStr">
        <is>
          <t>This section defines payment transaction execution methods that may involve cross-border data transfers, requiring assessment of credit line mechanisms for payment services.</t>
        </is>
      </c>
      <c r="M1237" s="11" t="inlineStr"/>
      <c r="N1237" s="11" t="inlineStr"/>
      <c r="O1237" s="11" t="inlineStr">
        <is>
          <t>4. Execution of payment transactions where the funds are covered by a credit line for a payment service user: (a) execution of direct debits, including one-off direct debits; (b) execution of payment transactions through a payment card or a similar device; (c) execution of credit transfers, including standing orders.</t>
        </is>
      </c>
      <c r="P1237" s="12" t="n">
        <v>28</v>
      </c>
    </row>
    <row r="1238">
      <c r="A1238" t="inlineStr">
        <is>
          <t>GDPR</t>
        </is>
      </c>
      <c r="B1238" t="inlineStr">
        <is>
          <t>CELEX_32015L2366_EN_TXT (GDPR - Row 18)</t>
        </is>
      </c>
      <c r="C1238" t="inlineStr">
        <is>
          <t>5</t>
        </is>
      </c>
      <c r="D1238" s="11" t="inlineStr">
        <is>
          <t>Transitional period for payment service providers</t>
        </is>
      </c>
      <c r="E1238" t="inlineStr">
        <is>
          <t>4</t>
        </is>
      </c>
      <c r="F1238" t="inlineStr">
        <is>
          <t>High</t>
        </is>
      </c>
      <c r="G1238" t="inlineStr">
        <is>
          <t>High (explicit)</t>
        </is>
      </c>
      <c r="H1238" s="11" t="inlineStr">
        <is>
          <t>Cross-border Transfer</t>
        </is>
      </c>
      <c r="I1238" s="11" t="inlineStr">
        <is>
          <t>Financial Data</t>
        </is>
      </c>
      <c r="J1238" t="inlineStr"/>
      <c r="K1238" s="11" t="inlineStr">
        <is>
          <t>Member States cannot prohibit payment service providers that were active before January 12, 2016, from continuing their operations during a transitional period. This transitional period allows providers to maintain their services under existing regulatory frameworks until they comply with new standards.</t>
        </is>
      </c>
      <c r="L1238" s="11" t="inlineStr">
        <is>
          <t>This section ensures payment service providers can continue operations during a transitional period without being blocked from cross-border data transfers, which is critical for DTIA planning in the early stages of implementation.</t>
        </is>
      </c>
      <c r="M1238" s="11" t="inlineStr">
        <is>
          <t>• [Must Not] Member States shall not forbid legal persons that have performed in their territories, before 12 January 2016, activities of payment initiation service providers and account information service providers</t>
        </is>
      </c>
      <c r="N1238" s="11" t="inlineStr">
        <is>
          <t>• [Must] to continue to perform the same activities in their territories during the transitional period referred to in paragraphs 2 and 4 in accordance with the currently applicable regulatory framework</t>
        </is>
      </c>
      <c r="O1238" s="11" t="inlineStr">
        <is>
          <t>Member States shall not forbid legal persons that have performed in their territories, before 12 January 2016, activities of payment initiation service providers and account information service providers within the meaning of this Directive, to continue to perform the same activities in their territories during the transitional period referred to in paragraphs 2 and 4 in accordance with the currently applicable regulatory framework.</t>
        </is>
      </c>
      <c r="P1238" s="12" t="n">
        <v>28</v>
      </c>
    </row>
    <row r="1239">
      <c r="A1239" t="inlineStr">
        <is>
          <t>GDPR</t>
        </is>
      </c>
      <c r="B1239" t="inlineStr">
        <is>
          <t>CELEX_32015L2366_EN_TXT (GDPR - Row 18)</t>
        </is>
      </c>
      <c r="C1239" t="inlineStr">
        <is>
          <t>6</t>
        </is>
      </c>
      <c r="D1239" s="11" t="inlineStr">
        <is>
          <t>Preventing payment service abuse during transition</t>
        </is>
      </c>
      <c r="E1239" t="inlineStr">
        <is>
          <t>7</t>
        </is>
      </c>
      <c r="F1239" t="inlineStr">
        <is>
          <t>High</t>
        </is>
      </c>
      <c r="G1239" t="inlineStr">
        <is>
          <t>High (explicit)</t>
        </is>
      </c>
      <c r="H1239" s="11" t="inlineStr">
        <is>
          <t>Security</t>
        </is>
      </c>
      <c r="I1239" s="11" t="inlineStr">
        <is>
          <t>Financial Data</t>
        </is>
      </c>
      <c r="J1239" t="inlineStr"/>
      <c r="K1239" s="11" t="inlineStr">
        <is>
          <t>Member States must prevent payment service providers from blocking or obstructing payment services for accounts they service if they are not yet compliant with regulatory technical standards. This ensures uninterrupted access to payment services during the transition period.</t>
        </is>
      </c>
      <c r="L1239" s="11" t="inlineStr">
        <is>
          <t>This section addresses the risk of payment service providers abusing non-compliance to disrupt services, which is critical for DTIA to ensure continuous data flow and service availability during regulatory transitions.</t>
        </is>
      </c>
      <c r="M1239" s="11" t="inlineStr">
        <is>
          <t>• [Must] Member States shall ensure that until individual account servicing payment service providers comply with the regulatory technical standards referred to in paragraph 4</t>
        </is>
      </c>
      <c r="N1239" s="11" t="inlineStr">
        <is>
          <t>• [Must Not] account servicing payment service providers do not abuse their non-compliance to block or obstruct the use of payment initiation and account information services for the accounts that they are servicing</t>
        </is>
      </c>
      <c r="O1239" s="11" t="inlineStr">
        <is>
          <t>Member States shall ensure that until individual account servicing payment service providers comply with the regulatory technical standards referred to in paragraph 4, account servicing payment service providers do not abuse their non-compliance to block or obstruct the use of payment initiation and account information services for the accounts that they are servicing.</t>
        </is>
      </c>
      <c r="P1239" s="12" t="n">
        <v>28</v>
      </c>
    </row>
    <row r="1240">
      <c r="A1240" t="inlineStr">
        <is>
          <t>GDPR</t>
        </is>
      </c>
      <c r="B1240" t="inlineStr">
        <is>
          <t>CELEX_32018L1673_EN_TXT (GDPR - Row 2)</t>
        </is>
      </c>
      <c r="C1240" t="inlineStr">
        <is>
          <t>1</t>
        </is>
      </c>
      <c r="D1240" s="11" t="inlineStr">
        <is>
          <t>Member States must implement GDPR-compliant laws by deadline</t>
        </is>
      </c>
      <c r="E1240" t="inlineStr">
        <is>
          <t>4–5</t>
        </is>
      </c>
      <c r="F1240" t="inlineStr">
        <is>
          <t>Medium</t>
        </is>
      </c>
      <c r="G1240" t="inlineStr">
        <is>
          <t>High (explicit)</t>
        </is>
      </c>
      <c r="H1240" s="11" t="inlineStr">
        <is>
          <t>Cross-border Transfer, Governance, Record Keeping</t>
        </is>
      </c>
      <c r="I1240" s="11" t="inlineStr">
        <is>
          <t>Personal Information</t>
        </is>
      </c>
      <c r="J1240" t="inlineStr">
        <is>
          <t>European Commission</t>
        </is>
      </c>
      <c r="K1240" s="11" t="inlineStr">
        <is>
          <t>Member States are required to enact national laws, regulations, and administrative provisions that comply with the GDPR by 3 December 2020. They must immediately notify the European Commission of these measures and ensure their official publications include a reference to this Directive. Member States must also establish methods for making such references.</t>
        </is>
      </c>
      <c r="L1240" s="11" t="inlineStr">
        <is>
          <t>This section establishes a deadline for Member States to implement GDPR-compliant laws, which affects the timeline for data transfer impact assessments in national jurisdictions.</t>
        </is>
      </c>
      <c r="M1240" s="11" t="inlineStr">
        <is>
          <t>• [Must] Member States must enact national laws, regulations, and administrative provisions compliant with this Directive by 3 December 2020
• [Must] Member States must immediately inform the Commission of these measures</t>
        </is>
      </c>
      <c r="N1240" s="11" t="inlineStr">
        <is>
          <t>• [Must] Member States must ensure official publications include a reference to this Directive
• [Must] Member States must establish methods for making such references</t>
        </is>
      </c>
      <c r="O1240" s="11" t="inlineStr">
        <is>
          <t>Member States shall bring into force the laws, regulations and administrative provisions necessary to comply with this Directive by 3 December 2020. They shall immediately inform the Commission thereof.</t>
        </is>
      </c>
      <c r="P1240" s="12" t="n">
        <v>29</v>
      </c>
    </row>
    <row r="1241">
      <c r="A1241" t="inlineStr">
        <is>
          <t>GDPR</t>
        </is>
      </c>
      <c r="B1241" t="inlineStr">
        <is>
          <t>CELEX_32018L1673_EN_TXT (GDPR - Row 2)</t>
        </is>
      </c>
      <c r="C1241" t="inlineStr">
        <is>
          <t>2</t>
        </is>
      </c>
      <c r="D1241" s="11" t="inlineStr">
        <is>
          <t>Member States report national law provisions to Commission</t>
        </is>
      </c>
      <c r="E1241" t="inlineStr">
        <is>
          <t>5–6</t>
        </is>
      </c>
      <c r="F1241" t="inlineStr">
        <is>
          <t>Medium</t>
        </is>
      </c>
      <c r="G1241" t="inlineStr">
        <is>
          <t>High (explicit)</t>
        </is>
      </c>
      <c r="H1241" s="11" t="inlineStr">
        <is>
          <t>Cross-border Transfer, Governance, Record Keeping</t>
        </is>
      </c>
      <c r="I1241" s="11" t="inlineStr">
        <is>
          <t>Personal Information</t>
        </is>
      </c>
      <c r="J1241" t="inlineStr">
        <is>
          <t>European Commission</t>
        </is>
      </c>
      <c r="K1241" s="11" t="inlineStr">
        <is>
          <t>Member States must communicate the text of their main national law provisions adopted in the field covered by this Directive to the European Commission. This section also outlines reporting timelines for the Commission to assess Member States' compliance with the Directive by 2022 and 2023, including potential legislative amendments based on Member States' information.</t>
        </is>
      </c>
      <c r="L1241" s="11" t="inlineStr">
        <is>
          <t>This section requires Member States to report national law provisions to the Commission, which impacts the transparency and accountability of data transfer mechanisms across borders.</t>
        </is>
      </c>
      <c r="M1241" s="11" t="inlineStr">
        <is>
          <t>• [Must] Member States must communicate the text of their main national law provisions to the Commission
• [Must] Commission shall submit a report to the European Parliament and Council by 3 December 2022 assessing Member States' compliance with this Directive</t>
        </is>
      </c>
      <c r="N1241" s="11" t="inlineStr">
        <is>
          <t>• [Must] Commission shall submit a report to the European Parliament and Council by 3 December 2023 assessing the added value of this Directive for combating money laundering and impact on fundamental rights
• [May] Commission may present a legislative proposal to amend this Directive based on the reports</t>
        </is>
      </c>
      <c r="O1241" s="11" t="inlineStr">
        <is>
          <t>Member States shall communicate to the Commission the text of the main provisions of national law which they adopt in the field covered by this Directive.</t>
        </is>
      </c>
      <c r="P1241" s="12" t="n">
        <v>29</v>
      </c>
    </row>
    <row r="1242">
      <c r="A1242" t="inlineStr">
        <is>
          <t>GDPR</t>
        </is>
      </c>
      <c r="B1242" t="inlineStr">
        <is>
          <t>CELEX_32018L1673_EN_TXT (GDPR - Row 2)</t>
        </is>
      </c>
      <c r="C1242" t="inlineStr">
        <is>
          <t>3</t>
        </is>
      </c>
      <c r="D1242" s="11" t="inlineStr">
        <is>
          <t>Cooperation in multi-member state jurisdiction</t>
        </is>
      </c>
      <c r="E1242" t="inlineStr">
        <is>
          <t>7</t>
        </is>
      </c>
      <c r="F1242" t="inlineStr">
        <is>
          <t>None</t>
        </is>
      </c>
      <c r="G1242" t="inlineStr">
        <is>
          <t>High (explicit)</t>
        </is>
      </c>
      <c r="H1242" s="11" t="inlineStr"/>
      <c r="I1242" s="11" t="inlineStr"/>
      <c r="J1242" t="inlineStr"/>
      <c r="K1242" s="11" t="inlineStr">
        <is>
          <t>When multiple Member States have jurisdiction over the same offence, they must cooperate to decide which state will prosecute the offender, considering factors like offence territory, offender nationality/residency, victim country, and offender location. The matter may be referred to Eurojust for centralized proceedings.</t>
        </is>
      </c>
      <c r="L1242" s="11" t="inlineStr"/>
      <c r="M1242" s="11" t="inlineStr">
        <is>
          <t>• [Must] Member States concerned shall cooperate to decide which will prosecute the offender when multiple Member States have jurisdiction
• [Must] Account shall be taken of offence territory, offender nationality/residency, victim country, and offender location</t>
        </is>
      </c>
      <c r="N1242" s="11" t="inlineStr">
        <is>
          <t>• [Must] The matter shall be referred to Eurojust where appropriate and in accordance with Article 12 of Framework Decision 2009/948/JHA</t>
        </is>
      </c>
      <c r="O1242" s="11" t="inlineStr">
        <is>
          <t>Where an offence referred to in Articles 3 and 4 falls within the jurisdiction of more than one Member State and where any of the Member States concerned can validly prosecute on the basis of the same facts, the Member States concerned shall cooperate in order to decide which of them will prosecute the offender, with the aim of centralising proceedings in a single Member State.</t>
        </is>
      </c>
      <c r="P1242" s="12" t="n">
        <v>29</v>
      </c>
    </row>
    <row r="1243">
      <c r="A1243" t="inlineStr">
        <is>
          <t>GDPR</t>
        </is>
      </c>
      <c r="B1243" t="inlineStr">
        <is>
          <t>CELEX_32018L1673_EN_TXT (GDPR - Row 2)</t>
        </is>
      </c>
      <c r="C1243" t="inlineStr">
        <is>
          <t>4</t>
        </is>
      </c>
      <c r="D1243" s="11" t="inlineStr">
        <is>
          <t>Additional aggravating circumstances for financial crimes</t>
        </is>
      </c>
      <c r="E1243" t="inlineStr">
        <is>
          <t>7</t>
        </is>
      </c>
      <c r="F1243" t="inlineStr">
        <is>
          <t>High</t>
        </is>
      </c>
      <c r="G1243" t="inlineStr">
        <is>
          <t>High (explicit)</t>
        </is>
      </c>
      <c r="H1243" s="11" t="inlineStr"/>
      <c r="I1243" s="11" t="inlineStr">
        <is>
          <t>Financial Data</t>
        </is>
      </c>
      <c r="J1243" t="inlineStr"/>
      <c r="K1243" s="11" t="inlineStr">
        <is>
          <t>Member States may establish aggravating circumstances for financial crimes, including the value of laundered property or its origin from specific offences. These circumstances can lead to enhanced penalties for money laundering activities.</t>
        </is>
      </c>
      <c r="L1243" s="11" t="inlineStr">
        <is>
          <t>This section allows Member States to define additional aggravating factors for financial crimes, which may influence DTIA assessments for cross-border money laundering risks.</t>
        </is>
      </c>
      <c r="M1243" s="11" t="inlineStr">
        <is>
          <t>• [May] Member States may provide that the following circumstances are regarded as aggravating: (a) laundered property of considerable value; (b) laundered property derives from specific offences</t>
        </is>
      </c>
      <c r="N1243" s="11" t="inlineStr"/>
      <c r="O1243" s="11" t="inlineStr">
        <is>
          <t>Member States may provide that, in relation to the offences referred to in Article 3(1) and (5) and Article 4, the following circumstances are to be regarded as aggravating circumstances: (a) the laundered property is of considerable value; or (b) the laundered property derives from one of the offences referred to in points (a) to (e) and (h) of point (1) of Article 2.</t>
        </is>
      </c>
      <c r="P1243" s="12" t="n">
        <v>29</v>
      </c>
    </row>
    <row r="1244">
      <c r="A1244" t="inlineStr">
        <is>
          <t>GDPR</t>
        </is>
      </c>
      <c r="B1244" t="inlineStr">
        <is>
          <t>CELEX_32018L1673_EN_TXT (GDPR - Row 2)</t>
        </is>
      </c>
      <c r="C1244" t="inlineStr">
        <is>
          <t>5</t>
        </is>
      </c>
      <c r="D1244" s="11" t="inlineStr">
        <is>
          <t>Criminal penalties for specific financial offences</t>
        </is>
      </c>
      <c r="E1244" t="inlineStr">
        <is>
          <t>7</t>
        </is>
      </c>
      <c r="F1244" t="inlineStr">
        <is>
          <t>High</t>
        </is>
      </c>
      <c r="G1244" t="inlineStr">
        <is>
          <t>High (explicit)</t>
        </is>
      </c>
      <c r="H1244" s="11" t="inlineStr"/>
      <c r="I1244" s="11" t="inlineStr">
        <is>
          <t>Financial Data</t>
        </is>
      </c>
      <c r="J1244" t="inlineStr"/>
      <c r="K1244" s="11" t="inlineStr">
        <is>
          <t>Member States must establish criminal penalties that are effective, proportionate, and dissuasive for offences defined in Articles 3 and 4. These offences relate to financial crimes such as money laundering and related activities. The penalties must apply to natural persons who commit these offences.</t>
        </is>
      </c>
      <c r="L1244" s="11" t="inlineStr">
        <is>
          <t>This section establishes minimum criminal penalties for financial crimes, which may impact DTIA requirements for risk assessment of cross-border financial crime activities.</t>
        </is>
      </c>
      <c r="M1244" s="11" t="inlineStr">
        <is>
          <t>• [Must] Member States shall take necessary measures to ensure offences referred to in Articles 3 and 4 are punishable by effective, proportionate and dissuasive criminal penalties</t>
        </is>
      </c>
      <c r="N1244" s="11" t="inlineStr"/>
      <c r="O1244" s="11" t="inlineStr">
        <is>
          <t>Member States shall take the necessary measures to ensure that the offences referred to in Articles 3 and 4 are punishable by effective, proportionate and dissuasive criminal penalties.</t>
        </is>
      </c>
      <c r="P1244" s="12" t="n">
        <v>29</v>
      </c>
    </row>
    <row r="1245">
      <c r="A1245" t="inlineStr">
        <is>
          <t>GDPR</t>
        </is>
      </c>
      <c r="B1245" t="inlineStr">
        <is>
          <t>CELEX_32022L2555_EN_TXT (GDPR - Row 17)</t>
        </is>
      </c>
      <c r="C1245" t="inlineStr">
        <is>
          <t>2</t>
        </is>
      </c>
      <c r="D1245" s="11" t="inlineStr">
        <is>
          <t>Waste management entities</t>
        </is>
      </c>
      <c r="E1245" t="inlineStr">
        <is>
          <t>29</t>
        </is>
      </c>
      <c r="F1245" t="inlineStr">
        <is>
          <t>None</t>
        </is>
      </c>
      <c r="G1245" t="inlineStr">
        <is>
          <t>High (explicit)</t>
        </is>
      </c>
      <c r="H1245" s="11" t="inlineStr"/>
      <c r="I1245" s="11" t="inlineStr"/>
      <c r="J1245" t="inlineStr"/>
      <c r="K1245" s="11" t="inlineStr">
        <is>
          <t>This section identifies undertakings engaged in waste management as defined in Article 3(9) of Directive 2008/98/EC, excluding those where waste management is not their principal economic activity. These entities are subject to specific regulatory oversight under EU law.</t>
        </is>
      </c>
      <c r="L1245" s="11" t="inlineStr"/>
      <c r="M1245" s="11" t="inlineStr">
        <is>
          <t>• [Must] Undertakings carrying out waste management as defined in Article 3, point (9), of Directive 2008/98/EC</t>
        </is>
      </c>
      <c r="N1245" s="11" t="inlineStr">
        <is>
          <t>• [Must Not] Excluding undertakings for whom waste management is not their principal economic activity</t>
        </is>
      </c>
      <c r="O1245" s="11" t="inlineStr">
        <is>
          <t>2. Waste management Undertakings carrying out waste management as defined in Article 3, point (9), of Directive 2008/98/EC of the European Parliament and of the Council (1), excluding undertakings for whom waste management is not their principal economic activity</t>
        </is>
      </c>
      <c r="P1245" s="12" t="n">
        <v>30</v>
      </c>
    </row>
    <row r="1246">
      <c r="A1246" t="inlineStr">
        <is>
          <t>GDPR</t>
        </is>
      </c>
      <c r="B1246" t="inlineStr">
        <is>
          <t>CELEX_32022L2555_EN_TXT (GDPR - Row 17)</t>
        </is>
      </c>
      <c r="C1246" t="inlineStr">
        <is>
          <t>3</t>
        </is>
      </c>
      <c r="D1246" s="11" t="inlineStr">
        <is>
          <t>Commission guidelines for cybersecurity directives</t>
        </is>
      </c>
      <c r="E1246" t="inlineStr">
        <is>
          <t>31</t>
        </is>
      </c>
      <c r="F1246" t="inlineStr">
        <is>
          <t>Medium</t>
        </is>
      </c>
      <c r="G1246" t="inlineStr">
        <is>
          <t>Medium (merged from chunks)</t>
        </is>
      </c>
      <c r="H1246" s="11" t="inlineStr">
        <is>
          <t>Cross-border Transfer, Data Storage, Security</t>
        </is>
      </c>
      <c r="I1246" s="11" t="inlineStr">
        <is>
          <t>Personal Information</t>
        </is>
      </c>
      <c r="J1246" t="inlineStr"/>
      <c r="K1246" s="11" t="inlineStr">
        <is>
          <t>The Commission must issue guidelines by July 17, 2023, to clarify the application of paragraphs 1 and 2 of the directive. These guidelines must be reviewed regularly and incorporate observations from the Cooperation Group and ENISA. This section defines specific terms used in the GDPR context, including entities, managed service providers, and research organisations. These definitions clarify the scope of data subjects and processors involved in cross-border data transfers. The definitions are critical for determining which entities fall under GDPR applicability.</t>
        </is>
      </c>
      <c r="L1246" s="11" t="inlineStr">
        <is>
          <t>These definitions help DTIAs identify which entities and services are subject to GDPR's cross-border data transfer rules, ensuring accurate assessment of data flows.</t>
        </is>
      </c>
      <c r="M1246" s="11" t="inlineStr">
        <is>
          <t>• [Must] The Commission shall, by 17 July 2023, provide guidelines clarifying the application of paragraphs 1 and 2
• [Must] The Commission shall review those guidelines on a regular basis</t>
        </is>
      </c>
      <c r="N1246" s="11" t="inlineStr">
        <is>
          <t>• [Must] When preparing those guidelines, the Commission shall take into account any observations of the Cooperation Group and ENISA</t>
        </is>
      </c>
      <c r="O1246" s="11" t="inlineStr">
        <is>
          <t>The Commission shall, by 17 July 2023, provide guidelines clarifying the application of paragraphs 1 and 2. The Commission shall review those guidelines on a regular basis. When preparing those guidelines, the Commission shall take into account any observations of the Cooperation Group and ENISA.</t>
        </is>
      </c>
      <c r="P1246" s="12" t="n">
        <v>30</v>
      </c>
    </row>
    <row r="1247">
      <c r="A1247" t="inlineStr">
        <is>
          <t>GDPR</t>
        </is>
      </c>
      <c r="B1247" t="inlineStr">
        <is>
          <t>CELEX_32022L2555_EN_TXT (GDPR - Row 17)</t>
        </is>
      </c>
      <c r="C1247" t="inlineStr">
        <is>
          <t>3 (part 2)</t>
        </is>
      </c>
      <c r="D1247" s="11" t="inlineStr">
        <is>
          <t>Commission guidelines for cybersecurity equivalence assessment</t>
        </is>
      </c>
      <c r="E1247" t="inlineStr">
        <is>
          <t>36</t>
        </is>
      </c>
      <c r="F1247" t="inlineStr">
        <is>
          <t>High</t>
        </is>
      </c>
      <c r="G1247" t="inlineStr">
        <is>
          <t>High (explicit)</t>
        </is>
      </c>
      <c r="H1247" s="11" t="inlineStr">
        <is>
          <t>Security, Incident Reporting, Cross-border Transfer</t>
        </is>
      </c>
      <c r="I1247" s="11" t="inlineStr">
        <is>
          <t>Personal Information</t>
        </is>
      </c>
      <c r="J1247" t="inlineStr">
        <is>
          <t>European Commission</t>
        </is>
      </c>
      <c r="K1247" s="11" t="inlineStr">
        <is>
          <t>The European Commission must issue guidelines by July 17, 2023, to clarify how sector-specific cybersecurity requirements are assessed for equivalence with GDPR obligations, ensuring consistent application across Member States.</t>
        </is>
      </c>
      <c r="L1247" s="11" t="inlineStr">
        <is>
          <t>Provides a timeline for clarifying equivalence standards, critical for organizations to determine if their sector-specific cybersecurity measures meet GDPR requirements for cross-border data transfers.</t>
        </is>
      </c>
      <c r="M1247" s="11" t="inlineStr">
        <is>
          <t>• [Must] The Commission shall, by 17 July 2023, provide guidelines clarifying the application of paragraphs 1 and 2</t>
        </is>
      </c>
      <c r="N1247" s="11" t="inlineStr"/>
      <c r="O1247" s="11" t="inlineStr">
        <is>
          <t>The Commission shall, by 17 July 2023, provide guidelines clarifying the application of paragraphs 1 and 2.</t>
        </is>
      </c>
      <c r="P1247" s="12" t="n">
        <v>30</v>
      </c>
    </row>
    <row r="1248">
      <c r="A1248" t="inlineStr">
        <is>
          <t>GDPR</t>
        </is>
      </c>
      <c r="B1248" t="inlineStr">
        <is>
          <t>CELEX_32022L2555_EN_TXT (GDPR - Row 17)</t>
        </is>
      </c>
      <c r="C1248" t="inlineStr">
        <is>
          <t>4</t>
        </is>
      </c>
      <c r="D1248" s="11" t="inlineStr">
        <is>
          <t>Food production and distribution businesses</t>
        </is>
      </c>
      <c r="E1248" t="inlineStr">
        <is>
          <t>31–32</t>
        </is>
      </c>
      <c r="F1248" t="inlineStr">
        <is>
          <t>None</t>
        </is>
      </c>
      <c r="G1248" t="inlineStr">
        <is>
          <t>High (explicit)</t>
        </is>
      </c>
      <c r="H1248" s="11" t="inlineStr">
        <is>
          <t>Cross-border Transfer, International Processing, Data Storage, Security</t>
        </is>
      </c>
      <c r="I1248" s="11" t="inlineStr">
        <is>
          <t>Special Personal Information</t>
        </is>
      </c>
      <c r="J1248" t="inlineStr"/>
      <c r="K1248" s="11" t="inlineStr">
        <is>
          <t>This section defines food businesses engaged in wholesale distribution and industrial production and processing as per Regulation (EC) No 178/2002. These entities are subject to specific food safety and regulatory oversight mechanisms.</t>
        </is>
      </c>
      <c r="L1248" s="11" t="inlineStr"/>
      <c r="M1248" s="11" t="inlineStr">
        <is>
          <t>• [Must] Food businesses as defined in Article 3, point (2), of Regulation (EC) No 178/2002</t>
        </is>
      </c>
      <c r="N1248" s="11" t="inlineStr">
        <is>
          <t>• [Must] Engaged in wholesale distribution and industrial production and processing</t>
        </is>
      </c>
      <c r="O1248" s="11" t="inlineStr">
        <is>
          <t>4. Production, processing and dis­tribution of food Food businesses as defined in Article 3, point (2), of Regulation (EC) No 178/2002 of the European Parliament and of the Council (3) which are engaged in wholesale distribution and industrial production and processing</t>
        </is>
      </c>
      <c r="P1248" s="12" t="n">
        <v>30</v>
      </c>
    </row>
    <row r="1249">
      <c r="A1249" t="inlineStr">
        <is>
          <t>GDPR</t>
        </is>
      </c>
      <c r="B1249" t="inlineStr">
        <is>
          <t>CELEX_32022L2555_EN_TXT (GDPR - Row 17)</t>
        </is>
      </c>
      <c r="C1249" t="inlineStr">
        <is>
          <t>5</t>
        </is>
      </c>
      <c r="D1249" s="11" t="inlineStr">
        <is>
          <t>Manufacturing activities for specific sectors</t>
        </is>
      </c>
      <c r="E1249" t="inlineStr">
        <is>
          <t>30</t>
        </is>
      </c>
      <c r="F1249" t="inlineStr">
        <is>
          <t>None</t>
        </is>
      </c>
      <c r="G1249" t="inlineStr">
        <is>
          <t>High (explicit)</t>
        </is>
      </c>
      <c r="H1249" s="11" t="inlineStr">
        <is>
          <t>Cross-border Transfer, International Processing, Data Storage, Security</t>
        </is>
      </c>
      <c r="I1249" s="11" t="inlineStr">
        <is>
          <t>Special Personal Information</t>
        </is>
      </c>
      <c r="J1249" t="inlineStr"/>
      <c r="K1249" s="11" t="inlineStr">
        <is>
          <t>This section lists entities involved in manufacturing medical devices, in vitro diagnostic medical devices, computer/electronic products, electrical equipment, machinery, motor vehicles, and other transport equipment. Each category is defined by specific NACE Rev. 2 economic activities.</t>
        </is>
      </c>
      <c r="L1249" s="11" t="inlineStr"/>
      <c r="M1249" s="11" t="inlineStr">
        <is>
          <t>• [Must] Entities manufacturing medical devices as defined in Article 2, point (1), of Regulation (EU) 2017/745
• [Must] Entities manufacturing in vitro diagnostic medical devices as defined in Article 2, point (2), of Regulation (EU) 2017/746
• [Must] Undertakings carrying out economic activities in section C division 26 of NACE Rev. 2
• [Must] Undertakings carrying out economic activities in section C division 27 of NACE Rev. 2</t>
        </is>
      </c>
      <c r="N1249" s="11" t="inlineStr">
        <is>
          <t>• [Must] Undertakings carrying out economic activities in section C division 28 of NACE Rev. 2
• [Must] Undertakings carrying out economic activities in section C division 29 of NACE Rev. 2
• [Must] Undertakings carrying out economic activities in section C division 30 of NACE Rev. 2</t>
        </is>
      </c>
      <c r="O1249" s="11" t="inlineStr">
        <is>
          <t>5. Manufacturing (a) Manufacture of medical devices and in vitro diagnostic medical devices Entities manufacturing medical devices as defined in Article 2, point (1), of Regulation (EU) 2017/745 of the European Parliament and of the Council (4), and entities manufacturing in vitro diagnostic medical devices as defined in Article 2, point (2), of Regulation (EU) 2017/746 of the European Parliament and of the Council (5) with the exception of entities manufacturing medical devices referred to in Annex I, point 5, fifth indent, of this Directive (b) Manufacture of computer, electronic and optical products Undertakings carrying out any of the economic activities referred to in section C division 26 of NACE Rev. 2 (c) Manufacture of electrical equipment Undertakings carrying out any of the economic activities referred to in section C division 27 of NACE Rev. 2 (d) Manufacture of machinery and equipment n.e.c. Undertakings carrying out any of the economic activities referred to in section C division 28 of NACE Rev. 2 (e) Manufacture of motor vehicles, trailers and semi-trailers Undertakings carrying out any of the economic activities referred to in section C division 29 of NACE Rev. 2 (f) Manufacture of other transport equipment Undertakings carrying out any of the economic activities referred to in section C division 30 of NACE Rev. 2</t>
        </is>
      </c>
      <c r="P1249" s="12" t="n">
        <v>30</v>
      </c>
    </row>
    <row r="1250">
      <c r="A1250" t="inlineStr">
        <is>
          <t>GDPR</t>
        </is>
      </c>
      <c r="B1250" t="inlineStr">
        <is>
          <t>CELEX_32022L2555_EN_TXT (GDPR - Row 17)</t>
        </is>
      </c>
      <c r="C1250" t="inlineStr">
        <is>
          <t>7</t>
        </is>
      </c>
      <c r="D1250" s="11" t="inlineStr">
        <is>
          <t>Research organizations and regulatory frameworks</t>
        </is>
      </c>
      <c r="E1250" t="inlineStr">
        <is>
          <t>30</t>
        </is>
      </c>
      <c r="F1250" t="inlineStr">
        <is>
          <t>None</t>
        </is>
      </c>
      <c r="G1250" t="inlineStr">
        <is>
          <t>High (explicit)</t>
        </is>
      </c>
      <c r="H1250" s="11" t="inlineStr">
        <is>
          <t>Cross-border Transfer, International Processing, Data Storage, Security</t>
        </is>
      </c>
      <c r="I1250" s="11" t="inlineStr">
        <is>
          <t>Special Personal Information</t>
        </is>
      </c>
      <c r="J1250" t="inlineStr"/>
      <c r="K1250" s="11" t="inlineStr">
        <is>
          <t>This section references research organizations and specifies regulatory frameworks including waste management, chemical registration (REACH), food safety, medical devices, and in vitro diagnostic medical devices. These frameworks establish legal bases for research activities.</t>
        </is>
      </c>
      <c r="L1250" s="11" t="inlineStr"/>
      <c r="M1250" s="11" t="inlineStr">
        <is>
          <t>• [Must] Research organisations
• [Must] Directive 2008/98/EC on waste
• [Must] Regulation (EC) No 1907/2006 on Registration, Evaluation, Authorisation and Restriction of Chemicals (REACH)</t>
        </is>
      </c>
      <c r="N1250" s="11" t="inlineStr">
        <is>
          <t>• [Must] Regulation (EC) No 178/2002 on food law
• [Must] Regulation (EU) 2017/745 on medical devices
• [Must] Regulation (EU) 2017/746 on in vitro diagnostic medical devices</t>
        </is>
      </c>
      <c r="O1250" s="11" t="inlineStr">
        <is>
          <t>7. Research Research organisations (1) Directive 2008/98/EC of the European Parliament and of the Council of 19 November 2008 on waste and repealing certain Directives (OJ L 312, 22.11.2008, p. 3). (2) Regulation (EC) No 1907/2006 of the European Parliament and of the Council of 18 December 2006 concerning Registration, Evaluation, Authorisation and Restriction of Chemicals (REACH), establishing a European Chemicals Agency, amending Directive 1999/45/EC and repealing Council Regulation (EEC) No 793/93 and Commission Regulation (EC) No 1488/94 as well as Council Directive 76/769/EEC and Commission Directives 91/155/EEC, 93/67/EEC, 93/105/EC and 2000/21/EC (OJ L 396, 30.12.2006, p. 1). (3) Regulation (EC) No 178/2002 of the European Parliament and of the Council of 28 January 2002 laying down the general principles and requirements of food law, establishing the European Food Safety Authority and laying down procedures in matters of food safety (OJ L 31, 1.2.2002, p. 1). (4) Regulation (EU) 2017/745 of the European Parliament and of the Council of 5 April 2017 on medical devices, amending Directive 2001/83/EC, Regulation (EC) No 178/2002 and Regulation (EC) No 1223/2009 and repealing Council Directives 90/385/EEC and 93/42/EEC (OJ L 117, 5.5.2017, p. 1). (5) Regulation (EU) 2017/746 of the European Parliament and of the Council of 5 April 2017 on in vitro diagnostic medical devices and repealing Directive 98/79/EC and Commission Decision 2010/227/EU (OJ L 117, 5.5.2017, p. 176).</t>
        </is>
      </c>
      <c r="P1250" s="12" t="n">
        <v>30</v>
      </c>
    </row>
    <row r="1251">
      <c r="A1251" t="inlineStr">
        <is>
          <t>GDPR</t>
        </is>
      </c>
      <c r="B1251" t="inlineStr">
        <is>
          <t>CELEX_32022L2555_EN_TXT (GDPR - Row 17)</t>
        </is>
      </c>
      <c r="C1251" t="inlineStr">
        <is>
          <t>8</t>
        </is>
      </c>
      <c r="D1251" s="11" t="inlineStr">
        <is>
          <t>Internet and digital infrastructure providers</t>
        </is>
      </c>
      <c r="E1251" t="inlineStr">
        <is>
          <t>30</t>
        </is>
      </c>
      <c r="F1251" t="inlineStr">
        <is>
          <t>None</t>
        </is>
      </c>
      <c r="G1251" t="inlineStr">
        <is>
          <t>High (explicit)</t>
        </is>
      </c>
      <c r="H1251" s="11" t="inlineStr">
        <is>
          <t>Cloud Services</t>
        </is>
      </c>
      <c r="I1251" s="11" t="inlineStr"/>
      <c r="J1251" t="inlineStr"/>
      <c r="K1251" s="11" t="inlineStr">
        <is>
          <t>This section lists specific digital infrastructure providers that are subject to regulatory oversight under EU law. It includes Internet Exchange Point providers, DNS service providers (excluding root name servers), TLD name registries, cloud computing service providers, data centre service providers, content delivery network providers, trust service providers, and providers of public electronic communications networks and publicly available electronic communications services. These entities are defined by their role in the digital infrastructure ecosystem.</t>
        </is>
      </c>
      <c r="L1251" s="11" t="inlineStr"/>
      <c r="M1251" s="11" t="inlineStr">
        <is>
          <t>• [Must] Internet Exchange Point providers
• [Must] DNS service providers, excluding operators of root name servers
• [Must] TLD name registries
• [Must] Cloud computing service providers
• [Must] Data centre service providers</t>
        </is>
      </c>
      <c r="N1251" s="11" t="inlineStr">
        <is>
          <t>• [Must] Content delivery network providers
• [Must] Trust service providers
• [Must] Providers of public electronic communications networks
• [Must] Providers of publicly available electronic communications services</t>
        </is>
      </c>
      <c r="O1251" s="11" t="inlineStr">
        <is>
          <t>8. Digital infrastructure — Internet Exchange Point providers — DNS service providers, excluding operators of root name servers — TLD name registries — Cloud computing service providers — Data centre service providers — Content delivery network providers — Trust service providers — Providers of public electronic communications networks — Providers of publicly available electronic communications services</t>
        </is>
      </c>
      <c r="P1251" s="12" t="n">
        <v>30</v>
      </c>
    </row>
    <row r="1252">
      <c r="A1252" t="inlineStr">
        <is>
          <t>GDPR</t>
        </is>
      </c>
      <c r="B1252" t="inlineStr">
        <is>
          <t>CELEX_32022L2555_EN_TXT (GDPR - Row 17)</t>
        </is>
      </c>
      <c r="C1252" t="inlineStr">
        <is>
          <t>9</t>
        </is>
      </c>
      <c r="D1252" s="11" t="inlineStr">
        <is>
          <t>Business-to-business ICT service management</t>
        </is>
      </c>
      <c r="E1252" t="inlineStr">
        <is>
          <t>39</t>
        </is>
      </c>
      <c r="F1252" t="inlineStr">
        <is>
          <t>Low</t>
        </is>
      </c>
      <c r="G1252" t="inlineStr">
        <is>
          <t>High (explicit)</t>
        </is>
      </c>
      <c r="H1252" s="11" t="inlineStr"/>
      <c r="I1252" s="11" t="inlineStr"/>
      <c r="J1252" t="inlineStr"/>
      <c r="K1252" s="11" t="inlineStr">
        <is>
          <t>This section specifies entities involved in business-to-business ICT service management, including managed service providers and managed security service providers. These entities are defined by their role in providing managed services and security services to other businesses, forming part of the ICT infrastructure ecosystem.</t>
        </is>
      </c>
      <c r="L1252" s="11" t="inlineStr"/>
      <c r="M1252" s="11" t="inlineStr">
        <is>
          <t>• [Must] Managed service providers</t>
        </is>
      </c>
      <c r="N1252" s="11" t="inlineStr">
        <is>
          <t>• [Must] Managed security service providers</t>
        </is>
      </c>
      <c r="O1252" s="11" t="inlineStr">
        <is>
          <t>9. ICT service management (business-to-business) — Managed service providers — Managed security service providers</t>
        </is>
      </c>
      <c r="P1252" s="12" t="n">
        <v>30</v>
      </c>
    </row>
    <row r="1253">
      <c r="A1253" t="inlineStr">
        <is>
          <t>GDPR</t>
        </is>
      </c>
      <c r="B1253" t="inlineStr">
        <is>
          <t>CELEX_32022L2555_EN_TXT (GDPR - Row 17)</t>
        </is>
      </c>
      <c r="C1253" t="inlineStr">
        <is>
          <t>10</t>
        </is>
      </c>
      <c r="D1253" s="11" t="inlineStr">
        <is>
          <t>Public administration entities</t>
        </is>
      </c>
      <c r="E1253" t="inlineStr">
        <is>
          <t>51</t>
        </is>
      </c>
      <c r="F1253" t="inlineStr">
        <is>
          <t>None</t>
        </is>
      </c>
      <c r="G1253" t="inlineStr">
        <is>
          <t>High (explicit)</t>
        </is>
      </c>
      <c r="H1253" s="11" t="inlineStr"/>
      <c r="I1253" s="11" t="inlineStr"/>
      <c r="J1253" t="inlineStr"/>
      <c r="K1253" s="11" t="inlineStr">
        <is>
          <t>This section identifies public administration entities at both central and regional government levels as defined by national law in each Member State. These entities are subject to specific regulatory frameworks under EU law, with their definitions varying by country.</t>
        </is>
      </c>
      <c r="L1253" s="11" t="inlineStr"/>
      <c r="M1253" s="11" t="inlineStr">
        <is>
          <t>• [Must] Public administration entities of central governments as defined by a Member State in accordance with national law</t>
        </is>
      </c>
      <c r="N1253" s="11" t="inlineStr">
        <is>
          <t>• [Must] Public administration entities at regional level as defined by a Member State in accordance with national law</t>
        </is>
      </c>
      <c r="O1253" s="11" t="inlineStr">
        <is>
          <t>10. Public administration — Public administration entities of central governments as defined by a Member State in accordance with national law — Public administration entities at regional level as defined by a Member State in accordance with national law</t>
        </is>
      </c>
      <c r="P1253" s="12" t="n">
        <v>30</v>
      </c>
    </row>
    <row r="1254">
      <c r="A1254" t="inlineStr">
        <is>
          <t>GDPR</t>
        </is>
      </c>
      <c r="B1254" t="inlineStr">
        <is>
          <t>CELEX_32022L2555_EN_TXT (GDPR - Row 17)</t>
        </is>
      </c>
      <c r="C1254" t="inlineStr">
        <is>
          <t>11</t>
        </is>
      </c>
      <c r="D1254" s="11" t="inlineStr">
        <is>
          <t>Space infrastructure operators</t>
        </is>
      </c>
      <c r="E1254" t="inlineStr">
        <is>
          <t>30</t>
        </is>
      </c>
      <c r="F1254" t="inlineStr">
        <is>
          <t>Low</t>
        </is>
      </c>
      <c r="G1254" t="inlineStr">
        <is>
          <t>High (explicit)</t>
        </is>
      </c>
      <c r="H1254" s="11" t="inlineStr"/>
      <c r="I1254" s="11" t="inlineStr"/>
      <c r="J1254" t="inlineStr"/>
      <c r="K1254" s="11" t="inlineStr">
        <is>
          <t>This section defines operators of ground-based infrastructure that support space-based services, owned or managed by Member States or private parties, excluding those providing public electronic communications networks. The section references multiple EU directives and regulations related to energy, transport, and security that inform the regulatory framework for these operators.</t>
        </is>
      </c>
      <c r="L1254" s="11" t="inlineStr"/>
      <c r="M1254" s="11" t="inlineStr">
        <is>
          <t>• [Must] Operators of ground-based infrastructure, owned, managed and operated by Member States or by private parties
• [Must] That support the provision of space-based services</t>
        </is>
      </c>
      <c r="N1254" s="11" t="inlineStr">
        <is>
          <t>• [Must Not] Excluding providers of public electronic communications networks</t>
        </is>
      </c>
      <c r="O1254" s="11" t="inlineStr">
        <is>
          <t>11. Space Operators of ground-based infrastructure, owned, managed and operated by Member States or by private parties, that support the provision of space-based services, excluding providers of public electronic communications networks</t>
        </is>
      </c>
      <c r="P1254" s="12" t="n">
        <v>30</v>
      </c>
    </row>
    <row r="1255">
      <c r="A1255" t="inlineStr">
        <is>
          <t>GDPR</t>
        </is>
      </c>
      <c r="B1255" t="inlineStr">
        <is>
          <t>CELEX_32022L2555_EN_TXT (GDPR - Row 17)</t>
        </is>
      </c>
      <c r="C1255" t="inlineStr">
        <is>
          <t>12</t>
        </is>
      </c>
      <c r="D1255" s="11" t="inlineStr">
        <is>
          <t>GDPR applies without prejudice to other regulations</t>
        </is>
      </c>
      <c r="E1255" t="inlineStr">
        <is>
          <t>30</t>
        </is>
      </c>
      <c r="F1255" t="inlineStr">
        <is>
          <t>Low</t>
        </is>
      </c>
      <c r="G1255" t="inlineStr">
        <is>
          <t>High (explicit)</t>
        </is>
      </c>
      <c r="H1255" s="11" t="inlineStr"/>
      <c r="I1255" s="11" t="inlineStr"/>
      <c r="J1255" t="inlineStr"/>
      <c r="K1255" s="11" t="inlineStr">
        <is>
          <t>This section states that GDPR applies without prejudice to specific EU regulations and directives, including Regulation (EU) 2016/679 (GDPR), Directive 2002/58/EC, and other directives related to child protection and cyber security. These existing laws remain in effect alongside GDPR.</t>
        </is>
      </c>
      <c r="L1255" s="11" t="inlineStr">
        <is>
          <t>This section clarifies that GDPR does not override existing national or EU laws, so data transfers must comply with both GDPR and other applicable regulations.</t>
        </is>
      </c>
      <c r="M1255" s="11" t="inlineStr">
        <is>
          <t>• [Must] GDPR applies without prejudice to Regulation (EU) 2016/679, Directive 2002/58/EC, Directives 2011/93/EU and 2013/40/EU</t>
        </is>
      </c>
      <c r="N1255" s="11" t="inlineStr"/>
      <c r="O1255" s="11" t="inlineStr">
        <is>
          <t>This Directive applies without prejudice to Regulation (EU) 2016/679, Directive 2002/58/EC, Directives 2011/93/EU (27) and 2013/40/EU (28) of the European Parliament and of the Council and Directive (EU) 2022/2557.</t>
        </is>
      </c>
      <c r="P1255" s="12" t="n">
        <v>30</v>
      </c>
    </row>
    <row r="1256">
      <c r="A1256" t="inlineStr">
        <is>
          <t>GDPR</t>
        </is>
      </c>
      <c r="B1256" t="inlineStr">
        <is>
          <t>CELEX_32022L2555_EN_TXT (GDPR - Row 17)</t>
        </is>
      </c>
      <c r="C1256" t="inlineStr">
        <is>
          <t>13</t>
        </is>
      </c>
      <c r="D1256" s="11" t="inlineStr">
        <is>
          <t>Confidential information exchange for security purposes</t>
        </is>
      </c>
      <c r="E1256" t="inlineStr">
        <is>
          <t>30–31</t>
        </is>
      </c>
      <c r="F1256" t="inlineStr">
        <is>
          <t>High</t>
        </is>
      </c>
      <c r="G1256" t="inlineStr">
        <is>
          <t>High (explicit)</t>
        </is>
      </c>
      <c r="H1256" s="11" t="inlineStr">
        <is>
          <t>Security</t>
        </is>
      </c>
      <c r="I1256" s="11" t="inlineStr">
        <is>
          <t>Personal Information</t>
        </is>
      </c>
      <c r="J1256" t="inlineStr"/>
      <c r="K1256" s="11" t="inlineStr">
        <is>
          <t>This section allows confidential information to be exchanged with the Commission and other authorities only when necessary for applying the Directive. The exchanged information must be relevant and proportionate to the purpose, and must preserve confidentiality while protecting security and commercial interests of entities involved.</t>
        </is>
      </c>
      <c r="L1256" s="11" t="inlineStr">
        <is>
          <t>This section governs the exchange of confidential information across borders for security purposes, requiring that data transfers be necessary, relevant, and proportionate to avoid GDPR compliance issues.</t>
        </is>
      </c>
      <c r="M1256" s="11" t="inlineStr">
        <is>
          <t>• [Must] Confidential information must be exchanged only when necessary for applying this Directive
• [Must] Exchanged information must be relevant and proportionate to the purpose</t>
        </is>
      </c>
      <c r="N1256" s="11" t="inlineStr">
        <is>
          <t>• [Must] Exchanged information must preserve confidentiality and protect security and commercial interests</t>
        </is>
      </c>
      <c r="O1256" s="11" t="inlineStr">
        <is>
          <t>Without prejudice to Article 346 TFEU, information that is confidential pursuant to Union or national rules, such as rules on business confidentiality, shall be exchanged with the Commission and other relevant authorities in accordance with this Directive only where that exchange is necessary for the application of this Directive.</t>
        </is>
      </c>
      <c r="P1256" s="12" t="n">
        <v>30</v>
      </c>
    </row>
    <row r="1257">
      <c r="A1257" t="inlineStr">
        <is>
          <t>GDPR</t>
        </is>
      </c>
      <c r="B1257" t="inlineStr">
        <is>
          <t>CELEX_32022L2555_EN_TXT (GDPR - Row 17)</t>
        </is>
      </c>
      <c r="C1257" t="inlineStr">
        <is>
          <t>14</t>
        </is>
      </c>
      <c r="D1257" s="11" t="inlineStr">
        <is>
          <t>Processing personal data for security purposes</t>
        </is>
      </c>
      <c r="E1257" t="inlineStr">
        <is>
          <t>31</t>
        </is>
      </c>
      <c r="F1257" t="inlineStr">
        <is>
          <t>High</t>
        </is>
      </c>
      <c r="G1257" t="inlineStr">
        <is>
          <t>High (explicit)</t>
        </is>
      </c>
      <c r="H1257" s="11" t="inlineStr">
        <is>
          <t>Security, Processing</t>
        </is>
      </c>
      <c r="I1257" s="11" t="inlineStr">
        <is>
          <t>Personal Information</t>
        </is>
      </c>
      <c r="J1257" t="inlineStr"/>
      <c r="K1257" s="11" t="inlineStr">
        <is>
          <t>Entities, competent authorities, single points of contact, and CSIRTs must process personal data necessary for the Directive's purposes in compliance with GDPR, particularly Article 6. Processing by providers of public electronic communications networks or services must follow Union data protection and privacy laws, including Directive 2002/58/EC.</t>
        </is>
      </c>
      <c r="L1257" s="11" t="inlineStr">
        <is>
          <t>This section specifies that data processing for security purposes must comply with GDPR and relevant national laws, ensuring that data transfers for critical infrastructure are handled appropriately.</t>
        </is>
      </c>
      <c r="M1257" s="11" t="inlineStr">
        <is>
          <t>• [Must] Entities, competent authorities, single points of contact and CSIRTs must process personal data necessary for the Directive's purposes
• [Must] Processing must comply with Regulation (EU) 2016/679, particularly Article 6</t>
        </is>
      </c>
      <c r="N1257" s="11" t="inlineStr">
        <is>
          <t>• [Must] Providers of public electronic communications networks or services must process data in accordance with Union data protection and privacy law</t>
        </is>
      </c>
      <c r="O1257" s="11" t="inlineStr">
        <is>
          <t>Entities, the competent authorities, the single points of contact and the CSIRTs shall process personal data to the extent necessary for the purposes of this Directive and in accordance with Regulation (EU) 2016/679, in particular such processing shall rely on Article 6 thereof.</t>
        </is>
      </c>
      <c r="P1257" s="12" t="n">
        <v>30</v>
      </c>
    </row>
    <row r="1258">
      <c r="A1258" t="inlineStr">
        <is>
          <t>GDPR</t>
        </is>
      </c>
      <c r="B1258" t="inlineStr">
        <is>
          <t>CELEX_32022R0868_EN_TXT (GDPR - Row 12)</t>
        </is>
      </c>
      <c r="C1258" t="inlineStr">
        <is>
          <t>1</t>
        </is>
      </c>
      <c r="D1258" s="11" t="inlineStr">
        <is>
          <t>Member States' penalties for data transfers</t>
        </is>
      </c>
      <c r="E1258" t="inlineStr">
        <is>
          <t>18</t>
        </is>
      </c>
      <c r="F1258" t="inlineStr">
        <is>
          <t>None</t>
        </is>
      </c>
      <c r="G1258" t="inlineStr">
        <is>
          <t>High (explicit)</t>
        </is>
      </c>
      <c r="H1258" s="11" t="inlineStr"/>
      <c r="I1258" s="11" t="inlineStr"/>
      <c r="J1258" t="inlineStr"/>
      <c r="K1258" s="11" t="inlineStr">
        <is>
          <t>Member States must establish rules for penalties applicable to infringements of obligations regarding transfers of non-personal data to third countries. These penalties must be effective, proportionate, and dissuasive. Member States must notify the Commission by 24 September 2023 of their penalty rules and any subsequent amendments.</t>
        </is>
      </c>
      <c r="L1258" s="11" t="inlineStr"/>
      <c r="M1258" s="11" t="inlineStr">
        <is>
          <t>• [Must] Member States shall lay down the rules on penalties applicable to infringements of the obligations regarding transfers of non-personal data to third countries
• [Must] Penalties shall be effective, proportionate and dissuasive</t>
        </is>
      </c>
      <c r="N1258" s="11" t="inlineStr">
        <is>
          <t>• [Must] Member States shall notify the Commission of penalty rules by 24 September 2023</t>
        </is>
      </c>
      <c r="O1258" s="11" t="inlineStr">
        <is>
          <t>Member States shall lay down the rules on penalties applicable to infringements of the obligations regarding transfers of non-personal data to third countries pursuant to Article 5(14) and Article 31, the notification obligation of data intermediation services providers pursuant to Article 11, the conditions for providing data intermediation services pursuant to Article 12 and the conditions for the registration as a recognised data altruism organisation pursuant to Articles 18, 20, 21 and 22, and shall take all measures necessary to ensure that they are implemented.</t>
        </is>
      </c>
      <c r="P1258" s="12" t="n">
        <v>31</v>
      </c>
    </row>
    <row r="1259">
      <c r="A1259" t="inlineStr">
        <is>
          <t>GDPR</t>
        </is>
      </c>
      <c r="B1259" t="inlineStr">
        <is>
          <t>CELEX_32022R0868_EN_TXT (GDPR - Row 12)</t>
        </is>
      </c>
      <c r="C1259" t="inlineStr">
        <is>
          <t>2</t>
        </is>
      </c>
      <c r="D1259" s="11" t="inlineStr">
        <is>
          <t>Penalty criteria for data intermediation services</t>
        </is>
      </c>
      <c r="E1259" t="inlineStr">
        <is>
          <t>18</t>
        </is>
      </c>
      <c r="F1259" t="inlineStr">
        <is>
          <t>Low</t>
        </is>
      </c>
      <c r="G1259" t="inlineStr">
        <is>
          <t>High (explicit)</t>
        </is>
      </c>
      <c r="H1259" s="11" t="inlineStr"/>
      <c r="I1259" s="11" t="inlineStr"/>
      <c r="J1259" t="inlineStr"/>
      <c r="K1259" s="11" t="inlineStr">
        <is>
          <t>Member States must consider specific criteria when imposing penalties on data intermediation services providers and recognised data altruism organisations. These criteria include the nature and severity of the infringement, mitigation actions taken, previous infringements, financial impacts, and other aggravating or mitigating factors. This ensures penalties are tailored to the specific circumstances of each case.</t>
        </is>
      </c>
      <c r="L1259" s="11" t="inlineStr"/>
      <c r="M1259" s="11" t="inlineStr">
        <is>
          <t>• [Condition] The nature, gravity, scale and duration of the infringement
• [Condition] Any action taken by the data intermediation services provider or recognised data altruism organisation to mitigate or remedy the damage
• [Condition] Any previous infringements by the data intermediation services provider or recognised data altruism organisation</t>
        </is>
      </c>
      <c r="N1259" s="11" t="inlineStr">
        <is>
          <t>• [Condition] The financial benefits gained or losses avoided by the data intermediation services provider or recognised data altruism organisation due to the infringement
• [Condition] Any other aggravating or mitigating factors applicable to the circumstances of the case</t>
        </is>
      </c>
      <c r="O1259" s="11" t="inlineStr">
        <is>
          <t>Member States shall take into account the following non-exhaustive and indicative criteria for the imposition of penalties on data intermediation services providers and recognised data altruism organisations for infringements of this Regulation, where appropriate: (a) the nature, gravity, scale and duration of the infringement; (b) any action taken by the data intermediation services provider or recognised data altruism organisation to mitigate or remedy the damage caused by the infringement; (c) any previous infringements by the data intermediation services provider or recognised data altruism organisation; (d) the financial benefits gained or losses avoided by the data intermediation services provider or recognised data altruism organisation due to the infringement, insofar as such benefits or losses can be reliably established; (e) any other aggravating or mitigating factors applicable to the circumstances of the case.</t>
        </is>
      </c>
      <c r="P1259" s="12" t="n">
        <v>31</v>
      </c>
    </row>
    <row r="1260">
      <c r="A1260" t="inlineStr">
        <is>
          <t>GDPR</t>
        </is>
      </c>
      <c r="B1260" t="inlineStr">
        <is>
          <t>CELEX_32022R0868_EN_TXT (GDPR - Row 12)</t>
        </is>
      </c>
      <c r="C1260" t="inlineStr">
        <is>
          <t>3</t>
        </is>
      </c>
      <c r="D1260" s="11" t="inlineStr">
        <is>
          <t>Revocation of delegated powers</t>
        </is>
      </c>
      <c r="E1260" t="inlineStr">
        <is>
          <t>18</t>
        </is>
      </c>
      <c r="F1260" t="inlineStr">
        <is>
          <t>None</t>
        </is>
      </c>
      <c r="G1260" t="inlineStr">
        <is>
          <t>High (explicit)</t>
        </is>
      </c>
      <c r="H1260" s="11" t="inlineStr"/>
      <c r="I1260" s="11" t="inlineStr"/>
      <c r="J1260" t="inlineStr">
        <is>
          <t>European Parliament or Council</t>
        </is>
      </c>
      <c r="K1260" s="11" t="inlineStr">
        <is>
          <t>The European Parliament or Council may revoke delegated powers at any time, with the revocation taking effect the day after publication in the Official Journal or a later date specified. Revoked powers do not affect existing delegated acts.</t>
        </is>
      </c>
      <c r="L1260" s="11" t="inlineStr">
        <is>
          <t>This section does not directly impact DTIAs as it concerns the revocation of delegated powers rather than data transfers or processing.</t>
        </is>
      </c>
      <c r="M1260" s="11" t="inlineStr">
        <is>
          <t>• [May] The European Parliament or Council may revoke delegated powers at any time
• [Must] Revocation takes effect the day after publication in the Official Journal or a later date specified</t>
        </is>
      </c>
      <c r="N1260" s="11" t="inlineStr">
        <is>
          <t>• [Must] Revoked powers do not affect the validity of existing delegated acts</t>
        </is>
      </c>
      <c r="O1260" s="11" t="inlineStr">
        <is>
          <t>The delegation of power referred to in Article 5(13) and Article 22(1)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P1260" s="12" t="n">
        <v>31</v>
      </c>
    </row>
    <row r="1261">
      <c r="A1261" t="inlineStr">
        <is>
          <t>GDPR</t>
        </is>
      </c>
      <c r="B1261" t="inlineStr">
        <is>
          <t>CELEX_32022R0868_EN_TXT (GDPR - Row 12)</t>
        </is>
      </c>
      <c r="C1261" t="inlineStr">
        <is>
          <t>4</t>
        </is>
      </c>
      <c r="D1261" s="11" t="inlineStr">
        <is>
          <t>Consultation of Member State experts before delegated acts</t>
        </is>
      </c>
      <c r="E1261" t="inlineStr">
        <is>
          <t>21–22</t>
        </is>
      </c>
      <c r="F1261" t="inlineStr">
        <is>
          <t>None</t>
        </is>
      </c>
      <c r="G1261" t="inlineStr">
        <is>
          <t>High (explicit)</t>
        </is>
      </c>
      <c r="H1261" s="11" t="inlineStr"/>
      <c r="I1261" s="11" t="inlineStr"/>
      <c r="J1261" t="inlineStr"/>
      <c r="K1261" s="11" t="inlineStr">
        <is>
          <t>Before adopting delegated acts, the European Commission must consult experts designated by each Member State. This consultation must follow the principles outlined in the Interinstitutional Agreement of 13 April 2016 on Better Law-Making. The requirement ensures that Member State expertise is integrated into the legislative process prior to final adoption of delegated legislation.</t>
        </is>
      </c>
      <c r="L1261" s="11" t="inlineStr"/>
      <c r="M1261" s="11" t="inlineStr">
        <is>
          <t>• [Must] The Commission shall consult experts designated by each Member State</t>
        </is>
      </c>
      <c r="N1261" s="11" t="inlineStr"/>
      <c r="O1261" s="11" t="inlineStr">
        <is>
          <t>Before adopting a delegated act, the Commission shall consult experts designated by each Member State in accordance with the principles laid down in the Interinstitutional Agreement of 13 April 2016 on Better Law-Making.</t>
        </is>
      </c>
      <c r="P1261" s="12" t="n">
        <v>31</v>
      </c>
    </row>
    <row r="1262">
      <c r="A1262" t="inlineStr">
        <is>
          <t>GDPR</t>
        </is>
      </c>
      <c r="B1262" t="inlineStr">
        <is>
          <t>CELEX_32022R0868_EN_TXT (GDPR - Row 12)</t>
        </is>
      </c>
      <c r="C1262" t="inlineStr">
        <is>
          <t>5</t>
        </is>
      </c>
      <c r="D1262" s="11" t="inlineStr">
        <is>
          <t>Notification of third-country data access requests</t>
        </is>
      </c>
      <c r="E1262" t="inlineStr">
        <is>
          <t>18–21</t>
        </is>
      </c>
      <c r="F1262" t="inlineStr">
        <is>
          <t>Low</t>
        </is>
      </c>
      <c r="G1262" t="inlineStr">
        <is>
          <t>High (explicit)</t>
        </is>
      </c>
      <c r="H1262" s="11" t="inlineStr">
        <is>
          <t>Data Sharing, Data Storage</t>
        </is>
      </c>
      <c r="I1262" s="11" t="inlineStr"/>
      <c r="J1262" t="inlineStr"/>
      <c r="K1262" s="11" t="inlineStr">
        <is>
          <t>Entities must inform data holders about third-country administrative authority requests for data access before complying, except when the request serves law enforcement purposes and is necessary to preserve the effectiveness of law enforcement activities.</t>
        </is>
      </c>
      <c r="L1262" s="11" t="inlineStr">
        <is>
          <t>This section requires notification of third-country data access requests to data holders, which is critical for DTIAs to ensure transparency and compliance with data subject rights.</t>
        </is>
      </c>
      <c r="M1262" s="11" t="inlineStr">
        <is>
          <t>• [Must] Entities must inform data holders about third-country administrative authority requests for data access before complying</t>
        </is>
      </c>
      <c r="N1262" s="11" t="inlineStr">
        <is>
          <t>• [Must Not] This exception applies only when the request serves law enforcement purposes and is necessary to preserve law enforcement effectiveness</t>
        </is>
      </c>
      <c r="O1262" s="11" t="inlineStr">
        <is>
          <t>The public sector body, the natural or legal person to which the right to re-use data was granted under Chapter II, the data intermediation services provider and the recognised data altruism organisation shall inform the data holder about the existence of a request of a third-country administrative authority to access its data before complying with that request, except where the request serves law enforcement purposes and for as long as this is necessary to preserve the effectiveness of the law enforcement activity.</t>
        </is>
      </c>
      <c r="P1262" s="12" t="n">
        <v>31</v>
      </c>
    </row>
    <row r="1263">
      <c r="A1263" t="inlineStr">
        <is>
          <t>GDPR</t>
        </is>
      </c>
      <c r="B1263" t="inlineStr">
        <is>
          <t>CELEX_32022R0868_EN_TXT (GDPR - Row 12)</t>
        </is>
      </c>
      <c r="C1263" t="inlineStr">
        <is>
          <t>6</t>
        </is>
      </c>
      <c r="D1263" s="11" t="inlineStr">
        <is>
          <t>Conditions for delegated acts to enter into force</t>
        </is>
      </c>
      <c r="E1263" t="inlineStr">
        <is>
          <t>22</t>
        </is>
      </c>
      <c r="F1263" t="inlineStr">
        <is>
          <t>None</t>
        </is>
      </c>
      <c r="G1263" t="inlineStr">
        <is>
          <t>High (explicit)</t>
        </is>
      </c>
      <c r="H1263" s="11" t="inlineStr"/>
      <c r="I1263" s="11" t="inlineStr"/>
      <c r="J1263" t="inlineStr"/>
      <c r="K1263" s="11" t="inlineStr">
        <is>
          <t>Delegated acts adopted under Article 5(13) or Article 22(1) must receive no objections from the European Parliament or Council within three months of notification. If no objections are raised, the act enters into force. The three-month period may be extended by three months at the initiative of either the European Parliament or Council. This ensures legislative oversight before implementation.</t>
        </is>
      </c>
      <c r="L1263" s="11" t="inlineStr"/>
      <c r="M1263" s="11" t="inlineStr">
        <is>
          <t>• [Must] Delegated acts adopted pursuant to Article 5(13) or Article 22(1) shall enter into force only if no objection has been expressed by the European Parliament or Council within three months of notification</t>
        </is>
      </c>
      <c r="N1263" s="11" t="inlineStr">
        <is>
          <t>• [Condition] The three-month period may be extended by three months at the initiative of the European Parliament or Council</t>
        </is>
      </c>
      <c r="O1263" s="11" t="inlineStr">
        <is>
          <t>A delegated act adopted pursuant to Article 5(13) or Article 22(1)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P1263" s="12" t="n">
        <v>31</v>
      </c>
    </row>
    <row r="1264">
      <c r="A1264" t="inlineStr">
        <is>
          <t>GDPR</t>
        </is>
      </c>
      <c r="B1264" t="inlineStr">
        <is>
          <t>CELEX_32022R0868_EN_TXT (GDPR - Row 12)</t>
        </is>
      </c>
      <c r="C1264" t="inlineStr">
        <is>
          <t>7</t>
        </is>
      </c>
      <c r="D1264" s="11" t="inlineStr">
        <is>
          <t>Notification of changes to registration information</t>
        </is>
      </c>
      <c r="E1264" t="inlineStr">
        <is>
          <t>23</t>
        </is>
      </c>
      <c r="F1264" t="inlineStr">
        <is>
          <t>Low</t>
        </is>
      </c>
      <c r="G1264" t="inlineStr">
        <is>
          <t>High (explicit)</t>
        </is>
      </c>
      <c r="H1264" s="11" t="inlineStr">
        <is>
          <t>Cross-border Transfer</t>
        </is>
      </c>
      <c r="I1264" s="11" t="inlineStr">
        <is>
          <t>Personal Information</t>
        </is>
      </c>
      <c r="J1264" t="inlineStr"/>
      <c r="K1264" s="11" t="inlineStr">
        <is>
          <t>A recognised data altruism organisation must notify the relevant competent authority of any changes to the information provided in paragraph 4 within 14 days. The competent authority must notify the Commission electronically, which updates the public Union register without delay. This ensures timely updates to registration details.</t>
        </is>
      </c>
      <c r="L1264" s="11" t="inlineStr">
        <is>
          <t>This section requires timely notification of changes to registration information, which is critical for data transfer impact assessments as it ensures up-to-date registration details across borders.</t>
        </is>
      </c>
      <c r="M1264" s="11" t="inlineStr">
        <is>
          <t>• [Must] A recognised data altruism organisation shall notify the relevant competent authority for registration of data altruism organisations of any changes to the information provided pursuant to paragraph 4 within 14 days of the date of the change
• [Must] The competent authority shall notify the Commission of each such notification by electronic means without delay</t>
        </is>
      </c>
      <c r="N1264" s="11" t="inlineStr">
        <is>
          <t>• [Must] The Commission shall update the public Union register of recognised data altruism organisations without delay</t>
        </is>
      </c>
      <c r="O1264" s="11" t="inlineStr">
        <is>
          <t>A recognised data altruism organisation shall notify the relevant competent authority for the registration of data altruism organisations of any changes to the information provided pursuant to paragraph 4 within 14 days of the date of the change.</t>
        </is>
      </c>
      <c r="P1264" s="12" t="n">
        <v>31</v>
      </c>
    </row>
    <row r="1265">
      <c r="A1265" t="inlineStr">
        <is>
          <t>GDPR</t>
        </is>
      </c>
      <c r="B1265" t="inlineStr">
        <is>
          <t>CELEX_32022R0868_EN_TXT (GDPR - Row 12)</t>
        </is>
      </c>
      <c r="C1265" t="inlineStr">
        <is>
          <t>8</t>
        </is>
      </c>
      <c r="D1265" s="11" t="inlineStr">
        <is>
          <t>Standardized declaration after notification completion</t>
        </is>
      </c>
      <c r="E1265" t="inlineStr">
        <is>
          <t>23</t>
        </is>
      </c>
      <c r="F1265" t="inlineStr">
        <is>
          <t>Low</t>
        </is>
      </c>
      <c r="G1265" t="inlineStr">
        <is>
          <t>High (explicit)</t>
        </is>
      </c>
      <c r="H1265" s="11" t="inlineStr">
        <is>
          <t>Cross-border Transfer</t>
        </is>
      </c>
      <c r="I1265" s="11" t="inlineStr">
        <is>
          <t>Personal Information</t>
        </is>
      </c>
      <c r="J1265" t="inlineStr"/>
      <c r="K1265" s="11" t="inlineStr">
        <is>
          <t>At the request of the data intermediation services provider, competent authorities must issue a standardized declaration within one week of a completed notification. This declaration confirms the notification was submitted and contains the required information, ensuring regulatory oversight.</t>
        </is>
      </c>
      <c r="L1265" s="11" t="inlineStr">
        <is>
          <t>Provides a mechanism for confirming compliance with notification requirements, critical for verifying that data intermediation providers meet the necessary disclosure standards.</t>
        </is>
      </c>
      <c r="M1265" s="11" t="inlineStr">
        <is>
          <t>• [Must] 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t>
        </is>
      </c>
      <c r="N1265" s="11" t="inlineStr"/>
      <c r="O1265" s="11" t="inlineStr">
        <is>
          <t>At the request of the data intermediation services provider, the competent authority for data intermediation services shall, within one week of a duly and fully completed notification, issue a standardised declaration, confirming that the data intermediation services provider has submitted the notification referred to in paragraph 1 and that the notification contains the information referred to in paragraph 6.</t>
        </is>
      </c>
      <c r="P1265" s="12" t="n">
        <v>31</v>
      </c>
    </row>
    <row r="1266">
      <c r="A1266" t="inlineStr">
        <is>
          <t>GDPR</t>
        </is>
      </c>
      <c r="B1266" t="inlineStr">
        <is>
          <t>CELEX_32022R0868_EN_TXT (GDPR - Row 12)</t>
        </is>
      </c>
      <c r="C1266" t="inlineStr">
        <is>
          <t>9</t>
        </is>
      </c>
      <c r="D1266" s="11" t="inlineStr">
        <is>
          <t>Data intermediation services provider recognition and logo requirements</t>
        </is>
      </c>
      <c r="E1266" t="inlineStr">
        <is>
          <t>23</t>
        </is>
      </c>
      <c r="F1266" t="inlineStr">
        <is>
          <t>Low</t>
        </is>
      </c>
      <c r="G1266" t="inlineStr">
        <is>
          <t>High (explicit)</t>
        </is>
      </c>
      <c r="H1266" s="11" t="inlineStr"/>
      <c r="I1266" s="11" t="inlineStr"/>
      <c r="J1266" t="inlineStr">
        <is>
          <t>Commission</t>
        </is>
      </c>
      <c r="K1266" s="11" t="inlineStr">
        <is>
          <t>The competent authority for data intermediation services must confirm compliance with the relevant articles upon request. Recognised providers may use the label 'data intermediation services provider recognised in the Union' and a common logo in communications. The Commission must establish a standard logo design through implementing acts, which providers must display on all relevant publications.</t>
        </is>
      </c>
      <c r="L1266" s="11" t="inlineStr">
        <is>
          <t>Provides a mechanism for identifying compliant data intermediation services providers across borders through a standard logo and recognition label, relevant for cross-border data intermediation assessments.</t>
        </is>
      </c>
      <c r="M1266" s="11" t="inlineStr">
        <is>
          <t>• [Must] Competent authority shall confirm compliance with this Article and Article 12 upon request
• [May] Recognised data intermediation services providers may use the label 'data intermediation services provider recognised in the Union' in communications</t>
        </is>
      </c>
      <c r="N1266" s="11" t="inlineStr">
        <is>
          <t>• [Must] Recognised providers must display the common logo clearly on all online and offline publications related to data intermediation activities
• [Must] Commission shall establish a common logo design through implementing acts</t>
        </is>
      </c>
      <c r="O1266" s="11" t="inlineStr">
        <is>
          <t>At the request of the data intermediation services provider, the competent authority for data intermediation services shall confirm that the data intermediation services provider complies with this Article and Article 12. Upon receipt of such a confirmation, that data intermediation services provider may use the label ‘data intermediation services provider recognised in the Union' in its written and spoken communication, as well as a common logo.</t>
        </is>
      </c>
      <c r="P1266" s="12" t="n">
        <v>31</v>
      </c>
    </row>
    <row r="1267">
      <c r="A1267" t="inlineStr">
        <is>
          <t>GDPR</t>
        </is>
      </c>
      <c r="B1267" t="inlineStr">
        <is>
          <t>CELEX_32022R0868_EN_TXT (GDPR - Row 12)</t>
        </is>
      </c>
      <c r="C1267" t="inlineStr">
        <is>
          <t>10</t>
        </is>
      </c>
      <c r="D1267" s="11" t="inlineStr">
        <is>
          <t>Competent authority must notify Commission of new notifications</t>
        </is>
      </c>
      <c r="E1267" t="inlineStr">
        <is>
          <t>23</t>
        </is>
      </c>
      <c r="F1267" t="inlineStr">
        <is>
          <t>Low</t>
        </is>
      </c>
      <c r="G1267" t="inlineStr">
        <is>
          <t>High (explicit)</t>
        </is>
      </c>
      <c r="H1267" s="11" t="inlineStr"/>
      <c r="I1267" s="11" t="inlineStr"/>
      <c r="J1267" t="inlineStr">
        <is>
          <t>Commission</t>
        </is>
      </c>
      <c r="K1267" s="11" t="inlineStr">
        <is>
          <t>The competent authority for data intermediation services must notify the Commission electronically of each new notification without delay. The Commission maintains and updates a public register of all data intermediation services providers in the Union, publishing specific information from paragraph 6.</t>
        </is>
      </c>
      <c r="L1267" s="11" t="inlineStr">
        <is>
          <t>Ensures transparency by maintaining a public register of data intermediation services providers, critical for assessing cross-border data intermediation compliance and provider recognition.</t>
        </is>
      </c>
      <c r="M1267" s="11" t="inlineStr">
        <is>
          <t>• [Must] Competent authority shall notify Commission electronically of each new notification without delay
• [Must] Commission shall keep and regularly update a public register of all data intermediation services providers</t>
        </is>
      </c>
      <c r="N1267" s="11" t="inlineStr">
        <is>
          <t>• [Must] Information from paragraph 6 points (a), (b), (c), (d), (f), (g) shall be published in the public register</t>
        </is>
      </c>
      <c r="O1267" s="11" t="inlineStr">
        <is>
          <t>The competent authority for data intermediation services shall notify the Commission of each new notification by electronic means without delay. The Commission shall keep and regularly update a public register of all data intermediation services providers providing their services in the Union.</t>
        </is>
      </c>
      <c r="P1267" s="12" t="n">
        <v>31</v>
      </c>
    </row>
    <row r="1268">
      <c r="A1268" t="inlineStr">
        <is>
          <t>GDPR</t>
        </is>
      </c>
      <c r="B1268" t="inlineStr">
        <is>
          <t>CELEX_32022R0868_EN_TXT (GDPR - Row 12)</t>
        </is>
      </c>
      <c r="C1268" t="inlineStr">
        <is>
          <t>11</t>
        </is>
      </c>
      <c r="D1268" s="11" t="inlineStr">
        <is>
          <t>Fees for data intermediation services notifications</t>
        </is>
      </c>
      <c r="E1268" t="inlineStr">
        <is>
          <t>23</t>
        </is>
      </c>
      <c r="F1268" t="inlineStr">
        <is>
          <t>Low</t>
        </is>
      </c>
      <c r="G1268" t="inlineStr">
        <is>
          <t>High (explicit)</t>
        </is>
      </c>
      <c r="H1268" s="11" t="inlineStr"/>
      <c r="I1268" s="11" t="inlineStr"/>
      <c r="J1268" t="inlineStr"/>
      <c r="K1268" s="11" t="inlineStr">
        <is>
          <t>Competent authorities may charge fees for notifications according to national law, with fees being proportionate, objective, and based on administrative costs. SMEs and start-ups may receive discounted or waived fees.</t>
        </is>
      </c>
      <c r="L1268" s="11" t="inlineStr">
        <is>
          <t>Regulates fee structures for data intermediation services notifications, potentially impacting costs for small providers in cross-border data intermediation assessments.</t>
        </is>
      </c>
      <c r="M1268" s="11" t="inlineStr">
        <is>
          <t>• [May] Competent authority may charge fees for notifications in accordance with national law
• [Must] Fees must be proportionate and objective and based on administrative costs related to monitoring compliance</t>
        </is>
      </c>
      <c r="N1268" s="11" t="inlineStr">
        <is>
          <t>• [May] SMEs and start-ups may receive discounted or waived fees</t>
        </is>
      </c>
      <c r="O1268" s="11" t="inlineStr">
        <is>
          <t>The competent authority for data intermediation services may charge fees for the notification in accordance with national law. Such fees shall be proportionate and objective and be based on the administrative costs related to the monitoring of compliance and other market control activities of the competent authority for data intermediation services in relation to notifications of data intermediation services providers. In the case of SMEs and start-ups, the competent authority for data intermediation services may charge a discounted fee or waive the fee.</t>
        </is>
      </c>
      <c r="P1268" s="12" t="n">
        <v>31</v>
      </c>
    </row>
    <row r="1269">
      <c r="A1269" t="inlineStr">
        <is>
          <t>GDPR</t>
        </is>
      </c>
      <c r="B1269" t="inlineStr">
        <is>
          <t>CELEX_32022R0868_EN_TXT (GDPR - Row 12)</t>
        </is>
      </c>
      <c r="C1269" t="inlineStr">
        <is>
          <t>12</t>
        </is>
      </c>
      <c r="D1269" s="11" t="inlineStr">
        <is>
          <t>Data intermediation services providers must report changes</t>
        </is>
      </c>
      <c r="E1269" t="inlineStr">
        <is>
          <t>23–24</t>
        </is>
      </c>
      <c r="F1269" t="inlineStr">
        <is>
          <t>Low</t>
        </is>
      </c>
      <c r="G1269" t="inlineStr">
        <is>
          <t>High (explicit)</t>
        </is>
      </c>
      <c r="H1269" s="11" t="inlineStr"/>
      <c r="I1269" s="11" t="inlineStr"/>
      <c r="J1269" t="inlineStr"/>
      <c r="K1269" s="11" t="inlineStr">
        <is>
          <t>Data intermediation services providers must notify the competent authority of any changes to information provided under paragraph 6 within 14 days of the change.</t>
        </is>
      </c>
      <c r="L1269" s="11" t="inlineStr">
        <is>
          <t>Requires timely reporting of changes to data intermediation services providers, important for maintaining accurate cross-border data intermediation records.</t>
        </is>
      </c>
      <c r="M1269" s="11" t="inlineStr">
        <is>
          <t>• [Must] Data intermediation services providers must notify competent authority of changes to information within 14 days</t>
        </is>
      </c>
      <c r="N1269" s="11" t="inlineStr"/>
      <c r="O1269" s="11" t="inlineStr">
        <is>
          <t>Data intermediation services providers shall notify the competent authority for data intermediation services of any changes to the information provided pursuant to paragraph 6 within 14 days of the date of the change.</t>
        </is>
      </c>
      <c r="P1269" s="12" t="n">
        <v>31</v>
      </c>
    </row>
    <row r="1270">
      <c r="A1270" t="inlineStr">
        <is>
          <t>GDPR</t>
        </is>
      </c>
      <c r="B1270" t="inlineStr">
        <is>
          <t>CELEX_32022R0868_EN_TXT (GDPR - Row 12)</t>
        </is>
      </c>
      <c r="C1270" t="inlineStr">
        <is>
          <t>13</t>
        </is>
      </c>
      <c r="D1270" s="11" t="inlineStr">
        <is>
          <t>Data intermediation services providers must report cessation of activities</t>
        </is>
      </c>
      <c r="E1270" t="inlineStr">
        <is>
          <t>24</t>
        </is>
      </c>
      <c r="F1270" t="inlineStr">
        <is>
          <t>Low</t>
        </is>
      </c>
      <c r="G1270" t="inlineStr">
        <is>
          <t>High (explicit)</t>
        </is>
      </c>
      <c r="H1270" s="11" t="inlineStr"/>
      <c r="I1270" s="11" t="inlineStr"/>
      <c r="J1270" t="inlineStr"/>
      <c r="K1270" s="11" t="inlineStr">
        <is>
          <t>Data intermediation services providers ceasing activities must notify the relevant competent authority within 15 days.</t>
        </is>
      </c>
      <c r="L1270" s="11" t="inlineStr">
        <is>
          <t>Ensures timely removal of inactive providers from cross-border data intermediation registers, critical for maintaining accurate data intermediation service records.</t>
        </is>
      </c>
      <c r="M1270" s="11" t="inlineStr">
        <is>
          <t>• [Must] Data intermediation services providers ceasing activities must notify relevant competent authority within 15 days</t>
        </is>
      </c>
      <c r="N1270" s="11" t="inlineStr"/>
      <c r="O1270" s="11" t="inlineStr">
        <is>
          <t>Where a data intermediation services provider ceases its activities, it shall notify the relevant competent authority for data intermediation services determined pursuant to paragraphs 1, 2 and 3 within 15 days.</t>
        </is>
      </c>
      <c r="P1270" s="12" t="n">
        <v>31</v>
      </c>
    </row>
    <row r="1271">
      <c r="A1271" t="inlineStr">
        <is>
          <t>GDPR</t>
        </is>
      </c>
      <c r="B1271" t="inlineStr">
        <is>
          <t>CELEX_32022R0868_EN_TXT (GDPR - Row 12)</t>
        </is>
      </c>
      <c r="C1271" t="inlineStr">
        <is>
          <t>14</t>
        </is>
      </c>
      <c r="D1271" s="11" t="inlineStr">
        <is>
          <t>Competent authority must notify Commission of notifications</t>
        </is>
      </c>
      <c r="E1271" t="inlineStr">
        <is>
          <t>24</t>
        </is>
      </c>
      <c r="F1271" t="inlineStr">
        <is>
          <t>Low</t>
        </is>
      </c>
      <c r="G1271" t="inlineStr">
        <is>
          <t>High (explicit)</t>
        </is>
      </c>
      <c r="H1271" s="11" t="inlineStr"/>
      <c r="I1271" s="11" t="inlineStr"/>
      <c r="J1271" t="inlineStr">
        <is>
          <t>Commission</t>
        </is>
      </c>
      <c r="K1271" s="11" t="inlineStr">
        <is>
          <t>The competent authority must notify the Commission electronically of notifications from paragraphs 12 and 13 without delay. The Commission updates the public register accordingly.</t>
        </is>
      </c>
      <c r="L1271" s="11" t="inlineStr">
        <is>
          <t>Ensures the Commission maintains an up-to-date public register of data intermediation services providers, critical for cross-border data intermediation assessments.</t>
        </is>
      </c>
      <c r="M1271" s="11" t="inlineStr">
        <is>
          <t>• [Must] Competent authority shall notify Commission electronically of notifications from paragraphs 12 and 13 without delay</t>
        </is>
      </c>
      <c r="N1271" s="11" t="inlineStr">
        <is>
          <t>• [Must] Commission shall update the public register of data intermediation services providers accordingly</t>
        </is>
      </c>
      <c r="O1271" s="11" t="inlineStr">
        <is>
          <t>The competent authority for data intermediation services shall notify the Commission of each notification referred to in paragraphs 12 and 13 by electronic means without delay. The Commission shall update the public register of the data intermediation services providers in the Union accordingly.</t>
        </is>
      </c>
      <c r="P1271" s="12" t="n">
        <v>31</v>
      </c>
    </row>
    <row r="1272">
      <c r="A1272" t="inlineStr">
        <is>
          <t>GDPR</t>
        </is>
      </c>
      <c r="B1272" t="inlineStr">
        <is>
          <t>CELEX_32022R0868_EN_TXT (GDPR - Row 12)</t>
        </is>
      </c>
      <c r="C1272" t="inlineStr">
        <is>
          <t>2022</t>
        </is>
      </c>
      <c r="D1272" s="11" t="inlineStr">
        <is>
          <t>European data spaces for cross-border data sharing and re-use</t>
        </is>
      </c>
      <c r="E1272" t="inlineStr">
        <is>
          <t>1–4</t>
        </is>
      </c>
      <c r="F1272" t="inlineStr">
        <is>
          <t>High</t>
        </is>
      </c>
      <c r="G1272" t="inlineStr">
        <is>
          <t>High (explicit)</t>
        </is>
      </c>
      <c r="H1272" s="11" t="inlineStr">
        <is>
          <t>Cross-border Transfer, Data Sharing, Data Storage, Security</t>
        </is>
      </c>
      <c r="I1272" s="11" t="inlineStr">
        <is>
          <t>Financial Data</t>
        </is>
      </c>
      <c r="J1272" t="inlineStr">
        <is>
          <t>European Commission</t>
        </is>
      </c>
      <c r="K1272" s="11" t="inlineStr">
        <is>
          <t>This section establishes a framework for harmonized data exchanges across borders by creating common European data spaces in sectors like health, finance, and mobility. It mandates data governance principles ensuring data findability, accessibility, interoperability, and reusability (FAIR principles) while maintaining high cybersecurity standards. The framework aims to facilitate cross-border data sharing without compromising fundamental rights or public security.</t>
        </is>
      </c>
      <c r="L1272" s="11" t="inlineStr">
        <is>
          <t>This section creates cross-border data transfer mechanisms through sector-specific data spaces that require FAIR data principles and cybersecurity safeguards, directly impacting DTIA requirements for international data transfers.</t>
        </is>
      </c>
      <c r="M1272" s="11" t="inlineStr">
        <is>
          <t>• [Must] Establish domain-specific common European data spaces for data sharing and pooling
• [Must] Ensure data is findable, accessible, interoperable and reusable (FAIR principles)
• [Must] Maintain high level of cybersecurity</t>
        </is>
      </c>
      <c r="N1272" s="11" t="inlineStr">
        <is>
          <t>• [Must] Create harmonized framework for data exchanges and basic data governance requirements
• [Must] Facilitate cooperation between Member States for data sharing</t>
        </is>
      </c>
      <c r="O1272" s="11" t="inlineStr">
        <is>
          <t>The Commission proposed establishing domain-specific common European data spaces for data sharing and data pooling. As proposed in the European strategy for data, such common European data spaces could cover areas such as health, mobility, manufacturing, financial services, energy or agriculture, or a combination of such areas, for example energy and climate, as well as thematic areas such as the European Green Deal or European data spaces for public administration or skills.</t>
        </is>
      </c>
      <c r="P1272" s="12" t="n">
        <v>31</v>
      </c>
    </row>
    <row r="1273">
      <c r="A1273" t="inlineStr">
        <is>
          <t>GDPR</t>
        </is>
      </c>
      <c r="B1273" t="inlineStr">
        <is>
          <t>CELEX_32022R0868_EN_TXT (GDPR - Row 12)</t>
        </is>
      </c>
      <c r="C1273" t="inlineStr">
        <is>
          <t>2022 (part 3)</t>
        </is>
      </c>
      <c r="D1273" s="11" t="inlineStr">
        <is>
          <t>Public sector data re-use: exclusions and conditions</t>
        </is>
      </c>
      <c r="E1273" t="inlineStr">
        <is>
          <t>6–8</t>
        </is>
      </c>
      <c r="F1273" t="inlineStr">
        <is>
          <t>Low</t>
        </is>
      </c>
      <c r="G1273" t="inlineStr">
        <is>
          <t>High (explicit)</t>
        </is>
      </c>
      <c r="H1273" s="11" t="inlineStr">
        <is>
          <t>Cross-border Transfer, Data Storage, Data Residency, Security</t>
        </is>
      </c>
      <c r="I1273" s="11" t="inlineStr">
        <is>
          <t>Personal Information</t>
        </is>
      </c>
      <c r="J1273" t="inlineStr">
        <is>
          <t>European Commission</t>
        </is>
      </c>
      <c r="K1273" s="11" t="inlineStr">
        <is>
          <t>This section specifies that the re-use regime applies to public sector data involved in public tasks, excluding public undertakings, cultural establishments, educational institutions, and research organizations. It mandates transparent public task definitions, requires data to be held in accordance with public law, and excludes data from organizations that are not public sector bodies. The re-use of data for non-commercial scientific research purposes among researchers is exempt from the regulation.</t>
        </is>
      </c>
      <c r="L1273" s="11" t="inlineStr">
        <is>
          <t>This section defines exclusions for public sector data re-use, clarifying when data transfers across borders are exempt from the re-use regime. It specifies conditions for public task data that may affect cross-border data transfers.</t>
        </is>
      </c>
      <c r="M1273" s="11" t="inlineStr">
        <is>
          <t>• [Must] Public sector bodies should define public tasks transparently and subject to review
• [Must] Public tasks should be defined generally or on a case-by-case basis for individual public sector bodies
• [Must] Public undertakings data should not be covered by this regulation
• [Must] Cultural establishments data should not be covered by this regulation</t>
        </is>
      </c>
      <c r="N1273" s="11" t="inlineStr">
        <is>
          <t>• [Must] Educational establishments data should not be covered by this regulation
• [Must] Research-performing organizations data should not be covered by this regulation
• [Must] Data held by public undertakings in specific public-private associations should not be covered by this regulation
• [Must Not] Public sector bodies should not re-use data for non-commercial scientific research purposes</t>
        </is>
      </c>
      <c r="O1273" s="11" t="inlineStr">
        <is>
          <t>The re-use regime provided for in this Regulation should apply to data the supply of which forms part of the public tasks of the public sector bodies concerned under law or other binding rules in the Member States.</t>
        </is>
      </c>
      <c r="P1273" s="12" t="n">
        <v>31</v>
      </c>
    </row>
    <row r="1274">
      <c r="A1274" t="inlineStr">
        <is>
          <t>GDPR</t>
        </is>
      </c>
      <c r="B1274" t="inlineStr">
        <is>
          <t>CELEX_32022R0868_EN_TXT (GDPR - Row 12)</t>
        </is>
      </c>
      <c r="C1274" t="inlineStr">
        <is>
          <t>2022 (part 4)</t>
        </is>
      </c>
      <c r="D1274" s="11" t="inlineStr">
        <is>
          <t>Public sector data re-use: competition and security safeguards</t>
        </is>
      </c>
      <c r="E1274" t="inlineStr">
        <is>
          <t>8–10</t>
        </is>
      </c>
      <c r="F1274" t="inlineStr">
        <is>
          <t>Low</t>
        </is>
      </c>
      <c r="G1274" t="inlineStr">
        <is>
          <t>High (explicit)</t>
        </is>
      </c>
      <c r="H1274" s="11" t="inlineStr">
        <is>
          <t>Cross-border Transfer, Data Storage, Data Residency, Security, Incident Reporting</t>
        </is>
      </c>
      <c r="I1274" s="11" t="inlineStr"/>
      <c r="J1274" t="inlineStr">
        <is>
          <t>European Commission</t>
        </is>
      </c>
      <c r="K1274" s="11" t="inlineStr">
        <is>
          <t>This section outlines competition safeguards for public sector data re-use, prohibiting exclusive agreements that restrict data re-use unless justified by public interest. It mandates transparency, regular market reviews, and publication of exclusive agreements. It also specifies that non-personal data transfers to third countries require equivalent safeguards, including legal remedies and enforceable rights, to protect trade secrets and intellectual property.</t>
        </is>
      </c>
      <c r="L1274" s="11" t="inlineStr">
        <is>
          <t>This section details specific safeguards for cross-border transfers of non-personal data, including requirements for equivalent protection in third countries and legal remedies to ensure data security.</t>
        </is>
      </c>
      <c r="M1274" s="11" t="inlineStr">
        <is>
          <t>• [Must] Public sector bodies should avoid exclusive agreements that create competitive barriers
• [Must] Exclusive agreements must be justified and necessary for public interest services
• [Must] Exclusive agreements should be limited to 12 months and subject to market review
• [Must] Exclusive agreements must be published online in a form compliant with public procurement law</t>
        </is>
      </c>
      <c r="N1274" s="11" t="inlineStr">
        <is>
          <t>• [Must] Non-personal data transfers to third countries require equivalent safeguards
• [Must] Third countries must have equivalent legal protections for non-personal data
• [Must] Re-users must accept jurisdiction of the public sector body's Member State for disputes
• [Must] Public sector bodies must ensure non-personal data is protected from unlawful access</t>
        </is>
      </c>
      <c r="O1274" s="11" t="inlineStr">
        <is>
          <t>Public sector bodies should comply with competition law when establishing the principles for re-use of data they hold, avoiding the conclusion of agreements which might have as their objective or effect the creation of exclusive rights for the re-use of certain data.</t>
        </is>
      </c>
      <c r="P1274" s="12" t="n">
        <v>31</v>
      </c>
    </row>
    <row r="1275">
      <c r="A1275" t="inlineStr">
        <is>
          <t>GDPR</t>
        </is>
      </c>
      <c r="B1275" t="inlineStr">
        <is>
          <t>CELEX_32022R0868_EN_TXT (GDPR - Row 12)</t>
        </is>
      </c>
      <c r="C1275" t="inlineStr">
        <is>
          <t>2022 (part 5)</t>
        </is>
      </c>
      <c r="D1275" s="11" t="inlineStr">
        <is>
          <t>Data intermediation services: definition and scope</t>
        </is>
      </c>
      <c r="E1275" t="inlineStr">
        <is>
          <t>10–12</t>
        </is>
      </c>
      <c r="F1275" t="inlineStr">
        <is>
          <t>Medium</t>
        </is>
      </c>
      <c r="G1275" t="inlineStr">
        <is>
          <t>High (explicit)</t>
        </is>
      </c>
      <c r="H1275" s="11" t="inlineStr">
        <is>
          <t>Data Sharing, Cross-border Transfer, Data Storage, Security</t>
        </is>
      </c>
      <c r="I1275" s="11" t="inlineStr">
        <is>
          <t>Personal Information</t>
        </is>
      </c>
      <c r="J1275" t="inlineStr">
        <is>
          <t>European Commission</t>
        </is>
      </c>
      <c r="K1275" s="11" t="inlineStr">
        <is>
          <t>This section defines data intermediation services as platforms enabling data sharing between data holders, data subjects and data users without establishing commercial relationships. Member States must establish a single information point for reusing public sector data, which should be cross-sectoral and use automated means where possible. Competent bodies must support public sector bodies in data re-use, including technical assistance for data storage and interoperability while maintaining data privacy. These entities should not have supervisory functions but must comply with data protection regulations.</t>
        </is>
      </c>
      <c r="L1275" s="11" t="inlineStr">
        <is>
          <t>Data intermediation services require specific safeguards for cross-border data sharing, including neutrality, interoperability, and no commercial relationships. They must not process personal data for commercial purposes without explicit consent from data subjects.</t>
        </is>
      </c>
      <c r="M1275" s="11" t="inlineStr">
        <is>
          <t>• [Must] Member States should establish a single information point for reusing public sector data with cross-sector remit
• [Must] The single information point should use automated means for enquiries or requests for data re-use
• [Must] Competent bodies must support public sector bodies in data re-use, including technical assistance for data storage and interoperability</t>
        </is>
      </c>
      <c r="N1275" s="11" t="inlineStr">
        <is>
          <t>• [Must Not] Competent bodies should not have supervisory functions reserved for data protection authorities
• [Must Not] Data intermediation services must not establish commercial relationships between data holders and users
• [Must Not] Data intermediation services must not process personal data for commercial purposes without explicit consent</t>
        </is>
      </c>
      <c r="O1275" s="11" t="inlineStr">
        <is>
          <t>Member States should establish a single information point to act as an interface for re-users that seek to re-use that data. It should have a cross-sector remit, and should complement, if necessary, arrangements at the sectoral level.</t>
        </is>
      </c>
      <c r="P1275" s="12" t="n">
        <v>31</v>
      </c>
    </row>
    <row r="1276">
      <c r="A1276" t="inlineStr">
        <is>
          <t>GDPR</t>
        </is>
      </c>
      <c r="B1276" t="inlineStr">
        <is>
          <t>CELEX_32022R0868_EN_TXT (GDPR - Row 12)</t>
        </is>
      </c>
      <c r="C1276" t="inlineStr">
        <is>
          <t>2022 (part 6)</t>
        </is>
      </c>
      <c r="D1276" s="11" t="inlineStr">
        <is>
          <t>Data intermediation services: operational requirements</t>
        </is>
      </c>
      <c r="E1276" t="inlineStr">
        <is>
          <t>12–14</t>
        </is>
      </c>
      <c r="F1276" t="inlineStr">
        <is>
          <t>Medium</t>
        </is>
      </c>
      <c r="G1276" t="inlineStr">
        <is>
          <t>High (explicit)</t>
        </is>
      </c>
      <c r="H1276" s="11" t="inlineStr">
        <is>
          <t>Data Sharing, Cross-border Transfer, Data Storage, Security</t>
        </is>
      </c>
      <c r="I1276" s="11" t="inlineStr">
        <is>
          <t>Personal Information</t>
        </is>
      </c>
      <c r="J1276" t="inlineStr">
        <is>
          <t>European Commission</t>
        </is>
      </c>
      <c r="K1276" s="11" t="inlineStr">
        <is>
          <t>This section outlines operational requirements for data intermediation services, including neutrality, interoperability, and compliance with competition law. Providers must ensure no conflicts of interest, maintain data privacy, and implement procedures for fraudulent practices. They must also comply with national laws of their main establishment location and follow sector-specific standards where applicable.</t>
        </is>
      </c>
      <c r="L1276" s="11" t="inlineStr">
        <is>
          <t>Data intermediation services must operate neutrally, ensure interoperability, and avoid conflicts of interest to facilitate secure cross-border data sharing without commercial relationships.</t>
        </is>
      </c>
      <c r="M1276" s="11" t="inlineStr">
        <is>
          <t>• [Must] Data intermediation services providers must act only as intermediaries without using data for other purposes
• [Must] Commercial terms for data intermediation services must not depend on other services provided by the same provider
• [Must] Data intermediation services must implement procedures to impose penalties for fraudulent or abusive practices</t>
        </is>
      </c>
      <c r="N1276" s="11" t="inlineStr">
        <is>
          <t>• [Must] Data intermediation services must comply with competition law and have procedures to ensure compliance
• [Must] Data intermediation services must take reasonable measures to ensure interoperability within sectors
• [Must] Data intermediation services must send a notification to the competent authority from the Member State where main establishment is located</t>
        </is>
      </c>
      <c r="O1276" s="11" t="inlineStr">
        <is>
          <t>Data intermediation services providers should act only as intermediaries in the transactions, and do not use the data exchanged for any other purpose.</t>
        </is>
      </c>
      <c r="P1276" s="12" t="n">
        <v>31</v>
      </c>
    </row>
    <row r="1277">
      <c r="A1277" t="inlineStr">
        <is>
          <t>GDPR</t>
        </is>
      </c>
      <c r="B1277" t="inlineStr">
        <is>
          <t>CELEX_32022R0868_EN_TXT (GDPR - Row 12)</t>
        </is>
      </c>
      <c r="C1277" t="inlineStr">
        <is>
          <t>2022 (part 7)</t>
        </is>
      </c>
      <c r="D1277" s="11" t="inlineStr">
        <is>
          <t>Data intermediation services provider registration and oversight</t>
        </is>
      </c>
      <c r="E1277" t="inlineStr">
        <is>
          <t>14–16</t>
        </is>
      </c>
      <c r="F1277" t="inlineStr">
        <is>
          <t>Medium</t>
        </is>
      </c>
      <c r="G1277" t="inlineStr">
        <is>
          <t>High (explicit)</t>
        </is>
      </c>
      <c r="H1277" s="11" t="inlineStr">
        <is>
          <t>Data Sharing, Cross-border Transfer, Data Storage</t>
        </is>
      </c>
      <c r="I1277" s="11" t="inlineStr">
        <is>
          <t>Personal Information, Financial Data</t>
        </is>
      </c>
      <c r="J1277" t="inlineStr">
        <is>
          <t>Competent authorities for data intermediation services</t>
        </is>
      </c>
      <c r="K1277" s="11" t="inlineStr">
        <is>
          <t>Data intermediation services providers must have their main establishment in the Union. Those not established in the Union offering services within the Union must designate a legal representative who acts on their behalf for compliance purposes. The legal representative must be designated via written mandate and competent authorities may address them directly for enforcement actions. The designation is necessary due to handling of personal and commercially confidential data.</t>
        </is>
      </c>
      <c r="L1277" s="11" t="inlineStr">
        <is>
          <t>Requires data intermediation services providers to establish a legal representative within the Union for oversight, creating a cross-border compliance mechanism for data sharing activities.</t>
        </is>
      </c>
      <c r="M1277" s="11" t="inlineStr">
        <is>
          <t>• [Must] Data intermediation services providers must have their main establishment in the Union
• [Must] Data intermediation services providers not established in the Union offering services within the Union must designate a legal representative
• [Must] Designated legal representative must act on behalf of the data intermediation services provider</t>
        </is>
      </c>
      <c r="N1277" s="11" t="inlineStr">
        <is>
          <t>• [Must] Legal representative must be designated by written mandate of the data intermediation services provider
• [Should] Competent authorities may address the legal representative directly for enforcement actions</t>
        </is>
      </c>
      <c r="O1277" s="11" t="inlineStr">
        <is>
          <t>In order to ensure the compliance of data intermediation services providers with this Regulation, they should have their main establishment in the Union. Where a data intermediation services provider not established in the Union offers services within the Union, it should designate a legal representative.</t>
        </is>
      </c>
      <c r="P1277" s="12" t="n">
        <v>31</v>
      </c>
    </row>
    <row r="1278">
      <c r="A1278" t="inlineStr">
        <is>
          <t>GDPR</t>
        </is>
      </c>
      <c r="B1278" t="inlineStr">
        <is>
          <t>CELEX_32022R0868_EN_TXT (GDPR - Row 12)</t>
        </is>
      </c>
      <c r="C1278" t="inlineStr">
        <is>
          <t>2022 (part 8)</t>
        </is>
      </c>
      <c r="D1278" s="11" t="inlineStr">
        <is>
          <t>Data altruism organizations and consent frameworks</t>
        </is>
      </c>
      <c r="E1278" t="inlineStr">
        <is>
          <t>16–18</t>
        </is>
      </c>
      <c r="F1278" t="inlineStr">
        <is>
          <t>Low</t>
        </is>
      </c>
      <c r="G1278" t="inlineStr">
        <is>
          <t>High (explicit)</t>
        </is>
      </c>
      <c r="H1278" s="11" t="inlineStr">
        <is>
          <t>Data Sharing, Data Storage, Consent</t>
        </is>
      </c>
      <c r="I1278" s="11" t="inlineStr"/>
      <c r="J1278" t="inlineStr">
        <is>
          <t>Competent authorities for registration of data altruism organizations</t>
        </is>
      </c>
      <c r="K1278" s="11" t="inlineStr">
        <is>
          <t>Recognised data altruism organizations must have a Union establishment or legal representative, be non-profit, and follow transparency requirements. They must collect data directly or process data collected by others, with consent mechanisms compliant with GDPR. Data altruism organizations should be able to process data for purposes established at consent time or allow third-party processing for those purposes.</t>
        </is>
      </c>
      <c r="L1278" s="11" t="inlineStr">
        <is>
          <t>Establishes requirements for data altruism organizations to ensure trust and compliance, including non-profit status, transparency, and consent mechanisms for cross-border data sharing.</t>
        </is>
      </c>
      <c r="M1278" s="11" t="inlineStr">
        <is>
          <t>• [Must] Recognised data altruism organizations must have a Union establishment or legal representative
• [Must] Recognised data altruism organizations must be non-profit organizations
• [Must] Recognised data altruism organizations must follow transparency requirements</t>
        </is>
      </c>
      <c r="N1278" s="11" t="inlineStr">
        <is>
          <t>• [Must] Recognised data altruism organizations must have specific safeguards to protect data subjects' rights
• [Must] Data altruism organizations must collect data directly from natural and legal persons or process data collected by others
• [Must] Data altruism organizations must comply with GDPR for data processing</t>
        </is>
      </c>
      <c r="O1278" s="11" t="inlineStr">
        <is>
          <t>Recognised data altruism organisations should be able to collect relevant data directly from natural and legal persons or to process data collected by others.</t>
        </is>
      </c>
      <c r="P1278" s="12" t="n">
        <v>31</v>
      </c>
    </row>
    <row r="1279">
      <c r="A1279" t="inlineStr">
        <is>
          <t>GDPR</t>
        </is>
      </c>
      <c r="B1279" t="inlineStr">
        <is>
          <t>CELEX_32022R2554_EN_TXT (GDPR -Row 3)</t>
        </is>
      </c>
      <c r="C1279" t="inlineStr">
        <is>
          <t>1</t>
        </is>
      </c>
      <c r="D1279" s="11" t="inlineStr">
        <is>
          <t>Commission reviews critical ICT third-party service providers by 2028</t>
        </is>
      </c>
      <c r="E1279" t="inlineStr">
        <is>
          <t>23</t>
        </is>
      </c>
      <c r="F1279" t="inlineStr">
        <is>
          <t>High</t>
        </is>
      </c>
      <c r="G1279" t="inlineStr">
        <is>
          <t>Medium (minor interpretation)</t>
        </is>
      </c>
      <c r="H1279" s="11" t="inlineStr">
        <is>
          <t>Cross-border Transfer, International Processing, Data Storage, Security, Cloud Services, Incident Reporting, Breach Notification, Governance, Record Keeping</t>
        </is>
      </c>
      <c r="I1279" s="11" t="inlineStr">
        <is>
          <t>Financial Data</t>
        </is>
      </c>
      <c r="J1279" t="inlineStr"/>
      <c r="K1279" s="11" t="inlineStr">
        <is>
          <t>By January 17, 2028, the Commission must review critical ICT third-party service providers after consulting ESAs and ESRB. The review must assess criteria for designating critical providers, the voluntary nature of cyber threat notifications, the effectiveness of oversight mechanisms for third-country providers, and the scope of financial entities using automated sales systems. The review must also evaluate the functioning of the JON for oversight consistency.</t>
        </is>
      </c>
      <c r="L1279" s="11" t="inlineStr"/>
      <c r="M1279" s="11" t="inlineStr">
        <is>
          <t>• [Must] By January 17, 2028, Commission shall review critical ICT third-party service providers after consulting ESAs and ESRB
• [Must] Review must include criteria for designation of critical ICT third-party service providers
• [Must] Review must assess voluntary nature of significant cyber threat notifications</t>
        </is>
      </c>
      <c r="N1279" s="11" t="inlineStr">
        <is>
          <t>• [Must] Review must evaluate effectiveness of oversight mechanisms for third-country critical ICT providers
• [Must] Review must assess appropriateness of including financial entities using automated sales systems in scope
• [Must] Review must evaluate functioning and effectiveness of JON for oversight consistency</t>
        </is>
      </c>
      <c r="O1279" s="11" t="inlineStr">
        <is>
          <t>By 17 January 2028, the Commission shall, after consulting the ESAs and the ESRB, as appropriate, carry out a review and submit a report to the European Parliament and the Council, accompanied, where appropriate, by a legislative proposal.</t>
        </is>
      </c>
      <c r="P1279" s="12" t="n">
        <v>32</v>
      </c>
    </row>
    <row r="1280">
      <c r="A1280" t="inlineStr">
        <is>
          <t>GDPR</t>
        </is>
      </c>
      <c r="B1280" t="inlineStr">
        <is>
          <t>CELEX_32022R2554_EN_TXT (GDPR -Row 3)</t>
        </is>
      </c>
      <c r="C1280" t="inlineStr">
        <is>
          <t>2</t>
        </is>
      </c>
      <c r="D1280" s="11" t="inlineStr">
        <is>
          <t>Commission assesses cyber resilience for payment systems</t>
        </is>
      </c>
      <c r="E1280" t="inlineStr">
        <is>
          <t>23</t>
        </is>
      </c>
      <c r="F1280" t="inlineStr">
        <is>
          <t>High</t>
        </is>
      </c>
      <c r="G1280" t="inlineStr">
        <is>
          <t>High (explicit)</t>
        </is>
      </c>
      <c r="H1280" s="11" t="inlineStr">
        <is>
          <t>Cross-border Transfer, International Processing, Data Storage, Security, Cloud Services, Incident Reporting, Breach Notification, Governance, Record Keeping</t>
        </is>
      </c>
      <c r="I1280" s="11" t="inlineStr">
        <is>
          <t>Financial Data</t>
        </is>
      </c>
      <c r="J1280" t="inlineStr"/>
      <c r="K1280" s="11" t="inlineStr">
        <is>
          <t>The Commission must assess the need for increased cyber resilience in payment systems and payment processing activities by July 17, 2023. The assessment must determine whether the scope of the regulation should be extended to operators of payment systems and payment processing entities. The Commission may submit a legislative proposal to ensure oversight of these entities, considering existing central bank oversight.</t>
        </is>
      </c>
      <c r="L1280" s="11" t="inlineStr"/>
      <c r="M1280" s="11" t="inlineStr">
        <is>
          <t>• [Must] By July 17, 2023, Commission shall assess need for increased cyber resilience in payment systems
• [Must] Assessment must determine appropriateness of extending regulation scope to payment system operators</t>
        </is>
      </c>
      <c r="N1280" s="11" t="inlineStr">
        <is>
          <t>• [May] Commission may submit legislative proposal for oversight of payment system operators</t>
        </is>
      </c>
      <c r="O1280" s="11" t="inlineStr">
        <is>
          <t>In the context of the review of Directive (EU) 2015/2366, the Commission shall assess the need for increased cyber resilience of payment systems and payment-processing activities and the appropriateness of extending the scope of this Regulation to operators of payment systems and entities involved in payment-processing activities.</t>
        </is>
      </c>
      <c r="P1280" s="12" t="n">
        <v>32</v>
      </c>
    </row>
    <row r="1281">
      <c r="A1281" t="inlineStr">
        <is>
          <t>GDPR</t>
        </is>
      </c>
      <c r="B1281" t="inlineStr">
        <is>
          <t>CELEX_32022R2554_EN_TXT (GDPR -Row 3)</t>
        </is>
      </c>
      <c r="C1281" t="inlineStr">
        <is>
          <t>3</t>
        </is>
      </c>
      <c r="D1281" s="11" t="inlineStr">
        <is>
          <t>Commission reviews statutory auditors for digital resilience by 2026</t>
        </is>
      </c>
      <c r="E1281" t="inlineStr">
        <is>
          <t>23–24</t>
        </is>
      </c>
      <c r="F1281" t="inlineStr">
        <is>
          <t>High</t>
        </is>
      </c>
      <c r="G1281" t="inlineStr">
        <is>
          <t>High (explicit)</t>
        </is>
      </c>
      <c r="H1281" s="11" t="inlineStr">
        <is>
          <t>Cross-border Transfer, International Processing, Data Storage, Security, Cloud Services, Incident Reporting, Breach Notification, Governance, Record Keeping</t>
        </is>
      </c>
      <c r="I1281" s="11" t="inlineStr">
        <is>
          <t>Financial Data</t>
        </is>
      </c>
      <c r="J1281" t="inlineStr"/>
      <c r="K1281" s="11" t="inlineStr">
        <is>
          <t>By January 17, 2026, the Commission must review statutory auditors and audit firms for digital operational resilience. The review must assess whether to include these entities in the regulation's scope or amend Directive 2006/43/EC to strengthen requirements for digital resilience. The review must consider the practical experience of financial entities and international regulatory developments.</t>
        </is>
      </c>
      <c r="L1281" s="11" t="inlineStr"/>
      <c r="M1281" s="11" t="inlineStr">
        <is>
          <t>• [Must] By January 17, 2026, Commission shall review statutory auditors and audit firms for digital operational resilience
• [Must] Review must assess appropriateness of including statutory auditors in regulation scope</t>
        </is>
      </c>
      <c r="N1281" s="11" t="inlineStr">
        <is>
          <t>• [Must] Review must assess need for amendments to Directive 2006/43/EC for digital resilience</t>
        </is>
      </c>
      <c r="O1281" s="11" t="inlineStr">
        <is>
          <t>By 17 January 2026, the Commission shall, after consulting the ESAs and the Committee of European Auditing Oversight Bodies, carry out a review and submit a report to the European Parliament and the Council, accompanied, where appropriate, by a legislative proposal, on the appropriateness of strengthened requirements for statutory auditors and audit firms as regards digital operational resilience</t>
        </is>
      </c>
      <c r="P1281" s="12" t="n">
        <v>32</v>
      </c>
    </row>
    <row r="1282">
      <c r="A1282" t="inlineStr">
        <is>
          <t>GDPR</t>
        </is>
      </c>
      <c r="B1282" t="inlineStr">
        <is>
          <t>CELEX_32022R2554_EN_TXT (GDPR -Row 3)</t>
        </is>
      </c>
      <c r="C1282" t="inlineStr">
        <is>
          <t>4</t>
        </is>
      </c>
      <c r="D1282" s="11" t="inlineStr">
        <is>
          <t>Exclusion of entities from GDPR scope by Member States</t>
        </is>
      </c>
      <c r="E1282" t="inlineStr">
        <is>
          <t>25–28</t>
        </is>
      </c>
      <c r="F1282" t="inlineStr">
        <is>
          <t>High</t>
        </is>
      </c>
      <c r="G1282" t="inlineStr">
        <is>
          <t>Medium (merged from chunks)</t>
        </is>
      </c>
      <c r="H1282" s="11" t="inlineStr">
        <is>
          <t>Financial Data, KYC, AML, Governance</t>
        </is>
      </c>
      <c r="I1282" s="11" t="inlineStr">
        <is>
          <t>Financial Data, Customer Data</t>
        </is>
      </c>
      <c r="J1282" t="inlineStr">
        <is>
          <t>European Commission</t>
        </is>
      </c>
      <c r="K1282" s="11" t="inlineStr">
        <is>
          <t>Member States can exclude financial entities listed in Article 2(5) points (4) to (23) of Directive 2013/36/EU from GDPR's scope if they are located within the Member State. When excluding such entities, Member States must notify the European Commission and provide updates on any changes to the exclusions. The Commission then publishes this information publicly. This section lists entities exempt from GDPR's scope under Article 2(5) points (4) to (23). It defines key financial terms like 'insurance undertaking', 'reinsurance undertaking', and references relevant EU directives and regulations for collective investment and prudential requirements. These exclusions apply to financial institutions and entities covered by specific EU legislation.</t>
        </is>
      </c>
      <c r="L1282" s="11" t="inlineStr">
        <is>
          <t>This section allows Member States to exclude specific financial entities from GDPR's scope, which may impact data transfer assessments for entities that are exempt from the regulation's requirements. This section identifies financial entities that may be excluded from GDPR's scope, which is relevant for DTIAs as it clarifies which entities require specific data transfer safeguards and which may operate under different regulatory frameworks.</t>
        </is>
      </c>
      <c r="M1282" s="11" t="inlineStr">
        <is>
          <t>• [Must] Member States may exclude from the scope of this Regulation entities referred to in Article 2(5), points (4) to (23), of Directive 2013/36/EU that are located within their respective territories.
• [Must] Where a Member State makes use of such option, it shall inform the Commission thereof as well as of any subsequent changes thereto.
• [Must] The Commission shall make that information publicly available on its website or other easily accessible means.
• [Must] Member States may exclude entities referred to in Article 2(5), points (4) to (23), from GDPR scope
• [Definition] ‘Insurance undertaking' means an insurance undertaking as defined in Article 13, point (1), of Directive 2009/138/EC</t>
        </is>
      </c>
      <c r="N1282" s="11" t="inlineStr">
        <is>
          <t>• [Definition] ‘Reinsurance undertaking' means a reinsurance undertaking as defined in Article 13, point (4), of Directive 2009/138/EC
• [Definition] Directive 2009/65/EC defines UCITS regulations
• [Definition] Regulation (EU) No 575/2013 sets prudential requirements for credit institutions
• [Definition] Regulation (EU) 2019/2033 sets prudential requirements for investment firms</t>
        </is>
      </c>
      <c r="O1282" s="11" t="inlineStr">
        <is>
          <t>Member States may exclude from the scope of this Regulation entities referred to in Article 2(5), points (4) to (23), of Directive 2013/36/EU that are located within their respective territories. Where a Member State makes use of such option, it shall inform the Commission thereof as well as of any subsequent changes thereto. The Commission shall make that information publicly available on its website or other easily accessible means.</t>
        </is>
      </c>
      <c r="P1282" s="12" t="n">
        <v>32</v>
      </c>
    </row>
    <row r="1283">
      <c r="A1283" t="inlineStr">
        <is>
          <t>GDPR</t>
        </is>
      </c>
      <c r="B1283" t="inlineStr">
        <is>
          <t>CELEX_32022R2554_EN_TXT (GDPR -Row 3)</t>
        </is>
      </c>
      <c r="C1283" t="inlineStr">
        <is>
          <t>4 (part 2)</t>
        </is>
      </c>
      <c r="D1283" s="11" t="inlineStr">
        <is>
          <t>Definitions of financial sector terms for GDPR scope exclusions</t>
        </is>
      </c>
      <c r="E1283" t="inlineStr">
        <is>
          <t>28–29</t>
        </is>
      </c>
      <c r="F1283" t="inlineStr">
        <is>
          <t>High</t>
        </is>
      </c>
      <c r="G1283" t="inlineStr">
        <is>
          <t>High (explicit)</t>
        </is>
      </c>
      <c r="H1283" s="11" t="inlineStr"/>
      <c r="I1283" s="11" t="inlineStr">
        <is>
          <t>Financial Data</t>
        </is>
      </c>
      <c r="J1283" t="inlineStr"/>
      <c r="K1283" s="11" t="inlineStr">
        <is>
          <t>This section defines specific terms used to exclude certain entities from GDPR's scope. It provides precise definitions for insurance intermediaries, reinsurance intermediaries, occupational retirement institutions, credit rating agencies, crypto-asset service providers, and other financial entities. These definitions are critical for determining which organizations fall outside the GDPR's applicability.</t>
        </is>
      </c>
      <c r="L1283" s="11" t="inlineStr"/>
      <c r="M1283" s="11" t="inlineStr">
        <is>
          <t>• [Definition] ‘insurance intermediary' means an insurance intermediary as defined in Article 2(1), point (3), of Directive (EU) 2016/97
• [Definition] ‘ancillary insurance intermediary' means an ancillary insurance intermediary as defined in Article 2(1), point (4), of Directive (EU) 2016/97
• [Definition] ‘reinsurance intermediary' means a reinsurance intermediary as defined in Article 2(1), point (5), of Directive (EU) 2016/97
• [Definition] ‘institution for occupational retirement provision' means an institution for occupational retirement provision as defined in Article 6, point (1), of Directive (EU) 2016/2341
• [Definition] ‘small institution for occupational retirement provision' means an institution for occupational retirement provision which operates pension schemes which together have less than 100 members in total
• [Definition] ‘credit rating agency' means a credit rating agency as defined in Article 3(1), point (b), of Regulation (EC) No 1060/2009
• [Definition] ‘crypto-asset service provider' means a crypto-asset service provider as defined in the relevant provision of the Regulation on markets in crypto-assets
• [Definition] ‘issuer of asset-referenced tokens' means an issuer of asset-referenced tokens as defined in the relevant provision of the Regulation on markets in crypto-assets
• [Definition] ‘administrator of critical benchmarks' means an administrator of ‘critical benchmarks' as defined in Article 3(1), point (25), of Regulation (EU) 2016/1011</t>
        </is>
      </c>
      <c r="N1283" s="11" t="inlineStr">
        <is>
          <t>• [Definition] ‘crowdfunding service provider' means a crowdfunding service provider as defined in Article 2(1), point (e), of Regulation (EU) 2020/1503
• [Definition] ‘securitisation repository' means a securitisation repository as defined in Article 2, point (23), of Regulation (EU) 2017/2402
• [Definition] ‘microenterprise' means a financial entity, other than a trading venue, a central counterparty, a trade repository or a central securities depository, which employs fewer than 10 persons and has an annual turnover and/or annual balance sheet total that does not exceed EUR 2 million
• [Definition] ‘Lead Overseer' means the European Supervisory Authority appointed in accordance with Article 31(1), point (b) of this Regulation
• [Definition] ‘Joint Committee' means the committee referred to in Article 54 of Regulations (EU) No 1093/2010, (EU) No 1094/2010 and (EU) No 1095/2010
• [Definition] ‘small enterprise' means a financial entity that employs 10 or more persons, but fewer than 50 persons, and has an annual turnover and/or annual balance sheet total that exceeds EUR 2 million, but does not exceed EUR 10 million
• [Definition] ‘medium-sized enterprise' means a financial entity that is not a small enterprise and employs fewer than 250 persons and has an annual turnover that does not exceed EUR 50 million and/or an annual balance sheet that does not exceed EUR 43 million
• [Definition] ‘public authority' means any government or other public administration entity, including national central banks</t>
        </is>
      </c>
      <c r="O1283" s="11" t="inlineStr">
        <is>
          <t>‘insurance intermediary' means an insurance intermediary as defined in Article 2(1), point (3), of Directive (EU) 2016/97 of the European Parliament and of the Council (34);</t>
        </is>
      </c>
      <c r="P1283" s="12" t="n">
        <v>32</v>
      </c>
    </row>
    <row r="1284">
      <c r="A1284" t="inlineStr">
        <is>
          <t>GDPR</t>
        </is>
      </c>
      <c r="B1284" t="inlineStr">
        <is>
          <t>CELEX_32022R2554_EN_TXT (GDPR -Row 3)</t>
        </is>
      </c>
      <c r="C1284" t="inlineStr">
        <is>
          <t>5</t>
        </is>
      </c>
      <c r="D1284" s="11" t="inlineStr">
        <is>
          <t>Commission notifies delegated acts to Parliament and Council</t>
        </is>
      </c>
      <c r="E1284" t="inlineStr">
        <is>
          <t>30–31</t>
        </is>
      </c>
      <c r="F1284" t="inlineStr">
        <is>
          <t>None</t>
        </is>
      </c>
      <c r="G1284" t="inlineStr">
        <is>
          <t>High (explicit)</t>
        </is>
      </c>
      <c r="H1284" s="11" t="inlineStr"/>
      <c r="I1284" s="11" t="inlineStr"/>
      <c r="J1284" t="inlineStr"/>
      <c r="K1284" s="11" t="inlineStr">
        <is>
          <t>The Commission must notify any delegated act it adopts simultaneously to the European Parliament and the Council. This procedural requirement applies to the Commission's legislative actions under the GDPR framework. The notification serves as a formal step in the legislative process for delegated acts.</t>
        </is>
      </c>
      <c r="L1284" s="11" t="inlineStr"/>
      <c r="M1284" s="11" t="inlineStr">
        <is>
          <t>• [Must] Commission shall notify delegated acts simultaneously to European Parliament and Council</t>
        </is>
      </c>
      <c r="N1284" s="11" t="inlineStr"/>
      <c r="O1284" s="11" t="inlineStr">
        <is>
          <t>As soon as it adopts a delegated act, the Commission shall notify it simultaneously to the European Parliament and to the Council.</t>
        </is>
      </c>
      <c r="P1284" s="12" t="n">
        <v>32</v>
      </c>
    </row>
    <row r="1285">
      <c r="A1285" t="inlineStr">
        <is>
          <t>GDPR</t>
        </is>
      </c>
      <c r="B1285" t="inlineStr">
        <is>
          <t>CELEX_32022R2554_EN_TXT (GDPR -Row 3)</t>
        </is>
      </c>
      <c r="C1285" t="inlineStr">
        <is>
          <t>6</t>
        </is>
      </c>
      <c r="D1285" s="11" t="inlineStr">
        <is>
          <t>Delegated acts require no objections for entry into force</t>
        </is>
      </c>
      <c r="E1285" t="inlineStr">
        <is>
          <t>31</t>
        </is>
      </c>
      <c r="F1285" t="inlineStr">
        <is>
          <t>None</t>
        </is>
      </c>
      <c r="G1285" t="inlineStr">
        <is>
          <t>High (explicit)</t>
        </is>
      </c>
      <c r="H1285" s="11" t="inlineStr"/>
      <c r="I1285" s="11" t="inlineStr"/>
      <c r="J1285" t="inlineStr"/>
      <c r="K1285" s="11" t="inlineStr">
        <is>
          <t>A delegated act adopted under Articles 31(6) and 43(2) enters into force only if no objections are expressed by either the European Parliament or Council within three months of notification. If no objections are made, the act enters into force; otherwise, it does not. The three-month period may be extended by either body.</t>
        </is>
      </c>
      <c r="L1285" s="11" t="inlineStr"/>
      <c r="M1285" s="11" t="inlineStr">
        <is>
          <t>• [Must] Delegated act enters into force only if no objections from European Parliament or Council within three months</t>
        </is>
      </c>
      <c r="N1285" s="11" t="inlineStr">
        <is>
          <t>• [Condition] Three-month period for objections may be extended by either body</t>
        </is>
      </c>
      <c r="O1285" s="11" t="inlineStr">
        <is>
          <t>A delegated act adopted pursuant to Articles 31(6) and 43(2) shall enter into force only if no objection has been expressed either by the European Parliament or by the Council within a period of three months of notification of that act to the European Parliament and the Council or if, before the expiry of that period, the European Parliament and the Council have both informed the Commission that they will not object.</t>
        </is>
      </c>
      <c r="P1285" s="12" t="n">
        <v>32</v>
      </c>
    </row>
    <row r="1286">
      <c r="A1286" t="inlineStr">
        <is>
          <t>GDPR</t>
        </is>
      </c>
      <c r="B1286" t="inlineStr">
        <is>
          <t>CELEX_32022R2554_EN_TXT (GDPR -Row 3)</t>
        </is>
      </c>
      <c r="C1286" t="inlineStr">
        <is>
          <t>7</t>
        </is>
      </c>
      <c r="D1286" s="11" t="inlineStr">
        <is>
          <t>Non-binding opinions for consistent supervisory measures</t>
        </is>
      </c>
      <c r="E1286" t="inlineStr">
        <is>
          <t>31</t>
        </is>
      </c>
      <c r="F1286" t="inlineStr">
        <is>
          <t>High</t>
        </is>
      </c>
      <c r="G1286" t="inlineStr">
        <is>
          <t>High (explicit)</t>
        </is>
      </c>
      <c r="H1286" s="11" t="inlineStr"/>
      <c r="I1286" s="11" t="inlineStr">
        <is>
          <t>Financial Data</t>
        </is>
      </c>
      <c r="J1286" t="inlineStr">
        <is>
          <t>Lead Overseer</t>
        </is>
      </c>
      <c r="K1286" s="11" t="inlineStr">
        <is>
          <t>If a critical ICT third-party service provider refuses to endorse recommendations from the Lead Overseer and this divergence risks financial stability, the Lead Overseer may issue non-binding opinions after consulting the Oversight Forum. These opinions aim to promote consistent supervisory follow-up measures across competent authorities to address potential risks to financial stability.</t>
        </is>
      </c>
      <c r="L1286" s="11" t="inlineStr">
        <is>
          <t>This section allows the Lead Overseer to issue non-binding opinions to ensure consistent supervisory measures when critical ICT service providers refuse recommendations, affecting cross-border data processing and financial stability.</t>
        </is>
      </c>
      <c r="M1286" s="11" t="inlineStr">
        <is>
          <t>• [May] Lead Overseer may issue non-binding and non-public opinions to competent authorities
• [Condition] Opinions must be issued after consulting the Oversight Forum</t>
        </is>
      </c>
      <c r="N1286" s="11" t="inlineStr">
        <is>
          <t>• [Should] Opinions aim to promote consistent and convergent supervisory follow-up measures</t>
        </is>
      </c>
      <c r="O1286" s="11" t="inlineStr">
        <is>
          <t>Where a critical ICT third-party service provider refuses to endorse recommendations, based on a divergent approach from the one advised by the Lead Overseer, and such a divergent approach may adversely impact a large number of financial entities, or a significant part of the financial sector, and individual warnings issued by competent authorities have not resulted in consistent approaches mitigating the potential risk to financial stability, the Lead Overseer may, after consulting the Oversight Forum, issue non-binding and non-public opinions to competent authorities, in order to promote consistent and convergent supervisory follow-up measures, as appropriate.</t>
        </is>
      </c>
      <c r="P1286" s="12" t="n">
        <v>32</v>
      </c>
    </row>
    <row r="1287">
      <c r="A1287" t="inlineStr">
        <is>
          <t>GDPR</t>
        </is>
      </c>
      <c r="B1287" t="inlineStr">
        <is>
          <t>CELEX_32022R2554_EN_TXT (GDPR -Row 3)</t>
        </is>
      </c>
      <c r="C1287" t="inlineStr">
        <is>
          <t>8</t>
        </is>
      </c>
      <c r="D1287" s="11" t="inlineStr">
        <is>
          <t>Risk assessment criteria for critical ICT service providers</t>
        </is>
      </c>
      <c r="E1287" t="inlineStr">
        <is>
          <t>31</t>
        </is>
      </c>
      <c r="F1287" t="inlineStr">
        <is>
          <t>High</t>
        </is>
      </c>
      <c r="G1287" t="inlineStr">
        <is>
          <t>High (explicit)</t>
        </is>
      </c>
      <c r="H1287" s="11" t="inlineStr"/>
      <c r="I1287" s="11" t="inlineStr">
        <is>
          <t>Financial Data</t>
        </is>
      </c>
      <c r="J1287" t="inlineStr">
        <is>
          <t>Competent authorities</t>
        </is>
      </c>
      <c r="K1287" s="11" t="inlineStr">
        <is>
          <t>Competent authorities must consider specific risk criteria when deciding whether to suspend or terminate critical ICT third-party services. These criteria include the severity of non-compliance, whether it reveals serious weaknesses, if financial crime was facilitated, intent behind non-compliance, business continuity risks, and opinions from designated authorities. Financial entities must be given time to adjust contracts and deploy exit strategies.</t>
        </is>
      </c>
      <c r="L1287" s="11" t="inlineStr">
        <is>
          <t>This section details risk assessment criteria for critical ICT service providers, impacting data transfer and processing decisions for financial entities across borders.</t>
        </is>
      </c>
      <c r="M1287" s="11" t="inlineStr">
        <is>
          <t>• [Must] Competent authorities shall take into account the type and magnitude of risk not addressed by critical ICT third-party service providers
• [Must] Competent authorities shall consider gravity and duration of non-compliance
• [Must] Competent authorities shall assess whether non-compliance reveals serious weaknesses in procedures, management systems, risk management, and internal controls
• [Must] Competent authorities shall evaluate if financial crime was facilitated, occasioned, or attributable to non-compliance
• [Must] Competent authorities shall determine if non-compliance was intentional or negligent</t>
        </is>
      </c>
      <c r="N1287" s="11" t="inlineStr">
        <is>
          <t>• [Must] Competent authorities shall assess if suspension or termination introduces business continuity risks
• [Must] Competent authorities shall consider opinions from designated authorities on critical ICT service providers
• [Must] Competent authorities shall grant financial entities necessary time to adjust contractual arrangements
• [Must] Financial entities must deploy exit strategies and transition plans</t>
        </is>
      </c>
      <c r="O1287" s="11" t="inlineStr">
        <is>
          <t>Upon receiving the reports referred to in Article 35(1), point (c), competent authorities, when taking a decision as referred to in paragraph 6 of this Article, shall take into account the type and magnitude of risk that is not addressed by the critical ICT third-party service provider, as well as the seriousness of the non-compliance, having regard to the following criteria: (a) the gravity and the duration of the non-compliance; (b) whether the non-compliance has revealed serious weaknesses in the critical ICT third-party service provider's procedures, management systems, risk management and internal controls; (c) whether a financial crime was facilitated, occasioned or is otherwise attributable to the non-compliance; (d) whether the non-compliance has been intentional or negligent; (e) whether the suspension or termination of the contractual arrangements introduces a risk for continuity of the financial entity's business operations notwithstanding the financial entity's efforts to avoid disruption in the provision of its services; (f) where applicable, the opinion of the competent authorities designated or established in accordance with Directive (EU) 2022/2555 responsible for the supervision of an essential or important entity subject to that Directive, which has been designated as a critical ICT third-party service provider, requested on a voluntary basis in accordance with paragraph 5 of this Article. Competent authorities shall grant financial entities the necessary period of time to enable them to adjust the contractual arrangements with critical ICT third-party service providers in order to avoid detrimental effects on their digital operational resilience and to allow them to deploy exit strategies and transition plans as referred to in Article 28.</t>
        </is>
      </c>
      <c r="P1287" s="12" t="n">
        <v>32</v>
      </c>
    </row>
    <row r="1288">
      <c r="A1288" t="inlineStr">
        <is>
          <t>GDPR</t>
        </is>
      </c>
      <c r="B1288" t="inlineStr">
        <is>
          <t>CELEX_32022R2554_EN_TXT (GDPR -Row 3)</t>
        </is>
      </c>
      <c r="C1288" t="inlineStr">
        <is>
          <t>9</t>
        </is>
      </c>
      <c r="D1288" s="11" t="inlineStr">
        <is>
          <t>Notification of decisions to Oversight Forum</t>
        </is>
      </c>
      <c r="E1288" t="inlineStr">
        <is>
          <t>31</t>
        </is>
      </c>
      <c r="F1288" t="inlineStr">
        <is>
          <t>High</t>
        </is>
      </c>
      <c r="G1288" t="inlineStr">
        <is>
          <t>High (explicit)</t>
        </is>
      </c>
      <c r="H1288" s="11" t="inlineStr"/>
      <c r="I1288" s="11" t="inlineStr">
        <is>
          <t>Financial Data</t>
        </is>
      </c>
      <c r="J1288" t="inlineStr">
        <is>
          <t>Competent authorities</t>
        </is>
      </c>
      <c r="K1288" s="11" t="inlineStr">
        <is>
          <t>Decisions to suspend or terminate critical ICT third-party services must be notified to the Oversight Forum members and the JON. Affected critical ICT service providers must fully cooperate with financial entities during the suspension or termination process.</t>
        </is>
      </c>
      <c r="L1288" s="11" t="inlineStr">
        <is>
          <t>This section mandates notification of critical ICT service suspension decisions to oversight bodies, ensuring transparency and cooperation across financial entities and service providers.</t>
        </is>
      </c>
      <c r="M1288" s="11" t="inlineStr">
        <is>
          <t>• [Must] Decisions referred to in paragraph 6 shall be notified to Oversight Forum members
• [Must] Decisions shall be notified to the JON</t>
        </is>
      </c>
      <c r="N1288" s="11" t="inlineStr">
        <is>
          <t>• [Must] Critical ICT third-party service providers affected by decisions must fully cooperate with financial entities</t>
        </is>
      </c>
      <c r="O1288" s="11" t="inlineStr">
        <is>
          <t>The decision referred to in paragraph 6 of this Article shall be notified to the members of the Oversight Forum referred to in Article 32(4), points (a), (b) and (c), and to the JON. The critical ICT third-party service providers affected by the decisions provided for in paragraph 6 shall fully cooperate with the financial entities impacted, in particular in the context of the process of suspension or termination of their contractual arrangements.</t>
        </is>
      </c>
      <c r="P1288" s="12" t="n">
        <v>32</v>
      </c>
    </row>
    <row r="1289">
      <c r="A1289" t="inlineStr">
        <is>
          <t>GDPR</t>
        </is>
      </c>
      <c r="B1289" t="inlineStr">
        <is>
          <t>CELEX_32022R2554_EN_TXT (GDPR -Row 3)</t>
        </is>
      </c>
      <c r="C1289" t="inlineStr">
        <is>
          <t>10</t>
        </is>
      </c>
      <c r="D1289" s="11" t="inlineStr">
        <is>
          <t>Regular reporting on supervisory tasks</t>
        </is>
      </c>
      <c r="E1289" t="inlineStr">
        <is>
          <t>31–32</t>
        </is>
      </c>
      <c r="F1289" t="inlineStr">
        <is>
          <t>High</t>
        </is>
      </c>
      <c r="G1289" t="inlineStr">
        <is>
          <t>High (explicit)</t>
        </is>
      </c>
      <c r="H1289" s="11" t="inlineStr"/>
      <c r="I1289" s="11" t="inlineStr">
        <is>
          <t>Financial Data</t>
        </is>
      </c>
      <c r="J1289" t="inlineStr">
        <is>
          <t>Competent authorities</t>
        </is>
      </c>
      <c r="K1289" s="11" t="inlineStr">
        <is>
          <t>Competent authorities must regularly report to the Lead Overseer on supervisory approaches, measures taken with financial entities, and contractual arrangements where critical ICT third-party service providers have not endorsed recommendations from the Lead Overseer.</t>
        </is>
      </c>
      <c r="L1289" s="11" t="inlineStr">
        <is>
          <t>This section requires regular reporting on supervisory activities related to critical ICT service providers, ensuring oversight of data transfer and processing across borders.</t>
        </is>
      </c>
      <c r="M1289" s="11" t="inlineStr">
        <is>
          <t>• [Must] Competent authorities shall regularly inform the Lead Overseer on supervisory approaches and measures</t>
        </is>
      </c>
      <c r="N1289" s="11" t="inlineStr">
        <is>
          <t>• [Must] Competent authorities shall report on contractual arrangements with financial entities where critical ICT third-party service providers have not endorsed recommendations</t>
        </is>
      </c>
      <c r="O1289" s="11" t="inlineStr">
        <is>
          <t>Competent authorities shall regularly inform the Lead Overseer on the approaches and measures taken in their supervisory tasks in relation to financial entities as well as on the contractual arrangements concluded by financial entities where critical ICT third-party service providers have not endorsed in part or entirely recommendations addressed to them by the Lead Overseer.</t>
        </is>
      </c>
      <c r="P1289" s="12" t="n">
        <v>32</v>
      </c>
    </row>
    <row r="1290">
      <c r="A1290" t="inlineStr">
        <is>
          <t>GDPR</t>
        </is>
      </c>
      <c r="B1290" t="inlineStr">
        <is>
          <t>CELEX_32022R2554_EN_TXT (GDPR -Row 3)</t>
        </is>
      </c>
      <c r="C1290" t="inlineStr">
        <is>
          <t>11</t>
        </is>
      </c>
      <c r="D1290" s="11" t="inlineStr">
        <is>
          <t>Clarifications on recommendations for competent authorities</t>
        </is>
      </c>
      <c r="E1290" t="inlineStr">
        <is>
          <t>35</t>
        </is>
      </c>
      <c r="F1290" t="inlineStr">
        <is>
          <t>High</t>
        </is>
      </c>
      <c r="G1290" t="inlineStr">
        <is>
          <t>High (explicit)</t>
        </is>
      </c>
      <c r="H1290" s="11" t="inlineStr"/>
      <c r="I1290" s="11" t="inlineStr">
        <is>
          <t>Financial Data</t>
        </is>
      </c>
      <c r="J1290" t="inlineStr">
        <is>
          <t>Lead Overseer</t>
        </is>
      </c>
      <c r="K1290" s="11" t="inlineStr">
        <is>
          <t>The Lead Overseer may provide further clarifications on recommendations to guide competent authorities on follow-up measures when requested. This helps ensure consistent interpretation and implementation of critical ICT service provider requirements.</t>
        </is>
      </c>
      <c r="L1290" s="11" t="inlineStr">
        <is>
          <t>This section allows the Lead Overseer to clarify recommendations for competent authorities, supporting consistent data transfer and processing decisions across borders.</t>
        </is>
      </c>
      <c r="M1290" s="11" t="inlineStr">
        <is>
          <t>• [May] Lead Overseer may provide further clarifications on recommendations to guide competent authorities</t>
        </is>
      </c>
      <c r="N1290" s="11" t="inlineStr"/>
      <c r="O1290" s="11" t="inlineStr">
        <is>
          <t>The Lead Overseer may, upon request, provide further clarifications on the recommendations issued to guide the competent authorities on the follow-up measures.</t>
        </is>
      </c>
      <c r="P1290" s="12" t="n">
        <v>32</v>
      </c>
    </row>
    <row r="1291">
      <c r="A1291" t="inlineStr">
        <is>
          <t>GDPR</t>
        </is>
      </c>
      <c r="B1291" t="inlineStr">
        <is>
          <t>CELEX_32022R2554_EN_TXT (GDPR -Row 3)</t>
        </is>
      </c>
      <c r="C1291" t="inlineStr">
        <is>
          <t>12</t>
        </is>
      </c>
      <c r="D1291" s="11" t="inlineStr">
        <is>
          <t>Critical ICT third-party service providers must have EU subsidiary within 12 months</t>
        </is>
      </c>
      <c r="E1291" t="inlineStr">
        <is>
          <t>55</t>
        </is>
      </c>
      <c r="F1291" t="inlineStr">
        <is>
          <t>High</t>
        </is>
      </c>
      <c r="G1291" t="inlineStr">
        <is>
          <t>High (explicit)</t>
        </is>
      </c>
      <c r="H1291" s="11" t="inlineStr">
        <is>
          <t>Third Party Processing, Cross-border Transfer, Financial Data</t>
        </is>
      </c>
      <c r="I1291" s="11" t="inlineStr">
        <is>
          <t>Financial Data</t>
        </is>
      </c>
      <c r="J1291" t="inlineStr">
        <is>
          <t>Lead Overseer</t>
        </is>
      </c>
      <c r="K1291" s="11" t="inlineStr">
        <is>
          <t>Financial entities can only use ICT third-party service providers from third countries that have been designated as critical. These providers must establish a subsidiary in the EU within 12 months of designation. This requirement applies to financial entities operating under the oversight framework.</t>
        </is>
      </c>
      <c r="L1291" s="11" t="inlineStr">
        <is>
          <t>Critical ICT third-party providers must establish EU subsidiaries within 12 months to ensure data processing compliance across borders. This impacts DTIA by requiring specific subsidiary establishment timelines for cross-border data transfers.</t>
        </is>
      </c>
      <c r="M1291" s="11" t="inlineStr">
        <is>
          <t>• [Must] Financial entities shall only use ICT third-party service providers established in third countries
• [Must] ICT third-party service providers must have been designated as critical</t>
        </is>
      </c>
      <c r="N1291" s="11" t="inlineStr">
        <is>
          <t>• [Must] Critical ICT third-party service providers must establish a subsidiary in the EU within 12 months of designation</t>
        </is>
      </c>
      <c r="O1291" s="11" t="inlineStr">
        <is>
          <t>Financial entities shall only make use of the services of an ICT third-party service provider established in a third country and which has been designated as critical in accordance with paragraph 1, point (a), if the latter has established a subsidiary in the Union within the 12 months following the designation.</t>
        </is>
      </c>
      <c r="P1291" s="12" t="n">
        <v>32</v>
      </c>
    </row>
    <row r="1292">
      <c r="A1292" t="inlineStr">
        <is>
          <t>GDPR</t>
        </is>
      </c>
      <c r="B1292" t="inlineStr">
        <is>
          <t>CELEX_32022R2554_EN_TXT (GDPR -Row 3)</t>
        </is>
      </c>
      <c r="C1292" t="inlineStr">
        <is>
          <t>13</t>
        </is>
      </c>
      <c r="D1292" s="11" t="inlineStr">
        <is>
          <t>Critical ICT third-party providers must notify Lead Overseer of subsidiary structural changes</t>
        </is>
      </c>
      <c r="E1292" t="inlineStr">
        <is>
          <t>55</t>
        </is>
      </c>
      <c r="F1292" t="inlineStr">
        <is>
          <t>High</t>
        </is>
      </c>
      <c r="G1292" t="inlineStr">
        <is>
          <t>High (explicit)</t>
        </is>
      </c>
      <c r="H1292" s="11" t="inlineStr">
        <is>
          <t>Third Party Processing, Cross-border Transfer, Financial Data</t>
        </is>
      </c>
      <c r="I1292" s="11" t="inlineStr">
        <is>
          <t>Financial Data</t>
        </is>
      </c>
      <c r="J1292" t="inlineStr">
        <is>
          <t>Lead Overseer</t>
        </is>
      </c>
      <c r="K1292" s="11" t="inlineStr">
        <is>
          <t>Critical ICT third-party service providers must inform the Lead Overseer of any changes to the structure of their EU subsidiary management. This requirement applies to providers designated as critical under section 12 and is part of the oversight framework for financial entities.</t>
        </is>
      </c>
      <c r="L1292" s="11" t="inlineStr">
        <is>
          <t>Critical ICT third-party providers must report structural changes to their EU subsidiaries to the Lead Overseer, ensuring transparency in cross-border data processing arrangements.</t>
        </is>
      </c>
      <c r="M1292" s="11" t="inlineStr">
        <is>
          <t>• [Must] Critical ICT third-party service providers must notify the Lead Overseer of any changes to the structure of the subsidiary's management</t>
        </is>
      </c>
      <c r="N1292" s="11" t="inlineStr"/>
      <c r="O1292" s="11" t="inlineStr">
        <is>
          <t>The critical ICT third-party service provider referred to in paragraph 12 shall notify the Lead Overseer of any changes to the structure of the management of the subsidiary established in the Union.</t>
        </is>
      </c>
      <c r="P1292" s="12" t="n">
        <v>32</v>
      </c>
    </row>
    <row r="1293">
      <c r="A1293" t="inlineStr">
        <is>
          <t>GDPR</t>
        </is>
      </c>
      <c r="B1293" t="inlineStr">
        <is>
          <t>CELEX_32022R2554_EN_TXT (GDPR -Row 3)</t>
        </is>
      </c>
      <c r="C1293" t="inlineStr">
        <is>
          <t>2024</t>
        </is>
      </c>
      <c r="D1293" s="11" t="inlineStr">
        <is>
          <t>Commission delegates authority to adopt technical standards</t>
        </is>
      </c>
      <c r="E1293" t="inlineStr">
        <is>
          <t>43</t>
        </is>
      </c>
      <c r="F1293" t="inlineStr">
        <is>
          <t>High</t>
        </is>
      </c>
      <c r="G1293" t="inlineStr">
        <is>
          <t>High (explicit)</t>
        </is>
      </c>
      <c r="H1293" s="11" t="inlineStr">
        <is>
          <t>Incident Reporting, Breach Notification, Cross-border Transfer</t>
        </is>
      </c>
      <c r="I1293" s="11" t="inlineStr">
        <is>
          <t>Financial Data</t>
        </is>
      </c>
      <c r="J1293" t="inlineStr">
        <is>
          <t>Commission</t>
        </is>
      </c>
      <c r="K1293" s="11" t="inlineStr">
        <is>
          <t>The Commission has delegated power to adopt common regulatory technical standards for incident reporting content and templates, including time limits and notification procedures, in accordance with specific EU regulations.</t>
        </is>
      </c>
      <c r="L1293" s="11" t="inlineStr">
        <is>
          <t>This section delegates authority to the Commission for technical standards, which affects DTIAs by standardizing reporting templates and time limits for cross-border incident reporting.</t>
        </is>
      </c>
      <c r="M1293" s="11" t="inlineStr">
        <is>
          <t>• [May] Commission may adopt common regulatory technical standards for incident reporting content and templates</t>
        </is>
      </c>
      <c r="N1293" s="11" t="inlineStr"/>
      <c r="O1293" s="11" t="inlineStr">
        <is>
          <t>Power is delegated to the Commission to supplement this Regulation by adopting the common regulatory technical standards referred to in the first paragraph, point (a), in accordance with Articles 10 to 14 of Regulations (EU) No 1093/2010, (EU) No 1094/2010 and (EU) No 1095/2010.</t>
        </is>
      </c>
      <c r="P1293" s="12" t="n">
        <v>32</v>
      </c>
    </row>
    <row r="1294">
      <c r="A1294" t="inlineStr">
        <is>
          <t>GDPR</t>
        </is>
      </c>
      <c r="B1294" t="inlineStr">
        <is>
          <t>CELEX_32022R2554_EN_TXT (GDPR -Row 3)</t>
        </is>
      </c>
      <c r="C1294" t="inlineStr">
        <is>
          <t>2555</t>
        </is>
      </c>
      <c r="D1294" s="11" t="inlineStr">
        <is>
          <t>Cloud computing service providers under oversight framework</t>
        </is>
      </c>
      <c r="E1294" t="inlineStr">
        <is>
          <t>5–8</t>
        </is>
      </c>
      <c r="F1294" t="inlineStr">
        <is>
          <t>High</t>
        </is>
      </c>
      <c r="G1294" t="inlineStr">
        <is>
          <t>High (explicit)</t>
        </is>
      </c>
      <c r="H1294" s="11" t="inlineStr">
        <is>
          <t>Cloud Services, Data Storage, Security, Third Party Processing</t>
        </is>
      </c>
      <c r="I1294" s="11" t="inlineStr">
        <is>
          <t>Financial Data</t>
        </is>
      </c>
      <c r="J1294" t="inlineStr">
        <is>
          <t>European Union</t>
        </is>
      </c>
      <c r="K1294" s="11" t="inlineStr">
        <is>
          <t>This section mandates that the Oversight Framework established by the Regulation must cover cloud computing service providers where no Union horizontal framework for digital oversight exists. Financial entities require comprehensive ICT risk management capabilities, incident reporting mechanisms, third-party risk policies, and testing protocols. The framework must be proportionate for microenterprises and entities under simplified ICT risk management, while ensuring supervisory activities focus on critical ICT risks without duplication across Member States.</t>
        </is>
      </c>
      <c r="L1294" s="11" t="inlineStr">
        <is>
          <t>Requires oversight of cloud providers to ensure ICT risk management, incident reporting, and third-party risk controls for cross-border data transfers in financial services. Critical for DTIA due to cloud data residency and security implications.</t>
        </is>
      </c>
      <c r="M1294" s="11" t="inlineStr">
        <is>
          <t>• [Must] Oversight Framework must cover cloud computing service providers where no Union horizontal framework for digital oversight exists
• [Must] Financial entities must have comprehensive ICT risk management capabilities
• [Must] Financial entities must have policies for ICT incident reporting
• [Must] Financial entities must have policies for ICT system testing</t>
        </is>
      </c>
      <c r="N1294" s="11" t="inlineStr">
        <is>
          <t>• [Must] Financial entities must have policies for ICT third-party risk management
• [Must] Digital operational resilience baseline for financial entities must be increased
• [Must] Proportionate application of requirements for microenterprises and simplified ICT risk management entities
• [Must] Supervisory activities must focus on critical ICT risks</t>
        </is>
      </c>
      <c r="O1294" s="11" t="inlineStr">
        <is>
          <t>2555. Moreover, the Oversight Framework established by this Regulation should cover cloud computing service providers in the absence of a Union horizontal framework establishing a digital oversight authority.</t>
        </is>
      </c>
      <c r="P1294" s="12" t="n">
        <v>32</v>
      </c>
    </row>
    <row r="1295">
      <c r="A1295" t="inlineStr">
        <is>
          <t>GDPR</t>
        </is>
      </c>
      <c r="B1295" t="inlineStr">
        <is>
          <t>CELEX_32022R2554_EN_TXT (GDPR -Row 3)</t>
        </is>
      </c>
      <c r="C1295" t="inlineStr">
        <is>
          <t>2555 (part 3)</t>
        </is>
      </c>
      <c r="D1295" s="11" t="inlineStr">
        <is>
          <t>Exemptions for small financial entities from ICT risk management requirements</t>
        </is>
      </c>
      <c r="E1295" t="inlineStr">
        <is>
          <t>10–12</t>
        </is>
      </c>
      <c r="F1295" t="inlineStr">
        <is>
          <t>High</t>
        </is>
      </c>
      <c r="G1295" t="inlineStr">
        <is>
          <t>High (explicit)</t>
        </is>
      </c>
      <c r="H1295" s="11" t="inlineStr"/>
      <c r="I1295" s="11" t="inlineStr">
        <is>
          <t>Financial Data</t>
        </is>
      </c>
      <c r="J1295" t="inlineStr"/>
      <c r="K1295" s="11" t="inlineStr">
        <is>
          <t>This section outlines exemptions for small and micro-enterprise financial entities from comprehensive ICT risk management obligations. It specifies that entities with fewer than 15 members, small investment firms, occupational retirement providers with under 100 members, and those exempted under sectoral directives should be subject to a simplified ICT risk management framework instead of the full requirements. The exemptions aim to balance proportionality with sector-specific regulatory needs.</t>
        </is>
      </c>
      <c r="L1295" s="11" t="inlineStr">
        <is>
          <t>This section defines exemptions for small financial entities from full ICT risk management requirements, allowing them to use simplified frameworks that reduce compliance burdens while maintaining essential digital resilience measures.</t>
        </is>
      </c>
      <c r="M1295" s="11" t="inlineStr">
        <is>
          <t>• [Must Not] Financial entities with fewer than 15 members should be exempt from full ICT risk management requirements
• [Must] Small investment firms and occupational retirement providers with under 100 members should use simplified ICT risk management frameworks
• [Must] Financial entities exempted under Directive 2013/36/EU should follow simplified ICT risk management frameworks
• [Must Not] Microenterprises should not be required to establish ICT third-party service provider monitoring roles
• [Must Not] Microenterprises should not be required to designate senior management members for ICT risk oversight
• [Must Not] Microenterprises should not be required to assign ICT risk management to a control function with independence
• [Must Not] Microenterprises should not be required to document and review ICT risk management annually
• [Must Not] Microenterprises should not be required to subject ICT risk management to internal audits
• [Must Not] Microenterprises should not be required to perform in-depth assessments after major network changes
• [Must Not] Microenterprises should not be required to conduct regular risk analyses on legacy ICT systems</t>
        </is>
      </c>
      <c r="N1295" s="11" t="inlineStr">
        <is>
          <t>• [Must Not] Microenterprises should not be required to subject ICT response and recovery plans to independent audits
• [Must Not] Microenterprises should not be required to maintain redundant ICT capacities
• [Must Not] Microenterprises should not be required to communicate post-incident changes to authorities
• [Must Not] Microenterprises should not be required to monitor technological developments continuously
• [Must Not] Microenterprises should not be required to establish comprehensive digital operational resilience testing programs
• [Must Not] Microenterprises should not be required to adopt and review ICT third-party risk strategies
• [Should] Microenterprises should only assess redundant ICT capacities based on their risk profile
• [Should] Microenterprises should benefit from flexible digital operational resilience testing regimes
• [Should] Microenterprises should balance digital resilience, resources, and risk profiles when testing
• [Should] Microenterprises should delegate access inspection and audit rights to independent third parties</t>
        </is>
      </c>
      <c r="O1295" s="11" t="inlineStr">
        <is>
          <t>do not have more than 15 members in total. In light of those exemptions it would not be proportionate to include such financial entities in the scope of this Regulation.</t>
        </is>
      </c>
      <c r="P1295" s="12" t="n">
        <v>32</v>
      </c>
    </row>
    <row r="1296">
      <c r="A1296" t="inlineStr">
        <is>
          <t>GDPR</t>
        </is>
      </c>
      <c r="B1296" t="inlineStr">
        <is>
          <t>CELEX_32022R2554_EN_TXT (GDPR -Row 3)</t>
        </is>
      </c>
      <c r="C1296" t="inlineStr">
        <is>
          <t>2555 (part 4)</t>
        </is>
      </c>
      <c r="D1296" s="11" t="inlineStr">
        <is>
          <t>Reporting requirements for major ICT-related incidents</t>
        </is>
      </c>
      <c r="E1296" t="inlineStr">
        <is>
          <t>12–14</t>
        </is>
      </c>
      <c r="F1296" t="inlineStr">
        <is>
          <t>High</t>
        </is>
      </c>
      <c r="G1296" t="inlineStr">
        <is>
          <t>High (explicit)</t>
        </is>
      </c>
      <c r="H1296" s="11" t="inlineStr">
        <is>
          <t>Incident Reporting</t>
        </is>
      </c>
      <c r="I1296" s="11" t="inlineStr">
        <is>
          <t>Financial Data</t>
        </is>
      </c>
      <c r="J1296" t="inlineStr"/>
      <c r="K1296" s="11" t="inlineStr">
        <is>
          <t>This section mandates that financial entities report major ICT-related incidents directly to their national competent authorities, with specific provisions for credit institutions classified as significant. It requires harmonized reporting channels, coordination with public authorities, and streamlined processes to ensure timely information sharing while maintaining data integrity and security. The reporting framework aims to enhance incident response and prevent systemic risks.</t>
        </is>
      </c>
      <c r="L1296" s="11" t="inlineStr">
        <is>
          <t>This section establishes mandatory reporting of major ICT incidents to national authorities, enabling coordinated responses and enhanced digital resilience across financial entities while ensuring data integrity and security.</t>
        </is>
      </c>
      <c r="M1296" s="11" t="inlineStr">
        <is>
          <t>• [Must] Financial entities must report major ICT-related incidents directly to national competent authorities
• [Must] Financial entities subject to multiple national authorities must designate one competent authority for reporting
• [Must] Credit institutions classified as significant must report to national authorities, which transmit reports to the ECB
• [Must] Financial supervisors must share incident details with public authorities and law enforcement for criminal incidents
• [Must] Financial entities must report operational or security payment-related incidents regardless of ICT nature
• [Must] ESAs must assess feasibility of a centralized EU hub for incident reporting
• [Must] Financial entities must conduct regular ICT system testing to identify vulnerabilities</t>
        </is>
      </c>
      <c r="N1296" s="11" t="inlineStr">
        <is>
          <t>• [Must] Testing should include basic and advanced tools to assess cybersecurity readiness
• [Must] Advanced testing via threat-led penetration testing (TLPT) should be limited to mature financial entities
• [Must] Cross-border financial groups must comply with testing requirements in their home Member State
• [May] Member States may designate a single authority for TLPT matters at national level
• [May] Financial entities may determine which critical functions to include in TLPT
• [Must Not] Pooled testing must not adversely impact services for entities outside this Regulation's scope</t>
        </is>
      </c>
      <c r="O1296" s="11" t="inlineStr">
        <is>
          <t>The reporting of major ICT-related incidents by financial entities should be significantly improved and streamlined. ICT-related incident reporting should be harmonised through the introduction of a requirement for all financial entities to report directly to their relevant competent authorities.</t>
        </is>
      </c>
      <c r="P1296" s="12" t="n">
        <v>32</v>
      </c>
    </row>
    <row r="1297">
      <c r="A1297" t="inlineStr">
        <is>
          <t>GDPR</t>
        </is>
      </c>
      <c r="B1297" t="inlineStr">
        <is>
          <t>CELEX_32022R2554_EN_TXT (GDPR -Row 3)</t>
        </is>
      </c>
      <c r="C1297" t="inlineStr">
        <is>
          <t>2555 (part 5)</t>
        </is>
      </c>
      <c r="D1297" s="11" t="inlineStr">
        <is>
          <t>ICT Third-Party Risk Management for Financial Entities</t>
        </is>
      </c>
      <c r="E1297" t="inlineStr">
        <is>
          <t>14–16</t>
        </is>
      </c>
      <c r="F1297" t="inlineStr">
        <is>
          <t>High</t>
        </is>
      </c>
      <c r="G1297" t="inlineStr">
        <is>
          <t>High (explicit)</t>
        </is>
      </c>
      <c r="H1297" s="11" t="inlineStr"/>
      <c r="I1297" s="11" t="inlineStr">
        <is>
          <t>Financial Data</t>
        </is>
      </c>
      <c r="J1297" t="inlineStr">
        <is>
          <t>European Supervisory Authorities</t>
        </is>
      </c>
      <c r="K1297" s="11" t="inlineStr">
        <is>
          <t>This section mandates financial entities to conduct thorough risk assessments for ICT third-party service providers, particularly those supporting critical functions. It requires supervisory approval, conflict of interest checks, and periodic rotation of testers. Financial entities retain full responsibility for compliance, must implement proportionate monitoring based on service criticality, and maintain detailed registers of ICT dependencies. The regulation explicitly excludes central banks and public authorities from oversight when providing ICT services for state functions.</t>
        </is>
      </c>
      <c r="L1297" s="11" t="inlineStr">
        <is>
          <t>Financial entities must identify and monitor ICT third-party dependencies, especially for critical functions, to prevent systemic risks. Requires detailed contractual terms, risk registers, and oversight mechanisms for cross-border data flows through third parties.</t>
        </is>
      </c>
      <c r="M1297" s="11" t="inlineStr">
        <is>
          <t>• [Must] Financial entities must conduct TLPT using internal testers with supervisory approval, no conflicts of interest, and periodic alternation with external testers (every three tests)
• [Must] The threat intelligence provider in TLPT must always be external to the financial entity
• [Must] Financial entities retain full responsibility for compliance with obligations under this Regulation
• [Must] Financial entities must apply a proportionate approach to monitoring ICT third-party risks based on service criticality, scale, and impact on financial services
• [Must] Financial entities must maintain a register of all contractual arrangements with ICT third-party service providers</t>
        </is>
      </c>
      <c r="N1297" s="11" t="inlineStr">
        <is>
          <t>• [Must] Financial entities must conduct thorough pre-contracting analysis focusing on service criticality, supervisory approvals, concentration risks, and due diligence
• [Must] For critical functions, financial entities must ensure ICT third-party service providers use up-to-date security standards
• [Must] Financial entities must include provisions for data recovery in case of insolvency or business discontinuation
• [Must] ICT third-party service providers must provide assistance in case of ICT incidents at no additional cost</t>
        </is>
      </c>
      <c r="O1297" s="11" t="inlineStr">
        <is>
          <t>In order to take advantage of internal resources available at corporate level, this Regulation should allow the use of internal testers for the purposes of carrying out TLPT, provided there is supervisory approval, no conflicts of interest, and periodical alternation of the use of internal and external testers (every three tests), while also requiring the provider of the threat intelligence in the TLPT to always be external to the financial entity.</t>
        </is>
      </c>
      <c r="P1297" s="12" t="n">
        <v>32</v>
      </c>
    </row>
    <row r="1298">
      <c r="A1298" t="inlineStr">
        <is>
          <t>GDPR</t>
        </is>
      </c>
      <c r="B1298" t="inlineStr">
        <is>
          <t>CELEX_32022R2554_EN_TXT (GDPR -Row 3)</t>
        </is>
      </c>
      <c r="C1298" t="inlineStr">
        <is>
          <t>2555 (part 7)</t>
        </is>
      </c>
      <c r="D1298" s="11" t="inlineStr">
        <is>
          <t>Cloud computing oversight for critical ICT service providers</t>
        </is>
      </c>
      <c r="E1298" t="inlineStr">
        <is>
          <t>18–20</t>
        </is>
      </c>
      <c r="F1298" t="inlineStr">
        <is>
          <t>High</t>
        </is>
      </c>
      <c r="G1298" t="inlineStr">
        <is>
          <t>High (explicit)</t>
        </is>
      </c>
      <c r="H1298" s="11" t="inlineStr">
        <is>
          <t>Cloud Services</t>
        </is>
      </c>
      <c r="I1298" s="11" t="inlineStr">
        <is>
          <t>Financial Data</t>
        </is>
      </c>
      <c r="J1298" t="inlineStr">
        <is>
          <t>ESAs</t>
        </is>
      </c>
      <c r="K1298" s="11" t="inlineStr">
        <is>
          <t>This section mandates that critical ICT third-party service providers supplying financial services must maintain a Union subsidiary within 12 months of designation to enable effective oversight. The Lead Overseer must conduct monitoring missions to assess risk controls and potential impacts on financial stability. Providers must comply with transparency and access obligations, and failure to cooperate risks sanctions. The oversight framework requires critical providers to allow inspections and address Lead Overseer concerns to protect financial system integrity.</t>
        </is>
      </c>
      <c r="L1298" s="11" t="inlineStr">
        <is>
          <t>Critical ICT service providers must establish a Union subsidiary within 12 months of designation to ensure oversight effectiveness. This impacts cross-border data processing by requiring physical presence in the EU for critical providers, though data storage is not mandated.</t>
        </is>
      </c>
      <c r="M1298" s="11" t="inlineStr">
        <is>
          <t>• [Must] Critical ICT third-party service providers must establish a Union subsidiary within 12 months of designation
• [Must] Critical ICT third-party service providers must allow Lead Overseer to conduct monitoring missions and inspections
• [Must] Critical ICT third-party service providers must address Lead Overseer concerns regarding risk controls</t>
        </is>
      </c>
      <c r="N1298" s="11" t="inlineStr">
        <is>
          <t>• [Must] Critical ICT third-party service providers must comply with transparency and access obligations
• [Must Not] Failure to cooperate with Lead Overseer may result in sanctions</t>
        </is>
      </c>
      <c r="O1298" s="11" t="inlineStr">
        <is>
          <t>Critical ICT third-party service providers, providing services to financial entities that affect the supply of financial services, should be required to maintain an adequate business presence in the Union. Due to the nature of the oversight, and the absence of comparable arrangements in other jurisdictions, there are no suitable alternative mechanisms ensuring this objective by way of effective cooperation with financial supervisors in third countries in relation to the monitoring of the impact of digital operational risks posed by systemic ICT third-party service providers, qualifying as critical ICT third-party service providers established in third countries.</t>
        </is>
      </c>
      <c r="P1298" s="12" t="n">
        <v>32</v>
      </c>
    </row>
    <row r="1299">
      <c r="A1299" t="inlineStr">
        <is>
          <t>GDPR</t>
        </is>
      </c>
      <c r="B1299" t="inlineStr">
        <is>
          <t>CELEX_32022R2554_EN_TXT (GDPR -Row 3)</t>
        </is>
      </c>
      <c r="C1299" t="inlineStr">
        <is>
          <t>2555 (part 9)</t>
        </is>
      </c>
      <c r="D1299" s="11" t="inlineStr">
        <is>
          <t>Cloud computing service oversight framework requirements</t>
        </is>
      </c>
      <c r="E1299" t="inlineStr">
        <is>
          <t>22–23</t>
        </is>
      </c>
      <c r="F1299" t="inlineStr">
        <is>
          <t>High</t>
        </is>
      </c>
      <c r="G1299" t="inlineStr">
        <is>
          <t>High (explicit)</t>
        </is>
      </c>
      <c r="H1299" s="11" t="inlineStr">
        <is>
          <t>Cloud Services, Security, Incident Reporting, Breach Notification</t>
        </is>
      </c>
      <c r="I1299" s="11" t="inlineStr">
        <is>
          <t>Financial Data</t>
        </is>
      </c>
      <c r="J1299" t="inlineStr">
        <is>
          <t>European Commission</t>
        </is>
      </c>
      <c r="K1299" s="11" t="inlineStr">
        <is>
          <t>This section mandates that European Supervisory Authorities (ESAs) submit regulatory and implementing technical standards to the European Commission for adoption of delegated acts that carry over and update existing ICT risk management rules. It requires amendments to clarify that ICT risk-related provisions are laid down in this Regulation, and narrows the scope of relevant articles to include digital operational resilience aspects. The section also addresses systemic cyber risks in payment systems and recommends Member States draw inspiration from this Regulation's digital operational resilience requirements when supervising payment systems.</t>
        </is>
      </c>
      <c r="L1299" s="11" t="inlineStr">
        <is>
          <t>This section establishes requirements for cloud computing service oversight frameworks that impact data transfer by mandating technical standards for ICT risk management. It requires harmonized digital resilience rules for payment systems, which may affect cross-border data transfers involving financial entities.</t>
        </is>
      </c>
      <c r="M1299" s="11" t="inlineStr">
        <is>
          <t>• [Must] ESAs must submit regulatory and implementing technical standards to the Commission for adoption of delegated acts carrying over and updating existing ICT risk management rules
• [Must] Regulations (EC) No 1060/2009, (EU) No 648/2012, (EU) No 600/2014, and (EU) No 909/2014 should be amended to clarify ICT risk-related provisions are laid down in this Regulation</t>
        </is>
      </c>
      <c r="N1299" s="11" t="inlineStr">
        <is>
          <t>• [Must] Scope of relevant articles should be narrowed to carry over digital operational resilience aspects into this Regulation
• [May] Member States may draw inspiration from this Regulation's digital operational resilience requirements when supervising payment systems</t>
        </is>
      </c>
      <c r="O1299" s="11" t="inlineStr">
        <is>
          <t>Since further requirements have already been specified through delegated and implementing acts based on technical regulatory and implementing technical standards in Regulations (EC) No 1060/2009 (23), (EU) No 648/2012 (24), (EU) No 600/2014 (25) and (EU) No 909/2014 (26) of the European Parliament and of the Council, it is appropriate to mandate the ESAs, either individually or jointly through the Joint Committee, to submit regulatory and implementing technical standards to the Commission for adoption of delegated and implementing acts carrying over and updating existing ICT risk management rules.</t>
        </is>
      </c>
      <c r="P1299" s="12" t="n">
        <v>32</v>
      </c>
    </row>
    <row r="1300">
      <c r="A1300" t="inlineStr">
        <is>
          <t>GDPR</t>
        </is>
      </c>
      <c r="B1300" t="inlineStr">
        <is>
          <t>CELEX_52023PC0360_EN_TXT (GDPR - Row 13)</t>
        </is>
      </c>
      <c r="C1300" t="inlineStr">
        <is>
          <t>1</t>
        </is>
      </c>
      <c r="D1300" s="11" t="inlineStr">
        <is>
          <t>Regulation evaluation timeline and scope</t>
        </is>
      </c>
      <c r="E1300" t="inlineStr">
        <is>
          <t>2–4</t>
        </is>
      </c>
      <c r="F1300" t="inlineStr">
        <is>
          <t>Low</t>
        </is>
      </c>
      <c r="G1300" t="inlineStr">
        <is>
          <t>High (explicit)</t>
        </is>
      </c>
      <c r="H1300" s="11" t="inlineStr">
        <is>
          <t>Governance</t>
        </is>
      </c>
      <c r="I1300" s="11" t="inlineStr"/>
      <c r="J1300" t="inlineStr"/>
      <c r="K1300" s="11" t="inlineStr">
        <is>
          <t>Four years after the Regulation's entry into force, the Commission must evaluate the Regulation and submit a report to the European Parliament, Council, and European Economic and Social Committee. The evaluation assesses data accessibility categories, excluded data categories, contractual practices, financial data sharing schemes, and compensation impacts on data users.</t>
        </is>
      </c>
      <c r="L1300" s="11" t="inlineStr"/>
      <c r="M1300" s="11" t="inlineStr">
        <is>
          <t>• [Must] By [OP please insert the date = 4 years after the date of entry into application of this Regulation, the Commission shall carry out an evaluation of this Regulation
• [Must] The evaluation shall assess other categories or sets of data to be made accessible
• [Must] The evaluation shall assess the exclusion from the scope of certain categories of data and entities
• [Must] The evaluation shall assess changes in contractual practices of data holders and data users</t>
        </is>
      </c>
      <c r="N1300" s="11" t="inlineStr">
        <is>
          <t>• [Must] The evaluation shall assess the operation of financial data sharing schemes
• [Must] The evaluation shall assess the inclusion of other types of entities to those entities granted the right of access to data
• [Must] The evaluation shall assess the impact of compensation on the ability of data users to participate in financial data sharing schemes</t>
        </is>
      </c>
      <c r="O1300" s="11" t="inlineStr">
        <is>
          <t>By [OP please insert the date = 4 years after the date of entry into application of this Regulation, the Commission shall carry out an evaluation of this Regulation and submit a report on its main findings to the European Parliament and to the Council as well as to the European Economic and Social Committee.</t>
        </is>
      </c>
      <c r="P1300" s="12" t="n">
        <v>33</v>
      </c>
    </row>
    <row r="1301">
      <c r="A1301" t="inlineStr">
        <is>
          <t>GDPR</t>
        </is>
      </c>
      <c r="B1301" t="inlineStr">
        <is>
          <t>CELEX_52023PC0360_EN_TXT (GDPR - Row 13)</t>
        </is>
      </c>
      <c r="C1301" t="inlineStr">
        <is>
          <t>2</t>
        </is>
      </c>
      <c r="D1301" s="11" t="inlineStr">
        <is>
          <t>Financial data access report submission timeline</t>
        </is>
      </c>
      <c r="E1301" t="inlineStr">
        <is>
          <t>4–5</t>
        </is>
      </c>
      <c r="F1301" t="inlineStr">
        <is>
          <t>Low</t>
        </is>
      </c>
      <c r="G1301" t="inlineStr">
        <is>
          <t>High (explicit)</t>
        </is>
      </c>
      <c r="H1301" s="11" t="inlineStr">
        <is>
          <t>Governance</t>
        </is>
      </c>
      <c r="I1301" s="11" t="inlineStr"/>
      <c r="J1301" t="inlineStr"/>
      <c r="K1301" s="11" t="inlineStr">
        <is>
          <t>Four years after the Regulation's entry into force, the Commission must submit a report to the European Parliament and Council assessing access conditions for financial data applicable to account information service providers under this Regulation and Directive (EU) 2015/2366. The report may include a legislative proposal if deemed appropriate.</t>
        </is>
      </c>
      <c r="L1301" s="11" t="inlineStr"/>
      <c r="M1301" s="11" t="inlineStr">
        <is>
          <t>• [Must] By [OP please insert the date = 4 years after the date of entry into force of this Regulation, the Commission shall submit a report to the European Parliament and the Council
• [Must] The report assesses conditions for access to financial data applicable to account information service providers</t>
        </is>
      </c>
      <c r="N1301" s="11" t="inlineStr">
        <is>
          <t>• [May] The report may be accompanied by a legislative proposal if deemed appropriate</t>
        </is>
      </c>
      <c r="O1301" s="11" t="inlineStr">
        <is>
          <t>By [OP please insert the date = 4 years after the date of entry into force of this Regulation, the Commission shall submit a report to the European Parliament and the Council assessing the conditions for access to financial data applicable to account information service providers under this Regulation and under Directive (EU) 2015/2366.</t>
        </is>
      </c>
      <c r="P1301" s="12" t="n">
        <v>33</v>
      </c>
    </row>
    <row r="1302">
      <c r="A1302" t="inlineStr">
        <is>
          <t>GDPR</t>
        </is>
      </c>
      <c r="B1302" t="inlineStr">
        <is>
          <t>CELEX_52023PC0360_EN_TXT (GDPR - Row 13)</t>
        </is>
      </c>
      <c r="C1302" t="inlineStr">
        <is>
          <t>3</t>
        </is>
      </c>
      <c r="D1302" s="11" t="inlineStr">
        <is>
          <t>Revocation of Commission delegation authority</t>
        </is>
      </c>
      <c r="E1302" t="inlineStr">
        <is>
          <t>5–8</t>
        </is>
      </c>
      <c r="F1302" t="inlineStr">
        <is>
          <t>High</t>
        </is>
      </c>
      <c r="G1302" t="inlineStr">
        <is>
          <t>High (explicit)</t>
        </is>
      </c>
      <c r="H1302" s="11" t="inlineStr"/>
      <c r="I1302" s="11" t="inlineStr"/>
      <c r="J1302" t="inlineStr">
        <is>
          <t>European Parliament or Council</t>
        </is>
      </c>
      <c r="K1302" s="11" t="inlineStr">
        <is>
          <t>The European Parliament or Council may revoke the Commission's delegation of powers at any time. Revocation takes effect the day after publication in the Official Journal and does not affect the validity of previously enacted delegated acts.</t>
        </is>
      </c>
      <c r="L1302" s="11" t="inlineStr">
        <is>
          <t>Provides a mechanism for EU institutions to terminate delegated authority over financial data transfers, ensuring accountability and oversight of cross-border financial data activities.</t>
        </is>
      </c>
      <c r="M1302" s="11" t="inlineStr">
        <is>
          <t>• [May] European Parliament or Council may revoke Commission's delegation of powers at any time
• [Must] Revocation takes effect the day following publication in the Official Journal of the European Union</t>
        </is>
      </c>
      <c r="N1302" s="11" t="inlineStr">
        <is>
          <t>• [Condition] Revocation does not affect validity of delegated acts already in force</t>
        </is>
      </c>
      <c r="O1302" s="11" t="inlineStr">
        <is>
          <t>The delegation of powers referred to in Article 11, may be revoked at any time by the European Parliament or by the Council. A decision to revoke shall put an end to the delegation of the power specified in that decision. It shall take effect the day following the publication of the decision in the Official Journal of the European Union or at a later date specified therein. It shall not affect the validity of any delegated acts already in force.</t>
        </is>
      </c>
      <c r="P1302" s="12" t="n">
        <v>33</v>
      </c>
    </row>
    <row r="1303">
      <c r="A1303" t="inlineStr">
        <is>
          <t>GDPR</t>
        </is>
      </c>
      <c r="B1303" t="inlineStr">
        <is>
          <t>CELEX_52023PC0360_EN_TXT (GDPR - Row 13)</t>
        </is>
      </c>
      <c r="C1303" t="inlineStr">
        <is>
          <t>3 (part 2)</t>
        </is>
      </c>
      <c r="D1303" s="11" t="inlineStr">
        <is>
          <t>Financial data access economic impact assessment</t>
        </is>
      </c>
      <c r="E1303" t="inlineStr">
        <is>
          <t>8–9</t>
        </is>
      </c>
      <c r="F1303" t="inlineStr">
        <is>
          <t>High</t>
        </is>
      </c>
      <c r="G1303" t="inlineStr">
        <is>
          <t>High (explicit)</t>
        </is>
      </c>
      <c r="H1303" s="11" t="inlineStr">
        <is>
          <t>Financial Data</t>
        </is>
      </c>
      <c r="I1303" s="11" t="inlineStr">
        <is>
          <t>Financial Data</t>
        </is>
      </c>
      <c r="J1303" t="inlineStr"/>
      <c r="K1303" s="11" t="inlineStr">
        <is>
          <t>This section provides a macroeconomic assessment of the potential economic benefits and costs of enhanced financial data access in the EU. It states that the proposal could generate annual benefits between EUR 4.6 billion and EUR 12.4 billion for the EU economy, including EUR 663 million to EUR 2 billion for the financial data economy. The proposal also involves one-off costs up to EUR 2.2 billion and recurring annual costs between EUR 147 million and EUR 465 million. The assessment notes that while the proposal supports sustainable finance and inclusive economic growth, its economic impact is difficult to quantify precisely due to data limitations and policy interdependencies.</t>
        </is>
      </c>
      <c r="L1303" s="11" t="inlineStr">
        <is>
          <t>This section describes potential economic benefits and costs of financial data access but does not specify technical safeguards or cross-border transfer conditions relevant to DTIAs. It is not directly applicable to data transfer impact assessments.</t>
        </is>
      </c>
      <c r="M1303" s="11" t="inlineStr">
        <is>
          <t>• [Information] Total annual benefits for EU economy range between EUR 4.6 billion and EUR 12.4 billion
• [Information] Direct impact on EU financial data economy ranges between EUR 663 million and EUR 2 billion annually</t>
        </is>
      </c>
      <c r="N1303" s="11" t="inlineStr">
        <is>
          <t>• [Information] One-off costs could be up to EUR 2.2 billion
• [Information] Recurring annual costs between EUR 147 million and EUR 465 million</t>
        </is>
      </c>
      <c r="O1303" s="11" t="inlineStr">
        <is>
          <t>According to this macroeconomic assessment, the total annual benefits for the EU economy produced by enhanced access to and sharing of data in the EU financial sector ranges between EUR 4.6 billion and EUR 12.4 billion, including the direct impact on the EU financial data economy in the range of EUR 663 million to EUR 2 billion per year.</t>
        </is>
      </c>
      <c r="P1303" s="12" t="n">
        <v>33</v>
      </c>
    </row>
    <row r="1304">
      <c r="A1304" t="inlineStr">
        <is>
          <t>GDPR</t>
        </is>
      </c>
      <c r="B1304" t="inlineStr">
        <is>
          <t>CELEX_52023PC0360_EN_TXT (GDPR - Row 13)</t>
        </is>
      </c>
      <c r="C1304" t="inlineStr">
        <is>
          <t>4</t>
        </is>
      </c>
      <c r="D1304" s="11" t="inlineStr">
        <is>
          <t>Consultation of experts before adopting delegated acts</t>
        </is>
      </c>
      <c r="E1304" t="inlineStr">
        <is>
          <t>9–10</t>
        </is>
      </c>
      <c r="F1304" t="inlineStr">
        <is>
          <t>None</t>
        </is>
      </c>
      <c r="G1304" t="inlineStr">
        <is>
          <t>High (explicit)</t>
        </is>
      </c>
      <c r="H1304" s="11" t="inlineStr">
        <is>
          <t>Governance</t>
        </is>
      </c>
      <c r="I1304" s="11" t="inlineStr"/>
      <c r="J1304" t="inlineStr"/>
      <c r="K1304" s="11" t="inlineStr">
        <is>
          <t>Before adopting a delegated act, the European Commission must consult experts designated by each Member State in accordance with the Interinstitutional Agreement of 13 April 2016 on Better Law-Making. This requirement ensures that Member State expertise is integrated into the legislative process prior to final adoption of delegated acts.</t>
        </is>
      </c>
      <c r="L1304" s="11" t="inlineStr"/>
      <c r="M1304" s="11" t="inlineStr">
        <is>
          <t>• [Must] Before adopting a delegated act, the Commission shall consult experts designated by each Member State</t>
        </is>
      </c>
      <c r="N1304" s="11" t="inlineStr"/>
      <c r="O1304" s="11" t="inlineStr">
        <is>
          <t>Before adopting a delegated act, the Commission shall consult experts signated by each Member State in accordance with the principles laid down in the Interinstitutional Agreement of 13 April 2016 on Better Law-Making.</t>
        </is>
      </c>
      <c r="P1304" s="12" t="n">
        <v>33</v>
      </c>
    </row>
    <row r="1305">
      <c r="A1305" t="inlineStr">
        <is>
          <t>GDPR</t>
        </is>
      </c>
      <c r="B1305" t="inlineStr">
        <is>
          <t>CELEX_52023PC0360_EN_TXT (GDPR - Row 13)</t>
        </is>
      </c>
      <c r="C1305" t="inlineStr">
        <is>
          <t>5</t>
        </is>
      </c>
      <c r="D1305" s="11" t="inlineStr">
        <is>
          <t>Cooperation with supervisory authorities for personal data processing</t>
        </is>
      </c>
      <c r="E1305" t="inlineStr">
        <is>
          <t>10–14</t>
        </is>
      </c>
      <c r="F1305" t="inlineStr">
        <is>
          <t>High</t>
        </is>
      </c>
      <c r="G1305" t="inlineStr">
        <is>
          <t>High (explicit)</t>
        </is>
      </c>
      <c r="H1305" s="11" t="inlineStr">
        <is>
          <t>Cross-border Transfer, International Processing</t>
        </is>
      </c>
      <c r="I1305" s="11" t="inlineStr">
        <is>
          <t>Personal Information</t>
        </is>
      </c>
      <c r="J1305" t="inlineStr">
        <is>
          <t>Competent authorities</t>
        </is>
      </c>
      <c r="K1305" s="11" t="inlineStr">
        <is>
          <t>When this Regulation's obligations involve processing personal data, competent authorities must cooperate with supervisory authorities established under GDPR. This ensures compliance with data protection requirements when handling personal information across borders.</t>
        </is>
      </c>
      <c r="L1305" s="11" t="inlineStr">
        <is>
          <t>This section mandates cooperation with GDPR supervisory authorities for personal data processing, which impacts DTIAs by requiring alignment with data protection standards during cross-border financial data exchanges.</t>
        </is>
      </c>
      <c r="M1305" s="11" t="inlineStr">
        <is>
          <t>• [Must] Competent authorities must cooperate with GDPR supervisory authorities</t>
        </is>
      </c>
      <c r="N1305" s="11" t="inlineStr"/>
      <c r="O1305" s="11" t="inlineStr">
        <is>
          <t>Where obligations under this Regulation concern the processing of personal data, competent authorities shall cooperate with the supervisory authorities established pursuant to Regulation (EU) 2016/679.</t>
        </is>
      </c>
      <c r="P1305" s="12" t="n">
        <v>33</v>
      </c>
    </row>
    <row r="1306">
      <c r="A1306" t="inlineStr">
        <is>
          <t>GDPR</t>
        </is>
      </c>
      <c r="B1306" t="inlineStr">
        <is>
          <t>CELEX_52023PC0360_EN_TXT (GDPR - Row 13)</t>
        </is>
      </c>
      <c r="C1306" t="inlineStr">
        <is>
          <t>5 (part 2)</t>
        </is>
      </c>
      <c r="D1306" s="11" t="inlineStr">
        <is>
          <t>Customer data sharing for financial innovation and trust</t>
        </is>
      </c>
      <c r="E1306" t="inlineStr">
        <is>
          <t>14–17</t>
        </is>
      </c>
      <c r="F1306" t="inlineStr">
        <is>
          <t>High</t>
        </is>
      </c>
      <c r="G1306" t="inlineStr">
        <is>
          <t>High (explicit)</t>
        </is>
      </c>
      <c r="H1306" s="11" t="inlineStr">
        <is>
          <t>Cross-border Transfer, Financial Data, Customer Information, Data Sharing</t>
        </is>
      </c>
      <c r="I1306" s="11" t="inlineStr">
        <is>
          <t>Financial Data, Customer Data</t>
        </is>
      </c>
      <c r="J1306" t="inlineStr"/>
      <c r="K1306" s="11" t="inlineStr">
        <is>
          <t>This section outlines the need for a regulatory framework enabling financial institutions to share customer data beyond payment accounts while ensuring customer control. It emphasizes that current data sharing is limited by technical barriers and legal obligations, restricting innovation and personalized financial services. The framework must balance data sharing with customer rights and privacy protections to foster trust and innovation in the financial sector.</t>
        </is>
      </c>
      <c r="L1306" s="11" t="inlineStr">
        <is>
          <t>This section establishes that customer data sharing beyond payment accounts requires explicit customer permission and must respect data protection principles. It sets conditions for data sharing that impact cross-border transfers by mandating lawful bases and customer consent, relevant for DTIAs involving financial data.</t>
        </is>
      </c>
      <c r="M1306" s="11" t="inlineStr">
        <is>
          <t>• [Must] Customer data sharing beyond payment accounts must be based on customer permission
• [Must] Data users must have a valid lawful basis for processing personal data
• [Must] Data processing must respect principles of personal data protection including lawfulness, fairness, transparency, purpose limitation, and data minimisation
• [Must] Customers have the right to withdraw permission granted to data users</t>
        </is>
      </c>
      <c r="N1306" s="11" t="inlineStr">
        <is>
          <t>• [Must Not] Data sharing should not cover data related to sickness and health insurance or life insurance products
• [Must Not] Data sharing should not cover creditworthiness assessment data
• [Must] Data sharing must respect protection of confidential business data and trade secrets</t>
        </is>
      </c>
      <c r="O1306" s="11" t="inlineStr">
        <is>
          <t>Ensuring customer control and trust is imperative to build a well-functioning and effective data sharing framework in the financial sector. Ensuring effective customers' control over data sharing contributes to innovation as well as customer confidence and trust in data sharing.</t>
        </is>
      </c>
      <c r="P1306" s="12" t="n">
        <v>33</v>
      </c>
    </row>
    <row r="1307">
      <c r="A1307" t="inlineStr">
        <is>
          <t>GDPR</t>
        </is>
      </c>
      <c r="B1307" t="inlineStr">
        <is>
          <t>CELEX_52023PC0360_EN_TXT (GDPR - Row 13)</t>
        </is>
      </c>
      <c r="C1307" t="inlineStr">
        <is>
          <t>5 (part 3)</t>
        </is>
      </c>
      <c r="D1307" s="11" t="inlineStr">
        <is>
          <t>Financial data sharing for customer access and consent management</t>
        </is>
      </c>
      <c r="E1307" t="inlineStr">
        <is>
          <t>17–20</t>
        </is>
      </c>
      <c r="F1307" t="inlineStr">
        <is>
          <t>High</t>
        </is>
      </c>
      <c r="G1307" t="inlineStr">
        <is>
          <t>High (explicit)</t>
        </is>
      </c>
      <c r="H1307" s="11" t="inlineStr">
        <is>
          <t>Data Sharing, Customer Information, Financial Data, Consent</t>
        </is>
      </c>
      <c r="I1307" s="11" t="inlineStr">
        <is>
          <t>Financial Data, Customer Data</t>
        </is>
      </c>
      <c r="J1307" t="inlineStr">
        <is>
          <t>European Banking Authority (EBA)</t>
        </is>
      </c>
      <c r="K1307" s="11" t="inlineStr">
        <is>
          <t>This section establishes that financial institutions must provide defined categories of customer data upon request, allowing sharing based on customer consent. It requires data holders to implement permission dashboards that give customers control over data sharing, including real-time updates on permissions and withdrawal risks. The dashboards must be accessible, impartial, and comply with accessibility standards, with options to use electronic identification services or data intermediation providers.</t>
        </is>
      </c>
      <c r="L1307" s="11" t="inlineStr">
        <is>
          <t>Requires financial institutions to implement permission dashboards for customer data access management, ensuring transparency and control over data sharing. This impacts cross-border data transfers by mandating standardized interfaces and consent mechanisms that must be consistent across jurisdictions.</t>
        </is>
      </c>
      <c r="M1307" s="11" t="inlineStr">
        <is>
          <t>• [Must] Financial institutions must provide defined categories of customer data at request
• [Must] Data holders must implement permission dashboards for customers to manage data sharing
• [Must] Permission dashboards must display active permissions and warn of contractual risks upon withdrawal
• [Must] Data holders must inform data users in real-time of permission withdrawals</t>
        </is>
      </c>
      <c r="N1307" s="11" t="inlineStr">
        <is>
          <t>• [Must] Permission dashboards must include records of withdrawn or expired permissions for up to two years
• [Must] Data users must inform data holders in real-time of new or re-established permissions
• [Must] Permission dashboards must be accessible, impartial, and comply with accessibility standards
• [May] Data holders may use electronic identification services or data intermediation providers to implement dashboards</t>
        </is>
      </c>
      <c r="O1307" s="11" t="inlineStr">
        <is>
          <t>Customers must have effective control over their data and confidence in managing permissions they have granted in accordance with this Regulation.</t>
        </is>
      </c>
      <c r="P1307" s="12" t="n">
        <v>33</v>
      </c>
    </row>
    <row r="1308">
      <c r="A1308" t="inlineStr">
        <is>
          <t>GDPR</t>
        </is>
      </c>
      <c r="B1308" t="inlineStr">
        <is>
          <t>CELEX_52023PC0360_EN_TXT (GDPR - Row 13)</t>
        </is>
      </c>
      <c r="C1308" t="inlineStr">
        <is>
          <t>5 (part 4)</t>
        </is>
      </c>
      <c r="D1308" s="11" t="inlineStr">
        <is>
          <t>Financial data sharing schemes for cross-border data access</t>
        </is>
      </c>
      <c r="E1308" t="inlineStr">
        <is>
          <t>20–23</t>
        </is>
      </c>
      <c r="F1308" t="inlineStr">
        <is>
          <t>High</t>
        </is>
      </c>
      <c r="G1308" t="inlineStr">
        <is>
          <t>High (explicit)</t>
        </is>
      </c>
      <c r="H1308" s="11" t="inlineStr">
        <is>
          <t>Data Sharing, Financial Data, Cross-border Transfer, Data Storage</t>
        </is>
      </c>
      <c r="I1308" s="11" t="inlineStr">
        <is>
          <t>Financial Data</t>
        </is>
      </c>
      <c r="J1308" t="inlineStr">
        <is>
          <t>European Banking Authority (EBA)</t>
        </is>
      </c>
      <c r="K1308" s="11" t="inlineStr">
        <is>
          <t>This section mandates the creation of financial data sharing schemes that establish standardized contractual frameworks, data interfaces, and governance rules for cross-border data sharing between financial institutions. These schemes must ensure proportionality, market competition, and consumer protection while complying with Union rules on data protection and competition. They require data holders and users to follow specific liability rules for data breaches and disputes.</t>
        </is>
      </c>
      <c r="L1308" s="11" t="inlineStr">
        <is>
          <t>Requires standardized financial data sharing schemes with contractual frameworks and governance rules to facilitate cross-border data access while ensuring proportionality and consumer protection. This directly impacts DTIAs by mandating specific technical and contractual safeguards for international data transfers.</t>
        </is>
      </c>
      <c r="M1308" s="11" t="inlineStr">
        <is>
          <t>• [Must] Data holders and users must join financial data sharing schemes for contractual and technical interaction
• [Must] Schemes must develop data and interface standards, joint contractual frameworks, and governance rules
• [Must] Schemes must ensure inclusive governance with balanced representation of data holders, users, and customers
• [Must] Schemes must have transparency requirements and effective appeal procedures for decisions
• [Must] Schemes must comply with Union rules on consumer protection, data protection, privacy, and competition</t>
        </is>
      </c>
      <c r="N1308" s="11" t="inlineStr">
        <is>
          <t>• [Must] Schemes must not restrict competition in a substantial part of the relevant market
• [May] Data holders may use existing market standards when developing common standards
• [May] Data holders may request reasonable compensation from data users for interface implementation
• [Must] Compensation must be limited to costs incurred for facilitating data access for SMEs
• [Must] Schemes must establish liability rules for data breaches and dispute resolution between data holders and users</t>
        </is>
      </c>
      <c r="O1308" s="11" t="inlineStr">
        <is>
          <t>Data holders and data users should be required to be part of financial data sharing schemes.</t>
        </is>
      </c>
      <c r="P1308" s="12" t="n">
        <v>33</v>
      </c>
    </row>
    <row r="1309">
      <c r="A1309" t="inlineStr">
        <is>
          <t>GDPR</t>
        </is>
      </c>
      <c r="B1309" t="inlineStr">
        <is>
          <t>CELEX_52023PC0360_EN_TXT (GDPR - Row 13)</t>
        </is>
      </c>
      <c r="C1309" t="inlineStr">
        <is>
          <t>5 (part 5)</t>
        </is>
      </c>
      <c r="D1309" s="11" t="inlineStr">
        <is>
          <t>Periodic penalties and expedited enforcement for financial data breaches</t>
        </is>
      </c>
      <c r="E1309" t="inlineStr">
        <is>
          <t>23–26</t>
        </is>
      </c>
      <c r="F1309" t="inlineStr">
        <is>
          <t>High</t>
        </is>
      </c>
      <c r="G1309" t="inlineStr">
        <is>
          <t>High (explicit)</t>
        </is>
      </c>
      <c r="H1309" s="11" t="inlineStr">
        <is>
          <t>Cross-border Transfer, Financial Data, Incident Reporting, Breach Notification</t>
        </is>
      </c>
      <c r="I1309" s="11" t="inlineStr">
        <is>
          <t>Financial Data</t>
        </is>
      </c>
      <c r="J1309" t="inlineStr">
        <is>
          <t>Member States</t>
        </is>
      </c>
      <c r="K1309" s="11" t="inlineStr">
        <is>
          <t>Member States must establish specific rules for periodic penalty payments on financial information service providers and their management bodies. Competent authorities can impose these penalties to compel compliance with orders, such as providing information or terminating breaches. Penalties must be calculated daily unless Member States specify otherwise. Member States may encourage expedited enforcement procedures but are not required to implement them, and must notify the Commission if they do so.</t>
        </is>
      </c>
      <c r="L1309" s="11" t="inlineStr">
        <is>
          <t>Periodic penalties and expedited enforcement mechanisms create conditions for financial data breaches that require cross-border coordination and transparency in penalty applications. These mechanisms affect how penalties are calculated and enforced across jurisdictions.</t>
        </is>
      </c>
      <c r="M1309" s="11" t="inlineStr">
        <is>
          <t>• [Must] Member States should lay down specific rules and effective mechanisms regarding the application of periodic penalty payments
• [Must] Competent authorities should be empowered to impose periodic penalty payments on financial information service providers
• [Must Not] Periodic penalty payments should not prevent subsequent administrative sanctions for the same infringement</t>
        </is>
      </c>
      <c r="N1309" s="11" t="inlineStr">
        <is>
          <t>• [Condition] Periodic penalty payments should be calculated on a daily basis unless otherwise provided by Member States
• [May] Member States may encourage expedited enforcement procedures but are not required to implement them
• [Must] Member States must notify the Commission if they empower competent authorities to use expedited enforcement procedures</t>
        </is>
      </c>
      <c r="O1309" s="11" t="inlineStr">
        <is>
          <t>Member States should lay down specific rules and effective mechanisms regarding the application of periodic penalty payments. Competent authorities should be empowered to impose periodic penalty payments on financial information service providers and on those members of their management body who are identified as responsible for an ongoing infringement or who are required to comply with an order from an investigating competent authority.</t>
        </is>
      </c>
      <c r="P1309" s="12" t="n">
        <v>33</v>
      </c>
    </row>
    <row r="1310">
      <c r="A1310" t="inlineStr">
        <is>
          <t>GDPR</t>
        </is>
      </c>
      <c r="B1310" t="inlineStr">
        <is>
          <t>CELEX_52023PC0360_EN_TXT (GDPR - Row 13)</t>
        </is>
      </c>
      <c r="C1310" t="inlineStr">
        <is>
          <t>5 (part 6)</t>
        </is>
      </c>
      <c r="D1310" s="11" t="inlineStr">
        <is>
          <t>Data sharing and access for financial information service providers</t>
        </is>
      </c>
      <c r="E1310" t="inlineStr">
        <is>
          <t>26–27</t>
        </is>
      </c>
      <c r="F1310" t="inlineStr">
        <is>
          <t>High</t>
        </is>
      </c>
      <c r="G1310" t="inlineStr">
        <is>
          <t>High (explicit)</t>
        </is>
      </c>
      <c r="H1310" s="11" t="inlineStr">
        <is>
          <t>Cross-border Transfer, Financial Data, Data Sharing</t>
        </is>
      </c>
      <c r="I1310" s="11" t="inlineStr">
        <is>
          <t>Financial Data</t>
        </is>
      </c>
      <c r="J1310" t="inlineStr">
        <is>
          <t>Member States</t>
        </is>
      </c>
      <c r="K1310" s="11" t="inlineStr">
        <is>
          <t>Financial information service providers must notify their competent authority when accessing data held by data holders in other Member States. They must specify the type of data, financial data sharing scheme, and Member States where access is intended. This regulation ensures cross-border data access for financial services while maintaining regulatory oversight.</t>
        </is>
      </c>
      <c r="L1310" s="11" t="inlineStr">
        <is>
          <t>Requires financial information service providers to notify authorities when accessing cross-border data, creating specific conditions for international data transfers that must be documented and reported.</t>
        </is>
      </c>
      <c r="M1310" s="11" t="inlineStr">
        <is>
          <t>• [Must] Financial information service providers must notify their competent authority when accessing data held by data holders in another Member State</t>
        </is>
      </c>
      <c r="N1310" s="11" t="inlineStr">
        <is>
          <t>• [Must] Providers must specify the type of data, financial data sharing scheme, and Member States where access is intended</t>
        </is>
      </c>
      <c r="O1310" s="11" t="inlineStr">
        <is>
          <t>A financial information service provider wishing to have access to data held by a data holder in another Member State, should notify its intention to its competent authority, providing information on the type of data it wishes to access, the financial data sharing scheme of which it is a member and the Member States in which it intends to access the data.</t>
        </is>
      </c>
      <c r="P1310" s="12" t="n">
        <v>33</v>
      </c>
    </row>
    <row r="1311">
      <c r="A1311" t="inlineStr">
        <is>
          <t>GDPR</t>
        </is>
      </c>
      <c r="B1311" t="inlineStr">
        <is>
          <t>CELEX_52023PC0360_EN_TXT (GDPR - Row 13)</t>
        </is>
      </c>
      <c r="C1311" t="inlineStr">
        <is>
          <t>6</t>
        </is>
      </c>
      <c r="D1311" s="11" t="inlineStr">
        <is>
          <t>Conditions for delegated acts to enter into force</t>
        </is>
      </c>
      <c r="E1311" t="inlineStr">
        <is>
          <t>36–37</t>
        </is>
      </c>
      <c r="F1311" t="inlineStr">
        <is>
          <t>None</t>
        </is>
      </c>
      <c r="G1311" t="inlineStr">
        <is>
          <t>High (explicit)</t>
        </is>
      </c>
      <c r="H1311" s="11" t="inlineStr">
        <is>
          <t>Governance</t>
        </is>
      </c>
      <c r="I1311" s="11" t="inlineStr"/>
      <c r="J1311" t="inlineStr"/>
      <c r="K1311" s="11" t="inlineStr">
        <is>
          <t>A delegated act adopted under Article 11 enters into force only if no objections are raised by the European Parliament or Council within three months of notification, or if both institutions inform the Commission they will not object. The period may be extended by three months on either institution's initiative. This establishes a procedural safeguard for legislative adoption.</t>
        </is>
      </c>
      <c r="L1311" s="11" t="inlineStr"/>
      <c r="M1311" s="11" t="inlineStr">
        <is>
          <t>• [Must] A delegated act adopted pursuant to Article 11 shall enter into force only if no objection has been expressed by the European Parliament or Council within three months of notification</t>
        </is>
      </c>
      <c r="N1311" s="11" t="inlineStr">
        <is>
          <t>• [Condition] The period for objections may be extended by three months on the initiative of the European Parliament or Council</t>
        </is>
      </c>
      <c r="O1311" s="11" t="inlineStr">
        <is>
          <t>A delegated act adopted pursuant to Article 11, shall enter into force only if no objection has been expressed either by the European Parliament or by the Council within a period of three months of notification of that act to the European Parliament and to the Council or if, before the expiry of that period, the European Parliament and the Council have both informed the Commission that they will not object.</t>
        </is>
      </c>
      <c r="P1311" s="12" t="n">
        <v>33</v>
      </c>
    </row>
    <row r="1312">
      <c r="A1312" t="inlineStr">
        <is>
          <t>GDPR</t>
        </is>
      </c>
      <c r="B1312" t="inlineStr">
        <is>
          <t>CELEX_52023PC0360_EN_TXT (GDPR - Row 13)</t>
        </is>
      </c>
      <c r="C1312" t="inlineStr">
        <is>
          <t>7</t>
        </is>
      </c>
      <c r="D1312" s="11" t="inlineStr">
        <is>
          <t>Conditions for withdrawing financial information service provider authorisation</t>
        </is>
      </c>
      <c r="E1312" t="inlineStr">
        <is>
          <t>40–41</t>
        </is>
      </c>
      <c r="F1312" t="inlineStr">
        <is>
          <t>High</t>
        </is>
      </c>
      <c r="G1312" t="inlineStr">
        <is>
          <t>High (explicit)</t>
        </is>
      </c>
      <c r="H1312" s="11" t="inlineStr">
        <is>
          <t>Cross-border Transfer, Financial Data, Security</t>
        </is>
      </c>
      <c r="I1312" s="11" t="inlineStr">
        <is>
          <t>Financial Data</t>
        </is>
      </c>
      <c r="J1312" t="inlineStr">
        <is>
          <t>Competent authority</t>
        </is>
      </c>
      <c r="K1312" s="11" t="inlineStr">
        <is>
          <t>The competent authority may withdraw authorization from a financial information service provider if the provider fails to use the authorization within 12 months, renounces it, ceases business for over six months, obtained authorization through false statements, no longer meets authorization conditions, fails to report major developments, or poses a risk to consumer protection and data security. The authority must provide reasons and notify affected parties, and publish the withdrawal anonymously.</t>
        </is>
      </c>
      <c r="L1312" s="11" t="inlineStr">
        <is>
          <t>This section outlines conditions under which a regulator can revoke authorization for financial data services, impacting cross-border data transfers by requiring ongoing compliance and timely reporting to ensure service providers meet security and consumer protection standards.</t>
        </is>
      </c>
      <c r="M1312" s="11" t="inlineStr">
        <is>
          <t>• [Must Not] The provider does not use the authorization within 12 months
• [Must Not] The provider expressly renounces the authorization
• [Must Not] The provider has ceased to engage in business for more than 6 months
• [Must Not] The authorization was obtained through false statements or irregular means
• [Must Not] The provider no longer meets conditions for granting authorization</t>
        </is>
      </c>
      <c r="N1312" s="11" t="inlineStr">
        <is>
          <t>• [Must Not] The provider fails to inform the competent authority on major developments
• [Must Not] The withdrawal constitutes a risk to consumer protection and data security
• [Notification] The competent authority gives reasons for withdrawal
• [Notification] The competent authority informs those concerned of withdrawal
• [Notification] The competent authority publishes withdrawal in anonymized version</t>
        </is>
      </c>
      <c r="O1312" s="11" t="inlineStr">
        <is>
          <t>The competent authority may withdraw an authorisation issued to a financial information service provider only if the provider: (a) does not make use of the authorisation within 12 months, expressly renounces the authorisation or has ceased to engage in business for more than 6 months; (b) has obtained the authorisation through false statements or any other irregular means; (c) no longer meets the conditions for granting the authorisation or fails to inform the competent authority on major developments in this respect; (d) would constitute a risk to consumer protection and the security of data. The competent authority shall give reasons for any withdrawal of an authorisation and shall inform those concerned accordingly. The competent authority shall make public the withdrawal of an authorisation, in an anonymised version.</t>
        </is>
      </c>
      <c r="P1312" s="12" t="n">
        <v>33</v>
      </c>
    </row>
    <row r="1313">
      <c r="A1313" t="inlineStr">
        <is>
          <t>GDPR</t>
        </is>
      </c>
      <c r="B1313" t="inlineStr">
        <is>
          <t>CELEX_52023PC0360_EN_TXT (GDPR - Row 13)</t>
        </is>
      </c>
      <c r="C1313" t="inlineStr">
        <is>
          <t>11</t>
        </is>
      </c>
      <c r="D1313" s="11" t="inlineStr">
        <is>
          <t>Data sharing requirements for data holders</t>
        </is>
      </c>
      <c r="E1313" t="inlineStr">
        <is>
          <t>31–32</t>
        </is>
      </c>
      <c r="F1313" t="inlineStr">
        <is>
          <t>High</t>
        </is>
      </c>
      <c r="G1313" t="inlineStr">
        <is>
          <t>High (explicit)</t>
        </is>
      </c>
      <c r="H1313" s="11" t="inlineStr">
        <is>
          <t>Data Sharing, Security, Data Storage</t>
        </is>
      </c>
      <c r="I1313" s="11" t="inlineStr">
        <is>
          <t>Customer Data</t>
        </is>
      </c>
      <c r="J1313" t="inlineStr"/>
      <c r="K1313" s="11" t="inlineStr">
        <is>
          <t>When sharing customer data with data users, data holders must provide data in standardized formats, ensure secure communication, verify customer authorization, provide permission dashboards for monitoring, and protect trade secrets and intellectual property rights. These requirements ensure secure and compliant data sharing practices.</t>
        </is>
      </c>
      <c r="L1313" s="11" t="inlineStr">
        <is>
          <t>This section specifies technical and procedural safeguards for data sharing, including format standards, security protocols, and customer authorization verification, critical for DTIA compliance in financial data transfers.</t>
        </is>
      </c>
      <c r="M1313" s="11" t="inlineStr">
        <is>
          <t>• [Must] Make customer data available to the data user in a format based on generally recognised standards and at least in the same quality available to the data holder
• [Must] Communicate securely with the data user by ensuring an appropriate level of security for the processing and transmission of customer data
• [Must] Request data users to demonstrate that they have obtained the permission of the customer to access the customer data held by the data holder</t>
        </is>
      </c>
      <c r="N1313" s="11" t="inlineStr">
        <is>
          <t>• [Must] Provide the customer with a permission dashboard to monitor and manage permissions in accordance with Article 8
• [Must] Respect the confidentiality of trade secrets and intellectual property rights when customer data is accessed in accordance with Article 5(1)</t>
        </is>
      </c>
      <c r="O1313" s="11" t="inlineStr">
        <is>
          <t>When making data available pursuant to paragraph 1, the data holder shall: (a) make customer data available to the data user in a format based on generally recognised standards and at least in the same quality available to the data holder; (b) communicate securely with the data user by ensuring an appropriate level of security for the processing and transmission of customer data; (c) request data users to demonstrate that they have obtained the permission of the customer to access the customer data held by the data holder; (d) provide the customer with a permission dashboard to monitor and manage permissions in accordance with Article 8. (e) respect the confidentiality of trade secrets and intellectual property rights when customer data is accessed in accordance with Article 5(1).</t>
        </is>
      </c>
      <c r="P1313" s="12" t="n">
        <v>33</v>
      </c>
    </row>
    <row r="1314">
      <c r="A1314" t="inlineStr">
        <is>
          <t>GDPR</t>
        </is>
      </c>
      <c r="B1314" t="inlineStr">
        <is>
          <t>EBA revised Guidelines on outsourcing arrangements (GDPR - Row 5)</t>
        </is>
      </c>
      <c r="C1314" t="inlineStr">
        <is>
          <t>1</t>
        </is>
      </c>
      <c r="D1314" s="11" t="inlineStr">
        <is>
          <t>EBA consultation on outsourcing guidelines</t>
        </is>
      </c>
      <c r="E1314" t="inlineStr">
        <is>
          <t>6</t>
        </is>
      </c>
      <c r="F1314" t="inlineStr">
        <is>
          <t>Low</t>
        </is>
      </c>
      <c r="G1314" t="inlineStr">
        <is>
          <t>High (explicit)</t>
        </is>
      </c>
      <c r="H1314" s="11" t="inlineStr"/>
      <c r="I1314" s="11" t="inlineStr"/>
      <c r="J1314" t="inlineStr"/>
      <c r="K1314" s="11" t="inlineStr">
        <is>
          <t>This section describes the EBA's public consultation process for the draft outsourcing guidelines, including the three-month consultation period ending September 2018, meetings with financial associations, and receipt of 59 responses from stakeholders.</t>
        </is>
      </c>
      <c r="L1314" s="11" t="inlineStr">
        <is>
          <t>This section details the EBA's consultation process for outsourcing guidelines, which informs the final guidelines and their implementation.</t>
        </is>
      </c>
      <c r="M1314" s="11" t="inlineStr"/>
      <c r="N1314" s="11" t="inlineStr"/>
      <c r="O1314" s="11" t="inlineStr">
        <is>
          <t>The EBA conducted a consultation on the draft guidelines on outsourcing over a three-month period, ending on 24 September 2018.</t>
        </is>
      </c>
      <c r="P1314" s="12" t="n">
        <v>35</v>
      </c>
    </row>
    <row r="1315">
      <c r="A1315" t="inlineStr">
        <is>
          <t>GDPR</t>
        </is>
      </c>
      <c r="B1315" t="inlineStr">
        <is>
          <t>EBA revised Guidelines on outsourcing arrangements (GDPR - Row 5)</t>
        </is>
      </c>
      <c r="C1315" t="inlineStr">
        <is>
          <t>2</t>
        </is>
      </c>
      <c r="D1315" s="11" t="inlineStr">
        <is>
          <t>Stakeholder feedback on outsourcing guidelines scope</t>
        </is>
      </c>
      <c r="E1315" t="inlineStr">
        <is>
          <t>6</t>
        </is>
      </c>
      <c r="F1315" t="inlineStr">
        <is>
          <t>None</t>
        </is>
      </c>
      <c r="G1315" t="inlineStr">
        <is>
          <t>High (explicit)</t>
        </is>
      </c>
      <c r="H1315" s="11" t="inlineStr"/>
      <c r="I1315" s="11" t="inlineStr"/>
      <c r="J1315" t="inlineStr"/>
      <c r="K1315" s="11" t="inlineStr">
        <is>
          <t>This section summarizes stakeholder feedback on the scope of the EBA's outsourcing guidelines, noting that while many respondents acknowledged the EBA's efforts, they suggested reducing the regulatory burden by narrowing the scope of the guidelines.</t>
        </is>
      </c>
      <c r="L1315" s="11" t="inlineStr">
        <is>
          <t>This section outlines stakeholder concerns about the scope of outsourcing guidelines, indicating potential for reduced regulatory burden in specific contexts.</t>
        </is>
      </c>
      <c r="M1315" s="11" t="inlineStr"/>
      <c r="N1315" s="11" t="inlineStr"/>
      <c r="O1315" s="11" t="inlineStr">
        <is>
          <t>While many respondents acknowledged the efforts undertaken by the EBA to update the outsourcing guidelines and to integrate the EBA's recommendation on outsourcing to cloud service providers, several respondents made suggestions to reduce the scope of the guidelines and the regulatory burden that allegedly would be created by them.</t>
        </is>
      </c>
      <c r="P1315" s="12" t="n">
        <v>35</v>
      </c>
    </row>
    <row r="1316">
      <c r="A1316" t="inlineStr">
        <is>
          <t>GDPR</t>
        </is>
      </c>
      <c r="B1316" t="inlineStr">
        <is>
          <t>EBA revised Guidelines on outsourcing arrangements (GDPR - Row 5)</t>
        </is>
      </c>
      <c r="C1316" t="inlineStr">
        <is>
          <t>3</t>
        </is>
      </c>
      <c r="D1316" s="11" t="inlineStr">
        <is>
          <t>Clarifying outsourcing scope for financial entities</t>
        </is>
      </c>
      <c r="E1316" t="inlineStr">
        <is>
          <t>6</t>
        </is>
      </c>
      <c r="F1316" t="inlineStr">
        <is>
          <t>High</t>
        </is>
      </c>
      <c r="G1316" t="inlineStr">
        <is>
          <t>High (explicit)</t>
        </is>
      </c>
      <c r="H1316" s="11" t="inlineStr">
        <is>
          <t>Outsourcing</t>
        </is>
      </c>
      <c r="I1316" s="11" t="inlineStr">
        <is>
          <t>Financial Data</t>
        </is>
      </c>
      <c r="J1316" t="inlineStr"/>
      <c r="K1316" s="11" t="inlineStr">
        <is>
          <t>Respondents requested clarification that the guidelines do not apply to subsidiaries not subject to CRD on a solo basis, particularly alternative investment funds, UCITS, and third-country subsidiaries. They also sought a non-exhaustive list of arrangements that should not be considered outsourcing under the guidelines.</t>
        </is>
      </c>
      <c r="L1316" s="11" t="inlineStr">
        <is>
          <t>This section addresses scope limitations for outsourcing arrangements, indicating that DTIAs should exclude non-critical financial entities and define what constitutes outsourcing to avoid overreach.</t>
        </is>
      </c>
      <c r="M1316" s="11" t="inlineStr">
        <is>
          <t>• [Must] Guidelines do not apply to subsidiaries not subject to CRD on a solo basis
• [Must] Clarify arrangements for alternative investment funds, UCITS, and third-country subsidiaries</t>
        </is>
      </c>
      <c r="N1316" s="11" t="inlineStr">
        <is>
          <t>• [Must] Include non-exhaustive list of arrangements not considered outsourcing</t>
        </is>
      </c>
      <c r="O1316" s="11" t="inlineStr">
        <is>
          <t>Respondents commented that the guidelines' scope of application and the definition of outsourcing were too wide. First, respondents required confirmation that the guidelines do not apply to subsidiaries that are themselves not subject to CRD on a solo basis, but only on a consolidated basis.</t>
        </is>
      </c>
      <c r="P1316" s="12" t="n">
        <v>35</v>
      </c>
    </row>
    <row r="1317">
      <c r="A1317" t="inlineStr">
        <is>
          <t>GDPR</t>
        </is>
      </c>
      <c r="B1317" t="inlineStr">
        <is>
          <t>EBA revised Guidelines on outsourcing arrangements (GDPR - Row 5)</t>
        </is>
      </c>
      <c r="C1317" t="inlineStr">
        <is>
          <t>4</t>
        </is>
      </c>
      <c r="D1317" s="11" t="inlineStr">
        <is>
          <t>Reducing burden on non-critical outsourcing arrangements</t>
        </is>
      </c>
      <c r="E1317" t="inlineStr">
        <is>
          <t>2–3</t>
        </is>
      </c>
      <c r="F1317" t="inlineStr">
        <is>
          <t>High</t>
        </is>
      </c>
      <c r="G1317" t="inlineStr">
        <is>
          <t>High (explicit)</t>
        </is>
      </c>
      <c r="H1317" s="11" t="inlineStr">
        <is>
          <t>Outsourcing</t>
        </is>
      </c>
      <c r="I1317" s="11" t="inlineStr">
        <is>
          <t>Financial Data</t>
        </is>
      </c>
      <c r="J1317" t="inlineStr"/>
      <c r="K1317" s="11" t="inlineStr">
        <is>
          <t>Respondents argued that the risk assessment and due diligence provisions were overly burdensome by applying to all third-party arrangements, suggesting the focus should be limited to critical and important functions only.</t>
        </is>
      </c>
      <c r="L1317" s="11" t="inlineStr">
        <is>
          <t>This section highlights the need for DTIAs to assess the criticality of outsourcing functions to avoid unnecessary compliance burdens on non-essential arrangements.</t>
        </is>
      </c>
      <c r="M1317" s="11" t="inlineStr">
        <is>
          <t>• [Must] Risk assessment and due diligence provisions apply only to critical and important functions</t>
        </is>
      </c>
      <c r="N1317" s="11" t="inlineStr"/>
      <c r="O1317" s="11" t="inlineStr">
        <is>
          <t>Respondents also considered that the draft guidelines were too far-reaching, as they extend to arrangements that are not critical or important.</t>
        </is>
      </c>
      <c r="P1317" s="12" t="n">
        <v>35</v>
      </c>
    </row>
    <row r="1318">
      <c r="A1318" t="inlineStr">
        <is>
          <t>GDPR</t>
        </is>
      </c>
      <c r="B1318" t="inlineStr">
        <is>
          <t>EBA revised Guidelines on outsourcing arrangements (GDPR - Row 5)</t>
        </is>
      </c>
      <c r="C1318" t="inlineStr">
        <is>
          <t>5</t>
        </is>
      </c>
      <c r="D1318" s="11" t="inlineStr">
        <is>
          <t>Transitional period exemptions for existing contracts</t>
        </is>
      </c>
      <c r="E1318" t="inlineStr">
        <is>
          <t>3–6</t>
        </is>
      </c>
      <c r="F1318" t="inlineStr">
        <is>
          <t>High</t>
        </is>
      </c>
      <c r="G1318" t="inlineStr">
        <is>
          <t>High (explicit)</t>
        </is>
      </c>
      <c r="H1318" s="11" t="inlineStr"/>
      <c r="I1318" s="11" t="inlineStr">
        <is>
          <t>Financial Data</t>
        </is>
      </c>
      <c r="J1318" t="inlineStr"/>
      <c r="K1318" s="11" t="inlineStr">
        <is>
          <t>Respondents found the transitional period provisions too restrictive, urging for existing contracts to be exempted from the guidelines and for the end date of the transitional period to be postponed.</t>
        </is>
      </c>
      <c r="L1318" s="11" t="inlineStr">
        <is>
          <t>This section indicates that DTIAs should consider exemptions for existing contracts during the transition period to avoid operational disruptions.</t>
        </is>
      </c>
      <c r="M1318" s="11" t="inlineStr">
        <is>
          <t>• [Must] Existing contracts exempted from the scope of the new guidelines</t>
        </is>
      </c>
      <c r="N1318" s="11" t="inlineStr">
        <is>
          <t>• [Must] Postpone the end date of the transitional period</t>
        </is>
      </c>
      <c r="O1318" s="11" t="inlineStr">
        <is>
          <t>Respondents considered that the provisions regarding the transitional period were too restrictive. Respondents urged for existing contracts to be exempted from the scope of the new guidelines and for the end date of the transitional period to be postponed.</t>
        </is>
      </c>
      <c r="P1318" s="12" t="n">
        <v>35</v>
      </c>
    </row>
    <row r="1319">
      <c r="A1319" t="inlineStr">
        <is>
          <t>GDPR</t>
        </is>
      </c>
      <c r="B1319" t="inlineStr">
        <is>
          <t>EBA revised Guidelines on outsourcing arrangements (GDPR - Row 5)</t>
        </is>
      </c>
      <c r="C1319" t="inlineStr">
        <is>
          <t>5 (part 3)</t>
        </is>
      </c>
      <c r="D1319" s="11" t="inlineStr">
        <is>
          <t>Outsourcing arrangements documentation requirements</t>
        </is>
      </c>
      <c r="E1319" t="inlineStr">
        <is>
          <t>62–65</t>
        </is>
      </c>
      <c r="F1319" t="inlineStr">
        <is>
          <t>Medium</t>
        </is>
      </c>
      <c r="G1319" t="inlineStr">
        <is>
          <t>High (explicit)</t>
        </is>
      </c>
      <c r="H1319" s="11" t="inlineStr">
        <is>
          <t>Outsourcing</t>
        </is>
      </c>
      <c r="I1319" s="11" t="inlineStr">
        <is>
          <t>Customer Data</t>
        </is>
      </c>
      <c r="J1319" t="inlineStr">
        <is>
          <t>EBA</t>
        </is>
      </c>
      <c r="K1319" s="11" t="inlineStr">
        <is>
          <t>This section evaluates different options for documenting outsourcing arrangements. Option B2 requires institutions to register limited information for all outsourcing arrangements to better identify concentration risks while minimizing costs. Option D ensures competent authorities are informed about upcoming arrangements but may delay implementation. Options B and C were retained for risk assessment and ongoing monitoring of outsourced functions. The section emphasizes cost efficiency and regulatory alignment without imposing significant new burdens.</t>
        </is>
      </c>
      <c r="L1319" s="11" t="inlineStr">
        <is>
          <t>This section specifies documentation requirements for outsourcing arrangements to identify concentration risks and ensure competent authorities can monitor potential risks without imposing excessive costs on institutions.</t>
        </is>
      </c>
      <c r="M1319" s="11" t="inlineStr">
        <is>
          <t>• [Must] Institutions must register limited information for all outsourcing arrangements to identify concentration risks
• [Must] Competent authorities must be informed about upcoming outsourcing arrangements</t>
        </is>
      </c>
      <c r="N1319" s="11" t="inlineStr">
        <is>
          <t>• [Must] Institutions must ensure that outsourcing arrangements do not undermine competent authorities' ability to supervise</t>
        </is>
      </c>
      <c r="O1319" s="11" t="inlineStr">
        <is>
          <t>Option B2 would be more efficient than Option B1. Adding planned outsourcing to the register (Option C) would give competent authorities the possibility to evaluate the potential effect of upcoming outsourcing arrangements combined with other existing outsourcing arrangements.</t>
        </is>
      </c>
      <c r="P1319" s="12" t="n">
        <v>35</v>
      </c>
    </row>
    <row r="1320">
      <c r="A1320" t="inlineStr">
        <is>
          <t>GDPR</t>
        </is>
      </c>
      <c r="B1320" t="inlineStr">
        <is>
          <t>EBA revised Guidelines on outsourcing arrangements (GDPR - Row 5)</t>
        </is>
      </c>
      <c r="C1320" t="inlineStr">
        <is>
          <t>5 (part 4)</t>
        </is>
      </c>
      <c r="D1320" s="11" t="inlineStr">
        <is>
          <t>Outsourcing contract minimum requirements</t>
        </is>
      </c>
      <c r="E1320" t="inlineStr">
        <is>
          <t>65–68</t>
        </is>
      </c>
      <c r="F1320" t="inlineStr">
        <is>
          <t>Low</t>
        </is>
      </c>
      <c r="G1320" t="inlineStr">
        <is>
          <t>High (explicit)</t>
        </is>
      </c>
      <c r="H1320" s="11" t="inlineStr">
        <is>
          <t>Outsourcing</t>
        </is>
      </c>
      <c r="I1320" s="11" t="inlineStr">
        <is>
          <t>Customer Data</t>
        </is>
      </c>
      <c r="J1320" t="inlineStr">
        <is>
          <t>EBA</t>
        </is>
      </c>
      <c r="K1320" s="11" t="inlineStr">
        <is>
          <t>This section outlines contractual requirements for outsourcing arrangements, emphasizing audit and access rights. Option B specifies minimum content for contracts, differentiating between critical and non-critical outsourcing. The guidelines ensure institutions have clear contractual terms to monitor, audit, and supervise outsourced activities without imposing significant additional costs.</t>
        </is>
      </c>
      <c r="L1320" s="11" t="inlineStr">
        <is>
          <t>This section mandates minimum contractual terms for outsourcing arrangements to ensure audit and access rights, critical for data transfer impact assessments involving third-party service providers.</t>
        </is>
      </c>
      <c r="M1320" s="11" t="inlineStr">
        <is>
          <t>• [Must] Outsourcing contracts must include audit and access rights for critical functions</t>
        </is>
      </c>
      <c r="N1320" s="11" t="inlineStr">
        <is>
          <t>• [Must] Institutions must differentiate contractual requirements for critical versus non-critical outsourcing</t>
        </is>
      </c>
      <c r="O1320" s="11" t="inlineStr">
        <is>
          <t>Option B: the guidelines would define the minimum content of outsourcing arrangements, differentiating between critical or important outsourcing and other outsourcing.</t>
        </is>
      </c>
      <c r="P1320" s="12" t="n">
        <v>35</v>
      </c>
    </row>
    <row r="1321">
      <c r="A1321" t="inlineStr">
        <is>
          <t>GDPR</t>
        </is>
      </c>
      <c r="B1321" t="inlineStr">
        <is>
          <t>EBA revised Guidelines on outsourcing arrangements (GDPR - Row 5)</t>
        </is>
      </c>
      <c r="C1321" t="inlineStr">
        <is>
          <t>5 (part 5)</t>
        </is>
      </c>
      <c r="D1321" s="11" t="inlineStr">
        <is>
          <t>Public consultation feedback on outsourcing guidelines</t>
        </is>
      </c>
      <c r="E1321" t="inlineStr">
        <is>
          <t>68</t>
        </is>
      </c>
      <c r="F1321" t="inlineStr">
        <is>
          <t>Low</t>
        </is>
      </c>
      <c r="G1321" t="inlineStr">
        <is>
          <t>High (explicit)</t>
        </is>
      </c>
      <c r="H1321" s="11" t="inlineStr"/>
      <c r="I1321" s="11" t="inlineStr"/>
      <c r="J1321" t="inlineStr"/>
      <c r="K1321" s="11" t="inlineStr">
        <is>
          <t>This section details the EBA's public consultation process for the draft outsourcing guidelines, including the timeline, stakeholder engagement, and responses received. The consultation period lasted three months, ending in September 2018, with 59 responses collected from various financial institutions and associations.</t>
        </is>
      </c>
      <c r="L1321" s="11" t="inlineStr">
        <is>
          <t>This section provides context on the EBA's consultation process for outsourcing guidelines, highlighting stakeholder engagement and feedback received, which informs the final guidelines.</t>
        </is>
      </c>
      <c r="M1321" s="11" t="inlineStr"/>
      <c r="N1321" s="11" t="inlineStr"/>
      <c r="O1321" s="11" t="inlineStr">
        <is>
          <t>The EBA conducted a consultation on the draft guidelines on outsourcing over a three-month period, ending on 24 September 2018.</t>
        </is>
      </c>
      <c r="P1321" s="12" t="n">
        <v>35</v>
      </c>
    </row>
    <row r="1322">
      <c r="A1322" t="inlineStr">
        <is>
          <t>GDPR</t>
        </is>
      </c>
      <c r="B1322" t="inlineStr">
        <is>
          <t>EBA revised Guidelines on outsourcing arrangements (GDPR - Row 5)</t>
        </is>
      </c>
      <c r="C1322" t="inlineStr">
        <is>
          <t>6</t>
        </is>
      </c>
      <c r="D1322" s="11" t="inlineStr">
        <is>
          <t>Proportionality in outsourcing guidelines</t>
        </is>
      </c>
      <c r="E1322" t="inlineStr">
        <is>
          <t>18</t>
        </is>
      </c>
      <c r="F1322" t="inlineStr">
        <is>
          <t>High</t>
        </is>
      </c>
      <c r="G1322" t="inlineStr">
        <is>
          <t>High (explicit)</t>
        </is>
      </c>
      <c r="H1322" s="11" t="inlineStr"/>
      <c r="I1322" s="11" t="inlineStr">
        <is>
          <t>Financial Data</t>
        </is>
      </c>
      <c r="J1322" t="inlineStr"/>
      <c r="K1322" s="11" t="inlineStr">
        <is>
          <t>Respondents noted that the principle of proportionality was insufficiently considered, suggesting a more risk-based approach to reduce the prescriptive nature of the guidelines.</t>
        </is>
      </c>
      <c r="L1322" s="11" t="inlineStr">
        <is>
          <t>This section emphasizes the need for DTIAs to evaluate the proportionality of outsourcing requirements based on risk levels rather than applying uniform standards.</t>
        </is>
      </c>
      <c r="M1322" s="11" t="inlineStr">
        <is>
          <t>• [Must] Implement a more risk-based approach to outsourcing guidelines</t>
        </is>
      </c>
      <c r="N1322" s="11" t="inlineStr"/>
      <c r="O1322" s="11" t="inlineStr">
        <is>
          <t>Respondents found that the principle of proportionality had not sufficiently been taken into consideration and that the guidelines were in general too prescriptive.</t>
        </is>
      </c>
      <c r="P1322" s="12" t="n">
        <v>35</v>
      </c>
    </row>
    <row r="1323">
      <c r="A1323" t="inlineStr">
        <is>
          <t>GDPR</t>
        </is>
      </c>
      <c r="B1323" t="inlineStr">
        <is>
          <t>EBA revised Guidelines on outsourcing arrangements (GDPR - Row 5)</t>
        </is>
      </c>
      <c r="C1323" t="inlineStr">
        <is>
          <t>7</t>
        </is>
      </c>
      <c r="D1323" s="11" t="inlineStr">
        <is>
          <t>Lighter requirements for intragroup outsourcing</t>
        </is>
      </c>
      <c r="E1323" t="inlineStr">
        <is>
          <t>7</t>
        </is>
      </c>
      <c r="F1323" t="inlineStr">
        <is>
          <t>High</t>
        </is>
      </c>
      <c r="G1323" t="inlineStr">
        <is>
          <t>High (explicit)</t>
        </is>
      </c>
      <c r="H1323" s="11" t="inlineStr"/>
      <c r="I1323" s="11" t="inlineStr">
        <is>
          <t>Financial Data</t>
        </is>
      </c>
      <c r="J1323" t="inlineStr"/>
      <c r="K1323" s="11" t="inlineStr">
        <is>
          <t>Respondents requested lighter requirements for intragroup outsourcing, institutional protection schemes, and cooperative networks due to lower operational risks, including reduced governance, conflict of interest, and monitoring obligations.</t>
        </is>
      </c>
      <c r="L1323" s="11" t="inlineStr">
        <is>
          <t>This section indicates that DTIAs should apply reduced requirements for intragroup outsourcing arrangements where common service providers minimize risks.</t>
        </is>
      </c>
      <c r="M1323" s="11" t="inlineStr">
        <is>
          <t>• [Must] Lighter governance requirements for intragroup outsourcing
• [Must] Reduced conflict of interest obligations
• [Must] Simplified pre-outsourcing analysis
• [Must] Less frequent monitoring and audit requirements</t>
        </is>
      </c>
      <c r="N1323" s="11" t="inlineStr">
        <is>
          <t>• [Must] Streamlined exit rights provisions
• [Must] Reduced business continuity planning obligations
• [Must] Simplified documentation and notification requirements
• [Must] Less frequent compliance and reporting obligations</t>
        </is>
      </c>
      <c r="O1323" s="11" t="inlineStr">
        <is>
          <t>Respondents felt that intragroup outsourcing, outsourcing within institutional protection schemes and cooperative networks, and the inherent lower level of operational risks due to the use of common service providers were not sufficiently considered; respondents suggested that lighter requirements be applied in relation to several matters (e.g. governance requirements, conflicts of interest, pre-outsourcing analysis, monitoring and audit requirements, exit rights, business continuity planning, documentation and notification, compliance and reporting obligations).</t>
        </is>
      </c>
      <c r="P1323" s="12" t="n">
        <v>35</v>
      </c>
    </row>
    <row r="1324">
      <c r="A1324" t="inlineStr">
        <is>
          <t>GDPR</t>
        </is>
      </c>
      <c r="B1324" t="inlineStr">
        <is>
          <t>EBA revised Guidelines on outsourcing arrangements (GDPR - Row 5)</t>
        </is>
      </c>
      <c r="C1324" t="inlineStr">
        <is>
          <t>8</t>
        </is>
      </c>
      <c r="D1324" s="11" t="inlineStr">
        <is>
          <t>Principle-based contractual approach for outsourcing</t>
        </is>
      </c>
      <c r="E1324" t="inlineStr">
        <is>
          <t>7</t>
        </is>
      </c>
      <c r="F1324" t="inlineStr">
        <is>
          <t>High</t>
        </is>
      </c>
      <c r="G1324" t="inlineStr">
        <is>
          <t>High (explicit)</t>
        </is>
      </c>
      <c r="H1324" s="11" t="inlineStr"/>
      <c r="I1324" s="11" t="inlineStr">
        <is>
          <t>Financial Data</t>
        </is>
      </c>
      <c r="J1324" t="inlineStr"/>
      <c r="K1324" s="11" t="inlineStr">
        <is>
          <t>Respondents found contractual requirements too demanding and specific, advocating for a more principle-based approach to reduce legal and practical challenges, particularly around audit rights and sub-outsourcing triggers.</t>
        </is>
      </c>
      <c r="L1324" s="11" t="inlineStr">
        <is>
          <t>This section indicates that DTIAs should prioritize principle-based contractual terms over detailed requirements to avoid excessive documentation and monitoring burdens.</t>
        </is>
      </c>
      <c r="M1324" s="11" t="inlineStr">
        <is>
          <t>• [Must] Adopt a more principle-based approach to contractual requirements
• [Must] Avoid including audit and access rights in contracts</t>
        </is>
      </c>
      <c r="N1324" s="11" t="inlineStr">
        <is>
          <t>• [Must] Clarify sub-outsourcing triggers to prevent additional documentation and monitoring</t>
        </is>
      </c>
      <c r="O1324" s="11" t="inlineStr">
        <is>
          <t>Respondents found the contractual requirements too demanding and specific. They requested that a more principle-based approach be adopted and pointed out that certain expectations would raise significant legal and practical challenges, e.g. the inclusion of audit and access rights and the approach to sub-outsourcing that would trigger additional documentation and monitoring burdens.</t>
        </is>
      </c>
      <c r="P1324" s="12" t="n">
        <v>35</v>
      </c>
    </row>
    <row r="1325">
      <c r="A1325" t="inlineStr">
        <is>
          <t>GDPR</t>
        </is>
      </c>
      <c r="B1325" t="inlineStr">
        <is>
          <t>EBA revised Guidelines on outsourcing arrangements (GDPR - Row 5)</t>
        </is>
      </c>
      <c r="C1325" t="inlineStr">
        <is>
          <t>9</t>
        </is>
      </c>
      <c r="D1325" s="11" t="inlineStr">
        <is>
          <t>Cloud services as outsourcing: classification based on activity nature</t>
        </is>
      </c>
      <c r="E1325" t="inlineStr">
        <is>
          <t>7</t>
        </is>
      </c>
      <c r="F1325" t="inlineStr">
        <is>
          <t>Medium</t>
        </is>
      </c>
      <c r="G1325" t="inlineStr">
        <is>
          <t>High (explicit)</t>
        </is>
      </c>
      <c r="H1325" s="11" t="inlineStr">
        <is>
          <t>Cloud Services, Outsourcing</t>
        </is>
      </c>
      <c r="I1325" s="11" t="inlineStr">
        <is>
          <t>Customer Data</t>
        </is>
      </c>
      <c r="J1325" t="inlineStr"/>
      <c r="K1325" s="11" t="inlineStr">
        <is>
          <t>This section states that cloud services should be treated as outsourcing following the same principles as other services. The classification of cloud services as important or critical functions depends on the nature of the activities being outsourced. Other respondents recommended maintaining specific guidance for cloud service providers.</t>
        </is>
      </c>
      <c r="L1325" s="11" t="inlineStr">
        <is>
          <t>Cloud services must be assessed for criticality based on activity nature, impacting how data transfers are evaluated in cross-border outsourcing scenarios.</t>
        </is>
      </c>
      <c r="M1325" s="11" t="inlineStr">
        <is>
          <t>• [Must] Cloud services should be treated as outsourcing following the same principles as other services</t>
        </is>
      </c>
      <c r="N1325" s="11" t="inlineStr">
        <is>
          <t>• [Must] Classification of cloud services as important or critical functions depends on the nature of the activities outsourced</t>
        </is>
      </c>
      <c r="O1325" s="11" t="inlineStr">
        <is>
          <t>Respondents suggested that the consideration of cloud services as outsourcing should follow the same principles as other services and determining whether they should be qualified as important or critical functions should depend on the nature of the activities outsourced.</t>
        </is>
      </c>
      <c r="P1325" s="12" t="n">
        <v>35</v>
      </c>
    </row>
    <row r="1326">
      <c r="A1326" t="inlineStr">
        <is>
          <t>GDPR</t>
        </is>
      </c>
      <c r="B1326" t="inlineStr">
        <is>
          <t>EBA revised Guidelines on outsourcing arrangements (GDPR - Row 5)</t>
        </is>
      </c>
      <c r="C1326" t="inlineStr">
        <is>
          <t>10</t>
        </is>
      </c>
      <c r="D1326" s="11" t="inlineStr">
        <is>
          <t>Outsourcing information to competent authorities: reduced burden and ex post notification</t>
        </is>
      </c>
      <c r="E1326" t="inlineStr">
        <is>
          <t>7</t>
        </is>
      </c>
      <c r="F1326" t="inlineStr">
        <is>
          <t>Medium</t>
        </is>
      </c>
      <c r="G1326" t="inlineStr">
        <is>
          <t>High (explicit)</t>
        </is>
      </c>
      <c r="H1326" s="11" t="inlineStr">
        <is>
          <t>Outsourcing</t>
        </is>
      </c>
      <c r="I1326" s="11" t="inlineStr">
        <is>
          <t>Customer Data</t>
        </is>
      </c>
      <c r="J1326" t="inlineStr"/>
      <c r="K1326" s="11" t="inlineStr">
        <is>
          <t>This section indicates that respondents found current requirements for information to competent authorities burdensome and with limited supervisory usefulness. They requested removal or conversion of the notification requirement for new critical or important outsourcing arrangements into an ex post notification, and that the register of outsourcing arrangements be limited to critical or important functions.</t>
        </is>
      </c>
      <c r="L1326" s="11" t="inlineStr">
        <is>
          <t>Outsourcing notifications must be ex post rather than prior authorisation, and only critical functions require registration, reducing cross-border data transfer complexity.</t>
        </is>
      </c>
      <c r="M1326" s="11" t="inlineStr">
        <is>
          <t>• [Must] Outsourcing arrangements documentation should not be limited to critical and important functions
• [Must] New planned critical or important outsourcing arrangements must be notified to competent authorities ex post</t>
        </is>
      </c>
      <c r="N1326" s="11" t="inlineStr">
        <is>
          <t>• [Must] The register of outsourcing arrangements should be limited to critical or important functions</t>
        </is>
      </c>
      <c r="O1326" s="11" t="inlineStr">
        <is>
          <t>Respondents considered that the requirements were burdensome and sometimes had limited supervisory usefulness; this concerns the documentation of all, and not only critical and important, outsourcing arrangements and the need to notify competent authorities of new planned critical or important outsourcing arrangements.</t>
        </is>
      </c>
      <c r="P1326" s="12" t="n">
        <v>35</v>
      </c>
    </row>
    <row r="1327">
      <c r="A1327" t="inlineStr">
        <is>
          <t>GDPR</t>
        </is>
      </c>
      <c r="B1327" t="inlineStr">
        <is>
          <t>EBA revised Guidelines on outsourcing arrangements (GDPR - Row 5)</t>
        </is>
      </c>
      <c r="C1327" t="inlineStr">
        <is>
          <t>11</t>
        </is>
      </c>
      <c r="D1327" s="11" t="inlineStr">
        <is>
          <t>EBA's response to public consultation feedback</t>
        </is>
      </c>
      <c r="E1327" t="inlineStr">
        <is>
          <t>7</t>
        </is>
      </c>
      <c r="F1327" t="inlineStr">
        <is>
          <t>None</t>
        </is>
      </c>
      <c r="G1327" t="inlineStr">
        <is>
          <t>High (explicit)</t>
        </is>
      </c>
      <c r="H1327" s="11" t="inlineStr">
        <is>
          <t>Outsourcing</t>
        </is>
      </c>
      <c r="I1327" s="11" t="inlineStr"/>
      <c r="J1327" t="inlineStr"/>
      <c r="K1327" s="11" t="inlineStr">
        <is>
          <t>This section states that the EBA has taken into account and provided detailed feedback on comments received during the public consultation. It mentions that a table summarises the responses to the consultation and the EBA's analysis.</t>
        </is>
      </c>
      <c r="L1327" s="11" t="inlineStr"/>
      <c r="M1327" s="11" t="inlineStr">
        <is>
          <t>• [Must] EBA has taken into account and provided detailed feedback on comments received during public consultation</t>
        </is>
      </c>
      <c r="N1327" s="11" t="inlineStr"/>
      <c r="O1327" s="11" t="inlineStr">
        <is>
          <t>The EBA has taken into account and provided detailed feedback on the comments received during the public consultation.</t>
        </is>
      </c>
      <c r="P1327" s="12" t="n">
        <v>35</v>
      </c>
    </row>
    <row r="1328">
      <c r="A1328" t="inlineStr">
        <is>
          <t>GDPR</t>
        </is>
      </c>
      <c r="B1328" t="inlineStr">
        <is>
          <t>EBA revised Guidelines on outsourcing arrangements (GDPR - Row 5)</t>
        </is>
      </c>
      <c r="C1328" t="inlineStr">
        <is>
          <t>12</t>
        </is>
      </c>
      <c r="D1328" s="11" t="inlineStr">
        <is>
          <t>Differentiation between critical and non-critical outsourcing requirements</t>
        </is>
      </c>
      <c r="E1328" t="inlineStr">
        <is>
          <t>7–8</t>
        </is>
      </c>
      <c r="F1328" t="inlineStr">
        <is>
          <t>Medium</t>
        </is>
      </c>
      <c r="G1328" t="inlineStr">
        <is>
          <t>High (explicit)</t>
        </is>
      </c>
      <c r="H1328" s="11" t="inlineStr">
        <is>
          <t>Outsourcing</t>
        </is>
      </c>
      <c r="I1328" s="11" t="inlineStr">
        <is>
          <t>Customer Data</t>
        </is>
      </c>
      <c r="J1328" t="inlineStr"/>
      <c r="K1328" s="11" t="inlineStr">
        <is>
          <t>This section states that the guidelines have been reviewed to provide better differentiation between requirements for outsourcing critical and important functions (which require a stricter framework) and non-material outsourcing activities.</t>
        </is>
      </c>
      <c r="L1328" s="11" t="inlineStr">
        <is>
          <t>Critical functions require stricter cross-border data transfer safeguards than non-critical functions, influencing DTIA scope.</t>
        </is>
      </c>
      <c r="M1328" s="11" t="inlineStr">
        <is>
          <t>• [Must] Outsourcing of critical and important functions requires a stricter framework</t>
        </is>
      </c>
      <c r="N1328" s="11" t="inlineStr">
        <is>
          <t>• [Must] Outsourcing of non-material functions follows proportionate requirements</t>
        </is>
      </c>
      <c r="O1328" s="11" t="inlineStr">
        <is>
          <t>Overall, the guidelines have been reviewed to provide better differentiation between the requirements for the outsourcing of critical and important functions, to which a stricter framework applies, and for other, non-material, outsourcing.</t>
        </is>
      </c>
      <c r="P1328" s="12" t="n">
        <v>35</v>
      </c>
    </row>
    <row r="1329">
      <c r="A1329" t="inlineStr">
        <is>
          <t>GDPR</t>
        </is>
      </c>
      <c r="B1329" t="inlineStr">
        <is>
          <t>EBA revised Guidelines on outsourcing arrangements (GDPR - Row 5)</t>
        </is>
      </c>
      <c r="C1329" t="inlineStr">
        <is>
          <t>13</t>
        </is>
      </c>
      <c r="D1329" s="11" t="inlineStr">
        <is>
          <t>MiFID II-aligned outsourcing framework structure</t>
        </is>
      </c>
      <c r="E1329" t="inlineStr">
        <is>
          <t>8</t>
        </is>
      </c>
      <c r="F1329" t="inlineStr">
        <is>
          <t>High</t>
        </is>
      </c>
      <c r="G1329" t="inlineStr">
        <is>
          <t>High (explicit)</t>
        </is>
      </c>
      <c r="H1329" s="11" t="inlineStr">
        <is>
          <t>Outsourcing</t>
        </is>
      </c>
      <c r="I1329" s="11" t="inlineStr">
        <is>
          <t>Customer Data</t>
        </is>
      </c>
      <c r="J1329" t="inlineStr"/>
      <c r="K1329" s="11" t="inlineStr">
        <is>
          <t>This section states that the guidelines have been restructured to mirror the MiFID II approach by defining outsourcing, critical and important functions, and setting out requirements for institutions when outsourcing such functions. Non-critical or non-important functions retain proportionate requirements.</t>
        </is>
      </c>
      <c r="L1329" s="11" t="inlineStr">
        <is>
          <t>Clear definitions of outsourcing and critical functions enable consistent cross-border data transfer assessments under the MiFID II framework.</t>
        </is>
      </c>
      <c r="M1329" s="11" t="inlineStr">
        <is>
          <t>• [Must] Outsourcing must be defined
• [Must] Critical and important functions must be defined</t>
        </is>
      </c>
      <c r="N1329" s="11" t="inlineStr">
        <is>
          <t>• [Must] Requirements for institutions when outsourcing critical functions must be set</t>
        </is>
      </c>
      <c r="O1329" s="11" t="inlineStr">
        <is>
          <t>The guidelines have been restructured to better mirror the MiFID II approach that (1) defines outsourcing, (2) defines critical and important functions and (3) sets out the requirements for institutions when outsourcing such functions.</t>
        </is>
      </c>
      <c r="P1329" s="12" t="n">
        <v>35</v>
      </c>
    </row>
    <row r="1330">
      <c r="A1330" t="inlineStr">
        <is>
          <t>GDPR</t>
        </is>
      </c>
      <c r="B1330" t="inlineStr">
        <is>
          <t>EBA revised Guidelines on outsourcing arrangements (GDPR - Row 5)</t>
        </is>
      </c>
      <c r="C1330" t="inlineStr">
        <is>
          <t>14</t>
        </is>
      </c>
      <c r="D1330" s="11" t="inlineStr">
        <is>
          <t>Consistency with EBA cloud recommendations and PSD2</t>
        </is>
      </c>
      <c r="E1330" t="inlineStr">
        <is>
          <t>8</t>
        </is>
      </c>
      <c r="F1330" t="inlineStr">
        <is>
          <t>High</t>
        </is>
      </c>
      <c r="G1330" t="inlineStr">
        <is>
          <t>High (explicit)</t>
        </is>
      </c>
      <c r="H1330" s="11" t="inlineStr">
        <is>
          <t>Outsourcing, Cloud Services</t>
        </is>
      </c>
      <c r="I1330" s="11" t="inlineStr">
        <is>
          <t>Customer Data</t>
        </is>
      </c>
      <c r="J1330" t="inlineStr"/>
      <c r="K1330" s="11" t="inlineStr">
        <is>
          <t>This section states that the guidelines have been checked for consistency with the EBA recommendation on outsourcing to cloud service providers and the PSD2 requirements on outsourcing.</t>
        </is>
      </c>
      <c r="L1330" s="11" t="inlineStr"/>
      <c r="M1330" s="11" t="inlineStr">
        <is>
          <t>• [Must] Guidelines must be consistent with EBA recommendation on outsourcing to cloud service providers</t>
        </is>
      </c>
      <c r="N1330" s="11" t="inlineStr">
        <is>
          <t>• [Must] Guidelines must be consistent with PSD2 requirements on outsourcing</t>
        </is>
      </c>
      <c r="O1330" s="11" t="inlineStr">
        <is>
          <t>The guidelines have been checked for consistency with the EBA recommendation on outsourcing to cloud service providers and the PSD2 requirements on outsourcing.</t>
        </is>
      </c>
      <c r="P1330" s="12" t="n">
        <v>35</v>
      </c>
    </row>
    <row r="1331">
      <c r="A1331" t="inlineStr">
        <is>
          <t>GDPR</t>
        </is>
      </c>
      <c r="B1331" t="inlineStr">
        <is>
          <t>EBA revised Guidelines on outsourcing arrangements (GDPR - Row 5)</t>
        </is>
      </c>
      <c r="C1331" t="inlineStr">
        <is>
          <t>15</t>
        </is>
      </c>
      <c r="D1331" s="11" t="inlineStr">
        <is>
          <t>Cloud outsourcing requirements differentiation</t>
        </is>
      </c>
      <c r="E1331" t="inlineStr">
        <is>
          <t>8</t>
        </is>
      </c>
      <c r="F1331" t="inlineStr">
        <is>
          <t>High</t>
        </is>
      </c>
      <c r="G1331" t="inlineStr">
        <is>
          <t>High (explicit)</t>
        </is>
      </c>
      <c r="H1331" s="11" t="inlineStr">
        <is>
          <t>Cloud Services, Outsourcing</t>
        </is>
      </c>
      <c r="I1331" s="11" t="inlineStr">
        <is>
          <t>Financial Data</t>
        </is>
      </c>
      <c r="J1331" t="inlineStr">
        <is>
          <t>EBA</t>
        </is>
      </c>
      <c r="K1331" s="11" t="inlineStr">
        <is>
          <t>This section states that the EBA retained all content from previous recommendations on cloud service provider outsourcing but adjusted the approach to align with the overall outsourcing framework. It differentiates requirements between critical/important outsourcing and non-material outsourcing arrangements to ensure consistent application across all outsourcing contexts.</t>
        </is>
      </c>
      <c r="L1331" s="11" t="inlineStr">
        <is>
          <t>DTIAs must differentiate between critical/important and non-material cloud outsourcing arrangements to determine appropriate safeguards and compliance requirements.</t>
        </is>
      </c>
      <c r="M1331" s="11" t="inlineStr">
        <is>
          <t>• [Must] All content of previous recommendation on cloud service provider outsourcing retained
• [Must] Changes made to ensure consistency with overall outsourcing framework</t>
        </is>
      </c>
      <c r="N1331" s="11" t="inlineStr">
        <is>
          <t>• [Must] Differentiate requirements for critical/important outsourcing from non-material outsourcing</t>
        </is>
      </c>
      <c r="O1331" s="11" t="inlineStr">
        <is>
          <t>It should be noted that, in general, all of the content of the recommendation on outsourcing to cloud service providers has been retained; however, changes to the approach have been made to ensure consistency with the overall outsourcing framework, which differentiates between the requirements for critical and important outsourcing and those for other, non-material, outsourcing arrangements.</t>
        </is>
      </c>
      <c r="P1331" s="12" t="n">
        <v>35</v>
      </c>
    </row>
    <row r="1332">
      <c r="A1332" t="inlineStr">
        <is>
          <t>GDPR</t>
        </is>
      </c>
      <c r="B1332" t="inlineStr">
        <is>
          <t>EBA revised Guidelines on outsourcing arrangements (GDPR - Row 5)</t>
        </is>
      </c>
      <c r="C1332" t="inlineStr">
        <is>
          <t>16</t>
        </is>
      </c>
      <c r="D1332" s="11" t="inlineStr">
        <is>
          <t>Group and institutional protection scheme application</t>
        </is>
      </c>
      <c r="E1332" t="inlineStr">
        <is>
          <t>8–9</t>
        </is>
      </c>
      <c r="F1332" t="inlineStr">
        <is>
          <t>High</t>
        </is>
      </c>
      <c r="G1332" t="inlineStr">
        <is>
          <t>High (explicit)</t>
        </is>
      </c>
      <c r="H1332" s="11" t="inlineStr">
        <is>
          <t>Cross-border Transfer</t>
        </is>
      </c>
      <c r="I1332" s="11" t="inlineStr">
        <is>
          <t>Financial Data</t>
        </is>
      </c>
      <c r="J1332" t="inlineStr">
        <is>
          <t>EBA</t>
        </is>
      </c>
      <c r="K1332" s="11" t="inlineStr">
        <is>
          <t>This section clarifies that while group and institutional protection schemes require special consideration, all institutions remain responsible for compliance with regulatory requirements. It emphasizes that institutions must apply the requirements in their specific context without transferring responsibility to other entities.</t>
        </is>
      </c>
      <c r="L1332" s="11" t="inlineStr">
        <is>
          <t>DTIAs must ensure that institutions maintain responsibility for compliance when applying outsourcing requirements across group structures and institutional protection schemes.</t>
        </is>
      </c>
      <c r="M1332" s="11" t="inlineStr">
        <is>
          <t>• [Must] Group and institutional protection scheme contexts require special consideration</t>
        </is>
      </c>
      <c r="N1332" s="11" t="inlineStr">
        <is>
          <t>• [Must] All institutions remain responsible for compliance with regulatory requirements</t>
        </is>
      </c>
      <c r="O1332" s="11" t="inlineStr">
        <is>
          <t>The application of the requirements in the context of a group and an institutional protection scheme have been clarified. While the context of groups and institutional protection schemes needs to be taken into account, all institutions remain responsible for compliance with regulatory requirements.</t>
        </is>
      </c>
      <c r="P1332" s="12" t="n">
        <v>35</v>
      </c>
    </row>
    <row r="1333">
      <c r="A1333" t="inlineStr">
        <is>
          <t>GDPR</t>
        </is>
      </c>
      <c r="B1333" t="inlineStr">
        <is>
          <t>EBA revised Guidelines on outsourcing arrangements (GDPR - Row 5)</t>
        </is>
      </c>
      <c r="C1333" t="inlineStr">
        <is>
          <t>16 (part 3)</t>
        </is>
      </c>
      <c r="D1333" s="11" t="inlineStr">
        <is>
          <t>Outsourcing arrangements for financial institutions</t>
        </is>
      </c>
      <c r="E1333" t="inlineStr">
        <is>
          <t>78–82</t>
        </is>
      </c>
      <c r="F1333" t="inlineStr">
        <is>
          <t>High</t>
        </is>
      </c>
      <c r="G1333" t="inlineStr">
        <is>
          <t>Medium (merged from chunks)</t>
        </is>
      </c>
      <c r="H1333" s="11" t="inlineStr">
        <is>
          <t>Outsourcing, Cloud Services, Third Party Processing</t>
        </is>
      </c>
      <c r="I1333" s="11" t="inlineStr">
        <is>
          <t>Financial Data</t>
        </is>
      </c>
      <c r="J1333" t="inlineStr">
        <is>
          <t>EBA</t>
        </is>
      </c>
      <c r="K1333" s="11" t="inlineStr">
        <is>
          <t>This section clarifies the application of outsourcing requirements for financial institutions, particularly distinguishing between critical/important functions and non-critical arrangements. It specifies that investment management companies under UCITS or AIFMD directives are excluded from individual-level application but covered under prudential consolidation. The guidelines have been revised to address concerns about proportionality, transitional arrangements, and the scope of outsourcing contracts. This section clarifies that cloud services are not automatically considered outsourcing arrangements under the CRD. It mandates contractual audit rights for critical functions on a risk-based approach, ensuring oversight for cloud and third-party services. The requirements apply to financial institutions within a group structure.</t>
        </is>
      </c>
      <c r="L1333" s="11" t="inlineStr">
        <is>
          <t>This section impacts DTIAs by requiring institutions to assess outsourcing arrangements as critical or important, with specific rules for sub-outsourcing, cloud services, and contractual documentation. It mandates robust governance for critical functions and transitional arrangements for existing contracts. Contractual audit rights for critical functions are required for cloud and third-party services, impacting data transfer and storage assessments for financial institutions using outsourced IT solutions.</t>
        </is>
      </c>
      <c r="M1333" s="11" t="inlineStr">
        <is>
          <t>• [Must] Outsourcing arrangements must be documented and registered for critical or important functions
• [Must] Institutions must assess criticality of functions based on defined criteria
• [Must] Sub-outsourcing arrangements require institutions to be aware of service provider governance
• [Must] Cloud service providers must be included in outsourcing contracts with audit rights for critical functions</t>
        </is>
      </c>
      <c r="N1333" s="11" t="inlineStr">
        <is>
          <t>• [Must Not] Institutions must not be required to update existing contracts unless necessary for supervisory oversight
• [Must] Contractual audit rights must be ensured for critical and important functions
• [Must] Audit rights must be based on a risk-based approach
• [Must] Cloud services are not automatically considered outsourcing arrangements</t>
        </is>
      </c>
      <c r="O1333" s="11" t="inlineStr">
        <is>
          <t>The guidelines have been revised to clarify critical or important functions, sub-outsourcing, and cloud services, ensuring proportionality and risk-based approaches for financial institutions.</t>
        </is>
      </c>
      <c r="P1333" s="12" t="n">
        <v>35</v>
      </c>
    </row>
    <row r="1334">
      <c r="A1334" t="inlineStr">
        <is>
          <t>GDPR</t>
        </is>
      </c>
      <c r="B1334" t="inlineStr">
        <is>
          <t>EBA revised Guidelines on outsourcing arrangements (GDPR - Row 5)</t>
        </is>
      </c>
      <c r="C1334" t="inlineStr">
        <is>
          <t>16 (part 4)</t>
        </is>
      </c>
      <c r="D1334" s="11" t="inlineStr">
        <is>
          <t>Group and institutional outsourcing requirements</t>
        </is>
      </c>
      <c r="E1334" t="inlineStr">
        <is>
          <t>82–86</t>
        </is>
      </c>
      <c r="F1334" t="inlineStr">
        <is>
          <t>High</t>
        </is>
      </c>
      <c r="G1334" t="inlineStr">
        <is>
          <t>High (explicit)</t>
        </is>
      </c>
      <c r="H1334" s="11" t="inlineStr">
        <is>
          <t>Outsourcing</t>
        </is>
      </c>
      <c r="I1334" s="11" t="inlineStr">
        <is>
          <t>Financial Data</t>
        </is>
      </c>
      <c r="J1334" t="inlineStr">
        <is>
          <t>EBA</t>
        </is>
      </c>
      <c r="K1334" s="11" t="inlineStr">
        <is>
          <t>This section clarifies how outsourcing requirements apply to institutional (IPS) structures and groups. It specifies that proportionality must be considered based on the institution's size, complexity, and group structure. Requirements for critical functions differ from non-critical functions, and intragroup outsourcing arrangements are subject to proportionate risk management without full compliance obligations.</t>
        </is>
      </c>
      <c r="L1334" s="11" t="inlineStr">
        <is>
          <t>Outsourcing requirements must be proportionate to the institution's risk profile and group structure. Intragroup and IPS arrangements require less stringent compliance than third-party outsourcing but still need documented risk management and exit strategies.</t>
        </is>
      </c>
      <c r="M1334" s="11" t="inlineStr">
        <is>
          <t>• [Must] Proportionality applies based on the institution's size, complexity, and group structure
• [Must] Critical functions require stricter oversight than non-critical functions
• [Must] Intragroup outsourcing arrangements need proportionate risk management</t>
        </is>
      </c>
      <c r="N1334" s="11" t="inlineStr">
        <is>
          <t>• [Must] Institutional (IPS) arrangements require documented risk management
• [Must] Exit strategies must be documented for intragroup and IPS arrangements</t>
        </is>
      </c>
      <c r="O1334" s="11" t="inlineStr">
        <is>
          <t>The guidelines have been revised to clarify that proportionality applies based on the nature, scale and complexity of the institution, including group structure.</t>
        </is>
      </c>
      <c r="P1334" s="12" t="n">
        <v>35</v>
      </c>
    </row>
    <row r="1335">
      <c r="A1335" t="inlineStr">
        <is>
          <t>GDPR</t>
        </is>
      </c>
      <c r="B1335" t="inlineStr">
        <is>
          <t>EBA revised Guidelines on outsourcing arrangements (GDPR - Row 5)</t>
        </is>
      </c>
      <c r="C1335" t="inlineStr">
        <is>
          <t>16 (part 6)</t>
        </is>
      </c>
      <c r="D1335" s="11" t="inlineStr">
        <is>
          <t>Outsourcing requirements for service providers in different jurisdictions</t>
        </is>
      </c>
      <c r="E1335" t="inlineStr">
        <is>
          <t>90–94</t>
        </is>
      </c>
      <c r="F1335" t="inlineStr">
        <is>
          <t>High</t>
        </is>
      </c>
      <c r="G1335" t="inlineStr">
        <is>
          <t>High (explicit)</t>
        </is>
      </c>
      <c r="H1335" s="11" t="inlineStr">
        <is>
          <t>Third Party Processing, Outsourcing</t>
        </is>
      </c>
      <c r="I1335" s="11" t="inlineStr">
        <is>
          <t>Personal Information</t>
        </is>
      </c>
      <c r="J1335" t="inlineStr">
        <is>
          <t>EBA</t>
        </is>
      </c>
      <c r="K1335" s="11" t="inlineStr">
        <is>
          <t>Institutions must ensure service providers are authorised or registered in their home Member State when outsourcing functions requiring licensing. If the service provider is in a third country, additional requirements apply. Functions not requiring licensing can be outsourced to any provider as long as institutional authorisation conditions are maintained. Institutions must conduct due diligence to verify service provider authorisation or registration status, including for intragroup outsourcing.</t>
        </is>
      </c>
      <c r="L1335" s="11" t="inlineStr">
        <is>
          <t>Outsourcing arrangements must ensure service providers are authorised or registered in the home Member State for licensed functions. Third-country providers require additional compliance with data protection and supervisory cooperation agreements. Institutions must verify provider authorisation status through due diligence.</t>
        </is>
      </c>
      <c r="M1335" s="11" t="inlineStr">
        <is>
          <t>• [Must] Service providers must be authorised or registered in the home Member State for functions requiring licensing
• [Condition] Additional requirements apply if service provider is located in a third country</t>
        </is>
      </c>
      <c r="N1335" s="11" t="inlineStr">
        <is>
          <t>• [Must] Institutions must verify service provider authorisation or registration status through due diligence
• [Must] Institutions must ensure service provider meets authorisation requirements for functions not requiring licensing</t>
        </is>
      </c>
      <c r="O1335" s="11" t="inlineStr">
        <is>
          <t>Whenever institutions outsource functions to an extent that requires authorisation or registration, the function can only be outsourced to a service provider that is authorised or registered or otherwise allowed to perform the function within a Member State.</t>
        </is>
      </c>
      <c r="P1335" s="12" t="n">
        <v>35</v>
      </c>
    </row>
    <row r="1336">
      <c r="A1336" t="inlineStr">
        <is>
          <t>GDPR</t>
        </is>
      </c>
      <c r="B1336" t="inlineStr">
        <is>
          <t>EBA revised Guidelines on outsourcing arrangements (GDPR - Row 5)</t>
        </is>
      </c>
      <c r="C1336" t="inlineStr">
        <is>
          <t>16 (part 8)</t>
        </is>
      </c>
      <c r="D1336" s="11" t="inlineStr">
        <is>
          <t>Outsourcing audit rights and risk-based monitoring for critical functions</t>
        </is>
      </c>
      <c r="E1336" t="inlineStr">
        <is>
          <t>98–102</t>
        </is>
      </c>
      <c r="F1336" t="inlineStr">
        <is>
          <t>High</t>
        </is>
      </c>
      <c r="G1336" t="inlineStr">
        <is>
          <t>High (explicit)</t>
        </is>
      </c>
      <c r="H1336" s="11" t="inlineStr">
        <is>
          <t>Third Party Processing</t>
        </is>
      </c>
      <c r="I1336" s="11" t="inlineStr">
        <is>
          <t>Financial Data</t>
        </is>
      </c>
      <c r="J1336" t="inlineStr">
        <is>
          <t>EBA</t>
        </is>
      </c>
      <c r="K1336" s="11" t="inlineStr">
        <is>
          <t>This section clarifies that institutions must implement risk-based audit rights for critical or important outsourced functions, ensuring third-party providers meet governance standards. It mandates that institutions conduct regular reviews of outsourced activities using a three-lines-of-defence approach, with the third line responsible for audit functions. The guidelines specify that institutions should not rely solely on service providers' internal audit functions for ongoing monitoring, particularly for high-risk functions.</t>
        </is>
      </c>
      <c r="L1336" s="11" t="inlineStr">
        <is>
          <t>Requires institutions to assess and monitor outsourced functions with criticality, ensuring audit rights are maintained for high-risk activities to prevent data breaches and service disruptions during third-party provider failures.</t>
        </is>
      </c>
      <c r="M1336" s="11" t="inlineStr">
        <is>
          <t>• [Must] Institutions must implement risk-based audit rights for critical or important outsourced functions
• [Must] Third line of defence must conduct on-site visits to critical service providers</t>
        </is>
      </c>
      <c r="N1336" s="11" t="inlineStr">
        <is>
          <t>• [Must Not] Institutions cannot rely solely on service providers' internal audit functions for ongoing monitoring
• [Must] Audit rights must be enforced through standardized reports like ISAE 34.02</t>
        </is>
      </c>
      <c r="O1336" s="11" t="inlineStr">
        <is>
          <t>The guidelines have been amended to accommodate the comments. Audit rights are needed for at least critical or important functions, otherwise institutions would no longer have robust governance arrangements in place.</t>
        </is>
      </c>
      <c r="P1336" s="12" t="n">
        <v>35</v>
      </c>
    </row>
    <row r="1337">
      <c r="A1337" t="inlineStr">
        <is>
          <t>GDPR</t>
        </is>
      </c>
      <c r="B1337" t="inlineStr">
        <is>
          <t>EBA revised Guidelines on outsourcing arrangements (GDPR - Row 5)</t>
        </is>
      </c>
      <c r="C1337" t="inlineStr">
        <is>
          <t>17</t>
        </is>
      </c>
      <c r="D1337" s="11" t="inlineStr">
        <is>
          <t>Repeal of previous outsourcing guidelines</t>
        </is>
      </c>
      <c r="E1337" t="inlineStr">
        <is>
          <t>9</t>
        </is>
      </c>
      <c r="F1337" t="inlineStr">
        <is>
          <t>High</t>
        </is>
      </c>
      <c r="G1337" t="inlineStr">
        <is>
          <t>High (explicit)</t>
        </is>
      </c>
      <c r="H1337" s="11" t="inlineStr"/>
      <c r="I1337" s="11" t="inlineStr"/>
      <c r="J1337" t="inlineStr">
        <is>
          <t>Committee of European Banking Supervisors (CEBS)</t>
        </is>
      </c>
      <c r="K1337" s="11" t="inlineStr">
        <is>
          <t>The CEBS guidelines on outsourcing from 14 December 2006 and EBA recommendations on outsourcing to cloud service providers are repealed with effect from 30 September 2019. This repeal applies to the specified guidelines and recommendations.</t>
        </is>
      </c>
      <c r="L1337" s="11" t="inlineStr">
        <is>
          <t>Repeals prior outsourcing guidelines, potentially simplifying DTIA compliance for financial institutions.</t>
        </is>
      </c>
      <c r="M1337" s="11" t="inlineStr">
        <is>
          <t>• [Repeal] CEBS guidelines on outsourcing from 14 December 2006 are repealed with effect from 30 September 2019</t>
        </is>
      </c>
      <c r="N1337" s="11" t="inlineStr">
        <is>
          <t>• [Repeal] EBA recommendations on outsourcing to cloud service providers (EBA/REC/2017/03) are repealed with effect from 30 September 2019</t>
        </is>
      </c>
      <c r="O1337" s="11" t="inlineStr">
        <is>
          <t>17. The Committee of European Banking Supervisors (CEBS) guidelines on outsourcing of 14 December 2006 and the EBA recommendations on outsourcing to cloud service providers30 are repealed with effect from 30 September 2019.</t>
        </is>
      </c>
      <c r="P1337" s="12" t="n">
        <v>35</v>
      </c>
    </row>
    <row r="1338">
      <c r="A1338" t="inlineStr">
        <is>
          <t>GDPR</t>
        </is>
      </c>
      <c r="B1338" t="inlineStr">
        <is>
          <t>EBA revised Guidelines on outsourcing arrangements (GDPR - Row 5)</t>
        </is>
      </c>
      <c r="C1338" t="inlineStr">
        <is>
          <t>18</t>
        </is>
      </c>
      <c r="D1338" s="11" t="inlineStr">
        <is>
          <t>Proportionality in compliance with outsourcing guidelines</t>
        </is>
      </c>
      <c r="E1338" t="inlineStr">
        <is>
          <t>9</t>
        </is>
      </c>
      <c r="F1338" t="inlineStr">
        <is>
          <t>High</t>
        </is>
      </c>
      <c r="G1338" t="inlineStr">
        <is>
          <t>High (explicit)</t>
        </is>
      </c>
      <c r="H1338" s="11" t="inlineStr">
        <is>
          <t>Outsourcing</t>
        </is>
      </c>
      <c r="I1338" s="11" t="inlineStr"/>
      <c r="J1338" t="inlineStr"/>
      <c r="K1338" s="11" t="inlineStr">
        <is>
          <t>Institutions and payment institutions must apply the proportionality principle when complying with outsourcing guidelines. This principle ensures governance arrangements match the institution's risk profile, business model, and activity scale to effectively meet regulatory objectives.</t>
        </is>
      </c>
      <c r="L1338" s="11" t="inlineStr">
        <is>
          <t>Requires proportionality in DTIA to ensure governance aligns with institutional risk, affecting outsourcing decisions.</t>
        </is>
      </c>
      <c r="M1338" s="11" t="inlineStr">
        <is>
          <t>• [Should] Institutions and payment institutions should apply the proportionality principle when complying with outsourcing guidelines</t>
        </is>
      </c>
      <c r="N1338" s="11" t="inlineStr"/>
      <c r="O1338" s="11" t="inlineStr">
        <is>
          <t>18. Institutions, payment institutions and competent authorities should, when complying or supervising compliance with these guidelines, have regard to the principle of proportionality.</t>
        </is>
      </c>
      <c r="P1338" s="12" t="n">
        <v>35</v>
      </c>
    </row>
    <row r="1339">
      <c r="A1339" t="inlineStr">
        <is>
          <t>GDPR</t>
        </is>
      </c>
      <c r="B1339" t="inlineStr">
        <is>
          <t>EBA revised Guidelines on outsourcing arrangements (GDPR - Row 5)</t>
        </is>
      </c>
      <c r="C1339" t="inlineStr">
        <is>
          <t>19</t>
        </is>
      </c>
      <c r="D1339" s="11" t="inlineStr">
        <is>
          <t>Factors for applying outsourcing requirements</t>
        </is>
      </c>
      <c r="E1339" t="inlineStr">
        <is>
          <t>9</t>
        </is>
      </c>
      <c r="F1339" t="inlineStr">
        <is>
          <t>High</t>
        </is>
      </c>
      <c r="G1339" t="inlineStr">
        <is>
          <t>High (explicit)</t>
        </is>
      </c>
      <c r="H1339" s="11" t="inlineStr">
        <is>
          <t>Outsourcing</t>
        </is>
      </c>
      <c r="I1339" s="11" t="inlineStr"/>
      <c r="J1339" t="inlineStr"/>
      <c r="K1339" s="11" t="inlineStr">
        <is>
          <t>Institutions and payment institutions must consider outsourcing function complexity, associated risks, criticality/importance of functions, and potential impact on business continuity when applying outsourcing guidelines. This requirement applies to institutions and payment institutions.</t>
        </is>
      </c>
      <c r="L1339" s="11" t="inlineStr">
        <is>
          <t>Specifies factors to assess in DTIA for outsourcing, including risk and continuity impacts.</t>
        </is>
      </c>
      <c r="M1339" s="11" t="inlineStr">
        <is>
          <t>• [Should] Institutions and payment institutions should consider complexity of outsourced functions
• [Should] Institutions and payment institutions should consider risks arising from outsourcing arrangements</t>
        </is>
      </c>
      <c r="N1339" s="11" t="inlineStr">
        <is>
          <t>• [Should] Institutions and payment institutions should consider criticality or importance of outsourced functions
• [Should] Institutions and payment institutions should consider potential impact of outsourcing on business continuity</t>
        </is>
      </c>
      <c r="O1339" s="11" t="inlineStr">
        <is>
          <t>19. When applying the requirements set out in these guidelines, institutions and payment institutions should take into account the complexity of the outsourced functions, the risks arising from the outsourcing arrangement, the criticality or importance of the outsourced function and the potential impact of the outsourcing on the continuity of their activities.</t>
        </is>
      </c>
      <c r="P1339" s="12" t="n">
        <v>35</v>
      </c>
    </row>
    <row r="1340">
      <c r="A1340" t="inlineStr">
        <is>
          <t>GDPR</t>
        </is>
      </c>
      <c r="B1340" t="inlineStr">
        <is>
          <t>EBA revised Guidelines on outsourcing arrangements (GDPR - Row 5)</t>
        </is>
      </c>
      <c r="C1340" t="inlineStr">
        <is>
          <t>20</t>
        </is>
      </c>
      <c r="D1340" s="11" t="inlineStr">
        <is>
          <t>Proportionality considerations for outsourcing governance</t>
        </is>
      </c>
      <c r="E1340" t="inlineStr">
        <is>
          <t>9–10</t>
        </is>
      </c>
      <c r="F1340" t="inlineStr">
        <is>
          <t>High</t>
        </is>
      </c>
      <c r="G1340" t="inlineStr">
        <is>
          <t>High (explicit)</t>
        </is>
      </c>
      <c r="H1340" s="11" t="inlineStr">
        <is>
          <t>Governance, Outsourcing</t>
        </is>
      </c>
      <c r="I1340" s="11" t="inlineStr">
        <is>
          <t>Financial Data</t>
        </is>
      </c>
      <c r="J1340" t="inlineStr">
        <is>
          <t>EBA</t>
        </is>
      </c>
      <c r="K1340" s="11" t="inlineStr">
        <is>
          <t>When applying proportionality, institutions and payment institutions must consider criteria from Title I of the EBA Guidelines on internal governance as specified in Article 74(2) of Directive 2013/36/EU. Competent authorities should ensure these criteria are met to balance regulatory requirements with operational needs. This applies to institutions and payment institutions under the EBA's oversight framework.</t>
        </is>
      </c>
      <c r="L1340" s="11" t="inlineStr">
        <is>
          <t>This section requires institutions to assess proportionality in outsourcing governance, impacting how data transfers and processing are structured across borders when using third-party service providers.</t>
        </is>
      </c>
      <c r="M1340" s="11" t="inlineStr">
        <is>
          <t>• [Must] Institutions and payment institutions should take into account criteria from Title I of the EBA Guidelines on internal governance</t>
        </is>
      </c>
      <c r="N1340" s="11" t="inlineStr">
        <is>
          <t>• [Must] Competent authorities should ensure compliance with Article 74(2) of Directive 2013/36/EU</t>
        </is>
      </c>
      <c r="O1340" s="11" t="inlineStr">
        <is>
          <t>20. When applying the principle of proportionality, institutions, payment institutions 31 and competent authorities should take into account the criteria specified in Title I of the EBA Guidelines on internal governance in line with Article 74(2) of Directive 2013/36/EU.</t>
        </is>
      </c>
      <c r="P1340" s="12" t="n">
        <v>35</v>
      </c>
    </row>
    <row r="1341">
      <c r="A1341" t="inlineStr">
        <is>
          <t>GDPR</t>
        </is>
      </c>
      <c r="B1341" t="inlineStr">
        <is>
          <t>EBA revised Guidelines on outsourcing arrangements (GDPR - Row 5)</t>
        </is>
      </c>
      <c r="C1341" t="inlineStr">
        <is>
          <t>21</t>
        </is>
      </c>
      <c r="D1341" s="11" t="inlineStr">
        <is>
          <t>Consolidation requirements for outsourcing governance</t>
        </is>
      </c>
      <c r="E1341" t="inlineStr">
        <is>
          <t>10</t>
        </is>
      </c>
      <c r="F1341" t="inlineStr">
        <is>
          <t>High</t>
        </is>
      </c>
      <c r="G1341" t="inlineStr">
        <is>
          <t>High (explicit)</t>
        </is>
      </c>
      <c r="H1341" s="11" t="inlineStr">
        <is>
          <t>Governance, Outsourcing</t>
        </is>
      </c>
      <c r="I1341" s="11" t="inlineStr">
        <is>
          <t>Financial Data</t>
        </is>
      </c>
      <c r="J1341" t="inlineStr">
        <is>
          <t>EBA</t>
        </is>
      </c>
      <c r="K1341" s="11" t="inlineStr">
        <is>
          <t>Outsourcing arrangements must be consistent and well-integrated across subsidiaries and payment institutions within institutional protection schemes. Parent undertakings must ensure internal governance mechanisms are adequate for effective guideline application at all levels, including critical functions. This applies to consolidated entities under EU prudential regulation.</t>
        </is>
      </c>
      <c r="L1341" s="11" t="inlineStr">
        <is>
          <t>This section mandates that parent entities maintain oversight of outsourcing arrangements across subsidiaries, affecting data transfer and processing when third parties are involved in cross-border operations.</t>
        </is>
      </c>
      <c r="M1341" s="11" t="inlineStr">
        <is>
          <t>• [Must] Parent undertakings or parent undertakings in Member States should ensure internal governance arrangements are consistent and well-integrated</t>
        </is>
      </c>
      <c r="N1341" s="11" t="inlineStr">
        <is>
          <t>• [Must] Internal governance processes and mechanisms must be adequate for effective application of guidelines at all relevant levels</t>
        </is>
      </c>
      <c r="O1341" s="11" t="inlineStr">
        <is>
          <t>21. In accordance with Article 109 (2) of Directive2013/36/EU, these guidelines should also apply on a sub-consolidated and consolidated basis, taking into account the prudential scope of consolidation.</t>
        </is>
      </c>
      <c r="P1341" s="12" t="n">
        <v>35</v>
      </c>
    </row>
    <row r="1342">
      <c r="A1342" t="inlineStr">
        <is>
          <t>GDPR</t>
        </is>
      </c>
      <c r="B1342" t="inlineStr">
        <is>
          <t>EBA revised Guidelines on outsourcing arrangements (GDPR - Row 5)</t>
        </is>
      </c>
      <c r="C1342" t="inlineStr">
        <is>
          <t>22</t>
        </is>
      </c>
      <c r="D1342" s="11" t="inlineStr">
        <is>
          <t>Group-level outsourcing compliance responsibilities</t>
        </is>
      </c>
      <c r="E1342" t="inlineStr">
        <is>
          <t>10–11</t>
        </is>
      </c>
      <c r="F1342" t="inlineStr">
        <is>
          <t>High</t>
        </is>
      </c>
      <c r="G1342" t="inlineStr">
        <is>
          <t>High (explicit)</t>
        </is>
      </c>
      <c r="H1342" s="11" t="inlineStr">
        <is>
          <t>Governance, Outsourcing</t>
        </is>
      </c>
      <c r="I1342" s="11" t="inlineStr">
        <is>
          <t>Financial Data</t>
        </is>
      </c>
      <c r="J1342" t="inlineStr">
        <is>
          <t>EBA</t>
        </is>
      </c>
      <c r="K1342" s="11" t="inlineStr">
        <is>
          <t>Institutions must retain full responsibility for compliance with regulatory requirements when outsourcing within groups or institutional protection schemes. They must ensure operational tasks for internal control functions are effectively performed through appropriate reporting mechanisms. This applies to institutions and payment institutions under group oversight frameworks.</t>
        </is>
      </c>
      <c r="L1342" s="11" t="inlineStr">
        <is>
          <t>This section requires institutions to maintain oversight of outsourcing arrangements within groups, impacting data transfer and processing when third parties are involved across borders.</t>
        </is>
      </c>
      <c r="M1342" s="11" t="inlineStr">
        <is>
          <t>• [Must] Management body retains full responsibility for compliance with all regulatory requirements</t>
        </is>
      </c>
      <c r="N1342" s="11" t="inlineStr">
        <is>
          <t>• [Must] Institutions must ensure operational tasks for internal control functions are effectively performed</t>
        </is>
      </c>
      <c r="O1342" s="11" t="inlineStr">
        <is>
          <t>22. Institutions and payment institutions, in accordance with paragraph 21, and institutions that, as members of an institutional protection scheme, use centrally provided governance arrangements should comply with the following: a. where those institutions or payment institutions have outsourcing arrangements with service providers within the group or the institutional protection scheme, the management body of those institutions or payment institutions retains, also for these outsourcing arrangements, full responsibility for compliance with all regulatory requirements and the effective application of these guidelines;</t>
        </is>
      </c>
      <c r="P1342" s="12" t="n">
        <v>35</v>
      </c>
    </row>
    <row r="1343">
      <c r="A1343" t="inlineStr">
        <is>
          <t>GDPR</t>
        </is>
      </c>
      <c r="B1343" t="inlineStr">
        <is>
          <t>EBA revised Guidelines on outsourcing arrangements (GDPR - Row 5)</t>
        </is>
      </c>
      <c r="C1343" t="inlineStr">
        <is>
          <t>23</t>
        </is>
      </c>
      <c r="D1343" s="11" t="inlineStr">
        <is>
          <t>Centralized outsourcing monitoring requirements</t>
        </is>
      </c>
      <c r="E1343" t="inlineStr">
        <is>
          <t>11</t>
        </is>
      </c>
      <c r="F1343" t="inlineStr">
        <is>
          <t>High</t>
        </is>
      </c>
      <c r="G1343" t="inlineStr">
        <is>
          <t>High (explicit)</t>
        </is>
      </c>
      <c r="H1343" s="11" t="inlineStr">
        <is>
          <t>Governance, Outsourcing</t>
        </is>
      </c>
      <c r="I1343" s="11" t="inlineStr">
        <is>
          <t>Financial Data</t>
        </is>
      </c>
      <c r="J1343" t="inlineStr">
        <is>
          <t>EBA</t>
        </is>
      </c>
      <c r="K1343" s="11" t="inlineStr">
        <is>
          <t>Institutions must ensure independent monitoring of service providers and oversight by each entity for critical functions. They must receive annual reports on risk assessments and performance monitoring, as well as audit reports. Institutions must also be informed of planned changes to service providers and their potential impacts on critical functions. This applies to centralized outsourcing arrangements within groups or institutional protection schemes.</t>
        </is>
      </c>
      <c r="L1343" s="11" t="inlineStr">
        <is>
          <t>This section mandates detailed oversight of centralized outsourcing arrangements, affecting data transfer and processing when third parties are involved across borders.</t>
        </is>
      </c>
      <c r="M1343" s="11" t="inlineStr">
        <is>
          <t>• [Must] Institutions should ensure independent monitoring of service providers and oversight by each institution
• [Must] Institutions must receive annual reports on risk assessments and performance monitoring</t>
        </is>
      </c>
      <c r="N1343" s="11" t="inlineStr">
        <is>
          <t>• [Must] Institutions must receive summaries of audit reports for critical or important outsourcing arrangements
• [Must] Institutions must be informed of planned changes to service providers and potential impacts on critical functions</t>
        </is>
      </c>
      <c r="O1343" s="11" t="inlineStr">
        <is>
          <t>23. In addition to paragraph 22, institutions and payment institutions within a group for which no waivers have been granted on the basis of Article 109 of Directive 2013/36/EU and Article 7 of Regulation (EU) No 575/2013, institutions that are a central body or that are permanently affiliated to a central body for which no waivers have been granted on the basis of Article 21 of Directive 2013/36/EU, or institutions that are members of an institutional protection scheme should take into account the following: a. where the operational monitoring of outsourcing is centralised (e.g. as part of a master agreement for the monitoring of outsourcing arrangements), institutions and payment institutions should ensure that, at least for outsourced critical or important functions, both independent monitoring of the service provider and appropriate oversight by each institution or payment institution is possible, including by receiving, at least annually and upon request from the centralised monitoring function, reports that include, at least, a summary of the risk assessment and performance monitoring.</t>
        </is>
      </c>
      <c r="P1343" s="12" t="n">
        <v>35</v>
      </c>
    </row>
    <row r="1344">
      <c r="A1344" t="inlineStr">
        <is>
          <t>GDPR</t>
        </is>
      </c>
      <c r="B1344" t="inlineStr">
        <is>
          <t>EBA revised Guidelines on outsourcing arrangements (GDPR - Row 5)</t>
        </is>
      </c>
      <c r="C1344" t="inlineStr">
        <is>
          <t>24</t>
        </is>
      </c>
      <c r="D1344" s="11" t="inlineStr">
        <is>
          <t>Waiver application for consolidated entities</t>
        </is>
      </c>
      <c r="E1344" t="inlineStr">
        <is>
          <t>11</t>
        </is>
      </c>
      <c r="F1344" t="inlineStr">
        <is>
          <t>High</t>
        </is>
      </c>
      <c r="G1344" t="inlineStr">
        <is>
          <t>High (explicit)</t>
        </is>
      </c>
      <c r="H1344" s="11" t="inlineStr">
        <is>
          <t>Governance, Outsourcing</t>
        </is>
      </c>
      <c r="I1344" s="11" t="inlineStr">
        <is>
          <t>Financial Data</t>
        </is>
      </c>
      <c r="J1344" t="inlineStr">
        <is>
          <t>EBA</t>
        </is>
      </c>
      <c r="K1344" s="11" t="inlineStr">
        <is>
          <t>Where waivers have been granted under Article 21 of Directive 2013/36/EU or Article 109(1) of Directive 2013/36/EU in conjunction with Article 7 of Regulation (EU) No 575/2013, the parent undertaking in a Member State applies these guidelines for itself and its subsidiaries or the central body applies them for its affiliates as a whole. This applies to entities with specific waiver statuses.</t>
        </is>
      </c>
      <c r="L1344" s="11" t="inlineStr">
        <is>
          <t>This section defines when consolidated entities apply outsourcing guidelines, impacting data transfer and processing when waivers are granted for cross-border operations.</t>
        </is>
      </c>
      <c r="M1344" s="11" t="inlineStr">
        <is>
          <t>• [Must] Parent undertaking in a Member State applies guidelines for itself and subsidiaries</t>
        </is>
      </c>
      <c r="N1344" s="11" t="inlineStr"/>
      <c r="O1344" s="11" t="inlineStr">
        <is>
          <t>24. Where waivers have been granted pursuant to Article 21 of Directive 2013/36/EU or Article 109(1) of Directive 2013/36/EU in conjunction with Article 7 of Regulation (EU) No 575/2013, the provisions of these guidelines should be applied by the parent undertaking in a Member State for itself and its subsidiaries or by the central body and its affiliates as a whole.</t>
        </is>
      </c>
      <c r="P1344" s="12" t="n">
        <v>35</v>
      </c>
    </row>
    <row r="1345">
      <c r="A1345" t="inlineStr">
        <is>
          <t>GDPR</t>
        </is>
      </c>
      <c r="B1345" t="inlineStr">
        <is>
          <t>EBA revised Guidelines on outsourcing arrangements (GDPR - Row 5)</t>
        </is>
      </c>
      <c r="C1345" t="inlineStr">
        <is>
          <t>25</t>
        </is>
      </c>
      <c r="D1345" s="11" t="inlineStr">
        <is>
          <t>Individual compliance for subsidiaries</t>
        </is>
      </c>
      <c r="E1345" t="inlineStr">
        <is>
          <t>11</t>
        </is>
      </c>
      <c r="F1345" t="inlineStr">
        <is>
          <t>High</t>
        </is>
      </c>
      <c r="G1345" t="inlineStr">
        <is>
          <t>High (explicit)</t>
        </is>
      </c>
      <c r="H1345" s="11" t="inlineStr">
        <is>
          <t>Governance, Outsourcing</t>
        </is>
      </c>
      <c r="I1345" s="11" t="inlineStr">
        <is>
          <t>Financial Data</t>
        </is>
      </c>
      <c r="J1345" t="inlineStr">
        <is>
          <t>EBA</t>
        </is>
      </c>
      <c r="K1345" s="11" t="inlineStr">
        <is>
          <t>Subsidiaries of EU parent undertakings or parent undertakings in Member States without waivers must comply with these guidelines individually. This applies to entities that are not part of consolidated oversight frameworks under specific waiver conditions.</t>
        </is>
      </c>
      <c r="L1345" s="11" t="inlineStr">
        <is>
          <t>This section ensures subsidiaries maintain individual compliance with outsourcing guidelines, affecting data transfer and processing when third parties are involved across borders.</t>
        </is>
      </c>
      <c r="M1345" s="11" t="inlineStr">
        <is>
          <t>• [Must] Subsidiaries must comply with guidelines individually</t>
        </is>
      </c>
      <c r="N1345" s="11" t="inlineStr"/>
      <c r="O1345" s="11" t="inlineStr">
        <is>
          <t>25. Institutions and payment institutions that are subsidiaries of an EU parent undertaking or of a parent undertaking in a Member State to which no waivers have been granted on the basis of Article 21 of Directive 2013/36/EU or Article 109(1) of Directive 2013/36/EU in conjunction with Article 7 of Regulation (EU) No 575/2013 should ensure that they comply with these Guidelines on an individual basis.</t>
        </is>
      </c>
      <c r="P1345" s="12" t="n">
        <v>35</v>
      </c>
    </row>
    <row r="1346">
      <c r="A1346" t="inlineStr">
        <is>
          <t>GDPR</t>
        </is>
      </c>
      <c r="B1346" t="inlineStr">
        <is>
          <t>EBA revised Guidelines on outsourcing arrangements (GDPR - Row 5)</t>
        </is>
      </c>
      <c r="C1346" t="inlineStr">
        <is>
          <t>26</t>
        </is>
      </c>
      <c r="D1346" s="11" t="inlineStr">
        <is>
          <t>Outsourcing function assessment: third-party arrangement classification</t>
        </is>
      </c>
      <c r="E1346" t="inlineStr">
        <is>
          <t>11</t>
        </is>
      </c>
      <c r="F1346" t="inlineStr">
        <is>
          <t>High</t>
        </is>
      </c>
      <c r="G1346" t="inlineStr">
        <is>
          <t>High (explicit)</t>
        </is>
      </c>
      <c r="H1346" s="11" t="inlineStr">
        <is>
          <t>Outsourcing, Third Party Processing</t>
        </is>
      </c>
      <c r="I1346" s="11" t="inlineStr">
        <is>
          <t>Personal Information</t>
        </is>
      </c>
      <c r="J1346" t="inlineStr">
        <is>
          <t>European Banking Authority</t>
        </is>
      </c>
      <c r="K1346" s="11" t="inlineStr">
        <is>
          <t>Institutions and payment institutions must determine if their third-party arrangements constitute outsourcing. This involves evaluating whether the outsourced function is performed recurrently by the service provider and whether it would typically be handled by the institution itself, even if not previously performed.</t>
        </is>
      </c>
      <c r="L1346" s="11" t="inlineStr">
        <is>
          <t>This section requires institutions to assess if a third-party arrangement qualifies as outsourcing before proceeding with data transfer or processing activities involving external service providers.</t>
        </is>
      </c>
      <c r="M1346" s="11" t="inlineStr">
        <is>
          <t>• [Must] Institutions and payment institutions should establish whether an arrangement with a third party falls under the definition of outsourcing
• [Must] Consider whether the function (or part thereof) outsourced to a service provider is performed on a recurrent or ongoing basis</t>
        </is>
      </c>
      <c r="N1346" s="11" t="inlineStr">
        <is>
          <t>• [Must] Determine if the function (or part thereof) would normally fall within the scope of functions that could be performed by institutions or payment institutions</t>
        </is>
      </c>
      <c r="O1346" s="11" t="inlineStr">
        <is>
          <t>26. Institutions and payment institutions should establish whether an arrangement with a third party falls under the definition of outsourcing. Within this assessment, consideration should be given to whether the function (or a part thereof) that is outsourced to a service provider is performed on a recurrent or an ongoing basis by the service provider and whether this function (or part thereof) would normally fall within the scope of functions that would or could realistically be performed by institutions or payment institutions, even if the institution or payment institution has not performed this function in the past itself.</t>
        </is>
      </c>
      <c r="P1346" s="12" t="n">
        <v>35</v>
      </c>
    </row>
    <row r="1347">
      <c r="A1347" t="inlineStr">
        <is>
          <t>GDPR</t>
        </is>
      </c>
      <c r="B1347" t="inlineStr">
        <is>
          <t>EBA revised Guidelines on outsourcing arrangements (GDPR - Row 5)</t>
        </is>
      </c>
      <c r="C1347" t="inlineStr">
        <is>
          <t>27</t>
        </is>
      </c>
      <c r="D1347" s="11" t="inlineStr">
        <is>
          <t>Multi-function outsourcing assessment: holistic evaluation</t>
        </is>
      </c>
      <c r="E1347" t="inlineStr">
        <is>
          <t>11–12</t>
        </is>
      </c>
      <c r="F1347" t="inlineStr">
        <is>
          <t>High</t>
        </is>
      </c>
      <c r="G1347" t="inlineStr">
        <is>
          <t>High (explicit)</t>
        </is>
      </c>
      <c r="H1347" s="11" t="inlineStr">
        <is>
          <t>Outsourcing, Third Party Processing</t>
        </is>
      </c>
      <c r="I1347" s="11" t="inlineStr">
        <is>
          <t>Personal Information</t>
        </is>
      </c>
      <c r="J1347" t="inlineStr">
        <is>
          <t>European Banking Authority</t>
        </is>
      </c>
      <c r="K1347" s="11" t="inlineStr">
        <is>
          <t>When outsourcing covers multiple functions, institutions must evaluate all aspects of the arrangement together. This includes considering combined services like data storage hardware and data backup as a single unit rather than separate components.</t>
        </is>
      </c>
      <c r="L1347" s="11" t="inlineStr">
        <is>
          <t>This section emphasizes that institutions should assess multi-function outsourcing arrangements as a whole to ensure comprehensive data transfer and processing safeguards.</t>
        </is>
      </c>
      <c r="M1347" s="11" t="inlineStr">
        <is>
          <t>• [Must] Institutions and payment institutions should consider all aspects of the arrangement within their assessment</t>
        </is>
      </c>
      <c r="N1347" s="11" t="inlineStr">
        <is>
          <t>• [Must] Treat combined services like data storage hardware and data backup as a single unit for assessment</t>
        </is>
      </c>
      <c r="O1347" s="11" t="inlineStr">
        <is>
          <t>27. Where an arrangement with a service provider covers multiple functions, institutions and payment institutions should consider all aspects of the arrangement within their assessment, e.g. if the service provided includes the provision of data storage hardware and the backup of data, both aspects should be considered together.</t>
        </is>
      </c>
      <c r="P1347" s="12" t="n">
        <v>35</v>
      </c>
    </row>
    <row r="1348">
      <c r="A1348" t="inlineStr">
        <is>
          <t>GDPR</t>
        </is>
      </c>
      <c r="B1348" t="inlineStr">
        <is>
          <t>EBA revised Guidelines on outsourcing arrangements (GDPR - Row 5)</t>
        </is>
      </c>
      <c r="C1348" t="inlineStr">
        <is>
          <t>28</t>
        </is>
      </c>
      <c r="D1348" s="11" t="inlineStr">
        <is>
          <t>Exclusions from outsourcing: non-outsourced functions</t>
        </is>
      </c>
      <c r="E1348" t="inlineStr">
        <is>
          <t>12</t>
        </is>
      </c>
      <c r="F1348" t="inlineStr">
        <is>
          <t>High</t>
        </is>
      </c>
      <c r="G1348" t="inlineStr">
        <is>
          <t>High (explicit)</t>
        </is>
      </c>
      <c r="H1348" s="11" t="inlineStr">
        <is>
          <t>Outsourcing, Third Party Processing</t>
        </is>
      </c>
      <c r="I1348" s="11" t="inlineStr">
        <is>
          <t>Personal Information</t>
        </is>
      </c>
      <c r="J1348" t="inlineStr">
        <is>
          <t>European Banking Authority</t>
        </is>
      </c>
      <c r="K1348" s="11" t="inlineStr">
        <is>
          <t>Institutions should not classify the following as outsourcing: statutory audit functions, market information services, global network infrastructures, clearing and settlement arrangements, global financial messaging infrastructures, correspondent banking services, and various other services and goods like cleaning, legal advice, and utilities.</t>
        </is>
      </c>
      <c r="L1348" s="11" t="inlineStr">
        <is>
          <t>This section defines specific functions and services that are excluded from outsourcing, which helps institutions avoid unnecessary data transfer and processing risks when dealing with third parties.</t>
        </is>
      </c>
      <c r="M1348" s="11" t="inlineStr">
        <is>
          <t>• [Must Not] Institutions and payment institutions should not consider statutory audit as outsourcing
• [Must Not] Institutions and payment institutions should not consider market information services as outsourcing
• [Must Not] Institutions and payment institutions should not consider global network infrastructures as outsourcing
• [Must Not] Institutions and payment institutions should not consider clearing and settlement arrangements as outsourcing</t>
        </is>
      </c>
      <c r="N1348" s="11" t="inlineStr">
        <is>
          <t>• [Must Not] Institutions and payment institutions should not consider global financial messaging infrastructures as outsourcing
• [Must Not] Institutions and payment institutions should not consider correspondent banking services as outsourcing
• [Must Not] Institutions and payment institutions should not consider services like legal advice, cleaning, and utilities as outsourcing</t>
        </is>
      </c>
      <c r="O1348" s="11" t="inlineStr">
        <is>
          <t>28. As a general principle, institutions and payment institutions should not consider the following as outsourcing: a. a function that is legally required to be performed by a service provider, e.g. statutory audit; b. market information services (e.g. provision of data by Bloomberg, Moody's, Standard &amp; Poor's, Fitch); c. global network infrastructures (e.g. Visa, MasterCard); d. clearing and settlement arrangements between clearing houses, central counterparties and settlement institutions and their members; e. global financial messaging infrastructures that are subject to oversight by relevant authorities; f. correspondent banking services; and g. the acquisition of services that would otherwise not be undertaken by the institution or payment institution (e.g. advice from an architect, providing legal opinion and representation in front of the court and administrative bodies, cleaning, gardening and maintenance of the institution's or payment institution's premises, medical services, servicing of company cars, catering, vending machine services, clerical services, travel services, post-room services, receptionists, secretaries and switchboard operators), goods (e.g. plastic cards, card readers, office supplies, personal computers, furniture) or utilities (e.g. electricity, gas, water, telephone line).</t>
        </is>
      </c>
      <c r="P1348" s="12" t="n">
        <v>35</v>
      </c>
    </row>
    <row r="1349">
      <c r="A1349" t="inlineStr">
        <is>
          <t>GDPR</t>
        </is>
      </c>
      <c r="B1349" t="inlineStr">
        <is>
          <t>EBA revised Guidelines on outsourcing arrangements (GDPR - Row 5)</t>
        </is>
      </c>
      <c r="C1349" t="inlineStr">
        <is>
          <t>29</t>
        </is>
      </c>
      <c r="D1349" s="11" t="inlineStr">
        <is>
          <t>Critical or important functions: specific scenarios</t>
        </is>
      </c>
      <c r="E1349" t="inlineStr">
        <is>
          <t>12</t>
        </is>
      </c>
      <c r="F1349" t="inlineStr">
        <is>
          <t>High</t>
        </is>
      </c>
      <c r="G1349" t="inlineStr">
        <is>
          <t>High (explicit)</t>
        </is>
      </c>
      <c r="H1349" s="11" t="inlineStr">
        <is>
          <t>Outsourcing</t>
        </is>
      </c>
      <c r="I1349" s="11" t="inlineStr">
        <is>
          <t>Personal Information</t>
        </is>
      </c>
      <c r="J1349" t="inlineStr">
        <is>
          <t>European Banking Authority</t>
        </is>
      </c>
      <c r="K1349" s="11" t="inlineStr">
        <is>
          <t>Functions are considered critical or important if a defect or failure would materially impair compliance with regulatory obligations, financial performance, banking service continuity, internal control functions, or require authorisation from a competent authority. This includes specific regulatory contexts and operational impacts.</t>
        </is>
      </c>
      <c r="L1349" s="11" t="inlineStr">
        <is>
          <t>This section identifies when functions become critical or important for data transfer and processing, ensuring that high-risk functions are properly assessed and managed in outsourcing arrangements.</t>
        </is>
      </c>
      <c r="M1349" s="11" t="inlineStr">
        <is>
          <t>• [Must] Functions are critical or important if a defect or failure would materially impair compliance with regulatory obligations
• [Must] Functions are critical or important if a defect or failure would materially impair financial performance
• [Must] Functions are critical or important if a defect or failure would materially impair banking and payment service continuity</t>
        </is>
      </c>
      <c r="N1349" s="11" t="inlineStr">
        <is>
          <t>• [Must] Functions are critical or important when outsourcing internal control functions without adverse impact on effectiveness
• [Must] Functions are critical or important when outsourcing banking activities or payment services requiring authorisation from a competent authority</t>
        </is>
      </c>
      <c r="O1349" s="11" t="inlineStr">
        <is>
          <t>29. Institutions and payment institutions should always consider a function as critical or important in the following situations: a. where a defect or failure in its performance would materially impair: i. their continuing compliance with the conditions of their authorisation or its other obligations under Directive 2013/36/EU, Regulation (EU) No 575/2013, Directive 2014/65/EU, Directive (EU) 2015/2366 and Directive 2009/110/EC and their regulatory obligations; ii. their financial performance; iii. the soundness or continuity of their banking and payment services and activities; b. when operational tasks of internal control functions are outsourced, unless the assessment establishes that a failure to provide the outsourced function or the inappropriate provision of the outsourced function would not have an adverse impact on the effectiveness of the internal control function; c. when they intend to outsource functions of banking activities or payment services to an extent that would require authorisation by a competent authority, as referred to in Section 12.1.</t>
        </is>
      </c>
      <c r="P1349" s="12" t="n">
        <v>35</v>
      </c>
    </row>
    <row r="1350">
      <c r="A1350" t="inlineStr">
        <is>
          <t>GDPR</t>
        </is>
      </c>
      <c r="B1350" t="inlineStr">
        <is>
          <t>EBA revised Guidelines on outsourcing arrangements (GDPR - Row 5)</t>
        </is>
      </c>
      <c r="C1350" t="inlineStr">
        <is>
          <t>30</t>
        </is>
      </c>
      <c r="D1350" s="11" t="inlineStr">
        <is>
          <t>Critical functions for core business lines</t>
        </is>
      </c>
      <c r="E1350" t="inlineStr">
        <is>
          <t>12</t>
        </is>
      </c>
      <c r="F1350" t="inlineStr">
        <is>
          <t>High</t>
        </is>
      </c>
      <c r="G1350" t="inlineStr">
        <is>
          <t>High (explicit)</t>
        </is>
      </c>
      <c r="H1350" s="11" t="inlineStr">
        <is>
          <t>Outsourcing</t>
        </is>
      </c>
      <c r="I1350" s="11" t="inlineStr">
        <is>
          <t>Personal Information</t>
        </is>
      </c>
      <c r="J1350" t="inlineStr">
        <is>
          <t>European Banking Authority</t>
        </is>
      </c>
      <c r="K1350" s="11" t="inlineStr">
        <is>
          <t>Functions necessary for core business lines or critical functions should be considered critical or important for outsourcing assessments, unless the institution can demonstrate that failure or inappropriate provision would not impact operational continuity.</t>
        </is>
      </c>
      <c r="L1350" s="11" t="inlineStr">
        <is>
          <t>This section clarifies that core business line functions are critical for data transfer and processing, ensuring that essential services are maintained during outsourcing arrangements.</t>
        </is>
      </c>
      <c r="M1350" s="11" t="inlineStr">
        <is>
          <t>• [Must] Functions necessary to perform activities of core business lines or critical functions should be considered critical or important</t>
        </is>
      </c>
      <c r="N1350" s="11" t="inlineStr">
        <is>
          <t>• [Must] Failure or inappropriate provision of outsourced functions would not impact operational continuity if demonstrated</t>
        </is>
      </c>
      <c r="O1350" s="11" t="inlineStr">
        <is>
          <t>30. In the case of institutions, particular attention should be given to the assessment of the criticality or importance of functions if the outsourcing concerns functions related to core business lines and critical functions as defined in Article 2(1)(35) and 2(1)(36) of Directive 2014/59/EU and identified by institutions using the criteria set out in Articles 6 and 7 of Commission Delegated Regulation (EU) 2016/778. Functions that are necessary to perform activities of core business lines or critical functions should be considered as critical or important functions for the purpose of these guidelines, unless the institution's assessment establishes that a failure to provide the outsourced function or the inappropriate provision of the outsourced function would not have an adverse impact on the operational continuity of the core business line or critical function.</t>
        </is>
      </c>
      <c r="P1350" s="12" t="n">
        <v>35</v>
      </c>
    </row>
    <row r="1351">
      <c r="A1351" t="inlineStr">
        <is>
          <t>GDPR</t>
        </is>
      </c>
      <c r="B1351" t="inlineStr">
        <is>
          <t>EBA revised Guidelines on outsourcing arrangements (GDPR - Row 5)</t>
        </is>
      </c>
      <c r="C1351" t="inlineStr">
        <is>
          <t>31</t>
        </is>
      </c>
      <c r="D1351" s="11" t="inlineStr">
        <is>
          <t>Critical function assessment factors</t>
        </is>
      </c>
      <c r="E1351" t="inlineStr">
        <is>
          <t>12</t>
        </is>
      </c>
      <c r="F1351" t="inlineStr">
        <is>
          <t>High</t>
        </is>
      </c>
      <c r="G1351" t="inlineStr">
        <is>
          <t>High (explicit)</t>
        </is>
      </c>
      <c r="H1351" s="11" t="inlineStr">
        <is>
          <t>Outsourcing</t>
        </is>
      </c>
      <c r="I1351" s="11" t="inlineStr">
        <is>
          <t>Personal Information</t>
        </is>
      </c>
      <c r="J1351" t="inlineStr">
        <is>
          <t>European Banking Authority</t>
        </is>
      </c>
      <c r="K1351" s="11" t="inlineStr">
        <is>
          <t>When determining if an outsourcing arrangement involves a critical or important function, institutions must evaluate factors including direct connection to authorized banking activities, potential financial and operational impacts, risk management capabilities, client service effects, aggregated exposure to service providers, business area complexity, scalability, substitutability, and reintegration feasibility.</t>
        </is>
      </c>
      <c r="L1351" s="11" t="inlineStr">
        <is>
          <t>This section provides detailed factors for assessing critical functions in outsourcing, ensuring comprehensive data transfer and processing impact evaluations.</t>
        </is>
      </c>
      <c r="M1351" s="11" t="inlineStr">
        <is>
          <t>• [Must] Assess whether outsourcing arrangement is directly connected to authorized banking activities or payment services
• [Must] Evaluate potential impact of disruption on financial resilience, business continuity, operational risk, reputational risk, and recovery planning
• [Must] Assess potential impact on risk identification, monitoring, and regulatory compliance
• [Must] Evaluate potential impact on client services
• [Must] Assess aggregated exposure to the same service provider and cumulative impact in business areas</t>
        </is>
      </c>
      <c r="N1351" s="11" t="inlineStr">
        <is>
          <t>• [Must] Evaluate size and complexity of affected business areas
• [Must] Assess possibility of scaling up outsourcing without revising agreements
• [Must] Evaluate ability to transfer outsourcing arrangement to another service provider
• [Must] Evaluate ability to reintegrate outsourced functions
• [Must] Assess data protection risks and potential breaches</t>
        </is>
      </c>
      <c r="O1351" s="11" t="inlineStr">
        <is>
          <t>31. When assessing whether an outsourcing arrangement relates to a function that is critical or important, institutions and payment institutions should take into account, together with the outcome of the risk assessment outlined in Section 12.2, at least the following factors: a. whether the outsourcing arrangement is directly connected to the provision of banking activities or payment services for which they are authorised; b. the potential impact of any disruption to the outsourced function or failure of the service provider to provide the service at the agreed service levels on a continuous basis on their: i. short- and long-term financial resilience and viability, including, if applicable, its assets, capital, costs, funding, liquidity, profits and losses; ii. business continuity and operational resilience; iii. operational risk, including conduct, information and communication technology (ICT) and legal risks; iv. reputational risks; v. where applicable, recovery and resolution planning, resolvability and operational continuity in an early intervention, recovery or resolution situation; c. the potential impact of the outsourcing arrangement on their ability to: i. identify, monitor and manage all risks; ii. comply with all legal and regulatory requirements; iii. conduct appropriate audits regarding the outsourced function; d. the potential impact on the services provided to its clients; e. all outsourcing arrangements, the institution's or payment institution's aggregated exposure to the same service provider and the potential cumulative impact of outsourcing arrangements in the same business area; f. the size and complexity of any business area affected; g. the possibility that the proposed outsourcing arrangement might be scaled up without replacing or revising the underlying agreement; h. the ability to transfer the proposed outsourcing arrangement to another service provider, if necessary or desirable, both contractually and in practice, including the estimated risks, impediments to business continuity, costs and time frame for doing so ('substitutability'); i. the ability to reintegrate the outsourced function into the institution or payment institution, if necessary or desirable; j. the protection of data and the potential impact of a confidentiality breach or failure to ensure data availability and integrity on the institution or payment institution and its clients, including but not limited to compliance with Regulation (EU) 2016/679.</t>
        </is>
      </c>
      <c r="P1351" s="12" t="n">
        <v>35</v>
      </c>
    </row>
    <row r="1352">
      <c r="A1352" t="inlineStr">
        <is>
          <t>GDPR</t>
        </is>
      </c>
      <c r="B1352" t="inlineStr">
        <is>
          <t>EBA revised Guidelines on outsourcing arrangements (GDPR - Row 5)</t>
        </is>
      </c>
      <c r="C1352" t="inlineStr">
        <is>
          <t>32</t>
        </is>
      </c>
      <c r="D1352" s="11" t="inlineStr">
        <is>
          <t>Holistic risk management framework for third-party arrangements</t>
        </is>
      </c>
      <c r="E1352" t="inlineStr">
        <is>
          <t>12</t>
        </is>
      </c>
      <c r="F1352" t="inlineStr">
        <is>
          <t>High</t>
        </is>
      </c>
      <c r="G1352" t="inlineStr">
        <is>
          <t>High (explicit)</t>
        </is>
      </c>
      <c r="H1352" s="11" t="inlineStr">
        <is>
          <t>Third Party Processing, Outsourcing</t>
        </is>
      </c>
      <c r="I1352" s="11" t="inlineStr">
        <is>
          <t>Personal Information</t>
        </is>
      </c>
      <c r="J1352" t="inlineStr">
        <is>
          <t>EBA</t>
        </is>
      </c>
      <c r="K1352" s="11" t="inlineStr">
        <is>
          <t>Institutions and payment institutions must establish a comprehensive risk management framework covering all business lines and internal units. This framework requires identifying and managing risks from third-party arrangements, including cyber risks. The framework enables informed risk-taking decisions and ensures proper implementation of risk management measures.</t>
        </is>
      </c>
      <c r="L1352" s="11" t="inlineStr">
        <is>
          <t>Requires institutions to have a unified risk management approach that covers third-party arrangements, critical for assessing cross-border data transfer risks in outsourcing contexts.</t>
        </is>
      </c>
      <c r="M1352" s="11" t="inlineStr">
        <is>
          <t>• [Must] Institutions and payment institutions should have a holistic institution-wide risk management framework extending across all business lines and internal units
• [Must] Institutions and payment institutions should identify and manage all their risks, including risks caused by arrangements with third parties</t>
        </is>
      </c>
      <c r="N1352" s="11" t="inlineStr">
        <is>
          <t>• [Must] The risk management framework should enable institutions to make well-informed decisions on risk-taking
• [Must] The risk management framework should ensure risk management measures are appropriately implemented, including with regard to cyber risks</t>
        </is>
      </c>
      <c r="O1352" s="11" t="inlineStr">
        <is>
          <t>32. As part of the overall internal control framework, including internal control mechanisms, institutions and payment institutions should have a holistic institution-wide risk management framework extending across all business lines and internal units.</t>
        </is>
      </c>
      <c r="P1352" s="12" t="n">
        <v>35</v>
      </c>
    </row>
    <row r="1353">
      <c r="A1353" t="inlineStr">
        <is>
          <t>GDPR</t>
        </is>
      </c>
      <c r="B1353" t="inlineStr">
        <is>
          <t>EBA revised Guidelines on outsourcing arrangements (GDPR - Row 5)</t>
        </is>
      </c>
      <c r="C1353" t="inlineStr">
        <is>
          <t>33</t>
        </is>
      </c>
      <c r="D1353" s="11" t="inlineStr">
        <is>
          <t>Proportional risk assessment for third-party arrangements</t>
        </is>
      </c>
      <c r="E1353" t="inlineStr">
        <is>
          <t>12</t>
        </is>
      </c>
      <c r="F1353" t="inlineStr">
        <is>
          <t>High</t>
        </is>
      </c>
      <c r="G1353" t="inlineStr">
        <is>
          <t>High (explicit)</t>
        </is>
      </c>
      <c r="H1353" s="11" t="inlineStr">
        <is>
          <t>Third Party Processing, Outsourcing</t>
        </is>
      </c>
      <c r="I1353" s="11" t="inlineStr">
        <is>
          <t>Personal Information</t>
        </is>
      </c>
      <c r="J1353" t="inlineStr">
        <is>
          <t>EBA</t>
        </is>
      </c>
      <c r="K1353" s="11" t="inlineStr">
        <is>
          <t>Institutions and payment institutions must identify, assess, monitor and manage all third-party risks, including outsourcing arrangements, using a risk assessment aligned with Section 12.2. This assessment must cover operational risks and apply regardless of whether arrangements are formal outsourcing.</t>
        </is>
      </c>
      <c r="L1353" s="11" t="inlineStr">
        <is>
          <t>Mandates proportional risk assessment for third-party arrangements, critical for DTIAs involving cross-border data transfers through outsourcing.</t>
        </is>
      </c>
      <c r="M1353" s="11" t="inlineStr">
        <is>
          <t>• [Must] Institutions and payment institutions should identify, assess, monitor and manage all risks resulting from arrangements with third parties</t>
        </is>
      </c>
      <c r="N1353" s="11" t="inlineStr">
        <is>
          <t>• [Must] The risks, in particular operational risks, of all arrangements with third parties should be assessed in line with Section 12.2</t>
        </is>
      </c>
      <c r="O1353" s="11" t="inlineStr">
        <is>
          <t>33. Institutions and payment institutions, taking into account the principle of proportionality in line with Section 1, should identify, assess, monitor and manage all risks resulting from arrangements with third parties to which they are or might be exposed...</t>
        </is>
      </c>
      <c r="P1353" s="12" t="n">
        <v>35</v>
      </c>
    </row>
    <row r="1354">
      <c r="A1354" t="inlineStr">
        <is>
          <t>GDPR</t>
        </is>
      </c>
      <c r="B1354" t="inlineStr">
        <is>
          <t>EBA revised Guidelines on outsourcing arrangements (GDPR - Row 5)</t>
        </is>
      </c>
      <c r="C1354" t="inlineStr">
        <is>
          <t>34</t>
        </is>
      </c>
      <c r="D1354" s="11" t="inlineStr">
        <is>
          <t>Compliance with GDPR for third-party arrangements</t>
        </is>
      </c>
      <c r="E1354" t="inlineStr">
        <is>
          <t>12–13</t>
        </is>
      </c>
      <c r="F1354" t="inlineStr">
        <is>
          <t>High</t>
        </is>
      </c>
      <c r="G1354" t="inlineStr">
        <is>
          <t>High (explicit)</t>
        </is>
      </c>
      <c r="H1354" s="11" t="inlineStr">
        <is>
          <t>Third Party Processing, Outsourcing</t>
        </is>
      </c>
      <c r="I1354" s="11" t="inlineStr">
        <is>
          <t>Personal Information</t>
        </is>
      </c>
      <c r="J1354" t="inlineStr">
        <is>
          <t>EBA</t>
        </is>
      </c>
      <c r="K1354" s="11" t="inlineStr">
        <is>
          <t>Institutions and payment institutions must comply with all GDPR requirements, including those specific to third-party and outsourcing arrangements. This includes adherence to data protection principles and obligations when transferring or processing personal data through third parties.</t>
        </is>
      </c>
      <c r="L1354" s="11" t="inlineStr">
        <is>
          <t>Requires compliance with GDPR for third-party arrangements, directly impacting data transfer impact assessments involving cross-border data flows.</t>
        </is>
      </c>
      <c r="M1354" s="11" t="inlineStr">
        <is>
          <t>• [Must] Institutions and payment institutions should ensure compliance with all requirements under Regulation (EU) 2016/679</t>
        </is>
      </c>
      <c r="N1354" s="11" t="inlineStr"/>
      <c r="O1354" s="11" t="inlineStr">
        <is>
          <t>34. Institutions and payment institutions should ensure that they comply with all requirements under Regulation (EU) 2016/679, including for their third-party and outsourcing arrangements.</t>
        </is>
      </c>
      <c r="P1354" s="12" t="n">
        <v>35</v>
      </c>
    </row>
    <row r="1355">
      <c r="A1355" t="inlineStr">
        <is>
          <t>GDPR</t>
        </is>
      </c>
      <c r="B1355" t="inlineStr">
        <is>
          <t>EBA revised Guidelines on outsourcing arrangements (GDPR - Row 5)</t>
        </is>
      </c>
      <c r="C1355" t="inlineStr">
        <is>
          <t>35</t>
        </is>
      </c>
      <c r="D1355" s="11" t="inlineStr">
        <is>
          <t>Management body responsibility for outsourcing</t>
        </is>
      </c>
      <c r="E1355" t="inlineStr">
        <is>
          <t>13</t>
        </is>
      </c>
      <c r="F1355" t="inlineStr">
        <is>
          <t>High</t>
        </is>
      </c>
      <c r="G1355" t="inlineStr">
        <is>
          <t>High (explicit)</t>
        </is>
      </c>
      <c r="H1355" s="11" t="inlineStr">
        <is>
          <t>Third Party Processing, Outsourcing</t>
        </is>
      </c>
      <c r="I1355" s="11" t="inlineStr">
        <is>
          <t>Personal Information</t>
        </is>
      </c>
      <c r="J1355" t="inlineStr">
        <is>
          <t>EBA</t>
        </is>
      </c>
      <c r="K1355" s="11" t="inlineStr">
        <is>
          <t>Outsourcing cannot delegate the management body's responsibilities; institutions remain fully responsible for regulatory compliance, including oversight of critical functions. This ensures accountability for all regulatory obligations regardless of third-party involvement.</t>
        </is>
      </c>
      <c r="L1355" s="11" t="inlineStr">
        <is>
          <t>Ensures management bodies retain ultimate responsibility for regulatory compliance in outsourcing, critical for DTIAs involving cross-border data transfers.</t>
        </is>
      </c>
      <c r="M1355" s="11" t="inlineStr">
        <is>
          <t>• [Must Not] The outsourcing of functions cannot result in the delegation of the management body's responsibilities</t>
        </is>
      </c>
      <c r="N1355" s="11" t="inlineStr">
        <is>
          <t>• [Must] Institutions and payment institutions remain fully responsible and accountable for complying with all regulatory obligations</t>
        </is>
      </c>
      <c r="O1355" s="11" t="inlineStr">
        <is>
          <t>35. The outsourcing of functions cannot result in the delegation of the management body's responsibilities. Institutions and payment institutions remain fully responsible and accountable for complying with all of their regulatory obligations...</t>
        </is>
      </c>
      <c r="P1355" s="12" t="n">
        <v>35</v>
      </c>
    </row>
    <row r="1356">
      <c r="A1356" t="inlineStr">
        <is>
          <t>GDPR</t>
        </is>
      </c>
      <c r="B1356" t="inlineStr">
        <is>
          <t>EBA revised Guidelines on outsourcing arrangements (GDPR - Row 5)</t>
        </is>
      </c>
      <c r="C1356" t="inlineStr">
        <is>
          <t>36</t>
        </is>
      </c>
      <c r="D1356" s="11" t="inlineStr">
        <is>
          <t>Management body accountability for critical functions</t>
        </is>
      </c>
      <c r="E1356" t="inlineStr">
        <is>
          <t>13</t>
        </is>
      </c>
      <c r="F1356" t="inlineStr">
        <is>
          <t>High</t>
        </is>
      </c>
      <c r="G1356" t="inlineStr">
        <is>
          <t>High (explicit)</t>
        </is>
      </c>
      <c r="H1356" s="11" t="inlineStr">
        <is>
          <t>Governance, Third Party Processing, Outsourcing</t>
        </is>
      </c>
      <c r="I1356" s="11" t="inlineStr">
        <is>
          <t>Personal Information</t>
        </is>
      </c>
      <c r="J1356" t="inlineStr">
        <is>
          <t>EBA</t>
        </is>
      </c>
      <c r="K1356" s="11" t="inlineStr">
        <is>
          <t>The management body must oversee critical functions including regulatory compliance, internal organization, conflict of interest management, strategic policy setting, day-to-day operations, and risk oversight. This ensures comprehensive accountability for outsourcing arrangements.</t>
        </is>
      </c>
      <c r="L1356" s="11" t="inlineStr">
        <is>
          <t>Defines specific accountability areas for management bodies in outsourcing, essential for DTIAs assessing cross-border data transfer risks.</t>
        </is>
      </c>
      <c r="M1356" s="11" t="inlineStr">
        <is>
          <t>• [Must] The management body is fully responsible for ensuring the institution meets conditions for remaining authorised
• [Must] The management body is fully responsible for the internal organisation of the institution
• [Must] The management body is fully responsible for identifying, assessing and managing conflicts of interest</t>
        </is>
      </c>
      <c r="N1356" s="11" t="inlineStr">
        <is>
          <t>• [Must] The management body is fully responsible for setting the institution's strategies and policies
• [Must] The management body is fully responsible for overseeing day-to-day management including outsourcing risks
• [Must] The management body is fully responsible for oversight of management decision-making</t>
        </is>
      </c>
      <c r="O1356" s="11" t="inlineStr">
        <is>
          <t>36. The management body is at all times fully responsible and accountable for at least: a. ensuring that the institution or payment institution meets on an ongoing basis the conditions with which it must comply to remain authorised...</t>
        </is>
      </c>
      <c r="P1356" s="12" t="n">
        <v>35</v>
      </c>
    </row>
    <row r="1357">
      <c r="A1357" t="inlineStr">
        <is>
          <t>GDPR</t>
        </is>
      </c>
      <c r="B1357" t="inlineStr">
        <is>
          <t>EBA revised Guidelines on outsourcing arrangements (GDPR - Row 5)</t>
        </is>
      </c>
      <c r="C1357" t="inlineStr">
        <is>
          <t>37</t>
        </is>
      </c>
      <c r="D1357" s="11" t="inlineStr">
        <is>
          <t>Suitability requirements for management bodies</t>
        </is>
      </c>
      <c r="E1357" t="inlineStr">
        <is>
          <t>13</t>
        </is>
      </c>
      <c r="F1357" t="inlineStr">
        <is>
          <t>High</t>
        </is>
      </c>
      <c r="G1357" t="inlineStr">
        <is>
          <t>High (explicit)</t>
        </is>
      </c>
      <c r="H1357" s="11" t="inlineStr">
        <is>
          <t>Governance, Third Party Processing, Outsourcing</t>
        </is>
      </c>
      <c r="I1357" s="11" t="inlineStr">
        <is>
          <t>Personal Information</t>
        </is>
      </c>
      <c r="J1357" t="inlineStr">
        <is>
          <t>EBA</t>
        </is>
      </c>
      <c r="K1357" s="11" t="inlineStr">
        <is>
          <t>Outsourcing arrangements must not lower suitability requirements for management bodies, directors, and key function holders. Institutions must ensure adequate competence and resources to effectively oversee outsourcing arrangements.</t>
        </is>
      </c>
      <c r="L1357" s="11" t="inlineStr">
        <is>
          <t>Ensures management bodies maintain suitability standards despite outsourcing, critical for DTIAs involving cross-border data transfers.</t>
        </is>
      </c>
      <c r="M1357" s="11" t="inlineStr">
        <is>
          <t>• [Must Not] Outsourcing should not lower the suitability requirements applied to members of an institution's management body</t>
        </is>
      </c>
      <c r="N1357" s="11" t="inlineStr">
        <is>
          <t>• [Must] Institutions should have adequate competence and sufficient and appropriately skilled resources</t>
        </is>
      </c>
      <c r="O1357" s="11" t="inlineStr">
        <is>
          <t>37. Outsourcing should not lower the suitability requirements applied to the members of an institution's management body, directors and persons responsible for the management of the payment institution...</t>
        </is>
      </c>
      <c r="P1357" s="12" t="n">
        <v>35</v>
      </c>
    </row>
    <row r="1358">
      <c r="A1358" t="inlineStr">
        <is>
          <t>GDPR</t>
        </is>
      </c>
      <c r="B1358" t="inlineStr">
        <is>
          <t>EBA revised Guidelines on outsourcing arrangements (GDPR - Row 5)</t>
        </is>
      </c>
      <c r="C1358" t="inlineStr">
        <is>
          <t>38</t>
        </is>
      </c>
      <c r="D1358" s="11" t="inlineStr">
        <is>
          <t>Assign responsibilities for outsourcing arrangements management</t>
        </is>
      </c>
      <c r="E1358" t="inlineStr">
        <is>
          <t>13</t>
        </is>
      </c>
      <c r="F1358" t="inlineStr">
        <is>
          <t>High</t>
        </is>
      </c>
      <c r="G1358" t="inlineStr">
        <is>
          <t>High (explicit)</t>
        </is>
      </c>
      <c r="H1358" s="11" t="inlineStr">
        <is>
          <t>Outsourcing</t>
        </is>
      </c>
      <c r="I1358" s="11" t="inlineStr">
        <is>
          <t>Personal Information</t>
        </is>
      </c>
      <c r="J1358" t="inlineStr">
        <is>
          <t>EBA</t>
        </is>
      </c>
      <c r="K1358" s="11" t="inlineStr">
        <is>
          <t>Institutions and payment institutions must clearly assign responsibilities for documenting, managing, and controlling outsourcing arrangements. They must allocate sufficient resources to comply with all legal and regulatory requirements, including these guidelines. Small institutions may ensure task division but must designate a senior staff member accountable to management for overseeing outsourcing risks within their internal control framework.</t>
        </is>
      </c>
      <c r="L1358" s="11" t="inlineStr">
        <is>
          <t>Requires clear assignment of responsibilities for outsourcing arrangements management to ensure compliance with data transfer and processing safeguards, critical for DTIA assessments involving third-party data handling.</t>
        </is>
      </c>
      <c r="M1358" s="11" t="inlineStr">
        <is>
          <t>• [Must] Clearly assign responsibilities for documentation, management and control of outsourcing arrangements
• [Must] Allocate sufficient resources to ensure compliance with all legal and regulatory requirements</t>
        </is>
      </c>
      <c r="N1358" s="11" t="inlineStr">
        <is>
          <t>• [Must] Establish an outsourcing function or designate a senior staff member accountable to management for managing and overseeing outsourcing risks</t>
        </is>
      </c>
      <c r="O1358" s="11" t="inlineStr">
        <is>
          <t>38. Institutions and payment institutions should: a. clearly assign the responsibilities for the documentation, management and control of outsourcing arrangements; b. allocate sufficient resources to ensure compliance with all legal and regulatory requirements, including these guidelines and the documentation and monitoring of all outsourcing arrangements; c. taking into account Section 1 of these guidelines, establish an outsourcing function or designate a senior staff member who is directly accountable to the management body (e.g. a key function holder of a control function) and responsible for managing and overseeing the risks of outsourcing arrangements as part of the institutions internal control framework and overseeing the documentation of outsourcing arrangements. Small and less complex institutions or payment institutions should at least ensure a clear division of tasks and responsibilities for the management and control of outsourcing arrangements and may assign the outsourcing function to a member of the institution's or payment institution's management body.</t>
        </is>
      </c>
      <c r="P1358" s="12" t="n">
        <v>35</v>
      </c>
    </row>
    <row r="1359">
      <c r="A1359" t="inlineStr">
        <is>
          <t>GDPR</t>
        </is>
      </c>
      <c r="B1359" t="inlineStr">
        <is>
          <t>EBA revised Guidelines on outsourcing arrangements (GDPR - Row 5)</t>
        </is>
      </c>
      <c r="C1359" t="inlineStr">
        <is>
          <t>39</t>
        </is>
      </c>
      <c r="D1359" s="11" t="inlineStr">
        <is>
          <t>Maintain sufficient substance to avoid being empty shells</t>
        </is>
      </c>
      <c r="E1359" t="inlineStr">
        <is>
          <t>13–14</t>
        </is>
      </c>
      <c r="F1359" t="inlineStr">
        <is>
          <t>High</t>
        </is>
      </c>
      <c r="G1359" t="inlineStr">
        <is>
          <t>High (explicit)</t>
        </is>
      </c>
      <c r="H1359" s="11" t="inlineStr">
        <is>
          <t>Outsourcing</t>
        </is>
      </c>
      <c r="I1359" s="11" t="inlineStr">
        <is>
          <t>Personal Information</t>
        </is>
      </c>
      <c r="J1359" t="inlineStr">
        <is>
          <t>EBA</t>
        </is>
      </c>
      <c r="K1359" s="11" t="inlineStr">
        <is>
          <t>Institutions and payment institutions must maintain sufficient substance to avoid becoming 'empty shells' or 'letter-box entities'. They must meet all authorization conditions, retain transparent organizational structures, exercise oversight for critical functions, and ensure adequate resources to comply with all regulatory requirements.</t>
        </is>
      </c>
      <c r="L1359" s="11" t="inlineStr">
        <is>
          <t>Ensures institutions maintain sufficient substance to avoid being letter-box entities, critical for DTIA assessments involving data transfers to avoid regulatory non-compliance.</t>
        </is>
      </c>
      <c r="M1359" s="11" t="inlineStr">
        <is>
          <t>• [Must] Meet all conditions of authorization at all times
• [Must] Retain a clear and transparent organizational framework to ensure compliance with legal and regulatory requirements</t>
        </is>
      </c>
      <c r="N1359" s="11" t="inlineStr">
        <is>
          <t>• [Must] Exercise appropriate oversight for critical or important functions when outsourced
• [Must] Have sufficient resources to ensure compliance with all requirements</t>
        </is>
      </c>
      <c r="O1359" s="11" t="inlineStr">
        <is>
          <t>39. Institutions and payment institutions should maintain at all times sufficient substance and not become ‘empty shells' or ‘letter-box entities'. To this end, they should: a. meet all the conditions of their authorisation43 at all times, including the management body effectively carrying out its responsibilities as set out in paragraph 36 of these guidelines; b. retain a clear and transparent organisational framework and structure that enables them to ensure compliance with legal and regulatory requirements; c. where operational tasks of internal control functions are outsourced (e.g. in the case of intragroup outsourcing or outsourcing within institutional protection schemes), exercise appropriate oversight and be able to manage the risks that are generated by the outsourcing of critical or important functions; and d. have sufficient resources and capacities to ensure compliance with points (a) to (c).</t>
        </is>
      </c>
      <c r="P1359" s="12" t="n">
        <v>35</v>
      </c>
    </row>
    <row r="1360">
      <c r="A1360" t="inlineStr">
        <is>
          <t>GDPR</t>
        </is>
      </c>
      <c r="B1360" t="inlineStr">
        <is>
          <t>EBA revised Guidelines on outsourcing arrangements (GDPR - Row 5)</t>
        </is>
      </c>
      <c r="C1360" t="inlineStr">
        <is>
          <t>40</t>
        </is>
      </c>
      <c r="D1360" s="11" t="inlineStr">
        <is>
          <t>Ensure critical outsourcing safeguards for data transfers</t>
        </is>
      </c>
      <c r="E1360" t="inlineStr">
        <is>
          <t>14</t>
        </is>
      </c>
      <c r="F1360" t="inlineStr">
        <is>
          <t>High</t>
        </is>
      </c>
      <c r="G1360" t="inlineStr">
        <is>
          <t>High (explicit)</t>
        </is>
      </c>
      <c r="H1360" s="11" t="inlineStr">
        <is>
          <t>Outsourcing</t>
        </is>
      </c>
      <c r="I1360" s="11" t="inlineStr">
        <is>
          <t>Personal Information</t>
        </is>
      </c>
      <c r="J1360" t="inlineStr">
        <is>
          <t>EBA</t>
        </is>
      </c>
      <c r="K1360" s="11" t="inlineStr">
        <is>
          <t>Institutions must ensure they can make decisions related to business activities and critical functions, maintain business orderliness, identify and manage outsourcing risks, implement confidentiality arrangements, maintain information flow with service providers, and have exit strategies for critical functions. Personal data processed by service providers in the EU or third countries must comply with GDPR.</t>
        </is>
      </c>
      <c r="L1360" s="11" t="inlineStr">
        <is>
          <t>Requires specific safeguards for outsourcing arrangements involving personal data, including GDPR compliance, critical for DTIA assessments of cross-border data transfers.</t>
        </is>
      </c>
      <c r="M1360" s="11" t="inlineStr">
        <is>
          <t>• [Must] Ensure ability to take and implement decisions related to business activities and critical functions
• [Must] Maintain orderliness of business conduct and banking/payment services
• [Must] Identify, assess, manage and mitigate risks related to outsourcing arrangements
• [Must] Implement appropriate confidentiality arrangements for data and information</t>
        </is>
      </c>
      <c r="N1360" s="11" t="inlineStr">
        <is>
          <t>• [Must] Maintain appropriate flow of relevant information with service providers
• [Must] Have ability to transfer function to alternative providers, reintegrate function, or discontinue business activities within time frame
• [Must] Ensure personal data processed by service providers in EU or third countries comply with GDPR</t>
        </is>
      </c>
      <c r="O1360" s="11" t="inlineStr">
        <is>
          <t>40. When outsourcing, institutions and payment institutions should at least ensure that: a. they can take and implement decisions related to their business activities and critical or important functions, including with regard to those that have been outsourced; b. they maintain the orderliness of the conduct of their business and the banking and payment services they provide; c. the risks related to current and planned outsourcing arrangements are adequately identified, assessed, managed and mitigated, including risks related to ICT and financial technology (fintech); d. appropriate confidentiality arrangements are in place regarding data and other information; e. an appropriate flow of relevant information with service providers is maintained; f. with regard to the outsourcing of critical or important functions, they are able to undertake at least one of the following actions, within an appropriate time frame: i. transfer the function to alternative service providers; ii. reintegrate the function; or iii. discontinue the business activities that are depending on the function. g. where personal data are processed by service providers located in the EU and/or third countries, appropriate measures are implemented and data are processed in accordance with Regulation (EU) 2016/679.</t>
        </is>
      </c>
      <c r="P1360" s="12" t="n">
        <v>35</v>
      </c>
    </row>
    <row r="1361">
      <c r="A1361" t="inlineStr">
        <is>
          <t>GDPR</t>
        </is>
      </c>
      <c r="B1361" t="inlineStr">
        <is>
          <t>EBA revised Guidelines on outsourcing arrangements (GDPR - Row 5)</t>
        </is>
      </c>
      <c r="C1361" t="inlineStr">
        <is>
          <t>41</t>
        </is>
      </c>
      <c r="D1361" s="11" t="inlineStr">
        <is>
          <t>Approve and update outsourcing policy</t>
        </is>
      </c>
      <c r="E1361" t="inlineStr">
        <is>
          <t>14</t>
        </is>
      </c>
      <c r="F1361" t="inlineStr">
        <is>
          <t>High</t>
        </is>
      </c>
      <c r="G1361" t="inlineStr">
        <is>
          <t>High (explicit)</t>
        </is>
      </c>
      <c r="H1361" s="11" t="inlineStr">
        <is>
          <t>Outsourcing</t>
        </is>
      </c>
      <c r="I1361" s="11" t="inlineStr">
        <is>
          <t>Personal Information</t>
        </is>
      </c>
      <c r="J1361" t="inlineStr">
        <is>
          <t>EBA</t>
        </is>
      </c>
      <c r="K1361" s="11" t="inlineStr">
        <is>
          <t>The management body must approve, regularly review, and update a written outsourcing policy for institutions and payment institutions with outsourcing arrangements. The policy must align with internal governance guidelines and address new products or significant changes.</t>
        </is>
      </c>
      <c r="L1361" s="11" t="inlineStr">
        <is>
          <t>Requires formal outsourcing policies to be approved and updated, critical for DTIA assessments of third-party data handling and risk management.</t>
        </is>
      </c>
      <c r="M1361" s="11" t="inlineStr">
        <is>
          <t>• [Must] Approve, regularly review and update a written outsourcing policy</t>
        </is>
      </c>
      <c r="N1361" s="11" t="inlineStr">
        <is>
          <t>• [Must] Ensure implementation of the outsourcing policy on an individual, sub-consolidated and consolidated basis</t>
        </is>
      </c>
      <c r="O1361" s="11" t="inlineStr">
        <is>
          <t>41. The management body of an institution or payment institution 44 that has outsourcing arrangements in place or plans on entering into such arrangements should approve, regularly review and update a written outsourcing policy and ensure its implementation, as applicable, on an individual, sub-consolidated and consolidated basis. For institutions, the outsourcing policy should be in accordance with Section 8 of the EBA's Guidelines on internal governance and, in particular, should take into account the requirements set out in Section 18 (new products and significant changes) of those guidelines. Payment institutions may also align their policies with Sections 8 and 18 of the EBA Guidelines on internal governance.</t>
        </is>
      </c>
      <c r="P1361" s="12" t="n">
        <v>35</v>
      </c>
    </row>
    <row r="1362">
      <c r="A1362" t="inlineStr">
        <is>
          <t>GDPR</t>
        </is>
      </c>
      <c r="B1362" t="inlineStr">
        <is>
          <t>EBA revised Guidelines on outsourcing arrangements (GDPR - Row 5)</t>
        </is>
      </c>
      <c r="C1362" t="inlineStr">
        <is>
          <t>42</t>
        </is>
      </c>
      <c r="D1362" s="11" t="inlineStr">
        <is>
          <t>Define outsourcing policy lifecycle phases</t>
        </is>
      </c>
      <c r="E1362" t="inlineStr">
        <is>
          <t>14</t>
        </is>
      </c>
      <c r="F1362" t="inlineStr">
        <is>
          <t>High</t>
        </is>
      </c>
      <c r="G1362" t="inlineStr">
        <is>
          <t>High (explicit)</t>
        </is>
      </c>
      <c r="H1362" s="11" t="inlineStr">
        <is>
          <t>Outsourcing</t>
        </is>
      </c>
      <c r="I1362" s="11" t="inlineStr">
        <is>
          <t>Personal Information</t>
        </is>
      </c>
      <c r="J1362" t="inlineStr">
        <is>
          <t>EBA</t>
        </is>
      </c>
      <c r="K1362" s="11" t="inlineStr">
        <is>
          <t>The outsourcing policy must cover the lifecycle phases of outsourcing arrangements, including responsibilities of the management body, involvement of business lines, planning processes, implementation and monitoring, documentation, and exit strategies. It must address critical functions, risk management, due diligence, and business continuity.</t>
        </is>
      </c>
      <c r="L1362" s="11" t="inlineStr">
        <is>
          <t>Details the lifecycle phases of outsourcing policies, critical for DTIA assessments of data transfer and processing safeguards across the outsourcing lifecycle.</t>
        </is>
      </c>
      <c r="M1362" s="11" t="inlineStr">
        <is>
          <t>• [Must] Define responsibilities of management body in decision-making for critical functions
• [Must] Include involvement of business lines, internal control functions and other individuals
• [Must] Cover planning of outsourcing arrangements including business requirements, critical functions identification, risk management, due diligence, conflict of interest procedures, business continuity planning</t>
        </is>
      </c>
      <c r="N1362" s="11" t="inlineStr">
        <is>
          <t>• [Must] Include implementation, monitoring and management of outsourcing arrangements
• [Must] Include documentation and record-keeping as per Section 11
• [Must] Define exit strategies and termination processes with documented exit plans for critical functions</t>
        </is>
      </c>
      <c r="O1362" s="11" t="inlineStr">
        <is>
          <t>42. The policy should include the main phases of the life cycle of outsourcing arrangements and define the principles, responsibilities and processes in relation to outsourcing. In particular, the policy should cover at least: a. the responsibilities of the management body in line with paragraph 36, including its involvement, as appropriate, in the decision-making on outsourcing of critical or important functions; b. the involvement of business lines, internal control functions and other individuals in respect of outsourcing arrangements; c. the planning of outsourcing arrangements, including: i. the definition of business requirements regarding outsourcing arrangements; ii. the criteria, including those referred to in Section 4, and processes for identifying critical or important functions; iii. risk identification, assessment and management in accordance with Section 12.2; iv. due diligence checks on prospective service providers, including the measures required under Section 12.3; v. procedures for the identification, assessment, management and mitigation of potential conflicts of interest, in accordance with Section 8; vi. business continuity planning in accordance with Section 9; vii. the approval process of new outsourcing arrangements; d. the implementation, monitoring and management of outsourcing arrangements, including: i. the ongoing assessment of the service provider's performance in line with Section 14; ii. the procedures for being notified and responding to changes to an outsourcing arrangement or service provider (e.g. to its financial position, organisational or ownership structures, sub-outsourcing); iii. the independent review and audit of compliance with legal and regulatory requirements and policies; iv. the renewal processes; e. the documentation and record-keeping, taking into account the requirements in Section 11; f. the exit strategies and termination processes, including a requirement for a documented exit plan for each critical or important function to be outsourced where such an exit is considered possible taking into account possible service interruptions or the unexpected termination of an outsourcing agreement.</t>
        </is>
      </c>
      <c r="P1362" s="12" t="n">
        <v>35</v>
      </c>
    </row>
    <row r="1363">
      <c r="A1363" t="inlineStr">
        <is>
          <t>GDPR</t>
        </is>
      </c>
      <c r="B1363" t="inlineStr">
        <is>
          <t>EBA revised Guidelines on outsourcing arrangements (GDPR - Row 5)</t>
        </is>
      </c>
      <c r="C1363" t="inlineStr">
        <is>
          <t>43</t>
        </is>
      </c>
      <c r="D1363" s="11" t="inlineStr">
        <is>
          <t>Differentiate outsourcing arrangements types</t>
        </is>
      </c>
      <c r="E1363" t="inlineStr">
        <is>
          <t>14</t>
        </is>
      </c>
      <c r="F1363" t="inlineStr">
        <is>
          <t>High</t>
        </is>
      </c>
      <c r="G1363" t="inlineStr">
        <is>
          <t>High (explicit)</t>
        </is>
      </c>
      <c r="H1363" s="11" t="inlineStr">
        <is>
          <t>Outsourcing</t>
        </is>
      </c>
      <c r="I1363" s="11" t="inlineStr">
        <is>
          <t>Personal Information</t>
        </is>
      </c>
      <c r="J1363" t="inlineStr">
        <is>
          <t>EBA</t>
        </is>
      </c>
      <c r="K1363" s="11" t="inlineStr">
        <is>
          <t>The outsourcing policy must differentiate between critical or important functions and other arrangements, authorized versus non-authorized service providers, intragroup versus external outsourcing, and service providers within Member States versus third countries.</t>
        </is>
      </c>
      <c r="L1363" s="11" t="inlineStr">
        <is>
          <t>Requires differentiation of outsourcing arrangements types for data transfers, critical for DTIA assessments of jurisdictional and risk implications.</t>
        </is>
      </c>
      <c r="M1363" s="11" t="inlineStr">
        <is>
          <t>• [Must] Differentiate between outsourcing of critical or important functions and other outsourcing arrangements
• [Must] Differentiate between service providers authorized by competent authority and those not</t>
        </is>
      </c>
      <c r="N1363" s="11" t="inlineStr">
        <is>
          <t>• [Must] Differentiate between intragroup outsourcing, outsourcing within institutional protection schemes, and outsourcing to entities outside the group
• [Must] Differentiate between service providers located within Member States and third countries</t>
        </is>
      </c>
      <c r="O1363" s="11" t="inlineStr">
        <is>
          <t>43. The outsourcing policy should differentiate between the following: a. outsourcing of critical or important functions and other outsourcing arrangements; b. outsourcing to service providers that are authorised by a competent authority and those that are not; c. intragroup outsourcing arrangements, outsourcing arrangements within the same institutional protection scheme (including entities fully owned individually or collectively by institutions within the institutional protection scheme) and outsourcing to entities outside the group; and d. outsourcing to service providers located within a Member State and third countries.</t>
        </is>
      </c>
      <c r="P1363" s="12" t="n">
        <v>35</v>
      </c>
    </row>
    <row r="1364">
      <c r="A1364" t="inlineStr">
        <is>
          <t>GDPR</t>
        </is>
      </c>
      <c r="B1364" t="inlineStr">
        <is>
          <t>EBA revised Guidelines on outsourcing arrangements (GDPR - Row 5)</t>
        </is>
      </c>
      <c r="C1364" t="inlineStr">
        <is>
          <t>44</t>
        </is>
      </c>
      <c r="D1364" s="11" t="inlineStr">
        <is>
          <t>Identify outsourcing risks for critical functions</t>
        </is>
      </c>
      <c r="E1364" t="inlineStr">
        <is>
          <t>14</t>
        </is>
      </c>
      <c r="F1364" t="inlineStr">
        <is>
          <t>High</t>
        </is>
      </c>
      <c r="G1364" t="inlineStr">
        <is>
          <t>High (explicit)</t>
        </is>
      </c>
      <c r="H1364" s="11" t="inlineStr">
        <is>
          <t>Outsourcing</t>
        </is>
      </c>
      <c r="I1364" s="11" t="inlineStr">
        <is>
          <t>Personal Information</t>
        </is>
      </c>
      <c r="J1364" t="inlineStr"/>
      <c r="K1364" s="11" t="inlineStr">
        <is>
          <t>Institutions and payment institutions must ensure their outsourcing policies identify potential effects of critical or important outsourcing arrangements, including risk profile, oversight capabilities, business continuity measures, and business activity performance. These identified risks must be considered in decision-making processes for outsourcing arrangements.</t>
        </is>
      </c>
      <c r="L1364" s="11" t="inlineStr">
        <is>
          <t>This section requires identifying specific risks from outsourcing arrangements to inform decision-making, which is critical for DTIAs involving cross-border data transfers where outsourcing may affect data security and continuity.</t>
        </is>
      </c>
      <c r="M1364" s="11" t="inlineStr">
        <is>
          <t>• [Must] Institutions and payment institutions should ensure their policy covers identification of potential effects of critical or important outsourcing arrangements
• [Must] Institutions and payment institutions should identify the institution's risk profile
• [Must] Institutions and payment institutions should identify the ability to oversee the service provider and manage risks</t>
        </is>
      </c>
      <c r="N1364" s="11" t="inlineStr">
        <is>
          <t>• [Must] Institutions and payment institutions should identify business continuity measures
• [Must] Institutions and payment institutions should identify the performance of business activities</t>
        </is>
      </c>
      <c r="O1364" s="11" t="inlineStr">
        <is>
          <t>44. Institutions and payment institutions should ensure that the policy covers the identification of the following potential effects of critical or important outsourcing arrangements and that these are taken into account in the decision-making process: a. the institution's risk profile; b. the ability to oversee the service provider and to manage the risks; c. the business continuity measures; and d. the performance of their business activities.</t>
        </is>
      </c>
      <c r="P1364" s="12" t="n">
        <v>35</v>
      </c>
    </row>
    <row r="1365">
      <c r="A1365" t="inlineStr">
        <is>
          <t>GDPR</t>
        </is>
      </c>
      <c r="B1365" t="inlineStr">
        <is>
          <t>EBA revised Guidelines on outsourcing arrangements (GDPR - Row 5)</t>
        </is>
      </c>
      <c r="C1365" t="inlineStr">
        <is>
          <t>45</t>
        </is>
      </c>
      <c r="D1365" s="11" t="inlineStr">
        <is>
          <t>Identify conflicts of interest in outsourcing</t>
        </is>
      </c>
      <c r="E1365" t="inlineStr">
        <is>
          <t>14–15</t>
        </is>
      </c>
      <c r="F1365" t="inlineStr">
        <is>
          <t>High</t>
        </is>
      </c>
      <c r="G1365" t="inlineStr">
        <is>
          <t>High (explicit)</t>
        </is>
      </c>
      <c r="H1365" s="11" t="inlineStr">
        <is>
          <t>Outsourcing</t>
        </is>
      </c>
      <c r="I1365" s="11" t="inlineStr">
        <is>
          <t>Personal Information</t>
        </is>
      </c>
      <c r="J1365" t="inlineStr"/>
      <c r="K1365" s="11" t="inlineStr">
        <is>
          <t>Institutions and payment institutions must identify, assess, and manage conflicts of interest related to their outsourcing arrangements, in line with internal governance guidelines. This includes ensuring that conflicts are addressed throughout the outsourcing lifecycle.</t>
        </is>
      </c>
      <c r="L1365" s="11" t="inlineStr">
        <is>
          <t>This section mandates conflict of interest management for outsourcing, which is relevant for DTIAs when transferring data across borders where conflicts could impact data handling or compliance.</t>
        </is>
      </c>
      <c r="M1365" s="11" t="inlineStr">
        <is>
          <t>• [Must] Institutions and payment institutions should identify, assess and manage conflicts of interests with regard to their outsourcing arrangements</t>
        </is>
      </c>
      <c r="N1365" s="11" t="inlineStr"/>
      <c r="O1365" s="11" t="inlineStr">
        <is>
          <t>45. Institutions, in line with Title IV, Section 11, of the EBA Guidelines on internal governance, and payment institutions should identify, assess and manage conflicts of interests with regard to their outsourcing arrangements.</t>
        </is>
      </c>
      <c r="P1365" s="12" t="n">
        <v>35</v>
      </c>
    </row>
    <row r="1366">
      <c r="A1366" t="inlineStr">
        <is>
          <t>GDPR</t>
        </is>
      </c>
      <c r="B1366" t="inlineStr">
        <is>
          <t>EBA revised Guidelines on outsourcing arrangements (GDPR - Row 5)</t>
        </is>
      </c>
      <c r="C1366" t="inlineStr">
        <is>
          <t>46</t>
        </is>
      </c>
      <c r="D1366" s="11" t="inlineStr">
        <is>
          <t>Manage conflicts of interest from outsourcing</t>
        </is>
      </c>
      <c r="E1366" t="inlineStr">
        <is>
          <t>15–17</t>
        </is>
      </c>
      <c r="F1366" t="inlineStr">
        <is>
          <t>High</t>
        </is>
      </c>
      <c r="G1366" t="inlineStr">
        <is>
          <t>High (explicit)</t>
        </is>
      </c>
      <c r="H1366" s="11" t="inlineStr">
        <is>
          <t>Outsourcing</t>
        </is>
      </c>
      <c r="I1366" s="11" t="inlineStr">
        <is>
          <t>Personal Information</t>
        </is>
      </c>
      <c r="J1366" t="inlineStr"/>
      <c r="K1366" s="11" t="inlineStr">
        <is>
          <t>When outsourcing creates material conflicts of interest, including within the same group or institutional protection scheme, institutions and payment institutions must take appropriate measures to manage those conflicts to ensure compliance and risk mitigation.</t>
        </is>
      </c>
      <c r="L1366" s="11" t="inlineStr">
        <is>
          <t>This section requires specific measures to address conflicts of interest arising from outsourcing, which is critical for DTIAs involving cross-border data transfers where such conflicts could compromise data integrity.</t>
        </is>
      </c>
      <c r="M1366" s="11" t="inlineStr">
        <is>
          <t>• [Must] Where outsourcing creates material conflicts of interest, including between entities within the same group or institutional protection scheme, institutions and payment institutions need to take appropriate measures to manage those conflicts of interest</t>
        </is>
      </c>
      <c r="N1366" s="11" t="inlineStr"/>
      <c r="O1366" s="11" t="inlineStr">
        <is>
          <t>46. Where outsourcing creates material conflicts of interest, including between entities within the same group or institutional protection scheme, institutions and payment institutions need to take appropriate measures to manage those conflicts of interest.</t>
        </is>
      </c>
      <c r="P1366" s="12" t="n">
        <v>35</v>
      </c>
    </row>
    <row r="1367">
      <c r="A1367" t="inlineStr">
        <is>
          <t>GDPR</t>
        </is>
      </c>
      <c r="B1367" t="inlineStr">
        <is>
          <t>EBA revised Guidelines on outsourcing arrangements (GDPR - Row 5)</t>
        </is>
      </c>
      <c r="C1367" t="inlineStr">
        <is>
          <t>47</t>
        </is>
      </c>
      <c r="D1367" s="11" t="inlineStr">
        <is>
          <t>Arm's length pricing for group outsourcing</t>
        </is>
      </c>
      <c r="E1367" t="inlineStr">
        <is>
          <t>35</t>
        </is>
      </c>
      <c r="F1367" t="inlineStr">
        <is>
          <t>High</t>
        </is>
      </c>
      <c r="G1367" t="inlineStr">
        <is>
          <t>High (explicit)</t>
        </is>
      </c>
      <c r="H1367" s="11" t="inlineStr">
        <is>
          <t>Outsourcing</t>
        </is>
      </c>
      <c r="I1367" s="11" t="inlineStr">
        <is>
          <t>Financial Data</t>
        </is>
      </c>
      <c r="J1367" t="inlineStr"/>
      <c r="K1367" s="11" t="inlineStr">
        <is>
          <t>When a service provider is part of a group or institutional protection scheme, or owned by the institution, pricing for outsourced services must be at arm's length. Synergies from providing services to multiple institutions within a group may be factored in, but the service provider must remain viable on a stand-alone basis.</t>
        </is>
      </c>
      <c r="L1367" s="11" t="inlineStr">
        <is>
          <t>This section specifies pricing conditions for group outsourcing, which is relevant for DTIAs when data is transferred across borders within institutional groups, ensuring fair pricing and financial viability.</t>
        </is>
      </c>
      <c r="M1367" s="11" t="inlineStr">
        <is>
          <t>• [Must] Conditions, including financial conditions, for outsourced services should be set at arm's length</t>
        </is>
      </c>
      <c r="N1367" s="11" t="inlineStr">
        <is>
          <t>• [May] Synergies from providing the same or similar services to several institutions within a group may be factored in, as long as the service provider remains viable on a stand-alone basis</t>
        </is>
      </c>
      <c r="O1367" s="11" t="inlineStr">
        <is>
          <t>47. When functions are provided by a service provider that is part of a group or a member of an institutional protection scheme or that is owned by the institution, payment institution, group or institutions that are members of an institutional protection scheme, the conditions, including financial conditions, for the outsourced service should be set at arm's length.</t>
        </is>
      </c>
      <c r="P1367" s="12" t="n">
        <v>35</v>
      </c>
    </row>
    <row r="1368">
      <c r="A1368" t="inlineStr">
        <is>
          <t>GDPR</t>
        </is>
      </c>
      <c r="B1368" t="inlineStr">
        <is>
          <t>EBA revised Guidelines on outsourcing arrangements (GDPR - Row 5)</t>
        </is>
      </c>
      <c r="C1368" t="inlineStr">
        <is>
          <t>48</t>
        </is>
      </c>
      <c r="D1368" s="11" t="inlineStr">
        <is>
          <t>Business continuity plans for outsourcing</t>
        </is>
      </c>
      <c r="E1368" t="inlineStr">
        <is>
          <t>35</t>
        </is>
      </c>
      <c r="F1368" t="inlineStr">
        <is>
          <t>High</t>
        </is>
      </c>
      <c r="G1368" t="inlineStr">
        <is>
          <t>High (explicit)</t>
        </is>
      </c>
      <c r="H1368" s="11" t="inlineStr">
        <is>
          <t>Outsourcing</t>
        </is>
      </c>
      <c r="I1368" s="11" t="inlineStr">
        <is>
          <t>Financial Data</t>
        </is>
      </c>
      <c r="J1368" t="inlineStr"/>
      <c r="K1368" s="11" t="inlineStr">
        <is>
          <t>Institutions and payment institutions must have, maintain, and periodically test business continuity plans for critical or important outsourced functions. Group or institutional protection scheme entities may rely on centrally established business continuity plans for outsourced functions.</t>
        </is>
      </c>
      <c r="L1368" s="11" t="inlineStr">
        <is>
          <t>This section mandates business continuity planning for outsourced functions, which is critical for DTIAs involving cross-border data transfers to ensure continuity during disruptions.</t>
        </is>
      </c>
      <c r="M1368" s="11" t="inlineStr">
        <is>
          <t>• [Must] Institutions and payment institutions should have in place, maintain and periodically test appropriate business continuity plans with regard to outsourced critical or important functions</t>
        </is>
      </c>
      <c r="N1368" s="11" t="inlineStr">
        <is>
          <t>• [May] Institutions and payment institutions within a group or institutional protection scheme may rely on centrally established business continuity plans regarding their outsourced functions</t>
        </is>
      </c>
      <c r="O1368" s="11" t="inlineStr">
        <is>
          <t>48. Institutions, in line with the requirements under Article 85(2) of Directive 2013/36/EU and Title VI of the EBA Guidelines on internal governance, and payment institutions should have in place, maintain and periodically test appropriate business continuity plans with regard to outsourced critical or important functions.</t>
        </is>
      </c>
      <c r="P1368" s="12" t="n">
        <v>35</v>
      </c>
    </row>
    <row r="1369">
      <c r="A1369" t="inlineStr">
        <is>
          <t>GDPR</t>
        </is>
      </c>
      <c r="B1369" t="inlineStr">
        <is>
          <t>EBA revised Guidelines on outsourcing arrangements (GDPR - Row 5)</t>
        </is>
      </c>
      <c r="C1369" t="inlineStr">
        <is>
          <t>49</t>
        </is>
      </c>
      <c r="D1369" s="11" t="inlineStr">
        <is>
          <t>Business continuity for service provider failures</t>
        </is>
      </c>
      <c r="E1369" t="inlineStr">
        <is>
          <t>35–36</t>
        </is>
      </c>
      <c r="F1369" t="inlineStr">
        <is>
          <t>High</t>
        </is>
      </c>
      <c r="G1369" t="inlineStr">
        <is>
          <t>High (explicit)</t>
        </is>
      </c>
      <c r="H1369" s="11" t="inlineStr">
        <is>
          <t>Outsourcing</t>
        </is>
      </c>
      <c r="I1369" s="11" t="inlineStr">
        <is>
          <t>Financial Data</t>
        </is>
      </c>
      <c r="J1369" t="inlineStr"/>
      <c r="K1369" s="11" t="inlineStr">
        <is>
          <t>Business continuity plans must account for the deterioration or failure of outsourced critical functions, including service provider insolvency, failures, and political risks in the service provider's jurisdiction.</t>
        </is>
      </c>
      <c r="L1369" s="11" t="inlineStr">
        <is>
          <t>This section requires business continuity plans to address service provider failures, which is critical for DTIAs involving cross-border data transfers where service provider failures could disrupt data flows.</t>
        </is>
      </c>
      <c r="M1369" s="11" t="inlineStr">
        <is>
          <t>• [Must] Business continuity plans should take into account the possible event that the quality of the provision of outsourced critical or important function deteriorates to an unacceptable level or fails
• [Must] Business continuity plans should take into account the potential impact of the insolvency or other failures of service providers</t>
        </is>
      </c>
      <c r="N1369" s="11" t="inlineStr">
        <is>
          <t>• [Must] Business continuity plans should take into account political risks in the service provider's jurisdiction</t>
        </is>
      </c>
      <c r="O1369" s="11" t="inlineStr">
        <is>
          <t>49. Business continuity plans should take into account the possible event that the quality of the provision of the outsourced critical or important function deteriorates to an unacceptable level or fails. Such plans should also take into account the potential impact of the insolvency or other failures of service providers and, where relevant, political risks in the service provider's jurisdiction.</t>
        </is>
      </c>
      <c r="P1369" s="12" t="n">
        <v>35</v>
      </c>
    </row>
    <row r="1370">
      <c r="A1370" t="inlineStr">
        <is>
          <t>GDPR</t>
        </is>
      </c>
      <c r="B1370" t="inlineStr">
        <is>
          <t>EBA revised Guidelines on outsourcing arrangements (GDPR - Row 5)</t>
        </is>
      </c>
      <c r="C1370" t="inlineStr">
        <is>
          <t>50</t>
        </is>
      </c>
      <c r="D1370" s="11" t="inlineStr">
        <is>
          <t>Clarification of outsourcing conditions and critical functions</t>
        </is>
      </c>
      <c r="E1370" t="inlineStr">
        <is>
          <t>36</t>
        </is>
      </c>
      <c r="F1370" t="inlineStr">
        <is>
          <t>High</t>
        </is>
      </c>
      <c r="G1370" t="inlineStr">
        <is>
          <t>High (explicit)</t>
        </is>
      </c>
      <c r="H1370" s="11" t="inlineStr">
        <is>
          <t>Cross-border Transfer, International Processing, Data Storage, Security, Consent, Financial Data, KYC, AML, Governance, Record Keeping</t>
        </is>
      </c>
      <c r="I1370" s="11" t="inlineStr">
        <is>
          <t>Financial Data, Customer Data, Employee Data</t>
        </is>
      </c>
      <c r="J1370" t="inlineStr">
        <is>
          <t>EBA</t>
        </is>
      </c>
      <c r="K1370" s="11" t="inlineStr">
        <is>
          <t>This section clarifies that the guidelines for outsourcing arrangements should be merged with other provisions. It addresses the meaning of 'conduct' in paragraph 51(b)(iii), noting it relates to institutions' conduct towards customers, employees, or other stakeholders. The guidelines align with MiFID II's definition of critical or important functions for outsourcing, providing additional criteria for assessing function criticality. Institutions must apply proportionality when evaluating outsourcing arrangements.</t>
        </is>
      </c>
      <c r="L1370" s="11" t="inlineStr">
        <is>
          <t>This section clarifies that outsourcing arrangements must be assessed for criticality using proportionality, affecting how data transfers are evaluated for cross-border risks in financial services.</t>
        </is>
      </c>
      <c r="M1370" s="11" t="inlineStr">
        <is>
          <t>• [Clarification] The guidelines have been clarified to align with MiFID II's definition of critical or important functions for outsourcing
• [Must] Institutions must apply proportionality when assessing whether an outsourcing arrangement is critical or important</t>
        </is>
      </c>
      <c r="N1370" s="11" t="inlineStr">
        <is>
          <t>• [Clarification] The term 'conduct' in paragraph 51(b)(iii) relates to institutions' conduct towards customers, employees, or other stakeholders</t>
        </is>
      </c>
      <c r="O1370" s="11" t="inlineStr">
        <is>
          <t>The guidelines have been clarified in line with the Commission Delegated Regulation under MiFID II, which defines the notion of critical or important functions for the purpose of outsourcing.</t>
        </is>
      </c>
      <c r="P1370" s="12" t="n">
        <v>35</v>
      </c>
    </row>
    <row r="1371">
      <c r="A1371" t="inlineStr">
        <is>
          <t>GDPR</t>
        </is>
      </c>
      <c r="B1371" t="inlineStr">
        <is>
          <t>EBA revised Guidelines on outsourcing arrangements (GDPR - Row 5)</t>
        </is>
      </c>
      <c r="C1371" t="inlineStr">
        <is>
          <t>50 (part 3)</t>
        </is>
      </c>
      <c r="D1371" s="11" t="inlineStr">
        <is>
          <t>Sub-outsourcing controls and approval requirements for financial institutions</t>
        </is>
      </c>
      <c r="E1371" t="inlineStr">
        <is>
          <t>113–117</t>
        </is>
      </c>
      <c r="F1371" t="inlineStr">
        <is>
          <t>High</t>
        </is>
      </c>
      <c r="G1371" t="inlineStr">
        <is>
          <t>High (explicit)</t>
        </is>
      </c>
      <c r="H1371" s="11" t="inlineStr">
        <is>
          <t>Third Party Processing</t>
        </is>
      </c>
      <c r="I1371" s="11" t="inlineStr">
        <is>
          <t>Financial Data</t>
        </is>
      </c>
      <c r="J1371" t="inlineStr">
        <is>
          <t>EBA</t>
        </is>
      </c>
      <c r="K1371" s="11" t="inlineStr">
        <is>
          <t>Financial institutions may relax sub-outsourcing controls when exiting agreements without cost. Prior authorisation for sub-outsourcing can be provided in general terms rather than per case. Institutions must ensure sub-contractors do not directly engage with them and must monitor risks where sub-outsourcing occurs. Institutions retain final responsibility for critical functions and can terminate contracts if sub-outsourcing is not approved or objected to.</t>
        </is>
      </c>
      <c r="L1371" s="11" t="inlineStr">
        <is>
          <t>Sub-outsourcing arrangements require institutions to define approval scope, monitor sub-contractors, and ensure termination rights when sub-outsourcing is not approved. This affects cross-border data transfers involving third parties.</t>
        </is>
      </c>
      <c r="M1371" s="11" t="inlineStr">
        <is>
          <t>• [Must] Institutions may relax sub-outsourcing controls when exiting agreements without cost
• [Must] Prior authorisation for sub-outsourcing can be provided in general terms
• [Must] Sub-contractors must not directly engage with institutions</t>
        </is>
      </c>
      <c r="N1371" s="11" t="inlineStr">
        <is>
          <t>• [Must] Institutions must monitor risks where sub-outsourcing occurs
• [Must] Institutions retain final responsibility for critical functions
• [Must] Institutions can terminate contracts if sub-outsourcing is not approved or objected to</t>
        </is>
      </c>
      <c r="O1371" s="11" t="inlineStr">
        <is>
          <t>Institutions should be allowed to relax sub-outsourcing controls when exiting agreements without cost. Prior authorisation can be provided in general terms.</t>
        </is>
      </c>
      <c r="P1371" s="12" t="n">
        <v>35</v>
      </c>
    </row>
    <row r="1372">
      <c r="A1372" t="inlineStr">
        <is>
          <t>GDPR</t>
        </is>
      </c>
      <c r="B1372" t="inlineStr">
        <is>
          <t>EBA revised Guidelines on outsourcing arrangements (GDPR - Row 5)</t>
        </is>
      </c>
      <c r="C1372" t="inlineStr">
        <is>
          <t>50 (part 5)</t>
        </is>
      </c>
      <c r="D1372" s="11" t="inlineStr">
        <is>
          <t>Outsourcing arrangements: register requirements and exemptions</t>
        </is>
      </c>
      <c r="E1372" t="inlineStr">
        <is>
          <t>121–125</t>
        </is>
      </c>
      <c r="F1372" t="inlineStr">
        <is>
          <t>Medium</t>
        </is>
      </c>
      <c r="G1372" t="inlineStr">
        <is>
          <t>High (explicit)</t>
        </is>
      </c>
      <c r="H1372" s="11" t="inlineStr">
        <is>
          <t>Outsourcing</t>
        </is>
      </c>
      <c r="I1372" s="11" t="inlineStr">
        <is>
          <t>Customer Data</t>
        </is>
      </c>
      <c r="J1372" t="inlineStr">
        <is>
          <t>EBA</t>
        </is>
      </c>
      <c r="K1372" s="11" t="inlineStr">
        <is>
          <t>The guidelines specify that institutions must identify alternative solutions but not maintain alternate arrangements. They may include service provider changes in business continuity plans. Institutions can define ex ante performance indicators for service levels. Payment and electronic money institutions are exempt from full register requirements but must document outsourcing arrangements. Intragroup arrangements may be excluded from information requirements where they lack added value. The register has been streamlined for non-material outsourcing arrangements.</t>
        </is>
      </c>
      <c r="L1372" s="11" t="inlineStr">
        <is>
          <t>Outsourcing registers must be maintained but simplified for small institutions; exemptions apply to payment institutions and intragroup arrangements to reduce compliance burden.</t>
        </is>
      </c>
      <c r="M1372" s="11" t="inlineStr">
        <is>
          <t>• [Must] Institutions must identify alternative solutions for outsourcing arrangements
• [Must Not] No requirement exists to have alternate arrangements in place
• [May] Change of service providers may be part of business continuity plans
• [May] Institutions can define ex ante performance indicators for service levels</t>
        </is>
      </c>
      <c r="N1372" s="11" t="inlineStr">
        <is>
          <t>• [Must] Payment and electronic money institutions must document all outsourcing arrangements
• [May] Intragroup outsourcing arrangements may be excluded from information requirements
• [May] The register has been streamlined for non-material outsourcing arrangements</t>
        </is>
      </c>
      <c r="O1372" s="11" t="inlineStr">
        <is>
          <t>The guidelines specify that alternative solutions should be identified, but that no requirement exists to have alternate arrangements in place.</t>
        </is>
      </c>
      <c r="P1372" s="12" t="n">
        <v>35</v>
      </c>
    </row>
    <row r="1373">
      <c r="A1373" t="inlineStr">
        <is>
          <t>GDPR</t>
        </is>
      </c>
      <c r="B1373" t="inlineStr">
        <is>
          <t>EBA revised Guidelines on outsourcing arrangements (GDPR - Row 5)</t>
        </is>
      </c>
      <c r="C1373" t="inlineStr">
        <is>
          <t>50 (part 6)</t>
        </is>
      </c>
      <c r="D1373" s="11" t="inlineStr">
        <is>
          <t>Outsourcing cooperation agreements: alternative options</t>
        </is>
      </c>
      <c r="E1373" t="inlineStr">
        <is>
          <t>125</t>
        </is>
      </c>
      <c r="F1373" t="inlineStr">
        <is>
          <t>Low</t>
        </is>
      </c>
      <c r="G1373" t="inlineStr">
        <is>
          <t>High (explicit)</t>
        </is>
      </c>
      <c r="H1373" s="11" t="inlineStr">
        <is>
          <t>Outsourcing</t>
        </is>
      </c>
      <c r="I1373" s="11" t="inlineStr"/>
      <c r="J1373" t="inlineStr">
        <is>
          <t>EBA</t>
        </is>
      </c>
      <c r="K1373" s="11" t="inlineStr">
        <is>
          <t>The guidelines allow for alternative forms of cooperation agreements beyond the original Option A, addressing difficulties in understanding negotiation timelines and impacts on institutions' policies. This amendment aims to provide flexibility in how institutions manage cooperation with other entities for outsourcing arrangements.</t>
        </is>
      </c>
      <c r="L1373" s="11" t="inlineStr">
        <is>
          <t>Outsourcing cooperation agreements can be structured flexibly to accommodate institutions' needs without requiring specific templates.</t>
        </is>
      </c>
      <c r="M1373" s="11" t="inlineStr">
        <is>
          <t>• [May] The guidelines have been amended to allow for other forms of cooperation</t>
        </is>
      </c>
      <c r="N1373" s="11" t="inlineStr"/>
      <c r="O1373" s="11" t="inlineStr">
        <is>
          <t>The guidelines have been amended to allow for other forms of cooperation.</t>
        </is>
      </c>
      <c r="P1373" s="12" t="n">
        <v>35</v>
      </c>
    </row>
    <row r="1374">
      <c r="A1374" t="inlineStr">
        <is>
          <t>GDPR</t>
        </is>
      </c>
      <c r="B1374" t="inlineStr">
        <is>
          <t>EBA revised Guidelines on outsourcing arrangements (GDPR - Row 5)</t>
        </is>
      </c>
      <c r="C1374" t="inlineStr">
        <is>
          <t>51</t>
        </is>
      </c>
      <c r="D1374" s="11" t="inlineStr">
        <is>
          <t>Internal audit verification of outsourcing arrangements</t>
        </is>
      </c>
      <c r="E1374" t="inlineStr">
        <is>
          <t>36</t>
        </is>
      </c>
      <c r="F1374" t="inlineStr">
        <is>
          <t>High</t>
        </is>
      </c>
      <c r="G1374" t="inlineStr">
        <is>
          <t>High (explicit)</t>
        </is>
      </c>
      <c r="H1374" s="11" t="inlineStr">
        <is>
          <t>Outsourcing</t>
        </is>
      </c>
      <c r="I1374" s="11" t="inlineStr">
        <is>
          <t>Personal Information</t>
        </is>
      </c>
      <c r="J1374" t="inlineStr"/>
      <c r="K1374" s="11" t="inlineStr">
        <is>
          <t>The internal audit function must verify that outsourcing frameworks are correctly implemented, criticality assessments are adequate, risk assessments are effective, governance bodies are involved, and outsourcing arrangements are properly monitored. This ensures compliance with regulatory requirements and risk management strategies.</t>
        </is>
      </c>
      <c r="L1374" s="11" t="inlineStr">
        <is>
          <t>Mandates internal audit checks on outsourcing arrangements to ensure data transfers to third parties comply with risk-based controls and regulatory alignment.</t>
        </is>
      </c>
      <c r="M1374" s="11" t="inlineStr">
        <is>
          <t>• [Must] Verify outsourcing framework is correctly and effectively implemented and aligned with laws, risk strategy, and management decisions
• [Must] Assess adequacy of criticality or importance of functions
• [Must] Evaluate adequacy of risk assessment for outsourcing arrangements</t>
        </is>
      </c>
      <c r="N1374" s="11" t="inlineStr">
        <is>
          <t>• [Must] Ensure appropriate involvement of governance bodies
• [Must] Confirm appropriate monitoring and management of outsourcing arrangements</t>
        </is>
      </c>
      <c r="O1374" s="11" t="inlineStr">
        <is>
          <t>51. With regard to the outsourcing process, the internal audit function should at least ascertain: a. that the institution's or payment institution's framework for outsourcing, including the outsourcing policy, is correctly and effectively implemented and is in line with the applicable laws and regulation, the risk strategy and the decisions of the management body; b. the adequacy, quality and effectiveness of the assessment of the criticality or importance of functions; c. the adequacy, quality and effectiveness of the risk assessment for outsourcing arrangements and that the risks remain in line with the institution's risk strategy; d. the appropriate involvement of governance bodies; and e. the appropriate monitoring and management of outsourcing arrangements.</t>
        </is>
      </c>
      <c r="P1374" s="12" t="n">
        <v>35</v>
      </c>
    </row>
    <row r="1375">
      <c r="A1375" t="inlineStr">
        <is>
          <t>GDPR</t>
        </is>
      </c>
      <c r="B1375" t="inlineStr">
        <is>
          <t>EBA revised Guidelines on outsourcing arrangements (GDPR - Row 5)</t>
        </is>
      </c>
      <c r="C1375" t="inlineStr">
        <is>
          <t>52</t>
        </is>
      </c>
      <c r="D1375" s="11" t="inlineStr">
        <is>
          <t>Maintain outsourcing arrangements register</t>
        </is>
      </c>
      <c r="E1375" t="inlineStr">
        <is>
          <t>36</t>
        </is>
      </c>
      <c r="F1375" t="inlineStr">
        <is>
          <t>High</t>
        </is>
      </c>
      <c r="G1375" t="inlineStr">
        <is>
          <t>High (explicit)</t>
        </is>
      </c>
      <c r="H1375" s="11" t="inlineStr">
        <is>
          <t>Outsourcing</t>
        </is>
      </c>
      <c r="I1375" s="11" t="inlineStr">
        <is>
          <t>Personal Information</t>
        </is>
      </c>
      <c r="J1375" t="inlineStr"/>
      <c r="K1375" s="11" t="inlineStr">
        <is>
          <t>Institutions must maintain an updated register of all outsourcing arrangements, distinguishing between critical/important functions and other arrangements. Documentation must include current and ended arrangements with supporting records retained for an appropriate period, considering national law.</t>
        </is>
      </c>
      <c r="L1375" s="11" t="inlineStr">
        <is>
          <t>Requires detailed documentation of outsourcing arrangements to ensure transparency and compliance with data transfer safeguards across borders.</t>
        </is>
      </c>
      <c r="M1375" s="11" t="inlineStr">
        <is>
          <t>• [Must] Maintain updated register of information on all outsourcing arrangements
• [Must] Distinguish between critical or important functions and other outsourcing arrangements</t>
        </is>
      </c>
      <c r="N1375" s="11" t="inlineStr">
        <is>
          <t>• [Must] Maintain documentation of ended outsourcing arrangements within the register
• [Must] Retain supporting documentation for an appropriate period</t>
        </is>
      </c>
      <c r="O1375" s="11" t="inlineStr">
        <is>
          <t>52. As part of their risk management framework, institutions and payment institutions should maintain an updated register of information on all outsourcing arrangements at the institution and, where applicable, at sub-consolidated and consolidated levels, as set out in Section 2, and should appropriately document all current outsourcing arrangements, distinguishing between the outsourcing of critical or important functions and other outsourcing arrangements. Taking into account national law, institutions should maintain the documentation of ended outsourcing arrangements within the register and the supporting documentation for an appropriate period.</t>
        </is>
      </c>
      <c r="P1375" s="12" t="n">
        <v>35</v>
      </c>
    </row>
    <row r="1376">
      <c r="A1376" t="inlineStr">
        <is>
          <t>GDPR</t>
        </is>
      </c>
      <c r="B1376" t="inlineStr">
        <is>
          <t>EBA revised Guidelines on outsourcing arrangements (GDPR - Row 5)</t>
        </is>
      </c>
      <c r="C1376" t="inlineStr">
        <is>
          <t>53</t>
        </is>
      </c>
      <c r="D1376" s="11" t="inlineStr">
        <is>
          <t>Centralized outsourcing register for affiliated institutions</t>
        </is>
      </c>
      <c r="E1376" t="inlineStr">
        <is>
          <t>36–37</t>
        </is>
      </c>
      <c r="F1376" t="inlineStr">
        <is>
          <t>High</t>
        </is>
      </c>
      <c r="G1376" t="inlineStr">
        <is>
          <t>High (explicit)</t>
        </is>
      </c>
      <c r="H1376" s="11" t="inlineStr">
        <is>
          <t>Outsourcing</t>
        </is>
      </c>
      <c r="I1376" s="11" t="inlineStr">
        <is>
          <t>Personal Information</t>
        </is>
      </c>
      <c r="J1376" t="inlineStr"/>
      <c r="K1376" s="11" t="inlineStr">
        <is>
          <t>For institutions within a group permanently affiliated to a central body or members of the same institutional protection scheme, the outsourcing register may be maintained centrally, as per Title I of the guidelines and paragraph 23(d). This streamlines oversight for affiliated entities.</t>
        </is>
      </c>
      <c r="L1376" s="11" t="inlineStr">
        <is>
          <t>Allows centralized management of outsourcing arrangements for affiliated institutions, reducing cross-border data transfer complexity.</t>
        </is>
      </c>
      <c r="M1376" s="11" t="inlineStr">
        <is>
          <t>• [Must] For institutions within a group permanently affiliated to a central body or members of the same institutional protection scheme, the register may be kept centrally</t>
        </is>
      </c>
      <c r="N1376" s="11" t="inlineStr"/>
      <c r="O1376" s="11" t="inlineStr">
        <is>
          <t>53. Taking into account Title I of these guidelines, and under the conditions set out in paragraph 23(d), for institutions and payment institutions within a group, institutions permanently affiliated to a central body or institutions that are members of the same institutional protection scheme, the register may be kept centrally.</t>
        </is>
      </c>
      <c r="P1376" s="12" t="n">
        <v>35</v>
      </c>
    </row>
    <row r="1377">
      <c r="A1377" t="inlineStr">
        <is>
          <t>GDPR</t>
        </is>
      </c>
      <c r="B1377" t="inlineStr">
        <is>
          <t>EBA revised Guidelines on outsourcing arrangements (GDPR - Row 5)</t>
        </is>
      </c>
      <c r="C1377" t="inlineStr">
        <is>
          <t>54</t>
        </is>
      </c>
      <c r="D1377" s="11" t="inlineStr">
        <is>
          <t>Outsourcing register information requirements</t>
        </is>
      </c>
      <c r="E1377" t="inlineStr">
        <is>
          <t>37</t>
        </is>
      </c>
      <c r="F1377" t="inlineStr">
        <is>
          <t>High</t>
        </is>
      </c>
      <c r="G1377" t="inlineStr">
        <is>
          <t>High (explicit)</t>
        </is>
      </c>
      <c r="H1377" s="11" t="inlineStr">
        <is>
          <t>Outsourcing</t>
        </is>
      </c>
      <c r="I1377" s="11" t="inlineStr">
        <is>
          <t>Personal Information</t>
        </is>
      </c>
      <c r="J1377" t="inlineStr"/>
      <c r="K1377" s="11" t="inlineStr">
        <is>
          <t>The register must include specific details for all existing outsourcing arrangements, such as reference numbers, dates, function descriptions, service provider information, data locations, criticality status, and cloud service details. This ensures comprehensive tracking of data transfers.</t>
        </is>
      </c>
      <c r="L1377" s="11" t="inlineStr">
        <is>
          <t>Specifies detailed data fields for outsourcing registers to ensure transparency and compliance with cross-border data transfers.</t>
        </is>
      </c>
      <c r="M1377" s="11" t="inlineStr">
        <is>
          <t>• [Must] Include reference number for each outsourcing arrangement
• [Must] Include start date and renewal dates, end dates, and notice periods for service providers
• [Must] Include brief description of outsourced function, data transferred, and personal data status
• [Must] Include category reflecting function nature (e.g., IT, control function)
• [Must] Include service provider name, registration details, legal entity identifier, address, and parent company</t>
        </is>
      </c>
      <c r="N1377" s="11" t="inlineStr">
        <is>
          <t>• [Must] Include countries where service is performed and data locations
• [Must] Indicate whether function is critical or important with reasons
• [Must] For cloud providers, include deployment models and data storage locations
• [Must] Include date of most recent criticality assessment</t>
        </is>
      </c>
      <c r="O1377" s="11" t="inlineStr">
        <is>
          <t>54. The register should include at least the following information for all existing outsourcing arrangements: a. a reference number for each outsourcing arrangement; b. the start date and, as applicable, the next contract renewal date, the end date and/or notice periods for the service provider and for the institution or payment institution; c. a brief description of the outsourced function, including the data that are outsourced and whether or not personal data (e.g. by providing a yes or no in a separate data field) have been transferred or if their processing is outsourced to a service provider; d. a category assigned by the institution or payment institution that reflects the nature of the function as described under point (c) (e.g. information technology (IT), control function), which should facilitate the identification of different types of arrangements; e. the name of the service provider, the corporate registration number, the legal entity identifier (where available), the registered address and other relevant contact details, and the name of its parent company (if any); f. the country or countries where the service is to be performed, including the location (i.e. country or region) of the data; g. whether or not (yes/no) the outsourced function is considered critical or important, including, where applicable, a brief summary of the reasons why the outsourced function is considered critical or important; h. in the case of outsourcing to a cloud service provider, the cloud service and deployment models, i.e. public/private/hybrid/community, and the specific nature of the data to be held and the locations (i.e. country or regions) where such data will be stored; i. the date of the most recent assessment of the criticality or importance of the outsourced function.</t>
        </is>
      </c>
      <c r="P1377" s="12" t="n">
        <v>35</v>
      </c>
    </row>
    <row r="1378">
      <c r="A1378" t="inlineStr">
        <is>
          <t>GDPR</t>
        </is>
      </c>
      <c r="B1378" t="inlineStr">
        <is>
          <t>EBA revised Guidelines on outsourcing arrangements (GDPR - Row 5)</t>
        </is>
      </c>
      <c r="C1378" t="inlineStr">
        <is>
          <t>55</t>
        </is>
      </c>
      <c r="D1378" s="11" t="inlineStr">
        <is>
          <t>Enhanced register for critical outsourcing arrangements</t>
        </is>
      </c>
      <c r="E1378" t="inlineStr">
        <is>
          <t>37–38</t>
        </is>
      </c>
      <c r="F1378" t="inlineStr">
        <is>
          <t>High</t>
        </is>
      </c>
      <c r="G1378" t="inlineStr">
        <is>
          <t>High (explicit)</t>
        </is>
      </c>
      <c r="H1378" s="11" t="inlineStr">
        <is>
          <t>Outsourcing</t>
        </is>
      </c>
      <c r="I1378" s="11" t="inlineStr">
        <is>
          <t>Personal Information</t>
        </is>
      </c>
      <c r="J1378" t="inlineStr"/>
      <c r="K1378" s="11" t="inlineStr">
        <is>
          <t>For critical or important functions, the register must include additional details such as affiliated institutions, service provider group status, risk assessment dates, approval bodies, governing laws, audit dates, sub-contractor information, substitutability assessments, alternative providers, time-critical operations, and budget costs. This ensures thorough oversight of high-risk outsourcing.</t>
        </is>
      </c>
      <c r="L1378" s="11" t="inlineStr">
        <is>
          <t>Requires granular details for critical outsourcing arrangements to ensure robust data transfer safeguards and risk management.</t>
        </is>
      </c>
      <c r="M1378" s="11" t="inlineStr">
        <is>
          <t>• [Must] Include institutions within prudential consolidation or institutional protection scheme using the outsourcing
• [Must] Indicate whether service provider is part of group or institutional protection scheme
• [Must] Include date of most recent risk assessment and summary of results
• [Must] Identify individual or decision-making body that approved outsourcing
• [Must] Specify governing law of outsourcing agreement
• [Must] Include dates of most recent and next scheduled audits</t>
        </is>
      </c>
      <c r="N1378" s="11" t="inlineStr">
        <is>
          <t>• [Must] List sub-contractors for critical functions with registration details and data locations
• [Must] Assess substitutability of service provider and impact of discontinuation
• [Must] Identify alternative service providers
• [Must] Indicate whether function supports time-critical business operations
• [Must] Include estimated annual budget cost</t>
        </is>
      </c>
      <c r="O1378" s="11" t="inlineStr">
        <is>
          <t>55. For the outsourcing of critical or important functions, the register should include at least the following additional information: a. the institutions, payment institutions and other firms within the scope of the prudential consolidation or institutional protection scheme, where applicable, that make use of the outsourcing; b. whether or not the service provider or sub-service provider is part of the group or a member of the institutional protection scheme or is owned by institutions or payment institutions within the group or is owned by members of an institutional protection scheme; c. the date of the most recent risk assessment and a brief summary of the main results; d. the individual or decision-making body (e.g. the management body) in the institution or the payment institution that approved the outsourcing arrangement; e. the governing law of the outsourcing agreement; f. the dates of the most recent and next scheduled audits, where applicable; g. where applicable, the names of any sub-contractors to which material parts of a critical or important function are sub-outsourced, including the country where the sub-contractors are registered, where the service will be performed and, if applicable, the location (i.e. country or region) where the data will be stored; h. an outcome of the assessment of the service provider's substitutability (as easy, difficult or impossible), the possibility of reintegrating a critical or important function into the institution or the payment institution or the impact of discontinuing the critical or important function; i. identification of alternative service providers in line with point (h); j. whether the outsourced critical or important function supports business operations that are time-critical; k. the estimated annual budget cost.</t>
        </is>
      </c>
      <c r="P1378" s="12" t="n">
        <v>35</v>
      </c>
    </row>
    <row r="1379">
      <c r="A1379" t="inlineStr">
        <is>
          <t>GDPR</t>
        </is>
      </c>
      <c r="B1379" t="inlineStr">
        <is>
          <t>EBA revised Guidelines on outsourcing arrangements (GDPR - Row 5)</t>
        </is>
      </c>
      <c r="C1379" t="inlineStr">
        <is>
          <t>56</t>
        </is>
      </c>
      <c r="D1379" s="11" t="inlineStr">
        <is>
          <t>Outsourcing register availability to regulators</t>
        </is>
      </c>
      <c r="E1379" t="inlineStr">
        <is>
          <t>38</t>
        </is>
      </c>
      <c r="F1379" t="inlineStr">
        <is>
          <t>High</t>
        </is>
      </c>
      <c r="G1379" t="inlineStr">
        <is>
          <t>High (explicit)</t>
        </is>
      </c>
      <c r="H1379" s="11" t="inlineStr">
        <is>
          <t>Record Keeping, Outsourcing, Third Party Processing</t>
        </is>
      </c>
      <c r="I1379" s="11" t="inlineStr">
        <is>
          <t>Customer Data</t>
        </is>
      </c>
      <c r="J1379" t="inlineStr">
        <is>
          <t>Competent authority</t>
        </is>
      </c>
      <c r="K1379" s="11" t="inlineStr">
        <is>
          <t>Institutions and payment institutions must provide regulators with either the full register of all existing outsourcing arrangements or specified sections thereof, such as IT outsourcing arrangements. This information must be submitted in a processable electronic format like comma-separated values. The requirement applies to financial institutions and payment service providers under the EBA guidelines.</t>
        </is>
      </c>
      <c r="L1379" s="11" t="inlineStr">
        <is>
          <t>Requires institutions to maintain and share detailed outsourcing records with regulators in electronic format, impacting data transfer assessments by necessitating transparency about third-party service providers and data flows.</t>
        </is>
      </c>
      <c r="M1379" s="11" t="inlineStr">
        <is>
          <t>• [Must] Provide competent authority with full register of all existing outsourcing arrangements
• [Must] Provide specified sections of outsourcing arrangements, such as IT outsourcing arrangements</t>
        </is>
      </c>
      <c r="N1379" s="11" t="inlineStr">
        <is>
          <t>• [Must] Submit information in a processable electronic format like comma-separated values</t>
        </is>
      </c>
      <c r="O1379" s="11" t="inlineStr">
        <is>
          <t>56. Institutions and payment institutions should, upon request, make available to the competent authority either the full register of all existing outsourcing arrangements49 or sections specified thereof, such as information on all outsourcing arrangements falling under one of the categories referred to in point (d) of paragraph 54 of these guidelines (e.g. all IT outsourcing arrangements). Institutions and payment institutions should provide this information in a Processable electronic form (e.g. a commonly used database format, comma separated values).</t>
        </is>
      </c>
      <c r="P1379" s="12" t="n">
        <v>35</v>
      </c>
    </row>
    <row r="1380">
      <c r="A1380" t="inlineStr">
        <is>
          <t>GDPR</t>
        </is>
      </c>
      <c r="B1380" t="inlineStr">
        <is>
          <t>EBA revised Guidelines on outsourcing arrangements (GDPR - Row 5)</t>
        </is>
      </c>
      <c r="C1380" t="inlineStr">
        <is>
          <t>57</t>
        </is>
      </c>
      <c r="D1380" s="11" t="inlineStr">
        <is>
          <t>Outsourcing agreement disclosure to regulators</t>
        </is>
      </c>
      <c r="E1380" t="inlineStr">
        <is>
          <t>38</t>
        </is>
      </c>
      <c r="F1380" t="inlineStr">
        <is>
          <t>High</t>
        </is>
      </c>
      <c r="G1380" t="inlineStr">
        <is>
          <t>High (explicit)</t>
        </is>
      </c>
      <c r="H1380" s="11" t="inlineStr">
        <is>
          <t>Record Keeping, Outsourcing, Third Party Processing</t>
        </is>
      </c>
      <c r="I1380" s="11" t="inlineStr">
        <is>
          <t>Customer Data</t>
        </is>
      </c>
      <c r="J1380" t="inlineStr">
        <is>
          <t>Competent authority</t>
        </is>
      </c>
      <c r="K1380" s="11" t="inlineStr">
        <is>
          <t>Institutions and payment institutions must provide regulators with all information necessary for effective supervision, including copies of outsourcing agreements. This requirement ensures regulators can monitor compliance with outsourcing arrangements and assess risks to financial stability.</t>
        </is>
      </c>
      <c r="L1380" s="11" t="inlineStr">
        <is>
          <t>Mandates disclosure of outsourcing agreements to regulators, affecting data transfer assessments by requiring institutions to document third-party data handling practices and contractual safeguards.</t>
        </is>
      </c>
      <c r="M1380" s="11" t="inlineStr">
        <is>
          <t>• [Must] Provide competent authority with all information necessary for effective supervision</t>
        </is>
      </c>
      <c r="N1380" s="11" t="inlineStr">
        <is>
          <t>• [Must] Include copy of outsourcing agreement when required</t>
        </is>
      </c>
      <c r="O1380" s="11" t="inlineStr">
        <is>
          <t>57. Institutions and payment institutions should, upon request, make available to the competent authority all information necessary to enable the competent authority to execute the effective supervision of the institution or the payment institution, including, where required, a copy of the outsourcing agreement.</t>
        </is>
      </c>
      <c r="P1380" s="12" t="n">
        <v>35</v>
      </c>
    </row>
    <row r="1381">
      <c r="A1381" t="inlineStr">
        <is>
          <t>GDPR</t>
        </is>
      </c>
      <c r="B1381" t="inlineStr">
        <is>
          <t>EBA revised Guidelines on outsourcing arrangements (GDPR - Row 5)</t>
        </is>
      </c>
      <c r="C1381" t="inlineStr">
        <is>
          <t>58</t>
        </is>
      </c>
      <c r="D1381" s="11" t="inlineStr">
        <is>
          <t>Critical outsourcing functions reporting to regulators</t>
        </is>
      </c>
      <c r="E1381" t="inlineStr">
        <is>
          <t>38–39</t>
        </is>
      </c>
      <c r="F1381" t="inlineStr">
        <is>
          <t>High</t>
        </is>
      </c>
      <c r="G1381" t="inlineStr">
        <is>
          <t>High (explicit)</t>
        </is>
      </c>
      <c r="H1381" s="11" t="inlineStr">
        <is>
          <t>Record Keeping, Outsourcing, Third Party Processing</t>
        </is>
      </c>
      <c r="I1381" s="11" t="inlineStr">
        <is>
          <t>Customer Data</t>
        </is>
      </c>
      <c r="J1381" t="inlineStr">
        <is>
          <t>Competent authority</t>
        </is>
      </c>
      <c r="K1381" s="11" t="inlineStr">
        <is>
          <t>Institutions must inform regulators about planned outsourcing of critical or important functions and any changes that make outsourced functions critical or important. This includes providing information specified in paragraph 54 of the guidelines to ensure timely regulatory oversight of high-risk outsourcing activities.</t>
        </is>
      </c>
      <c r="L1381" s="11" t="inlineStr">
        <is>
          <t>Requires reporting of critical outsourcing functions to regulators, impacting data transfer assessments by necessitating identification of high-risk data flows and third-party processing activities.</t>
        </is>
      </c>
      <c r="M1381" s="11" t="inlineStr">
        <is>
          <t>• [Must] Inform competent authorities about planned outsourcing of critical or important functions
• [Must] Report when outsourced functions become critical or important</t>
        </is>
      </c>
      <c r="N1381" s="11" t="inlineStr">
        <is>
          <t>• [Must] Provide information specified in paragraph 54</t>
        </is>
      </c>
      <c r="O1381" s="11" t="inlineStr">
        <is>
          <t>58. Institutions, without prejudice to Article 19(6) of Directive (EU) 2015/2366, and payment institutions should adequately inform competent authorities in a timely manner or engage in a supervisory dialogue with the competent authorities about the planned outsourcing of critical or important functions and/or where an outsourced function has become critical or important and provide at least the information specified in paragraph 54.</t>
        </is>
      </c>
      <c r="P1381" s="12" t="n">
        <v>35</v>
      </c>
    </row>
    <row r="1382">
      <c r="A1382" t="inlineStr">
        <is>
          <t>GDPR</t>
        </is>
      </c>
      <c r="B1382" t="inlineStr">
        <is>
          <t>EBA revised Guidelines on outsourcing arrangements (GDPR - Row 5)</t>
        </is>
      </c>
      <c r="C1382" t="inlineStr">
        <is>
          <t>59</t>
        </is>
      </c>
      <c r="D1382" s="11" t="inlineStr">
        <is>
          <t>Material outsourcing changes reporting to regulators</t>
        </is>
      </c>
      <c r="E1382" t="inlineStr">
        <is>
          <t>39</t>
        </is>
      </c>
      <c r="F1382" t="inlineStr">
        <is>
          <t>High</t>
        </is>
      </c>
      <c r="G1382" t="inlineStr">
        <is>
          <t>High (explicit)</t>
        </is>
      </c>
      <c r="H1382" s="11" t="inlineStr">
        <is>
          <t>Record Keeping, Outsourcing, Third Party Processing</t>
        </is>
      </c>
      <c r="I1382" s="11" t="inlineStr">
        <is>
          <t>Customer Data</t>
        </is>
      </c>
      <c r="J1382" t="inlineStr">
        <is>
          <t>Competent authority</t>
        </is>
      </c>
      <c r="K1382" s="11" t="inlineStr">
        <is>
          <t>Institutions must promptly notify regulators of material changes or severe events in outsourcing arrangements that could impact the continuity of their business activities. This ensures regulators are aware of significant disruptions to outsourcing processes and can take timely action.</t>
        </is>
      </c>
      <c r="L1382" s="11" t="inlineStr">
        <is>
          <t>Mandates reporting of material outsourcing changes to regulators, affecting data transfer assessments by requiring institutions to monitor and report on third-party data handling risks.</t>
        </is>
      </c>
      <c r="M1382" s="11" t="inlineStr">
        <is>
          <t>• [Must] Inform competent authorities of material changes in outsourcing arrangements</t>
        </is>
      </c>
      <c r="N1382" s="11" t="inlineStr">
        <is>
          <t>• [Must] Notify of severe events affecting business continuity</t>
        </is>
      </c>
      <c r="O1382" s="11" t="inlineStr">
        <is>
          <t>59. Institutions and payment institutions50 should inform competent authorities in a timely manner of material changes and/or severe events regarding their outsourcing arrangements that could have a material impact on the continuing provision of the institutions' or payment institutions' business activities.</t>
        </is>
      </c>
      <c r="P1382" s="12" t="n">
        <v>35</v>
      </c>
    </row>
    <row r="1383">
      <c r="A1383" t="inlineStr">
        <is>
          <t>GDPR</t>
        </is>
      </c>
      <c r="B1383" t="inlineStr">
        <is>
          <t>EBA revised Guidelines on outsourcing arrangements (GDPR - Row 5)</t>
        </is>
      </c>
      <c r="C1383" t="inlineStr">
        <is>
          <t>60</t>
        </is>
      </c>
      <c r="D1383" s="11" t="inlineStr">
        <is>
          <t>Outsourcing assessment documentation</t>
        </is>
      </c>
      <c r="E1383" t="inlineStr">
        <is>
          <t>39</t>
        </is>
      </c>
      <c r="F1383" t="inlineStr">
        <is>
          <t>High</t>
        </is>
      </c>
      <c r="G1383" t="inlineStr">
        <is>
          <t>High (explicit)</t>
        </is>
      </c>
      <c r="H1383" s="11" t="inlineStr">
        <is>
          <t>Record Keeping, Outsourcing, Third Party Processing</t>
        </is>
      </c>
      <c r="I1383" s="11" t="inlineStr">
        <is>
          <t>Customer Data</t>
        </is>
      </c>
      <c r="J1383" t="inlineStr">
        <is>
          <t>Competent authority</t>
        </is>
      </c>
      <c r="K1383" s="11" t="inlineStr">
        <is>
          <t>Institutions must document assessments made under Title IV and ongoing monitoring results, including service provider performance, compliance with service levels, contractual requirements, and updates to risk assessments. This documentation supports regulatory oversight of outsourcing activities.</t>
        </is>
      </c>
      <c r="L1383" s="11" t="inlineStr">
        <is>
          <t>Requires detailed documentation of outsourcing assessments, impacting data transfer assessments by ensuring transparency in third-party data handling and risk management practices.</t>
        </is>
      </c>
      <c r="M1383" s="11" t="inlineStr">
        <is>
          <t>• [Must] Document assessments made under Title IV</t>
        </is>
      </c>
      <c r="N1383" s="11" t="inlineStr">
        <is>
          <t>• [Must] Document results of ongoing monitoring</t>
        </is>
      </c>
      <c r="O1383" s="11" t="inlineStr">
        <is>
          <t>60. Institutions and payment institutions should appropriately document the assessments made under Title IV and the results of their ongoing monitoring (e.g. performance of the service provider, compliance with agreed service levels, other contractual and regulatory requirements, updates to the risk assessment).</t>
        </is>
      </c>
      <c r="P1383" s="12" t="n">
        <v>35</v>
      </c>
    </row>
    <row r="1384">
      <c r="A1384" t="inlineStr">
        <is>
          <t>GDPR</t>
        </is>
      </c>
      <c r="B1384" t="inlineStr">
        <is>
          <t>EBA revised Guidelines on outsourcing arrangements (GDPR - Row 5)</t>
        </is>
      </c>
      <c r="C1384" t="inlineStr">
        <is>
          <t>61</t>
        </is>
      </c>
      <c r="D1384" s="11" t="inlineStr">
        <is>
          <t>Pre-outsourcing assessment requirements</t>
        </is>
      </c>
      <c r="E1384" t="inlineStr">
        <is>
          <t>39</t>
        </is>
      </c>
      <c r="F1384" t="inlineStr">
        <is>
          <t>High</t>
        </is>
      </c>
      <c r="G1384" t="inlineStr">
        <is>
          <t>High (explicit)</t>
        </is>
      </c>
      <c r="H1384" s="11" t="inlineStr">
        <is>
          <t>Record Keeping, Outsourcing, Third Party Processing</t>
        </is>
      </c>
      <c r="I1384" s="11" t="inlineStr">
        <is>
          <t>Customer Data</t>
        </is>
      </c>
      <c r="J1384" t="inlineStr">
        <is>
          <t>Competent authority</t>
        </is>
      </c>
      <c r="K1384" s="11" t="inlineStr">
        <is>
          <t>Before entering any outsourcing arrangement, institutions must assess whether it concerns critical or important functions, meet supervisory conditions, identify relevant risks, conduct due diligence on service providers, and assess conflicts of interest. These steps ensure compliance with regulatory oversight.</t>
        </is>
      </c>
      <c r="L1384" s="11" t="inlineStr">
        <is>
          <t>Requires comprehensive pre-outsourcing assessments, impacting data transfer assessments by mandating thorough risk evaluations before third-party data processing arrangements are established.</t>
        </is>
      </c>
      <c r="M1384" s="11" t="inlineStr">
        <is>
          <t>• [Must] Assess if outsourcing arrangement concerns critical or important function
• [Must] Assess if supervisory conditions for outsourcing are met
• [Must] Identify and assess all relevant risks of outsourcing arrangement</t>
        </is>
      </c>
      <c r="N1384" s="11" t="inlineStr">
        <is>
          <t>• [Must] Undertake appropriate due diligence on prospective service provider
• [Must] Identify and assess conflicts of interest</t>
        </is>
      </c>
      <c r="O1384" s="11" t="inlineStr">
        <is>
          <t>61. Before entering into any outsourcing arrangement, institutions and payment institutions should: a. assess if the outsourcing arrangement concerns a critical or important function, as set out in Title II; b. assess if the supervisory conditions for outsourcing set out in Section 12.1 are met; c. identify and assess all of the relevant risks of the outsourcing arrangement in accordance with Section 12.2; d. undertake appropriate due diligence on the prospective service provider in accordance with Section 12.3; e. identify and assess conflicts of interest that the outsourcing may cause in line with Section 8.</t>
        </is>
      </c>
      <c r="P1384" s="12" t="n">
        <v>35</v>
      </c>
    </row>
    <row r="1385">
      <c r="A1385" t="inlineStr">
        <is>
          <t>GDPR</t>
        </is>
      </c>
      <c r="B1385" t="inlineStr">
        <is>
          <t>EBA revised Guidelines on outsourcing arrangements (GDPR - Row 5)</t>
        </is>
      </c>
      <c r="C1385" t="inlineStr">
        <is>
          <t>62</t>
        </is>
      </c>
      <c r="D1385" s="11" t="inlineStr">
        <is>
          <t>Outsourcing banking functions to service providers in same or other Member State</t>
        </is>
      </c>
      <c r="E1385" t="inlineStr">
        <is>
          <t>39–40</t>
        </is>
      </c>
      <c r="F1385" t="inlineStr">
        <is>
          <t>High</t>
        </is>
      </c>
      <c r="G1385" t="inlineStr">
        <is>
          <t>High (explicit)</t>
        </is>
      </c>
      <c r="H1385" s="11" t="inlineStr">
        <is>
          <t>Outsourcing, Cross-border Transfer, International Processing</t>
        </is>
      </c>
      <c r="I1385" s="11" t="inlineStr">
        <is>
          <t>Financial Data</t>
        </is>
      </c>
      <c r="J1385" t="inlineStr">
        <is>
          <t>Competent authorities</t>
        </is>
      </c>
      <c r="K1385" s="11" t="inlineStr">
        <is>
          <t>Institutions and payment institutions must ensure that outsourcing banking activities or payment services requiring authorization or registration in their home Member State to service providers in the same or another Member State only occurs if the service provider is authorized or registered to perform those activities in that Member State, or is otherwise permitted to carry out those activities under national law.</t>
        </is>
      </c>
      <c r="L1385" s="11" t="inlineStr">
        <is>
          <t>Outsourcing to service providers in other Member States requires authorization or registration in the host Member State, or compliance with national legal frameworks for the same activities. This affects cross-border data transfers by requiring local regulatory alignment.</t>
        </is>
      </c>
      <c r="M1385" s="11" t="inlineStr">
        <is>
          <t>• [Must] Service provider must be authorized or registered by a competent authority to perform banking activities or payment services</t>
        </is>
      </c>
      <c r="N1385" s="11" t="inlineStr">
        <is>
          <t>• [Must] Service provider must be otherwise allowed to carry out banking activities or payment services in accordance with relevant national legal framework</t>
        </is>
      </c>
      <c r="O1385" s="11" t="inlineStr">
        <is>
          <t>62. Institutions and payment institutions should ensure that the outsourcing of functions of banking activities or payment services, to an extent that the performance of that function requires authorisation or registration by a competent authority in the Member State where they are authorised, to a service provider located in the same or another Member State takes place only if one of the following conditions is met: a. the service provider is authorised or registered by a competent authority to perform such banking activities or payment services; or b. the service provider is otherwise allowed to carry out those banking activities or payment services in accordance with the relevant national legal framework.</t>
        </is>
      </c>
      <c r="P1385" s="12" t="n">
        <v>35</v>
      </c>
    </row>
    <row r="1386">
      <c r="A1386" t="inlineStr">
        <is>
          <t>GDPR</t>
        </is>
      </c>
      <c r="B1386" t="inlineStr">
        <is>
          <t>EBA revised Guidelines on outsourcing arrangements (GDPR - Row 5)</t>
        </is>
      </c>
      <c r="C1386" t="inlineStr">
        <is>
          <t>63</t>
        </is>
      </c>
      <c r="D1386" s="11" t="inlineStr">
        <is>
          <t>Outsourcing banking functions to service providers in third countries</t>
        </is>
      </c>
      <c r="E1386" t="inlineStr">
        <is>
          <t>40–41</t>
        </is>
      </c>
      <c r="F1386" t="inlineStr">
        <is>
          <t>High</t>
        </is>
      </c>
      <c r="G1386" t="inlineStr">
        <is>
          <t>High (explicit)</t>
        </is>
      </c>
      <c r="H1386" s="11" t="inlineStr">
        <is>
          <t>Outsourcing, Cross-border Transfer, International Processing</t>
        </is>
      </c>
      <c r="I1386" s="11" t="inlineStr">
        <is>
          <t>Financial Data</t>
        </is>
      </c>
      <c r="J1386" t="inlineStr">
        <is>
          <t>Competent authorities</t>
        </is>
      </c>
      <c r="K1386" s="11" t="inlineStr">
        <is>
          <t>Institutions and payment institutions must ensure that outsourcing banking activities or payment services requiring authorization or registration in their home Member State to service providers in third countries only occurs if the service provider is authorized or registered in that third country, there is a cooperation agreement between supervisory authorities, and the agreement ensures access to information, data, premises, personnel, and timely breach notifications for regulatory oversight.</t>
        </is>
      </c>
      <c r="L1386" s="11" t="inlineStr">
        <is>
          <t>Outsourcing to third countries requires a supervisory cooperation agreement to ensure regulatory oversight, which impacts data transfers by mandating cross-border regulatory coordination.</t>
        </is>
      </c>
      <c r="M1386" s="11" t="inlineStr">
        <is>
          <t>• [Must] Service provider must be authorized or registered to provide banking activity or payment service in the third country and supervised by relevant competent authority
• [Must] There must be an appropriate cooperation agreement between supervisory authorities
• [Must] Cooperation agreement must ensure access to information necessary for supervisory tasks</t>
        </is>
      </c>
      <c r="N1386" s="11" t="inlineStr">
        <is>
          <t>• [Must] Cooperation agreement must ensure access to relevant data, documents, premises or personnel
• [Must] Cooperation agreement must ensure timely receipt of information on potential breaches
• [Must] Cooperation agreement must ensure cooperation on enforcement in case of regulatory breaches</t>
        </is>
      </c>
      <c r="O1386" s="11" t="inlineStr">
        <is>
          <t>63. Institutions and payment institutions should ensure that the outsourcing of functions of banking activities or payment services, to an extent that the performance of that function requires authorisation or registration by a competent authority in the Member State where they are authorised, to a service provider located in a third country takes place only if the following conditions are met: a. the service provider is authorised or registered to provide that banking activity or payment service in the third country and is supervised by a relevant competent authority in that third country (referred to as a ‘supervisory authority'); b. there is an appropriate cooperation agreement, e.g. in the form of a memorandum of understanding or college agreement, between the competent authorities responsible for the supervision of the institution and the supervisory authorities responsible for the supervision of the service provider; and c. the cooperation agreement referred to in point (b) should ensure that the competent authorities are able, at least, to: i. obtain, upon request, the information necessary to carry out their supervisory tasks pursuant to Directive 2013/36/EU, Regulation (EU) No 575/2013, Directive (EU) 2015/2366 and Directive 2009/110/EC; ii. obtain appropriate access to any data, documents, premises or personnel in the third country that are relevant for the performance of their supervisory powers; iii. receive, as soon as possible, information from the supervisory authority in the third country for investigating apparent breaches of the requirements of Directive 2013/36/EU, Regulation (EU) No 575/2013, Directive (EU) 2015/2366 and Directive 2009/110/EC; and iv. cooperate with the relevant supervisory authorities in the third country on enforcement in the case of a breach of the applicable regulatory requirements and national law in the Member State.</t>
        </is>
      </c>
      <c r="P1386" s="12" t="n">
        <v>35</v>
      </c>
    </row>
    <row r="1387">
      <c r="A1387" t="inlineStr">
        <is>
          <t>GDPR</t>
        </is>
      </c>
      <c r="B1387" t="inlineStr">
        <is>
          <t>EBA revised Guidelines on outsourcing arrangements (GDPR - Row 5)</t>
        </is>
      </c>
      <c r="C1387" t="inlineStr">
        <is>
          <t>64</t>
        </is>
      </c>
      <c r="D1387" s="11" t="inlineStr">
        <is>
          <t>Assessing operational risk impact of outsourcing arrangements</t>
        </is>
      </c>
      <c r="E1387" t="inlineStr">
        <is>
          <t>41</t>
        </is>
      </c>
      <c r="F1387" t="inlineStr">
        <is>
          <t>High</t>
        </is>
      </c>
      <c r="G1387" t="inlineStr">
        <is>
          <t>High (explicit)</t>
        </is>
      </c>
      <c r="H1387" s="11" t="inlineStr">
        <is>
          <t>Outsourcing</t>
        </is>
      </c>
      <c r="I1387" s="11" t="inlineStr">
        <is>
          <t>Financial Data</t>
        </is>
      </c>
      <c r="J1387" t="inlineStr"/>
      <c r="K1387" s="11" t="inlineStr">
        <is>
          <t>Institutions and payment institutions must assess how outsourcing arrangements affect operational risk, consider these results when deciding whether to outsource functions, and take steps to avoid undue operational risks before entering into outsourcing agreements.</t>
        </is>
      </c>
      <c r="L1387" s="11" t="inlineStr">
        <is>
          <t>Outsourcing arrangements must be evaluated for operational risk impact to prevent unintended consequences on financial stability and regulatory compliance.</t>
        </is>
      </c>
      <c r="M1387" s="11" t="inlineStr">
        <is>
          <t>• [Must] Institutions and payment institutions must assess potential impact of outsourcing arrangements on operational risk
• [Must] Institutions and payment institutions must consider assessment results when deciding if function should be outsourced</t>
        </is>
      </c>
      <c r="N1387" s="11" t="inlineStr">
        <is>
          <t>• [Must] Institutions and payment institutions must take appropriate steps to avoid undue additional operational risks before entering into outsourcing arrangements</t>
        </is>
      </c>
      <c r="O1387" s="11" t="inlineStr">
        <is>
          <t>64. Institutions and payment institutions should assess the potential impact of outsourcing arrangements on their operational risk, should take into account the assessment results when deciding if the function should be outsourced to a service provider and should take appropriate steps to avoid undue additional operational risks before entering into outsourcing arrangements.</t>
        </is>
      </c>
      <c r="P1387" s="12" t="n">
        <v>35</v>
      </c>
    </row>
    <row r="1388">
      <c r="A1388" t="inlineStr">
        <is>
          <t>GDPR</t>
        </is>
      </c>
      <c r="B1388" t="inlineStr">
        <is>
          <t>EBA revised Guidelines on outsourcing arrangements (GDPR - Row 5)</t>
        </is>
      </c>
      <c r="C1388" t="inlineStr">
        <is>
          <t>65</t>
        </is>
      </c>
      <c r="D1388" s="11" t="inlineStr">
        <is>
          <t>Scenario analysis for risk events in outsourcing</t>
        </is>
      </c>
      <c r="E1388" t="inlineStr">
        <is>
          <t>41</t>
        </is>
      </c>
      <c r="F1388" t="inlineStr">
        <is>
          <t>High</t>
        </is>
      </c>
      <c r="G1388" t="inlineStr">
        <is>
          <t>High (explicit)</t>
        </is>
      </c>
      <c r="H1388" s="11" t="inlineStr">
        <is>
          <t>Outsourcing</t>
        </is>
      </c>
      <c r="I1388" s="11" t="inlineStr">
        <is>
          <t>Financial Data</t>
        </is>
      </c>
      <c r="J1388" t="inlineStr"/>
      <c r="K1388" s="11" t="inlineStr">
        <is>
          <t>Institutions and payment institutions must include scenarios of high-severity operational risk events in their outsourcing risk assessments, evaluate potential impacts of failed or inadequate services, and document analysis results while considering institutional size and complexity to determine how outsourcing affects operational risk.</t>
        </is>
      </c>
      <c r="L1388" s="11" t="inlineStr">
        <is>
          <t>Outsourcing risk assessments must include scenario analysis for operational failures to ensure robustness of critical functions across borders.</t>
        </is>
      </c>
      <c r="M1388" s="11" t="inlineStr">
        <is>
          <t>• [Must] Assessment should include scenarios of possible risk events, including high-severity operational risk events
• [Must] Institutions and payment institutions should assess potential impact of failed or inadequate services
• [Must] Institutions and payment institutions should document analysis performed and results</t>
        </is>
      </c>
      <c r="N1388" s="11" t="inlineStr">
        <is>
          <t>• [Must] Institutions and payment institutions should estimate extent to which outsourcing arrangement increases or decreases operational risk
• [May] Small and non-complex institutions may use qualitative risk assessment approaches
• [Should] Large or complex institutions should have sophisticated risk assessment approaches</t>
        </is>
      </c>
      <c r="O1388" s="11" t="inlineStr">
        <is>
          <t>65. The assessment should include, where appropriate, scenarios of possible risk events, including high-severity operational risk events. Within the scenario analysis, institutions and payment institutions should assess the potential impact of failed or inadequate services, including the risks caused by processes, systems, people or external events. Institutions and payment institutions, taking into account the principle of proportionality referred to in Section 1, should document the analysis performed and their results and should estimate the extent to which the outsourcing arrangement would increase or decrease their operational risk. Taking into account Title I, small and non-complex institutions and payment institutions may use qualitative risk assessment approaches, while large or complex institutions should have a more sophisticated approach, including, where available, the use of internal and external loss data to inform the scenario analysis.</t>
        </is>
      </c>
      <c r="P1388" s="12" t="n">
        <v>35</v>
      </c>
    </row>
    <row r="1389">
      <c r="A1389" t="inlineStr">
        <is>
          <t>GDPR</t>
        </is>
      </c>
      <c r="B1389" t="inlineStr">
        <is>
          <t>EBA revised Guidelines on outsourcing arrangements (GDPR - Row 5)</t>
        </is>
      </c>
      <c r="C1389" t="inlineStr">
        <is>
          <t>66</t>
        </is>
      </c>
      <c r="D1389" s="11" t="inlineStr">
        <is>
          <t>Risk assessment of outsourcing benefits and costs</t>
        </is>
      </c>
      <c r="E1389" t="inlineStr">
        <is>
          <t>41</t>
        </is>
      </c>
      <c r="F1389" t="inlineStr">
        <is>
          <t>High</t>
        </is>
      </c>
      <c r="G1389" t="inlineStr">
        <is>
          <t>High (explicit)</t>
        </is>
      </c>
      <c r="H1389" s="11" t="inlineStr">
        <is>
          <t>Outsourcing</t>
        </is>
      </c>
      <c r="I1389" s="11" t="inlineStr">
        <is>
          <t>Financial Data</t>
        </is>
      </c>
      <c r="J1389" t="inlineStr"/>
      <c r="K1389" s="11" t="inlineStr">
        <is>
          <t>Institutions and payment institutions must evaluate the expected benefits and costs of outsourcing arrangements, including weighing risks reduced or better managed against new risks introduced by outsourcing, while considering concentration risks, aggregated risks, step-in risks, and risk mitigation measures.</t>
        </is>
      </c>
      <c r="L1389" s="11" t="inlineStr">
        <is>
          <t>Outsourcing risk assessments must balance benefits and costs while addressing concentration, aggregation, and step-in risks to ensure financial stability.</t>
        </is>
      </c>
      <c r="M1389" s="11" t="inlineStr">
        <is>
          <t>• [Must] Institutions and payment institutions must assess expected benefits and costs of proposed outsourcing arrangements
• [Must] Institutions and payment institutions must weigh risks reduced or better managed against risks arising from outsourcing
• [Must] Institutions and payment institutions must consider concentration risks from dominant service providers</t>
        </is>
      </c>
      <c r="N1389" s="11" t="inlineStr">
        <is>
          <t>• [Must] Institutions and payment institutions must consider aggregated risks from multiple outsourced functions
• [Must] Institutions and payment institutions must consider step-in risks for significant institutions
• [Must] Institutions and payment institutions must consider risk mitigation measures implemented by themselves and service providers</t>
        </is>
      </c>
      <c r="O1389" s="11" t="inlineStr">
        <is>
          <t>66. Within the risk assessment, institutions and payments institutions should also take into account the expected benefits and costs of the proposed outsourcing arrangement, including weighing any risks that may be reduced or better managed against any risks that may arise as a result of the proposed outsourcing arrangement, taking into account at least: a. concentration risks, including from: i. outsourcing to a dominant service provider that is not easily substitutable; and ii. multiple outsourcing arrangements with the same service provider or closely connected service providers; b. the aggregated risks resulting from outsourcing several functions across the institution or payment institution and, in the case of groups of institutions or institutional protection schemes, the aggregated risks on a consolidated basis or on the basis of the institutional protection scheme; c. in the case of significant institutions, the step-in risk, i.e. the risk that may result from the need to provide financial support to a service provider in distress or to take over its business operations; and d. the measures implemented by the institution or payment institution and by the service provider to manage and mitigate the risks.</t>
        </is>
      </c>
      <c r="P1389" s="12" t="n">
        <v>35</v>
      </c>
    </row>
    <row r="1390">
      <c r="A1390" t="inlineStr">
        <is>
          <t>GDPR</t>
        </is>
      </c>
      <c r="B1390" t="inlineStr">
        <is>
          <t>EBA revised Guidelines on outsourcing arrangements (GDPR - Row 5)</t>
        </is>
      </c>
      <c r="C1390" t="inlineStr">
        <is>
          <t>67</t>
        </is>
      </c>
      <c r="D1390" s="11" t="inlineStr">
        <is>
          <t>Sub-outsourcing critical functions and risks</t>
        </is>
      </c>
      <c r="E1390" t="inlineStr">
        <is>
          <t>41–42</t>
        </is>
      </c>
      <c r="F1390" t="inlineStr">
        <is>
          <t>High</t>
        </is>
      </c>
      <c r="G1390" t="inlineStr">
        <is>
          <t>High (explicit)</t>
        </is>
      </c>
      <c r="H1390" s="11" t="inlineStr">
        <is>
          <t>Outsourcing</t>
        </is>
      </c>
      <c r="I1390" s="11" t="inlineStr">
        <is>
          <t>Financial Data</t>
        </is>
      </c>
      <c r="J1390" t="inlineStr"/>
      <c r="K1390" s="11" t="inlineStr">
        <is>
          <t>Institutions and payment institutions must consider risks associated with sub-outsourcing critical or important functions, including additional risks from sub-contractors in third countries or different countries from the service provider, and the reduced ability to oversee functions and supervise them effectively.</t>
        </is>
      </c>
      <c r="L1390" s="11" t="inlineStr">
        <is>
          <t>Sub-outsourcing critical functions introduces additional risks that must be evaluated to ensure effective oversight and regulatory compliance across borders.</t>
        </is>
      </c>
      <c r="M1390" s="11" t="inlineStr">
        <is>
          <t>• [Must] Institutions and payment institutions must take into account risks associated with sub-outsourcing critical or important functions
• [Must] Institutions and payment institutions must consider additional risks if sub-contractor is located in third country or different country from service provider</t>
        </is>
      </c>
      <c r="N1390" s="11" t="inlineStr">
        <is>
          <t>• [Must] Institutions and payment institutions must consider risk that long and complex sub-outsourcing chains reduce ability to oversee functions
• [Must] Institutions and payment institutions must consider risk that long and complex sub-outsourcing chains reduce ability of competent authorities to supervise</t>
        </is>
      </c>
      <c r="O1390" s="11" t="inlineStr">
        <is>
          <t>67. Where the outsourcing arrangement includes the possibility that the service provider sub-outsources critical or important functions to other service providers, institutions and payment institutions should take into account: a. the risks associated with sub-outsourcing, including the additional risks that may arise if the sub-contractor is located in a third country or a different country from the service provider; b. the risk that long and complex chains of sub-outsourcing reduce the ability of institutions or payment institutions to oversee the outsourced critical or important function and the ability of competent authorities to effectively supervise them.</t>
        </is>
      </c>
      <c r="P1390" s="12" t="n">
        <v>35</v>
      </c>
    </row>
    <row r="1391">
      <c r="A1391" t="inlineStr">
        <is>
          <t>GDPR</t>
        </is>
      </c>
      <c r="B1391" t="inlineStr">
        <is>
          <t>EBA revised Guidelines on outsourcing arrangements (GDPR - Row 5)</t>
        </is>
      </c>
      <c r="C1391" t="inlineStr">
        <is>
          <t>68</t>
        </is>
      </c>
      <c r="D1391" s="11" t="inlineStr">
        <is>
          <t>Risk assessment for outsourcing: data classification and risk analysis</t>
        </is>
      </c>
      <c r="E1391" t="inlineStr">
        <is>
          <t>42–43</t>
        </is>
      </c>
      <c r="F1391" t="inlineStr">
        <is>
          <t>High</t>
        </is>
      </c>
      <c r="G1391" t="inlineStr">
        <is>
          <t>High (explicit)</t>
        </is>
      </c>
      <c r="H1391" s="11" t="inlineStr">
        <is>
          <t>Third Party Processing, Data Storage, Security, Encryption, Access Control, Processing</t>
        </is>
      </c>
      <c r="I1391" s="11" t="inlineStr">
        <is>
          <t>Personal Information, Financial Data</t>
        </is>
      </c>
      <c r="J1391" t="inlineStr"/>
      <c r="K1391" s="11" t="inlineStr">
        <is>
          <t>Institutions and payment institutions must identify and classify functions and related data systems by sensitivity and security needs before outsourcing. They must conduct a thorough risk-based analysis covering operational risks including legal, ICT, compliance, and reputational risks, as well as oversight limitations in jurisdictions where services are provided or data is stored. They must also assess the service provider's location within or outside the EU, political stability, and data protection laws in relevant jurisdictions. Additionally, they must define appropriate data confidentiality, continuity, integrity, and traceability protections, including encryption and key management for data in transit, memory, and at rest.</t>
        </is>
      </c>
      <c r="L1391" s="11" t="inlineStr">
        <is>
          <t>This section requires detailed risk assessment of third-party service providers, including jurisdictional risks and data protection measures, which directly impacts cross-border data transfers and outsourcing arrangements.</t>
        </is>
      </c>
      <c r="M1391" s="11" t="inlineStr">
        <is>
          <t>• [Must] Identify and classify relevant functions and related data and systems by sensitivity and required security measures
• [Must] Conduct thorough risk-based analysis of functions and related data systems, addressing operational risks including legal, ICT, compliance and reputational risks
• [Must] Assess consequences of service provider location within or outside the EU</t>
        </is>
      </c>
      <c r="N1391" s="11" t="inlineStr">
        <is>
          <t>• [Must] Consider political stability and security of jurisdictions, including data protection laws, law enforcement provisions, and insolvency laws
• [Must] Define and decide on appropriate level of protection for data confidentiality, continuity of activities, integrity and traceability of data and systems
• [Must] Consider specific measures for data in transit, memory and at rest, such as encryption technologies with appropriate key management</t>
        </is>
      </c>
      <c r="O1391" s="11" t="inlineStr">
        <is>
          <t>68. When carrying out the risk assessment prior to outsourcing and during ongoing monitoring of the service provider's performance, institutions and payment institutions should, at least: a. identify and classify the relevant functions and related data and systems as regards their sensitivity and required security measures; b. conduct a thorough risk-based analysis of the functions and related data and systems that are being considered for outsourcing or have been outsourced and address the potential risks, in particular the operational risks, including legal, ICT, compliance and reputational risks, and the oversight limitations related to the countries where the outsourced services are or may be provided and where the data are or are likely to be stored; c. consider the consequences of where the service provider is located (within or outside the EU); d. consider the political stability and security situation of the jurisdictions in question, including: i. the laws in force, including laws on data protection; ii. the law enforcement provisions in place; and iii. the insolvency law provisions that would apply in the event of a service provider's failure and any constraints that would arise in respect of the urgent recovery of the institution's or payment institution's data in particular; e. define and decide on an appropriate level of protection of data confidentiality, of continuity of the activities outsourced and of the integrity and traceability of data and systems in the context of the intended outsourcing. Institutions and payment institutions should also consider specific measures, where necessary, for data in transit, data in memory and data at rest, such as the use of encryption technologies in combination with an appropriate key management architecture;</t>
        </is>
      </c>
      <c r="P1391" s="12" t="n">
        <v>35</v>
      </c>
    </row>
    <row r="1392">
      <c r="A1392" t="inlineStr">
        <is>
          <t>GDPR</t>
        </is>
      </c>
      <c r="B1392" t="inlineStr">
        <is>
          <t>EBA revised Guidelines on outsourcing arrangements (GDPR - Row 5)</t>
        </is>
      </c>
      <c r="C1392" t="inlineStr">
        <is>
          <t>69</t>
        </is>
      </c>
      <c r="D1392" s="11" t="inlineStr">
        <is>
          <t>Service provider suitability for outsourcing arrangements</t>
        </is>
      </c>
      <c r="E1392" t="inlineStr">
        <is>
          <t>43</t>
        </is>
      </c>
      <c r="F1392" t="inlineStr">
        <is>
          <t>High</t>
        </is>
      </c>
      <c r="G1392" t="inlineStr">
        <is>
          <t>High (explicit)</t>
        </is>
      </c>
      <c r="H1392" s="11" t="inlineStr">
        <is>
          <t>Third Party Processing, Processing</t>
        </is>
      </c>
      <c r="I1392" s="11" t="inlineStr">
        <is>
          <t>Financial Data</t>
        </is>
      </c>
      <c r="J1392" t="inlineStr"/>
      <c r="K1392" s="11" t="inlineStr">
        <is>
          <t>Institutions and payment institutions must ensure that the service provider is suitable before entering into an outsourcing arrangement, considering operational risks related to the function being outsourced. This includes evaluating the provider's capability to meet obligations over the duration of the contract.</t>
        </is>
      </c>
      <c r="L1392" s="11" t="inlineStr">
        <is>
          <t>This section emphasizes the need to assess service provider suitability before outsourcing, which affects cross-border data transfers and contractual safeguards.</t>
        </is>
      </c>
      <c r="M1392" s="11" t="inlineStr">
        <is>
          <t>• [Must] Ensure service provider is suitable before entering into outsourcing arrangement</t>
        </is>
      </c>
      <c r="N1392" s="11" t="inlineStr"/>
      <c r="O1392" s="11" t="inlineStr">
        <is>
          <t>69. Before entering into an outsourcing arrangement and considering the operational risks related to the function to be outsourced, institutions and payment institutions should ensure in their selection and assessment process that the service provider is suitable.</t>
        </is>
      </c>
      <c r="P1392" s="12" t="n">
        <v>35</v>
      </c>
    </row>
    <row r="1393">
      <c r="A1393" t="inlineStr">
        <is>
          <t>GDPR</t>
        </is>
      </c>
      <c r="B1393" t="inlineStr">
        <is>
          <t>EBA revised Guidelines on outsourcing arrangements (GDPR - Row 5)</t>
        </is>
      </c>
      <c r="C1393" t="inlineStr">
        <is>
          <t>70</t>
        </is>
      </c>
      <c r="D1393" s="11" t="inlineStr">
        <is>
          <t>Critical functions outsourcing requirements</t>
        </is>
      </c>
      <c r="E1393" t="inlineStr">
        <is>
          <t>43</t>
        </is>
      </c>
      <c r="F1393" t="inlineStr">
        <is>
          <t>High</t>
        </is>
      </c>
      <c r="G1393" t="inlineStr">
        <is>
          <t>High (explicit)</t>
        </is>
      </c>
      <c r="H1393" s="11" t="inlineStr">
        <is>
          <t>Third Party Processing, Processing</t>
        </is>
      </c>
      <c r="I1393" s="11" t="inlineStr">
        <is>
          <t>Financial Data</t>
        </is>
      </c>
      <c r="J1393" t="inlineStr"/>
      <c r="K1393" s="11" t="inlineStr">
        <is>
          <t>For critical and important functions, institutions and payment institutions must ensure the service provider has business reputation, sufficient abilities, expertise, capacity, resources, organizational structure, and regulatory authorizations to perform functions reliably and professionally over the contract duration.</t>
        </is>
      </c>
      <c r="L1393" s="11" t="inlineStr">
        <is>
          <t>This section specifies requirements for critical functions outsourcing, impacting data security and operational continuity in cross-border contexts.</t>
        </is>
      </c>
      <c r="M1393" s="11" t="inlineStr">
        <is>
          <t>• [Must] Ensure service provider has business reputation, appropriate and sufficient abilities, expertise, capacity, resources (e.g. human, IT, financial), organizational structure, and required regulatory authorizations</t>
        </is>
      </c>
      <c r="N1393" s="11" t="inlineStr"/>
      <c r="O1393" s="11" t="inlineStr">
        <is>
          <t>70. With regard to critical and important functions, institutions and payment institutions should ensure that the service provider has the business reputation, appropriate and sufficient abilities, the expertise, the capacity, the resources (e.g. human, IT, financial), the organisational structure and, if applicable, the required regulatory authorisation(s) or registration(s) to perform the critical or important function in a reliable and professional manner to meet its obligations over the duration of the draft contract.</t>
        </is>
      </c>
      <c r="P1393" s="12" t="n">
        <v>35</v>
      </c>
    </row>
    <row r="1394">
      <c r="A1394" t="inlineStr">
        <is>
          <t>GDPR</t>
        </is>
      </c>
      <c r="B1394" t="inlineStr">
        <is>
          <t>EBA revised Guidelines on outsourcing arrangements (GDPR - Row 5)</t>
        </is>
      </c>
      <c r="C1394" t="inlineStr">
        <is>
          <t>71</t>
        </is>
      </c>
      <c r="D1394" s="11" t="inlineStr">
        <is>
          <t>Due diligence factors for service providers</t>
        </is>
      </c>
      <c r="E1394" t="inlineStr">
        <is>
          <t>43</t>
        </is>
      </c>
      <c r="F1394" t="inlineStr">
        <is>
          <t>High</t>
        </is>
      </c>
      <c r="G1394" t="inlineStr">
        <is>
          <t>High (explicit)</t>
        </is>
      </c>
      <c r="H1394" s="11" t="inlineStr">
        <is>
          <t>Third Party Processing</t>
        </is>
      </c>
      <c r="I1394" s="11" t="inlineStr">
        <is>
          <t>Financial Data</t>
        </is>
      </c>
      <c r="J1394" t="inlineStr"/>
      <c r="K1394" s="11" t="inlineStr">
        <is>
          <t>Institutions and payment institutions must consider additional factors during due diligence on potential service providers, including business model, financial situation, ownership structure, relationships with existing providers, and regulatory supervision status.</t>
        </is>
      </c>
      <c r="L1394" s="11" t="inlineStr">
        <is>
          <t>This section outlines due diligence factors for service providers, which are critical for assessing cross-border data transfer risks and contractual compliance.</t>
        </is>
      </c>
      <c r="M1394" s="11" t="inlineStr">
        <is>
          <t>• [Must] Consider business model, nature, scale, complexity, financial situation, ownership and group structure of service provider
• [Must] Evaluate long-term relationships with service providers that have already been assessed</t>
        </is>
      </c>
      <c r="N1394" s="11" t="inlineStr">
        <is>
          <t>• [Must] Assess whether service provider is parent/subsidiary of institution, part of accounting consolidation, or member of institutional protection scheme
• [Must] Determine if service provider is supervised by competent authorities</t>
        </is>
      </c>
      <c r="O1394" s="11" t="inlineStr">
        <is>
          <t>71. Additional factors to be considered when conducting due diligence on a potential service provider include, but are not limited to: a. its business model, nature, scale, complexity, financial situation, ownership and group structure; b. the long-term relationships with service providers that have already been assessed and perform services for the institution or payment institution; c. whether the service provider is a parent undertaking or subsidiary of the institution or payment institution, is part of the accounting scope of consolidation of the institution or is a member of or is owned by institutions that are members of the same institutional protection scheme to which the institution belongs; d. whether or not the service provider is supervised by competent authorities.</t>
        </is>
      </c>
      <c r="P1394" s="12" t="n">
        <v>35</v>
      </c>
    </row>
    <row r="1395">
      <c r="A1395" t="inlineStr">
        <is>
          <t>GDPR</t>
        </is>
      </c>
      <c r="B1395" t="inlineStr">
        <is>
          <t>EBA revised Guidelines on outsourcing arrangements (GDPR - Row 5)</t>
        </is>
      </c>
      <c r="C1395" t="inlineStr">
        <is>
          <t>72</t>
        </is>
      </c>
      <c r="D1395" s="11" t="inlineStr">
        <is>
          <t>Data protection for outsourced personal data</t>
        </is>
      </c>
      <c r="E1395" t="inlineStr">
        <is>
          <t>43</t>
        </is>
      </c>
      <c r="F1395" t="inlineStr">
        <is>
          <t>High</t>
        </is>
      </c>
      <c r="G1395" t="inlineStr">
        <is>
          <t>High (explicit)</t>
        </is>
      </c>
      <c r="H1395" s="11" t="inlineStr">
        <is>
          <t>Third Party Processing, Security</t>
        </is>
      </c>
      <c r="I1395" s="11" t="inlineStr">
        <is>
          <t>Personal Information</t>
        </is>
      </c>
      <c r="J1395" t="inlineStr"/>
      <c r="K1395" s="11" t="inlineStr">
        <is>
          <t>Institutions and payment institutions must ensure that service providers implementing outsourcing of personal or confidential data have appropriate technical and organizational measures to protect the data.</t>
        </is>
      </c>
      <c r="L1395" s="11" t="inlineStr">
        <is>
          <t>This section mandates technical and organizational safeguards for outsourced personal data, directly affecting cross-border data transfer security.</t>
        </is>
      </c>
      <c r="M1395" s="11" t="inlineStr">
        <is>
          <t>• [Must] Ensure service provider implements appropriate technical and organizational measures to protect personal or confidential data</t>
        </is>
      </c>
      <c r="N1395" s="11" t="inlineStr"/>
      <c r="O1395" s="11" t="inlineStr">
        <is>
          <t>72. Where outsourcing involves the processing of personal or confidential data, institutions and payment institutions should be satisfied that the service provider implements appropriate technical and organisational measures to protect the data.</t>
        </is>
      </c>
      <c r="P1395" s="12" t="n">
        <v>35</v>
      </c>
    </row>
    <row r="1396">
      <c r="A1396" t="inlineStr">
        <is>
          <t>GDPR</t>
        </is>
      </c>
      <c r="B1396" t="inlineStr">
        <is>
          <t>EBA revised Guidelines on outsourcing arrangements (GDPR - Row 5)</t>
        </is>
      </c>
      <c r="C1396" t="inlineStr">
        <is>
          <t>73</t>
        </is>
      </c>
      <c r="D1396" s="11" t="inlineStr">
        <is>
          <t>Ethical and social responsibility for service providers</t>
        </is>
      </c>
      <c r="E1396" t="inlineStr">
        <is>
          <t>43–44</t>
        </is>
      </c>
      <c r="F1396" t="inlineStr">
        <is>
          <t>Medium</t>
        </is>
      </c>
      <c r="G1396" t="inlineStr">
        <is>
          <t>High (explicit)</t>
        </is>
      </c>
      <c r="H1396" s="11" t="inlineStr">
        <is>
          <t>Third Party Processing</t>
        </is>
      </c>
      <c r="I1396" s="11" t="inlineStr">
        <is>
          <t>Personal Information</t>
        </is>
      </c>
      <c r="J1396" t="inlineStr"/>
      <c r="K1396" s="11" t="inlineStr">
        <is>
          <t>Institutions and payment institutions must ensure service providers act ethically and responsibly, including adherence to international human rights standards, environmental protection, and working conditions, with a prohibition on child labor.</t>
        </is>
      </c>
      <c r="L1396" s="11" t="inlineStr">
        <is>
          <t>This section requires service providers to meet ethical standards, which may impact cross-border data transfers through compliance with international human rights frameworks.</t>
        </is>
      </c>
      <c r="M1396" s="11" t="inlineStr">
        <is>
          <t>• [Must] Ensure service providers act in manner consistent with values and code of conduct, including ethical and socially responsible behavior
• [Must] Ensure service providers adhere to international standards on human rights (e.g. European Convention on Human Rights)</t>
        </is>
      </c>
      <c r="N1396" s="11" t="inlineStr">
        <is>
          <t>• [Must] Ensure service providers comply with environmental protection and appropriate working conditions, including prohibition of child labor</t>
        </is>
      </c>
      <c r="O1396" s="11" t="inlineStr">
        <is>
          <t>73. Institutions and payment institutions should take appropriate steps to ensure that service providers act in a manner consistent with their values and code of conduct. In particular, with regard to service providers located in third countries and, if applicable, their sub-contractors, institutions and payment institutions should be satisfied that the service provider acts in an ethical and socially responsible manner and adheres to international standards on human rights (e.g. the European Convention on Human Rights), environmental protection and appropriate working conditions, including the prohibition of child labour.</t>
        </is>
      </c>
      <c r="P1396" s="12" t="n">
        <v>35</v>
      </c>
    </row>
    <row r="1397">
      <c r="A1397" t="inlineStr">
        <is>
          <t>GDPR</t>
        </is>
      </c>
      <c r="B1397" t="inlineStr">
        <is>
          <t>EBA revised Guidelines on outsourcing arrangements (GDPR - Row 5)</t>
        </is>
      </c>
      <c r="C1397" t="inlineStr">
        <is>
          <t>75</t>
        </is>
      </c>
      <c r="D1397" s="11" t="inlineStr">
        <is>
          <t>Outsourcing agreement requirements for critical functions</t>
        </is>
      </c>
      <c r="E1397" t="inlineStr">
        <is>
          <t>44–45</t>
        </is>
      </c>
      <c r="F1397" t="inlineStr">
        <is>
          <t>High</t>
        </is>
      </c>
      <c r="G1397" t="inlineStr">
        <is>
          <t>High (explicit)</t>
        </is>
      </c>
      <c r="H1397" s="11" t="inlineStr">
        <is>
          <t>Outsourcing, Data Storage, Security, Access Control, Processing, Incident Reporting, Breach Notification, Consent, Customer Information, Financial Data, KYC, AML</t>
        </is>
      </c>
      <c r="I1397" s="11" t="inlineStr">
        <is>
          <t>Personal Information, Financial Data, Customer Data</t>
        </is>
      </c>
      <c r="J1397" t="inlineStr">
        <is>
          <t>European Banking Authority (EBA)</t>
        </is>
      </c>
      <c r="K1397" s="11" t="inlineStr">
        <is>
          <t>The outsourcing agreement for critical or important functions must specify the outsourced function, agreement duration with notice periods, governing law, financial obligations, sub-outsourcing permissions with conditions, data locations, data security measures, performance monitoring rights, service levels, reporting obligations, insurance requirements, business contingency plans, data access during insolvency, cooperation with authorities, and resolution authority powers. These obligations apply to institutions and payment institutions.</t>
        </is>
      </c>
      <c r="L1397" s="11" t="inlineStr">
        <is>
          <t>This section mandates detailed contractual terms for critical functions to ensure data security, continuity, and regulatory compliance during outsourcing, directly impacting cross-border data transfers and third-party processing risks.</t>
        </is>
      </c>
      <c r="M1397" s="11" t="inlineStr">
        <is>
          <t>• [Must] A clear description of the outsourced function to be provided
• [Must] Start date and end date, where applicable, of the agreement and notice periods for the service provider and institution
• [Must] Governing law of the agreement
• [Must] Parties' financial obligations
• [Must] Whether sub-outsourcing of critical or important functions is permitted and conditions specified in Section 13.1
• [Must] Location(s) where critical functions will be provided and data processed, including storage locations and conditions for location changes
• [Must] Provisions regarding accessibility, availability, integrity, privacy and safety of relevant data as specified in Section 13.2
• [Must] Right of institution to monitor service provider's performance on an ongoing basis
• [Must] Agreed service levels with precise quantitative and qualitative performance targets</t>
        </is>
      </c>
      <c r="N1397" s="11" t="inlineStr">
        <is>
          <t>• [Must] Reporting obligations of service provider to institution, including developments affecting service delivery and compliance
• [Must] Whether service provider should take mandatory insurance against certain risks and requested coverage levels
• [Must] Requirements to implement and test business contingency plans
• [Must] Obligation to ensure data access during service provider insolvency, resolution or discontinuation
• [Must] Obligation to cooperate with competent authorities and resolution authorities
• [Must] Clear reference to national resolution authority's powers, especially Articles 68 and 71 of Directive 2014/59/EU
• [Must] Unrestricted right of institutions to inspect and audit service provider
• [Must] Termination rights as specified in Section 13.4</t>
        </is>
      </c>
      <c r="O1397" s="11" t="inlineStr">
        <is>
          <t>75. The outsourcing agreement for critical or important functions should set out at least: a. a clear description of the outsourced function to be provided; b. the start date and end date, where applicable, of the agreement and the notice periods for the service provider and the institution or payment institution; c. the governing law of the agreement; d. the parties' financial obligations; e. whether the sub-outsourcing of a critical or important function, or material parts thereof, is permitted and, if so, the conditions specified in Section 13.1 that the sub-outsourcing is subject to; f. the location(s) (i.e. regions or countries) where the critical or important function will be provided and/or where relevant data will be kept and processed, including the possible storage location, and the conditions to be met, including a requirement to notify the institution or payment institution if the service provider proposes to change the location(s); g. where relevant, provisions regarding the accessibility, availability, integrity, privacy and safety of relevant data, as specified in Section 13.2; h. the right of the institution or payment institution to monitor the service provider's performance on an ongoing basis; i. the agreed service levels, which should include precise quantitative and qualitative performance targets for the outsourced function to allow for timely monitoring so that appropriate corrective action can be taken without undue delay if the agreed service levels are not met; j. the reporting obligations of the service provider to the institution or payment institution, including the communication by the service provider of any development that may have a material impact on the service provider's ability to effectively carry out the critical or important function in line with the agreed service levels and in compliance with applicable laws and regulatory requirements and, as appropriate, the obligations to submit reports of the internal audit function of the service provider; k. whether the service provider should take mandatory insurance against certain risks and, if applicable, the level of insurance cover requested;</t>
        </is>
      </c>
      <c r="P1397" s="12" t="n">
        <v>35</v>
      </c>
    </row>
    <row r="1398">
      <c r="A1398" t="inlineStr">
        <is>
          <t>GDPR</t>
        </is>
      </c>
      <c r="B1398" t="inlineStr">
        <is>
          <t>EBA revised Guidelines on outsourcing arrangements (GDPR - Row 5)</t>
        </is>
      </c>
      <c r="C1398" t="inlineStr">
        <is>
          <t>76</t>
        </is>
      </c>
      <c r="D1398" s="11" t="inlineStr">
        <is>
          <t>Sub-outsourcing permission for critical functions</t>
        </is>
      </c>
      <c r="E1398" t="inlineStr">
        <is>
          <t>45</t>
        </is>
      </c>
      <c r="F1398" t="inlineStr">
        <is>
          <t>High</t>
        </is>
      </c>
      <c r="G1398" t="inlineStr">
        <is>
          <t>High (explicit)</t>
        </is>
      </c>
      <c r="H1398" s="11" t="inlineStr">
        <is>
          <t>Outsourcing, Data Storage, Security, Processing</t>
        </is>
      </c>
      <c r="I1398" s="11" t="inlineStr">
        <is>
          <t>Financial Data, Customer Data</t>
        </is>
      </c>
      <c r="J1398" t="inlineStr">
        <is>
          <t>European Banking Authority (EBA)</t>
        </is>
      </c>
      <c r="K1398" s="11" t="inlineStr">
        <is>
          <t>The outsourcing agreement must specify whether sub-outsourcing critical or important functions, or material parts thereof, is permitted. This applies to institutions and payment institutions.</t>
        </is>
      </c>
      <c r="L1398" s="11" t="inlineStr">
        <is>
          <t>This section requires explicit permission for sub-outsourcing critical functions, which affects data transfer risks and third-party processing compliance.</t>
        </is>
      </c>
      <c r="M1398" s="11" t="inlineStr">
        <is>
          <t>• [Must] Specify whether sub-outsourcing of critical or important functions, or material parts thereof, is permitted</t>
        </is>
      </c>
      <c r="N1398" s="11" t="inlineStr"/>
      <c r="O1398" s="11" t="inlineStr">
        <is>
          <t>76. The outsourcing agreement should specify whether or not sub-outsourcing of critical or important functions, or material parts thereof, is permitted.</t>
        </is>
      </c>
      <c r="P1398" s="12" t="n">
        <v>35</v>
      </c>
    </row>
    <row r="1399">
      <c r="A1399" t="inlineStr">
        <is>
          <t>GDPR</t>
        </is>
      </c>
      <c r="B1399" t="inlineStr">
        <is>
          <t>EBA revised Guidelines on outsourcing arrangements (GDPR - Row 5)</t>
        </is>
      </c>
      <c r="C1399" t="inlineStr">
        <is>
          <t>77</t>
        </is>
      </c>
      <c r="D1399" s="11" t="inlineStr">
        <is>
          <t>Sub-outsourcing critical function materiality assessment</t>
        </is>
      </c>
      <c r="E1399" t="inlineStr">
        <is>
          <t>45</t>
        </is>
      </c>
      <c r="F1399" t="inlineStr">
        <is>
          <t>High</t>
        </is>
      </c>
      <c r="G1399" t="inlineStr">
        <is>
          <t>High (explicit)</t>
        </is>
      </c>
      <c r="H1399" s="11" t="inlineStr">
        <is>
          <t>Outsourcing, Data Storage, Processing</t>
        </is>
      </c>
      <c r="I1399" s="11" t="inlineStr">
        <is>
          <t>Financial Data, Customer Data</t>
        </is>
      </c>
      <c r="J1399" t="inlineStr">
        <is>
          <t>European Banking Authority (EBA)</t>
        </is>
      </c>
      <c r="K1399" s="11" t="inlineStr">
        <is>
          <t>If sub-outsourcing critical or important functions is permitted, institutions and payment institutions must determine whether the sub-outsourceable part is critical or important and record it in their register.</t>
        </is>
      </c>
      <c r="L1399" s="11" t="inlineStr">
        <is>
          <t>This section requires institutions to assess and document the criticality of sub-outsourceable functions, impacting data transfer risk management.</t>
        </is>
      </c>
      <c r="M1399" s="11" t="inlineStr">
        <is>
          <t>• [Must] Determine whether the part of the function to be sub-outsourced is critical or important (i.e. a material part of the critical or important function)</t>
        </is>
      </c>
      <c r="N1399" s="11" t="inlineStr">
        <is>
          <t>• [Must] Record the determination in the register</t>
        </is>
      </c>
      <c r="O1399" s="11" t="inlineStr">
        <is>
          <t>77. If sub-outsourcing of critical or important functions is permitted, institutions and payment institutions should determine whether the part of the function to be sub-outsourced is, as such, critical or important (i.e. a material part of the critical or important function) and, if so, record it in the register.</t>
        </is>
      </c>
      <c r="P1399" s="12" t="n">
        <v>35</v>
      </c>
    </row>
    <row r="1400">
      <c r="A1400" t="inlineStr">
        <is>
          <t>GDPR</t>
        </is>
      </c>
      <c r="B1400" t="inlineStr">
        <is>
          <t>EBA revised Guidelines on outsourcing arrangements (GDPR - Row 5)</t>
        </is>
      </c>
      <c r="C1400" t="inlineStr">
        <is>
          <t>78</t>
        </is>
      </c>
      <c r="D1400" s="11" t="inlineStr">
        <is>
          <t>Sub-outsourcing agreement conditions</t>
        </is>
      </c>
      <c r="E1400" t="inlineStr">
        <is>
          <t>45–46</t>
        </is>
      </c>
      <c r="F1400" t="inlineStr">
        <is>
          <t>High</t>
        </is>
      </c>
      <c r="G1400" t="inlineStr">
        <is>
          <t>High (explicit)</t>
        </is>
      </c>
      <c r="H1400" s="11" t="inlineStr">
        <is>
          <t>Outsourcing, Data Storage, Security, Processing, Access Control, Incident Reporting, Breach Notification</t>
        </is>
      </c>
      <c r="I1400" s="11" t="inlineStr">
        <is>
          <t>Financial Data, Customer Data</t>
        </is>
      </c>
      <c r="J1400" t="inlineStr">
        <is>
          <t>European Banking Authority (EBA)</t>
        </is>
      </c>
      <c r="K1400" s="11" t="inlineStr">
        <is>
          <t>If sub-outsourcing critical or important functions is permitted, the agreement must specify excluded activities, sub-outsourcing conditions, service provider oversight obligations, prior authorization requirements for data sub-outsourcing, notification of planned sub-outsourcing, and contractual rights to object or terminate.</t>
        </is>
      </c>
      <c r="L1400" s="11" t="inlineStr">
        <is>
          <t>This section defines contractual safeguards for sub-outsourcing, critical for managing data transfer risks and ensuring compliance with financial regulations.</t>
        </is>
      </c>
      <c r="M1400" s="11" t="inlineStr">
        <is>
          <t>• [Must] Specify any types of activities excluded from sub-outsourcing
• [Must] Specify conditions to be complied with in the case of sub-outsourcing
• [Must] Require service provider to oversee subcontracted services to ensure contractual obligations are met
• [Must] Require service provider to obtain prior specific or general written authorization from institution before sub-outsourcing data</t>
        </is>
      </c>
      <c r="N1400" s="11" t="inlineStr">
        <is>
          <t>• [Must] Oblige service provider to inform institution of planned sub-outsourcing or material changes
• [Must] Ensure institution has right to object to intended sub-outsourcing or material changes
• [Must] Ensure institution has contractual right to terminate agreement in case of undue sub-outsourcing</t>
        </is>
      </c>
      <c r="O1400" s="11" t="inlineStr">
        <is>
          <t>78. If sub-outsourcing of critical or important functions is permitted, the written agreement should: a. specify any types of activities that are excluded from sub-outsourcing; b. specify the conditions to be complied with in the case of sub-outsourcing; c. specify that the service provider is obliged to oversee those services that it has subcontracted to ensure that all contractual obligations between the service provider and the institution or payment institution are continuously met; d. require the service provider to obtain prior specific or general written authorisation from the institution or payment institution before sub-outsourcing data; e. include an obligation of the service provider to inform the institution or payment institution of any planned sub-outsourcing, or material changes thereof, in particular where that might affect the ability of the service provider to meet its responsibilities under the outsourcing agreement. This includes planned significant changes of subcontractors and to the notification period; in particular, the notification period to be set should allow the outsourcing institution or payment institution at least to carry out a risk assessment of the proposed changes and to object to changes before the planned sub-outsourcing, or material changes thereof, come into effect; f. ensure, where appropriate, that the institution or payment institution has the right to object to intended sub-outsourcing, or material changes thereof, or that explicit approval is required; g. ensure that the institution or payment institution has the contractual right to terminate the agreement in the case of undue sub-outsourcing, e.g. where the sub-outsourcing materially increases the risks for the institution or payment institution or where the service provider sub-outsources without notifying the institution or payment institution.</t>
        </is>
      </c>
      <c r="P1400" s="12" t="n">
        <v>35</v>
      </c>
    </row>
    <row r="1401">
      <c r="A1401" t="inlineStr">
        <is>
          <t>GDPR</t>
        </is>
      </c>
      <c r="B1401" t="inlineStr">
        <is>
          <t>EBA revised Guidelines on outsourcing arrangements (GDPR - Row 5)</t>
        </is>
      </c>
      <c r="C1401" t="inlineStr">
        <is>
          <t>79</t>
        </is>
      </c>
      <c r="D1401" s="11" t="inlineStr">
        <is>
          <t>Sub-contractor compliance obligations</t>
        </is>
      </c>
      <c r="E1401" t="inlineStr">
        <is>
          <t>46</t>
        </is>
      </c>
      <c r="F1401" t="inlineStr">
        <is>
          <t>High</t>
        </is>
      </c>
      <c r="G1401" t="inlineStr">
        <is>
          <t>High (explicit)</t>
        </is>
      </c>
      <c r="H1401" s="11" t="inlineStr">
        <is>
          <t>Outsourcing, Data Storage, Security, Processing, Access Control</t>
        </is>
      </c>
      <c r="I1401" s="11" t="inlineStr">
        <is>
          <t>Financial Data, Customer Data</t>
        </is>
      </c>
      <c r="J1401" t="inlineStr">
        <is>
          <t>European Banking Authority (EBA)</t>
        </is>
      </c>
      <c r="K1401" s="11" t="inlineStr">
        <is>
          <t>Subcontractors must comply with all applicable laws, regulatory requirements, and contractual obligations, and grant institutions and payment institutions the same contractual rights of access and audit as those granted by the service provider.</t>
        </is>
      </c>
      <c r="L1401" s="11" t="inlineStr">
        <is>
          <t>This section ensures subcontractors maintain equivalent compliance and access rights, critical for data transfer integrity and regulatory oversight.</t>
        </is>
      </c>
      <c r="M1401" s="11" t="inlineStr">
        <is>
          <t>• [Must] Comply with all applicable laws, regulatory requirements and contractual obligations</t>
        </is>
      </c>
      <c r="N1401" s="11" t="inlineStr">
        <is>
          <t>• [Must] Grant institution, payment institution and competent authority the same contractual rights of access and audit as those granted by the service provider</t>
        </is>
      </c>
      <c r="O1401" s="11" t="inlineStr">
        <is>
          <t>79. Institutions and payment institutions should agree to sub-outsourcing only if the subcontractor undertakes to: a. comply with all applicable laws, regulatory requirements and contractual obligations; and b. grant the institution, payment institution and competent authority the same contractual rights of access and audit as those granted by the service provider.</t>
        </is>
      </c>
      <c r="P1401" s="12" t="n">
        <v>35</v>
      </c>
    </row>
    <row r="1402">
      <c r="A1402" t="inlineStr">
        <is>
          <t>GDPR</t>
        </is>
      </c>
      <c r="B1402" t="inlineStr">
        <is>
          <t>EBA revised Guidelines on outsourcing arrangements (GDPR - Row 5)</t>
        </is>
      </c>
      <c r="C1402" t="inlineStr">
        <is>
          <t>80</t>
        </is>
      </c>
      <c r="D1402" s="11" t="inlineStr">
        <is>
          <t>Sub-outsourcing risk assessment and termination rights</t>
        </is>
      </c>
      <c r="E1402" t="inlineStr">
        <is>
          <t>46</t>
        </is>
      </c>
      <c r="F1402" t="inlineStr">
        <is>
          <t>High</t>
        </is>
      </c>
      <c r="G1402" t="inlineStr">
        <is>
          <t>High (explicit)</t>
        </is>
      </c>
      <c r="H1402" s="11" t="inlineStr">
        <is>
          <t>Outsourcing, Data Storage, Security, Processing, Incident Reporting, Breach Notification</t>
        </is>
      </c>
      <c r="I1402" s="11" t="inlineStr">
        <is>
          <t>Financial Data, Customer Data</t>
        </is>
      </c>
      <c r="J1402" t="inlineStr">
        <is>
          <t>European Banking Authority (EBA)</t>
        </is>
      </c>
      <c r="K1402" s="11" t="inlineStr">
        <is>
          <t>Institutions must ensure service providers appropriately oversee sub-service providers, and may object or terminate contracts if sub-outsourcing could materially affect the outsourcing arrangement or increase risks, especially where sub-contractor compliance conditions are not met.</t>
        </is>
      </c>
      <c r="L1402" s="11" t="inlineStr">
        <is>
          <t>This section mandates risk assessment for sub-outsourcing, directly impacting data transfer safety and regulatory compliance.</t>
        </is>
      </c>
      <c r="M1402" s="11" t="inlineStr">
        <is>
          <t>• [Must] Ensure service provider appropriately oversees sub-service providers in line with institution policy</t>
        </is>
      </c>
      <c r="N1402" s="11" t="inlineStr">
        <is>
          <t>• [Must] Exercise right to object or terminate contract if sub-outsourcing could have material adverse effects or lead to material risk increase</t>
        </is>
      </c>
      <c r="O1402" s="11" t="inlineStr">
        <is>
          <t>80. Institutions and payment institutions should ensure that the service provider appropriately oversees the sub-service providers, in line with the policy defined by the institution or payment institution. If the sub-outsourcing proposed could have material adverse effects on the outsourcing arrangement of a critical or important function or would lead to a material increase of risk, including where the conditions in paragraph 79 would not be met, the institution or payment institution should exercise its right to object to the sub-outsourcing, if such a right was agreed, and/or terminate the contract.</t>
        </is>
      </c>
      <c r="P1402" s="12" t="n">
        <v>35</v>
      </c>
    </row>
    <row r="1403">
      <c r="A1403" t="inlineStr">
        <is>
          <t>GDPR</t>
        </is>
      </c>
      <c r="B1403" t="inlineStr">
        <is>
          <t>EBA revised Guidelines on outsourcing arrangements (GDPR - Row 5)</t>
        </is>
      </c>
      <c r="C1403" t="inlineStr">
        <is>
          <t>82</t>
        </is>
      </c>
      <c r="D1403" s="11" t="inlineStr">
        <is>
          <t>Outsourcing security requirements for data and systems</t>
        </is>
      </c>
      <c r="E1403" t="inlineStr">
        <is>
          <t>46–47</t>
        </is>
      </c>
      <c r="F1403" t="inlineStr">
        <is>
          <t>High</t>
        </is>
      </c>
      <c r="G1403" t="inlineStr">
        <is>
          <t>High (explicit)</t>
        </is>
      </c>
      <c r="H1403" s="11" t="inlineStr">
        <is>
          <t>Security, Cloud Services, Outsourcing</t>
        </is>
      </c>
      <c r="I1403" s="11" t="inlineStr">
        <is>
          <t>Personal Information</t>
        </is>
      </c>
      <c r="J1403" t="inlineStr"/>
      <c r="K1403" s="11" t="inlineStr">
        <is>
          <t>Institutions and payment institutions must define data and system security requirements within outsourcing agreements and continuously monitor compliance with these requirements. This applies to cloud or other ICT outsourcing arrangements involving personal data. The obligations ensure ongoing security oversight of outsourced functions.</t>
        </is>
      </c>
      <c r="L1403" s="11" t="inlineStr">
        <is>
          <t>Requires explicit security requirements in outsourcing agreements and ongoing compliance monitoring for data and systems, critical for assessing security risks in cross-border data transfers via cloud services.</t>
        </is>
      </c>
      <c r="M1403" s="11" t="inlineStr">
        <is>
          <t>• [Must] Institutions and payment institutions should define data and system security requirements within the outsourcing agreement</t>
        </is>
      </c>
      <c r="N1403" s="11" t="inlineStr">
        <is>
          <t>• [Must] Institutions and payment institutions should monitor compliance with these security requirements on an ongoing basis</t>
        </is>
      </c>
      <c r="O1403" s="11" t="inlineStr">
        <is>
          <t>82. Where relevant (e.g. in the context of cloud or other ICT outsourcing), institutions and payment institutions should define data and system security requirements within the outsourcing agreement and monitor compliance with these requirements on an ongoing basis.</t>
        </is>
      </c>
      <c r="P1403" s="12" t="n">
        <v>35</v>
      </c>
    </row>
    <row r="1404">
      <c r="A1404" t="inlineStr">
        <is>
          <t>GDPR</t>
        </is>
      </c>
      <c r="B1404" t="inlineStr">
        <is>
          <t>EBA revised Guidelines on outsourcing arrangements (GDPR - Row 5)</t>
        </is>
      </c>
      <c r="C1404" t="inlineStr">
        <is>
          <t>83</t>
        </is>
      </c>
      <c r="D1404" s="11" t="inlineStr">
        <is>
          <t>Risk-based approach to data storage and processing locations</t>
        </is>
      </c>
      <c r="E1404" t="inlineStr">
        <is>
          <t>47</t>
        </is>
      </c>
      <c r="F1404" t="inlineStr">
        <is>
          <t>High</t>
        </is>
      </c>
      <c r="G1404" t="inlineStr">
        <is>
          <t>High (explicit)</t>
        </is>
      </c>
      <c r="H1404" s="11" t="inlineStr">
        <is>
          <t>Security, Cloud Services, Outsourcing</t>
        </is>
      </c>
      <c r="I1404" s="11" t="inlineStr">
        <is>
          <t>Personal Information</t>
        </is>
      </c>
      <c r="J1404" t="inlineStr"/>
      <c r="K1404" s="11" t="inlineStr">
        <is>
          <t>Institutions and payment institutions must adopt a risk-based approach to determine data storage and processing locations (countries or regions) and information security considerations when outsourcing to cloud service providers or other arrangements handling personal data. This ensures appropriate risk management for data transfers.</t>
        </is>
      </c>
      <c r="L1404" s="11" t="inlineStr">
        <is>
          <t>Mandates a risk-based assessment of data storage and processing locations for outsourced data, crucial for DTIA to evaluate jurisdictional risks in cross-border data transfers.</t>
        </is>
      </c>
      <c r="M1404" s="11" t="inlineStr">
        <is>
          <t>• [Must] Institutions and payment institutions should adopt a risk-based approach to data storage and data processing location(s) (i.e. country or region)</t>
        </is>
      </c>
      <c r="N1404" s="11" t="inlineStr">
        <is>
          <t>• [Must] Institutions and payment institutions should adopt a risk-based approach to information security considerations</t>
        </is>
      </c>
      <c r="O1404" s="11" t="inlineStr">
        <is>
          <t>83. In the case of outsourcing to cloud service providers and other outsourcing arrangements that involve the handling or transfer of personal or confidential data, institutions and payment institutions should adopt a risk-based approach to data storage and data processing location(s) (i.e. country or region) and information security considerations.</t>
        </is>
      </c>
      <c r="P1404" s="12" t="n">
        <v>35</v>
      </c>
    </row>
    <row r="1405">
      <c r="A1405" t="inlineStr">
        <is>
          <t>GDPR</t>
        </is>
      </c>
      <c r="B1405" t="inlineStr">
        <is>
          <t>EBA revised Guidelines on outsourcing arrangements (GDPR - Row 5)</t>
        </is>
      </c>
      <c r="C1405" t="inlineStr">
        <is>
          <t>84</t>
        </is>
      </c>
      <c r="D1405" s="11" t="inlineStr">
        <is>
          <t>Data protection obligations in outsourcing agreements</t>
        </is>
      </c>
      <c r="E1405" t="inlineStr">
        <is>
          <t>47</t>
        </is>
      </c>
      <c r="F1405" t="inlineStr">
        <is>
          <t>High</t>
        </is>
      </c>
      <c r="G1405" t="inlineStr">
        <is>
          <t>High (explicit)</t>
        </is>
      </c>
      <c r="H1405" s="11" t="inlineStr">
        <is>
          <t>Security, Outsourcing, Cloud Services</t>
        </is>
      </c>
      <c r="I1405" s="11" t="inlineStr">
        <is>
          <t>Personal Information</t>
        </is>
      </c>
      <c r="J1405" t="inlineStr"/>
      <c r="K1405" s="11" t="inlineStr">
        <is>
          <t>Institutions and payment institutions must ensure outsourcing agreements include obligations for service providers to protect confidential, personal, or sensitive information and comply with all legal data protection requirements applicable to the institution. This includes banking secrecy and similar confidentiality duties where applicable.</t>
        </is>
      </c>
      <c r="L1405" s="11" t="inlineStr">
        <is>
          <t>Requires service providers to adhere to the institution's data protection standards, including confidentiality obligations, critical for DTIA to assess compliance with data protection laws in cross-border outsourcing.</t>
        </is>
      </c>
      <c r="M1405" s="11" t="inlineStr">
        <is>
          <t>• [Must] Outsourcing agreements must include the obligation that the service provider protects confidential, personal or sensitive information
• [Must] Service providers must comply with all legal requirements regarding the protection of data applicable to the institution</t>
        </is>
      </c>
      <c r="N1405" s="11" t="inlineStr">
        <is>
          <t>• [Must] Service providers must observe banking secrecy or similar legal confidentiality duties with respect to clients' information where applicable</t>
        </is>
      </c>
      <c r="O1405" s="11" t="inlineStr">
        <is>
          <t>84. Without prejudice to the requirements under the Regulation (EU) 2016/679, institutions and payment institutions, when outsourcing (in particular to third countries), should take into account differences in national provisions regarding the protection of data. Institutions and payment institutions should ensure that the outsourcing agreement includes the obligation that the service provider protects confidential, personal or otherwise sensitive information and complies with all legal requirements regarding the protection of data that apply to the institution or payment institution (e.g. the protection of personal data and that banking secrecy or similar legal confidentiality duties with respect to clients' information, where applicable, are observed).</t>
        </is>
      </c>
      <c r="P1405" s="12" t="n">
        <v>35</v>
      </c>
    </row>
    <row r="1406">
      <c r="A1406" t="inlineStr">
        <is>
          <t>GDPR</t>
        </is>
      </c>
      <c r="B1406" t="inlineStr">
        <is>
          <t>EBA revised Guidelines on outsourcing arrangements (GDPR - Row 5)</t>
        </is>
      </c>
      <c r="C1406" t="inlineStr">
        <is>
          <t>85</t>
        </is>
      </c>
      <c r="D1406" s="11" t="inlineStr">
        <is>
          <t>Internal audit access for outsourced functions</t>
        </is>
      </c>
      <c r="E1406" t="inlineStr">
        <is>
          <t>47</t>
        </is>
      </c>
      <c r="F1406" t="inlineStr">
        <is>
          <t>High</t>
        </is>
      </c>
      <c r="G1406" t="inlineStr">
        <is>
          <t>High (explicit)</t>
        </is>
      </c>
      <c r="H1406" s="11" t="inlineStr">
        <is>
          <t>Security, Outsourcing</t>
        </is>
      </c>
      <c r="I1406" s="11" t="inlineStr">
        <is>
          <t>Personal Information</t>
        </is>
      </c>
      <c r="J1406" t="inlineStr"/>
      <c r="K1406" s="11" t="inlineStr">
        <is>
          <t>Institutions and payment institutions must ensure written outsourcing agreements grant their internal audit function the ability to review outsourced functions using a risk-based approach. This enables continuous oversight of outsourced activities.</t>
        </is>
      </c>
      <c r="L1406" s="11" t="inlineStr">
        <is>
          <t>Requires internal audit access to outsourced functions for risk-based monitoring, essential for DTIA to verify compliance with security and data protection obligations in outsourcing arrangements.</t>
        </is>
      </c>
      <c r="M1406" s="11" t="inlineStr">
        <is>
          <t>• [Must] Institutions and payment institutions should ensure within the written outsourcing arrangement that the internal audit function can review the outsourced function using a risk-based approach</t>
        </is>
      </c>
      <c r="N1406" s="11" t="inlineStr"/>
      <c r="O1406" s="11" t="inlineStr">
        <is>
          <t>85. Institutions and payment institutions should ensure within the written outsourcing arrangement that the internal audit function is able to review the outsourced function using a risk-based approach.</t>
        </is>
      </c>
      <c r="P1406" s="12" t="n">
        <v>35</v>
      </c>
    </row>
    <row r="1407">
      <c r="A1407" t="inlineStr">
        <is>
          <t>GDPR</t>
        </is>
      </c>
      <c r="B1407" t="inlineStr">
        <is>
          <t>EBA revised Guidelines on outsourcing arrangements (GDPR - Row 5)</t>
        </is>
      </c>
      <c r="C1407" t="inlineStr">
        <is>
          <t>86</t>
        </is>
      </c>
      <c r="D1407" s="11" t="inlineStr">
        <is>
          <t>Regulatory access rights for outsourced functions</t>
        </is>
      </c>
      <c r="E1407" t="inlineStr">
        <is>
          <t>47</t>
        </is>
      </c>
      <c r="F1407" t="inlineStr">
        <is>
          <t>High</t>
        </is>
      </c>
      <c r="G1407" t="inlineStr">
        <is>
          <t>High (explicit)</t>
        </is>
      </c>
      <c r="H1407" s="11" t="inlineStr">
        <is>
          <t>Security, Outsourcing</t>
        </is>
      </c>
      <c r="I1407" s="11" t="inlineStr">
        <is>
          <t>Personal Information</t>
        </is>
      </c>
      <c r="J1407" t="inlineStr"/>
      <c r="K1407" s="11" t="inlineStr">
        <is>
          <t>Outsourcing agreements must grant institutions and payment institutions, along with their competent authorities and resolution authorities, the right to access information and conduct audits of service providers in both Member States and third countries. This ensures regulatory oversight of outsourced functions.</t>
        </is>
      </c>
      <c r="L1407" s="11" t="inlineStr">
        <is>
          <t>Mandates regulatory access rights for monitoring outsourced functions across jurisdictions, critical for DTIA to assess compliance with data protection laws in cross-border outsourcing.</t>
        </is>
      </c>
      <c r="M1407" s="11" t="inlineStr">
        <is>
          <t>• [Must] Outsourcing agreements must refer to information gathering and investigatory powers of competent authorities and resolution authorities</t>
        </is>
      </c>
      <c r="N1407" s="11" t="inlineStr"/>
      <c r="O1407" s="11" t="inlineStr">
        <is>
          <t>86. Regardless of the criticality or importance of the outsourced function, the written outsourcing arrangements between institutions and service providers should refer to the information gathering and investigatory powers of competent authorities and resolution authorities under Article 63(1)(a) of Directive 2014/59/EU and Article 65(3) of Directive 2013/36/EU with regard to service providers located in a Member State and should also ensure those rights with regard to service providers located in third countries.</t>
        </is>
      </c>
      <c r="P1407" s="12" t="n">
        <v>35</v>
      </c>
    </row>
    <row r="1408">
      <c r="A1408" t="inlineStr">
        <is>
          <t>GDPR</t>
        </is>
      </c>
      <c r="B1408" t="inlineStr">
        <is>
          <t>EBA revised Guidelines on outsourcing arrangements (GDPR - Row 5)</t>
        </is>
      </c>
      <c r="C1408" t="inlineStr">
        <is>
          <t>87</t>
        </is>
      </c>
      <c r="D1408" s="11" t="inlineStr">
        <is>
          <t>Access and audit rights for outsourced functions</t>
        </is>
      </c>
      <c r="E1408" t="inlineStr">
        <is>
          <t>47</t>
        </is>
      </c>
      <c r="F1408" t="inlineStr">
        <is>
          <t>High</t>
        </is>
      </c>
      <c r="G1408" t="inlineStr">
        <is>
          <t>High (explicit)</t>
        </is>
      </c>
      <c r="H1408" s="11" t="inlineStr">
        <is>
          <t>Security, Access Control, Outsourcing</t>
        </is>
      </c>
      <c r="I1408" s="11" t="inlineStr">
        <is>
          <t>Personal Information</t>
        </is>
      </c>
      <c r="J1408" t="inlineStr"/>
      <c r="K1408" s="11" t="inlineStr">
        <is>
          <t>Institutions and payment institutions must ensure outsourcing agreements grant full access to business premises, systems, data, and personnel for audits, as well as unrestricted inspection and auditing rights to monitor compliance with regulatory and contractual requirements.</t>
        </is>
      </c>
      <c r="L1408" s="11" t="inlineStr">
        <is>
          <t>Requires comprehensive access and audit rights for regulatory oversight of outsourced functions, vital for DTIA to verify data protection compliance in cross-border outsourcing arrangements.</t>
        </is>
      </c>
      <c r="M1408" s="11" t="inlineStr">
        <is>
          <t>• [Must] Service providers must grant full access to all relevant business premises, including devices, systems, networks, information, and data used for providing the outsourced function</t>
        </is>
      </c>
      <c r="N1408" s="11" t="inlineStr">
        <is>
          <t>• [Must] Service providers must grant unrestricted rights of inspection and auditing related to the outsourcing arrangement</t>
        </is>
      </c>
      <c r="O1408" s="11" t="inlineStr">
        <is>
          <t>87. With regard to the outsourcing of critical or important functions, institutions and payment institutions should ensure within the written outsourcing agreement that the service provider grants them and their competent authorities, including resolution authorities, and any other person appointed by them or the competent authorities, the following: a. full access to all relevant business premises (e.g. head offices and operation centres), including the full range of relevant devices, systems, networks, information and data used for providing the outsourced function, including related financial information, personnel and the service provider's external auditors (‘access and information rights'); and b. unrestricted rights of inspection and auditing related to the outsourcing arrangement (‘audit rights'), to enable them to monitor the outsourcing arrangement and to ensure compliance with all applicable regulatory and contractual requirements.</t>
        </is>
      </c>
      <c r="P1408" s="12" t="n">
        <v>35</v>
      </c>
    </row>
    <row r="1409">
      <c r="A1409" t="inlineStr">
        <is>
          <t>GDPR</t>
        </is>
      </c>
      <c r="B1409" t="inlineStr">
        <is>
          <t>EBA revised Guidelines on outsourcing arrangements (GDPR - Row 5)</t>
        </is>
      </c>
      <c r="C1409" t="inlineStr">
        <is>
          <t>88</t>
        </is>
      </c>
      <c r="D1409" s="11" t="inlineStr">
        <is>
          <t>Outsourcing non-critical functions: access and audit rights</t>
        </is>
      </c>
      <c r="E1409" t="inlineStr">
        <is>
          <t>47–48</t>
        </is>
      </c>
      <c r="F1409" t="inlineStr">
        <is>
          <t>High</t>
        </is>
      </c>
      <c r="G1409" t="inlineStr">
        <is>
          <t>High (explicit)</t>
        </is>
      </c>
      <c r="H1409" s="11" t="inlineStr">
        <is>
          <t>Outsourcing, Access Control</t>
        </is>
      </c>
      <c r="I1409" s="11" t="inlineStr">
        <is>
          <t>Customer Data</t>
        </is>
      </c>
      <c r="J1409" t="inlineStr"/>
      <c r="K1409" s="11" t="inlineStr">
        <is>
          <t>Institutions and payment institutions must ensure access and audit rights for non-critical functions as specified in paragraph 87. They should assess the nature of the outsourced function, operational and reputational risks, scalability, impact on continuous operations, and contractual duration to determine criticality over time.</t>
        </is>
      </c>
      <c r="L1409" s="11" t="inlineStr">
        <is>
          <t>Requires institutions to verify that non-critical functions maintain appropriate access and audit rights, ensuring ongoing compliance without assuming criticality.</t>
        </is>
      </c>
      <c r="M1409" s="11" t="inlineStr">
        <is>
          <t>• [Must] Ensure access and audit rights as set out in paragraph 87 (a) and (b)</t>
        </is>
      </c>
      <c r="N1409" s="11" t="inlineStr"/>
      <c r="O1409" s="11" t="inlineStr">
        <is>
          <t>88. For the outsourcing of functions that are not critical or important, institutions and payment institutions should ensure the access and audit rights as set out in paragraph 87 (a) and (b) and</t>
        </is>
      </c>
      <c r="P1409" s="12" t="n">
        <v>35</v>
      </c>
    </row>
    <row r="1410">
      <c r="A1410" t="inlineStr">
        <is>
          <t>GDPR</t>
        </is>
      </c>
      <c r="B1410" t="inlineStr">
        <is>
          <t>EBA revised Guidelines on outsourcing arrangements (GDPR - Row 5)</t>
        </is>
      </c>
      <c r="C1410" t="inlineStr">
        <is>
          <t>89</t>
        </is>
      </c>
      <c r="D1410" s="11" t="inlineStr">
        <is>
          <t>Outsourcing agreements must not impede access and audit rights</t>
        </is>
      </c>
      <c r="E1410" t="inlineStr">
        <is>
          <t>48</t>
        </is>
      </c>
      <c r="F1410" t="inlineStr">
        <is>
          <t>High</t>
        </is>
      </c>
      <c r="G1410" t="inlineStr">
        <is>
          <t>High (explicit)</t>
        </is>
      </c>
      <c r="H1410" s="11" t="inlineStr">
        <is>
          <t>Outsourcing, Access Control</t>
        </is>
      </c>
      <c r="I1410" s="11" t="inlineStr">
        <is>
          <t>Customer Data</t>
        </is>
      </c>
      <c r="J1410" t="inlineStr"/>
      <c r="K1410" s="11" t="inlineStr">
        <is>
          <t>Institutions and payment institutions must ensure that outsourcing agreements or contractual arrangements do not restrict their ability to exercise access and audit rights, as well as those of competent authorities or third parties appointed to exercise these rights.</t>
        </is>
      </c>
      <c r="L1410" s="11" t="inlineStr">
        <is>
          <t>Outsourcing contracts must not limit access and audit rights, ensuring regulatory oversight and data security for critical functions.</t>
        </is>
      </c>
      <c r="M1410" s="11" t="inlineStr">
        <is>
          <t>• [Must Not] Outsourcing agreement or any other contractual arrangement must not impede or limit effective exercise of access and audit rights by them, competent authorities or third parties appointed by them</t>
        </is>
      </c>
      <c r="N1410" s="11" t="inlineStr"/>
      <c r="O1410" s="11" t="inlineStr">
        <is>
          <t>89. Institutions and payment institutions should ensure that the outsourcing agreement or any other contractual arrangement does not impede or limit the effective exercise of the access and audit rights by them, competent authorities or third parties appointed by them to exercise these rights.</t>
        </is>
      </c>
      <c r="P1410" s="12" t="n">
        <v>35</v>
      </c>
    </row>
    <row r="1411">
      <c r="A1411" t="inlineStr">
        <is>
          <t>GDPR</t>
        </is>
      </c>
      <c r="B1411" t="inlineStr">
        <is>
          <t>EBA revised Guidelines on outsourcing arrangements (GDPR - Row 5)</t>
        </is>
      </c>
      <c r="C1411" t="inlineStr">
        <is>
          <t>90</t>
        </is>
      </c>
      <c r="D1411" s="11" t="inlineStr">
        <is>
          <t>Risk-based audit requirements for outsourced functions</t>
        </is>
      </c>
      <c r="E1411" t="inlineStr">
        <is>
          <t>48</t>
        </is>
      </c>
      <c r="F1411" t="inlineStr">
        <is>
          <t>High</t>
        </is>
      </c>
      <c r="G1411" t="inlineStr">
        <is>
          <t>High (explicit)</t>
        </is>
      </c>
      <c r="H1411" s="11" t="inlineStr">
        <is>
          <t>Outsourcing</t>
        </is>
      </c>
      <c r="I1411" s="11" t="inlineStr">
        <is>
          <t>Customer Data</t>
        </is>
      </c>
      <c r="J1411" t="inlineStr"/>
      <c r="K1411" s="11" t="inlineStr">
        <is>
          <t>Institutions and payment institutions must conduct risk-based audits for outsourced functions, determining audit frequency and scope while adhering to relevant national and international audit standards to ensure effective oversight.</t>
        </is>
      </c>
      <c r="L1411" s="11" t="inlineStr">
        <is>
          <t>Requires risk-based audits for outsourced functions to maintain data security and compliance without overburdening resources.</t>
        </is>
      </c>
      <c r="M1411" s="11" t="inlineStr">
        <is>
          <t>• [Must] Exercise access and audit rights, determine audit frequency and areas to be audited on a risk-based approach</t>
        </is>
      </c>
      <c r="N1411" s="11" t="inlineStr">
        <is>
          <t>• [Must] Adhere to relevant, commonly accepted, national and international audit standards</t>
        </is>
      </c>
      <c r="O1411" s="11" t="inlineStr">
        <is>
          <t>90. Institutions and payment institutions should exercise their access and audit rights, determine the audit frequency and areas to be audited on a risk-based approach and adhere to relevant, commonly accepted, national and international audit standards.</t>
        </is>
      </c>
      <c r="P1411" s="12" t="n">
        <v>35</v>
      </c>
    </row>
    <row r="1412">
      <c r="A1412" t="inlineStr">
        <is>
          <t>GDPR</t>
        </is>
      </c>
      <c r="B1412" t="inlineStr">
        <is>
          <t>EBA revised Guidelines on outsourcing arrangements (GDPR - Row 5)</t>
        </is>
      </c>
      <c r="C1412" t="inlineStr">
        <is>
          <t>91</t>
        </is>
      </c>
      <c r="D1412" s="11" t="inlineStr">
        <is>
          <t>Use of pooled audits and third-party certifications</t>
        </is>
      </c>
      <c r="E1412" t="inlineStr">
        <is>
          <t>48</t>
        </is>
      </c>
      <c r="F1412" t="inlineStr">
        <is>
          <t>High</t>
        </is>
      </c>
      <c r="G1412" t="inlineStr">
        <is>
          <t>High (explicit)</t>
        </is>
      </c>
      <c r="H1412" s="11" t="inlineStr">
        <is>
          <t>Outsourcing, Third Party Processing</t>
        </is>
      </c>
      <c r="I1412" s="11" t="inlineStr">
        <is>
          <t>Customer Data</t>
        </is>
      </c>
      <c r="J1412" t="inlineStr"/>
      <c r="K1412" s="11" t="inlineStr">
        <is>
          <t>Institutions and payment institutions may use pooled audits with other clients to share audit resources and third-party certifications or audit reports to reduce organizational burden, provided they meet specific conditions.</t>
        </is>
      </c>
      <c r="L1412" s="11" t="inlineStr">
        <is>
          <t>Allows institutions to use pooled audits and third-party certifications but requires verification of their adequacy for critical functions.</t>
        </is>
      </c>
      <c r="M1412" s="11" t="inlineStr">
        <is>
          <t>• [May] Use pooled audits organised jointly with other clients of the same service provider, performed by them and these clients or by a third party appointed by them</t>
        </is>
      </c>
      <c r="N1412" s="11" t="inlineStr">
        <is>
          <t>• [May] Use third-party certifications and third-party or internal audit reports made available by the service provider</t>
        </is>
      </c>
      <c r="O1412" s="11" t="inlineStr">
        <is>
          <t>91. Institutions and payment institutions may use: a. pooled audits organised jointly with other clients of the same service provider, and performed by them and these clients or by a third party appointed by them, to use audit resources more efficiently and to decrease the organisational burden on both the clients and the service provider; b. third-party certifications and third-party or internal audit reports, made available by the service provider.</t>
        </is>
      </c>
      <c r="P1412" s="12" t="n">
        <v>35</v>
      </c>
    </row>
    <row r="1413">
      <c r="A1413" t="inlineStr">
        <is>
          <t>GDPR</t>
        </is>
      </c>
      <c r="B1413" t="inlineStr">
        <is>
          <t>EBA revised Guidelines on outsourcing arrangements (GDPR - Row 5)</t>
        </is>
      </c>
      <c r="C1413" t="inlineStr">
        <is>
          <t>92</t>
        </is>
      </c>
      <c r="D1413" s="11" t="inlineStr">
        <is>
          <t>Critical functions: verification of third-party certifications</t>
        </is>
      </c>
      <c r="E1413" t="inlineStr">
        <is>
          <t>48</t>
        </is>
      </c>
      <c r="F1413" t="inlineStr">
        <is>
          <t>High</t>
        </is>
      </c>
      <c r="G1413" t="inlineStr">
        <is>
          <t>High (explicit)</t>
        </is>
      </c>
      <c r="H1413" s="11" t="inlineStr">
        <is>
          <t>Outsourcing, Third Party Processing</t>
        </is>
      </c>
      <c r="I1413" s="11" t="inlineStr">
        <is>
          <t>Customer Data</t>
        </is>
      </c>
      <c r="J1413" t="inlineStr"/>
      <c r="K1413" s="11" t="inlineStr">
        <is>
          <t>For critical or important functions, institutions must verify that third-party certifications and reports are adequate to comply with regulatory obligations and not rely solely on them over time.</t>
        </is>
      </c>
      <c r="L1413" s="11" t="inlineStr">
        <is>
          <t>Requires institutions to validate third-party certifications for critical functions to ensure ongoing compliance and data security.</t>
        </is>
      </c>
      <c r="M1413" s="11" t="inlineStr">
        <is>
          <t>• [Must] Assess whether third-party certifications and reports are adequate and sufficient to comply with regulatory obligations</t>
        </is>
      </c>
      <c r="N1413" s="11" t="inlineStr">
        <is>
          <t>• [Must Not] Not rely solely on these reports over time</t>
        </is>
      </c>
      <c r="O1413" s="11" t="inlineStr">
        <is>
          <t>92. For the outsourcing of critical or important functions, institutions and payment institutions should assess whether third-party certifications and reports as referred to in paragraph 91(b) are adequate and sufficient to comply with their regulatory obligations and should not rely solely on these reports over time.</t>
        </is>
      </c>
      <c r="P1413" s="12" t="n">
        <v>35</v>
      </c>
    </row>
    <row r="1414">
      <c r="A1414" t="inlineStr">
        <is>
          <t>GDPR</t>
        </is>
      </c>
      <c r="B1414" t="inlineStr">
        <is>
          <t>EBA revised Guidelines on outsourcing arrangements (GDPR - Row 5)</t>
        </is>
      </c>
      <c r="C1414" t="inlineStr">
        <is>
          <t>93</t>
        </is>
      </c>
      <c r="D1414" s="11" t="inlineStr">
        <is>
          <t>Conditions for using third-party certifications in critical functions</t>
        </is>
      </c>
      <c r="E1414" t="inlineStr">
        <is>
          <t>48–49</t>
        </is>
      </c>
      <c r="F1414" t="inlineStr">
        <is>
          <t>High</t>
        </is>
      </c>
      <c r="G1414" t="inlineStr">
        <is>
          <t>High (explicit)</t>
        </is>
      </c>
      <c r="H1414" s="11" t="inlineStr">
        <is>
          <t>Outsourcing, Third Party Processing</t>
        </is>
      </c>
      <c r="I1414" s="11" t="inlineStr">
        <is>
          <t>Customer Data</t>
        </is>
      </c>
      <c r="J1414" t="inlineStr"/>
      <c r="K1414" s="11" t="inlineStr">
        <is>
          <t>Institutions must satisfy specific conditions when using third-party certifications for critical functions, including audit plan satisfaction, scope coverage, ongoing assessment, and contractual rights to expand audits.</t>
        </is>
      </c>
      <c r="L1414" s="11" t="inlineStr">
        <is>
          <t>Sets detailed conditions for using third-party certifications in critical functions to ensure robust oversight and compliance.</t>
        </is>
      </c>
      <c r="M1414" s="11" t="inlineStr">
        <is>
          <t>• [Must] Be satisfied with the audit plan for the outsourced function
• [Must] Ensure the scope of the certification or audit report covers systems and key controls identified by the institution
• [Must] Thoroughly assess the content of certifications or audit reports on an ongoing basis
• [Must] Verify that certifications or reports are not obsolete
• [Must] Ensure key systems and controls are covered in future versions of certifications or audit reports</t>
        </is>
      </c>
      <c r="N1414" s="11" t="inlineStr">
        <is>
          <t>• [Must] Be satisfied with the aptitude of the certifying or auditing party
• [Must] Ensure certifications are issued and audits performed against widely recognised professional standards
• [Must] Have contractual right to request expansion of scope of certifications or audit reports
• [Must] Retain contractual right to perform individual audits at discretion</t>
        </is>
      </c>
      <c r="O1414" s="11" t="inlineStr">
        <is>
          <t>93. Institutions and payment institutions should make use of the method referred to in paragraph 91(b) only if they: a. are satisfied with the audit plan for the outsourced function; b. ensure that the scope of the certification or audit report covers the systems (i.e. processes, applications, infrastructure, data centres, etc.) and key controls identified by the institution or payment institution and the compliance with relevant regulatory requirements; c. thoroughly assess the content of the certifications or audit reports on an ongoing basis and verify that the reports or certifications are not obsolete; d. ensure that key systems and controls are covered in future versions of the certification or audit report; e. are satisfied with the aptitude of the certifying or auditing party (e.g. with regard to rotation of the certifying or auditing company, qualifications, expertise, re-performance/verification of the evidence in the underlying audit file); f. are satisfied that the certifications are issued and the audits are performed against widely recognised relevant professional standards and include a test of the operational effectiveness of the key controls in place; g. have the contractual right to request the expansion of the scope of the certifications or audit reports to other relevant systems and controls; the number and frequency of such requests for scope modification should be reasonable and legitimate from a risk management perspective; and h. retain the contractual right to perform individual audits at their discretion with regard to the outsourcing of critical or important functions.</t>
        </is>
      </c>
      <c r="P1414" s="12" t="n">
        <v>35</v>
      </c>
    </row>
    <row r="1415">
      <c r="A1415" t="inlineStr">
        <is>
          <t>GDPR</t>
        </is>
      </c>
      <c r="B1415" t="inlineStr">
        <is>
          <t>EBA revised Guidelines on outsourcing arrangements (GDPR - Row 5)</t>
        </is>
      </c>
      <c r="C1415" t="inlineStr">
        <is>
          <t>94</t>
        </is>
      </c>
      <c r="D1415" s="11" t="inlineStr">
        <is>
          <t>Security penetration testing for ICT security measures</t>
        </is>
      </c>
      <c r="E1415" t="inlineStr">
        <is>
          <t>49</t>
        </is>
      </c>
      <c r="F1415" t="inlineStr">
        <is>
          <t>High</t>
        </is>
      </c>
      <c r="G1415" t="inlineStr">
        <is>
          <t>High (explicit)</t>
        </is>
      </c>
      <c r="H1415" s="11" t="inlineStr">
        <is>
          <t>Security, Access Control, Processing</t>
        </is>
      </c>
      <c r="I1415" s="11" t="inlineStr">
        <is>
          <t>Personal Information</t>
        </is>
      </c>
      <c r="J1415" t="inlineStr">
        <is>
          <t>EBA</t>
        </is>
      </c>
      <c r="K1415" s="11" t="inlineStr">
        <is>
          <t>Institutions must conduct security penetration testing to evaluate cyber and internal ICT security measures and processes. Payment institutions additionally require internal ICT control mechanisms with specific security controls and mitigation measures as part of their risk assessment under the SREP framework.</t>
        </is>
      </c>
      <c r="L1415" s="11" t="inlineStr">
        <is>
          <t>Requires security testing and internal controls for ICT systems, relevant for assessing data transfer security in outsourcing arrangements.</t>
        </is>
      </c>
      <c r="M1415" s="11" t="inlineStr">
        <is>
          <t>• [Must] Institutions should ensure they can carry out security penetration testing to assess cyber and internal ICT security measures and processes</t>
        </is>
      </c>
      <c r="N1415" s="11" t="inlineStr">
        <is>
          <t>• [Must] Payment institutions should have internal ICT control mechanisms including ICT security control and mitigation measures</t>
        </is>
      </c>
      <c r="O1415" s="11" t="inlineStr">
        <is>
          <t>94. In line with the EBA Guidelines on ICT risk assessment under the SREP, institutions should, where relevant, ensure that they are able to carry out security penetration testing to assess the effectiveness of implemented cyber and internal ICT security measures and processes.</t>
        </is>
      </c>
      <c r="P1415" s="12" t="n">
        <v>35</v>
      </c>
    </row>
    <row r="1416">
      <c r="A1416" t="inlineStr">
        <is>
          <t>GDPR</t>
        </is>
      </c>
      <c r="B1416" t="inlineStr">
        <is>
          <t>EBA revised Guidelines on outsourcing arrangements (GDPR - Row 5)</t>
        </is>
      </c>
      <c r="C1416" t="inlineStr">
        <is>
          <t>95</t>
        </is>
      </c>
      <c r="D1416" s="11" t="inlineStr">
        <is>
          <t>Notice requirements for on-site audits</t>
        </is>
      </c>
      <c r="E1416" t="inlineStr">
        <is>
          <t>49</t>
        </is>
      </c>
      <c r="F1416" t="inlineStr">
        <is>
          <t>High</t>
        </is>
      </c>
      <c r="G1416" t="inlineStr">
        <is>
          <t>High (explicit)</t>
        </is>
      </c>
      <c r="H1416" s="11" t="inlineStr">
        <is>
          <t>Access Control</t>
        </is>
      </c>
      <c r="I1416" s="11" t="inlineStr">
        <is>
          <t>Personal Information</t>
        </is>
      </c>
      <c r="J1416" t="inlineStr">
        <is>
          <t>EBA</t>
        </is>
      </c>
      <c r="K1416" s="11" t="inlineStr">
        <is>
          <t>Institutions, payment institutions, competent authorities, and auditors must provide reasonable notice to service providers before on-site visits unless emergencies or crises prevent it, or the audit would become ineffective.</t>
        </is>
      </c>
      <c r="L1416" s="11" t="inlineStr">
        <is>
          <t>Requires advance notice for audits, impacting third-party data access and audit effectiveness in cross-border outsourcing scenarios.</t>
        </is>
      </c>
      <c r="M1416" s="11" t="inlineStr">
        <is>
          <t>• [Must] Institutions, payment institutions, competent authorities and auditors should provide reasonable notice to the service provider before on-site visits</t>
        </is>
      </c>
      <c r="N1416" s="11" t="inlineStr"/>
      <c r="O1416" s="11" t="inlineStr">
        <is>
          <t>95. Before a planned on-site visit, institutions, payment institutions, competent authorities and auditors or third parties acting on behalf of the institution, payment institution or competent authorities should provide reasonable notice to the service provider, unless this is not possible due to an emergency or crisis situation or would lead to a situation where the audit would no longer be effective.</t>
        </is>
      </c>
      <c r="P1416" s="12" t="n">
        <v>35</v>
      </c>
    </row>
    <row r="1417">
      <c r="A1417" t="inlineStr">
        <is>
          <t>GDPR</t>
        </is>
      </c>
      <c r="B1417" t="inlineStr">
        <is>
          <t>EBA revised Guidelines on outsourcing arrangements (GDPR - Row 5)</t>
        </is>
      </c>
      <c r="C1417" t="inlineStr">
        <is>
          <t>96</t>
        </is>
      </c>
      <c r="D1417" s="11" t="inlineStr">
        <is>
          <t>Risk mitigation in multi-client audits</t>
        </is>
      </c>
      <c r="E1417" t="inlineStr">
        <is>
          <t>49</t>
        </is>
      </c>
      <c r="F1417" t="inlineStr">
        <is>
          <t>High</t>
        </is>
      </c>
      <c r="G1417" t="inlineStr">
        <is>
          <t>High (explicit)</t>
        </is>
      </c>
      <c r="H1417" s="11" t="inlineStr">
        <is>
          <t>Security, Access Control</t>
        </is>
      </c>
      <c r="I1417" s="11" t="inlineStr">
        <is>
          <t>Personal Information</t>
        </is>
      </c>
      <c r="J1417" t="inlineStr">
        <is>
          <t>EBA</t>
        </is>
      </c>
      <c r="K1417" s="11" t="inlineStr">
        <is>
          <t>When conducting audits in multi-client environments, institutions must avoid or mitigate risks to other clients' data availability, service levels, and confidentiality to prevent cross-contamination.</t>
        </is>
      </c>
      <c r="L1417" s="11" t="inlineStr">
        <is>
          <t>Addresses cross-client data risks during audits, critical for ensuring data isolation in shared infrastructure scenarios.</t>
        </is>
      </c>
      <c r="M1417" s="11" t="inlineStr">
        <is>
          <t>• [Should] Care should be taken to ensure risks to another client's environment (e.g. impact on service levels, availability of data, confidentiality aspects) are avoided or mitigated</t>
        </is>
      </c>
      <c r="N1417" s="11" t="inlineStr"/>
      <c r="O1417" s="11" t="inlineStr">
        <is>
          <t>96. When performing audits in multi-client environments, care should be taken to ensure that risks to another client's environment (e.g. impact on service levels, availability of data, confidentiality aspects) are avoided or mitigated.</t>
        </is>
      </c>
      <c r="P1417" s="12" t="n">
        <v>35</v>
      </c>
    </row>
    <row r="1418">
      <c r="A1418" t="inlineStr">
        <is>
          <t>GDPR</t>
        </is>
      </c>
      <c r="B1418" t="inlineStr">
        <is>
          <t>EBA revised Guidelines on outsourcing arrangements (GDPR - Row 5)</t>
        </is>
      </c>
      <c r="C1418" t="inlineStr">
        <is>
          <t>97</t>
        </is>
      </c>
      <c r="D1418" s="11" t="inlineStr">
        <is>
          <t>Auditor competency verification for complex outsourcing</t>
        </is>
      </c>
      <c r="E1418" t="inlineStr">
        <is>
          <t>49–50</t>
        </is>
      </c>
      <c r="F1418" t="inlineStr">
        <is>
          <t>High</t>
        </is>
      </c>
      <c r="G1418" t="inlineStr">
        <is>
          <t>High (explicit)</t>
        </is>
      </c>
      <c r="H1418" s="11" t="inlineStr">
        <is>
          <t>Security, Access Control</t>
        </is>
      </c>
      <c r="I1418" s="11" t="inlineStr">
        <is>
          <t>Personal Information</t>
        </is>
      </c>
      <c r="J1418" t="inlineStr">
        <is>
          <t>EBA</t>
        </is>
      </c>
      <c r="K1418" s="11" t="inlineStr">
        <is>
          <t>For technically complex outsourcing arrangements like cloud services, institutions must verify that auditors have appropriate skills and knowledge to conduct effective audits and assessments of the service provider.</t>
        </is>
      </c>
      <c r="L1418" s="11" t="inlineStr">
        <is>
          <t>Ensures competent auditors for complex outsourcing, vital for assessing data security in cloud environments.</t>
        </is>
      </c>
      <c r="M1418" s="11" t="inlineStr">
        <is>
          <t>• [Must] Institutions should verify that auditors have appropriate and relevant skills and knowledge to perform relevant audits and assessments effectively</t>
        </is>
      </c>
      <c r="N1418" s="11" t="inlineStr">
        <is>
          <t>• [Must] Institutions should verify that staff reviewing third-party certifications have appropriate skills and knowledge</t>
        </is>
      </c>
      <c r="O1418" s="11" t="inlineStr">
        <is>
          <t>97. Where the outsourcing arrangement carries a high level of technical complexity, for instance in the case of cloud outsourcing, the institution or payment institution should verify that whoever is performing the audit – whether it is its internal auditors, the pool of auditors or external auditors acting on its behalf – has appropriate and relevant skills and knowledge to perform relevant audits and/or assessments effectively.</t>
        </is>
      </c>
      <c r="P1418" s="12" t="n">
        <v>35</v>
      </c>
    </row>
    <row r="1419">
      <c r="A1419" t="inlineStr">
        <is>
          <t>GDPR</t>
        </is>
      </c>
      <c r="B1419" t="inlineStr">
        <is>
          <t>EBA revised Guidelines on outsourcing arrangements (GDPR - Row 5)</t>
        </is>
      </c>
      <c r="C1419" t="inlineStr">
        <is>
          <t>98</t>
        </is>
      </c>
      <c r="D1419" s="11" t="inlineStr">
        <is>
          <t>Termination rights in outsourcing arrangements</t>
        </is>
      </c>
      <c r="E1419" t="inlineStr">
        <is>
          <t>50</t>
        </is>
      </c>
      <c r="F1419" t="inlineStr">
        <is>
          <t>High</t>
        </is>
      </c>
      <c r="G1419" t="inlineStr">
        <is>
          <t>High (explicit)</t>
        </is>
      </c>
      <c r="H1419" s="11" t="inlineStr">
        <is>
          <t>Security</t>
        </is>
      </c>
      <c r="I1419" s="11" t="inlineStr">
        <is>
          <t>Personal Information</t>
        </is>
      </c>
      <c r="J1419" t="inlineStr">
        <is>
          <t>EBA</t>
        </is>
      </c>
      <c r="K1419" s="11" t="inlineStr">
        <is>
          <t>Outsourcing arrangements must allow termination under specific conditions including legal breaches, performance issues, material changes, data security weaknesses, and regulatory directives from competent authorities.</t>
        </is>
      </c>
      <c r="L1419" s="11" t="inlineStr">
        <is>
          <t>Defines termination triggers for outsourcing, critical for data transfer continuity and regulatory compliance in cross-border contexts.</t>
        </is>
      </c>
      <c r="M1419" s="11" t="inlineStr">
        <is>
          <t>• [Must] Outsourcing arrangements should allow termination where the provider breaches applicable law, regulations or contractual provisions
• [Must] Outsourcing arrangements should allow termination where impediments capable of altering the performance of outsourced functions are identified
• [Must] Outsourcing arrangements should allow termination where material changes affect the outsourcing arrangement or service provider</t>
        </is>
      </c>
      <c r="N1419" s="11" t="inlineStr">
        <is>
          <t>• [Must] Outsourcing arrangements should allow termination where there are weaknesses in the management and security of confidential, personal or sensitive data
• [Must] Outsourcing arrangements should allow termination where competent authorities instruct termination due to ineffective supervision</t>
        </is>
      </c>
      <c r="O1419" s="11" t="inlineStr">
        <is>
          <t>98. The outsourcing arrangement should expressly allow the possibility for the institution or payment institution to terminate the arrangement, in accordance with applicable law, including in the following situations: a. where the provider of the outsourced functions is in a breach of applicable law, regulations or contractual provisions; b. where impediments capable of altering the performance of the outsourced function are identified; c. where there are material changes affecting the outsourcing arrangement or the service provider (e.g. sub-outsourcing or changes of sub-contractors); d. where there are weaknesses regarding the management and security of confidential, personal or otherwise sensitive data or information; and e. where instructions are given by the institution's or payment institution's competent authority, e.g. in the case that the competent authority is, caused by the outsourcing arrangement, no longer in a position to effectively supervise the institution or payment institution.</t>
        </is>
      </c>
      <c r="P1419" s="12" t="n">
        <v>35</v>
      </c>
    </row>
    <row r="1420">
      <c r="A1420" t="inlineStr">
        <is>
          <t>GDPR</t>
        </is>
      </c>
      <c r="B1420" t="inlineStr">
        <is>
          <t>EBA revised Guidelines on outsourcing arrangements (GDPR - Row 5)</t>
        </is>
      </c>
      <c r="C1420" t="inlineStr">
        <is>
          <t>99</t>
        </is>
      </c>
      <c r="D1420" s="11" t="inlineStr">
        <is>
          <t>Function transfer provisions in outsourcing</t>
        </is>
      </c>
      <c r="E1420" t="inlineStr">
        <is>
          <t>50</t>
        </is>
      </c>
      <c r="F1420" t="inlineStr">
        <is>
          <t>High</t>
        </is>
      </c>
      <c r="G1420" t="inlineStr">
        <is>
          <t>High (explicit)</t>
        </is>
      </c>
      <c r="H1420" s="11" t="inlineStr"/>
      <c r="I1420" s="11" t="inlineStr">
        <is>
          <t>Personal Information</t>
        </is>
      </c>
      <c r="J1420" t="inlineStr">
        <is>
          <t>EBA</t>
        </is>
      </c>
      <c r="K1420" s="11" t="inlineStr">
        <is>
          <t>Outsourcing agreements must facilitate smooth transfer of outsourced functions to another provider or back to the institution, including data treatment obligations, transition periods, and support for orderly transfers.</t>
        </is>
      </c>
      <c r="L1420" s="11" t="inlineStr">
        <is>
          <t>Ensures seamless function transfers during outsourcing termination, critical for maintaining data continuity in cross-border data transfers.</t>
        </is>
      </c>
      <c r="M1420" s="11" t="inlineStr">
        <is>
          <t>• [Must] Written outsourcing arrangements should clearly set out obligations of existing service providers during function transfers
• [Must] Written outsourcing arrangements should set an appropriate transition period after termination</t>
        </is>
      </c>
      <c r="N1420" s="11" t="inlineStr">
        <is>
          <t>• [Must] Written outsourcing arrangements should include service provider obligations to support orderly function transfers</t>
        </is>
      </c>
      <c r="O1420" s="11" t="inlineStr">
        <is>
          <t>99. The outsourcing arrangement should facilitate the transfer of the outsourced function to another service provider or its re-incorporation into the institution or payment institution. To this end, the written outsourcing arrangement should: a. clearly set out the obligations of the existing service provider, in the case of a transfer of the outsourced function to another service provider or back to the institution or payment institution, including the treatment of data; b. set an appropriate transition period, during which the service provider, after the termination of the outsourcing arrangement, would continue to provide the outsourced function to reduce the risk of disruptions; and c. include an obligation of the service provider to support the institution or payment institution in the orderly transfer of the function in the event of the termination of the outsourcing agreement.</t>
        </is>
      </c>
      <c r="P1420" s="12" t="n">
        <v>35</v>
      </c>
    </row>
    <row r="1421">
      <c r="A1421" t="inlineStr">
        <is>
          <t>GDPR</t>
        </is>
      </c>
      <c r="B1421" t="inlineStr">
        <is>
          <t>EBA revised Guidelines on outsourcing arrangements (GDPR - Row 5)</t>
        </is>
      </c>
      <c r="C1421" t="inlineStr">
        <is>
          <t>100</t>
        </is>
      </c>
      <c r="D1421" s="11" t="inlineStr">
        <is>
          <t>Ongoing monitoring of outsourced service performance</t>
        </is>
      </c>
      <c r="E1421" t="inlineStr">
        <is>
          <t>50–51</t>
        </is>
      </c>
      <c r="F1421" t="inlineStr">
        <is>
          <t>High</t>
        </is>
      </c>
      <c r="G1421" t="inlineStr">
        <is>
          <t>High (explicit)</t>
        </is>
      </c>
      <c r="H1421" s="11" t="inlineStr">
        <is>
          <t>Outsourcing</t>
        </is>
      </c>
      <c r="I1421" s="11" t="inlineStr">
        <is>
          <t>Personal Information</t>
        </is>
      </c>
      <c r="J1421" t="inlineStr"/>
      <c r="K1421" s="11" t="inlineStr">
        <is>
          <t>Institutions and payment institutions must continuously monitor service providers' performance for outsourcing arrangements using a risk-based approach, prioritizing critical functions. This monitoring ensures data availability, integrity, and security. Institutions must reassess the criticality of outsourced functions if risks, nature, or scale change significantly.</t>
        </is>
      </c>
      <c r="L1421" s="11" t="inlineStr">
        <is>
          <t>Requires ongoing risk-based monitoring of outsourced functions to ensure data security and integrity, critical for DTIA when transferring data via third parties.</t>
        </is>
      </c>
      <c r="M1421" s="11" t="inlineStr">
        <is>
          <t>• [Must] Institutions and payment institutions should monitor service providers' performance on an ongoing basis for outsourcing arrangements using a risk-based approach
• [Must] Institutions and payment institutions should focus monitoring on outsourced critical or important functions</t>
        </is>
      </c>
      <c r="N1421" s="11" t="inlineStr">
        <is>
          <t>• [Must] Institutions and payment institutions must ensure data availability, integrity, and security
• [Must] Institutions must reassess the criticality of outsourced functions if risk, nature, or scale changes materially</t>
        </is>
      </c>
      <c r="O1421" s="11" t="inlineStr">
        <is>
          <t>Institutions and payment institutions should monitor, on an ongoing basis, the performance of the service providers with regard to all outsourcing arrangements on a risk-based approach and with the main focus being on the outsourcing of critical or important functions, including that the availability, integrity and security of data and information is ensured. Where the risk, nature or scale of an outsourced function has materially changed, institutions and payment institutions should reassess the criticality or importance of that function in line with Section 4.</t>
        </is>
      </c>
      <c r="P1421" s="12" t="n">
        <v>35</v>
      </c>
    </row>
    <row r="1422">
      <c r="A1422" t="inlineStr">
        <is>
          <t>GDPR</t>
        </is>
      </c>
      <c r="B1422" t="inlineStr">
        <is>
          <t>EBA revised Guidelines on outsourcing arrangements (GDPR - Row 5)</t>
        </is>
      </c>
      <c r="C1422" t="inlineStr">
        <is>
          <t>101</t>
        </is>
      </c>
      <c r="D1422" s="11" t="inlineStr">
        <is>
          <t>Application of due skill and care in outsourcing management</t>
        </is>
      </c>
      <c r="E1422" t="inlineStr">
        <is>
          <t>51</t>
        </is>
      </c>
      <c r="F1422" t="inlineStr">
        <is>
          <t>High</t>
        </is>
      </c>
      <c r="G1422" t="inlineStr">
        <is>
          <t>High (explicit)</t>
        </is>
      </c>
      <c r="H1422" s="11" t="inlineStr">
        <is>
          <t>Outsourcing</t>
        </is>
      </c>
      <c r="I1422" s="11" t="inlineStr">
        <is>
          <t>Personal Information</t>
        </is>
      </c>
      <c r="J1422" t="inlineStr"/>
      <c r="K1422" s="11" t="inlineStr">
        <is>
          <t>Institutions and payment institutions must apply due skill, care, and diligence when managing outsourcing arrangements. This includes monitoring and overseeing service providers to ensure compliance with legal and regulatory standards.</t>
        </is>
      </c>
      <c r="L1422" s="11" t="inlineStr">
        <is>
          <t>Mandates due diligence in outsourcing to prevent data breaches and ensure compliance, critical for DTIA when handling sensitive data across borders.</t>
        </is>
      </c>
      <c r="M1422" s="11" t="inlineStr">
        <is>
          <t>• [Must] Institutions and payment institutions should apply due skill, care and diligence when monitoring and managing outsourcing arrangements</t>
        </is>
      </c>
      <c r="N1422" s="11" t="inlineStr"/>
      <c r="O1422" s="11" t="inlineStr">
        <is>
          <t>Institutions and payment institutions should apply due skill, care and diligence when monitoring and managing outsourcing arrangements.</t>
        </is>
      </c>
      <c r="P1422" s="12" t="n">
        <v>35</v>
      </c>
    </row>
    <row r="1423">
      <c r="A1423" t="inlineStr">
        <is>
          <t>GDPR</t>
        </is>
      </c>
      <c r="B1423" t="inlineStr">
        <is>
          <t>EBA revised Guidelines on outsourcing arrangements (GDPR - Row 5)</t>
        </is>
      </c>
      <c r="C1423" t="inlineStr">
        <is>
          <t>102</t>
        </is>
      </c>
      <c r="D1423" s="11" t="inlineStr">
        <is>
          <t>Regular risk assessment updates for outsourcing</t>
        </is>
      </c>
      <c r="E1423" t="inlineStr">
        <is>
          <t>51</t>
        </is>
      </c>
      <c r="F1423" t="inlineStr">
        <is>
          <t>High</t>
        </is>
      </c>
      <c r="G1423" t="inlineStr">
        <is>
          <t>High (explicit)</t>
        </is>
      </c>
      <c r="H1423" s="11" t="inlineStr"/>
      <c r="I1423" s="11" t="inlineStr">
        <is>
          <t>Personal Information</t>
        </is>
      </c>
      <c r="J1423" t="inlineStr"/>
      <c r="K1423" s="11" t="inlineStr">
        <is>
          <t>Institutions must regularly update their risk assessments for outsourcing arrangements, particularly for critical or important functions. They must also periodically report identified risks to their management bodies to ensure oversight and accountability.</t>
        </is>
      </c>
      <c r="L1423" s="11" t="inlineStr">
        <is>
          <t>Requires regular risk assessment updates to address evolving threats, essential for DTIA when outsourcing data processing across borders.</t>
        </is>
      </c>
      <c r="M1423" s="11" t="inlineStr">
        <is>
          <t>• [Must] Institutions should regularly update their risk assessment in accordance with Section 12.2</t>
        </is>
      </c>
      <c r="N1423" s="11" t="inlineStr">
        <is>
          <t>• [Must] Institutions should periodically report to the management body on risks identified in outsourcing critical or important functions</t>
        </is>
      </c>
      <c r="O1423" s="11" t="inlineStr">
        <is>
          <t>Institutions should regularly update their risk assessment in accordance with Section 12.2 and should periodically report to the management body on the risks identified in respect of the outsourcing of critical or important functions.</t>
        </is>
      </c>
      <c r="P1423" s="12" t="n">
        <v>35</v>
      </c>
    </row>
    <row r="1424">
      <c r="A1424" t="inlineStr">
        <is>
          <t>GDPR</t>
        </is>
      </c>
      <c r="B1424" t="inlineStr">
        <is>
          <t>EBA revised Guidelines on outsourcing arrangements (GDPR - Row 5)</t>
        </is>
      </c>
      <c r="C1424" t="inlineStr">
        <is>
          <t>103</t>
        </is>
      </c>
      <c r="D1424" s="11" t="inlineStr">
        <is>
          <t>Management of internal concentration risks from outsourcing</t>
        </is>
      </c>
      <c r="E1424" t="inlineStr">
        <is>
          <t>51</t>
        </is>
      </c>
      <c r="F1424" t="inlineStr">
        <is>
          <t>High</t>
        </is>
      </c>
      <c r="G1424" t="inlineStr">
        <is>
          <t>High (explicit)</t>
        </is>
      </c>
      <c r="H1424" s="11" t="inlineStr">
        <is>
          <t>Outsourcing</t>
        </is>
      </c>
      <c r="I1424" s="11" t="inlineStr">
        <is>
          <t>Personal Information</t>
        </is>
      </c>
      <c r="J1424" t="inlineStr"/>
      <c r="K1424" s="11" t="inlineStr">
        <is>
          <t>Institutions and payment institutions must monitor and manage internal concentration risks caused by outsourcing arrangements, particularly for critical or important functions. This ensures that outsourced activities do not create undue vulnerabilities.</t>
        </is>
      </c>
      <c r="L1424" s="11" t="inlineStr">
        <is>
          <t>Addresses concentration risks from outsourcing, critical for DTIA when data is processed by multiple third parties across borders.</t>
        </is>
      </c>
      <c r="M1424" s="11" t="inlineStr">
        <is>
          <t>• [Must] Institutions and payment institutions should monitor and manage internal concentration risks caused by outsourcing arrangements</t>
        </is>
      </c>
      <c r="N1424" s="11" t="inlineStr"/>
      <c r="O1424" s="11" t="inlineStr">
        <is>
          <t>Institutions and payment institutions should monitor and manage their internal concentration risks caused by outsourcing arrangements, taking into account Section 12.2 of these guidelines.</t>
        </is>
      </c>
      <c r="P1424" s="12" t="n">
        <v>35</v>
      </c>
    </row>
    <row r="1425">
      <c r="A1425" t="inlineStr">
        <is>
          <t>GDPR</t>
        </is>
      </c>
      <c r="B1425" t="inlineStr">
        <is>
          <t>EBA revised Guidelines on outsourcing arrangements (GDPR - Row 5)</t>
        </is>
      </c>
      <c r="C1425" t="inlineStr">
        <is>
          <t>104</t>
        </is>
      </c>
      <c r="D1425" s="11" t="inlineStr">
        <is>
          <t>Ongoing performance standards for outsourced functions</t>
        </is>
      </c>
      <c r="E1425" t="inlineStr">
        <is>
          <t>51</t>
        </is>
      </c>
      <c r="F1425" t="inlineStr">
        <is>
          <t>High</t>
        </is>
      </c>
      <c r="G1425" t="inlineStr">
        <is>
          <t>High (explicit)</t>
        </is>
      </c>
      <c r="H1425" s="11" t="inlineStr"/>
      <c r="I1425" s="11" t="inlineStr">
        <is>
          <t>Personal Information</t>
        </is>
      </c>
      <c r="J1425" t="inlineStr"/>
      <c r="K1425" s="11" t="inlineStr">
        <is>
          <t>Institutions must ensure outsourced functions meet performance and quality standards through regular reporting, performance evaluations, and reviews of service providers' compliance with policies and legal requirements.</t>
        </is>
      </c>
      <c r="L1425" s="11" t="inlineStr">
        <is>
          <t>Ensures outsourced functions meet quality standards, critical for DTIA when transferring data to third parties across borders.</t>
        </is>
      </c>
      <c r="M1425" s="11" t="inlineStr">
        <is>
          <t>• [Must] Institutions should ensure outsourced arrangements meet performance and quality standards through reports from service providers
• [Must] Institutions should evaluate service provider performance using key performance indicators, key control indicators, service delivery reports, self-certification, and independent reviews</t>
        </is>
      </c>
      <c r="N1425" s="11" t="inlineStr">
        <is>
          <t>• [Must] Institutions should review all relevant information from service providers, including business continuity measures and testing</t>
        </is>
      </c>
      <c r="O1425" s="11" t="inlineStr">
        <is>
          <t>Institutions and payment institutions should ensure, on an ongoing basis, that outsourcing arrangements, with the main focus being on outsourced critical or important functions, meet appropriate performance and quality standards in line with their policies by: a. ensuring that they receive appropriate reports from service providers; b. evaluating the performance of service providers using tools such as key performance indicators, key control indicators, service delivery reports, self-certification and independent reviews; and c. reviewing all other relevant information received from the service provider, including reports on business continuity measures and testing.</t>
        </is>
      </c>
      <c r="P1425" s="12" t="n">
        <v>35</v>
      </c>
    </row>
    <row r="1426">
      <c r="A1426" t="inlineStr">
        <is>
          <t>GDPR</t>
        </is>
      </c>
      <c r="B1426" t="inlineStr">
        <is>
          <t>EBA revised Guidelines on outsourcing arrangements (GDPR - Row 5)</t>
        </is>
      </c>
      <c r="C1426" t="inlineStr">
        <is>
          <t>105</t>
        </is>
      </c>
      <c r="D1426" s="11" t="inlineStr">
        <is>
          <t>Corrective actions for outsourced function shortcomings</t>
        </is>
      </c>
      <c r="E1426" t="inlineStr">
        <is>
          <t>51</t>
        </is>
      </c>
      <c r="F1426" t="inlineStr">
        <is>
          <t>High</t>
        </is>
      </c>
      <c r="G1426" t="inlineStr">
        <is>
          <t>High (explicit)</t>
        </is>
      </c>
      <c r="H1426" s="11" t="inlineStr"/>
      <c r="I1426" s="11" t="inlineStr">
        <is>
          <t>Personal Information</t>
        </is>
      </c>
      <c r="J1426" t="inlineStr"/>
      <c r="K1426" s="11" t="inlineStr">
        <is>
          <t>Institutions must take corrective actions if they identify shortcomings in outsourced functions, including terminating agreements immediately if service providers fail to comply with legal or regulatory requirements.</t>
        </is>
      </c>
      <c r="L1426" s="11" t="inlineStr">
        <is>
          <t>Requires immediate corrective actions for outsourced function failures, critical for DTIA to prevent data breaches and ensure compliance.</t>
        </is>
      </c>
      <c r="M1426" s="11" t="inlineStr">
        <is>
          <t>• [Must] Institutions should take appropriate measures if they identify shortcomings in the provision of outsourced functions
• [Must] Institutions should follow up on indications that service providers may not be carrying out outsourced functions effectively or in compliance with laws and regulations</t>
        </is>
      </c>
      <c r="N1426" s="11" t="inlineStr">
        <is>
          <t>• [Must] Institutions should take corrective or remedial actions if shortcomings are identified
• [May] Institutions may terminate outsourcing agreements with immediate effect if necessary</t>
        </is>
      </c>
      <c r="O1426" s="11" t="inlineStr">
        <is>
          <t>Institutions should take appropriate measures if they identify shortcomings in the provision of the outsourced function. In particular, institutions and payment institutions should follow up on any indications that service providers may not be carrying out the outsourced critical or important function effectively or in compliance with applicable laws and regulatory requirements. If shortcomings are identified, institutions and payment institutions should take appropriate corrective or remedial actions. Such actions may include terminating the outsourcing agreement, with immediate effect, if necessary.</t>
        </is>
      </c>
      <c r="P1426" s="12" t="n">
        <v>35</v>
      </c>
    </row>
    <row r="1427">
      <c r="A1427" t="inlineStr">
        <is>
          <t>GDPR</t>
        </is>
      </c>
      <c r="B1427" t="inlineStr">
        <is>
          <t>EBA revised Guidelines on outsourcing arrangements (GDPR - Row 5)</t>
        </is>
      </c>
      <c r="C1427" t="inlineStr">
        <is>
          <t>106</t>
        </is>
      </c>
      <c r="D1427" s="11" t="inlineStr">
        <is>
          <t>Documented exit strategy for critical outsourced functions</t>
        </is>
      </c>
      <c r="E1427" t="inlineStr">
        <is>
          <t>51–52</t>
        </is>
      </c>
      <c r="F1427" t="inlineStr">
        <is>
          <t>High</t>
        </is>
      </c>
      <c r="G1427" t="inlineStr">
        <is>
          <t>High (explicit)</t>
        </is>
      </c>
      <c r="H1427" s="11" t="inlineStr">
        <is>
          <t>Outsourcing</t>
        </is>
      </c>
      <c r="I1427" s="11" t="inlineStr">
        <is>
          <t>Customer Data</t>
        </is>
      </c>
      <c r="J1427" t="inlineStr"/>
      <c r="K1427" s="11" t="inlineStr">
        <is>
          <t>Institutions and payment institutions must maintain documented exit strategies for outsourcing critical or important functions. These strategies must align with their outsourcing policies and business continuity plans. The exit strategy must address potential scenarios including termination of arrangements, service provider failure, quality deterioration, and material risks to function continuity.</t>
        </is>
      </c>
      <c r="L1427" s="11" t="inlineStr">
        <is>
          <t>Requires documented exit strategies for critical outsourced functions to ensure business continuity during transitions, relevant for DTIA when assessing outsourcing risks across borders.</t>
        </is>
      </c>
      <c r="M1427" s="11" t="inlineStr">
        <is>
          <t>• [Must] Institutions and payment institutions should have a documented exit strategy for outsourcing critical or important functions
• [Must] The exit strategy must be in line with outsourcing policy and business continuity plans
• [Must] The exit strategy must consider at least the possibility of termination of outsourcing arrangements</t>
        </is>
      </c>
      <c r="N1427" s="11" t="inlineStr">
        <is>
          <t>• [Must] The exit strategy must consider the possibility of service provider failure
• [Must] The exit strategy must consider deterioration of function quality and business disruptions
• [Must] The exit strategy must consider material risks to continuous function application</t>
        </is>
      </c>
      <c r="O1427" s="11" t="inlineStr">
        <is>
          <t>106. Institutions and payment institutions should have a documented exit strategy when outsourcing critical or important functions that is in line with their outsourcing policy and business continuity plans, taking into account at least the possibility of: (a) the termination of outsourcing arrangements; (b) the failure of the service provider; (c) the deterioration of the quality of the function provided and actual or potential business disruptions caused by the inappropriate or failed provision of the function; (d) material risks arising for the appropriate and continuous application of the function.</t>
        </is>
      </c>
      <c r="P1427" s="12" t="n">
        <v>35</v>
      </c>
    </row>
    <row r="1428">
      <c r="A1428" t="inlineStr">
        <is>
          <t>GDPR</t>
        </is>
      </c>
      <c r="B1428" t="inlineStr">
        <is>
          <t>EBA revised Guidelines on outsourcing arrangements (GDPR - Row 5)</t>
        </is>
      </c>
      <c r="C1428" t="inlineStr">
        <is>
          <t>107</t>
        </is>
      </c>
      <c r="D1428" s="11" t="inlineStr">
        <is>
          <t>Business continuity during outsourcing exit</t>
        </is>
      </c>
      <c r="E1428" t="inlineStr">
        <is>
          <t>52</t>
        </is>
      </c>
      <c r="F1428" t="inlineStr">
        <is>
          <t>High</t>
        </is>
      </c>
      <c r="G1428" t="inlineStr">
        <is>
          <t>High (explicit)</t>
        </is>
      </c>
      <c r="H1428" s="11" t="inlineStr">
        <is>
          <t>Outsourcing</t>
        </is>
      </c>
      <c r="I1428" s="11" t="inlineStr">
        <is>
          <t>Customer Data</t>
        </is>
      </c>
      <c r="J1428" t="inlineStr"/>
      <c r="K1428" s="11" t="inlineStr">
        <is>
          <t>Institutions and payment institutions must ensure they can exit outsourcing arrangements without disrupting business, compromising regulatory compliance, or affecting service quality. This requires comprehensive, documented, and tested exit plans that identify alternative solutions and transition mechanisms for moving functions and data to alternative providers or back to the institution.</t>
        </is>
      </c>
      <c r="L1428" s="11" t="inlineStr">
        <is>
          <t>Ensures business continuity during outsourcing transitions, critical for DTIA when assessing cross-border data transfers and service continuity.</t>
        </is>
      </c>
      <c r="M1428" s="11" t="inlineStr">
        <is>
          <t>• [Must] Institutions and payment institutions should ensure they can exit outsourcing arrangements without undue disruption to business activities
• [Must] Institutions and payment institutions should ensure they can exit outsourcing arrangements without limiting compliance with regulatory requirements
• [Must] Institutions and payment institutions should ensure they can exit outsourcing arrangements without detriment to service continuity and quality
• [Must] Institutions should develop and implement comprehensive, documented, and sufficiently tested exit plans</t>
        </is>
      </c>
      <c r="N1428" s="11" t="inlineStr">
        <is>
          <t>• [Must] Institutions should identify alternative solutions and develop transition plans to remove outsourced functions and data from service providers
• [Must] Institutions should transfer outsourced functions and data to alternative providers or back to the institution
• [Must] Institutions should ensure continuous provision of critical functions during transition</t>
        </is>
      </c>
      <c r="O1428" s="11" t="inlineStr">
        <is>
          <t>107. Institutions and payment institutions should ensure that they are able to exit outsourcing arrangements without undue disruption to their business activities, without limiting their compliance with regulatory requirements and without any detriment to the continuity and quality of its provision of services to clients.</t>
        </is>
      </c>
      <c r="P1428" s="12" t="n">
        <v>35</v>
      </c>
    </row>
    <row r="1429">
      <c r="A1429" t="inlineStr">
        <is>
          <t>GDPR</t>
        </is>
      </c>
      <c r="B1429" t="inlineStr">
        <is>
          <t>EBA revised Guidelines on outsourcing arrangements (GDPR - Row 5)</t>
        </is>
      </c>
      <c r="C1429" t="inlineStr">
        <is>
          <t>108</t>
        </is>
      </c>
      <c r="D1429" s="11" t="inlineStr">
        <is>
          <t>Exit strategy development requirements</t>
        </is>
      </c>
      <c r="E1429" t="inlineStr">
        <is>
          <t>52–53</t>
        </is>
      </c>
      <c r="F1429" t="inlineStr">
        <is>
          <t>High</t>
        </is>
      </c>
      <c r="G1429" t="inlineStr">
        <is>
          <t>High (explicit)</t>
        </is>
      </c>
      <c r="H1429" s="11" t="inlineStr">
        <is>
          <t>Outsourcing</t>
        </is>
      </c>
      <c r="I1429" s="11" t="inlineStr">
        <is>
          <t>Customer Data</t>
        </is>
      </c>
      <c r="J1429" t="inlineStr"/>
      <c r="K1429" s="11" t="inlineStr">
        <is>
          <t>When developing exit strategies, institutions must define objectives, conduct business impact analyses commensurate with risk levels, assign roles and resources, define success criteria for transitions, and establish monitoring indicators including those for unacceptable service levels that trigger exits.</t>
        </is>
      </c>
      <c r="L1429" s="11" t="inlineStr">
        <is>
          <t>Provides specific steps for developing exit strategies, relevant for DTIA when assessing the robustness of cross-border data transfer mechanisms.</t>
        </is>
      </c>
      <c r="M1429" s="11" t="inlineStr">
        <is>
          <t>• [Must] Institutions and payment institutions should define the objectives of the exit strategy
• [Must] Institutions should perform business impact analysis commensurate with outsourcing risk levels
• [Must] Institutions should assign roles, responsibilities and sufficient resources to manage exit plans</t>
        </is>
      </c>
      <c r="N1429" s="11" t="inlineStr">
        <is>
          <t>• [Must] Institutions should define success criteria for the transition of outsourced functions and data
• [Must] Institutions should define indicators for monitoring outsourcing arrangements, including those for unacceptable service levels that trigger exits</t>
        </is>
      </c>
      <c r="O1429" s="11" t="inlineStr">
        <is>
          <t>108. When developing exit strategies, institutions and payment institutions should: (a) define the objectives of the exit strategy; (b) perform a business impact analysis that is commensurate with the risk of the outsourced processes, services or activities, with the aim of identifying what human and financial resources would be required to implement the exit plan and how much time it would take; (c) assign roles, responsibilities and sufficient resources to manage exit plans and the transition of activities; (d) define success criteria for the transition of outsourced functions and data; and (e) define the indicators to be used for the monitoring of the outsourcing arrangement (as outlined under Section 14), including indicators based on unacceptable service levels that should trigger the exit.</t>
        </is>
      </c>
      <c r="P1429" s="12" t="n">
        <v>35</v>
      </c>
    </row>
    <row r="1430">
      <c r="A1430" t="inlineStr">
        <is>
          <t>GDPR</t>
        </is>
      </c>
      <c r="B1430" t="inlineStr">
        <is>
          <t>EBA revised Guidelines on outsourcing arrangements (GDPR - Row 5)</t>
        </is>
      </c>
      <c r="C1430" t="inlineStr">
        <is>
          <t>109</t>
        </is>
      </c>
      <c r="D1430" s="11" t="inlineStr">
        <is>
          <t>Monitoring outsourcing compliance with authorisation</t>
        </is>
      </c>
      <c r="E1430" t="inlineStr">
        <is>
          <t>53</t>
        </is>
      </c>
      <c r="F1430" t="inlineStr">
        <is>
          <t>High</t>
        </is>
      </c>
      <c r="G1430" t="inlineStr">
        <is>
          <t>High (explicit)</t>
        </is>
      </c>
      <c r="H1430" s="11" t="inlineStr">
        <is>
          <t>Outsourcing</t>
        </is>
      </c>
      <c r="I1430" s="11" t="inlineStr">
        <is>
          <t>Customer Data</t>
        </is>
      </c>
      <c r="J1430" t="inlineStr"/>
      <c r="K1430" s="11" t="inlineStr">
        <is>
          <t>Competent authorities must verify that outsourcing arrangements do not constitute material changes to institutions' initial regulatory authorisation conditions. This involves assessing whether outsourcing impacts compliance with existing obligations.</t>
        </is>
      </c>
      <c r="L1430" s="11" t="inlineStr">
        <is>
          <t>Ensures that outsourcing arrangements do not undermine regulatory compliance, relevant for DTIA when assessing cross-border data transfers and service continuity.</t>
        </is>
      </c>
      <c r="M1430" s="11" t="inlineStr">
        <is>
          <t>• [Must] Competent authorities should identify if outsourcing arrangements amount to material changes to initial authorisation conditions</t>
        </is>
      </c>
      <c r="N1430" s="11" t="inlineStr"/>
      <c r="O1430" s="11" t="inlineStr">
        <is>
          <t>109. When establishing appropriate methods to monitor institutions' and payment institutions' compliance with the conditions for initial authorisation, competent authorities should aim to identify if outsourcing arrangements amount to a material change to the conditions and obligations of institutions' and payment institutions' initial authorisation.</t>
        </is>
      </c>
      <c r="P1430" s="12" t="n">
        <v>35</v>
      </c>
    </row>
    <row r="1431">
      <c r="A1431" t="inlineStr">
        <is>
          <t>GDPR</t>
        </is>
      </c>
      <c r="B1431" t="inlineStr">
        <is>
          <t>EBA revised Guidelines on outsourcing arrangements (GDPR - Row 5)</t>
        </is>
      </c>
      <c r="C1431" t="inlineStr">
        <is>
          <t>110</t>
        </is>
      </c>
      <c r="D1431" s="11" t="inlineStr">
        <is>
          <t>Audit rights for supervisory oversight</t>
        </is>
      </c>
      <c r="E1431" t="inlineStr">
        <is>
          <t>53</t>
        </is>
      </c>
      <c r="F1431" t="inlineStr">
        <is>
          <t>High</t>
        </is>
      </c>
      <c r="G1431" t="inlineStr">
        <is>
          <t>High (explicit)</t>
        </is>
      </c>
      <c r="H1431" s="11" t="inlineStr">
        <is>
          <t>Outsourcing</t>
        </is>
      </c>
      <c r="I1431" s="11" t="inlineStr">
        <is>
          <t>Customer Data</t>
        </is>
      </c>
      <c r="J1431" t="inlineStr"/>
      <c r="K1431" s="11" t="inlineStr">
        <is>
          <t>Competent authorities must ensure that service providers in outsourcing arrangements grant audit and access rights to the authority and institutions, enabling effective regulatory oversight of critical functions.</t>
        </is>
      </c>
      <c r="L1431" s="11" t="inlineStr">
        <is>
          <t>Ensures regulatory oversight of outsourced functions, critical for DTIA when assessing data transfer mechanisms and service continuity.</t>
        </is>
      </c>
      <c r="M1431" s="11" t="inlineStr">
        <is>
          <t>• [Must] Service providers must grant audit and access rights to competent authorities and institutions</t>
        </is>
      </c>
      <c r="N1431" s="11" t="inlineStr"/>
      <c r="O1431" s="11" t="inlineStr">
        <is>
          <t>110. Competent authorities should be satisfied that they can effectively supervise institutions and payment institutions, including that institutions or payment institutions have ensured within their outsourcing arrangement that service providers are obliged to grant audit and access rights to the competent authority and the institution, in line with Section 13.3.</t>
        </is>
      </c>
      <c r="P1431" s="12" t="n">
        <v>35</v>
      </c>
    </row>
    <row r="1432">
      <c r="A1432" t="inlineStr">
        <is>
          <t>GDPR</t>
        </is>
      </c>
      <c r="B1432" t="inlineStr">
        <is>
          <t>EBA revised Guidelines on outsourcing arrangements (GDPR - Row 5)</t>
        </is>
      </c>
      <c r="C1432" t="inlineStr">
        <is>
          <t>111</t>
        </is>
      </c>
      <c r="D1432" s="11" t="inlineStr">
        <is>
          <t>Outsourcing risk analysis within SREP</t>
        </is>
      </c>
      <c r="E1432" t="inlineStr">
        <is>
          <t>53</t>
        </is>
      </c>
      <c r="F1432" t="inlineStr">
        <is>
          <t>High</t>
        </is>
      </c>
      <c r="G1432" t="inlineStr">
        <is>
          <t>High (explicit)</t>
        </is>
      </c>
      <c r="H1432" s="11" t="inlineStr">
        <is>
          <t>Outsourcing</t>
        </is>
      </c>
      <c r="I1432" s="11" t="inlineStr">
        <is>
          <t>Customer Data</t>
        </is>
      </c>
      <c r="J1432" t="inlineStr"/>
      <c r="K1432" s="11" t="inlineStr">
        <is>
          <t>Institutions must conduct outsourcing risk analyses at least within the Supervisory Review and Evaluation Process (SREP) or through other supervisory mechanisms, including on-site inspections, to ensure ongoing compliance with regulatory requirements.</t>
        </is>
      </c>
      <c r="L1432" s="11" t="inlineStr">
        <is>
          <t>Ensures regular assessment of outsourcing risks, relevant for DTIA when evaluating cross-border data transfer mechanisms.</t>
        </is>
      </c>
      <c r="M1432" s="11" t="inlineStr">
        <is>
          <t>• [Must] Institutions should perform outsourcing risk analysis at least within the SREP</t>
        </is>
      </c>
      <c r="N1432" s="11" t="inlineStr">
        <is>
          <t>• [Must] For payment institutions, outsourcing risk analysis should be conducted as part of other supervisory processes</t>
        </is>
      </c>
      <c r="O1432" s="11" t="inlineStr">
        <is>
          <t>111. The analysis of institutions' outsourcing risks should be performed at least within the SREP or, with regard to payment institutions, as part of other supervisory processes, including ad-hoc requests, or during on-site inspections.</t>
        </is>
      </c>
      <c r="P1432" s="12" t="n">
        <v>35</v>
      </c>
    </row>
    <row r="1433">
      <c r="A1433" t="inlineStr">
        <is>
          <t>GDPR</t>
        </is>
      </c>
      <c r="B1433" t="inlineStr">
        <is>
          <t>EBA revised Guidelines on outsourcing arrangements (GDPR - Row 5)</t>
        </is>
      </c>
      <c r="C1433" t="inlineStr">
        <is>
          <t>112</t>
        </is>
      </c>
      <c r="D1433" s="11" t="inlineStr">
        <is>
          <t>Competent authorities may request detailed outsourcing information</t>
        </is>
      </c>
      <c r="E1433" t="inlineStr">
        <is>
          <t>53</t>
        </is>
      </c>
      <c r="F1433" t="inlineStr">
        <is>
          <t>High</t>
        </is>
      </c>
      <c r="G1433" t="inlineStr">
        <is>
          <t>High (explicit)</t>
        </is>
      </c>
      <c r="H1433" s="11" t="inlineStr"/>
      <c r="I1433" s="11" t="inlineStr">
        <is>
          <t>Financial Data</t>
        </is>
      </c>
      <c r="J1433" t="inlineStr">
        <is>
          <t>Competent authorities</t>
        </is>
      </c>
      <c r="K1433" s="11" t="inlineStr">
        <is>
          <t>Competent authorities can require institutions and payment institutions to provide additional information about critical or important outsourcing arrangements, including detailed risk analyses, business continuity plans, exit strategies, and monitoring measures. This applies to entities subject to EU/EEA supervision and is triggered by the register of outsourcing arrangements maintained under Section 11.</t>
        </is>
      </c>
      <c r="L1433" s="11" t="inlineStr">
        <is>
          <t>Competent authorities may require detailed information on critical outsourcing arrangements to assess risks, including risk analyses, business continuity plans, and exit strategies. This impacts DTIA by mandating specific documentation for high-risk outsourcing activities.</t>
        </is>
      </c>
      <c r="M1433" s="11" t="inlineStr">
        <is>
          <t>• [Must] Competent authorities may ask institutions and payment institutions for additional information on critical or important outsourcing arrangements
• [Must] Provide detailed risk analysis for critical or important outsourcing arrangements
• [Must] Confirm service provider has a business continuity plan suitable for the services</t>
        </is>
      </c>
      <c r="N1433" s="11" t="inlineStr">
        <is>
          <t>• [Must] Specify exit strategy for terminating outsourcing arrangements or service disruptions
• [Must] Detail resources and measures to monitor outsourced activities</t>
        </is>
      </c>
      <c r="O1433" s="11" t="inlineStr">
        <is>
          <t>Competent authorities may ask institutions and payment institutions for additional information, in particular for critical or important outsourcing arrangements, such as: a. the detailed risk analysis; b. whether the service provider has a business continuity plan that is suitable for the services provided to the outsourcing institution or payment institution; c. the exit strategy for use if the outsourcing arrangement is terminated by either party or if there is disruption to the provision of the services; and d. the resources and measures in place to adequately monitor the outsourced activities.</t>
        </is>
      </c>
      <c r="P1433" s="12" t="n">
        <v>35</v>
      </c>
    </row>
    <row r="1434">
      <c r="A1434" t="inlineStr">
        <is>
          <t>GDPR</t>
        </is>
      </c>
      <c r="B1434" t="inlineStr">
        <is>
          <t>EBA revised Guidelines on outsourcing arrangements (GDPR - Row 5)</t>
        </is>
      </c>
      <c r="C1434" t="inlineStr">
        <is>
          <t>113</t>
        </is>
      </c>
      <c r="D1434" s="11" t="inlineStr">
        <is>
          <t>Competent authorities may require detailed outsourcing information</t>
        </is>
      </c>
      <c r="E1434" t="inlineStr">
        <is>
          <t>53</t>
        </is>
      </c>
      <c r="F1434" t="inlineStr">
        <is>
          <t>High</t>
        </is>
      </c>
      <c r="G1434" t="inlineStr">
        <is>
          <t>High (explicit)</t>
        </is>
      </c>
      <c r="H1434" s="11" t="inlineStr"/>
      <c r="I1434" s="11" t="inlineStr">
        <is>
          <t>Financial Data</t>
        </is>
      </c>
      <c r="J1434" t="inlineStr">
        <is>
          <t>Competent authorities</t>
        </is>
      </c>
      <c r="K1434" s="11" t="inlineStr">
        <is>
          <t>Competent authorities can require institutions and payment institutions to provide detailed information on any outsourcing arrangement, regardless of whether the function is considered critical or important. This expands the scope of information needed beyond critical arrangements to cover all outsourcing activities under EU/EEA supervision.</t>
        </is>
      </c>
      <c r="L1434" s="11" t="inlineStr">
        <is>
          <t>Competent authorities may require detailed information on all outsourcing arrangements, not just critical ones, which impacts DTIA by increasing the scope of data that needs to be assessed for risk.</t>
        </is>
      </c>
      <c r="M1434" s="11" t="inlineStr">
        <is>
          <t>• [Must] Competent authorities may require institutions and payment institutions to provide detailed information on any outsourcing arrangement</t>
        </is>
      </c>
      <c r="N1434" s="11" t="inlineStr"/>
      <c r="O1434" s="11" t="inlineStr">
        <is>
          <t>In addition to the information required under Section 11, competent authorities may require institutions and payment institutions to provide detailed information on any outsourcing arrangement, even if the function concerned is not considered critical or important.</t>
        </is>
      </c>
      <c r="P1434" s="12" t="n">
        <v>35</v>
      </c>
    </row>
    <row r="1435">
      <c r="A1435" t="inlineStr">
        <is>
          <t>GDPR</t>
        </is>
      </c>
      <c r="B1435" t="inlineStr">
        <is>
          <t>EBA revised Guidelines on outsourcing arrangements (GDPR - Row 5)</t>
        </is>
      </c>
      <c r="C1435" t="inlineStr">
        <is>
          <t>114</t>
        </is>
      </c>
      <c r="D1435" s="11" t="inlineStr">
        <is>
          <t>Competent authorities should assess outsourcing risks on a risk-based approach</t>
        </is>
      </c>
      <c r="E1435" t="inlineStr">
        <is>
          <t>53–54</t>
        </is>
      </c>
      <c r="F1435" t="inlineStr">
        <is>
          <t>High</t>
        </is>
      </c>
      <c r="G1435" t="inlineStr">
        <is>
          <t>High (explicit)</t>
        </is>
      </c>
      <c r="H1435" s="11" t="inlineStr"/>
      <c r="I1435" s="11" t="inlineStr">
        <is>
          <t>Financial Data</t>
        </is>
      </c>
      <c r="J1435" t="inlineStr">
        <is>
          <t>Competent authorities</t>
        </is>
      </c>
      <c r="K1435" s="11" t="inlineStr">
        <is>
          <t>Competent authorities must evaluate institutions and payment institutions' ability to monitor and manage outsourcing arrangements on a risk-based approach, including critical arrangements, resource adequacy, risk identification, and conflict of interest management. This assessment covers both internal and external outsourcing activities.</t>
        </is>
      </c>
      <c r="L1435" s="11" t="inlineStr">
        <is>
          <t>Competent authorities should assess outsourcing risks using a risk-based approach, including monitoring, resource adequacy, risk identification, and conflict of interest management. This impacts DTIA by requiring detailed risk evaluations for outsourcing activities.</t>
        </is>
      </c>
      <c r="M1435" s="11" t="inlineStr">
        <is>
          <t>• [Should] Competent authorities should assess whether institutions and payment institutions monitor and manage critical or important outsourcing arrangements appropriately
• [Should] Competent authorities should assess whether institutions and payment institutions have sufficient resources to monitor and manage outsourcing arrangements</t>
        </is>
      </c>
      <c r="N1435" s="11" t="inlineStr">
        <is>
          <t>• [Should] Competent authorities should assess whether institutions and payment institutions identify and manage all relevant risks
• [Should] Competent authorities should assess whether institutions and payment institutions identify, assess and manage conflicts of interest with outsourcing arrangements</t>
        </is>
      </c>
      <c r="O1435" s="11" t="inlineStr">
        <is>
          <t>Competent authorities should assess the following on a risk-based approach: a. whether institutions and payment institutions monitor and manage appropriately, in particular, critical or important outsourcing arrangements; b. whether institutions and payment institutions have sufficient resources in place to monitor and manage outsourcing arrangements; c. whether institutions and payment institutions identify and manage all relevant risks; and d. whether institutions and payment institutions identify, assess and appropriately manage conflicts of interest with regard to outsourcing arrangements, e.g. in the case of intragroup outsourcing or outsourcing within the same institutional protection scheme.</t>
        </is>
      </c>
      <c r="P1435" s="12" t="n">
        <v>35</v>
      </c>
    </row>
    <row r="1436">
      <c r="A1436" t="inlineStr">
        <is>
          <t>GDPR</t>
        </is>
      </c>
      <c r="B1436" t="inlineStr">
        <is>
          <t>EBA revised Guidelines on outsourcing arrangements (GDPR - Row 5)</t>
        </is>
      </c>
      <c r="C1436" t="inlineStr">
        <is>
          <t>115</t>
        </is>
      </c>
      <c r="D1436" s="11" t="inlineStr">
        <is>
          <t>Competent authorities should prevent empty shell operations in outsourcing</t>
        </is>
      </c>
      <c r="E1436" t="inlineStr">
        <is>
          <t>54</t>
        </is>
      </c>
      <c r="F1436" t="inlineStr">
        <is>
          <t>High</t>
        </is>
      </c>
      <c r="G1436" t="inlineStr">
        <is>
          <t>High (explicit)</t>
        </is>
      </c>
      <c r="H1436" s="11" t="inlineStr"/>
      <c r="I1436" s="11" t="inlineStr">
        <is>
          <t>Financial Data</t>
        </is>
      </c>
      <c r="J1436" t="inlineStr">
        <is>
          <t>Competent authorities</t>
        </is>
      </c>
      <c r="K1436" s="11" t="inlineStr">
        <is>
          <t>Competent authorities must ensure EU/EEA institutions and payment institutions do not operate as 'empty shells' through back-to-back transactions or intragroup transactions that transfer market and credit risk to non-EU/EEA entities. They must also establish appropriate governance and risk management arrangements to identify and manage these risks.</t>
        </is>
      </c>
      <c r="L1436" s="11" t="inlineStr">
        <is>
          <t>Competent authorities should prevent institutions from using outsourcing to create empty shell structures that transfer risk to non-EU/EEA entities, which impacts DTIA by requiring risk assessments of outsourcing arrangements for financial stability.</t>
        </is>
      </c>
      <c r="M1436" s="11" t="inlineStr">
        <is>
          <t>• [Should] Competent authorities should ensure EU/EEA institutions and payment institutions are not operating as 'empty shell' through back-to-back transactions or intragroup transactions</t>
        </is>
      </c>
      <c r="N1436" s="11" t="inlineStr">
        <is>
          <t>• [Should] Competent authorities should ensure institutions have appropriate governance and risk management arrangements to identify and manage risks</t>
        </is>
      </c>
      <c r="O1436" s="11" t="inlineStr">
        <is>
          <t>Competent authorities should ensure that EU/EEA institutions and payment institutions are not operating as an 'empty shell', including situations where institutions use back-to-back transactions or intragroup transactions to transfer part of the market risk and credit risk to a non-EU/EEA entity, and should ensure that they have appropriate governance and risk management arrangements in place to identify and manage their risks.</t>
        </is>
      </c>
      <c r="P1436" s="12" t="n">
        <v>35</v>
      </c>
    </row>
    <row r="1437">
      <c r="A1437" t="inlineStr">
        <is>
          <t>GDPR</t>
        </is>
      </c>
      <c r="B1437" t="inlineStr">
        <is>
          <t>EBA revised Guidelines on outsourcing arrangements (GDPR - Row 5)</t>
        </is>
      </c>
      <c r="C1437" t="inlineStr">
        <is>
          <t>116</t>
        </is>
      </c>
      <c r="D1437" s="11" t="inlineStr">
        <is>
          <t>Competent authorities should assess outsourcing risks</t>
        </is>
      </c>
      <c r="E1437" t="inlineStr">
        <is>
          <t>54</t>
        </is>
      </c>
      <c r="F1437" t="inlineStr">
        <is>
          <t>High</t>
        </is>
      </c>
      <c r="G1437" t="inlineStr">
        <is>
          <t>High (explicit)</t>
        </is>
      </c>
      <c r="H1437" s="11" t="inlineStr"/>
      <c r="I1437" s="11" t="inlineStr">
        <is>
          <t>Financial Data</t>
        </is>
      </c>
      <c r="J1437" t="inlineStr">
        <is>
          <t>Competent authorities</t>
        </is>
      </c>
      <c r="K1437" s="11" t="inlineStr">
        <is>
          <t>Competent authorities must evaluate institutions and payment institutions' risk management for outsourcing arrangements, including operational risks, reputational risks, step-in risks, concentration risks at institutional and sector levels, control over service providers, and conflicts of interest. This assessment is part of the risk-based evaluation process.</t>
        </is>
      </c>
      <c r="L1437" s="11" t="inlineStr">
        <is>
          <t>Competent authorities should assess outsourcing risks including operational, reputational, step-in, and concentration risks, which impacts DTIA by requiring detailed risk evaluations for outsourcing activities.</t>
        </is>
      </c>
      <c r="M1437" s="11" t="inlineStr">
        <is>
          <t>• [Should] Competent authorities should take into account operational risks posed by outsourcing arrangements
• [Should] Competent authorities should take into account reputational risks
• [Should] Competent authorities should take into account step-in risks that could require bailing out service providers
• [Should] Competent authorities should take into account concentration risks within institutions from multiple outsourcing arrangements with a single service provider</t>
        </is>
      </c>
      <c r="N1437" s="11" t="inlineStr">
        <is>
          <t>• [Should] Competent authorities should take into account concentration risks at the sector level from multiple institutions using a single service provider
• [Should] Competent authorities should assess the extent of control over service providers and ability to influence actions
• [Should] Competent authorities should take into account conflicts of interest between institutions and service providers</t>
        </is>
      </c>
      <c r="O1437" s="11" t="inlineStr">
        <is>
          <t>Within their assessment, competent authorities should take into account all risks, in particular: a. the operational risks posed by the outsourcing arrangement; b. reputational risks; c. the step-in risk that could require the institution to bail out a service provider, in the case of significant institutions; d. concentration risks within the institution, including on a consolidated basis, caused by multiple outsourcing arrangements with a single service provider or closely connected service providers or multiple outsourcing arrangements within the same business area; e. concentration risks at the sector level, e.g. where multiple institutions or payment institutions make use of a single service provider or a small group of service providers; f. the extent to which the outsourcing institution or payment institution controls the service provider or has the ability to influence its actions, the reduction of risks that may result from a higher level of control and if the service provider is included in the consolidated supervision of the group; and g. conflicts of interest between the institution and the service provider.</t>
        </is>
      </c>
      <c r="P1437" s="12" t="n">
        <v>35</v>
      </c>
    </row>
    <row r="1438">
      <c r="A1438" t="inlineStr">
        <is>
          <t>GDPR</t>
        </is>
      </c>
      <c r="B1438" t="inlineStr">
        <is>
          <t>EBA revised Guidelines on outsourcing arrangements (GDPR - Row 5)</t>
        </is>
      </c>
      <c r="C1438" t="inlineStr">
        <is>
          <t>117</t>
        </is>
      </c>
      <c r="D1438" s="11" t="inlineStr">
        <is>
          <t>Competent authorities should monitor concentration risks</t>
        </is>
      </c>
      <c r="E1438" t="inlineStr">
        <is>
          <t>54–55</t>
        </is>
      </c>
      <c r="F1438" t="inlineStr">
        <is>
          <t>High</t>
        </is>
      </c>
      <c r="G1438" t="inlineStr">
        <is>
          <t>High (explicit)</t>
        </is>
      </c>
      <c r="H1438" s="11" t="inlineStr"/>
      <c r="I1438" s="11" t="inlineStr">
        <is>
          <t>Financial Data</t>
        </is>
      </c>
      <c r="J1438" t="inlineStr">
        <is>
          <t>Competent authorities</t>
        </is>
      </c>
      <c r="K1438" s="11" t="inlineStr">
        <is>
          <t>Competent authorities must monitor the development of concentration risks identified during outsourcing assessments, evaluate their potential impact on other institutions and the financial market stability, and inform resolution authorities about new critical functions that could pose significant risks.</t>
        </is>
      </c>
      <c r="L1438" s="11" t="inlineStr">
        <is>
          <t>Competent authorities should monitor concentration risks and inform resolution authorities about critical functions, which impacts DTIA by requiring ongoing risk monitoring for outsourcing arrangements.</t>
        </is>
      </c>
      <c r="M1438" s="11" t="inlineStr">
        <is>
          <t>• [Should] Competent authorities should monitor the development of concentration risks
• [Should] Competent authorities should evaluate potential impact of concentration risks on other institutions and financial market stability</t>
        </is>
      </c>
      <c r="N1438" s="11" t="inlineStr">
        <is>
          <t>• [Should] Competent authorities should inform resolution authorities about new potentially critical functions</t>
        </is>
      </c>
      <c r="O1438" s="11" t="inlineStr">
        <is>
          <t>Where concentration risks are identified, competent authorities should monitor the development of such risks and evaluate both their potential impact on other institutions and payment institutions and the stability of the financial market; competent authorities should inform, where appropriate, the resolution authority about new potentially critical functions that have been identified during this assessment.</t>
        </is>
      </c>
      <c r="P1438" s="12" t="n">
        <v>35</v>
      </c>
    </row>
    <row r="1439">
      <c r="A1439" t="inlineStr">
        <is>
          <t>GDPR</t>
        </is>
      </c>
      <c r="B1439" t="inlineStr">
        <is>
          <t>EBA revised Guidelines on outsourcing arrangements (GDPR - Row 5)</t>
        </is>
      </c>
      <c r="C1439" t="inlineStr">
        <is>
          <t>118</t>
        </is>
      </c>
      <c r="D1439" s="11" t="inlineStr">
        <is>
          <t>Supervisory action for institutions with weak governance in outsourcing</t>
        </is>
      </c>
      <c r="E1439" t="inlineStr">
        <is>
          <t>55</t>
        </is>
      </c>
      <c r="F1439" t="inlineStr">
        <is>
          <t>High</t>
        </is>
      </c>
      <c r="G1439" t="inlineStr">
        <is>
          <t>High (explicit)</t>
        </is>
      </c>
      <c r="H1439" s="11" t="inlineStr">
        <is>
          <t>Governance, Outsourcing</t>
        </is>
      </c>
      <c r="I1439" s="11" t="inlineStr">
        <is>
          <t>Financial Data</t>
        </is>
      </c>
      <c r="J1439" t="inlineStr">
        <is>
          <t>Competent authorities</t>
        </is>
      </c>
      <c r="K1439" s="11" t="inlineStr">
        <is>
          <t>Competent authorities must take action if an institution or payment institution lacks robust governance or regulatory compliance. This includes limiting outsourced functions, restricting outsourcing scope, or requiring exit from arrangements. Authorities may cancel contracts if regulatory oversight cannot be maintained through other measures, ensuring continuous operations.</t>
        </is>
      </c>
      <c r="L1439" s="11" t="inlineStr">
        <is>
          <t>Requires supervisory oversight of outsourcing governance to prevent financial instability from weak oversight of critical functions.</t>
        </is>
      </c>
      <c r="M1439" s="11" t="inlineStr">
        <is>
          <t>• [Must] Competent authorities must take action if an institution lacks robust governance arrangements
• [May] Competent authorities may limit or restrict the scope of outsourced functions</t>
        </is>
      </c>
      <c r="N1439" s="11" t="inlineStr">
        <is>
          <t>• [May] Competent authorities may require exit from outsourcing arrangements
• [May] Cancellation of contracts may be required if regulatory oversight cannot be ensured</t>
        </is>
      </c>
      <c r="O1439" s="11" t="inlineStr">
        <is>
          <t>Where concerns are identified that lead to the conclusion that an institution or payment institution no longer has robust governance arrangements in place or does not comply with regulatory requirements, competent authorities should take appropriate actions, which may include limiting or restricting the scope of the outsourced functions or requiring exit from one or more outsourcing arrangements.</t>
        </is>
      </c>
      <c r="P1439" s="12" t="n">
        <v>35</v>
      </c>
    </row>
    <row r="1440">
      <c r="A1440" t="inlineStr">
        <is>
          <t>GDPR</t>
        </is>
      </c>
      <c r="B1440" t="inlineStr">
        <is>
          <t>EBA revised Guidelines on outsourcing arrangements (GDPR - Row 5)</t>
        </is>
      </c>
      <c r="C1440" t="inlineStr">
        <is>
          <t>119</t>
        </is>
      </c>
      <c r="D1440" s="11" t="inlineStr">
        <is>
          <t>Effective supervision for critical outsourced functions</t>
        </is>
      </c>
      <c r="E1440" t="inlineStr">
        <is>
          <t>55–56</t>
        </is>
      </c>
      <c r="F1440" t="inlineStr">
        <is>
          <t>High</t>
        </is>
      </c>
      <c r="G1440" t="inlineStr">
        <is>
          <t>High (explicit)</t>
        </is>
      </c>
      <c r="H1440" s="11" t="inlineStr">
        <is>
          <t>Governance, Outsourcing</t>
        </is>
      </c>
      <c r="I1440" s="11" t="inlineStr">
        <is>
          <t>Financial Data</t>
        </is>
      </c>
      <c r="J1440" t="inlineStr">
        <is>
          <t>Competent authorities</t>
        </is>
      </c>
      <c r="K1440" s="11" t="inlineStr">
        <is>
          <t>Competent authorities must ensure effective supervision of institutions that outsource critical or important functions outside the EU/EEA. This applies to financial institutions and payment institutions, requiring robust governance to maintain regulatory compliance and operational continuity. The focus is on functions that pose significant risks to financial stability.</t>
        </is>
      </c>
      <c r="L1440" s="11" t="inlineStr">
        <is>
          <t>Mandates supervisory oversight for critical outsourced functions in third countries to prevent financial instability.</t>
        </is>
      </c>
      <c r="M1440" s="11" t="inlineStr">
        <is>
          <t>• [Must] Competent authorities must be satisfied that they can perform effective supervision</t>
        </is>
      </c>
      <c r="N1440" s="11" t="inlineStr">
        <is>
          <t>• [Must] Supervision must cover institutions outsourcing critical or important functions outside EU/EEA</t>
        </is>
      </c>
      <c r="O1440" s="11" t="inlineStr">
        <is>
          <t>Competent authorities should be satisfied that they are able to perform effective supervision, in particular when institutions and payment institutions outsource critical or important functions that are undertaken outside the EU/EEA.</t>
        </is>
      </c>
      <c r="P1440" s="12" t="n">
        <v>35</v>
      </c>
    </row>
    <row r="1441">
      <c r="A1441" t="inlineStr">
        <is>
          <t>GDPR</t>
        </is>
      </c>
      <c r="B1441" t="inlineStr">
        <is>
          <t>Final report on amending GLs on ICT risk and security (GDPR - Row 4)</t>
        </is>
      </c>
      <c r="C1441" t="inlineStr">
        <is>
          <t>1</t>
        </is>
      </c>
      <c r="D1441" s="11" t="inlineStr">
        <is>
          <t>EBA publishes ICT and security risk management guidelines</t>
        </is>
      </c>
      <c r="E1441" t="inlineStr">
        <is>
          <t>3</t>
        </is>
      </c>
      <c r="F1441" t="inlineStr">
        <is>
          <t>High</t>
        </is>
      </c>
      <c r="G1441" t="inlineStr">
        <is>
          <t>High (explicit)</t>
        </is>
      </c>
      <c r="H1441" s="11" t="inlineStr">
        <is>
          <t>Security, Governance</t>
        </is>
      </c>
      <c r="I1441" s="11" t="inlineStr">
        <is>
          <t>Financial Data</t>
        </is>
      </c>
      <c r="J1441" t="inlineStr">
        <is>
          <t>EBA</t>
        </is>
      </c>
      <c r="K1441" s="11" t="inlineStr">
        <is>
          <t>The EBA published ICT and security risk management guidelines on 27 November 2019, building on provisions from CRD and PSD2 directives. These guidelines establish requirements for credit institutions, investment firms, and payment service providers to mitigate ICT and security risks. The guidelines entered into force the following year and replaced previous security measures guidelines for operational and security risks.</t>
        </is>
      </c>
      <c r="L1441" s="11" t="inlineStr"/>
      <c r="M1441" s="11" t="inlineStr">
        <is>
          <t>• [Must] EBA published ICT and security risk management guidelines on 27 November 2019
• [Must] Guidelines build on provisions of Article 74 of Directive 2013/36/EU (CRD) and Article 95(3) of Directive (EU) 2015/2366 (PSD2)
• [Must] Guidelines establish requirements for credit institutions, investment firms, and payment service providers on ICT and security risk mitigation</t>
        </is>
      </c>
      <c r="N1441" s="11" t="inlineStr">
        <is>
          <t>• [Must] Guidelines aim to ensure consistent and robust approach across Single market
• [Must] Guidelines entered into force the following year and are applicable today
• [Must] Guidelines replace previous security measures guidelines for operational and security risks (EBA GL/2017/17)</t>
        </is>
      </c>
      <c r="O1441" s="11" t="inlineStr">
        <is>
          <t>On 27 November 2019, the EBA published the Guidelines on ICT and security risk management (EBA/GL/2019/04) which were built on the provisions of Article 74 of Directive 2013/36/EU (CRD) and Article 95(3) of Directive (EU) 2015/2366 (PSD2). These Guidelines establish requirements for credit institutions, investment firms and payment service providers on the mitigation and management of their information and communication technology (ICT) and security risks and aim to ensure a consistent and robust approach across the Single market. The Guidelines entered into force the following year and are applicable to the present day replacing those on security measures for operational and security risks (EBA GL/2017/17), which were repealed.</t>
        </is>
      </c>
      <c r="P1441" s="12" t="n">
        <v>37</v>
      </c>
    </row>
    <row r="1442">
      <c r="A1442" t="inlineStr">
        <is>
          <t>GDPR</t>
        </is>
      </c>
      <c r="B1442" t="inlineStr">
        <is>
          <t>Final report on amending GLs on ICT risk and security (GDPR - Row 4)</t>
        </is>
      </c>
      <c r="C1442" t="inlineStr">
        <is>
          <t>2</t>
        </is>
      </c>
      <c r="D1442" s="11" t="inlineStr">
        <is>
          <t>EBA guidelines set supervisory practices for financial institutions</t>
        </is>
      </c>
      <c r="E1442" t="inlineStr">
        <is>
          <t>3</t>
        </is>
      </c>
      <c r="F1442" t="inlineStr">
        <is>
          <t>High</t>
        </is>
      </c>
      <c r="G1442" t="inlineStr">
        <is>
          <t>High (explicit)</t>
        </is>
      </c>
      <c r="H1442" s="11" t="inlineStr">
        <is>
          <t>Governance</t>
        </is>
      </c>
      <c r="I1442" s="11" t="inlineStr">
        <is>
          <t>Financial Data</t>
        </is>
      </c>
      <c r="J1442" t="inlineStr"/>
      <c r="K1442" s="11" t="inlineStr">
        <is>
          <t>This section states that the EBA guidelines set the EBA's view of appropriate supervisory practices within the European System of Financial Supervision or how Union law should be applied in a particular area. Competent authorities must incorporate these guidelines into their practices by amending their legal frameworks or supervisory processes, especially when the guidelines are directed primarily at institutions.</t>
        </is>
      </c>
      <c r="L1442" s="11" t="inlineStr"/>
      <c r="M1442" s="11" t="inlineStr">
        <is>
          <t>• [Statement] Guidelines set the EBA view of appropriate supervisory practices within the European System of Financial Supervision or of how Union law should be applied in a particular area</t>
        </is>
      </c>
      <c r="N1442" s="11" t="inlineStr">
        <is>
          <t>• [Requirement] Competent authorities as defined in Article 4(2) of Regulation (EU) No 1093/2010 to whom guidelines apply should comply by incorporating them into their practices as appropriate (e.g. by amending their legal framework or their supervisory processes)</t>
        </is>
      </c>
      <c r="O1442" s="11" t="inlineStr">
        <is>
          <t>2. Guidelines set the EBA view of appropriate supervisory practices within the European System of Financial Supervision or of how Union law should be applied in a particular area. Competent authorities as defined in Article 4(2) of Regulation (EU) No 1093/2010 to whom guidelines apply should comply by incorporating them into their practices as appropriate (e.g. by amending their legal framework or their supervisory processes), including where guidelines are directed primarily at institutions.</t>
        </is>
      </c>
      <c r="P1442" s="12" t="n">
        <v>37</v>
      </c>
    </row>
    <row r="1443">
      <c r="A1443" t="inlineStr">
        <is>
          <t>GDPR</t>
        </is>
      </c>
      <c r="B1443" t="inlineStr">
        <is>
          <t>Final report on amending GLs on ICT risk and security (GDPR - Row 4)</t>
        </is>
      </c>
      <c r="C1443" t="inlineStr">
        <is>
          <t>3</t>
        </is>
      </c>
      <c r="D1443" s="11" t="inlineStr">
        <is>
          <t>Competent authorities must notify EBA of compliance with guidelines by 2025-05-20</t>
        </is>
      </c>
      <c r="E1443" t="inlineStr">
        <is>
          <t>3</t>
        </is>
      </c>
      <c r="F1443" t="inlineStr">
        <is>
          <t>High</t>
        </is>
      </c>
      <c r="G1443" t="inlineStr">
        <is>
          <t>High (explicit)</t>
        </is>
      </c>
      <c r="H1443" s="11" t="inlineStr"/>
      <c r="I1443" s="11" t="inlineStr">
        <is>
          <t>Financial Data</t>
        </is>
      </c>
      <c r="J1443" t="inlineStr">
        <is>
          <t>EBA</t>
        </is>
      </c>
      <c r="K1443" s="11" t="inlineStr">
        <is>
          <t>Competent authorities must notify the European Banking Authority (EBA) by May 20, 2025, whether they comply with the guidelines or intend to comply, providing reasons for non-compliance. Failure to notify by this deadline results in the EBA considering the authorities non-compliant. Notifications must be submitted using the EBA's specified form with reference 'EBA/GL/2025/02' by authorized personnel.</t>
        </is>
      </c>
      <c r="L1443" s="11" t="inlineStr">
        <is>
          <t>Competent authorities must report compliance status with these guidelines to the EBA by a specific deadline; this affects DTIA by requiring timely notification of compliance status for cross-border financial regulatory alignment.</t>
        </is>
      </c>
      <c r="M1443" s="11" t="inlineStr">
        <is>
          <t>• [Must] Competent authorities must notify the EBA by 20.05.2025 whether they comply or intend to comply with these guidelines
• [Must] Competent authorities must provide reasons for non-compliance if they do not comply
• [Must] Notifications must be submitted using the EBA form with reference 'EBA/GL/2025/02'</t>
        </is>
      </c>
      <c r="N1443" s="11" t="inlineStr">
        <is>
          <t>• [Must] Notifications must be submitted by persons with appropriate authority
• [Must] Any change in compliance status must be reported to the EBA</t>
        </is>
      </c>
      <c r="O1443" s="11" t="inlineStr">
        <is>
          <t>According to Article 16(3) of Regulation (EU) No 1093/2010, competent authorities must notify the EBA as to whether they comply or intend to comply with these guidelines, or otherwise with reasons for non-compliance, by 20.05.2025.</t>
        </is>
      </c>
      <c r="P1443" s="12" t="n">
        <v>37</v>
      </c>
    </row>
    <row r="1444">
      <c r="A1444" t="inlineStr">
        <is>
          <t>GDPR</t>
        </is>
      </c>
      <c r="B1444" t="inlineStr">
        <is>
          <t>Final report on amending GLs on ICT risk and security (GDPR - Row 4)</t>
        </is>
      </c>
      <c r="C1444" t="inlineStr">
        <is>
          <t>4</t>
        </is>
      </c>
      <c r="D1444" s="11" t="inlineStr">
        <is>
          <t>EBA publishes compliance notifications on its website</t>
        </is>
      </c>
      <c r="E1444" t="inlineStr">
        <is>
          <t>8–9</t>
        </is>
      </c>
      <c r="F1444" t="inlineStr">
        <is>
          <t>High</t>
        </is>
      </c>
      <c r="G1444" t="inlineStr">
        <is>
          <t>High (explicit)</t>
        </is>
      </c>
      <c r="H1444" s="11" t="inlineStr"/>
      <c r="I1444" s="11" t="inlineStr">
        <is>
          <t>Financial Data</t>
        </is>
      </c>
      <c r="J1444" t="inlineStr">
        <is>
          <t>EBA</t>
        </is>
      </c>
      <c r="K1444" s="11" t="inlineStr">
        <is>
          <t>EBA will publish notifications of compliance status from competent authorities on its official website, as required by Article 16(3) of Regulation (EU) No 1093/2010. This transparency measure ensures public accessibility of compliance information for stakeholders.</t>
        </is>
      </c>
      <c r="L1444" s="11" t="inlineStr">
        <is>
          <t>Public disclosure of compliance notifications affects DTIA by making compliance status visible to stakeholders, which may influence cross-border regulatory trust and transparency.</t>
        </is>
      </c>
      <c r="M1444" s="11" t="inlineStr">
        <is>
          <t>• [Must] EBA will publish compliance notifications on its website</t>
        </is>
      </c>
      <c r="N1444" s="11" t="inlineStr"/>
      <c r="O1444" s="11" t="inlineStr">
        <is>
          <t>Notifications will be published on the EBA website, in line with Article 16(3).</t>
        </is>
      </c>
      <c r="P1444" s="12" t="n">
        <v>37</v>
      </c>
    </row>
    <row r="1445">
      <c r="A1445" t="inlineStr">
        <is>
          <t>GDPR</t>
        </is>
      </c>
      <c r="B1445" t="inlineStr">
        <is>
          <t>Final report on amending GLs on ICT risk and security (GDPR - Row 4)</t>
        </is>
      </c>
      <c r="C1445" t="inlineStr">
        <is>
          <t>5</t>
        </is>
      </c>
      <c r="D1445" s="11" t="inlineStr">
        <is>
          <t>Guidelines apply to competent authorities and payment service providers</t>
        </is>
      </c>
      <c r="E1445" t="inlineStr">
        <is>
          <t>3–4</t>
        </is>
      </c>
      <c r="F1445" t="inlineStr">
        <is>
          <t>High</t>
        </is>
      </c>
      <c r="G1445" t="inlineStr">
        <is>
          <t>High (explicit)</t>
        </is>
      </c>
      <c r="H1445" s="11" t="inlineStr"/>
      <c r="I1445" s="11" t="inlineStr">
        <is>
          <t>Financial Data</t>
        </is>
      </c>
      <c r="J1445" t="inlineStr"/>
      <c r="K1445" s="11" t="inlineStr">
        <is>
          <t>These guidelines apply to competent authorities as defined in Article 4(2)(vii) of Regulation (EU) No 1093/2010 and financial institutions that are payment service providers under Article 1(1) of Directive (EU) 2015/2366. The scope includes natural or legal persons benefiting from exemptions under specific directives.</t>
        </is>
      </c>
      <c r="L1445" s="11" t="inlineStr">
        <is>
          <t>The scope definition directly impacts DTIA by specifying which entities must comply with security measures for payment services, affecting cross-border data handling obligations.</t>
        </is>
      </c>
      <c r="M1445" s="11" t="inlineStr">
        <is>
          <t>• [Must] Guidelines apply to competent authorities as defined in Article 4(2)(vii) of Regulation (EU) No 1093/2010</t>
        </is>
      </c>
      <c r="N1445" s="11" t="inlineStr">
        <is>
          <t>• [Must] Guidelines apply to financial institutions that are payment service providers under Article 1(1) of Directive (EU) 2015/2366</t>
        </is>
      </c>
      <c r="O1445" s="11" t="inlineStr">
        <is>
          <t>These guidelines are addressed to competent authorities as defined in Article 4 point (2)(vii) of Regulation (EU) No 1093/2010 and to financial institutions as defined in Article 4(1) of Regulation No 1093/2010, which are payment service providers as referred to in Article 1(1) of Directive (EU) 2015/2366.</t>
        </is>
      </c>
      <c r="P1445" s="12" t="n">
        <v>37</v>
      </c>
    </row>
    <row r="1446">
      <c r="A1446" t="inlineStr">
        <is>
          <t>GDPR</t>
        </is>
      </c>
      <c r="B1446" t="inlineStr">
        <is>
          <t>Final report on amending GLs on ICT risk and security (GDPR - Row 4)</t>
        </is>
      </c>
      <c r="C1446" t="inlineStr">
        <is>
          <t>8</t>
        </is>
      </c>
      <c r="D1446" s="11" t="inlineStr">
        <is>
          <t>Guidelines cover payment user relationship management under DORA</t>
        </is>
      </c>
      <c r="E1446" t="inlineStr">
        <is>
          <t>4</t>
        </is>
      </c>
      <c r="F1446" t="inlineStr">
        <is>
          <t>High</t>
        </is>
      </c>
      <c r="G1446" t="inlineStr">
        <is>
          <t>High (explicit)</t>
        </is>
      </c>
      <c r="H1446" s="11" t="inlineStr"/>
      <c r="I1446" s="11" t="inlineStr">
        <is>
          <t>Financial Data</t>
        </is>
      </c>
      <c r="J1446" t="inlineStr"/>
      <c r="K1446" s="11" t="inlineStr">
        <is>
          <t>These guidelines are based on the mandate to issue guidelines under Article 95(3) of Directive (EU) 2015/2366 and cover aspects of payment user relationship management. They complement risk management measures under the Digital Operational Resilience Act (DORA) and related Regulatory Technical Standards for payment service providers.</t>
        </is>
      </c>
      <c r="L1446" s="11" t="inlineStr">
        <is>
          <t>The guidelines specify security measures for payment services under DORA, which directly impacts DTIA by requiring robust security protocols for cross-border payment data handling.</t>
        </is>
      </c>
      <c r="M1446" s="11" t="inlineStr">
        <is>
          <t>• [Must] Guidelines cover aspects of payment user relationship management</t>
        </is>
      </c>
      <c r="N1446" s="11" t="inlineStr">
        <is>
          <t>• [Must] Guidelines complement risk management measures under DORA</t>
        </is>
      </c>
      <c r="O1446" s="11" t="inlineStr">
        <is>
          <t>These guidelines are based on the mandate to issue guidelines under Article 95(3) of Directive (EU) 2015/2366 and cover aspects of payment user relationship management.</t>
        </is>
      </c>
      <c r="P1446" s="12" t="n">
        <v>37</v>
      </c>
    </row>
    <row r="1447">
      <c r="A1447" t="inlineStr">
        <is>
          <t>GDPR</t>
        </is>
      </c>
      <c r="B1447" t="inlineStr">
        <is>
          <t>Final report on amending GLs on ICT risk and security (GDPR - Row 4)</t>
        </is>
      </c>
      <c r="C1447" t="inlineStr">
        <is>
          <t>9</t>
        </is>
      </c>
      <c r="D1447" s="11" t="inlineStr">
        <is>
          <t>Scope of application for guidelines is deleted</t>
        </is>
      </c>
      <c r="E1447" t="inlineStr">
        <is>
          <t>9–10</t>
        </is>
      </c>
      <c r="F1447" t="inlineStr">
        <is>
          <t>High</t>
        </is>
      </c>
      <c r="G1447" t="inlineStr">
        <is>
          <t>High (explicit)</t>
        </is>
      </c>
      <c r="H1447" s="11" t="inlineStr"/>
      <c r="I1447" s="11" t="inlineStr">
        <is>
          <t>Financial Data</t>
        </is>
      </c>
      <c r="J1447" t="inlineStr"/>
      <c r="K1447" s="11" t="inlineStr">
        <is>
          <t>The scope of application for the guidelines is deleted, meaning the guidelines now apply to the specific mandate under Article 95(3) of Directive (EU) 2015/2366 for payment service providers. This deletion streamlines the scope to focus on security measures for payment services.</t>
        </is>
      </c>
      <c r="L1447" s="11" t="inlineStr">
        <is>
          <t>The deletion of the scope ensures the guidelines focus exclusively on payment service providers' security measures, which is critical for DTIA in payment-related data transfers.</t>
        </is>
      </c>
      <c r="M1447" s="11" t="inlineStr">
        <is>
          <t>• [Must] Scope of application for guidelines is deleted</t>
        </is>
      </c>
      <c r="N1447" s="11" t="inlineStr"/>
      <c r="O1447" s="11" t="inlineStr">
        <is>
          <t>The scope of application as set out in paragraphs 7 and 8 is deleted.</t>
        </is>
      </c>
      <c r="P1447" s="12" t="n">
        <v>37</v>
      </c>
    </row>
    <row r="1448">
      <c r="A1448" t="inlineStr">
        <is>
          <t>GDPR</t>
        </is>
      </c>
      <c r="B1448" t="inlineStr">
        <is>
          <t>Final report on amending GLs on ICT risk and security (GDPR - Row 4)</t>
        </is>
      </c>
      <c r="C1448" t="inlineStr">
        <is>
          <t>10</t>
        </is>
      </c>
      <c r="D1448" s="11" t="inlineStr">
        <is>
          <t>Guidelines apply to specific payment service providers</t>
        </is>
      </c>
      <c r="E1448" t="inlineStr">
        <is>
          <t>4</t>
        </is>
      </c>
      <c r="F1448" t="inlineStr">
        <is>
          <t>High</t>
        </is>
      </c>
      <c r="G1448" t="inlineStr">
        <is>
          <t>High (explicit)</t>
        </is>
      </c>
      <c r="H1448" s="11" t="inlineStr"/>
      <c r="I1448" s="11" t="inlineStr">
        <is>
          <t>Financial Data</t>
        </is>
      </c>
      <c r="J1448" t="inlineStr"/>
      <c r="K1448" s="11" t="inlineStr">
        <is>
          <t>These guidelines apply to competent authorities as defined in Article 4(2)(vii) of Regulation (EU) No 1093/2010 and financial institutions that are payment service providers under Article 1(1) of Directive (EU) 2015/2366. This includes entities benefiting from exemptions under Article 32 or 33 of Directive (EU) 2015/2366 and legal persons exempted under Article 9 of Directive 2009/110/EC.</t>
        </is>
      </c>
      <c r="L1448" s="11" t="inlineStr">
        <is>
          <t>The specific scope definition affects DTIA by clarifying which entities must implement security measures for payment services, including exempted entities.</t>
        </is>
      </c>
      <c r="M1448" s="11" t="inlineStr">
        <is>
          <t>• [Must] Guidelines apply to competent authorities as defined in Article 4(2)(vii) of Regulation (EU) No 1093/2010
• [Must] Guidelines apply to financial institutions that are payment service providers under Article 1(1) of Directive (EU) 2015/2366</t>
        </is>
      </c>
      <c r="N1448" s="11" t="inlineStr">
        <is>
          <t>• [Must] Includes natural or legal persons benefiting from exemptions under Article 32 or 33 of Directive (EU) 2015/2366
• [Must] Includes legal persons exempted under Article 9 of Directive 2009/110/EC</t>
        </is>
      </c>
      <c r="O1448" s="11" t="inlineStr">
        <is>
          <t>These guidelines are addressed to competent authorities as defined in Article 4 point (2) point (vii) of Regulation (EU) No 1093/2010 and to financial institutions as defined in Article 4(1) of Regulation No 1093/2010, which are payment service providers as defined in Article 1(1) point (a), point (b) and point (d) of Directive (EU) 2015/2366, including natural or legal persons benefiting from an exemption pursuant to Article 32 or 33 of Directive (EU) 2015/2366 and legal persons exempted under Article 9 of Directive 2009/110/EC.</t>
        </is>
      </c>
      <c r="P1448" s="12" t="n">
        <v>37</v>
      </c>
    </row>
    <row r="1449">
      <c r="A1449" t="inlineStr">
        <is>
          <t>GDPR</t>
        </is>
      </c>
      <c r="B1449" t="inlineStr">
        <is>
          <t>Final report on amending GLs on ICT risk and security (GDPR - Row 4)</t>
        </is>
      </c>
      <c r="C1449" t="inlineStr">
        <is>
          <t>11</t>
        </is>
      </c>
      <c r="D1449" s="11" t="inlineStr">
        <is>
          <t>Removal of specific definitions from scope</t>
        </is>
      </c>
      <c r="E1449" t="inlineStr">
        <is>
          <t>4–5</t>
        </is>
      </c>
      <c r="F1449" t="inlineStr">
        <is>
          <t>None</t>
        </is>
      </c>
      <c r="G1449" t="inlineStr">
        <is>
          <t>High (explicit)</t>
        </is>
      </c>
      <c r="H1449" s="11" t="inlineStr"/>
      <c r="I1449" s="11" t="inlineStr">
        <is>
          <t>Personal Information</t>
        </is>
      </c>
      <c r="J1449" t="inlineStr"/>
      <c r="K1449" s="11" t="inlineStr">
        <is>
          <t>This section explicitly deletes certain definitions previously outlined in paragraph 10. The deletion applies to the definitions listed in that paragraph. The section does not introduce new definitions or obligations but removes existing ones from the scope of the regulation.</t>
        </is>
      </c>
      <c r="L1449" s="11" t="inlineStr"/>
      <c r="M1449" s="11" t="inlineStr">
        <is>
          <t>• [Restriction] The definitions as set out in paragraph 10 are deleted</t>
        </is>
      </c>
      <c r="N1449" s="11" t="inlineStr"/>
      <c r="O1449" s="11" t="inlineStr">
        <is>
          <t>The definitions as set out in paragraph 10 are deleted.</t>
        </is>
      </c>
      <c r="P1449" s="12" t="n">
        <v>37</v>
      </c>
    </row>
    <row r="1450">
      <c r="A1450" t="inlineStr">
        <is>
          <t>GDPR</t>
        </is>
      </c>
      <c r="B1450" t="inlineStr">
        <is>
          <t>Final report on amending GLs on ICT risk and security (GDPR - Row 4)</t>
        </is>
      </c>
      <c r="C1450" t="inlineStr">
        <is>
          <t>12</t>
        </is>
      </c>
      <c r="D1450" s="11" t="inlineStr">
        <is>
          <t>Credit institutions and investment firms overlap with DORA financial entities</t>
        </is>
      </c>
      <c r="E1450" t="inlineStr">
        <is>
          <t>5</t>
        </is>
      </c>
      <c r="F1450" t="inlineStr">
        <is>
          <t>High</t>
        </is>
      </c>
      <c r="G1450" t="inlineStr">
        <is>
          <t>High (explicit)</t>
        </is>
      </c>
      <c r="H1450" s="11" t="inlineStr">
        <is>
          <t>Financial Data</t>
        </is>
      </c>
      <c r="I1450" s="11" t="inlineStr">
        <is>
          <t>Financial Data</t>
        </is>
      </c>
      <c r="J1450" t="inlineStr"/>
      <c r="K1450" s="11" t="inlineStr">
        <is>
          <t>This section states that credit institutions and investment firms as defined in Article 4(1) point 3 of Regulation (EU) No 575/2013 overlap with financial entities subject to DORA and related RTS on RMF. The overlap indicates that these entities are covered by both the EBA Guidelines on ICT and security risk management and the DORA framework, which requires specific risk management practices.</t>
        </is>
      </c>
      <c r="L1450" s="11" t="inlineStr"/>
      <c r="M1450" s="11" t="inlineStr">
        <is>
          <t>• [Statement] Credit institutions and investment firms as defined in point 3 of Article 4(1) of Regulation (EU) No 575/2013 overlap with financial entities subject to DORA and the related RTS on RMF</t>
        </is>
      </c>
      <c r="N1450" s="11" t="inlineStr"/>
      <c r="O1450" s="11" t="inlineStr">
        <is>
          <t>12. Credit institutions and investment firms as defined in point 3 of Article 4(1) of Regulation (EU) No 575/2013, addressees of the EBA Guidelines on ICT and security risk management overlap with the financial entities subject to DORA and the related RTS on RMF.</t>
        </is>
      </c>
      <c r="P1450" s="12" t="n">
        <v>37</v>
      </c>
    </row>
    <row r="1451">
      <c r="A1451" t="inlineStr">
        <is>
          <t>GDPR</t>
        </is>
      </c>
      <c r="B1451" t="inlineStr">
        <is>
          <t>Final report on amending GLs on ICT risk and security (GDPR - Row 4)</t>
        </is>
      </c>
      <c r="C1451" t="inlineStr">
        <is>
          <t>13</t>
        </is>
      </c>
      <c r="D1451" s="11" t="inlineStr">
        <is>
          <t>EBA gap analysis shows most security gaps covered by DORA</t>
        </is>
      </c>
      <c r="E1451" t="inlineStr">
        <is>
          <t>5</t>
        </is>
      </c>
      <c r="F1451" t="inlineStr">
        <is>
          <t>High</t>
        </is>
      </c>
      <c r="G1451" t="inlineStr">
        <is>
          <t>High (explicit)</t>
        </is>
      </c>
      <c r="H1451" s="11" t="inlineStr">
        <is>
          <t>Security</t>
        </is>
      </c>
      <c r="I1451" s="11" t="inlineStr">
        <is>
          <t>Financial Data</t>
        </is>
      </c>
      <c r="J1451" t="inlineStr"/>
      <c r="K1451" s="11" t="inlineStr">
        <is>
          <t>This section states that the EBA's May 2024 gap analysis found that the majority of identified gaps related to authentication methods, information security policies, and ICT operations management were not material and were holistically covered by the new DORA framework. The statement indicates that the DORA framework addresses most security-related gaps previously identified.</t>
        </is>
      </c>
      <c r="L1451" s="11" t="inlineStr"/>
      <c r="M1451" s="11" t="inlineStr">
        <is>
          <t>• [Statement] The EBA carried out a gap analysis in May 2024 and arrived at the view that the majority of gaps identified which relate to authentication methods, requirements for the information security policy and ICT operations management were not material and holistically covered by the new DORA framework</t>
        </is>
      </c>
      <c r="N1451" s="11" t="inlineStr"/>
      <c r="O1451" s="11" t="inlineStr">
        <is>
          <t>13. The EBA carried out a gap analysis in May 2024 and arrived at the view that the majority of the gaps identified which relate to authentication methods, requirements for the information security policy and ICT operations management, were not material and holistically covered by the new DORA framework.</t>
        </is>
      </c>
      <c r="P1451" s="12" t="n">
        <v>37</v>
      </c>
    </row>
    <row r="1452">
      <c r="A1452" t="inlineStr">
        <is>
          <t>GDPR</t>
        </is>
      </c>
      <c r="B1452" t="inlineStr">
        <is>
          <t>Final report on amending GLs on ICT risk and security (GDPR - Row 4)</t>
        </is>
      </c>
      <c r="C1452" t="inlineStr">
        <is>
          <t>16</t>
        </is>
      </c>
      <c r="D1452" s="11" t="inlineStr">
        <is>
          <t>EBA definitions overlap with DORA Article 3</t>
        </is>
      </c>
      <c r="E1452" t="inlineStr">
        <is>
          <t>5</t>
        </is>
      </c>
      <c r="F1452" t="inlineStr">
        <is>
          <t>High</t>
        </is>
      </c>
      <c r="G1452" t="inlineStr">
        <is>
          <t>High (explicit)</t>
        </is>
      </c>
      <c r="H1452" s="11" t="inlineStr"/>
      <c r="I1452" s="11" t="inlineStr">
        <is>
          <t>Financial Data</t>
        </is>
      </c>
      <c r="J1452" t="inlineStr"/>
      <c r="K1452" s="11" t="inlineStr">
        <is>
          <t>This section states that the definitions included in the EBA Guidelines on ICT and security risk management overlap with DORA Article 3. The overlap indicates that the definitions used in the EBA Guidelines are consistent with the definitions in the DORA framework, which is relevant for ensuring alignment in regulatory practices.</t>
        </is>
      </c>
      <c r="L1452" s="11" t="inlineStr"/>
      <c r="M1452" s="11" t="inlineStr">
        <is>
          <t>• [Statement] The definitions included in EBA Guidelines on ICT and security risk management overlap with DORA Article (3)</t>
        </is>
      </c>
      <c r="N1452" s="11" t="inlineStr"/>
      <c r="O1452" s="11" t="inlineStr">
        <is>
          <t>16. The definitions included in EBA Guidelines on ICT and security risk management overlap with DORA Article (3).</t>
        </is>
      </c>
      <c r="P1452" s="12" t="n">
        <v>37</v>
      </c>
    </row>
    <row r="1453">
      <c r="A1453" t="inlineStr">
        <is>
          <t>GDPR</t>
        </is>
      </c>
      <c r="B1453" t="inlineStr">
        <is>
          <t>OJ_L_202302854_EN_TXT (GDPR - Row 11)</t>
        </is>
      </c>
      <c r="C1453" t="inlineStr">
        <is>
          <t>1</t>
        </is>
      </c>
      <c r="D1453" s="11" t="inlineStr">
        <is>
          <t>GDPR evaluation report by Commission</t>
        </is>
      </c>
      <c r="E1453" t="inlineStr">
        <is>
          <t>32</t>
        </is>
      </c>
      <c r="F1453" t="inlineStr">
        <is>
          <t>High</t>
        </is>
      </c>
      <c r="G1453" t="inlineStr">
        <is>
          <t>High (explicit)</t>
        </is>
      </c>
      <c r="H1453" s="11" t="inlineStr"/>
      <c r="I1453" s="11" t="inlineStr"/>
      <c r="J1453" t="inlineStr">
        <is>
          <t>European Commission</t>
        </is>
      </c>
      <c r="K1453" s="11" t="inlineStr">
        <is>
          <t>The Commission must evaluate GDPR by September 2028 and report findings to the European Parliament, Council, and Economic and Social Committee. The evaluation covers data access, use, economic impact, data sharing, and SME compliance, among other areas.</t>
        </is>
      </c>
      <c r="L1453" s="11" t="inlineStr">
        <is>
          <t>Requires a comprehensive evaluation of GDPR's impact on data sharing and processing, which informs future data transfer compliance frameworks.</t>
        </is>
      </c>
      <c r="M1453"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
• [Must] The evaluation shall assess situations of exceptional need for Article 15 and Chapter V implementation
• [Must] The evaluation shall assess the impact of this Regulation on data innovation and monetisation
• [Must] The evaluation shall assess the accessibility and use of different categories and types of data</t>
        </is>
      </c>
      <c r="N1453" s="11" t="inlineStr">
        <is>
          <t>• [Must] The evaluation shall assess the exclusion of certain categories of enterprises as beneficiaries under Article 5
• [Must] The evaluation shall assess the impact on intellectual property rights
• [Must] The evaluation shall assess the impact on trade secrets
• [Must] The evaluation shall assess the impact of the mechanism allowing data holders to refuse user requests
• [Must] The evaluation shall assess the impact on SMEs regarding innovation and data processing services</t>
        </is>
      </c>
      <c r="O1453" s="11" t="inlineStr">
        <is>
          <t>By 12 September 2028, the Commission shall carry out an evaluation of this Regulation and submit a report on its main findings to the European Parliament and to the Council, and to the European Economic and Social Committee.</t>
        </is>
      </c>
      <c r="P1453" s="12" t="n">
        <v>38</v>
      </c>
    </row>
    <row r="1454">
      <c r="A1454" t="inlineStr">
        <is>
          <t>GDPR</t>
        </is>
      </c>
      <c r="B1454" t="inlineStr">
        <is>
          <t>OJ_L_202302854_EN_TXT (GDPR - Row 11)</t>
        </is>
      </c>
      <c r="C1454" t="inlineStr">
        <is>
          <t>2</t>
        </is>
      </c>
      <c r="D1454" s="11" t="inlineStr">
        <is>
          <t>GDPR evaluation report for SMEs</t>
        </is>
      </c>
      <c r="E1454" t="inlineStr">
        <is>
          <t>32</t>
        </is>
      </c>
      <c r="F1454" t="inlineStr">
        <is>
          <t>High</t>
        </is>
      </c>
      <c r="G1454" t="inlineStr">
        <is>
          <t>High (explicit)</t>
        </is>
      </c>
      <c r="H1454" s="11" t="inlineStr"/>
      <c r="I1454" s="11" t="inlineStr"/>
      <c r="J1454" t="inlineStr">
        <is>
          <t>European Commission</t>
        </is>
      </c>
      <c r="K1454" s="11" t="inlineStr">
        <is>
          <t>The Commission must evaluate GDPR by September 2028 and report findings to the European Parliament, Council, and Economic and Social Committee. The evaluation focuses on pricing and data processing services for SME providers within the Union.</t>
        </is>
      </c>
      <c r="L1454" s="11" t="inlineStr">
        <is>
          <t>Specifically assesses the impact of GDPR on SME data processing services, which affects data transfer compliance for small businesses.</t>
        </is>
      </c>
      <c r="M1454" s="11" t="inlineStr">
        <is>
          <t>• [Must] By 12 September 2028, the Commission shall carry out an evaluation of this Regulation
• [Must] The Commission shall submit a report on its main findings to the European Parliament and to the Council
• [Must] The Commission shall submit a report to the European Economic and Social Committee</t>
        </is>
      </c>
      <c r="N1454" s="11" t="inlineStr">
        <is>
          <t>• [Must] The evaluation shall assess pricing and diversity of data processing services offered within the Union
• [Must] The evaluation shall focus on SME providers</t>
        </is>
      </c>
      <c r="O1454" s="11" t="inlineStr">
        <is>
          <t>By 12 September 2028, the Commission shall carry out an evaluation of this Regulation and submit a report on its main findings to the European Parliament and to the Council, and to the European Economic and Social Committee. That evaluation shall assess the impact of Articles 23 to 31 and Articles 34 and 35, in particular regarding pricing and the diversity of data processing services offered within the Union, with a special focus on SME providers.</t>
        </is>
      </c>
      <c r="P1454" s="12" t="n">
        <v>38</v>
      </c>
    </row>
    <row r="1455">
      <c r="A1455" t="inlineStr">
        <is>
          <t>GDPR</t>
        </is>
      </c>
      <c r="B1455" t="inlineStr">
        <is>
          <t>OJ_L_202302854_EN_TXT (GDPR - Row 11)</t>
        </is>
      </c>
      <c r="C1455" t="inlineStr">
        <is>
          <t>3</t>
        </is>
      </c>
      <c r="D1455" s="11" t="inlineStr">
        <is>
          <t>Penalty criteria for GDPR violations</t>
        </is>
      </c>
      <c r="E1455" t="inlineStr">
        <is>
          <t>32–33</t>
        </is>
      </c>
      <c r="F1455" t="inlineStr">
        <is>
          <t>High</t>
        </is>
      </c>
      <c r="G1455" t="inlineStr">
        <is>
          <t>High (explicit)</t>
        </is>
      </c>
      <c r="H1455" s="11" t="inlineStr"/>
      <c r="I1455" s="11" t="inlineStr"/>
      <c r="J1455" t="inlineStr">
        <is>
          <t>Member States</t>
        </is>
      </c>
      <c r="K1455" s="11" t="inlineStr">
        <is>
          <t>Member States must consider EDIB recommendations when determining penalties for GDPR breaches. Penalties are calculated based on infringement severity, mitigation efforts, prior violations, financial impact, and other contextual factors. This applies to national authorities enforcing GDPR compliance.</t>
        </is>
      </c>
      <c r="L1455" s="11" t="inlineStr">
        <is>
          <t>Defines penalty criteria for GDPR violations, which affects how data transfers are assessed for compliance with regulatory penalties.</t>
        </is>
      </c>
      <c r="M1455" s="11" t="inlineStr">
        <is>
          <t>• [Must] Member States shall take into account the recommendations of the EDIB
• [Must] Member States shall consider the following non-exhaustive criteria for penalty imposition: the nature, gravity, scale and duration of the infringement
• [Must] Member States shall consider the following non-exhaustive criteria for penalty imposition: any action taken by the infringing party to mitigate or remedy the damage
• [Must] Member States shall consider the following non-exhaustive criteria for penalty imposition: any previous infringements by the infringing party</t>
        </is>
      </c>
      <c r="N1455" s="11" t="inlineStr">
        <is>
          <t>• [Must] Member States shall consider the following non-exhaustive criteria for penalty imposition: the financial benefits gained or losses avoided by the infringing party due to the infringement
• [Must] Member States shall consider the following non-exhaustive criteria for penalty imposition: any other aggravating or mitigating factor applicable to the circumstances of the case
• [Must] Member States shall consider the following non-exhaustive criteria for penalty imposition: the infringing party's annual turnover in the preceding financial year in the Union</t>
        </is>
      </c>
      <c r="O1455" s="11" t="inlineStr">
        <is>
          <t>Member States shall take into account the recommendations of the EDIB and the following non-exhaustive criteria for the imposition of penalties for infringements of this Regulation: (a) the nature, gravity, scale and duration of the infringement; (b) any action taken by the infringing party to mitigate or remedy the damage caused by the infringement; (c) any previous infringements by the infringing party; (d) the financial benefits gained or losses avoided by the infringing party due to the infringement, insofar as such benefits or losses can be reliably established; (e) any other aggravating or mitigating factor applicable to the circumstances of the case; (f) the infringing party's annual turnover in the preceding financial year in the Union.</t>
        </is>
      </c>
      <c r="P1455" s="12" t="n">
        <v>38</v>
      </c>
    </row>
    <row r="1456">
      <c r="A1456" t="inlineStr">
        <is>
          <t>GDPR</t>
        </is>
      </c>
      <c r="B1456" t="inlineStr">
        <is>
          <t>OJ_L_202302854_EN_TXT (GDPR - Row 11)</t>
        </is>
      </c>
      <c r="C1456" t="inlineStr">
        <is>
          <t>4</t>
        </is>
      </c>
      <c r="D1456" s="11" t="inlineStr">
        <is>
          <t>Commission may request standardisation bodies to draft harmonised standards</t>
        </is>
      </c>
      <c r="E1456" t="inlineStr">
        <is>
          <t>40</t>
        </is>
      </c>
      <c r="F1456" t="inlineStr">
        <is>
          <t>Low</t>
        </is>
      </c>
      <c r="G1456" t="inlineStr">
        <is>
          <t>High (explicit)</t>
        </is>
      </c>
      <c r="H1456" s="11" t="inlineStr">
        <is>
          <t>Cross-border Transfer, International Processing, Data Storage, Security</t>
        </is>
      </c>
      <c r="I1456" s="11" t="inlineStr">
        <is>
          <t>Personal Information</t>
        </is>
      </c>
      <c r="J1456" t="inlineStr">
        <is>
          <t>European Commission</t>
        </is>
      </c>
      <c r="K1456" s="11" t="inlineStr">
        <is>
          <t>The European Commission may request one or more European standardisation organisations to draft harmonised standards that meet essential requirements under Article 10(1) of Regulation (EU) No 1025/2012. These standards must satisfy the requirements specified in paragraphs 1 and 2 of this Article. The Commission's authority is limited to this specific regulatory function.</t>
        </is>
      </c>
      <c r="L1456" s="11" t="inlineStr">
        <is>
          <t>This section establishes a mechanism for harmonised standards that could impact cross-border data transfers by providing technical standards for data processing services, relevant for DTIA when assessing technical compatibility and compliance with international standards.</t>
        </is>
      </c>
      <c r="M1456" s="11" t="inlineStr">
        <is>
          <t>• [Must] The Commission may request one or more European standardisation organisations to draft harmonised standards</t>
        </is>
      </c>
      <c r="N1456" s="11" t="inlineStr">
        <is>
          <t>• [Must] Harmonised standards must satisfy essential requirements laid down in paragraphs 1 and 2 of this Article</t>
        </is>
      </c>
      <c r="O1456" s="11" t="inlineStr">
        <is>
          <t>After taking into account relevant international and European standards and self-regulatory initiatives, the Commission may, in accordance with Article 10(1) of Regulation (EU) No 1025/2012, request one or more European standardisation organisations to draft harmonised standards that satisfy the essential requirements laid down in paragraphs 1 and 2 of this Article.</t>
        </is>
      </c>
      <c r="P1456" s="12" t="n">
        <v>38</v>
      </c>
    </row>
    <row r="1457">
      <c r="A1457" t="inlineStr">
        <is>
          <t>GDPR</t>
        </is>
      </c>
      <c r="B1457" t="inlineStr">
        <is>
          <t>OJ_L_202302854_EN_TXT (GDPR - Row 11)</t>
        </is>
      </c>
      <c r="C1457" t="inlineStr">
        <is>
          <t>5</t>
        </is>
      </c>
      <c r="D1457" s="11" t="inlineStr">
        <is>
          <t>GDPR enforcement fines for Chapter V violations</t>
        </is>
      </c>
      <c r="E1457" t="inlineStr">
        <is>
          <t>33</t>
        </is>
      </c>
      <c r="F1457" t="inlineStr">
        <is>
          <t>High</t>
        </is>
      </c>
      <c r="G1457" t="inlineStr">
        <is>
          <t>High (explicit)</t>
        </is>
      </c>
      <c r="H1457" s="11" t="inlineStr"/>
      <c r="I1457" s="11" t="inlineStr"/>
      <c r="J1457" t="inlineStr">
        <is>
          <t>European Data Protection Supervisor</t>
        </is>
      </c>
      <c r="K1457" s="11" t="inlineStr">
        <is>
          <t>The European Data Protection Supervisor may impose administrative fines for violations of Chapter V obligations up to the amount specified in Regulation (EU) 2018/1725. This applies to the European Data Protection Supervisor acting within its competence for GDPR enforcement.</t>
        </is>
      </c>
      <c r="L1457" s="11" t="inlineStr">
        <is>
          <t>Authorises fines for GDPR violations, which impacts data transfer compliance assessments by defining potential financial penalties for non-compliance.</t>
        </is>
      </c>
      <c r="M1457" s="11" t="inlineStr">
        <is>
          <t>• [May] For infringements of the obligations laid down in Chapter V of this Regulation, the European Data Protection Supervisor may impose administrative fines
• [Must] Administrative fines may be imposed in accordance with Article 66 of Regulation (EU) 2018/1725</t>
        </is>
      </c>
      <c r="N1457" s="11" t="inlineStr">
        <is>
          <t>• [Must] Fines may be up to the amount referred to in Article 66(3) of Regulation (EU) 2018/1725</t>
        </is>
      </c>
      <c r="O1457" s="11" t="inlineStr">
        <is>
          <t>For infringements of the obligations laid down in Chapter V of this Regulation, the European Data Protection Supervisor may impose within its scope of competence administrative fines in accordance with Article 66 of Regulation (EU) 2018/1725 up to the amount referred to in Article 66(3) of that Regulation.</t>
        </is>
      </c>
      <c r="P1457" s="12" t="n">
        <v>38</v>
      </c>
    </row>
    <row r="1458">
      <c r="A1458" t="inlineStr">
        <is>
          <t>GDPR</t>
        </is>
      </c>
      <c r="B1458" t="inlineStr">
        <is>
          <t>OJ_L_202302854_EN_TXT (GDPR - Row 11)</t>
        </is>
      </c>
      <c r="C1458" t="inlineStr">
        <is>
          <t>6</t>
        </is>
      </c>
      <c r="D1458" s="11" t="inlineStr">
        <is>
          <t>Data coordinator facilitates cooperation with authorities</t>
        </is>
      </c>
      <c r="E1458" t="inlineStr">
        <is>
          <t>33</t>
        </is>
      </c>
      <c r="F1458" t="inlineStr">
        <is>
          <t>Low</t>
        </is>
      </c>
      <c r="G1458" t="inlineStr">
        <is>
          <t>High (explicit)</t>
        </is>
      </c>
      <c r="H1458" s="11" t="inlineStr">
        <is>
          <t>Data Sharing, Data Storage</t>
        </is>
      </c>
      <c r="I1458" s="11" t="inlineStr">
        <is>
          <t>Personal Information</t>
        </is>
      </c>
      <c r="J1458" t="inlineStr"/>
      <c r="K1458" s="11" t="inlineStr">
        <is>
          <t>The data coordinator, if designated, must act as a single point of contact for GDPR-related issues, ensure online public availability of data requests for public sector bodies, and inform the Commission annually about refusals to data sharing requests.</t>
        </is>
      </c>
      <c r="L1458" s="11" t="inlineStr">
        <is>
          <t>This section defines the role of the data coordinator, which is relevant for DTIA when assessing coordination mechanisms between public and private entities for data sharing.</t>
        </is>
      </c>
      <c r="M1458" s="11" t="inlineStr">
        <is>
          <t>• [Must] Data coordinator shall act as single point of contact for GDPR-related issues
• [Must] Data coordinator shall ensure online public availability of data requests for public sector bodies</t>
        </is>
      </c>
      <c r="N1458" s="11" t="inlineStr">
        <is>
          <t>• [Must] Data coordinator shall inform Commission annually about refusals to data sharing requests</t>
        </is>
      </c>
      <c r="O1458" s="11" t="inlineStr">
        <is>
          <t>The data coordinator, where such competent authority has been designated, shall: (a) act as the single point of contact for all issues related to the application of this Regulation; (b) ensure the online public availability of requests to make data available made by public sector bodies in the case of exceptional need under Chapter V and promote voluntary data sharing agreements between public sector bodies and data holders; (c) inform the Commission, on an annual basis, of the refusals notified under Article 4(2) and (8) and Article 5(11).</t>
        </is>
      </c>
      <c r="P1458" s="12" t="n">
        <v>38</v>
      </c>
    </row>
    <row r="1459">
      <c r="A1459" t="inlineStr">
        <is>
          <t>GDPR</t>
        </is>
      </c>
      <c r="B1459" t="inlineStr">
        <is>
          <t>OJ_L_202302854_EN_TXT (GDPR - Row 11)</t>
        </is>
      </c>
      <c r="C1459" t="inlineStr">
        <is>
          <t>7</t>
        </is>
      </c>
      <c r="D1459" s="11" t="inlineStr">
        <is>
          <t>Commission's authority to monitor switching charges</t>
        </is>
      </c>
      <c r="E1459" t="inlineStr">
        <is>
          <t>33</t>
        </is>
      </c>
      <c r="F1459" t="inlineStr">
        <is>
          <t>High</t>
        </is>
      </c>
      <c r="G1459" t="inlineStr">
        <is>
          <t>High (explicit)</t>
        </is>
      </c>
      <c r="H1459" s="11" t="inlineStr"/>
      <c r="I1459" s="11" t="inlineStr"/>
      <c r="J1459" t="inlineStr">
        <is>
          <t>European Commission</t>
        </is>
      </c>
      <c r="K1459" s="11" t="inlineStr">
        <is>
          <t>The European Commission can adopt delegated acts to establish a monitoring mechanism for switching charges imposed by data processing service providers. This mechanism ensures compliance with switching deadlines and fee reductions as specified in paragraphs 1 and 2 of the regulation.</t>
        </is>
      </c>
      <c r="L1459" s="11" t="inlineStr">
        <is>
          <t>This section grants the Commission authority to monitor switching charges, which impacts DTIA by requiring oversight of financial terms during cross-border data transfers to ensure timely compliance.</t>
        </is>
      </c>
      <c r="M1459" s="11" t="inlineStr">
        <is>
          <t>• [May] Commission may adopt delegated acts to establish monitoring mechanism for switching charges</t>
        </is>
      </c>
      <c r="N1459" s="11" t="inlineStr"/>
      <c r="O1459" s="11" t="inlineStr">
        <is>
          <t>The Commission is empowered to adopt delegated acts in accordance with Article 45 to supplement this Regulation by establishing a monitoring mechanism for the Commission to monitor switching charges, imposed by providers of data processing services on the market to ensure that the withdrawal and reduction of switching charges, pursuant to paragraphs 1 and 2 of this Article are to be attained in accordance with the deadlines laid down in those paragraphs.</t>
        </is>
      </c>
      <c r="P1459" s="12" t="n">
        <v>38</v>
      </c>
    </row>
    <row r="1460">
      <c r="A1460" t="inlineStr">
        <is>
          <t>GDPR</t>
        </is>
      </c>
      <c r="B1460" t="inlineStr">
        <is>
          <t>OJ_L_202302854_EN_TXT (GDPR - Row 11)</t>
        </is>
      </c>
      <c r="C1460" t="inlineStr">
        <is>
          <t>8</t>
        </is>
      </c>
      <c r="D1460" s="11" t="inlineStr">
        <is>
          <t>Commission publishes references of harmonised standards for interoperability</t>
        </is>
      </c>
      <c r="E1460" t="inlineStr">
        <is>
          <t>39</t>
        </is>
      </c>
      <c r="F1460" t="inlineStr">
        <is>
          <t>Low</t>
        </is>
      </c>
      <c r="G1460" t="inlineStr">
        <is>
          <t>High (explicit)</t>
        </is>
      </c>
      <c r="H1460" s="11" t="inlineStr">
        <is>
          <t>Cross-border Transfer, International Processing, Data Storage, Security</t>
        </is>
      </c>
      <c r="I1460" s="11" t="inlineStr">
        <is>
          <t>Personal Information</t>
        </is>
      </c>
      <c r="J1460" t="inlineStr">
        <is>
          <t>European Commission</t>
        </is>
      </c>
      <c r="K1460" s="11" t="inlineStr">
        <is>
          <t>The Commission must publish references to harmonised standards and common specifications for data processing service interoperability in a central Union repository. This ensures that technical standards are accessible for cross-border data processing services and promotes interoperability across the EU.</t>
        </is>
      </c>
      <c r="L1460" s="11" t="inlineStr">
        <is>
          <t>This section mandates the publication of interoperability standards, which is relevant for DTIA when assessing technical compatibility and data transfer mechanisms between different systems and jurisdictions.</t>
        </is>
      </c>
      <c r="M1460" s="11" t="inlineStr">
        <is>
          <t>• [Must] The Commission shall publish references of harmonised standards and common specifications for interoperability of data processing services</t>
        </is>
      </c>
      <c r="N1460" s="11" t="inlineStr"/>
      <c r="O1460" s="11" t="inlineStr">
        <is>
          <t>For the purpose of Article 30(3), the Commission shall, by means of implementing acts, publish the references of harmonised standards and common specifications for the interoperability of data processing services in a central Union standards repository for the interoperability of data processing services.</t>
        </is>
      </c>
      <c r="P1460" s="12" t="n">
        <v>38</v>
      </c>
    </row>
    <row r="1461">
      <c r="A1461" t="inlineStr">
        <is>
          <t>GDPR</t>
        </is>
      </c>
      <c r="B1461" t="inlineStr">
        <is>
          <t>OJ_L_202302854_EN_TXT (GDPR - Row 11)</t>
        </is>
      </c>
      <c r="C1461" t="inlineStr">
        <is>
          <t>9</t>
        </is>
      </c>
      <c r="D1461" s="11" t="inlineStr">
        <is>
          <t>Trade secrets must be protected with necessary technical and organisational measures</t>
        </is>
      </c>
      <c r="E1461" t="inlineStr">
        <is>
          <t>39</t>
        </is>
      </c>
      <c r="F1461" t="inlineStr">
        <is>
          <t>High</t>
        </is>
      </c>
      <c r="G1461" t="inlineStr">
        <is>
          <t>High (explicit)</t>
        </is>
      </c>
      <c r="H1461" s="11" t="inlineStr">
        <is>
          <t>Data Sharing, Security, Third Party Processing</t>
        </is>
      </c>
      <c r="I1461" s="11" t="inlineStr">
        <is>
          <t>Special Personal Information</t>
        </is>
      </c>
      <c r="J1461" t="inlineStr"/>
      <c r="K1461" s="11" t="inlineStr">
        <is>
          <t>This section requires trade secrets to be preserved and disclosed only when strictly necessary for agreed purposes. The data holder must identify protected trade secrets and agree on proportionate technical and organisational measures with third parties, such as confidentiality agreements and access protocols. The obligation applies to data holders and third parties sharing trade secrets.</t>
        </is>
      </c>
      <c r="L1461" s="11" t="inlineStr">
        <is>
          <t>Trade secrets must be protected with specific technical and organisational measures before sharing, which impacts DTIAs for cross-border transfers involving sensitive business information.</t>
        </is>
      </c>
      <c r="M1461" s="11" t="inlineStr">
        <is>
          <t>• [Must] Trade secrets shall be preserved and shall be disclosed to third parties only to the extent that such disclosure is strictly necessary to fulfil the purpose agreed between the user and the third party
• [Must] The data holder or, where they are not the same person, the trade secret holder shall identify the data which are protected as trade secrets, including in the relevant metadata</t>
        </is>
      </c>
      <c r="N1461" s="11" t="inlineStr">
        <is>
          <t>• [Must] The data holder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t>
        </is>
      </c>
      <c r="O1461" s="11" t="inlineStr">
        <is>
          <t>Trade secrets shall be preserved and shall be disclosed to third parties only to the extent that such disclosure is strictly necessary to fulfil the purpose agreed between the user and the third party. The data holder or, where they are not the same person, the trade secret holder shall identify the data which are protected as trade secrets, including in the relevant metadata, and shall agree with the third party all proportionate technical and organisational measures necessary to preserve the confidentiality of the shared data, such as model contractual terms, confidentiality agreements, strict access protocols, technical standards and the application of codes of conduct.</t>
        </is>
      </c>
      <c r="P1461" s="12" t="n">
        <v>38</v>
      </c>
    </row>
    <row r="1462">
      <c r="A1462" t="inlineStr">
        <is>
          <t>GDPR</t>
        </is>
      </c>
      <c r="B1462" t="inlineStr">
        <is>
          <t>OJ_L_202302854_EN_TXT (GDPR - Row 11)</t>
        </is>
      </c>
      <c r="C1462" t="inlineStr">
        <is>
          <t>10</t>
        </is>
      </c>
      <c r="D1462" s="11" t="inlineStr">
        <is>
          <t>Data holder may withhold data if trade secret measures not agreed</t>
        </is>
      </c>
      <c r="E1462" t="inlineStr">
        <is>
          <t>33–37</t>
        </is>
      </c>
      <c r="F1462" t="inlineStr">
        <is>
          <t>High</t>
        </is>
      </c>
      <c r="G1462" t="inlineStr">
        <is>
          <t>High (explicit)</t>
        </is>
      </c>
      <c r="H1462" s="11" t="inlineStr">
        <is>
          <t>Data Sharing, Security, Third Party Processing</t>
        </is>
      </c>
      <c r="I1462" s="11" t="inlineStr">
        <is>
          <t>Special Personal Information</t>
        </is>
      </c>
      <c r="J1462" t="inlineStr"/>
      <c r="K1462" s="11" t="inlineStr">
        <is>
          <t>If there is no agreement on technical and organisational measures from paragraph 9 or if the third party fails to implement agreed measures, the data holder may withhold or suspend sharing trade secrets. The data holder must substantiate and notify the third party in writing without undue delay and inform the competent authority of the withholding action.</t>
        </is>
      </c>
      <c r="L1462" s="11" t="inlineStr">
        <is>
          <t>Data holders can withhold trade secrets if technical measures aren't agreed, which is a critical safeguard for DTIAs involving sensitive data transfers.</t>
        </is>
      </c>
      <c r="M1462" s="11" t="inlineStr">
        <is>
          <t>• [May] 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 [Must] The decision of the data holder shall be duly substantiated and provided in writing to the third party without undue delay</t>
        </is>
      </c>
      <c r="N1462" s="11" t="inlineStr">
        <is>
          <t>• [Must] The data holder shall notify the competent authority designated pursuant to Article 37 that it has withheld or suspended data sharing and identify which measures have not been agreed or implemented and, where relevant, which trade secrets have had their confidentiality undermined</t>
        </is>
      </c>
      <c r="O1462" s="11" t="inlineStr">
        <is>
          <t>Where there is no agreement on the necessary measures referred to in paragraph 9 of this Article or if the third party fails to implement the measures agreed pursuant to paragraph 9 of this Article or undermines the confidentiality of the trade secrets, the data holder may withhold or, as the case may be, suspend the sharing of data identified as trade secrets. The decision of the data holder shall be duly substantiated and provided in writing to the third party without undue delay. In such cases, the data holder shall notify the competent authority designated pursuant to Article 37 that it has withheld or suspended data sharing and identify which measures have not been agreed or implemented and, where relevant, which trade secrets have had their confidentiality undermined.</t>
        </is>
      </c>
      <c r="P1462" s="12" t="n">
        <v>38</v>
      </c>
    </row>
    <row r="1463">
      <c r="A1463" t="inlineStr">
        <is>
          <t>GDPR</t>
        </is>
      </c>
      <c r="B1463" t="inlineStr">
        <is>
          <t>OJ_L_202302854_EN_TXT (GDPR - Row 11)</t>
        </is>
      </c>
      <c r="C1463" t="inlineStr">
        <is>
          <t>11</t>
        </is>
      </c>
      <c r="D1463" s="11" t="inlineStr">
        <is>
          <t>Commission guidelines for data space interoperability</t>
        </is>
      </c>
      <c r="E1463" t="inlineStr">
        <is>
          <t>41</t>
        </is>
      </c>
      <c r="F1463" t="inlineStr">
        <is>
          <t>Low</t>
        </is>
      </c>
      <c r="G1463" t="inlineStr">
        <is>
          <t>High (explicit)</t>
        </is>
      </c>
      <c r="H1463" s="11" t="inlineStr">
        <is>
          <t>Cross-border Transfer, Data Sharing</t>
        </is>
      </c>
      <c r="I1463" s="11" t="inlineStr">
        <is>
          <t>Personal Information</t>
        </is>
      </c>
      <c r="J1463" t="inlineStr">
        <is>
          <t>European Commission</t>
        </is>
      </c>
      <c r="K1463" s="11" t="inlineStr">
        <is>
          <t>The European Commission may adopt guidelines based on the EDIB's proposal to establish interoperable frameworks for common standards and practices in European data spaces, as specified in Article 30 of Regulation (EU) 2022/868. These guidelines aim to harmonize data processing services across the EU while ensuring compliance with existing legal requirements.</t>
        </is>
      </c>
      <c r="L1463" s="11" t="inlineStr">
        <is>
          <t>This section allows the Commission to create guidelines that standardize data interoperability across European data spaces, which could influence how data is transferred between participants in cross-border data environments.</t>
        </is>
      </c>
      <c r="M1463" s="11" t="inlineStr">
        <is>
          <t>• [May] The Commission may adopt guidelines taking into account the proposal of the EDIB in accordance with Article 30, point (h), of Regulation (EU) 2022/868</t>
        </is>
      </c>
      <c r="N1463" s="11" t="inlineStr"/>
      <c r="O1463" s="11" t="inlineStr">
        <is>
          <t>The Commission may adopt guidelines taking into account the proposal of the EDIB in accordance with Article 30, point (h), of Regulation (EU) 2022/868 laying down interoperable frameworks for common standards and practices for the functioning of common European data spaces.</t>
        </is>
      </c>
      <c r="P1463" s="12" t="n">
        <v>38</v>
      </c>
    </row>
    <row r="1464">
      <c r="A1464" t="inlineStr">
        <is>
          <t>GDPR</t>
        </is>
      </c>
      <c r="B1464" t="inlineStr">
        <is>
          <t>OJ_L_202302854_EN_TXT (GDPR - Row 11)</t>
        </is>
      </c>
      <c r="C1464" t="inlineStr">
        <is>
          <t>12</t>
        </is>
      </c>
      <c r="D1464" s="11" t="inlineStr">
        <is>
          <t>Third party may challenge data holder's decisions on trade secrets</t>
        </is>
      </c>
      <c r="E1464" t="inlineStr">
        <is>
          <t>39</t>
        </is>
      </c>
      <c r="F1464" t="inlineStr">
        <is>
          <t>High</t>
        </is>
      </c>
      <c r="G1464" t="inlineStr">
        <is>
          <t>High (explicit)</t>
        </is>
      </c>
      <c r="H1464" s="11" t="inlineStr">
        <is>
          <t>Data Sharing</t>
        </is>
      </c>
      <c r="I1464" s="11" t="inlineStr">
        <is>
          <t>Special Personal Information</t>
        </is>
      </c>
      <c r="J1464" t="inlineStr"/>
      <c r="K1464" s="11" t="inlineStr">
        <is>
          <t>Third parties can challenge data holders' decisions to withhold or suspend trade secret sharing through the competent authority or by agreeing to refer the matter to a dispute settlement body. The challenge must be lodged within the timeframe specified in Article 37(5), point (b), and the competent authority must decide quickly whether data sharing should resume.</t>
        </is>
      </c>
      <c r="L1464" s="11" t="inlineStr">
        <is>
          <t>Third parties have recourse to challenge data withholding decisions, which is vital for DTIAs involving trade secrets where disputes may arise across borders.</t>
        </is>
      </c>
      <c r="M1464" s="11" t="inlineStr">
        <is>
          <t>• [May] A third party wishing to challenge a data holder's decision to refuse or to withhold or suspend data sharing pursuant to paragraphs 10 and 11 may lodge, in accordance with Article 37(5), point (b), a complaint with the competent authority, which shall, without undue delay, decide whether and under which conditions the data sharing is to start or r…</t>
        </is>
      </c>
      <c r="N1464" s="11" t="inlineStr">
        <is>
          <t>• [May] A third party wishing to challenge a data holder's decision to refuse or to withhold or suspend data sharing pursuant to paragraphs 10 and 11 may agree with the data holder to refer the matter to a dispute settlement body in accordance with Article 10(1)</t>
        </is>
      </c>
      <c r="O1464" s="11" t="inlineStr">
        <is>
          <t>Without prejudice to the third party's right to seek redress at any stage before a court or tribunal of a Member State, a third party wishing to challenge a data holder's decision to refuse or to withhold or suspend data sharing pursuant to paragraphs 10 and 11 may: (a) lodge, in accordance with Article 37(5), point (b), a complaint with the competent authority, which shall, without undue delay, decide whether and under which conditions the data sharing is to start or resume; or (b) agree with the data holder to refer the matter to a dispute settlement body in accordance with Article 10(1).</t>
        </is>
      </c>
      <c r="P1464" s="12" t="n">
        <v>38</v>
      </c>
    </row>
    <row r="1465">
      <c r="A1465" t="inlineStr">
        <is>
          <t>GDPR</t>
        </is>
      </c>
      <c r="B1465" t="inlineStr">
        <is>
          <t>OJ_L_202302854_EN_TXT (GDPR - Row 11)</t>
        </is>
      </c>
      <c r="C1465" t="inlineStr">
        <is>
          <t>13</t>
        </is>
      </c>
      <c r="D1465" s="11" t="inlineStr">
        <is>
          <t>Trade secret rights do not affect data subject rights</t>
        </is>
      </c>
      <c r="E1465" t="inlineStr">
        <is>
          <t>39</t>
        </is>
      </c>
      <c r="F1465" t="inlineStr">
        <is>
          <t>Low</t>
        </is>
      </c>
      <c r="G1465" t="inlineStr">
        <is>
          <t>High (explicit)</t>
        </is>
      </c>
      <c r="H1465" s="11" t="inlineStr">
        <is>
          <t>Data Sharing</t>
        </is>
      </c>
      <c r="I1465" s="11" t="inlineStr">
        <is>
          <t>Personal Information</t>
        </is>
      </c>
      <c r="J1465" t="inlineStr"/>
      <c r="K1465" s="11" t="inlineStr">
        <is>
          <t>This section states that the right to share trade secrets does not adversely affect data subjects' rights under Union and national law on personal data protection. The obligation applies to data holders and third parties involved in trade secret sharing.</t>
        </is>
      </c>
      <c r="L1465" s="11" t="inlineStr">
        <is>
          <t>Trade secret sharing rights do not override data subject rights, which is important for DTIAs to ensure compliance with both trade secret and GDPR requirements.</t>
        </is>
      </c>
      <c r="M1465" s="11" t="inlineStr">
        <is>
          <t>• [Must] The right referred to in paragraph 1 shall not adversely affect the rights of data subjects pursuant to the applicable Union and national law on the protection of personal data</t>
        </is>
      </c>
      <c r="N1465" s="11" t="inlineStr"/>
      <c r="O1465" s="11" t="inlineStr">
        <is>
          <t>The right referred to in paragraph 1 shall not adversely affect the rights of data subjects pursuant to the applicable Union and national law on the protection of personal data.</t>
        </is>
      </c>
      <c r="P1465" s="12" t="n">
        <v>38</v>
      </c>
    </row>
    <row r="1466">
      <c r="A1466" t="inlineStr">
        <is>
          <t>GDPR</t>
        </is>
      </c>
      <c r="B1466" t="inlineStr">
        <is>
          <t>OJ_L_202302854_EN_TXT (GDPR - Row 11)</t>
        </is>
      </c>
      <c r="C1466" t="inlineStr">
        <is>
          <t>16</t>
        </is>
      </c>
      <c r="D1466" s="11" t="inlineStr">
        <is>
          <t>Confidentiality and professional secrecy for personal data</t>
        </is>
      </c>
      <c r="E1466" t="inlineStr">
        <is>
          <t>66</t>
        </is>
      </c>
      <c r="F1466" t="inlineStr">
        <is>
          <t>Low</t>
        </is>
      </c>
      <c r="G1466" t="inlineStr">
        <is>
          <t>High (explicit)</t>
        </is>
      </c>
      <c r="H1466" s="11" t="inlineStr">
        <is>
          <t>Security</t>
        </is>
      </c>
      <c r="I1466" s="11" t="inlineStr">
        <is>
          <t>Personal Information</t>
        </is>
      </c>
      <c r="J1466" t="inlineStr">
        <is>
          <t>Competent authorities</t>
        </is>
      </c>
      <c r="K1466" s="11" t="inlineStr">
        <is>
          <t>Competent authorities must protect personal data in line with Union or national law. Any information shared during assistance requests must be used solely for the purpose that prompted the request. This applies to authorities handling data in compliance with GDPR.</t>
        </is>
      </c>
      <c r="L1466" s="11" t="inlineStr">
        <is>
          <t>Requires that data shared during cross-border assistance requests be used exclusively for the specific purpose of the request, impacting data transfer safeguards.</t>
        </is>
      </c>
      <c r="M1466" s="11" t="inlineStr">
        <is>
          <t>• [Must] Competent authorities shall respect the principles of confidentiality and professional and commercial secrecy
• [Must] Competent authorities shall protect personal data in accordance with Union or national law</t>
        </is>
      </c>
      <c r="N1466" s="11" t="inlineStr">
        <is>
          <t>• [Must] Any information exchanged in the context of a request for assistance shall be used only for the matter for which it was requested</t>
        </is>
      </c>
      <c r="O1466" s="11" t="inlineStr">
        <is>
          <t>Competent authorities shall respect the principles of confidentiality and of professional and commercial secrecy and shall protect personal data in accordance with Union or national law. Any information exchanged in the context of a request for assistance and provided pursuant to this Article shall be used only in respect of the matter for which it was requested.</t>
        </is>
      </c>
      <c r="P1466" s="12" t="n">
        <v>38</v>
      </c>
    </row>
    <row r="1467">
      <c r="A1467" t="inlineStr">
        <is>
          <t>GDPR</t>
        </is>
      </c>
      <c r="B1467" t="inlineStr">
        <is>
          <t>OJ_L_202401689_EN_TXT (GDPR - Row 9)</t>
        </is>
      </c>
      <c r="C1467" t="inlineStr">
        <is>
          <t>1</t>
        </is>
      </c>
      <c r="D1467" s="11" t="inlineStr">
        <is>
          <t>Fines for general-purpose AI model providers</t>
        </is>
      </c>
      <c r="E1467" t="inlineStr">
        <is>
          <t>51–52</t>
        </is>
      </c>
      <c r="F1467" t="inlineStr">
        <is>
          <t>High</t>
        </is>
      </c>
      <c r="G1467" t="inlineStr">
        <is>
          <t>High (explicit)</t>
        </is>
      </c>
      <c r="H1467" s="11" t="inlineStr">
        <is>
          <t>Financial Data, AML</t>
        </is>
      </c>
      <c r="I1467" s="11" t="inlineStr">
        <is>
          <t>Financial Data</t>
        </is>
      </c>
      <c r="J1467" t="inlineStr">
        <is>
          <t>European Commission</t>
        </is>
      </c>
      <c r="K1467" s="11" t="inlineStr">
        <is>
          <t>The Commission may impose fines up to 3% of annual worldwide turnover or EUR 15 million for providers of general-purpose AI models who intentionally or negligently violate data protection rules, fail to provide requested documents, or do not comply with safety measures. Fines consider the nature, gravity, and duration of infringements and may be adjusted based on commitments made.</t>
        </is>
      </c>
      <c r="L1467" s="11" t="inlineStr">
        <is>
          <t>This section establishes financial penalties for AI model providers, which impacts DTIA by requiring assessment of compliance risks and potential financial consequences for data transfers involving AI systems.</t>
        </is>
      </c>
      <c r="M1467" s="11" t="inlineStr">
        <is>
          <t>• [May] Commission may impose fines not exceeding 3% of annual worldwide turnover or EUR 15 million
• [Condition] Fines apply when provider intentionally or negligently infringes relevant provisions
• [Condition] Fines apply when provider fails to comply with document requests under Article 91
• [Condition] Fines apply when provider fails to comply with measures under Article 93</t>
        </is>
      </c>
      <c r="N1467" s="11" t="inlineStr">
        <is>
          <t>• [Condition] Fines apply when provider fails to make AI model available for evaluation
• [Must] Fine amount considers nature, gravity, and duration of infringement
• [Must] Fine amount considers principles of proportionality and appropriateness
• [Must] Commission considers commitments made under Article 93 or relevant codes of practice</t>
        </is>
      </c>
      <c r="O1467" s="11" t="inlineStr">
        <is>
          <t>The Commission may impose on providers of general-purpose AI models fines not exceeding 3 % of their annual total worldwide turnover in the preceding financial year or EUR 15 000 000, whichever is higher., when the Commission finds that the provider intentionally or negligently: (a) infringed the relevant provisions of this Regulation; (b) failed to comply with a request for a document or for information pursuant to Article 91, or supplied incorrect, incomplete or misleading information; (c) failed to comply with a measure requested under Article 93;</t>
        </is>
      </c>
      <c r="P1467" s="12" t="n">
        <v>39</v>
      </c>
    </row>
    <row r="1468">
      <c r="A1468" t="inlineStr">
        <is>
          <t>GDPR</t>
        </is>
      </c>
      <c r="B1468" t="inlineStr">
        <is>
          <t>OJ_L_202401689_EN_TXT (GDPR - Row 9)</t>
        </is>
      </c>
      <c r="C1468" t="inlineStr">
        <is>
          <t>2</t>
        </is>
      </c>
      <c r="D1468" s="11" t="inlineStr">
        <is>
          <t>AI model development description</t>
        </is>
      </c>
      <c r="E1468" t="inlineStr">
        <is>
          <t>44–45</t>
        </is>
      </c>
      <c r="F1468" t="inlineStr">
        <is>
          <t>Low</t>
        </is>
      </c>
      <c r="G1468" t="inlineStr">
        <is>
          <t>High (explicit)</t>
        </is>
      </c>
      <c r="H1468" s="11" t="inlineStr"/>
      <c r="I1468" s="11" t="inlineStr">
        <is>
          <t>Special Personal Information</t>
        </is>
      </c>
      <c r="J1468" t="inlineStr"/>
      <c r="K1468" s="11" t="inlineStr">
        <is>
          <t>Requires providers to describe AI model elements and development processes, including technical means for integration, input/output modalities, and data used for training, testing, and validation. This information is critical for assessing model capabilities and risks.</t>
        </is>
      </c>
      <c r="L1468" s="11" t="inlineStr">
        <is>
          <t>Mandates detailed descriptions of AI model development processes to ensure transparency and compliance with data protection and security requirements.</t>
        </is>
      </c>
      <c r="M1468" s="11" t="inlineStr">
        <is>
          <t>• [Must] Provider must describe technical means required for general-purpose AI model integration
• [Must] Provider must describe input/output modalities and maximum size of data</t>
        </is>
      </c>
      <c r="N1468" s="11" t="inlineStr">
        <is>
          <t>• [Must] Provider must describe data used for training, testing, and validation including type, provenance, and curation methodologies</t>
        </is>
      </c>
      <c r="O1468" s="11" t="inlineStr">
        <is>
          <t>2. A description of the elements of the model and of the process for its development, including: (a) the technical means (e.g. instructions for use, infrastructure, tools) required for the general-purpose AI model to be integrated into AI systems; (b) the modality (e.g. text, image, etc.) and format of the inputs and outputs and their maximum size (e.g. context window length, etc.); (c) information on the data used for training, testing and validation, where applicable, including the type and provenance of data and curation methodologies.</t>
        </is>
      </c>
      <c r="P1468" s="12" t="n">
        <v>39</v>
      </c>
    </row>
    <row r="1469">
      <c r="A1469" t="inlineStr">
        <is>
          <t>GDPR</t>
        </is>
      </c>
      <c r="B1469" t="inlineStr">
        <is>
          <t>OJ_L_202401689_EN_TXT (GDPR - Row 9)</t>
        </is>
      </c>
      <c r="C1469" t="inlineStr">
        <is>
          <t>3</t>
        </is>
      </c>
      <c r="D1469" s="11" t="inlineStr">
        <is>
          <t>System architecture description for AI providers</t>
        </is>
      </c>
      <c r="E1469" t="inlineStr">
        <is>
          <t>52–53</t>
        </is>
      </c>
      <c r="F1469" t="inlineStr">
        <is>
          <t>Low</t>
        </is>
      </c>
      <c r="G1469" t="inlineStr">
        <is>
          <t>High (explicit)</t>
        </is>
      </c>
      <c r="H1469" s="11" t="inlineStr"/>
      <c r="I1469" s="11" t="inlineStr">
        <is>
          <t>Special Personal Information</t>
        </is>
      </c>
      <c r="J1469" t="inlineStr"/>
      <c r="K1469" s="11" t="inlineStr">
        <is>
          <t>Requires providers to describe system architecture where applicable, explaining how software components build or feed into each other and integrate into overall processing. This information is relevant for transparency and technical documentation purposes.</t>
        </is>
      </c>
      <c r="L1469" s="11" t="inlineStr">
        <is>
          <t>Mandates detailed system architecture descriptions for AI providers to ensure transparency and understanding of data flows and processing mechanisms.</t>
        </is>
      </c>
      <c r="M1469" s="11" t="inlineStr">
        <is>
          <t>• [Must] Provider must describe system architecture where applicable, explaining how software components build or feed into each other and integrate into overall processing</t>
        </is>
      </c>
      <c r="N1469" s="11" t="inlineStr"/>
      <c r="O1469" s="11" t="inlineStr">
        <is>
          <t>3. Where applicable, a detailed description of the system architecture explaining how software components build or feed into each other and integrate into the overall processing.</t>
        </is>
      </c>
      <c r="P1469" s="12" t="n">
        <v>39</v>
      </c>
    </row>
    <row r="1470">
      <c r="A1470" t="inlineStr">
        <is>
          <t>GDPR</t>
        </is>
      </c>
      <c r="B1470" t="inlineStr">
        <is>
          <t>OJ_L_202401689_EN_TXT (GDPR - Row 9)</t>
        </is>
      </c>
      <c r="C1470" t="inlineStr">
        <is>
          <t>4</t>
        </is>
      </c>
      <c r="D1470" s="11" t="inlineStr">
        <is>
          <t>Technical documentation control for AI systems</t>
        </is>
      </c>
      <c r="E1470" t="inlineStr">
        <is>
          <t>53</t>
        </is>
      </c>
      <c r="F1470" t="inlineStr">
        <is>
          <t>Medium</t>
        </is>
      </c>
      <c r="G1470" t="inlineStr">
        <is>
          <t>High (explicit)</t>
        </is>
      </c>
      <c r="H1470" s="11" t="inlineStr"/>
      <c r="I1470" s="11" t="inlineStr">
        <is>
          <t>Special Personal Information</t>
        </is>
      </c>
      <c r="J1470" t="inlineStr">
        <is>
          <t>Notified body</t>
        </is>
      </c>
      <c r="K1470" s="11" t="inlineStr">
        <is>
          <t>Providers must submit technical documentation to notified bodies for assessment of AI systems intended for market placement. Notified bodies may require additional evidence or tests, and have access to training data sets with security safeguards. For high-risk AI systems, notified bodies can access training models with IP and trade secret protections. Notified bodies issue certificates of conformity or refusal with detailed reasons.</t>
        </is>
      </c>
      <c r="L1470" s="11" t="inlineStr">
        <is>
          <t>Requires detailed technical documentation for AI systems, including access to training data and models with safeguards. This impacts DTIA by mandating specific documentation and assessment processes for high-risk AI systems.</t>
        </is>
      </c>
      <c r="M1470" s="11" t="inlineStr">
        <is>
          <t>• [Must] Provider must submit application to notified body for technical documentation assessment
• [Must] Application must include provider name and address
• [Must] Application must include written declaration that application has not been lodged with other notified bodies
• [Must] Application must include technical documentation from Annex IV
• [May] Notified body may require additional evidence or tests for proper assessment
• [May] Notified body may grant full access to training, validation, and testing data sets with security safeguards</t>
        </is>
      </c>
      <c r="N1470" s="11" t="inlineStr">
        <is>
          <t>• [May] Notified body may require access to training and trained models for high-risk AI systems with IP and trade secret protections
• [Must] Notified body must issue Union technical documentation assessment certificate if AI system conforms
• [Must] Certificate must indicate provider name, address, assessment conclusions, conditions for validity, and AI system identification data
• [Must] Notified body must refuse certificate if AI system does not conform with requirements
• [Must] Notified body must provide detailed reasons for refusal of certificate
• [Must] Provider must retrain AI system if data used does not meet requirements</t>
        </is>
      </c>
      <c r="O1470" s="11" t="inlineStr">
        <is>
          <t>4.1 In addition to the application referred to in point 3, an application with a notified body of their choice shall be lodged by the provider for the assessment of the technical documentation relating to the AI system which the provider intends to place on the market or put into service and which is covered by the quality management system referred to under point 3.</t>
        </is>
      </c>
      <c r="P1470" s="12" t="n">
        <v>39</v>
      </c>
    </row>
    <row r="1471">
      <c r="A1471" t="inlineStr">
        <is>
          <t>GDPR</t>
        </is>
      </c>
      <c r="B1471" t="inlineStr">
        <is>
          <t>OJ_L_202401689_EN_TXT (GDPR - Row 9)</t>
        </is>
      </c>
      <c r="C1471" t="inlineStr">
        <is>
          <t>5</t>
        </is>
      </c>
      <c r="D1471" s="11" t="inlineStr">
        <is>
          <t>Data protection impact assessment summary for AI systems</t>
        </is>
      </c>
      <c r="E1471" t="inlineStr">
        <is>
          <t>53</t>
        </is>
      </c>
      <c r="F1471" t="inlineStr">
        <is>
          <t>Low</t>
        </is>
      </c>
      <c r="G1471" t="inlineStr">
        <is>
          <t>High (explicit)</t>
        </is>
      </c>
      <c r="H1471" s="11" t="inlineStr"/>
      <c r="I1471" s="11" t="inlineStr">
        <is>
          <t>Special Personal Information</t>
        </is>
      </c>
      <c r="J1471" t="inlineStr"/>
      <c r="K1471" s="11" t="inlineStr">
        <is>
          <t>Requires providers to submit a summary of data protection impact assessments conducted in accordance with GDPR Article 35 or Directive 2016/680 Article 27. This summary must be provided for high-risk AI systems listed in Annex III to ensure compliance with data protection requirements.</t>
        </is>
      </c>
      <c r="L1471" s="11" t="inlineStr">
        <is>
          <t>Mandates submission of data protection impact assessments for high-risk AI systems, ensuring compliance with data protection principles during development and deployment.</t>
        </is>
      </c>
      <c r="M1471" s="11" t="inlineStr">
        <is>
          <t>• [Must] Provider must submit summary of data protection impact assessment as per GDPR Article 35 or Directive 2016/680 Article 27</t>
        </is>
      </c>
      <c r="N1471" s="11" t="inlineStr"/>
      <c r="O1471" s="11" t="inlineStr">
        <is>
          <t>5. A summary of the data protection impact assessment carried out in accordance with Article 35 of Regulation (EU) 2016/679 or Article 27 of Directive (EU) 2016/680 as specified in Article 26(8) of this Regulation, where applicable.</t>
        </is>
      </c>
      <c r="P1471" s="12" t="n">
        <v>39</v>
      </c>
    </row>
    <row r="1472">
      <c r="A1472" t="inlineStr">
        <is>
          <t>GDPR</t>
        </is>
      </c>
      <c r="B1472" t="inlineStr">
        <is>
          <t>OJ_L_202401689_EN_TXT (GDPR - Row 9)</t>
        </is>
      </c>
      <c r="C1472" t="inlineStr">
        <is>
          <t>6</t>
        </is>
      </c>
      <c r="D1472" s="11" t="inlineStr">
        <is>
          <t>European Criminal Records Information System for third-country nationals</t>
        </is>
      </c>
      <c r="E1472" t="inlineStr">
        <is>
          <t>53</t>
        </is>
      </c>
      <c r="F1472" t="inlineStr">
        <is>
          <t>Low</t>
        </is>
      </c>
      <c r="G1472" t="inlineStr">
        <is>
          <t>High (explicit)</t>
        </is>
      </c>
      <c r="H1472" s="11" t="inlineStr"/>
      <c r="I1472" s="11" t="inlineStr">
        <is>
          <t>Special Personal Information</t>
        </is>
      </c>
      <c r="J1472" t="inlineStr"/>
      <c r="K1472" s="11" t="inlineStr">
        <is>
          <t>Regulates the European Criminal Records Information System (ECRIS-TCN) for identifying Member States holding conviction information on third-country nationals and stateless persons. This system supplements the European Criminal Records Information System and amends Regulation (EU) 2018/1726.</t>
        </is>
      </c>
      <c r="L1472" s="11" t="inlineStr">
        <is>
          <t>Relevant for DTIA as it involves cross-border sharing of criminal records for third-country nationals and stateless persons, requiring compliance with data transfer and processing rules.</t>
        </is>
      </c>
      <c r="M1472" s="11" t="inlineStr">
        <is>
          <t>• [Must] ECRIS-TCN is established to identify Member States holding conviction information on third-country nationals and stateless persons</t>
        </is>
      </c>
      <c r="N1472" s="11" t="inlineStr"/>
      <c r="O1472" s="11" t="inlineStr">
        <is>
          <t>6. European Criminal Records Information System on third-country nationals and stateless persons Regulation (EU) 2019/816 of the European Parliament and of the Council of 17 April 2019 establishing a centralised system for the identification of Member States holding conviction information on third-country nationals and stateless persons (ECRIS-TCN) to supplement the European Criminal Records Information System and amending Regulation (EU) 2018/1726 (OJ L 135, 22.5.2019, p. 1).</t>
        </is>
      </c>
      <c r="P1472" s="12" t="n">
        <v>39</v>
      </c>
    </row>
    <row r="1473">
      <c r="A1473" t="inlineStr">
        <is>
          <t>GDPR</t>
        </is>
      </c>
      <c r="B1473" t="inlineStr">
        <is>
          <t>OJ_L_202401689_EN_TXT (GDPR - Row 9)</t>
        </is>
      </c>
      <c r="C1473" t="inlineStr">
        <is>
          <t>7</t>
        </is>
      </c>
      <c r="D1473" s="11" t="inlineStr">
        <is>
          <t>Annual reporting of administrative fines by European Data Protection Supervisor</t>
        </is>
      </c>
      <c r="E1473" t="inlineStr">
        <is>
          <t>46</t>
        </is>
      </c>
      <c r="F1473" t="inlineStr">
        <is>
          <t>High</t>
        </is>
      </c>
      <c r="G1473" t="inlineStr">
        <is>
          <t>High (explicit)</t>
        </is>
      </c>
      <c r="H1473" s="11" t="inlineStr">
        <is>
          <t>Incident Reporting, Breach Notification</t>
        </is>
      </c>
      <c r="I1473" s="11" t="inlineStr"/>
      <c r="J1473" t="inlineStr">
        <is>
          <t>European Data Protection Supervisor</t>
        </is>
      </c>
      <c r="K1473" s="11" t="inlineStr">
        <is>
          <t>The European Data Protection Supervisor must annually report to the Commission all administrative fines imposed and any litigation or judicial proceedings initiated under this Regulation. This reporting obligation applies to the Supervisor and covers fines related to data protection violations.</t>
        </is>
      </c>
      <c r="L1473" s="11" t="inlineStr">
        <is>
          <t>This section mandates annual reporting of fines, which affects DTIA by requiring assessment of fine imposition mechanisms and their impact on data transfer compliance.</t>
        </is>
      </c>
      <c r="M1473" s="11" t="inlineStr">
        <is>
          <t>• [Must] European Data Protection Supervisor shall notify Commission annually of administrative fines imposed</t>
        </is>
      </c>
      <c r="N1473" s="11" t="inlineStr">
        <is>
          <t>• [Must] European Data Protection Supervisor shall notify Commission annually of litigation or judicial proceedings initiated</t>
        </is>
      </c>
      <c r="O1473" s="11" t="inlineStr">
        <is>
          <t>The European Data Protection Supervisor shall, on an annual basis, notify the Commission of the administrative fines it has imposed pursuant to this Article and of any litigation or judicial proceedings it has initiated.</t>
        </is>
      </c>
      <c r="P1473" s="12" t="n">
        <v>39</v>
      </c>
    </row>
    <row r="1474">
      <c r="A1474" t="inlineStr">
        <is>
          <t>GDPR</t>
        </is>
      </c>
      <c r="B1474" t="inlineStr">
        <is>
          <t>OJ_L_202401689_EN_TXT (GDPR - Row 9)</t>
        </is>
      </c>
      <c r="C1474" t="inlineStr">
        <is>
          <t>8</t>
        </is>
      </c>
      <c r="D1474" s="11" t="inlineStr">
        <is>
          <t>Justice and democratic processes AI systems</t>
        </is>
      </c>
      <c r="E1474" t="inlineStr">
        <is>
          <t>74–75</t>
        </is>
      </c>
      <c r="F1474" t="inlineStr">
        <is>
          <t>High</t>
        </is>
      </c>
      <c r="G1474" t="inlineStr">
        <is>
          <t>High (explicit)</t>
        </is>
      </c>
      <c r="H1474"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474" s="11" t="inlineStr">
        <is>
          <t>Personal Information</t>
        </is>
      </c>
      <c r="J1474" t="inlineStr"/>
      <c r="K1474" s="11" t="inlineStr">
        <is>
          <t>This section defines AI systems used in judicial processes, alternative dispute resolution, and election-related activities. These systems must not influence election outcomes or voting behavior without direct exposure to individuals, and must be designed to ensure transparency and fairness in legal proceedings.</t>
        </is>
      </c>
      <c r="L1474" s="11" t="inlineStr"/>
      <c r="M1474" s="11" t="inlineStr">
        <is>
          <t>• [Must] AI systems used by judicial authorities to research and interpret facts and law
• [Must] AI systems used by judicial authorities to apply law to concrete facts
• [Must] AI systems used in alternative dispute resolution</t>
        </is>
      </c>
      <c r="N1474" s="11" t="inlineStr">
        <is>
          <t>• [Must] AI systems used to influence election or referendum outcomes
• [Must] AI systems used to influence voting behavior in elections or referenda
• [Must Not] AI systems not directly exposed to natural persons</t>
        </is>
      </c>
      <c r="O1474" s="11" t="inlineStr">
        <is>
          <t>Administration of justice and democratic processes: (a) AI systems intended to be used by a judicial authority or on their behalf to assist a judicial authority in researching and interpreting facts and the law and in applying the law to a concrete set of facts, or to be used in a similar way in alternative dispute resolution; (b) AI systems intended to be used for influencing the outcome of an election or referendum or the voting behaviour of natural persons in the exercise of their vote in elections or referenda. This does not include AI systems to the output of which natural persons are not directly exposed, such as tools used to organise, optimise or structure political campaigns from an administrative or logistical point of view.</t>
        </is>
      </c>
      <c r="P1474" s="12" t="n">
        <v>39</v>
      </c>
    </row>
    <row r="1475">
      <c r="A1475" t="inlineStr">
        <is>
          <t>GDPR</t>
        </is>
      </c>
      <c r="B1475" t="inlineStr">
        <is>
          <t>OJ_L_202401689_EN_TXT (GDPR - Row 9)</t>
        </is>
      </c>
      <c r="C1475" t="inlineStr">
        <is>
          <t>9</t>
        </is>
      </c>
      <c r="D1475" s="11" t="inlineStr">
        <is>
          <t>Reporting scope for high-risk AI systems</t>
        </is>
      </c>
      <c r="E1475" t="inlineStr">
        <is>
          <t>68</t>
        </is>
      </c>
      <c r="F1475" t="inlineStr">
        <is>
          <t>High</t>
        </is>
      </c>
      <c r="G1475" t="inlineStr">
        <is>
          <t>High (explicit)</t>
        </is>
      </c>
      <c r="H1475" s="11" t="inlineStr">
        <is>
          <t>Incident Reporting, Breach Notification</t>
        </is>
      </c>
      <c r="I1475" s="11" t="inlineStr">
        <is>
          <t>Special Personal Information</t>
        </is>
      </c>
      <c r="J1475" t="inlineStr"/>
      <c r="K1475" s="11" t="inlineStr">
        <is>
          <t>This section limits the reporting of serious incidents to those specified in Article 3(49)(c) for high-risk AI systems placed on the market or put into service by providers subject to equivalent reporting obligations under Union legislative instruments. The obligation applies to providers of high-risk AI systems and restricts incident reporting to specific incident types.</t>
        </is>
      </c>
      <c r="L1475" s="11" t="inlineStr">
        <is>
          <t>Restricts incident reporting to specific types for high-risk AI systems, impacting DTIA scope and requirements for cross-border data flows.</t>
        </is>
      </c>
      <c r="M1475" s="11" t="inlineStr">
        <is>
          <t>• [Must] Reporting of serious incidents shall be limited to those referred to in Article 3, point (49)(c)</t>
        </is>
      </c>
      <c r="N1475" s="11" t="inlineStr"/>
      <c r="O1475" s="11" t="inlineStr">
        <is>
          <t>For high-risk AI systems referred to in Annex III that are placed on the market or put into service by providers that are subject to Union legislative instruments laying down reporting obligations equivalent to those set out in this Regulation, the notification of serious incidents shall be limited to those referred to in Article 3, point (49)(c).</t>
        </is>
      </c>
      <c r="P1475" s="12" t="n">
        <v>39</v>
      </c>
    </row>
    <row r="1476">
      <c r="A1476" t="inlineStr">
        <is>
          <t>GDPR</t>
        </is>
      </c>
      <c r="B1476" t="inlineStr">
        <is>
          <t>OJ_L_202401689_EN_TXT (GDPR - Row 9)</t>
        </is>
      </c>
      <c r="C1476" t="inlineStr">
        <is>
          <t>10</t>
        </is>
      </c>
      <c r="D1476" s="11" t="inlineStr">
        <is>
          <t>Notification of serious incidents for high-risk AI systems</t>
        </is>
      </c>
      <c r="E1476" t="inlineStr">
        <is>
          <t>57</t>
        </is>
      </c>
      <c r="F1476" t="inlineStr">
        <is>
          <t>Low</t>
        </is>
      </c>
      <c r="G1476" t="inlineStr">
        <is>
          <t>High (explicit)</t>
        </is>
      </c>
      <c r="H1476" s="11" t="inlineStr">
        <is>
          <t>Incident Reporting, Breach Notification</t>
        </is>
      </c>
      <c r="I1476" s="11" t="inlineStr">
        <is>
          <t>Special Personal Information</t>
        </is>
      </c>
      <c r="J1476" t="inlineStr">
        <is>
          <t>National competent authorities</t>
        </is>
      </c>
      <c r="K1476" s="11" t="inlineStr">
        <is>
          <t>For high-risk AI systems that are safety components of devices or themselves devices covered by EU regulations 2017/745 and 2017/746, serious incident notifications must be limited to those specified in Article 3(49)(c) and submitted to the national competent authority chosen by Member States where the incident occurred.</t>
        </is>
      </c>
      <c r="L1476" s="11" t="inlineStr">
        <is>
          <t>Requires specific incident reporting for high-risk AI systems to national authorities, impacting DTIA scope for incident handling across borders.</t>
        </is>
      </c>
      <c r="M1476" s="11" t="inlineStr">
        <is>
          <t>• [Must] For high-risk AI systems that are safety components of devices or themselves devices covered by EU regulations 2017/745 and 2017/746, serious incident notifications must be limited to those specified in Article 3(49)(c)</t>
        </is>
      </c>
      <c r="N1476" s="11" t="inlineStr">
        <is>
          <t>• [Must] Serious incident notifications must be made to the national competent authority chosen by Member States where the incident occurred</t>
        </is>
      </c>
      <c r="O1476" s="11" t="inlineStr">
        <is>
          <t>For high-risk AI systems which are safety components of devices, or are themselves devices, covered by Regulations (EU) 2017/745 and (EU) 2017/746, the notification of serious incidents shall be limited to those referred to in Article 3, point (49)(c) of this Regulation, and shall be made to the national competent authority chosen for that purpose by the Member States where the incident occurred.</t>
        </is>
      </c>
      <c r="P1476" s="12" t="n">
        <v>39</v>
      </c>
    </row>
    <row r="1477">
      <c r="A1477" t="inlineStr">
        <is>
          <t>GDPR</t>
        </is>
      </c>
      <c r="B1477" t="inlineStr">
        <is>
          <t>OJ_L_202401689_EN_TXT (GDPR - Row 9)</t>
        </is>
      </c>
      <c r="C1477" t="inlineStr">
        <is>
          <t>11</t>
        </is>
      </c>
      <c r="D1477" s="11" t="inlineStr">
        <is>
          <t>National authorities notify Commission of serious incidents</t>
        </is>
      </c>
      <c r="E1477" t="inlineStr">
        <is>
          <t>89</t>
        </is>
      </c>
      <c r="F1477" t="inlineStr">
        <is>
          <t>Low</t>
        </is>
      </c>
      <c r="G1477" t="inlineStr">
        <is>
          <t>High (explicit)</t>
        </is>
      </c>
      <c r="H1477" s="11" t="inlineStr">
        <is>
          <t>Incident Reporting, Breach Notification</t>
        </is>
      </c>
      <c r="I1477" s="11" t="inlineStr">
        <is>
          <t>Special Personal Information</t>
        </is>
      </c>
      <c r="J1477" t="inlineStr">
        <is>
          <t>National competent authorities</t>
        </is>
      </c>
      <c r="K1477" s="11" t="inlineStr">
        <is>
          <t>National competent authorities must immediately notify the European Commission of any serious incident, regardless of whether action has been taken, in accordance with Article 20 of Regulation (EU) 2019/1020.</t>
        </is>
      </c>
      <c r="L1477" s="11" t="inlineStr">
        <is>
          <t>Requires cross-border incident reporting to the Commission for serious incidents, affecting DTIA scope for incident handling across EU.</t>
        </is>
      </c>
      <c r="M1477" s="11" t="inlineStr">
        <is>
          <t>• [Must] National competent authorities must immediately notify the European Commission of any serious incident
• [Must] Notification must occur regardless of whether action has been taken on the incident</t>
        </is>
      </c>
      <c r="N1477" s="11" t="inlineStr">
        <is>
          <t>• [Condition] Notification must comply with Article 20 of Regulation (EU) 2019/1020</t>
        </is>
      </c>
      <c r="O1477" s="11" t="inlineStr">
        <is>
          <t>National competent authorities shall immediately notify the Commission of any serious incident, whether or not they have taken action on it, in accordance with Article 20 of Regulation (EU) 2019/1020.</t>
        </is>
      </c>
      <c r="P1477" s="12" t="n">
        <v>39</v>
      </c>
    </row>
    <row r="1478">
      <c r="A1478" t="inlineStr">
        <is>
          <t>GDPR</t>
        </is>
      </c>
      <c r="B1478" t="inlineStr">
        <is>
          <t>OJ_L_202401689_EN_TXT (GDPR - Row 9)</t>
        </is>
      </c>
      <c r="C1478" t="inlineStr">
        <is>
          <t>12</t>
        </is>
      </c>
      <c r="D1478" s="11" t="inlineStr">
        <is>
          <t>Amendment considerations for sectoral harmonisation legislation</t>
        </is>
      </c>
      <c r="E1478" t="inlineStr">
        <is>
          <t>46–49</t>
        </is>
      </c>
      <c r="F1478" t="inlineStr">
        <is>
          <t>Medium</t>
        </is>
      </c>
      <c r="G1478" t="inlineStr">
        <is>
          <t>High (explicit)</t>
        </is>
      </c>
      <c r="H1478"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478" s="11" t="inlineStr">
        <is>
          <t>Personal Information</t>
        </is>
      </c>
      <c r="J1478" t="inlineStr"/>
      <c r="K1478" s="11" t="inlineStr">
        <is>
          <t>Amendments to the Regulation that affect sectoral Union harmonisation legislation must consider sector-specific regulatory nuances, existing governance structures, conformity assessment procedures, and enforcement mechanisms established within each sector. These amendments must account for the unique regulatory frameworks and authorities operating within each sector.</t>
        </is>
      </c>
      <c r="L1478" s="11" t="inlineStr"/>
      <c r="M1478" s="11" t="inlineStr">
        <is>
          <t>• [Must] Amendments to this Regulation that affect sectoral Union harmonisation legislation must consider regulatory specificities of each sector
• [Must] Amendments must take into account existing governance mechanisms in each sector
• [Must] Amendments must consider existing conformity assessment procedures in each sector</t>
        </is>
      </c>
      <c r="N1478" s="11" t="inlineStr">
        <is>
          <t>• [Must] Amendments must account for existing enforcement mechanisms in each sector
• [Must] Amendments must consider existing authorities established in each sector</t>
        </is>
      </c>
      <c r="O1478" s="11" t="inlineStr">
        <is>
          <t>Any amendment to this Regulation pursuant to paragraph 10, or relevant delegated or implementing acts, which concerns sectoral Union harmonisation legislation listed in Section B of Annex I shall take into account the regulatory specificities of each sector, and the existing governance, conformity assessment and enforcement mechanisms and authorities established therein.</t>
        </is>
      </c>
      <c r="P1478" s="12" t="n">
        <v>39</v>
      </c>
    </row>
    <row r="1479">
      <c r="A1479" t="inlineStr">
        <is>
          <t>GDPR</t>
        </is>
      </c>
      <c r="B1479" t="inlineStr">
        <is>
          <t>OJ_L_202401689_EN_TXT (GDPR - Row 9)</t>
        </is>
      </c>
      <c r="C1479" t="inlineStr">
        <is>
          <t>13</t>
        </is>
      </c>
      <c r="D1479" s="11" t="inlineStr">
        <is>
          <t>Commission enforcement assessment timeline</t>
        </is>
      </c>
      <c r="E1479" t="inlineStr">
        <is>
          <t>89</t>
        </is>
      </c>
      <c r="F1479" t="inlineStr">
        <is>
          <t>Medium</t>
        </is>
      </c>
      <c r="G1479" t="inlineStr">
        <is>
          <t>High (explicit)</t>
        </is>
      </c>
      <c r="H1479"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479" s="11" t="inlineStr">
        <is>
          <t>Personal Information</t>
        </is>
      </c>
      <c r="J1479" t="inlineStr">
        <is>
          <t>European Commission</t>
        </is>
      </c>
      <c r="K1479" s="11" t="inlineStr">
        <is>
          <t>The European Commission must complete an enforcement assessment of the GDPR by 2 August 2031 and report to the European Parliament, Council, and European Economic and Social Committee. This report must consider the first years of the Regulation's application and may include proposals for regulatory amendments regarding enforcement structure and the need for a Union agency to address identified shortcomings.</t>
        </is>
      </c>
      <c r="L1479" s="11" t="inlineStr"/>
      <c r="M1479" s="11" t="inlineStr">
        <is>
          <t>• [Must] By 2 August 2031, the Commission shall carry out an assessment of the enforcement of this Regulation
• [Must] The Commission shall report on the assessment to the European Parliament, Council, and European Economic and Social Committee
• [Must] The report must take into account the first years of application of this Regulation</t>
        </is>
      </c>
      <c r="N1479" s="11" t="inlineStr">
        <is>
          <t>• [May] The report may be accompanied by a proposal for amendment of this Regulation regarding enforcement structure
• [May] The report may include a proposal for a Union agency to resolve identified shortcomings</t>
        </is>
      </c>
      <c r="O1479" s="11" t="inlineStr">
        <is>
          <t>By 2 August 2031, the Commission shall carry out an assessment of the enforcement of this Regulation and shall report on it to the European Parliament, the Council and the European Economic and Social Committee, taking into account the first years of application of this Regulation.</t>
        </is>
      </c>
      <c r="P1479" s="12" t="n">
        <v>39</v>
      </c>
    </row>
    <row r="1480">
      <c r="A1480" t="inlineStr">
        <is>
          <t>GDPR</t>
        </is>
      </c>
      <c r="B1480" t="inlineStr">
        <is>
          <t>OJ_L_202401689_EN_TXT (GDPR - Row 9)</t>
        </is>
      </c>
      <c r="C1480" t="inlineStr">
        <is>
          <t>14</t>
        </is>
      </c>
      <c r="D1480" s="11" t="inlineStr">
        <is>
          <t>Confidentiality for market surveillance information</t>
        </is>
      </c>
      <c r="E1480" t="inlineStr">
        <is>
          <t>104</t>
        </is>
      </c>
      <c r="F1480" t="inlineStr">
        <is>
          <t>Low</t>
        </is>
      </c>
      <c r="G1480" t="inlineStr">
        <is>
          <t>High (explicit)</t>
        </is>
      </c>
      <c r="H1480" s="11" t="inlineStr"/>
      <c r="I1480" s="11" t="inlineStr">
        <is>
          <t>Special Personal Information</t>
        </is>
      </c>
      <c r="J1480" t="inlineStr"/>
      <c r="K1480" s="11" t="inlineStr">
        <is>
          <t>Any information or documentation obtained by market surveillance authorities must be treated in accordance with the confidentiality obligations set out in Article 78 of the GDPR.</t>
        </is>
      </c>
      <c r="L1480" s="11" t="inlineStr">
        <is>
          <t>Requires confidentiality for market surveillance information, impacting DTIA scope for data handling in AI system oversight.</t>
        </is>
      </c>
      <c r="M1480" s="11" t="inlineStr">
        <is>
          <t>• [Must] Any information or documentation obtained by market surveillance authorities shall be treated in accordance with the confidentiality obligations set out in Article 78</t>
        </is>
      </c>
      <c r="N1480" s="11" t="inlineStr"/>
      <c r="O1480" s="11" t="inlineStr">
        <is>
          <t>Any information or documentation obtained by market surveillance authorities shall be treated in accordance with the confidentiality obligations set out in Article 78.</t>
        </is>
      </c>
      <c r="P1480" s="12" t="n">
        <v>39</v>
      </c>
    </row>
    <row r="1481">
      <c r="A1481" t="inlineStr">
        <is>
          <t>GDPR</t>
        </is>
      </c>
      <c r="B1481" t="inlineStr">
        <is>
          <t>OJ_L_202401689_EN_TXT (GDPR - Row 9)</t>
        </is>
      </c>
      <c r="C1481" t="inlineStr">
        <is>
          <t>15</t>
        </is>
      </c>
      <c r="D1481" s="11" t="inlineStr">
        <is>
          <t>National competent authorities report sandbox establishment to AI Office and Board</t>
        </is>
      </c>
      <c r="E1481" t="inlineStr">
        <is>
          <t>89</t>
        </is>
      </c>
      <c r="F1481" t="inlineStr">
        <is>
          <t>Low</t>
        </is>
      </c>
      <c r="G1481" t="inlineStr">
        <is>
          <t>High (explicit)</t>
        </is>
      </c>
      <c r="H1481" s="11" t="inlineStr">
        <is>
          <t>Cross-border Transfer, International Processing, Data Storage, Security</t>
        </is>
      </c>
      <c r="I1481" s="11" t="inlineStr">
        <is>
          <t>Personal Information</t>
        </is>
      </c>
      <c r="J1481" t="inlineStr">
        <is>
          <t>AI Office</t>
        </is>
      </c>
      <c r="K1481" s="11" t="inlineStr">
        <is>
          <t>National competent authorities must inform the AI Office and Board about establishing an AI regulatory sandbox. They may request support and guidance from these bodies. The AI Office must publish and maintain a list of active and planned sandboxes to promote cross-border cooperation and interaction among sandbox participants.</t>
        </is>
      </c>
      <c r="L1481" s="11" t="inlineStr">
        <is>
          <t>Sandbox establishment reporting requires authorities to notify the AI Office and Board, enabling transparency and cross-border coordination for AI regulatory sandboxes.</t>
        </is>
      </c>
      <c r="M1481" s="11" t="inlineStr">
        <is>
          <t>• [Must] National competent authorities shall inform the AI Office and Board of sandbox establishment
• [May] National competent authorities may ask AI Office and Board for support and guidance</t>
        </is>
      </c>
      <c r="N1481" s="11" t="inlineStr">
        <is>
          <t>• [Must] AI Office shall publish and maintain list of planned and existing sandboxes</t>
        </is>
      </c>
      <c r="O1481" s="11" t="inlineStr">
        <is>
          <t>National competent authorities shall inform the AI Office and the Board of the establishment of a sandbox, and may ask them for support and guidance. The AI Office shall make publicly available a list of planned and existing sandboxes and keep it up to date in order to encourage more interaction in the AI regulatory sandboxes and cross-border cooperation.</t>
        </is>
      </c>
      <c r="P1481" s="12" t="n">
        <v>39</v>
      </c>
    </row>
    <row r="1482">
      <c r="A1482" t="inlineStr">
        <is>
          <t>GDPR</t>
        </is>
      </c>
      <c r="B1482" t="inlineStr">
        <is>
          <t>OJ_L_202401689_EN_TXT (GDPR - Row 9)</t>
        </is>
      </c>
      <c r="C1482" t="inlineStr">
        <is>
          <t>16</t>
        </is>
      </c>
      <c r="D1482" s="11" t="inlineStr">
        <is>
          <t>National competent authorities submit annual sandbox reports to AI Office and Board</t>
        </is>
      </c>
      <c r="E1482" t="inlineStr">
        <is>
          <t>89</t>
        </is>
      </c>
      <c r="F1482" t="inlineStr">
        <is>
          <t>Low</t>
        </is>
      </c>
      <c r="G1482" t="inlineStr">
        <is>
          <t>High (explicit)</t>
        </is>
      </c>
      <c r="H1482" s="11" t="inlineStr">
        <is>
          <t>Cross-border Transfer, International Processing, Data Storage, Security</t>
        </is>
      </c>
      <c r="I1482" s="11" t="inlineStr">
        <is>
          <t>Personal Information</t>
        </is>
      </c>
      <c r="J1482" t="inlineStr">
        <is>
          <t>AI Office</t>
        </is>
      </c>
      <c r="K1482" s="11" t="inlineStr">
        <is>
          <t>National competent authorities must submit annual reports to the AI Office and Board starting one year after sandbox establishment until termination. Reports must detail sandbox implementation progress, best practices, incidents, lessons learned, and recommendations. Authorities must publish these reports online, and the Commission may consider them when fulfilling regulatory tasks.</t>
        </is>
      </c>
      <c r="L1482" s="11" t="inlineStr">
        <is>
          <t>Annual reporting requirements ensure transparency and accountability in sandbox operations, facilitating cross-border regulatory alignment and incident management.</t>
        </is>
      </c>
      <c r="M1482" s="11" t="inlineStr">
        <is>
          <t>• [Must] National competent authorities shall submit annual reports to AI Office and Board from one year after sandbox establishment
• [Must] Annual reports must cover progress, results, best practices, incidents, lessons learned, and recommendations</t>
        </is>
      </c>
      <c r="N1482" s="11" t="inlineStr">
        <is>
          <t>• [Must] Reports must be made publicly available online
• [May] Commission may take annual reports into account when exercising regulatory tasks</t>
        </is>
      </c>
      <c r="O1482" s="11" t="inlineStr">
        <is>
          <t>National competent authorities shall submit annual reports to the AI Office and to the Board, from one year after the establishment of the AI regulatory sandbox and every year thereafter until its termination, and a final report. Those reports shall provide information on the progress and results of the implementation of those sandboxes, including best practices, incidents, lessons learnt and recommendations on their setup and, where relevant, on the application and possible revision of this Regulation, including its delegated and implementing acts, and on the application of other Union law supervised by the competent authorities within the sandbox. The national competent authorities shall make those annual reports or abstracts thereof available to the public, online. The Commission shall, where appropriate, take the annual reports into account when exercising its tasks under this Regulation.</t>
        </is>
      </c>
      <c r="P1482" s="12" t="n">
        <v>39</v>
      </c>
    </row>
    <row r="1483">
      <c r="A1483" t="inlineStr">
        <is>
          <t>GDPR</t>
        </is>
      </c>
      <c r="B1483" t="inlineStr">
        <is>
          <t>OJ_L_202401689_EN_TXT (GDPR - Row 9)</t>
        </is>
      </c>
      <c r="C1483" t="inlineStr">
        <is>
          <t>2025</t>
        </is>
      </c>
      <c r="D1483" s="11" t="inlineStr">
        <is>
          <t>AI model providers must comply with AI regulations from 2 August 2025</t>
        </is>
      </c>
      <c r="E1483" t="inlineStr">
        <is>
          <t>44</t>
        </is>
      </c>
      <c r="F1483" t="inlineStr">
        <is>
          <t>High</t>
        </is>
      </c>
      <c r="G1483" t="inlineStr">
        <is>
          <t>High (explicit)</t>
        </is>
      </c>
      <c r="H1483" s="11" t="inlineStr">
        <is>
          <t>Cross-border Transfer, International Processing, Data Storage, Security, Cloud Services, Incident Reporting, Breach Notification, Governance, Record Keeping</t>
        </is>
      </c>
      <c r="I1483" s="11" t="inlineStr">
        <is>
          <t>Personal Information, Financial Data, Customer Data, Employee Data, Special Personal Information</t>
        </is>
      </c>
      <c r="J1483" t="inlineStr">
        <is>
          <t>AI Office</t>
        </is>
      </c>
      <c r="K1483" s="11" t="inlineStr">
        <is>
          <t>This section establishes that providers of general-purpose AI models must comply with the AI Regulation starting 2 August 2025. It requires codes of practice to be ready by 2 May 2025 for providers to demonstrate compliance. The AI Office must ensure classification rules are updated with technological developments, and Member States must establish and notify penalties rules by this date for effective implementation.</t>
        </is>
      </c>
      <c r="L1483" s="11" t="inlineStr">
        <is>
          <t>AI model providers must implement compliance measures by May 2025 to meet regulatory requirements for data transfers involving AI systems. The section mandates updated classification rules and penalty frameworks that impact cross-border data flows for AI systems.</t>
        </is>
      </c>
      <c r="M1483" s="11" t="inlineStr">
        <is>
          <t>• [Must] Providers of general-purpose AI models must comply with AI regulations from 2 August 2025
• [Must] Codes of practice must be ready by 2 May 2025 for providers to demonstrate compliance
• [Must] AI Office must ensure classification rules and procedures are updated with technological developments</t>
        </is>
      </c>
      <c r="N1483" s="11" t="inlineStr">
        <is>
          <t>• [Must] Member States must lay down and notify to the Commission rules on penalties including administrative fines
• [Must] Member States must ensure penalties rules are properly and effectively implemented by 2 August 2025</t>
        </is>
      </c>
      <c r="O1483" s="11" t="inlineStr">
        <is>
          <t>Given the rapid pace of technological advancements and adoption of general-purpose AI models, obligations for providers of general-purpose AI models should apply from 2 August 2025. Codes of practice should be ready by 2 May 2025 in view of enabling providers to demonstrate compliance on time.</t>
        </is>
      </c>
      <c r="P1483" s="12" t="n">
        <v>39</v>
      </c>
    </row>
    <row r="1484">
      <c r="A1484" t="inlineStr">
        <is>
          <t>GDPR</t>
        </is>
      </c>
      <c r="B1484" t="inlineStr">
        <is>
          <t>OJ_L_202402847_EN_TXT (GDPR - Row 10)</t>
        </is>
      </c>
      <c r="C1484" t="inlineStr">
        <is>
          <t>1</t>
        </is>
      </c>
      <c r="D1484" s="11" t="inlineStr">
        <is>
          <t>Conformity based on full quality assurance for digital products</t>
        </is>
      </c>
      <c r="E1484" t="inlineStr">
        <is>
          <t>28</t>
        </is>
      </c>
      <c r="F1484" t="inlineStr">
        <is>
          <t>Medium</t>
        </is>
      </c>
      <c r="G1484" t="inlineStr">
        <is>
          <t>High (explicit)</t>
        </is>
      </c>
      <c r="H1484" s="11" t="inlineStr">
        <is>
          <t>Cross-border Transfer, Data Storage, Security</t>
        </is>
      </c>
      <c r="I1484" s="11" t="inlineStr">
        <is>
          <t>Personal Information</t>
        </is>
      </c>
      <c r="J1484" t="inlineStr">
        <is>
          <t>European Union</t>
        </is>
      </c>
      <c r="K1484" s="11" t="inlineStr">
        <is>
          <t>Conformity is achieved when the manufacturer fulfills obligations in points 2 and 5, ensures products meet essential cybersecurity requirements in Annex I Part I, and vulnerability handling processes meet Annex I Part II requirements.</t>
        </is>
      </c>
      <c r="L1484" s="11" t="inlineStr">
        <is>
          <t>Defines conformity through quality assurance for digital products, relevant for cross-border data transfers involving EU digital products.</t>
        </is>
      </c>
      <c r="M1484" s="11" t="inlineStr">
        <is>
          <t>• [Must] Manufacturer must fulfill obligations in points 2 and 5 of this Part
• [Must] Manufacturer must ensure products meet essential cybersecurity requirements in Annex I Part I</t>
        </is>
      </c>
      <c r="N1484" s="11" t="inlineStr">
        <is>
          <t>• [Must] Manufacturer must ensure vulnerability handling processes meet Annex I Part II requirements</t>
        </is>
      </c>
      <c r="O1484" s="11" t="inlineStr">
        <is>
          <t>Conformity based on full quality assurance is the conformity assessment procedure whereby the manufacturer fulfils the obligations set out in points 2 and 5 of this Part, and ensures and declares on its sole responsibility that the products with digital elements or product categories concerned satisfy the essential cybersecurity requirements set out in Part I of Annex I and that the vulnerability handling processes put in place by the manufacturer meet the requirements set out in Part II of Annex I.</t>
        </is>
      </c>
      <c r="P1484" s="12" t="n">
        <v>40</v>
      </c>
    </row>
    <row r="1485">
      <c r="A1485" t="inlineStr">
        <is>
          <t>GDPR</t>
        </is>
      </c>
      <c r="B1485" t="inlineStr">
        <is>
          <t>OJ_L_202402847_EN_TXT (GDPR - Row 10)</t>
        </is>
      </c>
      <c r="C1485" t="inlineStr">
        <is>
          <t>2</t>
        </is>
      </c>
      <c r="D1485" s="11" t="inlineStr">
        <is>
          <t>Design, development, production and vulnerability handling for digital products</t>
        </is>
      </c>
      <c r="E1485" t="inlineStr">
        <is>
          <t>28</t>
        </is>
      </c>
      <c r="F1485" t="inlineStr">
        <is>
          <t>Medium</t>
        </is>
      </c>
      <c r="G1485" t="inlineStr">
        <is>
          <t>High (explicit)</t>
        </is>
      </c>
      <c r="H1485" s="11" t="inlineStr">
        <is>
          <t>Cross-border Transfer, Data Storage, Security</t>
        </is>
      </c>
      <c r="I1485" s="11" t="inlineStr">
        <is>
          <t>Personal Information</t>
        </is>
      </c>
      <c r="J1485" t="inlineStr">
        <is>
          <t>European Union</t>
        </is>
      </c>
      <c r="K1485" s="11" t="inlineStr">
        <is>
          <t>Manufacturers must operate an approved quality system for design, development, final product inspection, and vulnerability handling, maintain its effectiveness throughout the support period, and be subject to surveillance.</t>
        </is>
      </c>
      <c r="L1485" s="11" t="inlineStr">
        <is>
          <t>Requires quality system for digital product development and vulnerability handling, relevant for cross-border data transfers involving EU digital products.</t>
        </is>
      </c>
      <c r="M1485" s="11" t="inlineStr">
        <is>
          <t>• [Must] Manufacturer must operate approved quality system for design, development and final product inspection
• [Must] Manufacturer must operate quality system for vulnerability handling</t>
        </is>
      </c>
      <c r="N1485" s="11" t="inlineStr">
        <is>
          <t>• [Must] Quality system must maintain effectiveness throughout support period
• [Must] Manufacturer must be subject to surveillance</t>
        </is>
      </c>
      <c r="O1485" s="11" t="inlineStr">
        <is>
          <t>The manufacturer shall operate an approved quality system as specified in point 3 for the design, development and final product inspection and testing of the products with digital elements concerned and for handling vulnerabilities, maintain its effectiveness throughout the support period, and shall be subject to surveillance as specified in point 4.</t>
        </is>
      </c>
      <c r="P1485" s="12" t="n">
        <v>40</v>
      </c>
    </row>
    <row r="1486">
      <c r="A1486" t="inlineStr">
        <is>
          <t>GDPR</t>
        </is>
      </c>
      <c r="B1486" t="inlineStr">
        <is>
          <t>OJ_L_202402847_EN_TXT (GDPR - Row 10)</t>
        </is>
      </c>
      <c r="C1486" t="inlineStr">
        <is>
          <t>3</t>
        </is>
      </c>
      <c r="D1486" s="11" t="inlineStr">
        <is>
          <t>Quality system for digital products</t>
        </is>
      </c>
      <c r="E1486" t="inlineStr">
        <is>
          <t>32</t>
        </is>
      </c>
      <c r="F1486" t="inlineStr">
        <is>
          <t>Medium</t>
        </is>
      </c>
      <c r="G1486" t="inlineStr">
        <is>
          <t>High (explicit)</t>
        </is>
      </c>
      <c r="H1486" s="11" t="inlineStr">
        <is>
          <t>Cross-border Transfer, Data Storage, Security</t>
        </is>
      </c>
      <c r="I1486" s="11" t="inlineStr">
        <is>
          <t>Personal Information</t>
        </is>
      </c>
      <c r="J1486" t="inlineStr">
        <is>
          <t>European Union</t>
        </is>
      </c>
      <c r="K1486" s="11" t="inlineStr">
        <is>
          <t>Manufacturers must lodge quality system applications with notified bodies, include technical documentation, quality system documentation, and a declaration of non-duplication. The quality system must ensure compliance with cybersecurity requirements and vulnerability handling processes, and be documented systematically.</t>
        </is>
      </c>
      <c r="L1486" s="11" t="inlineStr">
        <is>
          <t>Requires detailed quality system documentation for digital products, relevant for cross-border data transfers involving EU digital products.</t>
        </is>
      </c>
      <c r="M1486" s="11" t="inlineStr">
        <is>
          <t>• [Must] Manufacturer must lodge quality system application with notified body of choice
• [Must] Application must include manufacturer's name and address, and authorised representative's details if applicable
• [Must] Application must include technical documentation for one model per product category
• [Must] Technical documentation must contain elements as set out in Annex VII where applicable
• [Must] Application must include quality system documentation
• [Must] Application must include written declaration that same application not lodged with other notified body
• [Must] Quality system must ensure compliance with essential cybersecurity requirements in Annex I Part I
• [Must] Quality system must ensure vulnerability handling processes meet Annex I Part II requirements
• [Must] Quality system documentation must be systematic and orderly
• [Must] Quality system documentation must permit consistent interpretation of quality programs</t>
        </is>
      </c>
      <c r="N1486" s="11" t="inlineStr">
        <is>
          <t>• [Must] Quality system documentation must include quality objectives and organizational structure
• [Must] Quality system documentation must include technical design and development specifications
• [Must] Quality system documentation must include procedural specifications for vulnerability handling
• [Must] Quality system documentation must include design and development control processes
• [Must] Quality system documentation must include production, quality control and assurance techniques
• [Must] Quality system documentation must include examinations and tests before, during and after production
• [Must] Quality system documentation must include quality records such as inspection reports and test data
• [Must] Quality system documentation must include calibration data and personnel qualification reports
• [Must] Quality system documentation must include means to monitor achievement of quality requirements</t>
        </is>
      </c>
      <c r="O1486" s="11" t="inlineStr">
        <is>
          <t>3.1. The manufacturer shall lodge an application for assessment of its quality system with the notified body of its choice, for the products with digital elements concerned.</t>
        </is>
      </c>
      <c r="P1486" s="12" t="n">
        <v>40</v>
      </c>
    </row>
    <row r="1487">
      <c r="A1487" t="inlineStr">
        <is>
          <t>GDPR</t>
        </is>
      </c>
      <c r="B1487" t="inlineStr">
        <is>
          <t>OJ_L_202402847_EN_TXT (GDPR - Row 10)</t>
        </is>
      </c>
      <c r="C1487" t="inlineStr">
        <is>
          <t>4</t>
        </is>
      </c>
      <c r="D1487" s="11" t="inlineStr">
        <is>
          <t>Surveillance by notified body for quality system</t>
        </is>
      </c>
      <c r="E1487" t="inlineStr">
        <is>
          <t>32</t>
        </is>
      </c>
      <c r="F1487" t="inlineStr">
        <is>
          <t>Medium</t>
        </is>
      </c>
      <c r="G1487" t="inlineStr">
        <is>
          <t>High (explicit)</t>
        </is>
      </c>
      <c r="H1487" s="11" t="inlineStr">
        <is>
          <t>Cross-border Transfer, Data Storage, Security</t>
        </is>
      </c>
      <c r="I1487" s="11" t="inlineStr">
        <is>
          <t>Personal Information</t>
        </is>
      </c>
      <c r="J1487" t="inlineStr">
        <is>
          <t>European Union</t>
        </is>
      </c>
      <c r="K1487" s="11" t="inlineStr">
        <is>
          <t>Notified bodies must conduct periodic audits to ensure manufacturers maintain and apply the quality system, and provide audit reports to manufacturers.</t>
        </is>
      </c>
      <c r="L1487" s="11" t="inlineStr">
        <is>
          <t>Requires periodic surveillance of quality systems for digital products, relevant for cross-border data transfers involving EU digital products.</t>
        </is>
      </c>
      <c r="M1487" s="11" t="inlineStr">
        <is>
          <t>• [Must] Notified body must carry out periodic audits to ensure manufacturer maintains and applies quality system</t>
        </is>
      </c>
      <c r="N1487" s="11" t="inlineStr">
        <is>
          <t>• [Must] Notified body must provide manufacturer with audit report</t>
        </is>
      </c>
      <c r="O1487" s="11" t="inlineStr">
        <is>
          <t>4.3. The notified body shall carry out periodic audits to make sure that the manufacturer maintains and applies the quality system and shall provide the manufacturer with an audit report.</t>
        </is>
      </c>
      <c r="P1487" s="12" t="n">
        <v>40</v>
      </c>
    </row>
    <row r="1488">
      <c r="A1488" t="inlineStr">
        <is>
          <t>GDPR</t>
        </is>
      </c>
      <c r="B1488" t="inlineStr">
        <is>
          <t>OJ_L_202402847_EN_TXT (GDPR - Row 10)</t>
        </is>
      </c>
      <c r="C1488" t="inlineStr">
        <is>
          <t>5</t>
        </is>
      </c>
      <c r="D1488" s="11" t="inlineStr">
        <is>
          <t>CE marking and conformity declaration for digital products</t>
        </is>
      </c>
      <c r="E1488" t="inlineStr">
        <is>
          <t>28–29</t>
        </is>
      </c>
      <c r="F1488" t="inlineStr">
        <is>
          <t>Low</t>
        </is>
      </c>
      <c r="G1488" t="inlineStr">
        <is>
          <t>High (explicit)</t>
        </is>
      </c>
      <c r="H1488" s="11" t="inlineStr">
        <is>
          <t>Record Keeping, Cross-border Transfer</t>
        </is>
      </c>
      <c r="I1488" s="11" t="inlineStr">
        <is>
          <t>Personal Information</t>
        </is>
      </c>
      <c r="J1488" t="inlineStr"/>
      <c r="K1488" s="11" t="inlineStr">
        <is>
          <t>Manufacturers must affix the CE marking with the notified body's identification number to each digital product meeting Part I of Annex I requirements. They must also create a written declaration of conformity for each product model, retaining it for 10 years after market placement or support period, whichever is longer. The declaration must identify the product model and be accessible to authorities upon request.</t>
        </is>
      </c>
      <c r="L1488" s="11" t="inlineStr">
        <is>
          <t>This section requires manufacturers to maintain CE marking and documentation for digital products, impacting DTIA by mandating long-term retention of technical and quality system records for regulatory compliance.</t>
        </is>
      </c>
      <c r="M1488" s="11" t="inlineStr">
        <is>
          <t>• [Must] Manufacturer must affix CE marking with notified body's identification number to each digital product meeting Part I of Annex I requirements
• [Must] Manufacturer must create written declaration of conformity for each product model
• [Must] Manufacturer must retain declaration of conformity for 10 years after market placement or support period, whichever is longer</t>
        </is>
      </c>
      <c r="N1488" s="11" t="inlineStr">
        <is>
          <t>• [Must] Declaration must identify the product model
• [Must] Manufacturer must make declaration of conformity available to authorities upon request</t>
        </is>
      </c>
      <c r="O1488" s="11" t="inlineStr">
        <is>
          <t>5.1. The manufacturer shall affix the CE marking, and, under the responsibility of the notified body referred to in point 3.1, the latter's identification number to each individual product with digital elements that satisfies the requirements set out in Part I of Annex I.</t>
        </is>
      </c>
      <c r="P1488" s="12" t="n">
        <v>40</v>
      </c>
    </row>
    <row r="1489">
      <c r="A1489" t="inlineStr">
        <is>
          <t>GDPR</t>
        </is>
      </c>
      <c r="B1489" t="inlineStr">
        <is>
          <t>OJ_L_202402847_EN_TXT (GDPR - Row 10)</t>
        </is>
      </c>
      <c r="C1489" t="inlineStr">
        <is>
          <t>6</t>
        </is>
      </c>
      <c r="D1489" s="11" t="inlineStr">
        <is>
          <t>Retention of technical documentation for 10+ years</t>
        </is>
      </c>
      <c r="E1489" t="inlineStr">
        <is>
          <t>29</t>
        </is>
      </c>
      <c r="F1489" t="inlineStr">
        <is>
          <t>Low</t>
        </is>
      </c>
      <c r="G1489" t="inlineStr">
        <is>
          <t>High (explicit)</t>
        </is>
      </c>
      <c r="H1489" s="11" t="inlineStr">
        <is>
          <t>Record Keeping, Cross-border Transfer</t>
        </is>
      </c>
      <c r="I1489" s="11" t="inlineStr">
        <is>
          <t>Personal Information</t>
        </is>
      </c>
      <c r="J1489" t="inlineStr"/>
      <c r="K1489" s="11" t="inlineStr">
        <is>
          <t>Manufacturers must retain technical documentation, quality system documentation, approved changes, and notified body decisions/reports for at least 10 years after product market placement or support period, whichever is longer. This retention period applies to national authorities for regulatory oversight.</t>
        </is>
      </c>
      <c r="L1489" s="11" t="inlineStr">
        <is>
          <t>This section mandates long-term retention of technical and quality system records, which impacts DTIA by requiring detailed documentation for regulatory compliance across product lifecycles.</t>
        </is>
      </c>
      <c r="M1489" s="11" t="inlineStr">
        <is>
          <t>• [Must] Manufacturer must retain technical documentation for at least 10 years after product market placement or support period, whichever is longer
• [Must] Manufacturer must retain quality system documentation for at least 10 years after product market placement or support period, whichever is longer</t>
        </is>
      </c>
      <c r="N1489" s="11" t="inlineStr">
        <is>
          <t>• [Must] Manufacturer must retain approved changes for at least 10 years after product market placement or support period, whichever is longer
• [Must] Manufacturer must retain notified body decisions and reports for at least 10 years after product market placement or support period, whichever is longer</t>
        </is>
      </c>
      <c r="O1489" s="11" t="inlineStr">
        <is>
          <t>6. The manufacturer shall, for a period ending at least 10 years after the product with digital elements has been placed on the market or for the support period, whichever is longer, keep at the disposal of the national authorities: (a) the technical documentation referred to in point 3.1; (b) the documentation concerning the quality system referred to in point 3.1; (c) the change referred to in point 3.5, as approved; (d) the decisions and reports of the notified body referred to in points 3.5 and 4.3.</t>
        </is>
      </c>
      <c r="P1489" s="12" t="n">
        <v>40</v>
      </c>
    </row>
    <row r="1490">
      <c r="A1490" t="inlineStr">
        <is>
          <t>GDPR</t>
        </is>
      </c>
      <c r="B1490" t="inlineStr">
        <is>
          <t>OJ_L_202402847_EN_TXT (GDPR - Row 10)</t>
        </is>
      </c>
      <c r="C1490" t="inlineStr">
        <is>
          <t>7</t>
        </is>
      </c>
      <c r="D1490" s="11" t="inlineStr">
        <is>
          <t>Notified bodies must report quality system approvals</t>
        </is>
      </c>
      <c r="E1490" t="inlineStr">
        <is>
          <t>29</t>
        </is>
      </c>
      <c r="F1490" t="inlineStr">
        <is>
          <t>Low</t>
        </is>
      </c>
      <c r="G1490" t="inlineStr">
        <is>
          <t>High (explicit)</t>
        </is>
      </c>
      <c r="H1490" s="11" t="inlineStr">
        <is>
          <t>Record Keeping, Cross-border Transfer</t>
        </is>
      </c>
      <c r="I1490" s="11" t="inlineStr">
        <is>
          <t>Personal Information</t>
        </is>
      </c>
      <c r="J1490" t="inlineStr"/>
      <c r="K1490" s="11" t="inlineStr">
        <is>
          <t>Notified bodies must inform their notifying authorities about quality system approvals issued or withdrawn, and provide lists of refused, suspended, or restricted approvals upon request. They must also share information about such approvals with other notified bodies when requested.</t>
        </is>
      </c>
      <c r="L1490" s="11" t="inlineStr">
        <is>
          <t>This section requires notified bodies to maintain transparency in quality system approvals, impacting DTIA by mandating reporting mechanisms for regulatory oversight of digital product compliance.</t>
        </is>
      </c>
      <c r="M1490" s="11" t="inlineStr">
        <is>
          <t>• [Must] Notified bodies must inform notifying authorities of quality system approvals issued or withdrawn
• [Must] Notified bodies must provide lists of refused, suspended, or restricted quality system approvals upon request</t>
        </is>
      </c>
      <c r="N1490" s="11" t="inlineStr">
        <is>
          <t>• [Must] Notified bodies must inform other notified bodies of quality system approvals they have refused, suspended, or withdrawn
• [Must] Notified bodies must provide quality system approvals they have issued upon request</t>
        </is>
      </c>
      <c r="O1490" s="11" t="inlineStr">
        <is>
          <t>7. Each notified body shall inform its notifying authorities of quality system approvals issued or withdrawn, and shall, periodically or upon request, make available to its notifying authorities the list of quality system approvals refused, suspended or otherwise restricted.</t>
        </is>
      </c>
      <c r="P1490" s="12" t="n">
        <v>40</v>
      </c>
    </row>
    <row r="1491">
      <c r="A1491" t="inlineStr">
        <is>
          <t>GDPR</t>
        </is>
      </c>
      <c r="B1491" t="inlineStr">
        <is>
          <t>OJ_L_202402847_EN_TXT (GDPR - Row 10)</t>
        </is>
      </c>
      <c r="C1491" t="inlineStr">
        <is>
          <t>8</t>
        </is>
      </c>
      <c r="D1491" s="11" t="inlineStr">
        <is>
          <t>Authorised representative for manufacturer obligations</t>
        </is>
      </c>
      <c r="E1491" t="inlineStr">
        <is>
          <t>29–31</t>
        </is>
      </c>
      <c r="F1491" t="inlineStr">
        <is>
          <t>Low</t>
        </is>
      </c>
      <c r="G1491" t="inlineStr">
        <is>
          <t>High (explicit)</t>
        </is>
      </c>
      <c r="H1491" s="11" t="inlineStr">
        <is>
          <t>Record Keeping, Cross-border Transfer</t>
        </is>
      </c>
      <c r="I1491" s="11" t="inlineStr">
        <is>
          <t>Personal Information</t>
        </is>
      </c>
      <c r="J1491" t="inlineStr"/>
      <c r="K1491" s="11" t="inlineStr">
        <is>
          <t>Manufacturers can delegate their obligations under points 3.1, 3.5, 5, and 6 to an authorised representative, who must act on the manufacturer's behalf and under their responsibility. The mandate must specify relevant obligations to ensure compliance.</t>
        </is>
      </c>
      <c r="L1491" s="11" t="inlineStr">
        <is>
          <t>This section allows manufacturers to use authorised representatives for compliance, which may impact DTIA by enabling delegation of responsibilities while maintaining accountability.</t>
        </is>
      </c>
      <c r="M1491" s="11" t="inlineStr">
        <is>
          <t>• [May] Manufacturer's obligations under points 3.1, 3.5, 5, and 6 may be fulfilled by its authorised representative
• [Must] Authorised representative must act on manufacturer's behalf and under manufacturer's responsibility</t>
        </is>
      </c>
      <c r="N1491" s="11" t="inlineStr">
        <is>
          <t>• [Must] Mandate must specify relevant obligations</t>
        </is>
      </c>
      <c r="O1491" s="11" t="inlineStr">
        <is>
          <t>8. Authorised representative The manufacturer's obligations set out in points 3.1, 3.5, 5 and 6 may be fulfilled by its authorised representative, on its behalf and under its responsibility, provided that the relevant obligations are specified in the mandate.</t>
        </is>
      </c>
      <c r="P1491" s="12" t="n">
        <v>40</v>
      </c>
    </row>
    <row r="1492">
      <c r="A1492" t="inlineStr">
        <is>
          <t>GDPR</t>
        </is>
      </c>
      <c r="B1492" t="inlineStr">
        <is>
          <t>OJ_L_202402847_EN_TXT (GDPR - Row 10)</t>
        </is>
      </c>
      <c r="C1492" t="inlineStr">
        <is>
          <t>9</t>
        </is>
      </c>
      <c r="D1492" s="11" t="inlineStr">
        <is>
          <t>Reporting EU-type certificates to authorities and other notified bodies</t>
        </is>
      </c>
      <c r="E1492" t="inlineStr">
        <is>
          <t>36</t>
        </is>
      </c>
      <c r="F1492" t="inlineStr">
        <is>
          <t>Medium</t>
        </is>
      </c>
      <c r="G1492" t="inlineStr">
        <is>
          <t>High (explicit)</t>
        </is>
      </c>
      <c r="H1492" s="11" t="inlineStr">
        <is>
          <t>Security</t>
        </is>
      </c>
      <c r="I1492" s="11" t="inlineStr"/>
      <c r="J1492" t="inlineStr">
        <is>
          <t>Notified bodies</t>
        </is>
      </c>
      <c r="K1492" s="11" t="inlineStr">
        <is>
          <t>Each notified body must inform its notifying authorities about issued or withdrawn EU-type examination certificates and any additions. They must also share information on refused, suspended, or restricted certificates with other notified bodies. Authorities can request copies of certificates and technical documentation, and notified bodies must retain copies until certificate expiry.</t>
        </is>
      </c>
      <c r="L1492" s="11" t="inlineStr">
        <is>
          <t>Mandates reporting of EU-type certificates and technical documentation to authorities and other notified bodies, ensuring transparency in cybersecurity compliance across borders. Critical for DTIA when assessing data transfers involving digital products.</t>
        </is>
      </c>
      <c r="M1492" s="11" t="inlineStr">
        <is>
          <t>• [Must] Each notified body shall inform its notifying authorities concerning EU-type examination certificates and any additions thereto which it has issued or withdrawn
• [Must] Each notified body shall inform other notified bodies concerning EU-type examination certificates and any additions thereto which it has refused, withdrawn, suspended or otherwise restricted</t>
        </is>
      </c>
      <c r="N1492" s="11" t="inlineStr">
        <is>
          <t>• [Must] The notified body shall keep a copy of the EU-type examination certificate, its annexes and additions, and the technical file including documentation submitted by the manufacturer until certificate expiry</t>
        </is>
      </c>
      <c r="O1492" s="11" t="inlineStr">
        <is>
          <t>Each notified body shall inform its notifying authorities concerning the EU-type examination certificates and any additions thereto which it has issued or withdrawn, and shall, periodically or upon request, make available to its notifying authorities the list of certificates and any additions thereto refused, suspended or otherwise restricted.</t>
        </is>
      </c>
      <c r="P1492" s="12" t="n">
        <v>40</v>
      </c>
    </row>
    <row r="1493">
      <c r="A1493" t="inlineStr">
        <is>
          <t>GDPR</t>
        </is>
      </c>
      <c r="B1493" t="inlineStr">
        <is>
          <t>OJ_L_202402847_EN_TXT (GDPR - Row 10)</t>
        </is>
      </c>
      <c r="C1493" t="inlineStr">
        <is>
          <t>10</t>
        </is>
      </c>
      <c r="D1493" s="11" t="inlineStr">
        <is>
          <t>Retention period for EU-type certificates and documentation</t>
        </is>
      </c>
      <c r="E1493" t="inlineStr">
        <is>
          <t>36</t>
        </is>
      </c>
      <c r="F1493" t="inlineStr">
        <is>
          <t>Low</t>
        </is>
      </c>
      <c r="G1493" t="inlineStr">
        <is>
          <t>High (explicit)</t>
        </is>
      </c>
      <c r="H1493" s="11" t="inlineStr">
        <is>
          <t>Retention</t>
        </is>
      </c>
      <c r="I1493" s="11" t="inlineStr"/>
      <c r="J1493" t="inlineStr">
        <is>
          <t>Manufacturers</t>
        </is>
      </c>
      <c r="K1493" s="11" t="inlineStr">
        <is>
          <t>Manufacturers must retain copies of EU-type examination certificates, their annexes, additions, and technical documentation for 10 years after placing digital products on the market or for the support period, whichever is longer. This ensures long-term compliance with cybersecurity standards.</t>
        </is>
      </c>
      <c r="L1493" s="11" t="inlineStr">
        <is>
          <t>Specifies a 10-year retention period for EU-type certificates and technical documentation, critical for DTIA when assessing data storage and compliance timelines for digital products.</t>
        </is>
      </c>
      <c r="M1493" s="11" t="inlineStr">
        <is>
          <t>• [Must] The manufacturer shall keep a copy of the EU-type examination certificate, its annexes and additions together with the technical documentation at the disposal of national authorities for 10 years after the product with digital elements has been placed on the market or for the support period, whichever is longer</t>
        </is>
      </c>
      <c r="N1493" s="11" t="inlineStr"/>
      <c r="O1493" s="11" t="inlineStr">
        <is>
          <t>10. The manufacturer shall keep a copy of the EU-type examination certificate, its annexes and additions together with the technical documentation at the disposal of the national authorities for 10 years after the product with digital elements has been placed on the market or for the support period, whichever is longer.</t>
        </is>
      </c>
      <c r="P1493" s="12" t="n">
        <v>40</v>
      </c>
    </row>
    <row r="1494">
      <c r="A1494" t="inlineStr">
        <is>
          <t>GDPR</t>
        </is>
      </c>
      <c r="B1494" t="inlineStr">
        <is>
          <t>OJ_L_202402847_EN_TXT (GDPR - Row 10)</t>
        </is>
      </c>
      <c r="C1494" t="inlineStr">
        <is>
          <t>11</t>
        </is>
      </c>
      <c r="D1494" s="11" t="inlineStr">
        <is>
          <t>Authorised representative responsibilities</t>
        </is>
      </c>
      <c r="E1494" t="inlineStr">
        <is>
          <t>36</t>
        </is>
      </c>
      <c r="F1494" t="inlineStr">
        <is>
          <t>Low</t>
        </is>
      </c>
      <c r="G1494" t="inlineStr">
        <is>
          <t>High (explicit)</t>
        </is>
      </c>
      <c r="H1494" s="11" t="inlineStr">
        <is>
          <t>Security</t>
        </is>
      </c>
      <c r="I1494" s="11" t="inlineStr"/>
      <c r="J1494" t="inlineStr">
        <is>
          <t>Manufacturer's authorised representative</t>
        </is>
      </c>
      <c r="K1494" s="11" t="inlineStr">
        <is>
          <t>The manufacturer's authorised representative may submit applications and fulfill obligations related to EU-type examination certificates, provided the relevant obligations are specified in the mandate. This allows for delegation of responsibilities while maintaining compliance.</t>
        </is>
      </c>
      <c r="L1494" s="11" t="inlineStr">
        <is>
          <t>Allows authorised representatives to handle EU-type certificate obligations, critical for DTIA when assessing delegation of responsibilities in cross-border data transfers involving digital products.</t>
        </is>
      </c>
      <c r="M1494" s="11" t="inlineStr">
        <is>
          <t>• [May] The manufacturer's authorised representative may lodge the application referred to in point 3 and fulfil the obligations set out in points 7 and 10</t>
        </is>
      </c>
      <c r="N1494" s="11" t="inlineStr">
        <is>
          <t>• [Condition] The relevant obligations must be specified in the mandate</t>
        </is>
      </c>
      <c r="O1494" s="11" t="inlineStr">
        <is>
          <t>11. The manufacturer's authorised representative may lodge the application referred to in point 3 and fulfil the obligations set out in points 7 and 10, provided that the relevant obligations are specified in the mandate.</t>
        </is>
      </c>
      <c r="P1494" s="12" t="n">
        <v>40</v>
      </c>
    </row>
    <row r="1495">
      <c r="A1495" t="inlineStr">
        <is>
          <t>GDPR</t>
        </is>
      </c>
      <c r="B1495" t="inlineStr">
        <is>
          <t>OJ_L_202402847_EN_TXT (GDPR - Row 10)</t>
        </is>
      </c>
      <c r="C1495" t="inlineStr">
        <is>
          <t>12</t>
        </is>
      </c>
      <c r="D1495" s="11" t="inlineStr">
        <is>
          <t>Conformity assessment bodies must operate with fair, proportionate terms and conditions</t>
        </is>
      </c>
      <c r="E1495" t="inlineStr">
        <is>
          <t>36–37</t>
        </is>
      </c>
      <c r="F1495" t="inlineStr">
        <is>
          <t>Medium</t>
        </is>
      </c>
      <c r="G1495" t="inlineStr">
        <is>
          <t>High (explicit)</t>
        </is>
      </c>
      <c r="H1495" s="11" t="inlineStr"/>
      <c r="I1495" s="11" t="inlineStr">
        <is>
          <t>Personal Information</t>
        </is>
      </c>
      <c r="J1495" t="inlineStr">
        <is>
          <t>European Union</t>
        </is>
      </c>
      <c r="K1495" s="11" t="inlineStr">
        <is>
          <t>Conformity assessment bodies must operate with consistent, fair, proportionate, and reasonable terms and conditions that avoid unnecessary burden for economic operators, particularly small and medium-sized enterprises. This includes considerations for fees and the interests of microenterprises. The section also establishes a presumption of conformity for bodies meeting harmonised standards, which simplifies compliance with Article 39 requirements.</t>
        </is>
      </c>
      <c r="L1495" s="11" t="inlineStr">
        <is>
          <t>This section mandates that conformity assessment bodies operate with fair terms and conditions, which affects how third-party assessments are conducted across borders and impacts financial institutions through fee structures and SME compliance.</t>
        </is>
      </c>
      <c r="M1495" s="11" t="inlineStr">
        <is>
          <t>• [Must] Conformity assessment bodies must operate with consistent, fair, proportionate and reasonable terms and conditions</t>
        </is>
      </c>
      <c r="N1495" s="11" t="inlineStr">
        <is>
          <t>• [Must] Conformity assessment bodies must avoid unnecessary burden for economic operators, particularly small and medium-sized enterprises</t>
        </is>
      </c>
      <c r="O1495" s="11" t="inlineStr">
        <is>
          <t>Conformity assessment bodies shall operate in accordance with a set of consistent, fair, proportionate and reasonable terms and conditions, while avoiding unnecessary burden for economic operators, in particular taking into account the interests of microenterprises and small and medium-sized enterprises in relation to fees.</t>
        </is>
      </c>
      <c r="P1495" s="12" t="n">
        <v>40</v>
      </c>
    </row>
    <row r="1496">
      <c r="A1496" t="inlineStr">
        <is>
          <t>GDPR</t>
        </is>
      </c>
      <c r="B1496" t="inlineStr">
        <is>
          <t>OJ_L_202402847_EN_TXT (GDPR - Row 10)</t>
        </is>
      </c>
      <c r="C1496" t="inlineStr">
        <is>
          <t>13</t>
        </is>
      </c>
      <c r="D1496" s="11" t="inlineStr">
        <is>
          <t>Market surveillance authorities report outcomes to Commission</t>
        </is>
      </c>
      <c r="E1496" t="inlineStr">
        <is>
          <t>37</t>
        </is>
      </c>
      <c r="F1496" t="inlineStr">
        <is>
          <t>Low</t>
        </is>
      </c>
      <c r="G1496" t="inlineStr">
        <is>
          <t>High (explicit)</t>
        </is>
      </c>
      <c r="H1496" s="11" t="inlineStr"/>
      <c r="I1496" s="11" t="inlineStr"/>
      <c r="J1496" t="inlineStr"/>
      <c r="K1496" s="11" t="inlineStr">
        <is>
          <t>Market surveillance authorities must report annual outcomes of relevant market surveillance activities to the Commission and notify relevant national competition authorities of information that may be of interest for applying Union competition law.</t>
        </is>
      </c>
      <c r="L1496" s="11" t="inlineStr">
        <is>
          <t>This section requires market surveillance authorities to report outcomes, which may impact data processing and market surveillance activities across borders.</t>
        </is>
      </c>
      <c r="M1496" s="11" t="inlineStr">
        <is>
          <t>• [Must] Market surveillance authorities shall report to the Commission on an annual basis the outcomes of relevant market surveillance activities</t>
        </is>
      </c>
      <c r="N1496" s="11" t="inlineStr">
        <is>
          <t>• [Must] Designated market surveillance authorities shall report to the Commission and relevant national competition authorities any information identified during market surveillance that may be of interest for Union competition law</t>
        </is>
      </c>
      <c r="O1496" s="11" t="inlineStr">
        <is>
          <t>The market surveillance authorities shall report to the Commission on an annual basis the outcomes of relevant market surveillance activities. The designated market surveillance authorities shall report, without delay, to the Commission and relevant national competition authorities any information identified in the course of market surveillance activities that may be of potential interest for the application of Union competition law.</t>
        </is>
      </c>
      <c r="P1496" s="12" t="n">
        <v>40</v>
      </c>
    </row>
    <row r="1497">
      <c r="A1497" t="inlineStr">
        <is>
          <t>GDPR</t>
        </is>
      </c>
      <c r="B1497" t="inlineStr">
        <is>
          <t>OJ_L_202402847_EN_TXT (GDPR - Row 10)</t>
        </is>
      </c>
      <c r="C1497" t="inlineStr">
        <is>
          <t>14</t>
        </is>
      </c>
      <c r="D1497" s="11" t="inlineStr">
        <is>
          <t>High-risk AI products: market surveillance authority responsibilities</t>
        </is>
      </c>
      <c r="E1497" t="inlineStr">
        <is>
          <t>37</t>
        </is>
      </c>
      <c r="F1497" t="inlineStr">
        <is>
          <t>Medium</t>
        </is>
      </c>
      <c r="G1497" t="inlineStr">
        <is>
          <t>High (explicit)</t>
        </is>
      </c>
      <c r="H1497" s="11" t="inlineStr">
        <is>
          <t>Cross-border Transfer, International Processing</t>
        </is>
      </c>
      <c r="I1497" s="11" t="inlineStr">
        <is>
          <t>Special Personal Information</t>
        </is>
      </c>
      <c r="J1497" t="inlineStr">
        <is>
          <t>Market surveillance authorities</t>
        </is>
      </c>
      <c r="K1497" s="11" t="inlineStr">
        <is>
          <t>Market surveillance authorities designated under Regulation (EU) 2024/1689 are responsible for market surveillance activities related to high-risk AI products. These authorities must cooperate with other designated market surveillance authorities and CSIRTs designated as coordinators and ENISA for reporting obligations. They must also share relevant findings about product compliance with this Regulation.</t>
        </is>
      </c>
      <c r="L1497" s="11" t="inlineStr">
        <is>
          <t>High-risk AI products require specific market surveillance oversight. This section mandates coordination between national authorities and EU-level entities for compliance monitoring, which impacts cross-border data handling for AI systems.</t>
        </is>
      </c>
      <c r="M1497" s="11" t="inlineStr">
        <is>
          <t>• [Must] Market surveillance authorities designated under Regulation (EU) 2024/1689 are responsible for market surveillance activities required under this Regulation
• [Must] Designated market surveillance authorities shall cooperate with other designated market surveillance authorities</t>
        </is>
      </c>
      <c r="N1497" s="11" t="inlineStr">
        <is>
          <t>• [Must] Designated market surveillance authorities shall cooperate with CSIRTs designated as coordinators and ENISA for reporting obligations
• [Must] Designated market surveillance authorities shall inform other designated market surveillance authorities of findings relevant to product compliance</t>
        </is>
      </c>
      <c r="O1497" s="11" t="inlineStr">
        <is>
          <t>For products with digital elements that fall within the scope of this Regulation which are classified as high-risk AI systems pursuant to Article 6 of Regulation (EU) 2024/1689, the market surveillance authorities designated for the purposes of that Regulation shall be the authorities responsible for market surveillance activities required under this Regulation.</t>
        </is>
      </c>
      <c r="P1497" s="12" t="n">
        <v>40</v>
      </c>
    </row>
    <row r="1498">
      <c r="A1498" t="inlineStr">
        <is>
          <t>GDPR</t>
        </is>
      </c>
      <c r="B1498" t="inlineStr">
        <is>
          <t>OJ_L_202402847_EN_TXT (GDPR - Row 10)</t>
        </is>
      </c>
      <c r="C1498" t="inlineStr">
        <is>
          <t>15</t>
        </is>
      </c>
      <c r="D1498" s="11" t="inlineStr">
        <is>
          <t>ADCO establishment for uniform AI regulation application</t>
        </is>
      </c>
      <c r="E1498" t="inlineStr">
        <is>
          <t>37</t>
        </is>
      </c>
      <c r="F1498" t="inlineStr">
        <is>
          <t>Medium</t>
        </is>
      </c>
      <c r="G1498" t="inlineStr">
        <is>
          <t>High (explicit)</t>
        </is>
      </c>
      <c r="H1498" s="11" t="inlineStr">
        <is>
          <t>Cross-border Transfer, International Processing</t>
        </is>
      </c>
      <c r="I1498" s="11" t="inlineStr">
        <is>
          <t>Special Personal Information</t>
        </is>
      </c>
      <c r="J1498" t="inlineStr"/>
      <c r="K1498" s="11" t="inlineStr">
        <is>
          <t>The AI and Cybersecurity Coordination Office (ADCO) must be established to ensure uniform application of this Regulation. It will consist of representatives from designated market surveillance authorities and, if appropriate, single liaison offices. ADCO will address market surveillance activities related to open-source software stewards.</t>
        </is>
      </c>
      <c r="L1498" s="11" t="inlineStr">
        <is>
          <t>ADCO coordinates national market surveillance efforts for AI products, ensuring consistent application across borders. This impacts cross-border data handling for AI systems by standardizing oversight.</t>
        </is>
      </c>
      <c r="M1498" s="11" t="inlineStr">
        <is>
          <t>• [Must] ADCO shall be established for the uniform application of this Regulation
• [Must] ADCO shall be composed of representatives of designated market surveillance authorities and, if appropriate, representatives of single liaison offices</t>
        </is>
      </c>
      <c r="N1498" s="11" t="inlineStr">
        <is>
          <t>• [Must] ADCO shall address specific matters related to market surveillance activities for open-source software stewards</t>
        </is>
      </c>
      <c r="O1498" s="11" t="inlineStr">
        <is>
          <t>ADCO shall be established for the uniform application of this Regulation, pursuant to Article 30(2) of Regulation (EU) 2019/1020.</t>
        </is>
      </c>
      <c r="P1498" s="12" t="n">
        <v>40</v>
      </c>
    </row>
    <row r="1499">
      <c r="A1499" t="inlineStr">
        <is>
          <t>GDPR</t>
        </is>
      </c>
      <c r="B1499" t="inlineStr">
        <is>
          <t>OJ_L_202402847_EN_TXT (GDPR - Row 10)</t>
        </is>
      </c>
      <c r="C1499" t="inlineStr">
        <is>
          <t>16</t>
        </is>
      </c>
      <c r="D1499" s="11" t="inlineStr">
        <is>
          <t>Market surveillance monitoring of AI product support periods</t>
        </is>
      </c>
      <c r="E1499" t="inlineStr">
        <is>
          <t>37</t>
        </is>
      </c>
      <c r="F1499" t="inlineStr">
        <is>
          <t>Medium</t>
        </is>
      </c>
      <c r="G1499" t="inlineStr">
        <is>
          <t>High (explicit)</t>
        </is>
      </c>
      <c r="H1499" s="11" t="inlineStr">
        <is>
          <t>Data Storage, Cross-border Transfer</t>
        </is>
      </c>
      <c r="I1499" s="11" t="inlineStr">
        <is>
          <t>Special Personal Information</t>
        </is>
      </c>
      <c r="J1499" t="inlineStr"/>
      <c r="K1499" s="11" t="inlineStr">
        <is>
          <t>Market surveillance authorities must monitor how manufacturers apply criteria for determining support periods of AI products with digital elements. ADCO must publish statistics on average support periods and provide guidance on indicative support periods. If data shows inadequate support periods, ADCO may recommend focusing market surveillance activities on affected product categories.</t>
        </is>
      </c>
      <c r="L1499" s="11" t="inlineStr">
        <is>
          <t>This section requires monitoring of AI product support periods across borders, which affects data retention and security for high-risk AI systems. It impacts cross-border data handling through standardized support period requirements.</t>
        </is>
      </c>
      <c r="M1499" s="11" t="inlineStr">
        <is>
          <t>• [Must] Market surveillance authorities shall monitor how manufacturers have applied criteria for determining support periods
• [Must] ADCO shall publish relevant statistics on categories of products with digital elements, including average support periods</t>
        </is>
      </c>
      <c r="N1499" s="11" t="inlineStr">
        <is>
          <t>• [Must] ADCO shall provide guidance with indicative support periods for categories of products with digital elements
• [May] ADCO may issue recommendations to focus market surveillance activities on categories with inadequate support periods</t>
        </is>
      </c>
      <c r="O1499" s="11" t="inlineStr">
        <is>
          <t>Market surveillance authorities shall monitor how manufacturers have applied the criteria referred to in Article 13(8) when determining the support period of their products with digital elements.</t>
        </is>
      </c>
      <c r="P1499" s="12" t="n">
        <v>40</v>
      </c>
    </row>
    <row r="1500">
      <c r="A1500" t="inlineStr">
        <is>
          <t>GDPR</t>
        </is>
      </c>
      <c r="B1500" t="inlineStr">
        <is>
          <t>OJ_L_202402847_EN_TXT (GDPR - Row 10)</t>
        </is>
      </c>
      <c r="C1500" t="inlineStr">
        <is>
          <t>17</t>
        </is>
      </c>
      <c r="D1500" s="11" t="inlineStr">
        <is>
          <t>Single point of contact for vulnerability reporting</t>
        </is>
      </c>
      <c r="E1500" t="inlineStr">
        <is>
          <t>37</t>
        </is>
      </c>
      <c r="F1500" t="inlineStr">
        <is>
          <t>Low</t>
        </is>
      </c>
      <c r="G1500" t="inlineStr">
        <is>
          <t>High (explicit)</t>
        </is>
      </c>
      <c r="H1500" s="11" t="inlineStr"/>
      <c r="I1500" s="11" t="inlineStr">
        <is>
          <t>Personal Information</t>
        </is>
      </c>
      <c r="J1500" t="inlineStr"/>
      <c r="K1500" s="11" t="inlineStr">
        <is>
          <t>Manufacturers must designate a single point of contact for users to report vulnerabilities, ensure it is easily identifiable, and allow users to choose communication methods without restricting them to automated tools.</t>
        </is>
      </c>
      <c r="L1500" s="11" t="inlineStr">
        <is>
          <t>This section establishes a single point of contact mechanism for vulnerability reporting that affects data sharing and incident response across borders.</t>
        </is>
      </c>
      <c r="M1500" s="11" t="inlineStr">
        <is>
          <t>• [Must] Manufacturers shall designate a single point of contact for users to communicate directly and rapidly
• [Must] Single point of contact must be easily identifiable by users</t>
        </is>
      </c>
      <c r="N1500" s="11" t="inlineStr">
        <is>
          <t>• [Must] Single point of contact must allow users to choose preferred communication means
• [Must] Single point of contact must not limit communication to automated tools</t>
        </is>
      </c>
      <c r="O1500" s="11" t="inlineStr">
        <is>
          <t>For the purposes of this Regulation, manufacturers shall designate a single point of contact to enable users to communicate directly and rapidly with them, including in order to facilitate reporting on vulnerabilities of the product with digital elements.</t>
        </is>
      </c>
      <c r="P1500" s="12" t="n">
        <v>40</v>
      </c>
    </row>
    <row r="1501">
      <c r="A1501" t="inlineStr">
        <is>
          <t>GDPR</t>
        </is>
      </c>
      <c r="B1501" t="inlineStr">
        <is>
          <t>OJ_L_202402847_EN_TXT (GDPR - Row 10)</t>
        </is>
      </c>
      <c r="C1501" t="inlineStr">
        <is>
          <t>18</t>
        </is>
      </c>
      <c r="D1501" s="11" t="inlineStr">
        <is>
          <t>Internet connected toys with social or location tracking features</t>
        </is>
      </c>
      <c r="E1501" t="inlineStr">
        <is>
          <t>37</t>
        </is>
      </c>
      <c r="F1501" t="inlineStr">
        <is>
          <t>None</t>
        </is>
      </c>
      <c r="G1501" t="inlineStr">
        <is>
          <t>High (explicit)</t>
        </is>
      </c>
      <c r="H1501" s="11" t="inlineStr">
        <is>
          <t>Cross-border Transfer, Data Storage, Security</t>
        </is>
      </c>
      <c r="I1501" s="11" t="inlineStr">
        <is>
          <t>Personal Information</t>
        </is>
      </c>
      <c r="J1501" t="inlineStr"/>
      <c r="K1501" s="11" t="inlineStr">
        <is>
          <t>This section identifies internet-connected toys that have social interactive features (e.g., speaking or filming) or location tracking capabilities as covered by Directive 2009/48/EC. These products fall under specific regulatory scrutiny for safety and data handling purposes. The directive applies to toys that meet these technical criteria.</t>
        </is>
      </c>
      <c r="L1501" s="11" t="inlineStr"/>
      <c r="M1501" s="11" t="inlineStr">
        <is>
          <t>• [Must] Internet connected toys covered by Directive 2009/48/EC that have social interactive features (e.g. speaking or filming)</t>
        </is>
      </c>
      <c r="N1501" s="11" t="inlineStr">
        <is>
          <t>• [Must] Internet connected toys covered by Directive 2009/48/EC that have location tracking features</t>
        </is>
      </c>
      <c r="O1501" s="11" t="inlineStr">
        <is>
          <t>18. Internet connected toys covered by Directive 2009/48/EC of the European Parliament and of the Council (1) that have social interactive features (e.g. speaking or filming) or that have location tracking features</t>
        </is>
      </c>
      <c r="P1501" s="12" t="n">
        <v>40</v>
      </c>
    </row>
    <row r="1502">
      <c r="A1502" t="inlineStr">
        <is>
          <t>GDPR</t>
        </is>
      </c>
      <c r="B1502" t="inlineStr">
        <is>
          <t>OJ_L_202402847_EN_TXT (GDPR - Row 10)</t>
        </is>
      </c>
      <c r="C1502" t="inlineStr">
        <is>
          <t>19</t>
        </is>
      </c>
      <c r="D1502" s="11" t="inlineStr">
        <is>
          <t>Wearable health monitoring products for children</t>
        </is>
      </c>
      <c r="E1502" t="inlineStr">
        <is>
          <t>37</t>
        </is>
      </c>
      <c r="F1502" t="inlineStr">
        <is>
          <t>None</t>
        </is>
      </c>
      <c r="G1502" t="inlineStr">
        <is>
          <t>High (explicit)</t>
        </is>
      </c>
      <c r="H1502" s="11" t="inlineStr">
        <is>
          <t>Children</t>
        </is>
      </c>
      <c r="I1502" s="11" t="inlineStr">
        <is>
          <t>Health Data, Children's Data</t>
        </is>
      </c>
      <c r="J1502" t="inlineStr"/>
      <c r="K1502" s="11" t="inlineStr">
        <is>
          <t>This section specifies personal wearable products that monitor health (e.g., tracking) and are not covered by Regulation (EU) 2017/745 or (EU) 2017/746, or products intended for children's use. These products require specific regulatory compliance under the EU's medical device framework.</t>
        </is>
      </c>
      <c r="L1502" s="11" t="inlineStr"/>
      <c r="M1502" s="11" t="inlineStr">
        <is>
          <t>• [Must] Personal wearable products to be worn or placed on a human body that have health monitoring purpose</t>
        </is>
      </c>
      <c r="N1502" s="11" t="inlineStr">
        <is>
          <t>• [Must] Personal wearable products that are intended for the use by and for children</t>
        </is>
      </c>
      <c r="O1502" s="11" t="inlineStr">
        <is>
          <t>19. Personal wearable products to be worn or placed on a human body that have a health monitoring (such as tracking) purpose and to which Regulation (EU) 2017/745 or (EU) No 2017/746 do not apply, or personal wearable products that are intended for the use by and for children</t>
        </is>
      </c>
      <c r="P1502" s="12" t="n">
        <v>40</v>
      </c>
    </row>
    <row r="1503">
      <c r="A1503" t="inlineStr">
        <is>
          <t>GDPR</t>
        </is>
      </c>
      <c r="B1503" t="inlineStr">
        <is>
          <t>OJ_L_202402847_EN_TXT (GDPR - Row 10)</t>
        </is>
      </c>
      <c r="C1503" t="inlineStr">
        <is>
          <t>20</t>
        </is>
      </c>
      <c r="D1503" s="11" t="inlineStr">
        <is>
          <t>EU declaration of conformity for digital products</t>
        </is>
      </c>
      <c r="E1503" t="inlineStr">
        <is>
          <t>37–38</t>
        </is>
      </c>
      <c r="F1503" t="inlineStr">
        <is>
          <t>Low</t>
        </is>
      </c>
      <c r="G1503" t="inlineStr">
        <is>
          <t>High (explicit)</t>
        </is>
      </c>
      <c r="H1503" s="11" t="inlineStr">
        <is>
          <t>Data Storage</t>
        </is>
      </c>
      <c r="I1503" s="11" t="inlineStr">
        <is>
          <t>Personal Information</t>
        </is>
      </c>
      <c r="J1503" t="inlineStr"/>
      <c r="K1503" s="11" t="inlineStr">
        <is>
          <t>Manufacturers must provide either a full EU declaration of conformity or a simplified version with the full declaration's internet address. Simplified declarations must include the exact URL for accessing the full declaration.</t>
        </is>
      </c>
      <c r="L1503" s="11" t="inlineStr">
        <is>
          <t>Requires documentation of product conformity, impacting data storage and compliance verification for digital products.</t>
        </is>
      </c>
      <c r="M1503" s="11" t="inlineStr">
        <is>
          <t>• [Must] Manufacturers must provide a copy of the EU declaration of conformity or a simplified EU declaration of conformity</t>
        </is>
      </c>
      <c r="N1503" s="11" t="inlineStr">
        <is>
          <t>• [Must] Simplified EU declaration must contain the exact internet address for accessing the full EU declaration</t>
        </is>
      </c>
      <c r="O1503" s="11" t="inlineStr">
        <is>
          <t>Manufacturers shall either provide a copy of the EU declaration of conformity or a simplified EU declaration of conformity with the product with digital elements. Where a simplified EU declaration of conformity is provided, it shall contain the exact internet address at which the full EU declaration of conformity can be accessed.</t>
        </is>
      </c>
      <c r="P1503" s="12" t="n">
        <v>40</v>
      </c>
    </row>
    <row r="1504">
      <c r="A1504" t="inlineStr">
        <is>
          <t>GDPR</t>
        </is>
      </c>
      <c r="B1504" t="inlineStr">
        <is>
          <t>OJ_L_202402847_EN_TXT (GDPR - Row 10)</t>
        </is>
      </c>
      <c r="C1504" t="inlineStr">
        <is>
          <t>21</t>
        </is>
      </c>
      <c r="D1504" s="11" t="inlineStr">
        <is>
          <t>Corrective actions for non-conforming digital products</t>
        </is>
      </c>
      <c r="E1504" t="inlineStr">
        <is>
          <t>38</t>
        </is>
      </c>
      <c r="F1504" t="inlineStr">
        <is>
          <t>Low</t>
        </is>
      </c>
      <c r="G1504" t="inlineStr">
        <is>
          <t>High (explicit)</t>
        </is>
      </c>
      <c r="H1504" s="11" t="inlineStr">
        <is>
          <t>Security</t>
        </is>
      </c>
      <c r="I1504" s="11" t="inlineStr">
        <is>
          <t>Personal Information</t>
        </is>
      </c>
      <c r="J1504" t="inlineStr"/>
      <c r="K1504" s="11" t="inlineStr">
        <is>
          <t>Manufacturers must immediately take corrective actions if they know or suspect their digital products or processes do not meet essential cybersecurity requirements. This includes bringing products into conformity or recalling them.</t>
        </is>
      </c>
      <c r="L1504" s="11" t="inlineStr">
        <is>
          <t>Requires immediate corrective actions for non-compliant digital products, impacting security and data handling across borders.</t>
        </is>
      </c>
      <c r="M1504" s="11" t="inlineStr">
        <is>
          <t>• [Must] Manufacturers must immediately take corrective measures if products or processes are not in conformity with essential cybersecurity requirements
• [Must] Corrective actions must bring products or processes into conformity with essential cybersecurity requirements</t>
        </is>
      </c>
      <c r="N1504" s="11" t="inlineStr">
        <is>
          <t>• [Must] Manufacturers must withdraw or recall products if necessary</t>
        </is>
      </c>
      <c r="O1504" s="11" t="inlineStr">
        <is>
          <t>From the placing on the market and for the support period, manufacturers who know or have reason to believe that the product with digital elements or the processes put in place by the manufacturer are not in conformity with the essential cybersecurity requirements set out in Annex I shall immediately take the corrective measures necessary to bring that product with digital elements or the manufacturer's processes into conformity, or to withdraw or recall the product, as appropriate.</t>
        </is>
      </c>
      <c r="P1504" s="12" t="n">
        <v>40</v>
      </c>
    </row>
    <row r="1505">
      <c r="A1505" t="inlineStr">
        <is>
          <t>GDPR</t>
        </is>
      </c>
      <c r="B1505" t="inlineStr">
        <is>
          <t>OJ_L_202402847_EN_TXT (GDPR - Row 10)</t>
        </is>
      </c>
      <c r="C1505" t="inlineStr">
        <is>
          <t>22</t>
        </is>
      </c>
      <c r="D1505" s="11" t="inlineStr">
        <is>
          <t>Market surveillance authority cooperation</t>
        </is>
      </c>
      <c r="E1505" t="inlineStr">
        <is>
          <t>38</t>
        </is>
      </c>
      <c r="F1505" t="inlineStr">
        <is>
          <t>Low</t>
        </is>
      </c>
      <c r="G1505" t="inlineStr">
        <is>
          <t>High (explicit)</t>
        </is>
      </c>
      <c r="H1505" s="11" t="inlineStr">
        <is>
          <t>Security, Incident Reporting</t>
        </is>
      </c>
      <c r="I1505" s="11" t="inlineStr">
        <is>
          <t>Personal Information</t>
        </is>
      </c>
      <c r="J1505" t="inlineStr"/>
      <c r="K1505" s="11" t="inlineStr">
        <is>
          <t>Manufacturers must provide market surveillance authorities with documentation demonstrating product conformity to cybersecurity requirements upon request. They must also cooperate on measures to eliminate cybersecurity risks.</t>
        </is>
      </c>
      <c r="L1505" s="11" t="inlineStr">
        <is>
          <t>Requires cooperation with authorities for cybersecurity compliance, impacting data security and cross-border product assessments.</t>
        </is>
      </c>
      <c r="M1505" s="11" t="inlineStr">
        <is>
          <t>• [Must] Manufacturers must provide market surveillance authorities with documentation demonstrating conformity to essential cybersecurity requirements
• [Must] Documentation must be in a language easily understood by market surveillance authorities</t>
        </is>
      </c>
      <c r="N1505" s="11" t="inlineStr">
        <is>
          <t>• [Must] Manufacturers must cooperate with authorities on measures to eliminate cybersecurity risks</t>
        </is>
      </c>
      <c r="O1505" s="11" t="inlineStr">
        <is>
          <t>Manufacturers shall, upon a reasoned request from a market surveillance authority, provide that authority, in a language which can be easily understood by that authority, with all the information and documentation, in paper or electronic form, necessary to demonstrate the conformity of the product with digital elements and of the processes put in place by the manufacturer with the essential cybersecurity requirements set out in Annex I. Manufacturers shall cooperate with that authority, at its request, on any measures taken to eliminate the cybersecurity risks posed by the product with digital elements which they have placed on the market.</t>
        </is>
      </c>
      <c r="P1505" s="12" t="n">
        <v>40</v>
      </c>
    </row>
    <row r="1506">
      <c r="A1506" t="inlineStr">
        <is>
          <t>GDPR</t>
        </is>
      </c>
      <c r="B1506" t="inlineStr">
        <is>
          <t>OJ_L_202402847_EN_TXT (GDPR - Row 10)</t>
        </is>
      </c>
      <c r="C1506" t="inlineStr">
        <is>
          <t>23</t>
        </is>
      </c>
      <c r="D1506" s="11" t="inlineStr">
        <is>
          <t>Notification of operational cessation for digital products</t>
        </is>
      </c>
      <c r="E1506" t="inlineStr">
        <is>
          <t>38</t>
        </is>
      </c>
      <c r="F1506" t="inlineStr">
        <is>
          <t>Low</t>
        </is>
      </c>
      <c r="G1506" t="inlineStr">
        <is>
          <t>High (explicit)</t>
        </is>
      </c>
      <c r="H1506" s="11" t="inlineStr">
        <is>
          <t>Data Storage, Retention</t>
        </is>
      </c>
      <c r="I1506" s="11" t="inlineStr">
        <is>
          <t>Personal Information</t>
        </is>
      </c>
      <c r="J1506" t="inlineStr"/>
      <c r="K1506" s="11" t="inlineStr">
        <is>
          <t>Manufacturers must inform relevant market surveillance authorities and users before ceasing operations if they cannot comply with the regulation. This includes notifying users of impending operational cessation.</t>
        </is>
      </c>
      <c r="L1506" s="11" t="inlineStr">
        <is>
          <t>Requires notification of operational cessation, impacting data storage and user communication for digital products.</t>
        </is>
      </c>
      <c r="M1506" s="11" t="inlineStr">
        <is>
          <t>• [Must] Manufacturers must inform market surveillance authorities before ceasing operations if unable to comply with the regulation</t>
        </is>
      </c>
      <c r="N1506" s="11" t="inlineStr">
        <is>
          <t>• [Must] Manufacturers must inform users of impending operational cessation through available means</t>
        </is>
      </c>
      <c r="O1506" s="11" t="inlineStr">
        <is>
          <t>A manufacturer that ceases its operations and, as a result, is not able to comply with this Regulation shall inform, before the cessation of operations takes effect, the relevant market surveillance authorities as well as, by any means available and to the extent possible, the users of the relevant products with digital elements placed on the market, of the impending cessation of operations.</t>
        </is>
      </c>
      <c r="P1506" s="12" t="n">
        <v>40</v>
      </c>
    </row>
    <row r="1507">
      <c r="A1507" t="inlineStr">
        <is>
          <t>GDPR</t>
        </is>
      </c>
      <c r="B1507" t="inlineStr">
        <is>
          <t>OJ_L_202402847_EN_TXT (GDPR - Row 10)</t>
        </is>
      </c>
      <c r="C1507" t="inlineStr">
        <is>
          <t>24</t>
        </is>
      </c>
      <c r="D1507" s="11" t="inlineStr">
        <is>
          <t>Commission specifies software bill of materials format using international standards</t>
        </is>
      </c>
      <c r="E1507" t="inlineStr">
        <is>
          <t>38</t>
        </is>
      </c>
      <c r="F1507" t="inlineStr">
        <is>
          <t>Low</t>
        </is>
      </c>
      <c r="G1507" t="inlineStr">
        <is>
          <t>High (explicit)</t>
        </is>
      </c>
      <c r="H1507" s="11" t="inlineStr"/>
      <c r="I1507" s="11" t="inlineStr"/>
      <c r="J1507" t="inlineStr">
        <is>
          <t>European Commission</t>
        </is>
      </c>
      <c r="K1507" s="11" t="inlineStr">
        <is>
          <t>The European Commission may issue implementing acts that define the format and elements of the software bill of materials required under Annex I, point (1), by referencing European or international standards and best practices. These acts must follow the examination procedure outlined in Article 62(2) of the GDPR. The provisions apply to the Commission and its implementing acts.</t>
        </is>
      </c>
      <c r="L1507" s="11" t="inlineStr">
        <is>
          <t>This section establishes how the Commission can standardize software bill of materials formats for cross-border data transfers involving digital products, impacting DTIA requirements for software component dependencies.</t>
        </is>
      </c>
      <c r="M1507" s="11" t="inlineStr">
        <is>
          <t>• [Must] The Commission may specify the format and elements of the software bill of materials
• [Must] The implementing acts must take into account European or international standards and best practices</t>
        </is>
      </c>
      <c r="N1507" s="11" t="inlineStr">
        <is>
          <t>• [Must] The implementing acts shall be adopted in accordance with the examination procedure in Article 62(2)</t>
        </is>
      </c>
      <c r="O1507" s="11" t="inlineStr">
        <is>
          <t>The Commission may, by means of implementing acts taking into account European or international standards and best practices, specify the format and elements of the software bill of materials referred to in Part II, point (1), of Annex I. Those implementing acts shall be adopted in accordance with the examination procedure referred to in Article 62(2).</t>
        </is>
      </c>
      <c r="P1507" s="12" t="n">
        <v>40</v>
      </c>
    </row>
    <row r="1508">
      <c r="A1508" t="inlineStr">
        <is>
          <t>GDPR</t>
        </is>
      </c>
      <c r="B1508" t="inlineStr">
        <is>
          <t>OJ_L_202402847_EN_TXT (GDPR - Row 10)</t>
        </is>
      </c>
      <c r="C1508" t="inlineStr">
        <is>
          <t>25</t>
        </is>
      </c>
      <c r="D1508" s="11" t="inlineStr">
        <is>
          <t>Union-wide dependency assessment for software components</t>
        </is>
      </c>
      <c r="E1508" t="inlineStr">
        <is>
          <t>38</t>
        </is>
      </c>
      <c r="F1508" t="inlineStr">
        <is>
          <t>Low</t>
        </is>
      </c>
      <c r="G1508" t="inlineStr">
        <is>
          <t>High (explicit)</t>
        </is>
      </c>
      <c r="H1508" s="11" t="inlineStr"/>
      <c r="I1508" s="11" t="inlineStr"/>
      <c r="J1508" t="inlineStr">
        <is>
          <t>ADCO</t>
        </is>
      </c>
      <c r="K1508" s="11" t="inlineStr">
        <is>
          <t>ADCO may conduct a Union-wide dependency assessment for specific digital products to evaluate Member States' and the Union's reliance on software components, particularly free and open-source software. Market surveillance authorities can request manufacturers to provide software bills of materials for these products. They may then share anonymized and aggregated dependency information with ADCO, which must submit a report to the Cooperation Group under Directive 2022/2555.</t>
        </is>
      </c>
      <c r="L1508" s="11" t="inlineStr">
        <is>
          <t>This section requires market surveillance authorities to collect and anonymize software dependency data for cross-border assessments, influencing DTIA requirements for software component transparency and risk management.</t>
        </is>
      </c>
      <c r="M1508" s="11" t="inlineStr">
        <is>
          <t>• [May] ADCO may decide to conduct a Union-wide dependency assessment for specific categories of products with digital elements
• [May] Market surveillance authorities may request manufacturers to provide software bills of materials</t>
        </is>
      </c>
      <c r="N1508" s="11" t="inlineStr">
        <is>
          <t>• [May] Market surveillance authorities may provide ADCO with anonymised and aggregated information about software dependencies
• [Must] ADCO shall submit a report on the results of the dependency assessment to the Cooperation Group established pursuant to Article 14 of Directive (EU) 2022/2555</t>
        </is>
      </c>
      <c r="O1508" s="11" t="inlineStr">
        <is>
          <t>ADCO may decide to conduct a Union wide dependency assessment for specific categories of products with digital elements. For that purpose, market surveillance authorities may request manufacturers of such categories of products with digital elements to provide the relevant software bills of materials as referred to in Part II, point (1), of Annex I.</t>
        </is>
      </c>
      <c r="P1508" s="12" t="n">
        <v>40</v>
      </c>
    </row>
    <row r="1509">
      <c r="A1509" t="inlineStr">
        <is>
          <t>GDPR</t>
        </is>
      </c>
      <c r="B1509" t="inlineStr">
        <is>
          <t>OJ_L_202402847_EN_TXT (GDPR - Row 10)</t>
        </is>
      </c>
      <c r="C1509" t="inlineStr">
        <is>
          <t>2024</t>
        </is>
      </c>
      <c r="D1509" s="11" t="inlineStr">
        <is>
          <t>Commission report on delegation of power extension</t>
        </is>
      </c>
      <c r="E1509" t="inlineStr">
        <is>
          <t>25–28</t>
        </is>
      </c>
      <c r="F1509" t="inlineStr">
        <is>
          <t>Medium</t>
        </is>
      </c>
      <c r="G1509" t="inlineStr">
        <is>
          <t>Medium (merged from chunks)</t>
        </is>
      </c>
      <c r="H1509"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509" s="11" t="inlineStr">
        <is>
          <t>Personal Information, Financial Data, Customer Data, Employee Data, Health Data, Children's Data, Biometric Data, Special Personal Information</t>
        </is>
      </c>
      <c r="J1509" t="inlineStr">
        <is>
          <t>European Commission</t>
        </is>
      </c>
      <c r="K1509" s="11" t="inlineStr">
        <is>
          <t>The Commission must prepare a report on the delegation of power within nine months before the end of a five-year period. The delegation can be extended for identical durations unless the European Parliament or Council opposes the extension at least three months before each extension deadline. This section establishes a timeline for reporting and conditions for extending delegated powers without opposition from key legislative bodies. The Commission must prepare a report on delegated powers within nine months. This obligation applies to the European Commission and is part of the regulatory framework for the GDPR. The report aims to ensure transparency and accountability in the delegation process for data protection measures.</t>
        </is>
      </c>
      <c r="L1509" s="11" t="inlineStr"/>
      <c r="M1509" s="11" t="inlineStr">
        <is>
          <t>• [Must] Commission must draw up a report on delegation of power not later than nine months before end of five-year period
• [Must Not] Delegation of power should be tacitly extended for identical durations unless European Parliament or Council opposes extension not later than three months before end of each period</t>
        </is>
      </c>
      <c r="N1509" s="11" t="inlineStr">
        <is>
          <t>• [Must] The Commission should draw up a report in respect of the delegation of power not later than nine months</t>
        </is>
      </c>
      <c r="O1509" s="11" t="inlineStr">
        <is>
          <t>2024. The Commission should draw up a report in respect of the delegation of power not later than nine months before the end of the five-year period. The delegation of power should be tacitly extended for periods of an identical duration, unless the European Parliament or the Council opposes such extension not later than three months before the end of each period.</t>
        </is>
      </c>
      <c r="P1509" s="12" t="n">
        <v>40</v>
      </c>
    </row>
    <row r="1510">
      <c r="A1510" t="inlineStr">
        <is>
          <t>GDPR</t>
        </is>
      </c>
      <c r="B1510" t="inlineStr">
        <is>
          <t>OJ_L_202402847_EN_TXT (GDPR - Row 10)</t>
        </is>
      </c>
      <c r="C1510" t="inlineStr">
        <is>
          <t>2024 (part 2)</t>
        </is>
      </c>
      <c r="D1510" s="11" t="inlineStr">
        <is>
          <t>Regulation adoption timeline for cybersecurity rules</t>
        </is>
      </c>
      <c r="E1510" t="inlineStr">
        <is>
          <t>28</t>
        </is>
      </c>
      <c r="F1510" t="inlineStr">
        <is>
          <t>None</t>
        </is>
      </c>
      <c r="G1510" t="inlineStr">
        <is>
          <t>High (explicit)</t>
        </is>
      </c>
      <c r="H1510" s="11" t="inlineStr">
        <is>
          <t>Security, Processing, Data Storage, Incident Reporting, Breach Notification</t>
        </is>
      </c>
      <c r="I1510" s="11" t="inlineStr">
        <is>
          <t>Personal Information, Financial Data</t>
        </is>
      </c>
      <c r="J1510" t="inlineStr"/>
      <c r="K1510" s="11" t="inlineStr">
        <is>
          <t>This Regulation establishes cybersecurity requirements for digital products and mandates market surveillance. It applies to products with digital elements that connect to devices or networks. Economic operators must comply with cybersecurity design, development, production, and vulnerability handling obligations. The Regulation also includes rules for market surveillance and enforcement.</t>
        </is>
      </c>
      <c r="L1510" s="11" t="inlineStr"/>
      <c r="M1510" s="11" t="inlineStr">
        <is>
          <t>• [Must] This Regulation establishes cybersecurity requirements for digital products
• [Must] Economic operators must comply with cybersecurity design, development, and production obligations</t>
        </is>
      </c>
      <c r="N1510" s="11" t="inlineStr">
        <is>
          <t>• [Must] Economic operators must comply with vulnerability handling process obligations
• [Must] Market surveillance rules must be enforced</t>
        </is>
      </c>
      <c r="O1510" s="11" t="inlineStr">
        <is>
          <t>HAVE ADOPTED THIS REGULATION: CHAPTER I GENERAL PROVISIONS Article 1 Subject matter This Regulation lays down: (a) rules for the making available on the market of products with digital elements to ensure the cybersecurity of such products; (b) essential cybersecurity requirements for the design, development and production of products with digital elements, and obligations for economic operators in relation to those products with respect to cybersecurity; (c) essential cybersecurity requirements for the vulnerability handling processes put in place by manufacturers to ensure the cybersecurity of products with digital elements during the time the products are expected to be in use, and obligations for economic operators in relation to those processes; (d) rules on market surveillance, including monitoring, and enforcement of the rules and requirements referred to in this Article.</t>
        </is>
      </c>
      <c r="P1510" s="12" t="n">
        <v>40</v>
      </c>
    </row>
    <row r="1511">
      <c r="A1511" t="inlineStr">
        <is>
          <t>GDPR</t>
        </is>
      </c>
      <c r="B1511" t="inlineStr">
        <is>
          <t>OJ_L_202402847_EN_TXT (GDPR - Row 10)</t>
        </is>
      </c>
      <c r="C1511" t="inlineStr">
        <is>
          <t>2026</t>
        </is>
      </c>
      <c r="D1511" s="11" t="inlineStr">
        <is>
          <t>Regulation binding and directly applicable in all Member States</t>
        </is>
      </c>
      <c r="E1511" t="inlineStr">
        <is>
          <t>67–70</t>
        </is>
      </c>
      <c r="F1511" t="inlineStr">
        <is>
          <t>None</t>
        </is>
      </c>
      <c r="G1511" t="inlineStr">
        <is>
          <t>High (explicit)</t>
        </is>
      </c>
      <c r="H1511" s="11" t="inlineStr"/>
      <c r="I1511" s="11" t="inlineStr"/>
      <c r="J1511" t="inlineStr"/>
      <c r="K1511" s="11" t="inlineStr">
        <is>
          <t>This regulation is binding in its entirety and directly applicable in all EU Member States without needing additional national legislation. The regulation takes effect immediately upon publication in the Official Journal.</t>
        </is>
      </c>
      <c r="L1511" s="11" t="inlineStr"/>
      <c r="M1511" s="11" t="inlineStr">
        <is>
          <t>• [Must] Regulation is binding in its entirety and directly applicable in all Member States</t>
        </is>
      </c>
      <c r="N1511" s="11" t="inlineStr"/>
      <c r="O1511" s="11" t="inlineStr">
        <is>
          <t>This Regulation shall be binding in its entirety and directly applicable in all Member States.</t>
        </is>
      </c>
      <c r="P1511" s="12" t="n">
        <v>40</v>
      </c>
    </row>
    <row r="1512">
      <c r="A1512" t="inlineStr">
        <is>
          <t>GDPR</t>
        </is>
      </c>
      <c r="B1512" t="inlineStr">
        <is>
          <t>cellar_04cc5bd5-196f-11ee-806b-01aa75ed71a1.0001.02_DOC_1 (GDPR - Row 15)</t>
        </is>
      </c>
      <c r="C1512" t="inlineStr">
        <is>
          <t>1</t>
        </is>
      </c>
      <c r="D1512" s="11" t="inlineStr">
        <is>
          <t>Article 1(2) amendment for authority powers</t>
        </is>
      </c>
      <c r="E1512" t="inlineStr">
        <is>
          <t>2–3</t>
        </is>
      </c>
      <c r="F1512" t="inlineStr">
        <is>
          <t>High</t>
        </is>
      </c>
      <c r="G1512" t="inlineStr">
        <is>
          <t>High (explicit)</t>
        </is>
      </c>
      <c r="H1512" s="11" t="inlineStr">
        <is>
          <t>Financial Data, Governance</t>
        </is>
      </c>
      <c r="I1512" s="11" t="inlineStr">
        <is>
          <t>Financial Data</t>
        </is>
      </c>
      <c r="J1512" t="inlineStr">
        <is>
          <t>European Financial Authority</t>
        </is>
      </c>
      <c r="K1512" s="11" t="inlineStr">
        <is>
          <t>Article 1(2) of the Regulation is amended to define the Authority's powers, including acting within the scope of multiple EU directives and regulations related to credit and financial institutions. This applies to the Authority and supervisory bodies.</t>
        </is>
      </c>
      <c r="L1512" s="11" t="inlineStr">
        <is>
          <t>This section defines the Authority's powers, which may impact data transfer assessments for financial institutions and cross-border data flows.</t>
        </is>
      </c>
      <c r="M1512" s="11" t="inlineStr">
        <is>
          <t>• [Must] The Authority shall act within the powers conferred by this Regulation and within the scope of Directive 2002/87/EC, Directive 2008/48/EC, Directive 2009/110/EC, Regulation (EU) No 575/2013, Directive 2013/36/EU, Directive 2014/49/EU, Directive 2014/92/EU, and any further legally binding Union acts</t>
        </is>
      </c>
      <c r="N1512" s="11" t="inlineStr"/>
      <c r="O1512" s="11" t="inlineStr">
        <is>
          <t>In Article 1(2), the first sentence is replaced by the following: "The Authority shall act within the powers conferred by this Regulation and within the scope of Directive 2002/87/EC, Directive 2008/48/EC (1), Directive 2009/110/EC, Regulation (EU) No 575/2013 (2), Directive 2013/36/EU (3), Directive 2014/49/EU (4), Directive 2014/92/EU (5), Directive (EU) [ … ] (PSD3), Regulation (EU) [ … ] (PSR) of the European Parliament and of the Council and, to the extent that those acts apply to credit and financial institutions and the competent authorities that supervise them, within the relevant parts of Directive 2002/65/EC, including all directives, regulations, and decisions based on those acts, and of any further legally binding Union act which confers tasks on the Authority."</t>
        </is>
      </c>
      <c r="P1512" s="12" t="n">
        <v>34</v>
      </c>
    </row>
    <row r="1513">
      <c r="A1513" t="inlineStr">
        <is>
          <t>GDPR</t>
        </is>
      </c>
      <c r="B1513" t="inlineStr">
        <is>
          <t>cellar_04cc5bd5-196f-11ee-806b-01aa75ed71a1.0001.02_DOC_1 (GDPR - Row 15)</t>
        </is>
      </c>
      <c r="C1513" t="inlineStr">
        <is>
          <t>2</t>
        </is>
      </c>
      <c r="D1513" s="11" t="inlineStr">
        <is>
          <t>Article 4(2) amendment for supervisory authorities</t>
        </is>
      </c>
      <c r="E1513" t="inlineStr">
        <is>
          <t>3</t>
        </is>
      </c>
      <c r="F1513" t="inlineStr">
        <is>
          <t>High</t>
        </is>
      </c>
      <c r="G1513" t="inlineStr">
        <is>
          <t>High (explicit)</t>
        </is>
      </c>
      <c r="H1513" s="11" t="inlineStr">
        <is>
          <t>Financial Data</t>
        </is>
      </c>
      <c r="I1513" s="11" t="inlineStr">
        <is>
          <t>Financial Data</t>
        </is>
      </c>
      <c r="J1513" t="inlineStr">
        <is>
          <t>European Financial Authority</t>
        </is>
      </c>
      <c r="K1513" s="11" t="inlineStr">
        <is>
          <t>Article 4(2) is amended to specify that supervisory authorities include competent authorities within the scope of sectoral acts, with the European Central Bank included for matters related to Regulation (EU) No 1024/2013. Points (iii), (vi), (vii), and (viii) are deleted from the list of authorities.</t>
        </is>
      </c>
      <c r="L1513" s="11" t="inlineStr">
        <is>
          <t>This section defines supervisory authorities for financial institutions, which may impact data transfer assessments for cross-border financial data flows.</t>
        </is>
      </c>
      <c r="M1513" s="11" t="inlineStr">
        <is>
          <t>• [Must] Point (i) of Article 4(2) is replaced to include competent authorities or supervisory authorities within the scope of sectoral acts, including the European Central Bank for matters related to Regulation (EU) No 1024/2013</t>
        </is>
      </c>
      <c r="N1513" s="11" t="inlineStr">
        <is>
          <t>• [Must Not] Points (iii), (vi), (vii), and (viii) are deleted from the list of authorities</t>
        </is>
      </c>
      <c r="O1513" s="11" t="inlineStr">
        <is>
          <t>Article 4(2) is amended as follows: (a) point (i) is replaced by the following: 'competent authorities or supervisory authorities within the scope of the sectoral acts referred to in Article 1(2), including the European Central Bank with regard to matters relating to the tasks conferred on it by Regulation (EU) No 1024/2013;' (b) points (iii), (vi), (vii) and (viii) are deleted.</t>
        </is>
      </c>
      <c r="P1513" s="12" t="n">
        <v>34</v>
      </c>
    </row>
    <row r="1514">
      <c r="A1514" t="inlineStr">
        <is>
          <t>GDPR</t>
        </is>
      </c>
      <c r="B1514" t="inlineStr">
        <is>
          <t>cellar_04cc5bd5-196f-11ee-806b-01aa75ed71a1.0001.02_DOC_1 (GDPR - Row 15)</t>
        </is>
      </c>
      <c r="C1514" t="inlineStr">
        <is>
          <t>3</t>
        </is>
      </c>
      <c r="D1514" s="11" t="inlineStr">
        <is>
          <t>EBA action safeguards for payment services</t>
        </is>
      </c>
      <c r="E1514" t="inlineStr">
        <is>
          <t>2</t>
        </is>
      </c>
      <c r="F1514" t="inlineStr">
        <is>
          <t>High</t>
        </is>
      </c>
      <c r="G1514" t="inlineStr">
        <is>
          <t>High (explicit)</t>
        </is>
      </c>
      <c r="H1514" s="11" t="inlineStr"/>
      <c r="I1514" s="11" t="inlineStr">
        <is>
          <t>Financial Data</t>
        </is>
      </c>
      <c r="J1514" t="inlineStr">
        <is>
          <t>EBA</t>
        </is>
      </c>
      <c r="K1514" s="11" t="inlineStr">
        <is>
          <t>When taking action under this article, the EBA must ensure the action does not have disproportionate effects on market efficiency, does not create regulatory arbitrage risks, and has been consulted with relevant national competent authorities. This applies to the EBA when implementing precautionary measures on payment services.</t>
        </is>
      </c>
      <c r="L1514" s="11" t="inlineStr">
        <is>
          <t>Safeguards for EBA actions ensure actions on payment services do not disrupt markets or create regulatory arbitrage risks.</t>
        </is>
      </c>
      <c r="M1514" s="11" t="inlineStr">
        <is>
          <t>• [Must] The action does not have a detrimental effect on the efficiency of the payments market or electronic money services market or on payment services or electronic money service providers that is disproportionate to the benefits of the action
• [Must] The action does not create a risk of regulatory arbitrage</t>
        </is>
      </c>
      <c r="N1514" s="11" t="inlineStr">
        <is>
          <t>• [Must] The action has been taken after consulting the relevant national competent authority</t>
        </is>
      </c>
      <c r="O1514" s="11" t="inlineStr">
        <is>
          <t>When taking action under this Article, the EBA shall ensure all of the following: (a) the action does not have a detrimental effect on the efficiency of the payments market or electronic money services market or on payment services or electronic money service providers that is disproportionate to the benefits of the action; (b) the action does not create a risk of regulatory arbitrage, and (c) the action has been taken after consulting the relevant national competent authority.</t>
        </is>
      </c>
      <c r="P1514" s="12" t="n">
        <v>34</v>
      </c>
    </row>
    <row r="1515">
      <c r="A1515" t="inlineStr">
        <is>
          <t>GDPR</t>
        </is>
      </c>
      <c r="B1515" t="inlineStr">
        <is>
          <t>cellar_04cc5bd5-196f-11ee-806b-01aa75ed71a1.0001.02_DOC_1 (GDPR - Row 15)</t>
        </is>
      </c>
      <c r="C1515" t="inlineStr">
        <is>
          <t>4</t>
        </is>
      </c>
      <c r="D1515" s="11" t="inlineStr">
        <is>
          <t>Retention of published data on official websites</t>
        </is>
      </c>
      <c r="E1515" t="inlineStr">
        <is>
          <t>2</t>
        </is>
      </c>
      <c r="F1515" t="inlineStr">
        <is>
          <t>High</t>
        </is>
      </c>
      <c r="G1515" t="inlineStr">
        <is>
          <t>High (explicit)</t>
        </is>
      </c>
      <c r="H1515" s="11" t="inlineStr">
        <is>
          <t>Data Storage</t>
        </is>
      </c>
      <c r="I1515" s="11" t="inlineStr">
        <is>
          <t>Personal Information</t>
        </is>
      </c>
      <c r="J1515" t="inlineStr">
        <is>
          <t>Competent authorities</t>
        </is>
      </c>
      <c r="K1515" s="11" t="inlineStr">
        <is>
          <t>Competent authorities must ensure that any publications made under GDPR enforcement procedures remain on their official website for up to 5 years. Personal data in these publications must be retained only if an annual review confirms continued necessity for financial market stability or regulatory enforcement, and for no longer than 5 years.</t>
        </is>
      </c>
      <c r="L1515" s="11" t="inlineStr">
        <is>
          <t>Published enforcement data must be retained for up to 5 years with annual reviews to ensure continued relevance, impacting data storage and retention periods for regulatory publications.</t>
        </is>
      </c>
      <c r="M1515" s="11" t="inlineStr">
        <is>
          <t>• [Must] Published data must remain on the official website for up to 5 years
• [Must] Personal data in publications must be retained only if annual review confirms continued need for financial market stability or regulatory enforcement</t>
        </is>
      </c>
      <c r="N1515" s="11" t="inlineStr">
        <is>
          <t>• [Must] Personal data in publications must not be retained for longer than 5 years</t>
        </is>
      </c>
      <c r="O1515" s="11" t="inlineStr">
        <is>
          <t>Competent authorities shall ensure that any publication made in accordance with this Article remains on their official website for a period of up to 5 years. Personal data contained in the publication shall be kept on the official website of the competent authority only if an annual review shows the continued need to publish that data to protect the stability of the financial markets or to ensure the effective enforcement of this Regulation, and in any event for no longer than 5 years.</t>
        </is>
      </c>
      <c r="P1515" s="12" t="n">
        <v>34</v>
      </c>
    </row>
    <row r="1516">
      <c r="A1516" t="inlineStr">
        <is>
          <t>GDPR</t>
        </is>
      </c>
      <c r="B1516" t="inlineStr">
        <is>
          <t>cellar_04cc5bd5-196f-11ee-806b-01aa75ed71a1.0001.02_DOC_1 (GDPR - Row 15)</t>
        </is>
      </c>
      <c r="C1516" t="inlineStr">
        <is>
          <t>5</t>
        </is>
      </c>
      <c r="D1516" s="11" t="inlineStr">
        <is>
          <t>Remote mandate setup: strong customer authentication requirement</t>
        </is>
      </c>
      <c r="E1516" t="inlineStr">
        <is>
          <t>4</t>
        </is>
      </c>
      <c r="F1516" t="inlineStr">
        <is>
          <t>High</t>
        </is>
      </c>
      <c r="G1516" t="inlineStr">
        <is>
          <t>High (explicit)</t>
        </is>
      </c>
      <c r="H1516" s="11" t="inlineStr">
        <is>
          <t>Cross-border Transfer</t>
        </is>
      </c>
      <c r="I1516" s="11" t="inlineStr">
        <is>
          <t>Financial Data</t>
        </is>
      </c>
      <c r="J1516" t="inlineStr"/>
      <c r="K1516" s="11" t="inlineStr">
        <is>
          <t>When a payer provides a mandate to a payee via a remote channel involving a payment service provider, strong customer authentication is required for setting up the mandate. This applies to payment orders for transactions specified in paragraph 3.</t>
        </is>
      </c>
      <c r="L1516" s="11" t="inlineStr">
        <is>
          <t>Requires SCA for remote mandate setup involving payment service providers, impacting cross-border payment processing security.</t>
        </is>
      </c>
      <c r="M1516" s="11" t="inlineStr">
        <is>
          <t>• [Must] Setting up of such a mandate shall be subject to strong customer authentication</t>
        </is>
      </c>
      <c r="N1516" s="11" t="inlineStr"/>
      <c r="O1516" s="11" t="inlineStr">
        <is>
          <t>Where the mandate of the payer to the payee to place payment orders for transactions referred to in paragraph 3 is provided through a remote channel with the involvement of the payment service provider, the setting up of such a mandate shall be subject to strong customer authentication.</t>
        </is>
      </c>
      <c r="P1516" s="12" t="n">
        <v>34</v>
      </c>
    </row>
    <row r="1517">
      <c r="A1517" t="inlineStr">
        <is>
          <t>GDPR</t>
        </is>
      </c>
      <c r="B1517" t="inlineStr">
        <is>
          <t>cellar_04cc5bd5-196f-11ee-806b-01aa75ed71a1.0001.02_DOC_1 (GDPR - Row 15)</t>
        </is>
      </c>
      <c r="C1517" t="inlineStr">
        <is>
          <t>6</t>
        </is>
      </c>
      <c r="D1517" s="11" t="inlineStr">
        <is>
          <t>Direct debits with remote setup: strong customer authentication requirement</t>
        </is>
      </c>
      <c r="E1517" t="inlineStr">
        <is>
          <t>2</t>
        </is>
      </c>
      <c r="F1517" t="inlineStr">
        <is>
          <t>High</t>
        </is>
      </c>
      <c r="G1517" t="inlineStr">
        <is>
          <t>High (explicit)</t>
        </is>
      </c>
      <c r="H1517" s="11" t="inlineStr">
        <is>
          <t>Cross-border Transfer</t>
        </is>
      </c>
      <c r="I1517" s="11" t="inlineStr">
        <is>
          <t>Financial Data</t>
        </is>
      </c>
      <c r="J1517" t="inlineStr"/>
      <c r="K1517" s="11" t="inlineStr">
        <is>
          <t>For direct debits where the payer's mandate is provided through a remote channel with payment service provider involvement, strong customer authentication must be applied. This applies to mandates for one or several direct debit transactions.</t>
        </is>
      </c>
      <c r="L1517" s="11" t="inlineStr">
        <is>
          <t>Mandates for direct debits require SCA when set up remotely with payment service provider involvement, affecting cross-border data transfer security.</t>
        </is>
      </c>
      <c r="M1517" s="11" t="inlineStr">
        <is>
          <t>• [Must] Strong customer authentication shall be applied</t>
        </is>
      </c>
      <c r="N1517" s="11" t="inlineStr"/>
      <c r="O1517" s="11" t="inlineStr">
        <is>
          <t>For direct debits, where the mandate given by the payer to the payee to initiate one or several direct debit transactions is provided through a remote channel with the direct involvement of a payment service provider in the setting up of such a mandate, strong customer authentication shall be applied.</t>
        </is>
      </c>
      <c r="P1517" s="12" t="n">
        <v>34</v>
      </c>
    </row>
    <row r="1518">
      <c r="A1518" t="inlineStr">
        <is>
          <t>GDPR</t>
        </is>
      </c>
      <c r="B1518" t="inlineStr">
        <is>
          <t>cellar_04cc5bd5-196f-11ee-806b-01aa75ed71a1.0001.02_DOC_1 (GDPR - Row 15)</t>
        </is>
      </c>
      <c r="C1518" t="inlineStr">
        <is>
          <t>7</t>
        </is>
      </c>
      <c r="D1518" s="11" t="inlineStr">
        <is>
          <t>Non-electronic payment orders: exemption from strong customer authentication</t>
        </is>
      </c>
      <c r="E1518" t="inlineStr">
        <is>
          <t>4</t>
        </is>
      </c>
      <c r="F1518" t="inlineStr">
        <is>
          <t>High</t>
        </is>
      </c>
      <c r="G1518" t="inlineStr">
        <is>
          <t>High (explicit)</t>
        </is>
      </c>
      <c r="H1518" s="11" t="inlineStr">
        <is>
          <t>Cross-border Transfer</t>
        </is>
      </c>
      <c r="I1518" s="11" t="inlineStr">
        <is>
          <t>Financial Data</t>
        </is>
      </c>
      <c r="J1518" t="inlineStr"/>
      <c r="K1518" s="11" t="inlineStr">
        <is>
          <t>Payment transactions using non-electronic modalities like paper-based orders or telephone orders are exempt from strong customer authentication. This exemption applies regardless of electronic execution, provided payment service providers conduct security checks and authentication.</t>
        </is>
      </c>
      <c r="L1518" s="11" t="inlineStr">
        <is>
          <t>Exempts non-electronic payment orders from SCA requirements, reducing compliance burden for traditional payment methods.</t>
        </is>
      </c>
      <c r="M1518" s="11" t="inlineStr">
        <is>
          <t>• [Must Not] Payment transactions placed by the payer with modalities other than electronic platforms shall not be subject to strong customer authentication</t>
        </is>
      </c>
      <c r="N1518" s="11" t="inlineStr"/>
      <c r="O1518" s="11" t="inlineStr">
        <is>
          <t>Payment transactions for which payment orders are placed by the payer with modalities other than the use of electronic platforms or devices, such as paper-based payment orders, mail orders or telephone orders, shall not be subject to strong customer authentication, irrespective of whether or not the execution of the transaction is performed electronically, provided that security requirements and checks are carried out by the payment service provider of the payer allowing a form of authentication of the payment transaction.</t>
        </is>
      </c>
      <c r="P1518" s="12" t="n">
        <v>34</v>
      </c>
    </row>
    <row r="1519">
      <c r="A1519" t="inlineStr">
        <is>
          <t>GDPR</t>
        </is>
      </c>
      <c r="B1519" t="inlineStr">
        <is>
          <t>cellar_04cc5bd5-196f-11ee-806b-01aa75ed71a1.0001.02_DOC_1 (GDPR - Row 15)</t>
        </is>
      </c>
      <c r="C1519" t="inlineStr">
        <is>
          <t>8</t>
        </is>
      </c>
      <c r="D1519" s="11" t="inlineStr">
        <is>
          <t>Criteria for determining significant user numbers or market threats</t>
        </is>
      </c>
      <c r="E1519" t="inlineStr">
        <is>
          <t>3–4</t>
        </is>
      </c>
      <c r="F1519" t="inlineStr">
        <is>
          <t>High</t>
        </is>
      </c>
      <c r="G1519" t="inlineStr">
        <is>
          <t>High (explicit)</t>
        </is>
      </c>
      <c r="H1519" s="11" t="inlineStr"/>
      <c r="I1519" s="11" t="inlineStr">
        <is>
          <t>Financial Data</t>
        </is>
      </c>
      <c r="J1519" t="inlineStr">
        <is>
          <t>Commission</t>
        </is>
      </c>
      <c r="K1519" s="11" t="inlineStr">
        <is>
          <t>The Commission must adopt delegated acts to specify criteria for determining significant numbers of payment service users or threats to market stability. These criteria include complexity, riskiness, fraud potential, uptake levels, and innovation levels of payment services. This applies to the Commission when creating delegated acts.</t>
        </is>
      </c>
      <c r="L1519" s="11" t="inlineStr">
        <is>
          <t>Defines criteria for assessing significant user numbers and market threats, critical for cross-border payment service risk assessments.</t>
        </is>
      </c>
      <c r="M1519" s="11" t="inlineStr">
        <is>
          <t>• [Must] The Commission shall adopt delegated acts in accordance with Article 106 to specify criteria and factors to be taken into account by the EBA in determining when there is a significant number of payment services users or electronic money services users or a threat to the orderly functioning of the payment or electronic money services markets, and t…
• [Must] The criteria and factors shall include: the degree of complexity of a payment service or instrument or electronic money service or instrument and the relation to the type of users, including consumers, to whom they are offered
• [Must] The criteria and factors shall include: the degree of riskiness, for consumers, of a payment service or instrument or electronic money service or instrument</t>
        </is>
      </c>
      <c r="N1519" s="11" t="inlineStr">
        <is>
          <t>• [Must] The criteria and factors shall include: the possible use by fraudsters of the payment service or instrument or electronic money service or instrument
• [Must] The criteria and factors shall include: the size or the level of uptake of the payment service or instrument or electronic money service or instrument
• [Must] The criteria and factors shall include: the degree of innovation of a payment service or instrument or electronic money service or instrument</t>
        </is>
      </c>
      <c r="O1519" s="11" t="inlineStr">
        <is>
          <t>The Commission shall adopt delegated acts in accordance with Article 106 to specify criteria and factors to be taken into account by the EBA in determining when there is a significant number of payment services users or electronic money services users or a threat to the orderly functioning of the payment or electronic money services markets, and the integrity of these markets or to the stability of the whole or part of these markets in the Union referred to in paragraph 2, point (a). Those criteria and factors shall include: (a) the degree of complexity of a payment service or instrument or electronic money service or instrument and the relation to the type of users, including consumers, to whom they are offered; (b) the degree of riskiness, for consumers, of a payment service or instrument or electronic money service or instrument; (c) the possible use by fraudsters of the payment service or instrument or electronic money service or instrument; (d) the size or the level of uptake of the payment service or instrument or electronic money service or instrument; (e) the degree of innovation of a payment service or instrument or electronic money service or instrument.</t>
        </is>
      </c>
      <c r="P1519" s="12" t="n">
        <v>34</v>
      </c>
    </row>
    <row r="1520">
      <c r="A1520" t="inlineStr">
        <is>
          <t>GDPR</t>
        </is>
      </c>
      <c r="B1520" t="inlineStr">
        <is>
          <t>cellar_04cc5bd5-196f-11ee-806b-01aa75ed71a1.0001.02_DOC_1 (GDPR - Row 15)</t>
        </is>
      </c>
      <c r="C1520" t="inlineStr">
        <is>
          <t>9</t>
        </is>
      </c>
      <c r="D1520" s="11" t="inlineStr">
        <is>
          <t>Proximity technology payment orders: strong customer authentication requirements</t>
        </is>
      </c>
      <c r="E1520" t="inlineStr">
        <is>
          <t>32</t>
        </is>
      </c>
      <c r="F1520" t="inlineStr">
        <is>
          <t>High</t>
        </is>
      </c>
      <c r="G1520" t="inlineStr">
        <is>
          <t>High (explicit)</t>
        </is>
      </c>
      <c r="H1520" s="11" t="inlineStr">
        <is>
          <t>Cross-border Transfer</t>
        </is>
      </c>
      <c r="I1520" s="11" t="inlineStr">
        <is>
          <t>Financial Data</t>
        </is>
      </c>
      <c r="J1520" t="inlineStr"/>
      <c r="K1520" s="11" t="inlineStr">
        <is>
          <t>Payment service providers must apply strong customer authentication for payment orders placed via proximity technology with internet use on the payer's device. This authentication must dynamically link the transaction to a specific amount and payee or ensure equivalent security measures.</t>
        </is>
      </c>
      <c r="L1520" s="11" t="inlineStr">
        <is>
          <t>Requires SCA for proximity-based payment orders with internet use, ensuring transaction security across cross-border transfers.</t>
        </is>
      </c>
      <c r="M1520" s="11" t="inlineStr">
        <is>
          <t>• [Must] Payment service providers shall apply strong customer authentication that includes elements which dynamically link the transaction to a specific amount and a specific payee or harmonised security measures of identical effect</t>
        </is>
      </c>
      <c r="N1520" s="11" t="inlineStr"/>
      <c r="O1520" s="11" t="inlineStr">
        <is>
          <t>For the placement of a payment order as referred to in paragraph 1, point (c), through a payer's device using proximity technology for the exchange of information with the payee's infrastructure, the authentication of which requires the use of internet on the payer's device, payment service providers shall apply strong customer authentication that includes elements which dynamically link the transaction to a specific amount and a specific payee or harmonised security measures of identical effect, which ensure the confidentiality, authenticity and integrity of the amount of the transaction and the payee throughout all of the phases of initiation.</t>
        </is>
      </c>
      <c r="P1520" s="12" t="n">
        <v>34</v>
      </c>
    </row>
    <row r="1521">
      <c r="A1521" t="inlineStr">
        <is>
          <t>GDPR</t>
        </is>
      </c>
      <c r="B1521" t="inlineStr">
        <is>
          <t>cellar_04cc5bd5-196f-11ee-806b-01aa75ed71a1.0001.02_DOC_1 (GDPR - Row 15)</t>
        </is>
      </c>
      <c r="C1521" t="inlineStr">
        <is>
          <t>10</t>
        </is>
      </c>
      <c r="D1521" s="11" t="inlineStr">
        <is>
          <t>Payment service providers must implement security for user credentials</t>
        </is>
      </c>
      <c r="E1521" t="inlineStr">
        <is>
          <t>32–33</t>
        </is>
      </c>
      <c r="F1521" t="inlineStr">
        <is>
          <t>High</t>
        </is>
      </c>
      <c r="G1521" t="inlineStr">
        <is>
          <t>High (explicit)</t>
        </is>
      </c>
      <c r="H1521" s="11" t="inlineStr">
        <is>
          <t>Security</t>
        </is>
      </c>
      <c r="I1521" s="11" t="inlineStr">
        <is>
          <t>Personal Information</t>
        </is>
      </c>
      <c r="J1521" t="inlineStr"/>
      <c r="K1521" s="11" t="inlineStr">
        <is>
          <t>Payment service providers must establish adequate security measures to protect the confidentiality and integrity of users' personalised security credentials. These measures are required to safeguard payment service users' sensitive information. The obligation applies specifically to payment service providers handling user credentials.</t>
        </is>
      </c>
      <c r="L1521" s="11" t="inlineStr">
        <is>
          <t>Payment service providers must implement security measures for user credentials during cross-border data transfers involving payment services.</t>
        </is>
      </c>
      <c r="M1521" s="11" t="inlineStr">
        <is>
          <t>• [Must] Payment service providers shall have in place adequate security measures to protect the confidentiality and integrity of payment service users' personalised security credentials</t>
        </is>
      </c>
      <c r="N1521" s="11" t="inlineStr"/>
      <c r="O1521" s="11" t="inlineStr">
        <is>
          <t>For the purposes of paragraph 1, payment service providers shall have in place adequate security measures to protect the confidentiality and integrity of payment service users' personalised security credentials.</t>
        </is>
      </c>
      <c r="P1521" s="12" t="n">
        <v>34</v>
      </c>
    </row>
    <row r="1522">
      <c r="A1522" t="inlineStr">
        <is>
          <t>GDPR</t>
        </is>
      </c>
      <c r="B1522" t="inlineStr">
        <is>
          <t>cellar_04cc5bd5-196f-11ee-806b-01aa75ed71a1.0001.02_DOC_1 (GDPR - Row 15)</t>
        </is>
      </c>
      <c r="C1522" t="inlineStr">
        <is>
          <t>11</t>
        </is>
      </c>
      <c r="D1522" s="11" t="inlineStr">
        <is>
          <t>Exemptions for strong customer authentication criteria</t>
        </is>
      </c>
      <c r="E1522" t="inlineStr">
        <is>
          <t>33</t>
        </is>
      </c>
      <c r="F1522" t="inlineStr">
        <is>
          <t>High</t>
        </is>
      </c>
      <c r="G1522" t="inlineStr">
        <is>
          <t>High (explicit)</t>
        </is>
      </c>
      <c r="H1522" s="11" t="inlineStr">
        <is>
          <t>Security</t>
        </is>
      </c>
      <c r="I1522" s="11" t="inlineStr">
        <is>
          <t>Personal Information</t>
        </is>
      </c>
      <c r="J1522" t="inlineStr">
        <is>
          <t>EBA</t>
        </is>
      </c>
      <c r="K1522" s="11" t="inlineStr">
        <is>
          <t>Exemptions from strong customer authentication requirements must be designed by the EBA under Article 89. These exemptions are based on risk level, transaction amount or recurrence, or payment channel used. The criteria must be explicitly defined by the EBA to determine applicable exemptions.</t>
        </is>
      </c>
      <c r="L1522" s="11" t="inlineStr">
        <is>
          <t>Exemptions from strong customer authentication require EBA-defined criteria for cross-border payment services, impacting data transfer security assessments.</t>
        </is>
      </c>
      <c r="M1522" s="11" t="inlineStr">
        <is>
          <t>• [Must] Exemptions from the application of strong customer authentication to be designed by the EBA under Article 89 shall be based on one or more of the following criteria: the level of risk involved in the service provided
• [Must] Exemptions from the application of strong customer authentication to be designed by the EBA under Article 89 shall be based on one or more of the following criteria: the amount, the recurrence of the transaction, or both</t>
        </is>
      </c>
      <c r="N1522" s="11" t="inlineStr">
        <is>
          <t>• [Must] Exemptions from the application of strong customer authentication to be designed by the EBA under Article 89 shall be based on one or more of the following criteria: the payment channel used for the execution of the transaction</t>
        </is>
      </c>
      <c r="O1522" s="11" t="inlineStr">
        <is>
          <t>Any exemptions from the application of strong customer authentication to be designed by the EBA under Article 89 shall be based on one or more of the following criteria: (a) the level of risk involved in the service provided; (b) the amount, the recurrence of the transaction, or both; (c) the payment channel used for the execution of the transaction.</t>
        </is>
      </c>
      <c r="P1522" s="12" t="n">
        <v>34</v>
      </c>
    </row>
    <row r="1523">
      <c r="A1523" t="inlineStr">
        <is>
          <t>GDPR</t>
        </is>
      </c>
      <c r="B1523" t="inlineStr">
        <is>
          <t>cellar_04cc5bd5-196f-11ee-806b-01aa75ed71a1.0001.02_DOC_1 (GDPR - Row 15)</t>
        </is>
      </c>
      <c r="C1523" t="inlineStr">
        <is>
          <t>12</t>
        </is>
      </c>
      <c r="D1523" s="11" t="inlineStr">
        <is>
          <t>Strong customer authentication elements independence</t>
        </is>
      </c>
      <c r="E1523" t="inlineStr">
        <is>
          <t>33</t>
        </is>
      </c>
      <c r="F1523" t="inlineStr">
        <is>
          <t>High</t>
        </is>
      </c>
      <c r="G1523" t="inlineStr">
        <is>
          <t>High (explicit)</t>
        </is>
      </c>
      <c r="H1523" s="11" t="inlineStr">
        <is>
          <t>Security</t>
        </is>
      </c>
      <c r="I1523" s="11" t="inlineStr">
        <is>
          <t>Personal Information</t>
        </is>
      </c>
      <c r="J1523" t="inlineStr"/>
      <c r="K1523" s="11" t="inlineStr">
        <is>
          <t>The elements used for strong customer authentication do not need to belong to different categories, but their independence must be fully preserved. This ensures that authentication mechanisms remain robust and effective without requiring diverse data types.</t>
        </is>
      </c>
      <c r="L1523" s="11" t="inlineStr">
        <is>
          <t>Strong customer authentication elements must maintain independence, which affects how data is securely transferred across borders in payment services.</t>
        </is>
      </c>
      <c r="M1523" s="11" t="inlineStr">
        <is>
          <t>• [Must] The two or more elements referred to in Article 3, point (35), on which strong customer authentication shall be based do not necessarily need to belong to different categories</t>
        </is>
      </c>
      <c r="N1523" s="11" t="inlineStr">
        <is>
          <t>• [Must] The two or more elements referred to in Article 3, point (35), on which strong customer authentication shall be based do not necessarily need to belong to different categories, as long as their independence is fully preserved</t>
        </is>
      </c>
      <c r="O1523" s="11" t="inlineStr">
        <is>
          <t>The two or more elements referred to in Article 3, point (35), on which strong customer authentication shall be based do not necessarily need to belong to different categories, as long as their independence is fully preserved.</t>
        </is>
      </c>
      <c r="P1523" s="12" t="n">
        <v>34</v>
      </c>
    </row>
    <row r="1524">
      <c r="A1524" t="inlineStr">
        <is>
          <t>GDPR</t>
        </is>
      </c>
      <c r="B1524" t="inlineStr">
        <is>
          <t>cellar_04cc5bd5-196f-11ee-806b-01aa75ed71a1.0001.02_DOC_1 (GDPR - Row 15)</t>
        </is>
      </c>
      <c r="C1524" t="inlineStr">
        <is>
          <t>39</t>
        </is>
      </c>
      <c r="D1524" s="11" t="inlineStr">
        <is>
          <t>Payment initiation service provider interface requirements</t>
        </is>
      </c>
      <c r="E1524" t="inlineStr">
        <is>
          <t>15</t>
        </is>
      </c>
      <c r="F1524" t="inlineStr">
        <is>
          <t>High</t>
        </is>
      </c>
      <c r="G1524" t="inlineStr">
        <is>
          <t>High (explicit)</t>
        </is>
      </c>
      <c r="H1524" s="11" t="inlineStr">
        <is>
          <t>Cross-border Transfer, Data Storage, Security</t>
        </is>
      </c>
      <c r="I1524" s="11" t="inlineStr">
        <is>
          <t>Financial Data</t>
        </is>
      </c>
      <c r="J1524" t="inlineStr"/>
      <c r="K1524" s="11" t="inlineStr">
        <is>
          <t>Payment initiation service providers must identify themselves, use the account servicing provider's authentication, restrict data processing to the requested service, and log accessed data for 3 years with deletion after 3 years unless needed for ongoing monitoring. These obligations apply to payment initiation service providers interacting with account servicing payment service providers via interfaces.</t>
        </is>
      </c>
      <c r="L1524" s="11" t="inlineStr">
        <is>
          <t>Requires payment initiation service providers to maintain strict data handling protocols when accessing payment account data through interfaces, including logging and timely deletion of access logs to ensure data minimization and accountability in cross-border payment processing.</t>
        </is>
      </c>
      <c r="M1524" s="11" t="inlineStr">
        <is>
          <t>• [Must] Identify itself towards the account servicing payment service provider
• [Must] Rely on the authentication procedures provided by the account servicing payment service provider to the payment service user
• [Must] Take necessary measures to ensure data processing is only for the service requested by the payment service user
• [Must] Log data accessed through the interface for payment service users</t>
        </is>
      </c>
      <c r="N1524" s="11" t="inlineStr">
        <is>
          <t>• [Must] Provide log files to the competent authority upon request without undue delay
• [Must] Delete logs 3 years after creation
• [Condition] Keep logs longer than 3 years if required for ongoing monitoring procedures</t>
        </is>
      </c>
      <c r="O1524" s="11" t="inlineStr">
        <is>
          <t>Where an account information service provider or a payment initiation service provider accesses payment account data via an interface that the account servicing payment service provider makes available to its payment service users for directly accessing their payment account, in accordance with Article 38(4) and (5), or where that is the only interface accessible in accordance with Article 39, the account information service provider or the payment initiation service provider shall at all times: (a) identify itself towards the account servicing payment service provider; (b) rely on the authentication procedures provided by the account servicing payment service provider to the payment service user; (c) take the necessary measures to ensure that they do not process data (including access and storage of data) for purposes other than for the provision of the service as requested by the payment service user; (d) log the data that are accessed through the interface operated by the account servicing payment service provider for its payment service users, and provide, upon request and without undue delay, the log files to the competent authority. Logs shall be deleted 3 years after their creation. Logs may be kept for longer than this retention period if they are required for monitoring procedures that are already underway.</t>
        </is>
      </c>
      <c r="P1524" s="12" t="n">
        <v>34</v>
      </c>
    </row>
    <row r="1525">
      <c r="A1525" t="inlineStr">
        <is>
          <t>GDPR</t>
        </is>
      </c>
      <c r="B1525" t="inlineStr">
        <is>
          <t>esma_cloud_guidelines (GDPR - Row 8)</t>
        </is>
      </c>
      <c r="C1525" t="inlineStr">
        <is>
          <t>1</t>
        </is>
      </c>
      <c r="D1525" s="11" t="inlineStr">
        <is>
          <t>Applicable entities for cloud outsourcing guidelines</t>
        </is>
      </c>
      <c r="E1525" t="inlineStr">
        <is>
          <t>3</t>
        </is>
      </c>
      <c r="F1525" t="inlineStr">
        <is>
          <t>High</t>
        </is>
      </c>
      <c r="G1525" t="inlineStr">
        <is>
          <t>High (explicit)</t>
        </is>
      </c>
      <c r="H1525" s="11" t="inlineStr">
        <is>
          <t>Cloud Services</t>
        </is>
      </c>
      <c r="I1525" s="11" t="inlineStr">
        <is>
          <t>Financial Data</t>
        </is>
      </c>
      <c r="J1525" t="inlineStr">
        <is>
          <t>ESMA</t>
        </is>
      </c>
      <c r="K1525" s="11" t="inlineStr">
        <is>
          <t>These guidelines apply to competent authorities and specific financial entities including alternative investment fund managers, depositaries, UCITS management companies, central counterparties, trade repositories, investment firms, credit institutions, central securities depositories, credit rating agencies, and securitisation repositories. The scope explicitly lists entities that must comply with cloud outsourcing arrangements under these guidelines.</t>
        </is>
      </c>
      <c r="L1525" s="11" t="inlineStr">
        <is>
          <t>Defines which financial institutions must adhere to cloud outsourcing requirements for data transfers, impacting cross-border data processing when entities operate internationally.</t>
        </is>
      </c>
      <c r="M1525" s="11" t="inlineStr">
        <is>
          <t>• [Must] These guidelines apply to competent authorities and alternative investment fund managers
• [Must] These guidelines apply to depositaries of alternative investment funds
• [Must] These guidelines apply to UCITS management companies
• [Must] These guidelines apply to depositaries of UCITS
• [Must] These guidelines apply to investment companies without designated management companies
• [Must] These guidelines apply to central counterparties including Tier 2 third-country CCPs
• [Must] These guidelines apply to trade repositories</t>
        </is>
      </c>
      <c r="N1525" s="11" t="inlineStr">
        <is>
          <t>• [Must] These guidelines apply to investment firms and credit institutions for investment services
• [Must] These guidelines apply to data reporting services providers
• [Must] These guidelines apply to market operators of trading venues
• [Must] These guidelines apply to central securities depositories
• [Must] These guidelines apply to credit rating agencies
• [Must] These guidelines apply to securitisation repositories
• [Must] These guidelines apply to administrators of critical benchmarks</t>
        </is>
      </c>
      <c r="O1525" s="11" t="inlineStr">
        <is>
          <t>These guidelines apply to competent authorities and to (i) alternative investment fund managers (AIFMs) and depositaries of alternative investment funds (AIFs), (ii) undertakings for collective investment in transferable securities (UCITS), management companies and depositaries of UCITS, and investment companies that have not designated a management company authorised pursuant to UCITS Directive (iii) central counterparties (CCPs), including Tier 2 third-country CCPs which comply with the relevant EMIR requirements, (iv) trade repositories (TRs), (v) investment firms and credit institutions when carrying out investment services and activities, data reporting services providers and market operators of trading venues, (vi) central securities depositories (CSDs), (vii) credit rating agencies (CRAs), (viii) securitisation repositories (SRs), and (ix) administrators of critical benchmarks.</t>
        </is>
      </c>
      <c r="P1525" s="12" t="n">
        <v>36</v>
      </c>
    </row>
    <row r="1526">
      <c r="A1526" t="inlineStr">
        <is>
          <t>GDPR</t>
        </is>
      </c>
      <c r="B1526" t="inlineStr">
        <is>
          <t>esma_cloud_guidelines (GDPR - Row 8)</t>
        </is>
      </c>
      <c r="C1526" t="inlineStr">
        <is>
          <t>2</t>
        </is>
      </c>
      <c r="D1526" s="11" t="inlineStr">
        <is>
          <t>Tier 2 CCP compliance with EMIR requirements</t>
        </is>
      </c>
      <c r="E1526" t="inlineStr">
        <is>
          <t>3</t>
        </is>
      </c>
      <c r="F1526" t="inlineStr">
        <is>
          <t>High</t>
        </is>
      </c>
      <c r="G1526" t="inlineStr">
        <is>
          <t>High (explicit)</t>
        </is>
      </c>
      <c r="H1526" s="11" t="inlineStr">
        <is>
          <t>Cloud Services</t>
        </is>
      </c>
      <c r="I1526" s="11" t="inlineStr">
        <is>
          <t>Financial Data</t>
        </is>
      </c>
      <c r="J1526" t="inlineStr">
        <is>
          <t>ESMA</t>
        </is>
      </c>
      <c r="K1526" s="11" t="inlineStr">
        <is>
          <t>ESMA will consider compliance with comparable third-country requirements when assessing whether Tier 2 third-country central counterparties satisfy EMIR requirements. This section addresses the applicability of EMIR compliance for cross-border CCPs.</t>
        </is>
      </c>
      <c r="L1526" s="11" t="inlineStr">
        <is>
          <t>Relevant for cross-border data transfers involving central counterparties, as it specifies how third-country CCPs can meet EMIR obligations through local compliance.</t>
        </is>
      </c>
      <c r="M1526" s="11" t="inlineStr">
        <is>
          <t>• [Must] ESMA will take into account compliance with comparable requirements in third countries for Tier 2 third-country CCPs</t>
        </is>
      </c>
      <c r="N1526" s="11" t="inlineStr"/>
      <c r="O1526" s="11" t="inlineStr">
        <is>
          <t>ESMA will also take these guidelines into account when assessing the extent to which compliance with the relevant EMIR requirements by a Tier 2 third-country CCP is satisfied by its compliance with comparable requirements in the third country pursuant to Article 25(2b)(a) of EMIR.</t>
        </is>
      </c>
      <c r="P1526" s="12" t="n">
        <v>36</v>
      </c>
    </row>
    <row r="1527">
      <c r="A1527" t="inlineStr">
        <is>
          <t>GDPR</t>
        </is>
      </c>
      <c r="B1527" t="inlineStr">
        <is>
          <t>esma_cloud_guidelines (GDPR - Row 8)</t>
        </is>
      </c>
      <c r="C1527" t="inlineStr">
        <is>
          <t>3</t>
        </is>
      </c>
      <c r="D1527" s="11" t="inlineStr">
        <is>
          <t>Applicable regulatory provisions for cloud outsourcing</t>
        </is>
      </c>
      <c r="E1527" t="inlineStr">
        <is>
          <t>3–4</t>
        </is>
      </c>
      <c r="F1527" t="inlineStr">
        <is>
          <t>High</t>
        </is>
      </c>
      <c r="G1527" t="inlineStr">
        <is>
          <t>High (explicit)</t>
        </is>
      </c>
      <c r="H1527" s="11" t="inlineStr">
        <is>
          <t>Cloud Services</t>
        </is>
      </c>
      <c r="I1527" s="11" t="inlineStr">
        <is>
          <t>Financial Data</t>
        </is>
      </c>
      <c r="J1527" t="inlineStr">
        <is>
          <t>ESMA</t>
        </is>
      </c>
      <c r="K1527" s="11" t="inlineStr">
        <is>
          <t>These guidelines apply to specific provisions from AIFMD, UCITS Directive, EMIR, SFTR, MiFID II, and other regulations. The section lists the regulatory frameworks that must be considered when implementing cloud outsourcing arrangements.</t>
        </is>
      </c>
      <c r="L1527" s="11" t="inlineStr">
        <is>
          <t>Defines which regulatory provisions govern cloud outsourcing, impacting data transfers and processing across different financial jurisdictions.</t>
        </is>
      </c>
      <c r="M1527" s="11" t="inlineStr">
        <is>
          <t>• [Must] These guidelines apply to Articles 15, 18, 20 and 21(8) of AIFMD
• [Must] These guidelines apply to Articles 13, 22, 38, 39, 40, 44, 45, 57(1)(d), 57(2), 57(3), 58, 75, 76, 77, 79, 81, 82 and 98 of Commission Delegated Regulation (EU) 2013/231
• [Must] These guidelines apply to Articles 12(1)(a), 13, 14(1)(c), 22, 22a, 23(2), 30 and 31 of UCITS Directive
• [Must] These guidelines apply to Articles 4(1) to 4(3), 4(5), 5(2), 7, 9, 23(4), 32, 38, 39 and 40 of Commission Directive 2010/43/EU
• [Must] These guidelines apply to Articles 2(2)(j), 3(1), 13(2), 15, 16 and 22 of Commission Delegated Regulation (EU) No 2016/449
• [Must] These guidelines apply to Articles 25(2a) and 25(2b)(a) of EMIR
• [Must] These guidelines apply to Articles 2(2) of EMIR and Article 3(1) of SFTR</t>
        </is>
      </c>
      <c r="N1527" s="11" t="inlineStr">
        <is>
          <t>• [Must] These guidelines apply to Articles 4(1)(1) of MiFID II and Article 4(1)(27) of MiFID II
• [Must] These guidelines apply to Articles 4(1)(63) of MiFID II
• [Must] These guidelines apply to Articles 4(1)(24) of MiFID II
• [Must] These guidelines apply to Articles 2(1)(1) of CSDR
• [Must] These guidelines apply to Articles 3(1)(b) of CRA Regulation
• [Must] These guidelines apply to Articles 2(23) of SECR
• [Must] These guidelines apply to Article 3(1)(25) of Benchmarks Regulation</t>
        </is>
      </c>
      <c r="O1527" s="11" t="inlineStr">
        <is>
          <t>These guidelines apply to the following regulatory provisions: Articles 15, 18, 20 and 21(8) of AIFMD; Articles 13, 22, 38, 39, 40, 44, 45, 57(1)(d), 57(2), 57(3), 58, 75, 76, 77, 79, 81, 82 and 98 of Commission Delegated Regulation (EU) 2013/231; Articles 12(1)(a), 13, 14(1)(c), 22, 22a, 23(2), 30 and 31 of UCITS Directive; Articles 4(1) to 4(3), 4(5), 5(2), 7, 9, 23(4), 32, 38, 39 and 40 of Commission Directive 2010/43/EU; Articles 2(2)(j), 3(1), 13(2), 15, 16 and 22 of Commission Delegated Regulation (EU) No 2016/449; Articles 25(2a) and 25(2b)(a) of EMIR; Articles 2(2) of EMIR and Article 3(1) of SFTR; Articles 4(1)(1) of MiFID II and Article 4(1)(27) of MiFID II; Articles 4(1)(63) of MiFID II; Articles 4(1)(24) of MiFID II; Articles 2(1)(1) of CSDR; Articles 3(1)(b) of CRA Regulation; Articles 2(23) of SECR; and Article 3(1)(25) of Benchmarks Regulation.</t>
        </is>
      </c>
      <c r="P1527" s="12" t="n">
        <v>36</v>
      </c>
    </row>
    <row r="1528">
      <c r="A1528" t="inlineStr">
        <is>
          <t>GDPR</t>
        </is>
      </c>
      <c r="B1528" t="inlineStr">
        <is>
          <t>esma_cloud_guidelines (GDPR - Row 8)</t>
        </is>
      </c>
      <c r="C1528" t="inlineStr">
        <is>
          <t>4</t>
        </is>
      </c>
      <c r="D1528" s="11" t="inlineStr">
        <is>
          <t>Effective date and scope of cloud outsourcing guidelines</t>
        </is>
      </c>
      <c r="E1528" t="inlineStr">
        <is>
          <t>4–9</t>
        </is>
      </c>
      <c r="F1528" t="inlineStr">
        <is>
          <t>High</t>
        </is>
      </c>
      <c r="G1528" t="inlineStr">
        <is>
          <t>High (explicit)</t>
        </is>
      </c>
      <c r="H1528" s="11" t="inlineStr">
        <is>
          <t>Cloud Services</t>
        </is>
      </c>
      <c r="I1528" s="11" t="inlineStr">
        <is>
          <t>Financial Data</t>
        </is>
      </c>
      <c r="J1528" t="inlineStr">
        <is>
          <t>ESMA</t>
        </is>
      </c>
      <c r="K1528" s="11" t="inlineStr">
        <is>
          <t>These guidelines apply from 31 July 2021 to all cloud outsourcing arrangements. The scope includes specific financial entities that must comply with cloud service provider arrangements.</t>
        </is>
      </c>
      <c r="L1528" s="11" t="inlineStr">
        <is>
          <t>Sets the effective date and scope for cloud outsourcing, impacting data transfers and processing across financial institutions.</t>
        </is>
      </c>
      <c r="M1528" s="11" t="inlineStr">
        <is>
          <t>• [Must] These guidelines apply from 31 July 2021 to all cloud outsourcing arrangements</t>
        </is>
      </c>
      <c r="N1528" s="11" t="inlineStr"/>
      <c r="O1528" s="11" t="inlineStr">
        <is>
          <t>These guidelines apply from 31 July 2021 to all cloud outsourcing arrangements (cont.)</t>
        </is>
      </c>
      <c r="P1528" s="12" t="n">
        <v>36</v>
      </c>
    </row>
    <row r="1529">
      <c r="A1529" t="inlineStr">
        <is>
          <t>GDPR</t>
        </is>
      </c>
      <c r="B1529" t="inlineStr">
        <is>
          <t>esma_cloud_guidelines (GDPR - Row 8)</t>
        </is>
      </c>
      <c r="C1529" t="inlineStr">
        <is>
          <t>5</t>
        </is>
      </c>
      <c r="D1529" s="11" t="inlineStr">
        <is>
          <t>Purpose of cloud outsourcing guidelines</t>
        </is>
      </c>
      <c r="E1529" t="inlineStr">
        <is>
          <t>10</t>
        </is>
      </c>
      <c r="F1529" t="inlineStr">
        <is>
          <t>High</t>
        </is>
      </c>
      <c r="G1529" t="inlineStr">
        <is>
          <t>High (explicit)</t>
        </is>
      </c>
      <c r="H1529" s="11" t="inlineStr">
        <is>
          <t>Cloud Services</t>
        </is>
      </c>
      <c r="I1529" s="11" t="inlineStr">
        <is>
          <t>Financial Data</t>
        </is>
      </c>
      <c r="J1529" t="inlineStr">
        <is>
          <t>ESMA</t>
        </is>
      </c>
      <c r="K1529" s="11" t="inlineStr">
        <is>
          <t>These guidelines aim to establish consistent supervisory practices within the European System of Financial Supervision and ensure uniform application of requirements for cloud outsourcing arrangements. The objectives include identifying, addressing, and monitoring risks associated with cloud outsourcing.</t>
        </is>
      </c>
      <c r="L1529" s="11" t="inlineStr">
        <is>
          <t>Defines the purpose of cloud outsourcing guidelines, emphasizing risk management and consistent application of data transfer requirements across financial entities.</t>
        </is>
      </c>
      <c r="M1529" s="11" t="inlineStr">
        <is>
          <t>• [Must] These guidelines aim to establish consistent, efficient and effective supervisory practices within the European System of Financial Supervision
• [Must] These guidelines aim to ensure common, uniform and consistent application of requirements for cloud outsourcing</t>
        </is>
      </c>
      <c r="N1529" s="11" t="inlineStr">
        <is>
          <t>• [Must] These guidelines aim to help firms identify, address and monitor risks from cloud outsourcing arrangements</t>
        </is>
      </c>
      <c r="O1529" s="11" t="inlineStr">
        <is>
          <t>These guidelines are based on Article 16(1) of the ESMA Regulation. The objectives of these guidelines are to establish consistent, efficient and effective supervisory practices within the European System of Financial Supervision (ESFS) and to ensure the common, uniform and consistent application of the requirements referred to in Section 1.1 under the heading 'What?' where firms outsource to CSPs. In particular, these guidelines aim to help firms and competent authorities identify, address and monitor the risks and challenges arising from cloud outsourcing arrangements, from making the decision to outsource, selecting a cloud service provider, monitoring outsourced activities to providing for exit strategies.</t>
        </is>
      </c>
      <c r="P1529" s="12" t="n">
        <v>36</v>
      </c>
    </row>
    <row r="1530">
      <c r="A1530" t="inlineStr">
        <is>
          <t>GDPR</t>
        </is>
      </c>
      <c r="B1530" t="inlineStr">
        <is>
          <t>esma_cloud_guidelines (GDPR - Row 8)</t>
        </is>
      </c>
      <c r="C1530" t="inlineStr">
        <is>
          <t>7</t>
        </is>
      </c>
      <c r="D1530" s="11" t="inlineStr">
        <is>
          <t>Competent authorities must incorporate cloud guidelines into national frameworks</t>
        </is>
      </c>
      <c r="E1530" t="inlineStr">
        <is>
          <t>10</t>
        </is>
      </c>
      <c r="F1530" t="inlineStr">
        <is>
          <t>High</t>
        </is>
      </c>
      <c r="G1530" t="inlineStr">
        <is>
          <t>High (explicit)</t>
        </is>
      </c>
      <c r="H1530" s="11" t="inlineStr">
        <is>
          <t>Cloud Services, Governance, Record Keeping</t>
        </is>
      </c>
      <c r="I1530" s="11" t="inlineStr">
        <is>
          <t>Customer Data</t>
        </is>
      </c>
      <c r="J1530" t="inlineStr">
        <is>
          <t>ESMA</t>
        </is>
      </c>
      <c r="K1530" s="11" t="inlineStr">
        <is>
          <t>Competent authorities must integrate these cloud service provider guidelines into their national legal and supervisory frameworks. They must ensure compliance through ongoing supervision, particularly for firms targeted by specific guidelines. This applies to authorities overseeing financial institutions and cloud service providers within the EU.</t>
        </is>
      </c>
      <c r="L1530" s="11" t="inlineStr">
        <is>
          <t>Competent authorities must ensure national frameworks align with cloud guidelines to facilitate cross-border cloud service compliance. This affects data transfer assessments for cloud providers operating in multiple jurisdictions.</t>
        </is>
      </c>
      <c r="M1530" s="11" t="inlineStr">
        <is>
          <t>• [Must] Competent authorities must incorporate these guidelines into national legal and supervisory frameworks</t>
        </is>
      </c>
      <c r="N1530" s="11" t="inlineStr">
        <is>
          <t>• [Must] Competent authorities must ensure firms comply with guidelines through supervision</t>
        </is>
      </c>
      <c r="O1530" s="11" t="inlineStr">
        <is>
          <t>7. Competent authorities to which these guidelines apply should comply by incorporating them into their national legal and/or supervisory frameworks as appropriate, including where particular guidelines are directed primarily at firms. In this case, competent authorities should ensure, through their supervision, that firms comply with the guidelines.</t>
        </is>
      </c>
      <c r="P1530" s="12" t="n">
        <v>36</v>
      </c>
    </row>
    <row r="1531">
      <c r="A1531" t="inlineStr">
        <is>
          <t>GDPR</t>
        </is>
      </c>
      <c r="B1531" t="inlineStr">
        <is>
          <t>esma_cloud_guidelines (GDPR - Row 8)</t>
        </is>
      </c>
      <c r="C1531" t="inlineStr">
        <is>
          <t>8</t>
        </is>
      </c>
      <c r="D1531" s="11" t="inlineStr">
        <is>
          <t>ESMA supervises cloud providers and data reporting services</t>
        </is>
      </c>
      <c r="E1531" t="inlineStr">
        <is>
          <t>10–11</t>
        </is>
      </c>
      <c r="F1531" t="inlineStr">
        <is>
          <t>High</t>
        </is>
      </c>
      <c r="G1531" t="inlineStr">
        <is>
          <t>High (explicit)</t>
        </is>
      </c>
      <c r="H1531" s="11" t="inlineStr">
        <is>
          <t>Cloud Services, Governance, Record Keeping</t>
        </is>
      </c>
      <c r="I1531" s="11" t="inlineStr">
        <is>
          <t>Financial Data</t>
        </is>
      </c>
      <c r="J1531" t="inlineStr">
        <is>
          <t>ESMA</t>
        </is>
      </c>
      <c r="K1531" s="11" t="inlineStr">
        <is>
          <t>ESMA directly supervises cloud service providers, trading repositories, trading venues, and tier 2 third-country cloud providers to assess compliance with these guidelines. From January 2022, ESMA also supervises data reporting services and administrators of EU critical benchmarks. This ensures oversight of entities handling financial data across borders.</t>
        </is>
      </c>
      <c r="L1531" s="11" t="inlineStr">
        <is>
          <t>ESMA's direct supervision of cloud providers and data reporting services impacts cross-border data transfers by requiring adherence to specific cloud governance standards for financial data.</t>
        </is>
      </c>
      <c r="M1531" s="11" t="inlineStr">
        <is>
          <t>• [Must] ESMA will assess the application of these guidelines by CRAs, TRs, SRs, Tier 2 third-country CCPs</t>
        </is>
      </c>
      <c r="N1531" s="11" t="inlineStr">
        <is>
          <t>• [Must] ESMA will assess the application of these guidelines by data reporting services providers and administrators of EU critical benchmarks from 1 January 2022</t>
        </is>
      </c>
      <c r="O1531" s="11" t="inlineStr">
        <is>
          <t>8. Through its ongoing direct supervision, ESMA will assess the application of these guidelines by CRAs, TRs, SRs, Tier 2 third-country CCPs and, from 1 January 2022, data reporting services providers and administrators of EU critical benchmarks.</t>
        </is>
      </c>
      <c r="P1531" s="12" t="n">
        <v>36</v>
      </c>
    </row>
    <row r="1532">
      <c r="A1532" t="inlineStr">
        <is>
          <t>GDPR</t>
        </is>
      </c>
      <c r="B1532" t="inlineStr">
        <is>
          <t>esma_cloud_guidelines (GDPR - Row 8)</t>
        </is>
      </c>
      <c r="C1532" t="inlineStr">
        <is>
          <t>9</t>
        </is>
      </c>
      <c r="D1532" s="11" t="inlineStr">
        <is>
          <t>Competent authorities must notify ESMA of compliance status within two months</t>
        </is>
      </c>
      <c r="E1532" t="inlineStr">
        <is>
          <t>11</t>
        </is>
      </c>
      <c r="F1532" t="inlineStr">
        <is>
          <t>High</t>
        </is>
      </c>
      <c r="G1532" t="inlineStr">
        <is>
          <t>High (explicit)</t>
        </is>
      </c>
      <c r="H1532" s="11" t="inlineStr">
        <is>
          <t>Cloud Services, Governance, Record Keeping</t>
        </is>
      </c>
      <c r="I1532" s="11" t="inlineStr">
        <is>
          <t>Customer Data</t>
        </is>
      </c>
      <c r="J1532" t="inlineStr">
        <is>
          <t>ESMA</t>
        </is>
      </c>
      <c r="K1532" s="11" t="inlineStr">
        <is>
          <t>Competent authorities must notify ESMA within two months of the guidelines' publication in EU languages whether they comply with the guidelines, intend to comply but do not yet, or do not comply and have no intention to comply. This notification is required for all authorities that apply these guidelines to ensure transparency in compliance status.</t>
        </is>
      </c>
      <c r="L1532" s="11" t="inlineStr">
        <is>
          <t>Competent authorities must report compliance status to ESMA within two months, which affects data transfer assessments by ensuring authorities are aware of non-compliance risks for cloud providers.</t>
        </is>
      </c>
      <c r="M1532" s="11" t="inlineStr">
        <is>
          <t>• [Must] Competent authorities must notify ESMA within two months of publication in EU languages whether they comply, intend to comply but do not yet, or do not comply and have no intention to comply</t>
        </is>
      </c>
      <c r="N1532" s="11" t="inlineStr"/>
      <c r="O1532" s="11" t="inlineStr">
        <is>
          <t>9. Within two months of the date of publication of the guidelines on ESMA's website in all EU official languages, competent authorities to which these guidelines apply must notify ESMA whether they (i) comply, (ii) do not comply but intend to comply, or (iii) do not comply and do not intend to comply with the guidelines.</t>
        </is>
      </c>
      <c r="P1532" s="12" t="n">
        <v>36</v>
      </c>
    </row>
    <row r="1533">
      <c r="A1533" t="inlineStr">
        <is>
          <t>GDPR</t>
        </is>
      </c>
      <c r="B1533" t="inlineStr">
        <is>
          <t>esma_cloud_guidelines (GDPR - Row 8)</t>
        </is>
      </c>
      <c r="C1533" t="inlineStr">
        <is>
          <t>10</t>
        </is>
      </c>
      <c r="D1533" s="11" t="inlineStr">
        <is>
          <t>Competent authorities must explain non-compliance reasons to ESMA</t>
        </is>
      </c>
      <c r="E1533" t="inlineStr">
        <is>
          <t>11</t>
        </is>
      </c>
      <c r="F1533" t="inlineStr">
        <is>
          <t>High</t>
        </is>
      </c>
      <c r="G1533" t="inlineStr">
        <is>
          <t>High (explicit)</t>
        </is>
      </c>
      <c r="H1533" s="11" t="inlineStr">
        <is>
          <t>Cloud Services, Governance, Record Keeping</t>
        </is>
      </c>
      <c r="I1533" s="11" t="inlineStr">
        <is>
          <t>Customer Data</t>
        </is>
      </c>
      <c r="J1533" t="inlineStr">
        <is>
          <t>ESMA</t>
        </is>
      </c>
      <c r="K1533" s="11" t="inlineStr">
        <is>
          <t>If competent authorities do not comply with the guidelines, they must notify ESMA within two months of publication in EU languages with reasons for non-compliance. This includes using a template provided by ESMA to document the reasons, ensuring transparency and accountability for non-compliant authorities.</t>
        </is>
      </c>
      <c r="L1533" s="11" t="inlineStr">
        <is>
          <t>Competent authorities must provide detailed reasons for non-compliance to ESMA, which impacts data transfer assessments by identifying jurisdictional gaps in cloud service compliance.</t>
        </is>
      </c>
      <c r="M1533" s="11" t="inlineStr">
        <is>
          <t>• [Must] Competent authorities must notify ESMA within two months of publication in EU languages of reasons for non-compliance</t>
        </is>
      </c>
      <c r="N1533" s="11" t="inlineStr">
        <is>
          <t>• [Must] Competent authorities must use ESMA's template to document non-compliance reasons</t>
        </is>
      </c>
      <c r="O1533" s="11" t="inlineStr">
        <is>
          <t>10. In case of non-compliance, competent authorities must also notify ESMA within two months of the date of publication of the guidelines on ESMA's website in all EU official languages of their reasons for not complying with the guidelines. A template for notifications is available on ESMA's website. Once the template has been filled in, it shall be transmitted to ESMA.</t>
        </is>
      </c>
      <c r="P1533" s="12" t="n">
        <v>36</v>
      </c>
    </row>
    <row r="1534">
      <c r="A1534" t="inlineStr">
        <is>
          <t>GDPR</t>
        </is>
      </c>
      <c r="B1534" t="inlineStr">
        <is>
          <t>esma_cloud_guidelines (GDPR - Row 8)</t>
        </is>
      </c>
      <c r="C1534" t="inlineStr">
        <is>
          <t>11</t>
        </is>
      </c>
      <c r="D1534" s="11" t="inlineStr">
        <is>
          <t>Firms not required to report compliance with cloud guidelines</t>
        </is>
      </c>
      <c r="E1534" t="inlineStr">
        <is>
          <t>11</t>
        </is>
      </c>
      <c r="F1534" t="inlineStr">
        <is>
          <t>High</t>
        </is>
      </c>
      <c r="G1534" t="inlineStr">
        <is>
          <t>High (explicit)</t>
        </is>
      </c>
      <c r="H1534" s="11" t="inlineStr">
        <is>
          <t>Cloud Services, Governance</t>
        </is>
      </c>
      <c r="I1534" s="11" t="inlineStr">
        <is>
          <t>Customer Data</t>
        </is>
      </c>
      <c r="J1534" t="inlineStr">
        <is>
          <t>ESMA</t>
        </is>
      </c>
      <c r="K1534" s="11" t="inlineStr">
        <is>
          <t>Firms are not required to report whether they comply with these cloud service provider guidelines. This means firms have no obligation to inform ESMA or competent authorities about their compliance status with the guidelines, reducing reporting burdens for financial institutions.</t>
        </is>
      </c>
      <c r="L1534" s="11" t="inlineStr">
        <is>
          <t>Firms do not need to report compliance with cloud guidelines, which simplifies data transfer assessments by removing reporting obligations for cloud service providers.</t>
        </is>
      </c>
      <c r="M1534" s="11" t="inlineStr">
        <is>
          <t>• [Must Not] Firms are not required to report compliance with these guidelines</t>
        </is>
      </c>
      <c r="N1534" s="11" t="inlineStr"/>
      <c r="O1534" s="11" t="inlineStr">
        <is>
          <t>11. Firms are not required to report whether they comply with these guidelines.</t>
        </is>
      </c>
      <c r="P1534" s="12" t="n">
        <v>36</v>
      </c>
    </row>
    <row r="1535">
      <c r="A1535" t="inlineStr">
        <is>
          <t>GDPR</t>
        </is>
      </c>
      <c r="B1535" t="inlineStr">
        <is>
          <t>esma_cloud_guidelines (GDPR - Row 8)</t>
        </is>
      </c>
      <c r="C1535" t="inlineStr">
        <is>
          <t>12</t>
        </is>
      </c>
      <c r="D1535" s="11" t="inlineStr">
        <is>
          <t>Firms must have updated cloud outsourcing strategy</t>
        </is>
      </c>
      <c r="E1535" t="inlineStr">
        <is>
          <t>11</t>
        </is>
      </c>
      <c r="F1535" t="inlineStr">
        <is>
          <t>High</t>
        </is>
      </c>
      <c r="G1535" t="inlineStr">
        <is>
          <t>High (explicit)</t>
        </is>
      </c>
      <c r="H1535" s="11" t="inlineStr">
        <is>
          <t>Cloud Services, Governance, Record Keeping</t>
        </is>
      </c>
      <c r="I1535" s="11" t="inlineStr">
        <is>
          <t>Customer Data</t>
        </is>
      </c>
      <c r="J1535" t="inlineStr">
        <is>
          <t>ESMA</t>
        </is>
      </c>
      <c r="K1535" s="11" t="inlineStr">
        <is>
          <t>Firms must maintain a defined and up-to-date cloud outsourcing strategy that aligns with their internal policies, information security practices, and operational risk management frameworks. This ensures cloud services meet regulatory standards and protect financial data.</t>
        </is>
      </c>
      <c r="L1535" s="11" t="inlineStr">
        <is>
          <t>Firms must have a cloud outsourcing strategy that meets internal security and risk management standards, which is critical for data transfer impact assessments involving cloud services.</t>
        </is>
      </c>
      <c r="M1535" s="11" t="inlineStr">
        <is>
          <t>• [Must] Firms must have a defined and up-to-date cloud outsourcing strategy
• [Must] Cloud outsourcing strategy must be consistent with firm's internal policies and processes</t>
        </is>
      </c>
      <c r="N1535" s="11" t="inlineStr">
        <is>
          <t>• [Must] Cloud outsourcing strategy must align with information and communication technology, information security, and operational risk management</t>
        </is>
      </c>
      <c r="O1535" s="11" t="inlineStr">
        <is>
          <t>12. A firm should have a defined and up-to-date cloud outsourcing strategy that is consistent with the firm's relevant strategies and internal policies and processes, including in relation to information and communication technology, information security, and operational risk management.</t>
        </is>
      </c>
      <c r="P1535" s="12" t="n">
        <v>36</v>
      </c>
    </row>
    <row r="1536">
      <c r="A1536" t="inlineStr">
        <is>
          <t>GDPR</t>
        </is>
      </c>
      <c r="B1536" t="inlineStr">
        <is>
          <t>esma_cloud_guidelines (GDPR - Row 8)</t>
        </is>
      </c>
      <c r="C1536" t="inlineStr">
        <is>
          <t>13</t>
        </is>
      </c>
      <c r="D1536" s="11" t="inlineStr">
        <is>
          <t>Cloud outsourcing responsibility assignment and oversight</t>
        </is>
      </c>
      <c r="E1536" t="inlineStr">
        <is>
          <t>11–12</t>
        </is>
      </c>
      <c r="F1536" t="inlineStr">
        <is>
          <t>High</t>
        </is>
      </c>
      <c r="G1536" t="inlineStr">
        <is>
          <t>High (explicit)</t>
        </is>
      </c>
      <c r="H1536" s="11" t="inlineStr">
        <is>
          <t>Cloud Services</t>
        </is>
      </c>
      <c r="I1536" s="11" t="inlineStr">
        <is>
          <t>Personal Information</t>
        </is>
      </c>
      <c r="J1536" t="inlineStr">
        <is>
          <t>ESMA</t>
        </is>
      </c>
      <c r="K1536" s="11" t="inlineStr">
        <is>
          <t>Firms must clearly assign responsibilities for cloud outsourcing documentation, management, and control within their organization. They must allocate sufficient resources to ensure compliance with guidelines and all applicable legal requirements. Firms should establish an oversight function or designate senior staff accountable to management for monitoring cloud outsourcing risks, considering business scale, complexity, and financial system risks. Small firms must ensure clear task division for oversight.</t>
        </is>
      </c>
      <c r="L1536" s="11" t="inlineStr">
        <is>
          <t>This section mandates clear oversight of cloud outsourcing arrangements to ensure risks are managed appropriately for data transfers across borders, particularly for critical functions.</t>
        </is>
      </c>
      <c r="M1536" s="11" t="inlineStr">
        <is>
          <t>• [Must] Clearly assign responsibilities for documentation, management and control of cloud outsourcing arrangements
• [Must] Allocate sufficient resources to ensure compliance with guidelines and legal requirements
• [Must] Establish cloud outsourcing oversight function or designate senior staff accountable to management</t>
        </is>
      </c>
      <c r="N1536" s="11" t="inlineStr">
        <is>
          <t>• [Must] Consider business nature, scale, complexity and financial system risks when managing cloud outsourcing
• [Must] Ensure management body has technical skills to understand cloud outsourcing risks
• [Must] Small firms must ensure clear division of tasks and responsibilities for oversight</t>
        </is>
      </c>
      <c r="O1536" s="11" t="inlineStr">
        <is>
          <t>13. A firm should: a) clearly assign the responsibilities for the documentation, management and control of cloud outsourcing arrangements within its organisation; b) allocate sufficient resources to ensure compliance with these guidelines and all of the legal requirements applicable to its cloud outsourcing arrangements; c) establish a cloud outsourcing oversight function or designate senior staff members who are directly accountable to the management body and responsible for managing and overseeing the risks of cloud outsourcing arrangements.</t>
        </is>
      </c>
      <c r="P1536" s="12" t="n">
        <v>36</v>
      </c>
    </row>
    <row r="1537">
      <c r="A1537" t="inlineStr">
        <is>
          <t>GDPR</t>
        </is>
      </c>
      <c r="B1537" t="inlineStr">
        <is>
          <t>esma_cloud_guidelines (GDPR - Row 8)</t>
        </is>
      </c>
      <c r="C1537" t="inlineStr">
        <is>
          <t>14</t>
        </is>
      </c>
      <c r="D1537" s="11" t="inlineStr">
        <is>
          <t>Cloud outsourcing performance and security monitoring</t>
        </is>
      </c>
      <c r="E1537" t="inlineStr">
        <is>
          <t>12</t>
        </is>
      </c>
      <c r="F1537" t="inlineStr">
        <is>
          <t>High</t>
        </is>
      </c>
      <c r="G1537" t="inlineStr">
        <is>
          <t>High (explicit)</t>
        </is>
      </c>
      <c r="H1537" s="11" t="inlineStr">
        <is>
          <t>Cloud Services, Security</t>
        </is>
      </c>
      <c r="I1537" s="11" t="inlineStr">
        <is>
          <t>Personal Information</t>
        </is>
      </c>
      <c r="J1537" t="inlineStr">
        <is>
          <t>ESMA</t>
        </is>
      </c>
      <c r="K1537" s="11" t="inlineStr">
        <is>
          <t>Firms must monitor CSP performance, security measures, and adherence to service levels on a risk-based approach, prioritizing critical or important outsourced functions. This monitoring ensures ongoing compliance with cloud outsourcing arrangements and helps identify potential security or operational issues.</t>
        </is>
      </c>
      <c r="L1537" s="11" t="inlineStr">
        <is>
          <t>This section requires firms to monitor cloud service providers' performance and security to ensure data transfers remain secure and compliant across borders.</t>
        </is>
      </c>
      <c r="M1537" s="11" t="inlineStr">
        <is>
          <t>• [Must] Monitor performance of activities, security measures and adherence to agreed service levels by CSPs</t>
        </is>
      </c>
      <c r="N1537" s="11" t="inlineStr"/>
      <c r="O1537" s="11" t="inlineStr">
        <is>
          <t>14. A firm should monitor the performance of activities, the security measures and the adherence to agreed service levels by its CSPs. This monitoring should be risk-based, with a primary focus on the critical or important functions that have been outsourced.</t>
        </is>
      </c>
      <c r="P1537" s="12" t="n">
        <v>36</v>
      </c>
    </row>
    <row r="1538">
      <c r="A1538" t="inlineStr">
        <is>
          <t>GDPR</t>
        </is>
      </c>
      <c r="B1538" t="inlineStr">
        <is>
          <t>esma_cloud_guidelines (GDPR - Row 8)</t>
        </is>
      </c>
      <c r="C1538" t="inlineStr">
        <is>
          <t>15</t>
        </is>
      </c>
      <c r="D1538" s="11" t="inlineStr">
        <is>
          <t>Periodic reassessment of critical cloud functions</t>
        </is>
      </c>
      <c r="E1538" t="inlineStr">
        <is>
          <t>12</t>
        </is>
      </c>
      <c r="F1538" t="inlineStr">
        <is>
          <t>High</t>
        </is>
      </c>
      <c r="G1538" t="inlineStr">
        <is>
          <t>High (explicit)</t>
        </is>
      </c>
      <c r="H1538" s="11" t="inlineStr">
        <is>
          <t>Cloud Services</t>
        </is>
      </c>
      <c r="I1538" s="11" t="inlineStr">
        <is>
          <t>Personal Information</t>
        </is>
      </c>
      <c r="J1538" t="inlineStr">
        <is>
          <t>ESMA</t>
        </is>
      </c>
      <c r="K1538" s="11" t="inlineStr">
        <is>
          <t>Firms must periodically reassess whether cloud outsourcing arrangements concern critical or important functions, and trigger reassessment whenever the risk, nature, or scale of an outsourced function changes materially. This ensures ongoing alignment with evolving business needs and risks.</t>
        </is>
      </c>
      <c r="L1538" s="11" t="inlineStr">
        <is>
          <t>This section requires regular reassessment of cloud functions to ensure critical data transfers remain appropriately safeguarded across borders.</t>
        </is>
      </c>
      <c r="M1538" s="11" t="inlineStr">
        <is>
          <t>• [Must] Periodically reassess whether cloud outsourcing arrangements concern critical or important functions</t>
        </is>
      </c>
      <c r="N1538" s="11" t="inlineStr">
        <is>
          <t>• [Must] Reassess whenever risk, nature or scale of outsourced function has materially changed</t>
        </is>
      </c>
      <c r="O1538" s="11" t="inlineStr">
        <is>
          <t>15. A firm should reassess whether its cloud outsourcing arrangements concern a critical or important function periodically and whenever the risk, nature or scale of an outsourced function has materially changed.</t>
        </is>
      </c>
      <c r="P1538" s="12" t="n">
        <v>36</v>
      </c>
    </row>
    <row r="1539">
      <c r="A1539" t="inlineStr">
        <is>
          <t>GDPR</t>
        </is>
      </c>
      <c r="B1539" t="inlineStr">
        <is>
          <t>esma_cloud_guidelines (GDPR - Row 8)</t>
        </is>
      </c>
      <c r="C1539" t="inlineStr">
        <is>
          <t>16</t>
        </is>
      </c>
      <c r="D1539" s="11" t="inlineStr">
        <is>
          <t>Cloud outsourcing register maintenance</t>
        </is>
      </c>
      <c r="E1539" t="inlineStr">
        <is>
          <t>12</t>
        </is>
      </c>
      <c r="F1539" t="inlineStr">
        <is>
          <t>High</t>
        </is>
      </c>
      <c r="G1539" t="inlineStr">
        <is>
          <t>High (explicit)</t>
        </is>
      </c>
      <c r="H1539" s="11" t="inlineStr">
        <is>
          <t>Cloud Services, Record Keeping</t>
        </is>
      </c>
      <c r="I1539" s="11" t="inlineStr">
        <is>
          <t>Personal Information</t>
        </is>
      </c>
      <c r="J1539" t="inlineStr">
        <is>
          <t>ESMA</t>
        </is>
      </c>
      <c r="K1539" s="11" t="inlineStr">
        <is>
          <t>Firms must maintain an updated register of all cloud outsourcing arrangements, distinguishing between critical/important and non-critical functions. The register must include reasons for classification, and maintain records of terminated arrangements for an appropriate period, considering national law.</t>
        </is>
      </c>
      <c r="L1539" s="11" t="inlineStr">
        <is>
          <t>This section mandates detailed documentation of cloud data transfers to ensure compliance with cross-border data transfer requirements.</t>
        </is>
      </c>
      <c r="M1539" s="11" t="inlineStr">
        <is>
          <t>• [Must] Maintain updated register of information on all cloud outsourcing arrangements
• [Must] Distinguish between critical/important and other outsourcing arrangements</t>
        </is>
      </c>
      <c r="N1539" s="11" t="inlineStr">
        <is>
          <t>• [Must] Provide brief summary of reasons why outsourced function is critical or important
• [Must] Maintain record of terminated cloud outsourcing arrangements for appropriate time period</t>
        </is>
      </c>
      <c r="O1539" s="11" t="inlineStr">
        <is>
          <t>16. A firm should maintain an updated register of information on all its cloud outsourcing arrangements, distinguishing between the outsourcing of critical or important functions and other outsourcing arrangements. When distinguishing between the outsourcing of critical or important functions and other outsourcing arrangements, it should provide a brief summary of the reasons why the outsourced function is or is not considered critical or important. Taking into account national law, a firm should also maintain a record of terminated cloud outsourcing arrangements for an appropriate time period.</t>
        </is>
      </c>
      <c r="P1539" s="12" t="n">
        <v>36</v>
      </c>
    </row>
    <row r="1540">
      <c r="A1540" t="inlineStr">
        <is>
          <t>GDPR</t>
        </is>
      </c>
      <c r="B1540" t="inlineStr">
        <is>
          <t>esma_cloud_guidelines (GDPR - Row 8)</t>
        </is>
      </c>
      <c r="C1540" t="inlineStr">
        <is>
          <t>17</t>
        </is>
      </c>
      <c r="D1540" s="11" t="inlineStr">
        <is>
          <t>Critical cloud outsourcing register details</t>
        </is>
      </c>
      <c r="E1540" t="inlineStr">
        <is>
          <t>12–13</t>
        </is>
      </c>
      <c r="F1540" t="inlineStr">
        <is>
          <t>High</t>
        </is>
      </c>
      <c r="G1540" t="inlineStr">
        <is>
          <t>High (explicit)</t>
        </is>
      </c>
      <c r="H1540" s="11" t="inlineStr">
        <is>
          <t>Cloud Services, Record Keeping</t>
        </is>
      </c>
      <c r="I1540" s="11" t="inlineStr">
        <is>
          <t>Personal Information</t>
        </is>
      </c>
      <c r="J1540" t="inlineStr">
        <is>
          <t>ESMA</t>
        </is>
      </c>
      <c r="K1540" s="11" t="inlineStr">
        <is>
          <t>For critical cloud outsourcing arrangements, firms must include specific details in their register: reference numbers, dates, outsourced function descriptions, data types, criticality status, CSP information, data storage locations, risk assessment dates, and approval details. This ensures comprehensive tracking of high-risk data transfers.</t>
        </is>
      </c>
      <c r="L1540" s="11" t="inlineStr">
        <is>
          <t>This section specifies detailed requirements for registers of critical cloud data transfers to ensure robust cross-border data protection.</t>
        </is>
      </c>
      <c r="M1540" s="11" t="inlineStr">
        <is>
          <t>• [Must] Include reference number for each cloud outsourcing arrangement
• [Must] Provide start date and renewal dates for CSP and firm
• [Must] Describe outsourced function including data types and whether personal data is involved
• [Must] Assign category reflecting nature of outsourced function
• [Must] Indicate whether outsourced function supports time-critical business operations
• [Must] Provide CSP name, brand, country, registration details, address and parent company
• [Must] Specify governing law and jurisdiction choice</t>
        </is>
      </c>
      <c r="N1540" s="11" t="inlineStr">
        <is>
          <t>• [Must] Detail cloud services, deployment models and data storage locations
• [Must] Record date of most recent criticality assessment and next planned assessment
• [Must] Include date of most recent CSP risk assessment with summary and next planned date
• [Must] Identify individual or decision-making body that approved the arrangement
• [Must] List sub-outsourcers for critical functions including locations and data storage
• [Must] Provide estimated annual budget cost of cloud outsourcing arrangement</t>
        </is>
      </c>
      <c r="O1540" s="11" t="inlineStr">
        <is>
          <t>17. For the cloud outsourcing arrangements concerning critical or important functions, the register should include at least the following information for each cloud outsourcing arrangement: a) a reference number; b) the start date and, as applicable, the next contract renewal date, the end date and/or notice periods for the CSP and for the firm; c) a brief description of the outsourced function, including the data that is outsourced and whether this data includes personal data (for example by providing a yes or no in a separate data field); d) a category assigned by the firm that reflects the nature of the outsourced function (for example information technology function, control function), which should facilitate the identification of the different types of cloud outsourcing arrangements; e) whether the outsourced function supports business operations that are time-critical; f) the name and the brand name (if any) of the CSP, its country of registration, its corporate registration number, its legal entity identifier (where available), its registered address, its relevant contact details and the name of its parent company (if any); g) the governing law of the cloud outsourcing arrangement and, if any, the choice of jurisdiction; h) the type of cloud services and deployment models and the specific nature of the data to be held and the locations (namely regions or countries) where such data may be stored; i) the date of the most recent assessment of the criticality or importance of the outsourced function and the date of the next planned assessment; j) the date of the most recent risk assessment/audit of the CSP together with a brief summary of the main results, and the date of the next planned risk assessment/audit; k) the individual or decision-making body in the firm that approved the cloud outsourcing arrangement; l) where applicable, the names of any sub-outsourcer to which a critical or important function (or material parts thereof) is sub-outsourced, including the countries where the sub-outsourcers are registered, where the sub-outsourced service will be performed, and the locations (namely regions or countries) where the data will be stored; m) the estimated annual budget cost of the cloud outsourcing arrangement.</t>
        </is>
      </c>
      <c r="P1540" s="12" t="n">
        <v>36</v>
      </c>
    </row>
    <row r="1541">
      <c r="A1541" t="inlineStr">
        <is>
          <t>GDPR</t>
        </is>
      </c>
      <c r="B1541" t="inlineStr">
        <is>
          <t>esma_cloud_guidelines (GDPR - Row 8)</t>
        </is>
      </c>
      <c r="C1541" t="inlineStr">
        <is>
          <t>18</t>
        </is>
      </c>
      <c r="D1541" s="11" t="inlineStr">
        <is>
          <t>Non-critical cloud outsourcing register details</t>
        </is>
      </c>
      <c r="E1541" t="inlineStr">
        <is>
          <t>13</t>
        </is>
      </c>
      <c r="F1541" t="inlineStr">
        <is>
          <t>High</t>
        </is>
      </c>
      <c r="G1541" t="inlineStr">
        <is>
          <t>High (explicit)</t>
        </is>
      </c>
      <c r="H1541" s="11" t="inlineStr">
        <is>
          <t>Cloud Services, Record Keeping</t>
        </is>
      </c>
      <c r="I1541" s="11" t="inlineStr">
        <is>
          <t>Personal Information</t>
        </is>
      </c>
      <c r="J1541" t="inlineStr">
        <is>
          <t>ESMA</t>
        </is>
      </c>
      <c r="K1541" s="11" t="inlineStr">
        <is>
          <t>For non-critical cloud outsourcing arrangements, firms must define the register details based on the nature, scale, and complexity of risks inherent to the outsourced function. This ensures appropriate level of detail for lower-risk cloud activities.</t>
        </is>
      </c>
      <c r="L1541" s="11" t="inlineStr">
        <is>
          <t>This section specifies that non-critical cloud data transfers require less detailed documentation than critical transfers, reducing DTIA complexity for lower-risk scenarios.</t>
        </is>
      </c>
      <c r="M1541" s="11" t="inlineStr">
        <is>
          <t>• [Must] Define information to include in register based on nature, scale and complexity of risks</t>
        </is>
      </c>
      <c r="N1541" s="11" t="inlineStr"/>
      <c r="O1541" s="11" t="inlineStr">
        <is>
          <t>18. For the cloud outsourcing arrangements concerning non-critical or non-important functions, a firm should define the information to be included in the register based on the nature, scale and complexity of the risks inherent to the outsourced function.</t>
        </is>
      </c>
      <c r="P1541" s="12" t="n">
        <v>36</v>
      </c>
    </row>
    <row r="1542">
      <c r="A1542" t="inlineStr">
        <is>
          <t>GDPR</t>
        </is>
      </c>
      <c r="B1542" t="inlineStr">
        <is>
          <t>esma_cloud_guidelines (GDPR - Row 8)</t>
        </is>
      </c>
      <c r="C1542" t="inlineStr">
        <is>
          <t>19</t>
        </is>
      </c>
      <c r="D1542" s="11" t="inlineStr">
        <is>
          <t>Pre-cloud outsourcing risk assessment requirements</t>
        </is>
      </c>
      <c r="E1542" t="inlineStr">
        <is>
          <t>13</t>
        </is>
      </c>
      <c r="F1542" t="inlineStr">
        <is>
          <t>High</t>
        </is>
      </c>
      <c r="G1542" t="inlineStr">
        <is>
          <t>High (explicit)</t>
        </is>
      </c>
      <c r="H1542" s="11" t="inlineStr">
        <is>
          <t>Cloud Services</t>
        </is>
      </c>
      <c r="I1542" s="11" t="inlineStr">
        <is>
          <t>Personal Information</t>
        </is>
      </c>
      <c r="J1542" t="inlineStr">
        <is>
          <t>ESMA</t>
        </is>
      </c>
      <c r="K1542" s="11" t="inlineStr">
        <is>
          <t>Firms must assess if cloud outsourcing affects critical functions, identify all relevant risks, conduct due diligence on prospective cloud service providers (CSPs), and evaluate potential conflicts of interest before entering any cloud outsourcing arrangement. These obligations apply to financial institutions and firms subject to the ESMA guidelines.</t>
        </is>
      </c>
      <c r="L1542" s="11" t="inlineStr">
        <is>
          <t>Requires firms to conduct comprehensive risk assessments before cloud outsourcing, particularly for critical functions, to ensure adequate safeguards for data security and operational continuity across borders.</t>
        </is>
      </c>
      <c r="M1542" s="11" t="inlineStr">
        <is>
          <t>• [Must] Assess if cloud outsourcing arrangement concerns critical or important function
• [Must] Identify and assess all relevant risks of cloud outsourcing arrangement</t>
        </is>
      </c>
      <c r="N1542" s="11" t="inlineStr">
        <is>
          <t>• [Must] Undertake appropriate due diligence on prospective cloud service provider
• [Must] Identify and assess any conflict of interest arising from outsourcing</t>
        </is>
      </c>
      <c r="O1542" s="11" t="inlineStr">
        <is>
          <t>Before entering into any cloud outsourcing arrangement, a firm should: a) assess if the cloud outsourcing arrangement concerns a critical or important function; b) identify and assess all relevant risks of the cloud outsourcing arrangement; c) undertake appropriate due diligence on the prospective CSP; d) identify and assess any conflict of interest that the outsourcing may cause.</t>
        </is>
      </c>
      <c r="P1542" s="12" t="n">
        <v>36</v>
      </c>
    </row>
    <row r="1543">
      <c r="A1543" t="inlineStr">
        <is>
          <t>GDPR</t>
        </is>
      </c>
      <c r="B1543" t="inlineStr">
        <is>
          <t>esma_cloud_guidelines (GDPR - Row 8)</t>
        </is>
      </c>
      <c r="C1543" t="inlineStr">
        <is>
          <t>20</t>
        </is>
      </c>
      <c r="D1543" s="11" t="inlineStr">
        <is>
          <t>Proportionate pre-outsourcing due diligence requirements</t>
        </is>
      </c>
      <c r="E1543" t="inlineStr">
        <is>
          <t>13</t>
        </is>
      </c>
      <c r="F1543" t="inlineStr">
        <is>
          <t>High</t>
        </is>
      </c>
      <c r="G1543" t="inlineStr">
        <is>
          <t>High (explicit)</t>
        </is>
      </c>
      <c r="H1543" s="11" t="inlineStr">
        <is>
          <t>Cloud Services</t>
        </is>
      </c>
      <c r="I1543" s="11" t="inlineStr">
        <is>
          <t>Personal Information</t>
        </is>
      </c>
      <c r="J1543" t="inlineStr">
        <is>
          <t>ESMA</t>
        </is>
      </c>
      <c r="K1543" s="11" t="inlineStr">
        <is>
          <t>Firms must ensure pre-outsourcing analysis and due diligence on cloud service providers (CSPs) are proportionate to the function's nature, scale, complexity, and inherent risks. This includes assessing impacts on operational, legal, compliance, and reputational risks to maintain adequate safeguards for critical functions.</t>
        </is>
      </c>
      <c r="L1543" s="11" t="inlineStr">
        <is>
          <t>Mandates that due diligence must be proportionate to the function's risk profile, ensuring that cloud outsourcing arrangements do not compromise financial institution security or compliance across borders.</t>
        </is>
      </c>
      <c r="M1543" s="11" t="inlineStr">
        <is>
          <t>• [Must] Pre-outsourcing analysis and due diligence on CSP should be proportionate to function's nature, scale, complexity and inherent risks</t>
        </is>
      </c>
      <c r="N1543" s="11" t="inlineStr">
        <is>
          <t>• [Must] Include assessment of potential impact on operational, legal, compliance and reputational risks</t>
        </is>
      </c>
      <c r="O1543" s="11" t="inlineStr">
        <is>
          <t>The pre-outsourcing analysis and due diligence on the prospective CSP should be proportionate to the nature, scale and complexity of the function that the firm intends to outsource and the risks inherent to this function. It should include at least an assessment of the potential impact of the cloud outsourcing arrangement on the firm's operational, legal, compliance, and reputational risks.</t>
        </is>
      </c>
      <c r="P1543" s="12" t="n">
        <v>36</v>
      </c>
    </row>
    <row r="1544">
      <c r="A1544" t="inlineStr">
        <is>
          <t>GDPR</t>
        </is>
      </c>
      <c r="B1544" t="inlineStr">
        <is>
          <t>esma_cloud_guidelines (GDPR - Row 8)</t>
        </is>
      </c>
      <c r="C1544" t="inlineStr">
        <is>
          <t>21</t>
        </is>
      </c>
      <c r="D1544" s="11" t="inlineStr">
        <is>
          <t>Enhanced risk assessment for critical cloud functions</t>
        </is>
      </c>
      <c r="E1544" t="inlineStr">
        <is>
          <t>13–14</t>
        </is>
      </c>
      <c r="F1544" t="inlineStr">
        <is>
          <t>High</t>
        </is>
      </c>
      <c r="G1544" t="inlineStr">
        <is>
          <t>High (explicit)</t>
        </is>
      </c>
      <c r="H1544" s="11" t="inlineStr">
        <is>
          <t>Cloud Services</t>
        </is>
      </c>
      <c r="I1544" s="11" t="inlineStr">
        <is>
          <t>Personal Information</t>
        </is>
      </c>
      <c r="J1544" t="inlineStr">
        <is>
          <t>ESMA</t>
        </is>
      </c>
      <c r="K1544" s="11" t="inlineStr">
        <is>
          <t>Firms must conduct detailed risk assessments for cloud outsourcing arrangements involving critical functions, covering technology, security, business continuity, legal compliance, reputational risks, operational risks, and oversight limitations. This includes evaluating impacts on data portability, political stability, and cross-border data transfers to ensure compliance with GDPR.</t>
        </is>
      </c>
      <c r="L1544" s="11" t="inlineStr">
        <is>
          <t>Requires comprehensive risk analysis for critical functions, including cross-border data transfer implications and political stability assessments, to ensure GDPR compliance in cloud outsourcing arrangements.</t>
        </is>
      </c>
      <c r="M1544" s="11" t="inlineStr">
        <is>
          <t>• [Must] Assess all relevant risks arising from cloud outsourcing arrangement, including information security, business continuity, legal compliance, reputational risks, operational risks and oversight limitations
• [Must] Evaluate risks related to selected cloud service, deployment models, migration processes, data sensitivity and security measures
• [Must] Assess risks from interoperability of systems and applications with CSP
• [Must] Evaluate data portability capacity to transfer data between CSPs or back to firm</t>
        </is>
      </c>
      <c r="N1544" s="11" t="inlineStr">
        <is>
          <t>• [Must] Assess political stability, security situation, legal system, insolvency laws, data protection laws and GDPR transfer conditions of countries where data is stored
• [Must] Evaluate concentration risks from multiple firms using same CSP or sub-outsourcing chains
• [Must] Weigh expected benefits and costs of cloud outsourcing against significant risks</t>
        </is>
      </c>
      <c r="O1544" s="11" t="inlineStr">
        <is>
          <t>In case the cloud outsourcing arrangement concerns critical or important functions, a firm should also: a) assess all relevant risks that may arise as a result of the cloud outsourcing arrangement, including risks in relation to information and communication technology, information security, business continuity, legal and compliance, reputational risks, operational risks, and possible oversight limitations for the firm, arising from: i. the selected cloud service and the proposed deployment models; ii. the migration and/or the implementation processes; iii. the sensitivity of the function and the related data which are under consideration to be outsourced and the security measures which would need to be taken; iv. the interoperability of the systems and applications of the firm and the CSP, namely their capacity to exchange information and mutually use the information that has been exchanged; v. the portability of the data of the firm, namely the capacity to easily transfer the firm's data from one CSP to another or back to the firm; vi. the political stability, the security situation and the legal system (including the law enforcement provisions in place, the insolvency law provisions that would apply in case of the CSP's bankruptcy, the laws on data protection in force and whether the conditions for transfer of personal data to a third country under the GDPR are met) of the countries (within or outside the EU) where the outsourced functions would be provided and where the outsourced data would be stored; in case of sub-outsourcing, the additional risks that may arise if the sub-outsourcer is located in a third country or a different country from the CSP and, in case of a sub-outsourcing chain, any additional risk which may arise, including in relation to the absence of a direct contract between the firm and the sub-outsourcer performing the outsourced function; vii. possible concentration within the firm (including, where applicable, at the level of its group,) caused by multiple cloud outsourcing arrangements with the same CSP as well as possible concentration within the EU financial sector, caused by multiple firms making use of the same CSP or a small group of CSPs. When assessing the concentration risk, the firm should take into account all its cloud outsourcing arrangements (and, where applicable, the cloud outsourcing arrangements at the level of its group) with that CSP; b) take into account the expected benefits and costs of the cloud outsourcing arrangement, including weighing any significant risks which may be reduced or better managed against any significant risks which may arise as a result of the cloud outsourcing arrangement.</t>
        </is>
      </c>
      <c r="P1544" s="12" t="n">
        <v>36</v>
      </c>
    </row>
    <row r="1545">
      <c r="A1545" t="inlineStr">
        <is>
          <t>GDPR</t>
        </is>
      </c>
      <c r="B1545" t="inlineStr">
        <is>
          <t>esma_cloud_guidelines (GDPR - Row 8)</t>
        </is>
      </c>
      <c r="C1545" t="inlineStr">
        <is>
          <t>22</t>
        </is>
      </c>
      <c r="D1545" s="11" t="inlineStr">
        <is>
          <t>CSP suitability evaluation for critical functions</t>
        </is>
      </c>
      <c r="E1545" t="inlineStr">
        <is>
          <t>14</t>
        </is>
      </c>
      <c r="F1545" t="inlineStr">
        <is>
          <t>High</t>
        </is>
      </c>
      <c r="G1545" t="inlineStr">
        <is>
          <t>High (explicit)</t>
        </is>
      </c>
      <c r="H1545" s="11" t="inlineStr">
        <is>
          <t>Cloud Services</t>
        </is>
      </c>
      <c r="I1545" s="11" t="inlineStr">
        <is>
          <t>Personal Information</t>
        </is>
      </c>
      <c r="J1545" t="inlineStr">
        <is>
          <t>ESMA</t>
        </is>
      </c>
      <c r="K1545" s="11" t="inlineStr">
        <is>
          <t>Firms must evaluate CSP suitability for critical functions by assessing business reputation, skills, resources, organizational structure, and relevant authorizations. This includes evaluating information security practices, service support, and business continuity/disaster recovery plans to ensure reliable and professional service delivery.</t>
        </is>
      </c>
      <c r="L1545" s="11" t="inlineStr">
        <is>
          <t>Requires firms to verify CSP capabilities and security measures to ensure critical functions remain compliant with GDPR when outsourced to cloud services across borders.</t>
        </is>
      </c>
      <c r="M1545" s="11" t="inlineStr">
        <is>
          <t>• [Must] Ensure CSP has business reputation, skills, resources (human, IT, financial), organizational structure and relevant authorizations to perform critical functions reliably
• [Must] Assess CSP's management of information security and protection of personal, confidential or sensitive data</t>
        </is>
      </c>
      <c r="N1545" s="11" t="inlineStr">
        <is>
          <t>• [Must] Evaluate CSP's service support including support plans and contacts, and incident management processes
• [Must] Assess CSP's business continuity and disaster recovery plans</t>
        </is>
      </c>
      <c r="O1545" s="11" t="inlineStr">
        <is>
          <t>In case of outsourcing of critical or important functions, the due diligence should include an evaluation of the suitability of the CSP. When assessing the suitability of the CSP, a firm should ensure that the CSP has the business reputation, the skills, the resources (including human, IT and financial), the organisational structure and, if applicable, the relevant authorisation(s) or registration(s) to perform the critical or important function in a reliable and professional manner and to meet its obligations over the duration of the cloud outsourcing arrangement. Additional factors to be considered in the due diligence on the CSP include, but are not limited to: a) the management of information security and in particular the protection of personal, confidential or otherwise sensitive data; b) the service support, including support plans and contacts, and incident management processes; c) the business continuity and disaster recovery plans;</t>
        </is>
      </c>
      <c r="P1545" s="12" t="n">
        <v>36</v>
      </c>
    </row>
    <row r="1546">
      <c r="A1546" t="inlineStr">
        <is>
          <t>GDPR</t>
        </is>
      </c>
      <c r="B1546" t="inlineStr">
        <is>
          <t>esma_cloud_guidelines (GDPR - Row 8)</t>
        </is>
      </c>
      <c r="C1546" t="inlineStr">
        <is>
          <t>23</t>
        </is>
      </c>
      <c r="D1546" s="11" t="inlineStr">
        <is>
          <t>Certification and audit support for due diligence</t>
        </is>
      </c>
      <c r="E1546" t="inlineStr">
        <is>
          <t>14</t>
        </is>
      </c>
      <c r="F1546" t="inlineStr">
        <is>
          <t>High</t>
        </is>
      </c>
      <c r="G1546" t="inlineStr">
        <is>
          <t>High (explicit)</t>
        </is>
      </c>
      <c r="H1546" s="11" t="inlineStr">
        <is>
          <t>Cloud Services</t>
        </is>
      </c>
      <c r="I1546" s="11" t="inlineStr">
        <is>
          <t>Personal Information</t>
        </is>
      </c>
      <c r="J1546" t="inlineStr">
        <is>
          <t>ESMA</t>
        </is>
      </c>
      <c r="K1546" s="11" t="inlineStr">
        <is>
          <t>Firms may use international standards certifications and external or internal audit reports to support their pre-outsourcing due diligence, provided such measures are appropriate for the specific cloud outsourcing arrangement.</t>
        </is>
      </c>
      <c r="L1546" s="11" t="inlineStr">
        <is>
          <t>Allows firms to leverage third-party certifications and audits to validate cloud service provider compliance, enhancing the robustness of data transfer impact assessments for critical functions.</t>
        </is>
      </c>
      <c r="M1546" s="11" t="inlineStr">
        <is>
          <t>• [May] Use certifications based on international standards and external or internal audit reports to support due diligence</t>
        </is>
      </c>
      <c r="N1546" s="11" t="inlineStr"/>
      <c r="O1546" s="11" t="inlineStr">
        <is>
          <t>Where appropriate and in order to support the due diligence performed, a firm may also use certifications based on international standards and external or internal audit reports.</t>
        </is>
      </c>
      <c r="P1546" s="12" t="n">
        <v>36</v>
      </c>
    </row>
    <row r="1547">
      <c r="A1547" t="inlineStr">
        <is>
          <t>GDPR</t>
        </is>
      </c>
      <c r="B1547" t="inlineStr">
        <is>
          <t>esma_cloud_guidelines (GDPR - Row 8)</t>
        </is>
      </c>
      <c r="C1547" t="inlineStr">
        <is>
          <t>24</t>
        </is>
      </c>
      <c r="D1547" s="11" t="inlineStr">
        <is>
          <t>Review due diligence after significant CSP changes</t>
        </is>
      </c>
      <c r="E1547" t="inlineStr">
        <is>
          <t>14</t>
        </is>
      </c>
      <c r="F1547" t="inlineStr">
        <is>
          <t>High</t>
        </is>
      </c>
      <c r="G1547" t="inlineStr">
        <is>
          <t>High (explicit)</t>
        </is>
      </c>
      <c r="H1547" s="11" t="inlineStr">
        <is>
          <t>Cloud Services</t>
        </is>
      </c>
      <c r="I1547" s="11" t="inlineStr">
        <is>
          <t>Personal Information</t>
        </is>
      </c>
      <c r="J1547" t="inlineStr">
        <is>
          <t>ESMA</t>
        </is>
      </c>
      <c r="K1547" s="11" t="inlineStr">
        <is>
          <t>Firms must promptly review or re-perform pre-outsourcing analysis and due diligence on CSPs if they become aware of significant deficiencies or changes to services provided by the CSP or the CSP's situation.</t>
        </is>
      </c>
      <c r="L1547" s="11" t="inlineStr">
        <is>
          <t>Mandates ongoing monitoring of CSP performance and compliance, ensuring that data transfer impact assessments remain current and effective after significant changes to cloud service providers.</t>
        </is>
      </c>
      <c r="M1547" s="11" t="inlineStr">
        <is>
          <t>• [Must] Promptly review or re-perform pre-outsourcing analysis and due diligence on CSP when significant deficiencies or changes to services or CSP situation are identified</t>
        </is>
      </c>
      <c r="N1547" s="11" t="inlineStr"/>
      <c r="O1547" s="11" t="inlineStr">
        <is>
          <t>If a firm becomes aware of significant deficiencies and/or significant changes to the services provided or to the situation of the CSP, the pre-outsourcing analysis and due diligence on the CSP should be promptly reviewed or where needed re-performed.</t>
        </is>
      </c>
      <c r="P1547" s="12" t="n">
        <v>36</v>
      </c>
    </row>
    <row r="1548">
      <c r="A1548" t="inlineStr">
        <is>
          <t>GDPR</t>
        </is>
      </c>
      <c r="B1548" t="inlineStr">
        <is>
          <t>esma_cloud_guidelines (GDPR - Row 8)</t>
        </is>
      </c>
      <c r="C1548" t="inlineStr">
        <is>
          <t>25</t>
        </is>
      </c>
      <c r="D1548" s="11" t="inlineStr">
        <is>
          <t>Risk-based due diligence for re-assessed CSPs</t>
        </is>
      </c>
      <c r="E1548" t="inlineStr">
        <is>
          <t>14–15</t>
        </is>
      </c>
      <c r="F1548" t="inlineStr">
        <is>
          <t>High</t>
        </is>
      </c>
      <c r="G1548" t="inlineStr">
        <is>
          <t>High (explicit)</t>
        </is>
      </c>
      <c r="H1548" s="11" t="inlineStr">
        <is>
          <t>Cloud Services</t>
        </is>
      </c>
      <c r="I1548" s="11" t="inlineStr">
        <is>
          <t>Personal Information</t>
        </is>
      </c>
      <c r="J1548" t="inlineStr">
        <is>
          <t>ESMA</t>
        </is>
      </c>
      <c r="K1548" s="11" t="inlineStr">
        <is>
          <t>When a firm renews an existing arrangement with a CSP that has already been assessed, it must determine on a risk-based approach whether new due diligence is required. This applies to firms outsourcing critical functions to cloud service providers. The assessment must consider the specific risks associated with the renewed arrangement to ensure ongoing compliance with data protection standards.</t>
        </is>
      </c>
      <c r="L1548" s="11" t="inlineStr">
        <is>
          <t>Requires firms to reassess cloud provider risks before renewing agreements to ensure continued data protection compliance without unnecessary disruption.</t>
        </is>
      </c>
      <c r="M1548" s="11" t="inlineStr">
        <is>
          <t>• [Must] Determine on a risk-based approach whether new due diligence is needed</t>
        </is>
      </c>
      <c r="N1548" s="11" t="inlineStr"/>
      <c r="O1548" s="11" t="inlineStr">
        <is>
          <t>25. In case a firm enters into a new arrangement or renews an existing arrangement with a CSP that has already been assessed, it should determine, on a risk-based approach, whether a new due diligence is needed.</t>
        </is>
      </c>
      <c r="P1548" s="12" t="n">
        <v>36</v>
      </c>
    </row>
    <row r="1549">
      <c r="A1549" t="inlineStr">
        <is>
          <t>GDPR</t>
        </is>
      </c>
      <c r="B1549" t="inlineStr">
        <is>
          <t>esma_cloud_guidelines (GDPR - Row 8)</t>
        </is>
      </c>
      <c r="C1549" t="inlineStr">
        <is>
          <t>28</t>
        </is>
      </c>
      <c r="D1549" s="11" t="inlineStr">
        <is>
          <t>Minimum contractual terms for cloud outsourcing</t>
        </is>
      </c>
      <c r="E1549" t="inlineStr">
        <is>
          <t>15–16</t>
        </is>
      </c>
      <c r="F1549" t="inlineStr">
        <is>
          <t>High</t>
        </is>
      </c>
      <c r="G1549" t="inlineStr">
        <is>
          <t>High (explicit)</t>
        </is>
      </c>
      <c r="H1549" s="11" t="inlineStr">
        <is>
          <t>Cloud Services, Incident Reporting, Breach Notification, Security</t>
        </is>
      </c>
      <c r="I1549" s="11" t="inlineStr">
        <is>
          <t>Personal Information</t>
        </is>
      </c>
      <c r="J1549" t="inlineStr">
        <is>
          <t>ESMA</t>
        </is>
      </c>
      <c r="K1549" s="11" t="inlineStr">
        <is>
          <t>When outsourcing critical or important functions, firms must include specific contractual terms in written agreements with CSPs. These terms cover function description, agreement duration, governing law, financial obligations, sub-outsourcing rules, data location, security provisions, performance monitoring rights, service levels, reporting obligations, incident management, insurance requirements, business continuity plans, and audit rights. The clauses ensure transparency and accountability in cloud service arrangements.</t>
        </is>
      </c>
      <c r="L1549" s="11" t="inlineStr">
        <is>
          <t>Defines mandatory contractual terms for cloud providers to ensure data security, compliance, and operational continuity during outsourcing activities.</t>
        </is>
      </c>
      <c r="M1549" s="11" t="inlineStr">
        <is>
          <t>• [Must] Include a clear description of the outsourced function
• [Must] Specify start and end dates of the agreement and notice periods
• [Must] State governing law and jurisdiction choice
• [Must] Detail financial obligations of both parties
• [Must] Define sub-outsourcing permissions and conditions
• [Must] Specify data processing and storage locations and change notification requirements
• [Must] Include information security and data protection provisions
• [Must] Grant firm rights to monitor CSP performance regularly</t>
        </is>
      </c>
      <c r="N1549" s="11" t="inlineStr">
        <is>
          <t>• [Must] Set agreed service levels with performance targets
• [Must] Define CSP reporting obligations to the firm
• [Must] Include incident management provisions and timely reporting
• [Must] Specify mandatory insurance requirements and coverage levels
• [Must] Require business continuity and disaster recovery plans
• [Must] Grant firm access rights to inspect CSP systems and data
• [Must] Ensure data can be accessed, recovered, and returned to the firm</t>
        </is>
      </c>
      <c r="O1549" s="11" t="inlineStr">
        <is>
          <t>28. In case of outsourcing of critical or important functions, the written agreement should include at least: a) a clear description of the outsourced function; b) the start date and end date, where applicable, of the agreement and the notice periods for the CSP and for the firm; c) the governing law of the agreement and, if any, the choice of jurisdiction; d) the firm's and the CSP's financial obligations; e) whether sub-outsourcing is permitted, and, if so, under which conditions, having regard to Guideline 7; f) the location(s) (namely regions or countries) where the outsourced function will be provided and where data will be processed and stored, and the conditions to be met, including a requirement to notify the firm if the CSP proposes to change the location(s); g) provisions regarding information security and protection of personal data, having regard to Guideline 4; h) the right for the firm to monitor the CSP's performance under the cloud outsourcing arrangement on a regular basis, having regard to Guideline 6; i) the agreed service levels, which should include, quantitative and qualitative performance targets in order to allow for timely monitoring so that appropriate corrective actions can be taken without undue delay if agreed service levels are not met; j) the reporting obligations of the CSP to the firm and, as appropriate, the obligations to submit reports relevant for the firm's security function and key functions, such as reports prepared by the internal audit function of the CSP; k) provisions regarding the management of incidents by the CSP, including the obligation for the CSP to report to the firm without undue delay incidents that have affected the operation of the firm's contracted service; l) whether the CSP should take mandatory insurance against certain risks and, if applicable, the level of insurance cover requested; m) the requirements for the CSP to implement and test business continuity and disaster recovery plans; n) the requirement for the CSP to grant the firm, its competent authorities and any other person appointed by the firm or the competent authorities the right to access ('access rights') and to inspect ('audit rights') the relevant information, premises, systems and devices of the CSP to the extent necessary to monitor the CSP's performance under the cloud outsourcing arrangement and its compliance with the applicable regulatory and contractual requirements, having regard to Guideline 6; o) provisions to ensure that the data that the CSP processes or stores on behalf of the firm can be accessed, recovered and returned to the firm as needed, having regard to Guideline 5.</t>
        </is>
      </c>
      <c r="P1549" s="12" t="n">
        <v>36</v>
      </c>
    </row>
    <row r="1550">
      <c r="A1550" t="inlineStr">
        <is>
          <t>GDPR</t>
        </is>
      </c>
      <c r="B1550" t="inlineStr">
        <is>
          <t>esma_cloud_guidelines (GDPR - Row 8)</t>
        </is>
      </c>
      <c r="C1550" t="inlineStr">
        <is>
          <t>29</t>
        </is>
      </c>
      <c r="D1550" s="11" t="inlineStr">
        <is>
          <t>Ongoing information security monitoring</t>
        </is>
      </c>
      <c r="E1550" t="inlineStr">
        <is>
          <t>16</t>
        </is>
      </c>
      <c r="F1550" t="inlineStr">
        <is>
          <t>High</t>
        </is>
      </c>
      <c r="G1550" t="inlineStr">
        <is>
          <t>High (explicit)</t>
        </is>
      </c>
      <c r="H1550" s="11" t="inlineStr">
        <is>
          <t>Cloud Services, Security</t>
        </is>
      </c>
      <c r="I1550" s="11" t="inlineStr">
        <is>
          <t>Personal Information</t>
        </is>
      </c>
      <c r="J1550" t="inlineStr">
        <is>
          <t>ESMA</t>
        </is>
      </c>
      <c r="K1550" s="11" t="inlineStr">
        <is>
          <t>Firms must establish information security requirements in internal policies and procedures, and within cloud outsourcing agreements. These requirements must be proportionate to the function's nature, scale, complexity, and associated risks. Firms must continuously monitor compliance with these security measures to protect confidential, personal, and sensitive data.</t>
        </is>
      </c>
      <c r="L1550" s="11" t="inlineStr">
        <is>
          <t>Mandates continuous monitoring of information security to ensure data protection during cloud outsourcing, aligning with risk-based approaches.</t>
        </is>
      </c>
      <c r="M1550" s="11" t="inlineStr">
        <is>
          <t>• [Must] Set information security requirements in internal policies and procedures
• [Must] Include information security requirements in cloud outsourcing agreements</t>
        </is>
      </c>
      <c r="N1550" s="11" t="inlineStr">
        <is>
          <t>• [Must] Monitor compliance with security requirements on an ongoing basis
• [Must] Ensure requirements are proportionate to function nature, scale, complexity, and risks</t>
        </is>
      </c>
      <c r="O1550" s="11" t="inlineStr">
        <is>
          <t>29. A firm should set information security requirements in its internal policies and procedures and within the cloud outsourcing written agreement and monitor compliance with these requirements on an ongoing basis, including to protect confidential, personal or otherwise sensitive data. These requirements should be proportionate to the nature, scale and complexity of the function that the firm outsources to the CSP and the risks inherent to this function.</t>
        </is>
      </c>
      <c r="P1550" s="12" t="n">
        <v>36</v>
      </c>
    </row>
    <row r="1551">
      <c r="A1551" t="inlineStr">
        <is>
          <t>GDPR</t>
        </is>
      </c>
      <c r="B1551" t="inlineStr">
        <is>
          <t>esma_cloud_guidelines (GDPR - Row 8)</t>
        </is>
      </c>
      <c r="C1551" t="inlineStr">
        <is>
          <t>30</t>
        </is>
      </c>
      <c r="D1551" s="11" t="inlineStr">
        <is>
          <t>Information security requirements for critical functions</t>
        </is>
      </c>
      <c r="E1551" t="inlineStr">
        <is>
          <t>16–17</t>
        </is>
      </c>
      <c r="F1551" t="inlineStr">
        <is>
          <t>High</t>
        </is>
      </c>
      <c r="G1551" t="inlineStr">
        <is>
          <t>High (explicit)</t>
        </is>
      </c>
      <c r="H1551" s="11" t="inlineStr">
        <is>
          <t>Cloud Services, Security, Encryption, Access Control</t>
        </is>
      </c>
      <c r="I1551" s="11" t="inlineStr">
        <is>
          <t>Personal Information</t>
        </is>
      </c>
      <c r="J1551" t="inlineStr">
        <is>
          <t>ESMA</t>
        </is>
      </c>
      <c r="K1551" s="11" t="inlineStr">
        <is>
          <t>For critical or important functions, firms must implement specific information security requirements in cloud outsourcing agreements. These include clear role allocation, strong authentication mechanisms, encryption for data in transit, memory, at rest, and backups, network segregation, secure API integrations, business continuity and disaster recovery controls, data location strategies, and compliance verification with internationally recognized standards. These measures ensure robust data protection and operational resilience.</t>
        </is>
      </c>
      <c r="L1551" s="11" t="inlineStr">
        <is>
          <t>Specifies detailed security controls for critical cloud functions to mitigate risks and ensure data integrity during outsourcing.</t>
        </is>
      </c>
      <c r="M1551" s="11" t="inlineStr">
        <is>
          <t>• [Must] Ensure clear allocation of information security roles and responsibilities
• [Must] Implement strong authentication mechanisms and access controls
• [Must] Use encryption technologies for data in transit, memory, at rest, and backups
• [Must] Implement appropriate key management solutions
• [Must] Ensure appropriate network availability and segregation</t>
        </is>
      </c>
      <c r="N1551" s="11" t="inlineStr">
        <is>
          <t>• [Must] Secure application programming interfaces (APIs) with robust policies
• [Must] Ensure effective business continuity and disaster recovery controls
• [Must] Adopt a risk-based approach to data storage and processing locations
• [Must] Verify CSP compliance with internationally recognized security standards</t>
        </is>
      </c>
      <c r="O1551" s="11" t="inlineStr">
        <is>
          <t>30. For that purpose, in case of outsourcing of critical or important functions, and without prejudice to the applicable requirements under GDPR, a firm, applying a risk-based approach, should at least: a) information security organisation: ensure that there is a clear allocation of information security roles and responsibilities between the firm and the CSP, including in relation to threat detection, incident management and patch management, and ensure that the CSP is effectively able to fulfil its roles and responsibilities; b) identity and access management: ensure that strong authentication mechanisms (for example multi-factor authentication) and access controls are in place with a view to prevent unauthorised access to the firm's data and back-end cloud resources; c) encryption and key management: ensure that relevant encryption technologies are used, where necessary, for data in transit, data in memory, data at rest and data back-ups, in combination with appropriate key management solutions to limit the risk of non-authorised access to the encryption keys; in particular, the firm should consider state-of-the-art technology and processes when selecting its key management solution; d) operations and network security: consider appropriate levels of network availability, network segregation (for example tenant isolation in the shared environment of the cloud, operational separation as regards the web, application logic, operating system, network, Data Base Management System (DBMS) and storage layers) and processing environments (for example test, User Acceptance Testing, development, production); e) application programming interfaces (API): consider mechanisms for the integration of the cloud services with the systems of the firm to ensure security of APIs (for example establishing and maintaining information security policies and procedures for APIs across multiple system interfaces, jurisdictions, and business functions to prevent unauthorised disclosure, modification or destruction of data); f) business continuity and disaster recovery: ensure that effective business continuity and disaster recovery controls are in place (for example by setting minimum capacity requirements, selecting hosting options that are geographically spread, with the capability to switch from one to the other, or requesting and reviewing documentation showing the transport route of the firm's data among the CSP's systems, as well as considering the possibility to replicate machine images to an independent storage location, which is sufficiently isolated from the network or taken offline); g) data location: adopt a risk-based approach to data storage and data processing location(s) (namely regions or countries); h) compliance &amp; monitoring: verify that the CSP complies with internationally recognised information security standards and has implemented appropriate information security controls (for example by requesting the CSP to provide evidence that it conducts relevant information security reviews and by performing regular assessments and tests on the CSP's information security arrangements).</t>
        </is>
      </c>
      <c r="P1551" s="12" t="n">
        <v>36</v>
      </c>
    </row>
    <row r="1552">
      <c r="A1552" t="inlineStr">
        <is>
          <t>GDPR</t>
        </is>
      </c>
      <c r="B1552" t="inlineStr">
        <is>
          <t>esma_cloud_guidelines (GDPR - Row 8)</t>
        </is>
      </c>
      <c r="C1552" t="inlineStr">
        <is>
          <t>31</t>
        </is>
      </c>
      <c r="D1552" s="11" t="inlineStr">
        <is>
          <t>Exit strategy for cloud outsourcing</t>
        </is>
      </c>
      <c r="E1552" t="inlineStr">
        <is>
          <t>17</t>
        </is>
      </c>
      <c r="F1552" t="inlineStr">
        <is>
          <t>High</t>
        </is>
      </c>
      <c r="G1552" t="inlineStr">
        <is>
          <t>High (explicit)</t>
        </is>
      </c>
      <c r="H1552" s="11" t="inlineStr">
        <is>
          <t>Cloud Services</t>
        </is>
      </c>
      <c r="I1552" s="11" t="inlineStr">
        <is>
          <t>Personal Information</t>
        </is>
      </c>
      <c r="J1552" t="inlineStr">
        <is>
          <t>ESMA</t>
        </is>
      </c>
      <c r="K1552" s="11" t="inlineStr">
        <is>
          <t>Firms must develop comprehensive exit plans for cloud outsourcing arrangements to ensure seamless transition without business disruption or compliance detriment. These plans must cover documented exit strategies, alternative solutions, transition protocols, and contractual obligations for data transfer. The exit strategy must maintain data confidentiality, integrity, and availability while complying with applicable legislation.</t>
        </is>
      </c>
      <c r="L1552" s="11" t="inlineStr">
        <is>
          <t>Requires firms to prepare exit strategies for cloud providers to ensure data continuity and regulatory compliance during transitions.</t>
        </is>
      </c>
      <c r="M1552" s="11" t="inlineStr">
        <is>
          <t>• [Must] Develop comprehensive, documented, and tested exit plans
• [Must] Identify alternative solutions and develop transition plans for data transfer</t>
        </is>
      </c>
      <c r="N1552" s="11" t="inlineStr">
        <is>
          <t>• [Must] Ensure cloud outsourcing agreements include obligations for CSP to support orderly data transfer
• [Must] Include secure data deletion from CSP and sub-outsourcers</t>
        </is>
      </c>
      <c r="O1552" s="11" t="inlineStr">
        <is>
          <t>31. In case of outsourcing of critical or important functions, a firm should ensure that it is able to exit the cloud outsourcing arrangement without undue disruption to its business activities and services to its clients, and without any detriment to its compliance with its obligations under the applicable legislation, as well as the confidentiality, integrity and availability of its data. For that purpose, a firm should: a) develop exit plans that are comprehensive, documented and sufficiently tested. These plans should be updated as needed, including in case of changes in the outsourced function; b) identify alternative solutions and develop transition plans to remove the outsourced function and data from the CSP and, where applicable, any sub-outsourcer, and transfer them to the alternative CSP indicated by the firm or directly back to the firm. These solutions should be defined with regard to the challenges that may arise from the location of the data, taking the necessary measures to ensure business continuity during the transition phase; c) ensure that the cloud outsourcing written agreement includes an obligation for the CSP to support the orderly transfer of the outsourced function, and the related processing of data, from the CSP and any sub-outsourcer to another CSP indicated by the firm or directly to the firm in case the firm activates the exit strategy. The obligation to support the orderly transfer of the outsourced function, and the related treatment of data, should include where relevant the secure deletion of the data from the systems of the CSP and any sub-outsourcer.</t>
        </is>
      </c>
      <c r="P1552" s="12" t="n">
        <v>36</v>
      </c>
    </row>
    <row r="1553">
      <c r="A1553" t="inlineStr">
        <is>
          <t>GDPR</t>
        </is>
      </c>
      <c r="B1553" t="inlineStr">
        <is>
          <t>esma_cloud_guidelines (GDPR - Row 8)</t>
        </is>
      </c>
      <c r="C1553" t="inlineStr">
        <is>
          <t>32</t>
        </is>
      </c>
      <c r="D1553" s="11" t="inlineStr">
        <is>
          <t>Exit strategy development requirements</t>
        </is>
      </c>
      <c r="E1553" t="inlineStr">
        <is>
          <t>17–18</t>
        </is>
      </c>
      <c r="F1553" t="inlineStr">
        <is>
          <t>High</t>
        </is>
      </c>
      <c r="G1553" t="inlineStr">
        <is>
          <t>High (explicit)</t>
        </is>
      </c>
      <c r="H1553" s="11" t="inlineStr">
        <is>
          <t>Cloud Services</t>
        </is>
      </c>
      <c r="I1553" s="11" t="inlineStr">
        <is>
          <t>Personal Information</t>
        </is>
      </c>
      <c r="J1553" t="inlineStr">
        <is>
          <t>ESMA</t>
        </is>
      </c>
      <c r="K1553" s="11" t="inlineStr">
        <is>
          <t>Firms must define specific elements for exit strategies, including objectives, trigger events, business impact analysis, role assignments, testing procedures, and success criteria. These elements ensure the exit strategy is practical, timely, and aligned with the firm's operational needs and regulatory obligations.</t>
        </is>
      </c>
      <c r="L1553" s="11" t="inlineStr">
        <is>
          <t>Details the components necessary for effective exit strategies to minimize disruption during cloud service transitions.</t>
        </is>
      </c>
      <c r="M1553" s="11" t="inlineStr">
        <is>
          <t>• [Must] Define objectives of the exit strategy
• Define trigger events for exit strategy activation
• [Must] Perform business impact analysis for the outsourced function</t>
        </is>
      </c>
      <c r="N1553" s="11" t="inlineStr">
        <is>
          <t>• [Must] Assign roles and responsibilities for exit strategy management
• [Must] Test the exit strategy using a risk-based approach
• [Must] Define success criteria for the transition</t>
        </is>
      </c>
      <c r="O1553" s="11" t="inlineStr">
        <is>
          <t>32. When developing the exit plans and solutions referred to in points (a) and (b) above ('exit strategy'), the firm should consider the following: a) define the objectives of the exit strategy; b) define the trigger events that could activate the exit strategy. These should include at least the termination of the cloud outsourcing arrangement at the initiative of the firm or the CSP and the failure or other serious discontinuation of the business activity of the CSP; c) perform a business impact analysis that is commensurate to the function outsourced to identify what human and other resources would be required to implement the exit strategy; d) assign roles and responsibilities to manage the exit strategy; e) test the appropriateness of the exit strategy, using a risk-based approach, (for example, by carrying out an analysis of the potential costs, impact, resources and timing implications of transferring an outsourced service to an alternative provider); f) define success criteria of the transition.</t>
        </is>
      </c>
      <c r="P1553" s="12" t="n">
        <v>36</v>
      </c>
    </row>
    <row r="1554">
      <c r="A1554" t="inlineStr">
        <is>
          <t>GDPR</t>
        </is>
      </c>
      <c r="B1554" t="inlineStr">
        <is>
          <t>esma_cloud_guidelines (GDPR - Row 8)</t>
        </is>
      </c>
      <c r="C1554" t="inlineStr">
        <is>
          <t>33</t>
        </is>
      </c>
      <c r="D1554" s="11" t="inlineStr">
        <is>
          <t>Exit strategy trigger events for cloud services monitoring</t>
        </is>
      </c>
      <c r="E1554" t="inlineStr">
        <is>
          <t>18</t>
        </is>
      </c>
      <c r="F1554" t="inlineStr">
        <is>
          <t>Medium</t>
        </is>
      </c>
      <c r="G1554" t="inlineStr">
        <is>
          <t>High (explicit)</t>
        </is>
      </c>
      <c r="H1554" s="11" t="inlineStr">
        <is>
          <t>Cloud Services</t>
        </is>
      </c>
      <c r="I1554" s="11" t="inlineStr">
        <is>
          <t>Customer Data</t>
        </is>
      </c>
      <c r="J1554" t="inlineStr"/>
      <c r="K1554" s="11" t="inlineStr">
        <is>
          <t>Firms must include indicators of trigger events for their exit strategy within ongoing monitoring of cloud service providers under outsourcing arrangements. These indicators are part of the firm's oversight mechanisms to ensure readiness for potential termination of the cloud service contract. The requirement applies to firms outsourcing cloud services to service providers.</t>
        </is>
      </c>
      <c r="L1554" s="11" t="inlineStr">
        <is>
          <t>This section requires firms to define specific triggers for exiting cloud arrangements, which is critical for DTIAs to assess exit risks and ensure data portability in case of service termination.</t>
        </is>
      </c>
      <c r="M1554" s="11" t="inlineStr">
        <is>
          <t>• [Must] Include indicators of trigger events for exit strategy in ongoing monitoring of cloud services</t>
        </is>
      </c>
      <c r="N1554" s="11" t="inlineStr"/>
      <c r="O1554" s="11" t="inlineStr">
        <is>
          <t>A firm should include indicators of the trigger events of the exit strategy in its ongoing monitoring and oversight of the services provided by the CSP under the cloud outsourcing arrangement.</t>
        </is>
      </c>
      <c r="P1554" s="12" t="n">
        <v>36</v>
      </c>
    </row>
    <row r="1555">
      <c r="A1555" t="inlineStr">
        <is>
          <t>GDPR</t>
        </is>
      </c>
      <c r="B1555" t="inlineStr">
        <is>
          <t>esma_cloud_guidelines (GDPR - Row 8)</t>
        </is>
      </c>
      <c r="C1555" t="inlineStr">
        <is>
          <t>34</t>
        </is>
      </c>
      <c r="D1555" s="11" t="inlineStr">
        <is>
          <t>Cloud agreements must not restrict access and audit rights</t>
        </is>
      </c>
      <c r="E1555" t="inlineStr">
        <is>
          <t>18</t>
        </is>
      </c>
      <c r="F1555" t="inlineStr">
        <is>
          <t>Medium</t>
        </is>
      </c>
      <c r="G1555" t="inlineStr">
        <is>
          <t>High (explicit)</t>
        </is>
      </c>
      <c r="H1555" s="11" t="inlineStr">
        <is>
          <t>Cloud Services</t>
        </is>
      </c>
      <c r="I1555" s="11" t="inlineStr">
        <is>
          <t>Customer Data</t>
        </is>
      </c>
      <c r="J1555" t="inlineStr"/>
      <c r="K1555" s="11" t="inlineStr">
        <is>
          <t>Firms must ensure that cloud outsourcing agreements do not restrict their ability to exercise access and audit rights, as well as oversight options over the cloud service provider. This requirement applies to firms and their competent authorities when conducting audits of cloud service providers.</t>
        </is>
      </c>
      <c r="L1555" s="11" t="inlineStr">
        <is>
          <t>This section ensures that firms retain necessary access and audit rights in cloud arrangements, which is vital for DTIAs to verify compliance with data protection and security obligations across borders.</t>
        </is>
      </c>
      <c r="M1555" s="11" t="inlineStr">
        <is>
          <t>• [Must] Cloud outsourcing written agreement must not limit firm's and competent authority's access and audit rights</t>
        </is>
      </c>
      <c r="N1555" s="11" t="inlineStr"/>
      <c r="O1555" s="11" t="inlineStr">
        <is>
          <t>A firm should ensure that the cloud outsourcing written agreement does not limit the firm's and competent authority's effective exercise of the access and audit rights and oversight options on the CSP.</t>
        </is>
      </c>
      <c r="P1555" s="12" t="n">
        <v>36</v>
      </c>
    </row>
    <row r="1556">
      <c r="A1556" t="inlineStr">
        <is>
          <t>GDPR</t>
        </is>
      </c>
      <c r="B1556" t="inlineStr">
        <is>
          <t>esma_cloud_guidelines (GDPR - Row 8)</t>
        </is>
      </c>
      <c r="C1556" t="inlineStr">
        <is>
          <t>35</t>
        </is>
      </c>
      <c r="D1556" s="11" t="inlineStr">
        <is>
          <t>Audit scope considerations for critical cloud functions</t>
        </is>
      </c>
      <c r="E1556" t="inlineStr">
        <is>
          <t>18</t>
        </is>
      </c>
      <c r="F1556" t="inlineStr">
        <is>
          <t>Medium</t>
        </is>
      </c>
      <c r="G1556" t="inlineStr">
        <is>
          <t>High (explicit)</t>
        </is>
      </c>
      <c r="H1556" s="11" t="inlineStr">
        <is>
          <t>Cloud Services</t>
        </is>
      </c>
      <c r="I1556" s="11" t="inlineStr">
        <is>
          <t>Customer Data</t>
        </is>
      </c>
      <c r="J1556" t="inlineStr"/>
      <c r="K1556" s="11" t="inlineStr">
        <is>
          <t>Firms must ensure that audit frequency, scope, and services audited take into account whether cloud outsourcing relates to critical or important functions, as well as the risks and impact on the firm from the cloud arrangement. This requirement applies to firms conducting audits of cloud service providers.</t>
        </is>
      </c>
      <c r="L1556" s="11" t="inlineStr">
        <is>
          <t>This section mandates that firms tailor audit scope to critical functions, which is essential for DTIAs to assess risk levels in cloud data transfers and ensure adequate oversight for sensitive data.</t>
        </is>
      </c>
      <c r="M1556" s="11" t="inlineStr">
        <is>
          <t>• [Must] Audit frequency and scope must consider critical/important functions and associated risks</t>
        </is>
      </c>
      <c r="N1556" s="11" t="inlineStr"/>
      <c r="O1556" s="11" t="inlineStr">
        <is>
          <t>A firm should ensure that the exercise of the access and audit rights (for example, the audit frequency and the areas and services to be audited) takes into consideration whether the outsourcing is related to a critical or important function, as well as the nature and extent of the risks and impact arising from the cloud outsourcing arrangement on the firm.</t>
        </is>
      </c>
      <c r="P1556" s="12" t="n">
        <v>36</v>
      </c>
    </row>
    <row r="1557">
      <c r="A1557" t="inlineStr">
        <is>
          <t>GDPR</t>
        </is>
      </c>
      <c r="B1557" t="inlineStr">
        <is>
          <t>esma_cloud_guidelines (GDPR - Row 8)</t>
        </is>
      </c>
      <c r="C1557" t="inlineStr">
        <is>
          <t>36</t>
        </is>
      </c>
      <c r="D1557" s="11" t="inlineStr">
        <is>
          <t>Risk mitigation for audit activities in cloud services</t>
        </is>
      </c>
      <c r="E1557" t="inlineStr">
        <is>
          <t>18</t>
        </is>
      </c>
      <c r="F1557" t="inlineStr">
        <is>
          <t>Medium</t>
        </is>
      </c>
      <c r="G1557" t="inlineStr">
        <is>
          <t>High (explicit)</t>
        </is>
      </c>
      <c r="H1557" s="11" t="inlineStr">
        <is>
          <t>Cloud Services</t>
        </is>
      </c>
      <c r="I1557" s="11" t="inlineStr">
        <is>
          <t>Customer Data</t>
        </is>
      </c>
      <c r="J1557" t="inlineStr"/>
      <c r="K1557" s="11" t="inlineStr">
        <is>
          <t>If audit activities create risks to the cloud service provider's environment or other clients' data, the CSP must provide a rationale for the risk and agree on alternative methods to achieve similar results without compromising data confidentiality, integrity, or availability. This requirement applies to firms and CSPs during audits.</t>
        </is>
      </c>
      <c r="L1557" s="11" t="inlineStr">
        <is>
          <t>This section addresses risk mitigation for audits in cloud services, ensuring DTIAs account for potential disruptions to data security when conducting audits across borders.</t>
        </is>
      </c>
      <c r="M1557" s="11" t="inlineStr">
        <is>
          <t>• [Must] CSP must provide rationale for risks created by audit activities and agree on alternative methods</t>
        </is>
      </c>
      <c r="N1557" s="11" t="inlineStr"/>
      <c r="O1557" s="11" t="inlineStr">
        <is>
          <t>In case the exercise of the access or audit rights, or the use of certain audit techniques create a risk for the environment of the CSP and/or another CSP's client (for example by impacting service levels, confidentiality, integrity and availability of data), the CSP should provide a clear rationale to the firm as to why this would create a risk and the CSP should agree with the firm on alternative ways to achieve a similar result (for example, the inclusion of specific controls to be tested in a specific report/certification produced by the CSP).</t>
        </is>
      </c>
      <c r="P1557" s="12" t="n">
        <v>36</v>
      </c>
    </row>
    <row r="1558">
      <c r="A1558" t="inlineStr">
        <is>
          <t>GDPR</t>
        </is>
      </c>
      <c r="B1558" t="inlineStr">
        <is>
          <t>esma_cloud_guidelines (GDPR - Row 8)</t>
        </is>
      </c>
      <c r="C1558" t="inlineStr">
        <is>
          <t>37</t>
        </is>
      </c>
      <c r="D1558" s="11" t="inlineStr">
        <is>
          <t>Efficient audit sharing for cloud services</t>
        </is>
      </c>
      <c r="E1558" t="inlineStr">
        <is>
          <t>18–19</t>
        </is>
      </c>
      <c r="F1558" t="inlineStr">
        <is>
          <t>Medium</t>
        </is>
      </c>
      <c r="G1558" t="inlineStr">
        <is>
          <t>High (explicit)</t>
        </is>
      </c>
      <c r="H1558" s="11" t="inlineStr">
        <is>
          <t>Cloud Services</t>
        </is>
      </c>
      <c r="I1558" s="11" t="inlineStr">
        <is>
          <t>Customer Data</t>
        </is>
      </c>
      <c r="J1558" t="inlineStr"/>
      <c r="K1558" s="11" t="inlineStr">
        <is>
          <t>Firms may use third-party certifications, external or internal audit reports from CSPs, or pooled audits with other clients to reduce audit burden and improve efficiency. This requirement applies to firms outsourcing cloud services to CSPs.</t>
        </is>
      </c>
      <c r="L1558" s="11" t="inlineStr">
        <is>
          <t>This section allows firms to share audit resources across clients, which is relevant for DTIAs to assess cost-effective oversight mechanisms without compromising data security in cross-border cloud arrangements.</t>
        </is>
      </c>
      <c r="M1558" s="11" t="inlineStr">
        <is>
          <t>• [May] Firms may use third-party certifications and external/internal audit reports from CSPs</t>
        </is>
      </c>
      <c r="N1558" s="11" t="inlineStr">
        <is>
          <t>• [May] Firms may use pooled audits with other CSP clients or third-party auditors</t>
        </is>
      </c>
      <c r="O1558" s="11" t="inlineStr">
        <is>
          <t>Firms may use: a) third-party certifications and external or internal audit reports made available by the CSP; b) pooled audits performed jointly with other clients of the same CSP or pooled audits performed by a third-party auditor appointed by multiple clients of the same CSP.</t>
        </is>
      </c>
      <c r="P1558" s="12" t="n">
        <v>36</v>
      </c>
    </row>
    <row r="1559">
      <c r="A1559" t="inlineStr">
        <is>
          <t>GDPR</t>
        </is>
      </c>
      <c r="B1559" t="inlineStr">
        <is>
          <t>esma_cloud_guidelines (GDPR - Row 8)</t>
        </is>
      </c>
      <c r="C1559" t="inlineStr">
        <is>
          <t>38</t>
        </is>
      </c>
      <c r="D1559" s="11" t="inlineStr">
        <is>
          <t>Certification adequacy for critical cloud functions</t>
        </is>
      </c>
      <c r="E1559" t="inlineStr">
        <is>
          <t>19</t>
        </is>
      </c>
      <c r="F1559" t="inlineStr">
        <is>
          <t>Medium</t>
        </is>
      </c>
      <c r="G1559" t="inlineStr">
        <is>
          <t>High (explicit)</t>
        </is>
      </c>
      <c r="H1559" s="11" t="inlineStr">
        <is>
          <t>Cloud Services</t>
        </is>
      </c>
      <c r="I1559" s="11" t="inlineStr">
        <is>
          <t>Customer Data</t>
        </is>
      </c>
      <c r="J1559" t="inlineStr"/>
      <c r="K1559" s="11" t="inlineStr">
        <is>
          <t>Firms must assess whether third-party certifications and audit reports are adequate for critical or important functions, and should not rely solely on these certifications over time. This requirement applies to firms outsourcing critical cloud services.</t>
        </is>
      </c>
      <c r="L1559" s="11" t="inlineStr">
        <is>
          <t>This section ensures that firms validate the ongoing adequacy of certifications for critical cloud functions, which is crucial for DTIAs to maintain robust data protection in high-risk cross-border transfers.</t>
        </is>
      </c>
      <c r="M1559" s="11" t="inlineStr">
        <is>
          <t>• [Must] Assess adequacy of third-party certifications for critical/important functions</t>
        </is>
      </c>
      <c r="N1559" s="11" t="inlineStr">
        <is>
          <t>• [Must Not] Do not solely rely on certifications over time</t>
        </is>
      </c>
      <c r="O1559" s="11" t="inlineStr">
        <is>
          <t>In case of outsourcing of critical or important functions, a firm should assess whether the third-party certifications and external or internal audit reports referred to in paragraph 37(a) are adequate and sufficient to comply with its obligations under the applicable legislation and should aim at not solely relying on these certifications and reports over time.</t>
        </is>
      </c>
      <c r="P1559" s="12" t="n">
        <v>36</v>
      </c>
    </row>
    <row r="1560">
      <c r="A1560" t="inlineStr">
        <is>
          <t>GDPR</t>
        </is>
      </c>
      <c r="B1560" t="inlineStr">
        <is>
          <t>esma_cloud_guidelines (GDPR - Row 8)</t>
        </is>
      </c>
      <c r="C1560" t="inlineStr">
        <is>
          <t>39</t>
        </is>
      </c>
      <c r="D1560" s="11" t="inlineStr">
        <is>
          <t>Outsourcing critical functions: certification and audit requirements</t>
        </is>
      </c>
      <c r="E1560" t="inlineStr">
        <is>
          <t>19</t>
        </is>
      </c>
      <c r="F1560" t="inlineStr">
        <is>
          <t>High</t>
        </is>
      </c>
      <c r="G1560" t="inlineStr">
        <is>
          <t>High (explicit)</t>
        </is>
      </c>
      <c r="H1560" s="11" t="inlineStr">
        <is>
          <t>Cloud Services, Third Party Processing, Outsourcing</t>
        </is>
      </c>
      <c r="I1560" s="11" t="inlineStr">
        <is>
          <t>Personal Information</t>
        </is>
      </c>
      <c r="J1560" t="inlineStr"/>
      <c r="K1560" s="11" t="inlineStr">
        <is>
          <t>Firms must use third-party certifications and audit reports for critical or important functions only if they verify coverage of key systems, controls, and compliance with legislation. They must regularly assess the certifications, ensure they remain current, and maintain contractual rights to expand scope or conduct on-site audits. The requirements apply to firms outsourcing critical functions to cloud service providers.</t>
        </is>
      </c>
      <c r="L1560" s="11" t="inlineStr">
        <is>
          <t>Requires firms to validate that cloud certifications cover critical systems and controls, ensuring ongoing relevance and contractual rights to audit. This impacts DTIA by mandating thorough verification of third-party compliance before outsourcing critical functions.</t>
        </is>
      </c>
      <c r="M1560" s="11" t="inlineStr">
        <is>
          <t>• [Must] Verify certifications or audit reports cover CSP's key systems, processes, applications, infrastructure, data centres, and key controls
• [Must] Regularly assess certifications or audit reports to ensure they are not obsolete
• [Must] Ensure CSP's key systems and controls are covered in future certification or audit report versions
• [Must] Be satisfied with the certifying or auditing party's qualifications, expertise, and rotation</t>
        </is>
      </c>
      <c r="N1560" s="11" t="inlineStr">
        <is>
          <t>• [Must] Confirm certifications are issued and audits follow appropriate standards with effective control testing
• [Must] Maintain contractual right to request scope expansion of certifications or audit reports
• [Must] Retain contractual right to perform individual on-site audits at discretion</t>
        </is>
      </c>
      <c r="O1560" s="11" t="inlineStr">
        <is>
          <t>39. In case of outsourcing of critical or important functions, a firm should make use of the third-party certifications and external or internal audit reports referred to in paragraph 37(a) only if it: a) is satisfied that the scope of the certifications or the audit reports covers the CSP's key systems (for example processes, applications, infrastructure, data centres), the key controls identified by the firm and the compliance with the relevant applicable legislation; b) thoroughly assesses the content of the certifications or audit reports on a regular basis and verify that the certifications or reports are not obsolete; c) ensures that the CSP's key systems and controls are covered in future versions of the certifications or audit reports; d) is satisfied with the certifying or auditing party (for example with regard to its qualifications, expertise, re-performance/verification of the evidence in the underlying audit file as well as rotation of the certifying or auditing company); e) is satisfied that the certifications are issued and that the audits are performed according to appropriate standards and include a test of the effectiveness of the key controls in place; f) has the contractual right to request the expansion of the scope of the certifications or audit reports to other relevant systems and controls of the CSP; the number and frequency of such requests for scope modification should be reasonable and legitimate from a risk management perspective; g) retains the contractual right to perform individual on-site audits at its discretion with regard to the outsourced function.</t>
        </is>
      </c>
      <c r="P1560" s="12" t="n">
        <v>36</v>
      </c>
    </row>
    <row r="1561">
      <c r="A1561" t="inlineStr">
        <is>
          <t>GDPR</t>
        </is>
      </c>
      <c r="B1561" t="inlineStr">
        <is>
          <t>esma_cloud_guidelines (GDPR - Row 8)</t>
        </is>
      </c>
      <c r="C1561" t="inlineStr">
        <is>
          <t>40</t>
        </is>
      </c>
      <c r="D1561" s="11" t="inlineStr">
        <is>
          <t>On-site audits: prior notice requirements</t>
        </is>
      </c>
      <c r="E1561" t="inlineStr">
        <is>
          <t>19</t>
        </is>
      </c>
      <c r="F1561" t="inlineStr">
        <is>
          <t>High</t>
        </is>
      </c>
      <c r="G1561" t="inlineStr">
        <is>
          <t>High (explicit)</t>
        </is>
      </c>
      <c r="H1561" s="11" t="inlineStr">
        <is>
          <t>Cloud Services, Third Party Processing</t>
        </is>
      </c>
      <c r="I1561" s="11" t="inlineStr">
        <is>
          <t>Personal Information</t>
        </is>
      </c>
      <c r="J1561" t="inlineStr"/>
      <c r="K1561" s="11" t="inlineStr">
        <is>
          <t>Firms must provide prior written notice to cloud service providers (CSPs) at least a reasonable time before on-site visits, including those by third-party auditors. Exceptions include emergencies or crises where notice would compromise audit effectiveness. The notice must specify location, purpose, and participating personnel.</t>
        </is>
      </c>
      <c r="L1561" s="11" t="inlineStr">
        <is>
          <t>Requires timely notice for on-site audits, ensuring CSPs are aware of assessments before they occur. This impacts DTIA by clarifying when and how audits can be conducted without disrupting critical functions.</t>
        </is>
      </c>
      <c r="M1561" s="11" t="inlineStr">
        <is>
          <t>• [Must] Provide CSP with prior written notice within a reasonable time period before on-site visits</t>
        </is>
      </c>
      <c r="N1561" s="11" t="inlineStr">
        <is>
          <t>• [Must] Include location, purpose of visit, and participating personnel in notice</t>
        </is>
      </c>
      <c r="O1561" s="11" t="inlineStr">
        <is>
          <t>40. A firm should ensure that, before an on-site visit, including by a third party appointed by the firm (for example an auditor), prior notice within a reasonable time period is provided to the CSP, unless an early prior notification is not possible due to an emergency or crisis situation or would lead to a situation where the audit would no longer be effective. Such notice should include the location, purpose of the visit and the personnel that will participate to the visit.</t>
        </is>
      </c>
      <c r="P1561" s="12" t="n">
        <v>36</v>
      </c>
    </row>
    <row r="1562">
      <c r="A1562" t="inlineStr">
        <is>
          <t>GDPR</t>
        </is>
      </c>
      <c r="B1562" t="inlineStr">
        <is>
          <t>esma_cloud_guidelines (GDPR - Row 8)</t>
        </is>
      </c>
      <c r="C1562" t="inlineStr">
        <is>
          <t>41</t>
        </is>
      </c>
      <c r="D1562" s="11" t="inlineStr">
        <is>
          <t>Cloud audit staff competency requirements</t>
        </is>
      </c>
      <c r="E1562" t="inlineStr">
        <is>
          <t>19–20</t>
        </is>
      </c>
      <c r="F1562" t="inlineStr">
        <is>
          <t>High</t>
        </is>
      </c>
      <c r="G1562" t="inlineStr">
        <is>
          <t>High (explicit)</t>
        </is>
      </c>
      <c r="H1562" s="11" t="inlineStr">
        <is>
          <t>Cloud Services</t>
        </is>
      </c>
      <c r="I1562" s="11" t="inlineStr">
        <is>
          <t>Personal Information</t>
        </is>
      </c>
      <c r="J1562" t="inlineStr"/>
      <c r="K1562" s="11" t="inlineStr">
        <is>
          <t>Staff performing audits of cloud services must have the right skills and knowledge to assess cloud services effectively and conduct relevant audits. This applies to both internal auditors and third-party auditors reviewing certifications or audit reports from cloud service providers.</t>
        </is>
      </c>
      <c r="L1562" s="11" t="inlineStr">
        <is>
          <t>Ensures auditors have necessary expertise to evaluate cloud services, which is critical for DTIA as it affects the validity of compliance assessments.</t>
        </is>
      </c>
      <c r="M1562" s="11" t="inlineStr">
        <is>
          <t>• [Must] Staff performing audits must have right skills and knowledge to assess cloud services effectively</t>
        </is>
      </c>
      <c r="N1562" s="11" t="inlineStr">
        <is>
          <t>• [Must] Staff reviewing CSP certifications or audit reports must have right skills and knowledge</t>
        </is>
      </c>
      <c r="O1562" s="11" t="inlineStr">
        <is>
          <t>41. Considering that cloud services present a high level of technical complexity and raise specific jurisdictional challenges, the staff performing the audit – being the internal auditors of the firm or auditors acting on its behalf – should have the right skills and knowledge to properly assess the relevant cloud services and perform effective and relevant audit. This should also apply to the firms' staff reviewing the certifications or audit reports provided by the CSP.</t>
        </is>
      </c>
      <c r="P1562" s="12" t="n">
        <v>36</v>
      </c>
    </row>
    <row r="1563">
      <c r="A1563" t="inlineStr">
        <is>
          <t>GDPR</t>
        </is>
      </c>
      <c r="B1563" t="inlineStr">
        <is>
          <t>esma_cloud_guidelines (GDPR - Row 8)</t>
        </is>
      </c>
      <c r="C1563" t="inlineStr">
        <is>
          <t>42</t>
        </is>
      </c>
      <c r="D1563" s="11" t="inlineStr">
        <is>
          <t>Sub-outsourcing critical functions: contractual requirements</t>
        </is>
      </c>
      <c r="E1563" t="inlineStr">
        <is>
          <t>20</t>
        </is>
      </c>
      <c r="F1563" t="inlineStr">
        <is>
          <t>High</t>
        </is>
      </c>
      <c r="G1563" t="inlineStr">
        <is>
          <t>High (explicit)</t>
        </is>
      </c>
      <c r="H1563" s="11" t="inlineStr">
        <is>
          <t>Cloud Services, Third Party Processing</t>
        </is>
      </c>
      <c r="I1563" s="11" t="inlineStr">
        <is>
          <t>Personal Information</t>
        </is>
      </c>
      <c r="J1563" t="inlineStr"/>
      <c r="K1563" s="11" t="inlineStr">
        <is>
          <t>If sub-outsourcing critical functions is permitted, cloud outsourcing agreements must specify excluded sub-outsourcing areas, sub-outsourcing conditions, CSP accountability for sub-outsourced services, notification requirements for sub-outsourcing, and the firm's right to object or approve sub-outsourcing. The agreement must allow time for risk assessment and objection.</t>
        </is>
      </c>
      <c r="L1563" s="11" t="inlineStr">
        <is>
          <t>Requires explicit contractual terms for sub-outsourcing critical functions, including notification and objection rights, which are essential for DTIA to assess risks of third-party chain.</t>
        </is>
      </c>
      <c r="M1563" s="11" t="inlineStr">
        <is>
          <t>• [Must] Specify parts of outsourced function excluded from sub-outsourcing
• [Must] Indicate conditions to be complied with in case of sub-outsourcing
• [Must] Ensure CSP remains accountable for sub-outsourced services
• [Must] Include obligation for CSP to notify firm of intended sub-outsourcing or material changes</t>
        </is>
      </c>
      <c r="N1563" s="11" t="inlineStr">
        <is>
          <t>• [Must] Allow firm sufficient time to conduct risk assessment and object to or approve sub-outsourcing
• [Must] Ensure firm has right to object to or explicitly approve sub-outsourcing before it takes effect
• [Must] Ensure firm has right to terminate cloud outsourcing agreement if it objects to sub-outsourcing</t>
        </is>
      </c>
      <c r="O1563" s="11" t="inlineStr">
        <is>
          <t>42. If sub-outsourcing of critical or important functions (or material parts thereof) is permitted, the cloud outsourcing written agreement between the firm and the CSP should: a) specify any part or aspect of the outsourced function that are excluded from potential sub-outsourcing; b) indicate the conditions to be complied with in case of sub-outsourcing; c) specify that the CSP remains accountable and is obliged to oversee those services that it has sub-outsourced to ensure that all contractual obligations between the CSP and the firm are continuously met; d) include an obligation for the CSP to notify the firm of any intended sub-outsourcing, or material changes thereof, in particular where that might affect the ability of the CSP to meet its obligations under the cloud outsourcing arrangement with the firm. The notification period set in the written agreement should allow the firm sufficient time at least to carry out a risk assessment of the proposed sub-outsourcing or material changes thereof and to object to or explicitly approve them, as indicated in point (e) below; e) ensure that the firm has the right to object to the intended sub-outsourcing, or material changes thereof, or that explicit approval is required before the proposed sub-outsourcing or material changes come into effect; f) ensure that the firm has the contractual right to terminate the cloud outsourcing arrangement with the CSP in case it objects to the proposed sub-outsourcing or material changes thereof and in case of undue sub-outsourcing (for example where the CSP proceeds with the sub-outsourcing without notifying the firm or it seriously infringes the conditions of the sub-outsourcing specified in the outsourcing agreement).</t>
        </is>
      </c>
      <c r="P1563" s="12" t="n">
        <v>36</v>
      </c>
    </row>
    <row r="1564">
      <c r="A1564" t="inlineStr">
        <is>
          <t>GDPR</t>
        </is>
      </c>
      <c r="B1564" t="inlineStr">
        <is>
          <t>esma_cloud_guidelines (GDPR - Row 8)</t>
        </is>
      </c>
      <c r="C1564" t="inlineStr">
        <is>
          <t>44</t>
        </is>
      </c>
      <c r="D1564" s="11" t="inlineStr">
        <is>
          <t>Notification of critical cloud outsourcing arrangements</t>
        </is>
      </c>
      <c r="E1564" t="inlineStr">
        <is>
          <t>20</t>
        </is>
      </c>
      <c r="F1564" t="inlineStr">
        <is>
          <t>High</t>
        </is>
      </c>
      <c r="G1564" t="inlineStr">
        <is>
          <t>High (explicit)</t>
        </is>
      </c>
      <c r="H1564" s="11" t="inlineStr">
        <is>
          <t>Cloud Services</t>
        </is>
      </c>
      <c r="I1564" s="11" t="inlineStr">
        <is>
          <t>Personal Information</t>
        </is>
      </c>
      <c r="J1564" t="inlineStr"/>
      <c r="K1564" s="11" t="inlineStr">
        <is>
          <t>Firms must notify their competent authority in writing of planned cloud outsourcing arrangements for critical or important functions. This also applies to functions previously classified as non-critical that become critical or important.</t>
        </is>
      </c>
      <c r="L1564" s="11" t="inlineStr">
        <is>
          <t>Requires firms to inform regulators about critical cloud outsourcing, which is essential for DTIA to track and assess risks of critical functions being outsourced.</t>
        </is>
      </c>
      <c r="M1564" s="11" t="inlineStr">
        <is>
          <t>• [Must] Notify competent authority in writing of planned cloud outsourcing arrangements for critical or important functions</t>
        </is>
      </c>
      <c r="N1564" s="11" t="inlineStr">
        <is>
          <t>• [Must] Notify competent authority in writing of cloud outsourcing arrangements that become critical or important</t>
        </is>
      </c>
      <c r="O1564" s="11" t="inlineStr">
        <is>
          <t>44. The firm should notify in writing its competent authority in a timely manner of planned cloud outsourcing arrangements that concern a critical or important function. The firm should also notify in a timely manner and in writing its competent authority of those cloud outsourcing arrangements that concern a function that was previously classified as non-critical or non-important and then became critical or important.</t>
        </is>
      </c>
      <c r="P1564" s="12" t="n">
        <v>36</v>
      </c>
    </row>
    <row r="1565">
      <c r="A1565" t="inlineStr">
        <is>
          <t>GDPR</t>
        </is>
      </c>
      <c r="B1565" t="inlineStr">
        <is>
          <t>esma_cloud_guidelines (GDPR - Row 8)</t>
        </is>
      </c>
      <c r="C1565" t="inlineStr">
        <is>
          <t>45</t>
        </is>
      </c>
      <c r="D1565" s="11" t="inlineStr">
        <is>
          <t>Cloud outsourcing notification content requirements</t>
        </is>
      </c>
      <c r="E1565" t="inlineStr">
        <is>
          <t>20–21</t>
        </is>
      </c>
      <c r="F1565" t="inlineStr">
        <is>
          <t>High</t>
        </is>
      </c>
      <c r="G1565" t="inlineStr">
        <is>
          <t>High (explicit)</t>
        </is>
      </c>
      <c r="H1565" s="11" t="inlineStr">
        <is>
          <t>Cloud Services</t>
        </is>
      </c>
      <c r="I1565" s="11" t="inlineStr">
        <is>
          <t>Personal Information</t>
        </is>
      </c>
      <c r="J1565" t="inlineStr"/>
      <c r="K1565" s="11" t="inlineStr">
        <is>
          <t>Firms must include specific information in written notifications to competent authorities about cloud outsourcing arrangements, including start dates, reasons for criticality, CSP details, data locations, risk assessments, and sub-outsourcers. The information must be proportionate and relevant.</t>
        </is>
      </c>
      <c r="L1565" s="11" t="inlineStr">
        <is>
          <t>Details required in notifications help DTIA assess risks by providing transparency on data locations, CSPs, and sub-outsourcers, which is critical for cross-border data flows.</t>
        </is>
      </c>
      <c r="M1565" s="11" t="inlineStr">
        <is>
          <t>• [Must] Include start date of cloud outsourcing agreement and next renewal date, end date, and notice periods
• [Must] Provide brief description of outsourced function
• [Must] State reasons why outsourced function is critical or important
• [Must] List CSP name, brand, country of registration, corporate registration number, legal entity identifier, registered address, contact details, and parent company
• [Must] Specify governing law and jurisdiction choice of cloud outsourcing agreement</t>
        </is>
      </c>
      <c r="N1565" s="11" t="inlineStr">
        <is>
          <t>• [Must] Detail cloud deployment models and data storage locations
• [Must] Include date of most recent assessment of criticality or importance
• [Must] Provide date of most recent risk assessment or audit with summary of results
• [Must] Identify individual or decision-making body that approved cloud outsourcing
• [Must] List sub-outsourcers with their country, service location, and data storage locations</t>
        </is>
      </c>
      <c r="O1565" s="11" t="inlineStr">
        <is>
          <t>45. The firm's written notification should include, taking into account the principle of proportionality, at least the following information: a) the start date of the cloud outsourcing agreement and, as applicable, the next contract renewal date, the end date and/or notice periods for the CSP and for the firm; b) a brief description of the outsourced function; c) a brief summary of the reasons why the outsourced function is considered critical or important; d) the name and the brand name (if any) of the CSP, its country of registration, its corporate registration number, its legal entity identifier (where available), its registered address, its relevant contact details, and the name of its parent company (if any); e) the governing law of the cloud outsourcing agreement and, if any, the choice of jurisdiction; f) the cloud deployment models and the specific nature of the data to be held by the CSP and the locations (namely regions or countries) where such data will be stored; g) the date of the most recent assessment of the criticality or importance of the outsourced function; h) the date of the most recent risk assessment or audit of the CSP together with a brief summary of the main results, and the date of the next planned risk assessment or audit; i) the individual or decision-making body in the firm that approved the cloud outsourcing arrangement; j) where applicable, the names of any sub-outsourcer to which material parts of a critical or important function are sub-outsourced, including the country or region where the sub-outsourcers are registered, where the sub-outsourced service will be performed, and where the data will be stored;</t>
        </is>
      </c>
      <c r="P1565" s="12" t="n">
        <v>36</v>
      </c>
    </row>
    <row r="1566">
      <c r="A1566" t="inlineStr">
        <is>
          <t>GDPR</t>
        </is>
      </c>
      <c r="B1566" t="inlineStr">
        <is>
          <t>esma_cloud_guidelines (GDPR - Row 8)</t>
        </is>
      </c>
      <c r="C1566" t="inlineStr">
        <is>
          <t>46</t>
        </is>
      </c>
      <c r="D1566" s="11" t="inlineStr">
        <is>
          <t>Competent authorities assess cloud outsourcing risks</t>
        </is>
      </c>
      <c r="E1566" t="inlineStr">
        <is>
          <t>21</t>
        </is>
      </c>
      <c r="F1566" t="inlineStr">
        <is>
          <t>High</t>
        </is>
      </c>
      <c r="G1566" t="inlineStr">
        <is>
          <t>High (explicit)</t>
        </is>
      </c>
      <c r="H1566" s="11" t="inlineStr">
        <is>
          <t>Cloud Services</t>
        </is>
      </c>
      <c r="I1566" s="11" t="inlineStr">
        <is>
          <t>Customer Data</t>
        </is>
      </c>
      <c r="J1566" t="inlineStr">
        <is>
          <t>Competent authorities</t>
        </is>
      </c>
      <c r="K1566" s="11" t="inlineStr">
        <is>
          <t>Competent authorities must evaluate risks from firms' cloud outsourcing arrangements during supervision. The assessment specifically targets critical or important functions that are outsourced. This requirement applies to financial institutions under EU regulatory oversight.</t>
        </is>
      </c>
      <c r="L1566" s="11" t="inlineStr">
        <is>
          <t>Competent authorities require risk assessments for cloud outsourcing of critical functions, impacting DTIA by mandating specific risk evaluation for cross-border cloud data transfers.</t>
        </is>
      </c>
      <c r="M1566" s="11" t="inlineStr">
        <is>
          <t>• [Must] Competent authorities should assess risks arising from firms' cloud outsourcing arrangements</t>
        </is>
      </c>
      <c r="N1566" s="11" t="inlineStr">
        <is>
          <t>• [Must] Assessment should focus on arrangements related to outsourcing critical or important functions</t>
        </is>
      </c>
      <c r="O1566" s="11" t="inlineStr">
        <is>
          <t>46. Competent authorities should assess the risks arising from firms' cloud outsourcing arrangements as part of their supervisory process. In particular, this assessment should focus on the arrangements that relate to the outsourcing of critical or important functions.</t>
        </is>
      </c>
      <c r="P1566" s="12" t="n">
        <v>36</v>
      </c>
    </row>
    <row r="1567">
      <c r="A1567" t="inlineStr">
        <is>
          <t>GDPR</t>
        </is>
      </c>
      <c r="B1567" t="inlineStr">
        <is>
          <t>esma_cloud_guidelines (GDPR - Row 8)</t>
        </is>
      </c>
      <c r="C1567" t="inlineStr">
        <is>
          <t>47</t>
        </is>
      </c>
      <c r="D1567" s="11" t="inlineStr">
        <is>
          <t>Competent authorities ensure effective supervision of outsourced critical functions</t>
        </is>
      </c>
      <c r="E1567" t="inlineStr">
        <is>
          <t>21</t>
        </is>
      </c>
      <c r="F1567" t="inlineStr">
        <is>
          <t>High</t>
        </is>
      </c>
      <c r="G1567" t="inlineStr">
        <is>
          <t>High (explicit)</t>
        </is>
      </c>
      <c r="H1567" s="11" t="inlineStr">
        <is>
          <t>Cloud Services</t>
        </is>
      </c>
      <c r="I1567" s="11" t="inlineStr">
        <is>
          <t>Customer Data</t>
        </is>
      </c>
      <c r="J1567" t="inlineStr">
        <is>
          <t>Competent authorities</t>
        </is>
      </c>
      <c r="K1567" s="11" t="inlineStr">
        <is>
          <t>Competent authorities must confirm their capacity to supervise effectively when firms outsource critical functions outside the EU. This requirement ensures regulatory oversight remains robust for financial institutions operating across borders.</t>
        </is>
      </c>
      <c r="L1567" s="11" t="inlineStr">
        <is>
          <t>Competent authorities must verify supervision effectiveness for outsourced critical functions outside the EU, directly affecting DTIA by requiring cross-border cloud data transfer safeguards.</t>
        </is>
      </c>
      <c r="M1567" s="11" t="inlineStr">
        <is>
          <t>• [Must] Competent authorities should be satisfied they are able to perform effective supervision</t>
        </is>
      </c>
      <c r="N1567" s="11" t="inlineStr">
        <is>
          <t>• [Condition] This applies when firms outsource critical or important functions outside the EU</t>
        </is>
      </c>
      <c r="O1567" s="11" t="inlineStr">
        <is>
          <t>47. Competent authorities should be satisfied that they are able to perform effective supervision, in particular when firms outsource critical or important functions that are performed outside the EU.</t>
        </is>
      </c>
      <c r="P1567" s="12" t="n">
        <v>36</v>
      </c>
    </row>
    <row r="1568">
      <c r="A1568" t="inlineStr">
        <is>
          <t>GDPR</t>
        </is>
      </c>
      <c r="B1568" t="inlineStr">
        <is>
          <t>esma_cloud_guidelines (GDPR - Row 8)</t>
        </is>
      </c>
      <c r="C1568" t="inlineStr">
        <is>
          <t>48</t>
        </is>
      </c>
      <c r="D1568" s="11" t="inlineStr">
        <is>
          <t>Competent authorities assess cloud outsourcing governance and risk management</t>
        </is>
      </c>
      <c r="E1568" t="inlineStr">
        <is>
          <t>21</t>
        </is>
      </c>
      <c r="F1568" t="inlineStr">
        <is>
          <t>High</t>
        </is>
      </c>
      <c r="G1568" t="inlineStr">
        <is>
          <t>High (explicit)</t>
        </is>
      </c>
      <c r="H1568" s="11" t="inlineStr">
        <is>
          <t>Cloud Services</t>
        </is>
      </c>
      <c r="I1568" s="11" t="inlineStr">
        <is>
          <t>Customer Data</t>
        </is>
      </c>
      <c r="J1568" t="inlineStr">
        <is>
          <t>Competent authorities</t>
        </is>
      </c>
      <c r="K1568" s="11" t="inlineStr">
        <is>
          <t>Competent authorities must evaluate firms' governance, resources, and processes for cloud outsourcing on a risk-based approach. They must also ensure firms identify and manage all relevant risks associated with cloud outsourcing activities.</t>
        </is>
      </c>
      <c r="L1568" s="11" t="inlineStr">
        <is>
          <t>Competent authorities require firms to implement robust governance and risk management for cloud outsourcing, directly impacting DTIA by mandating specific controls for cross-border data transfers.</t>
        </is>
      </c>
      <c r="M1568" s="11" t="inlineStr">
        <is>
          <t>• [Must] Competent authorities should assess whether firms have governance, resources and operational processes to enter, implement, and oversee cloud outsourcing arrangements</t>
        </is>
      </c>
      <c r="N1568" s="11" t="inlineStr">
        <is>
          <t>• [Must] Competent authorities should assess whether firms identify and manage all relevant risks related to cloud outsourcing</t>
        </is>
      </c>
      <c r="O1568" s="11" t="inlineStr">
        <is>
          <t>48. Competent authorities should assess on a risk-based approach whether firms: a) have in place the relevant governance, resources and operational processes to appropriately and effectively enter into, implement, and oversee cloud outsourcing arrangements; b) identify and manage all relevant risks related to cloud outsourcing.</t>
        </is>
      </c>
      <c r="P1568" s="12" t="n">
        <v>36</v>
      </c>
    </row>
    <row r="1569">
      <c r="A1569" t="inlineStr">
        <is>
          <t>GDPR</t>
        </is>
      </c>
      <c r="B1569" t="inlineStr">
        <is>
          <t>esma_cloud_guidelines (GDPR - Row 8)</t>
        </is>
      </c>
      <c r="C1569" t="inlineStr">
        <is>
          <t>49</t>
        </is>
      </c>
      <c r="D1569" s="11" t="inlineStr">
        <is>
          <t>Competent authorities monitor concentration risks from cloud outsourcing</t>
        </is>
      </c>
      <c r="E1569" t="inlineStr">
        <is>
          <t>21</t>
        </is>
      </c>
      <c r="F1569" t="inlineStr">
        <is>
          <t>High</t>
        </is>
      </c>
      <c r="G1569" t="inlineStr">
        <is>
          <t>High (explicit)</t>
        </is>
      </c>
      <c r="H1569" s="11" t="inlineStr">
        <is>
          <t>Cloud Services</t>
        </is>
      </c>
      <c r="I1569" s="11" t="inlineStr">
        <is>
          <t>Customer Data</t>
        </is>
      </c>
      <c r="J1569" t="inlineStr">
        <is>
          <t>Competent authorities</t>
        </is>
      </c>
      <c r="K1569" s="11" t="inlineStr">
        <is>
          <t>If concentration risks are identified, competent authorities must monitor the development of these risks and evaluate their potential impact on other firms and financial market stability. This applies to cloud outsourcing activities that could affect market concentration.</t>
        </is>
      </c>
      <c r="L1569" s="11" t="inlineStr">
        <is>
          <t>Competent authorities must monitor concentration risks from cloud outsourcing, directly affecting DTIA by requiring assessment of cross-border data transfer impacts on market stability.</t>
        </is>
      </c>
      <c r="M1569" s="11" t="inlineStr">
        <is>
          <t>• [Must] Competent authorities should monitor development of concentration risks</t>
        </is>
      </c>
      <c r="N1569" s="11" t="inlineStr">
        <is>
          <t>• [Must] Competent authorities should evaluate potential impact on other firms and financial market stability</t>
        </is>
      </c>
      <c r="O1569" s="11" t="inlineStr">
        <is>
          <t>49. Where concentration risks are identified, competent authorities should monitor the development of such risks and evaluate both their potential impact on other firms they supervise and the stability of the financial market.</t>
        </is>
      </c>
      <c r="P1569" s="12" t="n">
        <v>36</v>
      </c>
    </row>
    <row r="1570">
      <c r="A1570" t="inlineStr">
        <is>
          <t>India</t>
        </is>
      </c>
      <c r="B1570" t="inlineStr">
        <is>
          <t>Guidelines on Information and Cyber Security (India - Row 8)</t>
        </is>
      </c>
      <c r="C1570" t="inlineStr">
        <is>
          <t>1</t>
        </is>
      </c>
      <c r="D1570" s="11" t="inlineStr">
        <is>
          <t>Applicability of Guidelines to Insurers</t>
        </is>
      </c>
      <c r="E1570" t="inlineStr">
        <is>
          <t>1</t>
        </is>
      </c>
      <c r="F1570" t="inlineStr">
        <is>
          <t>Medium</t>
        </is>
      </c>
      <c r="G1570" t="inlineStr">
        <is>
          <t>High (explicit)</t>
        </is>
      </c>
      <c r="H1570" s="11" t="inlineStr"/>
      <c r="I1570" s="11" t="inlineStr"/>
      <c r="J1570" t="inlineStr">
        <is>
          <t>IRDAI</t>
        </is>
      </c>
      <c r="K1570" s="11" t="inlineStr">
        <is>
          <t>This section states that the Guidelines on Information and Cyber Security for Insurers are applicable to all insurers regulated by the Insurance Regulatory and Development Authority of India (IRDAI). The applicability is explicitly defined by reference to Point 3 of the guidelines document.</t>
        </is>
      </c>
      <c r="L1570" s="11" t="inlineStr"/>
      <c r="M1570" s="11" t="inlineStr">
        <is>
          <t>• [Must] Guidelines on Information and Cyber Security for Insurers are applicable to all insurers regulated by IRDAI</t>
        </is>
      </c>
      <c r="N1570" s="11" t="inlineStr"/>
      <c r="O1570" s="11" t="inlineStr">
        <is>
          <t>Reference is drawn to Point no. 3 on "Applicability" of Guidelines on Information and Cyber Security for Insurers dated 07.04.2017 read as "this guidelines document is applicable to all insurers regulated by Insurance Regulatory and Development Authority of India (IRDAI".</t>
        </is>
      </c>
      <c r="P1570" s="12" t="n">
        <v>41</v>
      </c>
    </row>
    <row r="1571">
      <c r="A1571" t="inlineStr">
        <is>
          <t>India</t>
        </is>
      </c>
      <c r="B1571" t="inlineStr">
        <is>
          <t>Guidelines on Information and Cyber Security (India - Row 8)</t>
        </is>
      </c>
      <c r="C1571" t="inlineStr">
        <is>
          <t>2</t>
        </is>
      </c>
      <c r="D1571" s="11" t="inlineStr">
        <is>
          <t>Extension of Applicability to Insurance Intermediaries</t>
        </is>
      </c>
      <c r="E1571" t="inlineStr">
        <is>
          <t>1</t>
        </is>
      </c>
      <c r="F1571" t="inlineStr">
        <is>
          <t>Medium</t>
        </is>
      </c>
      <c r="G1571" t="inlineStr">
        <is>
          <t>High (explicit)</t>
        </is>
      </c>
      <c r="H1571" s="11" t="inlineStr"/>
      <c r="I1571" s="11" t="inlineStr"/>
      <c r="J1571" t="inlineStr">
        <is>
          <t>IRDAI</t>
        </is>
      </c>
      <c r="K1571" s="11" t="inlineStr">
        <is>
          <t>This section declares that the Guidelines on Information and Cyber Security for Insurers apply to all Insurance Intermediaries with immediate effect. The applicability extension is a direct decision by the Authority to include intermediaries within the regulatory scope.</t>
        </is>
      </c>
      <c r="L1571" s="11" t="inlineStr"/>
      <c r="M1571" s="11" t="inlineStr">
        <is>
          <t>• [Must] Guidelines on Information and Cyber Security for Insurers apply to all Insurance Intermediaries with immediate effect</t>
        </is>
      </c>
      <c r="N1571" s="11" t="inlineStr"/>
      <c r="O1571" s="11" t="inlineStr">
        <is>
          <t>It has been decided by the Authority to extend the applicability of said guidelines to all Insurance Intermediaries with immediate effect.</t>
        </is>
      </c>
      <c r="P1571" s="12" t="n">
        <v>41</v>
      </c>
    </row>
    <row r="1572">
      <c r="A1572" t="inlineStr">
        <is>
          <t>India</t>
        </is>
      </c>
      <c r="B1572" t="inlineStr">
        <is>
          <t>NT75589AC4A988D446CA94182886F6D8EADD (India - Row 13) PROVISIONALLY</t>
        </is>
      </c>
      <c r="C1572" t="inlineStr">
        <is>
          <t>3</t>
        </is>
      </c>
      <c r="D1572" s="11" t="inlineStr">
        <is>
          <t>All other instructions remain unchanged</t>
        </is>
      </c>
      <c r="E1572" t="inlineStr">
        <is>
          <t>1–2</t>
        </is>
      </c>
      <c r="F1572" t="inlineStr">
        <is>
          <t>None</t>
        </is>
      </c>
      <c r="G1572" t="inlineStr">
        <is>
          <t>High (explicit)</t>
        </is>
      </c>
      <c r="H1572" s="11" t="inlineStr"/>
      <c r="I1572" s="11" t="inlineStr"/>
      <c r="J1572" t="inlineStr"/>
      <c r="K1572" s="11" t="inlineStr">
        <is>
          <t>This section states that all existing instructions related to the matter remain unchanged. It does not introduce new obligations or modifications to the current framework. The provision serves as a continuity measure without altering the existing regulatory directives.</t>
        </is>
      </c>
      <c r="L1572" s="11" t="inlineStr"/>
      <c r="M1572" s="11" t="inlineStr">
        <is>
          <t>• [Must] All other instructions in this regard shall remain unchanged</t>
        </is>
      </c>
      <c r="N1572" s="11" t="inlineStr"/>
      <c r="O1572" s="11" t="inlineStr">
        <is>
          <t>3. All other instructions in this regard shall remain unchanged.</t>
        </is>
      </c>
      <c r="P1572" s="12" t="n">
        <v>43</v>
      </c>
    </row>
    <row r="1573">
      <c r="A1573" t="inlineStr">
        <is>
          <t>India</t>
        </is>
      </c>
      <c r="B1573" t="inlineStr">
        <is>
          <t>Payment and Settlement Systems Act, 2007 (India - Row 11)</t>
        </is>
      </c>
      <c r="C1573" t="inlineStr">
        <is>
          <t>2</t>
        </is>
      </c>
      <c r="D1573" s="11" t="inlineStr">
        <is>
          <t>Definitions of key terms in payment systems</t>
        </is>
      </c>
      <c r="E1573" t="inlineStr">
        <is>
          <t>1</t>
        </is>
      </c>
      <c r="F1573" t="inlineStr">
        <is>
          <t>High</t>
        </is>
      </c>
      <c r="G1573" t="inlineStr">
        <is>
          <t>High (explicit)</t>
        </is>
      </c>
      <c r="H1573" s="11" t="inlineStr"/>
      <c r="I1573" s="11" t="inlineStr">
        <is>
          <t>Financial Data, Customer Data</t>
        </is>
      </c>
      <c r="J1573" t="inlineStr"/>
      <c r="K1573" s="11" t="inlineStr">
        <is>
          <t>This section defines critical terms such as 'bank', 'derivative', 'electronic funds transfer', 'gross settlement system', and 'payment system' for the Payment and Settlement Systems Act. These definitions specify the scope of entities and transactions covered by the Act, including banks, payment systems, and derivatives. The definitions also clarify the roles of system participants and providers in payment systems.</t>
        </is>
      </c>
      <c r="L1573" s="11" t="inlineStr">
        <is>
          <t>These definitions establish the scope of data and entities subject to the Act, which is crucial for determining what data transfers and processing activities fall under the regulatory framework.</t>
        </is>
      </c>
      <c r="M1573" s="11" t="inlineStr">
        <is>
          <t>• [Condition] In this Act, unless the context otherwise requires
• [Definition] bank means a bank included in the Second Schedule to the Reserve Bank of India Act, 1934
• [Definition] bank means a post office savings bank
• [Definition] bank means a banking company as defined in clause (c) of section 5 of the Banking Regulation Act, 1949
• [Definition] bank means a co-operative bank as defined in clause (cci) of section 5, as inserted by section 56 of the Banking Regulation Act, 1949
• [Definition] bank means such other bank as the Reserve Bank may, by notification, specify for the purposes of this Act
• [Definition] derivative means an instrument, to be settled at a future date, whose value is derived from change in interest rate, foreign exchange rate, credit rating or credit index
• [Definition] derivative includes interest rate swaps, forward rate agreements, foreign currency swaps
• [Definition] electronic funds transfer means any transfer of funds initiated by a person by way of instruction, authorisation or order to a bank through electronic means
• [Definition] gross settlement system means a payment system in which each settlement of funds or securities occurs on the basis of separate or individual instructions
• [Definition] issuer means a person who issues a legal entity identifier or such other unique identification as may be specified by the Reserve Bank</t>
        </is>
      </c>
      <c r="N1573" s="11" t="inlineStr">
        <is>
          <t>• [Definition] legal entity identifier means a unique identity code assigned to a person by an issuer for the purpose of identifying that person in such derivatives or financial transactions
• [Definition] netting means the determination by the system provider of the amount of money or securities due or payable as a result of setting off or adjusting payment obligations
• [Definition] notification means a notification published in the Official Gazette
• [Definition] payment instruction means any instrument, authorisation or order in any form to effect a payment
• [Definition] payment obligation means an indebtedness owned by one system participant to another system participant as a result of clearing or settlement of payment instructions
• [Definition] payment system means a system that enables payment to be effected between a payer and a beneficiary
• [Definition] securities means the Government securities as defined in the Public Debt Act, 1944
• [Definition] settlement means settlement of payment instructions and includes settlement of securities, foreign exchange or derivatives
• [Definition] systemic risk means the risk arising from the inability of a system participant to meet payment obligations or any disruption in the system
• [Definition] system participant means a bank or any other person participating in a payment system
• [Definition] system provider means a person who operates an authorised payment system</t>
        </is>
      </c>
      <c r="O1573" s="11" t="inlineStr">
        <is>
          <t>2. Definitions.—(1) In this Act, unless the context otherwise requires,—</t>
        </is>
      </c>
      <c r="P1573" s="12" t="n">
        <v>44</v>
      </c>
    </row>
    <row r="1574">
      <c r="A1574" t="inlineStr">
        <is>
          <t>India</t>
        </is>
      </c>
      <c r="B1574" t="inlineStr">
        <is>
          <t>Payment and Settlement Systems Act, 2007 (India - Row 11)</t>
        </is>
      </c>
      <c r="C1574" t="inlineStr">
        <is>
          <t>3</t>
        </is>
      </c>
      <c r="D1574" s="11" t="inlineStr">
        <is>
          <t>Reserve Bank as designated authority for payment system regulation and oversight committee</t>
        </is>
      </c>
      <c r="E1574" t="inlineStr">
        <is>
          <t>5</t>
        </is>
      </c>
      <c r="F1574" t="inlineStr">
        <is>
          <t>High</t>
        </is>
      </c>
      <c r="G1574" t="inlineStr">
        <is>
          <t>High (explicit)</t>
        </is>
      </c>
      <c r="H1574" s="11" t="inlineStr">
        <is>
          <t>Governance, Record Keeping</t>
        </is>
      </c>
      <c r="I1574" s="11" t="inlineStr">
        <is>
          <t>Financial Data</t>
        </is>
      </c>
      <c r="J1574" t="inlineStr">
        <is>
          <t>Reserve Bank of India</t>
        </is>
      </c>
      <c r="K1574" s="11" t="inlineStr">
        <is>
          <t>The Reserve Bank is designated as the sole authority for payment system regulation and supervision. It may establish a committee within its Central Board called the Board for Regulation and Supervision of Payment and Settlement Systems, which includes the Governor as Chairperson, Deputy Governor in-charge of Payment Systems as Vice-Chairperson, and up to three Directors from the Central Board of the Reserve Bank. The committee's procedures and quorum are subject to regulation.</t>
        </is>
      </c>
      <c r="L1574" s="11" t="inlineStr">
        <is>
          <t>This section establishes the oversight committee structure for payment systems, relevant for DTIAs as it defines the regulatory body responsible for payment system authorization and supervision.</t>
        </is>
      </c>
      <c r="M1574" s="11" t="inlineStr">
        <is>
          <t>• [Must] The Reserve Bank shall be the designated authority for the regulation and supervision of payment systems under this Act
• [May] The Reserve Bank may constitute a committee of its Central Board to be known as the Board for Regulation and Supervision of Payment and Settlement Systems</t>
        </is>
      </c>
      <c r="N1574" s="11" t="inlineStr">
        <is>
          <t>• [Must] The committee shall consist of Governor as Chairperson, Deputy Governor in-charge of Payment Systems as Vice-Chairperson, and up to three Directors from Central Board of Reserve Bank
• [Condition] The committee's powers, meeting procedures, quorum and other incidental matters shall be prescribed</t>
        </is>
      </c>
      <c r="O1574" s="11" t="inlineStr">
        <is>
          <t>3. Designated authority and its Committee.—(1) The Reserve Bank shall be the designated authority for the regulation and supervision of payment systems under this Act.</t>
        </is>
      </c>
      <c r="P1574" s="12" t="n">
        <v>44</v>
      </c>
    </row>
    <row r="1575">
      <c r="A1575" t="inlineStr">
        <is>
          <t>India</t>
        </is>
      </c>
      <c r="B1575" t="inlineStr">
        <is>
          <t>Payment and Settlement Systems Act, 2007 (India - Row 11)</t>
        </is>
      </c>
      <c r="C1575" t="inlineStr">
        <is>
          <t>4</t>
        </is>
      </c>
      <c r="D1575" s="11" t="inlineStr">
        <is>
          <t>Penalty payment terms</t>
        </is>
      </c>
      <c r="E1575" t="inlineStr">
        <is>
          <t>6</t>
        </is>
      </c>
      <c r="F1575" t="inlineStr">
        <is>
          <t>High</t>
        </is>
      </c>
      <c r="G1575" t="inlineStr">
        <is>
          <t>High (explicit)</t>
        </is>
      </c>
      <c r="H1575" s="11" t="inlineStr"/>
      <c r="I1575" s="11" t="inlineStr"/>
      <c r="J1575" t="inlineStr">
        <is>
          <t>Reserve Bank of India</t>
        </is>
      </c>
      <c r="K1575" s="11" t="inlineStr">
        <is>
          <t>Penalties imposed by the Reserve Bank must be paid within thirty days of notice. Failure to pay may lead to court enforcement. The Reserve Bank may recover penalties by debiting current accounts, liquidating securities, or through court orders. Penalties are enforceable as decrees in civil suits.</t>
        </is>
      </c>
      <c r="L1575" s="11" t="inlineStr"/>
      <c r="M1575" s="11" t="inlineStr">
        <is>
          <t>• [Must] Any penalty imposed by the Reserve Bank under this section shall be payable within a period of thirty days from the date on which notice issued by the Reserve Bank demanding payment of the sum is served on the defaulter
• [May] In the event of failure of the person to pay the sum within such period, may be recovered on a direction made by the principal civil court having jurisdiction in the area where the registered office of the defaulter company or the official business of the person is situated</t>
        </is>
      </c>
      <c r="N1575" s="11" t="inlineStr">
        <is>
          <t>• [May] The Reserve Bank may recover the amount of penalty by debiting the current account, if any, of the defaulter or by liquidating the securities held to the credit of the defaulter
• [Must] The court which makes a direction under sub-section (3) shall issue a certificate specifying the sum payable by the defaulter and every such certificate shall be enforceable in the same manner as it were a decree made by the court in a civil suit</t>
        </is>
      </c>
      <c r="O1575" s="11" t="inlineStr">
        <is>
          <t>33. Mode of recovery of penalty.—(1)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t>
        </is>
      </c>
      <c r="P1575" s="12" t="n">
        <v>44</v>
      </c>
    </row>
    <row r="1576">
      <c r="A1576" t="inlineStr">
        <is>
          <t>India</t>
        </is>
      </c>
      <c r="B1576" t="inlineStr">
        <is>
          <t>Payment and Settlement Systems Act, 2007 (India - Row 11)</t>
        </is>
      </c>
      <c r="C1576" t="inlineStr">
        <is>
          <t>5</t>
        </is>
      </c>
      <c r="D1576" s="11" t="inlineStr">
        <is>
          <t>Application process for payment system authorization</t>
        </is>
      </c>
      <c r="E1576" t="inlineStr">
        <is>
          <t>6</t>
        </is>
      </c>
      <c r="F1576" t="inlineStr">
        <is>
          <t>High</t>
        </is>
      </c>
      <c r="G1576" t="inlineStr">
        <is>
          <t>High (explicit)</t>
        </is>
      </c>
      <c r="H1576" s="11" t="inlineStr">
        <is>
          <t>Financial Data</t>
        </is>
      </c>
      <c r="I1576" s="11" t="inlineStr">
        <is>
          <t>Financial Data</t>
        </is>
      </c>
      <c r="J1576" t="inlineStr">
        <is>
          <t>Reserve Bank of India</t>
        </is>
      </c>
      <c r="K1576" s="11" t="inlineStr">
        <is>
          <t>Any entity seeking to operate a payment system must submit an application to the Reserve Bank. The application must be in the prescribed form and accompanied by the prescribed fees. This section establishes the procedural requirements for obtaining authorization to operate payment systems.</t>
        </is>
      </c>
      <c r="L1576" s="11" t="inlineStr">
        <is>
          <t>This section outlines the application process for payment system authorization, relevant for DTIAs as it defines the procedural steps required for entities to obtain authorization for payment systems.</t>
        </is>
      </c>
      <c r="M1576" s="11" t="inlineStr">
        <is>
          <t>• [May] Any person desirous of commencing or carrying on a payment system may apply to the Reserve Bank for authorization
• [Must] Applications must be made in prescribed form and manner</t>
        </is>
      </c>
      <c r="N1576" s="11" t="inlineStr">
        <is>
          <t>• [Must] Applications must be accompanied by prescribed fees</t>
        </is>
      </c>
      <c r="O1576" s="11" t="inlineStr">
        <is>
          <t>5. Application for authorisation.—(1) Any person desirous of commencing or carrying on a payment system may apply to the Reserve Bank for an authorisation under this Act.</t>
        </is>
      </c>
      <c r="P1576" s="12" t="n">
        <v>44</v>
      </c>
    </row>
    <row r="1577">
      <c r="A1577" t="inlineStr">
        <is>
          <t>India</t>
        </is>
      </c>
      <c r="B1577" t="inlineStr">
        <is>
          <t>Payment and Settlement Systems Act, 2007 (India - Row 11)</t>
        </is>
      </c>
      <c r="C1577" t="inlineStr">
        <is>
          <t>6</t>
        </is>
      </c>
      <c r="D1577" s="11" t="inlineStr">
        <is>
          <t>Reserve Bank inquiry before authorization</t>
        </is>
      </c>
      <c r="E1577" t="inlineStr">
        <is>
          <t>6</t>
        </is>
      </c>
      <c r="F1577" t="inlineStr">
        <is>
          <t>High</t>
        </is>
      </c>
      <c r="G1577" t="inlineStr">
        <is>
          <t>High (explicit)</t>
        </is>
      </c>
      <c r="H1577" s="11" t="inlineStr">
        <is>
          <t>Financial Data</t>
        </is>
      </c>
      <c r="I1577" s="11" t="inlineStr">
        <is>
          <t>Financial Data</t>
        </is>
      </c>
      <c r="J1577" t="inlineStr">
        <is>
          <t>Reserve Bank of India</t>
        </is>
      </c>
      <c r="K1577" s="11" t="inlineStr">
        <is>
          <t>The Reserve Bank may conduct inquiries before issuing authorization for a payment system. The inquiries are to verify the genuineness of applicant details, capacity to operate the payment system, credentials of participants, and other relevant factors. The Reserve Bank may require a report from an authorized person conducting the inquiry.</t>
        </is>
      </c>
      <c r="L1577" s="11" t="inlineStr">
        <is>
          <t>This section establishes the inquiry process for payment system authorization, relevant for DTIAs as it defines the regulatory review steps before authorization is granted.</t>
        </is>
      </c>
      <c r="M1577" s="11" t="inlineStr">
        <is>
          <t>• [May] After receiving an application, the Reserve Bank may make inquiries to verify applicant details, capacity, and participant credentials</t>
        </is>
      </c>
      <c r="N1577" s="11" t="inlineStr">
        <is>
          <t>• [May] The Reserve Bank may require a report from an authorized person conducting the inquiry</t>
        </is>
      </c>
      <c r="O1577" s="11" t="inlineStr">
        <is>
          <t>6. Inquiry by the Reserve Bank.—After the receipt of an application under section 5, and before an authorisation is issued under this Act, the Reserve Bank may make such inquiries as it may consider necessary for the purpose of satisfying itself about the genuineness of the particulars furnished by the applicant, his capacity to operate the payment system, the credentials of the participants or for any other reason and when such an inquiry is conducted by any person authorised by it in this behalf, it may require a report from such person in respect of the inquiry.</t>
        </is>
      </c>
      <c r="P1577" s="12" t="n">
        <v>44</v>
      </c>
    </row>
    <row r="1578">
      <c r="A1578" t="inlineStr">
        <is>
          <t>India</t>
        </is>
      </c>
      <c r="B1578" t="inlineStr">
        <is>
          <t>Payment and Settlement Systems Act, 2007 (India - Row 11)</t>
        </is>
      </c>
      <c r="C1578" t="inlineStr">
        <is>
          <t>7</t>
        </is>
      </c>
      <c r="D1578" s="11" t="inlineStr">
        <is>
          <t>Authorization issuance and refusal criteria</t>
        </is>
      </c>
      <c r="E1578" t="inlineStr">
        <is>
          <t>6–7</t>
        </is>
      </c>
      <c r="F1578" t="inlineStr">
        <is>
          <t>High</t>
        </is>
      </c>
      <c r="G1578" t="inlineStr">
        <is>
          <t>High (explicit)</t>
        </is>
      </c>
      <c r="H1578" s="11" t="inlineStr">
        <is>
          <t>Financial Data</t>
        </is>
      </c>
      <c r="I1578" s="11" t="inlineStr">
        <is>
          <t>Financial Data</t>
        </is>
      </c>
      <c r="J1578" t="inlineStr">
        <is>
          <t>Reserve Bank of India</t>
        </is>
      </c>
      <c r="K1578" s="11" t="inlineStr">
        <is>
          <t>The Reserve Bank may issue authorization for payment systems if it is satisfied that the application is complete and conforms to the Act. Authorization must specify effective date, conditions, fees, security requirements, and duration. Refusal requires written notice with reasons and a reasonable opportunity to be heard. Applications must be processed within six months.</t>
        </is>
      </c>
      <c r="L1578" s="11" t="inlineStr">
        <is>
          <t>This section details the criteria for authorization and refusal, relevant for DTIAs as it specifies the conditions under which payment systems must operate and the review process for authorization.</t>
        </is>
      </c>
      <c r="M1578" s="11" t="inlineStr">
        <is>
          <t>• [Must] The Reserve Bank may issue authorization if satisfied that the application is complete and conforms to the Act
• [Must] Authorization must specify effective date, conditions, fees, security requirements, and duration</t>
        </is>
      </c>
      <c r="N1578" s="11" t="inlineStr">
        <is>
          <t>• [Must] The Reserve Bank must provide written reasons for refusal with a reasonable opportunity to be heard
• [Must] Applications must be processed within six months from filing</t>
        </is>
      </c>
      <c r="O1578" s="11" t="inlineStr">
        <is>
          <t>7. Issue or refusal of authorisation.—(1) The Reserve Bank may, if satisfied, after any inquiry under section 6 or otherwise, that the application is complete in all respects and that it conforms to the provisions of this Act and the regulations issue an authorisation for operating the payment system under this Act</t>
        </is>
      </c>
      <c r="P1578" s="12" t="n">
        <v>44</v>
      </c>
    </row>
    <row r="1579">
      <c r="A1579" t="inlineStr">
        <is>
          <t>India</t>
        </is>
      </c>
      <c r="B1579" t="inlineStr">
        <is>
          <t>Payment and Settlement Systems Act, 2007 (India - Row 11)</t>
        </is>
      </c>
      <c r="C1579" t="inlineStr">
        <is>
          <t>8</t>
        </is>
      </c>
      <c r="D1579" s="11" t="inlineStr">
        <is>
          <t>Revocation of payment system authorization</t>
        </is>
      </c>
      <c r="E1579" t="inlineStr">
        <is>
          <t>7</t>
        </is>
      </c>
      <c r="F1579" t="inlineStr">
        <is>
          <t>High</t>
        </is>
      </c>
      <c r="G1579" t="inlineStr">
        <is>
          <t>High (explicit)</t>
        </is>
      </c>
      <c r="H1579" s="11" t="inlineStr"/>
      <c r="I1579" s="11" t="inlineStr">
        <is>
          <t>Financial Data</t>
        </is>
      </c>
      <c r="J1579" t="inlineStr">
        <is>
          <t>Reserve Bank of India</t>
        </is>
      </c>
      <c r="K1579" s="11" t="inlineStr">
        <is>
          <t>The Reserve Bank can revoke a system provider's authorization if they breach the Act, fail to comply with regulations, ignore orders from the Reserve Bank, or operate contrary to authorized conditions. Revocation requires giving the system provider a hearing opportunity and does not halt system operations until the order is issued. The Reserve Bank may also revoke authorization for monetary policy reasons without prior hearing. Revocation orders must include provisions to protect affected parties and apply automatically if the system provider becomes insolvent.</t>
        </is>
      </c>
      <c r="L1579" s="11" t="inlineStr">
        <is>
          <t>Revocation authority allows the Reserve Bank to terminate payment system operations if compliance is breached, requiring safeguards for affected parties and automatic revocation in insolvency cases. This impacts cross-border payment systems by potentially disrupting data flows.</t>
        </is>
      </c>
      <c r="M1579" s="11" t="inlineStr">
        <is>
          <t>• [Must] The Reserve Bank may revoke authorization if a system provider contravenes any provisions of this Act
• [Must] The Reserve Bank may revoke authorization if a system provider does not comply with regulations
• [Must] The Reserve Bank may revoke authorization if a system provider fails to comply with orders or directions issued by the designated authority
• [Must] The Reserve Bank may revoke authorization if a system provider operates the payment system contrary to conditions subject to which authorization was issued
• [Condition] Revocation orders must provide reasonable opportunity for the system provider to be heard</t>
        </is>
      </c>
      <c r="N1579" s="11" t="inlineStr">
        <is>
          <t>• [Condition] Revocation orders do not halt system operations until the order is issued
• [May] The Reserve Bank may revoke authorization for monetary policy reasons without prior hearing
• [Must] Revocation orders must include provisions to protect and safeguard interests of affected persons
• [Must] System providers must inform the Reserve Bank if they become insolvent, dissolved, or wound up</t>
        </is>
      </c>
      <c r="O1579" s="11" t="inlineStr">
        <is>
          <t>8. Revocation of authorisation.—(1) If a system provider,— (i) contravenes any provisions of this Act, or (ii) does not comply with the regulations, or (iii) fails to comply with the orders or directions issued by the designated authority, or (iv) operates the payment system contrary to the conditions subject to which the authorisation was issued, the Reserve Bank may, by order, revoke the authorisation given to such system provider under this Act</t>
        </is>
      </c>
      <c r="P1579" s="12" t="n">
        <v>44</v>
      </c>
    </row>
    <row r="1580">
      <c r="A1580" t="inlineStr">
        <is>
          <t>India</t>
        </is>
      </c>
      <c r="B1580" t="inlineStr">
        <is>
          <t>Payment and Settlement Systems Act, 2007 (India - Row 11)</t>
        </is>
      </c>
      <c r="C1580" t="inlineStr">
        <is>
          <t>9</t>
        </is>
      </c>
      <c r="D1580" s="11" t="inlineStr">
        <is>
          <t>Appeal process for payment system authorization decisions</t>
        </is>
      </c>
      <c r="E1580" t="inlineStr">
        <is>
          <t>7–8</t>
        </is>
      </c>
      <c r="F1580" t="inlineStr">
        <is>
          <t>Medium</t>
        </is>
      </c>
      <c r="G1580" t="inlineStr">
        <is>
          <t>High (explicit)</t>
        </is>
      </c>
      <c r="H1580" s="11" t="inlineStr"/>
      <c r="I1580" s="11" t="inlineStr">
        <is>
          <t>Financial Data</t>
        </is>
      </c>
      <c r="J1580" t="inlineStr">
        <is>
          <t>Central Government</t>
        </is>
      </c>
      <c r="K1580" s="11" t="inlineStr">
        <is>
          <t>Applicants for payment system authorization or system providers aggrieved by revocation orders can appeal to the Central Government within 30 days of receiving a decision. The Central Government must resolve appeals within 3 months and its decision is final. This provides a formal review mechanism for authorization and revocation decisions.</t>
        </is>
      </c>
      <c r="L1580" s="11" t="inlineStr">
        <is>
          <t>Provides a formal appeal process for payment system authorization and revocation decisions, ensuring affected parties can challenge regulatory actions before final decisions are made.</t>
        </is>
      </c>
      <c r="M1580" s="11" t="inlineStr">
        <is>
          <t>• [Must] Any applicant for authorization whose application is refused under section 7(3) may appeal to the Central Government within 30 days
• [Must] Any system provider aggrieved by a revocation order under section 8 may appeal to the Central Government within 30 days</t>
        </is>
      </c>
      <c r="N1580" s="11" t="inlineStr">
        <is>
          <t>• [Must] The Central Government must dispose of appeals within 3 months
• [Must] The Central Government's decision on appeals is final</t>
        </is>
      </c>
      <c r="O1580" s="11" t="inlineStr">
        <is>
          <t>9. Appeal to the Central Government.—(1) Any applicant for an authorisation whose application for the operation of the payment system is refused under sub-section (3) of section 7 or a system provider who is aggrieved by an order of revocation under section 8 may, within thirty days from the date on which the order is communicated to him, appeal to the Central Government.</t>
        </is>
      </c>
      <c r="P1580" s="12" t="n">
        <v>44</v>
      </c>
    </row>
    <row r="1581">
      <c r="A1581" t="inlineStr">
        <is>
          <t>India</t>
        </is>
      </c>
      <c r="B1581" t="inlineStr">
        <is>
          <t>Payment and Settlement Systems Act, 2007 (India - Row 11)</t>
        </is>
      </c>
      <c r="C1581" t="inlineStr">
        <is>
          <t>10</t>
        </is>
      </c>
      <c r="D1581" s="11" t="inlineStr">
        <is>
          <t>Reserve Bank standards for payment systems</t>
        </is>
      </c>
      <c r="E1581" t="inlineStr">
        <is>
          <t>8</t>
        </is>
      </c>
      <c r="F1581" t="inlineStr">
        <is>
          <t>High</t>
        </is>
      </c>
      <c r="G1581" t="inlineStr">
        <is>
          <t>High (explicit)</t>
        </is>
      </c>
      <c r="H1581" s="11" t="inlineStr"/>
      <c r="I1581" s="11" t="inlineStr">
        <is>
          <t>Financial Data</t>
        </is>
      </c>
      <c r="J1581" t="inlineStr">
        <is>
          <t>Reserve Bank of India</t>
        </is>
      </c>
      <c r="K1581" s="11" t="inlineStr">
        <is>
          <t>The Reserve Bank can prescribe standards for payment instructions, system timings, fund transfer methods, general payment system standards, membership criteria, and participant rights and obligations. The Reserve Bank may also issue guidelines for payment system management. This section establishes regulatory oversight over technical and operational aspects of payment systems.</t>
        </is>
      </c>
      <c r="L1581" s="11" t="inlineStr">
        <is>
          <t>Defines technical and operational standards for payment systems, impacting data transfer mechanisms and system interoperability across borders.</t>
        </is>
      </c>
      <c r="M1581" s="11" t="inlineStr">
        <is>
          <t>• [Must] The Reserve Bank may prescribe the format of payment instructions and size and shape of such instructions
• [Must] The Reserve Bank may prescribe timings to be maintained by payment systems
• [Must] The Reserve Bank may prescribe the manner of fund transfer within payment systems
• [Must] The Reserve Bank may prescribe other standards for payment systems generally</t>
        </is>
      </c>
      <c r="N1581" s="11" t="inlineStr">
        <is>
          <t>• [Must] The Reserve Bank may prescribe criteria for payment system membership including continuation, termination and rejection
• [Must] The Reserve Bank may prescribe conditions for system participants' participation in fund transfers and their rights and obligations
• [May] The Reserve Bank may issue guidelines for proper and efficient management of payment systems</t>
        </is>
      </c>
      <c r="O1581" s="11" t="inlineStr">
        <is>
          <t>10. Power to determine standards.—(1) The Reserve Bank may, from time to time, prescribe— (a) the format of payment instructions and the size and shape of such instructions; (b) the timings to be maintained by payment systems; (c) the manner of transfer of funds within the payment system, either through paper, electronic means or in any other manner, between banks or between banks and other system participants; (d) such other standards to be complied with the payment systems generally; (e) the criteria for membership of payment systems including continuation, termination and rejection of membership; (f) the conditions subject to which the system participants shall participate in such fund transfers and the rights and obligations of the system participants in such funds.</t>
        </is>
      </c>
      <c r="P1581" s="12" t="n">
        <v>44</v>
      </c>
    </row>
    <row r="1582">
      <c r="A1582" t="inlineStr">
        <is>
          <t>India</t>
        </is>
      </c>
      <c r="B1582" t="inlineStr">
        <is>
          <t>Payment and Settlement Systems Act, 2007 (India - Row 11)</t>
        </is>
      </c>
      <c r="C1582" t="inlineStr">
        <is>
          <t>11</t>
        </is>
      </c>
      <c r="D1582" s="11" t="inlineStr">
        <is>
          <t>Notice requirements for payment system changes</t>
        </is>
      </c>
      <c r="E1582" t="inlineStr">
        <is>
          <t>8</t>
        </is>
      </c>
      <c r="F1582" t="inlineStr">
        <is>
          <t>High</t>
        </is>
      </c>
      <c r="G1582" t="inlineStr">
        <is>
          <t>High (explicit)</t>
        </is>
      </c>
      <c r="H1582" s="11" t="inlineStr"/>
      <c r="I1582" s="11" t="inlineStr">
        <is>
          <t>Financial Data</t>
        </is>
      </c>
      <c r="J1582" t="inlineStr">
        <is>
          <t>Reserve Bank of India</t>
        </is>
      </c>
      <c r="K1582" s="11" t="inlineStr">
        <is>
          <t>System providers must obtain prior Reserve Bank approval and provide 30 days' notice to participants before changing payment systems that affect structure or operation. Exceptions apply for monetary policy or public interest reasons, allowing shorter notice periods or no notice at all. The Reserve Bank must object within two weeks if it has concerns about proposed changes.</t>
        </is>
      </c>
      <c r="L1582" s="11" t="inlineStr">
        <is>
          <t>Requires notice and approval for payment system changes, impacting data transfer mechanisms and system interoperability across borders.</t>
        </is>
      </c>
      <c r="M1582" s="11" t="inlineStr">
        <is>
          <t>• [Must] No system provider may change payment systems affecting structure or operation without prior Reserve Bank approval
• [Must] System providers must give 30 days' notice to participants after Reserve Bank approval
• [May] The Reserve Bank may permit changes without participant notice or longer notice periods for monetary policy or public interest reasons</t>
        </is>
      </c>
      <c r="N1582" s="11" t="inlineStr">
        <is>
          <t>• [Must] The Reserve Bank must communicate objections to proposed changes within two weeks
• [Must] System providers must respond to Reserve Bank objections within two weeks</t>
        </is>
      </c>
      <c r="O1582" s="11" t="inlineStr">
        <is>
          <t>11. Notice of change in the payment system.—(1) No system provider shall cause any change in the system which would affect the structure or the operation of the payment system without— (a) the prior approval of the Reserve Bank; and (b) giving notice of not less than thirty days to the system participants after the approval of the Reserve Bank: Provided that in the interest of monetary policy of the country or in public interest, the Reserve Bank may permit the system provider to make any changes in a payment system without giving notice to the system participants under clause (b) or requiring the system provider to give notice for a period longer than thirty days.</t>
        </is>
      </c>
      <c r="P1582" s="12" t="n">
        <v>44</v>
      </c>
    </row>
    <row r="1583">
      <c r="A1583" t="inlineStr">
        <is>
          <t>India</t>
        </is>
      </c>
      <c r="B1583" t="inlineStr">
        <is>
          <t>Payment and Settlement Systems Act, 2007 (India - Row 11)</t>
        </is>
      </c>
      <c r="C1583" t="inlineStr">
        <is>
          <t>12</t>
        </is>
      </c>
      <c r="D1583" s="11" t="inlineStr">
        <is>
          <t>Reserve Bank access to payment system information</t>
        </is>
      </c>
      <c r="E1583" t="inlineStr">
        <is>
          <t>8</t>
        </is>
      </c>
      <c r="F1583" t="inlineStr">
        <is>
          <t>High</t>
        </is>
      </c>
      <c r="G1583" t="inlineStr">
        <is>
          <t>High (explicit)</t>
        </is>
      </c>
      <c r="H1583" s="11" t="inlineStr"/>
      <c r="I1583" s="11" t="inlineStr">
        <is>
          <t>Financial Data</t>
        </is>
      </c>
      <c r="J1583" t="inlineStr">
        <is>
          <t>Reserve Bank of India</t>
        </is>
      </c>
      <c r="K1583" s="11" t="inlineStr">
        <is>
          <t>The Reserve Bank has the authority to request returns, documents, or other information from system providers regarding payment system operations at intervals, in specified formats, and in the manner required by the Reserve Bank. System providers must comply with these requests.</t>
        </is>
      </c>
      <c r="L1583" s="11" t="inlineStr">
        <is>
          <t>Allows regulators to access payment system data, impacting data transfer mechanisms and system interoperability across borders.</t>
        </is>
      </c>
      <c r="M1583" s="11" t="inlineStr">
        <is>
          <t>• [Must] The Reserve Bank may call for returns, documents, or other information from system providers regarding payment system operations</t>
        </is>
      </c>
      <c r="N1583" s="11" t="inlineStr">
        <is>
          <t>• [Must] System providers must comply with the Reserve Bank's requests for information</t>
        </is>
      </c>
      <c r="O1583" s="11" t="inlineStr">
        <is>
          <t>12. Power to call for returns, documents or other information.—The Reserve Bank may call for from any system provider such returns or documents as it may require or other information in regard to the operation of his payment system at such intervals, in such form and in such manner, as the Reserve Bank may require from time to time or as may be prescribed and such order shall be complied with.</t>
        </is>
      </c>
      <c r="P1583" s="12" t="n">
        <v>44</v>
      </c>
    </row>
    <row r="1584">
      <c r="A1584" t="inlineStr">
        <is>
          <t>India</t>
        </is>
      </c>
      <c r="B1584" t="inlineStr">
        <is>
          <t>Payment and Settlement Systems Act, 2007 (India - Row 11)</t>
        </is>
      </c>
      <c r="C1584" t="inlineStr">
        <is>
          <t>13</t>
        </is>
      </c>
      <c r="D1584" s="11" t="inlineStr">
        <is>
          <t>Reserve Bank access to payment system information</t>
        </is>
      </c>
      <c r="E1584" t="inlineStr">
        <is>
          <t>9</t>
        </is>
      </c>
      <c r="F1584" t="inlineStr">
        <is>
          <t>High</t>
        </is>
      </c>
      <c r="G1584" t="inlineStr">
        <is>
          <t>High (explicit)</t>
        </is>
      </c>
      <c r="H1584" s="11" t="inlineStr"/>
      <c r="I1584" s="11" t="inlineStr">
        <is>
          <t>Financial Data</t>
        </is>
      </c>
      <c r="J1584" t="inlineStr">
        <is>
          <t>Reserve Bank of India</t>
        </is>
      </c>
      <c r="K1584" s="11" t="inlineStr">
        <is>
          <t>The Reserve Bank has the right to access any information related to payment system operations and system providers. All system participants must provide access to such information to the Reserve Bank.</t>
        </is>
      </c>
      <c r="L1584" s="11" t="inlineStr">
        <is>
          <t>Ensures regulators can monitor payment systems, impacting data transfer mechanisms and system interoperability across borders.</t>
        </is>
      </c>
      <c r="M1584" s="11" t="inlineStr">
        <is>
          <t>• [Must] The Reserve Bank has the right to access information relating to payment system operations and system providers</t>
        </is>
      </c>
      <c r="N1584" s="11" t="inlineStr">
        <is>
          <t>• [Must] System participants must provide access to such information to the Reserve Bank</t>
        </is>
      </c>
      <c r="O1584" s="11" t="inlineStr">
        <is>
          <t>13. Access to information.—The Reserve Bank shall have right to access any information relating to the operation of any payment system and system provider and all the system participants shall provide access to such information to the Reserve Bank.</t>
        </is>
      </c>
      <c r="P1584" s="12" t="n">
        <v>44</v>
      </c>
    </row>
    <row r="1585">
      <c r="A1585" t="inlineStr">
        <is>
          <t>India</t>
        </is>
      </c>
      <c r="B1585" t="inlineStr">
        <is>
          <t>Payment and Settlement Systems Act, 2007 (India - Row 11)</t>
        </is>
      </c>
      <c r="C1585" t="inlineStr">
        <is>
          <t>14</t>
        </is>
      </c>
      <c r="D1585" s="11" t="inlineStr">
        <is>
          <t>Reserve Bank's authority to inspect payment system premises</t>
        </is>
      </c>
      <c r="E1585" t="inlineStr">
        <is>
          <t>9</t>
        </is>
      </c>
      <c r="F1585" t="inlineStr">
        <is>
          <t>High</t>
        </is>
      </c>
      <c r="G1585" t="inlineStr">
        <is>
          <t>High (explicit)</t>
        </is>
      </c>
      <c r="H1585" s="11" t="inlineStr"/>
      <c r="I1585" s="11" t="inlineStr">
        <is>
          <t>Personal Information</t>
        </is>
      </c>
      <c r="J1585" t="inlineStr">
        <is>
          <t>Reserve Bank of India</t>
        </is>
      </c>
      <c r="K1585" s="11" t="inlineStr">
        <is>
          <t>Reserve Bank officers with written authorization may enter payment system premises and inspect equipment, including computer systems and documents, to ensure compliance with the Act or regulations. They can also require employees or individuals present to provide information or documents as needed for compliance checks.</t>
        </is>
      </c>
      <c r="L1585" s="11" t="inlineStr">
        <is>
          <t>This section grants the Reserve Bank the power to inspect payment system infrastructure, which impacts DTIA by requiring assessments of physical and digital access controls for cross-border payment systems.</t>
        </is>
      </c>
      <c r="M1585" s="11" t="inlineStr">
        <is>
          <t>• [Must] Reserve Bank officers with written authorization may enter payment system premises
• [Must] Reserve Bank officers may inspect any equipment, including computer systems or other documents</t>
        </is>
      </c>
      <c r="N1585" s="11" t="inlineStr">
        <is>
          <t>• [Must] Reserve Bank officers may require employees or individuals present to furnish information or documents</t>
        </is>
      </c>
      <c r="O1585" s="11" t="inlineStr">
        <is>
          <t>Any officer of the Reserve Bank duly authorised by it in writing in this behalf, may for ensuring compliance with the provisions of this Act or any regulations, enter any premises where a payment system is being operated and may inspect any equipment, including any computer system or other documents situated at such premises and call upon any employee of such system provider or participant thereof or any other person working in such premises to furnish such information or documents as may be required by such officer.</t>
        </is>
      </c>
      <c r="P1585" s="12" t="n">
        <v>44</v>
      </c>
    </row>
    <row r="1586">
      <c r="A1586" t="inlineStr">
        <is>
          <t>India</t>
        </is>
      </c>
      <c r="B1586" t="inlineStr">
        <is>
          <t>Payment and Settlement Systems Act, 2007 (India - Row 11)</t>
        </is>
      </c>
      <c r="C1586" t="inlineStr">
        <is>
          <t>15</t>
        </is>
      </c>
      <c r="D1586" s="11" t="inlineStr">
        <is>
          <t>Confidentiality of payment system information</t>
        </is>
      </c>
      <c r="E1586" t="inlineStr">
        <is>
          <t>9</t>
        </is>
      </c>
      <c r="F1586" t="inlineStr">
        <is>
          <t>High</t>
        </is>
      </c>
      <c r="G1586" t="inlineStr">
        <is>
          <t>High (explicit)</t>
        </is>
      </c>
      <c r="H1586" s="11" t="inlineStr">
        <is>
          <t>Data Sharing</t>
        </is>
      </c>
      <c r="I1586" s="11" t="inlineStr">
        <is>
          <t>Personal Information</t>
        </is>
      </c>
      <c r="J1586" t="inlineStr">
        <is>
          <t>Reserve Bank of India</t>
        </is>
      </c>
      <c r="K1586" s="11" t="inlineStr">
        <is>
          <t>Payment system information obtained by the Reserve Bank under sections 12-14 must be kept confidential, except when disclosure is necessary to protect payment system integrity, banking policy, monetary policy, or public interest. The Reserve Bank may disclose such information to specific persons for these purposes.</t>
        </is>
      </c>
      <c r="L1586" s="11" t="inlineStr">
        <is>
          <t>This section affects DTIA by establishing confidentiality rules for payment system data, which may require data minimization and secure handling during cross-border transfers.</t>
        </is>
      </c>
      <c r="M1586" s="11" t="inlineStr">
        <is>
          <t>• [Must] Any document or information obtained by the Reserve Bank under sections 12 to 14 shall be kept confidential
• [May] Reserve Bank may disclose information to persons necessary for protecting payment system integrity, effectiveness, or security</t>
        </is>
      </c>
      <c r="N1586" s="11" t="inlineStr">
        <is>
          <t>• [May] Reserve Bank may disclose information in the interest of banking or monetary policy
• [May] Reserve Bank may disclose information for the operation of payment systems generally or public interest</t>
        </is>
      </c>
      <c r="O1586" s="11" t="inlineStr">
        <is>
          <t>Any document or information obtained by the Reserve Bank under sections 12 to 14 (both inclusive) shall be kept confidential. Notwithstanding anything contained in sub-section (1), the Reserve Bank may disclose any document or information obtained by it under sections 12 to 14 (both inclusive) to any person to whom the disclosure of such document or information is considered necessary for protecting the integrity, effectiveness or security of the payment system, or in the interest of banking or monetary policy or the operation of the payment systems generally or in the public interest.</t>
        </is>
      </c>
      <c r="P1586" s="12" t="n">
        <v>44</v>
      </c>
    </row>
    <row r="1587">
      <c r="A1587" t="inlineStr">
        <is>
          <t>India</t>
        </is>
      </c>
      <c r="B1587" t="inlineStr">
        <is>
          <t>Payment and Settlement Systems Act, 2007 (India - Row 11)</t>
        </is>
      </c>
      <c r="C1587" t="inlineStr">
        <is>
          <t>16</t>
        </is>
      </c>
      <c r="D1587" s="11" t="inlineStr">
        <is>
          <t>Reserve Bank's audit and inspection authority</t>
        </is>
      </c>
      <c r="E1587" t="inlineStr">
        <is>
          <t>9</t>
        </is>
      </c>
      <c r="F1587" t="inlineStr">
        <is>
          <t>High</t>
        </is>
      </c>
      <c r="G1587" t="inlineStr">
        <is>
          <t>High (explicit)</t>
        </is>
      </c>
      <c r="H1587" s="11" t="inlineStr"/>
      <c r="I1587" s="11" t="inlineStr">
        <is>
          <t>Personal Information</t>
        </is>
      </c>
      <c r="J1587" t="inlineStr">
        <is>
          <t>Reserve Bank of India</t>
        </is>
      </c>
      <c r="K1587" s="11" t="inlineStr">
        <is>
          <t>The Reserve Bank may conduct or arrange for audits and inspections of payment systems and their participants to ensure compliance with the Act. System providers and participants must assist the Reserve Bank during these audits and inspections.</t>
        </is>
      </c>
      <c r="L1587" s="11" t="inlineStr">
        <is>
          <t>This section impacts DTIA by requiring regular audits of payment systems, which may necessitate data security assessments for cross-border data flows.</t>
        </is>
      </c>
      <c r="M1587" s="11" t="inlineStr">
        <is>
          <t>• [May] Reserve Bank may conduct or get conducted audits and inspections of payment systems or participants</t>
        </is>
      </c>
      <c r="N1587" s="11" t="inlineStr">
        <is>
          <t>• [Must] System providers and participants must assist Reserve Bank in carrying out audits or inspections</t>
        </is>
      </c>
      <c r="O1587" s="11" t="inlineStr">
        <is>
          <t>The Reserve Bank may, for the purpose of carrying out its functions under this Act, conduct or get conducted audits and inspections of a payment system or participants thereof and it shall be the duty of the system provider and the system participants to assist the Reserve Bank to carry out such audit or inspection, as the case may be.</t>
        </is>
      </c>
      <c r="P1587" s="12" t="n">
        <v>44</v>
      </c>
    </row>
    <row r="1588">
      <c r="A1588" t="inlineStr">
        <is>
          <t>India</t>
        </is>
      </c>
      <c r="B1588" t="inlineStr">
        <is>
          <t>Payment and Settlement Systems Act, 2007 (India - Row 11)</t>
        </is>
      </c>
      <c r="C1588" t="inlineStr">
        <is>
          <t>17</t>
        </is>
      </c>
      <c r="D1588" s="11" t="inlineStr">
        <is>
          <t>Reserve Bank's power to issue risk-related directions</t>
        </is>
      </c>
      <c r="E1588" t="inlineStr">
        <is>
          <t>9</t>
        </is>
      </c>
      <c r="F1588" t="inlineStr">
        <is>
          <t>High</t>
        </is>
      </c>
      <c r="G1588" t="inlineStr">
        <is>
          <t>High (explicit)</t>
        </is>
      </c>
      <c r="H1588" s="11" t="inlineStr"/>
      <c r="I1588" s="11" t="inlineStr">
        <is>
          <t>Personal Information</t>
        </is>
      </c>
      <c r="J1588" t="inlineStr">
        <is>
          <t>Reserve Bank of India</t>
        </is>
      </c>
      <c r="K1588" s="11" t="inlineStr">
        <is>
          <t>The Reserve Bank may issue written directions to payment systems or participants to cease activities causing systemic risk or to take corrective actions if they are likely to affect monetary policy, credit policy, or payment system stability.</t>
        </is>
      </c>
      <c r="L1588" s="11" t="inlineStr">
        <is>
          <t>This section is critical for DTIA as it mandates risk-based interventions, requiring assessments of systemic risks in cross-border payment systems.</t>
        </is>
      </c>
      <c r="M1588" s="11" t="inlineStr">
        <is>
          <t>• [May] Reserve Bank may issue directions to cease acts causing systemic risk inadequately controlled
• [May] Reserve Bank may issue directions to ensure system participants cease risky activities</t>
        </is>
      </c>
      <c r="N1588" s="11" t="inlineStr">
        <is>
          <t>• [May] Reserve Bank may issue directions to perform necessary acts to remedy situations</t>
        </is>
      </c>
      <c r="O1588" s="11" t="inlineStr">
        <is>
          <t>Where the Reserve Bank is of the opinion that, a payment system or a system participant is engaging in, or is about to engage in, any act, omission or course of conduct that results, or is likely to result, in systemic risk being inadequately controlled; or any action under clause (a) is likely to affect the payment system, the monetary policy or the credit policy of the country, the Reserve Bank may issue directions in writing to such payment system or system participant requiring it, within such time as the Reserve Bank may specify— (i) to cease and desist from engaging in the act, omission or course of conduct or to ensure the system participants to cease and desist from the act, omission or course of conduct; or (ii) to perform such acts as may be necessary, in the opinion of the Reserve Bank, to remedy the situation.</t>
        </is>
      </c>
      <c r="P1588" s="12" t="n">
        <v>44</v>
      </c>
    </row>
    <row r="1589">
      <c r="A1589" t="inlineStr">
        <is>
          <t>India</t>
        </is>
      </c>
      <c r="B1589" t="inlineStr">
        <is>
          <t>Payment and Settlement Systems Act, 2007 (India - Row 11)</t>
        </is>
      </c>
      <c r="C1589" t="inlineStr">
        <is>
          <t>18</t>
        </is>
      </c>
      <c r="D1589" s="11" t="inlineStr">
        <is>
          <t>Reserve Bank's general policy-making authority</t>
        </is>
      </c>
      <c r="E1589" t="inlineStr">
        <is>
          <t>9</t>
        </is>
      </c>
      <c r="F1589" t="inlineStr">
        <is>
          <t>High</t>
        </is>
      </c>
      <c r="G1589" t="inlineStr">
        <is>
          <t>High (explicit)</t>
        </is>
      </c>
      <c r="H1589" s="11" t="inlineStr"/>
      <c r="I1589" s="11" t="inlineStr">
        <is>
          <t>Personal Information</t>
        </is>
      </c>
      <c r="J1589" t="inlineStr">
        <is>
          <t>Reserve Bank of India</t>
        </is>
      </c>
      <c r="K1589" s="11" t="inlineStr">
        <is>
          <t>The Reserve Bank may establish policies and directions for payment systems, including electronic and international payment systems, to regulate their operation and ensure public interest, monetary policy, and system stability.</t>
        </is>
      </c>
      <c r="L1589" s="11" t="inlineStr">
        <is>
          <t>This section impacts DTIA by allowing the Reserve Bank to set overarching rules for payment systems, which may affect cross-border data handling and system design.</t>
        </is>
      </c>
      <c r="M1589" s="11" t="inlineStr">
        <is>
          <t>• [May] Reserve Bank may lay down policies for payment systems including electronic and international payment systems</t>
        </is>
      </c>
      <c r="N1589" s="11" t="inlineStr">
        <is>
          <t>• [May] Reserve Bank may issue directions to system providers or participants for payment system regulation</t>
        </is>
      </c>
      <c r="O1589" s="11" t="inlineStr">
        <is>
          <t>Without prejudice to the provisions of the foregoing, the Reserve Bank may, if it is satisfied that for the purpose of enabling it to regulate the payment systems or in the interest of management or operation of any of the payment systems or in public interest, it is necessary so to do, lay down policies relating to the regulation of payment systems including electronic, non-electronic, domestic and international payment systems affecting domestic transactions and give such directions in writing as it may consider necessary to system providers or the system participants or any other person either generally or to any such agency and in particular, pertaining to the conduct of business relating to payment systems.</t>
        </is>
      </c>
      <c r="P1589" s="12" t="n">
        <v>44</v>
      </c>
    </row>
    <row r="1590">
      <c r="A1590" t="inlineStr">
        <is>
          <t>India</t>
        </is>
      </c>
      <c r="B1590" t="inlineStr">
        <is>
          <t>Payment and Settlement Systems Act, 2007 (India - Row 11)</t>
        </is>
      </c>
      <c r="C1590" t="inlineStr">
        <is>
          <t>19</t>
        </is>
      </c>
      <c r="D1590" s="11" t="inlineStr">
        <is>
          <t>Compliance with Reserve Bank directions</t>
        </is>
      </c>
      <c r="E1590" t="inlineStr">
        <is>
          <t>9–10</t>
        </is>
      </c>
      <c r="F1590" t="inlineStr">
        <is>
          <t>High</t>
        </is>
      </c>
      <c r="G1590" t="inlineStr">
        <is>
          <t>High (explicit)</t>
        </is>
      </c>
      <c r="H1590" s="11" t="inlineStr"/>
      <c r="I1590" s="11" t="inlineStr">
        <is>
          <t>Personal Information</t>
        </is>
      </c>
      <c r="J1590" t="inlineStr">
        <is>
          <t>Reserve Bank of India</t>
        </is>
      </c>
      <c r="K1590" s="11" t="inlineStr">
        <is>
          <t>All persons receiving directions from the Reserve Bank under this Act must comply immediately and submit a report of compliance within the timeframe specified by the Reserve Bank.</t>
        </is>
      </c>
      <c r="L1590" s="11" t="inlineStr">
        <is>
          <t>This section is relevant for DTIA as it mandates timely compliance with regulatory directions, which may impact cross-border data transfer timelines and procedures.</t>
        </is>
      </c>
      <c r="M1590" s="11" t="inlineStr">
        <is>
          <t>• [Must] Every person to whom a direction has been issued by the Reserve Bank shall comply without delay</t>
        </is>
      </c>
      <c r="N1590" s="11" t="inlineStr">
        <is>
          <t>• [Must] Compliance report must be furnished to the Reserve Bank within the time allowed</t>
        </is>
      </c>
      <c r="O1590" s="11" t="inlineStr">
        <is>
          <t>Every person to whom a direction has been issued by the Reserve Bank under this Act shall comply with such direction without any delay and a report of compliance shall be furnished to the Reserve Bank within the time allowed by it.</t>
        </is>
      </c>
      <c r="P1590" s="12" t="n">
        <v>44</v>
      </c>
    </row>
    <row r="1591">
      <c r="A1591" t="inlineStr">
        <is>
          <t>India</t>
        </is>
      </c>
      <c r="B1591" t="inlineStr">
        <is>
          <t>Payment and Settlement Systems Act, 2007 (India - Row 11)</t>
        </is>
      </c>
      <c r="C1591" t="inlineStr">
        <is>
          <t>20</t>
        </is>
      </c>
      <c r="D1591" s="11" t="inlineStr">
        <is>
          <t>System providers must comply with payment system regulations</t>
        </is>
      </c>
      <c r="E1591" t="inlineStr">
        <is>
          <t>10</t>
        </is>
      </c>
      <c r="F1591" t="inlineStr">
        <is>
          <t>High</t>
        </is>
      </c>
      <c r="G1591" t="inlineStr">
        <is>
          <t>High (explicit)</t>
        </is>
      </c>
      <c r="H1591" s="11" t="inlineStr">
        <is>
          <t>Cross-border Transfer, Financial Data</t>
        </is>
      </c>
      <c r="I1591" s="11" t="inlineStr">
        <is>
          <t>Financial Data</t>
        </is>
      </c>
      <c r="J1591" t="inlineStr">
        <is>
          <t>Reserve Bank of India</t>
        </is>
      </c>
      <c r="K1591" s="11" t="inlineStr">
        <is>
          <t>Every system provider operating a payment system in India must adhere to the Payment and Settlement Systems Act, 2007, relevant regulations, contractual agreements with participants, payment system rules, authorization conditions, and Reserve Bank directives. This obligation applies to all system providers managing payment systems within the Indian financial infrastructure.</t>
        </is>
      </c>
      <c r="L1591" s="11" t="inlineStr">
        <is>
          <t>System providers must follow regulatory frameworks for payment systems, which impacts cross-border data transfers by requiring compliance with Indian financial regulations for payment processing.</t>
        </is>
      </c>
      <c r="M1591" s="11" t="inlineStr">
        <is>
          <t>• [Must] System provider shall operate payment system in accordance with this Act, regulations, contracts, payment system rules, authorization conditions, and Reserve Bank directions</t>
        </is>
      </c>
      <c r="N1591" s="11" t="inlineStr"/>
      <c r="O1591" s="11" t="inlineStr">
        <is>
          <t>Every system provider shall operate the payment system in accordance with the provisions of this Act, the regulations, the contract governing the relationship among the system participants, the rules and regulations which deal with the operation of the payment system and the conditions subject to which the authorisation is issued, and the directions given by the Reserve Bank from time to time.</t>
        </is>
      </c>
      <c r="P1591" s="12" t="n">
        <v>44</v>
      </c>
    </row>
    <row r="1592">
      <c r="A1592" t="inlineStr">
        <is>
          <t>India</t>
        </is>
      </c>
      <c r="B1592" t="inlineStr">
        <is>
          <t>Payment and Settlement Systems Act, 2007 (India - Row 11)</t>
        </is>
      </c>
      <c r="C1592" t="inlineStr">
        <is>
          <t>21</t>
        </is>
      </c>
      <c r="D1592" s="11" t="inlineStr">
        <is>
          <t>System providers must disclose payment terms to participants</t>
        </is>
      </c>
      <c r="E1592" t="inlineStr">
        <is>
          <t>10</t>
        </is>
      </c>
      <c r="F1592" t="inlineStr">
        <is>
          <t>High</t>
        </is>
      </c>
      <c r="G1592" t="inlineStr">
        <is>
          <t>High (explicit)</t>
        </is>
      </c>
      <c r="H1592" s="11" t="inlineStr">
        <is>
          <t>Cross-border Transfer, Financial Data</t>
        </is>
      </c>
      <c r="I1592" s="11" t="inlineStr">
        <is>
          <t>Financial Data</t>
        </is>
      </c>
      <c r="J1592" t="inlineStr">
        <is>
          <t>Reserve Bank of India</t>
        </is>
      </c>
      <c r="K1592" s="11" t="inlineStr">
        <is>
          <t>System providers in India must provide existing or potential participants with payment system terms, conditions, charges, liability limitations, copies of operational rules, netting arrangements, and relevant documents. This duty also requires maintaining standards as determined by the Act.</t>
        </is>
      </c>
      <c r="L1592" s="11" t="inlineStr">
        <is>
          <t>System providers must disclose payment terms to participants, which affects data transfer by requiring transparency in payment system operations.</t>
        </is>
      </c>
      <c r="M1592" s="11" t="inlineStr">
        <is>
          <t>• [Must] System provider shall disclose terms and conditions including charges and liability limitations to existing or potential system participants
• [Must] System provider shall supply copies of payment system rules, regulations, netting arrangements, and relevant documents</t>
        </is>
      </c>
      <c r="N1592" s="11" t="inlineStr">
        <is>
          <t>• [Must] System provider shall maintain standards determined under this Act</t>
        </is>
      </c>
      <c r="O1592" s="11" t="inlineStr">
        <is>
          <t>Every system provider shall disclose to the existing or potential system participants, the terms and conditions including the charges and the limitations of liability under the payment system, supply them with copies of the rules and regulations governing the operation of the payment system, netting arrangements and other relevant documents.</t>
        </is>
      </c>
      <c r="P1592" s="12" t="n">
        <v>44</v>
      </c>
    </row>
    <row r="1593">
      <c r="A1593" t="inlineStr">
        <is>
          <t>India</t>
        </is>
      </c>
      <c r="B1593" t="inlineStr">
        <is>
          <t>Payment and Settlement Systems Act, 2007 (India - Row 11)</t>
        </is>
      </c>
      <c r="C1593" t="inlineStr">
        <is>
          <t>22</t>
        </is>
      </c>
      <c r="D1593" s="11" t="inlineStr">
        <is>
          <t>System providers must keep payment documents confidential</t>
        </is>
      </c>
      <c r="E1593" t="inlineStr">
        <is>
          <t>10</t>
        </is>
      </c>
      <c r="F1593" t="inlineStr">
        <is>
          <t>High</t>
        </is>
      </c>
      <c r="G1593" t="inlineStr">
        <is>
          <t>High (explicit)</t>
        </is>
      </c>
      <c r="H1593" s="11" t="inlineStr">
        <is>
          <t>Cross-border Transfer, Financial Data</t>
        </is>
      </c>
      <c r="I1593" s="11" t="inlineStr">
        <is>
          <t>Financial Data</t>
        </is>
      </c>
      <c r="J1593" t="inlineStr">
        <is>
          <t>Reserve Bank of India</t>
        </is>
      </c>
      <c r="K1593" s="11" t="inlineStr">
        <is>
          <t>System providers in India must not disclose payment documents or information to third parties without express or implied consent of the participant, court order, or statutory authority. The Bankers' Book Evidence Act, 1891 applies to information maintained by system providers.</t>
        </is>
      </c>
      <c r="L1593" s="11" t="inlineStr">
        <is>
          <t>System providers must maintain confidentiality of payment documents, which impacts data transfers by requiring secure handling of payment information.</t>
        </is>
      </c>
      <c r="M1593" s="11" t="inlineStr">
        <is>
          <t>• [Must Not] System provider shall not disclose existence or contents of payment documents to any other person
• [Must Not] Disclosure permitted only with express or implied consent of system participant</t>
        </is>
      </c>
      <c r="N1593" s="11" t="inlineStr">
        <is>
          <t>• [Must Not] Disclosure permitted where required by this Act
• [Must Not] Disclosure permitted where ordered by court of competent jurisdiction or statutory authority</t>
        </is>
      </c>
      <c r="O1593" s="11" t="inlineStr">
        <is>
          <t>A system provider shall not disclose to any other person the existence or contents of any document or part thereof or other information given to him by a system participant, except where such disclosure is required under the provisions of this Act or the disclosure is made with the express or implied consent of the system participant concerned or where such disclosure is in obedience to the orders passed by a court of competent jurisdiction or a statutory authority in exercise of the powers conferred by a statute.</t>
        </is>
      </c>
      <c r="P1593" s="12" t="n">
        <v>44</v>
      </c>
    </row>
    <row r="1594">
      <c r="A1594" t="inlineStr">
        <is>
          <t>India</t>
        </is>
      </c>
      <c r="B1594" t="inlineStr">
        <is>
          <t>Payment and Settlement Systems Act, 2007 (India - Row 11)</t>
        </is>
      </c>
      <c r="C1594" t="inlineStr">
        <is>
          <t>23</t>
        </is>
      </c>
      <c r="D1594" s="11" t="inlineStr">
        <is>
          <t>Settlement procedures must be final and irrevocable</t>
        </is>
      </c>
      <c r="E1594" t="inlineStr">
        <is>
          <t>10</t>
        </is>
      </c>
      <c r="F1594" t="inlineStr">
        <is>
          <t>High</t>
        </is>
      </c>
      <c r="G1594" t="inlineStr">
        <is>
          <t>High (explicit)</t>
        </is>
      </c>
      <c r="H1594" s="11" t="inlineStr">
        <is>
          <t>Cross-border Transfer, Financial Data</t>
        </is>
      </c>
      <c r="I1594" s="11" t="inlineStr">
        <is>
          <t>Financial Data</t>
        </is>
      </c>
      <c r="J1594" t="inlineStr">
        <is>
          <t>Reserve Bank of India</t>
        </is>
      </c>
      <c r="K1594" s="11" t="inlineStr">
        <is>
          <t>Payment obligations among system participants must follow gross or netting procedures approved by the Reserve Bank. Settlements are final and irrevocable, and liquidators cannot reopen them. Central counter parties must determine settlement instructions in accordance with approved procedures.</t>
        </is>
      </c>
      <c r="L1594" s="11" t="inlineStr">
        <is>
          <t>Settlement procedures must be final and irrevocable, which affects cross-border data transfers by requiring secure and final payment processing.</t>
        </is>
      </c>
      <c r="M1594" s="11" t="inlineStr">
        <is>
          <t>• [Must] Payment obligations and settlement instructions must follow gross or netting procedure approved by Reserve Bank
• [Must] Settlement procedures shall be final and irrevocable</t>
        </is>
      </c>
      <c r="N1594" s="11" t="inlineStr">
        <is>
          <t>• [Must Not] Liquidators cannot reopen final and irrevocable settlements
• [Must] Liquidators must return excess collaterals to system participants</t>
        </is>
      </c>
      <c r="O1594" s="11" t="inlineStr">
        <is>
          <t>The payment obligations and settlement instructions among the system participants shall be determined in accordance with the gross or netting procedure, as the case maybe, approved by the Reserve Bank while issuing authorisation to a payment system... A settlement effected under such procedure shall be final and irrevocable.</t>
        </is>
      </c>
      <c r="P1594" s="12" t="n">
        <v>44</v>
      </c>
    </row>
    <row r="1595">
      <c r="A1595" t="inlineStr">
        <is>
          <t>India</t>
        </is>
      </c>
      <c r="B1595" t="inlineStr">
        <is>
          <t>Payment and Settlement Systems Act, 2007 (India - Row 11)</t>
        </is>
      </c>
      <c r="C1595" t="inlineStr">
        <is>
          <t>24</t>
        </is>
      </c>
      <c r="D1595" s="11" t="inlineStr">
        <is>
          <t>Dispute resolution mechanism for payment system participants</t>
        </is>
      </c>
      <c r="E1595" t="inlineStr">
        <is>
          <t>12</t>
        </is>
      </c>
      <c r="F1595" t="inlineStr">
        <is>
          <t>High</t>
        </is>
      </c>
      <c r="G1595" t="inlineStr">
        <is>
          <t>High (explicit)</t>
        </is>
      </c>
      <c r="H1595" s="11" t="inlineStr"/>
      <c r="I1595" s="11" t="inlineStr">
        <is>
          <t>Financial Data</t>
        </is>
      </c>
      <c r="J1595" t="inlineStr">
        <is>
          <t>Reserve Bank</t>
        </is>
      </c>
      <c r="K1595" s="11" t="inlineStr">
        <is>
          <t>System providers must establish a dispute resolution panel of at least three participants to resolve conflicts between system participants regarding payment system operations. Disputes between participants must be referred to this panel. If participants are unsatisfied with the panel's decision or disputes involve the system provider, the matter must be escalated to the Reserve Bank for final adjudication. The Reserve Bank's decision is binding and final.</t>
        </is>
      </c>
      <c r="L1595" s="11" t="inlineStr">
        <is>
          <t>Requires a structured dispute resolution process involving independent participants before escalation to the Reserve Bank, impacting cross-border payment system data handling and dispute resolution mechanisms.</t>
        </is>
      </c>
      <c r="M1595" s="11" t="inlineStr">
        <is>
          <t>• [Must] System provider must create a dispute resolution panel of at least three system participants
• [Must] Disputes between system participants must be referred to the panel</t>
        </is>
      </c>
      <c r="N1595" s="11" t="inlineStr">
        <is>
          <t>• [Must] Disputes involving system provider or panel decisions must be escalated to Reserve Bank
• [Must] Reserve Bank's decision on escalated disputes is final and binding</t>
        </is>
      </c>
      <c r="O1595" s="11" t="inlineStr">
        <is>
          <t>24. Settlement of disputes.—(1) The system provider shall make provision in its rules or regulations for creation of panel consisting of not less than three system participants other than the system participants who are parties to the dispute to decide the disputes between system participants in respect of any matter connected with the operation of the payment system.</t>
        </is>
      </c>
      <c r="P1595" s="12" t="n">
        <v>44</v>
      </c>
    </row>
    <row r="1596">
      <c r="A1596" t="inlineStr">
        <is>
          <t>India</t>
        </is>
      </c>
      <c r="B1596" t="inlineStr">
        <is>
          <t>Payment and Settlement Systems Act, 2007 (India - Row 11)</t>
        </is>
      </c>
      <c r="C1596" t="inlineStr">
        <is>
          <t>25</t>
        </is>
      </c>
      <c r="D1596" s="11" t="inlineStr">
        <is>
          <t>Penalties for dishonoured electronic funds transfers</t>
        </is>
      </c>
      <c r="E1596" t="inlineStr">
        <is>
          <t>12–13</t>
        </is>
      </c>
      <c r="F1596" t="inlineStr">
        <is>
          <t>High</t>
        </is>
      </c>
      <c r="G1596" t="inlineStr">
        <is>
          <t>High (explicit)</t>
        </is>
      </c>
      <c r="H1596" s="11" t="inlineStr">
        <is>
          <t>Financial Data</t>
        </is>
      </c>
      <c r="I1596" s="11" t="inlineStr">
        <is>
          <t>Financial Data</t>
        </is>
      </c>
      <c r="J1596" t="inlineStr">
        <is>
          <t>Reserve Bank</t>
        </is>
      </c>
      <c r="K1596" s="11" t="inlineStr">
        <is>
          <t>Initiating electronic funds transfers with insufficient funds constitutes an offence punishable by imprisonment up to two years or a fine up to twice the transfer amount. The offence applies only if the transfer was for debt discharge, followed by written beneficiary demand within 30 days, and failure to pay within 15 days. The court presumes the transfer was for debt discharge unless proven otherwise.</t>
        </is>
      </c>
      <c r="L1596" s="11" t="inlineStr">
        <is>
          <t>Defines specific conditions under which electronic funds transfers with insufficient funds trigger penalties, impacting financial data handling and transfer validation processes.</t>
        </is>
      </c>
      <c r="M1596" s="11" t="inlineStr">
        <is>
          <t>• [Must] Person initiating transfer with insufficient funds commits offence punishable by imprisonment up to two years or fine up to twice transfer amount
• [Must] Transfer must be for debt discharge to apply
• [Must] Beneficiary must give written demand within 30 days of dishonour</t>
        </is>
      </c>
      <c r="N1596" s="11" t="inlineStr">
        <is>
          <t>• [Must] Initiator must pay within 15 days of written demand
• [Must] Court presumes transfer was for debt discharge unless proven otherwise</t>
        </is>
      </c>
      <c r="O1596" s="11" t="inlineStr">
        <is>
          <t>25. Dishonour of electronic funds transfer for insufficiency, etc., of funds in the account.—(1) Where an electronic funds transfer initiated by a person from an account maintained by him cannot be executed on the ground that the amount of money standing to the credit of that account is insufficient to honour the transfer instruction or that it exceeds the amount arranged to be paid from that account by an agreement made with a bank, such person shall be deemed to have committed an offence and shall, without prejudice to any other provisions of this Act, be punished with imprisonment for a term which may extend to two years, or with fine which may extend to twice the amount of the electronic funds transfer, or with both</t>
        </is>
      </c>
      <c r="P1596" s="12" t="n">
        <v>44</v>
      </c>
    </row>
    <row r="1597">
      <c r="A1597" t="inlineStr">
        <is>
          <t>India</t>
        </is>
      </c>
      <c r="B1597" t="inlineStr">
        <is>
          <t>Payment and Settlement Systems Act, 2007 (India - Row 11)</t>
        </is>
      </c>
      <c r="C1597" t="inlineStr">
        <is>
          <t>26</t>
        </is>
      </c>
      <c r="D1597" s="11" t="inlineStr">
        <is>
          <t>Penalties for non-compliance with payment system regulations</t>
        </is>
      </c>
      <c r="E1597" t="inlineStr">
        <is>
          <t>13</t>
        </is>
      </c>
      <c r="F1597" t="inlineStr">
        <is>
          <t>High</t>
        </is>
      </c>
      <c r="G1597" t="inlineStr">
        <is>
          <t>High (explicit)</t>
        </is>
      </c>
      <c r="H1597" s="11" t="inlineStr">
        <is>
          <t>Financial Data</t>
        </is>
      </c>
      <c r="I1597" s="11" t="inlineStr">
        <is>
          <t>Financial Data</t>
        </is>
      </c>
      <c r="J1597" t="inlineStr">
        <is>
          <t>Reserve Bank</t>
        </is>
      </c>
      <c r="K1597" s="11" t="inlineStr">
        <is>
          <t>Violations of payment system regulations incur penalties including imprisonment up to ten years, fines up to one crore rupees, and daily fines up to one lakh rupees. False statements in applications or returns are punishable by imprisonment up to three years and fines from ten lakh to fifty lakh rupees. Failure to produce required documents or comply with inspections results in penalties as specified in section 30.</t>
        </is>
      </c>
      <c r="L1597" s="11" t="inlineStr">
        <is>
          <t>Imposes strict penalties for non-compliance with payment system data handling and reporting requirements, affecting financial data accuracy and regulatory adherence.</t>
        </is>
      </c>
      <c r="M1597" s="11" t="inlineStr">
        <is>
          <t>• [Must] Contravention of section 4 or failure to comply with authorisation terms incurs imprisonment up to ten years or fine up to one crore rupees
• [Must] False statements in applications or returns punishable by imprisonment up to three years and fines from ten lakh to fifty lakh rupees</t>
        </is>
      </c>
      <c r="N1597" s="11" t="inlineStr">
        <is>
          <t>• [Must] Failure to produce required documents or comply with inspections incurs penalties as per section 30</t>
        </is>
      </c>
      <c r="O1597" s="11" t="inlineStr">
        <is>
          <t>26. Penalties.—(1)Where a person contravenes the provisions of section 4 or fails to comply with the terms and conditions subject to which the authorisation has been issued under section 7, he shall be punishable with imprisonment for a term which shall not be less than one month but which may extend to ten years or with fine which may extend to one crore rupees or with both</t>
        </is>
      </c>
      <c r="P1597" s="12" t="n">
        <v>44</v>
      </c>
    </row>
    <row r="1598">
      <c r="A1598" t="inlineStr">
        <is>
          <t>India</t>
        </is>
      </c>
      <c r="B1598" t="inlineStr">
        <is>
          <t>Payment and Settlement Systems Act, 2007 (India - Row 11)</t>
        </is>
      </c>
      <c r="C1598" t="inlineStr">
        <is>
          <t>27</t>
        </is>
      </c>
      <c r="D1598" s="11" t="inlineStr">
        <is>
          <t>Company liability for payment system offences</t>
        </is>
      </c>
      <c r="E1598" t="inlineStr">
        <is>
          <t>14</t>
        </is>
      </c>
      <c r="F1598" t="inlineStr">
        <is>
          <t>High</t>
        </is>
      </c>
      <c r="G1598" t="inlineStr">
        <is>
          <t>High (explicit)</t>
        </is>
      </c>
      <c r="H1598" s="11" t="inlineStr">
        <is>
          <t>Financial Data</t>
        </is>
      </c>
      <c r="I1598" s="11" t="inlineStr">
        <is>
          <t>Financial Data</t>
        </is>
      </c>
      <c r="J1598" t="inlineStr">
        <is>
          <t>Reserve Bank</t>
        </is>
      </c>
      <c r="K1598" s="11" t="inlineStr">
        <is>
          <t>Companies committing payment system offences are liable for the contravention by all persons responsible for business operations. Directors, managers, and officers are also liable if the contravention occurred with their consent or neglect. Individuals may avoid liability by proving they were unaware or exercised due diligence.</t>
        </is>
      </c>
      <c r="L1598" s="11" t="inlineStr">
        <is>
          <t>Clarifies liability for payment system offences within companies, impacting data handling responsibilities across organizational structures.</t>
        </is>
      </c>
      <c r="M1598" s="11" t="inlineStr">
        <is>
          <t>• [Must] Company and responsible persons liable for contraventions
• [Must] Directors, managers, and officers liable if contravention occurred with consent or neglect</t>
        </is>
      </c>
      <c r="N1598" s="11" t="inlineStr">
        <is>
          <t>• [Must] Individuals may avoid liability by proving unawareness or due diligence</t>
        </is>
      </c>
      <c r="O1598" s="11" t="inlineStr">
        <is>
          <t>27. Offences by companies.—(1) Where a person committing a contravention of any of the provisions of this Act or any regulation, direction or order made thereunder is a company, every person who, at the time of the contravention, was in-charge of, and was responsible to, the company for the conduct of business of the company, as well as the company, shall be guilty of the contravention and shall be liable to be proceeded against and punished accordingly</t>
        </is>
      </c>
      <c r="P1598" s="12" t="n">
        <v>44</v>
      </c>
    </row>
    <row r="1599">
      <c r="A1599" t="inlineStr">
        <is>
          <t>India</t>
        </is>
      </c>
      <c r="B1599" t="inlineStr">
        <is>
          <t>Payment and Settlement Systems Act, 2007 (India - Row 11)</t>
        </is>
      </c>
      <c r="C1599" t="inlineStr">
        <is>
          <t>28</t>
        </is>
      </c>
      <c r="D1599" s="11" t="inlineStr">
        <is>
          <t>Cognizance of payment system offences</t>
        </is>
      </c>
      <c r="E1599" t="inlineStr">
        <is>
          <t>14</t>
        </is>
      </c>
      <c r="F1599" t="inlineStr">
        <is>
          <t>High</t>
        </is>
      </c>
      <c r="G1599" t="inlineStr">
        <is>
          <t>High (explicit)</t>
        </is>
      </c>
      <c r="H1599" s="11" t="inlineStr">
        <is>
          <t>Financial Data</t>
        </is>
      </c>
      <c r="I1599" s="11" t="inlineStr">
        <is>
          <t>Financial Data</t>
        </is>
      </c>
      <c r="J1599" t="inlineStr">
        <is>
          <t>Reserve Bank</t>
        </is>
      </c>
      <c r="K1599" s="11" t="inlineStr">
        <is>
          <t>Courts may only take cognizance of payment system offences through written complaints from Reserve Bank officers. The court may dispense with personal attendance of the Reserve Bank officer but may require the complainant's attendance. Offences under section 25 can be prosecuted by the affected party.</t>
        </is>
      </c>
      <c r="L1599" s="11" t="inlineStr">
        <is>
          <t>Specifies how courts handle payment system offences, impacting legal procedures for data-related disputes.</t>
        </is>
      </c>
      <c r="M1599" s="11" t="inlineStr">
        <is>
          <t>• [Must] Courts may only take cognizance of offences through written complaints from Reserve Bank officers
• [Must] Courts may dispense with personal attendance of Reserve Bank officer but may require complainant's attendance</t>
        </is>
      </c>
      <c r="N1599" s="11" t="inlineStr">
        <is>
          <t>• [Must] Section 25 offences may be prosecuted by affected party</t>
        </is>
      </c>
      <c r="O1599" s="11" t="inlineStr">
        <is>
          <t>28. Cognizance of offences.—(1) No court shall take cognizance of an offence punishable under this Act except upon a complaint in writing made by an officer of the Reserve Bank generally or specially authorised by it in writing in this behalf</t>
        </is>
      </c>
      <c r="P1599" s="12" t="n">
        <v>44</v>
      </c>
    </row>
    <row r="1600">
      <c r="A1600" t="inlineStr">
        <is>
          <t>India</t>
        </is>
      </c>
      <c r="B1600" t="inlineStr">
        <is>
          <t>Payment and Settlement Systems Act, 2007 (India - Row 11)</t>
        </is>
      </c>
      <c r="C1600" t="inlineStr">
        <is>
          <t>29</t>
        </is>
      </c>
      <c r="D1600" s="11" t="inlineStr">
        <is>
          <t>Application of fines to court costs</t>
        </is>
      </c>
      <c r="E1600" t="inlineStr">
        <is>
          <t>14</t>
        </is>
      </c>
      <c r="F1600" t="inlineStr">
        <is>
          <t>Low</t>
        </is>
      </c>
      <c r="G1600" t="inlineStr">
        <is>
          <t>High (explicit)</t>
        </is>
      </c>
      <c r="H1600" s="11" t="inlineStr"/>
      <c r="I1600" s="11" t="inlineStr"/>
      <c r="J1600" t="inlineStr"/>
      <c r="K1600" s="11" t="inlineStr">
        <is>
          <t>Courts imposing fines under this Act may direct that the entire fine or part thereof be applied to cover the costs of the proceedings. This applies to any court enforcing penalties under the Payment and Settlement Systems Act, 2007.</t>
        </is>
      </c>
      <c r="L1600" s="11" t="inlineStr"/>
      <c r="M1600" s="11" t="inlineStr">
        <is>
          <t>• [Must] A court imposing any fine under this Act may direct that the whole or any part thereof shall be applied in, or towards payment of, the costs of the proceedings</t>
        </is>
      </c>
      <c r="N1600" s="11" t="inlineStr"/>
      <c r="O1600" s="11" t="inlineStr">
        <is>
          <t>29. Application of fine.—A court imposing any fine under this Act may direct that the whole or any part thereof shall be applied in, or towards payment of, the costs of the proceedings.</t>
        </is>
      </c>
      <c r="P1600" s="12" t="n">
        <v>44</v>
      </c>
    </row>
    <row r="1601">
      <c r="A1601" t="inlineStr">
        <is>
          <t>India</t>
        </is>
      </c>
      <c r="B1601" t="inlineStr">
        <is>
          <t>Payment and Settlement Systems Act, 2007 (India - Row 11)</t>
        </is>
      </c>
      <c r="C1601" t="inlineStr">
        <is>
          <t>30</t>
        </is>
      </c>
      <c r="D1601" s="11" t="inlineStr">
        <is>
          <t>Reserve Bank penalty powers</t>
        </is>
      </c>
      <c r="E1601" t="inlineStr">
        <is>
          <t>14</t>
        </is>
      </c>
      <c r="F1601" t="inlineStr">
        <is>
          <t>High</t>
        </is>
      </c>
      <c r="G1601" t="inlineStr">
        <is>
          <t>High (explicit)</t>
        </is>
      </c>
      <c r="H1601" s="11" t="inlineStr"/>
      <c r="I1601" s="11" t="inlineStr"/>
      <c r="J1601" t="inlineStr">
        <is>
          <t>Reserve Bank of India</t>
        </is>
      </c>
      <c r="K1601" s="11" t="inlineStr">
        <is>
          <t>The Reserve Bank may impose penalties up to ten lakh rupees or twice the amount involved in contraventions, whichever is higher. For continuing defaults, penalties may be levied daily up to twenty-five thousand rupees. The Reserve Bank must serve a notice requiring the defaulter to show cause why the penalty should not be imposed and provide a hearing opportunity.</t>
        </is>
      </c>
      <c r="L1601" s="11" t="inlineStr"/>
      <c r="M1601" s="11" t="inlineStr">
        <is>
          <t>• [May] The Reserve Bank may impose on the person contravening or committing default a penalty not exceeding ten lakh rupees or twice the amount involved in such contravention or default where such amount is quantifiable, whichever is more
• [May] For continuing defaults, the Reserve Bank may impose further penalties extending to twenty-five thousand rupees for every day after the first during which the contravention or default continues</t>
        </is>
      </c>
      <c r="N1601" s="11" t="inlineStr">
        <is>
          <t>• [Must] The Reserve Bank shall serve a notice on the defaulter requiring him to show cause why the amount specified in the notice should not be imposed as a penalty and a reasonable opportunity of being heard shall also be given to such defaulter</t>
        </is>
      </c>
      <c r="O1601" s="11" t="inlineStr">
        <is>
          <t>30. Power of Reserve Bank to impose 2[penalties].—(1) Notwithstanding anything contained in section 26, if a contravention or default of the nature referred to in sub-section (2) 3[or sub-section (3)] or sub-section (6) of section 26, as the case may be, the Reserve Bank may impose on the person contravening or committing default a penalty not exceeding 4[ten lakh] rupees or twice the amount involved in such contravention or default where such amount is quantifiable, whichever is more, and where such contravention or default is a continuing one, a further penalty which may extend to twenty-five thousand rupees for every day after the first during which the contravention or default continues.</t>
        </is>
      </c>
      <c r="P1601" s="12" t="n">
        <v>44</v>
      </c>
    </row>
    <row r="1602">
      <c r="A1602" t="inlineStr">
        <is>
          <t>India</t>
        </is>
      </c>
      <c r="B1602" t="inlineStr">
        <is>
          <t>Payment and Settlement Systems Act, 2007 (India - Row 11)</t>
        </is>
      </c>
      <c r="C1602" t="inlineStr">
        <is>
          <t>31</t>
        </is>
      </c>
      <c r="D1602" s="11" t="inlineStr">
        <is>
          <t>Compounding of offences</t>
        </is>
      </c>
      <c r="E1602" t="inlineStr">
        <is>
          <t>15</t>
        </is>
      </c>
      <c r="F1602" t="inlineStr">
        <is>
          <t>High</t>
        </is>
      </c>
      <c r="G1602" t="inlineStr">
        <is>
          <t>High (explicit)</t>
        </is>
      </c>
      <c r="H1602" s="11" t="inlineStr"/>
      <c r="I1602" s="11" t="inlineStr"/>
      <c r="J1602" t="inlineStr">
        <is>
          <t>Reserve Bank of India</t>
        </is>
      </c>
      <c r="K1602" s="11" t="inlineStr">
        <is>
          <t>The Reserve Bank may compound offences punishable under this Act for contraventions that are not punishable with imprisonment only or with imprisonment and fine. Compounded offences prevent further proceedings against the person committing the contravention.</t>
        </is>
      </c>
      <c r="L1602" s="11" t="inlineStr"/>
      <c r="M1602" s="11" t="inlineStr">
        <is>
          <t>• [May] Any offence punishable under this Act for any contravention, not being an offence punishable with imprisonment only, or with imprisonment and also with fine, may be compounded by an officer of the Reserve Bank duly authorised by it in this behalf</t>
        </is>
      </c>
      <c r="N1602" s="11" t="inlineStr">
        <is>
          <t>• [Must] Where a contravention has been compounded under sub-section (1), no proceeding or further proceeding shall be initiated or continued against the person committing such contravention under that section</t>
        </is>
      </c>
      <c r="O1602" s="11" t="inlineStr">
        <is>
          <t>31. Power to compound offences.—(1) Notwithstanding anything contained in the Code of Criminal Procedure, 1973 (2 of 1974), any offence punishable under this Act for any contravention, not being an offence punishable with imprisonment only, or with imprisonment and also with fine, may, on receipt of an application from the person committing such contravention either before or after the institution of any proceeding, be compounded by an officer of the Reserve Bank duly authorised by it in this behalf.</t>
        </is>
      </c>
      <c r="P1602" s="12" t="n">
        <v>44</v>
      </c>
    </row>
    <row r="1603">
      <c r="A1603" t="inlineStr">
        <is>
          <t>India</t>
        </is>
      </c>
      <c r="B1603" t="inlineStr">
        <is>
          <t>Payment and Settlement Systems Act, 2007 (India - Row 11)</t>
        </is>
      </c>
      <c r="C1603" t="inlineStr">
        <is>
          <t>32</t>
        </is>
      </c>
      <c r="D1603" s="11" t="inlineStr">
        <is>
          <t>Act overriding other laws</t>
        </is>
      </c>
      <c r="E1603" t="inlineStr">
        <is>
          <t>15</t>
        </is>
      </c>
      <c r="F1603" t="inlineStr">
        <is>
          <t>Low</t>
        </is>
      </c>
      <c r="G1603" t="inlineStr">
        <is>
          <t>High (explicit)</t>
        </is>
      </c>
      <c r="H1603" s="11" t="inlineStr"/>
      <c r="I1603" s="11" t="inlineStr"/>
      <c r="J1603" t="inlineStr"/>
      <c r="K1603" s="11" t="inlineStr">
        <is>
          <t>This Act has overriding effect over any inconsistent provisions in other existing laws. This ensures the Payment and Settlement Systems Act takes precedence in cases of conflict.</t>
        </is>
      </c>
      <c r="L1603" s="11" t="inlineStr"/>
      <c r="M1603" s="11" t="inlineStr">
        <is>
          <t>• [Must] The provisions of this Act shall have effect notwithstanding anything inconsistent therewith contained in any other law for the time being in force</t>
        </is>
      </c>
      <c r="N1603" s="11" t="inlineStr"/>
      <c r="O1603" s="11" t="inlineStr">
        <is>
          <t>32. Act to have overriding effect.—The provisions of this Act shall have effect notwithstanding anything inconsistent therewith contained in any other law for the time being in force.</t>
        </is>
      </c>
      <c r="P1603" s="12" t="n">
        <v>44</v>
      </c>
    </row>
    <row r="1604">
      <c r="A1604" t="inlineStr">
        <is>
          <t>India</t>
        </is>
      </c>
      <c r="B1604" t="inlineStr">
        <is>
          <t>Payment and Settlement Systems Act, 2007 (India - Row 11)</t>
        </is>
      </c>
      <c r="C1604" t="inlineStr">
        <is>
          <t>33</t>
        </is>
      </c>
      <c r="D1604" s="11" t="inlineStr">
        <is>
          <t>Penalty recovery mechanisms</t>
        </is>
      </c>
      <c r="E1604" t="inlineStr">
        <is>
          <t>15–16</t>
        </is>
      </c>
      <c r="F1604" t="inlineStr">
        <is>
          <t>High</t>
        </is>
      </c>
      <c r="G1604" t="inlineStr">
        <is>
          <t>High (explicit)</t>
        </is>
      </c>
      <c r="H1604" s="11" t="inlineStr"/>
      <c r="I1604" s="11" t="inlineStr"/>
      <c r="J1604" t="inlineStr">
        <is>
          <t>Reserve Bank of India</t>
        </is>
      </c>
      <c r="K1604" s="11" t="inlineStr">
        <is>
          <t>Penalties may be recovered through notices to third parties, with specific rules for payment, enforcement, and liability. Third parties who receive notices must comply unless they contest the penalty in writing. Failure to pay leads to further enforcement actions.</t>
        </is>
      </c>
      <c r="L1604" s="11" t="inlineStr"/>
      <c r="M1604" s="11" t="inlineStr">
        <is>
          <t>• [May]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
• [Must] Every person to whom a notice is issued under this sub-section shall be bound to comply with such notice, and where such notice is issued to a post office, bank or an insurer, it shall not be necessary for any passbook, deposit receipt, policy or any other document to be produced for the purpose of any entry, endorsement or the like being made bef…
• [Must] Any claim respecting any property in relation to which a notice under this sub-section has been issued arising after the date of the notice shall be void as against any demand contained in the notice
• [Must] Where a person to whom the notice under this sub-section is sent objects to it by a statement on oath that the sum demanded or any part thereof is not due to the defaulter or that he does not hold any money for or on account of the defaulter, then, nothing contained in this sub-section shall be deemed to require such person to pay any such sum or…
• [Must] If it is discovered that such statement was false in any material particular, such person shall be personally liable to the Reserve Bank to the extent of his own liability to the defaulter on the date of the notice, or to the extent of the penalty imposed on the defaulter by the Reserve Bank, whichever is less</t>
        </is>
      </c>
      <c r="N1604" s="11" t="inlineStr">
        <is>
          <t>• [May] The Reserve Bank may at any time or from time to time, amend or revoke any notice issued under this section or extend the time for making the payment in pursuance of such notice
• [Must] The Reserve Bank shall grant a receipt for any amount paid to it in compliance with a notice issued under this section and the person so paying shall be fully discharged from his liability to the defaulter to the extent of the amount so paid
• [Must] Any person discharging any liability to the defaulter after the receipt of a notice under this section shall be personally liable to the Reserve Bank to the extent of his own liability to the defaulter so discharged or to the extent of the penalty imposed on the defaulter by the Reserve Bank, whichever is less
• [May] If the person to whom the notice under this section is sent fails to make payment in pursuance thereof to the Reserve Bank, he shall be deemed to be the defaulter in respect of the amount specified in the notice and further proceedings may be taken against him for the realisation of the amount as if it were an arrear due from him in the manner pro…</t>
        </is>
      </c>
      <c r="O1604" s="11" t="inlineStr">
        <is>
          <t>33. Mode of recovery of penalty.—(1) The penalty imposed on the defaulter by the Reserve Bank under section 30 may be recovered by issuing a notice to any person from whom any amount is due to the defaulter, by requiring such person to deduct from the amount payable by him to the defaulter, the amount payable to the Reserve Bank by way of penalty and pay to the Reserve Bank.</t>
        </is>
      </c>
      <c r="P1604" s="12" t="n">
        <v>44</v>
      </c>
    </row>
    <row r="1605">
      <c r="A1605" t="inlineStr">
        <is>
          <t>India</t>
        </is>
      </c>
      <c r="B1605" t="inlineStr">
        <is>
          <t>Payment and Settlement Systems Act, 2007 (India - Row 11)</t>
        </is>
      </c>
      <c r="C1605" t="inlineStr">
        <is>
          <t>34</t>
        </is>
      </c>
      <c r="D1605" s="11" t="inlineStr">
        <is>
          <t>Exemptions for stock exchanges and clearing corporations</t>
        </is>
      </c>
      <c r="E1605" t="inlineStr">
        <is>
          <t>2</t>
        </is>
      </c>
      <c r="F1605" t="inlineStr">
        <is>
          <t>Low</t>
        </is>
      </c>
      <c r="G1605" t="inlineStr">
        <is>
          <t>High (explicit)</t>
        </is>
      </c>
      <c r="H1605" s="11" t="inlineStr"/>
      <c r="I1605" s="11" t="inlineStr"/>
      <c r="J1605" t="inlineStr"/>
      <c r="K1605" s="11" t="inlineStr">
        <is>
          <t>This section explicitly states that nothing in the Payment and Settlement Systems Act applies to stock exchanges or their clearing corporations. The Act does not govern these entities, which is a clear exemption from the scope of the legislation.</t>
        </is>
      </c>
      <c r="L1605" s="11" t="inlineStr">
        <is>
          <t>This section is irrelevant for Data Transfer Impact Assessments as it defines exemptions from the Act's scope, not data transfer mechanisms or requirements.</t>
        </is>
      </c>
      <c r="M1605" s="11" t="inlineStr">
        <is>
          <t>• [Must Not] Nothing contained in this Act shall apply to stock exchanges or the clearing corporations of the stock exchanges</t>
        </is>
      </c>
      <c r="N1605" s="11" t="inlineStr"/>
      <c r="O1605" s="11" t="inlineStr">
        <is>
          <t>34. Act not to apply to stock exchanges or clearing corporations of stock exchanges.—Nothing contained in this Act shall apply to stock exchanges or the clearing corporations of the stock exchanges.</t>
        </is>
      </c>
      <c r="P1605" s="12" t="n">
        <v>44</v>
      </c>
    </row>
    <row r="1606">
      <c r="A1606" t="inlineStr">
        <is>
          <t>India</t>
        </is>
      </c>
      <c r="B1606" t="inlineStr">
        <is>
          <t>Payment and Settlement Systems Act, 2007 (India - Row 11)</t>
        </is>
      </c>
      <c r="C1606" t="inlineStr">
        <is>
          <t>35</t>
        </is>
      </c>
      <c r="D1606" s="11" t="inlineStr">
        <is>
          <t>Reserve Bank officers deemed public servants</t>
        </is>
      </c>
      <c r="E1606" t="inlineStr">
        <is>
          <t>17</t>
        </is>
      </c>
      <c r="F1606" t="inlineStr">
        <is>
          <t>Low</t>
        </is>
      </c>
      <c r="G1606" t="inlineStr">
        <is>
          <t>High (explicit)</t>
        </is>
      </c>
      <c r="H1606" s="11" t="inlineStr"/>
      <c r="I1606" s="11" t="inlineStr"/>
      <c r="J1606" t="inlineStr"/>
      <c r="K1606" s="11" t="inlineStr">
        <is>
          <t>This section states that every Reserve Bank officer entrusted with powers under the Act is deemed a public servant under the Indian Penal Code. This classification has implications for legal liability and accountability.</t>
        </is>
      </c>
      <c r="L1606" s="11" t="inlineStr">
        <is>
          <t>This section is irrelevant for Data Transfer Impact Assessments as it defines a legal classification, not data transfer mechanisms or requirements.</t>
        </is>
      </c>
      <c r="M1606" s="11" t="inlineStr">
        <is>
          <t>• [Must] Every officer of the Reserve Bank who has been entrusted with any power under this Act, shall be deemed to be a public servant within the meaning of section 21 of the Indian Penal Code (45 of 1860)</t>
        </is>
      </c>
      <c r="N1606" s="11" t="inlineStr"/>
      <c r="O1606" s="11" t="inlineStr">
        <is>
          <t>35. Certain persons deemed to be public servants.—Every officer of the Reserve Bank who has been entrusted with any power under this Act, shall be deemed to be a public servant within the meaning of section 21 of the Indian Penal Code (45 of 1860).</t>
        </is>
      </c>
      <c r="P1606" s="12" t="n">
        <v>44</v>
      </c>
    </row>
    <row r="1607">
      <c r="A1607" t="inlineStr">
        <is>
          <t>India</t>
        </is>
      </c>
      <c r="B1607" t="inlineStr">
        <is>
          <t>Payment and Settlement Systems Act, 2007 (India - Row 11)</t>
        </is>
      </c>
      <c r="C1607" t="inlineStr">
        <is>
          <t>36</t>
        </is>
      </c>
      <c r="D1607" s="11" t="inlineStr">
        <is>
          <t>Protection for good faith actions</t>
        </is>
      </c>
      <c r="E1607" t="inlineStr">
        <is>
          <t>17</t>
        </is>
      </c>
      <c r="F1607" t="inlineStr">
        <is>
          <t>Low</t>
        </is>
      </c>
      <c r="G1607" t="inlineStr">
        <is>
          <t>High (explicit)</t>
        </is>
      </c>
      <c r="H1607" s="11" t="inlineStr"/>
      <c r="I1607" s="11" t="inlineStr"/>
      <c r="J1607" t="inlineStr"/>
      <c r="K1607" s="11" t="inlineStr">
        <is>
          <t>This section provides legal immunity for the Central Government, Reserve Bank, and its officers from legal proceedings for damages caused by actions taken in good faith in pursuance of the Act, regulations, or orders made under it.</t>
        </is>
      </c>
      <c r="L1607" s="11" t="inlineStr">
        <is>
          <t>This section is irrelevant for Data Transfer Impact Assessments as it addresses legal immunity, not data transfer mechanisms or requirements.</t>
        </is>
      </c>
      <c r="M1607" s="11" t="inlineStr">
        <is>
          <t>• [Must Not] No suit or other legal proceedings shall lie against the Central Government, the Reserve Bank, or any officer thereof for any damage caused or likely to be caused by anything which is in good faith done or intended to be done in pursuance of this Act, any regulations, order or direction made or given thereunder</t>
        </is>
      </c>
      <c r="N1607" s="11" t="inlineStr"/>
      <c r="O1607" s="11" t="inlineStr">
        <is>
          <t>36. Protection of action taken in good faith.—No suit or other legal proceedings shall lie against the Central Government, the Reserve Bank, or any officer thereof for any damage caused or likely to be caused by anything which is in good faith done or intended to be done in pursuance of this Act, any regulations, order or direction made or given thereunder.</t>
        </is>
      </c>
      <c r="P1607" s="12" t="n">
        <v>44</v>
      </c>
    </row>
    <row r="1608">
      <c r="A1608" t="inlineStr">
        <is>
          <t>India</t>
        </is>
      </c>
      <c r="B1608" t="inlineStr">
        <is>
          <t>Payment and Settlement Systems Act, 2007 (India - Row 11)</t>
        </is>
      </c>
      <c r="C1608" t="inlineStr">
        <is>
          <t>37</t>
        </is>
      </c>
      <c r="D1608" s="11" t="inlineStr">
        <is>
          <t>Power to remove difficulties</t>
        </is>
      </c>
      <c r="E1608" t="inlineStr">
        <is>
          <t>17</t>
        </is>
      </c>
      <c r="F1608" t="inlineStr">
        <is>
          <t>None</t>
        </is>
      </c>
      <c r="G1608" t="inlineStr">
        <is>
          <t>High (explicit)</t>
        </is>
      </c>
      <c r="H1608" s="11" t="inlineStr"/>
      <c r="I1608" s="11" t="inlineStr"/>
      <c r="J1608" t="inlineStr"/>
      <c r="K1608" s="11" t="inlineStr">
        <is>
          <t>This section grants the Central Government the authority to issue orders via the Official Gazette to resolve difficulties in implementing the Act, with a two-year deadline for such orders and a requirement to lay the orders before Parliament.</t>
        </is>
      </c>
      <c r="L1608" s="11" t="inlineStr">
        <is>
          <t>This section is irrelevant for Data Transfer Impact Assessments as it addresses legislative flexibility, not data transfer mechanisms or requirements.</t>
        </is>
      </c>
      <c r="M1608" s="11" t="inlineStr">
        <is>
          <t>• [May] If any difficulty arises in giving effect to the provisions of this Act, the Central Government may, by order published in the Official Gazette, make such provision as appear to it to be necessary or expedient for removing the difficulty
• [Condition] No order shall be made under this section after the expiry of a period of two years from the commencement of this Act</t>
        </is>
      </c>
      <c r="N1608" s="11" t="inlineStr">
        <is>
          <t>• [Must] Every order made under this section shall be laid, as soon as may be after it is made, before each House of Parliament</t>
        </is>
      </c>
      <c r="O1608" s="11" t="inlineStr">
        <is>
          <t>37. Power to remove difficulties.—(1) If any difficulty arises in giving effect to the provisions of this Act, the Central Government may, by order published in the Official Gazette, make such provision is not inconsistent with the provisions of this Act as appear to it to be necessary or expedient for removing the difficulty: Provided that no order shall be made under this section after the expiry of a period of two years from the commencement of this Act. (2) Every order made under this section shall be laid, as soon as may be after it is made, before each House of Parliament.</t>
        </is>
      </c>
      <c r="P1608" s="12" t="n">
        <v>44</v>
      </c>
    </row>
    <row r="1609">
      <c r="A1609" t="inlineStr">
        <is>
          <t>India</t>
        </is>
      </c>
      <c r="B1609" t="inlineStr">
        <is>
          <t>Payment and Settlement Systems Act, 2007 (India - Row 11)</t>
        </is>
      </c>
      <c r="C1609" t="inlineStr">
        <is>
          <t>38</t>
        </is>
      </c>
      <c r="D1609" s="11" t="inlineStr">
        <is>
          <t>Reserve Bank regulatory powers</t>
        </is>
      </c>
      <c r="E1609" t="inlineStr">
        <is>
          <t>2–3</t>
        </is>
      </c>
      <c r="F1609" t="inlineStr">
        <is>
          <t>Low</t>
        </is>
      </c>
      <c r="G1609" t="inlineStr">
        <is>
          <t>High (explicit)</t>
        </is>
      </c>
      <c r="H1609" s="11" t="inlineStr"/>
      <c r="I1609" s="11" t="inlineStr"/>
      <c r="J1609" t="inlineStr">
        <is>
          <t>Reserve Bank</t>
        </is>
      </c>
      <c r="K1609" s="11" t="inlineStr">
        <is>
          <t>This section empowers the Reserve Bank to make regulations consistent with the Act to implement its provisions, including specific matters like board functions, application formats, authorization procedures, payment standards, and information reporting requirements.</t>
        </is>
      </c>
      <c r="L1609" s="11" t="inlineStr">
        <is>
          <t>This section is irrelevant for Data Transfer Impact Assessments as it addresses regulatory powers, not data transfer mechanisms or requirements.</t>
        </is>
      </c>
      <c r="M1609" s="11" t="inlineStr">
        <is>
          <t>• [May] The Reserve Bank may, by notification, make regulations consistent with this Act to carry out the provisions of this Act
• [May] Regulations may provide for the powers and functions of the Board, the time and venue of its meetings and the procedure to be followed by it at its meetings
• [May] Regulations may provide for the form and manner in which an application for authorisation for commencing or carrying on a payment system shall be made and the fees which shall accompany such application
• [May] Regulations may provide for the form in which an authorisation to operate a payment system under this Act shall be issued</t>
        </is>
      </c>
      <c r="N1609" s="11" t="inlineStr">
        <is>
          <t>• [May] Regulations may provide for the format of payment instructions and other matters relating to determination of standards to be complied with by the payment systems
• [May] Regulations may provide for the intervals, at which and the form and manner in which the information or returns required by the Reserve Bank shall be furnished
• [May] Regulations may provide for such other matters as are required to be, or may be, prescribed</t>
        </is>
      </c>
      <c r="O1609" s="11" t="inlineStr">
        <is>
          <t>38. Power of Reserve Bank to make regulations.—(1) The Reserve Bank may, by notification, make regulations consistent with this Act to carry out the provisions of this Act.</t>
        </is>
      </c>
      <c r="P1609" s="12" t="n">
        <v>44</v>
      </c>
    </row>
    <row r="1610">
      <c r="A1610" t="inlineStr">
        <is>
          <t>India</t>
        </is>
      </c>
      <c r="B1610" t="inlineStr">
        <is>
          <t>RBI Digital Lending Directions 2025 Digital Lending Guidelines 2022 (India - Row 14)</t>
        </is>
      </c>
      <c r="C1610" t="inlineStr">
        <is>
          <t>1</t>
        </is>
      </c>
      <c r="D1610" s="11" t="inlineStr">
        <is>
          <t>Digital lending platform compliance guidelines</t>
        </is>
      </c>
      <c r="E1610" t="inlineStr">
        <is>
          <t>3</t>
        </is>
      </c>
      <c r="F1610" t="inlineStr">
        <is>
          <t>High</t>
        </is>
      </c>
      <c r="G1610" t="inlineStr">
        <is>
          <t>Medium (minor interpretation)</t>
        </is>
      </c>
      <c r="H1610" s="11" t="inlineStr">
        <is>
          <t>Financial Data</t>
        </is>
      </c>
      <c r="I1610" s="11" t="inlineStr">
        <is>
          <t>Financial Data</t>
        </is>
      </c>
      <c r="J1610" t="inlineStr">
        <is>
          <t>RBI</t>
        </is>
      </c>
      <c r="K1610" s="11" t="inlineStr">
        <is>
          <t>This section references RBI's 2020 guidelines on fair practices and outsourcing for loans sourced by banks and NBFCs through digital lending platforms. It establishes baseline compliance requirements for digital lending operations.</t>
        </is>
      </c>
      <c r="L1610" s="11" t="inlineStr">
        <is>
          <t>Digital lending platforms must adhere to fair practices and outsourcing guidelines, impacting data transfer impact assessments for cross-border data flows.</t>
        </is>
      </c>
      <c r="M1610" s="11" t="inlineStr">
        <is>
          <t>• [Must] Loans sourced by banks and NBFCs through digital lending platforms must adhere to fair practices code</t>
        </is>
      </c>
      <c r="N1610" s="11" t="inlineStr">
        <is>
          <t>• [Must] Outsourcing guidelines must be followed for digital lending platforms</t>
        </is>
      </c>
      <c r="O1610" s="11" t="inlineStr">
        <is>
          <t>RBI/2019-20/258 DOR(NBFC)(PD) CC.No.112/03.10.001/2019-20 24.06.2020 Loans Sourced by Banks and NBFCs over Digital Lending Platforms: Adherence to Fair Practices Code and Outsourcing Guidelines</t>
        </is>
      </c>
      <c r="P1610" s="12" t="n">
        <v>45</v>
      </c>
    </row>
    <row r="1611">
      <c r="A1611" t="inlineStr">
        <is>
          <t>India</t>
        </is>
      </c>
      <c r="B1611" t="inlineStr">
        <is>
          <t>RBI Digital Lending Directions 2025 Digital Lending Guidelines 2022 (India - Row 14)</t>
        </is>
      </c>
      <c r="C1611" t="inlineStr">
        <is>
          <t>3</t>
        </is>
      </c>
      <c r="D1611" s="11" t="inlineStr">
        <is>
          <t>Applicability of Digital Lending Guidelines</t>
        </is>
      </c>
      <c r="E1611" t="inlineStr">
        <is>
          <t>4</t>
        </is>
      </c>
      <c r="F1611" t="inlineStr">
        <is>
          <t>High</t>
        </is>
      </c>
      <c r="G1611" t="inlineStr">
        <is>
          <t>High (explicit)</t>
        </is>
      </c>
      <c r="H1611"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611" s="11" t="inlineStr">
        <is>
          <t>Personal Information, Financial Data, Customer Data, Employee Data, Health Data, Children's Data, Biometric Data, Special Personal Information</t>
        </is>
      </c>
      <c r="J1611" t="inlineStr"/>
      <c r="K1611" s="11" t="inlineStr">
        <is>
          <t>These guidelines apply to all digital lending activities of specified entities: commercial banks, primary (urban) co-operative banks, state co-operative banks, central co-operative banks, non-banking financial companies (including housing finance companies), and all-India financial institutions. The term 'Regulated Entity' refers to these institutions that must comply with the digital lending requirements outlined in the guidelines.</t>
        </is>
      </c>
      <c r="L1611" s="11" t="inlineStr"/>
      <c r="M1611" s="11" t="inlineStr">
        <is>
          <t>• [Must] These Directions shall be applicable to all digital lending activities of the following entities
• [Must] All Commercial Banks are Regulated Entities
• [Must] All Primary (Urban) Co-operative Banks, State Co-operative Banks, Central Co-operative Banks are Regulated Entities</t>
        </is>
      </c>
      <c r="N1611" s="11" t="inlineStr">
        <is>
          <t>• [Must] All Non-Banking Financial Companies (including Housing Finance Companies) are Regulated Entities
• [Must] All All-India Financial Institutions are Regulated Entities</t>
        </is>
      </c>
      <c r="O1611" s="11" t="inlineStr">
        <is>
          <t>These Directions shall be applicable to all digital lending activities of the following entities, hereinafter referred to as a Regulated Entity (RE) and collectively as Regulated Entities (REs), as the context may require: i. All Commercial Banks, ii. All Primary (Urban) Co-operative Banks, State Co-operative Banks, Central Co-operative Banks, iii. All Non-Banking Financial Companies (including Housing Finance Companies), and iv. All All-India Financial Institutions.</t>
        </is>
      </c>
      <c r="P1611" s="12" t="n">
        <v>45</v>
      </c>
    </row>
    <row r="1612">
      <c r="A1612" t="inlineStr">
        <is>
          <t>India</t>
        </is>
      </c>
      <c r="B1612" t="inlineStr">
        <is>
          <t>RBI Digital Lending Directions 2025 Digital Lending Guidelines 2022 (India - Row 14)</t>
        </is>
      </c>
      <c r="C1612" t="inlineStr">
        <is>
          <t>4</t>
        </is>
      </c>
      <c r="D1612" s="11" t="inlineStr">
        <is>
          <t>Definitions for Digital Lending</t>
        </is>
      </c>
      <c r="E1612" t="inlineStr">
        <is>
          <t>4–5</t>
        </is>
      </c>
      <c r="F1612" t="inlineStr">
        <is>
          <t>High</t>
        </is>
      </c>
      <c r="G1612" t="inlineStr">
        <is>
          <t>High (explicit)</t>
        </is>
      </c>
      <c r="H1612"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612" s="11" t="inlineStr">
        <is>
          <t>Personal Information, Financial Data, Customer Data, Employee Data, Health Data, Children's Data, Biometric Data, Special Personal Information</t>
        </is>
      </c>
      <c r="J1612" t="inlineStr"/>
      <c r="K1612" s="11" t="inlineStr">
        <is>
          <t>The guidelines define key terms including Annual Percentage Rate (APR), Default Loss Guarantee (DLG), Digital Lending, Digital Lending Apps/Platforms (DLAs), and Lending Service Providers (LSPs). These definitions clarify the scope of digital lending activities and the roles of entities involved in the lending process, particularly emphasizing the relationship between Regulated Entities and LSPs.</t>
        </is>
      </c>
      <c r="L1612" s="11" t="inlineStr"/>
      <c r="M1612" s="11" t="inlineStr">
        <is>
          <t>• [Must] Annual Percentage Rate (APR) is defined under Circular No. DOR.STR.REC.13/13.03.00/2024-25 on 'Key Facts Statement (KFS) for Loans &amp; Advances' dated April 15, 2024
• [Must] Default Loss Guarantee (DLG) is a contractual arrangement between RE and another entity for compensating RE for loan portfolio losses
• [Must] Digital Lending is a remote and automated lending process using digital technologies for customer acquisition, credit assessment, loan approval, disbursement, recovery and customer service</t>
        </is>
      </c>
      <c r="N1612" s="11" t="inlineStr">
        <is>
          <t>• [Must] Digital Lending Apps/Platforms (DLAs) are mobile and/or web-based applications facilitating digital lending services
• [Must] Lending Service Provider (LSP) is an agent of a RE who carries out one or more digital lending functions</t>
        </is>
      </c>
      <c r="O1612" s="11" t="inlineStr">
        <is>
          <t>For the purpose of these Directions, unless the context otherwise requires, the terms herein shall bear the meaning assigned to them below: i. Annual Percentage Rate (APR): APR as defined under Circular No. DOR.STR.REC.13/13.03.00/2024-25 on 'Key Facts Statement (KFS) for Loans &amp; Advances' dated April 15, 2024, as amended from time to time.</t>
        </is>
      </c>
      <c r="P1612" s="12" t="n">
        <v>45</v>
      </c>
    </row>
    <row r="1613">
      <c r="A1613" t="inlineStr">
        <is>
          <t>India</t>
        </is>
      </c>
      <c r="B1613" t="inlineStr">
        <is>
          <t>RBI Digital Lending Directions 2025 Digital Lending Guidelines 2022 (India - Row 14)</t>
        </is>
      </c>
      <c r="C1613" t="inlineStr">
        <is>
          <t>5</t>
        </is>
      </c>
      <c r="D1613" s="11" t="inlineStr">
        <is>
          <t>Due Diligence Requirements for LSPs</t>
        </is>
      </c>
      <c r="E1613" t="inlineStr">
        <is>
          <t>5–6</t>
        </is>
      </c>
      <c r="F1613" t="inlineStr">
        <is>
          <t>High</t>
        </is>
      </c>
      <c r="G1613" t="inlineStr">
        <is>
          <t>High (explicit)</t>
        </is>
      </c>
      <c r="H1613"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613" s="11" t="inlineStr">
        <is>
          <t>Personal Information, Financial Data, Customer Data, Employee Data, Health Data, Children's Data, Biometric Data, Special Personal Information</t>
        </is>
      </c>
      <c r="J1613" t="inlineStr">
        <is>
          <t>Reserve Bank of India</t>
        </is>
      </c>
      <c r="K1613" s="11" t="inlineStr">
        <is>
          <t>Regulated Entities must conduct enhanced due diligence before entering agreements with Lending Service Providers, including assessing technical capabilities, data privacy policies, robustness of storage systems, fairness in conduct with borrowers, past records, and compliance with regulations. They must also carry out periodic reviews of LSP conduct, establish monitoring mechanisms for loan portfolios, provide guidance to LSPs on recovery duties, and ensure compliance with outsourcing guidelines. The RE remains fully responsible for all acts and omissions of the LSP.</t>
        </is>
      </c>
      <c r="L1613" s="11" t="inlineStr">
        <is>
          <t>Regulated Entities must ensure LSPs meet strict due diligence standards before partnership, conduct periodic reviews, and maintain oversight to prevent breaches of data privacy and borrower protection. This section directly impacts data transfer impact assessments by requiring robust third-party vendor management for digital lending activities.</t>
        </is>
      </c>
      <c r="M1613" s="11" t="inlineStr">
        <is>
          <t>• [Must] Digital lending by a RE involving a LSP shall be carried out under a contractual agreement defining respective roles, rights, and obligations
• [Must] RE shall conduct enhanced due diligence before entering agreement with LSP considering technical capabilities, data privacy policies, storage systems, fairness with borrowers, past records, and compliance
• [Must] RE shall carry out periodic review of LSP conduct against contractual terms and take action for deviations
• [Must] RE shall lay down suitable monitoring mechanisms for loan portfolios originated with LSP support</t>
        </is>
      </c>
      <c r="N1613" s="11" t="inlineStr">
        <is>
          <t>• [Must] RE shall impart necessary guidance to LSP acting as recovery agent to discharge duties responsibly
• [Must] RE shall continue to conform to extant guidelines on outsourcing and ensure LSPs and DLAs comply with these Directions
• [Must] Any outsourcing agreement with LSP shall not dilute or absolve RE of statutory or regulatory obligations</t>
        </is>
      </c>
      <c r="O1613" s="11" t="inlineStr">
        <is>
          <t>Digital lending by a RE involving a LSP, shall be carried out under a contractual agreement between the RE and the LSP, which clearly defines the respective roles, rights, and obligations of each party thereto.</t>
        </is>
      </c>
      <c r="P1613" s="12" t="n">
        <v>45</v>
      </c>
    </row>
    <row r="1614">
      <c r="A1614" t="inlineStr">
        <is>
          <t>India</t>
        </is>
      </c>
      <c r="B1614" t="inlineStr">
        <is>
          <t>RBI Digital Lending Directions 2025 Digital Lending Guidelines 2022 (India - Row 14)</t>
        </is>
      </c>
      <c r="C1614" t="inlineStr">
        <is>
          <t>6</t>
        </is>
      </c>
      <c r="D1614" s="11" t="inlineStr">
        <is>
          <t>Multi-Lender Arrangements with LSPs</t>
        </is>
      </c>
      <c r="E1614" t="inlineStr">
        <is>
          <t>6–7</t>
        </is>
      </c>
      <c r="F1614" t="inlineStr">
        <is>
          <t>High</t>
        </is>
      </c>
      <c r="G1614" t="inlineStr">
        <is>
          <t>High (explicit)</t>
        </is>
      </c>
      <c r="H1614"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614" s="11" t="inlineStr">
        <is>
          <t>Personal Information, Financial Data, Customer Data, Employee Data, Health Data, Children's Data, Biometric Data, Special Personal Information</t>
        </is>
      </c>
      <c r="J1614" t="inlineStr">
        <is>
          <t>Reserve Bank of India</t>
        </is>
      </c>
      <c r="K1614" s="11" t="inlineStr">
        <is>
          <t>When a Lending Service Provider has agreements with multiple Regulated Entities, each RE must ensure the LSP provides a digital view of loan offers matching the borrower's request, including unmatched lenders. The LSP must follow a consistent approach for similarly placed borrowers, document mechanisms, and display loan offers with unbiased content that includes lender names, loan amounts, tenors, APR, repayment obligations, and penal charges. The content must not promote specific REs through dark patterns or deceptive practices.</t>
        </is>
      </c>
      <c r="L1614" s="11" t="inlineStr">
        <is>
          <t>This section requires LSPs to provide transparent, unbiased loan comparisons across lenders, directly impacting data transfer impact assessments by mandating clear disclosure mechanisms for cross-entity data sharing and preventing misleading practices in digital lending.</t>
        </is>
      </c>
      <c r="M1614" s="11" t="inlineStr">
        <is>
          <t>• [Must] LSP shall provide digital view of all loan offers matching borrower's request on DLA
• [Must] LSP shall disclose unmatched lenders in the digital view
• [Must] LSP shall follow consistent approach for similarly placed borrowers and products
• [Must] LSP shall document mechanisms adopted for matching borrowers with lenders</t>
        </is>
      </c>
      <c r="N1614" s="11" t="inlineStr">
        <is>
          <t>• [Must] Digital view of loan offers shall include lender names, loan amounts, tenors, APR, monthly repayment obligations and penal charges
• [Must] Digital view shall provide link to Key Facts Statement (KFS) for each RE
• [Must] Content displayed by LSP shall be unbiased, objective and not promote specific REs through dark patterns</t>
        </is>
      </c>
      <c r="O1614" s="11" t="inlineStr">
        <is>
          <t>LSP shall provide a digital view of all the loan offers matching the borrower's request on the DLA which meets the requirement of the borrower. The name of the unmatched lenders shall also be disclosed in the digital view.</t>
        </is>
      </c>
      <c r="P1614" s="12" t="n">
        <v>45</v>
      </c>
    </row>
    <row r="1615">
      <c r="A1615" t="inlineStr">
        <is>
          <t>India</t>
        </is>
      </c>
      <c r="B1615" t="inlineStr">
        <is>
          <t>RBI Digital Lending Directions 2025 Digital Lending Guidelines 2022 (India - Row 14)</t>
        </is>
      </c>
      <c r="C1615" t="inlineStr">
        <is>
          <t>7</t>
        </is>
      </c>
      <c r="D1615" s="11" t="inlineStr">
        <is>
          <t>Borrower Creditworthiness Assessment</t>
        </is>
      </c>
      <c r="E1615" t="inlineStr">
        <is>
          <t>7–8</t>
        </is>
      </c>
      <c r="F1615" t="inlineStr">
        <is>
          <t>High</t>
        </is>
      </c>
      <c r="G1615" t="inlineStr">
        <is>
          <t>High (explicit)</t>
        </is>
      </c>
      <c r="H1615"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615" s="11" t="inlineStr">
        <is>
          <t>Personal Information, Financial Data, Customer Data, Employee Data, Health Data, Children's Data, Biometric Data, Special Personal Information</t>
        </is>
      </c>
      <c r="J1615" t="inlineStr">
        <is>
          <t>Reserve Bank of India</t>
        </is>
      </c>
      <c r="K1615" s="11" t="inlineStr">
        <is>
          <t>Regulated Entities must obtain necessary information about borrowers' economic profiles to assess creditworthiness before extending loans, including minimum age, occupation, and income details. These details must be kept on record for audit purposes. Additionally, REs must ensure that credit limits cannot be automatically increased without explicit borrower requests, evaluations, and records.</t>
        </is>
      </c>
      <c r="L1615" s="11" t="inlineStr">
        <is>
          <t>This section impacts data transfer impact assessments by requiring detailed borrower information collection and strict controls on credit limit increases, ensuring data accuracy and compliance with financial regulations.</t>
        </is>
      </c>
      <c r="M1615" s="11" t="inlineStr">
        <is>
          <t>• [Must] RE shall obtain necessary information relating to borrower's economic profile for creditworthiness assessment
• [Must] RE shall keep age, occupation and income details on record for audit purposes</t>
        </is>
      </c>
      <c r="N1615" s="11" t="inlineStr">
        <is>
          <t>• [Must] RE shall ensure no automatic increase in credit limit without explicit borrower request, evaluation and record</t>
        </is>
      </c>
      <c r="O1615" s="11" t="inlineStr">
        <is>
          <t>RE shall obtain the necessary information relating to economic profile of the borrower with a view to assessing the borrower's creditworthiness before extending any loan, including, at a minimum, age, occupation and income details.</t>
        </is>
      </c>
      <c r="P1615" s="12" t="n">
        <v>45</v>
      </c>
    </row>
    <row r="1616">
      <c r="A1616" t="inlineStr">
        <is>
          <t>India</t>
        </is>
      </c>
      <c r="B1616" t="inlineStr">
        <is>
          <t>RBI Digital Lending Directions 2025 Digital Lending Guidelines 2022 (India - Row 14)</t>
        </is>
      </c>
      <c r="C1616" t="inlineStr">
        <is>
          <t>8</t>
        </is>
      </c>
      <c r="D1616" s="11" t="inlineStr">
        <is>
          <t>Borrower disclosures and document delivery</t>
        </is>
      </c>
      <c r="E1616" t="inlineStr">
        <is>
          <t>8–9</t>
        </is>
      </c>
      <c r="F1616" t="inlineStr">
        <is>
          <t>High</t>
        </is>
      </c>
      <c r="G1616" t="inlineStr">
        <is>
          <t>High (explicit)</t>
        </is>
      </c>
      <c r="H1616" s="11" t="inlineStr">
        <is>
          <t>Data Sharing, Data Storage, Data Residency, Security</t>
        </is>
      </c>
      <c r="I1616" s="11" t="inlineStr">
        <is>
          <t>Personal Information, Financial Data</t>
        </is>
      </c>
      <c r="J1616" t="inlineStr">
        <is>
          <t>Reserve Bank of India (RBI)</t>
        </is>
      </c>
      <c r="K1616" s="11" t="inlineStr">
        <is>
          <t>RBI requires digital lenders (REs) to provide borrowers with a Key Fact Statement (KFS) following specific circulars. REs must deliver digitally signed documents including KFS, loan product summaries, sanction letters, and privacy policies automatically to borrowers via email or SMS upon contract execution. REs must maintain a public website with detailed information about lending products, third-party service providers (LSPs), grievance mechanisms, and links to RBI's complaint systems. REs must also notify borrowers of recovery agents before contact for loan defaults.</t>
        </is>
      </c>
      <c r="L1616" s="11" t="inlineStr">
        <is>
          <t>Mandates direct delivery of key documents to borrowers via email/SMS, requires public disclosure of lending products and LSPs, and specifies data sharing protocols for recovery agents — critical for ensuring transparency and compliance in cross-border data transfers involving Indian digital lenders.</t>
        </is>
      </c>
      <c r="M1616" s="11" t="inlineStr">
        <is>
          <t>• [Must] RE shall provide Key Fact Statement (KFS) per circular DOR.STR.REC.13/13.03.00/2024-25
• [Must] RE shall ensure digitally signed documents (KFS, loan product summary, sanction letter, etc.) automatically flow to borrowers via email/SMS upon contract execution
• [Must] RE shall maintain public website with lending products, LSP details, grievance mechanisms, and links to RBI's complaint systems</t>
        </is>
      </c>
      <c r="N1616" s="11" t="inlineStr">
        <is>
          <t>• [Must] RE shall ensure DLAs/LSPs link to RE's public website
• [Must] RE shall notify borrowers of recovery agents via email/SMS before contact for loan defaults</t>
        </is>
      </c>
      <c r="O1616" s="11" t="inlineStr">
        <is>
          <t>RE shall provide a Key Fact Statement (KFS) as per instructions contained in circular no. DOR.STR.REC.13/13.03.00/2024-25 on ‘Key Facts Statement (KFS) for Loans &amp; Advances' dated April 15, 2024, as amended from time to time.</t>
        </is>
      </c>
      <c r="P1616" s="12" t="n">
        <v>45</v>
      </c>
    </row>
    <row r="1617">
      <c r="A1617" t="inlineStr">
        <is>
          <t>India</t>
        </is>
      </c>
      <c r="B1617" t="inlineStr">
        <is>
          <t>RBI Digital Lending Directions 2025 Digital Lending Guidelines 2022 (India - Row 14)</t>
        </is>
      </c>
      <c r="C1617" t="inlineStr">
        <is>
          <t>9</t>
        </is>
      </c>
      <c r="D1617" s="11" t="inlineStr">
        <is>
          <t>Loan disbursal and repayment without third-party intermediaries</t>
        </is>
      </c>
      <c r="E1617" t="inlineStr">
        <is>
          <t>9–10</t>
        </is>
      </c>
      <c r="F1617" t="inlineStr">
        <is>
          <t>High</t>
        </is>
      </c>
      <c r="G1617" t="inlineStr">
        <is>
          <t>High (explicit)</t>
        </is>
      </c>
      <c r="H1617" s="11" t="inlineStr">
        <is>
          <t>Financial Data, Data Storage, Data Residency</t>
        </is>
      </c>
      <c r="I1617" s="11" t="inlineStr">
        <is>
          <t>Financial Data</t>
        </is>
      </c>
      <c r="J1617" t="inlineStr">
        <is>
          <t>Reserve Bank of India (RBI)</t>
        </is>
      </c>
      <c r="K1617" s="11" t="inlineStr">
        <is>
          <t>Digital lenders must disburse loans directly to borrowers' bank accounts, excluding third-party accounts including LSPs, except for statutory mandates, co-lending transactions, or specific end-use cases. All loan servicing and repayments must be executed directly by borrowers in the lender's bank account without pass-through accounts. Funds flow between borrowers and lenders must not be controlled by third parties, and fees payable to LSPs must be directly handled by the lender without charging borrowers.</t>
        </is>
      </c>
      <c r="L1617" s="11" t="inlineStr">
        <is>
          <t>Requires direct bank account transfers for loans, prohibits third-party fund control, and mandates lender responsibility for LSP fees — essential for ensuring data flows remain within India and avoid cross-border data transfer risks.</t>
        </is>
      </c>
      <c r="M1617" s="11" t="inlineStr">
        <is>
          <t>• [Must] Loan disbursement must be made into borrower's bank account except for statutory mandates, co-lending transactions, or specific end-use cases
• [Must] All loan servicing and repayments must be executed directly in RE's bank account without third-party pass-through accounts</t>
        </is>
      </c>
      <c r="N1617" s="11" t="inlineStr">
        <is>
          <t>• [Must] Funds flow between borrower and RE must not be controlled by third parties including LSPs
• [Must] Fees payable to LSPs must be paid directly by RE without being charged to borrowers</t>
        </is>
      </c>
      <c r="O1617" s="11" t="inlineStr">
        <is>
          <t>RE shall ensure that in no case, disbursal is made to a third-party account, including the accounts of LSP, except as provided for in these Directions.</t>
        </is>
      </c>
      <c r="P1617" s="12" t="n">
        <v>45</v>
      </c>
    </row>
    <row r="1618">
      <c r="A1618" t="inlineStr">
        <is>
          <t>India</t>
        </is>
      </c>
      <c r="B1618" t="inlineStr">
        <is>
          <t>RBI Digital Lending Directions 2025 Digital Lending Guidelines 2022 (India - Row 14)</t>
        </is>
      </c>
      <c r="C1618" t="inlineStr">
        <is>
          <t>10</t>
        </is>
      </c>
      <c r="D1618" s="11" t="inlineStr">
        <is>
          <t>Cooling-off period for loan exits</t>
        </is>
      </c>
      <c r="E1618" t="inlineStr">
        <is>
          <t>10</t>
        </is>
      </c>
      <c r="F1618" t="inlineStr">
        <is>
          <t>High</t>
        </is>
      </c>
      <c r="G1618" t="inlineStr">
        <is>
          <t>High (explicit)</t>
        </is>
      </c>
      <c r="H1618" s="11" t="inlineStr">
        <is>
          <t>Data Sharing</t>
        </is>
      </c>
      <c r="I1618" s="11" t="inlineStr">
        <is>
          <t>Financial Data</t>
        </is>
      </c>
      <c r="J1618" t="inlineStr">
        <is>
          <t>Reserve Bank of India (RBI)</t>
        </is>
      </c>
      <c r="K1618" s="11" t="inlineStr">
        <is>
          <t>Borrowers must be given a cooling-off period during which they can exit a digital loan by repaying principal and proportionate APR without penalty. The period must be at least one day and determined by the RE's board. REs may retain a one-time processing fee if borrowers exit during this period, but this must be disclosed upfront in the KFS.</t>
        </is>
      </c>
      <c r="L1618" s="11" t="inlineStr">
        <is>
          <t>Requires a minimum one-day cooling-off period for loan exits, with clear exit mechanisms — relevant for data transfer impact assessments as it affects borrower consent and data retention timelines.</t>
        </is>
      </c>
      <c r="M1618" s="11" t="inlineStr">
        <is>
          <t>• [Must] Borrower must have explicit option to exit loan by repaying principal and proportionate APR without penalty during cooling-off period
• [Must] Cooling-off period must be at least one day and determined by RE's board</t>
        </is>
      </c>
      <c r="N1618" s="11" t="inlineStr">
        <is>
          <t>• [May] RE may retain one-time processing fee if borrower exits during cooling-off period, disclosed upfront in KFS</t>
        </is>
      </c>
      <c r="O1618" s="11" t="inlineStr">
        <is>
          <t>The borrower shall be given an explicit option to exit a digital loan by paying the principal and the proportionate APR without any penalty during an initial 'cooling-off period'.</t>
        </is>
      </c>
      <c r="P1618" s="12" t="n">
        <v>45</v>
      </c>
    </row>
    <row r="1619">
      <c r="A1619" t="inlineStr">
        <is>
          <t>India</t>
        </is>
      </c>
      <c r="B1619" t="inlineStr">
        <is>
          <t>RBI Digital Lending Directions 2025 Digital Lending Guidelines 2022 (India - Row 14)</t>
        </is>
      </c>
      <c r="C1619" t="inlineStr">
        <is>
          <t>11</t>
        </is>
      </c>
      <c r="D1619" s="11" t="inlineStr">
        <is>
          <t>Grievance redressal mechanisms</t>
        </is>
      </c>
      <c r="E1619" t="inlineStr">
        <is>
          <t>10–11</t>
        </is>
      </c>
      <c r="F1619" t="inlineStr">
        <is>
          <t>High</t>
        </is>
      </c>
      <c r="G1619" t="inlineStr">
        <is>
          <t>High (explicit)</t>
        </is>
      </c>
      <c r="H1619" s="11" t="inlineStr">
        <is>
          <t>Data Sharing</t>
        </is>
      </c>
      <c r="I1619" s="11" t="inlineStr">
        <is>
          <t>Personal Information</t>
        </is>
      </c>
      <c r="J1619" t="inlineStr">
        <is>
          <t>Reserve Bank of India (RBI)</t>
        </is>
      </c>
      <c r="K1619" s="11" t="inlineStr">
        <is>
          <t>Digital lenders and their LSPs must designate nodal grievance redressal officers for borrower complaints. Contact details must be prominently displayed on websites, DLAs, and KFS. Borrowers can escalate complaints to RBI's CMS portal if unresolved within 30 days, with RE retaining responsibility for grievance resolution.</t>
        </is>
      </c>
      <c r="L1619" s="11" t="inlineStr">
        <is>
          <t>Mandates clear grievance channels and RBI escalation pathways — critical for data transfer impact assessments as it ensures accountability for data-related complaints across borders.</t>
        </is>
      </c>
      <c r="M1619" s="11" t="inlineStr">
        <is>
          <t>• [Must] RE and LSP must designate nodal grievance redressal officers for digital lending complaints
• [Must] Contact details of nodal officers must be prominently displayed on RE's website, LSPs, and DLA</t>
        </is>
      </c>
      <c r="N1619" s="11" t="inlineStr">
        <is>
          <t>• [Must] Borrowers can escalate complaints to RBI's CMS portal if unresolved within 30 days</t>
        </is>
      </c>
      <c r="O1619" s="11" t="inlineStr">
        <is>
          <t>The RE, and the LSP which has an interface with the borrower, shall designate nodal grievance redressal officers to deal with digital lending related complaints/issues raised by the borrower.</t>
        </is>
      </c>
      <c r="P1619" s="12" t="n">
        <v>45</v>
      </c>
    </row>
    <row r="1620">
      <c r="A1620" t="inlineStr">
        <is>
          <t>India</t>
        </is>
      </c>
      <c r="B1620" t="inlineStr">
        <is>
          <t>RBI Digital Lending Directions 2025 Digital Lending Guidelines 2022 (India - Row 14)</t>
        </is>
      </c>
      <c r="C1620" t="inlineStr">
        <is>
          <t>12</t>
        </is>
      </c>
      <c r="D1620" s="11" t="inlineStr">
        <is>
          <t>Data consent and third-party sharing</t>
        </is>
      </c>
      <c r="E1620" t="inlineStr">
        <is>
          <t>11–12</t>
        </is>
      </c>
      <c r="F1620" t="inlineStr">
        <is>
          <t>High</t>
        </is>
      </c>
      <c r="G1620" t="inlineStr">
        <is>
          <t>High (explicit)</t>
        </is>
      </c>
      <c r="H1620" s="11" t="inlineStr">
        <is>
          <t>Data Sharing, Consent, Data Storage</t>
        </is>
      </c>
      <c r="I1620" s="11" t="inlineStr">
        <is>
          <t>Personal Information, Financial Data</t>
        </is>
      </c>
      <c r="J1620" t="inlineStr">
        <is>
          <t>Reserve Bank of India (RBI)</t>
        </is>
      </c>
      <c r="K1620" s="11" t="inlineStr">
        <is>
          <t>Digital lenders must collect data need-based with explicit consent and audit trail. They must not access mobile phone resources like contacts or call logs, except for one-time access to camera/microphone/location for KYC. Borrowers must be given options to manage consent, restrict third-party sharing, and delete data. Explicit consent is required before sharing personal information with third parties, except for statutory mandates.</t>
        </is>
      </c>
      <c r="L1620" s="11" t="inlineStr">
        <is>
          <t>Requires explicit consent for data collection and sharing, with strict limitations on mobile data access — directly impacts data transfer impact assessments by defining consent mechanisms and third-party data flows.</t>
        </is>
      </c>
      <c r="M1620" s="11" t="inlineStr">
        <is>
          <t>• [Must] RE must ensure data collection is need-based with prior and explicit consent and audit trail
• [Must Not] RE must not access mobile phone resources like contacts, call logs, etc., except for one-time access to camera/microphone/location for KYC</t>
        </is>
      </c>
      <c r="N1620" s="11" t="inlineStr">
        <is>
          <t>• [Must] Borrowers must be provided options to manage consent, restrict third-party sharing, and delete data
• [Must] Explicit consent required before sharing personal information with third parties, except for statutory mandates</t>
        </is>
      </c>
      <c r="O1620" s="11" t="inlineStr">
        <is>
          <t>RE shall ensure that any collection of data by their DLA and DLA of their LSP is need-based and with prior and explicit consent of the borrower having audit trail.</t>
        </is>
      </c>
      <c r="P1620" s="12" t="n">
        <v>45</v>
      </c>
    </row>
    <row r="1621">
      <c r="A1621" t="inlineStr">
        <is>
          <t>India</t>
        </is>
      </c>
      <c r="B1621" t="inlineStr">
        <is>
          <t>RBI Digital Lending Directions 2025 Digital Lending Guidelines 2022 (India - Row 14)</t>
        </is>
      </c>
      <c r="C1621" t="inlineStr">
        <is>
          <t>13</t>
        </is>
      </c>
      <c r="D1621" s="11" t="inlineStr">
        <is>
          <t>Data storage and localization requirements</t>
        </is>
      </c>
      <c r="E1621" t="inlineStr">
        <is>
          <t>12–13</t>
        </is>
      </c>
      <c r="F1621" t="inlineStr">
        <is>
          <t>High</t>
        </is>
      </c>
      <c r="G1621" t="inlineStr">
        <is>
          <t>High (explicit)</t>
        </is>
      </c>
      <c r="H1621" s="11" t="inlineStr">
        <is>
          <t>Data Storage, Data Residency, Security</t>
        </is>
      </c>
      <c r="I1621" s="11" t="inlineStr">
        <is>
          <t>Personal Information, Financial Data</t>
        </is>
      </c>
      <c r="J1621" t="inlineStr">
        <is>
          <t>Reserve Bank of India (RBI)</t>
        </is>
      </c>
      <c r="K1621" s="11" t="inlineStr">
        <is>
          <t>Digital lenders must ensure LSPs store only minimal borrower data (name, address, contact details) and retain responsibility for data privacy and security. Clear policies on data storage duration, usage restrictions, and destruction protocols must be disclosed. Biometric data storage is prohibited unless permitted by statutory guidelines. All data must be stored within India, with data processed outside India deleted within 24 hours and brought back to India.</t>
        </is>
      </c>
      <c r="L1621" s="11" t="inlineStr">
        <is>
          <t>Mandates data localization within India, strict storage duration limits, and immediate data re-transfer requirements for cross-border processing — critical for data transfer impact assessments involving international data flows.</t>
        </is>
      </c>
      <c r="M1621" s="11" t="inlineStr">
        <is>
          <t>• [Must] LSPs may store only minimal borrower data (name, address, contact details) for operational purposes
• [Must] RE must retain responsibility for data privacy and security of borrower information
• [Must] Clear policies on data storage duration, usage restrictions, and destruction protocols must be disclosed</t>
        </is>
      </c>
      <c r="N1621" s="11" t="inlineStr">
        <is>
          <t>• [Must Not] Biometric data storage prohibited unless permitted by statutory guidelines
• [Must] All data must be stored only in servers within India
• [Must] Data processed outside India must be deleted within 24 hours and brought back to India</t>
        </is>
      </c>
      <c r="O1621" s="11" t="inlineStr">
        <is>
          <t>RE shall ensure that all data is stored only in servers located within India, while ensuring compliance with statutory obligations/regulatory instructions.</t>
        </is>
      </c>
      <c r="P1621" s="12" t="n">
        <v>45</v>
      </c>
    </row>
    <row r="1622">
      <c r="A1622" t="inlineStr">
        <is>
          <t>India</t>
        </is>
      </c>
      <c r="B1622" t="inlineStr">
        <is>
          <t>RBI Digital Lending Directions 2025 Digital Lending Guidelines 2022 (India - Row 14)</t>
        </is>
      </c>
      <c r="C1622" t="inlineStr">
        <is>
          <t>14</t>
        </is>
      </c>
      <c r="D1622" s="11" t="inlineStr">
        <is>
          <t>Public availability of comprehensive privacy policy</t>
        </is>
      </c>
      <c r="E1622" t="inlineStr">
        <is>
          <t>13</t>
        </is>
      </c>
      <c r="F1622" t="inlineStr">
        <is>
          <t>Medium</t>
        </is>
      </c>
      <c r="G1622" t="inlineStr">
        <is>
          <t>High (explicit)</t>
        </is>
      </c>
      <c r="H1622" s="11" t="inlineStr">
        <is>
          <t>Third Party Processing</t>
        </is>
      </c>
      <c r="I1622" s="11" t="inlineStr">
        <is>
          <t>Personal Information</t>
        </is>
      </c>
      <c r="J1622" t="inlineStr">
        <is>
          <t>RBI</t>
        </is>
      </c>
      <c r="K1622" s="11" t="inlineStr">
        <is>
          <t>Retail Entities (REs) and LSPs must maintain a publicly accessible privacy policy compliant with laws, regulations, and RBI guidelines. The policy must detail third parties involved in collecting personal information through Digital Lending Arrangements (DLAs). This applies to all REs and their LSPs engaged in digital lending activities.</t>
        </is>
      </c>
      <c r="L1622" s="11" t="inlineStr">
        <is>
          <t>Requires transparency in data handling practices for cross-border transfers by mandating public disclosure of privacy policies and third-party data collection details.</t>
        </is>
      </c>
      <c r="M1622" s="11" t="inlineStr">
        <is>
          <t>• [Must] RE and LSPs must have a comprehensive privacy policy compliant with applicable laws, regulations, and RBI guidelines
• [Must] Privacy policy must be made publicly available on RE or LSP websites</t>
        </is>
      </c>
      <c r="N1622" s="11" t="inlineStr">
        <is>
          <t>• [Must] Details of third parties allowed to collect personal information through DLAs must be disclosed in the privacy policy</t>
        </is>
      </c>
      <c r="O1622" s="11" t="inlineStr">
        <is>
          <t>RE and LSPs engaged by RE shall have a comprehensive privacy policy compliant with applicable laws, associated regulations and RBI guidelines which shall be made available publicly on the website of RE and LSP, as the case may be.</t>
        </is>
      </c>
      <c r="P1622" s="12" t="n">
        <v>45</v>
      </c>
    </row>
    <row r="1623">
      <c r="A1623" t="inlineStr">
        <is>
          <t>India</t>
        </is>
      </c>
      <c r="B1623" t="inlineStr">
        <is>
          <t>RBI Digital Lending Directions 2025 Digital Lending Guidelines 2022 (India - Row 14)</t>
        </is>
      </c>
      <c r="C1623" t="inlineStr">
        <is>
          <t>15</t>
        </is>
      </c>
      <c r="D1623" s="11" t="inlineStr">
        <is>
          <t>Cybersecurity technology standards for digital lending</t>
        </is>
      </c>
      <c r="E1623" t="inlineStr">
        <is>
          <t>13</t>
        </is>
      </c>
      <c r="F1623" t="inlineStr">
        <is>
          <t>High</t>
        </is>
      </c>
      <c r="G1623" t="inlineStr">
        <is>
          <t>High (explicit)</t>
        </is>
      </c>
      <c r="H1623" s="11" t="inlineStr">
        <is>
          <t>Security</t>
        </is>
      </c>
      <c r="I1623" s="11" t="inlineStr">
        <is>
          <t>Financial Data</t>
        </is>
      </c>
      <c r="J1623" t="inlineStr">
        <is>
          <t>RBI</t>
        </is>
      </c>
      <c r="K1623" s="11" t="inlineStr">
        <is>
          <t>Retail Entities must ensure their digital lending platforms and third-party LSPs comply with RBI and other relevant agencies' cybersecurity standards. This includes implementing necessary technology standards for secure digital lending operations.</t>
        </is>
      </c>
      <c r="L1623" s="11" t="inlineStr">
        <is>
          <t>Sets cybersecurity requirements for digital lending platforms, impacting data security during cross-border transfers.</t>
        </is>
      </c>
      <c r="M1623" s="11" t="inlineStr">
        <is>
          <t>• [Must] RE and LSPs must comply with technology standards for cybersecurity stipulated by RBI and other relevant agencies</t>
        </is>
      </c>
      <c r="N1623" s="11" t="inlineStr"/>
      <c r="O1623" s="11" t="inlineStr">
        <is>
          <t>RE shall ensure that they and the LSPs engaged by them comply with various technology standards/ requirements on cybersecurity stipulated by RBI and other relevant agencies, or as may be specified from time to time, for undertaking digital lending.</t>
        </is>
      </c>
      <c r="P1623" s="12" t="n">
        <v>45</v>
      </c>
    </row>
    <row r="1624">
      <c r="A1624" t="inlineStr">
        <is>
          <t>India</t>
        </is>
      </c>
      <c r="B1624" t="inlineStr">
        <is>
          <t>RBI Digital Lending Directions 2025 Digital Lending Guidelines 2022 (India - Row 14)</t>
        </is>
      </c>
      <c r="C1624" t="inlineStr">
        <is>
          <t>16</t>
        </is>
      </c>
      <c r="D1624" s="11" t="inlineStr">
        <is>
          <t>Mandatory reporting of digital lending to credit information companies</t>
        </is>
      </c>
      <c r="E1624" t="inlineStr">
        <is>
          <t>13</t>
        </is>
      </c>
      <c r="F1624" t="inlineStr">
        <is>
          <t>High</t>
        </is>
      </c>
      <c r="G1624" t="inlineStr">
        <is>
          <t>High (explicit)</t>
        </is>
      </c>
      <c r="H1624" s="11" t="inlineStr"/>
      <c r="I1624" s="11" t="inlineStr">
        <is>
          <t>Financial Data</t>
        </is>
      </c>
      <c r="J1624" t="inlineStr">
        <is>
          <t>RBI</t>
        </is>
      </c>
      <c r="K1624" s="11" t="inlineStr">
        <is>
          <t>Retail Entities must report all digital lending activities to Credit Information Companies (CICs) regardless of loan type or duration. This includes reporting deferred payment credit products and ensuring LSPs comply with outsourcing guidelines when involved in such products.</t>
        </is>
      </c>
      <c r="L1624" s="11" t="inlineStr">
        <is>
          <t>Requires reporting of digital lending data to CICs, which affects data sharing and cross-border data flows for credit information.</t>
        </is>
      </c>
      <c r="M1624" s="11" t="inlineStr">
        <is>
          <t>• [Must] RE must report all lending done through DLAs to CICs irrespective of loan nature or tenor</t>
        </is>
      </c>
      <c r="N1624" s="11" t="inlineStr">
        <is>
          <t>• [Must] RE must ensure LSPs comply with outsourcing guidelines for deferred payment credit products</t>
        </is>
      </c>
      <c r="O1624" s="11" t="inlineStr">
        <is>
          <t>RE shall ensure that any lending done through their DLAs and/or DLAs of LSPs is reported by them to CICs irrespective of its nature/ tenor.</t>
        </is>
      </c>
      <c r="P1624" s="12" t="n">
        <v>45</v>
      </c>
    </row>
    <row r="1625">
      <c r="A1625" t="inlineStr">
        <is>
          <t>India</t>
        </is>
      </c>
      <c r="B1625" t="inlineStr">
        <is>
          <t>RBI Digital Lending Directions 2025 Digital Lending Guidelines 2022 (India - Row 14)</t>
        </is>
      </c>
      <c r="C1625" t="inlineStr">
        <is>
          <t>17</t>
        </is>
      </c>
      <c r="D1625" s="11" t="inlineStr">
        <is>
          <t>Reporting of digital lending arrangements to RBI</t>
        </is>
      </c>
      <c r="E1625" t="inlineStr">
        <is>
          <t>13–15</t>
        </is>
      </c>
      <c r="F1625" t="inlineStr">
        <is>
          <t>High</t>
        </is>
      </c>
      <c r="G1625" t="inlineStr">
        <is>
          <t>High (explicit)</t>
        </is>
      </c>
      <c r="H1625" s="11" t="inlineStr">
        <is>
          <t>Data Residency</t>
        </is>
      </c>
      <c r="I1625" s="11" t="inlineStr">
        <is>
          <t>Financial Data</t>
        </is>
      </c>
      <c r="J1625" t="inlineStr">
        <is>
          <t>RBI</t>
        </is>
      </c>
      <c r="K1625" s="11" t="inlineStr">
        <is>
          <t>Retail Entities must report all deployed Digital Lending Arrangements (DLAs) to RBI's CIMS portal, including updates when new DLAs are deployed or existing ones cease. The Chief Compliance Officer must certify that DLAs comply with regulations and are correctly reported.</t>
        </is>
      </c>
      <c r="L1625" s="11" t="inlineStr">
        <is>
          <t>Requires detailed reporting of digital lending infrastructure to RBI, impacting data residency and cross-border data flows.</t>
        </is>
      </c>
      <c r="M1625" s="11" t="inlineStr">
        <is>
          <t>• [Must] RE must report all DLAs deployed or joined by them on RBI's CIMS portal
• [Must] RE must update CIMS with new DLAs or discontinued ones
• [Must] Chief Compliance Officer must certify that DLA data on CIMS is correct and compliant
• [Must] DLAs must link to RE's website with loan product details, customer care, privacy policies, etc.</t>
        </is>
      </c>
      <c r="N1625" s="11" t="inlineStr">
        <is>
          <t>• [Must] DLAs (if owned by LSP) must have a nodal grievance redressal officer
• [Must] DLAs must comply with data collection and storage requirements
• [Must] DLA details must be prominently disclosed on RE's website
• [Must] RE must ensure timely reporting of DLAs by June 15, 2025</t>
        </is>
      </c>
      <c r="O1625" s="11" t="inlineStr">
        <is>
          <t>RE shall report all DLAs deployed/ joined by them, whether their own or those of the LSPs, either exclusively or as a platform participant, on the Centralised Withdrawn Information Management System (CIMS) portal of RBI in the requisite format as given in the Annex-I to these Directions.</t>
        </is>
      </c>
      <c r="P1625" s="12" t="n">
        <v>45</v>
      </c>
    </row>
    <row r="1626">
      <c r="A1626" t="inlineStr">
        <is>
          <t>India</t>
        </is>
      </c>
      <c r="B1626" t="inlineStr">
        <is>
          <t>RBI Digital Lending Directions 2025 Digital Lending Guidelines 2022 (India - Row 14)</t>
        </is>
      </c>
      <c r="C1626" t="inlineStr">
        <is>
          <t>19</t>
        </is>
      </c>
      <c r="D1626" s="11" t="inlineStr">
        <is>
          <t>Due diligence for digital lending guarantee providers</t>
        </is>
      </c>
      <c r="E1626" t="inlineStr">
        <is>
          <t>15–16</t>
        </is>
      </c>
      <c r="F1626" t="inlineStr">
        <is>
          <t>High</t>
        </is>
      </c>
      <c r="G1626" t="inlineStr">
        <is>
          <t>High (explicit)</t>
        </is>
      </c>
      <c r="H1626" s="11" t="inlineStr"/>
      <c r="I1626" s="11" t="inlineStr">
        <is>
          <t>Financial Data</t>
        </is>
      </c>
      <c r="J1626" t="inlineStr">
        <is>
          <t>RBI</t>
        </is>
      </c>
      <c r="K1626" s="11" t="inlineStr">
        <is>
          <t>Retail Entities must establish a Board-approved policy before entering into Digital Lending Guarantee (DLG) arrangements. The policy must include eligibility criteria, DLG coverage details, monitoring processes, and fee structures. RE must ensure DLG providers can honor commitments and maintain robust credit underwriting standards.</t>
        </is>
      </c>
      <c r="L1626" s="11" t="inlineStr">
        <is>
          <t>Requires due diligence on DLG providers, impacting risk assessment and data sharing with third parties.</t>
        </is>
      </c>
      <c r="M1626" s="11" t="inlineStr">
        <is>
          <t>• [Must] RE must have a Board-approved policy before entering DLG arrangements
• [Must] Policy must include eligibility criteria for DLG providers
• [Must] Policy must detail nature and extent of DLG cover
• [Must] Policy must specify monitoring and review processes for DLG arrangements</t>
        </is>
      </c>
      <c r="N1626" s="11" t="inlineStr">
        <is>
          <t>• [Must] Policy must include details of fees payable or received by DLG providers
• [Must] RE must ensure DLG arrangements do not substitute credit appraisal requirements
• [Must] RE must obtain information to verify DLG provider's ability to honor commitments
• [Must] DLG provider must submit a certified declaration on outstanding DLG amounts, number of REs, portfolios, and past default rates</t>
        </is>
      </c>
      <c r="O1626" s="11" t="inlineStr">
        <is>
          <t>RE, including a RE acting as DLG provider, shall put in place a Board approved policy before entering into any DLG arrangement.</t>
        </is>
      </c>
      <c r="P1626" s="12" t="n">
        <v>45</v>
      </c>
    </row>
    <row r="1627">
      <c r="A1627" t="inlineStr">
        <is>
          <t>India</t>
        </is>
      </c>
      <c r="B1627" t="inlineStr">
        <is>
          <t>RBI Digital Lending Directions 2025 Digital Lending Guidelines 2022 (India - Row 14)</t>
        </is>
      </c>
      <c r="C1627" t="inlineStr">
        <is>
          <t>20</t>
        </is>
      </c>
      <c r="D1627" s="11" t="inlineStr">
        <is>
          <t>Restrictions on digital lending guarantee arrangements</t>
        </is>
      </c>
      <c r="E1627" t="inlineStr">
        <is>
          <t>16</t>
        </is>
      </c>
      <c r="F1627" t="inlineStr">
        <is>
          <t>High</t>
        </is>
      </c>
      <c r="G1627" t="inlineStr">
        <is>
          <t>High (explicit)</t>
        </is>
      </c>
      <c r="H1627" s="11" t="inlineStr"/>
      <c r="I1627" s="11" t="inlineStr">
        <is>
          <t>Financial Data</t>
        </is>
      </c>
      <c r="J1627" t="inlineStr">
        <is>
          <t>RBI</t>
        </is>
      </c>
      <c r="K1627" s="11" t="inlineStr">
        <is>
          <t>Retail Entities cannot enter into DLG arrangements for revolving credit facilities through digital lending channels or credit cards. They also cannot enter into DLG arrangements for loans covered by credit guarantee schemes administered by trust funds. NBFC-P2P entities are prohibited from entering into DLG arrangements for loans facilitated over their platforms.</t>
        </is>
      </c>
      <c r="L1627" s="11" t="inlineStr">
        <is>
          <t>Sets specific restrictions on DLG arrangements, affecting data transfer and processing for certain financial products.</t>
        </is>
      </c>
      <c r="M1627" s="11" t="inlineStr">
        <is>
          <t>• [Must Not] RE shall not enter into DLG arrangements for revolving credit facilities offered through digital lending channel and credit cards
• [Must Not] RE shall not enter into DLG arrangements for loans covered by credit guarantee schemes administered by trust funds</t>
        </is>
      </c>
      <c r="N1627" s="11" t="inlineStr">
        <is>
          <t>• [Must Not] NBFC-P2P shall not enter into DLG arrangements for loans facilitated over their platform</t>
        </is>
      </c>
      <c r="O1627" s="11" t="inlineStr">
        <is>
          <t>RE shall not enter into DLG arrangements for revolving credit facilities offered through digital lending channel and credit cards as defined under Master Direction – Credit Card and Debit Card – Issuance and Conduct Directions, 2022 dated April 21, 2022.</t>
        </is>
      </c>
      <c r="P1627" s="12" t="n">
        <v>45</v>
      </c>
    </row>
    <row r="1628">
      <c r="A1628" t="inlineStr">
        <is>
          <t>India</t>
        </is>
      </c>
      <c r="B1628" t="inlineStr">
        <is>
          <t>RBI Digital Lending Directions 2025 Digital Lending Guidelines 2022 (India - Row 14)</t>
        </is>
      </c>
      <c r="C1628" t="inlineStr">
        <is>
          <t>25</t>
        </is>
      </c>
      <c r="D1628" s="11" t="inlineStr">
        <is>
          <t>Regulatory capital treatment for digital lending guarantees</t>
        </is>
      </c>
      <c r="E1628" t="inlineStr">
        <is>
          <t>18</t>
        </is>
      </c>
      <c r="F1628" t="inlineStr">
        <is>
          <t>High</t>
        </is>
      </c>
      <c r="G1628" t="inlineStr">
        <is>
          <t>High (explicit)</t>
        </is>
      </c>
      <c r="H1628" s="11" t="inlineStr">
        <is>
          <t>Financial Data</t>
        </is>
      </c>
      <c r="I1628" s="11" t="inlineStr">
        <is>
          <t>Financial Data</t>
        </is>
      </c>
      <c r="J1628" t="inlineStr">
        <is>
          <t>RBI</t>
        </is>
      </c>
      <c r="K1628" s="11" t="inlineStr">
        <is>
          <t>This section mandates that capital computation for individual loan assets under digital lending guarantees (DLGs) continues using existing norms. DLG providers that are REs (Reserve Enterprises) must deduct the full outstanding DLG amount from their capital. The section specifies that capital calculations for credit risk mitigation must follow extant regulatory frameworks.</t>
        </is>
      </c>
      <c r="L1628" s="11" t="inlineStr">
        <is>
          <t>DLG arrangements must be deducted from capital for REs, impacting capital adequacy calculations for financial institutions engaged in digital lending.</t>
        </is>
      </c>
      <c r="M1628" s="11" t="inlineStr">
        <is>
          <t>• [Must] Capital computation for individual loan assets under DLG must follow extant norms</t>
        </is>
      </c>
      <c r="N1628" s="11" t="inlineStr">
        <is>
          <t>• [Must] REs must deduct full outstanding DLG amount from capital</t>
        </is>
      </c>
      <c r="O1628" s="11" t="inlineStr">
        <is>
          <t>Capital computation, i.e., computation of exposure and application of Credit Risk Mitigation benefits on individual loan assets in the portfolio shall continue to be governed by the extant norms.</t>
        </is>
      </c>
      <c r="P1628" s="12" t="n">
        <v>45</v>
      </c>
    </row>
    <row r="1629">
      <c r="A1629" t="inlineStr">
        <is>
          <t>India</t>
        </is>
      </c>
      <c r="B1629" t="inlineStr">
        <is>
          <t>RBI Digital Lending Directions 2025 Digital Lending Guidelines 2022 (India - Row 14)</t>
        </is>
      </c>
      <c r="C1629" t="inlineStr">
        <is>
          <t>27</t>
        </is>
      </c>
      <c r="D1629" s="11" t="inlineStr">
        <is>
          <t>Monthly disclosure of DLG portfolio details to public</t>
        </is>
      </c>
      <c r="E1629" t="inlineStr">
        <is>
          <t>18–19</t>
        </is>
      </c>
      <c r="F1629" t="inlineStr">
        <is>
          <t>High</t>
        </is>
      </c>
      <c r="G1629" t="inlineStr">
        <is>
          <t>High (explicit)</t>
        </is>
      </c>
      <c r="H1629" s="11" t="inlineStr"/>
      <c r="I1629" s="11" t="inlineStr">
        <is>
          <t>Financial Data</t>
        </is>
      </c>
      <c r="J1629" t="inlineStr">
        <is>
          <t>RBI</t>
        </is>
      </c>
      <c r="K1629" s="11" t="inlineStr">
        <is>
          <t>REs must publish monthly on their website the total number of portfolios and respective amounts of each portfolio covered by DLG. The RE's name may or may not be disclosed. Disclosure must be completed within seven working days after the month ends. This section establishes transparency requirements for DLG arrangements.</t>
        </is>
      </c>
      <c r="L1629" s="11" t="inlineStr">
        <is>
          <t>REs must publicly disclose DLG portfolio details monthly, creating transparency requirements for data transfer impact assessments involving digital lending guarantees.</t>
        </is>
      </c>
      <c r="M1629" s="11" t="inlineStr">
        <is>
          <t>• [Must] REs must publish monthly on website total portfolios and respective DLG amounts
• [May] RE name may or may not be disclosed in public disclosures</t>
        </is>
      </c>
      <c r="N1629" s="11" t="inlineStr">
        <is>
          <t>• [Must] Monthly disclosures must be completed within seven working days after month ends</t>
        </is>
      </c>
      <c r="O1629" s="11" t="inlineStr">
        <is>
          <t>RE shall put in place a mechanism to ensure that LSPs with whom they have a DLG arrangement shall publish on their website the total number of portfolios and the respective amount of each portfolio on which DLG has been offered.</t>
        </is>
      </c>
      <c r="P1629" s="12" t="n">
        <v>45</v>
      </c>
    </row>
    <row r="1630">
      <c r="A1630" t="inlineStr">
        <is>
          <t>India</t>
        </is>
      </c>
      <c r="B1630" t="inlineStr">
        <is>
          <t>RBI Digital Lending Directions 2025 Digital Lending Guidelines 2022 (India - Row 14)</t>
        </is>
      </c>
      <c r="C1630" t="inlineStr">
        <is>
          <t>28</t>
        </is>
      </c>
      <c r="D1630" s="11" t="inlineStr">
        <is>
          <t>Exclusions for DLG coverage under specific schemes</t>
        </is>
      </c>
      <c r="E1630" t="inlineStr">
        <is>
          <t>19</t>
        </is>
      </c>
      <c r="F1630" t="inlineStr">
        <is>
          <t>High</t>
        </is>
      </c>
      <c r="G1630" t="inlineStr">
        <is>
          <t>High (explicit)</t>
        </is>
      </c>
      <c r="H1630" s="11" t="inlineStr"/>
      <c r="I1630" s="11" t="inlineStr">
        <is>
          <t>Financial Data</t>
        </is>
      </c>
      <c r="J1630" t="inlineStr">
        <is>
          <t>RBI</t>
        </is>
      </c>
      <c r="K1630" s="11" t="inlineStr">
        <is>
          <t>Guarantees covered under specific schemes like CGTMSE, CRGFTLIH, NCGTC, BIS, IMF, and Multilateral Development Banks are excluded from DLG coverage. This section defines which guarantees do not qualify as DLG under the regulatory framework.</t>
        </is>
      </c>
      <c r="L1630" s="11" t="inlineStr">
        <is>
          <t>Certain guarantees (e.g., government-backed schemes) are excluded from DLG coverage, reducing the scope of data transfer impact assessments for these specific instruments.</t>
        </is>
      </c>
      <c r="M1630" s="11" t="inlineStr">
        <is>
          <t>• [Must Not] CGTMSE, CRGFTLIH, and NCGTC schemes are excluded from DLG coverage</t>
        </is>
      </c>
      <c r="N1630" s="11" t="inlineStr">
        <is>
          <t>• [Must Not] BIS, IMF, and Multilateral Development Bank guarantees are excluded from DLG coverage</t>
        </is>
      </c>
      <c r="O1630" s="11" t="inlineStr">
        <is>
          <t>Guarantees covered under the following schemes/ entities shall not be covered within the definition of DLG</t>
        </is>
      </c>
      <c r="P1630" s="12" t="n">
        <v>45</v>
      </c>
    </row>
    <row r="1631">
      <c r="A1631" t="inlineStr">
        <is>
          <t>India</t>
        </is>
      </c>
      <c r="B1631" t="inlineStr">
        <is>
          <t>RBI Digital Lending Directions 2025 Digital Lending Guidelines 2022 (India - Row 14)</t>
        </is>
      </c>
      <c r="C1631" t="inlineStr">
        <is>
          <t>29</t>
        </is>
      </c>
      <c r="D1631" s="11" t="inlineStr">
        <is>
          <t>Special provisions for credit card EMIs and DLG arrangements</t>
        </is>
      </c>
      <c r="E1631" t="inlineStr">
        <is>
          <t>19–20</t>
        </is>
      </c>
      <c r="F1631" t="inlineStr">
        <is>
          <t>High</t>
        </is>
      </c>
      <c r="G1631" t="inlineStr">
        <is>
          <t>High (explicit)</t>
        </is>
      </c>
      <c r="H1631" s="11" t="inlineStr">
        <is>
          <t>Financial Data</t>
        </is>
      </c>
      <c r="I1631" s="11" t="inlineStr">
        <is>
          <t>Financial Data</t>
        </is>
      </c>
      <c r="J1631" t="inlineStr">
        <is>
          <t>RBI</t>
        </is>
      </c>
      <c r="K1631" s="11" t="inlineStr">
        <is>
          <t>EMI programs on credit cards are governed by specific Master Directions and not covered under DLG. Other credit card loans fall under DLG. DLG arrangements conforming to Chapter VI instructions are not treated as synthetic securitisation or loan participation. These Directions do not override other extant regulatory norms.</t>
        </is>
      </c>
      <c r="L1631" s="11" t="inlineStr">
        <is>
          <t>DLG arrangements must comply with specific credit card EMIs and securitisation rules, affecting data transfer impact assessments for financial institutions using credit card-based lending.</t>
        </is>
      </c>
      <c r="M1631" s="11" t="inlineStr">
        <is>
          <t>• [Must] Credit card EMI programs are governed by specific Master Directions and not covered under DLG
• [Must] DLG arrangements conforming to Chapter VI instructions are not treated as synthetic securitisation</t>
        </is>
      </c>
      <c r="N1631" s="11" t="inlineStr">
        <is>
          <t>• [Must] DLG arrangements conforming to Chapter VI instructions do not attract loan participation provisions
• [Must] These Directions do not override other extant regulatory norms</t>
        </is>
      </c>
      <c r="O1631" s="11" t="inlineStr">
        <is>
          <t>DLG arrangements entered between RE and LSP conforming to the instructions laid down in Chapter VI of these Directions shall not be treated as synthetic securitisation</t>
        </is>
      </c>
      <c r="P1631" s="12" t="n">
        <v>45</v>
      </c>
    </row>
    <row r="1632">
      <c r="A1632" t="inlineStr">
        <is>
          <t>India</t>
        </is>
      </c>
      <c r="B1632" t="inlineStr">
        <is>
          <t>RBI Digital Lending Directions 2025 Digital Lending Guidelines 2022 (India - Row 14)</t>
        </is>
      </c>
      <c r="C1632" t="inlineStr">
        <is>
          <t>30</t>
        </is>
      </c>
      <c r="D1632" s="11" t="inlineStr">
        <is>
          <t>Repeal of previous circulars and transitional provisions</t>
        </is>
      </c>
      <c r="E1632" t="inlineStr">
        <is>
          <t>20–24</t>
        </is>
      </c>
      <c r="F1632" t="inlineStr">
        <is>
          <t>High</t>
        </is>
      </c>
      <c r="G1632" t="inlineStr">
        <is>
          <t>High (explicit)</t>
        </is>
      </c>
      <c r="H1632" s="11" t="inlineStr"/>
      <c r="I1632" s="11" t="inlineStr">
        <is>
          <t>Financial Data</t>
        </is>
      </c>
      <c r="J1632" t="inlineStr">
        <is>
          <t>RBI</t>
        </is>
      </c>
      <c r="K1632" s="11" t="inlineStr">
        <is>
          <t>The Directions repeal specific circulars mentioned in Annex III. Actions taken under repealed circulars remain valid if not inconsistent with these Directions. This section handles the transition from previous regulations to the new framework.</t>
        </is>
      </c>
      <c r="L1632" s="11" t="inlineStr">
        <is>
          <t>Repeal provisions ensure continuity of regulatory compliance for financial institutions transitioning from old to new DLG frameworks.</t>
        </is>
      </c>
      <c r="M1632" s="11" t="inlineStr">
        <is>
          <t>• [Must] Circulars listed in Annex III are repealed with issuance of these Directions</t>
        </is>
      </c>
      <c r="N1632" s="11" t="inlineStr">
        <is>
          <t>• [Must] Actions under repealed circulars remain valid if not inconsistent with these Directions</t>
        </is>
      </c>
      <c r="O1632" s="11" t="inlineStr">
        <is>
          <t>With the issuance of these Directions, the instructions/guidelines contained in the circulars mentioned in the Annex - III issued by RBI stand repealed.</t>
        </is>
      </c>
      <c r="P1632" s="12" t="n">
        <v>45</v>
      </c>
    </row>
    <row r="1633">
      <c r="A1633" t="inlineStr">
        <is>
          <t>India</t>
        </is>
      </c>
      <c r="B1633" t="inlineStr">
        <is>
          <t>RBI Master Direction on Information Technology Framework for NBFC Sector (2017) (India - Row 15)</t>
        </is>
      </c>
      <c r="C1633" t="inlineStr">
        <is>
          <t>2</t>
        </is>
      </c>
      <c r="D1633" s="11" t="inlineStr">
        <is>
          <t>Income Declaration Scheme cash deposits and bank hesitancy</t>
        </is>
      </c>
      <c r="E1633" t="inlineStr">
        <is>
          <t>1</t>
        </is>
      </c>
      <c r="F1633" t="inlineStr">
        <is>
          <t>Low</t>
        </is>
      </c>
      <c r="G1633" t="inlineStr">
        <is>
          <t>High (explicit)</t>
        </is>
      </c>
      <c r="H1633" s="11" t="inlineStr">
        <is>
          <t>Customer Information</t>
        </is>
      </c>
      <c r="I1633" s="11" t="inlineStr">
        <is>
          <t>Customer Data</t>
        </is>
      </c>
      <c r="J1633" t="inlineStr"/>
      <c r="K1633" s="11" t="inlineStr">
        <is>
          <t>This section acknowledges the Income Declaration Scheme 2016's implementation since June 1, 2016, and notes that some declarants may wish to pay tax dues in cash. It highlights that banks are hesitant to accept large cash deposits for government accounts under this scheme.</t>
        </is>
      </c>
      <c r="L1633" s="11" t="inlineStr"/>
      <c r="M1633" s="11" t="inlineStr">
        <is>
          <t>• [Must] The Income Declaration Scheme 2016 has come into effect from June 1, 2016</t>
        </is>
      </c>
      <c r="N1633" s="11" t="inlineStr">
        <is>
          <t>• [Must] Some declarants may like to pay their tax dues in cash</t>
        </is>
      </c>
      <c r="O1633" s="11" t="inlineStr">
        <is>
          <t>2. As you are aware, the Income Declaration Scheme, 2016 (the Scheme) has come into effect from June 1, 2016 and some declarants may like to pay their tax dues in cash.</t>
        </is>
      </c>
      <c r="P1633" s="12" t="n">
        <v>46</v>
      </c>
    </row>
    <row r="1634">
      <c r="A1634" t="inlineStr">
        <is>
          <t>India</t>
        </is>
      </c>
      <c r="B1634" t="inlineStr">
        <is>
          <t>RBI Master Direction on Information Technology Framework for NBFC Sector (2017) (India - Row 15)</t>
        </is>
      </c>
      <c r="C1634" t="inlineStr">
        <is>
          <t>3</t>
        </is>
      </c>
      <c r="D1634" s="11" t="inlineStr">
        <is>
          <t>Banks must accept all cash deposits regardless of amount</t>
        </is>
      </c>
      <c r="E1634" t="inlineStr">
        <is>
          <t>1–2</t>
        </is>
      </c>
      <c r="F1634" t="inlineStr">
        <is>
          <t>Low</t>
        </is>
      </c>
      <c r="G1634" t="inlineStr">
        <is>
          <t>High (explicit)</t>
        </is>
      </c>
      <c r="H1634" s="11" t="inlineStr">
        <is>
          <t>Customer Information, Financial Data</t>
        </is>
      </c>
      <c r="I1634" s="11" t="inlineStr">
        <is>
          <t>Customer Data, Financial Data</t>
        </is>
      </c>
      <c r="J1634" t="inlineStr">
        <is>
          <t>RBI</t>
        </is>
      </c>
      <c r="K1634" s="11" t="inlineStr">
        <is>
          <t>Banks must accept cash deposits of any amount from declarants at counters, including those under the Income Declaration Scheme via challan ITNS-286. Banks must also comply with Know Your Customer requirements for all customers and walk-in customers.</t>
        </is>
      </c>
      <c r="L1634" s="11" t="inlineStr"/>
      <c r="M1634" s="11" t="inlineStr">
        <is>
          <t>• [Must] Banks must invariably accept cash, irrespective of amount, over the counters from all declarants</t>
        </is>
      </c>
      <c r="N1634" s="11" t="inlineStr">
        <is>
          <t>• [Must] Banks shall comply with Know Your Customer requirements for customers and walk-in customers</t>
        </is>
      </c>
      <c r="O1634" s="11" t="inlineStr">
        <is>
          <t>3. We advise that banks must invariably accept cash, irrespective of amount, over the counters from all declarants who desire to deposit cash at the counters, including deposits under the above Scheme through challan ITNS-286.</t>
        </is>
      </c>
      <c r="P1634" s="12" t="n">
        <v>46</v>
      </c>
    </row>
    <row r="1635">
      <c r="A1635" t="inlineStr">
        <is>
          <t>India</t>
        </is>
      </c>
      <c r="B1635" t="inlineStr">
        <is>
          <t>RBI Master Direction on Outsourcing of IT Services (MDS on IT Outsourcing, 2023) (India - Row 16)</t>
        </is>
      </c>
      <c r="C1635" t="inlineStr">
        <is>
          <t>1</t>
        </is>
      </c>
      <c r="D1635" s="11" t="inlineStr">
        <is>
          <t>Cloud adoption business analysis</t>
        </is>
      </c>
      <c r="E1635" t="inlineStr">
        <is>
          <t>5–6</t>
        </is>
      </c>
      <c r="F1635" t="inlineStr">
        <is>
          <t>High</t>
        </is>
      </c>
      <c r="G1635" t="inlineStr">
        <is>
          <t>High (explicit)</t>
        </is>
      </c>
      <c r="H1635" s="11" t="inlineStr">
        <is>
          <t>Cloud Services</t>
        </is>
      </c>
      <c r="I1635" s="11" t="inlineStr">
        <is>
          <t>Personal Information</t>
        </is>
      </c>
      <c r="J1635" t="inlineStr">
        <is>
          <t>RBI</t>
        </is>
      </c>
      <c r="K1635" s="11" t="inlineStr">
        <is>
          <t>REs must analyze business strategy and goals against current IT applications footprint and associated costs before adopting cloud solutions, considering the range from non-business critical workloads to critical business applications such as SaaS adoption.</t>
        </is>
      </c>
      <c r="L1635" s="11" t="inlineStr">
        <is>
          <t>Cloud adoption requires REs to conduct business technology risk assessments to determine appropriate cloud migration scope based on criticality of workloads.</t>
        </is>
      </c>
      <c r="M1635" s="11" t="inlineStr">
        <is>
          <t>• [Must] RE must analyze business strategy and goals against current IT applications footprint and associated costs</t>
        </is>
      </c>
      <c r="N1635" s="11" t="inlineStr"/>
      <c r="O1635" s="11" t="inlineStr">
        <is>
          <t>While considering adoption of cloud solution, it is imperative to analyse the business strategy and goals adopted to the current IT applications footprint and associated costs.</t>
        </is>
      </c>
      <c r="P1635" s="12" t="n">
        <v>47</v>
      </c>
    </row>
    <row r="1636">
      <c r="A1636" t="inlineStr">
        <is>
          <t>India</t>
        </is>
      </c>
      <c r="B1636" t="inlineStr">
        <is>
          <t>RBI Master Direction on Outsourcing of IT Services (MDS on IT Outsourcing, 2023) (India - Row 16)</t>
        </is>
      </c>
      <c r="C1636" t="inlineStr">
        <is>
          <t>2</t>
        </is>
      </c>
      <c r="D1636" s="11" t="inlineStr">
        <is>
          <t>Cloud data lifecycle coverage</t>
        </is>
      </c>
      <c r="E1636" t="inlineStr">
        <is>
          <t>1</t>
        </is>
      </c>
      <c r="F1636" t="inlineStr">
        <is>
          <t>High</t>
        </is>
      </c>
      <c r="G1636" t="inlineStr">
        <is>
          <t>High (explicit)</t>
        </is>
      </c>
      <c r="H1636" s="11" t="inlineStr">
        <is>
          <t>Cloud Services, Data Storage</t>
        </is>
      </c>
      <c r="I1636" s="11" t="inlineStr">
        <is>
          <t>Personal Information</t>
        </is>
      </c>
      <c r="J1636" t="inlineStr">
        <is>
          <t>RBI</t>
        </is>
      </c>
      <c r="K1636" s="11" t="inlineStr">
        <is>
          <t>REs must ensure their IT outsourcing policy covers the entire lifecycle of data from generation to permanent deletion, with procedures consistent with business needs and legal/regulatory requirements.</t>
        </is>
      </c>
      <c r="L1636" s="11" t="inlineStr">
        <is>
          <t>Cloud data lifecycle coverage ensures REs maintain end-to-end data management from creation to destruction, aligning with regulatory requirements.</t>
        </is>
      </c>
      <c r="M1636" s="11" t="inlineStr">
        <is>
          <t>• [Must] IT outsourcing policy must cover entire data lifecycle from generation to permanent deletion</t>
        </is>
      </c>
      <c r="N1636" s="11" t="inlineStr">
        <is>
          <t>• [Must] Procedures must be consistent with business needs and legal/regulatory requirements</t>
        </is>
      </c>
      <c r="O1636" s="11" t="inlineStr">
        <is>
          <t>In engaging cloud services, REs shall ensure, inter alia, that the Outsourcing of IT Services policy addresses the entire lifecycle of data, i.e., covering the entire span of time from generation of the data, its entry into the cloud, till the data is permanently erased/ deleted.</t>
        </is>
      </c>
      <c r="P1636" s="12" t="n">
        <v>47</v>
      </c>
    </row>
    <row r="1637">
      <c r="A1637" t="inlineStr">
        <is>
          <t>India</t>
        </is>
      </c>
      <c r="B1637" t="inlineStr">
        <is>
          <t>RBI Master Direction on Outsourcing of IT Services (MDS on IT Outsourcing, 2023) (India - Row 16)</t>
        </is>
      </c>
      <c r="C1637" t="inlineStr">
        <is>
          <t>3</t>
        </is>
      </c>
      <c r="D1637" s="11" t="inlineStr">
        <is>
          <t>Cloud service specific risk considerations</t>
        </is>
      </c>
      <c r="E1637" t="inlineStr">
        <is>
          <t>1–2</t>
        </is>
      </c>
      <c r="F1637" t="inlineStr">
        <is>
          <t>High</t>
        </is>
      </c>
      <c r="G1637" t="inlineStr">
        <is>
          <t>High (explicit)</t>
        </is>
      </c>
      <c r="H1637" s="11" t="inlineStr">
        <is>
          <t>Cloud Services, Data Storage</t>
        </is>
      </c>
      <c r="I1637" s="11" t="inlineStr">
        <is>
          <t>Personal Information</t>
        </is>
      </c>
      <c r="J1637" t="inlineStr">
        <is>
          <t>RBI</t>
        </is>
      </c>
      <c r="K1637" s="11" t="inlineStr">
        <is>
          <t>REs must consider cloud service-specific factors such as multi-tenancy and multi-location data storage while establishing risk management frameworks, with cloud security being a shared responsibility between RE and Cloud Service Provider.</t>
        </is>
      </c>
      <c r="L1637" s="11" t="inlineStr">
        <is>
          <t>Cloud service-specific risks require REs to account for multi-tenancy and multi-location data storage while implementing shared security responsibilities with CSPs.</t>
        </is>
      </c>
      <c r="M1637" s="11" t="inlineStr">
        <is>
          <t>• [Must] RE must consider cloud service-specific factors such as multi-tenancy and multi-location data storage
• [Must] RE must establish appropriate risk management framework for cloud services</t>
        </is>
      </c>
      <c r="N1637" s="11" t="inlineStr">
        <is>
          <t>• [Should] Cloud security is a shared responsibility between RE and Cloud Service Provider</t>
        </is>
      </c>
      <c r="O1637" s="11" t="inlineStr">
        <is>
          <t>In adoption of cloud services, REs shall take into account the cloud service specific factors, viz., multi-tenancy, multi-location storing/ processing of data, etc., and attendant risks, while establishing appropriate risk management framework.</t>
        </is>
      </c>
      <c r="P1637" s="12" t="n">
        <v>47</v>
      </c>
    </row>
    <row r="1638">
      <c r="A1638" t="inlineStr">
        <is>
          <t>India</t>
        </is>
      </c>
      <c r="B1638" t="inlineStr">
        <is>
          <t>RBI Master Direction on Outsourcing of IT Services (MDS on IT Outsourcing, 2023) (India - Row 16)</t>
        </is>
      </c>
      <c r="C1638" t="inlineStr">
        <is>
          <t>4</t>
        </is>
      </c>
      <c r="D1638" s="11" t="inlineStr">
        <is>
          <t>Cloud governance policy requirements</t>
        </is>
      </c>
      <c r="E1638" t="inlineStr">
        <is>
          <t>2–3</t>
        </is>
      </c>
      <c r="F1638" t="inlineStr">
        <is>
          <t>High</t>
        </is>
      </c>
      <c r="G1638" t="inlineStr">
        <is>
          <t>High (explicit)</t>
        </is>
      </c>
      <c r="H1638" s="11" t="inlineStr">
        <is>
          <t>Cloud Services, Data Storage</t>
        </is>
      </c>
      <c r="I1638" s="11" t="inlineStr">
        <is>
          <t>Personal Information</t>
        </is>
      </c>
      <c r="J1638" t="inlineStr">
        <is>
          <t>RBI</t>
        </is>
      </c>
      <c r="K1638" s="11" t="inlineStr">
        <is>
          <t>REs must adopt and demonstrate a well-established cloud adoption policy that identifies movable activities, protects stakeholder interests, ensures compliance with privacy, security, data sovereignty and storage requirements, and provides for risk management of CSPs.</t>
        </is>
      </c>
      <c r="L1638" s="11" t="inlineStr">
        <is>
          <t>Cloud governance policies require REs to define clear adoption frameworks that address data sovereignty, security and compliance while managing CSP-related risks.</t>
        </is>
      </c>
      <c r="M1638" s="11" t="inlineStr">
        <is>
          <t>• [Must] RE must adopt and demonstrate well-established documented cloud adoption policy
• [Must] Policy must identify activities that can be moved to cloud</t>
        </is>
      </c>
      <c r="N1638" s="11" t="inlineStr">
        <is>
          <t>• [Must] Policy must enable protection of stakeholder interests
• [Must] Policy must ensure compliance with regulatory requirements including privacy, security, data sovereignty and storage</t>
        </is>
      </c>
      <c r="O1638" s="11" t="inlineStr">
        <is>
          <t>REs shall adopt and demonstrate a well-established and documented cloud adoption policy. Such a policy should, inter alia, identify the activities that can be moved to the cloud, enable and support protection of various stakeholder interests, ensure compliance with regulatory requirements, including those on privacy, security, data sovereignty, recoverability and data storage requirements, aligned with data classification.</t>
        </is>
      </c>
      <c r="P1638" s="12" t="n">
        <v>47</v>
      </c>
    </row>
    <row r="1639">
      <c r="A1639" t="inlineStr">
        <is>
          <t>India</t>
        </is>
      </c>
      <c r="B1639" t="inlineStr">
        <is>
          <t>RBI Master Direction on Outsourcing of IT Services (MDS on IT Outsourcing, 2023) (India - Row 16)</t>
        </is>
      </c>
      <c r="C1639" t="inlineStr">
        <is>
          <t>5</t>
        </is>
      </c>
      <c r="D1639" s="11" t="inlineStr">
        <is>
          <t>Selection criteria for cloud service providers</t>
        </is>
      </c>
      <c r="E1639" t="inlineStr">
        <is>
          <t>10</t>
        </is>
      </c>
      <c r="F1639" t="inlineStr">
        <is>
          <t>High</t>
        </is>
      </c>
      <c r="G1639" t="inlineStr">
        <is>
          <t>High (explicit)</t>
        </is>
      </c>
      <c r="H1639" s="11" t="inlineStr">
        <is>
          <t>Cloud Services, Security, Data Storage</t>
        </is>
      </c>
      <c r="I1639" s="11" t="inlineStr">
        <is>
          <t>Personal Information</t>
        </is>
      </c>
      <c r="J1639" t="inlineStr">
        <is>
          <t>Reserve Bank of India</t>
        </is>
      </c>
      <c r="K1639" s="11" t="inlineStr">
        <is>
          <t>Reserve Banks (REs) must conduct a comprehensive risk assessment before selecting cloud service providers (CSPs). REs are required to enter contracts only with CSPs operating in jurisdictions that guarantee enforceable agreements and rights related to data storage, protection, and confidentiality. This ensures legal safeguards for REs when outsourcing cloud infrastructure.</t>
        </is>
      </c>
      <c r="L1639" s="11" t="inlineStr">
        <is>
          <t>Requires CSP selection based on jurisdictional enforceability of agreements and data protection rights, critical for cross-border data transfers involving cloud services.</t>
        </is>
      </c>
      <c r="M1639" s="11" t="inlineStr">
        <is>
          <t>• [Must] REs shall ensure that the selection of the CSP is based on a comprehensive risk assessment of the CSP</t>
        </is>
      </c>
      <c r="N1639" s="11" t="inlineStr">
        <is>
          <t>• [Must] REs shall enter into a contract only with CSPs subject to jurisdictions that uphold enforceability of agreements and the rights available thereunder to REs, including those relating to aspects such as data storage, data protection and confidentiality</t>
        </is>
      </c>
      <c r="O1639" s="11" t="inlineStr">
        <is>
          <t>REs shall ensure that the selection of the CSP is based on a comprehensive risk assessment of the CSP. REs shall enter into a contract only with CSPs subject to jurisdictions that uphold enforceability of agreements and the rights available thereunder to REs, including those relating to aspects such as data storage, data protection and confidentiality.</t>
        </is>
      </c>
      <c r="P1639" s="12" t="n">
        <v>47</v>
      </c>
    </row>
    <row r="1640">
      <c r="A1640" t="inlineStr">
        <is>
          <t>India</t>
        </is>
      </c>
      <c r="B1640" t="inlineStr">
        <is>
          <t>RBI Master Direction on Outsourcing of IT Services (MDS on IT Outsourcing, 2023) (India - Row 16)</t>
        </is>
      </c>
      <c r="C1640" t="inlineStr">
        <is>
          <t>6</t>
        </is>
      </c>
      <c r="D1640" s="11" t="inlineStr">
        <is>
          <t>Cloud security and management requirements</t>
        </is>
      </c>
      <c r="E1640" t="inlineStr">
        <is>
          <t>10</t>
        </is>
      </c>
      <c r="F1640" t="inlineStr">
        <is>
          <t>High</t>
        </is>
      </c>
      <c r="G1640" t="inlineStr">
        <is>
          <t>High (explicit)</t>
        </is>
      </c>
      <c r="H1640" s="11" t="inlineStr">
        <is>
          <t>Cloud Services, Security, Data Storage, Access Control</t>
        </is>
      </c>
      <c r="I1640" s="11" t="inlineStr">
        <is>
          <t>Personal Information</t>
        </is>
      </c>
      <c r="J1640" t="inlineStr">
        <is>
          <t>Reserve Bank of India</t>
        </is>
      </c>
      <c r="K1640" s="11" t="inlineStr">
        <is>
          <t>Reserve Banks (REs) must implement cloud architectures adhering to globally recognized standards, with secure container-based data management where encryption keys and Hardware Security Modules are under RE control. REs must enforce role-based access with multi-factor authentication, segregation of duties, and strict access controls. Security controls must match or exceed on-premise standards, including network security, configuration management, and change authorization. Continuous monitoring and vulnerability management are mandatory to ensure robust incident response and cyber resilience.</t>
        </is>
      </c>
      <c r="L1640" s="11" t="inlineStr">
        <is>
          <t>Mandates technical and operational safeguards for cloud environments, directly impacting data security and compliance during cross-border data transfers.</t>
        </is>
      </c>
      <c r="M1640" s="11" t="inlineStr">
        <is>
          <t>• [Must] REs shall ensure that the service and technology architecture supporting cloud-based applications is built in adherence to globally recognised architecture principles and standards
• [Must] REs shall prefer a technology architecture that provides for secure container-based data management, where encryption keys and Hardware Security Modules are under the control of the RE
• [Must] The architecture should provide for a standard set of tools and processes to manage containers, images and releases
• [Must] Multi-tenancy environments should be protected against data integrity and confidentiality risks, and against co-mingling of data
• [Must] The architecture should be resilient and enable smooth recovery in case of failure of any one or combination of components across the cloud architecture with minimal impact on data/information security
• [Must] IAM shall be agreed upon with the CSP and ensured for providing role-based access to the cloud hosted applications, in respect of user-access and privileged-access
• [Must] Stringent access controls, as applicable for an on-premise application, may be established for identity and access management to cloud-based applications
• [Must] Segregation of duties and role conflict matrix should be implemented for all kinds of user-access and privileged-access roles in the cloud-hosted application irrespective of the cloud service model
• [Must] Access provisioning should be governed by principles of 'need to know' and 'least privileges'
• [Must] Multi-factor authentication should be implemented for access to cloud applications
• [Must] REs shall ensure that the implementation of security controls in the cloud-based application achieves similar or higher degree of control objectives than those achieved in/on-premise application</t>
        </is>
      </c>
      <c r="N1640" s="11" t="inlineStr">
        <is>
          <t>• [Must] Secure connection through appropriate deployment of network security resources and their configurations
• [Must] Appropriate and secure configurations, monitoring of the cloud assets utilised by the RE
• [Must] Necessary procedures to authorise changes to cloud applications and related resources
• [Must] REs shall accurately define minimum monitoring requirements in the cloud environment
• [Must] REs should ensure to assess the information/cyber security capability of the cloud service provider, such that the CSP maintains an information security policy framework commensurate with its exposures to vulnerabilities and threats
• [Must] CSP is able to maintain its information/cyber security capability with respect to changes in vulnerabilities and threats, including those resulting from changes to information assets or its business environment
• [Must] Nature and frequency of testing of controls by the CSP in respect of the outsourced services is commensurate with the materiality of the services being outsourced by the RE and the threat environment
• [Must] CSP has mechanisms in place to assess the sub-contractors with regards to confidentiality, integrity and availability of the data being shared with the sub-contractors, where applicable
• [Must] REs shall ensure appropriate integration of logs, events from the CSP into the RE's SOC, where applicable and/or retention of relevant logs in cloud for incident reporting and handling of incidents
• [Must] The RE's own efforts in securing its application shall be complemented by the CSP's cyber resilience controls. The CSP/RE shall ensure continuous and regular updates of security-related software including upgrades, fixes, patches and service packs for protecting the application from advanced threats/malware
• [Must] REs shall ensure that CSPs have a well-governed and structured approach to manage threats and vulnerabilities supported by requisite industry-specific threat intelligence capabilities</t>
        </is>
      </c>
      <c r="O1640" s="11" t="inlineStr">
        <is>
          <t>REs shall ensure that the service and technology architecture supporting cloud-based applications is built in adherence to globally recognised architecture principles and standards. REs shall prefer a technology architecture that provides for secure container-based data management, where encryption keys and Hardware Security Modules are under the control of the RE.</t>
        </is>
      </c>
      <c r="P1640" s="12" t="n">
        <v>47</v>
      </c>
    </row>
    <row r="1641">
      <c r="A1641" t="inlineStr">
        <is>
          <t>India</t>
        </is>
      </c>
      <c r="B1641" t="inlineStr">
        <is>
          <t>RBI Master Direction on Outsourcing of IT Services (MDS on IT Outsourcing, 2023) (India - Row 16)</t>
        </is>
      </c>
      <c r="C1641" t="inlineStr">
        <is>
          <t>7</t>
        </is>
      </c>
      <c r="D1641" s="11" t="inlineStr">
        <is>
          <t>Disaster recovery and cyber resilience requirements</t>
        </is>
      </c>
      <c r="E1641" t="inlineStr">
        <is>
          <t>10–11</t>
        </is>
      </c>
      <c r="F1641" t="inlineStr">
        <is>
          <t>High</t>
        </is>
      </c>
      <c r="G1641" t="inlineStr">
        <is>
          <t>High (explicit)</t>
        </is>
      </c>
      <c r="H1641" s="11" t="inlineStr">
        <is>
          <t>Cloud Services</t>
        </is>
      </c>
      <c r="I1641" s="11" t="inlineStr">
        <is>
          <t>Personal Information</t>
        </is>
      </c>
      <c r="J1641" t="inlineStr">
        <is>
          <t>Reserve Bank of India</t>
        </is>
      </c>
      <c r="K1641" s="11" t="inlineStr">
        <is>
          <t>Reserve Banks (REs) must maintain business continuity frameworks that allow critical operations to continue with minimal disruption during cloud service failures or CSP outages. REs must ensure CSPs demonstrate cyber resilience capabilities through robust incident response and recovery practices, including regular Disaster Recovery (DR) drills at various levels of cloud services.</t>
        </is>
      </c>
      <c r="L1641" s="11" t="inlineStr">
        <is>
          <t>Requires business continuity and cyber resilience measures for cloud services, essential for maintaining data integrity during disruptions and cross-border data transfers.</t>
        </is>
      </c>
      <c r="M1641" s="11" t="inlineStr">
        <is>
          <t>• [Must] The RE's business continuity framework shall ensure that, in the event of a disaster affecting its cloud services or failure of the CSP, the RE can continue its critical operations with minimal disruption of services while ensuring integrity and security
• [Must] REs shall ensure that the CSP puts in place demonstrative capabilities for preparedness and readiness for cyber resilience as regards cloud services in use by them</t>
        </is>
      </c>
      <c r="N1641" s="11" t="inlineStr">
        <is>
          <t>• [Must] This should be systematically ensured, inter alia, through robust incident response and recovery practices including conduct of Disaster Recovery (DR) drills at various levels of cloud services including necessary stakeholders</t>
        </is>
      </c>
      <c r="O1641" s="11" t="inlineStr">
        <is>
          <t>The RE's business continuity framework shall ensure that, in the event of a disaster affecting its cloud services or failure of the CSP, the RE can continue its critical operations with minimal disruption of services while ensuring integrity and security.</t>
        </is>
      </c>
      <c r="P1641" s="12" t="n">
        <v>47</v>
      </c>
    </row>
    <row r="1642">
      <c r="A1642" t="inlineStr">
        <is>
          <t>India</t>
        </is>
      </c>
      <c r="B1642" t="inlineStr">
        <is>
          <t>RBI Master Direction on Outsourcing of IT Services (MDS on IT Outsourcing, 2023) (India - Row 16)</t>
        </is>
      </c>
      <c r="C1642" t="inlineStr">
        <is>
          <t>8</t>
        </is>
      </c>
      <c r="D1642" s="11" t="inlineStr">
        <is>
          <t>Exit strategy considerations for cloud services</t>
        </is>
      </c>
      <c r="E1642" t="inlineStr">
        <is>
          <t>11</t>
        </is>
      </c>
      <c r="F1642" t="inlineStr">
        <is>
          <t>High</t>
        </is>
      </c>
      <c r="G1642" t="inlineStr">
        <is>
          <t>High (explicit)</t>
        </is>
      </c>
      <c r="H1642" s="11" t="inlineStr">
        <is>
          <t>Cloud Services, Data Storage</t>
        </is>
      </c>
      <c r="I1642" s="11" t="inlineStr">
        <is>
          <t>Personal Information</t>
        </is>
      </c>
      <c r="J1642" t="inlineStr">
        <is>
          <t>Reserve Bank of India</t>
        </is>
      </c>
      <c r="K1642" s="11" t="inlineStr">
        <is>
          <t>Reserve Banks (REs) must evaluate exit strategies that include agreed processes for returning service collaterals and data, data completeness and portability, secure data purging, smooth service transitions, and clear liability definitions. REs must ensure contractual exit plans specify how cloud-hosted services and data will be moved out with minimal business impact while maintaining data integrity and security.</t>
        </is>
      </c>
      <c r="L1642" s="11" t="inlineStr">
        <is>
          <t>Requires detailed exit strategies for cloud services to ensure data portability and security during transitions, critical for cross-border data transfers.</t>
        </is>
      </c>
      <c r="M1642" s="11" t="inlineStr">
        <is>
          <t>• [Must] the exit strategy and service level stipulations in the SLA shall factor in, inter alia, agreed processes and turnaround times for returning the RE's service collaterals and data held by the CSP
• [Must] the exit strategy and service level stipulations in the SLA shall factor in, inter alia, data completeness and portability
• [Must] the exit strategy and service level stipulations in the SLA shall factor in, inter alia, secure purge of RE's information from the CSP's environment
• [Must] the exit strategy and service level stipulations in the SLA shall factor in, inter alia, smooth transition of services</t>
        </is>
      </c>
      <c r="N1642" s="11" t="inlineStr">
        <is>
          <t>• [Must] the exit strategy and service level stipulations in the SLA shall factor in, inter alia, unambiguous definition of liabilities, damages, penalties and indemnities
• [Must] monitoring the ongoing design of applications and service delivery technology stack that the exit plans should align with
• [Must] contractually agreed exit / termination plans should specify how the cloud-hosted service(s) and data will be moved out from the cloud with minimal impact on continuity of the RE's business, while maintaining integrity and security
• [Must] All records of transactions, customer and operational information, configuration data should be promptly taken over in a systematic manner from the CSP and purged at the CSP-end and independent assurance sought before signing off from the CSP</t>
        </is>
      </c>
      <c r="O1642" s="11" t="inlineStr">
        <is>
          <t>the exit strategy and service level stipulations in the SLA shall factor in, inter alia, agreed processes and turnaround times for returning the RE's service collaterals and data held by the CSP</t>
        </is>
      </c>
      <c r="P1642" s="12" t="n">
        <v>47</v>
      </c>
    </row>
    <row r="1643">
      <c r="A1643" t="inlineStr">
        <is>
          <t>India</t>
        </is>
      </c>
      <c r="B1643" t="inlineStr">
        <is>
          <t>RBI Master Direction on Outsourcing of IT Services (MDS on IT Outsourcing, 2023) (India - Row 16)</t>
        </is>
      </c>
      <c r="C1643" t="inlineStr">
        <is>
          <t>9</t>
        </is>
      </c>
      <c r="D1643" s="11" t="inlineStr">
        <is>
          <t>Audit and assurance requirements for cloud services</t>
        </is>
      </c>
      <c r="E1643" t="inlineStr">
        <is>
          <t>11</t>
        </is>
      </c>
      <c r="F1643" t="inlineStr">
        <is>
          <t>High</t>
        </is>
      </c>
      <c r="G1643" t="inlineStr">
        <is>
          <t>High (explicit)</t>
        </is>
      </c>
      <c r="H1643" s="11" t="inlineStr">
        <is>
          <t>Cloud Services, Security</t>
        </is>
      </c>
      <c r="I1643" s="11" t="inlineStr">
        <is>
          <t>Personal Information</t>
        </is>
      </c>
      <c r="J1643" t="inlineStr">
        <is>
          <t>Reserve Bank of India</t>
        </is>
      </c>
      <c r="K1643" s="11" t="inlineStr">
        <is>
          <t>Reserve Banks (REs) must conduct audits, periodic reviews, or third-party certifications covering roles and responsibilities, access controls, network configurations, monitoring mechanisms, data encryption, log reviews, change management, incident response, and resilience testing to ensure cloud governance compliance.</t>
        </is>
      </c>
      <c r="L1643" s="11" t="inlineStr">
        <is>
          <t>Requires regular audits and certifications for cloud services to verify security and compliance, critical for data transfer impact assessments.</t>
        </is>
      </c>
      <c r="M1643" s="11" t="inlineStr">
        <is>
          <t>• [Must] The audit/ periodic review/ third-party certifications should cover, as per applicability and cloud usage, inter alia, aspects such as roles and responsibilities of both RE and CSP in cloud governance, access and network controls, configurations, monitoring mechanism, data encryption, log review, change management, incident response, and resilienc…</t>
        </is>
      </c>
      <c r="N1643" s="11" t="inlineStr"/>
      <c r="O1643" s="11" t="inlineStr">
        <is>
          <t>The audit/ periodic review/ third-party certifications should cover, as per applicability and cloud usage, inter alia, aspects such as roles and responsibilities of both RE and CSP in cloud governance, access and network controls, configurations, monitoring mechanism, data encryption, log review, change management, incident response, and resilience preparedness and testing</t>
        </is>
      </c>
      <c r="P1643" s="12" t="n">
        <v>47</v>
      </c>
    </row>
    <row r="1644">
      <c r="A1644" t="inlineStr">
        <is>
          <t>India</t>
        </is>
      </c>
      <c r="B1644" t="inlineStr">
        <is>
          <t>RBI Master Direction on Outsourcing of IT Services (MDS on IT Outsourcing, 2023) (India - Row 16)</t>
        </is>
      </c>
      <c r="C1644" t="inlineStr">
        <is>
          <t>10</t>
        </is>
      </c>
      <c r="D1644" s="11" t="inlineStr">
        <is>
          <t>Board Responsibilities for IT Outsourcing Risk Management</t>
        </is>
      </c>
      <c r="E1644" t="inlineStr">
        <is>
          <t>11</t>
        </is>
      </c>
      <c r="F1644" t="inlineStr">
        <is>
          <t>High</t>
        </is>
      </c>
      <c r="G1644" t="inlineStr">
        <is>
          <t>High (explicit)</t>
        </is>
      </c>
      <c r="H1644" s="11" t="inlineStr">
        <is>
          <t>Cross-border Transfer, International Processing, Data Storage, Security, Governance, Record Keeping</t>
        </is>
      </c>
      <c r="I1644" s="11" t="inlineStr">
        <is>
          <t>Financial Data, Customer Data</t>
        </is>
      </c>
      <c r="J1644" t="inlineStr">
        <is>
          <t>Reserve Bank of India (RBI)</t>
        </is>
      </c>
      <c r="K1644" s="11" t="inlineStr">
        <is>
          <t>The Board must establish a framework for approving IT outsourcing activities based on risk and materiality, approve policies for evaluating risks and materiality of existing and prospective outsourcing arrangements, and create an administrative framework for Senior Management to implement these requirements.</t>
        </is>
      </c>
      <c r="L1644" s="11" t="inlineStr">
        <is>
          <t>Directly impacts DTIA by requiring Board-level risk assessment and approval of IT outsourcing activities, ensuring alignment with financial institution risk management frameworks.</t>
        </is>
      </c>
      <c r="M1644" s="11" t="inlineStr">
        <is>
          <t>• [Must] The Board shall be responsible for putting in place a framework for approval of IT outsourcing activities depending on risks and materiality
• [Must] The Board shall approve policies to evaluate the risks and materiality of all existing and prospective IT outsourcing arrangements</t>
        </is>
      </c>
      <c r="N1644" s="11" t="inlineStr">
        <is>
          <t>• [Must] The Board shall set up suitable administrative framework of Senior Management for the purpose of these Directions</t>
        </is>
      </c>
      <c r="O1644" s="11" t="inlineStr">
        <is>
          <t>The Board of the RE shall be responsible, inter alia, for: a) putting in place a framework for approval of IT outsourcing activities depending on risks and materiality; b) approving policies to evaluate the risks and materiality of all existing and prospective IT outsourcing arrangements; and c) setting up suitable administrative framework of Senior Management for the purpose of these Directions.</t>
        </is>
      </c>
      <c r="P1644" s="12" t="n">
        <v>47</v>
      </c>
    </row>
    <row r="1645">
      <c r="A1645" t="inlineStr">
        <is>
          <t>India</t>
        </is>
      </c>
      <c r="B1645" t="inlineStr">
        <is>
          <t>RBI Master Direction on Outsourcing of IT Services (MDS on IT Outsourcing, 2023) (India - Row 16)</t>
        </is>
      </c>
      <c r="C1645" t="inlineStr">
        <is>
          <t>11</t>
        </is>
      </c>
      <c r="D1645" s="11" t="inlineStr">
        <is>
          <t>Senior Management Responsibilities for IT Outsourcing Oversight</t>
        </is>
      </c>
      <c r="E1645" t="inlineStr">
        <is>
          <t>11–12</t>
        </is>
      </c>
      <c r="F1645" t="inlineStr">
        <is>
          <t>High</t>
        </is>
      </c>
      <c r="G1645" t="inlineStr">
        <is>
          <t>High (explicit)</t>
        </is>
      </c>
      <c r="H1645" s="11" t="inlineStr">
        <is>
          <t>Cross-border Transfer, International Processing, Data Storage, Security, Incident Reporting, Breach Notification, Governance, Record Keeping</t>
        </is>
      </c>
      <c r="I1645" s="11" t="inlineStr">
        <is>
          <t>Financial Data, Customer Data</t>
        </is>
      </c>
      <c r="J1645" t="inlineStr">
        <is>
          <t>Reserve Bank of India (RBI)</t>
        </is>
      </c>
      <c r="K1645" s="11" t="inlineStr">
        <is>
          <t>Senior Management must formulate IT outsourcing policies aligned with enterprise-wide risk management, evaluate risks and materiality of existing and prospective arrangements, conduct periodic reviews of outsourcing performance, identify and mitigate IT outsourcing risks, ensure business continuity plans, oversee data confidentiality, manage customer grievances, conduct independent audits, and build necessary skillsets for outsourcing oversight.</t>
        </is>
      </c>
      <c r="L1645" s="11" t="inlineStr">
        <is>
          <t>Critical for DTIA as it mandates detailed oversight mechanisms for third-party data handling, including risk identification, mitigation, and business continuity planning for cross-border data transfers.</t>
        </is>
      </c>
      <c r="M1645" s="11" t="inlineStr">
        <is>
          <t>• [Must] Senior Management shall formulate IT outsourcing policies and procedures
• [Must] Senior Management shall evaluate risks and materiality of existing and prospective IT outsourcing arrangements based on enterprise-wide risk management approved by the Board
• [Must] Senior Management shall conduct prior evaluation of prospective IT outsourcing arrangements and periodic evaluation of existing arrangements covering performance review, criticality and associated risks
• [Must] Senior Management shall identify IT outsourcing risks as they arise, monitor, mitigate, manage and report to the Board/Board Committee
• [Must] Senior Management shall ensure business continuity plans based on realistic disruptive scenarios including third-party provider exit</t>
        </is>
      </c>
      <c r="N1645" s="11" t="inlineStr">
        <is>
          <t>• [Must] Senior Management shall ensure effective oversight over third party for data confidentiality
• [Must] Senior Management shall ensure timely redressal of customer grievances
• [Must] Senior Management shall ensure periodic independent review and audit for compliance with legislation, regulations, Board-approved policy and performance standards
• [Must] Senior Management shall create essential capacity with required skillsets for proper oversight of outsourced activities</t>
        </is>
      </c>
      <c r="O1645" s="11" t="inlineStr">
        <is>
          <t>The Senior Management of the RE shall, inter alia, be responsible for: a) formulating IT outsourcing policies and procedures, evaluating the risks and materiality of all existing and prospective IT outsourcing arrangements based on the framework commensurate with the complexity, nature and scope, in line with the enterprise-wide risk management of the organisation approved by the Board and its implementation; b) prior evaluation of prospective IT outsourcing arrangements and periodic evaluation of the existing outsourcing arrangements covering the performance review, criticality and associated risks of all such arrangements based on the policy approved by the Board; c) identifying IT outsourcing risks as they arise, monitoring, mitigating, managing and reporting of such risks to the Board/ Board Committee in a timely manner; d) ensuring that suitable business continuity plans based on realistic and probable disruptive scenarios, including exit of any third-party service provider, are in place and tested periodically; e) ensuring (i) effective oversight over third party for data confidentiality and (ii) appropriate redressal of customer grievances in a timely manner; f) ensuring an independent review and audit on a periodic basis for compliance with the legislations, regulations, Board-approved policy and performance standards and reporting the same to Board/ Board Committee; and g) creating essential capacity with required skillsets within the organisation for proper oversight of outsourced activities.</t>
        </is>
      </c>
      <c r="P1645" s="12" t="n">
        <v>47</v>
      </c>
    </row>
    <row r="1646">
      <c r="A1646" t="inlineStr">
        <is>
          <t>India</t>
        </is>
      </c>
      <c r="B1646" t="inlineStr">
        <is>
          <t>RBI Master Direction on Outsourcing of IT Services (MDS on IT Outsourcing, 2023) (India - Row 16)</t>
        </is>
      </c>
      <c r="C1646" t="inlineStr">
        <is>
          <t>12</t>
        </is>
      </c>
      <c r="D1646" s="11" t="inlineStr">
        <is>
          <t>IT Function Responsibilities for Outsourcing Oversight</t>
        </is>
      </c>
      <c r="E1646" t="inlineStr">
        <is>
          <t>12–13</t>
        </is>
      </c>
      <c r="F1646" t="inlineStr">
        <is>
          <t>High</t>
        </is>
      </c>
      <c r="G1646" t="inlineStr">
        <is>
          <t>High (explicit)</t>
        </is>
      </c>
      <c r="H1646" s="11" t="inlineStr">
        <is>
          <t>Cross-border Transfer, International Processing, Data Storage, Security, Governance, Record Keeping</t>
        </is>
      </c>
      <c r="I1646" s="11" t="inlineStr">
        <is>
          <t>Financial Data, Customer Data</t>
        </is>
      </c>
      <c r="J1646" t="inlineStr">
        <is>
          <t>Reserve Bank of India (RBI)</t>
        </is>
      </c>
      <c r="K1646" s="11" t="inlineStr">
        <is>
          <t>The IT Function must assist Senior Management in identifying, measuring, monitoring, mitigating and managing IT outsourcing risks, maintain a central database of all outsourcing arrangements for Board and Senior Management review, monitor outsourced activities to ensure service provider performance, coordinate periodic due diligence, and establish documentation for contractual agreements including service level management and risk classification.</t>
        </is>
      </c>
      <c r="L1646" s="11" t="inlineStr">
        <is>
          <t>Directly relevant to DTIA as it specifies technical oversight mechanisms for third-party data handling, including risk monitoring, service performance tracking, and contractual documentation requirements.</t>
        </is>
      </c>
      <c r="M1646" s="11" t="inlineStr">
        <is>
          <t>• [Must] IT Function shall assist Senior Management in identifying, measuring, monitoring, mitigating and managing IT outsourcing risk
• [Must] IT Function shall maintain a central database of all IT outsourcing arrangements accessible for review by Board, Senior Management, Auditors and Supervisors
• [Must] IT Function shall monitor and supervise outsourced activities to ensure service providers meet performance standards and provide uninterrupted services</t>
        </is>
      </c>
      <c r="N1646" s="11" t="inlineStr">
        <is>
          <t>• [Must] IT Function shall report to Senior Management on outsourced activities
• [Must] IT Function shall coordinate periodic due diligence and highlight concerns with Senior Management
• [Must] IT Function shall put in place necessary documentation for contractual agreements including service level management, monitoring of vendor operations, key risk indicators and vendor classification based on risk</t>
        </is>
      </c>
      <c r="O1646" s="11" t="inlineStr">
        <is>
          <t>The responsibilities of the IT Function of the RE shall, inter alia, include: a) assisting the Senior Management in identifying, measuring, monitoring, mitigating and managing the level of IT outsourcing risk in the organisation; b) ensuring that a central database of all IT outsourcing arrangements is maintained and is accessible for review by Board, Senior Management, Auditors and Supervisors; c) effectively monitor and supervise the outsourced activity to ensure that the service providers meet the laid down performance standards and provide uninterrupted services, report to the Senior Management; co-ordinate periodic due diligence and highlight concerns, if any; and d) putting in place necessary documentation required for contractual agreements including service level management, monitoring of vendor operations, key risk indicators and classifying the vendors as per the determined risk.</t>
        </is>
      </c>
      <c r="P1646" s="12" t="n">
        <v>47</v>
      </c>
    </row>
    <row r="1647">
      <c r="A1647" t="inlineStr">
        <is>
          <t>India</t>
        </is>
      </c>
      <c r="B1647" t="inlineStr">
        <is>
          <t>RBI Master Direction on Outsourcing of IT Services (MDS on IT Outsourcing, 2023) (India - Row 16)</t>
        </is>
      </c>
      <c r="C1647" t="inlineStr">
        <is>
          <t>13</t>
        </is>
      </c>
      <c r="D1647" s="11" t="inlineStr">
        <is>
          <t>Due Diligence Requirements for Service Providers</t>
        </is>
      </c>
      <c r="E1647" t="inlineStr">
        <is>
          <t>13</t>
        </is>
      </c>
      <c r="F1647" t="inlineStr">
        <is>
          <t>High</t>
        </is>
      </c>
      <c r="G1647" t="inlineStr">
        <is>
          <t>High (explicit)</t>
        </is>
      </c>
      <c r="H1647" s="11" t="inlineStr">
        <is>
          <t>Cross-border Transfer, International Processing, Data Storage, Security, Governance, Record Keeping</t>
        </is>
      </c>
      <c r="I1647" s="11" t="inlineStr">
        <is>
          <t>Financial Data, Customer Data</t>
        </is>
      </c>
      <c r="J1647" t="inlineStr">
        <is>
          <t>Reserve Bank of India (RBI)</t>
        </is>
      </c>
      <c r="K1647" s="11" t="inlineStr">
        <is>
          <t>Financial institutions must conduct risk-based due diligence on service providers to assess their capability to comply with outsourcing agreements, consider qualitative, quantitative, financial, operational, legal and reputational factors, obtain independent reviews and market feedback, and evaluate concentration risks from single or few service providers.</t>
        </is>
      </c>
      <c r="L1647" s="11" t="inlineStr">
        <is>
          <t>Critical for DTIA as it mandates comprehensive due diligence on third-party service providers, including risk assessment and concentration risk evaluation for cross-border data transfers.</t>
        </is>
      </c>
      <c r="M1647" s="11" t="inlineStr">
        <is>
          <t>• [Must] Appropriate due diligence shall be performed to assess service provider capability to comply with outsourcing agreement obligations on an ongoing basis
• [Must] A risk-based approach shall be adopted in conducting due diligence activities
• [Must] Due diligence shall consider qualitative, quantitative, financial, operational, legal and reputational factors</t>
        </is>
      </c>
      <c r="N1647" s="11" t="inlineStr">
        <is>
          <t>• [Must] REs shall obtain independent reviews and market feedback on service providers to supplement assessment
• [Must] REs shall consider risks arising from concentration of outsourcing arrangements with single or few service providers</t>
        </is>
      </c>
      <c r="O1647" s="11" t="inlineStr">
        <is>
          <t>a) In considering or renewing an Outsourcing of IT Services arrangement, appropriate due diligence shall be performed to assess the capability of the service provider to comply with obligations in the outsourcing agreement on an ongoing basis. b) A risk-based approach shall be adopted in conducting such due diligence activities. c) Due diligence shall take into consideration qualitative, quantitative, financial, operational, legal and reputational factors. Where possible, the RE shall obtain independent reviews and market feedback on the service provider to supplement its own assessment. d) REs shall also consider, while evaluating the capability of the service provider, risks arising from concentration of outsourcing arrangements with a single or a few service provider/s.</t>
        </is>
      </c>
      <c r="P1647" s="12" t="n">
        <v>47</v>
      </c>
    </row>
    <row r="1648">
      <c r="A1648" t="inlineStr">
        <is>
          <t>India</t>
        </is>
      </c>
      <c r="B1648" t="inlineStr">
        <is>
          <t>RBI Master Direction on Outsourcing of IT Services (MDS on IT Outsourcing, 2023) (India - Row 16)</t>
        </is>
      </c>
      <c r="C1648" t="inlineStr">
        <is>
          <t>14</t>
        </is>
      </c>
      <c r="D1648" s="11" t="inlineStr">
        <is>
          <t>Due Diligence Evaluation Criteria for Service Providers</t>
        </is>
      </c>
      <c r="E1648" t="inlineStr">
        <is>
          <t>13–15</t>
        </is>
      </c>
      <c r="F1648" t="inlineStr">
        <is>
          <t>High</t>
        </is>
      </c>
      <c r="G1648" t="inlineStr">
        <is>
          <t>High (explicit)</t>
        </is>
      </c>
      <c r="H1648" s="11" t="inlineStr">
        <is>
          <t>Cross-border Transfer, International Processing, Data Storage, Security, Governance, Record Keeping</t>
        </is>
      </c>
      <c r="I1648" s="11" t="inlineStr">
        <is>
          <t>Financial Data, Customer Data</t>
        </is>
      </c>
      <c r="J1648" t="inlineStr">
        <is>
          <t>Reserve Bank of India (RBI)</t>
        </is>
      </c>
      <c r="K1648" s="11" t="inlineStr">
        <is>
          <t>Due diligence must evaluate service providers' past experience, financial soundness, business reputation, conflict of interest, external factors affecting data security, technology infrastructure stability, data segregation capabilities, due diligence on employees and subcontractors, regulatory compliance, information security risk assessments, data protection controls, and ability to enforce agreements.</t>
        </is>
      </c>
      <c r="L1648" s="11" t="inlineStr">
        <is>
          <t>Directly impacts DTIA by specifying detailed evaluation criteria for third-party service providers, including data segregation, security controls, and regulatory compliance requirements for cross-border data transfers.</t>
        </is>
      </c>
      <c r="M1648" s="11" t="inlineStr">
        <is>
          <t>• [Must] Evaluate service provider's past experience and demonstrated competence to implement and support proposed IT activity over contract period
• [Must] Assess service provider's financial soundness and ability to service commitments under adverse conditions
• [Must] Evaluate service provider's business reputation, culture, compliance, complaints, and outstanding or potential litigations
• [Must] Assess service provider's conflict of interest, if any
• [Must] Evaluate external factors like political, economic, social and legal environment affecting data security and service performance
• [Must] Assess service provider's technology, infrastructure stability, security, internal control, audit coverage, reporting and monitoring procedures, data backup arrangements, business continuity management and disaster recovery plans
• [Must] Evaluate service provider's capability to identify and segregate RE's data</t>
        </is>
      </c>
      <c r="N1648" s="11" t="inlineStr">
        <is>
          <t>• [Must] Assess service provider's quality of due diligence on employees and subcontractors
• [Must] Evaluate service provider's capability to comply with regulatory and legal requirements of outsourcing arrangements
• [Must] Conduct information/cyber security risk assessment
• [Must] Ensure appropriate controls, assurance requirements and contractual arrangements for data protection and RE's access to data processed by service providers
• [Must] Evaluate service provider's ability to effectively service all customers while maintaining confidentiality
• [Must] Evaluate service provider's ability to enforce agreements and rights related to data storage, data protection and confidentiality</t>
        </is>
      </c>
      <c r="O1648" s="11" t="inlineStr">
        <is>
          <t>Due diligence shall involve evaluation of all available information, as applicable, about the service provider, including but not limited to: a) past experience and demonstrated competence to implement and support the proposed IT activity over the contract period; b) financial soundness and ability to service commitments even under adverse conditions; c) business reputation and culture, compliance, complaints and outstanding or potential litigations; d) conflict of interest, if any; e) external factors like political, economic, social and legal environment of the jurisdiction in which the service provider operates and other events that may impact data security and service performance; f) details of the technology, infrastructure stability, security and internal control, audit coverage, reporting and monitoring procedures, data backup arrangements, business continuity management and disaster recovery plan; g) capability to identify and segregate REs data; h) quality of due diligence exercised by the service provider with respect to its employees and sub-contractors; i) capability to comply with the regulatory and legal requirements of the Outsourcing of IT Services arrangement; j) information/ cyber security risk assessment; k) ensuring that appropriate controls, assurance requirements and possible contractual arrangements are in place to ensure data protection and RE's access to the data which is processed, managed or stored by the service provider; l) ability to effectively service all the customers while maintaining confidentiality, especially where a service provider has exposure to multiple entities; and m) ability to enforce agreements and the rights available thereunder including those relating to aspects such as data storage, data protection and confidentiality.</t>
        </is>
      </c>
      <c r="P1648" s="12" t="n">
        <v>47</v>
      </c>
    </row>
    <row r="1649">
      <c r="A1649" t="inlineStr">
        <is>
          <t>India</t>
        </is>
      </c>
      <c r="B1649" t="inlineStr">
        <is>
          <t>RBI Master Direction on Outsourcing of IT Services (MDS on IT Outsourcing, 2023) (India - Row 16)</t>
        </is>
      </c>
      <c r="C1649" t="inlineStr">
        <is>
          <t>15</t>
        </is>
      </c>
      <c r="D1649" s="11" t="inlineStr">
        <is>
          <t>Legally binding agreement requirements for IT service providers</t>
        </is>
      </c>
      <c r="E1649" t="inlineStr">
        <is>
          <t>15</t>
        </is>
      </c>
      <c r="F1649" t="inlineStr">
        <is>
          <t>High</t>
        </is>
      </c>
      <c r="G1649" t="inlineStr">
        <is>
          <t>High (explicit)</t>
        </is>
      </c>
      <c r="H1649" s="11" t="inlineStr">
        <is>
          <t>Outsourcing, Data Residency</t>
        </is>
      </c>
      <c r="I1649" s="11" t="inlineStr">
        <is>
          <t>Personal Information, Financial Data</t>
        </is>
      </c>
      <c r="J1649" t="inlineStr">
        <is>
          <t>RBI</t>
        </is>
      </c>
      <c r="K1649" s="11" t="inlineStr">
        <is>
          <t>Reserve Entities (REs) must ensure legally binding agreements define their rights, obligations, and those of service providers. The agreement must address task criticality, associated risks, and mitigation strategies. Legal counsel must vet terms for enforceability and flexibility to retain control over outsourced activities and meet regulatory obligations. The agreement must clarify the legal relationship between parties.</t>
        </is>
      </c>
      <c r="L1649" s="11" t="inlineStr">
        <is>
          <t>This section mandates specific contractual safeguards for IT outsourcing, including risk management, regulatory compliance, and control mechanisms that directly impact cross-border data transfers by requiring data residency in India and clear contractual terms for data handling.</t>
        </is>
      </c>
      <c r="M1649" s="11" t="inlineStr">
        <is>
          <t>• [Must] REs must ensure legally binding agreements define rights and obligations of REs and service providers
• [Must] Agreements should consider criticality of outsourced tasks, associated risks, and mitigation strategies
• [Must] Contract terms must be vetted by RE's legal counsel for legal effect and enforceability</t>
        </is>
      </c>
      <c r="N1649" s="11" t="inlineStr">
        <is>
          <t>• [Must] Agreements must be flexible to allow REs to retain control over outsourced activities and intervene to meet legal obligations
• [Must] Agreements must clarify the legal relationship between parties</t>
        </is>
      </c>
      <c r="O1649" s="11" t="inlineStr">
        <is>
          <t>REs shall ensure that their rights and obligations and those of each of their service providers are clearly defined and set out in a legally binding written agreement.</t>
        </is>
      </c>
      <c r="P1649" s="12" t="n">
        <v>47</v>
      </c>
    </row>
    <row r="1650">
      <c r="A1650" t="inlineStr">
        <is>
          <t>India</t>
        </is>
      </c>
      <c r="B1650" t="inlineStr">
        <is>
          <t>RBI Master Direction on Outsourcing of IT Services (MDS on IT Outsourcing, 2023) (India - Row 16)</t>
        </is>
      </c>
      <c r="C1650" t="inlineStr">
        <is>
          <t>16</t>
        </is>
      </c>
      <c r="D1650" s="11" t="inlineStr">
        <is>
          <t>Mandatory clauses for IT outsourcing agreements</t>
        </is>
      </c>
      <c r="E1650" t="inlineStr">
        <is>
          <t>15–18</t>
        </is>
      </c>
      <c r="F1650" t="inlineStr">
        <is>
          <t>High</t>
        </is>
      </c>
      <c r="G1650" t="inlineStr">
        <is>
          <t>High (explicit)</t>
        </is>
      </c>
      <c r="H1650" s="11" t="inlineStr">
        <is>
          <t>Outsourcing, Data Residency, Security, Data Sharing</t>
        </is>
      </c>
      <c r="I1650" s="11" t="inlineStr">
        <is>
          <t>Financial Data, Customer Data</t>
        </is>
      </c>
      <c r="J1650" t="inlineStr">
        <is>
          <t>RBI</t>
        </is>
      </c>
      <c r="K1650" s="11" t="inlineStr">
        <is>
          <t>Agreements must include specific clauses such as details of outsourced activities with performance standards, access to relevant data, regular monitoring of service providers, reporting of material adverse events, compliance with IT Act 2000, service-level agreements, data storage in India, data sharing disclosures, confidentiality controls, data sharing permissions, resolution processes, contingency planning, audit rights, third-party oversight, and contractual liability for sub-contractors.</t>
        </is>
      </c>
      <c r="L1650" s="11" t="inlineStr">
        <is>
          <t>This section specifies critical clauses for IT outsourcing agreements that ensure data residency in India, robust security controls, and clear contractual terms for data handling, directly impacting cross-border data transfers by mandating Indian data storage and strict access controls.</t>
        </is>
      </c>
      <c r="M1650" s="11" t="inlineStr">
        <is>
          <t>• [Must] Agreements must specify details of outsourced activities with performance standards including sub-contractor standards
• [Must] REs must ensure effective access to all data, books, records, information, logs, alerts, and business premises relevant to outsourced activities
• [Must] REs must conduct regular monitoring and assessment of service providers for continuous risk management
• [Must] Agreements must define material adverse events and reporting requirements to enable prompt risk mitigation
• [Must] Service providers must comply with IT Act 2000 and other legal requirements to protect customer data
• [Must] Agreements must include service-level agreements formalizing performance criteria
• [Must] Data storage must be in India as per regulatory requirements
• [Must] Agreements must require service providers to disclose data captured, processed, and stored
• [Must] Service providers must maintain confidentiality controls and be liable for security breaches
• [Must] Agreements must specify data sharing permissions with RE's customers and other parties
• [Must] Agreements must include resolution processes, events of default, indemnities, remedies, and recourse
• [Must] Service providers must have contingency plans for business continuity and testing requirements</t>
        </is>
      </c>
      <c r="N1650" s="11" t="inlineStr">
        <is>
          <t>• [Must] REs must have right to audit service providers (including sub-contractors) and obtain audit reports
• [Must] REs must have right to seek information about third parties in the supply chain
• [Must] Agreements must allow RBI or authorized persons to access RE's IT infrastructure and data
• [Must] Service providers must be contractually liable for sub-contractors' performance and risk management
• [Must] Service providers must comply with RBI directions on outsourced activities
• [Must] REs must require prior approval for service providers to use sub-contractors
• [Must] REs must retain termination rights including ability to transfer outsourcing to another provider
• [Must] Service providers must cooperate with regulators in case of RE insolvency/resolution
• [Must] Service providers must have skilled resources as 'essential personnel' for critical functions
• [Must] Service providers must have back-to-back arrangements with OEMs
• [Must] Service providers must sign non-disclosure agreements</t>
        </is>
      </c>
      <c r="O1650" s="11" t="inlineStr">
        <is>
          <t>The agreement at a minimum should include (as applicable to the scope of Outsourcing of IT Services) the following aspects: details of the activity being outsourced, including appropriate service and performance standards including for the sub-contractors, if any;</t>
        </is>
      </c>
      <c r="P1650" s="12" t="n">
        <v>47</v>
      </c>
    </row>
    <row r="1651">
      <c r="A1651" t="inlineStr">
        <is>
          <t>India</t>
        </is>
      </c>
      <c r="B1651" t="inlineStr">
        <is>
          <t>RBI Master Direction on Outsourcing of IT Services (MDS on IT Outsourcing, 2023) (India - Row 16)</t>
        </is>
      </c>
      <c r="C1651" t="inlineStr">
        <is>
          <t>17</t>
        </is>
      </c>
      <c r="D1651" s="11" t="inlineStr">
        <is>
          <t>Risk management framework for IT outsourcing</t>
        </is>
      </c>
      <c r="E1651" t="inlineStr">
        <is>
          <t>18–19</t>
        </is>
      </c>
      <c r="F1651" t="inlineStr">
        <is>
          <t>High</t>
        </is>
      </c>
      <c r="G1651" t="inlineStr">
        <is>
          <t>High (explicit)</t>
        </is>
      </c>
      <c r="H1651" s="11" t="inlineStr">
        <is>
          <t>Incident Reporting, Breach Notification</t>
        </is>
      </c>
      <c r="I1651" s="11" t="inlineStr">
        <is>
          <t>Financial Data, Customer Data</t>
        </is>
      </c>
      <c r="J1651" t="inlineStr">
        <is>
          <t>RBI</t>
        </is>
      </c>
      <c r="K1651" s="11" t="inlineStr">
        <is>
          <t>REs must establish a comprehensive risk management framework for IT outsourcing that covers identification, measurement, mitigation, management, and reporting of risks. Risk assessments must be documented with necessary approvals from Board, Senior Management, and IT Function. REs are responsible for data confidentiality and integrity, access to data on need-to-know basis with security controls, and oversight of multiple service providers. REs must report cyber incidents to RBI within 6 hours of detection by the service provider.</t>
        </is>
      </c>
      <c r="L1651" s="11" t="inlineStr">
        <is>
          <t>This section requires REs to implement robust risk management practices for IT outsourcing, including incident reporting within 6 hours to RBI, which directly impacts cross-border data transfers by mandating timely breach notifications and data security controls.</t>
        </is>
      </c>
      <c r="M1651" s="11" t="inlineStr">
        <is>
          <t>• [Must] REs must put in place a risk management framework for IT outsourcing covering identification, measurement, mitigation, management, and reporting of risks
• [Must] Risk assessments must be documented with necessary approvals from Board, Senior Management, and IT Function
• [Must] REs must ensure confidentiality and integrity of customer data available to service providers
• [Must] Access to data at RE's location must be on need-to-know basis with appropriate security controls
• [Must] REs must ensure security and confidentiality of customer information by service provider staff on need-to-know basis</t>
        </is>
      </c>
      <c r="N1651" s="11" t="inlineStr">
        <is>
          <t>• [Must] REs must monitor control environments of all service providers accessing RE's data
• [Must] Service providers must report cyber incidents to RE without undue delay, and RE must report to RBI within 6 hours of detection
• [Must] REs must review and monitor service provider security practices to disclose breaches and notify RBI immediately
• [Must] REs must assess concentration risk from multiple outsourcings to the same service provider</t>
        </is>
      </c>
      <c r="O1651" s="11" t="inlineStr">
        <is>
          <t>REs shall put in place a Risk Management framework for Outsourcing of IT Services that shall comprehensively deal with the processes and responsibilities for identification, measurement, mitigation, management, and reporting of risks associated with Outsourcing of IT Services arrangements.</t>
        </is>
      </c>
      <c r="P1651" s="12" t="n">
        <v>47</v>
      </c>
    </row>
    <row r="1652">
      <c r="A1652" t="inlineStr">
        <is>
          <t>India</t>
        </is>
      </c>
      <c r="B1652" t="inlineStr">
        <is>
          <t>RBI Master Direction on Outsourcing of IT Services (MDS on IT Outsourcing, 2023) (India - Row 16)</t>
        </is>
      </c>
      <c r="C1652" t="inlineStr">
        <is>
          <t>18</t>
        </is>
      </c>
      <c r="D1652" s="11" t="inlineStr">
        <is>
          <t>Business continuity and disaster recovery for IT outsourcing</t>
        </is>
      </c>
      <c r="E1652" t="inlineStr">
        <is>
          <t>19–20</t>
        </is>
      </c>
      <c r="F1652" t="inlineStr">
        <is>
          <t>High</t>
        </is>
      </c>
      <c r="G1652" t="inlineStr">
        <is>
          <t>High (explicit)</t>
        </is>
      </c>
      <c r="H1652" s="11" t="inlineStr">
        <is>
          <t>Data Residency</t>
        </is>
      </c>
      <c r="I1652" s="11" t="inlineStr">
        <is>
          <t>Financial Data, Customer Data</t>
        </is>
      </c>
      <c r="J1652" t="inlineStr">
        <is>
          <t>RBI</t>
        </is>
      </c>
      <c r="K1652" s="11" t="inlineStr">
        <is>
          <t>REs must require service providers to develop robust Business Continuity Plans (BCPs) and Disaster Recovery Plans (DRPs) commensurate with outsourced activities. REs must consider alternative service providers or in-house solutions during emergencies. REs must retain control over IT outsourcing arrangements to mitigate risks from termination or insolvency of service providers. REs must ensure service providers can isolate RE's information to facilitate removal or destruction of data in adverse conditions.</t>
        </is>
      </c>
      <c r="L1652" s="11" t="inlineStr">
        <is>
          <t>This section mandates business continuity and disaster recovery plans for IT outsourcing, ensuring data can be isolated and removed from service providers during emergencies, which is critical for cross-border data transfers to prevent data retention in foreign jurisdictions.</t>
        </is>
      </c>
      <c r="M1652" s="11" t="inlineStr">
        <is>
          <t>• [Must] REs must require service providers to develop and maintain robust BCP and DRP frameworks
• [Must] REs must consider alternative service providers or in-house solutions during emergencies</t>
        </is>
      </c>
      <c r="N1652" s="11" t="inlineStr">
        <is>
          <t>• [Must] REs must retain control over IT outsourcing arrangements to mitigate risks from termination or insolvency
• [Must] REs must ensure service providers can isolate RE's information to facilitate removal or destruction of data</t>
        </is>
      </c>
      <c r="O1652" s="11" t="inlineStr">
        <is>
          <t>REs shall require their service providers to develop and establish a robust framework for documenting, maintaining and testing Business Continuity Plan (BCP) and Disaster Recovery Plan (DRP) commensurate with the nature and scope of the outsourced activity as per extant instructions issued by RBI from time to time on BCP/ DR requirements.</t>
        </is>
      </c>
      <c r="P1652" s="12" t="n">
        <v>47</v>
      </c>
    </row>
    <row r="1653">
      <c r="A1653" t="inlineStr">
        <is>
          <t>India</t>
        </is>
      </c>
      <c r="B1653" t="inlineStr">
        <is>
          <t>RBI Master Direction on Outsourcing of IT Services (MDS on IT Outsourcing, 2023) (India - Row 16)</t>
        </is>
      </c>
      <c r="C1653" t="inlineStr">
        <is>
          <t>19</t>
        </is>
      </c>
      <c r="D1653" s="11" t="inlineStr">
        <is>
          <t>Monitoring and control of outsourced IT activities</t>
        </is>
      </c>
      <c r="E1653" t="inlineStr">
        <is>
          <t>20–22</t>
        </is>
      </c>
      <c r="F1653" t="inlineStr">
        <is>
          <t>High</t>
        </is>
      </c>
      <c r="G1653" t="inlineStr">
        <is>
          <t>High (explicit)</t>
        </is>
      </c>
      <c r="H1653" s="11" t="inlineStr"/>
      <c r="I1653" s="11" t="inlineStr">
        <is>
          <t>Financial Data, Customer Data</t>
        </is>
      </c>
      <c r="J1653" t="inlineStr">
        <is>
          <t>RBI</t>
        </is>
      </c>
      <c r="K1653" s="11" t="inlineStr">
        <is>
          <t>REs must establish a management structure to monitor and control outsourced IT activities, including performance, uptime, service availability, SLA adherence, and incident response. REs must conduct regular audits of service providers (including sub-contractors) with the option to pool audits for multiple REs. Audits must assess service provider performance, risk management practices, and compliance with laws. REs must periodically review financial and operational conditions of service providers to assess their ability to meet obligations.</t>
        </is>
      </c>
      <c r="L1653" s="11" t="inlineStr">
        <is>
          <t>This section requires REs to implement continuous monitoring and auditing of outsourced IT activities, ensuring service providers maintain compliance with data security and regulatory requirements, which directly impacts cross-border data transfers through strict oversight mechanisms.</t>
        </is>
      </c>
      <c r="M1653" s="11" t="inlineStr">
        <is>
          <t>• [Must] REs must have a management structure to monitor and control outsourced IT activities
• [Must] REs must conduct regular audits of service providers (including sub-contractors)
• [May] REs may pool audit resources for common service providers to reduce costs</t>
        </is>
      </c>
      <c r="N1653" s="11" t="inlineStr">
        <is>
          <t>• [Must] Audits must assess service provider performance, risk management practices, and compliance with laws
• [Must] REs must review financial and operational conditions of service providers periodically</t>
        </is>
      </c>
      <c r="O1653" s="11" t="inlineStr">
        <is>
          <t>REs shall have in place a management structure to monitor and control its Outsourced IT activities. This shall include (as applicable to the scope of Outsourcing of IT Services) but not limited to monitoring the performance, uptime of the systems and resources, service availability, adherence to SLA requirements, incident response mechanism, etc.</t>
        </is>
      </c>
      <c r="P1653" s="12" t="n">
        <v>47</v>
      </c>
    </row>
    <row r="1654">
      <c r="A1654" t="inlineStr">
        <is>
          <t>India</t>
        </is>
      </c>
      <c r="B1654" t="inlineStr">
        <is>
          <t>RBI Master Direction on Outsourcing of IT Services (MDS on IT Outsourcing, 2023) (India - Row 16)</t>
        </is>
      </c>
      <c r="C1654" t="inlineStr">
        <is>
          <t>20</t>
        </is>
      </c>
      <c r="D1654" s="11" t="inlineStr">
        <is>
          <t>Group outsourcing within business conglomerates</t>
        </is>
      </c>
      <c r="E1654" t="inlineStr">
        <is>
          <t>22</t>
        </is>
      </c>
      <c r="F1654" t="inlineStr">
        <is>
          <t>High</t>
        </is>
      </c>
      <c r="G1654" t="inlineStr">
        <is>
          <t>High (explicit)</t>
        </is>
      </c>
      <c r="H1654" s="11" t="inlineStr">
        <is>
          <t>Outsourcing, Data Residency</t>
        </is>
      </c>
      <c r="I1654" s="11" t="inlineStr">
        <is>
          <t>Financial Data, Customer Data</t>
        </is>
      </c>
      <c r="J1654" t="inlineStr">
        <is>
          <t>RBI</t>
        </is>
      </c>
      <c r="K1654" s="11" t="inlineStr">
        <is>
          <t>REs may outsource IT activities within their business group or conglomerate if backed by Board-approved policy and appropriate service level agreements. Selection of group entities must be based on objective criteria similar to third-party selection, with conflicts of interest addressed. REs must maintain arm's-length relationships with group entities and apply identical risk management practices as for non-related parties.</t>
        </is>
      </c>
      <c r="L1654" s="11" t="inlineStr">
        <is>
          <t>This section allows for group-level outsourcing but requires strict risk management practices and arm's-length relationships, which can impact cross-border data transfers if group entities operate in different jurisdictions.</t>
        </is>
      </c>
      <c r="M1654" s="11" t="inlineStr">
        <is>
          <t>• [May] REs may outsource IT activities within business group if backed by Board-approved policy and service level agreements
• Selection of group entities must be based on objective criteria similar to third-party selection
• [Must] REs must address conflicts of interest in group outsourcing arrangements</t>
        </is>
      </c>
      <c r="N1654" s="11" t="inlineStr">
        <is>
          <t>• [Must] REs must maintain arm's-length relationships with group entities
• [Must] Risk management practices for group entities must be identical to non-related parties</t>
        </is>
      </c>
      <c r="O1654" s="11" t="inlineStr">
        <is>
          <t>A RE may outsource any IT activity/ IT enabled service within its business group/ conglomerate, provided that such an arrangement is backed by the Board-approved policy and appropriate service level arrangements/ agreements with its group entities are in place.</t>
        </is>
      </c>
      <c r="P1654" s="12" t="n">
        <v>47</v>
      </c>
    </row>
    <row r="1655">
      <c r="A1655" t="inlineStr">
        <is>
          <t>India</t>
        </is>
      </c>
      <c r="B1655" t="inlineStr">
        <is>
          <t>RBI Master Direction on Outsourcing of IT Services (MDS on IT Outsourcing, 2023) (India - Row 16)</t>
        </is>
      </c>
      <c r="C1655" t="inlineStr">
        <is>
          <t>21</t>
        </is>
      </c>
      <c r="D1655" s="11" t="inlineStr">
        <is>
          <t>Cross-border outsourcing country risk management</t>
        </is>
      </c>
      <c r="E1655" t="inlineStr">
        <is>
          <t>22–23</t>
        </is>
      </c>
      <c r="F1655" t="inlineStr">
        <is>
          <t>High</t>
        </is>
      </c>
      <c r="G1655" t="inlineStr">
        <is>
          <t>High (explicit)</t>
        </is>
      </c>
      <c r="H1655" s="11" t="inlineStr">
        <is>
          <t>Cross-border Transfer, Data Storage</t>
        </is>
      </c>
      <c r="I1655" s="11" t="inlineStr">
        <is>
          <t>Personal Information</t>
        </is>
      </c>
      <c r="J1655" t="inlineStr">
        <is>
          <t>RBI</t>
        </is>
      </c>
      <c r="K1655" s="11" t="inlineStr">
        <is>
          <t>The recipient entity (RE) must continuously monitor the political, social, economic and legal conditions of the foreign jurisdiction where the service provider is based, establish procedures to mitigate country risk including contingency and exit strategies, and ensure records remain accessible to the RE and RBI even during service provider liquidation. This applies to REs engaging cross-border IT service providers.</t>
        </is>
      </c>
      <c r="L1655" s="11" t="inlineStr">
        <is>
          <t>Cross-border outsourcing requires REs to manage country risk through continuous monitoring of foreign jurisdiction conditions and establishing contingency/exit strategies to ensure data accessibility during service provider liquidation.</t>
        </is>
      </c>
      <c r="M1655" s="11" t="inlineStr">
        <is>
          <t>• [Must] RE must closely monitor government policies and political, social, economic and legal conditions of foreign jurisdiction continuously
• [Must] RE must establish sound procedures for mitigating country risk including contingency and exit strategies</t>
        </is>
      </c>
      <c r="N1655" s="11" t="inlineStr">
        <is>
          <t>• [Must] RE must ensure availability of records to RE and RBI is not affected even during service provider liquidation</t>
        </is>
      </c>
      <c r="O1655" s="11" t="inlineStr">
        <is>
          <t>The engagement of a service provider based in a different jurisdiction exposes the RE to country risk. To manage such risk, the RE shall closely monitor government policies of the jurisdiction in which the service provider is based and the political, social, economic and legal conditions on a continuous basis, as well as establish sound procedures for mitigating the country risk.</t>
        </is>
      </c>
      <c r="P1655" s="12" t="n">
        <v>47</v>
      </c>
    </row>
    <row r="1656">
      <c r="A1656" t="inlineStr">
        <is>
          <t>India</t>
        </is>
      </c>
      <c r="B1656" t="inlineStr">
        <is>
          <t>RBI Master Direction on Outsourcing of IT Services (MDS on IT Outsourcing, 2023) (India - Row 16)</t>
        </is>
      </c>
      <c r="C1656" t="inlineStr">
        <is>
          <t>22</t>
        </is>
      </c>
      <c r="D1656" s="11" t="inlineStr">
        <is>
          <t>Exit strategy for IT outsourcing</t>
        </is>
      </c>
      <c r="E1656" t="inlineStr">
        <is>
          <t>3–5</t>
        </is>
      </c>
      <c r="F1656" t="inlineStr">
        <is>
          <t>High</t>
        </is>
      </c>
      <c r="G1656" t="inlineStr">
        <is>
          <t>High (explicit)</t>
        </is>
      </c>
      <c r="H1656" s="11" t="inlineStr">
        <is>
          <t>Data Storage</t>
        </is>
      </c>
      <c r="I1656" s="11" t="inlineStr">
        <is>
          <t>Personal Information</t>
        </is>
      </c>
      <c r="J1656" t="inlineStr">
        <is>
          <t>RBI</t>
        </is>
      </c>
      <c r="K1656" s="11" t="inlineStr">
        <is>
          <t>The RE must include a clear exit strategy in its IT outsourcing policy that ensures business continuity during and after exit, covering different scenarios of termination with minimum execution periods. The agreement must include clauses for safe data and hardware removal/destruction, prohibiting the service provider from altering data during transition unless instructed by the regulator.</t>
        </is>
      </c>
      <c r="L1656" s="11" t="inlineStr">
        <is>
          <t>IT outsourcing exit strategies require REs to define clear transition protocols for data and hardware destruction while preventing service provider data alterations during transition periods.</t>
        </is>
      </c>
      <c r="M1656" s="11" t="inlineStr">
        <is>
          <t>• [Must] IT outsourcing policy must contain clear exit strategy ensuring business continuity during and after exit
• [Must] Exit strategy must include plans for different exit scenarios with stipulated minimum execution periods</t>
        </is>
      </c>
      <c r="N1656" s="11" t="inlineStr">
        <is>
          <t>• [Must] Agreement must have clauses for safe removal/destruction of data, hardware and records
• [Must] Service provider must be prohibited from erasing, purging, revoking, altering or changing data during transition unless specifically advised by regulator</t>
        </is>
      </c>
      <c r="O1656" s="11" t="inlineStr">
        <is>
          <t>The Outsourcing of IT Services policy shall contain a clear exit strategy with regard to outsourced IT activities/ IT enabled services, while ensuring business continuity during and after exit.</t>
        </is>
      </c>
      <c r="P1656" s="12" t="n">
        <v>47</v>
      </c>
    </row>
    <row r="1657">
      <c r="A1657" t="inlineStr">
        <is>
          <t>India</t>
        </is>
      </c>
      <c r="B1657" t="inlineStr">
        <is>
          <t>RBI Payment Data Localisation Requirement (India - Row 17)</t>
        </is>
      </c>
      <c r="C1657" t="inlineStr">
        <is>
          <t>2</t>
        </is>
      </c>
      <c r="D1657" s="11" t="inlineStr">
        <is>
          <t>Payment data storage requirement for system providers</t>
        </is>
      </c>
      <c r="E1657" t="inlineStr">
        <is>
          <t>1</t>
        </is>
      </c>
      <c r="F1657" t="inlineStr">
        <is>
          <t>High</t>
        </is>
      </c>
      <c r="G1657" t="inlineStr">
        <is>
          <t>High (explicit)</t>
        </is>
      </c>
      <c r="H1657" s="11" t="inlineStr">
        <is>
          <t>Data Storage, Cross-border Transfer, Financial Data</t>
        </is>
      </c>
      <c r="I1657" s="11" t="inlineStr">
        <is>
          <t>Financial Data</t>
        </is>
      </c>
      <c r="J1657" t="inlineStr">
        <is>
          <t>Reserve Bank of India</t>
        </is>
      </c>
      <c r="K1657" s="11" t="inlineStr">
        <is>
          <t>System providers must store all payment system data within India, including end-to-end transaction details. Foreign transaction data may be stored abroad if necessary. System providers must comply with this requirement within six months and report compliance to the Reserve Bank by October 15, 2018.</t>
        </is>
      </c>
      <c r="L1657" s="11" t="inlineStr">
        <is>
          <t>Requires payment data to be stored within India, creating a data residency requirement that impacts cross-border data transfers and storage arrangements for payment systems.</t>
        </is>
      </c>
      <c r="M1657" s="11" t="inlineStr">
        <is>
          <t>• [Must] All system providers shall ensure that the entire data relating to payment systems operated by them are stored in a system only in India
• [Must Not] For the foreign leg of the transaction, if any, the data can also be stored in the foreign country, if required</t>
        </is>
      </c>
      <c r="N1657" s="11" t="inlineStr">
        <is>
          <t>• [Must] System providers shall ensure compliance of the data storage requirement within a period of six months
• [Must] System providers shall report compliance to the Reserve Bank latest by October 15, 2018</t>
        </is>
      </c>
      <c r="O1657" s="11" t="inlineStr">
        <is>
          <t>It is observed that not all system providers store the payments data in India. In order to ensure better monitoring, it is important to have unfettered supervisory access to data stored with these system providers as also with their service providers / intermediaries/ third party vendors and other entities in the payment ecosystem.</t>
        </is>
      </c>
      <c r="P1657" s="12" t="n">
        <v>48</v>
      </c>
    </row>
    <row r="1658">
      <c r="A1658" t="inlineStr">
        <is>
          <t>India</t>
        </is>
      </c>
      <c r="B1658" t="inlineStr">
        <is>
          <t>Reserve Bank of India – IT Governance and Cybersecurity Regulatory Framework (including Master Directions and Cyber Security Framework) (India - Row 18)</t>
        </is>
      </c>
      <c r="C1658" t="inlineStr">
        <is>
          <t>1</t>
        </is>
      </c>
      <c r="D1658" s="11" t="inlineStr">
        <is>
          <t>Short Title and Commencement</t>
        </is>
      </c>
      <c r="E1658" t="inlineStr">
        <is>
          <t>4</t>
        </is>
      </c>
      <c r="F1658" t="inlineStr">
        <is>
          <t>Low</t>
        </is>
      </c>
      <c r="G1658" t="inlineStr">
        <is>
          <t>High (explicit)</t>
        </is>
      </c>
      <c r="H1658" s="11" t="inlineStr"/>
      <c r="I1658" s="11" t="inlineStr"/>
      <c r="J1658" t="inlineStr"/>
      <c r="K1658" s="11" t="inlineStr">
        <is>
          <t>This section specifies that the Directions shall be called the Reserve Bank of India (Information Technology Governance, Risk, Controls and Assurance Practices) Directions, and establishes the effective date of the Directions.</t>
        </is>
      </c>
      <c r="L1658" s="11" t="inlineStr"/>
      <c r="M1658" s="11" t="inlineStr">
        <is>
          <t>• [Definition] These Directions shall be called the Reserve Bank of India (Information Technology Governance, Risk, Controls and Assurance Practices) Directions</t>
        </is>
      </c>
      <c r="N1658" s="11" t="inlineStr"/>
      <c r="O1658" s="11" t="inlineStr">
        <is>
          <t>1. Short Title and Commencement</t>
        </is>
      </c>
      <c r="P1658" s="12" t="n">
        <v>49</v>
      </c>
    </row>
    <row r="1659">
      <c r="A1659" t="inlineStr">
        <is>
          <t>India</t>
        </is>
      </c>
      <c r="B1659" t="inlineStr">
        <is>
          <t>Reserve Bank of India – IT Governance and Cybersecurity Regulatory Framework (including Master Directions and Cyber Security Framework) (India - Row 18)</t>
        </is>
      </c>
      <c r="C1659" t="inlineStr">
        <is>
          <t>2</t>
        </is>
      </c>
      <c r="D1659" s="11" t="inlineStr">
        <is>
          <t>Applicability of Directions</t>
        </is>
      </c>
      <c r="E1659" t="inlineStr">
        <is>
          <t>1–2</t>
        </is>
      </c>
      <c r="F1659" t="inlineStr">
        <is>
          <t>Low</t>
        </is>
      </c>
      <c r="G1659" t="inlineStr">
        <is>
          <t>High (explicit)</t>
        </is>
      </c>
      <c r="H1659" s="11" t="inlineStr"/>
      <c r="I1659" s="11" t="inlineStr"/>
      <c r="J1659" t="inlineStr"/>
      <c r="K1659" s="11" t="inlineStr">
        <is>
          <t>This section specifies which entities are covered by the Directions (Banking Companies, Non-Banking Financial Companies, Credit Information Companies, and All India Financial Institutions) and which entities are excluded (Local Area Banks, NBFC-Core Investment Companies). It also explains the 'comply or explain' approach for foreign banks operating in India through branch mode.</t>
        </is>
      </c>
      <c r="L1659" s="11" t="inlineStr"/>
      <c r="M1659" s="11" t="inlineStr">
        <is>
          <t>• [Definition] These Directions shall be applicable to Banking Companies, Non-Banking Financial Companies, Credit Information Companies, and All India Financial Institutions
• [Definition] These Directions shall not be applicable to Local Area Banks and NBFC-Core Investment Companies</t>
        </is>
      </c>
      <c r="N1659" s="11" t="inlineStr">
        <is>
          <t>• [Definition] In the case of foreign banks operating in India through branch mode, reference to the board or board of directors should be read as reference to the controlling office/ head office
• [Definition] Foreign banks operating in India through branch mode shall be subject to a 'comply or explain' approach</t>
        </is>
      </c>
      <c r="O1659" s="11" t="inlineStr">
        <is>
          <t>2. Applicability (a) These Directions shall be applicable to the following entities (collectively referred to as 'regulated entities' or 'REs' in these directions): (i) all Banking Companies, Corresponding New Banks and State Bank of India as defined under subsections (c), (da) and (nc) of section 5 of the Banking Regulation Act, 1949 (collectively referred to as 'commercial banks' hereinafter). (ii) Non-Banking Financial Companies (hereinafter referred to as 'NBFCs') as defined under clause (f) of section 45I of the Reserve Bank of India Act, 1934 and included in the 'Top Layer', 'Upper Layer' and 'Middle Layer' defined in paragraphs 1.5, 1.4 and 1.3 respectively of the Annex to RBI circular DOR.CRE.REC.No.60/03.10.001/2021-22 dated October 22, 2021 on 'Scale Based Regulation (SBR): A Revised Regulatory Framework for NBFCs'. (iii) Credit Information Companies as defined under clause (e) of section 2 of the Credit Information Companies (Regulation) Act, 2005 (hereinafter referred to as 'Credit Information Companies' or 'CICs'). (iv) EXIM Bank, National Bank for Agriculture and Rural Development ('NABARD'), National Bank for Financing Infrastructure and Development ('NaBFID'), National Housing Bank ('NHB') and Small Industries Development Bank of India ('SIDBI') as established by the Export-Import Bank of India Act, 1981; the National Bank for Agriculture and Rural Development Act, 1981; the National Bank For Financing Infrastructure and Development Act, 2021; National Housing Bank Act, 1987 and the Small Industries Development Bank of India Act, 1989 respectively (hereinafter referred to as 'All India Financial Institutions' or 'AIFIs'). (b) These Directions shall not be applicable to: (i) Local Area Banks (ii) NBFC-Core Investment Companies (c) In the case of foreign banks operating in India through branch mode, reference to the board or board of directors in these Directions should be read as reference to the controlling office/ head office which has the oversight over the branch operations in India. Further, such foreign banks shall be subject to a 'comply or explain' approach in terms of the applicability of these Directions.</t>
        </is>
      </c>
      <c r="P1659" s="12" t="n">
        <v>49</v>
      </c>
    </row>
    <row r="1660">
      <c r="A1660" t="inlineStr">
        <is>
          <t>India</t>
        </is>
      </c>
      <c r="B1660" t="inlineStr">
        <is>
          <t>Reserve Bank of India – IT Governance and Cybersecurity Regulatory Framework (including Master Directions and Cyber Security Framework) (India - Row 18)</t>
        </is>
      </c>
      <c r="C1660" t="inlineStr">
        <is>
          <t>3</t>
        </is>
      </c>
      <c r="D1660" s="11" t="inlineStr">
        <is>
          <t>Definitions of key terms</t>
        </is>
      </c>
      <c r="E1660" t="inlineStr">
        <is>
          <t>6–7</t>
        </is>
      </c>
      <c r="F1660" t="inlineStr">
        <is>
          <t>Low</t>
        </is>
      </c>
      <c r="G1660" t="inlineStr">
        <is>
          <t>High (explicit)</t>
        </is>
      </c>
      <c r="H1660" s="11" t="inlineStr"/>
      <c r="I1660" s="11" t="inlineStr"/>
      <c r="J1660" t="inlineStr"/>
      <c r="K1660" s="11" t="inlineStr">
        <is>
          <t>This section provides detailed definitions for terms such as 'Cyber', 'Cyber event', 'Cyber security', 'Cyber incident', 'Cyber-attack', 'De-militarized Zone', 'Information Asset', 'Information System', and 'IT Risk'. It also states that all expressions unless defined have the same meaning as under relevant Acts and Rules.</t>
        </is>
      </c>
      <c r="L1660" s="11" t="inlineStr"/>
      <c r="M1660" s="11" t="inlineStr">
        <is>
          <t>• [Definition] In these Directions, unless the context states otherwise, the terms herein shall bear the meanings assigned to them below</t>
        </is>
      </c>
      <c r="N1660" s="11" t="inlineStr"/>
      <c r="O1660" s="11" t="inlineStr">
        <is>
          <t>3. Definitions2 (a) In these Directions, unless the context states otherwise, the terms herein shall bear the meanings assigned to them below: (i) 'Cyber' - Relating to, within, or through the medium of the interconnected information infrastructure of interactions among persons, processes, data, and information systems. (ii) 'Cyber event' – Any observable occurrence in an information system. Cyber events sometimes provide indication that a cyber incident is occurring. (iii) 'Cyber security' - Preservation of confidentiality, integrity and availability of information and/or information systems through the cyber medium. In addition, other properties, such as authenticity, accountability, non-repudiation and reliability can also be involved. (iv) 'Cyber incident3' shall mean a cyber event that adversely affects the cyber security of an information asset whether resulting from malicious activity or not. (v) 'Cyber-attack' - Malicious attempt(s) to exploit vulnerabilities through the cyber medium to damage, disrupt or gain unauthorized access to assets. (vi) 'De-militarized Zone4' or 'DMZ' is a perimeter network segment that is logically between internal and external networks. (vii) 'Information Asset5' - Any piece of data, device or other component of the environment that supports information-related activities. Information Assets include information system, data, hardware and software. (viii) 'Information System' - Set of applications, services, information technology assets or other information-handling components, which includes the operating environment and networks. (ix) 'IT Risk6' - The business risk associated with the use, ownership, operation, involvement, influence and adoption of IT within an enterprise. (x) 'Privileged user7' refers to user who, by virtue of function, and/or role, has been allocated powers within an information system, which are significantly greater than those available to the majority of users.</t>
        </is>
      </c>
      <c r="P1660" s="12" t="n">
        <v>49</v>
      </c>
    </row>
    <row r="1661">
      <c r="A1661" t="inlineStr">
        <is>
          <t>India</t>
        </is>
      </c>
      <c r="B1661" t="inlineStr">
        <is>
          <t>Reserve Bank of India – IT Governance and Cybersecurity Regulatory Framework (including Master Directions and Cyber Security Framework) (India - Row 18)</t>
        </is>
      </c>
      <c r="C1661" t="inlineStr">
        <is>
          <t>4</t>
        </is>
      </c>
      <c r="D1661" s="11" t="inlineStr">
        <is>
          <t>IT Governance Framework Focus Areas</t>
        </is>
      </c>
      <c r="E1661" t="inlineStr">
        <is>
          <t>7–8</t>
        </is>
      </c>
      <c r="F1661" t="inlineStr">
        <is>
          <t>High</t>
        </is>
      </c>
      <c r="G1661" t="inlineStr">
        <is>
          <t>High (explicit)</t>
        </is>
      </c>
      <c r="H1661" s="11" t="inlineStr">
        <is>
          <t>Governance</t>
        </is>
      </c>
      <c r="I1661" s="11" t="inlineStr">
        <is>
          <t>Personal Information</t>
        </is>
      </c>
      <c r="J1661" t="inlineStr">
        <is>
          <t>Reserve Bank of India</t>
        </is>
      </c>
      <c r="K1661" s="11" t="inlineStr">
        <is>
          <t>This section mandates that banking entities establish an IT Governance Framework covering strategic alignment, risk management, resource management, performance management, and Business Continuity/Disaster Recovery Management. The framework must specify governance structures, roles and responsibilities, and oversight mechanisms to ensure accountability and mitigate IT and cyber risks. These requirements apply to all banking entities operating in India.</t>
        </is>
      </c>
      <c r="L1661" s="11" t="inlineStr">
        <is>
          <t>This section establishes foundational governance structures that impact data transfer by requiring robust oversight of IT and cybersecurity risks, which are critical for ensuring data security during cross-border transfers.</t>
        </is>
      </c>
      <c r="M1661" s="11" t="inlineStr">
        <is>
          <t>• [Must] The key focus areas of IT Governance shall include strategic alignment, risk management, resource management, performance management and Business Continuity/Disaster Recovery Management
• [Must] REs shall put in place a robust IT Governance Framework based on the aforementioned focus areas that inter alia: specifies the governance structure and processes necessary to meet the RE's business/ strategic objectives
• [Must] REs shall put in place a robust IT Governance Framework based on the aforementioned focus areas that inter alia: specifies the roles (including authority) and responsibilities of the Board of Directors (Board) / Board level Committee and Senior Management</t>
        </is>
      </c>
      <c r="N1661" s="11" t="inlineStr">
        <is>
          <t>• [Must] REs shall put in place a robust IT Governance Framework based on the aforementioned focus areas that inter alia: includes adequate oversight mechanisms to ensure accountability and mitigation of IT and cyber/ information security risks
• [Must] Enterprise-wide risk management policy or operational risk management policy shall also incorporate periodic assessment of IT-related risks (both inherent and potential risk)</t>
        </is>
      </c>
      <c r="O1661" s="11" t="inlineStr">
        <is>
          <t>4. IT Governance Framework (a) The key focus areas of IT Governance shall include strategic alignment, risk management, resource management, performance management and Business Continuity/ Disaster Recovery Management. (b) REs shall put in place a robust IT Governance Framework based on the aforementioned focus areas that inter alia: (i) specifies the governance structure and processes necessary to meet the RE's business/ strategic objectives; (ii) specifies the roles (including authority) and responsibilities of the Board of Directors (Board) / Board level Committee and Senior Management; and (iii) includes adequate oversight mechanisms to ensure accountability and mitigation of IT and cyber/ information security risks. (c) Enterprise-wide risk management policy or operational risk management policy shall also incorporate periodic assessment of IT-related risks (both inherent and potential risk).</t>
        </is>
      </c>
      <c r="P1661" s="12" t="n">
        <v>49</v>
      </c>
    </row>
    <row r="1662">
      <c r="A1662" t="inlineStr">
        <is>
          <t>India</t>
        </is>
      </c>
      <c r="B1662" t="inlineStr">
        <is>
          <t>Reserve Bank of India – IT Governance and Cybersecurity Regulatory Framework (including Master Directions and Cyber Security Framework) (India - Row 18)</t>
        </is>
      </c>
      <c r="C1662" t="inlineStr">
        <is>
          <t>5</t>
        </is>
      </c>
      <c r="D1662" s="11" t="inlineStr">
        <is>
          <t>Board Approval of IT Strategies</t>
        </is>
      </c>
      <c r="E1662" t="inlineStr">
        <is>
          <t>8</t>
        </is>
      </c>
      <c r="F1662" t="inlineStr">
        <is>
          <t>High</t>
        </is>
      </c>
      <c r="G1662" t="inlineStr">
        <is>
          <t>High (explicit)</t>
        </is>
      </c>
      <c r="H1662" s="11" t="inlineStr">
        <is>
          <t>Governance</t>
        </is>
      </c>
      <c r="I1662" s="11" t="inlineStr">
        <is>
          <t>Personal Information</t>
        </is>
      </c>
      <c r="J1662" t="inlineStr">
        <is>
          <t>Reserve Bank of India</t>
        </is>
      </c>
      <c r="K1662" s="11" t="inlineStr">
        <is>
          <t>This section requires that the Board of Directors approve IT, Information Assets, Business Continuity, Information Security, and Cyber Security strategies and policies, including Incident Response and Recovery Management. The Board must review these strategies at least annually to ensure ongoing alignment with the institution's objectives and risk management practices.</t>
        </is>
      </c>
      <c r="L1662" s="11" t="inlineStr">
        <is>
          <t>Board approval of IT and cybersecurity strategies ensures that data transfers are aligned with robust security frameworks, critical for cross-border data handling.</t>
        </is>
      </c>
      <c r="M1662" s="11" t="inlineStr">
        <is>
          <t>• [Must] The strategies and policies related to IT, Information Assets, Business Continuity, Information Security, Cyber Security (including Incident Response and Recovery Management/ Cyber Crisis Management) shall be approved by the Board of Directors</t>
        </is>
      </c>
      <c r="N1662" s="11" t="inlineStr">
        <is>
          <t>• [Must] Such strategies and policies shall be reviewed at least annually by the Board</t>
        </is>
      </c>
      <c r="O1662" s="11" t="inlineStr">
        <is>
          <t>5. Role of the Board of Directors (a) The strategies and policies related to IT, Information Assets, Business Continuity, Information Security, Cyber Security (including Incident Response and Recovery Management/ Cyber Crisis Management) shall be approved by the Board of Directors. (b) Such strategies and policies shall be reviewed at least annually by the Board.</t>
        </is>
      </c>
      <c r="P1662" s="12" t="n">
        <v>49</v>
      </c>
    </row>
    <row r="1663">
      <c r="A1663" t="inlineStr">
        <is>
          <t>India</t>
        </is>
      </c>
      <c r="B1663" t="inlineStr">
        <is>
          <t>Reserve Bank of India – IT Governance and Cybersecurity Regulatory Framework (including Master Directions and Cyber Security Framework) (India - Row 18)</t>
        </is>
      </c>
      <c r="C1663" t="inlineStr">
        <is>
          <t>6</t>
        </is>
      </c>
      <c r="D1663" s="11" t="inlineStr">
        <is>
          <t>Board-Level IT Strategy Committee Requirements</t>
        </is>
      </c>
      <c r="E1663" t="inlineStr">
        <is>
          <t>8–9</t>
        </is>
      </c>
      <c r="F1663" t="inlineStr">
        <is>
          <t>High</t>
        </is>
      </c>
      <c r="G1663" t="inlineStr">
        <is>
          <t>High (explicit)</t>
        </is>
      </c>
      <c r="H1663" s="11" t="inlineStr">
        <is>
          <t>Governance</t>
        </is>
      </c>
      <c r="I1663" s="11" t="inlineStr">
        <is>
          <t>Personal Information</t>
        </is>
      </c>
      <c r="J1663" t="inlineStr">
        <is>
          <t>Reserve Bank of India</t>
        </is>
      </c>
      <c r="K1663" s="11" t="inlineStr">
        <is>
          <t>This section mandates that banking entities establish a Board-level IT Strategy Committee with minimum three directors, including an independent chair with substantial IT expertise and technically competent members. The committee must meet quarterly and ensure strategic IT planning, alignment with business objectives, effective risk management, and annual review of business continuity planning.</t>
        </is>
      </c>
      <c r="L1663" s="11" t="inlineStr">
        <is>
          <t>The IT Strategy Committee ensures that data transfer mechanisms align with robust business continuity and risk management practices, critical for cross-border data operations.</t>
        </is>
      </c>
      <c r="M1663" s="11" t="inlineStr">
        <is>
          <t>• [Must] REs shall establish a Board-level IT Strategy Committee (ITSC)
• [Must] While constituting the ITSC, REs shall ensure: Minimum of three directors as members
• [Must] While constituting the ITSC, REs shall ensure: The Chairperson of the ITSC shall be an independent director and have substantial IT expertise in managing/ guiding information technology initiatives
• [Must] While constituting the ITSC, REs shall ensure: Members are technically competent
• [Must] The ITSC shall meet at least on a quarterly basis
• [Must] The ITSC shall ensure that the RE has put an effective IT strategic planning process in place</t>
        </is>
      </c>
      <c r="N1663" s="11" t="inlineStr">
        <is>
          <t>• [Must] The ITSC shall guide in preparation of IT Strategy and ensure that the IT Strategy aligns with the overall strategy of the RE towards accomplishment of its business objectives
• [Must] The ITSC shall satisfy itself that the IT Governance and Information Security Governance structure fosters accountability, is effective and efficient, has adequate skilled resources, well defined objectives and unambiguous responsibilities for each level in the organisation
• [Must] The ITSC shall ensure that the RE has put in place processes for assessing and managing IT and cybersecurity risks
• [Must] The ITSC shall ensure that the budgetary allocations for the IT function (including for IT security), cyber security are commensurate with the RE's IT maturity, digital depth, threat environment and industry standards and are utilised in a manner intended for meeting the stated objectives
• [Must] The ITSC shall review, at least on annual basis, the adequacy and effectiveness of the Business Continuity Planning and Disaster Recovery Management of the RE</t>
        </is>
      </c>
      <c r="O1663" s="11" t="inlineStr">
        <is>
          <t>6. IT Strategy Committee of the Board (a) REs shall establish a Board-level IT Strategy Committee (ITSC). (b) While constituting the ITSC, REs shall ensure: (i) Minimum of three directors as members; (ii) The Chairperson of the ITSC shall be an independent director and have substantial IT expertise in managing/ guiding information technology initiatives; and (iii) Members are technically competent. (c) The ITSC shall meet at least on a quarterly basis. (d) The ITSC shall: (i) Ensure that the RE has put an effective IT strategic planning process in place; (ii) Guide in preparation of IT Strategy and ensure that the IT Strategy aligns with the overall strategy of the RE towards accomplishment of its business objectives; (iii) Satisfy itself that the IT Governance and Information Security Governance structure fosters accountability, is effective and efficient, has adequate skilled resources, well defined objectives and unambiguous responsibilities for each level in the organisation; (iv) Ensure that the RE has put in place processes for assessing and managing IT and cybersecurity risks; (v) Ensure that the budgetary allocations for the IT function (including for IT security), cyber security are commensurate with the RE's IT maturity, digital depth, threat environment and industry standards and are utilised in a manner intended for meeting the stated objectives; and (vi) Review, at least on annual basis, the adequacy and effectiveness of the Business Continuity Planning and Disaster Recovery Management of the RE.</t>
        </is>
      </c>
      <c r="P1663" s="12" t="n">
        <v>49</v>
      </c>
    </row>
    <row r="1664">
      <c r="A1664" t="inlineStr">
        <is>
          <t>India</t>
        </is>
      </c>
      <c r="B1664" t="inlineStr">
        <is>
          <t>Reserve Bank of India – IT Governance and Cybersecurity Regulatory Framework (including Master Directions and Cyber Security Framework) (India - Row 18)</t>
        </is>
      </c>
      <c r="C1664" t="inlineStr">
        <is>
          <t>7</t>
        </is>
      </c>
      <c r="D1664" s="11" t="inlineStr">
        <is>
          <t>Senior Management and IT Steering Committee</t>
        </is>
      </c>
      <c r="E1664" t="inlineStr">
        <is>
          <t>9–10</t>
        </is>
      </c>
      <c r="F1664" t="inlineStr">
        <is>
          <t>High</t>
        </is>
      </c>
      <c r="G1664" t="inlineStr">
        <is>
          <t>High (explicit)</t>
        </is>
      </c>
      <c r="H1664" s="11" t="inlineStr">
        <is>
          <t>Governance</t>
        </is>
      </c>
      <c r="I1664" s="11" t="inlineStr">
        <is>
          <t>Personal Information</t>
        </is>
      </c>
      <c r="J1664" t="inlineStr">
        <is>
          <t>Reserve Bank of India</t>
        </is>
      </c>
      <c r="K1664" s="11" t="inlineStr">
        <is>
          <t>This section requires that senior management ensure effective IT strategy execution, operational resilience, risk management, and cyber security posture. Banking entities must establish an IT Steering Committee to oversee business continuity, IT architecture compliance, and quarterly reviews of IT activities.</t>
        </is>
      </c>
      <c r="L1664" s="11" t="inlineStr">
        <is>
          <t>Senior management oversight ensures data transfer mechanisms are resilient and compliant, critical for maintaining data integrity during cross-border transfers.</t>
        </is>
      </c>
      <c r="M1664" s="11" t="inlineStr">
        <is>
          <t>• [Must] The Senior Management of the RE shall, inter alia, ensure: Execution of the IT Strategy approved by the Board
• [Must] The Senior Management of the RE shall, inter alia, ensure: IT/ IS and their support infrastructure are functioning effectively and efficiently
• [Must] The Senior Management of the RE shall, inter alia, ensure: Necessary IT risk management processes are in place and create a culture of IT risk awareness and cyber hygiene practices in the RE
• [Must] The Senior Management of the RE shall, inter alia, ensure: Cyber security posture of the RE is robust
• [Must] The Senior Management of the RE shall, inter alia, ensure: Overall, IT contributes to productivity, effectiveness and efficiency in business operations
• [Must] REs shall establish an IT Steering Committee with representation at Senior Management level from IT and business functions</t>
        </is>
      </c>
      <c r="N1664" s="11" t="inlineStr">
        <is>
          <t>• [Must] The responsibilities of IT Steering Committee, inter alia, shall be to: Assist the ITSC in strategic IT planning, oversight of IT performance, and aligning IT activities with business needs
• [Must] The responsibilities of IT Steering Committee, inter alia, shall be to: Oversee the processes put in place for business continuity and disaster recovery
• [Must] The responsibilities of IT Steering Committee, inter alia, shall be to: Ensure implementation of a robust IT architecture meeting statutory and regulatory compliance
• [Must] The responsibilities of IT Steering Committee, inter alia, shall be to: Update ITSC and CEO periodically on the activities of IT Steering Committee
• [Must] The IT Steering Committee shall meet at least on a quarterly basis</t>
        </is>
      </c>
      <c r="O1664" s="11" t="inlineStr">
        <is>
          <t>7. Senior Management and IT Steering Committee (a) The Senior Management of the RE shall, inter alia, ensure: (i) Execution of the IT Strategy approved by the Board; (ii) IT/ IS and their support infrastructure are functioning effectively and efficiently; (iii) Necessary IT risk management processes are in place and create a culture of IT risk awareness and cyber hygiene practices in the RE; (iv) Cyber security posture of the RE is robust; and (v) Overall, IT contributes to productivity, effectiveness and efficiency in business operations. (b) REs shall establish an IT Steering Committee with representation at Senior Management level from IT and business functions. (c) The responsibilities of IT Steering Committee, inter alia, shall be to: (i) Assist the ITSC in strategic IT planning, oversight of IT performance, and aligning IT activities with business needs; (ii) Oversee the processes put in place for business continuity and disaster recovery; (iii) Ensure implementation of a robust IT architecture meeting statutory and regulatory compliance; and (iv) Update ITSC and CEO periodically on the activities of IT Steering Committee. (d) The IT Steering Committee shall meet at least on a quarterly basis.</t>
        </is>
      </c>
      <c r="P1664" s="12" t="n">
        <v>49</v>
      </c>
    </row>
    <row r="1665">
      <c r="A1665" t="inlineStr">
        <is>
          <t>India</t>
        </is>
      </c>
      <c r="B1665" t="inlineStr">
        <is>
          <t>Reserve Bank of India – IT Governance and Cybersecurity Regulatory Framework (including Master Directions and Cyber Security Framework) (India - Row 18)</t>
        </is>
      </c>
      <c r="C1665" t="inlineStr">
        <is>
          <t>8</t>
        </is>
      </c>
      <c r="D1665" s="11" t="inlineStr">
        <is>
          <t>Head of IT Function Responsibilities</t>
        </is>
      </c>
      <c r="E1665" t="inlineStr">
        <is>
          <t>10–11</t>
        </is>
      </c>
      <c r="F1665" t="inlineStr">
        <is>
          <t>High</t>
        </is>
      </c>
      <c r="G1665" t="inlineStr">
        <is>
          <t>High (explicit)</t>
        </is>
      </c>
      <c r="H1665" s="11" t="inlineStr">
        <is>
          <t>Governance</t>
        </is>
      </c>
      <c r="I1665" s="11" t="inlineStr">
        <is>
          <t>Personal Information</t>
        </is>
      </c>
      <c r="J1665" t="inlineStr">
        <is>
          <t>Reserve Bank of India</t>
        </is>
      </c>
      <c r="K1665" s="11" t="inlineStr">
        <is>
          <t>This section requires banking entities to appoint a sufficiently senior, technically competent Head of IT Function responsible for aligning IT projects with strategy, ensuring effective organizational structures, and implementing disaster recovery strategies. The Head must also manage IT controls and risks to secure information assets and comply with regulatory requirements.</t>
        </is>
      </c>
      <c r="L1665" s="11" t="inlineStr">
        <is>
          <t>The Head of IT Function ensures data transfer mechanisms are secure and compliant, critical for maintaining data integrity across borders.</t>
        </is>
      </c>
      <c r="M1665" s="11" t="inlineStr">
        <is>
          <t>• [Must] REs shall appoint a sufficiently senior level, technically competent and experienced official in IT related aspects as Head of IT Function
• [Must] The Head of IT Function shall, inter alia, be responsible for the following: Ensuring that the execution of IT projects/ initiatives is aligned with the RE's IT Policy and IT Strategy
• [Must] The Head of IT Function shall, inter alia, be responsible for the following: Ensuring that there is an effective organisational structure to support IT functions in the RE</t>
        </is>
      </c>
      <c r="N1665" s="11" t="inlineStr">
        <is>
          <t>• [Must] The Head of IT Function shall, inter alia, be responsible for the following: Putting in place an effective disaster recovery setup and business continuity strategy/ plan
• [Must] As a first line of defence, the Head of IT Function shall ensure effective assessment, evaluation and management of IT controls and IT risk, including the implementation of robust internal controls, to (i) secure the RE's information assets (ii) comply with extant internal policies, regulatory and legal requirements on IT related aspects</t>
        </is>
      </c>
      <c r="O1665" s="11" t="inlineStr">
        <is>
          <t>8. Head of IT Function (a) REs shall appoint a sufficiently senior level, technically competent and experienced official in IT related aspects as Head of IT Function. (b) The Head of IT Function shall, inter alia, be responsible for the following: (i) Ensuring that the execution of IT projects/ initiatives is aligned with the RE's IT Policy and IT Strategy; (ii) Ensuring that there is an effective organisational structure to support IT functions in the RE; and (iii) Putting in place an effective disaster recovery setup and business continuity strategy/ plan. (c) As a first line of defence, the Head of IT Function shall ensure effective assessment, evaluation and management of IT controls and IT risk, including the implementation of robust internal controls, to (i) secure the RE's information assets (ii) comply with extant internal policies, regulatory and legal requirements on IT related aspects.</t>
        </is>
      </c>
      <c r="P1665" s="12" t="n">
        <v>49</v>
      </c>
    </row>
    <row r="1666">
      <c r="A1666" t="inlineStr">
        <is>
          <t>India</t>
        </is>
      </c>
      <c r="B1666" t="inlineStr">
        <is>
          <t>Reserve Bank of India – IT Governance and Cybersecurity Regulatory Framework (including Master Directions and Cyber Security Framework) (India - Row 18)</t>
        </is>
      </c>
      <c r="C1666" t="inlineStr">
        <is>
          <t>9</t>
        </is>
      </c>
      <c r="D1666" s="11" t="inlineStr">
        <is>
          <t>IT Services Management Framework</t>
        </is>
      </c>
      <c r="E1666" t="inlineStr">
        <is>
          <t>11</t>
        </is>
      </c>
      <c r="F1666" t="inlineStr">
        <is>
          <t>High</t>
        </is>
      </c>
      <c r="G1666" t="inlineStr">
        <is>
          <t>High (explicit)</t>
        </is>
      </c>
      <c r="H1666" s="11" t="inlineStr">
        <is>
          <t>Governance</t>
        </is>
      </c>
      <c r="I1666" s="11" t="inlineStr">
        <is>
          <t>Personal Information</t>
        </is>
      </c>
      <c r="J1666" t="inlineStr">
        <is>
          <t>Reserve Bank of India</t>
        </is>
      </c>
      <c r="K1666" s="11" t="inlineStr">
        <is>
          <t>This section mandates banking entities to implement a robust IT Service Management Framework ensuring operational resilience, including Service Level Management processes, security classification of information assets, and technology refresh plans to avoid outdated hardware/software. It requires monitoring end-of-support dates and annual maintenance contracts for IT infrastructure.</t>
        </is>
      </c>
      <c r="L1666" s="11" t="inlineStr">
        <is>
          <t>IT Services Management ensures data transfer mechanisms are resilient and up-to-date, critical for maintaining data security during cross-border transfers.</t>
        </is>
      </c>
      <c r="M1666" s="11" t="inlineStr">
        <is>
          <t>• [Must] REs shall put in place a robust IT Service Management Framework for supporting their information systems and infrastructure to ensure the operational resilience of their entire IT environment (including DR sites)
• [Must] A Service Level Management (SLM) process shall be put in place to manage the IT operations while ensuring effective segregation of duties
• [Must] REs shall ensure identification and mapping of the security classification (in terms of Confidentiality, Integrity, and Availability) of information assets based on their criticality to the REs' operations</t>
        </is>
      </c>
      <c r="N1666" s="11" t="inlineStr">
        <is>
          <t>• [Must] For seamless continuity of business operations, REs shall avoid using outdated and unsupported hardware or software and shall monitor software's end-of-support (EOS) date and Annual Maintenance Contract (AMC) dates of IT hardware on an ongoing basis
• [Must] REs shall develop a technology refresh plan for the replacement of hardware and software in a timely manner before they reach EOS</t>
        </is>
      </c>
      <c r="O1666" s="11" t="inlineStr">
        <is>
          <t>9. IT Services Management (a) REs shall put in place a robust IT Service Management Framework for supporting their information systems and infrastructure to ensure the operational resilience of their entire IT environment (including DR sites). (b) A Service Level Management (SLM) process shall be put in place to manage the IT operations while ensuring effective segregation of duties. (c) REs shall ensure identification and mapping of the security classification (in terms of Confidentiality, Integrity, and Availability) of information assets based on their criticality to the REs' operations. (d) For seamless continuity of business operations, REs shall avoid using outdated and unsupported hardware or software and shall monitor software's end-of-support (EOS) date and Annual Maintenance Contract (AMC) dates of IT hardware on an ongoing basis. (e) REs shall develop a technology refresh plan for the replacement of hardware and software in a timely manner before they reach EOS.</t>
        </is>
      </c>
      <c r="P1666" s="12" t="n">
        <v>49</v>
      </c>
    </row>
    <row r="1667">
      <c r="A1667" t="inlineStr">
        <is>
          <t>India</t>
        </is>
      </c>
      <c r="B1667" t="inlineStr">
        <is>
          <t>Reserve Bank of India – IT Governance and Cybersecurity Regulatory Framework (including Master Directions and Cyber Security Framework) (India - Row 18)</t>
        </is>
      </c>
      <c r="C1667" t="inlineStr">
        <is>
          <t>10</t>
        </is>
      </c>
      <c r="D1667" s="11" t="inlineStr">
        <is>
          <t>Third-party vendor risk management for IT services</t>
        </is>
      </c>
      <c r="E1667" t="inlineStr">
        <is>
          <t>11–12</t>
        </is>
      </c>
      <c r="F1667" t="inlineStr">
        <is>
          <t>High</t>
        </is>
      </c>
      <c r="G1667" t="inlineStr">
        <is>
          <t>High (explicit)</t>
        </is>
      </c>
      <c r="H1667" s="11" t="inlineStr">
        <is>
          <t>Third Party Processing, Data Sharing, Security</t>
        </is>
      </c>
      <c r="I1667" s="11" t="inlineStr">
        <is>
          <t>Personal Information</t>
        </is>
      </c>
      <c r="J1667" t="inlineStr">
        <is>
          <t>Reserve Bank of India</t>
        </is>
      </c>
      <c r="K1667" s="11" t="inlineStr">
        <is>
          <t>Reserve Bank of India (REs) must implement vendor risk assessment processes for third-party arrangements outside specific outsourcing directions. These processes must address concentration risk, conflicts of interest, single point of failure risks, compliance with data protection laws, high availability requirements, and supply chain risk management. The requirements apply to all REs handling IT services.</t>
        </is>
      </c>
      <c r="L1667" s="11" t="inlineStr">
        <is>
          <t>Requires REs to assess and mitigate third-party risks before transferring data across borders through vendors, directly impacting cross-border data transfer impact assessments.</t>
        </is>
      </c>
      <c r="M1667" s="11" t="inlineStr">
        <is>
          <t>• [Must] REs must implement vendor risk assessment process proportionate to risk and materiality
• [Must] REs must mitigate concentration risk
• [Must] REs must eliminate or address conflicts of interest
• [Must] REs must mitigate risks associated with single point of failure</t>
        </is>
      </c>
      <c r="N1667" s="11" t="inlineStr">
        <is>
          <t>• [Must] REs must comply with legal and regulatory requirements to protect customer data
• [Must] REs must provide high availability for uninterrupted customer service
• [Must] REs must manage supply chain risks effectively</t>
        </is>
      </c>
      <c r="O1667" s="11" t="inlineStr">
        <is>
          <t>REs shall, put in place appropriate vendor risk assessment process and controls proportionate to the assessed risk and materiality to, inter alia: mitigate concentration risk; eliminate or address any conflict of interests; mitigate risks associated with single point of failure; comply with applicable legal, regulatory requirements and standards to protect customer data; provide high availability (for uninterrupted customer service); and manage supply chain risks effectively.</t>
        </is>
      </c>
      <c r="P1667" s="12" t="n">
        <v>49</v>
      </c>
    </row>
    <row r="1668">
      <c r="A1668" t="inlineStr">
        <is>
          <t>India</t>
        </is>
      </c>
      <c r="B1668" t="inlineStr">
        <is>
          <t>Reserve Bank of India – IT Governance and Cybersecurity Regulatory Framework (including Master Directions and Cyber Security Framework) (India - Row 18)</t>
        </is>
      </c>
      <c r="C1668" t="inlineStr">
        <is>
          <t>11</t>
        </is>
      </c>
      <c r="D1668" s="11" t="inlineStr">
        <is>
          <t>IT capacity planning and resource management</t>
        </is>
      </c>
      <c r="E1668" t="inlineStr">
        <is>
          <t>12</t>
        </is>
      </c>
      <c r="F1668" t="inlineStr">
        <is>
          <t>High</t>
        </is>
      </c>
      <c r="G1668" t="inlineStr">
        <is>
          <t>High (explicit)</t>
        </is>
      </c>
      <c r="H1668" s="11" t="inlineStr">
        <is>
          <t>Data Storage, Processing</t>
        </is>
      </c>
      <c r="I1668" s="11" t="inlineStr">
        <is>
          <t>Financial Data</t>
        </is>
      </c>
      <c r="J1668" t="inlineStr">
        <is>
          <t>Reserve Bank of India</t>
        </is>
      </c>
      <c r="K1668" s="11" t="inlineStr">
        <is>
          <t>Reserve Bank of India (REs) must ensure IT systems support business functions and service delivery channels. REs must annually assess IT capacity requirements, aligning with past trends, current business needs, and future projections. IT capacity planning must be reviewed by the ITSC to ensure consistency with the RE's IT strategy.</t>
        </is>
      </c>
      <c r="L1668" s="11" t="inlineStr">
        <is>
          <t>Ensures IT capacity planning aligns with business needs and regulatory requirements, critical for data storage and processing across borders without service disruptions.</t>
        </is>
      </c>
      <c r="M1668" s="11" t="inlineStr">
        <is>
          <t>• [Must] REs must ensure information systems support business functions and service delivery channels
• [Must] REs must annually assess IT capacity requirements
• [Must] REs must ensure IT capacity planning aligns with past trends, current business needs, and future projections</t>
        </is>
      </c>
      <c r="N1668" s="11" t="inlineStr">
        <is>
          <t>• [Must] REs must have IT capacity planning consistent with RE's IT strategy
• [Must] IT capacity requirements and measures must be reviewed by ITSC</t>
        </is>
      </c>
      <c r="O1668" s="11" t="inlineStr">
        <is>
          <t>REs shall ensure that information systems and infrastructure are able to support business functions and ensure availability of all service delivery channels. On an annual or more frequent basis, REs shall proactively assess capacity requirement of IT resources. REs shall ensure that IT capacity planning across components, services, system resources, supporting infrastructure is consistent with past trends (peak usage), the current business requirements and projected future needs as per the IT strategy of the RE. The assessment of IT capacity requirements and measures taken to address the issues shall be reviewed by the ITSC.</t>
        </is>
      </c>
      <c r="P1668" s="12" t="n">
        <v>49</v>
      </c>
    </row>
    <row r="1669">
      <c r="A1669" t="inlineStr">
        <is>
          <t>India</t>
        </is>
      </c>
      <c r="B1669" t="inlineStr">
        <is>
          <t>Reserve Bank of India – IT Governance and Cybersecurity Regulatory Framework (including Master Directions and Cyber Security Framework) (India - Row 18)</t>
        </is>
      </c>
      <c r="C1669" t="inlineStr">
        <is>
          <t>12</t>
        </is>
      </c>
      <c r="D1669" s="11" t="inlineStr">
        <is>
          <t>IT project management and application security</t>
        </is>
      </c>
      <c r="E1669" t="inlineStr">
        <is>
          <t>12–13</t>
        </is>
      </c>
      <c r="F1669" t="inlineStr">
        <is>
          <t>High</t>
        </is>
      </c>
      <c r="G1669" t="inlineStr">
        <is>
          <t>High (explicit)</t>
        </is>
      </c>
      <c r="H1669" s="11" t="inlineStr">
        <is>
          <t>Security, Data Sharing</t>
        </is>
      </c>
      <c r="I1669" s="11" t="inlineStr">
        <is>
          <t>Financial Data</t>
        </is>
      </c>
      <c r="J1669" t="inlineStr">
        <is>
          <t>Reserve Bank of India</t>
        </is>
      </c>
      <c r="K1669" s="11" t="inlineStr">
        <is>
          <t>Reserve Bank of India (REs) must follow formal project management approaches for IT projects, including stakeholder participation for risk monitoring. REs must adopt new technologies aligned with risk appetite and business strategy, maintain enterprise data dictionaries, ensure software vendor support through formal agreements, obtain source codes or escrow arrangements, and verify application security through vulnerability certificates.</t>
        </is>
      </c>
      <c r="L1669" s="11" t="inlineStr">
        <is>
          <t>Requires REs to implement robust project management and security controls for IT applications, directly impacting data transfer and processing security across borders.</t>
        </is>
      </c>
      <c r="M1669" s="11" t="inlineStr">
        <is>
          <t>• [Must] REs must follow consistent and formally defined project management approach for IT projects
• [Must] REs must enable stakeholder participation for effective monitoring and management of project risks and progress
• [Must] REs must follow standard enterprise architecture planning methodology when adopting new technologies
• [Must] Adoption of new technologies must align with RE's risk appetite and business strategy
• [Must] REs must maintain enterprise data dictionary for data sharing and common understanding
• [Must] REs must ensure software vendors provide maintenance and support through formal agreements</t>
        </is>
      </c>
      <c r="N1669" s="11" t="inlineStr">
        <is>
          <t>• [Must] REs must obtain source codes for critical applications from vendors
• [Must] REs must implement source code escrow arrangements if source code cannot be obtained
• [Must] REs must ensure product updates and fixes are included in source code escrow arrangements
• [Must] REs must obtain certificate of application free of known vulnerabilities, malware, and covert channels
• [Must] REs must obtain certificate whenever material changes to code occur
• [Must] REs must subject new IT applications to product approval and quality assurance process</t>
        </is>
      </c>
      <c r="O1669" s="11" t="inlineStr">
        <is>
          <t>REs shall follow a consistent and formally defined project management approach for IT projects undertaken by them. The project management approach shall, inter alia, enable appropriate stakeholder participation for effective monitoring and management of project risks and progress. While adopting new or emerging technologies, tools, or revamping their existing ones in the technology stack, REs shall follow a standard enterprise architecture planning methodology or framework. Adoption of new or emerging technologies shall be commensurate with the risk appetite and align with overall Business/ IT strategy of the RE. It should facilitate optimal creation, use, or sharing of information by a business in a secure and resilient way. REs shall maintain enterprise data dictionary to enable the sharing of data among applications and information systems and promote a common understanding of data. REs shall ensure that maintenance and necessary support of software applications is provided by the software vendors and the same is enforced through formal agreement. REs shall obtain the source codes for all critical applications from their vendors. Where obtaining of the source code is not possible, REs shall put in place a source code escrow arrangement or other arrangements to adequately mitigate the risk of default by the vendor. REs shall ensure that all product updates and programme fixes are included in the source code escrow arrangement. REs shall obtain a certificate or a written confirmation from the application developer or vendor stating that the application is free of known vulnerabilities, malware, and any covert channels in the code. Such a certificate or a written confirmation shall also be obtained whenever material changes to the code, including upgrades, occur. Any new IT application proposed to be introduced as a business product shall be subjected to product approval and quality assurance process.</t>
        </is>
      </c>
      <c r="P1669" s="12" t="n">
        <v>49</v>
      </c>
    </row>
    <row r="1670">
      <c r="A1670" t="inlineStr">
        <is>
          <t>India</t>
        </is>
      </c>
      <c r="B1670" t="inlineStr">
        <is>
          <t>Reserve Bank of India – IT Governance and Cybersecurity Regulatory Framework (including Master Directions and Cyber Security Framework) (India - Row 18)</t>
        </is>
      </c>
      <c r="C1670" t="inlineStr">
        <is>
          <t>13</t>
        </is>
      </c>
      <c r="D1670" s="11" t="inlineStr">
        <is>
          <t>Change and patch management procedures</t>
        </is>
      </c>
      <c r="E1670" t="inlineStr">
        <is>
          <t>13</t>
        </is>
      </c>
      <c r="F1670" t="inlineStr">
        <is>
          <t>High</t>
        </is>
      </c>
      <c r="G1670" t="inlineStr">
        <is>
          <t>High (explicit)</t>
        </is>
      </c>
      <c r="H1670" s="11" t="inlineStr">
        <is>
          <t>Security</t>
        </is>
      </c>
      <c r="I1670" s="11" t="inlineStr">
        <is>
          <t>Financial Data</t>
        </is>
      </c>
      <c r="J1670" t="inlineStr">
        <is>
          <t>Reserve Bank of India</t>
        </is>
      </c>
      <c r="K1670" s="11" t="inlineStr">
        <is>
          <t>Reserve Bank of India (REs) must implement documented change and patch management policies to assess business impact, ensure secure and timely implementation with approvals, justify changes through business needs, and establish recovery mechanisms for failed deployments.</t>
        </is>
      </c>
      <c r="L1670" s="11" t="inlineStr">
        <is>
          <t>Requires REs to manage changes and patches securely to prevent data breaches during cross-border data transfers, critical for DTIA compliance.</t>
        </is>
      </c>
      <c r="M1670" s="11" t="inlineStr">
        <is>
          <t>• [Must] REs must assess business impact of implementing patches or changes
• [Must] REs must apply and review patches/changes securely and timely with necessary approvals</t>
        </is>
      </c>
      <c r="N1670" s="11" t="inlineStr">
        <is>
          <t>• [Must] Changes to applications must be justified by genuine business needs and approved with documentation
• [Must] REs must establish mechanism to recover from failed changes or patch deployments</t>
        </is>
      </c>
      <c r="O1670" s="11" t="inlineStr">
        <is>
          <t>REs shall put in place documented policy(ies) and procedures for change and patch management to ensure the following: the business impact of implementing patches/ changes (or not implementing a particular patch/ change request) are assessed; the patches/ changes are applied/ implemented and reviewed in a secure and timely manner with necessary approvals; any changes to an application system or data are justified by genuine business needs and approvals supported by documentation and subjected to a robust change management process; and mechanism is established to recover from failed changes/ patch deployment or unexpected results.</t>
        </is>
      </c>
      <c r="P1670" s="12" t="n">
        <v>49</v>
      </c>
    </row>
    <row r="1671">
      <c r="A1671" t="inlineStr">
        <is>
          <t>India</t>
        </is>
      </c>
      <c r="B1671" t="inlineStr">
        <is>
          <t>Reserve Bank of India – IT Governance and Cybersecurity Regulatory Framework (including Master Directions and Cyber Security Framework) (India - Row 18)</t>
        </is>
      </c>
      <c r="C1671" t="inlineStr">
        <is>
          <t>14</t>
        </is>
      </c>
      <c r="D1671" s="11" t="inlineStr">
        <is>
          <t>Data migration policies and integrity controls</t>
        </is>
      </c>
      <c r="E1671" t="inlineStr">
        <is>
          <t>13–14</t>
        </is>
      </c>
      <c r="F1671" t="inlineStr">
        <is>
          <t>High</t>
        </is>
      </c>
      <c r="G1671" t="inlineStr">
        <is>
          <t>High (explicit)</t>
        </is>
      </c>
      <c r="H1671" s="11" t="inlineStr"/>
      <c r="I1671" s="11" t="inlineStr">
        <is>
          <t>Financial Data</t>
        </is>
      </c>
      <c r="J1671" t="inlineStr">
        <is>
          <t>Reserve Bank of India</t>
        </is>
      </c>
      <c r="K1671" s="11" t="inlineStr">
        <is>
          <t>Reserve Bank of India (REs) must have documented data migration policies ensuring data integrity, completeness, and consistency. The policies must include signoffs from business users and application owners at each migration stage and maintenance of audit trails.</t>
        </is>
      </c>
      <c r="L1671" s="11" t="inlineStr">
        <is>
          <t>Ensures data migration across borders maintains integrity and consistency, critical for DTIA compliance when transferring data internationally.</t>
        </is>
      </c>
      <c r="M1671" s="11" t="inlineStr">
        <is>
          <t>• [Must] REs must have documented data migration policy specifying systematic process for data migration
• [Must] REs must ensure data integrity, completeness and consistency during migration</t>
        </is>
      </c>
      <c r="N1671" s="11" t="inlineStr">
        <is>
          <t>• [Must] REs must obtain signoffs from business users and application owners at each migration stage
• [Must] REs must maintain audit trails during data migration</t>
        </is>
      </c>
      <c r="O1671" s="11" t="inlineStr">
        <is>
          <t>REs shall have a documented data migration policy specifying a systematic process for data migration, ensuring data integrity, completeness and consistency. The policy shall, inter alia, contain provisions pertaining to signoffs from business users and application owners at each stage of migration, maintenance of audit trails, etc.</t>
        </is>
      </c>
      <c r="P1671" s="12" t="n">
        <v>49</v>
      </c>
    </row>
    <row r="1672">
      <c r="A1672" t="inlineStr">
        <is>
          <t>India</t>
        </is>
      </c>
      <c r="B1672" t="inlineStr">
        <is>
          <t>Reserve Bank of India – IT Governance and Cybersecurity Regulatory Framework (including Master Directions and Cyber Security Framework) (India - Row 18)</t>
        </is>
      </c>
      <c r="C1672" t="inlineStr">
        <is>
          <t>15</t>
        </is>
      </c>
      <c r="D1672" s="11" t="inlineStr">
        <is>
          <t>Audit trail requirements for critical systems</t>
        </is>
      </c>
      <c r="E1672" t="inlineStr">
        <is>
          <t>14</t>
        </is>
      </c>
      <c r="F1672" t="inlineStr">
        <is>
          <t>High</t>
        </is>
      </c>
      <c r="G1672" t="inlineStr">
        <is>
          <t>High (explicit)</t>
        </is>
      </c>
      <c r="H1672" s="11" t="inlineStr">
        <is>
          <t>Security, Incident Reporting</t>
        </is>
      </c>
      <c r="I1672" s="11" t="inlineStr">
        <is>
          <t>Financial Data</t>
        </is>
      </c>
      <c r="J1672" t="inlineStr">
        <is>
          <t>Reserve Bank of India</t>
        </is>
      </c>
      <c r="K1672" s="11" t="inlineStr">
        <is>
          <t>Reserve Bank of India (REs) must implement audit and logging capabilities for all IT applications accessing critical or sensitive information. Audit trails must be detailed enough for forensic evidence, dispute resolution, and non-repudiation. REs must monitor audit trails regularly to detect unauthorized activity.</t>
        </is>
      </c>
      <c r="L1672" s="11" t="inlineStr">
        <is>
          <t>Requires robust audit trails for cross-border data transfers to ensure accountability and detect unauthorized access, directly impacting DTIA compliance.</t>
        </is>
      </c>
      <c r="M1672" s="11" t="inlineStr">
        <is>
          <t>• [Must] Every IT application accessing critical or sensitive information must have necessary audit and system logging capability
• [Must] Audit trails must satisfy business requirements apart from regulatory and legal requirements</t>
        </is>
      </c>
      <c r="N1672" s="11" t="inlineStr">
        <is>
          <t>• [Must] Audit trails must be detailed enough for forensic evidence, dispute resolution, and non-repudiation
• [Must] REs must monitor audit trails and system logs regularly to detect unauthorized activity</t>
        </is>
      </c>
      <c r="O1672" s="11" t="inlineStr">
        <is>
          <t>Every IT application which can access or affect critical or sensitive information, shall have necessary audit and system logging capability and should provide audit trails. The audit trails shall satisfy a RE's business requirements apart from regulatory and legal requirements. The audit trails must be detailed enough to facilitate the conduct of audit, serve as forensic evidence when required and assist in dispute resolution, including for non-repudiation purposes. REs shall put in place a system for regularly monitoring the audit trails and system logs to detect any unauthorised activity.</t>
        </is>
      </c>
      <c r="P1672" s="12" t="n">
        <v>49</v>
      </c>
    </row>
    <row r="1673">
      <c r="A1673" t="inlineStr">
        <is>
          <t>India</t>
        </is>
      </c>
      <c r="B1673" t="inlineStr">
        <is>
          <t>Reserve Bank of India – IT Governance and Cybersecurity Regulatory Framework (including Master Directions and Cyber Security Framework) (India - Row 18)</t>
        </is>
      </c>
      <c r="C1673" t="inlineStr">
        <is>
          <t>16</t>
        </is>
      </c>
      <c r="D1673" s="11" t="inlineStr">
        <is>
          <t>Cryptographic controls for secure data transmission</t>
        </is>
      </c>
      <c r="E1673" t="inlineStr">
        <is>
          <t>14</t>
        </is>
      </c>
      <c r="F1673" t="inlineStr">
        <is>
          <t>High</t>
        </is>
      </c>
      <c r="G1673" t="inlineStr">
        <is>
          <t>High (explicit)</t>
        </is>
      </c>
      <c r="H1673" s="11" t="inlineStr">
        <is>
          <t>Security, Encryption, Access Control</t>
        </is>
      </c>
      <c r="I1673" s="11" t="inlineStr">
        <is>
          <t>Financial Data</t>
        </is>
      </c>
      <c r="J1673" t="inlineStr">
        <is>
          <t>Reserve Bank of India</t>
        </is>
      </c>
      <c r="K1673" s="11" t="inlineStr">
        <is>
          <t>Financial institutions must use strong cryptographic standards for data transmission, processing and authentication. They must adopt internationally accepted, non-deprecated algorithms and protocols that comply with existing laws and regulatory instructions. These controls ensure data security during critical operations.</t>
        </is>
      </c>
      <c r="L1673" s="11" t="inlineStr">
        <is>
          <t>Requires strong cryptographic standards for data transmission and processing, impacting cross-border data transfers through encryption requirements and protocol compliance.</t>
        </is>
      </c>
      <c r="M1673" s="11" t="inlineStr">
        <is>
          <t>• [Must] Key length, algorithms, cipher suites and applicable protocols used in transmission channels, processing of data and authentication purpose shall be strong
• [Must] REs shall adopt internationally accepted and published standards that are not deprecated/demonstrated to be insecure/vulnerable</t>
        </is>
      </c>
      <c r="N1673" s="11" t="inlineStr">
        <is>
          <t>• [Must] Configurations involved in implementing such controls shall be compliant with extant laws and regulatory instructions</t>
        </is>
      </c>
      <c r="O1673" s="11" t="inlineStr">
        <is>
          <t>16. Cryptographic controls The key length, algorithms, cipher suites and applicable protocols used in transmission channels, processing of data and authentication purpose shall be strong. REs shall adopt internationally accepted and published standards that are not deprecated/demonstrated to be insecure/vulnerable and the configurations involved in implementing such controls shall be compliant with extant laws and regulatory instructions.</t>
        </is>
      </c>
      <c r="P1673" s="12" t="n">
        <v>49</v>
      </c>
    </row>
    <row r="1674">
      <c r="A1674" t="inlineStr">
        <is>
          <t>India</t>
        </is>
      </c>
      <c r="B1674" t="inlineStr">
        <is>
          <t>Reserve Bank of India – IT Governance and Cybersecurity Regulatory Framework (including Master Directions and Cyber Security Framework) (India - Row 18)</t>
        </is>
      </c>
      <c r="C1674" t="inlineStr">
        <is>
          <t>17</t>
        </is>
      </c>
      <c r="D1674" s="11" t="inlineStr">
        <is>
          <t>Automated data transfer without manual intervention</t>
        </is>
      </c>
      <c r="E1674" t="inlineStr">
        <is>
          <t>14–15</t>
        </is>
      </c>
      <c r="F1674" t="inlineStr">
        <is>
          <t>High</t>
        </is>
      </c>
      <c r="G1674" t="inlineStr">
        <is>
          <t>High (explicit)</t>
        </is>
      </c>
      <c r="H1674" s="11" t="inlineStr">
        <is>
          <t>Security</t>
        </is>
      </c>
      <c r="I1674" s="11" t="inlineStr">
        <is>
          <t>Financial Data</t>
        </is>
      </c>
      <c r="J1674" t="inlineStr">
        <is>
          <t>Reserve Bank of India</t>
        </is>
      </c>
      <c r="K1674" s="11" t="inlineStr">
        <is>
          <t>Financial institutions must ensure no manual modification occurs during critical data transfers between processes or applications. Data transfer mechanisms must be securely automated with checks, balances, and audit trails to prevent unauthorized changes and maintain data integrity.</t>
        </is>
      </c>
      <c r="L1674" s="11" t="inlineStr">
        <is>
          <t>Requires automated data transfers without manual intervention for critical systems, affecting data integrity during cross-border processing and storage.</t>
        </is>
      </c>
      <c r="M1674" s="11" t="inlineStr">
        <is>
          <t>• [Must] REs shall ensure there is no manual intervention or manual modification in data while it is being transferred from one process to another or from one application to another, in respect of critical applications</t>
        </is>
      </c>
      <c r="N1674" s="11" t="inlineStr">
        <is>
          <t>• [Must] Data transfer mechanism between processes or applications must be properly tested, securely automated with necessary checks and balances, and properly integrated through Straight Through Processing methodology with appropriate authentication mechanism and audit trails</t>
        </is>
      </c>
      <c r="O1674" s="11" t="inlineStr">
        <is>
          <t>17. Straight Through Processing (a) In order to prevent unauthorised modification of data, REs shall ensure that there is no manual intervention or manual modification in data while it is being transferred from one process to another or from one application to another, in respect of critical applications. (b) Data transfer mechanism between processes or applications must be properly tested, securely automated with necessary checks and balances, and properly integrated through "Straight Through Processing" methodology with appropriate authentication mechanism and audit trails.</t>
        </is>
      </c>
      <c r="P1674" s="12" t="n">
        <v>49</v>
      </c>
    </row>
    <row r="1675">
      <c r="A1675" t="inlineStr">
        <is>
          <t>India</t>
        </is>
      </c>
      <c r="B1675" t="inlineStr">
        <is>
          <t>Reserve Bank of India – IT Governance and Cybersecurity Regulatory Framework (including Master Directions and Cyber Security Framework) (India - Row 18)</t>
        </is>
      </c>
      <c r="C1675" t="inlineStr">
        <is>
          <t>18</t>
        </is>
      </c>
      <c r="D1675" s="11" t="inlineStr">
        <is>
          <t>Physical and environmental security for data centers</t>
        </is>
      </c>
      <c r="E1675" t="inlineStr">
        <is>
          <t>15</t>
        </is>
      </c>
      <c r="F1675" t="inlineStr">
        <is>
          <t>High</t>
        </is>
      </c>
      <c r="G1675" t="inlineStr">
        <is>
          <t>High (explicit)</t>
        </is>
      </c>
      <c r="H1675" s="11" t="inlineStr">
        <is>
          <t>Security, Data Storage</t>
        </is>
      </c>
      <c r="I1675" s="11" t="inlineStr">
        <is>
          <t>Financial Data</t>
        </is>
      </c>
      <c r="J1675" t="inlineStr">
        <is>
          <t>Reserve Bank of India</t>
        </is>
      </c>
      <c r="K1675" s="11" t="inlineStr">
        <is>
          <t>Financial institutions must implement physical and environmental controls for data centers and disaster recovery sites. These sites must be geographically separated to avoid similar threats and subject to electronic surveillance mechanisms to ensure security.</t>
        </is>
      </c>
      <c r="L1675" s="11" t="inlineStr">
        <is>
          <t>Requires geographically separated data centers and disaster recovery sites to prevent simultaneous threats, impacting data storage and disaster recovery across borders.</t>
        </is>
      </c>
      <c r="M1675" s="11" t="inlineStr">
        <is>
          <t>• [Must] REs shall implement suitable physical and environmental controls in Data Centre and Disaster Recovery sites used by them
• [Must] DC and DR sites should be geographically well separated so that both the sites are not affected by a similar threat associated to their location</t>
        </is>
      </c>
      <c r="N1675" s="11" t="inlineStr">
        <is>
          <t>• [Must] REs shall ensure that their DC and DR sites are subjected to necessary e-surveillance mechanism</t>
        </is>
      </c>
      <c r="O1675" s="11" t="inlineStr">
        <is>
          <t>18. Physical and Environmental Controls (a) REs shall implement suitable physical and environmental controls in Data Centre and Disaster Recovery14 sites used by them. (b) The DC and DR sites should be geographically well separated so that both the sites are not affected by a similar threat associated to their location. (c) REs shall ensure that their DC and DR sites are subjected to necessary e-surveillance mechanism.</t>
        </is>
      </c>
      <c r="P1675" s="12" t="n">
        <v>49</v>
      </c>
    </row>
    <row r="1676">
      <c r="A1676" t="inlineStr">
        <is>
          <t>India</t>
        </is>
      </c>
      <c r="B1676" t="inlineStr">
        <is>
          <t>Reserve Bank of India – IT Governance and Cybersecurity Regulatory Framework (including Master Directions and Cyber Security Framework) (India - Row 18)</t>
        </is>
      </c>
      <c r="C1676" t="inlineStr">
        <is>
          <t>19</t>
        </is>
      </c>
      <c r="D1676" s="11" t="inlineStr">
        <is>
          <t>Access control for information systems</t>
        </is>
      </c>
      <c r="E1676" t="inlineStr">
        <is>
          <t>15</t>
        </is>
      </c>
      <c r="F1676" t="inlineStr">
        <is>
          <t>High</t>
        </is>
      </c>
      <c r="G1676" t="inlineStr">
        <is>
          <t>High (explicit)</t>
        </is>
      </c>
      <c r="H1676" s="11" t="inlineStr">
        <is>
          <t>Security, Access Control, Data Sharing</t>
        </is>
      </c>
      <c r="I1676" s="11" t="inlineStr">
        <is>
          <t>Financial Data</t>
        </is>
      </c>
      <c r="J1676" t="inlineStr">
        <is>
          <t>Reserve Bank of India</t>
        </is>
      </c>
      <c r="K1676" s="11" t="inlineStr">
        <is>
          <t>Financial institutions must implement need-based access to information systems with documented standards approved by ITSC. Personnel with elevated access must be closely supervised with activities logged and periodically reviewed. Multi-factor authentication is required for critical systems and activities based on risk assessment.</t>
        </is>
      </c>
      <c r="L1676" s="11" t="inlineStr">
        <is>
          <t>Requires strict access controls with multi-factor authentication for critical systems, impacting data sharing and processing across borders.</t>
        </is>
      </c>
      <c r="M1676" s="11" t="inlineStr">
        <is>
          <t>• [Must] Access to information assets shall be allowed only where a valid business need exists
• [Must] REs shall have documented standards and procedures, which are approved by the ITSC and kept up to date for administering need-based access to an information system</t>
        </is>
      </c>
      <c r="N1676" s="11" t="inlineStr">
        <is>
          <t>• [Must] Personnel with elevated system access entitlements shall be closely supervised with all their systems activities logged and periodically reviewed
• [Must] REs shall adopt multi-factor authentication for privileged users of i) critical information systems and ii) for critical activities, basis the RE's risk assessment</t>
        </is>
      </c>
      <c r="O1676" s="11" t="inlineStr">
        <is>
          <t>19. Access Controls (a) Access to information assets shall be allowed only where a valid business need exists. REs shall have documented standards and procedures, which are approved by the ITSC and kept up to date for administering need-based access to an information system. (b) Personnel with elevated system access entitlements shall be closely supervised with all their systems activities logged and periodically reviewed. (c) REs shall adopt multi-factor authentication for privileged users of i) critical information systems and ii) for critical activities, basis the RE's risk assessment.</t>
        </is>
      </c>
      <c r="P1676" s="12" t="n">
        <v>49</v>
      </c>
    </row>
    <row r="1677">
      <c r="A1677" t="inlineStr">
        <is>
          <t>India</t>
        </is>
      </c>
      <c r="B1677" t="inlineStr">
        <is>
          <t>Reserve Bank of India – IT Governance and Cybersecurity Regulatory Framework (including Master Directions and Cyber Security Framework) (India - Row 18)</t>
        </is>
      </c>
      <c r="C1677" t="inlineStr">
        <is>
          <t>20</t>
        </is>
      </c>
      <c r="D1677" s="11" t="inlineStr">
        <is>
          <t>Secure teleworking environment controls</t>
        </is>
      </c>
      <c r="E1677" t="inlineStr">
        <is>
          <t>15–16</t>
        </is>
      </c>
      <c r="F1677" t="inlineStr">
        <is>
          <t>High</t>
        </is>
      </c>
      <c r="G1677" t="inlineStr">
        <is>
          <t>High (explicit)</t>
        </is>
      </c>
      <c r="H1677" s="11" t="inlineStr">
        <is>
          <t>Security, Data Storage</t>
        </is>
      </c>
      <c r="I1677" s="11" t="inlineStr">
        <is>
          <t>Financial Data</t>
        </is>
      </c>
      <c r="J1677" t="inlineStr">
        <is>
          <t>Reserve Bank of India</t>
        </is>
      </c>
      <c r="K1677" s="11" t="inlineStr">
        <is>
          <t>Financial institutions must ensure secure systems and remote access for teleworking, implement multi-factor authentication for critical systems, identify all remote-access devices, and secure data shared in teleworking environments.</t>
        </is>
      </c>
      <c r="L1677" s="11" t="inlineStr">
        <is>
          <t>Requires secure teleworking environments with multi-factor authentication and device identification, impacting data storage and processing across borders.</t>
        </is>
      </c>
      <c r="M1677" s="11" t="inlineStr">
        <is>
          <t>• [Must] REs shall ensure that the systems used and the remote access from alternate work location to the environment hosting RE's information assets are secure
• [Must] REs shall implement multi-factor authentication for enterprise access (logical) to critical systems</t>
        </is>
      </c>
      <c r="N1677" s="11" t="inlineStr">
        <is>
          <t>• [Must] REs shall put in place a mechanism to identify all remote-access devices attached/connected to the RE's systems
• [Must] REs shall ensure that data/information shared/presented in teleworking is secured appropriately</t>
        </is>
      </c>
      <c r="O1677" s="11" t="inlineStr">
        <is>
          <t>20. Controls on Teleworking In the teleworking environment, REs, inter alia, shall: (a) Ensure that the systems used and the remote access from alternate work location to the environment hosting RE's information assets are secure; (b) Implement multi-factor authentication for enterprise access (logical) to critical systems; (c) Put in place a mechanism to identify all remote-access devices attached/connected to the RE's systems; and (d) Ensure that data/information shared/presented in teleworking is secured appropriately.</t>
        </is>
      </c>
      <c r="P1677" s="12" t="n">
        <v>49</v>
      </c>
    </row>
    <row r="1678">
      <c r="A1678" t="inlineStr">
        <is>
          <t>India</t>
        </is>
      </c>
      <c r="B1678" t="inlineStr">
        <is>
          <t>Reserve Bank of India – IT Governance and Cybersecurity Regulatory Framework (including Master Directions and Cyber Security Framework) (India - Row 18)</t>
        </is>
      </c>
      <c r="C1678" t="inlineStr">
        <is>
          <t>21</t>
        </is>
      </c>
      <c r="D1678" s="11" t="inlineStr">
        <is>
          <t>Metrics for system performance and recovery</t>
        </is>
      </c>
      <c r="E1678" t="inlineStr">
        <is>
          <t>16</t>
        </is>
      </c>
      <c r="F1678" t="inlineStr">
        <is>
          <t>High</t>
        </is>
      </c>
      <c r="G1678" t="inlineStr">
        <is>
          <t>High (explicit)</t>
        </is>
      </c>
      <c r="H1678" s="11" t="inlineStr">
        <is>
          <t>Security, Data Storage</t>
        </is>
      </c>
      <c r="I1678" s="11" t="inlineStr">
        <is>
          <t>Financial Data</t>
        </is>
      </c>
      <c r="J1678" t="inlineStr">
        <is>
          <t>Reserve Bank of India</t>
        </is>
      </c>
      <c r="K1678" s="11" t="inlineStr">
        <is>
          <t>Financial institutions must define metrics for system performance, recovery and business resumption including RPO and RTO for critical systems. Non-critical systems require risk-based metrics, and institutions must implement scorecards to measure IT performance and maturity.</t>
        </is>
      </c>
      <c r="L1678" s="11" t="inlineStr">
        <is>
          <t>Requires defined recovery metrics for critical systems, impacting disaster recovery and business continuity across borders.</t>
        </is>
      </c>
      <c r="M1678" s="11" t="inlineStr">
        <is>
          <t>• [Must] REs shall define suitable metrics for system performance, recovery and business resumption, including Recovery Point Objective (RPO) and Recovery Time Objective (RTO), for all critical information systems
• [Must] For non-critical information systems, REs shall adopt a risk-based approach to define suitable metrics</t>
        </is>
      </c>
      <c r="N1678" s="11" t="inlineStr">
        <is>
          <t>• [Must] REs shall implement suitable scorecard/metrics/methodology to measure IT performance and IT maturity level</t>
        </is>
      </c>
      <c r="O1678" s="11" t="inlineStr">
        <is>
          <t>21. Metrics (a) REs shall define suitable metrics for system performance, recovery and business resumption, including Recovery Point Objective (RPO) and Recovery Time Objective (RTO), for all critical information systems. (b) For non-critical information systems, REs shall adopt a risk-based approach to define suitable metrics. (c) REs shall implement suitable scorecard/metrics/methodology to measure IT performance and IT maturity level.</t>
        </is>
      </c>
      <c r="P1678" s="12" t="n">
        <v>49</v>
      </c>
    </row>
    <row r="1679">
      <c r="A1679" t="inlineStr">
        <is>
          <t>India</t>
        </is>
      </c>
      <c r="B1679" t="inlineStr">
        <is>
          <t>Reserve Bank of India – IT Governance and Cybersecurity Regulatory Framework (including Master Directions and Cyber Security Framework) (India - Row 18)</t>
        </is>
      </c>
      <c r="C1679" t="inlineStr">
        <is>
          <t>22</t>
        </is>
      </c>
      <c r="D1679" s="11" t="inlineStr">
        <is>
          <t>Periodic review of IT risk management policy</t>
        </is>
      </c>
      <c r="E1679" t="inlineStr">
        <is>
          <t>16</t>
        </is>
      </c>
      <c r="F1679" t="inlineStr">
        <is>
          <t>High</t>
        </is>
      </c>
      <c r="G1679" t="inlineStr">
        <is>
          <t>High (explicit)</t>
        </is>
      </c>
      <c r="H1679" s="11" t="inlineStr"/>
      <c r="I1679" s="11" t="inlineStr">
        <is>
          <t>Personal Information</t>
        </is>
      </c>
      <c r="J1679" t="inlineStr">
        <is>
          <t>RBI</t>
        </is>
      </c>
      <c r="K1679" s="11" t="inlineStr">
        <is>
          <t>The Risk Management Committee of the Board (RMCB) must consult with the IT Security Committee (ITSC) to review and update the institution's IT risk management policy at least annually. This policy must cover cyber security risks and other IT-related risks. The review ensures the policy remains relevant to the evolving risk landscape.</t>
        </is>
      </c>
      <c r="L1679" s="11" t="inlineStr">
        <is>
          <t>Requires annual review of IT risk management policy by RMCB and ITSC to ensure alignment with current cyber security threats and operational risks, critical for DTIA compliance.</t>
        </is>
      </c>
      <c r="M1679" s="11" t="inlineStr">
        <is>
          <t>• [Must] Risk Management Committee of the Board (RMCB) must consult with IT Security Committee (ITSC) to review and update IT risk management policy annually</t>
        </is>
      </c>
      <c r="N1679" s="11" t="inlineStr"/>
      <c r="O1679" s="11" t="inlineStr">
        <is>
          <t>The risk management policy of the RE shall include IT related risks, including the Cyber Security related risks, and the Risk Management Committee of the Board (RMCB) in consultation with the ITSC shall periodically review and update the same at least on a yearly basis.</t>
        </is>
      </c>
      <c r="P1679" s="12" t="n">
        <v>49</v>
      </c>
    </row>
    <row r="1680">
      <c r="A1680" t="inlineStr">
        <is>
          <t>India</t>
        </is>
      </c>
      <c r="B1680" t="inlineStr">
        <is>
          <t>Reserve Bank of India – IT Governance and Cybersecurity Regulatory Framework (including Master Directions and Cyber Security Framework) (India - Row 18)</t>
        </is>
      </c>
      <c r="C1680" t="inlineStr">
        <is>
          <t>23</t>
        </is>
      </c>
      <c r="D1680" s="11" t="inlineStr">
        <is>
          <t>IT and Information Security Risk Management Framework</t>
        </is>
      </c>
      <c r="E1680" t="inlineStr">
        <is>
          <t>16–17</t>
        </is>
      </c>
      <c r="F1680" t="inlineStr">
        <is>
          <t>High</t>
        </is>
      </c>
      <c r="G1680" t="inlineStr">
        <is>
          <t>High (explicit)</t>
        </is>
      </c>
      <c r="H1680" s="11" t="inlineStr">
        <is>
          <t>Data Storage, Security</t>
        </is>
      </c>
      <c r="I1680" s="11" t="inlineStr">
        <is>
          <t>Personal Information</t>
        </is>
      </c>
      <c r="J1680" t="inlineStr">
        <is>
          <t>RBI</t>
        </is>
      </c>
      <c r="K1680" s="11" t="inlineStr">
        <is>
          <t>Financial institutions must establish a comprehensive IT and Information Security Risk Management Framework covering internal controls, roles and responsibilities, critical system identification, and secure data handling. This framework requires periodic reviews of its effectiveness in changing risk environments and must address role conflicts and accountability gaps.</t>
        </is>
      </c>
      <c r="L1680" s="11" t="inlineStr">
        <is>
          <t>Mandates a structured framework for managing IT and information security risks, including critical system identification and secure data handling, essential for DTIA when transferring data across borders.</t>
        </is>
      </c>
      <c r="M1680" s="11" t="inlineStr">
        <is>
          <t>• [Must] Implement comprehensive Information Security management function, internal controls and processes to mitigate IT risks
• [Must] Review implemented controls and processes periodically for efficacy in changing risk environments
• [Must] Define roles and responsibilities of stakeholders including third-party personnel to eliminate role conflicts and accountability gaps</t>
        </is>
      </c>
      <c r="N1680" s="11" t="inlineStr">
        <is>
          <t>• [Must] Identify critical information systems and fortify their security environment
• [Must] Define and implement systems, procedures and controls for secure storage, transmission and processing of data</t>
        </is>
      </c>
      <c r="O1680" s="11" t="inlineStr">
        <is>
          <t>REs shall establish a robust IT and Information Security Risk Management Framework covering, inter alia, the following aspects: (a) Implementation of comprehensive Information Security management function, internal controls and processes (including applicable insurance covers) to mitigate/ manage identified risks. The implemented controls and processes must be reviewed periodically on their efficacy in a risk environment characterised by change; (b) Definition of roles and responsibilities of stakeholders (including third-party personnel) involved in IT risk management. Areas of possible role conflicts and accountability gaps must be specifically identified and eliminated or managed; (c) Identification of critical information systems of the organisation and fortification of the security environment of such systems; and (d) Definition and implementation of necessary systems, procedures and controls to ensure secure storage/ transmission/ processing of data/ information.</t>
        </is>
      </c>
      <c r="P1680" s="12" t="n">
        <v>49</v>
      </c>
    </row>
    <row r="1681">
      <c r="A1681" t="inlineStr">
        <is>
          <t>India</t>
        </is>
      </c>
      <c r="B1681" t="inlineStr">
        <is>
          <t>Reserve Bank of India – IT Governance and Cybersecurity Regulatory Framework (including Master Directions and Cyber Security Framework) (India - Row 18)</t>
        </is>
      </c>
      <c r="C1681" t="inlineStr">
        <is>
          <t>24</t>
        </is>
      </c>
      <c r="D1681" s="11" t="inlineStr">
        <is>
          <t>Information Security and Cyber Security Policy Framework</t>
        </is>
      </c>
      <c r="E1681" t="inlineStr">
        <is>
          <t>17–18</t>
        </is>
      </c>
      <c r="F1681" t="inlineStr">
        <is>
          <t>High</t>
        </is>
      </c>
      <c r="G1681" t="inlineStr">
        <is>
          <t>High (explicit)</t>
        </is>
      </c>
      <c r="H1681" s="11" t="inlineStr">
        <is>
          <t>Security, Data Storage</t>
        </is>
      </c>
      <c r="I1681" s="11" t="inlineStr">
        <is>
          <t>Personal Information</t>
        </is>
      </c>
      <c r="J1681" t="inlineStr">
        <is>
          <t>RBI</t>
        </is>
      </c>
      <c r="K1681" s="11" t="inlineStr">
        <is>
          <t>Financial institutions must establish an Information Security Policy and Cyber Security Policy including a Cyber Crisis Management Plan. They must form an Information Security Committee (ISC) under ITSC oversight with a Chief Information Security Officer (CISO) who reports directly to risk management. The CISO must have technical expertise, be appointed for a reasonable term, and ensure adequate staffing and budget for security operations.</t>
        </is>
      </c>
      <c r="L1681" s="11" t="inlineStr">
        <is>
          <t>Requires a dedicated CISO with specific responsibilities for cyber security, critical for DTIA when handling cross-border data transfers due to enhanced oversight of security protocols.</t>
        </is>
      </c>
      <c r="M1681" s="11" t="inlineStr">
        <is>
          <t>• [Must] Establish Information Security Policy and Cyber Security Policy including Cyber Crisis Management Plan
• [Must] Form Information Security Committee (ISC) under ITSC oversight with CISO and other representatives
• [Must] Designate CISO as senior executive with technical expertise, reasonable term, adequate staffing, and budget aligned with threat landscape</t>
        </is>
      </c>
      <c r="N1681" s="11" t="inlineStr">
        <is>
          <t>• [Must] CISO must report directly to Executive Director or equivalent risk management executive
• [Must] CISO must review cyber security risks at least quarterly before Board/RMCB/ITSC</t>
        </is>
      </c>
      <c r="O1681" s="11" t="inlineStr">
        <is>
          <t>REs shall also put in place a Cyber Security Policy and Cyber Crisis Management Plan (CCMP). An Information Security Committee (ISC), under the oversight of the ITSC, shall be formed for managing cyber/ information security. The constitution of the ISC, with Chief Information Security Officer (CISO) and other representatives from business and IT functions, etc., shall be decided by the ITSC. The head of the ISC shall be from risk management vertical. Major responsibilities of the ISC, inter alia, shall include: (i) Development of information/ cyber security policies, implementation of policies, standards and procedures to ensure that all identified risks are managed within the RE's risk appetite; (ii) Approving and monitoring information security projects and security awareness initiatives; (iii) Reviewing cyber incidents, information systems audit observations, monitoring and mitigation activities; and (iv) Updating ITSC and CEO periodically on the activities of ISC. A senior level executive (preferably in the rank of a General Manager or an equivalent position) shall be designated as the Chief Information Security Officer (CISO). The CISO shall not have any direct reporting relationship with the Head of IT Function and shall not be given any business targets.</t>
        </is>
      </c>
      <c r="P1681" s="12" t="n">
        <v>49</v>
      </c>
    </row>
    <row r="1682">
      <c r="A1682" t="inlineStr">
        <is>
          <t>India</t>
        </is>
      </c>
      <c r="B1682" t="inlineStr">
        <is>
          <t>Reserve Bank of India – IT Governance and Cybersecurity Regulatory Framework (including Master Directions and Cyber Security Framework) (India - Row 18)</t>
        </is>
      </c>
      <c r="C1682" t="inlineStr">
        <is>
          <t>25</t>
        </is>
      </c>
      <c r="D1682" s="11" t="inlineStr">
        <is>
          <t>Risk Assessment for Information Assets</t>
        </is>
      </c>
      <c r="E1682" t="inlineStr">
        <is>
          <t>18–19</t>
        </is>
      </c>
      <c r="F1682" t="inlineStr">
        <is>
          <t>High</t>
        </is>
      </c>
      <c r="G1682" t="inlineStr">
        <is>
          <t>High (explicit)</t>
        </is>
      </c>
      <c r="H1682" s="11" t="inlineStr">
        <is>
          <t>Data Storage, Security</t>
        </is>
      </c>
      <c r="I1682" s="11" t="inlineStr">
        <is>
          <t>Personal Information</t>
        </is>
      </c>
      <c r="J1682" t="inlineStr">
        <is>
          <t>RBI</t>
        </is>
      </c>
      <c r="K1682" s="11" t="inlineStr">
        <is>
          <t>Financial institutions must conduct risk assessments for all information assets using appropriate security standards and frameworks. They must ensure staff and service providers comply with security policies and review their security infrastructure and policies annually, including addressing emerging threats like phishing and spoofing attacks.</t>
        </is>
      </c>
      <c r="L1682" s="11" t="inlineStr">
        <is>
          <t>Requires annual review of security infrastructure and policies to address evolving threats, critical for DTIA when assessing data transfer risks across borders.</t>
        </is>
      </c>
      <c r="M1682" s="11" t="inlineStr">
        <is>
          <t>• [Must] Conduct risk assessment for each information asset using appropriate security standards/ IT control frameworks
• [Must] Ensure staff and service providers comply with information security and acceptable-use policies</t>
        </is>
      </c>
      <c r="N1682" s="11" t="inlineStr">
        <is>
          <t>• [Must] Review security infrastructure and policies annually, factoring in emerging threats and risks
• [Must] Take steps to tackle cyber-attacks including phishing and spoofing attacks</t>
        </is>
      </c>
      <c r="O1682" s="11" t="inlineStr">
        <is>
          <t>The risk assessment for each information asset within the RE's scope shall be guided by appropriate security standards/ IT control frameworks. REs shall ensure that all staff members and service providers comply with the extant information security and acceptable-use policies as applicable to them. REs shall review their security infrastructure and security policies at least annually, factoring in their own experiences and emerging threats and risks. REs shall take steps to adequately tackle cyber-attacks including phishing, spoofing attacks and mitigate their adverse effects.</t>
        </is>
      </c>
      <c r="P1682" s="12" t="n">
        <v>49</v>
      </c>
    </row>
    <row r="1683">
      <c r="A1683" t="inlineStr">
        <is>
          <t>India</t>
        </is>
      </c>
      <c r="B1683" t="inlineStr">
        <is>
          <t>Reserve Bank of India – IT Governance and Cybersecurity Regulatory Framework (including Master Directions and Cyber Security Framework) (India - Row 18)</t>
        </is>
      </c>
      <c r="C1683" t="inlineStr">
        <is>
          <t>26</t>
        </is>
      </c>
      <c r="D1683" s="11" t="inlineStr">
        <is>
          <t>Vulnerability and Penetration Testing Requirements</t>
        </is>
      </c>
      <c r="E1683" t="inlineStr">
        <is>
          <t>19</t>
        </is>
      </c>
      <c r="F1683" t="inlineStr">
        <is>
          <t>High</t>
        </is>
      </c>
      <c r="G1683" t="inlineStr">
        <is>
          <t>High (explicit)</t>
        </is>
      </c>
      <c r="H1683" s="11" t="inlineStr"/>
      <c r="I1683" s="11" t="inlineStr">
        <is>
          <t>Personal Information</t>
        </is>
      </c>
      <c r="J1683" t="inlineStr">
        <is>
          <t>RBI</t>
        </is>
      </c>
      <c r="K1683" s="11" t="inlineStr">
        <is>
          <t>Financial institutions must conduct vulnerability assessments (VA) and penetration testing (PT) at least every six months for critical systems and annually for non-critical systems. Testing must be performed by independent experts, and vulnerabilities must be fixed within a time-bound manner to prevent recurrence.</t>
        </is>
      </c>
      <c r="L1683" s="11" t="inlineStr">
        <is>
          <t>Mandates regular vulnerability and penetration testing for critical systems, essential for DTIA when assessing data security during cross-border transfers.</t>
        </is>
      </c>
      <c r="M1683" s="11" t="inlineStr">
        <is>
          <t>• [Must] Conduct vulnerability assessments (VA) at least once every six months for critical information systems and DMZ systems with customer interface
• [Must] Conduct penetration testing (PT) at least once every twelve months for critical information systems and DMZ systems with customer interface
• [Must] Conduct VA/PT throughout the lifecycle of information systems (pre-implementation, post-implementation, after major changes)</t>
        </is>
      </c>
      <c r="N1683" s="11" t="inlineStr">
        <is>
          <t>• [Must] Conduct VA/PT by appropriately trained and independent information security experts/auditors
• [Must] Ensure production environment for post-implementation VA/PT; test environment must resemble production environment with documented deviations
• [Must] Fix identified vulnerabilities and associated risks in a time-bound manner to prevent recurrence</t>
        </is>
      </c>
      <c r="O1683" s="11" t="inlineStr">
        <is>
          <t>For critical information systems and/or those in the De-Militarized Zone (DMZ) having customer interface, VA shall be conducted at least once in every six months and PT at least once in 12 months. Also, REs shall conduct VA/ PT of such information systems throughout their lifecycle (pre-implementation, post implementation, after major changes, etc.). For non-critical information systems, a risk-based approach shall be adopted to decide the requirement and periodicity of conduct of VA/ PT. VA/ PT shall be conducted by appropriately trained and independent information security experts/ auditors. In the post implementation (of IT project/ system upgrade, etc.) scenario, the VA/ PT shall be performed on the production environment. Under unavoidable circumstances, if the PT is conducted in test environment, REs shall ensure that the version and configuration of the test environment resembles the production environment. Any deviation should be documented and approved by the ISC. REs shall ensure to fix the identified vulnerabilities and associated risks in a time-bound manner by undertaking requisite corrective measures and ensure that the compliance is sustained to avoid recurrence of known vulnerabilities such as those available in Common Vulnerabilities and Exposures (CVE) database.</t>
        </is>
      </c>
      <c r="P1683" s="12" t="n">
        <v>49</v>
      </c>
    </row>
    <row r="1684">
      <c r="A1684" t="inlineStr">
        <is>
          <t>India</t>
        </is>
      </c>
      <c r="B1684" t="inlineStr">
        <is>
          <t>Reserve Bank of India – IT Governance and Cybersecurity Regulatory Framework (including Master Directions and Cyber Security Framework) (India - Row 18)</t>
        </is>
      </c>
      <c r="C1684" t="inlineStr">
        <is>
          <t>27</t>
        </is>
      </c>
      <c r="D1684" s="11" t="inlineStr">
        <is>
          <t>Cyber Incident Response and Recovery Management</t>
        </is>
      </c>
      <c r="E1684" t="inlineStr">
        <is>
          <t>19–20</t>
        </is>
      </c>
      <c r="F1684" t="inlineStr">
        <is>
          <t>High</t>
        </is>
      </c>
      <c r="G1684" t="inlineStr">
        <is>
          <t>High (explicit)</t>
        </is>
      </c>
      <c r="H1684" s="11" t="inlineStr">
        <is>
          <t>Incident Reporting, Breach Notification</t>
        </is>
      </c>
      <c r="I1684" s="11" t="inlineStr">
        <is>
          <t>Personal Information</t>
        </is>
      </c>
      <c r="J1684" t="inlineStr">
        <is>
          <t>RBI</t>
        </is>
      </c>
      <c r="K1684" s="11" t="inlineStr">
        <is>
          <t>Financial institutions must establish incident response and recovery procedures including classification, communication strategies, root cause analysis, and corrective actions. They must report incidents to CERT-In and RBI, and conduct periodic drills to improve response capabilities.</t>
        </is>
      </c>
      <c r="L1684" s="11" t="inlineStr">
        <is>
          <t>Requires incident response procedures and reporting to regulatory bodies, critical for DTIA when data breaches occur across borders.</t>
        </is>
      </c>
      <c r="M1684" s="11" t="inlineStr">
        <is>
          <t>• [Must] Address classification and assessment of cyber incidents with clear communication strategy and plan to contain exposures and achieve timely recovery
• [Must] Analyze cyber incidents for severity, impact and root cause; take corrective and preventive measures to mitigate adverse effects
• [Must] Have written incident response and recovery procedures including identification of key roles for staff and outsourced staff</t>
        </is>
      </c>
      <c r="N1684" s="11" t="inlineStr">
        <is>
          <t>• [Must] Establish clear communication plans for escalation and reporting incidents to Board, Senior Management, and customers
• [Must] Proactively notify CERT-In and RBI regarding incidents as per regulatory requirements</t>
        </is>
      </c>
      <c r="O1684" s="11" t="inlineStr">
        <is>
          <t>The cyber incident response and recovery management policy shall address the classification and assessment of incidents; include a clear communication strategy and plan to manage such incidents, contain exposures and achieve timely recovery. REs shall analyse cyber incidents (including through forensic analysis, if necessary) for their severity, impact and root cause. REs shall take measures, corrective and preventive, to mitigate the adverse impact of incidents on business operations. REs shall have written incident response and recovery procedures including identification of key roles of staff/ outsourced staff handling such incidents. REs shall have clear communication plans for escalation and reporting the incidents to the Board and Senior Management as well as to customers, as required. REs shall pro-actively notify CERT-In and RBI regarding incidents, as per regulatory requirements.</t>
        </is>
      </c>
      <c r="P1684" s="12" t="n">
        <v>49</v>
      </c>
    </row>
    <row r="1685">
      <c r="A1685" t="inlineStr">
        <is>
          <t>India</t>
        </is>
      </c>
      <c r="B1685" t="inlineStr">
        <is>
          <t>Reserve Bank of India – IT Governance and Cybersecurity Regulatory Framework (including Master Directions and Cyber Security Framework) (India - Row 18)</t>
        </is>
      </c>
      <c r="C1685" t="inlineStr">
        <is>
          <t>28</t>
        </is>
      </c>
      <c r="D1685" s="11" t="inlineStr">
        <is>
          <t>Business continuity and disaster recovery policy requirements</t>
        </is>
      </c>
      <c r="E1685" t="inlineStr">
        <is>
          <t>20–21</t>
        </is>
      </c>
      <c r="F1685" t="inlineStr">
        <is>
          <t>High</t>
        </is>
      </c>
      <c r="G1685" t="inlineStr">
        <is>
          <t>High (explicit)</t>
        </is>
      </c>
      <c r="H1685" s="11" t="inlineStr"/>
      <c r="I1685" s="11" t="inlineStr">
        <is>
          <t>Financial Data</t>
        </is>
      </c>
      <c r="J1685" t="inlineStr">
        <is>
          <t>Reserve Bank of India</t>
        </is>
      </c>
      <c r="K1685" s="11" t="inlineStr">
        <is>
          <t>The Reserve Bank of India requires regulated entities (REs) to develop a Business Continuity Plan (BCP) and Disaster Recovery (DR) policy that follows best practices to reduce disruption impacts and maintain operations. The policy must be updated based on risk assessments and major developments. REs must design their BCP/DR capabilities to ensure rapid recovery and secure resumption of critical operations after cyber-attacks or incidents.</t>
        </is>
      </c>
      <c r="L1685" s="11" t="inlineStr">
        <is>
          <t>This section mandates that financial institutions maintain robust BCP/DR policies to ensure continuity during disruptions, directly impacting cross-border data transfer resilience and operational continuity in financial systems.</t>
        </is>
      </c>
      <c r="M1685" s="11" t="inlineStr">
        <is>
          <t>• [Must] BCP and DR policy shall adopt best practices to reduce disruptive incidents and maintain business continuity
• [Must] BCP/DR policy shall be updated based on major developments or risk assessment</t>
        </is>
      </c>
      <c r="N1685" s="11" t="inlineStr">
        <is>
          <t>• [Must] REs' BCP/DR capabilities must support resilience objectives and enable rapid recovery of critical operations post-incident</t>
        </is>
      </c>
      <c r="O1685" s="11" t="inlineStr">
        <is>
          <t>28. Business Continuity Plan (BCP) and Disaster Recovery (DR) Policy (a) The BCP and DR policy shall adopt best practices to guide its actions in reducing the likelihood or impact of the disruptive incidents and maintaining business continuity. The policy shall be updated based on major developments/ risk assessment.</t>
        </is>
      </c>
      <c r="P1685" s="12" t="n">
        <v>49</v>
      </c>
    </row>
    <row r="1686">
      <c r="A1686" t="inlineStr">
        <is>
          <t>India</t>
        </is>
      </c>
      <c r="B1686" t="inlineStr">
        <is>
          <t>Reserve Bank of India – IT Governance and Cybersecurity Regulatory Framework (including Master Directions and Cyber Security Framework) (India - Row 18)</t>
        </is>
      </c>
      <c r="C1686" t="inlineStr">
        <is>
          <t>29</t>
        </is>
      </c>
      <c r="D1686" s="11" t="inlineStr">
        <is>
          <t>Disaster recovery management procedures</t>
        </is>
      </c>
      <c r="E1686" t="inlineStr">
        <is>
          <t>21–22</t>
        </is>
      </c>
      <c r="F1686" t="inlineStr">
        <is>
          <t>High</t>
        </is>
      </c>
      <c r="G1686" t="inlineStr">
        <is>
          <t>High (explicit)</t>
        </is>
      </c>
      <c r="H1686" s="11" t="inlineStr"/>
      <c r="I1686" s="11" t="inlineStr">
        <is>
          <t>Financial Data</t>
        </is>
      </c>
      <c r="J1686" t="inlineStr">
        <is>
          <t>Reserve Bank of India</t>
        </is>
      </c>
      <c r="K1686" s="11" t="inlineStr">
        <is>
          <t>Regulated entities must conduct DR drills at least half-yearly for critical systems and as per risk assessment for others. Any issues during drills must be resolved before the next cycle. DR testing requires switching to alternate sites for full business operations. REs must test BCP/DR under varied scenarios, back up data with integrity checks, ensure identical configurations at primary and DR sites, and prioritize minimal RTO and near-zero RPO for critical systems.</t>
        </is>
      </c>
      <c r="L1686" s="11" t="inlineStr">
        <is>
          <t>This section specifies technical requirements for DR testing and data integrity that impact data transfer resilience, particularly for financial data stored in alternate locations during disruptions.</t>
        </is>
      </c>
      <c r="M1686" s="11" t="inlineStr">
        <is>
          <t>• [Must] DR drills for critical information systems must be conducted at least half-yearly
• [Must] DR drills for other information systems must align with RE's risk assessment
• [Must] Major issues observed during DR drills must be resolved and retested before next cycle
• [Must] DR testing must involve switching to alternate site for full business operations
• [Must] REs must regularly test BCP/DR under different contingency scenarios
• [Must] REs must back up data and periodically restore it to verify usability</t>
        </is>
      </c>
      <c r="N1686" s="11" t="inlineStr">
        <is>
          <t>• [Must] Backup data integrity must be preserved and protected from unauthorized access
• [Must] DR architecture and procedures must meet defined RTO and RPO for recovery operations
• [Must] REs must prioritize minimal RTO and near-zero RPO for critical information systems
• [Must] REs must have documented methodology for reconciling data during non-zero RPO scenarios
• [Must] Configurations and security patches at primary and DR sites must be identical
• [Must] REs must ensure BCP/DR capabilities in critical interconnected systems and networks</t>
        </is>
      </c>
      <c r="O1686" s="11" t="inlineStr">
        <is>
          <t>29. Disaster Recovery Management (a) Periodicity of DR drills for critical information systems shall be at least on a half-yearly basis and for other information systems, as per RE's risk assessment.</t>
        </is>
      </c>
      <c r="P1686" s="12" t="n">
        <v>49</v>
      </c>
    </row>
    <row r="1687">
      <c r="A1687" t="inlineStr">
        <is>
          <t>India</t>
        </is>
      </c>
      <c r="B1687" t="inlineStr">
        <is>
          <t>Reserve Bank of India – IT Governance and Cybersecurity Regulatory Framework (including Master Directions and Cyber Security Framework) (India - Row 18)</t>
        </is>
      </c>
      <c r="C1687" t="inlineStr">
        <is>
          <t>30</t>
        </is>
      </c>
      <c r="D1687" s="11" t="inlineStr">
        <is>
          <t>Information systems audit oversight</t>
        </is>
      </c>
      <c r="E1687" t="inlineStr">
        <is>
          <t>22–23</t>
        </is>
      </c>
      <c r="F1687" t="inlineStr">
        <is>
          <t>High</t>
        </is>
      </c>
      <c r="G1687" t="inlineStr">
        <is>
          <t>High (explicit)</t>
        </is>
      </c>
      <c r="H1687" s="11" t="inlineStr"/>
      <c r="I1687" s="11" t="inlineStr">
        <is>
          <t>Financial Data</t>
        </is>
      </c>
      <c r="J1687" t="inlineStr">
        <is>
          <t>Reserve Bank of India</t>
        </is>
      </c>
      <c r="K1687" s="11" t="inlineStr">
        <is>
          <t>The Audit Committee of the Board (ACB) must oversee IS audits for REs. REs must establish an IS Audit Policy approved by the ACB and reviewed annually. The ACB must review critical IT/security issues and provide guidance to management. REs must have dedicated IS audit resources or external auditors with accountability within Internal Audit.</t>
        </is>
      </c>
      <c r="L1687" s="11" t="inlineStr">
        <is>
          <t>This section ensures financial institutions have robust internal audit mechanisms to validate data transfer and processing resilience, critical for DTIA compliance in high-risk environments.</t>
        </is>
      </c>
      <c r="M1687" s="11" t="inlineStr">
        <is>
          <t>• [Must] Audit Committee of the Board (ACB) shall exercise oversight of IS Audit for RE
• [Must] REs must establish an IS Audit Policy approved by ACB and reviewed annually</t>
        </is>
      </c>
      <c r="N1687" s="11" t="inlineStr">
        <is>
          <t>• [Must] ACB must review critical IT/security issues and provide guidance to management
• [Must] REs must have dedicated IS audit resources or external auditors with accountability within Internal Audit</t>
        </is>
      </c>
      <c r="O1687" s="11" t="inlineStr">
        <is>
          <t>30. Information Systems (IS) Audit (a) The Audit Committee of the Board (ACB) shall be responsible for exercising oversight of IS Audit of the RE.</t>
        </is>
      </c>
      <c r="P1687" s="12" t="n">
        <v>49</v>
      </c>
    </row>
    <row r="1688">
      <c r="A1688" t="inlineStr">
        <is>
          <t>India</t>
        </is>
      </c>
      <c r="B1688" t="inlineStr">
        <is>
          <t>Reserve Bank of India – IT Governance and Cybersecurity Regulatory Framework (including Master Directions and Cyber Security Framework) (India - Row 18)</t>
        </is>
      </c>
      <c r="C1688" t="inlineStr">
        <is>
          <t>31</t>
        </is>
      </c>
      <c r="D1688" s="11" t="inlineStr">
        <is>
          <t>Application of other laws</t>
        </is>
      </c>
      <c r="E1688" t="inlineStr">
        <is>
          <t>23</t>
        </is>
      </c>
      <c r="F1688" t="inlineStr">
        <is>
          <t>Low</t>
        </is>
      </c>
      <c r="G1688" t="inlineStr">
        <is>
          <t>High (explicit)</t>
        </is>
      </c>
      <c r="H1688" s="11" t="inlineStr"/>
      <c r="I1688" s="11" t="inlineStr"/>
      <c r="J1688" t="inlineStr"/>
      <c r="K1688" s="11" t="inlineStr">
        <is>
          <t>These Directions complement existing laws without overriding them, ensuring REs comply with all applicable regulations while implementing the new framework.</t>
        </is>
      </c>
      <c r="L1688" s="11" t="inlineStr">
        <is>
          <t>This section confirms that DTIA requirements are additive to existing legal obligations, not conflicting with other financial regulations.</t>
        </is>
      </c>
      <c r="M1688" s="11" t="inlineStr">
        <is>
          <t>• [Must] Provisions of these Directions shall be in addition to, and not in derogation of, any other laws, rules, regulations or directions</t>
        </is>
      </c>
      <c r="N1688" s="11" t="inlineStr"/>
      <c r="O1688" s="11" t="inlineStr">
        <is>
          <t>31. Application of other laws not barred The provisions of these Directions shall be in addition to, and not in derogation of the provisions of any other laws, rules, regulations or directions, for the time being in force.</t>
        </is>
      </c>
      <c r="P1688" s="12" t="n">
        <v>49</v>
      </c>
    </row>
    <row r="1689">
      <c r="A1689" t="inlineStr">
        <is>
          <t>India</t>
        </is>
      </c>
      <c r="B1689" t="inlineStr">
        <is>
          <t>Reserve Bank of India – IT Governance and Cybersecurity Regulatory Framework (including Master Directions and Cyber Security Framework) (India - Row 18)</t>
        </is>
      </c>
      <c r="C1689" t="inlineStr">
        <is>
          <t>32</t>
        </is>
      </c>
      <c r="D1689" s="11" t="inlineStr">
        <is>
          <t>Interpretation and clarifications</t>
        </is>
      </c>
      <c r="E1689" t="inlineStr">
        <is>
          <t>3–4</t>
        </is>
      </c>
      <c r="F1689" t="inlineStr">
        <is>
          <t>Low</t>
        </is>
      </c>
      <c r="G1689" t="inlineStr">
        <is>
          <t>High (explicit)</t>
        </is>
      </c>
      <c r="H1689" s="11" t="inlineStr"/>
      <c r="I1689" s="11" t="inlineStr"/>
      <c r="J1689" t="inlineStr">
        <is>
          <t>Reserve Bank of India</t>
        </is>
      </c>
      <c r="K1689" s="11" t="inlineStr">
        <is>
          <t>The Reserve Bank of India may issue clarifications on any matter covered in these Directions, and its interpretations will be final and binding.</t>
        </is>
      </c>
      <c r="L1689" s="11" t="inlineStr">
        <is>
          <t>This section allows for regulatory flexibility in interpreting DTIA requirements but does not directly impact data transfer assessments.</t>
        </is>
      </c>
      <c r="M1689" s="11" t="inlineStr">
        <is>
          <t>• [May] RBI may issue clarifications on matters covered in these Directions</t>
        </is>
      </c>
      <c r="N1689" s="11" t="inlineStr"/>
      <c r="O1689" s="11" t="inlineStr">
        <is>
          <t>32. Interpretation For the purpose of giving effect to the provisions of these Directions or in order to remove any difficulties in the application or interpretation of the provisions of these Directions, the Reserve Bank of India may, if it considers necessary, issue necessary clarifications in respect of any matter covered herein and the interpretation of any provision of these Directions given by the Reserve Bank of India shall be final and binding.</t>
        </is>
      </c>
      <c r="P1689" s="12" t="n">
        <v>49</v>
      </c>
    </row>
    <row r="1690">
      <c r="A1690" t="inlineStr">
        <is>
          <t>India</t>
        </is>
      </c>
      <c r="B1690" t="inlineStr">
        <is>
          <t>Reserve Bank of India – IT Governance and Cybersecurity Regulatory Framework (including Master Directions and Cyber Security Framework) (India - Row 18)</t>
        </is>
      </c>
      <c r="C1690" t="inlineStr">
        <is>
          <t>2023</t>
        </is>
      </c>
      <c r="D1690" s="11" t="inlineStr">
        <is>
          <t>Effective date and scope of Directions</t>
        </is>
      </c>
      <c r="E1690" t="inlineStr">
        <is>
          <t>4</t>
        </is>
      </c>
      <c r="F1690" t="inlineStr">
        <is>
          <t>None</t>
        </is>
      </c>
      <c r="G1690" t="inlineStr">
        <is>
          <t>High (explicit)</t>
        </is>
      </c>
      <c r="H1690" s="11" t="inlineStr"/>
      <c r="I1690" s="11" t="inlineStr"/>
      <c r="J1690" t="inlineStr"/>
      <c r="K1690" s="11" t="inlineStr">
        <is>
          <t>This section states that the Directions incorporate, consolidate and update guidelines on IT Governance, Risk, Controls, Assurance Practices and Business Continuity/Disaster Recovery Management. It also specifies that the Directions come into effect from April 1, 2024.</t>
        </is>
      </c>
      <c r="L1690" s="11" t="inlineStr"/>
      <c r="M1690" s="11" t="inlineStr">
        <is>
          <t>• [Definition] These Directions incorporate, consolidate and update the guidelines, instructions and circulars on IT Governance, Risk, Controls, Assurance Practices and Business Continuity/Disaster Recovery Management</t>
        </is>
      </c>
      <c r="N1690" s="11" t="inlineStr">
        <is>
          <t>• [Condition] These Directions shall come into effect from April 1, 2024</t>
        </is>
      </c>
      <c r="O1690" s="11" t="inlineStr">
        <is>
          <t>2023. These Directions incorporate, consolidate and update the guidelines, instructions and circulars on IT Governance, Risk, Controls, Assurance Practices and Business Continuity/Disaster Recovery Management. The list of circulars repealed is given in Chapter VII of this Master Direction. These Directions shall come into effect from April 1, 2024.</t>
        </is>
      </c>
      <c r="P1690" s="12" t="n">
        <v>49</v>
      </c>
    </row>
    <row r="1691">
      <c r="A1691" t="inlineStr">
        <is>
          <t>India</t>
        </is>
      </c>
      <c r="B1691" t="inlineStr">
        <is>
          <t>SEBI Master Circular for Alternative Investment Funds (India - Row 25)</t>
        </is>
      </c>
      <c r="C1691" t="inlineStr">
        <is>
          <t>1</t>
        </is>
      </c>
      <c r="D1691" s="11" t="inlineStr">
        <is>
          <t>Online filing requirement for AIF registration</t>
        </is>
      </c>
      <c r="E1691" t="inlineStr">
        <is>
          <t>6–7</t>
        </is>
      </c>
      <c r="F1691" t="inlineStr">
        <is>
          <t>High</t>
        </is>
      </c>
      <c r="G1691" t="inlineStr">
        <is>
          <t>High (explicit)</t>
        </is>
      </c>
      <c r="H1691" s="11" t="inlineStr"/>
      <c r="I1691" s="11" t="inlineStr">
        <is>
          <t>Customer Data</t>
        </is>
      </c>
      <c r="J1691" t="inlineStr">
        <is>
          <t>SEBI</t>
        </is>
      </c>
      <c r="K1691" s="11" t="inlineStr">
        <is>
          <t>All applicants seeking registration as an Alternative Investment Fund (AIF) must submit applications exclusively online via the SEBI Intermediary Portal at https://siportal.sebi.gov.in. Similarly, all SEBI-registered AIFs must file compliance reports and submit applications for requests under AIF Regulations and circulars through this portal. This section establishes the mandatory online filing system for AIF registration and ongoing compliance.</t>
        </is>
      </c>
      <c r="L1691" s="11" t="inlineStr">
        <is>
          <t>Mandates exclusive online filing for AIF registration and compliance reports through SEBI's portal, requiring data transfers to be handled via this secure channel. This impacts data transfer mechanisms for AIFs.</t>
        </is>
      </c>
      <c r="M1691" s="11" t="inlineStr">
        <is>
          <t>• [Must] All applicants seeking registration as an AIF must submit applications only online through SEBI Intermediary Portal</t>
        </is>
      </c>
      <c r="N1691" s="11" t="inlineStr">
        <is>
          <t>• [Must] All SEBI-registered AIFs must file compliance reports and submit applications for requests under AIF Regulations through SEBI Intermediary Portal</t>
        </is>
      </c>
      <c r="O1691" s="11" t="inlineStr">
        <is>
          <t>All applicants desirous of seeking registration as an Alternative Investment Fund (‘AIF') are required to submit their applications only online, through the SEBI Intermediary Portal at https://siportal.sebi.gov.in. Further, all SEBI registered AIFs are required to file their compliance reports and submit applications for any request under the provisions of AIF Regulations and circulars issued thereunder, only through the SEBI Intermediary Portal.</t>
        </is>
      </c>
      <c r="P1691" s="12" t="n">
        <v>50</v>
      </c>
    </row>
    <row r="1692">
      <c r="A1692" t="inlineStr">
        <is>
          <t>India</t>
        </is>
      </c>
      <c r="B1692" t="inlineStr">
        <is>
          <t>SEBI Master Circular for Alternative Investment Funds (India - Row 25)</t>
        </is>
      </c>
      <c r="C1692" t="inlineStr">
        <is>
          <t>2</t>
        </is>
      </c>
      <c r="D1692" s="11" t="inlineStr">
        <is>
          <t>PPM template and disclosure requirements</t>
        </is>
      </c>
      <c r="E1692" t="inlineStr">
        <is>
          <t>7–11</t>
        </is>
      </c>
      <c r="F1692" t="inlineStr">
        <is>
          <t>High</t>
        </is>
      </c>
      <c r="G1692" t="inlineStr">
        <is>
          <t>High (explicit)</t>
        </is>
      </c>
      <c r="H1692" s="11" t="inlineStr"/>
      <c r="I1692" s="11" t="inlineStr">
        <is>
          <t>Customer Data, Financial Data</t>
        </is>
      </c>
      <c r="J1692" t="inlineStr">
        <is>
          <t>SEBI</t>
        </is>
      </c>
      <c r="K1692" s="11" t="inlineStr">
        <is>
          <t>AIFs must use a standardized Private Placement Memorandum (PPM) template with two parts: minimum disclosures (Part A) and supplementary sections (Part B). The template varies by AIF category (I, II, III) and requires detailed fee structures, disciplinary histories, and compliance disclosures. AIFs must include disciplinary histories of sponsors, managers, directors, and trustees for the last 5 years, with specific monetary thresholds for penalties.</t>
        </is>
      </c>
      <c r="L1692" s="11" t="inlineStr">
        <is>
          <t>Requires standardized PPM templates with detailed disclosure requirements, including disciplinary histories and fee structures, impacting data transfer for AIFs. The disciplinary history disclosures may involve cross-border data transfers.</t>
        </is>
      </c>
      <c r="M1692" s="11" t="inlineStr">
        <is>
          <t>• [Must] PPM must have two parts: Part A for minimum disclosures and Part B for supplementary information
• [Must] PPM template varies by AIF category (I, II, III) with specific annexures
• [Must] PPM must include detailed tabular example of fees and charges applicable to investors including distribution waterfall
• [Must] PPM must include disciplinary history of AIF, sponsor, manager, directors/partners/promoters and associates for the last 5 years</t>
        </is>
      </c>
      <c r="N1692" s="11" t="inlineStr">
        <is>
          <t>• [Must] Disciplinary history must include details of outstanding/pending cases, criminal/civil prosecutions, non-payment of statutory dues, defaults against banks, contingent liabilities, economic offences, civil offences, compliance findings, penalties, disputed tax liabilities
• [Must] Disciplinary history must include disciplinary actions taken by Board or regulatory authorities
• [Must] Disciplinary history must be applicable for the last 5 years and where monetary penalty is greater than 5 lakh rupees
• [Must] Disciplinary history does not apply to personal capacity liabilities for individuals</t>
        </is>
      </c>
      <c r="O1692" s="11" t="inlineStr">
        <is>
          <t>Private Placement Memorandum (‘PPM') is a primary document in which all the necessary information about the AIF is disclosed to prospective investors. To ensure that a minimum standard of disclosure is made available in the PPM, a template has been mandated for the PPM, providing certain minimum level of information in a simple and comparable format.</t>
        </is>
      </c>
      <c r="P1692" s="12" t="n">
        <v>50</v>
      </c>
    </row>
    <row r="1693">
      <c r="A1693" t="inlineStr">
        <is>
          <t>India</t>
        </is>
      </c>
      <c r="B1693" t="inlineStr">
        <is>
          <t>SEBI Master Circular for Alternative Investment Funds (India - Row 25)</t>
        </is>
      </c>
      <c r="C1693" t="inlineStr">
        <is>
          <t>5</t>
        </is>
      </c>
      <c r="D1693" s="11" t="inlineStr">
        <is>
          <t>Operational and prudential norms for Category III AIFs</t>
        </is>
      </c>
      <c r="E1693" t="inlineStr">
        <is>
          <t>16–21</t>
        </is>
      </c>
      <c r="F1693" t="inlineStr">
        <is>
          <t>High</t>
        </is>
      </c>
      <c r="G1693" t="inlineStr">
        <is>
          <t>High (explicit)</t>
        </is>
      </c>
      <c r="H1693" s="11" t="inlineStr">
        <is>
          <t>Cross-border Transfer, International Processing, Data Storage, Security</t>
        </is>
      </c>
      <c r="I1693" s="11" t="inlineStr">
        <is>
          <t>Financial Data</t>
        </is>
      </c>
      <c r="J1693" t="inlineStr">
        <is>
          <t>SEBI</t>
        </is>
      </c>
      <c r="K1693" s="11" t="inlineStr">
        <is>
          <t>Category III Alternative Investment Funds (AIFs) must disclose the basis for calculating investment concentration norms in their Placement Prospects Memorandum (PPM). The basis cannot be changed during the scheme's term. If using NAV for calculations, they must adhere to specific rules: use NAV from the business day before investment, exclude borrowed funds, and rectify passive breaches within 30 days. These norms ensure transparency and stability in investment concentration.</t>
        </is>
      </c>
      <c r="L1693" s="11" t="inlineStr">
        <is>
          <t>This section imposes specific calculation rules for investment concentration norms using NAV or investable funds, with strict timeframes for breach rectification. It affects cross-border data transfers by requiring precise calculation methods and timely breach reporting.</t>
        </is>
      </c>
      <c r="M1693" s="11" t="inlineStr">
        <is>
          <t>• [Must] Category III AIFs must disclose the basis for calculating investment concentration norm in the PPM
• [Must Not] The basis for calculating investment concentration norm shall not be changed during the term of the scheme
• [Must] Category III AIFs using NAV must calculate investment limits based on NAV from the business day before investment</t>
        </is>
      </c>
      <c r="N1693" s="11" t="inlineStr">
        <is>
          <t>• [Must] NAV of the AIF must exclude any funds borrowed by the AIF
• [Must] Passive breaches of concentration norms must be rectified within 30 days</t>
        </is>
      </c>
      <c r="O1693" s="11" t="inlineStr">
        <is>
          <t>All Category III AIFs shall disclose the basis for calculation of investment concentration norm in the PPM of their schemes.</t>
        </is>
      </c>
      <c r="P1693" s="12" t="n">
        <v>50</v>
      </c>
    </row>
    <row r="1694">
      <c r="A1694" t="inlineStr">
        <is>
          <t>India</t>
        </is>
      </c>
      <c r="B1694" t="inlineStr">
        <is>
          <t>SEBI Master Circular for Alternative Investment Funds (India - Row 25)</t>
        </is>
      </c>
      <c r="C1694" t="inlineStr">
        <is>
          <t>6</t>
        </is>
      </c>
      <c r="D1694" s="11" t="inlineStr">
        <is>
          <t>Special Situation Funds (SSF) norms</t>
        </is>
      </c>
      <c r="E1694" t="inlineStr">
        <is>
          <t>21–22</t>
        </is>
      </c>
      <c r="F1694" t="inlineStr">
        <is>
          <t>High</t>
        </is>
      </c>
      <c r="G1694" t="inlineStr">
        <is>
          <t>High (explicit)</t>
        </is>
      </c>
      <c r="H1694" s="11" t="inlineStr">
        <is>
          <t>Cross-border Transfer, Financial Data, KYC, AML</t>
        </is>
      </c>
      <c r="I1694" s="11" t="inlineStr">
        <is>
          <t>Financial Data</t>
        </is>
      </c>
      <c r="J1694" t="inlineStr">
        <is>
          <t>SEBI</t>
        </is>
      </c>
      <c r="K1694" s="11" t="inlineStr">
        <is>
          <t>Special Situation Funds (SSFs) must maintain a minimum corpus of ₹100 crore. They require minimum investments of ₹10 crore from non-accredited investors, ₹5 crore from accredited investors, and ₹2.5 lakh from employees/directors. SSFs acting as resolution applicants must comply with Insolvency and Bankruptcy Code requirements. They also face restrictions on acquiring stressed loans from specific jurisdictions.</t>
        </is>
      </c>
      <c r="L1694" s="11" t="inlineStr">
        <is>
          <t>This section sets minimum capital requirements and investor eligibility for SSFs, which impacts cross-border data transfers through investment in offshore entities and stressed loans.</t>
        </is>
      </c>
      <c r="M1694" s="11" t="inlineStr">
        <is>
          <t>• [Must] SSFs must have a corpus of at least ₹100 crore
• [Must] SSFs must accept minimum investment of ₹10 crore from non-accredited investors
• [Must] SSFs must accept minimum investment of ₹5 crore from accredited investors</t>
        </is>
      </c>
      <c r="N1694" s="11" t="inlineStr">
        <is>
          <t>• [Must] SSFs must accept minimum investment of ₹2.5 lakh from employees/directors
• [Must] SSFs acting as resolution applicants must comply with Insolvency and Bankruptcy Code requirements</t>
        </is>
      </c>
      <c r="O1694" s="11" t="inlineStr">
        <is>
          <t>Each scheme of SSF shall have a corpus of at least one hundred crore rupees.</t>
        </is>
      </c>
      <c r="P1694" s="12" t="n">
        <v>50</v>
      </c>
    </row>
    <row r="1695">
      <c r="A1695" t="inlineStr">
        <is>
          <t>India</t>
        </is>
      </c>
      <c r="B1695" t="inlineStr">
        <is>
          <t>SEBI Master Circular for Alternative Investment Funds (India - Row 25)</t>
        </is>
      </c>
      <c r="C1695" t="inlineStr">
        <is>
          <t>7</t>
        </is>
      </c>
      <c r="D1695" s="11" t="inlineStr">
        <is>
          <t>Overseas investment guidelines for AIFs</t>
        </is>
      </c>
      <c r="E1695" t="inlineStr">
        <is>
          <t>22–25</t>
        </is>
      </c>
      <c r="F1695" t="inlineStr">
        <is>
          <t>High</t>
        </is>
      </c>
      <c r="G1695" t="inlineStr">
        <is>
          <t>High (explicit)</t>
        </is>
      </c>
      <c r="H1695" s="11" t="inlineStr">
        <is>
          <t>Cross-border Transfer, Financial Data, AML, KYC</t>
        </is>
      </c>
      <c r="I1695" s="11" t="inlineStr">
        <is>
          <t>Financial Data</t>
        </is>
      </c>
      <c r="J1695" t="inlineStr">
        <is>
          <t>SEBI</t>
        </is>
      </c>
      <c r="K1695" s="11" t="inlineStr">
        <is>
          <t>AIFs may invest in offshore venture capital undertakings up to 25% of their investable funds, subject to a combined USD 1.5 billion limit. Investments must be in countries with securities regulators that are FATF signatories or have bilateral agreements with SEBI. AIFs cannot invest in countries with strategic AML/CTF deficiencies or insufficient progress on FATF requirements. They must comply with FEMA regulations and cannot form joint ventures while making overseas investments.</t>
        </is>
      </c>
      <c r="L1695" s="11" t="inlineStr">
        <is>
          <t>This section defines strict conditions for AIFs to invest abroad, including FATF compliance checks and restrictions on jurisdictions with AML/CTF deficiencies, directly impacting cross-border data transfers.</t>
        </is>
      </c>
      <c r="M1695" s="11" t="inlineStr">
        <is>
          <t>• [Must] AIFs may invest in offshore venture capital undertakings up to 25% of investable funds
• [Must] Investments must be in countries with securities regulators that are FATF signatories or have bilateral agreements with SEBI
• [Must Not] AIFs cannot invest in countries with strategic AML/CTF deficiencies or insufficient progress on FATF requirements</t>
        </is>
      </c>
      <c r="N1695" s="11" t="inlineStr">
        <is>
          <t>• [Must] AIFs must comply with FEMA regulations
• [Must Not] AIFs cannot form joint ventures while making overseas investments</t>
        </is>
      </c>
      <c r="O1695" s="11" t="inlineStr">
        <is>
          <t>AIFs may invest in equity and equity linked instruments only of off-shore venture capital undertakings, subject to overall limit of USD 1500 million</t>
        </is>
      </c>
      <c r="P1695" s="12" t="n">
        <v>50</v>
      </c>
    </row>
    <row r="1696">
      <c r="A1696" t="inlineStr">
        <is>
          <t>India</t>
        </is>
      </c>
      <c r="B1696" t="inlineStr">
        <is>
          <t>SEBI Master Circular for Alternative Investment Funds (India - Row 25)</t>
        </is>
      </c>
      <c r="C1696" t="inlineStr">
        <is>
          <t>8</t>
        </is>
      </c>
      <c r="D1696" s="11" t="inlineStr">
        <is>
          <t>Investment in units of AIFs</t>
        </is>
      </c>
      <c r="E1696" t="inlineStr">
        <is>
          <t>25–26</t>
        </is>
      </c>
      <c r="F1696" t="inlineStr">
        <is>
          <t>High</t>
        </is>
      </c>
      <c r="G1696" t="inlineStr">
        <is>
          <t>High (explicit)</t>
        </is>
      </c>
      <c r="H1696" s="11" t="inlineStr">
        <is>
          <t>Cross-border Transfer, Financial Data, KYC, AML</t>
        </is>
      </c>
      <c r="I1696" s="11" t="inlineStr">
        <is>
          <t>Financial Data</t>
        </is>
      </c>
      <c r="J1696" t="inlineStr">
        <is>
          <t>SEBI</t>
        </is>
      </c>
      <c r="K1696" s="11" t="inlineStr">
        <is>
          <t>AIFs may invest in units of other AIFs without labeling themselves as Fund of AIFs. Existing AIFs can simultaneously invest in securities and AIF units with at least two-thirds approval from unit holders. They must disclose proposed allocations, fee attributions, compliance processes, and relationships with other AIFs in their PPMs. Pooling vehicles must be registered as AIFs if created solely for AIF investments.</t>
        </is>
      </c>
      <c r="L1696" s="11" t="inlineStr">
        <is>
          <t>This section governs cross-border investment in AIF units, requiring disclosures and approvals that affect data transfer mechanisms between funds.</t>
        </is>
      </c>
      <c r="M1696" s="11" t="inlineStr">
        <is>
          <t>• [Must] AIFs may invest in units of other A's without labeling themselves as Fund of AIFs
• [Must] Existing AIFs may invest in securities and AIF units with two-thirds approval from unit holders
• [Must] AIFs must disclose proposed allocation of investment in other AIF units
• [Must] AIFs must disclose portion of fees and expenses attributable to AIF unit investments</t>
        </is>
      </c>
      <c r="N1696" s="11" t="inlineStr">
        <is>
          <t>• [Must] AIFs must disclose compliance processes for investment conditions
• [Must] AIFs must disclose relationships with other AIFs managed by the same sponsor
• [Must] Pooling vehicles must be registered as AIFs if created solely for AIF investments</t>
        </is>
      </c>
      <c r="O1696" s="11" t="inlineStr">
        <is>
          <t>AIFs may invest in an investee company up to a specified limit, directly or through investment in the units of other AIFs.</t>
        </is>
      </c>
      <c r="P1696" s="12" t="n">
        <v>50</v>
      </c>
    </row>
    <row r="1697">
      <c r="A1697" t="inlineStr">
        <is>
          <t>India</t>
        </is>
      </c>
      <c r="B1697" t="inlineStr">
        <is>
          <t>SEBI Master Circular for Alternative Investment Funds (India - Row 25)</t>
        </is>
      </c>
      <c r="C1697" t="inlineStr">
        <is>
          <t>9</t>
        </is>
      </c>
      <c r="D1697" s="11" t="inlineStr">
        <is>
          <t>CDS trading restrictions for Alternative Investment Funds</t>
        </is>
      </c>
      <c r="E1697" t="inlineStr">
        <is>
          <t>26–28</t>
        </is>
      </c>
      <c r="F1697" t="inlineStr">
        <is>
          <t>High</t>
        </is>
      </c>
      <c r="G1697" t="inlineStr">
        <is>
          <t>High (explicit)</t>
        </is>
      </c>
      <c r="H1697" s="11" t="inlineStr">
        <is>
          <t>Cross-border Transfer, Data Storage, Security, Financial Data, KYC, AML</t>
        </is>
      </c>
      <c r="I1697" s="11" t="inlineStr">
        <is>
          <t>Financial Data</t>
        </is>
      </c>
      <c r="J1697" t="inlineStr">
        <is>
          <t>SEBI</t>
        </is>
      </c>
      <c r="K1697" s="11" t="inlineStr">
        <is>
          <t>Category I and II AIFs may only buy CDS for hedging purposes. Category III AIFs may buy CDS for hedging or other purposes within permissible leverage limits. Category III AIFs may sell CDS using earmarked government bonds to cover exposure without counting as leverage. Total exposure to any investee company must comply with concentration norms. AIFs must report CDS transactions to custodians within one business day. Custodians must monitor compliance with leverage and exposure limits. Category III AIFs must follow specific breach remediation procedures if leverage limits are exceeded. Unhedged positions exceeding 25% of investable funds require unit holder notification. Category I and II AIFs must maintain a 30-day cooling-off period between leverage activities. CDS transactions must occur on SEBI or RBI-regulated platforms. AIFs must comply with RBI's Credit Derivatives Directions.</t>
        </is>
      </c>
      <c r="L1697" s="11" t="inlineStr">
        <is>
          <t>CDS trading imposes specific leverage limits, exposure caps, and reporting requirements for AIFs. These restrictions affect cross-border data flows if CDS transactions involve international entities or data from foreign markets.</t>
        </is>
      </c>
      <c r="M1697" s="11" t="inlineStr">
        <is>
          <t>• [Must] Category I and II AIFs may buy CDS on debt securities only for hedging
• [Must] Category III AIFs may buy CDS for hedging or other purposes within permissible leverage
• [Must] Category III AIFs may sell CDS using earmarked government bonds equal to CDS exposure
• [Must] Total exposure to any investee company must comply with concentration norms
• [Must] AIFs must report CDS transactions to custodians within one business day
• [Must] Custodians must monitor compliance with leverage and exposure limits
• [Must] Category III AIFs must report breach of leverage limits within one business day</t>
        </is>
      </c>
      <c r="N1697" s="11" t="inlineStr">
        <is>
          <t>• [Must] Category III AIFs must rectify breach by end of next trading day and report
• [Must] Custodians must report breach to SEBI within one business day
• [Must] Unhedged positions exceeding 25% of investable funds require unit holder notification
• [Must] Category I and II AIFs must maintain 30-day cooling-off period between leverage activities
• [Must] CDS transactions must occur on SEBI or RBI-regulated platforms
• [Must] AIFs must comply with RBI's Credit Derivatives Directions</t>
        </is>
      </c>
      <c r="O1697" s="11" t="inlineStr">
        <is>
          <t>9.1.1. Category I AIFs and Category II AIFs may buy CDS on underlying investment in debt securities, only for the purpose of hedging.</t>
        </is>
      </c>
      <c r="P1697" s="12" t="n">
        <v>50</v>
      </c>
    </row>
    <row r="1698">
      <c r="A1698" t="inlineStr">
        <is>
          <t>India</t>
        </is>
      </c>
      <c r="B1698" t="inlineStr">
        <is>
          <t>SEBI Master Circular for Alternative Investment Funds (India - Row 25)</t>
        </is>
      </c>
      <c r="C1698" t="inlineStr">
        <is>
          <t>10</t>
        </is>
      </c>
      <c r="D1698" s="11" t="inlineStr">
        <is>
          <t>RFQ platform requirements for Corporate Bond trades</t>
        </is>
      </c>
      <c r="E1698" t="inlineStr">
        <is>
          <t>28–29</t>
        </is>
      </c>
      <c r="F1698" t="inlineStr">
        <is>
          <t>High</t>
        </is>
      </c>
      <c r="G1698" t="inlineStr">
        <is>
          <t>High (explicit)</t>
        </is>
      </c>
      <c r="H1698" s="11" t="inlineStr">
        <is>
          <t>Cross-border Transfer, Data Storage, Financial Data</t>
        </is>
      </c>
      <c r="I1698" s="11" t="inlineStr">
        <is>
          <t>Financial Data</t>
        </is>
      </c>
      <c r="J1698" t="inlineStr">
        <is>
          <t>SEBI</t>
        </is>
      </c>
      <c r="K1698" s="11" t="inlineStr">
        <is>
          <t>AIFs must conduct at least 10% of their monthly secondary market trades in Corporate Bonds via RFQ platform. Transactions can be placed in one-to-one or one-to-many modes, but trades where AIFs are on both sides must use one-to-one mode. One-to-many trades with other AIFs count as one-to-many, not one-to-one.</t>
        </is>
      </c>
      <c r="L1698" s="11" t="inlineStr">
        <is>
          <t>RFQ platform mandates affect data transfer by requiring specific trade execution mechanisms for Corporate Bonds, impacting cross-border data flows in financial transactions.</t>
        </is>
      </c>
      <c r="M1698" s="11" t="inlineStr">
        <is>
          <t>• [Must] AIFs must undertake at least 10% of monthly secondary market trades in Corporate Bonds via RFQ platform
• [Must] AIFs must use one-to-one mode for trades where they are on both sides of the trade</t>
        </is>
      </c>
      <c r="N1698" s="11" t="inlineStr">
        <is>
          <t>• [Must] One-to-many trades with other AIFs count as one-to-many, not one-to-one</t>
        </is>
      </c>
      <c r="O1698" s="11" t="inlineStr">
        <is>
          <t>10.1. AIFs shall undertake at least 10% of their total secondary market trades in Corporate Bonds by value in a month by placing/seeking quotes on the RFQ platform.</t>
        </is>
      </c>
      <c r="P1698" s="12" t="n">
        <v>50</v>
      </c>
    </row>
    <row r="1699">
      <c r="A1699" t="inlineStr">
        <is>
          <t>India</t>
        </is>
      </c>
      <c r="B1699" t="inlineStr">
        <is>
          <t>SEBI Master Circular for Alternative Investment Funds (India - Row 25)</t>
        </is>
      </c>
      <c r="C1699" t="inlineStr">
        <is>
          <t>11</t>
        </is>
      </c>
      <c r="D1699" s="11" t="inlineStr">
        <is>
          <t>Investment and distribution clarifications for AIFs</t>
        </is>
      </c>
      <c r="E1699" t="inlineStr">
        <is>
          <t>29–31</t>
        </is>
      </c>
      <c r="F1699" t="inlineStr">
        <is>
          <t>High</t>
        </is>
      </c>
      <c r="G1699" t="inlineStr">
        <is>
          <t>High (explicit)</t>
        </is>
      </c>
      <c r="H1699" s="11" t="inlineStr">
        <is>
          <t>Cross-border Transfer, Data Storage, Financial Data, KYC, AML</t>
        </is>
      </c>
      <c r="I1699" s="11" t="inlineStr">
        <is>
          <t>Financial Data</t>
        </is>
      </c>
      <c r="J1699" t="inlineStr">
        <is>
          <t>SEBI</t>
        </is>
      </c>
      <c r="K1699" s="11" t="inlineStr">
        <is>
          <t>Sponsor/manager loss sharing must be pro rata to their holding in AIF. Continuing interest must be maintained pro rata to funds raised. Real estate/infrastructure investments require at least one project per investee. Prior approval from investors required for investments in associates or other AIFs. Category II AIFs must have more unlisted securities in portfolio. Schemes with priority distribution models cannot accept new commitments until SEBI clarifies.</t>
        </is>
      </c>
      <c r="L1699" s="11" t="inlineStr">
        <is>
          <t>Investment and distribution rules affect data transfer by specifying loss sharing, portfolio composition, and investor approval mechanisms for cross-border financial data flows.</t>
        </is>
      </c>
      <c r="M1699" s="11" t="inlineStr">
        <is>
          <t>• [Must] Sponsor/manager loss sharing must be pro rata to their holding in AIF
• [Must] Continuing interest must be maintained pro rata to funds raised
• [Must] Real estate/infrastructure investments require at least one project per investee</t>
        </is>
      </c>
      <c r="N1699" s="11" t="inlineStr">
        <is>
          <t>• [Must] Prior approval from investors required for investments in associates or other AIFs
• [Must] Category II AIFs must have more unlisted securities in portfolio
• [Must] Schemes with priority distribution models cannot accept new commitments until SEBI clarifies</t>
        </is>
      </c>
      <c r="O1699" s="11" t="inlineStr">
        <is>
          <t>11.1.1. With respect to investment by the sponsor/manager in the AIF, the sharing of loss by the sponsor/manager shall not be less than pro rata to their holding in the AIF vis-à-vis other unit holders.</t>
        </is>
      </c>
      <c r="P1699" s="12" t="n">
        <v>50</v>
      </c>
    </row>
    <row r="1700">
      <c r="A1700" t="inlineStr">
        <is>
          <t>India</t>
        </is>
      </c>
      <c r="B1700" t="inlineStr">
        <is>
          <t>SEBI Master Circular for Alternative Investment Funds (India - Row 25)</t>
        </is>
      </c>
      <c r="C1700" t="inlineStr">
        <is>
          <t>12</t>
        </is>
      </c>
      <c r="D1700" s="11" t="inlineStr">
        <is>
          <t>Accredited Investors framework for AIFs</t>
        </is>
      </c>
      <c r="E1700" t="inlineStr">
        <is>
          <t>31–34</t>
        </is>
      </c>
      <c r="F1700" t="inlineStr">
        <is>
          <t>High</t>
        </is>
      </c>
      <c r="G1700" t="inlineStr">
        <is>
          <t>High (explicit)</t>
        </is>
      </c>
      <c r="H1700" s="11" t="inlineStr">
        <is>
          <t>Cross-border Transfer, Data Storage, Financial Data, KYC, AML</t>
        </is>
      </c>
      <c r="I1700" s="11" t="inlineStr">
        <is>
          <t>Financial Data</t>
        </is>
      </c>
      <c r="J1700" t="inlineStr">
        <is>
          <t>SEBI</t>
        </is>
      </c>
      <c r="K1700" s="11" t="inlineStr">
        <is>
          <t>Accreditation agencies must verify KYC and financial information for investors. Accredited investors may access lower ticket sizes and regulatory concessions. Accreditation certificates are valid for two or three years depending on financial history. LVF schemes can launch without filing placement memoranda with SEBI through merchant bankers.</t>
        </is>
      </c>
      <c r="L1700" s="11" t="inlineStr">
        <is>
          <t>Accredited Investors framework impacts data transfer by enabling specific investor types to access financial data with reduced regulatory burdens, affecting cross-border data flows.</t>
        </is>
      </c>
      <c r="M1700" s="11" t="inlineStr">
        <is>
          <t>• [Must] Accreditation agencies must verify KYC and financial information for investors
• [May] Accredited investors may access lower ticket sizes and regulatory concessions</t>
        </is>
      </c>
      <c r="N1700" s="11" t="inlineStr">
        <is>
          <t>• [Must] Accreditation certificates are valid for two or three years depending on financial history
• [Must] LVF schemes can launch without filing placement memoranda with SEBI through merchant bankers</t>
        </is>
      </c>
      <c r="O1700" s="11" t="inlineStr">
        <is>
          <t>12.2. Under the aforesaid framework, AIs may avail flexibility in minimum investment amount or concessions from specific regulatory requirements applicable to investment products, subject to conditions applicable for specific products/services under SEBI (Alternative Investment Funds) Regulations, 2012, SEBI (Portfolio Managers) Regulations, 2.2020 and SEBI (Investment Advisers) Regulations, 2013.</t>
        </is>
      </c>
      <c r="P1700" s="12" t="n">
        <v>50</v>
      </c>
    </row>
    <row r="1701">
      <c r="A1701" t="inlineStr">
        <is>
          <t>India</t>
        </is>
      </c>
      <c r="B1701" t="inlineStr">
        <is>
          <t>SEBI Master Circular for Alternative Investment Funds (India - Row 25)</t>
        </is>
      </c>
      <c r="C1701" t="inlineStr">
        <is>
          <t>13</t>
        </is>
      </c>
      <c r="D1701" s="11" t="inlineStr">
        <is>
          <t>Obligations of AIF managers, sponsors and trustees</t>
        </is>
      </c>
      <c r="E1701" t="inlineStr">
        <is>
          <t>34–37</t>
        </is>
      </c>
      <c r="F1701" t="inlineStr">
        <is>
          <t>High</t>
        </is>
      </c>
      <c r="G1701" t="inlineStr">
        <is>
          <t>High (explicit)</t>
        </is>
      </c>
      <c r="H1701" s="11" t="inlineStr">
        <is>
          <t>Cross-border Transfer, International Processing, Data Storage, Security, Consent, Customer Information, Financial Data, KYC, AML, Governance, Record Keeping</t>
        </is>
      </c>
      <c r="I1701" s="11" t="inlineStr">
        <is>
          <t>Financial Data, Customer Data</t>
        </is>
      </c>
      <c r="J1701" t="inlineStr">
        <is>
          <t>SEBI</t>
        </is>
      </c>
      <c r="K1701" s="11" t="inlineStr">
        <is>
          <t>AIFs must designate a Compliance Officer who is not the CEO or equivalent role, responsible for monitoring compliance with SEBI regulations. Key management personnel include members of the investment team, decision-makers, and persons declared by the AIF through trustee or board. AIFs must disclose key management personnel in PPMs and notify investors of changes. Custodians must be appointed prior to first investment, with specific timelines for Category I and II AIFs with corpus under INR 500 crore. Managers must ensure compliance with Regulation 20(11A) for custodians who are associates of the sponsor or manager. AIFs must submit quarterly reports to SEBI through the intermediary portal and maintain records for compliance.</t>
        </is>
      </c>
      <c r="L1701" s="11" t="inlineStr">
        <is>
          <t>Requires AIFs to designate compliance officers, disclose key personnel, appoint custodians with specific timelines, and submit quarterly reports to SEBI. These obligations impact data transfer and storage by mandating personnel disclosures and custodian appointments for cross-border AIF operations.</t>
        </is>
      </c>
      <c r="M1701" s="11" t="inlineStr">
        <is>
          <t>• [Must] AIFs shall ensure Manager designates Compliance Officer who is not CEO or equivalent role
• [Must] Compliance Officer must monitor compliance with SEBI Act, AIF Regulations and circulars
• [Must] Key management personnel include members of investment team, decision-makers, and persons declared by AIF
• [Must] AIFs must disclose key management personnel in PPMs
• [Must] Changes in key management personnel must be intimated to investors and Board</t>
        </is>
      </c>
      <c r="N1701" s="11" t="inlineStr">
        <is>
          <t>• [Must] Custodian for AIF must be appointed prior to first investment
• [Must] Category I and II AIFs with corpus ≤ INR 500 crore must appoint custodian by Jan 31, 2025
• [Must] Managers must ensure compliance with Regulation 20(11A) for custodians who are associates of sponsor/manager
• [Must] Information for compliance must be incorporated in quarterly reporting format on SEBI Intermediary Portal</t>
        </is>
      </c>
      <c r="O1701" s="11" t="inlineStr">
        <is>
          <t>Chapter 13 – Obligations of manager, sponsor and trustee of AIFs</t>
        </is>
      </c>
      <c r="P1701" s="12" t="n">
        <v>50</v>
      </c>
    </row>
    <row r="1702">
      <c r="A1702" t="inlineStr">
        <is>
          <t>India</t>
        </is>
      </c>
      <c r="B1702" t="inlineStr">
        <is>
          <t>SEBI Master Circular for Alternative Investment Funds (India - Row 25)</t>
        </is>
      </c>
      <c r="C1702" t="inlineStr">
        <is>
          <t>14</t>
        </is>
      </c>
      <c r="D1702" s="11" t="inlineStr">
        <is>
          <t>Investment committee constitution for AIFs</t>
        </is>
      </c>
      <c r="E1702" t="inlineStr">
        <is>
          <t>37–38</t>
        </is>
      </c>
      <c r="F1702" t="inlineStr">
        <is>
          <t>High</t>
        </is>
      </c>
      <c r="G1702" t="inlineStr">
        <is>
          <t>High (explicit)</t>
        </is>
      </c>
      <c r="H1702" s="11" t="inlineStr">
        <is>
          <t>Cross-border Transfer, International Processing, Data Storage, Security, Consent, Customer Information, Financial Data, KYC, AML, Governance, Record Keeping</t>
        </is>
      </c>
      <c r="I1702" s="11" t="inlineStr">
        <is>
          <t>Financial Data, Customer Data</t>
        </is>
      </c>
      <c r="J1702" t="inlineStr">
        <is>
          <t>SEBI</t>
        </is>
      </c>
      <c r="K1702" s="11" t="inlineStr">
        <is>
          <t>Managers may form Investment Committees to approve AIF decisions with certain conditions. Investors do not need consent for changes in ex-officio external members. SEBI requires clarification on applicability of foreign exchange rules for Investment Committees with non-resident Indian members. Applications with external non-resident Indian members must wait for clarification before processing.</t>
        </is>
      </c>
      <c r="L1702" s="11" t="inlineStr">
        <is>
          <t>Specifies conditions for Investment Committee formation, including requirements for non-resident Indian members, which may impact data transfer and storage across borders for AIFs.</t>
        </is>
      </c>
      <c r="M1702" s="11" t="inlineStr">
        <is>
          <t>• [Must] Manager may constitute Investment Committee to approve AIF decisions
• [Must] Investment Committee must have waiver for compliance with Regulation 20(8)</t>
        </is>
      </c>
      <c r="N1702" s="11" t="inlineStr">
        <is>
          <t>• [Must] Investor consent not required for changes in ex-officio external members
• [Must] Applications with external non-resident Indian members require SEBI clarification before processing</t>
        </is>
      </c>
      <c r="O1702" s="11" t="inlineStr">
        <is>
          <t>Chapter 14 – Constitution of investment committee</t>
        </is>
      </c>
      <c r="P1702" s="12" t="n">
        <v>50</v>
      </c>
    </row>
    <row r="1703">
      <c r="A1703" t="inlineStr">
        <is>
          <t>India</t>
        </is>
      </c>
      <c r="B1703" t="inlineStr">
        <is>
          <t>SEBI Master Circular for Alternative Investment Funds (India - Row 25)</t>
        </is>
      </c>
      <c r="C1703" t="inlineStr">
        <is>
          <t>15</t>
        </is>
      </c>
      <c r="D1703" s="11" t="inlineStr">
        <is>
          <t>Quarterly reporting and compliance testing for AIFs</t>
        </is>
      </c>
      <c r="E1703" t="inlineStr">
        <is>
          <t>38–40</t>
        </is>
      </c>
      <c r="F1703" t="inlineStr">
        <is>
          <t>High</t>
        </is>
      </c>
      <c r="G1703" t="inlineStr">
        <is>
          <t>High (explicit)</t>
        </is>
      </c>
      <c r="H1703" s="11" t="inlineStr">
        <is>
          <t>Cross-border Transfer, International Processing, Data Storage, Security, Consent, Customer Information, Financial Data, KYC, AML, Governance, Record Keeping</t>
        </is>
      </c>
      <c r="I1703" s="11" t="inlineStr">
        <is>
          <t>Financial Data, Customer Data</t>
        </is>
      </c>
      <c r="J1703" t="inlineStr">
        <is>
          <t>SEBI</t>
        </is>
      </c>
      <c r="K1703" s="11" t="inlineStr">
        <is>
          <t>AIFs must submit quarterly reports to SEBI via the intermediary portal within 15 days of quarter-end. Managers must prepare and submit Compliance Test Reports (CTRs) within 30 days of financial year-end to trustees/sponsors. CTRs must be revised within 15 days if observations are received, and violations must be reported to SEBI immediately.</t>
        </is>
      </c>
      <c r="L1703" s="11" t="inlineStr">
        <is>
          <t>Mandates quarterly reporting and annual compliance testing for AIFs, which impacts data transfer and storage by requiring detailed reporting on investment activities and compliance status.</t>
        </is>
      </c>
      <c r="M1703" s="11" t="inlineStr">
        <is>
          <t>• [Must] AIFs must submit quarterly activity reports to SEBI within 15 days of quarter-end
• [Must] Reports must be submitted online through SEBI Intermediary Portal
• [Must] Manager must prepare Compliance Test Report (CTR) within 30 days of financial year-end</t>
        </is>
      </c>
      <c r="N1703" s="11" t="inlineStr">
        <is>
          <t>• [Must] CTR must be submitted to trustee/sponsor within 30 days of financial year-end
• [Must] Manager must revise CTR within 15 days of receiving observations/comments
• [Must] Violations must be reported to SEBI immediately by trustee/sponsor</t>
        </is>
      </c>
      <c r="O1703" s="11" t="inlineStr">
        <is>
          <t>Chapter 15 – Reporting by AIFs</t>
        </is>
      </c>
      <c r="P1703" s="12" t="n">
        <v>50</v>
      </c>
    </row>
    <row r="1704">
      <c r="A1704" t="inlineStr">
        <is>
          <t>India</t>
        </is>
      </c>
      <c r="B1704" t="inlineStr">
        <is>
          <t>SEBI Master Circular for Alternative Investment Funds (India - Row 25)</t>
        </is>
      </c>
      <c r="C1704" t="inlineStr">
        <is>
          <t>16</t>
        </is>
      </c>
      <c r="D1704" s="11" t="inlineStr">
        <is>
          <t>Performance benchmarking for AIFs</t>
        </is>
      </c>
      <c r="E1704" t="inlineStr">
        <is>
          <t>40–42</t>
        </is>
      </c>
      <c r="F1704" t="inlineStr">
        <is>
          <t>High</t>
        </is>
      </c>
      <c r="G1704" t="inlineStr">
        <is>
          <t>High (explicit)</t>
        </is>
      </c>
      <c r="H1704" s="11" t="inlineStr">
        <is>
          <t>Cross-border Transfer, International Processing, Data Storage, Security, Consent, Customer Information, Financial Data, KYC, AML, Governance, Record Keeping</t>
        </is>
      </c>
      <c r="I1704" s="11" t="inlineStr">
        <is>
          <t>Financial Data, Customer Data</t>
        </is>
      </c>
      <c r="J1704" t="inlineStr">
        <is>
          <t>SEBI</t>
        </is>
      </c>
      <c r="K1704" s="11" t="inlineStr">
        <is>
          <t>AIFs must participate in industry benchmarking to compare performance against other investments and global opportunities. Associations representing at least 33% of AIFs may select Benchmarking Agencies to collect data on scheme performance. AIFs must report scheme-wise valuation and cash flow data after one year from 'First Close' and provide performance reports to investors.</t>
        </is>
      </c>
      <c r="L1704" s="11" t="inlineStr">
        <is>
          <t>Requires AIFs to benchmark performance, which may impact data transfer and storage by mandating detailed reporting on investment activities and performance metrics.</t>
        </is>
      </c>
      <c r="M1704" s="11" t="inlineStr">
        <is>
          <t>• [Must] Association representing ≥33% of AIFs may notify Benchmarking Agencies</t>
        </is>
      </c>
      <c r="N1704" s="11" t="inlineStr">
        <is>
          <t>• [Must] Performance versus benchmark reports must be provided to investors</t>
        </is>
      </c>
      <c r="O1704" s="11" t="inlineStr">
        <is>
          <t>Chapter 16 – Performance Benchmarking of AIFs</t>
        </is>
      </c>
      <c r="P1704" s="12" t="n">
        <v>50</v>
      </c>
    </row>
    <row r="1705">
      <c r="A1705" t="inlineStr">
        <is>
          <t>India</t>
        </is>
      </c>
      <c r="B1705" t="inlineStr">
        <is>
          <t>SEBI Master Circular for Alternative Investment Funds (India - Row 25)</t>
        </is>
      </c>
      <c r="C1705" t="inlineStr">
        <is>
          <t>17</t>
        </is>
      </c>
      <c r="D1705" s="11" t="inlineStr">
        <is>
          <t>Investor charter and complaint disclosure for AIFs</t>
        </is>
      </c>
      <c r="E1705" t="inlineStr">
        <is>
          <t>42–43</t>
        </is>
      </c>
      <c r="F1705" t="inlineStr">
        <is>
          <t>High</t>
        </is>
      </c>
      <c r="G1705" t="inlineStr">
        <is>
          <t>High (explicit)</t>
        </is>
      </c>
      <c r="H1705" s="11" t="inlineStr">
        <is>
          <t>Cross-border Transfer, International Processing, Data Storage, Security, Consent, Customer Information, Financial Data, KYC, AML, Governance, Record Keeping</t>
        </is>
      </c>
      <c r="I1705" s="11" t="inlineStr">
        <is>
          <t>Customer Data</t>
        </is>
      </c>
      <c r="J1705" t="inlineStr">
        <is>
          <t>SEBI</t>
        </is>
      </c>
      <c r="K1705" s="11" t="inlineStr">
        <is>
          <t>AIFs must disclose Investor Charter in PPMs, including grievance redressal mechanisms and investor responsibilities. AIFs must also disclose data on investor complaints and redressal status in PPMs and maintain complaint data for 7 days after quarter-end.</t>
        </is>
      </c>
      <c r="L1705" s="11" t="inlineStr">
        <is>
          <t>Requires AIFs to disclose investor complaint data and redressal mechanisms, which impacts data transfer and storage by mandating detailed reporting on investor interactions.</t>
        </is>
      </c>
      <c r="M1705" s="11" t="inlineStr">
        <is>
          <t>• [Must] AIFs must disclose Investor Charter in PPMs
• [Must] AIFs must disclose investor complaint data and redressal status in PPMs</t>
        </is>
      </c>
      <c r="N1705" s="11" t="inlineStr">
        <is>
          <t>• [Must] AIFs must maintain complaint data for 7 days after quarter-end</t>
        </is>
      </c>
      <c r="O1705" s="11" t="inlineStr">
        <is>
          <t>Chapter 17 – Investor Charter and Disclosure of complaints by AIFs</t>
        </is>
      </c>
      <c r="P1705" s="12" t="n">
        <v>50</v>
      </c>
    </row>
    <row r="1706">
      <c r="A1706" t="inlineStr">
        <is>
          <t>India</t>
        </is>
      </c>
      <c r="B1706" t="inlineStr">
        <is>
          <t>SEBI Master Circular for Alternative Investment Funds (India - Row 25)</t>
        </is>
      </c>
      <c r="C1706" t="inlineStr">
        <is>
          <t>18</t>
        </is>
      </c>
      <c r="D1706" s="11" t="inlineStr">
        <is>
          <t>Stamp duty collection for AIF units</t>
        </is>
      </c>
      <c r="E1706" t="inlineStr">
        <is>
          <t>43–44</t>
        </is>
      </c>
      <c r="F1706" t="inlineStr">
        <is>
          <t>High</t>
        </is>
      </c>
      <c r="G1706" t="inlineStr">
        <is>
          <t>High (explicit)</t>
        </is>
      </c>
      <c r="H1706" s="11" t="inlineStr">
        <is>
          <t>Cross-border Transfer, International Processing, Data Storage, Security, Consent, Customer Information, Financial Data, KYC, AML, Governance, Record Keeping</t>
        </is>
      </c>
      <c r="I1706" s="11" t="inlineStr">
        <is>
          <t>Financial Data</t>
        </is>
      </c>
      <c r="J1706" t="inlineStr">
        <is>
          <t>SEBI</t>
        </is>
      </c>
      <c r="K1706" s="11" t="inlineStr">
        <is>
          <t>AIFs must collect stamp duty on issue, transfer and sale of units through RTAs as per Indian Stamp Act, 1899. RTAs appointed by AIFs are responsible for collecting stamp duty in demat mode transactions through stock exchanges or depositories.</t>
        </is>
      </c>
      <c r="L1706" s="11" t="inlineStr">
        <is>
          <t>Requires AIFs to collect stamp duty on unit transactions, which impacts data transfer and storage by mandating specific collection mechanisms for financial transactions.</t>
        </is>
      </c>
      <c r="M1706" s="11" t="inlineStr">
        <is>
          <t>• [Must] AIFs must collect stamp duty on issue, transfer and sale of units through RTAs</t>
        </is>
      </c>
      <c r="N1706" s="11" t="inlineStr"/>
      <c r="O1706" s="11" t="inlineStr">
        <is>
          <t>Chapter 18 – Collection of stamp duty on issue, transfer and sale of units of AIFs</t>
        </is>
      </c>
      <c r="P1706" s="12" t="n">
        <v>50</v>
      </c>
    </row>
    <row r="1707">
      <c r="A1707" t="inlineStr">
        <is>
          <t>India</t>
        </is>
      </c>
      <c r="B1707" t="inlineStr">
        <is>
          <t>SEBI Master Circular for Alternative Investment Funds (India - Row 25)</t>
        </is>
      </c>
      <c r="C1707" t="inlineStr">
        <is>
          <t>19</t>
        </is>
      </c>
      <c r="D1707" s="11" t="inlineStr">
        <is>
          <t>Fee for changes in AIF manager or sponsor control</t>
        </is>
      </c>
      <c r="E1707" t="inlineStr">
        <is>
          <t>44–46</t>
        </is>
      </c>
      <c r="F1707" t="inlineStr">
        <is>
          <t>High</t>
        </is>
      </c>
      <c r="G1707" t="inlineStr">
        <is>
          <t>High (explicit)</t>
        </is>
      </c>
      <c r="H1707" s="11" t="inlineStr">
        <is>
          <t>Cross-border Transfer, Financial Data, KYC</t>
        </is>
      </c>
      <c r="I1707" s="11" t="inlineStr">
        <is>
          <t>Financial Data</t>
        </is>
      </c>
      <c r="J1707" t="inlineStr">
        <is>
          <t>SEBI</t>
        </is>
      </c>
      <c r="K1707" s="11" t="inlineStr">
        <is>
          <t>This section mandates that AIFs obtain prior SEBI approval for changes in manager or sponsor control, subject to fees. The fee equals the registration fee for the relevant AIF category. The fee must be paid within 15 days of the change and cannot be passed to investors. Simultaneous changes in manager and sponsor control incur a single registration fee. Specific exemptions apply for certain scenarios like manager acquiring control or sponsor exits in multi-sponsor schemes. The approval is valid for six months from SEBI communication.</t>
        </is>
      </c>
      <c r="L1707" s="11" t="inlineStr">
        <is>
          <t>This section imposes specific fee structures and timelines for changes in AIF manager/sponsor control, requiring SEBI approval and fee payment within 15 days. It affects cross-border data transfers if AIFs operate internationally, as fee structures and approval processes may impact data handling across borders.</t>
        </is>
      </c>
      <c r="M1707" s="11" t="inlineStr">
        <is>
          <t>• [Must] AIF must obtain prior SEBI approval for changes in manager or sponsor control
• [Must] Fee equivalent to registration fee for relevant AIF category must be levied
• [Must] Fee must be paid within 15 days of proposed change
• [Must Not] Fee cannot be passed to AIF investors</t>
        </is>
      </c>
      <c r="N1707" s="11" t="inlineStr">
        <is>
          <t>• [Must] Single registration fee applies for simultaneous changes in manager and sponsor control
• [Must Not] Fee exemption applies when manager acquires control or replaces sponsor in multi-sponsor schemes
• [Must] SEBI approval valid for 6 months from communication date
• [Must] Changes must comply with provisions in sections 2.5.4 and 2.5.5</t>
        </is>
      </c>
      <c r="O1707" s="11" t="inlineStr">
        <is>
          <t>In terms of Regulation 20(13) of AIF Regulations, in case of change of Sponsor or Manager, or change in control of the AIF, Sponsor or Manager, prior approval from the Board shall be taken by the AIF, subject to levy of fees and any other conditions as may be specified by SEBI from time to time.</t>
        </is>
      </c>
      <c r="P1707" s="12" t="n">
        <v>50</v>
      </c>
    </row>
    <row r="1708">
      <c r="A1708" t="inlineStr">
        <is>
          <t>India</t>
        </is>
      </c>
      <c r="B1708" t="inlineStr">
        <is>
          <t>SEBI Master Circular for Alternative Investment Funds (India - Row 25)</t>
        </is>
      </c>
      <c r="C1708" t="inlineStr">
        <is>
          <t>20</t>
        </is>
      </c>
      <c r="D1708" s="11" t="inlineStr">
        <is>
          <t>Dematerialisation of AIF units and credit to demat accounts</t>
        </is>
      </c>
      <c r="E1708" t="inlineStr">
        <is>
          <t>46–50</t>
        </is>
      </c>
      <c r="F1708" t="inlineStr">
        <is>
          <t>High</t>
        </is>
      </c>
      <c r="G1708" t="inlineStr">
        <is>
          <t>High (explicit)</t>
        </is>
      </c>
      <c r="H1708" s="11" t="inlineStr">
        <is>
          <t>Data Storage, Financial Data, KYC</t>
        </is>
      </c>
      <c r="I1708" s="11" t="inlineStr">
        <is>
          <t>Financial Data</t>
        </is>
      </c>
      <c r="J1708" t="inlineStr">
        <is>
          <t>SEBI</t>
        </is>
      </c>
      <c r="K1708" s="11" t="inlineStr">
        <is>
          <t>This section specifies timelines for dematerialising AIF units, requiring units to be issued in dematerialised form by specific dates. It establishes an 'Aggregate Escrow Demat Account' for investors who haven't provided demat details, with rules for transferring units to investors' accounts within 5 working days. Managers must report compliance to SEBI via the Intermediary Portal. The process ensures units are held in dematerialised form for investors with demat accounts, while temporarily holding units in escrow for those without.</t>
        </is>
      </c>
      <c r="L1708" s="11" t="inlineStr">
        <is>
          <t>This section mandates dematerialisation of AIF units and establishes an escrow account for investors without demat details, impacting data storage and transfer mechanisms. It requires specific timelines for credit to demat accounts and reporting to SEBI, affecting data handling across borders.</t>
        </is>
      </c>
      <c r="M1708" s="11" t="inlineStr">
        <is>
          <t>• [Must] Schemes with corpus ≥ INR 500 crore must dematerialise all units by October 31, 2023
• [Must] Schemes with corpus &lt; INR 500 crore must dematerialise all units by April 30, 2024
• [Must] Units issued after November 1, 2023 must be in dematerialised form
• [Must] Units issued after April 30, 2024 must be in dematerialised form
• [Must] Investors without demat details must be placed in Aggregate Escrow Demat Account</t>
        </is>
      </c>
      <c r="N1708" s="11" t="inlineStr">
        <is>
          <t>• [Must] Units in Aggregate Escrow Demat Account must be transferred to investors' accounts within 5 working days
• [Must] Manager must submit compliance reports to SEBI via Intermediary Portal
• [Must] Schemes must credit units to Aggregate Escrow Demat Account by January 31, 2024
• [Must] Schemes must credit units to Aggregate Escrow Demat Account by May 10, 2024</t>
        </is>
      </c>
      <c r="O1708" s="11" t="inlineStr">
        <is>
          <t>All schemes of AIFs shall dematerialise their units in the following time frame: Schemes of AIFs with corpus ≥ INR 500 Crore - dematerialise all units by October 31, 2023.</t>
        </is>
      </c>
      <c r="P1708" s="12" t="n">
        <v>50</v>
      </c>
    </row>
    <row r="1709">
      <c r="A1709" t="inlineStr">
        <is>
          <t>India</t>
        </is>
      </c>
      <c r="B1709" t="inlineStr">
        <is>
          <t>SEBI Master Circular for Alternative Investment Funds (India - Row 25)</t>
        </is>
      </c>
      <c r="C1709" t="inlineStr">
        <is>
          <t>21</t>
        </is>
      </c>
      <c r="D1709" s="11" t="inlineStr">
        <is>
          <t>Dematerialised form for AIF investments</t>
        </is>
      </c>
      <c r="E1709" t="inlineStr">
        <is>
          <t>50–51</t>
        </is>
      </c>
      <c r="F1709" t="inlineStr">
        <is>
          <t>High</t>
        </is>
      </c>
      <c r="G1709" t="inlineStr">
        <is>
          <t>High (explicit)</t>
        </is>
      </c>
      <c r="H1709" s="11" t="inlineStr">
        <is>
          <t>Data Storage, Financial Data, KYC</t>
        </is>
      </c>
      <c r="I1709" s="11" t="inlineStr">
        <is>
          <t>Financial Data</t>
        </is>
      </c>
      <c r="J1709" t="inlineStr">
        <is>
          <t>SEBI</t>
        </is>
      </c>
      <c r="K1709" s="11" t="inlineStr">
        <is>
          <t>This section requires AIFs to hold investments in dematerialised form starting October 1, 2024, with exemptions for certain investments. Investments made before this date must be converted to dematerialised form by January 31, 2025, unless exempted under specific conditions. The requirement does not apply to schemes with tenure ending by January 31, 2025, or schemes in extended tenure as of January 12, 2024.</t>
        </is>
      </c>
      <c r="L1709" s="11" t="inlineStr">
        <is>
          <t>This section mandates dematerialised form for AIF investments with specific timelines and exemptions, affecting data storage and transfer mechanisms. It requires conversion of pre-October 2024 investments to dematerialised form by January 31, 2025, with exemptions for certain schemes.</t>
        </is>
      </c>
      <c r="M1709" s="11" t="inlineStr">
        <is>
          <t>• [Must] All investments made by AIF on or after October 1, 2024 must be held in dematerialised form
• [Must] Investments made before October 1, 2024 must be converted to dematerialised form by January 31, 2025
• [Must Not] Exemptions apply for investments where investee company mandates dematerialisation</t>
        </is>
      </c>
      <c r="N1709" s="11" t="inlineStr">
        <is>
          <t>• [Must Not] Exemptions apply for AIFs exercising control over investee companies
• [Must Not] Schemes with tenure ending by January 31, 2025 are exempt
• [Must Not] Schemes in extended tenure as of January 12, 2024 are exempt</t>
        </is>
      </c>
      <c r="O1709" s="11" t="inlineStr">
        <is>
          <t>Any investment made by an AIF on or after October 01, 2024 shall be held in dematerialised form only, irrespective of whether the investment is made directly in the investee company or is acquired from another entity.</t>
        </is>
      </c>
      <c r="P1709" s="12" t="n">
        <v>50</v>
      </c>
    </row>
    <row r="1710">
      <c r="A1710" t="inlineStr">
        <is>
          <t>India</t>
        </is>
      </c>
      <c r="B1710" t="inlineStr">
        <is>
          <t>SEBI Master Circular for Alternative Investment Funds (India - Row 25)</t>
        </is>
      </c>
      <c r="C1710" t="inlineStr">
        <is>
          <t>22</t>
        </is>
      </c>
      <c r="D1710" s="11" t="inlineStr">
        <is>
          <t>Valuation of AIF investments</t>
        </is>
      </c>
      <c r="E1710" t="inlineStr">
        <is>
          <t>51–54</t>
        </is>
      </c>
      <c r="F1710" t="inlineStr">
        <is>
          <t>High</t>
        </is>
      </c>
      <c r="G1710" t="inlineStr">
        <is>
          <t>High (explicit)</t>
        </is>
      </c>
      <c r="H1710" s="11" t="inlineStr">
        <is>
          <t>Data Storage, Financial Data, KYC</t>
        </is>
      </c>
      <c r="I1710" s="11" t="inlineStr">
        <is>
          <t>Financial Data</t>
        </is>
      </c>
      <c r="J1710" t="inlineStr">
        <is>
          <t>SEBI</t>
        </is>
      </c>
      <c r="K1710" s="11" t="inlineStr">
        <is>
          <t>This section outlines valuation methodologies for AIF investments, requiring managers to follow SEBI-approved valuation norms. It mandates disclosure of valuation methodologies in PPM, ensures independent valuers meet specific criteria, and requires reporting of valuation changes to investors and SEBI. Managers must disclose significant deviations in valuation (20% between consecutive valuations or 33% in a financial year) and any changes in valuation methodologies.</t>
        </is>
      </c>
      <c r="L1710" s="11" t="inlineStr">
        <is>
          <t>This section specifies valuation methodologies for AIF investments, requiring disclosure of valuation changes and independent valuer criteria. It impacts data storage and transfer mechanisms by mandating specific valuation processes and reporting requirements.</t>
        </is>
      </c>
      <c r="M1710" s="11" t="inlineStr">
        <is>
          <t>• [Must] Valuation of securities with prescribed norms must follow SEBI (Mutual Funds) Regulations
• [Must] Valuation of other securities must follow industry association guidelines endorsed by SEBI
• [Must] Manager must disclose valuation methodology in PPM for each asset class
• [Must] Independent valuer must not be an associate of manager or sponsor</t>
        </is>
      </c>
      <c r="N1710" s="11" t="inlineStr">
        <is>
          <t>• [Must] Independent valuer must have at least three years of experience in unlisted securities valuation
• [Must] Manager must inform investors of valuation deviations exceeding 20% between consecutive valuations
• [Must] Manager must inform investors of valuation deviations exceeding 33% in a financial year
• [Must] Manager must report changes in valuation methodology to SEBI and investors</t>
        </is>
      </c>
      <c r="O1710" s="11" t="inlineStr">
        <is>
          <t>In terms of Regulation 23(1), AIFs are inter-alia required to carry out valuation of their investments in the manner specified by SEBI from time to time.</t>
        </is>
      </c>
      <c r="P1710" s="12" t="n">
        <v>50</v>
      </c>
    </row>
    <row r="1711">
      <c r="A1711" t="inlineStr">
        <is>
          <t>India</t>
        </is>
      </c>
      <c r="B1711" t="inlineStr">
        <is>
          <t>SEBI Master Circular for Alternative Investment Funds (India - Row 25)</t>
        </is>
      </c>
      <c r="C1711" t="inlineStr">
        <is>
          <t>23</t>
        </is>
      </c>
      <c r="D1711" s="11" t="inlineStr">
        <is>
          <t>Liquidation and in-specie distribution of unliquidated investments in AIFs</t>
        </is>
      </c>
      <c r="E1711" t="inlineStr">
        <is>
          <t>54–59</t>
        </is>
      </c>
      <c r="F1711" t="inlineStr">
        <is>
          <t>High</t>
        </is>
      </c>
      <c r="G1711" t="inlineStr">
        <is>
          <t>High (explicit)</t>
        </is>
      </c>
      <c r="H1711" s="11" t="inlineStr">
        <is>
          <t>Cross-border Transfer, Data Storage, Data Sharing, Financial Data</t>
        </is>
      </c>
      <c r="I1711" s="11" t="inlineStr">
        <is>
          <t>Financial Data</t>
        </is>
      </c>
      <c r="J1711" t="inlineStr">
        <is>
          <t>SEBI</t>
        </is>
      </c>
      <c r="K1711" s="11" t="inlineStr">
        <is>
          <t>During an AIF's liquidation period, the AIF must obtain 75% investor consent by value to launch a liquidation scheme or distribute unliquidated investments in-specie. The scheme must name 'Liquidation Scheme', arrange bids for at least 25% of unliquidated investments, disclose bid valuations to investors, and provide exit options to dissenting investors. If the bid fails, unliquidated investments are valued at one rupee. The AIF must distribute units to investors in-specie and report to Performance Benchmarking Agencies.</t>
        </is>
      </c>
      <c r="L1711" s="11" t="inlineStr">
        <is>
          <t>Requires specific consent thresholds, bid mechanisms, and valuation rules for cross-border data transfers during AIF liquidation, impacting data transfer safeguards and financial reporting.</t>
        </is>
      </c>
      <c r="M1711" s="11" t="inlineStr">
        <is>
          <t>• [Must] AIF must obtain consent of 75% of investors by value for liquidation scheme or in-specie distribution
• [Must] Liquidation scheme must contain 'Liquidation Scheme' in its name
• [Must] AIF must arrange bid for minimum 25% of unliquidated investments value
• [Must] AIF must disclose bid value and valuation by two independent valuers to investors
• [Must] Dissenting investors must be offered exit option from 25% bid
• [Must] Unsubscribed bid portion must provide pro-rata exit to non-dissenting investors</t>
        </is>
      </c>
      <c r="N1711" s="11" t="inlineStr">
        <is>
          <t>• [Must Not] Bidder or related parties cannot exit from Original Scheme
• [Must] Unliquidated investments valued at one rupee if bid fails to secure 25%
• [Must] AIF must distribute Liquidation Scheme units in-specie to investors
• [Must] Liquidation Scheme must be launched before Original Scheme expiry
• [Must] Value of sale must be reported to Performance Benchmarking Agencies</t>
        </is>
      </c>
      <c r="O1711" s="11" t="inlineStr">
        <is>
          <t>23.1.1. During the Liquidation Period of a scheme of an AIF (‘Original Scheme'), if the AIF decides to launch Liquidation Scheme, the AIF shall obtain consent of 75% of investors by value of their investment in the Original Scheme.</t>
        </is>
      </c>
      <c r="P1711" s="12" t="n">
        <v>50</v>
      </c>
    </row>
    <row r="1712">
      <c r="A1712" t="inlineStr">
        <is>
          <t>India</t>
        </is>
      </c>
      <c r="B1712" t="inlineStr">
        <is>
          <t>SEBI Master Circular for Alternative Investment Funds (India - Row 25)</t>
        </is>
      </c>
      <c r="C1712" t="inlineStr">
        <is>
          <t>24</t>
        </is>
      </c>
      <c r="D1712" s="11" t="inlineStr">
        <is>
          <t>Excusing or excluding investors from AIF investments</t>
        </is>
      </c>
      <c r="E1712" t="inlineStr">
        <is>
          <t>59–60</t>
        </is>
      </c>
      <c r="F1712" t="inlineStr">
        <is>
          <t>Medium</t>
        </is>
      </c>
      <c r="G1712" t="inlineStr">
        <is>
          <t>High (explicit)</t>
        </is>
      </c>
      <c r="H1712" s="11" t="inlineStr">
        <is>
          <t>Financial Data</t>
        </is>
      </c>
      <c r="I1712" s="11" t="inlineStr">
        <is>
          <t>Financial Data</t>
        </is>
      </c>
      <c r="J1712" t="inlineStr">
        <is>
          <t>SEBI</t>
        </is>
      </c>
      <c r="K1712" s="11" t="inlineStr">
        <is>
          <t>An AIF may excuse an investor from participating in an investment if the investor confirms participation would violate law or internal policy. The AIF may exclude an investor if participation would violate law or cause material adverse effect. The manager must record rationale and supporting documents for exclusions. Investors in other AIFs may be partially excused or excluded based on their underlying investors' status.</t>
        </is>
      </c>
      <c r="L1712" s="11" t="inlineStr">
        <is>
          <t>Provides mechanisms for investor exclusion based on legal compliance, relevant for data transfer impact assessments involving investor data.</t>
        </is>
      </c>
      <c r="M1712" s="11" t="inlineStr">
        <is>
          <t>• [May] AIF may excuse investor if participation violates applicable law
• [May] AIF may excuse investor if participation violates investor's internal policy
• [Must] Manager must ensure agreement with investor includes reporting policy changes within 15 days</t>
        </is>
      </c>
      <c r="N1712" s="11" t="inlineStr">
        <is>
          <t>• [May] AIF may exclude investor if participation would violate law or cause material adverse effect
• [Must] Manager must record rationale and supporting documents for exclusions</t>
        </is>
      </c>
      <c r="O1712" s="11" t="inlineStr">
        <is>
          <t>24.1.1. If the investor, based on the opinion of a legal professional/legal advisor, confirms that its participation in the investment opportunity would be in violation of an applicable law or regulation</t>
        </is>
      </c>
      <c r="P1712" s="12" t="n">
        <v>50</v>
      </c>
    </row>
    <row r="1713">
      <c r="A1713" t="inlineStr">
        <is>
          <t>India</t>
        </is>
      </c>
      <c r="B1713" t="inlineStr">
        <is>
          <t>SEBI Master Circular for Alternative Investment Funds (India - Row 25)</t>
        </is>
      </c>
      <c r="C1713" t="inlineStr">
        <is>
          <t>25</t>
        </is>
      </c>
      <c r="D1713" s="11" t="inlineStr">
        <is>
          <t>Direct plans and distribution fee models for AIFs</t>
        </is>
      </c>
      <c r="E1713" t="inlineStr">
        <is>
          <t>60–69</t>
        </is>
      </c>
      <c r="F1713" t="inlineStr">
        <is>
          <t>High</t>
        </is>
      </c>
      <c r="G1713" t="inlineStr">
        <is>
          <t>High (explicit)</t>
        </is>
      </c>
      <c r="H1713" s="11" t="inlineStr">
        <is>
          <t>Financial Data, Data Sharing</t>
        </is>
      </c>
      <c r="I1713" s="11" t="inlineStr">
        <is>
          <t>Financial Data</t>
        </is>
      </c>
      <c r="J1713" t="inlineStr">
        <is>
          <t>SEBI</t>
        </is>
      </c>
      <c r="K1713" s="11" t="inlineStr">
        <is>
          <t>AIFs must offer a Direct Plan without distribution fees. Investors approached through intermediaries must be onboarded via Direct Plan. AIFs must disclose distribution fees at onboarding. Category III AIFs charge fees only on equal trail basis with no upfront fees, while Category I and II AIFs may pay up to one-third of fees upfront to distributors.</t>
        </is>
      </c>
      <c r="L1713" s="11" t="inlineStr">
        <is>
          <t>Requires transparent fee structures and direct investment options, impacting data transfer costs and financial reporting for AIFs.</t>
        </is>
      </c>
      <c r="M1713" s="11" t="inlineStr">
        <is>
          <t>• [Must] Schemes must offer Direct Plan without distribution fees
• [Must] Investors through intermediaries must be onboarded via Direct Plan
• [Must] AIFs must disclose distribution fees at onboarding</t>
        </is>
      </c>
      <c r="N1713" s="11" t="inlineStr">
        <is>
          <t>• [Must] Category III AIFs charge fees only on equal trail basis with no upfront fees
• [May] Category I and II AIFs may pay up to one-third of fees upfront to distributors</t>
        </is>
      </c>
      <c r="O1713" s="11" t="inlineStr">
        <is>
          <t>25.1.1. Schemes of AIFs shall have an option of 'Direct Plan' for investors. Such Direct Plan shall not entail any distribution fee/placement fee.</t>
        </is>
      </c>
      <c r="P1713" s="12" t="n">
        <v>50</v>
      </c>
    </row>
    <row r="1714">
      <c r="A1714" t="inlineStr">
        <is>
          <t>India</t>
        </is>
      </c>
      <c r="B1714" t="inlineStr">
        <is>
          <t>SEBI Master Circular for Alternative Investment Funds (India - Row 25)</t>
        </is>
      </c>
      <c r="C1714" t="inlineStr">
        <is>
          <t>25 (part 2)</t>
        </is>
      </c>
      <c r="D1714" s="11" t="inlineStr">
        <is>
          <t>Disclosure requirements for AIF investment terms and timelines</t>
        </is>
      </c>
      <c r="E1714" t="inlineStr">
        <is>
          <t>69–75</t>
        </is>
      </c>
      <c r="F1714" t="inlineStr">
        <is>
          <t>High</t>
        </is>
      </c>
      <c r="G1714" t="inlineStr">
        <is>
          <t>High (explicit)</t>
        </is>
      </c>
      <c r="H1714" s="11" t="inlineStr">
        <is>
          <t>Cross-border Transfer,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t>
        </is>
      </c>
      <c r="I1714" s="11" t="inlineStr">
        <is>
          <t>Financial Data, Customer Data</t>
        </is>
      </c>
      <c r="J1714" t="inlineStr">
        <is>
          <t>SEBI</t>
        </is>
      </c>
      <c r="K1714" s="11" t="inlineStr">
        <is>
          <t>This section mandates disclosure of specific investment terms, timelines for warehousing and transferring investments, and mechanisms for handling defaults. It requires AIFs to disclose differential rights, impact on other investors, investment timelines, default procedures, in-specie distribution instances, co-investment compliance, and conflict management policies. These disclosures apply to Alternative Investment Funds (AIFs) seeking to provide investment opportunities to investors.</t>
        </is>
      </c>
      <c r="L1714" s="11" t="inlineStr">
        <is>
          <t>This section imposes disclosure obligations on AIFs regarding investment terms and timelines, which are critical for assessing the transparency and risk management of cross-border investments. It ensures investors understand the structure and potential impacts of AIF investments before committing capital.</t>
        </is>
      </c>
      <c r="M1714" s="11" t="inlineStr">
        <is>
          <t>• [Must] Disclose list of commercial and non-commercial terms for differential rights through side letter arrangements or additional units
• [Must] Disclose whether differential rights affect economic or other rights of other investors
• [Must] Disclose timelines for warehousing and transferring investments
• [Must] Disclose timelines for intimation of warehoused investments to investors</t>
        </is>
      </c>
      <c r="N1714" s="11" t="inlineStr">
        <is>
          <t>• [Must] Disclose mechanisms for handling defaulting investors who fail to meet drawdown timelines
• [Must] Disclose specific instances where in-specie distribution may occur
• [Must] Disclose compliance with AIF Regulations and PMS Regulations for co-investments
• [Must] Establish written down conflict management policy with specified timeline</t>
        </is>
      </c>
      <c r="O1714" s="11" t="inlineStr">
        <is>
          <t>Whether the list of commercial and non-commercial terms, on which differential rights may be offered through side letter arrangement or issuance of additional class of units, is disclosed</t>
        </is>
      </c>
      <c r="P1714" s="12" t="n">
        <v>50</v>
      </c>
    </row>
    <row r="1715">
      <c r="A1715" t="inlineStr">
        <is>
          <t>India</t>
        </is>
      </c>
      <c r="B1715" t="inlineStr">
        <is>
          <t>SEBI Master Circular for Alternative Investment Funds (India - Row 25)</t>
        </is>
      </c>
      <c r="C1715" t="inlineStr">
        <is>
          <t>25 (part 3)</t>
        </is>
      </c>
      <c r="D1715" s="11" t="inlineStr">
        <is>
          <t>Overseas investment eligibility and regulatory compliance requirements</t>
        </is>
      </c>
      <c r="E1715" t="inlineStr">
        <is>
          <t>75–80</t>
        </is>
      </c>
      <c r="F1715" t="inlineStr">
        <is>
          <t>High</t>
        </is>
      </c>
      <c r="G1715" t="inlineStr">
        <is>
          <t>High (explicit)</t>
        </is>
      </c>
      <c r="H1715" s="11" t="inlineStr">
        <is>
          <t>Cross-border Transfer,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t>
        </is>
      </c>
      <c r="I1715" s="11" t="inlineStr">
        <is>
          <t>Financial Data, Customer Data</t>
        </is>
      </c>
      <c r="J1715" t="inlineStr">
        <is>
          <t>SEBI</t>
        </is>
      </c>
      <c r="K1715" s="11" t="inlineStr">
        <is>
          <t>This section specifies eligibility criteria for overseas investments by AIFs, including requirements for offshore venture capital undertakings, compliance with FATF standards, prohibition on joint ventures, adherence to FEMA regulations, and conditions for selling stakes in overseas investments. These requirements apply to AIFs conducting overseas investments and must be met to ensure regulatory compliance and mitigate financial risks.</t>
        </is>
      </c>
      <c r="L1715" s="11" t="inlineStr">
        <is>
          <t>This section defines critical eligibility criteria for overseas investments, including FATF compliance, prohibition on joint ventures, and adherence to FEMA regulations, which are essential for assessing the risks and regulatory alignment of cross-border investments.</t>
        </is>
      </c>
      <c r="M1715" s="11" t="inlineStr">
        <is>
          <t>• [Must] Manager must exercise due diligence on investment decisions
• [Must] Investment must be in equity or equity-linked instruments
• [Must] Overseas investee company must be an offshore venture capital undertaking
• [Must] Overseas investee company must be in a country with securities market regulator signatory to MOU with SEBI
• [Must] Overseas investee company must not be in a FATF-listed jurisdiction with money laundering deficiencies</t>
        </is>
      </c>
      <c r="N1715" s="11" t="inlineStr">
        <is>
          <t>• [Must] AIF shall not invest in joint ventures or wholly owned subsidiaries while making overseas investments
• [Must] AIF must adhere to FEMA, 1999 and its regulations
• [Must] AIF must comply with RBI guidelines for overseas investments by NBFCs
• [Must] Entity receiving transferred stake must be eligible for overseas investments per FEMA guidelines</t>
        </is>
      </c>
      <c r="O1715" s="11" t="inlineStr">
        <is>
          <t>The manager has exercised due diligence with respect to the investment decision.</t>
        </is>
      </c>
      <c r="P1715" s="12" t="n">
        <v>50</v>
      </c>
    </row>
    <row r="1716">
      <c r="A1716" t="inlineStr">
        <is>
          <t>India</t>
        </is>
      </c>
      <c r="B1716" t="inlineStr">
        <is>
          <t>SEBI Master Circular for Alternative Investment Funds (India - Row 25)</t>
        </is>
      </c>
      <c r="C1716" t="inlineStr">
        <is>
          <t>25 (part 4)</t>
        </is>
      </c>
      <c r="D1716" s="11" t="inlineStr">
        <is>
          <t>Investor consent withdrawal and grandfathering for alternative investment funds</t>
        </is>
      </c>
      <c r="E1716" t="inlineStr">
        <is>
          <t>80–87</t>
        </is>
      </c>
      <c r="F1716" t="inlineStr">
        <is>
          <t>High</t>
        </is>
      </c>
      <c r="G1716" t="inlineStr">
        <is>
          <t>High (explicit)</t>
        </is>
      </c>
      <c r="H1716" s="11" t="inlineStr">
        <is>
          <t>Cross-border Transfer, Consent</t>
        </is>
      </c>
      <c r="I1716" s="11" t="inlineStr">
        <is>
          <t>Financial Data, Customer Data</t>
        </is>
      </c>
      <c r="J1716" t="inlineStr">
        <is>
          <t>SEBI</t>
        </is>
      </c>
      <c r="K1716" s="11" t="inlineStr">
        <is>
          <t>Investors who withdraw consent after benefiting from lower ticket size must increase investment to the minimum amount stipulated by regulatory frameworks within the client agreement timeframe. Withdrawn consent before client agreement expiry grandfathering existing investments while new transactions follow standard investor regulations. Investors in pooled products with regulatory concessions cannot withdraw consent. Client agreements must specify withdrawal modalities and consequences.</t>
        </is>
      </c>
      <c r="L1716" s="11" t="inlineStr">
        <is>
          <t>Requires specific conditions for investor consent withdrawal affecting data transfer mechanisms in alternative investment funds, including grandfathering provisions for existing investments and regulatory compliance for new transactions.</t>
        </is>
      </c>
      <c r="M1716" s="11" t="inlineStr">
        <is>
          <t>• [Must] Investor withdrawing consent after lower ticket size benefit must increase investment to minimum regulatory amount within client agreement timeframe
• [Must] Investor withdrawing consent before client agreement expiry grandfathering existing investments
• [Must] Investor withdrawing consent before client agreement expiry must follow standard investor regulatory framework for new transactions</t>
        </is>
      </c>
      <c r="N1716" s="11" t="inlineStr">
        <is>
          <t>• [Must Not] Investors in pooled products with regulatory concessions cannot withdraw consent
• [Must] Client agreements must specify withdrawal modalities and consequences</t>
        </is>
      </c>
      <c r="O1716" s="11" t="inlineStr">
        <is>
          <t>An investor who withdraws ‘Consent' after availing the benefit of lower ticket size shall be required to increase the investment to the minimum amount that is stipulated under the applicable regulatory framework for the particular investment product, within the timeframe specified in the client agreement.</t>
        </is>
      </c>
      <c r="P1716" s="12" t="n">
        <v>50</v>
      </c>
    </row>
    <row r="1717">
      <c r="A1717" t="inlineStr">
        <is>
          <t>India</t>
        </is>
      </c>
      <c r="B1717" t="inlineStr">
        <is>
          <t>SEBI Master Circular for Alternative Investment Funds (India - Row 25)</t>
        </is>
      </c>
      <c r="C1717" t="inlineStr">
        <is>
          <t>25 (part 6)</t>
        </is>
      </c>
      <c r="D1717" s="11" t="inlineStr">
        <is>
          <t>Compliance with SEBI regulations for AIFs</t>
        </is>
      </c>
      <c r="E1717" t="inlineStr">
        <is>
          <t>95–103</t>
        </is>
      </c>
      <c r="F1717" t="inlineStr">
        <is>
          <t>High</t>
        </is>
      </c>
      <c r="G1717" t="inlineStr">
        <is>
          <t>High (explicit)</t>
        </is>
      </c>
      <c r="H1717" s="11" t="inlineStr"/>
      <c r="I1717" s="11" t="inlineStr">
        <is>
          <t>Financial Data, Customer Data</t>
        </is>
      </c>
      <c r="J1717" t="inlineStr">
        <is>
          <t>SEBI</t>
        </is>
      </c>
      <c r="K1717" s="11" t="inlineStr">
        <is>
          <t>This section mandates that AIFs comply with SEBI regulations by maintaining records of compliance with specific sections of the placement memorandum and other regulatory requirements. It requires AIFs to ensure that their investment committees, custodians, and compliance officers adhere to defined standards, including fiduciary responsibilities, conflict of interest management, and transparent reporting to investors. The section also specifies annual audits, valuation procedures, and reporting obligations to SEBI.</t>
        </is>
      </c>
      <c r="L1717" s="11" t="inlineStr">
        <is>
          <t>This section requires AIFs to maintain detailed records of compliance with SEBI regulations, including specific disclosures in the placement memorandum and adherence to valuation procedures. These requirements impact data transfer impact assessments by mandating transparency in financial reporting and investor communications.</t>
        </is>
      </c>
      <c r="M1717" s="11" t="inlineStr">
        <is>
          <t>• [Must] AIF must inform SEBI of material changes in information provided at application
• [Must] AIF must obtain SEBI prior approval for changes in control of Sponsor or Manager
• [Must] AIF books of accounts must be audited annually by a qualified auditor
• [Must] Manager must appoint registered custodian for safekeeping of securities
• [Must] Category III AIF must keep custody of securities for physical settlement of commodity derivatives
• [May] Associate of sponsor/manager may act as custodian subject to specified conditions
• [Must] Manager must appoint compliance officer meeting specified eligibility criteria</t>
        </is>
      </c>
      <c r="N1717" s="11" t="inlineStr">
        <is>
          <t>• [Must] Compliance officer must report non-compliance to SEBI within 7 days
• [Must] Sponsor and Manager must act in fiduciary capacity towards investors
• [Must] Manager must establish written policies to mitigate conflict of interest
• [Must] Manager and Sponsor must abide by high-level principles on conflict of interest avoidance
• [Must] AIF must provide annual financial information to investors within 180 days of year-end
• [Must] Category III AIF must provide quarterly reports on financial information within 60 days of quarter-end
• [Must] Manager must ensure independent valuation of investments by qualified valuer</t>
        </is>
      </c>
      <c r="O1717" s="11" t="inlineStr">
        <is>
          <t>20(12) AIF to inform SEBI in case of any material change in information provided at the time of application. 20(13) AIF to obtain prior approval from SEBI in case of change in control of AIF Sponsor or Manager or change of Sponsor or Manager. 20(14) The books of accounts of AIF to be audited annually by a qualified auditor</t>
        </is>
      </c>
      <c r="P1717" s="12" t="n">
        <v>50</v>
      </c>
    </row>
    <row r="1718">
      <c r="A1718" t="inlineStr">
        <is>
          <t>India</t>
        </is>
      </c>
      <c r="B1718" t="inlineStr">
        <is>
          <t>SEBI Master Circular for Alternative Investment Funds (India - Row 25)</t>
        </is>
      </c>
      <c r="C1718" t="inlineStr">
        <is>
          <t>25 (part 8)</t>
        </is>
      </c>
      <c r="D1718" s="11" t="inlineStr">
        <is>
          <t>Voting policy and disclosure requirements for institutional investors</t>
        </is>
      </c>
      <c r="E1718" t="inlineStr">
        <is>
          <t>108–115</t>
        </is>
      </c>
      <c r="F1718" t="inlineStr">
        <is>
          <t>High</t>
        </is>
      </c>
      <c r="G1718" t="inlineStr">
        <is>
          <t>High (explicit)</t>
        </is>
      </c>
      <c r="H1718" s="11" t="inlineStr"/>
      <c r="I1718" s="11" t="inlineStr">
        <is>
          <t>Financial Data</t>
        </is>
      </c>
      <c r="J1718" t="inlineStr">
        <is>
          <t>SEBI</t>
        </is>
      </c>
      <c r="K1718" s="11" t="inlineStr">
        <is>
          <t>Institutional investors must establish comprehensive voting policies detailing mechanisms for voting, circumstances for voting decisions, and disclosure requirements. These policies must include voting mechanisms, internal voting guidelines, disclosure protocols, and specific disclosures for proxy voting services. Investors must publicly disclose voting decisions, rationales, and proxy voting activities to ensure transparency in their stewardship activities.</t>
        </is>
      </c>
      <c r="L1718" s="11" t="inlineStr">
        <is>
          <t>Requires institutional investors to establish and disclose voting policies that impact cross-border data transfers by mandating transparency in voting decisions and proxy voting activities, which may affect data sharing with foreign entities.</t>
        </is>
      </c>
      <c r="M1718" s="11" t="inlineStr">
        <is>
          <t>• [Must] Institutional investors must establish comprehensive voting policies including mechanisms for voting
• [Must] Voting policies must detail circumstances for voting decisions (for/against/abstain)
• [Must] Voting policies must include guidelines for assessing proposals and taking decisions
• [Must] Voting policies must specify voting guidelines for specific matters/circumstances
• [Must] Voting policies must establish oversight committees as escalation mechanisms
• [Must] Voting policies must include use of proxy advisors</t>
        </is>
      </c>
      <c r="N1718" s="11" t="inlineStr">
        <is>
          <t>• [Must] Voting policies must address conflict of interest issues
• [Must] Investors must publicly disclose voting decisions including rationale
• [Must] Investors must disclose voting activities through annual reports or websites
• [Must] Investors must disclose proxy voting service scope, providers, and reliance levels
• [Must] Institutional investors must report periodically on stewardship activities</t>
        </is>
      </c>
      <c r="O1718" s="11" t="inlineStr">
        <is>
          <t>Institutional investors shall report to their clients/ beneficiaries periodically on how they have fulfilled their stewardship responsibilities as per their policy in an easy-to-understand format.</t>
        </is>
      </c>
      <c r="P1718" s="12" t="n">
        <v>50</v>
      </c>
    </row>
    <row r="1719">
      <c r="A1719" t="inlineStr">
        <is>
          <t>India</t>
        </is>
      </c>
      <c r="B1719" t="inlineStr">
        <is>
          <t>SEBI Master Circular for Alternative Investment Funds (India - Row 25)</t>
        </is>
      </c>
      <c r="C1719" t="inlineStr">
        <is>
          <t>25 (part 9)</t>
        </is>
      </c>
      <c r="D1719" s="11" t="inlineStr">
        <is>
          <t>Compliance with operational and reporting norms for alternative investment funds</t>
        </is>
      </c>
      <c r="E1719" t="inlineStr">
        <is>
          <t>115–121</t>
        </is>
      </c>
      <c r="F1719" t="inlineStr">
        <is>
          <t>High</t>
        </is>
      </c>
      <c r="G1719" t="inlineStr">
        <is>
          <t>High (explicit)</t>
        </is>
      </c>
      <c r="H1719" s="11" t="inlineStr"/>
      <c r="I1719" s="11" t="inlineStr">
        <is>
          <t>Financial Data</t>
        </is>
      </c>
      <c r="J1719" t="inlineStr">
        <is>
          <t>SEBI</t>
        </is>
      </c>
      <c r="K1719" s="11" t="inlineStr">
        <is>
          <t>Alternative Investment Funds must comply with operational, prudential, and reporting norms including risk management, redemption norms, and prudential requirements. This involves adherence to SEBI circulars, disclosure requirements in placement memorandums, and compliance with additional circulars issued by SEBI. Funds must maintain detailed records of compliance with specific regulations and submit reports to SEBI as required.</t>
        </is>
      </c>
      <c r="L1719" s="11" t="inlineStr">
        <is>
          <t>Mandates compliance with operational and reporting norms that affect cross-border data transfers by requiring detailed records and disclosures related to fund operations, which may impact data sharing with foreign entities.</t>
        </is>
      </c>
      <c r="M1719" s="11" t="inlineStr">
        <is>
          <t>• [Must] Alternative Investment Funds must comply with risk management and compliance norms
• [Must] Alternative Investment Funds must adhere to redemption norms
• [Must] Alternative Investment Funds must meet prudential requirements</t>
        </is>
      </c>
      <c r="N1719" s="11" t="inlineStr">
        <is>
          <t>• [Must] Alternative Investment Funds must comply with SEBI circular No. CIR/IMD/DF/14/2014
• [Must] Alternative Investment Funds must comply with any other circulars issued by SEBI</t>
        </is>
      </c>
      <c r="O1719" s="11" t="inlineStr">
        <is>
          <t>Compliance with respect to: Risk management and compliance, redemption norms, prudential requirements</t>
        </is>
      </c>
      <c r="P1719" s="12" t="n">
        <v>50</v>
      </c>
    </row>
    <row r="1720">
      <c r="A1720" t="inlineStr">
        <is>
          <t>India</t>
        </is>
      </c>
      <c r="B1720" t="inlineStr">
        <is>
          <t>SEBI Master Circular for Alternative Investment Funds (India - Row 25)</t>
        </is>
      </c>
      <c r="C1720" t="inlineStr">
        <is>
          <t>25 (part 10)</t>
        </is>
      </c>
      <c r="D1720" s="11" t="inlineStr">
        <is>
          <t>Disclosure requirements for alternative investment funds</t>
        </is>
      </c>
      <c r="E1720" t="inlineStr">
        <is>
          <t>121–126</t>
        </is>
      </c>
      <c r="F1720" t="inlineStr">
        <is>
          <t>High</t>
        </is>
      </c>
      <c r="G1720" t="inlineStr">
        <is>
          <t>High (explicit)</t>
        </is>
      </c>
      <c r="H1720" s="11" t="inlineStr">
        <is>
          <t>Data Sharing</t>
        </is>
      </c>
      <c r="I1720" s="11" t="inlineStr">
        <is>
          <t>Financial Data, Customer Data</t>
        </is>
      </c>
      <c r="J1720" t="inlineStr">
        <is>
          <t>SEBI</t>
        </is>
      </c>
      <c r="K1720" s="11" t="inlineStr">
        <is>
          <t>This section mandates specific disclosures for Alternative Investment Funds (AIFs) including net asset value, financial information of investees, performance data, material risks, and non-material operational changes. AIFs must provide timely updates on conflicts of interest, legal actions, liabilities, and breaches of agreements. The disclosures must be made within defined timelines to ensure investor transparency and compliance with regulatory requirements.</t>
        </is>
      </c>
      <c r="L1720" s="11" t="inlineStr">
        <is>
          <t>This section imposes specific disclosure obligations that impact data transfer impact assessments by requiring detailed reporting on financial information, risks, and operational changes. The need for timely and accurate disclosures affects how data is shared across borders with investors and regulators.</t>
        </is>
      </c>
      <c r="M1720" s="11" t="inlineStr">
        <is>
          <t>• [Must] Disclose net asset value of fund/scheme at least every six months
• [Must] Disclose financial information of investee companies within 180 days from year end
• [Must] Disclose material risks including concentration risk, foreign exchange risk, leverage risk, etc.
• [Must] Intimate any non-material changes in fund operations within 30 days
• [Must] Redress investor complaints within 30 days of receipt</t>
        </is>
      </c>
      <c r="N1720" s="11" t="inlineStr">
        <is>
          <t>• [Must] Provide detailed grievance redressal mechanism for investors
• [Must] Disclose any legal actions by regulatory bodies in any jurisdiction
• [Must] Disclose any material liabilities arising during fund tenure
• [Must] Disclose any breaches of placement memorandum or fund agreements
• [Must] Intimate any conflicts of interest in transactions</t>
        </is>
      </c>
      <c r="O1720" s="11" t="inlineStr">
        <is>
          <t>3. Dissemination of financial information of Fund. 3.1. Net Asset Value of Fund/ Scheme. 3.2. Financial information of investee companies. 3.3. Information on performance of scheme/fund.</t>
        </is>
      </c>
      <c r="P1720" s="12" t="n">
        <v>50</v>
      </c>
    </row>
    <row r="1721">
      <c r="A1721" t="inlineStr">
        <is>
          <t>India</t>
        </is>
      </c>
      <c r="B1721" t="inlineStr">
        <is>
          <t>guidelines-on-cyber-security-and-cyber-resilience-for-regulated-entities-in-ifscs-1-10032025064412 (India - Row 5)</t>
        </is>
      </c>
      <c r="C1721" t="inlineStr">
        <is>
          <t>1</t>
        </is>
      </c>
      <c r="D1721" s="11" t="inlineStr">
        <is>
          <t>Cyber security as foundational for financial stability in IFSC</t>
        </is>
      </c>
      <c r="E1721" t="inlineStr">
        <is>
          <t>1–2</t>
        </is>
      </c>
      <c r="F1721" t="inlineStr">
        <is>
          <t>High</t>
        </is>
      </c>
      <c r="G1721" t="inlineStr">
        <is>
          <t>High (explicit)</t>
        </is>
      </c>
      <c r="H1721" s="11" t="inlineStr"/>
      <c r="I1721" s="11" t="inlineStr">
        <is>
          <t>Financial Data</t>
        </is>
      </c>
      <c r="J1721" t="inlineStr">
        <is>
          <t>IFSCA</t>
        </is>
      </c>
      <c r="K1721" s="11" t="inlineStr">
        <is>
          <t>This section establishes that cyber security is fundamental for financial entities operating in the GIFT IFSC, emphasizing its role in maintaining trust and stability. It mandates that regulated entities (REs) must implement cyber security measures to protect against threats like fraud, data breaches, and infrastructure disruptions. The guidelines require REs to align their security practices with the principle of proportionality based on operational scale, activity nature, ecosystem interconnectedness, and cyber risk exposure.</t>
        </is>
      </c>
      <c r="L1721" s="11" t="inlineStr">
        <is>
          <t>Cyber security is foundational for financial stability in IFSC; REs must implement proportionate security measures to protect against cross-border threats and ensure trust in financial services.</t>
        </is>
      </c>
      <c r="M1721" s="11" t="inlineStr">
        <is>
          <t>• [Must] Cyber security is fundamental for financial entities in GIFT IFSC
• [Must] Regulated entities must implement cyber security measures to protect against fraud, data breaches, and infrastructure disruptions</t>
        </is>
      </c>
      <c r="N1721" s="11" t="inlineStr">
        <is>
          <t>• [Condition] Cyber security practices must align with proportionality based on operational scale, activity nature, ecosystem interconnectedness, and cyber risk exposure</t>
        </is>
      </c>
      <c r="O1721" s="11" t="inlineStr">
        <is>
          <t>As the IFSC continues to evolve as a global financial hub, the sophistication of cyber threats targeting financial entities is also expected to grow. In such an international jurisdiction, where institutions cater to a diverse global client base, maintaining robust cyber security becomes fundamental.</t>
        </is>
      </c>
      <c r="P1721" s="12" t="n">
        <v>42</v>
      </c>
    </row>
    <row r="1722">
      <c r="A1722" t="inlineStr">
        <is>
          <t>India</t>
        </is>
      </c>
      <c r="B1722" t="inlineStr">
        <is>
          <t>guidelines-on-cyber-security-and-cyber-resilience-for-regulated-entities-in-ifscs-1-10032025064412 (India - Row 5)</t>
        </is>
      </c>
      <c r="C1722" t="inlineStr">
        <is>
          <t>2</t>
        </is>
      </c>
      <c r="D1722" s="11" t="inlineStr">
        <is>
          <t>Guidelines structured into five key components</t>
        </is>
      </c>
      <c r="E1722" t="inlineStr">
        <is>
          <t>2</t>
        </is>
      </c>
      <c r="F1722" t="inlineStr">
        <is>
          <t>Low</t>
        </is>
      </c>
      <c r="G1722" t="inlineStr">
        <is>
          <t>High (explicit)</t>
        </is>
      </c>
      <c r="H1722" s="11" t="inlineStr">
        <is>
          <t>Governance</t>
        </is>
      </c>
      <c r="I1722" s="11" t="inlineStr"/>
      <c r="J1722" t="inlineStr"/>
      <c r="K1722" s="11" t="inlineStr">
        <is>
          <t>This section categorizes the guidelines into five key components: Governance, Cyber Security and Cyber Resilience Framework, Third Party Risk Management, Communication &amp; Awareness, and Audit. It does not impose specific obligations but outlines the structural framework for the guidelines.</t>
        </is>
      </c>
      <c r="L1722" s="11" t="inlineStr"/>
      <c r="M1722" s="11" t="inlineStr">
        <is>
          <t>• [Must] Guidelines are categorized into five key components: Governance, Cyber Security and Cyber Resilience Framework, Third Party Risk Management, Communication &amp; Awareness, and Audit</t>
        </is>
      </c>
      <c r="N1722" s="11" t="inlineStr"/>
      <c r="O1722" s="11" t="inlineStr">
        <is>
          <t>The key components of the Guidelines are categorized into: I. Governance II. Cyber security and cyber resilience framework III. Third party risk management IV. Communication &amp; awareness V. Audit</t>
        </is>
      </c>
      <c r="P1722" s="12" t="n">
        <v>42</v>
      </c>
    </row>
    <row r="1723">
      <c r="A1723" t="inlineStr">
        <is>
          <t>India</t>
        </is>
      </c>
      <c r="B1723" t="inlineStr">
        <is>
          <t>guidelines-on-cyber-security-and-cyber-resilience-for-regulated-entities-in-ifscs-1-10032025064412 (India - Row 5)</t>
        </is>
      </c>
      <c r="C1723" t="inlineStr">
        <is>
          <t>3</t>
        </is>
      </c>
      <c r="D1723" s="11" t="inlineStr">
        <is>
          <t>Oversight Body for cyber risk management</t>
        </is>
      </c>
      <c r="E1723" t="inlineStr">
        <is>
          <t>2</t>
        </is>
      </c>
      <c r="F1723" t="inlineStr">
        <is>
          <t>High</t>
        </is>
      </c>
      <c r="G1723" t="inlineStr">
        <is>
          <t>High (explicit)</t>
        </is>
      </c>
      <c r="H1723" s="11" t="inlineStr">
        <is>
          <t>Governance</t>
        </is>
      </c>
      <c r="I1723" s="11" t="inlineStr">
        <is>
          <t>Financial Data</t>
        </is>
      </c>
      <c r="J1723" t="inlineStr">
        <is>
          <t>IFSCA</t>
        </is>
      </c>
      <c r="K1723" s="11" t="inlineStr">
        <is>
          <t>This section mandates that regulated entities (REs) must establish an Oversight Body comprising stakeholders such as the Governing Board, senior management (including MD, CEO, CISO, CTO, etc.), or committees designated for cyber risk management. The Oversight Body is responsible for collectively managing cyber risk within the entity.</t>
        </is>
      </c>
      <c r="L1723" s="11" t="inlineStr">
        <is>
          <t>REs must establish an Oversight Body for cyber risk management, which includes governance structures to ensure cross-border data security and compliance.</t>
        </is>
      </c>
      <c r="M1723" s="11" t="inlineStr">
        <is>
          <t>• [Must] REs shall have adequate governance mechanisms with clear roles and responsibilities for cyber risk management</t>
        </is>
      </c>
      <c r="N1723" s="11" t="inlineStr">
        <is>
          <t>• [Must] Oversight Body includes Governing Board, senior management (MD, CEO, CISO, CTO, etc.), or committees designated for cyber risk management</t>
        </is>
      </c>
      <c r="O1723" s="11" t="inlineStr">
        <is>
          <t>The REs shall have adequate governance mechanisms, with a clear set of roles and responsibilities to manage cyber risk. The set of stakeholders involved in the governance of an RE's cyber risk management mechanism shall collectively be referred to as the 'Oversight Body' of the RE</t>
        </is>
      </c>
      <c r="P1723" s="12" t="n">
        <v>42</v>
      </c>
    </row>
    <row r="1724">
      <c r="A1724" t="inlineStr">
        <is>
          <t>India</t>
        </is>
      </c>
      <c r="B1724" t="inlineStr">
        <is>
          <t>guidelines-on-cyber-security-and-cyber-resilience-for-regulated-entities-in-ifscs-1-10032025064412 (India - Row 5)</t>
        </is>
      </c>
      <c r="C1724" t="inlineStr">
        <is>
          <t>4</t>
        </is>
      </c>
      <c r="D1724" s="11" t="inlineStr">
        <is>
          <t>Senior management must cultivate cyber risk culture</t>
        </is>
      </c>
      <c r="E1724" t="inlineStr">
        <is>
          <t>2–3</t>
        </is>
      </c>
      <c r="F1724" t="inlineStr">
        <is>
          <t>High</t>
        </is>
      </c>
      <c r="G1724" t="inlineStr">
        <is>
          <t>High (explicit)</t>
        </is>
      </c>
      <c r="H1724" s="11" t="inlineStr"/>
      <c r="I1724" s="11" t="inlineStr">
        <is>
          <t>Financial Data</t>
        </is>
      </c>
      <c r="J1724" t="inlineStr">
        <is>
          <t>IFSCA</t>
        </is>
      </c>
      <c r="K1724" s="11" t="inlineStr">
        <is>
          <t>This section requires that the Governing Board and senior management must possess sufficient expertise to understand and manage cyber risks, and they must set the tone for a strong culture of cyber risk awareness across all staff levels within the entity.</t>
        </is>
      </c>
      <c r="L1724" s="11" t="inlineStr">
        <is>
          <t>REs must ensure senior management cultivates a culture of cyber risk awareness to protect cross-border financial data.</t>
        </is>
      </c>
      <c r="M1724" s="11" t="inlineStr">
        <is>
          <t>• [Must] Governing Board and senior management must possess sufficient expertise to understand and manage cyber risk</t>
        </is>
      </c>
      <c r="N1724" s="11" t="inlineStr">
        <is>
          <t>• [Must] Governing Board and senior management must set the tone for a strong culture of cyber risk awareness across all staff levels</t>
        </is>
      </c>
      <c r="O1724" s="11" t="inlineStr">
        <is>
          <t>The REs shall ensure that their Governing Board and the senior management possesses sufficient expertise and knowledge to effectively understand and manage cyber risk.</t>
        </is>
      </c>
      <c r="P1724" s="12" t="n">
        <v>42</v>
      </c>
    </row>
    <row r="1725">
      <c r="A1725" t="inlineStr">
        <is>
          <t>India</t>
        </is>
      </c>
      <c r="B1725" t="inlineStr">
        <is>
          <t>guidelines-on-cyber-security-and-cyber-resilience-for-regulated-entities-in-ifscs-1-10032025064412 (India - Row 5)</t>
        </is>
      </c>
      <c r="C1725" t="inlineStr">
        <is>
          <t>5</t>
        </is>
      </c>
      <c r="D1725" s="11" t="inlineStr">
        <is>
          <t>Designated Officer for cyber risk management</t>
        </is>
      </c>
      <c r="E1725" t="inlineStr">
        <is>
          <t>3</t>
        </is>
      </c>
      <c r="F1725" t="inlineStr">
        <is>
          <t>High</t>
        </is>
      </c>
      <c r="G1725" t="inlineStr">
        <is>
          <t>High (explicit)</t>
        </is>
      </c>
      <c r="H1725" s="11" t="inlineStr"/>
      <c r="I1725" s="11" t="inlineStr">
        <is>
          <t>Financial Data</t>
        </is>
      </c>
      <c r="J1725" t="inlineStr">
        <is>
          <t>IFSCA</t>
        </is>
      </c>
      <c r="K1725" s="11" t="inlineStr">
        <is>
          <t>This section mandates that REs must appoint a Chief Information Security Officer (CISO) or designate a senior employee to assess, identify, reduce cyber security risks, respond to incidents, establish standards and controls, and direct the implementation of processes approved by the Oversight Body.</t>
        </is>
      </c>
      <c r="L1725" s="11" t="inlineStr">
        <is>
          <t>REs must appoint a Designated Officer to manage cyber risks, ensuring cross-border data security and compliance with IFSCA requirements.</t>
        </is>
      </c>
      <c r="M1725" s="11" t="inlineStr">
        <is>
          <t>• [Must] REs shall appoint a CISO or designate a senior employee to assess, identify and reduce cyber security risks
• [Must] Designated Officer must respond to incidents, establish appropriate standards and controls</t>
        </is>
      </c>
      <c r="N1725" s="11" t="inlineStr">
        <is>
          <t>• [Must] Designated Officer must direct the establishment and implementation of processes approved by the Oversight Body</t>
        </is>
      </c>
      <c r="O1725" s="11" t="inlineStr">
        <is>
          <t>The REs shall appoint a CISO or alternatively, designate a senior employee/ management personnel to assess, identify and reduce cyber security risks, respond to incidents, establish appropriate standards and controls, and direct the establishment and implementation of processes and procedures as approved by the Oversight Body of the RE</t>
        </is>
      </c>
      <c r="P1725" s="12" t="n">
        <v>42</v>
      </c>
    </row>
    <row r="1726">
      <c r="A1726" t="inlineStr">
        <is>
          <t>India</t>
        </is>
      </c>
      <c r="B1726" t="inlineStr">
        <is>
          <t>guidelines-on-cyber-security-and-cyber-resilience-for-regulated-entities-in-ifscs-1-10032025064412 (India - Row 5)</t>
        </is>
      </c>
      <c r="C1726" t="inlineStr">
        <is>
          <t>6</t>
        </is>
      </c>
      <c r="D1726" s="11" t="inlineStr">
        <is>
          <t>Designated Officer designation</t>
        </is>
      </c>
      <c r="E1726" t="inlineStr">
        <is>
          <t>3</t>
        </is>
      </c>
      <c r="F1726" t="inlineStr">
        <is>
          <t>Low</t>
        </is>
      </c>
      <c r="G1726" t="inlineStr">
        <is>
          <t>High (explicit)</t>
        </is>
      </c>
      <c r="H1726" s="11" t="inlineStr">
        <is>
          <t>Governance</t>
        </is>
      </c>
      <c r="I1726" s="11" t="inlineStr"/>
      <c r="J1726" t="inlineStr"/>
      <c r="K1726" s="11" t="inlineStr">
        <is>
          <t>This section defines the 'Designated Officer' as the CISO or senior employee designated under Section 5, who is responsible for implementing cyber security measures as approved by the Oversight Body.</t>
        </is>
      </c>
      <c r="L1726" s="11" t="inlineStr"/>
      <c r="M1726" s="11" t="inlineStr">
        <is>
          <t>• [Must] Designated Officer refers to the CISO or senior employee designated under Section 5</t>
        </is>
      </c>
      <c r="N1726" s="11" t="inlineStr"/>
      <c r="O1726" s="11" t="inlineStr">
        <is>
          <t>The CISO or senior employee/ management personnel so designated shall henceforth be referred to as the 'Designated Officer'.</t>
        </is>
      </c>
      <c r="P1726" s="12" t="n">
        <v>42</v>
      </c>
    </row>
    <row r="1727">
      <c r="A1727" t="inlineStr">
        <is>
          <t>India</t>
        </is>
      </c>
      <c r="B1727" t="inlineStr">
        <is>
          <t>guidelines-on-cyber-security-and-cyber-resilience-for-regulated-entities-in-ifscs-1-10032025064412 (India - Row 5)</t>
        </is>
      </c>
      <c r="C1727" t="inlineStr">
        <is>
          <t>7</t>
        </is>
      </c>
      <c r="D1727" s="11" t="inlineStr">
        <is>
          <t>Cyber Security Framework for IT Asset Protection</t>
        </is>
      </c>
      <c r="E1727" t="inlineStr">
        <is>
          <t>3–4</t>
        </is>
      </c>
      <c r="F1727" t="inlineStr">
        <is>
          <t>High</t>
        </is>
      </c>
      <c r="G1727" t="inlineStr">
        <is>
          <t>High (explicit)</t>
        </is>
      </c>
      <c r="H1727" s="11" t="inlineStr">
        <is>
          <t>Security, Incident Reporting, Third Party Processing</t>
        </is>
      </c>
      <c r="I1727" s="11" t="inlineStr">
        <is>
          <t>Personal Information</t>
        </is>
      </c>
      <c r="J1727" t="inlineStr">
        <is>
          <t>IFSCA</t>
        </is>
      </c>
      <c r="K1727" s="11" t="inlineStr">
        <is>
          <t>Regulated entities must create a Cyber Security and Cyber Resilience Framework to ensure confidentiality, integrity, and availability of their IT assets. This framework must include capabilities to anticipate and recover from cyber-attacks, assess cyber threats including third-party risks, define cyber risk appetite, outline people/process/technology requirements for risk management, establish roles during incidents, and be periodically reviewed for relevance. The framework applies to all regulated entities in the IFSC.</t>
        </is>
      </c>
      <c r="L1727" s="11" t="inlineStr">
        <is>
          <t>This section mandates a comprehensive cyber resilience framework that directly impacts data transfer security by requiring entities to maintain robust incident response, third-party risk management, and continuous framework updates for cross-border data handling.</t>
        </is>
      </c>
      <c r="M1727" s="11" t="inlineStr">
        <is>
          <t>• [Must] The REs shall formulate the Cyber Security and Cyber Resilience Framework to maintain the Conϐidentiality, Integrity and Availability of their IT assets
• [Must] The framework shall aim to maintain and promote the RE's ability to anticipate, withstand, contain, and recover from cyber-attacks
• [Must] The framework shall take an integrated and comprehensive view of potential cyber threats, including third party risks
• [Must] The framework shall define the RE's cyber risk appetite and cyber resilience objectives</t>
        </is>
      </c>
      <c r="N1727" s="11" t="inlineStr">
        <is>
          <t>• [Must] The framework shall outline the RE's people, process and technology requirements for managing cyber risks
• [Must] The framework shall establish roles and responsibilities of the Oversight Body, Designated Officer, employees and stakeholders during cyber incidents
• [Must] The framework shall be reviewed and updated periodically to ensure relevance</t>
        </is>
      </c>
      <c r="O1727" s="11" t="inlineStr">
        <is>
          <t>7. The REs shall formulate the Cyber Security and Cyber Resilience Framework to maintain the Conϐidentiality, Integrity and Availability of their IT assets.</t>
        </is>
      </c>
      <c r="P1727" s="12" t="n">
        <v>42</v>
      </c>
    </row>
    <row r="1728">
      <c r="A1728" t="inlineStr">
        <is>
          <t>India</t>
        </is>
      </c>
      <c r="B1728" t="inlineStr">
        <is>
          <t>guidelines-on-cyber-security-and-cyber-resilience-for-regulated-entities-in-ifscs-1-10032025064412 (India - Row 5)</t>
        </is>
      </c>
      <c r="C1728" t="inlineStr">
        <is>
          <t>9</t>
        </is>
      </c>
      <c r="D1728" s="11" t="inlineStr">
        <is>
          <t>Information Security Policy with Risk-Based Controls</t>
        </is>
      </c>
      <c r="E1728" t="inlineStr">
        <is>
          <t>4–6</t>
        </is>
      </c>
      <c r="F1728" t="inlineStr">
        <is>
          <t>High</t>
        </is>
      </c>
      <c r="G1728" t="inlineStr">
        <is>
          <t>High (explicit)</t>
        </is>
      </c>
      <c r="H1728" s="11" t="inlineStr">
        <is>
          <t>Security, Access Control, Incident Reporting, Third Party Processing</t>
        </is>
      </c>
      <c r="I1728" s="11" t="inlineStr">
        <is>
          <t>Personal Information</t>
        </is>
      </c>
      <c r="J1728" t="inlineStr">
        <is>
          <t>IFSCA</t>
        </is>
      </c>
      <c r="K1728" s="11" t="inlineStr">
        <is>
          <t>Regulated entities must develop an Information Security Policy as part of their cyber resilience framework with specific principles: maintain detailed IT asset inventories, conduct risk assessments and classify assets by business criticality, implement security controls aligned with international standards like NIST and ISO 27000, enforce least privilege access controls, ensure physical security, conduct annual vulnerability assessments, establish recovery policies, and define incident management procedures. The policy applies to all regulated entities in the IFSC.</t>
        </is>
      </c>
      <c r="L1728" s="11" t="inlineStr">
        <is>
          <t>This section requires detailed security policies that directly affect data transfer by mandating asset classification, risk assessments, and third-party risk management for cross-border data flows.</t>
        </is>
      </c>
      <c r="M1728" s="11" t="inlineStr">
        <is>
          <t>• [Must] The REs shall maintain a detailed inventory of IT assets, including logical and physical components
• [Must] The REs shall carry out a risk assessment of assets and classify them based on business criticality, data sensitivity, and potential impact
• [Must] The REs shall identify and classify business functions and processes based on criticality to operations
• [Must] The REs shall implement security controls aligned with international best practices and standards like NIST, ISO 27000
• [Must] The REs shall ensure security controls are proportional to threat landscape and risk appetite
• [Must] The REs shall manage access rights on a 'need-to-know' basis following least privilege and segregation of duties principles
• [Must] The REs shall enforce robust authentication methods to ensure access control compliance</t>
        </is>
      </c>
      <c r="N1728" s="11" t="inlineStr">
        <is>
          <t>• [Must] The REs shall ensure adequate physical security for IT assets
• [Must] The REs shall conduct Vulnerability Assessment and Penetration Testing (VAPT) at least once a year
• [Must] The REs shall have recovery policies and procedures to maximize service continuity and limit losses during disruptions
• [Must] The REs shall define 'cyber incident' and develop processes for preventing, detecting, analyzing and responding to incidents
• [Must] The REs shall establish mechanisms for fulfilling disclosure and reporting requirements during cyber incidents
• [Must] The REs shall ensure audit trails exist for IT assets to satisfy business continuity, regulatory obligations, forensic evidence, and dispute resolution</t>
        </is>
      </c>
      <c r="O1728" s="11" t="inlineStr">
        <is>
          <t>9. The REs shall formulate an Information Security (IS) Policy as part of their cyber security and cyber resilience framework with the following basic principles.</t>
        </is>
      </c>
      <c r="P1728" s="12" t="n">
        <v>42</v>
      </c>
    </row>
    <row r="1729">
      <c r="A1729" t="inlineStr">
        <is>
          <t>India</t>
        </is>
      </c>
      <c r="B1729" t="inlineStr">
        <is>
          <t>guidelines-on-cyber-security-and-cyber-resilience-for-regulated-entities-in-ifscs-1-10032025064412 (India - Row 5)</t>
        </is>
      </c>
      <c r="C1729" t="inlineStr">
        <is>
          <t>10</t>
        </is>
      </c>
      <c r="D1729" s="11" t="inlineStr">
        <is>
          <t>Collaborative Third-Party Security Approach</t>
        </is>
      </c>
      <c r="E1729" t="inlineStr">
        <is>
          <t>6</t>
        </is>
      </c>
      <c r="F1729" t="inlineStr">
        <is>
          <t>High</t>
        </is>
      </c>
      <c r="G1729" t="inlineStr">
        <is>
          <t>High (explicit)</t>
        </is>
      </c>
      <c r="H1729" s="11" t="inlineStr">
        <is>
          <t>Third Party Processing, Security, Incident Reporting</t>
        </is>
      </c>
      <c r="I1729" s="11" t="inlineStr">
        <is>
          <t>Personal Information</t>
        </is>
      </c>
      <c r="J1729" t="inlineStr">
        <is>
          <t>IFSCA</t>
        </is>
      </c>
      <c r="K1729" s="11" t="inlineStr">
        <is>
          <t>Regulated entities must establish collaborative security practices with third-party vendors by clearly defining shared expectations for data security, incident reporting, and adherence to relevant security standards. This applies to all third-party relationships within the IFSC.</t>
        </is>
      </c>
      <c r="L1729" s="11" t="inlineStr">
        <is>
          <t>This section requires explicit communication protocols for third-party data transfers, directly impacting cross-border data flows by mandating security standards and incident reporting mechanisms.</t>
        </is>
      </c>
      <c r="M1729" s="11" t="inlineStr">
        <is>
          <t>• [Must] The REs shall adopt a collaborative security approach with third-party vendors/external partners</t>
        </is>
      </c>
      <c r="N1729" s="11" t="inlineStr">
        <is>
          <t>• [Must] The REs shall clearly outline shared expectations for data security, incident reporting and adherence to relevant security standards</t>
        </is>
      </c>
      <c r="O1729" s="11" t="inlineStr">
        <is>
          <t>10. The REs shall adopt a collaborative security approach with their third-party vendors/external partners, by clearly outlining shared expectations for data security, incident reporting and adherence to relevant security standards.</t>
        </is>
      </c>
      <c r="P1729" s="12" t="n">
        <v>42</v>
      </c>
    </row>
    <row r="1730">
      <c r="A1730" t="inlineStr">
        <is>
          <t>India</t>
        </is>
      </c>
      <c r="B1730" t="inlineStr">
        <is>
          <t>guidelines-on-cyber-security-and-cyber-resilience-for-regulated-entities-in-ifscs-1-10032025064412 (India - Row 5)</t>
        </is>
      </c>
      <c r="C1730" t="inlineStr">
        <is>
          <t>11</t>
        </is>
      </c>
      <c r="D1730" s="11" t="inlineStr">
        <is>
          <t>Risk-Based Third-Party Vendor Reviews</t>
        </is>
      </c>
      <c r="E1730" t="inlineStr">
        <is>
          <t>6–7</t>
        </is>
      </c>
      <c r="F1730" t="inlineStr">
        <is>
          <t>High</t>
        </is>
      </c>
      <c r="G1730" t="inlineStr">
        <is>
          <t>High (explicit)</t>
        </is>
      </c>
      <c r="H1730" s="11" t="inlineStr">
        <is>
          <t>Third Party Processing</t>
        </is>
      </c>
      <c r="I1730" s="11" t="inlineStr">
        <is>
          <t>Personal Information</t>
        </is>
      </c>
      <c r="J1730" t="inlineStr">
        <is>
          <t>IFSCA</t>
        </is>
      </c>
      <c r="K1730" s="11" t="inlineStr">
        <is>
          <t>Regulated entities must implement a risk-based approach for periodic review of third-party vendors, identifying critical dependencies and conducting vulnerability assessments every six months for core operations. Less critical vendors may have flexible review frequencies.</t>
        </is>
      </c>
      <c r="L1730" s="11" t="inlineStr">
        <is>
          <t>This section directly impacts data transfer by requiring regular third-party risk assessments for critical systems, which is essential for cross-border data transfers involving third parties.</t>
        </is>
      </c>
      <c r="M1730" s="11" t="inlineStr">
        <is>
          <t>• [Must] The REs shall identify third-party service providers critical to core operations or with access to critical systems
• [Must] The REs shall carry out vulnerability assessments or compliance gap detection every six months for critical third parties</t>
        </is>
      </c>
      <c r="N1730" s="11" t="inlineStr">
        <is>
          <t>• [May] The REs shall determine appropriate review frequency for non-critical third parties</t>
        </is>
      </c>
      <c r="O1730" s="11" t="inlineStr">
        <is>
          <t>11. The REs shall adopt a risk-based approach for periodic review of third-party vendors/external partners.</t>
        </is>
      </c>
      <c r="P1730" s="12" t="n">
        <v>42</v>
      </c>
    </row>
    <row r="1731">
      <c r="A1731" t="inlineStr">
        <is>
          <t>India</t>
        </is>
      </c>
      <c r="B1731" t="inlineStr">
        <is>
          <t>guidelines-on-cyber-security-and-cyber-resilience-for-regulated-entities-in-ifscs-1-10032025064412 (India - Row 5)</t>
        </is>
      </c>
      <c r="C1731" t="inlineStr">
        <is>
          <t>12</t>
        </is>
      </c>
      <c r="D1731" s="11" t="inlineStr">
        <is>
          <t>Third-Party Risk Communication Channels</t>
        </is>
      </c>
      <c r="E1731" t="inlineStr">
        <is>
          <t>7</t>
        </is>
      </c>
      <c r="F1731" t="inlineStr">
        <is>
          <t>High</t>
        </is>
      </c>
      <c r="G1731" t="inlineStr">
        <is>
          <t>High (explicit)</t>
        </is>
      </c>
      <c r="H1731" s="11" t="inlineStr">
        <is>
          <t>Third Party Processing</t>
        </is>
      </c>
      <c r="I1731" s="11" t="inlineStr">
        <is>
          <t>Personal Information</t>
        </is>
      </c>
      <c r="J1731" t="inlineStr">
        <is>
          <t>IFSCA</t>
        </is>
      </c>
      <c r="K1731" s="11" t="inlineStr">
        <is>
          <t>Regulated entities must establish clear communication channels and escalation procedures for addressing risks or non-compliance with third parties promptly and effectively.</t>
        </is>
      </c>
      <c r="L1731" s="11" t="inlineStr">
        <is>
          <t>This section ensures timely resolution of third-party data transfer issues, which is critical for maintaining data integrity in cross-border transfers.</t>
        </is>
      </c>
      <c r="M1731" s="11" t="inlineStr">
        <is>
          <t>• [Must] The REs shall establish clear communication channels and escalation procedures for addressing identified risks or non-compliance with partners</t>
        </is>
      </c>
      <c r="N1731" s="11" t="inlineStr"/>
      <c r="O1731" s="11" t="inlineStr">
        <is>
          <t>12. The REs should establish clear communication channels and escalation procedures for addressing any identified risks or non-compliance with partners, promptly and effectively.</t>
        </is>
      </c>
      <c r="P1731" s="12" t="n">
        <v>42</v>
      </c>
    </row>
    <row r="1732">
      <c r="A1732" t="inlineStr">
        <is>
          <t>India</t>
        </is>
      </c>
      <c r="B1732" t="inlineStr">
        <is>
          <t>guidelines-on-cyber-security-and-cyber-resilience-for-regulated-entities-in-ifscs-1-10032025064412 (India - Row 5)</t>
        </is>
      </c>
      <c r="C1732" t="inlineStr">
        <is>
          <t>13</t>
        </is>
      </c>
      <c r="D1732" s="11" t="inlineStr">
        <is>
          <t>Third-Party Risk Responsibility</t>
        </is>
      </c>
      <c r="E1732" t="inlineStr">
        <is>
          <t>7</t>
        </is>
      </c>
      <c r="F1732" t="inlineStr">
        <is>
          <t>High</t>
        </is>
      </c>
      <c r="G1732" t="inlineStr">
        <is>
          <t>High (explicit)</t>
        </is>
      </c>
      <c r="H1732" s="11" t="inlineStr">
        <is>
          <t>Third Party Processing</t>
        </is>
      </c>
      <c r="I1732" s="11" t="inlineStr">
        <is>
          <t>Personal Information</t>
        </is>
      </c>
      <c r="J1732" t="inlineStr">
        <is>
          <t>IFSCA</t>
        </is>
      </c>
      <c r="K1732" s="11" t="inlineStr">
        <is>
          <t>Regulated entities bear ultimate responsibility for mitigating cyber risks arising from third parties, ensuring comprehensive risk management across all vendor relationships.</t>
        </is>
      </c>
      <c r="L1732" s="11" t="inlineStr">
        <is>
          <t>This section clarifies that regulated entities are solely responsible for third-party cyber risks, which directly affects data transfer security and compliance for cross-border data flows.</t>
        </is>
      </c>
      <c r="M1732" s="11" t="inlineStr">
        <is>
          <t>• [Must] The ultimate responsibility to mitigate cyber risks arising from third parties shall be on the REs</t>
        </is>
      </c>
      <c r="N1732" s="11" t="inlineStr"/>
      <c r="O1732" s="11" t="inlineStr">
        <is>
          <t>13. The ultimate responsibility to mitigate the cyber risks arising from the third parties shall be on the REs.</t>
        </is>
      </c>
      <c r="P1732" s="12" t="n">
        <v>42</v>
      </c>
    </row>
    <row r="1733">
      <c r="A1733" t="inlineStr">
        <is>
          <t>India</t>
        </is>
      </c>
      <c r="B1733" t="inlineStr">
        <is>
          <t>guidelines-on-cyber-security-and-cyber-resilience-for-regulated-entities-in-ifscs-1-10032025064412 (India - Row 5)</t>
        </is>
      </c>
      <c r="C1733" t="inlineStr">
        <is>
          <t>14</t>
        </is>
      </c>
      <c r="D1733" s="11" t="inlineStr">
        <is>
          <t>Employee cyber security training requirements</t>
        </is>
      </c>
      <c r="E1733" t="inlineStr">
        <is>
          <t>7</t>
        </is>
      </c>
      <c r="F1733" t="inlineStr">
        <is>
          <t>Medium</t>
        </is>
      </c>
      <c r="G1733" t="inlineStr">
        <is>
          <t>High (explicit)</t>
        </is>
      </c>
      <c r="H1733" s="11" t="inlineStr">
        <is>
          <t>Security, Incident Reporting</t>
        </is>
      </c>
      <c r="I1733" s="11" t="inlineStr">
        <is>
          <t>Personal Information</t>
        </is>
      </c>
      <c r="J1733" t="inlineStr">
        <is>
          <t>IFSCA</t>
        </is>
      </c>
      <c r="K1733" s="11" t="inlineStr">
        <is>
          <t>Regulated entities must conduct regular cybersecurity training for employees covering phishing awareness, social engineering, password hygiene, and incident reporting procedures. This training is mandatory to ensure staff can identify and respond to cyber threats effectively. The training must be ongoing and address specific cyber risks relevant to the entity's operations.</t>
        </is>
      </c>
      <c r="L1733" s="11" t="inlineStr">
        <is>
          <t>Requires regular employee training on cybersecurity to mitigate risks during data transfers and processing activities. This impacts DTIA by emphasizing staff awareness as a critical control for secure data handling.</t>
        </is>
      </c>
      <c r="M1733" s="11" t="inlineStr">
        <is>
          <t>• [Must] Provide regular training to employees on cyber security topics
• [Must] Include phishing awareness in training
• [Must] Include social engineering awareness in training</t>
        </is>
      </c>
      <c r="N1733" s="11" t="inlineStr">
        <is>
          <t>• [Must] Include password hygiene in training
• [Must] Include incident reporting procedures in training</t>
        </is>
      </c>
      <c r="O1733" s="11" t="inlineStr">
        <is>
          <t>14. The REs shall provide regular training to its employees on topics pertaining to cyber security, including but not limited to, phishing awareness, social engineering, password hygiene and incident reporting procedures.</t>
        </is>
      </c>
      <c r="P1733" s="12" t="n">
        <v>42</v>
      </c>
    </row>
    <row r="1734">
      <c r="A1734" t="inlineStr">
        <is>
          <t>India</t>
        </is>
      </c>
      <c r="B1734" t="inlineStr">
        <is>
          <t>guidelines-on-cyber-security-and-cyber-resilience-for-regulated-entities-in-ifscs-1-10032025064412 (India - Row 5)</t>
        </is>
      </c>
      <c r="C1734" t="inlineStr">
        <is>
          <t>15</t>
        </is>
      </c>
      <c r="D1734" s="11" t="inlineStr">
        <is>
          <t>Employee incident reporting channels</t>
        </is>
      </c>
      <c r="E1734" t="inlineStr">
        <is>
          <t>7</t>
        </is>
      </c>
      <c r="F1734" t="inlineStr">
        <is>
          <t>Medium</t>
        </is>
      </c>
      <c r="G1734" t="inlineStr">
        <is>
          <t>High (explicit)</t>
        </is>
      </c>
      <c r="H1734" s="11" t="inlineStr">
        <is>
          <t>Security, Incident Reporting</t>
        </is>
      </c>
      <c r="I1734" s="11" t="inlineStr">
        <is>
          <t>Personal Information</t>
        </is>
      </c>
      <c r="J1734" t="inlineStr">
        <is>
          <t>IFSCA</t>
        </is>
      </c>
      <c r="K1734" s="11" t="inlineStr">
        <is>
          <t>Regulated entities must establish clear and accessible methods for employees to report suspicious activities, vulnerabilities, and potential cyber incidents. This ensures timely identification and response to security threats. Employees can use these channels to escalate issues before they escalate into major breaches.</t>
        </is>
      </c>
      <c r="L1734" s="11" t="inlineStr">
        <is>
          <t>Requires mechanisms for employees to report cyber incidents, which is critical for DTIA as it ensures early detection and mitigation of data transfer risks.</t>
        </is>
      </c>
      <c r="M1734" s="11" t="inlineStr">
        <is>
          <t>• [Must] Establish clear and accessible channels for employees to report suspicious activity
• [Must] Establish clear and accessible channels for employees to report vulnerabilities</t>
        </is>
      </c>
      <c r="N1734" s="11" t="inlineStr">
        <is>
          <t>• [Must] Establish clear and accessible channels for employees to report potential cyber incidents</t>
        </is>
      </c>
      <c r="O1734" s="11" t="inlineStr">
        <is>
          <t>15. The REs shall establish clear and accessible channels for employees to report suspicious activity, vulnerabilities, and potential cyber incidents.</t>
        </is>
      </c>
      <c r="P1734" s="12" t="n">
        <v>42</v>
      </c>
    </row>
    <row r="1735">
      <c r="A1735" t="inlineStr">
        <is>
          <t>India</t>
        </is>
      </c>
      <c r="B1735" t="inlineStr">
        <is>
          <t>guidelines-on-cyber-security-and-cyber-resilience-for-regulated-entities-in-ifscs-1-10032025064412 (India - Row 5)</t>
        </is>
      </c>
      <c r="C1735" t="inlineStr">
        <is>
          <t>16</t>
        </is>
      </c>
      <c r="D1735" s="11" t="inlineStr">
        <is>
          <t>Cybersecurity audit requirements</t>
        </is>
      </c>
      <c r="E1735" t="inlineStr">
        <is>
          <t>7–8</t>
        </is>
      </c>
      <c r="F1735" t="inlineStr">
        <is>
          <t>High</t>
        </is>
      </c>
      <c r="G1735" t="inlineStr">
        <is>
          <t>High (explicit)</t>
        </is>
      </c>
      <c r="H1735" s="11" t="inlineStr">
        <is>
          <t>Security, Incident Reporting</t>
        </is>
      </c>
      <c r="I1735" s="11" t="inlineStr">
        <is>
          <t>Personal Information</t>
        </is>
      </c>
      <c r="J1735" t="inlineStr">
        <is>
          <t>IFSCA</t>
        </is>
      </c>
      <c r="K1735" s="11" t="inlineStr">
        <is>
          <t>Regulated entities must undergo periodic cybersecurity audits by a certified auditor to ensure their security measures are effective. The audit must be conducted annually or more frequently based on cyber risk levels. The auditor must certify that security controls align with the entity's risk profile and submit findings to the IFSCA Governing Board and senior management.</t>
        </is>
      </c>
      <c r="L1735" s="11" t="inlineStr">
        <is>
          <t>Mandates periodic cybersecurity audits to validate security controls, which is essential for DTIA as it ensures data transfer mechanisms are robust and compliant with security standards.</t>
        </is>
      </c>
      <c r="M1735" s="11" t="inlineStr">
        <is>
          <t>• [Must] Conduct periodic audits of RE's cyber risk management measures
• [Must] Audit by a CERT-In empanelled auditor
• [Must] Audit by an independent auditor with CISA certification
• [Must] Audit by an independent auditor with CISM certification</t>
        </is>
      </c>
      <c r="N1735" s="11" t="inlineStr">
        <is>
          <t>• [Must] Audit by an independent auditor with GSNA certification
• [Must] Audit by an independent auditor with CISSP certification
• [Must] Audit by an auditor with prior experience in cybersecurity for similar entities
• [Must] Certify that security controls align with RE's cyber risks</t>
        </is>
      </c>
      <c r="O1735" s="11" t="inlineStr">
        <is>
          <t>16. The aim of the audit is to provide an independent assurance of the effectiveness of RE's measures to its Governing Board and the senior management. Towards this effect, the governance, systems and processes established by the REs for managing their cyber risks shall be audited on a periodic basis by either of the following: a. a CERT-In empanelled auditor, b. an independent auditor possessing the following certiϐications: i. Certiϐied Information Security Auditor (CISA) or ii. Certiϐied Information Security Manager (CISM) or iii. GIAC Systems and Network Auditor (GSNA) or iv. Certiϐied Information Systems Security Professional (CISSP)</t>
        </is>
      </c>
      <c r="P1735" s="12" t="n">
        <v>42</v>
      </c>
    </row>
    <row r="1736">
      <c r="A1736" t="inlineStr">
        <is>
          <t>India</t>
        </is>
      </c>
      <c r="B1736" t="inlineStr">
        <is>
          <t>guidelines-on-cyber-security-and-cyber-resilience-for-regulated-entities-in-ifscs-1-10032025064412 (India - Row 5)</t>
        </is>
      </c>
      <c r="C1736" t="inlineStr">
        <is>
          <t>17</t>
        </is>
      </c>
      <c r="D1736" s="11" t="inlineStr">
        <is>
          <t>Auditor conflict of interest and reporting</t>
        </is>
      </c>
      <c r="E1736" t="inlineStr">
        <is>
          <t>8</t>
        </is>
      </c>
      <c r="F1736" t="inlineStr">
        <is>
          <t>High</t>
        </is>
      </c>
      <c r="G1736" t="inlineStr">
        <is>
          <t>High (explicit)</t>
        </is>
      </c>
      <c r="H1736" s="11" t="inlineStr">
        <is>
          <t>Security, Incident Reporting</t>
        </is>
      </c>
      <c r="I1736" s="11" t="inlineStr">
        <is>
          <t>Personal Information</t>
        </is>
      </c>
      <c r="J1736" t="inlineStr">
        <is>
          <t>IFSCA</t>
        </is>
      </c>
      <c r="K1736" s="11" t="inlineStr">
        <is>
          <t>The auditor engaged by a regulated entity must not have a conflict of interest with the entity. The audit report must be submitted to IFSCA within 90 days of the financial year-end. Entities may conduct audits more frequently than annually based on their cyber risk levels and system criticality.</t>
        </is>
      </c>
      <c r="L1736" s="11" t="inlineStr">
        <is>
          <t>Requires auditor independence and timely reporting of audit results, which is vital for DTIA to ensure ongoing compliance with security standards during data transfers.</t>
        </is>
      </c>
      <c r="M1736" s="11" t="inlineStr">
        <is>
          <t>• [Must] Auditor must not have any conflict of interest with RE
• [Must] Submit audit report to IFSCA within 90 days of financial year-end
• [Must] Submit audit report to IFSCA's corresponding department/division</t>
        </is>
      </c>
      <c r="N1736" s="11" t="inlineStr">
        <is>
          <t>• [Must] Conduct audits at least annually
• [May] Conduct audits more frequently than annually based on cyber risk levels</t>
        </is>
      </c>
      <c r="O1736" s="11" t="inlineStr">
        <is>
          <t>17. The auditor engaged by an RE shall not have any conϐlict of interest with the RE. The audit shall be conducted annually and a report in this regard shall be submitted to IFSCA by the REs within 90 days from the end of the ϕinancial year.</t>
        </is>
      </c>
      <c r="P1736" s="12" t="n">
        <v>42</v>
      </c>
    </row>
    <row r="1737">
      <c r="A1737" t="inlineStr">
        <is>
          <t>India</t>
        </is>
      </c>
      <c r="B1737" t="inlineStr">
        <is>
          <t>guidelines-on-cyber-security-and-cyber-resilience-for-regulated-entities-in-ifscs-1-10032025064412 (India - Row 5)</t>
        </is>
      </c>
      <c r="C1737" t="inlineStr">
        <is>
          <t>18</t>
        </is>
      </c>
      <c r="D1737" s="11" t="inlineStr">
        <is>
          <t>Audit report submission for market participants</t>
        </is>
      </c>
      <c r="E1737" t="inlineStr">
        <is>
          <t>8</t>
        </is>
      </c>
      <c r="F1737" t="inlineStr">
        <is>
          <t>High</t>
        </is>
      </c>
      <c r="G1737" t="inlineStr">
        <is>
          <t>High (explicit)</t>
        </is>
      </c>
      <c r="H1737" s="11" t="inlineStr">
        <is>
          <t>Security</t>
        </is>
      </c>
      <c r="I1737" s="11" t="inlineStr">
        <is>
          <t>Personal Information</t>
        </is>
      </c>
      <c r="J1737" t="inlineStr">
        <is>
          <t>IFSCA</t>
        </is>
      </c>
      <c r="K1737" s="11" t="inlineStr">
        <is>
          <t>Regulated entities registered as Broker Dealers, Bullion Trading Members, Clearing Members, or Depository Participants must submit their cybersecurity audit reports to IFSCA within 7 days of submitting to a Market Infrastructure Institution or Bullion Exchange. This ensures timely compliance with IFSCA's cybersecurity standards.</t>
        </is>
      </c>
      <c r="L1737" s="11" t="inlineStr">
        <is>
          <t>Allows for streamlined audit reporting for market participants, which is relevant for DTIA as it ensures consistent security practices across financial entities during data transfers.</t>
        </is>
      </c>
      <c r="M1737" s="11" t="inlineStr">
        <is>
          <t>• [Must] Submit cybersecurity audit report to IFSCA within 7 days of submission to Market Infrastructure Institution/Bullion Exchange</t>
        </is>
      </c>
      <c r="N1737" s="11" t="inlineStr"/>
      <c r="O1737" s="11" t="inlineStr">
        <is>
          <t>18. In case the RE is registered with IFSCA as a Broker Dealer/Bullion Trading Member, Clearing Member/Bullion Clearing Member or as a Depository Participant, and is required to submit cyber security audit report to a recognised Market Infrastructure Institution/Bullion Exchange, such REs may submit the same audit report to IFSCA within 7 days of submission of the audit report to the Market Infrastructure Institution/Bullion Exchange.</t>
        </is>
      </c>
      <c r="P1737" s="12" t="n">
        <v>42</v>
      </c>
    </row>
    <row r="1738">
      <c r="A1738" t="inlineStr">
        <is>
          <t>India</t>
        </is>
      </c>
      <c r="B1738" t="inlineStr">
        <is>
          <t>guidelines-on-cyber-security-and-cyber-resilience-for-regulated-entities-in-ifscs-1-10032025064412 (India - Row 5)</t>
        </is>
      </c>
      <c r="C1738" t="inlineStr">
        <is>
          <t>19</t>
        </is>
      </c>
      <c r="D1738" s="11" t="inlineStr">
        <is>
          <t>Cyber incident reporting timeline</t>
        </is>
      </c>
      <c r="E1738" t="inlineStr">
        <is>
          <t>8</t>
        </is>
      </c>
      <c r="F1738" t="inlineStr">
        <is>
          <t>High</t>
        </is>
      </c>
      <c r="G1738" t="inlineStr">
        <is>
          <t>High (explicit)</t>
        </is>
      </c>
      <c r="H1738" s="11" t="inlineStr">
        <is>
          <t>Security, Incident Reporting</t>
        </is>
      </c>
      <c r="I1738" s="11" t="inlineStr">
        <is>
          <t>Personal Information</t>
        </is>
      </c>
      <c r="J1738" t="inlineStr">
        <is>
          <t>IFSCA</t>
        </is>
      </c>
      <c r="K1738" s="11" t="inlineStr">
        <is>
          <t>Regulated entities must report cyber incidents to IFSCA's cyber incidents email address within six hours of detection. This includes details of the incident, its impact, and any mitigating actions taken. The reporting requirement ensures rapid response to incidents that could affect data security.</t>
        </is>
      </c>
      <c r="L1738" s="11" t="inlineStr">
        <is>
          <t>Mandates immediate reporting of cyber incidents, which is critical for DTIA to address data transfer risks and ensure timely mitigation of breaches.</t>
        </is>
      </c>
      <c r="M1738" s="11" t="inlineStr">
        <is>
          <t>• [Must] Report cyber incidents to cyber-incidents@ifsca.gov.in within six hours of detection</t>
        </is>
      </c>
      <c r="N1738" s="11" t="inlineStr">
        <is>
          <t>• [Must] Copy report to IFSCA's CISO</t>
        </is>
      </c>
      <c r="O1738" s="11" t="inlineStr">
        <is>
          <t>19. In case of occurrence of any cyber incident, the REs are required to report the particulars of the incident to the Authority on cyber-incidents@ifsca.gov.in with a copy to CISO, IFSCA, not later than six (6) hours from the detection of the incident.</t>
        </is>
      </c>
      <c r="P1738" s="12" t="n">
        <v>42</v>
      </c>
    </row>
    <row r="1739">
      <c r="A1739" t="inlineStr">
        <is>
          <t>India</t>
        </is>
      </c>
      <c r="B1739" t="inlineStr">
        <is>
          <t>guidelines-on-cyber-security-and-cyber-resilience-for-regulated-entities-in-ifscs-1-10032025064412 (India - Row 5)</t>
        </is>
      </c>
      <c r="C1739" t="inlineStr">
        <is>
          <t>20</t>
        </is>
      </c>
      <c r="D1739" s="11" t="inlineStr">
        <is>
          <t>Interim reports and root cause analysis within deadlines</t>
        </is>
      </c>
      <c r="E1739" t="inlineStr">
        <is>
          <t>8–9</t>
        </is>
      </c>
      <c r="F1739" t="inlineStr">
        <is>
          <t>High</t>
        </is>
      </c>
      <c r="G1739" t="inlineStr">
        <is>
          <t>High (explicit)</t>
        </is>
      </c>
      <c r="H1739" s="11" t="inlineStr">
        <is>
          <t>Incident Reporting, Breach Notification</t>
        </is>
      </c>
      <c r="I1739" s="11" t="inlineStr">
        <is>
          <t>Personal Information</t>
        </is>
      </c>
      <c r="J1739" t="inlineStr">
        <is>
          <t>IFSCA</t>
        </is>
      </c>
      <c r="K1739" s="11" t="inlineStr">
        <is>
          <t>Regulated entities (REs) must submit an interim report within 3 days of an incident, followed by a detailed root cause analysis report within 30 days. REs must implement mitigation measures for the incident within 7 days. These obligations apply to REs operating in International Financial Services Centres (IFSCs) as per the guidelines.</t>
        </is>
      </c>
      <c r="L1739" s="11" t="inlineStr">
        <is>
          <t>Requires timely reporting and mitigation actions for incidents, which impacts DTIA by mandating specific timelines for root cause analysis and corrective measures across borders.</t>
        </is>
      </c>
      <c r="M1739" s="11" t="inlineStr">
        <is>
          <t>• [Must] REs shall submit interim report within 3 days
• [Must] REs shall submit detailed root cause analysis report within 30 days</t>
        </is>
      </c>
      <c r="N1739" s="11" t="inlineStr">
        <is>
          <t>• [Must] REs shall take mitigation measures within 7 days</t>
        </is>
      </c>
      <c r="O1739" s="11" t="inlineStr">
        <is>
          <t>20. Additionally, the REs shall submit the interim report within 3 days followed by a detailed root cause analysis report within 30 days. The REs shall take mitigation measures for the same within 7 days.</t>
        </is>
      </c>
      <c r="P1739" s="12" t="n">
        <v>42</v>
      </c>
    </row>
    <row r="1740">
      <c r="A1740" t="inlineStr">
        <is>
          <t>India</t>
        </is>
      </c>
      <c r="B1740" t="inlineStr">
        <is>
          <t>guidelines-on-cyber-security-and-cyber-resilience-for-regulated-entities-in-ifscs-1-10032025064412 (India - Row 5)</t>
        </is>
      </c>
      <c r="C1740" t="inlineStr">
        <is>
          <t>21</t>
        </is>
      </c>
      <c r="D1740" s="11" t="inlineStr">
        <is>
          <t>Exempted categories of regulated entities</t>
        </is>
      </c>
      <c r="E1740" t="inlineStr">
        <is>
          <t>9</t>
        </is>
      </c>
      <c r="F1740" t="inlineStr">
        <is>
          <t>High</t>
        </is>
      </c>
      <c r="G1740" t="inlineStr">
        <is>
          <t>High (explicit)</t>
        </is>
      </c>
      <c r="H1740" s="11" t="inlineStr"/>
      <c r="I1740" s="11" t="inlineStr">
        <is>
          <t>Personal Information</t>
        </is>
      </c>
      <c r="J1740" t="inlineStr">
        <is>
          <t>IFSCA</t>
        </is>
      </c>
      <c r="K1740" s="11" t="inlineStr">
        <is>
          <t>The following categories of regulated entities (REs) are exempt from the guidelines: REs operating as branches of regulated Indian or foreign entities; REs providing services to group entities only (e.g., Global In-House Centres); REs with fewer than 10 employees; and foreign universities established in IFSCs. These exemptions apply to REs operating in International Financial Services Centres.</t>
        </is>
      </c>
      <c r="L1740" s="11" t="inlineStr">
        <is>
          <t>Identifies specific REs exempt from compliance, which affects DTIA by reducing the scope of reporting and security requirements for certain entities operating in IFSCs.</t>
        </is>
      </c>
      <c r="M1740" s="11" t="inlineStr">
        <is>
          <t>• [Exempt] REs operating as branches of regulated Indian or foreign entities
• [Exempt] REs providing services to group entities only (e.g., Global In-House Centres)</t>
        </is>
      </c>
      <c r="N1740" s="11" t="inlineStr">
        <is>
          <t>• [Exempt] REs with fewer than 10 employees
• [Exempt] Foreign universities set up in IFSCs</t>
        </is>
      </c>
      <c r="O1740" s="11" t="inlineStr">
        <is>
          <t>21. The following categories of REs are exempted from the requirements mentioned in these Guidelines: a. The REs operating in the form of a branch of a regulated Indian or foreign entity. b. The REs providing services to their group entities only e.g. Global In-House Centres (GICs). c. The REs which have less than 10 employees. d. Foreign universities set up in IFSCs.</t>
        </is>
      </c>
      <c r="P1740" s="12" t="n">
        <v>42</v>
      </c>
    </row>
    <row r="1741">
      <c r="A1741" t="inlineStr">
        <is>
          <t>India</t>
        </is>
      </c>
      <c r="B1741" t="inlineStr">
        <is>
          <t>guidelines-on-cyber-security-and-cyber-resilience-for-regulated-entities-in-ifscs-1-10032025064412 (India - Row 5)</t>
        </is>
      </c>
      <c r="C1741" t="inlineStr">
        <is>
          <t>22</t>
        </is>
      </c>
      <c r="D1741" s="11" t="inlineStr">
        <is>
          <t>Conditions for exemptions from requirements</t>
        </is>
      </c>
      <c r="E1741" t="inlineStr">
        <is>
          <t>9–10</t>
        </is>
      </c>
      <c r="F1741" t="inlineStr">
        <is>
          <t>High</t>
        </is>
      </c>
      <c r="G1741" t="inlineStr">
        <is>
          <t>High (explicit)</t>
        </is>
      </c>
      <c r="H1741" s="11" t="inlineStr">
        <is>
          <t>Governance, Record Keeping</t>
        </is>
      </c>
      <c r="I1741" s="11" t="inlineStr">
        <is>
          <t>Personal Information</t>
        </is>
      </c>
      <c r="J1741" t="inlineStr">
        <is>
          <t>IFSCA</t>
        </is>
      </c>
      <c r="K1741" s="11" t="inlineStr">
        <is>
          <t>Exemptions granted under Section 21 are conditional on REs adopting the parent entity's Cyber Security and Cyber Resilience framework; designating the parent entity's CISO as the Designated Officer; ensuring the parent entity is regulated by a financial-sector regulator; and submitting certification within 90 days of each financial year. These exemptions are valid for three years from the guidelines' issuance date.</t>
        </is>
      </c>
      <c r="L1741" s="11" t="inlineStr">
        <is>
          <t>Sets conditions for exemption from compliance, which impacts DTIA by requiring specific alignment with parent entities' frameworks and timely certification for entities operating in IFSCs.</t>
        </is>
      </c>
      <c r="M1741" s="11" t="inlineStr">
        <is>
          <t>• [Must] REs shall adopt Cyber Security and Cyber Resilience framework and IS Policy of parent entity
• [Must] CISO of parent entity shall act as Designated Officer for REs in IFSC
• [Must] Parent entity shall be regulated by financial-sector regulator in home jurisdiction
• [Must] Parent entity's cyber security framework shall include REs in IFSC within scope</t>
        </is>
      </c>
      <c r="N1741" s="11" t="inlineStr">
        <is>
          <t>• [Must] Designated Officer shall certify systems/processes in line with guidelines within 90 days of financial year end
• [Must] Undertaking shall be submitted to IFSCA supervision division
• [Condition] Exemptions valid for three years from guidelines issuance</t>
        </is>
      </c>
      <c r="O1741" s="11" t="inlineStr">
        <is>
          <t>22. The exemptions to the REs provided vide para 21, are subject to fulϐilment of the following conditions: a. REs shall adopt the Cyber Security and Cyber Resilience framework and IS Policy of its parent entity. b. The CISO of the parent entity shall act as the Designated Ofϐicer for the REs in IFSC. c. The parent entity of REs, in India or overseas, shall be regulated by a financial-sector regulator in its home jurisdiction and cyber security and cyber resilience framework of the parent entity shall include within its scope, the REs in IFSC. The Designated Ofϐicer of the RE shall certify that all the necessary systems/processes have been put in place, which are in line with these Guidelines within 90 days of the end of each financial year. The said undertaking shall be submitted to the respective Department/ Division of IFSCA responsible for supervision of the RE. These exemptions have been granted for a period of three years from the date of the issuance of these guidelines.</t>
        </is>
      </c>
      <c r="P1741" s="12" t="n">
        <v>42</v>
      </c>
    </row>
    <row r="1742">
      <c r="A1742" t="inlineStr">
        <is>
          <t>Mauritius</t>
        </is>
      </c>
      <c r="B1742" t="inlineStr">
        <is>
          <t>Guideline-on-Incident-Handling-and-Reporting (Mauritius - Row 8)</t>
        </is>
      </c>
      <c r="C1742" t="inlineStr">
        <is>
          <t>1</t>
        </is>
      </c>
      <c r="D1742" s="11" t="inlineStr">
        <is>
          <t>Incident response policy structure for IT professionals</t>
        </is>
      </c>
      <c r="E1742" t="inlineStr">
        <is>
          <t>6–7</t>
        </is>
      </c>
      <c r="F1742" t="inlineStr">
        <is>
          <t>Low</t>
        </is>
      </c>
      <c r="G1742" t="inlineStr">
        <is>
          <t>High (explicit)</t>
        </is>
      </c>
      <c r="H1742" s="11" t="inlineStr">
        <is>
          <t>Incident Reporting</t>
        </is>
      </c>
      <c r="I1742" s="11" t="inlineStr">
        <is>
          <t>Personal Information</t>
        </is>
      </c>
      <c r="J1742" t="inlineStr"/>
      <c r="K1742" s="11" t="inlineStr">
        <is>
          <t>This section establishes the purpose and scope of incident response guidelines, specifically for computer security-related incidents. It defines the target audience as IT professionals and managers responsible for incident handling, and outlines the document's structure including incident response policies, plans, procedures, and teams. The scope excludes natural disasters and power failures.</t>
        </is>
      </c>
      <c r="L1742" s="11" t="inlineStr">
        <is>
          <t>This section provides foundational structure for incident response policies but does not directly impact data transfer assessments as it focuses on internal incident handling rather than cross-border data flows.</t>
        </is>
      </c>
      <c r="M1742" s="11" t="inlineStr">
        <is>
          <t>• [Must] This document provides basis for incident response policies, plans, procedures, and teams
• [Must] Document includes incident handler's checklist template</t>
        </is>
      </c>
      <c r="N1742" s="11" t="inlineStr">
        <is>
          <t>• [Must] Addresses only computer security-related incidents</t>
        </is>
      </c>
      <c r="O1742" s="11" t="inlineStr">
        <is>
          <t>The purpose of this guideline is to provide the basis for the creation of incident response policies, plans, procedures, and teams to handle incidents within an organisation.</t>
        </is>
      </c>
      <c r="P1742" s="12" t="n">
        <v>54</v>
      </c>
    </row>
    <row r="1743">
      <c r="A1743" t="inlineStr">
        <is>
          <t>Mauritius</t>
        </is>
      </c>
      <c r="B1743" t="inlineStr">
        <is>
          <t>Guideline-on-Incident-Handling-and-Reporting (Mauritius - Row 8)</t>
        </is>
      </c>
      <c r="C1743" t="inlineStr">
        <is>
          <t>2</t>
        </is>
      </c>
      <c r="D1743" s="11" t="inlineStr">
        <is>
          <t>Definition of security incidents and serious incidents</t>
        </is>
      </c>
      <c r="E1743" t="inlineStr">
        <is>
          <t>7–9</t>
        </is>
      </c>
      <c r="F1743" t="inlineStr">
        <is>
          <t>Low</t>
        </is>
      </c>
      <c r="G1743" t="inlineStr">
        <is>
          <t>High (explicit)</t>
        </is>
      </c>
      <c r="H1743" s="11" t="inlineStr">
        <is>
          <t>Incident Reporting</t>
        </is>
      </c>
      <c r="I1743" s="11" t="inlineStr">
        <is>
          <t>Personal Information</t>
        </is>
      </c>
      <c r="J1743" t="inlineStr"/>
      <c r="K1743" s="11" t="inlineStr">
        <is>
          <t>This section defines key terms including events, adverse events, incidents, and serious incidents. It specifies that serious incidents involve potential unauthorized disclosure of personal information, serious legal issues, severe service disruption, active threats, widespread impact, or public interest concerns. The definition focuses on computer security incidents rather than natural disasters or power failures.</t>
        </is>
      </c>
      <c r="L1743" s="11" t="inlineStr">
        <is>
          <t>This section defines serious incidents that could impact data transfer assessments by establishing criteria for incidents involving unauthorized disclosure of personal information, which may affect cross-border data flows.</t>
        </is>
      </c>
      <c r="M1743" s="11" t="inlineStr">
        <is>
          <t>• [Must] An incident is defined as attempted or successful unauthorized access, use, disclosure, modification or destruction of information
• [Must] Incidents include unauthorized access of systems or data
• [Must] Serious incidents involve potential unauthorized disclosure of personal information
• [Must] Serious incidents involve serious legal issues</t>
        </is>
      </c>
      <c r="N1743" s="11" t="inlineStr">
        <is>
          <t>• [Must] Serious incidents cause severe disruption to critical services
• [Must] Serious incidents involve active threats
• [Must] Serious incidents are widespread beyond a single unit
• [Must] Serious incidents are likely to raise public interest</t>
        </is>
      </c>
      <c r="O1743" s="11" t="inlineStr">
        <is>
          <t>An incident is defined as an attempted or successful unauthorised access, use, disclosure, modification or destruction of information; interference with information technology operation; or violation of explicit or implied acceptable usage policy.</t>
        </is>
      </c>
      <c r="P1743" s="12" t="n">
        <v>54</v>
      </c>
    </row>
    <row r="1744">
      <c r="A1744" t="inlineStr">
        <is>
          <t>Mauritius</t>
        </is>
      </c>
      <c r="B1744" t="inlineStr">
        <is>
          <t>Guideline-on-Incident-Handling-and-Reporting (Mauritius - Row 8)</t>
        </is>
      </c>
      <c r="C1744" t="inlineStr">
        <is>
          <t>3</t>
        </is>
      </c>
      <c r="D1744" s="11" t="inlineStr">
        <is>
          <t>Incident response capabilities and third-party communication</t>
        </is>
      </c>
      <c r="E1744" t="inlineStr">
        <is>
          <t>9–14</t>
        </is>
      </c>
      <c r="F1744" t="inlineStr">
        <is>
          <t>Low</t>
        </is>
      </c>
      <c r="G1744" t="inlineStr">
        <is>
          <t>High (explicit)</t>
        </is>
      </c>
      <c r="H1744" s="11" t="inlineStr">
        <is>
          <t>Incident Reporting, Third Party Processing</t>
        </is>
      </c>
      <c r="I1744" s="11" t="inlineStr">
        <is>
          <t>Personal Information</t>
        </is>
      </c>
      <c r="J1744" t="inlineStr"/>
      <c r="K1744" s="11" t="inlineStr">
        <is>
          <t>This section details incident response policies, plans, procedures, and teams. It emphasizes the need for formal incident response plans with specific elements including mission, strategies, senior management approval, communication protocols, and metrics. It also outlines requirements for sharing incident information with third parties such as law enforcement, media, ISPs, and other organizations, with specific procedures for each type of communication.</t>
        </is>
      </c>
      <c r="L1744" s="11" t="inlineStr">
        <is>
          <t>This section requires organizations to establish incident response capabilities and communication protocols with third parties, which may impact data transfer assessments through requirements for incident reporting and coordination with external entities.</t>
        </is>
      </c>
      <c r="M1744" s="11" t="inlineStr">
        <is>
          <t>• [Must] Organisations should have formal incident response plans with mission, strategies, and goals
• [Must] Incident response plans require senior management approval
• [Must] Organisations must document all contacts and communications with outside parties for liability and evidentiary purposes</t>
        </is>
      </c>
      <c r="N1744" s="11" t="inlineStr">
        <is>
          <t>• [Must] Incident response teams should establish media communications procedures with designated contacts
• [Must] Organisations must contact law enforcement through designated individuals
• [Must] Organisations should create policies for reporting incidents to CSIRTs</t>
        </is>
      </c>
      <c r="O1744" s="11" t="inlineStr">
        <is>
          <t>Organisations should have a formal, focused, and coordinated approach to responding to incidents, including an incident response plan that provides the roadmap for implementing the incident response capability.</t>
        </is>
      </c>
      <c r="P1744" s="12" t="n">
        <v>54</v>
      </c>
    </row>
    <row r="1745">
      <c r="A1745" t="inlineStr">
        <is>
          <t>Mauritius</t>
        </is>
      </c>
      <c r="B1745" t="inlineStr">
        <is>
          <t>Guideline-on-Incident-Handling-and-Reporting (Mauritius - Row 8)</t>
        </is>
      </c>
      <c r="C1745" t="inlineStr">
        <is>
          <t>4</t>
        </is>
      </c>
      <c r="D1745" s="11" t="inlineStr">
        <is>
          <t>Incident response lifecycle phases and requirements</t>
        </is>
      </c>
      <c r="E1745" t="inlineStr">
        <is>
          <t>16–21</t>
        </is>
      </c>
      <c r="F1745" t="inlineStr">
        <is>
          <t>High</t>
        </is>
      </c>
      <c r="G1745" t="inlineStr">
        <is>
          <t>High (explicit)</t>
        </is>
      </c>
      <c r="H1745" s="11" t="inlineStr">
        <is>
          <t>Incident Reporting, Breach Notification</t>
        </is>
      </c>
      <c r="I1745" s="11" t="inlineStr">
        <is>
          <t>Personal Information</t>
        </is>
      </c>
      <c r="J1745" t="inlineStr">
        <is>
          <t>Mauritius Data Protection Authority</t>
        </is>
      </c>
      <c r="K1745" s="11" t="inlineStr">
        <is>
          <t>This section outlines the incident handling process with five distinct phases: preparation, detection and analysis, containment, eradication and recovery, and post-incident activity. Organizations must establish an incident response team, acquire necessary tools and resources, conduct risk assessments, implement security controls, and document all activities. The process requires continuous monitoring, evidence preservation, and regular lessons learned to prevent future incidents and ensure business continuity.</t>
        </is>
      </c>
      <c r="L1745" s="11" t="inlineStr">
        <is>
          <t>This section establishes the incident response lifecycle that requires organizations to document evidence, implement containment measures, and conduct post-incident reviews. These activities are critical for data breach investigations and must be considered when assessing cross-border data incidents involving security breaches.</t>
        </is>
      </c>
      <c r="M1745" s="11" t="inlineStr">
        <is>
          <t>• [Must] Organizations must establish and train an incident response team
• [Must] Organizations must acquire necessary tools and resources for incident handling
• [Must] Organizations must implement security controls based on risk assessments
• [Must] Organizations must detect security breaches to alert the organization
• [Must] Organizations must contain incidents to limit impact
• [Must] Organizations must eradicate incidents by removing malicious content</t>
        </is>
      </c>
      <c r="N1745" s="11" t="inlineStr">
        <is>
          <t>• [Must] Organizations must recover systems after eradication
• [Must] Organizations must document all activities to answer Who, What, Where, Why, and How
• [Must] Organizations must conduct post-incident lessons learned within two weeks
• [Must] Organizations must create forensic images of affected systems
• [Must] Organizations must implement security patches on affected systems</t>
        </is>
      </c>
      <c r="O1745" s="11" t="inlineStr">
        <is>
          <t>The incident handling process has several phases. The initial phase involves establishing and training an incident response team, and acquiring the necessary tools and resources.</t>
        </is>
      </c>
      <c r="P1745" s="12" t="n">
        <v>54</v>
      </c>
    </row>
    <row r="1746">
      <c r="A1746" t="inlineStr">
        <is>
          <t>Mauritius</t>
        </is>
      </c>
      <c r="B1746" t="inlineStr">
        <is>
          <t>Guideline-on-Incident-Handling-and-Reporting (Mauritius - Row 8)</t>
        </is>
      </c>
      <c r="C1746" t="inlineStr">
        <is>
          <t>5</t>
        </is>
      </c>
      <c r="D1746" s="11" t="inlineStr">
        <is>
          <t>Incident response checklist for preparation, detection, containment, eradication, recovery and lessons learned</t>
        </is>
      </c>
      <c r="E1746" t="inlineStr">
        <is>
          <t>25–28</t>
        </is>
      </c>
      <c r="F1746" t="inlineStr">
        <is>
          <t>High</t>
        </is>
      </c>
      <c r="G1746" t="inlineStr">
        <is>
          <t>High (explicit)</t>
        </is>
      </c>
      <c r="H1746" s="11" t="inlineStr">
        <is>
          <t>Incident Reporting, Breach Notification</t>
        </is>
      </c>
      <c r="I1746" s="11" t="inlineStr">
        <is>
          <t>Personal Information</t>
        </is>
      </c>
      <c r="J1746" t="inlineStr"/>
      <c r="K1746" s="11" t="inlineStr">
        <is>
          <t>This section mandates that incident handlers complete a detailed checklist covering preparation, detection, analysis, containment, eradication, recovery, and post-incident activities. It requires organizations to verify security policies, ensure incident response team awareness, confirm access to response tools, and conduct regular drills. The checklist also specifies procedures for identifying incident scope, impact, sources, and implementing short-term and long-term containment measures. It mandates documentation of all actions taken and preparation for lessons learned meetings within two weeks of incident resolution.</t>
        </is>
      </c>
      <c r="L1746" s="11" t="inlineStr">
        <is>
          <t>This section provides a structured framework for incident response that impacts DTIAs by requiring detailed documentation of incident handling steps, which is critical for assessing the security posture of data transfers and third-party interactions during cross-border incidents.</t>
        </is>
      </c>
      <c r="M1746" s="11" t="inlineStr">
        <is>
          <t>• [Must] All members must be aware of the organisation's security policies
• [Must] All CSIRT members must know whom to contact
• [Must] All incident responders must have access to journals and incident response toolkits
• [Must] All members must have participated in incident response drills regularly
• [Must] Incident handlers must determine where the incident occurred
• [Must] Incident handlers must identify who reported or discovered the incident
• [Must] Incident handlers must determine how the incident was discovered
• [Must] Incident handlers must identify if other areas were compromised and when
• [Must] Incident handlers must assess the scope of impact
• [Must] Incident handlers must evaluate business impact
• [Must] Incident handlers must locate incident sources and their details
• [Must] Incident handlers must isolate affected systems if possible
• [Must] Incident handlers must ensure affected systems are isolated from non-affected systems
• [Must] Incident handlers must create forensic copies of affected systems</t>
        </is>
      </c>
      <c r="N1746" s="11" t="inlineStr">
        <is>
          <t>• [Must] Incident handlers must keep commands and documentation updated since the incident
• [Must] Incident handlers must store forensic copies in a secure location
• [Must] Incident handlers must remove malware and artifacts from affected systems
• [Must] Incident handlers must patch and harden systems against future attacks
• [Must] Incident handlers must determine feasible restoration time for affected systems
• [Must] Incident handlers must specify tools for testing restored systems
• [Must] Incident handlers must define monitoring duration for restored systems
• [Must] Incident handlers must establish benchmarks for monitoring restored systems
• [Must] Incident handlers must document all necessary incident information
• [Must] Incident handlers must generate incident response reports for lessons learned meetings
• [Must] Incident handlers must ensure incident reports answer who, what, where, why, and how
• [Must] Incident handlers must schedule lessons learned meetings within two weeks
• [Must] Incident handlers must review incident response process with CSIRT members
• [Must] Incident handlers must identify mistakes or areas for improvement in response process</t>
        </is>
      </c>
      <c r="O1746" s="11" t="inlineStr">
        <is>
          <t>5.0 Incident Handler's Checklist: 1. Preparation a) Are all members aware of the security policies of the organisation? b) Do all members of the Computer Security Incident Response Team know whom to contact? c) Do all incident responders have access to journals and access to incident response toolkits to perform the actual incident response process? d) Have all members participated in incident response drills to practice the incident response process and to improve overall proficiency on a regularly established basis? 2. Detection and Analysis a) Where did the incident occur? b) Who reported or discovered the incident? c) How was it discovered? d) Are there any other areas that have been compromised by the incident? If so what are they and when were they discovered? e) What is the scope of the impact? f) What is the business impact? g) Have the source(s) of the incident been located? If so, where, when, and what are they? 3. Containment a) Short-term containment i. Can the problem be isolated? 1. If so, then proceed to isolate the affected systems. 2. If not, then work with system owners and/or managers to determine further action necessary to contain the problem. ii. Are all affected systems isolated from non-affected systems? 1. If so, then continue to the next step. 2. If not, then continue to isolate affected systems until short-term containment has been accomplished to prevent the incident from escalating any further. b) System-backup</t>
        </is>
      </c>
      <c r="P1746" s="12" t="n">
        <v>54</v>
      </c>
    </row>
    <row r="1747">
      <c r="A1747" t="inlineStr">
        <is>
          <t>Mauritius</t>
        </is>
      </c>
      <c r="B1747" t="inlineStr">
        <is>
          <t>Guideline-on-Incident-Handling-and-Reporting (Mauritius - Row 8)</t>
        </is>
      </c>
      <c r="C1747" t="inlineStr">
        <is>
          <t>6</t>
        </is>
      </c>
      <c r="D1747" s="11" t="inlineStr">
        <is>
          <t>Incident response policy requirements for financial institutions</t>
        </is>
      </c>
      <c r="E1747" t="inlineStr">
        <is>
          <t>28–29</t>
        </is>
      </c>
      <c r="F1747" t="inlineStr">
        <is>
          <t>High</t>
        </is>
      </c>
      <c r="G1747" t="inlineStr">
        <is>
          <t>High (explicit)</t>
        </is>
      </c>
      <c r="H1747" s="11" t="inlineStr">
        <is>
          <t>Incident Reporting, Breach Notification</t>
        </is>
      </c>
      <c r="I1747" s="11" t="inlineStr">
        <is>
          <t>Financial Data</t>
        </is>
      </c>
      <c r="J1747" t="inlineStr"/>
      <c r="K1747" s="11" t="inlineStr">
        <is>
          <t>This section emphasizes the importance of having realistic incident response policies and procedures for financial institutions to prevent operational disruption. It requires organizations to maintain trained incident response teams and proper documentation for interactions with third parties. The section stresses that incidents can have serious impacts, and organizations must be prepared to respond effectively to minimize disruption and financial consequences.</t>
        </is>
      </c>
      <c r="L1747" s="11" t="inlineStr">
        <is>
          <t>This section is relevant for DTIAs as it mandates incident response policies that affect how financial data is handled during cross-border incidents, particularly in terms of third-party interactions and documentation requirements.</t>
        </is>
      </c>
      <c r="M1747" s="11" t="inlineStr">
        <is>
          <t>• [Must] Organizations must have realistic incident response policies, plans and procedures
• [Must] Organizations must have a dedicated incident response team trained to handle incidents</t>
        </is>
      </c>
      <c r="N1747" s="11" t="inlineStr">
        <is>
          <t>• [Must] Organizations must maintain proper documentation for interactions with third parties</t>
        </is>
      </c>
      <c r="O1747" s="11" t="inlineStr">
        <is>
          <t>6.0 Conclusion: Organisations should always be concerned about "when", and not "if" an incident will occur. Incidents can sometimes have serious impact or very low effect on organisations. In any case, it is imperative that we have realistic incident response policies, plans and procedures in place to ensure that each of the incident handling steps are being followed during an incident to prevent further disruption to an organisation's operations. Thus, a dedicated incident response team should be trained to deal with incidents as and when they occur and proper documentation should be in place for any interactions with third parties.</t>
        </is>
      </c>
      <c r="P1747" s="12" t="n">
        <v>54</v>
      </c>
    </row>
    <row r="1748">
      <c r="A1748" t="inlineStr">
        <is>
          <t>Mauritius</t>
        </is>
      </c>
      <c r="B1748" t="inlineStr">
        <is>
          <t>Guideline-on-Incident-Handling-and-Reporting (Mauritius - Row 8)</t>
        </is>
      </c>
      <c r="C1748" t="inlineStr">
        <is>
          <t>7</t>
        </is>
      </c>
      <c r="D1748" s="11" t="inlineStr">
        <is>
          <t>Incident response references and phishing case study</t>
        </is>
      </c>
      <c r="E1748" t="inlineStr">
        <is>
          <t>29–35</t>
        </is>
      </c>
      <c r="F1748" t="inlineStr">
        <is>
          <t>High</t>
        </is>
      </c>
      <c r="G1748" t="inlineStr">
        <is>
          <t>High (explicit)</t>
        </is>
      </c>
      <c r="H1748" s="11" t="inlineStr">
        <is>
          <t>Incident Reporting, Breach Notification</t>
        </is>
      </c>
      <c r="I1748" s="11" t="inlineStr">
        <is>
          <t>Financial Data</t>
        </is>
      </c>
      <c r="J1748" t="inlineStr"/>
      <c r="K1748" s="11" t="inlineStr">
        <is>
          <t>This section provides references to incident response standards and includes a case study of a phishing attack on Mauritius Commercial Bank. It details how customers were tricked into entering banking details via phishing emails, resulting in financial losses. The case study outlines the proposed phishing incident response plan, including preparation, detection, containment, eradication, recovery, and post-incident activities. It emphasizes customer education and technical measures like multi-factor authentication to prevent future phishing attacks.</t>
        </is>
      </c>
      <c r="L1748" s="11" t="inlineStr"/>
      <c r="M1748" s="11" t="inlineStr">
        <is>
          <t>• [Must] Organizations should develop a phishing incident response plan
• [Must] Organizations must create a centralized CSIRT team with necessary resources
• [Must] Organizations must gather phishing email details, TCP-IP information, URLs, and screenshots
• [Must] Organizations must alert employees to unusual activity
• [Must] Organizations must block phishing websites or block access to them</t>
        </is>
      </c>
      <c r="N1748" s="11" t="inlineStr">
        <is>
          <t>• [Must] Organizations must implement multi-factor authentication for customer logins
• [Must] Organizations must track weblogs to detect suspicious IP addresses
• [Must] Organizations must educate customers on recognizing phishing attempts
• [Must] Organizations must establish sender policy framework (SPF) for email validation
• [Must] Organizations must implement digitally signed emails for high-value communications</t>
        </is>
      </c>
      <c r="O1748" s="11" t="inlineStr">
        <is>
          <t>7.0 References: SANS, The Incident Handler's Handbook; The University of Arizona, Incident Response Standard; NIST, Computer Security Incident Handling Guide</t>
        </is>
      </c>
      <c r="P1748" s="12" t="n">
        <v>54</v>
      </c>
    </row>
    <row r="1749">
      <c r="A1749" t="inlineStr">
        <is>
          <t>Mauritius</t>
        </is>
      </c>
      <c r="B1749" t="inlineStr">
        <is>
          <t>Mauritius_Emerging_Technologies_Council_Act_2021 (Mauritius - Row 24)</t>
        </is>
      </c>
      <c r="C1749" t="inlineStr">
        <is>
          <t>2</t>
        </is>
      </c>
      <c r="D1749" s="11" t="inlineStr">
        <is>
          <t>Definitions of key terms for the Council</t>
        </is>
      </c>
      <c r="E1749" t="inlineStr">
        <is>
          <t>2–3</t>
        </is>
      </c>
      <c r="F1749" t="inlineStr">
        <is>
          <t>Low</t>
        </is>
      </c>
      <c r="G1749" t="inlineStr">
        <is>
          <t>High (explicit)</t>
        </is>
      </c>
      <c r="H1749" s="11" t="inlineStr"/>
      <c r="I1749" s="11" t="inlineStr"/>
      <c r="J1749" t="inlineStr"/>
      <c r="K1749" s="11" t="inlineStr">
        <is>
          <t>This section defines critical terms used throughout the Act, including 'Chairperson', 'Council', 'Executive Director', 'Intellectual property', 'member', 'Minister', 'Ministry', and 'research and development'. These definitions establish the scope and meaning of key entities and concepts for the Mauritius Emerging Technologies Council.</t>
        </is>
      </c>
      <c r="L1749" s="11" t="inlineStr"/>
      <c r="M1749" s="11" t="inlineStr">
        <is>
          <t>• [Definition] Chairperson means the Chairperson of the Council
• [Definition] Council means the Mauritius Emerging Technologies Council established under section 3
• [Definition] Executive Director means the Executive Director of the Council, appointed under section 10
• [Definition] Intellectual property includes any knowledge, know-how, technique, technology, design or trade secret, invented, developed or acquired as a result of research and development and innovation activities</t>
        </is>
      </c>
      <c r="N1749" s="11" t="inlineStr">
        <is>
          <t>• [Definition] Member means a member of the Council
• [Definition] Minister means the Minister to whom responsibility for the subject of information technology is assigned
• [Definition] Ministry means the Ministry responsible for the subject of information technology
• [Definition] Research and development means systematic, investigative and experimental activities which involve emerging technologies and are carried out, wholly or partly, within Mauritius for the purpose of creating new or improved materials, products, devices, processes or services</t>
        </is>
      </c>
      <c r="O1749" s="11" t="inlineStr">
        <is>
          <t>Interpretation In this Act – "Chairperson" means the Chairperson of the Council; "Council" means the Mauritius Emerging Technologies Council established under section 3; "Executive Director" means the Executive Director of the Council, appointed under section 10; "Intellectual property" includes any knowledge, know-how, technique, technology, design or trade secret, invented, developed or acquired as a result of research and development and innovation activities undertaken; "member" – (a) means a member of the Council; and (b) includes the Chairperson; "Minister" means the Minister to whom responsibility for the subject of information technology is assigned; "Ministry" means the Ministry responsible for the subject of information technology; "research and development" means systematic, investigative and experimental activities which involve emerging technologies and are carried out, wholly or partly, within Mauritius for the purpose of creating new or improved materials, products, devices, processes or services.</t>
        </is>
      </c>
      <c r="P1749" s="12" t="n">
        <v>58</v>
      </c>
    </row>
    <row r="1750">
      <c r="A1750" t="inlineStr">
        <is>
          <t>Mauritius</t>
        </is>
      </c>
      <c r="B1750" t="inlineStr">
        <is>
          <t>Mauritius_Emerging_Technologies_Council_Act_2021 (Mauritius - Row 24)</t>
        </is>
      </c>
      <c r="C1750" t="inlineStr">
        <is>
          <t>7</t>
        </is>
      </c>
      <c r="D1750" s="11" t="inlineStr">
        <is>
          <t>Composition and term of Council members</t>
        </is>
      </c>
      <c r="E1750" t="inlineStr">
        <is>
          <t>5–6</t>
        </is>
      </c>
      <c r="F1750" t="inlineStr">
        <is>
          <t>Low</t>
        </is>
      </c>
      <c r="G1750" t="inlineStr">
        <is>
          <t>High (explicit)</t>
        </is>
      </c>
      <c r="H1750" s="11" t="inlineStr"/>
      <c r="I1750" s="11" t="inlineStr"/>
      <c r="J1750" t="inlineStr"/>
      <c r="K1750" s="11" t="inlineStr">
        <is>
          <t>This section specifies the composition of the Council, requiring a Chairperson appointed by the Minister, representatives from the Ministry, the Ministry of Finance, the Ministry of Industrial Development, the Attorney-General's Office, the Economic Development Board, the private sector, and four technology experts appointed by the Minister. It also outlines disqualifications for members, term lengths, resignation procedures, and conditions for ceasing office.</t>
        </is>
      </c>
      <c r="L1750" s="11" t="inlineStr"/>
      <c r="M1750" s="11" t="inlineStr">
        <is>
          <t>• [Must] The Council shall consist of a Chairperson, to be appointed by the Minister
• [Must] The Council shall consist of a representative of the Ministry
• [Must] The Council shall consist of a representative of the Ministry responsible for the subject of finance
• [Must] The Council shall consist of a representative of the Ministry responsible for the subject of industrial development
• [Must] The Council shall consist of a representative of the Attorney-General's Office
• [Must] The Council shall consist of a representative from the Economic Development Board
• [Must] The Council shall consist of a representative from the private sector
• [Must] The Council shall consist of 4 technology experts, to be appointed by the Minister
• [Must Not] No person shall be qualified to be a member where he is a member of the Assembly
• [Must Not] No person shall be qualified to be a member where he is a member of a local authority
• [Must Not] No person shall be qualified to be a member where he is otherwise actively engaged in politics</t>
        </is>
      </c>
      <c r="N1750" s="11" t="inlineStr">
        <is>
          <t>• [Must] Subject to subsection (4), a member, other than an ex officio member, shall hold office for a period of 3 years and may be eligible for reappointment
• [Must] A member, other than an ex officio member, shall cease to hold office on the completion of his term of office
• [Must] A member, other than an ex officio member, shall cease to hold office on his resignation
• [Must] A member, other than an ex officio member, shall cease to hold office where he becomes a member of the Assembly or a local authority, or otherwise actively engages in politics
• [Must] A member, other than an ex officio member, shall cease to hold office where, without sufficient cause, he fails to attend 3 consecutive meetings of the Council
• [Must] Every member shall be paid such fees or allowances as the Minister may determine
• [Must] The names of the members of the Council shall be published in the Gazette
• [May] The Council may co-opt any person who may be of assistance in relation to any matter before it and the co-opted member shall not have the right to vote at any meeting of the Council
• [May] The Council may co-opt any person who may be of assistance in relation to any matter before it and the co-opted member shall be paid such fees or allowances as the Council may determine
• [Must Not] A member shall not engage in any activity which may undermine the reputation or the integrity of the Council</t>
        </is>
      </c>
      <c r="O1750" s="11" t="inlineStr">
        <is>
          <t>The Council shall consist of – (a) a Chairperson, to be appointed by the Minister; (b) a representative of the Ministry; (c) a representative of the Ministry responsible for the subject of finance; (d) a representative of the Ministry responsible for the subject of industrial development; (e) a representative of the Attorney-General's Office; (f) a representative of the Economic Development Board; (g) a representative from the private sector; and (h) 4 technology experts, to be appointed by the Minister. No person shall be qualified to be a member where he is – (a) a member of the Assembly; (b) a member of a local authority; or (c) otherwise actively engaged in politics. Subject to subsection (4), a member, other than an ex officio member, shall hold office for a period of 3 years and may be eligible for reappointment. A member, other than an ex officio member, shall cease to hold office – (a) on the completion of his term of office; (b) on his resignation; (c) where he becomes a member of the Assembly or a local authority, or otherwise actively engages in politics; or (d) where, without sufficient cause, he fails to attend 3 consecutive meetings of the Council. Every member shall be paid such fees or allowances as the Minister may determine. The names of the members of the Council shall be published in the Gazette. The Council may co-opt any person who may be of assistance in relation to any matter before it and the co-opted member shall – (a) not have the right to vote at any meeting of the Council; and (b) be paid such fees or allowances as the Council may determine. A member shall not engage in any activity which may undermine the reputation or the integrity of the Council.</t>
        </is>
      </c>
      <c r="P1750" s="12" t="n">
        <v>58</v>
      </c>
    </row>
    <row r="1751">
      <c r="A1751" t="inlineStr">
        <is>
          <t>Mauritius</t>
        </is>
      </c>
      <c r="B1751" t="inlineStr">
        <is>
          <t>Mauritius_Emerging_Technologies_Council_Act_2021 (Mauritius - Row 24)</t>
        </is>
      </c>
      <c r="C1751" t="inlineStr">
        <is>
          <t>13</t>
        </is>
      </c>
      <c r="D1751" s="11" t="inlineStr">
        <is>
          <t>Disclosure of conflicts of interest</t>
        </is>
      </c>
      <c r="E1751" t="inlineStr">
        <is>
          <t>9</t>
        </is>
      </c>
      <c r="F1751" t="inlineStr">
        <is>
          <t>None</t>
        </is>
      </c>
      <c r="G1751" t="inlineStr">
        <is>
          <t>High (explicit)</t>
        </is>
      </c>
      <c r="H1751" s="11" t="inlineStr"/>
      <c r="I1751" s="11" t="inlineStr"/>
      <c r="J1751" t="inlineStr"/>
      <c r="K1751" s="11" t="inlineStr">
        <is>
          <t>This section requires members or their relatives to disclose any pecuniary or material interest in matters before the Council, and prohibits them from participating in deliberations on those matters. Disclosures must be recorded in meeting minutes to ensure transparency and accountability.</t>
        </is>
      </c>
      <c r="L1751" s="11" t="inlineStr"/>
      <c r="M1751" s="11" t="inlineStr">
        <is>
          <t>• [Must] Where any member, or any person related to the member by blood or marriage, has any pecuniary or other material interest in, or in relation to, any matter before the Council or a committee, that member shall disclose the nature of the interest before or at the meeting convened to discuss the matter
• [Must Not] Where any member, or any person related to the member by blood or marriage, has any pecuniary or other material interest in, or in relation to, any matter before the Council or a committee, that member shall not take part in any deliberations relating to that matter</t>
        </is>
      </c>
      <c r="N1751" s="11" t="inlineStr">
        <is>
          <t>• [Must] A disclosure of interest made under subsection (1) shall be recorded in the minutes of proceedings of the meeting of the Council or committee, as the case may be</t>
        </is>
      </c>
      <c r="O1751" s="11" t="inlineStr">
        <is>
          <t>Where any member, or any person related to the member by blood or marriage, has any pecuniary or other material interest in, or in relation to, any matter before the Council or a committee, that member shall – (a) disclose the nature of the interest before or at the meeting convened to discuss the matter; and (b) not take part in any deliberations relating to that matter. A disclosure of interest made under subsection (1) shall be recorded in the minutes of proceedings of the meeting of the Council or committee, as the case may be.</t>
        </is>
      </c>
      <c r="P1751" s="12" t="n">
        <v>58</v>
      </c>
    </row>
    <row r="1752">
      <c r="A1752" t="inlineStr">
        <is>
          <t>Mauritius</t>
        </is>
      </c>
      <c r="B1752" t="inlineStr">
        <is>
          <t>Mauritius_Emerging_Technologies_Council_Act_2021 (Mauritius - Row 24)</t>
        </is>
      </c>
      <c r="C1752" t="inlineStr">
        <is>
          <t>16</t>
        </is>
      </c>
      <c r="D1752" s="11" t="inlineStr">
        <is>
          <t>Establishment of General Fund</t>
        </is>
      </c>
      <c r="E1752" t="inlineStr">
        <is>
          <t>9–10</t>
        </is>
      </c>
      <c r="F1752" t="inlineStr">
        <is>
          <t>Low</t>
        </is>
      </c>
      <c r="G1752" t="inlineStr">
        <is>
          <t>High (explicit)</t>
        </is>
      </c>
      <c r="H1752" s="11" t="inlineStr"/>
      <c r="I1752" s="11" t="inlineStr"/>
      <c r="J1752" t="inlineStr"/>
      <c r="K1752" s="11" t="inlineStr">
        <is>
          <t>This section mandates the Council to establish a General Fund that receives funds from the Consolidated Fund, loans, and other lawful sources, and uses these funds to make all required payments. It ensures financial accountability by specifying the fund's purpose and sources.</t>
        </is>
      </c>
      <c r="L1752" s="11" t="inlineStr"/>
      <c r="M1752" s="11" t="inlineStr">
        <is>
          <t>• [Must] The Council shall set up a General Fund into which shall be paid any amount allocated out of the Consolidated Fund
• [Must] The Council shall set up a General Fund into which shall be paid any loan granted or other sum which may lawfully accrue to the Council</t>
        </is>
      </c>
      <c r="N1752" s="11" t="inlineStr">
        <is>
          <t>• [Must] The Council shall set up a General Fund into which shall be paid any sum received by the Council from any other source
• [Must] Out of which all payments required to be made by it shall be effected</t>
        </is>
      </c>
      <c r="O1752" s="11" t="inlineStr">
        <is>
          <t>The Council shall set up a General Fund – (a) into which shall be paid – (i) any amount allocated out of the Consolidated Fund; (ii) any loan granted or other sum which may lawfully accrue to the Council; and (iii) any sum received by the Council from any other source; and (b) out of which all payments required to be made by it shall be effected.</t>
        </is>
      </c>
      <c r="P1752" s="12" t="n">
        <v>58</v>
      </c>
    </row>
    <row r="1753">
      <c r="A1753" t="inlineStr">
        <is>
          <t>Mauritius</t>
        </is>
      </c>
      <c r="B1753" t="inlineStr">
        <is>
          <t>Mauritius_Emerging_Technologies_Council_Act_2021 (Mauritius - Row 24)</t>
        </is>
      </c>
      <c r="C1753" t="inlineStr">
        <is>
          <t>21</t>
        </is>
      </c>
      <c r="D1753" s="11" t="inlineStr">
        <is>
          <t>Annual reporting obligations</t>
        </is>
      </c>
      <c r="E1753" t="inlineStr">
        <is>
          <t>10–11</t>
        </is>
      </c>
      <c r="F1753" t="inlineStr">
        <is>
          <t>Low</t>
        </is>
      </c>
      <c r="G1753" t="inlineStr">
        <is>
          <t>High (explicit)</t>
        </is>
      </c>
      <c r="H1753" s="11" t="inlineStr"/>
      <c r="I1753" s="11" t="inlineStr"/>
      <c r="J1753" t="inlineStr"/>
      <c r="K1753" s="11" t="inlineStr">
        <is>
          <t>This section requires the Council to publish an annual report within six months of the financial year-end, including audited accounts. It also specifies the first financial year's definition, excludes certain accounting provisions, designates the Director of Audit as auditor, and mandates reporting to the Minister and the Assembly.</t>
        </is>
      </c>
      <c r="L1753" s="11" t="inlineStr"/>
      <c r="M1753" s="11" t="inlineStr">
        <is>
          <t>• [Must] The Council shall, not later than 6 months after the close of every financial year, cause to be published a report on the activities of the Council, including its audited accounts, in respect of that financial year
• [Must] For the purposes of the Statutory Bodies (Accounts and Audit) Act, the period extending from the commencement of this Act to 30 June of the following year shall be deemed to be the first financial year of the Council
• [Must] Section 7 (1) of the Statutory Bodies (Accounts and Audit) Act shall not apply to the first financial year of the Council
• [Must] The auditor to be appointed under section 5 (1) of the Statutory Bodies (Accounts and Audit) Act shall be the Director of Audit</t>
        </is>
      </c>
      <c r="N1753" s="11" t="inlineStr">
        <is>
          <t>• [Must] The Council shall forward a copy of the report referred to in subsection (1) to the Minister
• [Must] The Council shall furnish to the Minister such information with respect to its activities, in such manner and at such time, as he may specify
• [Must] The Minister shall, at the earliest available opportunity, lay a copy of the annual report and audited accounts of the Council before the Assembly</t>
        </is>
      </c>
      <c r="O1753" s="11" t="inlineStr">
        <is>
          <t>The Council shall, not later than 6 months after the close of every financial year, cause to be published a report on the activities of the Council, including its audited accounts, in respect of that financial year. For the purposes of the Statutory Bodies (Accounts and Audit) Act, the period extending from the commencement of this Act to 30 June of the following year shall be deemed to be the first financial year of the Council. Section 7 (1) of the Statutory Bodies (Accounts and Audit) Act shall not apply to the first financial year of the Council. The auditor to be appointed under section 5 (1) of the Statutory Bodies (Accounts and Audit) Act shall be the Director of Audit. The Council shall forward a copy of the report referred to in subsection (1) to the Minister. The Council shall furnish to the Minister such information with respect to its activities, in such manner and at such time, as he may specify. The Minister shall, at the earliest available opportunity, lay a copy of the annual report and audited accounts of the Council before the Assembly.</t>
        </is>
      </c>
      <c r="P1753" s="12" t="n">
        <v>58</v>
      </c>
    </row>
    <row r="1754">
      <c r="A1754" t="inlineStr">
        <is>
          <t>Mauritius</t>
        </is>
      </c>
      <c r="B1754" t="inlineStr">
        <is>
          <t>National-Identity-Card-Act-Consolidated- (Mauritius - Row 23)</t>
        </is>
      </c>
      <c r="C1754" t="inlineStr">
        <is>
          <t>2</t>
        </is>
      </c>
      <c r="D1754" s="11" t="inlineStr">
        <is>
          <t>Staff appointments for National Identity Card Unit</t>
        </is>
      </c>
      <c r="E1754" t="inlineStr">
        <is>
          <t>1</t>
        </is>
      </c>
      <c r="F1754" t="inlineStr">
        <is>
          <t>None</t>
        </is>
      </c>
      <c r="G1754" t="inlineStr">
        <is>
          <t>High (explicit)</t>
        </is>
      </c>
      <c r="H1754" s="11" t="inlineStr"/>
      <c r="I1754" s="11" t="inlineStr"/>
      <c r="J1754" t="inlineStr"/>
      <c r="K1754" s="11" t="inlineStr">
        <is>
          <t>This section outlines the procedures for appointing staff to the National Identity Card Unit, including the authority to designate a head and staff members, and the power to employ contract staff under specific conditions. It establishes the framework for personnel management within the Unit.</t>
        </is>
      </c>
      <c r="L1754" s="11" t="inlineStr"/>
      <c r="M1754" s="11" t="inlineStr">
        <is>
          <t>• [Must] The Secretary to Cabinet and Head of the Civil Service may designate a suitably qualified public officer or person to head the Unit
• [Must] The Secretary to Cabinet and Head of the Civil Service may designate such public officers or persons as may be necessary to assist the Unit</t>
        </is>
      </c>
      <c r="N1754" s="11" t="inlineStr">
        <is>
          <t>• [Must] The Secretary to Cabinet and Head of the Civil Service may employ on contract suitably qualified persons to assist the Unit</t>
        </is>
      </c>
      <c r="O1754" s="11" t="inlineStr">
        <is>
          <t>2B. Staff of National Identity Card Unit (1) (a) The Secretary to Cabinet and Head of the Civil Service may, subject to the approval of the Public Service Commission, designate – (i) a suitably qualified public officer or person to head the Unit; (ii) such public officers or persons as may be necessary to assist the Unit. (b) The Secretary to Cabinet and Head of the Civil Service may employ on contract, on such terms and conditions as he may determine, such suitably qualified persons, as may be necessary to assist the Unit in the proper discharge of its functions.</t>
        </is>
      </c>
      <c r="P1754" s="12" t="n">
        <v>59</v>
      </c>
    </row>
    <row r="1755">
      <c r="A1755" t="inlineStr">
        <is>
          <t>Mauritius</t>
        </is>
      </c>
      <c r="B1755" t="inlineStr">
        <is>
          <t>National-Identity-Card-Act-Consolidated- (Mauritius - Row 23)</t>
        </is>
      </c>
      <c r="C1755" t="inlineStr">
        <is>
          <t>4</t>
        </is>
      </c>
      <c r="D1755" s="11" t="inlineStr">
        <is>
          <t>Mandatory identity card registration for citizens</t>
        </is>
      </c>
      <c r="E1755" t="inlineStr">
        <is>
          <t>3–4</t>
        </is>
      </c>
      <c r="F1755" t="inlineStr">
        <is>
          <t>None</t>
        </is>
      </c>
      <c r="G1755" t="inlineStr">
        <is>
          <t>High (explicit)</t>
        </is>
      </c>
      <c r="H1755" s="11" t="inlineStr"/>
      <c r="I1755" s="11" t="inlineStr">
        <is>
          <t>Biometric Data, Personal Information</t>
        </is>
      </c>
      <c r="J1755" t="inlineStr"/>
      <c r="K1755" s="11" t="inlineStr">
        <is>
          <t>This section requires citizens of Mauritius to apply for an identity card within six months of turning 18, with exceptions for non-residents or those with serious health conditions. It specifies the documents required for application, including birth certificates, naturalization certificates, and biometric information collection.</t>
        </is>
      </c>
      <c r="L1755" s="11" t="inlineStr"/>
      <c r="M1755" s="11" t="inlineStr">
        <is>
          <t>• [Must] Every citizen must apply for an identity card within six months of attaining 18 years of age
• [Must] Non-residents may apply for an identity card within a period determined by the Head of the Unit
• [Must] Persons unable to comply due to serious illness may apply for an identity card within a period determined by the Head of the Unit
• [Must] Applicants must produce birth certificate or certificate of registration/naturalisation as a citizen</t>
        </is>
      </c>
      <c r="N1755" s="11" t="inlineStr">
        <is>
          <t>• [Must] Applicants must produce other documents as required by the Head of the Unit
• [Must] Applicants must allow fingerprints and other biometric information to be taken and recorded
• [Must] Applicants must allow themselves to be photographed for the identity card
• [Must] Applicants certified as unable to provide biometric information due to permanent infirmity may be exempt from biometric collection</t>
        </is>
      </c>
      <c r="O1755" s="11" t="inlineStr">
        <is>
          <t>4. Duty to be registered (1) (a) Subject to paragraph (b), every person who is a citizen of Mauritius shall, within 6 months of attaining the age of 18 and on such form as may be prescribed, apply for an identity card at any office designated by the Head of the Unit. (b) Where a person – (i) is not a resident of Mauritius; or (ii) is unable to comply with paragraph (a) on account of serious illness, as certified by a medical practitioner in the public service, or on any other compelling and reasonable ground, he may apply for an identity card in such manner and within such period of attaining the age of 1:8 as the Head of the Unit may determine. (2) Every person who applies for an identity card shall — (a) produce his birth certificate or his certificate of registration or naturalisation as a citizen of Mauritius, as the case may be; (b) produce such other documents as the Head of the Unit may require; (c) allow his fingerprints, and other biornetric information about himself, to be taken and recorded; and (d) allow himself to be photographed, for the purpose of the identity card.</t>
        </is>
      </c>
      <c r="P1755" s="12" t="n">
        <v>59</v>
      </c>
    </row>
    <row r="1756">
      <c r="A1756" t="inlineStr">
        <is>
          <t>Mauritius</t>
        </is>
      </c>
      <c r="B1756" t="inlineStr">
        <is>
          <t>National-Identity-Card-Act-Consolidated- (Mauritius - Row 23)</t>
        </is>
      </c>
      <c r="C1756" t="inlineStr">
        <is>
          <t>6</t>
        </is>
      </c>
      <c r="D1756" s="11" t="inlineStr">
        <is>
          <t>Mandatory residence change notification</t>
        </is>
      </c>
      <c r="E1756" t="inlineStr">
        <is>
          <t>5–6</t>
        </is>
      </c>
      <c r="F1756" t="inlineStr">
        <is>
          <t>None</t>
        </is>
      </c>
      <c r="G1756" t="inlineStr">
        <is>
          <t>High (explicit)</t>
        </is>
      </c>
      <c r="H1756" s="11" t="inlineStr"/>
      <c r="I1756" s="11" t="inlineStr">
        <is>
          <t>Personal Information</t>
        </is>
      </c>
      <c r="J1756" t="inlineStr"/>
      <c r="K1756" s="11" t="inlineStr">
        <is>
          <t>This section requires individuals who change their residence to notify the National Identity Card Unit within 28 days. It specifies that the notification must be submitted in the form prescribed by the Unit, ensuring timely updates to the identity card records.</t>
        </is>
      </c>
      <c r="L1756" s="11" t="inlineStr"/>
      <c r="M1756" s="11" t="inlineStr">
        <is>
          <t>• [Must] Any person who changes residence must notify the National Identity Card Unit within 28 days</t>
        </is>
      </c>
      <c r="N1756" s="11" t="inlineStr">
        <is>
          <t>• [Must] The change of residence notification must be submitted in the form prescribed by the Head of the Unit</t>
        </is>
      </c>
      <c r="O1756" s="11" t="inlineStr">
        <is>
          <t>6. Change of residence (1) Where any person issued with an identity card changes his residence, he shall, within 28 days of the occurrence, notify the change at any office designated by the Head of the Unit or in such manner as may be prescribed. (2) Any change of residence reported under subsection (1) shall be in such form as may be prescribed.</t>
        </is>
      </c>
      <c r="P1756" s="12" t="n">
        <v>59</v>
      </c>
    </row>
    <row r="1757">
      <c r="A1757" t="inlineStr">
        <is>
          <t>Mauritius</t>
        </is>
      </c>
      <c r="B1757" t="inlineStr">
        <is>
          <t>National-Identity-Card-Act-Consolidated- (Mauritius - Row 23)</t>
        </is>
      </c>
      <c r="C1757" t="inlineStr">
        <is>
          <t>11</t>
        </is>
      </c>
      <c r="D1757" s="11" t="inlineStr">
        <is>
          <t>Data collection and processing must comply with Data Protection Act</t>
        </is>
      </c>
      <c r="E1757" t="inlineStr">
        <is>
          <t>1</t>
        </is>
      </c>
      <c r="F1757" t="inlineStr">
        <is>
          <t>Low</t>
        </is>
      </c>
      <c r="G1757" t="inlineStr">
        <is>
          <t>High (explicit)</t>
        </is>
      </c>
      <c r="H1757" s="11" t="inlineStr"/>
      <c r="I1757" s="11" t="inlineStr">
        <is>
          <t>Biometric Data, Personal Information</t>
        </is>
      </c>
      <c r="J1757" t="inlineStr"/>
      <c r="K1757" s="11" t="inlineStr">
        <is>
          <t>This section states that all data collection and processing activities under the National Identity Card Act must comply with the Data Protection Act. It establishes that personal data, including biometric information, collected through this Act is subject to the broader Data Protection Act's requirements for data handling, privacy, and security.</t>
        </is>
      </c>
      <c r="L1757" s="11" t="inlineStr">
        <is>
          <t>This section mandates that all identity card data processing must follow Data Protection Act standards, which could impact cross-border data transfers if the Data Protection Act has international data transfer requirements.</t>
        </is>
      </c>
      <c r="M1757" s="11" t="inlineStr">
        <is>
          <t>• [Must] The collection and processing of personal data, including biometric information, under this Act shall be subject to the provisions of the Data Protection Act</t>
        </is>
      </c>
      <c r="N1757" s="11" t="inlineStr"/>
      <c r="O1757" s="11" t="inlineStr">
        <is>
          <t>12. Collection and processing of data to be subject to Data Protection Act The collection and processing of personal data, including biometric information, under this Act shall be subject to the provisions of the Data Protection Act.</t>
        </is>
      </c>
      <c r="P1757" s="12" t="n">
        <v>59</v>
      </c>
    </row>
    <row r="1758">
      <c r="A1758" t="inlineStr">
        <is>
          <t>Mauritius</t>
        </is>
      </c>
      <c r="B1758" t="inlineStr">
        <is>
          <t>National-Identity-Card-Act-Consolidated- (Mauritius - Row 23)</t>
        </is>
      </c>
      <c r="C1758" t="inlineStr">
        <is>
          <t>12</t>
        </is>
      </c>
      <c r="D1758" s="11" t="inlineStr">
        <is>
          <t>Data collection subject to Data Protection Act</t>
        </is>
      </c>
      <c r="E1758" t="inlineStr">
        <is>
          <t>9</t>
        </is>
      </c>
      <c r="F1758" t="inlineStr">
        <is>
          <t>None</t>
        </is>
      </c>
      <c r="G1758" t="inlineStr">
        <is>
          <t>High (explicit)</t>
        </is>
      </c>
      <c r="H1758" s="11" t="inlineStr"/>
      <c r="I1758" s="11" t="inlineStr">
        <is>
          <t>Biometric Data, Personal Information</t>
        </is>
      </c>
      <c r="J1758" t="inlineStr"/>
      <c r="K1758" s="11" t="inlineStr">
        <is>
          <t>This section explicitly states that all personal data, including biometric information, collected and processed under the National Identity Card Act must comply with the Data Protection Act. This ensures that identity card data handling adheres to broader privacy and data protection standards.</t>
        </is>
      </c>
      <c r="L1758" s="11" t="inlineStr">
        <is>
          <t>This section mandates that identity card data processing must follow Data Protection Act standards, which could impact cross-border data transfers if the Data Protection Act has international data transfer requirements.</t>
        </is>
      </c>
      <c r="M1758" s="11" t="inlineStr">
        <is>
          <t>• [Must] The collection and processing of personal data, including biometric information, under this Act shall be subject to the provisions of the Data Protection Act</t>
        </is>
      </c>
      <c r="N1758" s="11" t="inlineStr"/>
      <c r="O1758" s="11" t="inlineStr">
        <is>
          <t>12. Collection and processing of data to be subject to Data Protection Act The collection and processing of personal data, including biometric information, under this Act shall be subject to the provisions of the Data Protection Act.</t>
        </is>
      </c>
      <c r="P1758" s="12" t="n">
        <v>59</v>
      </c>
    </row>
    <row r="1759">
      <c r="A1759" t="inlineStr">
        <is>
          <t>Mauritius</t>
        </is>
      </c>
      <c r="B1759" t="inlineStr">
        <is>
          <t>code-of-business-conduct_final (Mauritius - Row 14)</t>
        </is>
      </c>
      <c r="C1759" t="inlineStr">
        <is>
          <t>1</t>
        </is>
      </c>
      <c r="D1759" s="11" t="inlineStr">
        <is>
          <t>Scope of the Code of Business Conduct</t>
        </is>
      </c>
      <c r="E1759" t="inlineStr">
        <is>
          <t>2</t>
        </is>
      </c>
      <c r="F1759" t="inlineStr">
        <is>
          <t>High</t>
        </is>
      </c>
      <c r="G1759" t="inlineStr">
        <is>
          <t>High (explicit)</t>
        </is>
      </c>
      <c r="H1759" s="11" t="inlineStr">
        <is>
          <t>Governance, Record Keeping</t>
        </is>
      </c>
      <c r="I1759" s="11" t="inlineStr">
        <is>
          <t>Customer Data</t>
        </is>
      </c>
      <c r="J1759" t="inlineStr">
        <is>
          <t>Financial Services Commission (FSC)</t>
        </is>
      </c>
      <c r="K1759" s="11" t="inlineStr">
        <is>
          <t>This section defines the scope of the Code of Business Conduct, stating it is part of the Fair Market Conduct Programme implemented by the Financial Services Commission (FSC). It outlines that the Code has 9 Guiding Principles which set general obligations for licensees to ensure sound business conduct. The objectives include promoting sound conduct in financial services, instilling confidence, preserving Mauritius' reputation as an international financial centre, and ensuring fair treatment of consumers and the public.</t>
        </is>
      </c>
      <c r="L1759" s="11" t="inlineStr"/>
      <c r="M1759" s="11" t="inlineStr">
        <is>
          <t>• [Must] The Code of Business Conduct is part of the Fair Market Conduct Programme implemented by the Financial Services Commission</t>
        </is>
      </c>
      <c r="N1759" s="11" t="inlineStr">
        <is>
          <t>• [Must] The Code has 9 Guiding Principles which set out general obligations for licensees to ensure sound business conduct</t>
        </is>
      </c>
      <c r="O1759" s="11" t="inlineStr">
        <is>
          <t>The Code of Business Conduct (the "Code") is part of the Fair Market Conduct Programme which the Financial Services Commission (the "Commission") is implementing.</t>
        </is>
      </c>
      <c r="P1759" s="12" t="n">
        <v>51</v>
      </c>
    </row>
    <row r="1760">
      <c r="A1760" t="inlineStr">
        <is>
          <t>Mauritius</t>
        </is>
      </c>
      <c r="B1760" t="inlineStr">
        <is>
          <t>code-of-business-conduct_final (Mauritius - Row 14)</t>
        </is>
      </c>
      <c r="C1760" t="inlineStr">
        <is>
          <t>3</t>
        </is>
      </c>
      <c r="D1760" s="11" t="inlineStr">
        <is>
          <t>Effective Date of the Code</t>
        </is>
      </c>
      <c r="E1760" t="inlineStr">
        <is>
          <t>2–3</t>
        </is>
      </c>
      <c r="F1760" t="inlineStr">
        <is>
          <t>High</t>
        </is>
      </c>
      <c r="G1760" t="inlineStr">
        <is>
          <t>High (explicit)</t>
        </is>
      </c>
      <c r="H1760" s="11" t="inlineStr">
        <is>
          <t>Governance</t>
        </is>
      </c>
      <c r="I1760" s="11" t="inlineStr"/>
      <c r="J1760" t="inlineStr"/>
      <c r="K1760" s="11" t="inlineStr">
        <is>
          <t>This section specifies that the Code of Business Conduct comes into effect on 01 January 2016. It does not impose ongoing obligations but establishes a clear timeline for when the Code becomes operational for financial service licensees in Mauritius.</t>
        </is>
      </c>
      <c r="L1760" s="11" t="inlineStr"/>
      <c r="M1760" s="11" t="inlineStr">
        <is>
          <t>• [Must] The Code shall come into effect on 01 January 2016</t>
        </is>
      </c>
      <c r="N1760" s="11" t="inlineStr"/>
      <c r="O1760" s="11" t="inlineStr">
        <is>
          <t>The Code shall come into effect on 01 January 2016.</t>
        </is>
      </c>
      <c r="P1760" s="12" t="n">
        <v>51</v>
      </c>
    </row>
    <row r="1761">
      <c r="A1761" t="inlineStr">
        <is>
          <t>Mauritius</t>
        </is>
      </c>
      <c r="B1761" t="inlineStr">
        <is>
          <t>code-of-business-conduct_final (Mauritius - Row 14)</t>
        </is>
      </c>
      <c r="C1761" t="inlineStr">
        <is>
          <t>4</t>
        </is>
      </c>
      <c r="D1761" s="11" t="inlineStr">
        <is>
          <t>Nine Guiding Principles for Financial Service Licensees</t>
        </is>
      </c>
      <c r="E1761" t="inlineStr">
        <is>
          <t>3–5</t>
        </is>
      </c>
      <c r="F1761" t="inlineStr">
        <is>
          <t>High</t>
        </is>
      </c>
      <c r="G1761" t="inlineStr">
        <is>
          <t>High (explicit)</t>
        </is>
      </c>
      <c r="H1761" s="11" t="inlineStr">
        <is>
          <t>Customer Information, Record Keeping</t>
        </is>
      </c>
      <c r="I1761" s="11" t="inlineStr">
        <is>
          <t>Customer Data</t>
        </is>
      </c>
      <c r="J1761" t="inlineStr">
        <is>
          <t>Financial Services Commission (FSC)</t>
        </is>
      </c>
      <c r="K1761" s="11" t="inlineStr">
        <is>
          <t>This section details nine Guiding Principles that licensees must follow to ensure sound business conduct. Each principle includes specific obligations such as acting with due skill and care, maintaining business integrity, avoiding conflicts of interest, communicating with customers, protecting customer assets, ensuring compliance with regulations, maintaining adequate financial resources, managing internal affairs responsibly, and cooperating with the Financial Services Commission.</t>
        </is>
      </c>
      <c r="L1761" s="11" t="inlineStr"/>
      <c r="M1761" s="11" t="inlineStr">
        <is>
          <t>• [Must] Licensees must act with due skill, care and diligence towards their customers and other stakeholders
• [Must] Licensees must observe high standards of honesty, integrity and fairness and ensure all business transactions are carried out and recorded fairly and accurately
• [Must] Licensees must avoid situations of conflict of interests and ensure fair treatment of all customers if a conflict arises
• [Must] Licensees must seek necessary information about customers' individual circumstances and financial objectives
• [Must] Licensees must provide customers with accurate, timely and comprehensible information to enable informed decisions</t>
        </is>
      </c>
      <c r="N1761" s="11" t="inlineStr">
        <is>
          <t>• [Must] Licensees must ensure client assets are properly segregated and identifiable at all times
• [Must] Licensees must observe high standards of market conduct and comply with all regulatory requirements applicable to their business activities
• [Must] Licensees must maintain adequate financial resources to meet financial obligations and implement appropriate risk management policies
• [Must] Licensees must manage business in a responsible and sustainable manner while ensuring adequate controls and proper systems and procedures
• [Must] Licensees must deal with the Commission in a cooperative manner and comply with disclosure obligations promptly</t>
        </is>
      </c>
      <c r="O1761" s="11" t="inlineStr">
        <is>
          <t>The Guiding Principles are intended to ensure that licensees conduct their business in a way that promotes the best interests of consumers and the integrity of the financial services industry.</t>
        </is>
      </c>
      <c r="P1761" s="12" t="n">
        <v>51</v>
      </c>
    </row>
    <row r="1762">
      <c r="A1762" t="inlineStr">
        <is>
          <t>Mauritius</t>
        </is>
      </c>
      <c r="B1762" t="inlineStr">
        <is>
          <t>code-of-business-conduct_final (Mauritius - Row 14)</t>
        </is>
      </c>
      <c r="C1762" t="inlineStr">
        <is>
          <t>5</t>
        </is>
      </c>
      <c r="D1762" s="11" t="inlineStr">
        <is>
          <t>Compliance with the Code of Business Conduct</t>
        </is>
      </c>
      <c r="E1762" t="inlineStr">
        <is>
          <t>5–6</t>
        </is>
      </c>
      <c r="F1762" t="inlineStr">
        <is>
          <t>High</t>
        </is>
      </c>
      <c r="G1762" t="inlineStr">
        <is>
          <t>High (explicit)</t>
        </is>
      </c>
      <c r="H1762" s="11" t="inlineStr">
        <is>
          <t>Record Keeping, Governance</t>
        </is>
      </c>
      <c r="I1762" s="11" t="inlineStr">
        <is>
          <t>Customer Data</t>
        </is>
      </c>
      <c r="J1762" t="inlineStr">
        <is>
          <t>Financial Services Commission (FSC)</t>
        </is>
      </c>
      <c r="K1762" s="11" t="inlineStr">
        <is>
          <t>This section mandates that all financial service licensees must comply with the Code of Business Conduct. It specifies that the Board and other officers are responsible for setting the tone and guiding business practices to ensure employees and third parties contribute to sound business conduct. Licensees must also maintain records of compliance arrangements for inspection by the Financial Services Commission.</t>
        </is>
      </c>
      <c r="L1762" s="11" t="inlineStr"/>
      <c r="M1762" s="11" t="inlineStr">
        <is>
          <t>• [Must] All licensees must comply with the Code
• [Must] The Board and other officers of licensees are responsible for setting the tone and guiding business practices to ensure employees and third parties contribute to sound business conduct</t>
        </is>
      </c>
      <c r="N1762" s="11" t="inlineStr">
        <is>
          <t>• [Must] Licensees must keep appropriate records of arrangements made to comply with the Code for inspection by the Commission upon request
• [Must] Non-compliance with the Code will expose the licensee to regulatory actions in accordance with relevant Acts</t>
        </is>
      </c>
      <c r="O1762" s="11" t="inlineStr">
        <is>
          <t>All licensees must comply with the Code.</t>
        </is>
      </c>
      <c r="P1762" s="12" t="n">
        <v>51</v>
      </c>
    </row>
    <row r="1763">
      <c r="A1763" t="inlineStr">
        <is>
          <t>Mauritius</t>
        </is>
      </c>
      <c r="B1763" t="inlineStr">
        <is>
          <t>code-of-business-conduct_final (Mauritius - Row 18)</t>
        </is>
      </c>
      <c r="C1763" t="inlineStr">
        <is>
          <t>1</t>
        </is>
      </c>
      <c r="D1763" s="11" t="inlineStr">
        <is>
          <t>Scope of the Code of Business Conduct</t>
        </is>
      </c>
      <c r="E1763" t="inlineStr">
        <is>
          <t>2</t>
        </is>
      </c>
      <c r="F1763" t="inlineStr">
        <is>
          <t>High</t>
        </is>
      </c>
      <c r="G1763" t="inlineStr">
        <is>
          <t>High (explicit)</t>
        </is>
      </c>
      <c r="H1763" s="11" t="inlineStr">
        <is>
          <t>Governance, Record Keeping</t>
        </is>
      </c>
      <c r="I1763" s="11" t="inlineStr">
        <is>
          <t>Customer Data</t>
        </is>
      </c>
      <c r="J1763" t="inlineStr">
        <is>
          <t>Financial Services Commission (FSC)</t>
        </is>
      </c>
      <c r="K1763" s="11" t="inlineStr">
        <is>
          <t>This section defines the scope of the Code of Business Conduct, stating it is part of the Fair Market Conduct Programme implemented by the Financial Services Commission (FSC). It outlines that the Code has 9 Guiding Principles which set general obligations for licensees to ensure sound business conduct. The objectives include promoting sound conduct in financial services, instilling confidence, preserving Mauritius' reputation as an international financial centre, and ensuring fair treatment of consumers and the public.</t>
        </is>
      </c>
      <c r="L1763" s="11" t="inlineStr"/>
      <c r="M1763" s="11" t="inlineStr">
        <is>
          <t>• [Must] The Code of Business Conduct is part of the Fair Market Conduct Programme implemented by the Financial Services Commission</t>
        </is>
      </c>
      <c r="N1763" s="11" t="inlineStr">
        <is>
          <t>• [Must] The Code has 9 Guiding Principles which set out general obligations for licensees to ensure sound business conduct</t>
        </is>
      </c>
      <c r="O1763" s="11" t="inlineStr">
        <is>
          <t>The Code of Business Conduct (the "Code") is part of the Fair Market Conduct Programme which the Financial Services Commission (the "Commission") is implementing.</t>
        </is>
      </c>
      <c r="P1763" s="12" t="n">
        <v>52</v>
      </c>
    </row>
    <row r="1764">
      <c r="A1764" t="inlineStr">
        <is>
          <t>Mauritius</t>
        </is>
      </c>
      <c r="B1764" t="inlineStr">
        <is>
          <t>code-of-business-conduct_final (Mauritius - Row 18)</t>
        </is>
      </c>
      <c r="C1764" t="inlineStr">
        <is>
          <t>3</t>
        </is>
      </c>
      <c r="D1764" s="11" t="inlineStr">
        <is>
          <t>Effective Date of the Code</t>
        </is>
      </c>
      <c r="E1764" t="inlineStr">
        <is>
          <t>2–3</t>
        </is>
      </c>
      <c r="F1764" t="inlineStr">
        <is>
          <t>High</t>
        </is>
      </c>
      <c r="G1764" t="inlineStr">
        <is>
          <t>High (explicit)</t>
        </is>
      </c>
      <c r="H1764" s="11" t="inlineStr">
        <is>
          <t>Governance</t>
        </is>
      </c>
      <c r="I1764" s="11" t="inlineStr"/>
      <c r="J1764" t="inlineStr"/>
      <c r="K1764" s="11" t="inlineStr">
        <is>
          <t>This section specifies that the Code of Business Conduct comes into effect on 01 January 2016. It does not impose ongoing obligations but establishes a clear timeline for when the Code becomes operational for financial service licensees in Mauritius.</t>
        </is>
      </c>
      <c r="L1764" s="11" t="inlineStr"/>
      <c r="M1764" s="11" t="inlineStr">
        <is>
          <t>• [Must] The Code shall come into effect on 01 January 2016</t>
        </is>
      </c>
      <c r="N1764" s="11" t="inlineStr"/>
      <c r="O1764" s="11" t="inlineStr">
        <is>
          <t>The Code shall come into effect on 01 January 2016.</t>
        </is>
      </c>
      <c r="P1764" s="12" t="n">
        <v>52</v>
      </c>
    </row>
    <row r="1765">
      <c r="A1765" t="inlineStr">
        <is>
          <t>Mauritius</t>
        </is>
      </c>
      <c r="B1765" t="inlineStr">
        <is>
          <t>code-of-business-conduct_final (Mauritius - Row 18)</t>
        </is>
      </c>
      <c r="C1765" t="inlineStr">
        <is>
          <t>4</t>
        </is>
      </c>
      <c r="D1765" s="11" t="inlineStr">
        <is>
          <t>Nine Guiding Principles for Financial Service Licensees</t>
        </is>
      </c>
      <c r="E1765" t="inlineStr">
        <is>
          <t>3–5</t>
        </is>
      </c>
      <c r="F1765" t="inlineStr">
        <is>
          <t>High</t>
        </is>
      </c>
      <c r="G1765" t="inlineStr">
        <is>
          <t>High (explicit)</t>
        </is>
      </c>
      <c r="H1765" s="11" t="inlineStr">
        <is>
          <t>Customer Information, Record Keeping</t>
        </is>
      </c>
      <c r="I1765" s="11" t="inlineStr">
        <is>
          <t>Customer Data</t>
        </is>
      </c>
      <c r="J1765" t="inlineStr">
        <is>
          <t>Financial Services Commission (FSC)</t>
        </is>
      </c>
      <c r="K1765" s="11" t="inlineStr">
        <is>
          <t>This section details nine Guiding Principles that licensees must follow to ensure sound business conduct. Each principle includes specific obligations such as acting with due skill and care, maintaining business integrity, avoiding conflicts of interest, communicating with customers, protecting customer assets, ensuring compliance with regulations, maintaining adequate financial resources, managing internal affairs responsibly, and cooperating with the Financial Services Commission.</t>
        </is>
      </c>
      <c r="L1765" s="11" t="inlineStr"/>
      <c r="M1765" s="11" t="inlineStr">
        <is>
          <t>• [Must] Licensees must act with due skill, care and diligence towards their customers and other stakeholders
• [Must] Licensees must observe high standards of honesty, integrity and fairness and ensure all business transactions are carried out and recorded fairly and accurately
• [Must] Licensees must avoid situations of conflict of interests and ensure fair treatment of all customers if a conflict arises
• [Must] Licensees must seek necessary information about customers' individual circumstances and financial objectives
• [Must] Licensees must ensure customers are provided with accurate, timely and comprehensible information to make informed decisions</t>
        </is>
      </c>
      <c r="N1765" s="11" t="inlineStr">
        <is>
          <t>• [Must] Licensees must ensure client assets are properly segregated and identifiable at all times
• [Must] Licensees must observe high standards of market conduct and comply with all regulatory requirements applicable to their business activities
• [Must] Licensees must maintain adequate financial resources to meet financial obligations and implement appropriate risk management policies
• [Must] Licensees must manage business in a responsible and sustainable manner while ensuring adequate controls and proper systems and procedures
• [Must] Licensees must deal with the Commission in a cooperative manner and comply with disclosure obligations promptly</t>
        </is>
      </c>
      <c r="O1765" s="11" t="inlineStr">
        <is>
          <t>The Guiding Principles are intended to ensure that licensees conduct their business in a way that promotes the best interests of consumers and the integrity of the financial services industry.</t>
        </is>
      </c>
      <c r="P1765" s="12" t="n">
        <v>52</v>
      </c>
    </row>
    <row r="1766">
      <c r="A1766" t="inlineStr">
        <is>
          <t>Mauritius</t>
        </is>
      </c>
      <c r="B1766" t="inlineStr">
        <is>
          <t>code-of-business-conduct_final (Mauritius - Row 18)</t>
        </is>
      </c>
      <c r="C1766" t="inlineStr">
        <is>
          <t>5</t>
        </is>
      </c>
      <c r="D1766" s="11" t="inlineStr">
        <is>
          <t>Compliance with the Code of Business Conduct</t>
        </is>
      </c>
      <c r="E1766" t="inlineStr">
        <is>
          <t>5–6</t>
        </is>
      </c>
      <c r="F1766" t="inlineStr">
        <is>
          <t>High</t>
        </is>
      </c>
      <c r="G1766" t="inlineStr">
        <is>
          <t>High (explicit)</t>
        </is>
      </c>
      <c r="H1766" s="11" t="inlineStr">
        <is>
          <t>Record Keeping</t>
        </is>
      </c>
      <c r="I1766" s="11" t="inlineStr">
        <is>
          <t>Customer Data</t>
        </is>
      </c>
      <c r="J1766" t="inlineStr">
        <is>
          <t>Financial Services Commission (FSC)</t>
        </is>
      </c>
      <c r="K1766" s="11" t="inlineStr">
        <is>
          <t>This section mandates that all financial service licensees must comply with the Code of Business Conduct. It specifies that the Board and other officers are responsible for setting the tone and guiding business practices to ensure employees and third parties contribute to sound conduct. Licensees must also maintain records of compliance arrangements for inspection by the Financial Services Commission.</t>
        </is>
      </c>
      <c r="L1766" s="11" t="inlineStr"/>
      <c r="M1766" s="11" t="inlineStr">
        <is>
          <t>• [Must] All licensees must comply with the Code
• [Must] The Board and other officers of licensees are responsible for setting the tone and guiding business practices to ensure employees and third parties contribute to sound business conduct</t>
        </is>
      </c>
      <c r="N1766" s="11" t="inlineStr">
        <is>
          <t>• [Must] Licensees must keep appropriate records of arrangements made to comply with the Code for inspection by the Commission upon request
• [Condition] Non-compliance with the Code will expose the licensee to regulatory actions in accordance with relevant Acts</t>
        </is>
      </c>
      <c r="O1766" s="11" t="inlineStr">
        <is>
          <t>All licensees must comply with the Code.</t>
        </is>
      </c>
      <c r="P1766" s="12" t="n">
        <v>52</v>
      </c>
    </row>
    <row r="1767">
      <c r="A1767" t="inlineStr">
        <is>
          <t>Mauritius</t>
        </is>
      </c>
      <c r="B1767" t="inlineStr">
        <is>
          <t>final-guideline-on-cloud-computing (Mauritius - Row 17)</t>
        </is>
      </c>
      <c r="C1767" t="inlineStr">
        <is>
          <t>1</t>
        </is>
      </c>
      <c r="D1767" s="11" t="inlineStr">
        <is>
          <t>Cloud computing service usage by financial licensees</t>
        </is>
      </c>
      <c r="E1767" t="inlineStr">
        <is>
          <t>1–2</t>
        </is>
      </c>
      <c r="F1767" t="inlineStr">
        <is>
          <t>High</t>
        </is>
      </c>
      <c r="G1767" t="inlineStr">
        <is>
          <t>High (explicit)</t>
        </is>
      </c>
      <c r="H1767" s="11" t="inlineStr">
        <is>
          <t>Cloud Services</t>
        </is>
      </c>
      <c r="I1767" s="11" t="inlineStr">
        <is>
          <t>Customer Data</t>
        </is>
      </c>
      <c r="J1767" t="inlineStr">
        <is>
          <t>Financial Services Commission (FSC)</t>
        </is>
      </c>
      <c r="K1767" s="11" t="inlineStr">
        <is>
          <t>The Financial Services Commission (FSC) of Mauritius issues guidelines for financial licensees using cloud computing services. These guidelines aim to ensure compliance with data protection and cybersecurity laws while addressing the risks associated with cloud adoption. Licensees must consider their specific business environment and risk profile when implementing cloud solutions.</t>
        </is>
      </c>
      <c r="L1767" s="11" t="inlineStr">
        <is>
          <t>This section establishes the need for financial licensees to develop cloud strategies that address their specific risks and compliance requirements before adopting cloud services.</t>
        </is>
      </c>
      <c r="M1767" s="11" t="inlineStr">
        <is>
          <t>• [Must] Licensees must implement a risk-based cloud strategy and policy addressing IT assets, cloud services, deployment models, rationale, risks, and staff expertise</t>
        </is>
      </c>
      <c r="N1767" s="11" t="inlineStr"/>
      <c r="O1767" s="11" t="inlineStr">
        <is>
          <t>The Financial Services Commission, Mauritius (‘FSC') has, during its offsite and onsite monitoring, noted that licensees are increasingly using cloud computing services (as defined in the Appendix to this document) to access various types of software/hardware tools and applications.</t>
        </is>
      </c>
      <c r="P1767" s="12" t="n">
        <v>53</v>
      </c>
    </row>
    <row r="1768">
      <c r="A1768" t="inlineStr">
        <is>
          <t>Mauritius</t>
        </is>
      </c>
      <c r="B1768" t="inlineStr">
        <is>
          <t>final-guideline-on-cloud-computing (Mauritius - Row 17)</t>
        </is>
      </c>
      <c r="C1768" t="inlineStr">
        <is>
          <t>2</t>
        </is>
      </c>
      <c r="D1768" s="11" t="inlineStr">
        <is>
          <t>Cloud strategy and policy formulation requirements</t>
        </is>
      </c>
      <c r="E1768" t="inlineStr">
        <is>
          <t>2–3</t>
        </is>
      </c>
      <c r="F1768" t="inlineStr">
        <is>
          <t>High</t>
        </is>
      </c>
      <c r="G1768" t="inlineStr">
        <is>
          <t>High (explicit)</t>
        </is>
      </c>
      <c r="H1768" s="11" t="inlineStr">
        <is>
          <t>Cloud Services</t>
        </is>
      </c>
      <c r="I1768" s="11" t="inlineStr">
        <is>
          <t>Customer Data</t>
        </is>
      </c>
      <c r="J1768" t="inlineStr">
        <is>
          <t>Financial Services Commission (FSC)</t>
        </is>
      </c>
      <c r="K1768" s="11" t="inlineStr">
        <is>
          <t>Financial licensees must develop a risk-based cloud strategy and policy that covers IT assets, cloud services, deployment models, rationale, risks, and staff expertise. This policy must be approved by the Board of Directors and reviewed annually or as needed to address evolving risks.</t>
        </is>
      </c>
      <c r="L1768" s="11" t="inlineStr">
        <is>
          <t>This section mandates that financial institutions create detailed cloud strategies that address specific risks and compliance needs before deploying cloud services.</t>
        </is>
      </c>
      <c r="M1768" s="11" t="inlineStr">
        <is>
          <t>• [Must] Licensees must determine suitability of privately managed cloud infrastructure for hosting customer information
• [Must] Licensees must assess anticipated benefits, costs, and associated risks of cloud adoption</t>
        </is>
      </c>
      <c r="N1768" s="11" t="inlineStr">
        <is>
          <t>• [Must] Licensees must establish a cloud risk management framework aligned with legal and regulatory requirements
• [Must] Licensees must ensure internal staff have appropriate skills and ongoing training for cloud services</t>
        </is>
      </c>
      <c r="O1768" s="11" t="inlineStr">
        <is>
          <t>Licensees which are making use of cloud computing services shall implement a risk-based cloud strategy and policy which addresses the following aspects: i. the Information Technology (IT) assets under consideration, the cloud-based service being acquired and the cloud deployment model being used.</t>
        </is>
      </c>
      <c r="P1768" s="12" t="n">
        <v>53</v>
      </c>
    </row>
    <row r="1769">
      <c r="A1769" t="inlineStr">
        <is>
          <t>Mauritius</t>
        </is>
      </c>
      <c r="B1769" t="inlineStr">
        <is>
          <t>final-guideline-on-cloud-computing (Mauritius - Row 17)</t>
        </is>
      </c>
      <c r="C1769" t="inlineStr">
        <is>
          <t>3</t>
        </is>
      </c>
      <c r="D1769" s="11" t="inlineStr">
        <is>
          <t>Cloud risk management framework requirements</t>
        </is>
      </c>
      <c r="E1769" t="inlineStr">
        <is>
          <t>3–4</t>
        </is>
      </c>
      <c r="F1769" t="inlineStr">
        <is>
          <t>High</t>
        </is>
      </c>
      <c r="G1769" t="inlineStr">
        <is>
          <t>High (explicit)</t>
        </is>
      </c>
      <c r="H1769" s="11" t="inlineStr">
        <is>
          <t>Cloud Services, Security</t>
        </is>
      </c>
      <c r="I1769" s="11" t="inlineStr">
        <is>
          <t>Customer Data</t>
        </is>
      </c>
      <c r="J1769" t="inlineStr">
        <is>
          <t>Financial Services Commission (FSC)</t>
        </is>
      </c>
      <c r="K1769" s="11" t="inlineStr">
        <is>
          <t>Financial licensees must maintain a robust risk management framework that identifies, assesses, manages, mitigates, and reports risks associated with cloud computing services. This framework must cover vulnerabilities, cybersecurity risks, data sensitivity, staff expertise, roles and responsibilities, potential disruptions, and legal compliance.</t>
        </is>
      </c>
      <c r="L1769" s="11" t="inlineStr">
        <is>
          <t>This section requires financial institutions to implement comprehensive risk management for cloud services, including cybersecurity, data protection, and business continuity.</t>
        </is>
      </c>
      <c r="M1769" s="11" t="inlineStr">
        <is>
          <t>• [Must] Licensees must establish a risk management framework to identify, assess, manage, mitigate and report cloud-related risks
• [Must] Risk management framework must consider vulnerabilities and benefits of cloud services
• [Must] Risk management framework must address cybersecurity, IT and concentration risks of cloud providers
• [Must] Risk management framework must evaluate criticality of IT assets and sensitivity of personal data</t>
        </is>
      </c>
      <c r="N1769" s="11" t="inlineStr">
        <is>
          <t>• [Must] Risk management framework must identify roles and responsibilities of licensee and cloud provider
• [Must] Risk management framework must assess impact of service disruptions and provider failures
• [Must] Risk management framework must ensure adequate business contingency plans and data portability
• [Must] Risk management framework must align with relevant legal and regulatory frameworks</t>
        </is>
      </c>
      <c r="O1769" s="11" t="inlineStr">
        <is>
          <t>Licensees shall establish and maintain, at all times, a robust risk management framework to inter-alia identify, assess, manage, mitigate and report the risks associated with the adoption of cloud computing services.</t>
        </is>
      </c>
      <c r="P1769" s="12" t="n">
        <v>53</v>
      </c>
    </row>
    <row r="1770">
      <c r="A1770" t="inlineStr">
        <is>
          <t>Mauritius</t>
        </is>
      </c>
      <c r="B1770" t="inlineStr">
        <is>
          <t>final-guideline-on-cloud-computing (Mauritius - Row 17)</t>
        </is>
      </c>
      <c r="C1770" t="inlineStr">
        <is>
          <t>4</t>
        </is>
      </c>
      <c r="D1770" s="11" t="inlineStr">
        <is>
          <t>Cloud materiality assessment process</t>
        </is>
      </c>
      <c r="E1770" t="inlineStr">
        <is>
          <t>4–5</t>
        </is>
      </c>
      <c r="F1770" t="inlineStr">
        <is>
          <t>High</t>
        </is>
      </c>
      <c r="G1770" t="inlineStr">
        <is>
          <t>High (explicit)</t>
        </is>
      </c>
      <c r="H1770" s="11" t="inlineStr">
        <is>
          <t>Cloud Services</t>
        </is>
      </c>
      <c r="I1770" s="11" t="inlineStr">
        <is>
          <t>Customer Data</t>
        </is>
      </c>
      <c r="J1770" t="inlineStr">
        <is>
          <t>Financial Services Commission (FSC)</t>
        </is>
      </c>
      <c r="K1770" s="11" t="inlineStr">
        <is>
          <t>Financial licensees must assess the materiality of cloud computing services by evaluating costs, impact on financial stability, migration costs, potential disruptions, and ability to maintain regulatory compliance. This assessment must be completed before deploying significant cloud services and reported to the FSC.</t>
        </is>
      </c>
      <c r="L1770" s="11" t="inlineStr">
        <is>
          <t>This section requires financial institutions to evaluate the materiality of cloud services to determine appropriate regulatory oversight and risk management measures.</t>
        </is>
      </c>
      <c r="M1770" s="11" t="inlineStr">
        <is>
          <t>• [Must] Licensees must assess costs of cloud services as part of total operational costs
• [Must] Licensees must evaluate potential impact on earnings, solvency, liquidity, funding and capital
• [Must] Licensees must consider costs of migrating services in-house or to alternate providers</t>
        </is>
      </c>
      <c r="N1770" s="11" t="inlineStr">
        <is>
          <t>• [Must] Licensees must assess potential impact of service disruptions or data breaches
• [Must] Licensees must ensure ability to maintain internal controls and meet regulatory requirements</t>
        </is>
      </c>
      <c r="O1770" s="11" t="inlineStr">
        <is>
          <t>Licensees shall assess the materiality of the cloud computing services, taking into consideration the following factors: i. the costs of the cloud computing services and IT assets, as part of total operational cost;</t>
        </is>
      </c>
      <c r="P1770" s="12" t="n">
        <v>53</v>
      </c>
    </row>
    <row r="1771">
      <c r="A1771" t="inlineStr">
        <is>
          <t>Mauritius</t>
        </is>
      </c>
      <c r="B1771" t="inlineStr">
        <is>
          <t>final-guideline-on-cloud-computing (Mauritius - Row 17)</t>
        </is>
      </c>
      <c r="C1771" t="inlineStr">
        <is>
          <t>5</t>
        </is>
      </c>
      <c r="D1771" s="11" t="inlineStr">
        <is>
          <t>Contractual obligations for cloud service providers</t>
        </is>
      </c>
      <c r="E1771" t="inlineStr">
        <is>
          <t>5–6</t>
        </is>
      </c>
      <c r="F1771" t="inlineStr">
        <is>
          <t>High</t>
        </is>
      </c>
      <c r="G1771" t="inlineStr">
        <is>
          <t>High (explicit)</t>
        </is>
      </c>
      <c r="H1771" s="11" t="inlineStr">
        <is>
          <t>Cloud Services</t>
        </is>
      </c>
      <c r="I1771" s="11" t="inlineStr">
        <is>
          <t>Customer Data</t>
        </is>
      </c>
      <c r="J1771" t="inlineStr">
        <is>
          <t>Financial Services Commission (FSC)</t>
        </is>
      </c>
      <c r="K1771" s="11" t="inlineStr">
        <is>
          <t>Financial licensees must enter written contracts with cloud service providers that define roles and responsibilities, data access rights, notification requirements for data location changes, termination rights, and compliance with Mauritian laws. Licensees must also ensure subcontractors meet due diligence requirements.</t>
        </is>
      </c>
      <c r="L1771" s="11" t="inlineStr">
        <is>
          <t>This section establishes contractual safeguards for cloud services, including data access, location changes, and exit strategies, critical for data transfer impact assessments.</t>
        </is>
      </c>
      <c r="M1771" s="11" t="inlineStr">
        <is>
          <t>• [Must] Contract must define roles and responsibilities of licensee and cloud provider including incident management
• [Must] Cloud provider must provide adequate information and access to data storage
• [Must] Cloud provider must provide reasonable notice of changes in data storage location
• [Must] Licensee has right to terminate contract with concerns about provider and agreed exit strategy</t>
        </is>
      </c>
      <c r="N1771" s="11" t="inlineStr">
        <is>
          <t>• [Must] Contract must ensure compliance with Mauritian laws and regulations
• [Must] Cloud provider must notify licensee of new subcontracting agreements within reasonable notice
• [Must] Subcontractors must meet due diligence, controls, and security requirements</t>
        </is>
      </c>
      <c r="O1771" s="11" t="inlineStr">
        <is>
          <t>Licensees shall enter into a written contractual arrangement with the selected cloud service provider/s regarding the cloud computing services being acquired.</t>
        </is>
      </c>
      <c r="P1771" s="12" t="n">
        <v>53</v>
      </c>
    </row>
    <row r="1772">
      <c r="A1772" t="inlineStr">
        <is>
          <t>Mauritius</t>
        </is>
      </c>
      <c r="B1772" t="inlineStr">
        <is>
          <t>final-guideline-on-cloud-computing (Mauritius - Row 17)</t>
        </is>
      </c>
      <c r="C1772" t="inlineStr">
        <is>
          <t>6</t>
        </is>
      </c>
      <c r="D1772" s="11" t="inlineStr">
        <is>
          <t>Due diligence on cloud service providers</t>
        </is>
      </c>
      <c r="E1772" t="inlineStr">
        <is>
          <t>6–7</t>
        </is>
      </c>
      <c r="F1772" t="inlineStr">
        <is>
          <t>High</t>
        </is>
      </c>
      <c r="G1772" t="inlineStr">
        <is>
          <t>High (explicit)</t>
        </is>
      </c>
      <c r="H1772" s="11" t="inlineStr">
        <is>
          <t>Cloud Services</t>
        </is>
      </c>
      <c r="I1772" s="11" t="inlineStr">
        <is>
          <t>Customer Data</t>
        </is>
      </c>
      <c r="J1772" t="inlineStr">
        <is>
          <t>Financial Services Commission (FSC)</t>
        </is>
      </c>
      <c r="K1772" s="11" t="inlineStr">
        <is>
          <t>Financial licensees must conduct thorough due diligence on cloud service providers before outsourcing functions, including background checks, risk management systems, compliance with Mauritian laws, cybersecurity capabilities, and recovery time objectives. Due diligence must be commensurate with the materiality of the services.</t>
        </is>
      </c>
      <c r="L1772" s="11" t="inlineStr">
        <is>
          <t>This section requires financial institutions to perform detailed due diligence on cloud providers to ensure data protection and compliance, critical for assessing transfer risks.</t>
        </is>
      </c>
      <c r="M1772" s="11" t="inlineStr">
        <is>
          <t>• [Must] Licensees must conduct due diligence to ensure cloud provider is fit and proper
• [Must] Licensees must verify cloud provider's capacity to fulfill delegated functions
• [Must] Licensees must ensure cloud provider complies with data protection and confidentiality requirements
• [Must] Due diligence must include background screening of cloud provider</t>
        </is>
      </c>
      <c r="N1772" s="11" t="inlineStr">
        <is>
          <t>• [Must] Due diligence must assess cloud provider's risk management and information security capabilities
• [Must] Due diligence must verify compliance with Mauritian laws and international standards
• [Must] Due diligence must evaluate cloud provider's ability to handle cyberattacks or data theft
• [Must] Due diligence must assess cloud provider's recovery time objectives</t>
        </is>
      </c>
      <c r="O1772" s="11" t="inlineStr">
        <is>
          <t>Whenever any function is being outsourced to a cloud service provider, licensees are required to conduct appropriate due diligence to ensure that the delegated cloud service provider is fit and proper, has the capacity to fulfil the delegated/outsourced function and has the ability to comply with data protection and confidentiality requirements set out in the laws prevailing in Mauritius.</t>
        </is>
      </c>
      <c r="P1772" s="12" t="n">
        <v>53</v>
      </c>
    </row>
    <row r="1773">
      <c r="A1773" t="inlineStr">
        <is>
          <t>Mauritius</t>
        </is>
      </c>
      <c r="B1773" t="inlineStr">
        <is>
          <t>final-guideline-on-cloud-computing (Mauritius - Row 17)</t>
        </is>
      </c>
      <c r="C1773" t="inlineStr">
        <is>
          <t>7</t>
        </is>
      </c>
      <c r="D1773" s="11" t="inlineStr">
        <is>
          <t>Cloud security framework for mitigating cyber risks</t>
        </is>
      </c>
      <c r="E1773" t="inlineStr">
        <is>
          <t>7–9</t>
        </is>
      </c>
      <c r="F1773" t="inlineStr">
        <is>
          <t>High</t>
        </is>
      </c>
      <c r="G1773" t="inlineStr">
        <is>
          <t>High (explicit)</t>
        </is>
      </c>
      <c r="H1773" s="11" t="inlineStr">
        <is>
          <t>Cloud Services, Security, Encryption, Data Storage</t>
        </is>
      </c>
      <c r="I1773" s="11" t="inlineStr">
        <is>
          <t>Personal Information, Financial Data</t>
        </is>
      </c>
      <c r="J1773" t="inlineStr">
        <is>
          <t>FSC</t>
        </is>
      </c>
      <c r="K1773" s="11" t="inlineStr">
        <is>
          <t>Licensees must establish and maintain a cloud security management framework to mitigate cyber risks and data vulnerabilities from cloud services. This framework must address security procedures, data storage locations, data-in-transit security, third-party assessments, resilience capabilities, and encryption key management. The framework must be tailored to the service's criticality, sensitivity, and risk profile.</t>
        </is>
      </c>
      <c r="L1773" s="11" t="inlineStr">
        <is>
          <t>Requires cloud service providers to demonstrate specific security controls including data storage locations, encryption, and resilience capabilities. These elements directly impact data transfer and storage safeguards in cross-border cloud environments.</t>
        </is>
      </c>
      <c r="M1773" s="11" t="inlineStr">
        <is>
          <t>• [Must] Licensees shall establish and maintain a cloud security management framework to mitigate cyber-risk and data vulnerability from cloud computing services
• [Must] Cloud security framework must consider information on cloud provider's security procedures, controls, and audit reviews
• [Must] Cloud security framework must include information on countries where data are stored and safeguards in place
• [Must] Cloud provider must assure data-in-transit security between data centres in different geographical regions</t>
        </is>
      </c>
      <c r="N1773" s="11" t="inlineStr">
        <is>
          <t>• [Must] Cloud provider must provide third-party assessment of security and vulnerabilities with response timeline for identified issues
• [Must] Cloud provider must demonstrate resilience capabilities including data restoration without alteration after incidents
• [Must] Cloud provider must implement encryption key management to ensure data segregation and protection</t>
        </is>
      </c>
      <c r="O1773" s="11" t="inlineStr">
        <is>
          <t>7.1 Licensees shall establish and maintain a cloud security management framework which would allow them to mitigate any cyber-risk and data vulnerability that may occur due to the use of the cloud computing services.</t>
        </is>
      </c>
      <c r="P1773" s="12" t="n">
        <v>53</v>
      </c>
    </row>
    <row r="1774">
      <c r="A1774" t="inlineStr">
        <is>
          <t>Mauritius</t>
        </is>
      </c>
      <c r="B1774" t="inlineStr">
        <is>
          <t>final-guideline-on-cloud-computing (Mauritius - Row 17)</t>
        </is>
      </c>
      <c r="C1774" t="inlineStr">
        <is>
          <t>8</t>
        </is>
      </c>
      <c r="D1774" s="11" t="inlineStr">
        <is>
          <t>Contingency plans and exit strategies for cloud services</t>
        </is>
      </c>
      <c r="E1774" t="inlineStr">
        <is>
          <t>9–10</t>
        </is>
      </c>
      <c r="F1774" t="inlineStr">
        <is>
          <t>High</t>
        </is>
      </c>
      <c r="G1774" t="inlineStr">
        <is>
          <t>High (explicit)</t>
        </is>
      </c>
      <c r="H1774" s="11" t="inlineStr">
        <is>
          <t>Cloud Services</t>
        </is>
      </c>
      <c r="I1774" s="11" t="inlineStr">
        <is>
          <t>Personal Information, Financial Data</t>
        </is>
      </c>
      <c r="J1774" t="inlineStr">
        <is>
          <t>FSC</t>
        </is>
      </c>
      <c r="K1774" s="11" t="inlineStr">
        <is>
          <t>Licensees must ensure cloud service providers have comprehensive contingency plans for business continuity and recovery. The plans must include disaster recovery procedures, system resiliency, and network redundancy. Licensees also require well-designed exit strategies covering termination procedures, service transfer processes, and alternative solutions for business continuity.</t>
        </is>
      </c>
      <c r="L1774" s="11" t="inlineStr">
        <is>
          <t>Mandates specific contingency and exit strategies that affect data transfer continuity and recovery in cross-border cloud environments. Critical for assessing data transfer resilience and recovery capabilities.</t>
        </is>
      </c>
      <c r="M1774" s="11" t="inlineStr">
        <is>
          <t>• [Must] Licensees shall ensure cloud service provider has comprehensive contingency plan for quick recovery and continuity of operations
• [Must] Contingency plan must include business continuity requirements for disaster recovery and incident mitigation
• [Must] Contingency plan must include adequate system resiliency and network redundancy for business continuity</t>
        </is>
      </c>
      <c r="N1774" s="11" t="inlineStr">
        <is>
          <t>• [Must] Exit strategy must include agreed process and procedures for termination with reasonable timeframe for data deletion
• [Must] Exit strategy must include procedures for transferring services to another provider or back to licensee
• [Must] Exit strategy must include identification of alternative solutions for business continuity</t>
        </is>
      </c>
      <c r="O1774" s="11" t="inlineStr">
        <is>
          <t>8.1 Licensees shall ensure that the cloud service provider has a comprehensive and well-documented contingency plan, allowing for quick recovery and continuity of operations in case of unforeseen events.</t>
        </is>
      </c>
      <c r="P1774" s="12" t="n">
        <v>53</v>
      </c>
    </row>
    <row r="1775">
      <c r="A1775" t="inlineStr">
        <is>
          <t>Mauritius</t>
        </is>
      </c>
      <c r="B1775" t="inlineStr">
        <is>
          <t>final-guideline-on-cloud-computing (Mauritius - Row 17)</t>
        </is>
      </c>
      <c r="C1775" t="inlineStr">
        <is>
          <t>9</t>
        </is>
      </c>
      <c r="D1775" s="11" t="inlineStr">
        <is>
          <t>Ongoing cloud security monitoring and review</t>
        </is>
      </c>
      <c r="E1775" t="inlineStr">
        <is>
          <t>10</t>
        </is>
      </c>
      <c r="F1775" t="inlineStr">
        <is>
          <t>High</t>
        </is>
      </c>
      <c r="G1775" t="inlineStr">
        <is>
          <t>High (explicit)</t>
        </is>
      </c>
      <c r="H1775" s="11" t="inlineStr">
        <is>
          <t>Cloud Services, Security</t>
        </is>
      </c>
      <c r="I1775" s="11" t="inlineStr">
        <is>
          <t>Personal Information, Financial Data</t>
        </is>
      </c>
      <c r="J1775" t="inlineStr">
        <is>
          <t>FSC</t>
        </is>
      </c>
      <c r="K1775" s="11" t="inlineStr">
        <is>
          <t>Licensees must implement risk-based ongoing controls and monitoring of cloud service providers. This includes regular reviews of cloud services, ensuring cloud providers undergo regular audits and testing, and maintaining appropriate skills and knowledge for assessments. The reviews must be conducted at least annually.</t>
        </is>
      </c>
      <c r="L1775" s="11" t="inlineStr">
        <is>
          <t>Requires regular monitoring and review of cloud security controls to ensure ongoing compliance with data protection standards. Critical for assessing the effectiveness of data transfer safeguards over time.</t>
        </is>
      </c>
      <c r="M1775" s="11" t="inlineStr">
        <is>
          <t>• [Must] Licensees shall follow risk-based approach to implementation of ongoing controls and monitoring of cloud service providers
• [Must] Ongoing controls and monitoring shall be organized on a consistent basis
• [Must] Licensees shall review all material cloud computing services at least once a year</t>
        </is>
      </c>
      <c r="N1775" s="11" t="inlineStr">
        <is>
          <t>• [Must] Cloud service providers must undergo regular audits and testing of procedures
• [Must] Audits must be conducted by persons with appropriate skills and knowledge</t>
        </is>
      </c>
      <c r="O1775" s="11" t="inlineStr">
        <is>
          <t>9.1 Licensees shall follow a risk-based approach to the implementation of on-going controls and monitoring of the cloud service providers, whilst considering the materiality of the cloud computing services and the IT assets.</t>
        </is>
      </c>
      <c r="P1775" s="12" t="n">
        <v>53</v>
      </c>
    </row>
    <row r="1776">
      <c r="A1776" t="inlineStr">
        <is>
          <t>Mauritius</t>
        </is>
      </c>
      <c r="B1776" t="inlineStr">
        <is>
          <t>final-guideline-on-cloud-computing (Mauritius - Row 17)</t>
        </is>
      </c>
      <c r="C1776" t="inlineStr">
        <is>
          <t>10</t>
        </is>
      </c>
      <c r="D1776" s="11" t="inlineStr">
        <is>
          <t>Board and management responsibilities for cloud services</t>
        </is>
      </c>
      <c r="E1776" t="inlineStr">
        <is>
          <t>10–12</t>
        </is>
      </c>
      <c r="F1776" t="inlineStr">
        <is>
          <t>High</t>
        </is>
      </c>
      <c r="G1776" t="inlineStr">
        <is>
          <t>High (explicit)</t>
        </is>
      </c>
      <c r="H1776" s="11" t="inlineStr">
        <is>
          <t>Cloud Services, Governance</t>
        </is>
      </c>
      <c r="I1776" s="11" t="inlineStr">
        <is>
          <t>Personal Information, Financial Data</t>
        </is>
      </c>
      <c r="J1776" t="inlineStr">
        <is>
          <t>FSC</t>
        </is>
      </c>
      <c r="K1776" s="11" t="inlineStr">
        <is>
          <t>The Board of Directors must approve cloud strategy and policy, ensure alignment with risk appetite, maintain adequate security controls, and oversee contingency plans. Senior management must ensure proper due diligence, risk assessments, documentation, clear responsibility delineation, and ongoing monitoring of cloud services. Both must provide regular reporting to the Board and FSC.</t>
        </is>
      </c>
      <c r="L1776" s="11" t="inlineStr">
        <is>
          <t>Defines specific governance responsibilities for cloud services that impact data transfer oversight and accountability. Critical for assessing regulatory compliance in cross-border cloud environments.</t>
        </is>
      </c>
      <c r="M1776" s="11" t="inlineStr">
        <is>
          <t>• [Must] Board of directors must approve cloud strategy and policy on cloud computing services
• [Must] Board must ensure cloud policy aligns with cloud strategy, deployment model, and risk appetite
• [Must] Board must ensure cloud risk management framework and security arrangements are in place
• [Must] Board must approve criteria to assess materiality of cloud services and contingency strategies
• [Must] Board must ensure business contingency plans are efficiently deployed during critical issues
• [Must] Board must ensure cloud services comply with record keeping obligations
• [Must] Board must ensure licensee has resources and staff training for effective oversight</t>
        </is>
      </c>
      <c r="N1776" s="11" t="inlineStr">
        <is>
          <t>• [Must] Board must receive comprehensive periodic reports on cloud services
• [Must] Senior management must select cloud providers based on licensee needs with proper due diligence
• [Must] Senior management must document approved cloud policy and strategy
• [Must] Senior management must ensure cloud arrangements follow sound governance and risk management principles
• [Must] Senior management must ensure clear delineation of responsibility between licensee and provider
• [Must] Senior management must conduct independent evaluation of cloud security arrangements
• [Must] Senior management must monitor cloud service performance and report incidents to Board and FSC</t>
        </is>
      </c>
      <c r="O1776" s="11" t="inlineStr">
        <is>
          <t>10.1 The Board of directors of the licensees shall ensure that it is not discharged of its responsibilities upon any delegation or outsourcing arrangement to a cloud service provider.</t>
        </is>
      </c>
      <c r="P1776" s="12" t="n">
        <v>53</v>
      </c>
    </row>
    <row r="1777">
      <c r="A1777" t="inlineStr">
        <is>
          <t>Mauritius</t>
        </is>
      </c>
      <c r="B1777" t="inlineStr">
        <is>
          <t>final-guideline-on-cloud-computing (Mauritius - Row 17)</t>
        </is>
      </c>
      <c r="C1777" t="inlineStr">
        <is>
          <t>11</t>
        </is>
      </c>
      <c r="D1777" s="11" t="inlineStr">
        <is>
          <t>Information retrieval for cloud services</t>
        </is>
      </c>
      <c r="E1777" t="inlineStr">
        <is>
          <t>12–13</t>
        </is>
      </c>
      <c r="F1777" t="inlineStr">
        <is>
          <t>High</t>
        </is>
      </c>
      <c r="G1777" t="inlineStr">
        <is>
          <t>High (explicit)</t>
        </is>
      </c>
      <c r="H1777" s="11" t="inlineStr">
        <is>
          <t>Cloud Services</t>
        </is>
      </c>
      <c r="I1777" s="11" t="inlineStr">
        <is>
          <t>Personal Information, Financial Data</t>
        </is>
      </c>
      <c r="J1777" t="inlineStr">
        <is>
          <t>FSC</t>
        </is>
      </c>
      <c r="K1777" s="11" t="inlineStr">
        <is>
          <t>Licensees must ensure they can retrieve any information or document stored by the cloud service provider at any time. This requirement ensures data accessibility for compliance purposes and regulatory obligations.</t>
        </is>
      </c>
      <c r="L1777" s="11" t="inlineStr">
        <is>
          <t>Ensures data retrieval capability for compliance with regulatory requirements, critical for data transfer and storage assessments.</t>
        </is>
      </c>
      <c r="M1777" s="11" t="inlineStr">
        <is>
          <t>• [Must] Licensees shall ensure they can retrieve any information or document stored by the cloud service provider at any point in time</t>
        </is>
      </c>
      <c r="N1777" s="11" t="inlineStr"/>
      <c r="O1777" s="11" t="inlineStr">
        <is>
          <t>11.1 Licensees shall ensure that at any point in time, they are in a position to retrieve any information or document stored by the cloud service provider.</t>
        </is>
      </c>
      <c r="P1777" s="12" t="n">
        <v>53</v>
      </c>
    </row>
    <row r="1778">
      <c r="A1778" t="inlineStr">
        <is>
          <t>Mauritius</t>
        </is>
      </c>
      <c r="B1778" t="inlineStr">
        <is>
          <t>final-guideline-on-cloud-computing (Mauritius - Row 17)</t>
        </is>
      </c>
      <c r="C1778" t="inlineStr">
        <is>
          <t>12</t>
        </is>
      </c>
      <c r="D1778" s="11" t="inlineStr">
        <is>
          <t>Transitional provisions for cloud services</t>
        </is>
      </c>
      <c r="E1778" t="inlineStr">
        <is>
          <t>13–18</t>
        </is>
      </c>
      <c r="F1778" t="inlineStr">
        <is>
          <t>Low</t>
        </is>
      </c>
      <c r="G1778" t="inlineStr">
        <is>
          <t>High (explicit)</t>
        </is>
      </c>
      <c r="H1778" s="11" t="inlineStr">
        <is>
          <t>Cloud Services</t>
        </is>
      </c>
      <c r="I1778" s="11" t="inlineStr">
        <is>
          <t>Personal Information, Financial Data</t>
        </is>
      </c>
      <c r="J1778" t="inlineStr">
        <is>
          <t>FSC</t>
        </is>
      </c>
      <c r="K1778" s="11" t="inlineStr">
        <is>
          <t>Licensees using cloud services before the Guidelines came into effect must apply the new provisions within six months of the Guidelines' issuance. This transitional provision ensures a smooth implementation period for existing cloud service users.</t>
        </is>
      </c>
      <c r="L1778" s="11" t="inlineStr">
        <is>
          <t>Provides a transition period for existing cloud service users to comply with new security and governance requirements, relevant for assessing phased implementation of data transfer safeguards.</t>
        </is>
      </c>
      <c r="M1778" s="11" t="inlineStr">
        <is>
          <t>• [Must] Licensees using cloud services before Guidelines came into effect must apply new provisions within six months of Guidelines issuance</t>
        </is>
      </c>
      <c r="N1778" s="11" t="inlineStr"/>
      <c r="O1778" s="11" t="inlineStr">
        <is>
          <t>12.1 Any licensee which, before the coming into operation of this Guidelines, was making use of cloud computing services shall, within 6 months of the issue of these Guidelines, apply the provisions laid out therein.</t>
        </is>
      </c>
      <c r="P1778" s="12" t="n">
        <v>53</v>
      </c>
    </row>
    <row r="1779">
      <c r="A1779" t="inlineStr">
        <is>
          <t>Mauritius</t>
        </is>
      </c>
      <c r="B1779" t="inlineStr">
        <is>
          <t>guideline_for_digital_banks_06.12.2021 (Mauritius - Row 7)</t>
        </is>
      </c>
      <c r="C1779" t="inlineStr">
        <is>
          <t>1</t>
        </is>
      </c>
      <c r="D1779" s="11" t="inlineStr">
        <is>
          <t>Digital banking licence application requirements</t>
        </is>
      </c>
      <c r="E1779" t="inlineStr">
        <is>
          <t>8–10</t>
        </is>
      </c>
      <c r="F1779" t="inlineStr">
        <is>
          <t>High</t>
        </is>
      </c>
      <c r="G1779" t="inlineStr">
        <is>
          <t>High (explicit)</t>
        </is>
      </c>
      <c r="H1779" s="11" t="inlineStr">
        <is>
          <t>Cross-border Transfer, International Processing, Data Storage, Security, Governance, Record Keeping</t>
        </is>
      </c>
      <c r="I1779" s="11" t="inlineStr">
        <is>
          <t>Financial Data, Customer Data, Employee Data</t>
        </is>
      </c>
      <c r="J1779" t="inlineStr">
        <is>
          <t>Bank of Mauritius</t>
        </is>
      </c>
      <c r="K1779" s="11" t="inlineStr">
        <is>
          <t>Body corporates must submit completed application forms to the Bank of Mauritius and comply with section 5 of the Act. The Bank evaluates applications based on the applicant's technical expertise, financial resources, business feasibility, management history, community needs, shareholder suitability, and group structure. Applicants must demonstrate shareholder experience in banking or fintech, board expertise in technology and risks, substantial operations in Mauritius, and meet capital requirements. Foreign branches must satisfy international banking experience and regulatory oversight conditions.</t>
        </is>
      </c>
      <c r="L1779" s="11" t="inlineStr">
        <is>
          <t>Requires detailed assessment of applicant's technical capabilities, financial stability, business model, and regulatory compliance before cross-border digital banking operations can commence.</t>
        </is>
      </c>
      <c r="M1779" s="11" t="inlineStr">
        <is>
          <t>• [Must] Applicants must submit completed application forms to the Bank of Mauritius
• [Must] Applicants must comply with section 5 of the Act
• [Must] Bank evaluates applications based on technical expertise of directors/senior officers
• [Must] Applicants must demonstrate sufficient financial resources and adequate capital structure
• [Must] Applicants must show sound business feasibility including accounting systems
• [Must] Applicants must demonstrate compliance with other conditions imposed by the central bank
• [Must] Applicants must prove business history and management character
• [Must] Applicants must demonstrate community market needs
• [Must] Applicants must show shareholder fitness and suitability</t>
        </is>
      </c>
      <c r="N1779" s="11" t="inlineStr">
        <is>
          <t>• [Must] Applicants must demonstrate ability to comply with foreign regulatory requirements
• [Must] At least one significant shareholder must have relevant banking/fintech experience
• [Must] Board must possess expertise in technology, risks, credit, liquidity and interest rate risks
• [Must] Bank must have principal place of business in Mauritius
• [Must] Bank must have at least ten qualified full-time officers including CEO
• [Must] Annual operating costs must not be less than 25 million Mauritian rupees
• [Must] Bank must meet minimum capital requirements at onset and ongoing
• [Must] Foreign banks must be reputable international banks with 5+ years operation
• [Must] Foreign banks must be subject to consolidated supervision by foreign regulators</t>
        </is>
      </c>
      <c r="O1779" s="11" t="inlineStr">
        <is>
          <t>Section 1: Application Process for Digital Banking Licence
1.1 Applications from body corporates for a digital banking licence shall be made by submitting to the Bank the duly filled application form as available on the website of the Bank. An applicant shall also comply with section 5 of the Act.</t>
        </is>
      </c>
      <c r="P1779" s="12" t="n">
        <v>55</v>
      </c>
    </row>
    <row r="1780">
      <c r="A1780" t="inlineStr">
        <is>
          <t>Mauritius</t>
        </is>
      </c>
      <c r="B1780" t="inlineStr">
        <is>
          <t>guideline_for_digital_banks_06.12.2021 (Mauritius - Row 7)</t>
        </is>
      </c>
      <c r="C1780" t="inlineStr">
        <is>
          <t>2</t>
        </is>
      </c>
      <c r="D1780" s="11" t="inlineStr">
        <is>
          <t>Digital banking licence phased transition requirements</t>
        </is>
      </c>
      <c r="E1780" t="inlineStr">
        <is>
          <t>10–14</t>
        </is>
      </c>
      <c r="F1780" t="inlineStr">
        <is>
          <t>High</t>
        </is>
      </c>
      <c r="G1780" t="inlineStr">
        <is>
          <t>High (explicit)</t>
        </is>
      </c>
      <c r="H1780" s="11" t="inlineStr">
        <is>
          <t>Cross-border Transfer, International Processing, Data Storage, Security, Governance, Record Keeping</t>
        </is>
      </c>
      <c r="I1780" s="11" t="inlineStr">
        <is>
          <t>Financial Data, Customer Data, Employee Data</t>
        </is>
      </c>
      <c r="J1780" t="inlineStr">
        <is>
          <t>Bank of Mauritius</t>
        </is>
      </c>
      <c r="K1780" s="11" t="inlineStr">
        <is>
          <t>Digital banks must operate as restricted entities for up to two years before transitioning to full operations. During the restricted phase, banks must develop governance frameworks, conduct limited banking activities, and meet specific capital and liquidity ratios. They must submit detailed transition plans and obtain Bank approval before moving to the transitional phase. After the transitional period, banks must meet full banking requirements including capital adequacy ratios and liquidity coverage ratios.</t>
        </is>
      </c>
      <c r="L1780" s="11" t="inlineStr">
        <is>
          <t>Requires phased approach to data transfer and processing with strict capital, liquidity, and governance requirements during initial stages to ensure data security and financial stability.</t>
        </is>
      </c>
      <c r="M1780" s="11" t="inlineStr">
        <is>
          <t>• [Must] Digital banks must operate as restricted entities for up to two years
• [Must] Restricted banks must develop governance, internal control and risk management frameworks
• [Must] Restricted banks must conduct limited banking business
• [Must] Restricted banks must submit detailed transition plans to the Bank
• [Must] Restricted banks must obtain Bank approval 90 days before mobilisation period ends
• [Must] Restricted banks must maintain capital adequacy ratio of 15% during mobilisation</t>
        </is>
      </c>
      <c r="N1780" s="11" t="inlineStr">
        <is>
          <t>• Restricted banks must maintain liquidity coverage ratio of 120% during mobilisation
• [Must] Restricted banks must maintain a reserve fund equivalent to three months of operating expenses
• [Must] Restricted banks must transition to full operations after three years
• [Must] Restricted banks must meet minimum capital requirements of 400 million Mauritian rupees
• [Must] Restricted banks must submit external audit confirmation of capital position
• [Must] Restricted banks must provide cyber and technology risk management framework assessment</t>
        </is>
      </c>
      <c r="O1780" s="11" t="inlineStr">
        <is>
          <t>Section 2: Licensing stages
2.1 Successful applicants shall commence business as a restricted digital bank.</t>
        </is>
      </c>
      <c r="P1780" s="12" t="n">
        <v>55</v>
      </c>
    </row>
    <row r="1781">
      <c r="A1781" t="inlineStr">
        <is>
          <t>Mauritius</t>
        </is>
      </c>
      <c r="B1781" t="inlineStr">
        <is>
          <t>guideline_for_digital_banks_06.12.2021 (Mauritius - Row 7)</t>
        </is>
      </c>
      <c r="C1781" t="inlineStr">
        <is>
          <t>3</t>
        </is>
      </c>
      <c r="D1781" s="11" t="inlineStr">
        <is>
          <t>Restricted digital bank operational requirements</t>
        </is>
      </c>
      <c r="E1781" t="inlineStr">
        <is>
          <t>14–16</t>
        </is>
      </c>
      <c r="F1781" t="inlineStr">
        <is>
          <t>High</t>
        </is>
      </c>
      <c r="G1781" t="inlineStr">
        <is>
          <t>High (explicit)</t>
        </is>
      </c>
      <c r="H1781" s="11" t="inlineStr">
        <is>
          <t>Cross-border Transfer, International Processing, Data Storage, Security, Governance, Record Keeping</t>
        </is>
      </c>
      <c r="I1781" s="11" t="inlineStr">
        <is>
          <t>Financial Data, Customer Data, Employee Data</t>
        </is>
      </c>
      <c r="J1781" t="inlineStr">
        <is>
          <t>Bank of Mauritius</t>
        </is>
      </c>
      <c r="K1781" s="11" t="inlineStr">
        <is>
          <t>Restricted digital banks must comply with banking laws, governance frameworks, and prudential requirements. During mobilisation, they can only accept deposits from shareholders/employees, operate with assets under 1 billion Mauritian rupees, offer simple products, serve resident customers, and maintain specific capital and liquidity ratios. During transitional periods, they must increase asset size up to 2 billion Mauritian rupees while maintaining minimum capital adequacy ratios and liquidity coverage ratios.</t>
        </is>
      </c>
      <c r="L1781" s="11" t="inlineStr">
        <is>
          <t>Imposes strict operational limits on data storage and processing during initial stages to ensure financial stability and regulatory compliance for cross-border digital banking activities.</t>
        </is>
      </c>
      <c r="M1781" s="11" t="inlineStr">
        <is>
          <t>• [Must] Restricted digital banks must comply with banking laws and regulatory guidelines
• [Must] Restricted digital banks must implement appropriate governance frameworks
• [Must] Restricted digital banks must maintain capital adequacy ratio of 15% during mobilisation
• [Must] Restricted digital banks must maintain liquidity coverage ratio of 120% during mobilisation
• [Must] Restricted digital banks must maintain a reserve fund equivalent to three months of operating expenses
• [Must] Restricted digital banks must operate with assets not exceeding 1 billion Mauritian rupees during mobilisation</t>
        </is>
      </c>
      <c r="N1781" s="11" t="inlineStr">
        <is>
          <t>• [Must] Restricted digital banks must offer only simple credit and deposit products
• [Must] Restricted digital banks must serve only resident customers
• [Must] Restricted digital banks must maintain minimum cash reserve ratio
• [Must] Restricted digital banks must increase asset size up to 2 billion Mauritian rupees during transitional period
• [Must] Restricted digital banks must maintain capital adequacy ratio of 12.5% during transitional period
• [Must] Restricted digital banks must maintain liquidity coverage ratio of 100% during transitional period</t>
        </is>
      </c>
      <c r="O1781" s="11" t="inlineStr">
        <is>
          <t>Section 3: Restricted Digital Banks
3.4 During the mobilisation period, a restricted digital bank shall: (i) solicit deposits solely from its shareholders, employees and related parties; (ii) operate with an asset size not exceeding 1 billion Mauritian rupees...</t>
        </is>
      </c>
      <c r="P1781" s="12" t="n">
        <v>55</v>
      </c>
    </row>
    <row r="1782">
      <c r="A1782" t="inlineStr">
        <is>
          <t>Mauritius</t>
        </is>
      </c>
      <c r="B1782" t="inlineStr">
        <is>
          <t>guideline_for_digital_banks_06.12.2021 (Mauritius - Row 7)</t>
        </is>
      </c>
      <c r="C1782" t="inlineStr">
        <is>
          <t>4</t>
        </is>
      </c>
      <c r="D1782" s="11" t="inlineStr">
        <is>
          <t>Exemptions for restricted digital banks with capital and governance requirements</t>
        </is>
      </c>
      <c r="E1782" t="inlineStr">
        <is>
          <t>16–17</t>
        </is>
      </c>
      <c r="F1782" t="inlineStr">
        <is>
          <t>High</t>
        </is>
      </c>
      <c r="G1782" t="inlineStr">
        <is>
          <t>High (explicit)</t>
        </is>
      </c>
      <c r="H1782" s="11" t="inlineStr"/>
      <c r="I1782" s="11" t="inlineStr">
        <is>
          <t>Financial Data</t>
        </is>
      </c>
      <c r="J1782" t="inlineStr">
        <is>
          <t>Bank</t>
        </is>
      </c>
      <c r="K1782" s="11" t="inlineStr">
        <is>
          <t>Restricted digital banks must obtain Bank approval for exemptions. They must maintain a minimum capital of 200 million Mauritian rupees or equivalent freely convertible currency during the restricted phase, after accounting for accumulated losses. At the end of the restricted phase, the minimum capital requirement increases to 400 million Mauritian rupees or equivalent. Shareholders owning significant interests (10% or more) must meet specific conditions including written undertakings, independent board composition, compliance experience, and arms-length transactions. The bank may only establish an Audit Committee and executive-level Risk Management Committee, with the board responsible for other committees.</t>
        </is>
      </c>
      <c r="L1782" s="11" t="inlineStr">
        <is>
          <t>Capital requirements and governance structures directly impact data transfer feasibility as insufficient capital or governance may prevent secure data handling across borders. Shareholder restrictions affect data control mechanisms.</t>
        </is>
      </c>
      <c r="M1782" s="11" t="inlineStr">
        <is>
          <t>• [Must] Exemptions under this section require Bank approval
• [Must] Restricted digital bank must commence operations with capital of not less than 200 million Mauritian rupees or equivalent freely convertible currency
• [Must] Restricted digital bank must maintain minimum capital of not less than 200 million Mauritian rupees or equivalent after deduction of accumulated losses
• [Must] At end of restricted phase, minimum capital requirement shall be 400 million Mauritian rupees or equivalent after deduction of accumulated losses
• [Must] Shareholders owning significant interest (10% or more) must undertake written undertaking not to influence bank management</t>
        </is>
      </c>
      <c r="N1782" s="11" t="inlineStr">
        <is>
          <t>• [Must] Restricted digital bank must have board chaired by independent director with majority independent directors
• [Must] Board must demonstrate proven experience in regulatory compliance, risk management and audit
• [Must] Bank must demonstrate arms-length transactions with shareholders
• [Must] Restricted digital bank may only establish Audit Committee and executive-level Risk Management Committee
• [Must] Board must be responsible for tasks assigned to other board sub-committees</t>
        </is>
      </c>
      <c r="O1782" s="11" t="inlineStr">
        <is>
          <t>Section 4: Exemptions applicable to Restricted Digital Banks
4.1 The exemptions under this section shall be subject to the approval of the Bank.</t>
        </is>
      </c>
      <c r="P1782" s="12" t="n">
        <v>55</v>
      </c>
    </row>
    <row r="1783">
      <c r="A1783" t="inlineStr">
        <is>
          <t>Mauritius</t>
        </is>
      </c>
      <c r="B1783" t="inlineStr">
        <is>
          <t>guideline_for_digital_banks_06.12.2021 (Mauritius - Row 7)</t>
        </is>
      </c>
      <c r="C1783" t="inlineStr">
        <is>
          <t>5</t>
        </is>
      </c>
      <c r="D1783" s="11" t="inlineStr">
        <is>
          <t>Business plan requirements for digital banks</t>
        </is>
      </c>
      <c r="E1783" t="inlineStr">
        <is>
          <t>17–18</t>
        </is>
      </c>
      <c r="F1783" t="inlineStr">
        <is>
          <t>High</t>
        </is>
      </c>
      <c r="G1783" t="inlineStr">
        <is>
          <t>High (explicit)</t>
        </is>
      </c>
      <c r="H1783" s="11" t="inlineStr"/>
      <c r="I1783" s="11" t="inlineStr">
        <is>
          <t>Financial Data, Customer Data</t>
        </is>
      </c>
      <c r="J1783" t="inlineStr">
        <is>
          <t>Bank</t>
        </is>
      </c>
      <c r="K1783" s="11" t="inlineStr">
        <is>
          <t>Digital banks must submit detailed business plans including projected financial statements for five years, business model descriptions, funding strategies, governance frameworks, staffing requirements, and cyber/technology risk management plans. The business plan must demonstrate a sustainable transition from restricted phase to full digital bank operations with clear timelines, risk management measures, and customer complaint handling protocols.</t>
        </is>
      </c>
      <c r="L1783" s="11" t="inlineStr">
        <is>
          <t>Business plans must include comprehensive cyber and technology risk management frameworks, which are critical for data transfer security and compliance across borders.</t>
        </is>
      </c>
      <c r="M1783" s="11" t="inlineStr">
        <is>
          <t>• [Must] Business plan must include projected financial statements for 5 financial years
• [Must] Business plan must describe products and services, channels, and target market
• [Must] Business plan must include funding sources and capital/liquidity strategy
• [Must] Business plan must outline governance, internal control, and risk management frameworks
• [Must] Business plan must specify staffing requirements including technology and risk management
• [Must] Business plan must include business strategy for sustainable transition from restricted phase</t>
        </is>
      </c>
      <c r="N1783" s="11" t="inlineStr">
        <is>
          <t>• [Must] Business strategy must have clear timelines and milestones for progress tracking
• [Must] Business strategy must include measures to comply with prudential requirements
• [Must] Business strategy must include measures to meet minimum capital requirement at end of restricted phase
• [Must] Business plan must address customer queries or complaints
• [Must] Business plan must detail outsourcing arrangements and third-party service providers
• [Must] Business plan must describe cyber and technology risk management framework</t>
        </is>
      </c>
      <c r="O1783" s="11" t="inlineStr">
        <is>
          <t>Section 5: Business Plan
5.1 Section 5(1)(f) of the Act requires an applicant to submit, at the time of application, a business plan giving the nature of the planned business, organisational structure and internal control, projected financial statements including cash flow statements for each of the next 3 financial years.</t>
        </is>
      </c>
      <c r="P1783" s="12" t="n">
        <v>55</v>
      </c>
    </row>
    <row r="1784">
      <c r="A1784" t="inlineStr">
        <is>
          <t>Mauritius</t>
        </is>
      </c>
      <c r="B1784" t="inlineStr">
        <is>
          <t>guideline_for_digital_banks_06.12.2021 (Mauritius - Row 7)</t>
        </is>
      </c>
      <c r="C1784" t="inlineStr">
        <is>
          <t>6</t>
        </is>
      </c>
      <c r="D1784" s="11" t="inlineStr">
        <is>
          <t>Exit plan for restricted digital banks</t>
        </is>
      </c>
      <c r="E1784" t="inlineStr">
        <is>
          <t>18–19</t>
        </is>
      </c>
      <c r="F1784" t="inlineStr">
        <is>
          <t>High</t>
        </is>
      </c>
      <c r="G1784" t="inlineStr">
        <is>
          <t>High (explicit)</t>
        </is>
      </c>
      <c r="H1784" s="11" t="inlineStr"/>
      <c r="I1784" s="11" t="inlineStr">
        <is>
          <t>Financial Data</t>
        </is>
      </c>
      <c r="J1784" t="inlineStr">
        <is>
          <t>Bank</t>
        </is>
      </c>
      <c r="K1784" s="11" t="inlineStr">
        <is>
          <t>Restricted digital banks must submit exit plans demonstrating orderly liquidation under section 70 of the Act, including circumstances for triggering voluntary liquidation, channels for repaying depositors, and communication strategies for stakeholders. Significant shareholders must provide written undertakings to cover any shortfall in deposit liabilities.</t>
        </is>
      </c>
      <c r="L1784" s="11" t="inlineStr">
        <is>
          <t>Exit plans ensure data transfer continuity during liquidation, critical for maintaining customer data integrity and regulatory compliance across borders.</t>
        </is>
      </c>
      <c r="M1784" s="11" t="inlineStr">
        <is>
          <t>• [Must] Exit plan must demonstrate orderly liquidation under section 70 of the Act
• [Must] Exit plan must cover circumstances for triggering voluntary liquidation
• [Must] Exit plan must specify channels for repaying depositors and funding sources</t>
        </is>
      </c>
      <c r="N1784" s="11" t="inlineStr">
        <is>
          <t>• [Must] Exit plan must include communication and engagement strategy for stakeholders
• [Must] Significant shareholders must provide written undertaking to cover deposit liabilities shortfall</t>
        </is>
      </c>
      <c r="O1784" s="11" t="inlineStr">
        <is>
          <t>Section 6: Exit Plan
6.1 The applicant shall submit, at the time of application, an exit plan, which demonstrates that it can go into voluntary liquidation under section 70 of the Act in an orderly manner during the restricted phase under the circumstances stipulated in section 7 of the Guideline, taking into consideration the interests of depositors.</t>
        </is>
      </c>
      <c r="P1784" s="12" t="n">
        <v>55</v>
      </c>
    </row>
    <row r="1785">
      <c r="A1785" t="inlineStr">
        <is>
          <t>Mauritius</t>
        </is>
      </c>
      <c r="B1785" t="inlineStr">
        <is>
          <t>guideline_for_digital_banks_06.12.2021 (Mauritius - Row 7)</t>
        </is>
      </c>
      <c r="C1785" t="inlineStr">
        <is>
          <t>7</t>
        </is>
      </c>
      <c r="D1785" s="11" t="inlineStr">
        <is>
          <t>Exit from banking industry conditions</t>
        </is>
      </c>
      <c r="E1785" t="inlineStr">
        <is>
          <t>19</t>
        </is>
      </c>
      <c r="F1785" t="inlineStr">
        <is>
          <t>High</t>
        </is>
      </c>
      <c r="G1785" t="inlineStr">
        <is>
          <t>High (explicit)</t>
        </is>
      </c>
      <c r="H1785" s="11" t="inlineStr"/>
      <c r="I1785" s="11" t="inlineStr">
        <is>
          <t>Financial Data</t>
        </is>
      </c>
      <c r="J1785" t="inlineStr">
        <is>
          <t>Bank</t>
        </is>
      </c>
      <c r="K1785" s="11" t="inlineStr">
        <is>
          <t>Restricted digital banks may exit the banking industry through voluntary liquidation if their business model is no longer viable or they cannot meet the objectives set out in their business plan to transition to a digital bank, in addition to circumstances specified in section 2 of the Guideline.</t>
        </is>
      </c>
      <c r="L1785" s="11" t="inlineStr">
        <is>
          <t>Exit conditions directly affect data transfer continuity and regulatory compliance during transitions, ensuring data protection across borders.</t>
        </is>
      </c>
      <c r="M1785" s="11" t="inlineStr">
        <is>
          <t>• [Must] Restricted digital bank may exit banking industry through voluntary liquidation if business model is no longer viable</t>
        </is>
      </c>
      <c r="N1785" s="11" t="inlineStr">
        <is>
          <t>• [Must] Restricted digital bank may exit banking industry through voluntary liquidation if unable to meet business plan transition objectives</t>
        </is>
      </c>
      <c r="O1785" s="11" t="inlineStr">
        <is>
          <t>Section 7: Exit from Banking Industry
7.1 In addition to the circumstances laid down under paragraphs 2.13, 2.23 and 2.28, a restricted digital bank may go into voluntary liquidation where it is of the view that its business model is no longer viable and/or it will not be able to meet the objectives set out in its business plan to transition to a digital bank.</t>
        </is>
      </c>
      <c r="P1785" s="12" t="n">
        <v>55</v>
      </c>
    </row>
    <row r="1786">
      <c r="A1786" t="inlineStr">
        <is>
          <t>Mauritius</t>
        </is>
      </c>
      <c r="B1786" t="inlineStr">
        <is>
          <t>guideline_for_digital_banks_06.12.2021 (Mauritius - Row 7)</t>
        </is>
      </c>
      <c r="C1786" t="inlineStr">
        <is>
          <t>8</t>
        </is>
      </c>
      <c r="D1786" s="11" t="inlineStr">
        <is>
          <t>Risk management requirements for digital banks</t>
        </is>
      </c>
      <c r="E1786" t="inlineStr">
        <is>
          <t>19</t>
        </is>
      </c>
      <c r="F1786" t="inlineStr">
        <is>
          <t>High</t>
        </is>
      </c>
      <c r="G1786" t="inlineStr">
        <is>
          <t>High (explicit)</t>
        </is>
      </c>
      <c r="H1786" s="11" t="inlineStr"/>
      <c r="I1786" s="11" t="inlineStr">
        <is>
          <t>Financial Data, Customer Data</t>
        </is>
      </c>
      <c r="J1786" t="inlineStr">
        <is>
          <t>Bank</t>
        </is>
      </c>
      <c r="K1786" s="11" t="inlineStr">
        <is>
          <t>Digital banks must ensure their boards and senior management understand all risks, implement robust cyber and technology risk management frameworks, and establish appropriate controls including multifactor authentication for identity proofing and digital instruction authentication.</t>
        </is>
      </c>
      <c r="L1786" s="11" t="inlineStr">
        <is>
          <t>Risk management frameworks are essential for secure data transfers, particularly for cyber threats and cross-border data handling.</t>
        </is>
      </c>
      <c r="M1786" s="11" t="inlineStr">
        <is>
          <t>• [Must] Board and senior management must understand types of risks and implement systems to identify, measure, monitor and control risks
• [Must] Board and senior management must implement robust cyber and technology risk management framework</t>
        </is>
      </c>
      <c r="N1786" s="11" t="inlineStr">
        <is>
          <t>• [Must] Appropriate controls and safeguards including multifactor authentication must be implemented for identity proofing and digital instructions</t>
        </is>
      </c>
      <c r="O1786" s="11" t="inlineStr">
        <is>
          <t>Section 8: Risk Management
8.1 The board of directors and the senior management of a digital bank shall, among others, ensure that: i. they understand the types of risk to which it is exposed, and put in place appropriate systems to identify, measure, monitor and control these risks; ii. they are fully aware of cyber and technology-related risk and implement an appropriate and robust cyber and technology risk management framework; and iii. appropriate controls and safeguards (including multifactor authentication, as relevant) are implemented to support identity proofing and authenticate digital instructions and digital signatures.</t>
        </is>
      </c>
      <c r="P1786" s="12" t="n">
        <v>55</v>
      </c>
    </row>
    <row r="1787">
      <c r="A1787" t="inlineStr">
        <is>
          <t>Mauritius</t>
        </is>
      </c>
      <c r="B1787" t="inlineStr">
        <is>
          <t>guideline_for_digital_banks_06.12.2021 (Mauritius - Row 7)</t>
        </is>
      </c>
      <c r="C1787" t="inlineStr">
        <is>
          <t>9</t>
        </is>
      </c>
      <c r="D1787" s="11" t="inlineStr">
        <is>
          <t>AML/CFT compliance for digital banks</t>
        </is>
      </c>
      <c r="E1787" t="inlineStr">
        <is>
          <t>19–20</t>
        </is>
      </c>
      <c r="F1787" t="inlineStr">
        <is>
          <t>High</t>
        </is>
      </c>
      <c r="G1787" t="inlineStr">
        <is>
          <t>High (explicit)</t>
        </is>
      </c>
      <c r="H1787" s="11" t="inlineStr"/>
      <c r="I1787" s="11" t="inlineStr">
        <is>
          <t>Financial Data, Customer Data</t>
        </is>
      </c>
      <c r="J1787" t="inlineStr">
        <is>
          <t>Bank</t>
        </is>
      </c>
      <c r="K1787" s="11" t="inlineStr">
        <is>
          <t>Digital banks must comply with AML/CFT regulations including customer due diligence, risk assessments, and implementation of internal policies for money laundering and terrorism financing. They must authenticate customer identities through reliable means at onboarding and maintain risk-based approaches for cyber and technology risks.</t>
        </is>
      </c>
      <c r="L1787" s="11" t="inlineStr">
        <is>
          <t>AML/CFT compliance requirements directly impact data transfer security and regulatory adherence across borders, especially for financial data.</t>
        </is>
      </c>
      <c r="M1787" s="11" t="inlineStr">
        <is>
          <t>• [Must] Digital bank must comply with relevant AML/CFT legislations and guidelines
• [Must] Digital bank must identify, assess and understand ML/TF/PF risks of customers, countries, products and services
• [Must] Digital bank must implement internal policies, procedures and controls for ML/TF/PF risks</t>
        </is>
      </c>
      <c r="N1787" s="11" t="inlineStr">
        <is>
          <t>• [Must] Digital bank must adopt risk-based approach for ML/TF/PF risks
• [Must] Digital bank must ensure customer due diligence measures are commensurate with ML/TF/PF and cyber risks
• [Must] Digital bank must authenticate and verify customer identity through reliable means at onboarding</t>
        </is>
      </c>
      <c r="O1787" s="11" t="inlineStr">
        <is>
          <t>Section 9: Combating the Financing of Terrorism and Proliferation
9.1 A digital bank shall comply with the relevant statutory and regulatory requirements relating to AML/CFT, namely the relevant AML/CFT Legislations and guidelines issued by the Bank, such as the Guideline on Anti-Money Laundering and Combating the Financing of Terrorism and Proliferation, the Guideline on the implementation of Targeted Financial Sanctions under the United Nations (Financial Prohibitions, Arms Embargo and Travel Ban) Sanctions Act 2.019 and any other relevant guidelines/legislations, including those in respect of digital onboarding of customers applicable to banks.</t>
        </is>
      </c>
      <c r="P1787" s="12" t="n">
        <v>55</v>
      </c>
    </row>
    <row r="1788">
      <c r="A1788" t="inlineStr">
        <is>
          <t>Mauritius</t>
        </is>
      </c>
      <c r="B1788" t="inlineStr">
        <is>
          <t>guideline_for_digital_banks_06.12.2021 (Mauritius - Row 7)</t>
        </is>
      </c>
      <c r="C1788" t="inlineStr">
        <is>
          <t>10</t>
        </is>
      </c>
      <c r="D1788" s="11" t="inlineStr">
        <is>
          <t>Digital banks must maintain physical office in Mauritius for administrative purposes</t>
        </is>
      </c>
      <c r="E1788" t="inlineStr">
        <is>
          <t>20</t>
        </is>
      </c>
      <c r="F1788" t="inlineStr">
        <is>
          <t>High</t>
        </is>
      </c>
      <c r="G1788" t="inlineStr">
        <is>
          <t>High (explicit)</t>
        </is>
      </c>
      <c r="H1788" s="11" t="inlineStr">
        <is>
          <t>Data Storage</t>
        </is>
      </c>
      <c r="I1788" s="11" t="inlineStr">
        <is>
          <t>Customer Data</t>
        </is>
      </c>
      <c r="J1788" t="inlineStr">
        <is>
          <t>Bank of Mauritius</t>
        </is>
      </c>
      <c r="K1788" s="11" t="inlineStr">
        <is>
          <t>Digital banks must establish a principal place of business in Mauritius. This office is exclusively for administrative functions, customer complaint resolution, and Bank interactions. It cannot be used for customer banking activities and must be accessible for on-site examinations by the Bank at all times.</t>
        </is>
      </c>
      <c r="L1788" s="11" t="inlineStr">
        <is>
          <t>Requires physical presence in Mauritius for administrative oversight, impacting data storage and operational compliance for cross-border digital banking activities.</t>
        </is>
      </c>
      <c r="M1788" s="11" t="inlineStr">
        <is>
          <t>• [Must] Digital bank must have principal place of business in Mauritius
• [Must] Physical office must be used solely for administrative purposes, customer complaints, or Bank interactions</t>
        </is>
      </c>
      <c r="N1788" s="11" t="inlineStr">
        <is>
          <t>• [Must Not] Physical office shall not be used for customer banking activities
• [Must] Physical office must be accessible to Bank for on-site examinations at all times</t>
        </is>
      </c>
      <c r="O1788" s="11" t="inlineStr">
        <is>
          <t>Section 10: Physical office in Mauritius. 10.1 In line with paragraph 1.5(iii) of this Guideline, a digital bank shall have a principal place of business in Mauritius. This physical office shall be used solely for administrative purposes, to deal with customer complaints or to interact with the Bank. Such office shall not be used to conduct banking business with customers and shall, at all times, be made accessible to the Bank for on-site examinations.</t>
        </is>
      </c>
      <c r="P1788" s="12" t="n">
        <v>55</v>
      </c>
    </row>
    <row r="1789">
      <c r="A1789" t="inlineStr">
        <is>
          <t>Mauritius</t>
        </is>
      </c>
      <c r="B1789" t="inlineStr">
        <is>
          <t>guideline_for_digital_banks_06.12.2021 (Mauritius - Row 7)</t>
        </is>
      </c>
      <c r="C1789" t="inlineStr">
        <is>
          <t>11</t>
        </is>
      </c>
      <c r="D1789" s="11" t="inlineStr">
        <is>
          <t>Digital banks must maintain records accessible to Bank for supervision</t>
        </is>
      </c>
      <c r="E1789" t="inlineStr">
        <is>
          <t>20</t>
        </is>
      </c>
      <c r="F1789" t="inlineStr">
        <is>
          <t>High</t>
        </is>
      </c>
      <c r="G1789" t="inlineStr">
        <is>
          <t>High (explicit)</t>
        </is>
      </c>
      <c r="H1789" s="11" t="inlineStr">
        <is>
          <t>Record Keeping, Data Storage</t>
        </is>
      </c>
      <c r="I1789" s="11" t="inlineStr">
        <is>
          <t>Customer Data</t>
        </is>
      </c>
      <c r="J1789" t="inlineStr">
        <is>
          <t>Bank of Mauritius</t>
        </is>
      </c>
      <c r="K1789" s="11" t="inlineStr">
        <is>
          <t>Digital banks must comply with the Act on records and ensure all records are readily accessible to the Bank at all times. Electronic records are expected for most data, and technology solutions must support quick access to accurate information for regulatory oversight.</t>
        </is>
      </c>
      <c r="L1789" s="11" t="inlineStr">
        <is>
          <t>Mandates record accessibility for regulatory supervision, affecting data storage and retention practices for cross-border digital banking operations.</t>
        </is>
      </c>
      <c r="M1789" s="11" t="inlineStr">
        <is>
          <t>• [Must] Digital bank must comply with section 33 of the Act on records
• [Must] Records must be readily accessible to the Bank at all times</t>
        </is>
      </c>
      <c r="N1789" s="11" t="inlineStr">
        <is>
          <t>• [Must] Technology solutions must allow easy and quick access to complete and accurate information for supervisory duties</t>
        </is>
      </c>
      <c r="O1789" s="11" t="inlineStr">
        <is>
          <t>Section 11: Record Keeping. 11.1 A digital bank shall comply with the requirement of section 33 of the Act on records and ensure that its records are, at all times, readily accessible to the Bank. 11.2 Due to the nature of the business operations, most if not all of the data of the digital bank are expected to be in an electronic format. The design of technology solutions in a digital bank should allow for easy and quick access to complete and accurate information required by the Bank to perform its supervisory duties.</t>
        </is>
      </c>
      <c r="P1789" s="12" t="n">
        <v>55</v>
      </c>
    </row>
    <row r="1790">
      <c r="A1790" t="inlineStr">
        <is>
          <t>Mauritius</t>
        </is>
      </c>
      <c r="B1790" t="inlineStr">
        <is>
          <t>guideline_for_digital_banks_06.12.2021 (Mauritius - Row 7)</t>
        </is>
      </c>
      <c r="C1790" t="inlineStr">
        <is>
          <t>12</t>
        </is>
      </c>
      <c r="D1790" s="11" t="inlineStr">
        <is>
          <t>Digital banks must inform customers of restricted phase and data protection</t>
        </is>
      </c>
      <c r="E1790" t="inlineStr">
        <is>
          <t>20–21</t>
        </is>
      </c>
      <c r="F1790" t="inlineStr">
        <is>
          <t>High</t>
        </is>
      </c>
      <c r="G1790" t="inlineStr">
        <is>
          <t>High (explicit)</t>
        </is>
      </c>
      <c r="H1790" s="11" t="inlineStr">
        <is>
          <t>Customer Information</t>
        </is>
      </c>
      <c r="I1790" s="11" t="inlineStr">
        <is>
          <t>Customer Data</t>
        </is>
      </c>
      <c r="J1790" t="inlineStr">
        <is>
          <t>Bank of Mauritius</t>
        </is>
      </c>
      <c r="K1790" s="11" t="inlineStr">
        <is>
          <t>Restricted digital banks must inform customers of their restricted phase status and relevant data protection compliance obligations. Digital banks must educate customers on financial products, services, and security measures while ensuring adherence to data protection laws and regulations.</t>
        </is>
      </c>
      <c r="L1790" s="11" t="inlineStr">
        <is>
          <t>Requires customer transparency about restricted phase and data protection compliance, impacting data sharing and customer information handling across borders.</t>
        </is>
      </c>
      <c r="M1790" s="11" t="inlineStr">
        <is>
          <t>• [Must] Restricted digital bank must take all reasonable steps to inform customers of restricted phase status
• [Must] Digital bank must inform and educate customers on financial products, services, and security measures</t>
        </is>
      </c>
      <c r="N1790" s="11" t="inlineStr">
        <is>
          <t>• [Must] Digital bank must ensure compliance with relevant data protection laws and regulations</t>
        </is>
      </c>
      <c r="O1790" s="11" t="inlineStr">
        <is>
          <t>Section 12: Customer Protection and Data Protection. 12.1 A restricted digital bank shall take all reasonable steps to ensure that all customers are made aware that it is operating as a restricted digital bank that is subject to a pre-defined restricted phase. 12.2 A digital bank shall duly inform and educate its customers of the financial products and financial services and the appropriate security measures to be taken in this respect. 12.3 A digital bank shall ensure compliance with the relevant data protection laws and regulations.</t>
        </is>
      </c>
      <c r="P1790" s="12" t="n">
        <v>55</v>
      </c>
    </row>
    <row r="1791">
      <c r="A1791" t="inlineStr">
        <is>
          <t>Mauritius</t>
        </is>
      </c>
      <c r="B1791" t="inlineStr">
        <is>
          <t>guideline_for_digital_banks_06.12.2021 (Mauritius - Row 7)</t>
        </is>
      </c>
      <c r="C1791" t="inlineStr">
        <is>
          <t>13</t>
        </is>
      </c>
      <c r="D1791" s="11" t="inlineStr">
        <is>
          <t>Digital banks must submit regulatory reports and updates</t>
        </is>
      </c>
      <c r="E1791" t="inlineStr">
        <is>
          <t>21</t>
        </is>
      </c>
      <c r="F1791" t="inlineStr">
        <is>
          <t>High</t>
        </is>
      </c>
      <c r="G1791" t="inlineStr">
        <is>
          <t>High (explicit)</t>
        </is>
      </c>
      <c r="H1791" s="11" t="inlineStr">
        <is>
          <t>Data Storage</t>
        </is>
      </c>
      <c r="I1791" s="11" t="inlineStr">
        <is>
          <t>Customer Data</t>
        </is>
      </c>
      <c r="J1791" t="inlineStr">
        <is>
          <t>Bank of Mauritius</t>
        </is>
      </c>
      <c r="K1791" s="11" t="inlineStr">
        <is>
          <t>Digital banks must comply with all statutory reporting requirements and submit regulatory returns as communicated by the Bank. During the restricted phase, restricted digital banks must submit half-yearly progress updates on business plan implementation to the Bank.</t>
        </is>
      </c>
      <c r="L1791" s="11" t="inlineStr">
        <is>
          <t>Mandates regular reporting to the Bank, impacting data transfer and retention for regulatory compliance in cross-border digital banking contexts.</t>
        </is>
      </c>
      <c r="M1791" s="11" t="inlineStr">
        <is>
          <t>• [Must] Digital bank must comply with all statutory reporting requirements and submit regulatory returns</t>
        </is>
      </c>
      <c r="N1791" s="11" t="inlineStr">
        <is>
          <t>• [Must] Restricted digital bank must submit half-yearly progress updates on business plan implementation during restricted phase</t>
        </is>
      </c>
      <c r="O1791" s="11" t="inlineStr">
        <is>
          <t>Section 13: Reporting Requirement. 13.1 A digital bank shall comply with all the statutory reporting requirements and submit the regulatory returns and any other reporting requirements as communicated by the Bank. 13.2 During the restricted phase, a restricted digital bank shall also submit to the Bank half-yearly progress updates on the implementation of its business plan.</t>
        </is>
      </c>
      <c r="P1791" s="12" t="n">
        <v>55</v>
      </c>
    </row>
    <row r="1792">
      <c r="A1792" t="inlineStr">
        <is>
          <t>Mauritius</t>
        </is>
      </c>
      <c r="B1792" t="inlineStr">
        <is>
          <t>guidelines-on-responsible-use-of-ai (Mauritius - Row 19)</t>
        </is>
      </c>
      <c r="C1792" t="inlineStr">
        <is>
          <t>1</t>
        </is>
      </c>
      <c r="D1792" s="11" t="inlineStr">
        <is>
          <t>AI definition and financial sector relevance</t>
        </is>
      </c>
      <c r="E1792" t="inlineStr">
        <is>
          <t>2–4</t>
        </is>
      </c>
      <c r="F1792" t="inlineStr">
        <is>
          <t>Medium</t>
        </is>
      </c>
      <c r="G1792" t="inlineStr">
        <is>
          <t>High (explicit)</t>
        </is>
      </c>
      <c r="H1792" s="11" t="inlineStr"/>
      <c r="I1792" s="11" t="inlineStr">
        <is>
          <t>Personal Information</t>
        </is>
      </c>
      <c r="J1792" t="inlineStr">
        <is>
          <t>Financial Services Commission, Mauritius (FSC)</t>
        </is>
      </c>
      <c r="K1792" s="11" t="inlineStr">
        <is>
          <t>This section defines artificial intelligence (AI) as algorithms that perceive, interpret, reason, and act in the physical or digital world to achieve goals. It emphasizes AI's rapid evolution in financial services, highlighting applications like risk assessment, fraud detection, and high-frequency trading. The Financial Services Commission (FSC) of Mauritius observes growing AI adoption in financial institutions and fintech entities, noting the need for responsible implementation without introducing new regulatory structures.</t>
        </is>
      </c>
      <c r="L1792" s="11" t="inlineStr">
        <is>
          <t>This section establishes foundational definitions of AI relevant to financial services, clarifying the scope for data transfer impact assessments by distinguishing AI from non-AI systems and highlighting sector-specific applications. It does not impose direct transfer restrictions but sets context for understanding AI's role in data processing.</t>
        </is>
      </c>
      <c r="M1792" s="11" t="inlineStr">
        <is>
          <t>• [Definition] Artificial intelligence means algorithms designed by individuals that, given a goal, act in the physical or digital world by perceiving their environment, interpreting collected structured or unstructured data, reasoning on knowledge derived from this data and deciding the best action to take, according to pre-defined parameters, to achieve the gi…</t>
        </is>
      </c>
      <c r="N1792" s="11" t="inlineStr"/>
      <c r="O1792" s="11" t="inlineStr">
        <is>
          <t>Artificial intelligence (‘AI') involves the use of technology to perform tasks that traditionally required human intelligence.</t>
        </is>
      </c>
      <c r="P1792" s="12" t="n">
        <v>56</v>
      </c>
    </row>
    <row r="1793">
      <c r="A1793" t="inlineStr">
        <is>
          <t>Mauritius</t>
        </is>
      </c>
      <c r="B1793" t="inlineStr">
        <is>
          <t>guidelines-on-responsible-use-of-ai (Mauritius - Row 19)</t>
        </is>
      </c>
      <c r="C1793" t="inlineStr">
        <is>
          <t>2</t>
        </is>
      </c>
      <c r="D1793" s="11" t="inlineStr">
        <is>
          <t>Types of AI in financial services</t>
        </is>
      </c>
      <c r="E1793" t="inlineStr">
        <is>
          <t>4–6</t>
        </is>
      </c>
      <c r="F1793" t="inlineStr">
        <is>
          <t>High</t>
        </is>
      </c>
      <c r="G1793" t="inlineStr">
        <is>
          <t>High (explicit)</t>
        </is>
      </c>
      <c r="H1793" s="11" t="inlineStr"/>
      <c r="I1793" s="11" t="inlineStr">
        <is>
          <t>Financial Data</t>
        </is>
      </c>
      <c r="J1793" t="inlineStr">
        <is>
          <t>Financial Services Commission, Mauritius (FSC)</t>
        </is>
      </c>
      <c r="K1793" s="11" t="inlineStr">
        <is>
          <t>This section distinguishes traditional AI (narrow AI) and generative AI (GenAI) as the two primary types used in financial services. Traditional AI focuses on specific tasks within predefined rules, while GenAI creates new content like text, images, and simulations. The section notes GenAI's growing significance in financial applications, including predictive modeling and innovative solutions.</t>
        </is>
      </c>
      <c r="L1793" s="11" t="inlineStr">
        <is>
          <t>This section clarifies the distinction between traditional AI and GenAI, which is critical for DTIAs as GenAI's ability to generate new content may impact data processing and transfer mechanisms in financial services.</t>
        </is>
      </c>
      <c r="M1793" s="11" t="inlineStr">
        <is>
          <t>• [Definition] Traditional AI focuses on performing specific tasks intelligently within a narrow scope and relies on machine learning, data processing techniques, and rule-based systems.</t>
        </is>
      </c>
      <c r="N1793" s="11" t="inlineStr">
        <is>
          <t>• [Definition] Generative AI describes algorithms that create new content, including audio, code, images, text, simulations, and videos.</t>
        </is>
      </c>
      <c r="O1793" s="11" t="inlineStr">
        <is>
          <t>Traditional AI and Generative AI are the most common and prominent types of AI that are used in the financial services sector, nowadays.</t>
        </is>
      </c>
      <c r="P1793" s="12" t="n">
        <v>56</v>
      </c>
    </row>
    <row r="1794">
      <c r="A1794" t="inlineStr">
        <is>
          <t>Mauritius</t>
        </is>
      </c>
      <c r="B1794" t="inlineStr">
        <is>
          <t>guidelines-on-responsible-use-of-ai (Mauritius - Row 19)</t>
        </is>
      </c>
      <c r="C1794" t="inlineStr">
        <is>
          <t>3</t>
        </is>
      </c>
      <c r="D1794" s="11" t="inlineStr">
        <is>
          <t>AI adoption in financial services</t>
        </is>
      </c>
      <c r="E1794" t="inlineStr">
        <is>
          <t>6–7</t>
        </is>
      </c>
      <c r="F1794" t="inlineStr">
        <is>
          <t>High</t>
        </is>
      </c>
      <c r="G1794" t="inlineStr">
        <is>
          <t>High (explicit)</t>
        </is>
      </c>
      <c r="H1794" s="11" t="inlineStr"/>
      <c r="I1794" s="11" t="inlineStr">
        <is>
          <t>Financial Data</t>
        </is>
      </c>
      <c r="J1794" t="inlineStr">
        <is>
          <t>Financial Services Commission, Mauritius (FSC)</t>
        </is>
      </c>
      <c r="K1794" s="11" t="inlineStr">
        <is>
          <t>This section reports on widespread AI adoption in financial services, citing surveys indicating 85% of institutions use AI and 77% anticipate its critical role within two years. It highlights AI applications in advisory services, wealth management, trading, insurance, AML/CFT, and risk management. The section emphasizes AI's potential to enhance regulatory compliance, revenue, decision-making, and financial inclusion.</t>
        </is>
      </c>
      <c r="L1794" s="11" t="inlineStr">
        <is>
          <t>This section details AI's growing use in financial services, which impacts DTIAs by increasing data processing complexity and the need for robust safeguards when transferring data across borders for AI applications.</t>
        </is>
      </c>
      <c r="M1794" s="11" t="inlineStr">
        <is>
          <t>• [Fact] 85% of financial services institutions across 33 countries use AI in some capacity.
• [Fact] 77% of financial services institutions anticipate AI being crucial to their operations within two years.</t>
        </is>
      </c>
      <c r="N1794" s="11" t="inlineStr">
        <is>
          <t>• [Fact] AI is used in advisory services, wealth management, trading, insurance, AML/CFT, and risk management.</t>
        </is>
      </c>
      <c r="O1794" s="11" t="inlineStr">
        <is>
          <t>Based on a survey of 151 financial institutions across 33 countries conducted by the World Economic Forum and the Cambridge Centre of Alternative Finance.</t>
        </is>
      </c>
      <c r="P1794" s="12" t="n">
        <v>56</v>
      </c>
    </row>
    <row r="1795">
      <c r="A1795" t="inlineStr">
        <is>
          <t>Mauritius</t>
        </is>
      </c>
      <c r="B1795" t="inlineStr">
        <is>
          <t>guidelines-on-responsible-use-of-ai (Mauritius - Row 19)</t>
        </is>
      </c>
      <c r="C1795" t="inlineStr">
        <is>
          <t>4</t>
        </is>
      </c>
      <c r="D1795" s="11" t="inlineStr">
        <is>
          <t>AI benefits for financial services</t>
        </is>
      </c>
      <c r="E1795" t="inlineStr">
        <is>
          <t>7–8</t>
        </is>
      </c>
      <c r="F1795" t="inlineStr">
        <is>
          <t>High</t>
        </is>
      </c>
      <c r="G1795" t="inlineStr">
        <is>
          <t>High (explicit)</t>
        </is>
      </c>
      <c r="H1795" s="11" t="inlineStr"/>
      <c r="I1795" s="11" t="inlineStr">
        <is>
          <t>Financial Data</t>
        </is>
      </c>
      <c r="J1795" t="inlineStr">
        <is>
          <t>Financial Services Commission, Mauritius (FSC)</t>
        </is>
      </c>
      <c r="K1795" s="11" t="inlineStr">
        <is>
          <t>This section outlines key benefits of AI adoption in financial services, including improved regulatory compliance, revenue growth (potentially 34%), enhanced decision-making, financial inclusion, and staff training on AI. It emphasizes AI's role in automating processes, generating value, and fostering understanding of AI's risks and applications within financial institutions.</t>
        </is>
      </c>
      <c r="L1795" s="11" t="inlineStr">
        <is>
          <t>This section identifies AI-driven benefits that may influence DTIAs by highlighting data processing efficiencies and the need for robust governance to ensure ethical data handling and transfer mechanisms.</t>
        </is>
      </c>
      <c r="M1795" s="11" t="inlineStr">
        <is>
          <t>• [Fact] AI can assist financial services institutions in meeting regulatory compliance responsibilities by automating data gathering procedures.
• [Fact] AI has the potential to increase the financial services sector's revenue by 34%.</t>
        </is>
      </c>
      <c r="N1795" s="11" t="inlineStr">
        <is>
          <t>• [Fact] AI can generate more than $250 billion in value for banking and financial services companies.
• [Fact] AI can improve financial inclusion by developing tailored financial education programs for underserved populations.</t>
        </is>
      </c>
      <c r="O1795" s="11" t="inlineStr">
        <is>
          <t>The financial services sector can largely benefit from the adoption of AI technologies in their day-to-day operations, namely in terms of: Improved regulatory compliance, improved revenue and value, improved decision-making, improved financial inclusion.</t>
        </is>
      </c>
      <c r="P1795" s="12" t="n">
        <v>56</v>
      </c>
    </row>
    <row r="1796">
      <c r="A1796" t="inlineStr">
        <is>
          <t>Mauritius</t>
        </is>
      </c>
      <c r="B1796" t="inlineStr">
        <is>
          <t>guidelines-on-responsible-use-of-ai (Mauritius - Row 19)</t>
        </is>
      </c>
      <c r="C1796" t="inlineStr">
        <is>
          <t>5</t>
        </is>
      </c>
      <c r="D1796" s="11" t="inlineStr">
        <is>
          <t>AI governance and human oversight</t>
        </is>
      </c>
      <c r="E1796" t="inlineStr">
        <is>
          <t>8–10</t>
        </is>
      </c>
      <c r="F1796" t="inlineStr">
        <is>
          <t>High</t>
        </is>
      </c>
      <c r="G1796" t="inlineStr">
        <is>
          <t>High (explicit)</t>
        </is>
      </c>
      <c r="H1796" s="11" t="inlineStr">
        <is>
          <t>Governance</t>
        </is>
      </c>
      <c r="I1796" s="11" t="inlineStr">
        <is>
          <t>Financial Data</t>
        </is>
      </c>
      <c r="J1796" t="inlineStr">
        <is>
          <t>Financial Services Commission, Mauritius (FSC)</t>
        </is>
      </c>
      <c r="K1796" s="11" t="inlineStr">
        <is>
          <t>This section emphasizes the need for human oversight and accountability throughout AI systems' lifecycles, including defining responsibility across design, development, deployment, and decommissioning. It requires boards and senior management to understand AI risks, implement training, ensure effective oversight, and address limitations like third-party access constraints to AI systems.</t>
        </is>
      </c>
      <c r="L1796" s="11" t="inlineStr">
        <is>
          <t>This section is critical for DTIAs as it mandates governance structures to ensure AI systems comply with data transfer and processing requirements, particularly in cross-border contexts where human oversight may be challenging.</t>
        </is>
      </c>
      <c r="M1796" s="11" t="inlineStr">
        <is>
          <t>• [Must] Establish accountability throughout the AI system lifecycle by defining responsibility across design, approval, development, procurement, deployment, monitoring, and decommissioning.
• [Must] Board members and senior management must possess a solid understanding of AI risks and limitations to critically assess AI outputs.
• [Must] Ensure sufficient expertise at the Board level to monitor AI solutions for consumer protection.</t>
        </is>
      </c>
      <c r="N1796" s="11" t="inlineStr">
        <is>
          <t>• [Must] Implement staff training on AI risks and roles to manage them effectively.
• [Must] Address limitations of human oversight by ensuring access to AI infrastructure, code, and training data through third-party assessments and controls.</t>
        </is>
      </c>
      <c r="O1796" s="11" t="inlineStr">
        <is>
          <t>At a fundamental level, the development, implementation, and oversight of AI systems across their life cycle should not change existing supervisory expectations.</t>
        </is>
      </c>
      <c r="P1796" s="12" t="n">
        <v>56</v>
      </c>
    </row>
    <row r="1797">
      <c r="A1797" t="inlineStr">
        <is>
          <t>Mauritius</t>
        </is>
      </c>
      <c r="B1797" t="inlineStr">
        <is>
          <t>guidelines-on-responsible-use-of-ai (Mauritius - Row 19)</t>
        </is>
      </c>
      <c r="C1797" t="inlineStr">
        <is>
          <t>6</t>
        </is>
      </c>
      <c r="D1797" s="11" t="inlineStr">
        <is>
          <t>AI fairness and bias mitigation</t>
        </is>
      </c>
      <c r="E1797" t="inlineStr">
        <is>
          <t>10–11</t>
        </is>
      </c>
      <c r="F1797" t="inlineStr">
        <is>
          <t>High</t>
        </is>
      </c>
      <c r="G1797" t="inlineStr">
        <is>
          <t>High (explicit)</t>
        </is>
      </c>
      <c r="H1797" s="11" t="inlineStr"/>
      <c r="I1797" s="11" t="inlineStr">
        <is>
          <t>Financial Data</t>
        </is>
      </c>
      <c r="J1797" t="inlineStr">
        <is>
          <t>Financial Services Commission, Mauritius (FSC)</t>
        </is>
      </c>
      <c r="K1797" s="11" t="inlineStr">
        <is>
          <t>This section addresses the risks of bias in AI systems, emphasizing the need for fairness by design. It requires insurers to implement governance processes, continuous monitoring, transparency, and explainability to detect and mitigate biases in AI-driven decisions, ensuring fair treatment of customers without discrimination.</t>
        </is>
      </c>
      <c r="L1797" s="11" t="inlineStr">
        <is>
          <t>This section is vital for DTIAs as it mandates specific safeguards to prevent biased data processing and transfer, particularly when AI systems handle sensitive financial data across borders.</t>
        </is>
      </c>
      <c r="M1797" s="11" t="inlineStr">
        <is>
          <t>• [Must Not] AI systems that are harmful, abusive, or discriminatory should not be brought to market.
• [Must] Implement policies and processes for fair treatment of customers as part of business culture.
• [Must] Develop a corporate culture with ethical and fairness principles to guide responsible AI adoption.</t>
        </is>
      </c>
      <c r="N1797" s="11" t="inlineStr">
        <is>
          <t>• [Must] Provide regular training on ethical AI practices for staff involved in AI deployment.
• [Must] Conduct continuous monitoring and auditing of AI systems to detect and mitigate biases.
• [Must] Ensure transparency and explainability of AI systems to customers.</t>
        </is>
      </c>
      <c r="O1797" s="11" t="inlineStr">
        <is>
          <t>AI system that are harmful or abusive, treat consumers unfairly or do not respect fundamental rights, including the right to non-discrimination, should not be brought to the market.</t>
        </is>
      </c>
      <c r="P1797" s="12" t="n">
        <v>56</v>
      </c>
    </row>
    <row r="1798">
      <c r="A1798" t="inlineStr">
        <is>
          <t>Mauritius</t>
        </is>
      </c>
      <c r="B1798" t="inlineStr">
        <is>
          <t>guidelines-on-responsible-use-of-ai (Mauritius - Row 19)</t>
        </is>
      </c>
      <c r="C1798" t="inlineStr">
        <is>
          <t>7</t>
        </is>
      </c>
      <c r="D1798" s="11" t="inlineStr">
        <is>
          <t>Transparency in AI decision-making to identify biases</t>
        </is>
      </c>
      <c r="E1798" t="inlineStr">
        <is>
          <t>11–12</t>
        </is>
      </c>
      <c r="F1798" t="inlineStr">
        <is>
          <t>High</t>
        </is>
      </c>
      <c r="G1798" t="inlineStr">
        <is>
          <t>High (explicit)</t>
        </is>
      </c>
      <c r="H1798" s="11" t="inlineStr"/>
      <c r="I1798" s="11" t="inlineStr">
        <is>
          <t>Personal Information</t>
        </is>
      </c>
      <c r="J1798" t="inlineStr">
        <is>
          <t>FSC Mauritius</t>
        </is>
      </c>
      <c r="K1798" s="11" t="inlineStr">
        <is>
          <t>This section mandates that insurance and non-banking businesses ensure transparency in AI processes to identify potential biases. It requires firms to act with due skill, care and diligence when dealing with customers, provide clear and timely information for informed decisions, and address risks of lawful discrimination. The focus is on fairness and non-discrimination through transparent AI practices.</t>
        </is>
      </c>
      <c r="L1798" s="11" t="inlineStr">
        <is>
          <t>Transparency requirements for AI decision-making are critical for DTIAs to assess bias risks in cross-border data transfers involving financial services. This section emphasizes identifying discriminatory outcomes and ensuring accountability in AI systems.</t>
        </is>
      </c>
      <c r="M1798" s="11" t="inlineStr">
        <is>
          <t>• [Must] Insurance and non-banking businesses must act with due skill, care and diligence when dealing with customers
• [Must] Firms must provide clear, timely and adequate information allowing customers to make informed decisions</t>
        </is>
      </c>
      <c r="N1798" s="11" t="inlineStr">
        <is>
          <t>• [Should] Transparency is key to building trust and ensuring accountability by understanding unique risks to end users of AI</t>
        </is>
      </c>
      <c r="O1798" s="11" t="inlineStr">
        <is>
          <t>The Insurance and non-banking businesses should ensure that insurers and intermediaries "act with due skill, care and diligence when dealing with customers".</t>
        </is>
      </c>
      <c r="P1798" s="12" t="n">
        <v>56</v>
      </c>
    </row>
    <row r="1799">
      <c r="A1799" t="inlineStr">
        <is>
          <t>Mauritius</t>
        </is>
      </c>
      <c r="B1799" t="inlineStr">
        <is>
          <t>guidelines-on-responsible-use-of-ai (Mauritius - Row 19)</t>
        </is>
      </c>
      <c r="C1799" t="inlineStr">
        <is>
          <t>8</t>
        </is>
      </c>
      <c r="D1799" s="11" t="inlineStr">
        <is>
          <t>Security and robustness testing for AI systems</t>
        </is>
      </c>
      <c r="E1799" t="inlineStr">
        <is>
          <t>12–13</t>
        </is>
      </c>
      <c r="F1799" t="inlineStr">
        <is>
          <t>High</t>
        </is>
      </c>
      <c r="G1799" t="inlineStr">
        <is>
          <t>High (explicit)</t>
        </is>
      </c>
      <c r="H1799" s="11" t="inlineStr">
        <is>
          <t>Security, Third Party Processing</t>
        </is>
      </c>
      <c r="I1799" s="11" t="inlineStr">
        <is>
          <t>Financial Data</t>
        </is>
      </c>
      <c r="J1799" t="inlineStr">
        <is>
          <t>FSC Mauritius</t>
        </is>
      </c>
      <c r="K1799" s="11" t="inlineStr">
        <is>
          <t>This section requires continuous robustness testing for AI systems, including automated monitoring tools to detect data distribution shifts and trigger alerts. It mandates that insurers define expected outcomes in advance for objective evaluation and share material findings with third-party AI providers to enable prompt corrective action. The focus is on maintaining up-to-date security practices through regular updates and staff training.</t>
        </is>
      </c>
      <c r="L1799" s="11" t="inlineStr">
        <is>
          <t>Robustness testing and continuous monitoring are essential for DTIAs to assess AI system security and stability in cross-border contexts. This section emphasizes proactive measures to address evolving threats and ensure timely model recalibration.</t>
        </is>
      </c>
      <c r="M1799" s="11" t="inlineStr">
        <is>
          <t>• [Must] Robustness testing should be treated as a continuous process allowing insurers to adapt testing strategies as AI technologies evolve
• [Must] Use automated monitoring tools to detect significant shifts in data distribution and trigger alerts for timely model recalibration</t>
        </is>
      </c>
      <c r="N1799" s="11" t="inlineStr">
        <is>
          <t>• [Should] Define expected outcomes in advance to support objective evaluation of AI systems
• [Must] Share material findings from robustness assessments with third-party AI providers to facilitate prompt corrective action</t>
        </is>
      </c>
      <c r="O1799" s="11" t="inlineStr">
        <is>
          <t>Robustness testing should be treated as a continuous process, allowing insurers to adapt their testing strategies as AI technologies evolve.</t>
        </is>
      </c>
      <c r="P1799" s="12" t="n">
        <v>56</v>
      </c>
    </row>
    <row r="1800">
      <c r="A1800" t="inlineStr">
        <is>
          <t>Mauritius</t>
        </is>
      </c>
      <c r="B1800" t="inlineStr">
        <is>
          <t>guidelines-on-responsible-use-of-ai (Mauritius - Row 19)</t>
        </is>
      </c>
      <c r="C1800" t="inlineStr">
        <is>
          <t>9</t>
        </is>
      </c>
      <c r="D1800" s="11" t="inlineStr">
        <is>
          <t>AI risks in financial services sector</t>
        </is>
      </c>
      <c r="E1800" t="inlineStr">
        <is>
          <t>13–15</t>
        </is>
      </c>
      <c r="F1800" t="inlineStr">
        <is>
          <t>High</t>
        </is>
      </c>
      <c r="G1800" t="inlineStr">
        <is>
          <t>High (explicit)</t>
        </is>
      </c>
      <c r="H1800" s="11" t="inlineStr"/>
      <c r="I1800" s="11" t="inlineStr">
        <is>
          <t>Financial Data, Personal Information</t>
        </is>
      </c>
      <c r="J1800" t="inlineStr">
        <is>
          <t>FSC Mauritius</t>
        </is>
      </c>
      <c r="K1800" s="11" t="inlineStr">
        <is>
          <t>This section outlines specific risks associated with AI adoption in financial services, including bias and discrimination, data privacy concerns, systemic risks, de-skilling of employees, job displacement, and concentration risks. It highlights the need for stakeholders to address these challenges to facilitate timely AI adoption while mitigating potential harms to customers and the financial system.</t>
        </is>
      </c>
      <c r="L1800" s="11" t="inlineStr">
        <is>
          <t>This section identifies critical risks that DTIAs must address, particularly bias, data privacy, and systemic risks when transferring or processing financial data across borders using AI. It emphasizes the need for comprehensive risk assessments.</t>
        </is>
      </c>
      <c r="M1800" s="11" t="inlineStr">
        <is>
          <t>• [Must] AI adoption in financial services presents risks including bias, discrimination, data privacy concerns, systemic risks, and job displacement</t>
        </is>
      </c>
      <c r="N1800" s="11" t="inlineStr"/>
      <c r="O1800" s="11" t="inlineStr">
        <is>
          <t>The adoption of AI technologies in the financial services sector presents a unique set of risks and challenges.</t>
        </is>
      </c>
      <c r="P1800" s="12" t="n">
        <v>56</v>
      </c>
    </row>
    <row r="1801">
      <c r="A1801" t="inlineStr">
        <is>
          <t>Mauritius</t>
        </is>
      </c>
      <c r="B1801" t="inlineStr">
        <is>
          <t>guidelines-on-responsible-use-of-ai (Mauritius - Row 19)</t>
        </is>
      </c>
      <c r="C1801" t="inlineStr">
        <is>
          <t>10</t>
        </is>
      </c>
      <c r="D1801" s="11" t="inlineStr">
        <is>
          <t>AI initiatives in Mauritius</t>
        </is>
      </c>
      <c r="E1801" t="inlineStr">
        <is>
          <t>15–16</t>
        </is>
      </c>
      <c r="F1801" t="inlineStr">
        <is>
          <t>Medium</t>
        </is>
      </c>
      <c r="G1801" t="inlineStr">
        <is>
          <t>High (explicit)</t>
        </is>
      </c>
      <c r="H1801" s="11" t="inlineStr"/>
      <c r="I1801" s="11" t="inlineStr"/>
      <c r="J1801" t="inlineStr"/>
      <c r="K1801" s="11" t="inlineStr">
        <is>
          <t>This section describes Mauritius's strategic initiatives to position itself as a center for AI development, including fostering a digital innovation ecosystem, attracting global technology leaders, and nurturing local talent. It emphasizes the government's commitment to leveraging AI for inclusive economic growth and enhancing public services through technological innovation.</t>
        </is>
      </c>
      <c r="L1801" s="11" t="inlineStr">
        <is>
          <t>Mauritius's AI initiatives provide context for DTIAs by highlighting the country's proactive approach to AI governance and its alignment with international standards, which may influence cross-border data transfer practices.</t>
        </is>
      </c>
      <c r="M1801" s="11" t="inlineStr">
        <is>
          <t>• [Must] Mauritius leverages its strategic location between Africa and Asia to position itself as a reputable center for AI development</t>
        </is>
      </c>
      <c r="N1801" s="11" t="inlineStr"/>
      <c r="O1801" s="11" t="inlineStr">
        <is>
          <t>Mauritius continues to leverage its strategic location between Africa and Asia to position itself as a reputable centre for Artificial Intelligence (AI) development.</t>
        </is>
      </c>
      <c r="P1801" s="12" t="n">
        <v>56</v>
      </c>
    </row>
    <row r="1802">
      <c r="A1802" t="inlineStr">
        <is>
          <t>Mauritius</t>
        </is>
      </c>
      <c r="B1802" t="inlineStr">
        <is>
          <t>guidelines-on-responsible-use-of-ai (Mauritius - Row 19)</t>
        </is>
      </c>
      <c r="C1802" t="inlineStr">
        <is>
          <t>11</t>
        </is>
      </c>
      <c r="D1802" s="11" t="inlineStr">
        <is>
          <t>International collaboration on AI governance</t>
        </is>
      </c>
      <c r="E1802" t="inlineStr">
        <is>
          <t>16–17</t>
        </is>
      </c>
      <c r="F1802" t="inlineStr">
        <is>
          <t>High</t>
        </is>
      </c>
      <c r="G1802" t="inlineStr">
        <is>
          <t>High (explicit)</t>
        </is>
      </c>
      <c r="H1802" s="11" t="inlineStr"/>
      <c r="I1802" s="11" t="inlineStr"/>
      <c r="J1802" t="inlineStr"/>
      <c r="K1802" s="11" t="inlineStr">
        <is>
          <t>This section details international collaboration initiatives in AI governance, including UN resolutions, IMF reports, ESMA monitoring, UK government schemes, Singapore's partnerships, and the Alliance for Innovative Regulation. These collaborations aim to foster innovation and develop ethical AI practices across financial services sectors globally.</t>
        </is>
      </c>
      <c r="L1802" s="11" t="inlineStr">
        <is>
          <t>International collaboration frameworks are critical for DTIAs to understand cross-border data transfer implications, as they establish shared standards and best practices for AI governance that may affect data flows.</t>
        </is>
      </c>
      <c r="M1802" s="11" t="inlineStr">
        <is>
          <t>• [Must] UN approved a first-of-its-kind resolution on AI by consensus, adopted by 193 countries including Mauritius
• [Must] IMF published a report on generative AI in finance and risk considerations
• [Must] ESMA monitors AI and Big Data in financial services across EU member states</t>
        </is>
      </c>
      <c r="N1802" s="11" t="inlineStr">
        <is>
          <t>• [Must] UK Financial Conduct Authority launched a secondment scheme for AI collaboration
• [Must] Monetary Authority of Singapore co-partnered with Google Cloud for generative AI</t>
        </is>
      </c>
      <c r="O1802" s="11" t="inlineStr">
        <is>
          <t>On 21 March 2.024, the General Assembly of the UN approved a first-of-its-kind resolution on AI by consensus.</t>
        </is>
      </c>
      <c r="P1802" s="12" t="n">
        <v>56</v>
      </c>
    </row>
    <row r="1803">
      <c r="A1803" t="inlineStr">
        <is>
          <t>Mauritius</t>
        </is>
      </c>
      <c r="B1803" t="inlineStr">
        <is>
          <t>guidelines-on-responsible-use-of-ai (Mauritius - Row 19)</t>
        </is>
      </c>
      <c r="C1803" t="inlineStr">
        <is>
          <t>12</t>
        </is>
      </c>
      <c r="D1803" s="11" t="inlineStr">
        <is>
          <t>Best practices for responsible AI use</t>
        </is>
      </c>
      <c r="E1803" t="inlineStr">
        <is>
          <t>17–21</t>
        </is>
      </c>
      <c r="F1803" t="inlineStr">
        <is>
          <t>High</t>
        </is>
      </c>
      <c r="G1803" t="inlineStr">
        <is>
          <t>High (explicit)</t>
        </is>
      </c>
      <c r="H1803" s="11" t="inlineStr"/>
      <c r="I1803" s="11" t="inlineStr">
        <is>
          <t>Personal Information</t>
        </is>
      </c>
      <c r="J1803" t="inlineStr">
        <is>
          <t>FSC Mauritius</t>
        </is>
      </c>
      <c r="K1803" s="11" t="inlineStr">
        <is>
          <t>This section outlines international best practices for responsible AI use, including UNESCO's AI ethics framework, OECD AI principles, UK's principle-based approach, EU's AI Act, and the FSC Mauritius's principles for responsible AI. It emphasizes the need for data protection impact assessments and compliance with the Data Protection Act 2017 for AI systems.</t>
        </is>
      </c>
      <c r="L1803" s="11" t="inlineStr">
        <is>
          <t>Best practices for responsible AI use are essential for DTIAs to ensure compliance with international standards and data protection requirements when transferring or processing data across borders.</t>
        </is>
      </c>
      <c r="M1803" s="11" t="inlineStr">
        <is>
          <t>• [Must] Licensees must ensure data subjects are informed of automated decision-making processes
• [Must] Licensees must provide meaningful information on the logic, criteria, and significance of underlying decisions</t>
        </is>
      </c>
      <c r="N1803" s="11" t="inlineStr">
        <is>
          <t>• [Must] Licensees must establish mechanisms for individuals to obtain human intervention and contest outcomes
• [Must] Licensees must conduct Data Protection Impact Assessments (DPIAs) for AI systems presenting high risk to data subjects</t>
        </is>
      </c>
      <c r="O1803" s="11" t="inlineStr">
        <is>
          <t>In accordance with Section 38 of the DPA, which sets out safeguards for automated decision-making and profiling that produce legal effects or similarly significant consequences for individuals, licensees are required to ensure the following: Data subjects are informed of the existence of such automated decision-making processes;</t>
        </is>
      </c>
      <c r="P1803" s="12" t="n">
        <v>56</v>
      </c>
    </row>
    <row r="1804">
      <c r="A1804" t="inlineStr">
        <is>
          <t>Mauritius</t>
        </is>
      </c>
      <c r="B1804" t="inlineStr">
        <is>
          <t>guidelines-on-responsible-use-of-ai (Mauritius - Row 19)</t>
        </is>
      </c>
      <c r="C1804" t="inlineStr">
        <is>
          <t>13</t>
        </is>
      </c>
      <c r="D1804" s="11" t="inlineStr">
        <is>
          <t>Regulator's role in AI governance evolution</t>
        </is>
      </c>
      <c r="E1804" t="inlineStr">
        <is>
          <t>21–25</t>
        </is>
      </c>
      <c r="F1804" t="inlineStr">
        <is>
          <t>High</t>
        </is>
      </c>
      <c r="G1804" t="inlineStr">
        <is>
          <t>High (explicit)</t>
        </is>
      </c>
      <c r="H1804" s="11" t="inlineStr">
        <is>
          <t>Governance, Record Keeping</t>
        </is>
      </c>
      <c r="I1804" s="11" t="inlineStr">
        <is>
          <t>Financial Data</t>
        </is>
      </c>
      <c r="J1804" t="inlineStr">
        <is>
          <t>FSC</t>
        </is>
      </c>
      <c r="K1804" s="11" t="inlineStr">
        <is>
          <t>The FSC will monitor AI developments globally and update regulatory guidance to address AI-related benefits and risks for non-banking financial institutions. This section establishes the FSC's ongoing commitment to revising its regulatory framework as AI technology evolves. Licensees must adapt to these evolving standards to maintain compliance with ethical AI practices.</t>
        </is>
      </c>
      <c r="L1804" s="11" t="inlineStr">
        <is>
          <t>This section requires regulators to proactively update AI governance frameworks, which impacts DTIAs by necessitating regular reassessment of AI-related data transfers against evolving regulatory expectations.</t>
        </is>
      </c>
      <c r="M1804" s="11" t="inlineStr">
        <is>
          <t>• [Must] FSC will monitor ongoing developments in AI locally and internationally
• [Must] FSC will upgrade/revisit regulatory guidance whenever necessary</t>
        </is>
      </c>
      <c r="N1804" s="11" t="inlineStr">
        <is>
          <t>• [Must] FSC will address corresponding benefits and risks arising from AI use by licensees</t>
        </is>
      </c>
      <c r="O1804" s="11" t="inlineStr">
        <is>
          <t>As a forward looking and responsible regulator of the insurance, wealth management sector and other NBFIs, the FSC will continue to closely monitor the on-going developments in the field of AI, both locally and internationally and will further upgrade/revisit its existing regulatory guidance and parameter, whenever there is a necessity, to address the corresponding benefits and risks arising from the use of AI by its licensees.</t>
        </is>
      </c>
      <c r="P1804" s="12" t="n">
        <v>56</v>
      </c>
    </row>
    <row r="1805">
      <c r="A1805" t="inlineStr">
        <is>
          <t>Mauritius</t>
        </is>
      </c>
      <c r="B1805" t="inlineStr">
        <is>
          <t>guidelines_on_outsourcing_by_financial_institutions (Mauritius - Row 3)</t>
        </is>
      </c>
      <c r="C1805" t="inlineStr">
        <is>
          <t>4</t>
        </is>
      </c>
      <c r="D1805" s="11" t="inlineStr">
        <is>
          <t>Outsourcing risk management framework for financial institutions</t>
        </is>
      </c>
      <c r="E1805" t="inlineStr">
        <is>
          <t>2–7</t>
        </is>
      </c>
      <c r="F1805" t="inlineStr">
        <is>
          <t>High</t>
        </is>
      </c>
      <c r="G1805" t="inlineStr">
        <is>
          <t>High (explicit)</t>
        </is>
      </c>
      <c r="H1805" s="11" t="inlineStr">
        <is>
          <t>Outsourcing, Third Party Processing, Governance</t>
        </is>
      </c>
      <c r="I1805" s="11" t="inlineStr">
        <is>
          <t>Financial Data</t>
        </is>
      </c>
      <c r="J1805" t="inlineStr">
        <is>
          <t>Bank of Mauritius</t>
        </is>
      </c>
      <c r="K1805" s="11" t="inlineStr">
        <is>
          <t>Financial institutions must establish comprehensive outsourcing policies before engaging third-party service providers. These policies must define core activities that cannot be outsourced, assess materiality of outsourced activities, evaluate risks, and include contingency plans. The Board of Directors and senior management share responsibilities for oversight, including approving material outsourcing, monitoring risks, and ensuring compliance with regulatory requirements. The framework applies to all financial institutions licensed by the Bank of Mauritius.</t>
        </is>
      </c>
      <c r="L1805" s="11" t="inlineStr">
        <is>
          <t>This section mandates a risk management framework for outsourcing that financial institutions must implement before engaging third-party service providers. It requires specific documentation and approval processes for material outsourcing activities, directly impacting cross-border data transfers through offshoring arrangements.</t>
        </is>
      </c>
      <c r="M1805" s="11" t="inlineStr">
        <is>
          <t>• [Must] Financial institutions must establish a comprehensive policy on outsourcing before engaging third-party service providers
• [Must] The policy must define core activities that cannot be outsourced
• [Must] The policy must assess materiality of outsourced activities
• [Must] The policy must evaluate risks associated with outsourced activities
• [Must] The policy must include contingency plans for business disruptions
• [Must] The Board of Directors must approve the outsourcing policy</t>
        </is>
      </c>
      <c r="N1805" s="11" t="inlineStr">
        <is>
          <t>• [Must] The Board of Directors must assess outsourcing strategies against strategic objectives
• [Must] The Board of Directors must approve material outsourcing arrangements
• [Must] The Board of Directors must review material outsourcing activities annually
• [Must] Senior management must monitor and control outsourcing arrangements
• [Must] Senior management must ensure contingency plans for service provider changes
• [Must] Senior management must ensure regulatory compliance in outsourced services</t>
        </is>
      </c>
      <c r="O1805" s="11" t="inlineStr">
        <is>
          <t>Financial institutions should establish a comprehensive policy on outsourcing. The policy should guide the assessment of whether and how an activity should be outsourced. The policy should be well documented and should include, inter alia: strategic goals, objectives and business needs of a financial institution in relation to outsourcing; a clear definition of the range of activities that may be outsourced and those core activities which cannot be outsourced; steps to evaluate whether a particular activity is appropriate for outsourcing; criteria for determining material outsourcing; processes for evaluating risks associated with an outsourced activity; criteria for evaluating outsourcing relationships (with service providers) including necessary controls and reporting processes on an ongoing basis; limits on the acceptable overall level of outsourced activities; eligibility criteria for selecting service providers taking into account any relation, directly or indirectly, with the latter; issues addressing risk concentrations and risks arising from outsourcing multiple activities to the same service provider; steps to ensure compliance with legal and regulatory requirements in both home and host countries; and contingency plan in case of business disruptions.</t>
        </is>
      </c>
      <c r="P1805" s="12" t="n">
        <v>57</v>
      </c>
    </row>
    <row r="1806">
      <c r="A1806" t="inlineStr">
        <is>
          <t>Mauritius</t>
        </is>
      </c>
      <c r="B1806" t="inlineStr">
        <is>
          <t>guidelines_on_outsourcing_by_financial_institutions (Mauritius - Row 3)</t>
        </is>
      </c>
      <c r="C1806" t="inlineStr">
        <is>
          <t>4 (part 2)</t>
        </is>
      </c>
      <c r="D1806" s="11" t="inlineStr">
        <is>
          <t>Core functions that cannot be outsourced</t>
        </is>
      </c>
      <c r="E1806" t="inlineStr">
        <is>
          <t>7–11</t>
        </is>
      </c>
      <c r="F1806" t="inlineStr">
        <is>
          <t>High</t>
        </is>
      </c>
      <c r="G1806" t="inlineStr">
        <is>
          <t>Medium (merged from chunks)</t>
        </is>
      </c>
      <c r="H1806" s="11" t="inlineStr">
        <is>
          <t>Outsourcing</t>
        </is>
      </c>
      <c r="I1806" s="11" t="inlineStr"/>
      <c r="J1806" t="inlineStr">
        <is>
          <t>Bank</t>
        </is>
      </c>
      <c r="K1806" s="11" t="inlineStr">
        <is>
          <t>[extraction failed: model output unparseable] Financial institutions must not outsource core functions including strategic oversight, internal audit, and compliance. The Bank explicitly prohibits outsourcing these activities but allows case-by-case exceptions for intra-group outsourcing. Such exceptions require prior authorization and must be treated as material outsourcing with the same requirements as in section 4.1.3.</t>
        </is>
      </c>
      <c r="L1806" s="11" t="inlineStr">
        <is>
          <t>This section defines core functions that cannot be outsourced, requiring financial institutions to seek Bank authorization for any intra-group outsourcing of these functions, which impacts DTIA by mandating specific safeguards for critical control functions.</t>
        </is>
      </c>
      <c r="M1806" s="11" t="inlineStr">
        <is>
          <t>• [Must] Financial institutions must not outsource board and senior management functions such as strategic oversight
• [Must] Financial institutions must not outsource internal audit function
• [Must] Financial institutions must not outsource compliance function</t>
        </is>
      </c>
      <c r="N1806" s="11" t="inlineStr">
        <is>
          <t>• [Must] Financial institutions seeking to outsource core functions within the group must seek prior authorization from the Bank
• [Must] Financial institutions must treat intra-group outsourcing of core functions as material outsourcing</t>
        </is>
      </c>
      <c r="O1806" s="11" t="inlineStr">
        <is>
          <t>Activities that are considered ‘core' and should not be outsourced are; board and senior management functions such as strategic oversight; internal audit function; and compliance function.</t>
        </is>
      </c>
      <c r="P1806" s="12" t="n">
        <v>57</v>
      </c>
    </row>
    <row r="1807">
      <c r="A1807" t="inlineStr">
        <is>
          <t>Mauritius</t>
        </is>
      </c>
      <c r="B1807" t="inlineStr">
        <is>
          <t>part2 (Mauritius - Row 15)</t>
        </is>
      </c>
      <c r="C1807" t="inlineStr">
        <is>
          <t>1</t>
        </is>
      </c>
      <c r="D1807" s="11" t="inlineStr">
        <is>
          <t>High performance organization roadmap for regulatory excellence</t>
        </is>
      </c>
      <c r="E1807" t="inlineStr">
        <is>
          <t>3</t>
        </is>
      </c>
      <c r="F1807" t="inlineStr">
        <is>
          <t>Medium</t>
        </is>
      </c>
      <c r="G1807" t="inlineStr">
        <is>
          <t>High (explicit)</t>
        </is>
      </c>
      <c r="H1807" s="11" t="inlineStr"/>
      <c r="I1807" s="11" t="inlineStr">
        <is>
          <t>Employee Data</t>
        </is>
      </c>
      <c r="J1807" t="inlineStr">
        <is>
          <t>Financial Services Commission, Mauritius</t>
        </is>
      </c>
      <c r="K1807" s="11" t="inlineStr">
        <is>
          <t>This section details the Financial Services Commission's strategic commitment to building a high-performing organization through talent development, operational efficiency, and stakeholder engagement. It mandates specific actions such as optimizing processes, implementing a 'Red Carpet' process, digitizing licenses, and enhancing regulatory compliance. The focus is on creating a resilient and agile regulatory framework that serves stakeholders effectively while minimizing operational disruptions.</t>
        </is>
      </c>
      <c r="L1807" s="11" t="inlineStr"/>
      <c r="M1807" s="11" t="inlineStr">
        <is>
          <t>• [Must] Optimize FSC processes
• [Must] Implement a 'Red Carpet' process</t>
        </is>
      </c>
      <c r="N1807" s="11" t="inlineStr">
        <is>
          <t>• [Must] Digitize licenses
• [Must] Enhance regulatory compliance</t>
        </is>
      </c>
      <c r="O1807" s="11" t="inlineStr">
        <is>
          <t>High Performance Organisation : A Roadmap to Excellence</t>
        </is>
      </c>
      <c r="P1807" s="12" t="n">
        <v>60</v>
      </c>
    </row>
    <row r="1808">
      <c r="A1808" t="inlineStr">
        <is>
          <t>Mauritius</t>
        </is>
      </c>
      <c r="B1808" t="inlineStr">
        <is>
          <t>part2 (Mauritius - Row 15)</t>
        </is>
      </c>
      <c r="C1808" t="inlineStr">
        <is>
          <t>2</t>
        </is>
      </c>
      <c r="D1808" s="11" t="inlineStr">
        <is>
          <t>Digital transformation roadmap for financial regulators</t>
        </is>
      </c>
      <c r="E1808" t="inlineStr">
        <is>
          <t>3–4</t>
        </is>
      </c>
      <c r="F1808" t="inlineStr">
        <is>
          <t>High</t>
        </is>
      </c>
      <c r="G1808" t="inlineStr">
        <is>
          <t>High (explicit)</t>
        </is>
      </c>
      <c r="H1808" s="11" t="inlineStr">
        <is>
          <t>Cloud Services</t>
        </is>
      </c>
      <c r="I1808" s="11" t="inlineStr">
        <is>
          <t>Financial Data</t>
        </is>
      </c>
      <c r="J1808" t="inlineStr">
        <is>
          <t>Financial Services Commission, Mauritius</t>
        </is>
      </c>
      <c r="K1808" s="11" t="inlineStr">
        <is>
          <t>This section outlines the Financial Services Commission's strategic commitment to digital transformation, including adopting a hybrid cloud strategy, strengthening SupTech solutions, and enhancing data analytics capabilities. It emphasizes the need for the commission to align IT solutions with customer expectations and regulatory requirements while improving data management and cross-border collaboration with international financial regulators.</t>
        </is>
      </c>
      <c r="L1808" s="11" t="inlineStr"/>
      <c r="M1808" s="11" t="inlineStr">
        <is>
          <t>• [Must] Adopt a hybrid cloud strategy
• [Must] Strengthen the use of SupTech solutions</t>
        </is>
      </c>
      <c r="N1808" s="11" t="inlineStr">
        <is>
          <t>• [Must] Enhance data management, information retrieval, and analysis
• [Must] Sustain and reinforce cross-border collaboration</t>
        </is>
      </c>
      <c r="O1808" s="11" t="inlineStr">
        <is>
          <t>Digitalisation: A Roadmap to Resilience</t>
        </is>
      </c>
      <c r="P1808" s="12" t="n">
        <v>60</v>
      </c>
    </row>
    <row r="1809">
      <c r="A1809" t="inlineStr">
        <is>
          <t>Mauritius</t>
        </is>
      </c>
      <c r="B1809" t="inlineStr">
        <is>
          <t>part2 (Mauritius - Row 15)</t>
        </is>
      </c>
      <c r="C1809" t="inlineStr">
        <is>
          <t>3</t>
        </is>
      </c>
      <c r="D1809" s="11" t="inlineStr">
        <is>
          <t>International collaboration strategies for financial regulators</t>
        </is>
      </c>
      <c r="E1809" t="inlineStr">
        <is>
          <t>4</t>
        </is>
      </c>
      <c r="F1809" t="inlineStr">
        <is>
          <t>High</t>
        </is>
      </c>
      <c r="G1809" t="inlineStr">
        <is>
          <t>High (explicit)</t>
        </is>
      </c>
      <c r="H1809" s="11" t="inlineStr"/>
      <c r="I1809" s="11" t="inlineStr">
        <is>
          <t>Customer Data</t>
        </is>
      </c>
      <c r="J1809" t="inlineStr">
        <is>
          <t>Financial Services Commission, Mauritius</t>
        </is>
      </c>
      <c r="K1809" s="11" t="inlineStr">
        <is>
          <t>This section focuses on the Financial Services Commission's strategic commitment to promoting global engagement and expertise sharing through international regulatory dialogues and collaborations. It mandates actions such as hosting quarterly strategic roundtables with industry leaders, collaborating with the Bank of Mauritius, and establishing effective communication channels with stakeholders to enhance the commission's global visibility and regulatory standing.</t>
        </is>
      </c>
      <c r="L1809" s="11" t="inlineStr"/>
      <c r="M1809" s="11" t="inlineStr">
        <is>
          <t>• [Must] Host quarterly strategic roundtables with industry leaders
• [Must] Collaborate with the Bank of Mauritius and other agencies</t>
        </is>
      </c>
      <c r="N1809" s="11" t="inlineStr">
        <is>
          <t>• [Must] Establish effective communication channels</t>
        </is>
      </c>
      <c r="O1809" s="11" t="inlineStr">
        <is>
          <t>Local and International Collaboration</t>
        </is>
      </c>
      <c r="P1809" s="12" t="n">
        <v>60</v>
      </c>
    </row>
    <row r="1810">
      <c r="A1810" t="inlineStr">
        <is>
          <t>Mauritius</t>
        </is>
      </c>
      <c r="B1810" t="inlineStr">
        <is>
          <t>part2 (Mauritius - Row 15)</t>
        </is>
      </c>
      <c r="C1810" t="inlineStr">
        <is>
          <t>4</t>
        </is>
      </c>
      <c r="D1810" s="11" t="inlineStr">
        <is>
          <t>ESG integration and innovation in financial services</t>
        </is>
      </c>
      <c r="E1810" t="inlineStr">
        <is>
          <t>4</t>
        </is>
      </c>
      <c r="F1810" t="inlineStr">
        <is>
          <t>High</t>
        </is>
      </c>
      <c r="G1810" t="inlineStr">
        <is>
          <t>High (explicit)</t>
        </is>
      </c>
      <c r="H1810" s="11" t="inlineStr"/>
      <c r="I1810" s="11" t="inlineStr">
        <is>
          <t>Financial Data</t>
        </is>
      </c>
      <c r="J1810" t="inlineStr">
        <is>
          <t>Financial Services Commission, Mauritius</t>
        </is>
      </c>
      <c r="K1810" s="11" t="inlineStr">
        <is>
          <t>This section outlines the Financial Services Commission's strategic commitment to embedding ESG considerations within financial innovation, including supervision of sustainability disclosures, enforcement against misconduct related to governance and greenwashing, and promoting Mauritius as a leader in socially responsible investment. It mandates actions such as introducing data-driven supervision solutions and adopting the Diversity, Equity, and Inclusion charter.</t>
        </is>
      </c>
      <c r="L1810" s="11" t="inlineStr"/>
      <c r="M1810" s="11" t="inlineStr">
        <is>
          <t>• [Must] Supervise sustainability disclosures and governance practices
• [Must] Enforce measures against misconduct related to governance and greenwashing</t>
        </is>
      </c>
      <c r="N1810" s="11" t="inlineStr">
        <is>
          <t>• [Must] Bolster Mauritius's position as a leading sustainable finance hub
• [Must] Position Mauritius as a leader in Socially Responsible Investment</t>
        </is>
      </c>
      <c r="O1810" s="11" t="inlineStr">
        <is>
          <t>Innovation and Market Development</t>
        </is>
      </c>
      <c r="P1810" s="12" t="n">
        <v>60</v>
      </c>
    </row>
    <row r="1811">
      <c r="A1811" t="inlineStr">
        <is>
          <t>Mauritius</t>
        </is>
      </c>
      <c r="B1811" t="inlineStr">
        <is>
          <t>part2 (Mauritius - Row 15)</t>
        </is>
      </c>
      <c r="C1811" t="inlineStr">
        <is>
          <t>5</t>
        </is>
      </c>
      <c r="D1811" s="11" t="inlineStr">
        <is>
          <t>AML/CFT compliance through enhanced supervisory frameworks</t>
        </is>
      </c>
      <c r="E1811" t="inlineStr">
        <is>
          <t>4</t>
        </is>
      </c>
      <c r="F1811" t="inlineStr">
        <is>
          <t>High</t>
        </is>
      </c>
      <c r="G1811" t="inlineStr">
        <is>
          <t>High (explicit)</t>
        </is>
      </c>
      <c r="H1811" s="11" t="inlineStr">
        <is>
          <t>AML</t>
        </is>
      </c>
      <c r="I1811" s="11" t="inlineStr">
        <is>
          <t>Financial Data</t>
        </is>
      </c>
      <c r="J1811" t="inlineStr">
        <is>
          <t>Financial Services Commission, Mauritius</t>
        </is>
      </c>
      <c r="K1811" s="11" t="inlineStr">
        <is>
          <t>This section details the FSC's commitment to maintaining an effective risk-based AML/CFT supervisory framework aligned with international standards. It requires continuous enhancement of the FSC's capabilities, engagement with stakeholders, and implementation of real-time analytical tools for monitoring. The framework applies to licensees, professional bodies, and international regulatory bodies to ensure market integrity and consumer confidence.</t>
        </is>
      </c>
      <c r="L1811" s="11" t="inlineStr">
        <is>
          <t>This section mandates enhanced AML/CFT risk-based supervision with real-time monitoring tools, which are essential for assessing data transfers involving financial institutions that handle sensitive financial information across borders.</t>
        </is>
      </c>
      <c r="M1811" s="11" t="inlineStr">
        <is>
          <t>• [Must] Enhance FSC's risk-based supervisory framework
• [Must] Continue increasing capabilities and effectiveness
• [Must] Continue engagement with private sector and stakeholders
• [Must] Implement real-time analytical tools
• [Must] Enhance data collection
• [Must] Leverage AI for AML-CFT monitoring</t>
        </is>
      </c>
      <c r="N1811" s="11" t="inlineStr">
        <is>
          <t>• [Must] Reinforce enforcement strategy
• [Must] Strengthen FSC's enforcement powers
• [Must] Improve timeliness and transparency
• [Must] Monitor social media platforms
• [Must] Publicise high-profile regulatory reforms</t>
        </is>
      </c>
      <c r="O1811" s="11" t="inlineStr">
        <is>
          <t>Maintaining the Effectiveness of the FSC's AML/CFT/CPF Risk-Based Supervisory Framework in line with International Standards</t>
        </is>
      </c>
      <c r="P1811" s="12" t="n">
        <v>60</v>
      </c>
    </row>
    <row r="1812">
      <c r="A1812" t="inlineStr">
        <is>
          <t>Mauritius</t>
        </is>
      </c>
      <c r="B1812" t="inlineStr">
        <is>
          <t>part2 (Mauritius - Row 15)</t>
        </is>
      </c>
      <c r="C1812" t="inlineStr">
        <is>
          <t>6</t>
        </is>
      </c>
      <c r="D1812" s="11" t="inlineStr">
        <is>
          <t>Financial literacy and consumer inclusion initiatives</t>
        </is>
      </c>
      <c r="E1812" t="inlineStr">
        <is>
          <t>4–5</t>
        </is>
      </c>
      <c r="F1812" t="inlineStr">
        <is>
          <t>High</t>
        </is>
      </c>
      <c r="G1812" t="inlineStr">
        <is>
          <t>High (explicit)</t>
        </is>
      </c>
      <c r="H1812" s="11" t="inlineStr"/>
      <c r="I1812" s="11" t="inlineStr">
        <is>
          <t>Financial Data</t>
        </is>
      </c>
      <c r="J1812" t="inlineStr">
        <is>
          <t>Financial Services Commission, Mauritius</t>
        </is>
      </c>
      <c r="K1812" s="11" t="inlineStr">
        <is>
          <t>This section focuses on strengthening financial inclusion and consumer protection through educational programs, awareness campaigns, and collaboration with stakeholders. It requires the implementation of tech-savvy tools, participation in global financial inclusion initiatives, and regulations ensuring fair treatment. The initiatives apply to consumers, investors, licensees, and government regulators to promote financial literacy and combat fraud.</t>
        </is>
      </c>
      <c r="L1812" s="11" t="inlineStr">
        <is>
          <t>This section emphasizes financial literacy and consumer protection measures that impact data transfer practices by requiring awareness campaigns and fraud prevention, which are relevant for assessing data handling in financial services.</t>
        </is>
      </c>
      <c r="M1812" s="11" t="inlineStr">
        <is>
          <t>• [Must] Improve use of tech-savvy tools and resources
• [Must] Participate in regional and global Alliance for Financial Inclusion
• [Must] Achieve quality financial inclusion
• [Must] Create awareness on Mauritius IFC's role</t>
        </is>
      </c>
      <c r="N1812" s="11" t="inlineStr">
        <is>
          <t>• [Must] Strengthen coordination with stakeholders
• [Must] Implement regulations ensuring fair treatment
• [Must] Protect investors through awareness sessions</t>
        </is>
      </c>
      <c r="O1812" s="11" t="inlineStr">
        <is>
          <t>Strengthening Consumer Protection / Financial Inclusion • Improve the use of tech-savvy tools and resources</t>
        </is>
      </c>
      <c r="P1812" s="12" t="n">
        <v>60</v>
      </c>
    </row>
    <row r="1813">
      <c r="A1813" t="inlineStr">
        <is>
          <t>Singapore</t>
        </is>
      </c>
      <c r="B1813" t="inlineStr">
        <is>
          <t>A Comprehensive Guide to the Law of Confidence and Breach of Confidence in Singapore_ Insights from [2024] SGCA 16 - IRB Law Singapore (Singapore - Row 33)</t>
        </is>
      </c>
      <c r="C1813" t="inlineStr">
        <is>
          <t>2</t>
        </is>
      </c>
      <c r="D1813" s="11" t="inlineStr">
        <is>
          <t>Confidential information claims: mutual exclusivity of wrongful gain and loss claims</t>
        </is>
      </c>
      <c r="E1813" t="inlineStr">
        <is>
          <t>2</t>
        </is>
      </c>
      <c r="F1813" t="inlineStr">
        <is>
          <t>Low</t>
        </is>
      </c>
      <c r="G1813" t="inlineStr">
        <is>
          <t>High (explicit)</t>
        </is>
      </c>
      <c r="H1813" s="11" t="inlineStr">
        <is>
          <t>Cross-border Transfer, Data Sharing, Data Storage, Security</t>
        </is>
      </c>
      <c r="I1813" s="11" t="inlineStr">
        <is>
          <t>Personal Information, Special Personal Information</t>
        </is>
      </c>
      <c r="J1813" t="inlineStr">
        <is>
          <t>Singapore High Court</t>
        </is>
      </c>
      <c r="K1813" s="11" t="inlineStr">
        <is>
          <t>This section clarifies that claims for wrongful gain and wrongful loss regarding the same set of confidential information are mutually exclusive. The court's application of the Coco test prevents concurrent claims under different legal frameworks, ensuring no double recovery. Plaintiffs must precisely delineate claims to distinct information sets to avoid overlapping claims and maintain clear burden of proof requirements.</t>
        </is>
      </c>
      <c r="L1813" s="11" t="inlineStr">
        <is>
          <t>This section matters for DTIAs as it establishes that claims for the same confidential information cannot be split into wrongful gain and loss claims, requiring careful delineation of data sets to avoid overlapping legal claims during cross-border data transfers involving sensitive information.</t>
        </is>
      </c>
      <c r="M1813" s="11" t="inlineStr">
        <is>
          <t>• [Must] Claims for wrongful gain and wrongful loss regarding the same set of confidential information are mutually exclusive
• [Must] The Coco test precludes concurrent application of the I-Admin test for the same information</t>
        </is>
      </c>
      <c r="N1813" s="11" t="inlineStr">
        <is>
          <t>• [Must] Plaintiffs must clearly delineate claims for distinct sets of information</t>
        </is>
      </c>
      <c r="O1813" s="11" t="inlineStr">
        <is>
          <t>2. Broad Issue: The court found that claims for wrongful gain and wrongful loss in respect of the same set of documents are mutually exclusive. The application of the Coco test precludes the concurrent application of the I-Admin test for the same information.</t>
        </is>
      </c>
      <c r="P1813" s="12" t="n">
        <v>61</v>
      </c>
    </row>
    <row r="1814">
      <c r="A1814" t="inlineStr">
        <is>
          <t>Singapore</t>
        </is>
      </c>
      <c r="B1814" t="inlineStr">
        <is>
          <t>Cybersecurity (Provider-Owned Critical Information (Singapore - Row 5 &amp; 6)</t>
        </is>
      </c>
      <c r="C1814" t="inlineStr">
        <is>
          <t>1</t>
        </is>
      </c>
      <c r="D1814" s="11" t="inlineStr">
        <is>
          <t>Regulations definition and effective date</t>
        </is>
      </c>
      <c r="E1814" t="inlineStr">
        <is>
          <t>2</t>
        </is>
      </c>
      <c r="F1814" t="inlineStr">
        <is>
          <t>None</t>
        </is>
      </c>
      <c r="G1814" t="inlineStr">
        <is>
          <t>High (explicit)</t>
        </is>
      </c>
      <c r="H1814" s="11" t="inlineStr"/>
      <c r="I1814" s="11" t="inlineStr">
        <is>
          <t>Personal Information</t>
        </is>
      </c>
      <c r="J1814" t="inlineStr"/>
      <c r="K1814" s="11" t="inlineStr">
        <is>
          <t>These Regulations formally establish the Cybersecurity (Provider-Owned Critical Information Infrastructure) Regulations 2018 and specify their effective date as 31 August 2018. The regulations are subject to being repealed by subsequent legislation effective from 31 October 2025.</t>
        </is>
      </c>
      <c r="L1814" s="11" t="inlineStr"/>
      <c r="M1814" s="11" t="inlineStr">
        <is>
          <t>• [Must] These Regulations are the Cybersecurity (Provider-Owned Critical Information Infrastructure) Regulations 2018</t>
        </is>
      </c>
      <c r="N1814" s="11" t="inlineStr">
        <is>
          <t>• [Must] These Regulations come into operation on 31 August 2018</t>
        </is>
      </c>
      <c r="O1814" s="11" t="inlineStr">
        <is>
          <t>These Regulations are the Cybersecurity (Provider-Owned Critical Information Infrastructure) Regulations 2018 and come into operation on 31 August 2018.</t>
        </is>
      </c>
      <c r="P1814" s="12" t="n">
        <v>62</v>
      </c>
    </row>
    <row r="1815">
      <c r="A1815" t="inlineStr">
        <is>
          <t>Singapore</t>
        </is>
      </c>
      <c r="B1815" t="inlineStr">
        <is>
          <t>Cybersecurity (Provider-Owned Critical Information (Singapore - Row 5 &amp; 6)</t>
        </is>
      </c>
      <c r="C1815" t="inlineStr">
        <is>
          <t>2</t>
        </is>
      </c>
      <c r="D1815" s="11" t="inlineStr">
        <is>
          <t>Definitions of critical information infrastructure components</t>
        </is>
      </c>
      <c r="E1815" t="inlineStr">
        <is>
          <t>2–8</t>
        </is>
      </c>
      <c r="F1815" t="inlineStr">
        <is>
          <t>None</t>
        </is>
      </c>
      <c r="G1815" t="inlineStr">
        <is>
          <t>High (explicit)</t>
        </is>
      </c>
      <c r="H1815" s="11" t="inlineStr">
        <is>
          <t>Data Storage, Security</t>
        </is>
      </c>
      <c r="I1815" s="11" t="inlineStr">
        <is>
          <t>Personal Information</t>
        </is>
      </c>
      <c r="J1815" t="inlineStr"/>
      <c r="K1815" s="11" t="inlineStr">
        <is>
          <t>This section defines key terms related to provider-owned critical information infrastructure, including owner-controlled interconnected systems, owner-controlled non-interconnected systems, relevant computer systems, and supplier-controlled systems. It also specifies what constitutes a working day for regulatory purposes.</t>
        </is>
      </c>
      <c r="L1815" s="11" t="inlineStr"/>
      <c r="M1815" s="11" t="inlineStr">
        <is>
          <t>• [Must] 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
• [Must] owner-controlled non-interconnected computer or computer system means any computer or computer system under the control of the owner of a provider-owned critical information infrastructure, that is not the provider-owned critical information infrastructure or an owner-controlled interconnected computer or computer system
• [Must] relevant computer or computer system means — (a) a provider-owned critical information infrastructure; (b) an owner-controlled interconnected computer or computer system; (c) an owner-controlled non-interconnected computer or computer system; or (d) a supplier-controlled interconnected computer or computer system</t>
        </is>
      </c>
      <c r="N1815" s="11" t="inlineStr">
        <is>
          <t>• [Must] supplier-controlled interconnected computer or computer system means any computer or computer system under the control of a supplier to the owner of a provider-owned critical information infrastructure, that is interconnected with or that communicates with the provider-owned critical information infrastructure
• [Must] working day means any day except a Saturday, Sunday or public holiday</t>
        </is>
      </c>
      <c r="O1815" s="11" t="inlineStr">
        <is>
          <t>owner-controlled interconnected computer or computer system means any computer or computer system under the control of the owner of a provider-owned critical information infrastructure, that is interconnected with or that communicates with the provider-owned critical information infrastructure; owner-controlled non-interconnected computer or computer system means any computer or computer system under the control of the owner of a provider-owned critical information infrastructure, that is not the provider-owned critical information infrastructure or an owner-controlled interconnected computer or computer system; relevant computer or computer system means — (a) a provider-owned critical information infrastructure; (b) an owner-controlled interconnected computer or computer system; (c) an owner-controlled non-interconnected computer or computer system; or (d) a supplier-controlled interconnected computer or computer system; supplier-controlled interconnected computer or computer system means any computer or computer system under the control of a supplier to the owner of a provider-owned critical information infrastructure, that is interconnected with or that communicates with the provider-owned critical information infrastructure; working day means any day except a Saturday, Sunday or public holiday.</t>
        </is>
      </c>
      <c r="P1815" s="12" t="n">
        <v>62</v>
      </c>
    </row>
    <row r="1816">
      <c r="A1816" t="inlineStr">
        <is>
          <t>Singapore</t>
        </is>
      </c>
      <c r="B1816" t="inlineStr">
        <is>
          <t>Cybersecurity (Provider-Owned Critical Information (Singapore - Row 5 &amp; 6)</t>
        </is>
      </c>
      <c r="C1816" t="inlineStr">
        <is>
          <t>2 (part 3)</t>
        </is>
      </c>
      <c r="D1816" s="11" t="inlineStr">
        <is>
          <t>Cybersecurity risk assessment requirements for provider-owned critical information infrastructure</t>
        </is>
      </c>
      <c r="E1816" t="inlineStr">
        <is>
          <t>13–14</t>
        </is>
      </c>
      <c r="F1816" t="inlineStr">
        <is>
          <t>High</t>
        </is>
      </c>
      <c r="G1816" t="inlineStr">
        <is>
          <t>High (explicit)</t>
        </is>
      </c>
      <c r="H1816" s="11" t="inlineStr"/>
      <c r="I1816" s="11" t="inlineStr"/>
      <c r="J1816" t="inlineStr">
        <is>
          <t>Cybersecurity (Provider-Owned Critical Information) Regulations</t>
        </is>
      </c>
      <c r="K1816" s="11" t="inlineStr">
        <is>
          <t>The owner of provider-owned critical information infrastructure must complete the first cybersecurity risk assessment within six months of receiving notice under section 7(1) or (1A) of the Act. The assessment must include a description of every identified cybersecurity risk, the evaluated likelihood and consequences of each risk materializing, and the actions the owner will take for each risk. The assessment must be repeated annually thereafter, with time reckoning starting from the initial notice date if the infrastructure designation is extended.</t>
        </is>
      </c>
      <c r="L1816" s="11" t="inlineStr">
        <is>
          <t>This section mandates specific cybersecurity risk assessment content and timelines for provider-owned critical information infrastructure, directly impacting how organizations conduct risk assessments for data transfers involving critical infrastructure.</t>
        </is>
      </c>
      <c r="M1816" s="11" t="inlineStr">
        <is>
          <t>• [Must] A description of every identified cybersecurity risk to the provider-owned critical information infrastructure
• [Must] Evaluated likelihood and possible consequences of the materialisation of each identified cybersecurity risk
• [Must] Identified action that the owner of the provider-owned critical information infrastructure will take in respect of each identified cybersecurity risk</t>
        </is>
      </c>
      <c r="N1816" s="11" t="inlineStr">
        <is>
          <t>• [Must] First cybersecurity risk assessment must be completed within six months after the date of notice issued under section 7(1) or (1A) of the Act
• [Condition] Time reckoning for annual cybersecurity risk assessments starts from the date of initial notice if infrastructure designation is extended</t>
        </is>
      </c>
      <c r="O1816" s="11" t="inlineStr">
        <is>
          <t>Singapore Statutes Online: (ii) a description of every identified cybersecurity risk to the provider-owned critical information infrastructure; (iii) the evaluated likelihood and possible consequences of the materialisation of each identified cybersecurity risk; (iv) the identified action that the owner of the provider-owned critical information infrastructure will take in respect of each identified cybersecurity risk.</t>
        </is>
      </c>
      <c r="P1816" s="12" t="n">
        <v>62</v>
      </c>
    </row>
    <row r="1817">
      <c r="A1817" t="inlineStr">
        <is>
          <t>Singapore</t>
        </is>
      </c>
      <c r="B1817" t="inlineStr">
        <is>
          <t>Guidelines on Environmental Risk Management Insurers Dec 2020-2 (Singapore - Row 14)</t>
        </is>
      </c>
      <c r="C1817" t="inlineStr">
        <is>
          <t>1</t>
        </is>
      </c>
      <c r="D1817" s="11" t="inlineStr">
        <is>
          <t>Introduction to Environmental Risk Management Guidelines for Insurers</t>
        </is>
      </c>
      <c r="E1817" t="inlineStr">
        <is>
          <t>3</t>
        </is>
      </c>
      <c r="F1817" t="inlineStr">
        <is>
          <t>High</t>
        </is>
      </c>
      <c r="G1817" t="inlineStr">
        <is>
          <t>High (explicit)</t>
        </is>
      </c>
      <c r="H1817" s="11" t="inlineStr">
        <is>
          <t>Cross-border Transfer, International Processing, Data Storage, Security, Consent, Customer Information, Financial Data, KYC, AML, Governance, Record Keeping</t>
        </is>
      </c>
      <c r="I1817" s="11" t="inlineStr">
        <is>
          <t>Financial Data, Customer Data</t>
        </is>
      </c>
      <c r="J1817" t="inlineStr">
        <is>
          <t>MAS</t>
        </is>
      </c>
      <c r="K1817" s="11" t="inlineStr">
        <is>
          <t>These Guidelines aim to enhance insurance sector resilience to environmental risks through sound risk management practices. They apply to all insurers operating in Singapore under the Insurance Act, including those via foreign insurer schemes. The Guidelines cover underwriting and investment activities exposed to material environmental risks. Insurers must implement these practices proportionally to their business size and risk profile, with MAS allowing group-level application for locally-incorporated insurers.</t>
        </is>
      </c>
      <c r="L1817" s="11" t="inlineStr">
        <is>
          <t>This section establishes the scope and applicability of environmental risk management for insurers, emphasizing the need for tailored approaches based on business size and risk profile. It clarifies that the Guidelines apply to underwriting and investment activities with material environmental exposure.</t>
        </is>
      </c>
      <c r="M1817" s="11" t="inlineStr">
        <is>
          <t>• [Must] Guidelines apply to all insurers, including those under foreign insurer schemes in Singapore
• [Must] Guidelines apply to underwriting and investment activities with material environmental risk exposure</t>
        </is>
      </c>
      <c r="N1817" s="11" t="inlineStr">
        <is>
          <t>• [Must] Insurers must implement guidelines proportionally to business size and risk profile
• [May] Group-level application allowed for locally-incorporated insurers</t>
        </is>
      </c>
      <c r="O1817" s="11" t="inlineStr">
        <is>
          <t>These Guidelines aim to enhance the insurance sector's resilience to and management of environmental risk through setting out sound risk management practices. The Guidelines apply to all insurers, including insurers carrying on business in Singapore under a foreign insurer scheme established under Part IIA of the Insurance Act (Cap. 142).</t>
        </is>
      </c>
      <c r="P1817" s="12" t="n">
        <v>63</v>
      </c>
    </row>
    <row r="1818">
      <c r="A1818" t="inlineStr">
        <is>
          <t>Singapore</t>
        </is>
      </c>
      <c r="B1818" t="inlineStr">
        <is>
          <t>Guidelines on Environmental Risk Management Insurers Dec 2020-2 (Singapore - Row 14)</t>
        </is>
      </c>
      <c r="C1818" t="inlineStr">
        <is>
          <t>2</t>
        </is>
      </c>
      <c r="D1818" s="11" t="inlineStr">
        <is>
          <t>Scope of Environmental Risk for Insurers</t>
        </is>
      </c>
      <c r="E1818" t="inlineStr">
        <is>
          <t>3–5</t>
        </is>
      </c>
      <c r="F1818" t="inlineStr">
        <is>
          <t>High</t>
        </is>
      </c>
      <c r="G1818" t="inlineStr">
        <is>
          <t>High (explicit)</t>
        </is>
      </c>
      <c r="H1818" s="11" t="inlineStr">
        <is>
          <t>Cross-border Transfer, International Processing, Data Storage, Security, Consent, Customer Information, Financial Data, KYC, AML, Governance, Record Keeping</t>
        </is>
      </c>
      <c r="I1818" s="11" t="inlineStr">
        <is>
          <t>Financial Data, Customer Data</t>
        </is>
      </c>
      <c r="J1818" t="inlineStr"/>
      <c r="K1818" s="11" t="inlineStr">
        <is>
          <t>Environmental risk encompasses climate change, biodiversity loss, pollution, and land use changes. These risks pose financial and reputational threats through physical and transition channels. Physical risks involve weather events and long-term environmental changes, while transition risks relate to policy shifts and technological changes. Insurers must assess how these risks impact their specific business models and customer profiles.</t>
        </is>
      </c>
      <c r="L1818" s="11" t="inlineStr">
        <is>
          <t>This section defines environmental risks relevant to insurers, emphasizing physical and transition risks that can affect financial stability. It highlights the need for insurers to evaluate their specific exposure to climate-related and biodiversity risks.</t>
        </is>
      </c>
      <c r="M1818" s="11" t="inlineStr">
        <is>
          <t>• [Must] Environmental risk includes climate change, biodiversity loss, pollution, and land use changes
• [Must] Physical risk arises from weather events and long-term environmental changes</t>
        </is>
      </c>
      <c r="N1818" s="11" t="inlineStr">
        <is>
          <t>• [Must] Transition risk arises from adjustments to environmentally sustainable economies
• [Must] Environmental risks impact insurers through financial and reputational channels</t>
        </is>
      </c>
      <c r="O1818" s="11" t="inlineStr">
        <is>
          <t>Environmental risk arises from the potential adverse impact of changes in the environment on economic activities and human well-being.</t>
        </is>
      </c>
      <c r="P1818" s="12" t="n">
        <v>63</v>
      </c>
    </row>
    <row r="1819">
      <c r="A1819" t="inlineStr">
        <is>
          <t>Singapore</t>
        </is>
      </c>
      <c r="B1819" t="inlineStr">
        <is>
          <t>Guidelines on Environmental Risk Management Insurers Dec 2020-2 (Singapore - Row 14)</t>
        </is>
      </c>
      <c r="C1819" t="inlineStr">
        <is>
          <t>3</t>
        </is>
      </c>
      <c r="D1819" s="11" t="inlineStr">
        <is>
          <t>Governance and Strategic Oversight for Environmental Risk</t>
        </is>
      </c>
      <c r="E1819" t="inlineStr">
        <is>
          <t>5–7</t>
        </is>
      </c>
      <c r="F1819" t="inlineStr">
        <is>
          <t>High</t>
        </is>
      </c>
      <c r="G1819" t="inlineStr">
        <is>
          <t>High (explicit)</t>
        </is>
      </c>
      <c r="H1819" s="11" t="inlineStr">
        <is>
          <t>Cross-border Transfer, International Processing, Data Storage, Security, Consent, Customer Information, Financial Data, KYC, AML, Governance, Record Keeping</t>
        </is>
      </c>
      <c r="I1819" s="11" t="inlineStr">
        <is>
          <t>Financial Data, Customer Data</t>
        </is>
      </c>
      <c r="J1819" t="inlineStr">
        <is>
          <t>MAS</t>
        </is>
      </c>
      <c r="K1819" s="11" t="inlineStr">
        <is>
          <t>The Board and senior management must integrate environmental risk into business strategies and risk appetite frameworks. They are responsible for approving environmental risk management frameworks, ensuring material risks are addressed in risk appetite, and establishing clear roles for oversight. Insurers must maintain effective oversight of environmental risk disclosures and ensure directors understand environmental risks.</t>
        </is>
      </c>
      <c r="L1819" s="11" t="inlineStr">
        <is>
          <t>This section mandates strong governance for environmental risk, requiring Board-level oversight and integration into risk appetite frameworks. It emphasizes the need for insurers to have clear accountability structures for managing environmental risks.</t>
        </is>
      </c>
      <c r="M1819" s="11" t="inlineStr">
        <is>
          <t>• [Must] Board and senior management must incorporate environmental considerations into risk appetite and business plans
• [Must] Board must approve environmental risk management framework and policies
• [Must] Board must ensure environmental risk is addressed in risk appetite framework</t>
        </is>
      </c>
      <c r="N1819" s="11" t="inlineStr">
        <is>
          <t>• [Must] Board must set clear roles and responsibilities for environmental risk oversight
• [Must] Senior management must develop and implement environmental risk management framework
• [Must] Senior management must review effectiveness of environmental risk framework regularly</t>
        </is>
      </c>
      <c r="O1819" s="11" t="inlineStr">
        <is>
          <t>The Board of Directors (</t>
        </is>
      </c>
      <c r="P1819" s="12" t="n">
        <v>63</v>
      </c>
    </row>
    <row r="1820">
      <c r="A1820" t="inlineStr">
        <is>
          <t>Singapore</t>
        </is>
      </c>
      <c r="B1820" t="inlineStr">
        <is>
          <t>Guidelines on Environmental Risk Management Insurers Dec 2020-2 (Singapore - Row 14)</t>
        </is>
      </c>
      <c r="C1820" t="inlineStr">
        <is>
          <t>5</t>
        </is>
      </c>
      <c r="D1820" s="11" t="inlineStr">
        <is>
          <t>Integrating environmental risk into underwriting processes</t>
        </is>
      </c>
      <c r="E1820" t="inlineStr">
        <is>
          <t>9–11</t>
        </is>
      </c>
      <c r="F1820" t="inlineStr">
        <is>
          <t>High</t>
        </is>
      </c>
      <c r="G1820" t="inlineStr">
        <is>
          <t>High (explicit)</t>
        </is>
      </c>
      <c r="H1820" s="11" t="inlineStr"/>
      <c r="I1820" s="11" t="inlineStr">
        <is>
          <t>Financial Data</t>
        </is>
      </c>
      <c r="J1820" t="inlineStr"/>
      <c r="K1820" s="11" t="inlineStr">
        <is>
          <t>Underwriters must use external and proprietary sources to evaluate environmental impacts of transactions and collaborate with experts to improve data quality. Insurers must develop internal guidance for environmental risk detection and escalation, embedding these processes within their underwriting policies. Environmental risk appetite and procedures may require customization to align with existing risk management frameworks.</t>
        </is>
      </c>
      <c r="L1820" s="11" t="inlineStr">
        <is>
          <t>Requires insurers to assess environmental risks during underwriting, including customer's risk management capacity and climate transition impacts, which affects cross-border data transfers if environmental risk assessments involve international data flows.</t>
        </is>
      </c>
      <c r="M1820" s="11" t="inlineStr">
        <is>
          <t>• [Must] Underwriters should check potential environmental impact of transactions using publicly available and proprietary sources
• [Must] Insurers should develop internal guidance for environmental risk detection and escalation</t>
        </is>
      </c>
      <c r="N1820" s="11" t="inlineStr">
        <is>
          <t>• [May] Environmental risk appetite and processes may require greater customisation to fit existing risk management processes</t>
        </is>
      </c>
      <c r="O1820" s="11" t="inlineStr">
        <is>
          <t>Underwriters should be provided with the means to check the potential impact of the proposed transaction on the environment, from both publicly available and proprietary sources, and work with external experts to enhance the quality of data collected to better understand a customer's environmental risk profile.</t>
        </is>
      </c>
      <c r="P1820" s="12" t="n">
        <v>63</v>
      </c>
    </row>
    <row r="1821">
      <c r="A1821" t="inlineStr">
        <is>
          <t>Singapore</t>
        </is>
      </c>
      <c r="B1821" t="inlineStr">
        <is>
          <t>Guidelines on Environmental Risk Management Insurers Dec 2020-2 (Singapore - Row 14)</t>
        </is>
      </c>
      <c r="C1821" t="inlineStr">
        <is>
          <t>6</t>
        </is>
      </c>
      <c r="D1821" s="11" t="inlineStr">
        <is>
          <t>Ongoing environmental risk monitoring for investments</t>
        </is>
      </c>
      <c r="E1821" t="inlineStr">
        <is>
          <t>11–12</t>
        </is>
      </c>
      <c r="F1821" t="inlineStr">
        <is>
          <t>High</t>
        </is>
      </c>
      <c r="G1821" t="inlineStr">
        <is>
          <t>High (explicit)</t>
        </is>
      </c>
      <c r="H1821" s="11" t="inlineStr"/>
      <c r="I1821" s="11" t="inlineStr">
        <is>
          <t>Financial Data</t>
        </is>
      </c>
      <c r="J1821" t="inlineStr"/>
      <c r="K1821" s="11" t="inlineStr">
        <is>
          <t>Insurers must continuously monitor environmental risks across investments and portfolios, using both macro and granular approaches. They should track environmental impacts, develop metrics for risk assessment, and reassess investments following significant environmental events or regulatory changes. Insurers must document and escalate material environmental risks through internal processes.</t>
        </is>
      </c>
      <c r="L1821" s="11" t="inlineStr">
        <is>
          <t>Mandates continuous environmental risk monitoring for investment portfolios, which impacts data transfers if environmental risk assessments require cross-border data flows or international climate data.</t>
        </is>
      </c>
      <c r="M1821" s="11" t="inlineStr">
        <is>
          <t>• [Must] Insurers should monitor potential and actual environmental impact on investments and portfolios on an ongoing basis
• [Should] Insurers should consider environmental impacts from both macro and granular asset selection perspectives
• [Should] Insurers should develop metrics to indicate environmental risk in investment portfolios
• [Should] Insurers should monitor evolution of environmental risk metrics to assess effectiveness of actions</t>
        </is>
      </c>
      <c r="N1821" s="11" t="inlineStr">
        <is>
          <t>• [May] Insurers may use proprietary information, research, models, and ratings to inform portfolio analysis
• [Should] Insurers should reassess risk and return profiles following significant environmental events or regulatory changes
• [Must] Insurers must escalate material environmental risk exposures through internal processes</t>
        </is>
      </c>
      <c r="O1821" s="11" t="inlineStr">
        <is>
          <t>Insurers should put in place appropriate processes and systems to monitor, assess and manage the potential and actual impact of environmental risk on individual investments and portfolios on an ongoing basis, where material.</t>
        </is>
      </c>
      <c r="P1821" s="12" t="n">
        <v>63</v>
      </c>
    </row>
    <row r="1822">
      <c r="A1822" t="inlineStr">
        <is>
          <t>Singapore</t>
        </is>
      </c>
      <c r="B1822" t="inlineStr">
        <is>
          <t>Guidelines on Environmental Risk Management Insurers Dec 2020-2 (Singapore - Row 14)</t>
        </is>
      </c>
      <c r="C1822" t="inlineStr">
        <is>
          <t>7</t>
        </is>
      </c>
      <c r="D1822" s="11" t="inlineStr">
        <is>
          <t>Environmental risk disclosure requirements</t>
        </is>
      </c>
      <c r="E1822" t="inlineStr">
        <is>
          <t>12–13</t>
        </is>
      </c>
      <c r="F1822" t="inlineStr">
        <is>
          <t>High</t>
        </is>
      </c>
      <c r="G1822" t="inlineStr">
        <is>
          <t>High (explicit)</t>
        </is>
      </c>
      <c r="H1822" s="11" t="inlineStr"/>
      <c r="I1822" s="11" t="inlineStr">
        <is>
          <t>Financial Data</t>
        </is>
      </c>
      <c r="J1822" t="inlineStr"/>
      <c r="K1822" s="11" t="inlineStr">
        <is>
          <t>Insurers must disclose their environmental risk management approach annually to stakeholders, including quantitative metrics on sectoral exposures. Disclosures should align with international frameworks like TCFD, covering governance, strategy, risk management, and metrics. Insurers must review disclosures regularly to ensure comprehensiveness and relevance.</t>
        </is>
      </c>
      <c r="L1822" s="11" t="inlineStr">
        <is>
          <t>Requires insurers to disclose environmental risk management practices, which may involve cross-border data transfers if disclosures include international climate data or financial metrics.</t>
        </is>
      </c>
      <c r="M1822" s="11" t="inlineStr">
        <is>
          <t>• [Must] Insurers should disclose environmental risk management approach annually to stakeholders
• [Must] Disclosures should include potential impact of material environmental risk on the insurer</t>
        </is>
      </c>
      <c r="N1822" s="11" t="inlineStr">
        <is>
          <t>• [Must] Disclosures should align with TCFD recommendations on governance, strategy, risk management, and metrics
• [Should] Insurers should review disclosures regularly to improve comprehensiveness and relevance</t>
        </is>
      </c>
      <c r="O1822" s="11" t="inlineStr">
        <is>
          <t>The insurer should, at least on an annual basis, disclose its approach to managing environmental risk in a manner that is clear and meaningful to its stakeholders.</t>
        </is>
      </c>
      <c r="P1822" s="12" t="n">
        <v>63</v>
      </c>
    </row>
    <row r="1823">
      <c r="A1823" t="inlineStr">
        <is>
          <t>Singapore</t>
        </is>
      </c>
      <c r="B1823" t="inlineStr">
        <is>
          <t>ID18_24 (Singapore - Row 12)</t>
        </is>
      </c>
      <c r="C1823" t="inlineStr">
        <is>
          <t>p1</t>
        </is>
      </c>
      <c r="D1823" s="11" t="inlineStr">
        <is>
          <t>MAS publishes AI model risk management information paper for insurers</t>
        </is>
      </c>
      <c r="E1823" t="inlineStr">
        <is>
          <t>1</t>
        </is>
      </c>
      <c r="F1823" t="inlineStr">
        <is>
          <t>High</t>
        </is>
      </c>
      <c r="G1823" t="inlineStr">
        <is>
          <t>High (explicit)</t>
        </is>
      </c>
      <c r="H1823" s="11" t="inlineStr">
        <is>
          <t>Governance</t>
        </is>
      </c>
      <c r="I1823" s="11" t="inlineStr">
        <is>
          <t>Customer Data</t>
        </is>
      </c>
      <c r="J1823" t="inlineStr">
        <is>
          <t>Monetary Authority of Singapore (MAS)</t>
        </is>
      </c>
      <c r="K1823" s="11" t="inlineStr">
        <is>
          <t>The Monetary Authority of Singapore (MAS) released an information paper outlining good practices for AI model risk management, specifically targeting licensed insurers and Lloyd's Asia Scheme members. The paper focuses on governance, oversight, risk management systems, and AI development/deployment practices observed during a thematic review of financial institutions' AI practices in mid-2024. MAS encourages financial institutions to adopt these practices when developing and deploying AI systems.</t>
        </is>
      </c>
      <c r="L1823" s="11" t="inlineStr">
        <is>
          <t>This information paper provides guidance on AI model risk management practices relevant to data processing activities involving AI systems, which may impact data transfer considerations when deploying AI models across borders.</t>
        </is>
      </c>
      <c r="M1823" s="11" t="inlineStr">
        <is>
          <t>• [Must] MAS published an information paper on AI model risk management for licensed insurers and Lloyd's Asia Scheme
• [Must] The information paper focuses on governance and oversight of AI model risk management</t>
        </is>
      </c>
      <c r="N1823" s="11" t="inlineStr">
        <is>
          <t>• [Must] The information paper covers key risk management systems and processes for AI development and deployment
• [Must] MAS encourages financial institutions to reference these good practices when developing and deploying AI</t>
        </is>
      </c>
      <c r="O1823" s="11" t="inlineStr">
        <is>
          <t>Circular No: ID 18/24
5 December 2024
To Chief Executives
All Licensed Insurers and Lloyd's Asia Scheme
MAS has published an information paper on "Artificial Intelligence (AI) Model Risk Management"</t>
        </is>
      </c>
      <c r="P1823" s="12" t="n">
        <v>64</v>
      </c>
    </row>
    <row r="1824">
      <c r="A1824" t="inlineStr">
        <is>
          <t>Singapore</t>
        </is>
      </c>
      <c r="B1824" t="inlineStr">
        <is>
          <t>ID18_24-2 (Singapore - Row 21)</t>
        </is>
      </c>
      <c r="C1824" t="inlineStr">
        <is>
          <t>p1</t>
        </is>
      </c>
      <c r="D1824" s="11" t="inlineStr">
        <is>
          <t>MAS publishes AI model risk management information paper for insurers</t>
        </is>
      </c>
      <c r="E1824" t="inlineStr">
        <is>
          <t>1</t>
        </is>
      </c>
      <c r="F1824" t="inlineStr">
        <is>
          <t>High</t>
        </is>
      </c>
      <c r="G1824" t="inlineStr">
        <is>
          <t>High (explicit)</t>
        </is>
      </c>
      <c r="H1824" s="11" t="inlineStr">
        <is>
          <t>Governance</t>
        </is>
      </c>
      <c r="I1824" s="11" t="inlineStr">
        <is>
          <t>Financial Data</t>
        </is>
      </c>
      <c r="J1824" t="inlineStr">
        <is>
          <t>Monetary Authority of Singapore (MAS)</t>
        </is>
      </c>
      <c r="K1824" s="11" t="inlineStr">
        <is>
          <t>The Monetary Authority of Singapore (MAS) released an information paper outlining good practices for AI model risk management, specifically targeting licensed insurers and Lloyd's Asia Scheme members. The paper focuses on governance, oversight, risk management systems, and AI development/deployment practices observed during a thematic review of financial institutions' AI practices in mid-2024. MAS encourages financial institutions to adopt these practices when implementing AI systems.</t>
        </is>
      </c>
      <c r="L1824" s="11" t="inlineStr">
        <is>
          <t>This section provides guidance on AI model risk management practices relevant to financial institutions, which may impact data transfer considerations when deploying AI systems across borders.</t>
        </is>
      </c>
      <c r="M1824" s="11" t="inlineStr">
        <is>
          <t>• [Must] MAS published an information paper on AI model risk management for licensed insurers and Lloyd's Asia Scheme
• [Must] The information paper focuses on governance and oversight, key risk management systems, and AI development/deployment practices</t>
        </is>
      </c>
      <c r="N1824" s="11" t="inlineStr">
        <is>
          <t>• [Should] MAS encourages financial institutions to reference these good practices when developing and deploying AI</t>
        </is>
      </c>
      <c r="O1824" s="11" t="inlineStr">
        <is>
          <t>Circular No: ID 18/24
5 December 2024
To Chief Executives
All Licensed Insurers and Lloyd's Asia Scheme</t>
        </is>
      </c>
      <c r="P1824" s="12" t="n">
        <v>65</v>
      </c>
    </row>
    <row r="1825">
      <c r="A1825" t="inlineStr">
        <is>
          <t>Singapore</t>
        </is>
      </c>
      <c r="B1825" t="inlineStr">
        <is>
          <t>MAS Notice FSM-N21 (Singapore - Row 32)</t>
        </is>
      </c>
      <c r="C1825" t="inlineStr">
        <is>
          <t>1</t>
        </is>
      </c>
      <c r="D1825" s="11" t="inlineStr">
        <is>
          <t>Scope of Financial Services Act 2022 Compliance</t>
        </is>
      </c>
      <c r="E1825" t="inlineStr">
        <is>
          <t>1</t>
        </is>
      </c>
      <c r="F1825" t="inlineStr">
        <is>
          <t>High</t>
        </is>
      </c>
      <c r="G1825" t="inlineStr">
        <is>
          <t>High (explicit)</t>
        </is>
      </c>
      <c r="H1825" s="11" t="inlineStr">
        <is>
          <t>Financial Data, Customer Information, Employee Information, Special Personal Information</t>
        </is>
      </c>
      <c r="I1825" s="11" t="inlineStr">
        <is>
          <t>Financial Data, Customer Data</t>
        </is>
      </c>
      <c r="J1825" t="inlineStr"/>
      <c r="K1825" s="11" t="inlineStr">
        <is>
          <t>This section defines which financial institutions are subject to the Notice. It specifies that approved exchanges, licensed trade repositories, approved clearing houses, recognised clearing houses, capital markets services license holders, recognised market operators, trustees for collective investment schemes, authorised benchmark administrators, and authorised benchmark submitters under the Securities and Futures Act 2001 are covered. The Notice applies to these entities as 'specified financial institutions'.</t>
        </is>
      </c>
      <c r="L1825" s="11" t="inlineStr"/>
      <c r="M1825" s="11" t="inlineStr">
        <is>
          <t>• [Must] Approved exchanges under Securities and Futures Act 2001 are covered
• [Must] Licensed trade repositories under Securities and Futures Act 2001 are covered
• [Must] Approved clearing houses under Securities and Futures Act 2001 are covered
• [Must] Recognised clearing houses incorporated in Singapore are covered
• [Must] Holders of capital markets services licences under Securities and Futures Act 2001 are covered
• [Must] Recognised market operators incorporated in Singapore are covered</t>
        </is>
      </c>
      <c r="N1825" s="11" t="inlineStr">
        <is>
          <t>• [Must] Trustees for collective investment schemes authorised under section 286 of Securities and Futures Act 2001 are covered
• [Must] Authorised benchmark administrators under Securities and Futures Act 2001 are covered
• [Must] Authorised benchmark submitters under Securities and Futures Act 2001 are covered
• [Must] Designated benchmark submitters under Securities and Futures Act 2001 are covered
• [Must] Depository as defined in section 81SF of Securities and Futures Act 2001 is covered</t>
        </is>
      </c>
      <c r="O1825" s="11" t="inlineStr">
        <is>
          <t>This Notice is issued pursuant to section 29(1) of the Financial Services and Markets Act 2022 (the "Act") and applies to all the following financial institutions: (a) approved exchanges under the Securities and Futures Act 2001 ("SFA"); (b) licensed trade repositories under the SFA; (c) approved clearing houses under the SFA; (d) recognised clearing houses under the SFA which are incorporated in Singapore; (e) holders of a capital markets services licence under the SFA; (f) recognised market operators under the SFA which are incorporated in Singapore; (g) trustees for a collective investment scheme authorised under section 286 of the SFA, that are approved under the SFA; (h) authorised benchmark administrators under the SFA; (i) authorised benchmark submitters under the SFA; (j) designated benchmark submitters under the SFA; (k) the Depository as defined in section 81SF of the SFA, (each a "specified financial institution").</t>
        </is>
      </c>
      <c r="P1825" s="12" t="n">
        <v>66</v>
      </c>
    </row>
    <row r="1826">
      <c r="A1826" t="inlineStr">
        <is>
          <t>Singapore</t>
        </is>
      </c>
      <c r="B1826" t="inlineStr">
        <is>
          <t>MAS Notice FSM-N21 (Singapore - Row 32)</t>
        </is>
      </c>
      <c r="C1826" t="inlineStr">
        <is>
          <t>2</t>
        </is>
      </c>
      <c r="D1826" s="11" t="inlineStr">
        <is>
          <t>Critical Systems and Incident Definitions</t>
        </is>
      </c>
      <c r="E1826" t="inlineStr">
        <is>
          <t>1–2</t>
        </is>
      </c>
      <c r="F1826" t="inlineStr">
        <is>
          <t>High</t>
        </is>
      </c>
      <c r="G1826" t="inlineStr">
        <is>
          <t>High (explicit)</t>
        </is>
      </c>
      <c r="H1826" s="11" t="inlineStr">
        <is>
          <t>Incident Reporting, Breach Notification</t>
        </is>
      </c>
      <c r="I1826" s="11" t="inlineStr">
        <is>
          <t>Financial Data</t>
        </is>
      </c>
      <c r="J1826" t="inlineStr"/>
      <c r="K1826" s="11" t="inlineStr">
        <is>
          <t>This section provides definitions for key terms used in the Notice. It defines 'critical system' as a system whose failure causes significant disruption or impacts customer services, 'customer' for different financial institution types, 'IT security incident' as a security breach affecting critical systems, 'relevant incident' as a severe system malfunction or security incident, 'system' as IT infrastructure components, and 'system malfunction' as failure of critical systems.</t>
        </is>
      </c>
      <c r="L1826" s="11" t="inlineStr"/>
      <c r="M1826" s="11" t="inlineStr">
        <is>
          <t>• [Must] Critical system means a system whose failure causes significant disruption to operations or materially impacts customer service
• [Must] Customer has specific meanings for capital markets services license holders and approved/recognised clearing houses
• [Must] IT security incident means an event involving security breach, hacking, intrusion, or denial of service attack on critical systems</t>
        </is>
      </c>
      <c r="N1826" s="11" t="inlineStr">
        <is>
          <t>• [Must] Relevant incident means a system malfunction or IT security incident with severe and widespread impact
• [Must] System means any hardware, software, network, or IT component part of IT infrastructure
• [Must] System malfunction means failure of critical systems</t>
        </is>
      </c>
      <c r="O1826" s="11" t="inlineStr">
        <is>
          <t>For the purpose of this Notice — "critical system" in relation to a specified financial institution, means a system, the failure of which will cause significant disruption to the operations of the specified financial institution or materially impact the specified financial institution's service to its customers, such as a system which — (a) processes transactions that are time critical; or (b) provides essential services to customers; "customer" – (a) in relation to a holder of a capital markets services licence, has the meaning given by paragraph (a)(i) of the definition of "customer" in section 2(1) of the SFA; and (b) in relation to an approved clearing house or a recognised clearing house, has the meaning given by paragraph (b) of the definition of "customer" in section 2(1) of the SFA; "IT security incident" means an event that involves a security breach, such as hacking of, intrusion into, or denial of service attack on, a critical system, or a system which compromises the security, integrity or confidentiality of customer information; "relevant incident" means a system malfunction or IT security incident, which has a severe and widespread impact on the specified financial institution's operations or materially impacts the specified financial institution's service to its customers; "system" means any hardware, software, network, or other information technology ("IT") component which is part of an IT infrastructure; and "system malfunction" means a failure of any of the specified financial institution's critical systems.</t>
        </is>
      </c>
      <c r="P1826" s="12" t="n">
        <v>66</v>
      </c>
    </row>
    <row r="1827">
      <c r="A1827" t="inlineStr">
        <is>
          <t>Singapore</t>
        </is>
      </c>
      <c r="B1827" t="inlineStr">
        <is>
          <t>MAS Notice FSM-N21 (Singapore - Row 32)</t>
        </is>
      </c>
      <c r="C1827" t="inlineStr">
        <is>
          <t>3</t>
        </is>
      </c>
      <c r="D1827" s="11" t="inlineStr">
        <is>
          <t>Default Definitions</t>
        </is>
      </c>
      <c r="E1827" t="inlineStr">
        <is>
          <t>2</t>
        </is>
      </c>
      <c r="F1827" t="inlineStr">
        <is>
          <t>High</t>
        </is>
      </c>
      <c r="G1827" t="inlineStr">
        <is>
          <t>High (explicit)</t>
        </is>
      </c>
      <c r="H1827" s="11" t="inlineStr"/>
      <c r="I1827" s="11" t="inlineStr"/>
      <c r="J1827" t="inlineStr"/>
      <c r="K1827" s="11" t="inlineStr">
        <is>
          <t>This section states that all expressions in the Notice have the same meanings as in the Financial Services and Markets Act 2022 unless defined otherwise in the Notice. It serves as a default reference point for terminology consistency across the document.</t>
        </is>
      </c>
      <c r="L1827" s="11" t="inlineStr"/>
      <c r="M1827" s="11" t="inlineStr">
        <is>
          <t>• [Must] All expressions in this Notice have the same meanings as in the Act unless defined otherwise</t>
        </is>
      </c>
      <c r="N1827" s="11" t="inlineStr"/>
      <c r="O1827" s="11" t="inlineStr">
        <is>
          <t>Except where defined in this Notice or if the context otherwise requires, the expressions used in this Notice have the same meanings as in the Act.</t>
        </is>
      </c>
      <c r="P1827" s="12" t="n">
        <v>66</v>
      </c>
    </row>
    <row r="1828">
      <c r="A1828" t="inlineStr">
        <is>
          <t>Singapore</t>
        </is>
      </c>
      <c r="B1828" t="inlineStr">
        <is>
          <t>MAS Notice FSM-N21 (Singapore - Row 32)</t>
        </is>
      </c>
      <c r="C1828" t="inlineStr">
        <is>
          <t>5</t>
        </is>
      </c>
      <c r="D1828" s="11" t="inlineStr">
        <is>
          <t>Critical System Availability Requirements</t>
        </is>
      </c>
      <c r="E1828" t="inlineStr">
        <is>
          <t>2–3</t>
        </is>
      </c>
      <c r="F1828" t="inlineStr">
        <is>
          <t>High</t>
        </is>
      </c>
      <c r="G1828" t="inlineStr">
        <is>
          <t>High (explicit)</t>
        </is>
      </c>
      <c r="H1828" s="11" t="inlineStr"/>
      <c r="I1828" s="11" t="inlineStr">
        <is>
          <t>Financial Data</t>
        </is>
      </c>
      <c r="J1828" t="inlineStr"/>
      <c r="K1828" s="11" t="inlineStr">
        <is>
          <t>This section mandates that specified financial institutions must maintain high availability for critical systems. It requires that the maximum unscheduled downtime for critical systems affecting operations or customer service does not exceed 4 hours within any 12-month period. It also requires establishing a recovery time objective (RTO) of not more than 4 hours for each critical system and validating and documenting system recovery testing at least once every 12 months.</t>
        </is>
      </c>
      <c r="L1828" s="11" t="inlineStr">
        <is>
          <t>This section imposes strict uptime requirements for critical systems, directly impacting data storage and system availability during cross-border data transfers for financial institutions.</t>
        </is>
      </c>
      <c r="M1828" s="11" t="inlineStr">
        <is>
          <t>• [Must] Must maintain high availability for critical systems
• [Must] Maximum unscheduled downtime for critical systems affecting operations or customer service must not exceed 4 hours within any 12-month period</t>
        </is>
      </c>
      <c r="N1828" s="11" t="inlineStr">
        <is>
          <t>• [Must] Must establish a recovery time objective (RTO) of not more than 4 hours for each critical system
• [Must] Must validate and document system recovery testing at least once every 12 months</t>
        </is>
      </c>
      <c r="O1828" s="11" t="inlineStr">
        <is>
          <t>A specified financial institution must make all reasonable effort to maintain high availability for critical systems. The specified financial institution must ensure that the maximum unscheduled downtime for each critical system that affects the specified financial institution's operations or service to its customers does not exceed a total of 4 hours within any period of 12 months. A specified financial institution must establish a recovery time objective ("RTO") of not more than 4 hours for each critical system. The RTO is the duration of time, from the point of disruption, within which a system must be restored. The specified financial institution must validate and document at least once every 12 months, how it performs its system recovery testing and when the RTO is validated during the system recovery testing.</t>
        </is>
      </c>
      <c r="P1828" s="12" t="n">
        <v>66</v>
      </c>
    </row>
    <row r="1829">
      <c r="A1829" t="inlineStr">
        <is>
          <t>Singapore</t>
        </is>
      </c>
      <c r="B1829" t="inlineStr">
        <is>
          <t>MAS Notice FSM-N21 (Singapore - Row 32)</t>
        </is>
      </c>
      <c r="C1829" t="inlineStr">
        <is>
          <t>7</t>
        </is>
      </c>
      <c r="D1829" s="11" t="inlineStr">
        <is>
          <t>Relevant Incident Notification</t>
        </is>
      </c>
      <c r="E1829" t="inlineStr">
        <is>
          <t>3</t>
        </is>
      </c>
      <c r="F1829" t="inlineStr">
        <is>
          <t>High</t>
        </is>
      </c>
      <c r="G1829" t="inlineStr">
        <is>
          <t>High (explicit)</t>
        </is>
      </c>
      <c r="H1829" s="11" t="inlineStr">
        <is>
          <t>Incident Reporting, Breach Notification</t>
        </is>
      </c>
      <c r="I1829" s="11" t="inlineStr">
        <is>
          <t>Financial Data</t>
        </is>
      </c>
      <c r="J1829" t="inlineStr">
        <is>
          <t>MAS</t>
        </is>
      </c>
      <c r="K1829" s="11" t="inlineStr">
        <is>
          <t>This section requires specified financial institutions to notify the MAS Authority within 1 hour upon discovering a relevant incident, except for incidents arising from specific circumstances outlined in certain regulations. The notification must be made as soon as possible but no later than 1 hour after discovery.</t>
        </is>
      </c>
      <c r="L1829" s="11" t="inlineStr">
        <is>
          <t>This section mandates immediate notification of system incidents to MAS, which impacts data breach response timelines and cross-border incident reporting for financial data.</t>
        </is>
      </c>
      <c r="M1829" s="11" t="inlineStr">
        <is>
          <t>• [Must] Must notify MAS Authority within 1 hour upon discovery of relevant incident</t>
        </is>
      </c>
      <c r="N1829" s="11" t="inlineStr">
        <is>
          <t>• [Must Not] Exclusions: relevant incidents arising from circumstances in regulations 8(2)(a) and (b), and 21(d) of the Markets Regulations, regulation 9(1) of the Trade Repositories Regulations, regulation 11(1) of the Clearing Facilities Regulations, and regulations 11(1)(e) and 19(2)(b) of the Financial Benchmarks Regulations</t>
        </is>
      </c>
      <c r="O1829" s="11" t="inlineStr">
        <is>
          <t>A specified financial institution must notify the Authority as soon as possible, but not later than 1 hour, upon the discovery of a relevant incident, other than a relevant incident arising from the circumstances set out in regulations 8(2)(a) and (b), and 21(d) of the Securities and Futures (Organised Markets) Regulations 2018 ("Markets Regulations"), regulation 9(1) of the Securities and Futures (Trade Repositories) Regulations 2013, regulation 11(1) of the Securities and Futures (Clearing Facilities) Regulations 2013, and regulations 11(1)(e) and 19(2)(b) of the Securities and Futures (Financial Benchmarks) Regulations 2018 ("Financial Benchmarks Regulations").</t>
        </is>
      </c>
      <c r="P1829" s="12" t="n">
        <v>66</v>
      </c>
    </row>
    <row r="1830">
      <c r="A1830" t="inlineStr">
        <is>
          <t>Singapore</t>
        </is>
      </c>
      <c r="B1830" t="inlineStr">
        <is>
          <t>MAS Notice FSM-N21 (Singapore - Row 32)</t>
        </is>
      </c>
      <c r="C1830" t="inlineStr">
        <is>
          <t>8</t>
        </is>
      </c>
      <c r="D1830" s="11" t="inlineStr">
        <is>
          <t>Root Cause Analysis Report</t>
        </is>
      </c>
      <c r="E1830" t="inlineStr">
        <is>
          <t>3</t>
        </is>
      </c>
      <c r="F1830" t="inlineStr">
        <is>
          <t>High</t>
        </is>
      </c>
      <c r="G1830" t="inlineStr">
        <is>
          <t>High (explicit)</t>
        </is>
      </c>
      <c r="H1830" s="11" t="inlineStr">
        <is>
          <t>Incident Reporting, Breach Notification</t>
        </is>
      </c>
      <c r="I1830" s="11" t="inlineStr">
        <is>
          <t>Financial Data</t>
        </is>
      </c>
      <c r="J1830" t="inlineStr">
        <is>
          <t>MAS</t>
        </is>
      </c>
      <c r="K1830" s="11" t="inlineStr">
        <is>
          <t>This section requires specified financial institutions to submit a root cause and impact analysis report to MAS within 14 days (or a longer period allowed by MAS) after discovering a relevant incident. The report must include an executive summary, root cause analysis, impact on compliance, operations, and customer service, and remedial measures taken.</t>
        </is>
      </c>
      <c r="L1830" s="11" t="inlineStr">
        <is>
          <t>This section mandates detailed incident reporting for financial data, impacting data breach response and cross-border data transfer compliance for financial institutions.</t>
        </is>
      </c>
      <c r="M1830" s="11" t="inlineStr">
        <is>
          <t>• [Must] Must submit root cause and impact analysis report to MAS within 14 days or longer period allowed by MAS
• [Must] Report must contain executive summary of relevant incident
• [Must] Report must contain analysis of root cause triggering relevant incident
• [Must] Report must describe impact on compliance with laws and regulations</t>
        </is>
      </c>
      <c r="N1830" s="11" t="inlineStr">
        <is>
          <t>• [Must] Report must describe impact on operations
• [Must] Report must describe impact on service to customers
• [Must] Report must describe remedial measures taken to address root cause</t>
        </is>
      </c>
      <c r="O1830" s="11" t="inlineStr">
        <is>
          <t>A specified financial institution must, within 14 days or such longer period as the Authority may allow, from the discovery of the relevant incident as described in paragraph 7 or a relevant incident arising from the circumstances set out in regulation 21(d) of the Markets Regulations, as the case may be, submit a root cause and impact analysis report to the Authority. The report must contain — (a) an executive summary of the relevant incident; (b) an analysis of the root cause which triggered the relevant incident; (c) a description of the impact of the relevant incident on the specified financial institution's – i. compliance with laws and regulations applicable to the specified financial institution; ii. operations; and iii. service to its customers; and (d) a description of the remedial measures taken to address the root cause and consequences of the relevant incident.</t>
        </is>
      </c>
      <c r="P1830" s="12" t="n">
        <v>66</v>
      </c>
    </row>
    <row r="1831">
      <c r="A1831" t="inlineStr">
        <is>
          <t>Singapore</t>
        </is>
      </c>
      <c r="B1831" t="inlineStr">
        <is>
          <t>MAS Notice FSM-N21 (Singapore - Row 32)</t>
        </is>
      </c>
      <c r="C1831" t="inlineStr">
        <is>
          <t>9</t>
        </is>
      </c>
      <c r="D1831" s="11" t="inlineStr">
        <is>
          <t>IT controls for customer information protection</t>
        </is>
      </c>
      <c r="E1831" t="inlineStr">
        <is>
          <t>3–4</t>
        </is>
      </c>
      <c r="F1831" t="inlineStr">
        <is>
          <t>High</t>
        </is>
      </c>
      <c r="G1831" t="inlineStr">
        <is>
          <t>High (explicit)</t>
        </is>
      </c>
      <c r="H1831" s="11" t="inlineStr">
        <is>
          <t>Security</t>
        </is>
      </c>
      <c r="I1831" s="11" t="inlineStr">
        <is>
          <t>Customer Data</t>
        </is>
      </c>
      <c r="J1831" t="inlineStr"/>
      <c r="K1831" s="11" t="inlineStr">
        <is>
          <t>A specified financial institution must implement IT controls to prevent unauthorised access or disclosure of customer information. These controls are required to safeguard customer data. The obligation applies to financial institutions operating under this notice.</t>
        </is>
      </c>
      <c r="L1831" s="11" t="inlineStr">
        <is>
          <t>This section mandates specific technical safeguards for customer data, directly impacting cross-border data transfers by requiring robust IT controls to prevent breaches.</t>
        </is>
      </c>
      <c r="M1831" s="11" t="inlineStr">
        <is>
          <t>• [Must] A specified financial institution must implement IT controls to protect customer information from unauthorised access or disclosure</t>
        </is>
      </c>
      <c r="N1831" s="11" t="inlineStr"/>
      <c r="O1831" s="11" t="inlineStr">
        <is>
          <t>A specified financial institution must implement IT controls to protect customer information from unauthorised access or disclosure.</t>
        </is>
      </c>
      <c r="P1831" s="12" t="n">
        <v>66</v>
      </c>
    </row>
    <row r="1832">
      <c r="A1832" t="inlineStr">
        <is>
          <t>Singapore</t>
        </is>
      </c>
      <c r="B1832" t="inlineStr">
        <is>
          <t>MAS Notices 644 655 644A 655A 1114 1118 Cancellation 2024 (Singapore - Row 18)</t>
        </is>
      </c>
      <c r="C1832" t="inlineStr">
        <is>
          <t>1</t>
        </is>
      </c>
      <c r="D1832" s="11" t="inlineStr">
        <is>
          <t>Notice issued under Banking Act sections</t>
        </is>
      </c>
      <c r="E1832" t="inlineStr">
        <is>
          <t>1</t>
        </is>
      </c>
      <c r="F1832" t="inlineStr">
        <is>
          <t>High</t>
        </is>
      </c>
      <c r="G1832" t="inlineStr">
        <is>
          <t>High (explicit)</t>
        </is>
      </c>
      <c r="H1832" s="11" t="inlineStr">
        <is>
          <t>Governance</t>
        </is>
      </c>
      <c r="I1832" s="11" t="inlineStr"/>
      <c r="J1832" t="inlineStr">
        <is>
          <t>MAS</t>
        </is>
      </c>
      <c r="K1832" s="11" t="inlineStr">
        <is>
          <t>This section states that the Notice is issued under specific sections of the Banking Act 1970. The notice is authorized by sections 55(1), 57D(1)(a) and (3), and 55(1) as applied by section 55ZJ(1) of the Banking Act 1970. The notice is a legal instrument that establishes its authority through these statutory provisions.</t>
        </is>
      </c>
      <c r="L1832" s="11" t="inlineStr"/>
      <c r="M1832" s="11" t="inlineStr">
        <is>
          <t>• [Authorisation] This Notice is issued under sections 55(1), 57D(1)(a) and (3) and 55(1) as applied by section 55ZJ(1) of the Banking Act 1970</t>
        </is>
      </c>
      <c r="N1832" s="11" t="inlineStr"/>
      <c r="O1832" s="11" t="inlineStr">
        <is>
          <t>This Notice is issued under sections 55(1), 57D(1)(a) and (3) and 55(1) as applied by section 55ZJ(1) of the Banking Act 1970.</t>
        </is>
      </c>
      <c r="P1832" s="12" t="n">
        <v>67</v>
      </c>
    </row>
    <row r="1833">
      <c r="A1833" t="inlineStr">
        <is>
          <t>Singapore</t>
        </is>
      </c>
      <c r="B1833" t="inlineStr">
        <is>
          <t>MAS Notices 644 655 644A 655A 1114 1118 Cancellation 2024 (Singapore - Row 18)</t>
        </is>
      </c>
      <c r="C1833" t="inlineStr">
        <is>
          <t>2</t>
        </is>
      </c>
      <c r="D1833" s="11" t="inlineStr">
        <is>
          <t>Cancellation of specific MAS Notices effective 10 May 2024</t>
        </is>
      </c>
      <c r="E1833" t="inlineStr">
        <is>
          <t>1</t>
        </is>
      </c>
      <c r="F1833" t="inlineStr">
        <is>
          <t>High</t>
        </is>
      </c>
      <c r="G1833" t="inlineStr">
        <is>
          <t>High (explicit)</t>
        </is>
      </c>
      <c r="H1833" s="11" t="inlineStr">
        <is>
          <t>Governance</t>
        </is>
      </c>
      <c r="I1833" s="11" t="inlineStr"/>
      <c r="J1833" t="inlineStr">
        <is>
          <t>MAS</t>
        </is>
      </c>
      <c r="K1833" s="11" t="inlineStr">
        <is>
          <t>This section lists six MAS Notices that are cancelled with effect from 10 May 2024. The cancelled notices include technology risk management and cyber hygiene notices from various dates. These notices are no longer in force after the specified date.</t>
        </is>
      </c>
      <c r="L1833" s="11" t="inlineStr"/>
      <c r="M1833" s="11" t="inlineStr">
        <is>
          <t>• [Authorisation] The following Notices are cancelled with effect from 10 May 2024
• [Restriction] MAS Notice 644 "Notice on Technology Risk Management" dated 21 June 2013
• [Restriction] MAS Notice 655 "Notice on Cyber Hygiene" dated 6 August 2019
• [Restriction] MAS Notice 644A "Notice on Technology Risk Management" dated 21 June 2013</t>
        </is>
      </c>
      <c r="N1833" s="11" t="inlineStr">
        <is>
          <t>• [Restriction] MAS Notice 655A "Notice on Cyber Hygiene" dated 6 August 2019
• [Restriction] MAS Notice 1114 "Notice on Technology Risk Management" dated 1 July 2021
• [Restriction] MAS Notice 1118 "Notice on Cyber Hygiene" dated 1 July 2021</t>
        </is>
      </c>
      <c r="O1833" s="11" t="inlineStr">
        <is>
          <t>The following Notices are cancelled with effect from 10 May 2024: (a) MAS Notice 644 "Notice on Technology Risk Management" dated 21 June 2013; (b) MAS Notice 655 "Notice on Cyber Hygiene" dated 6 August 2019; (c) MAS Notice 644A "Notice on Technology Risk Management" dated 21 June 2013; (d) MAS Notice 655A "Notice on Cyber Hygiene" dated 6 August 2019; (e) MAS Notice 1114 "Notice on Technology Risk Management" dated 1 July 2021; (f) MAS Notice 1118 "Notice on Cyber Hygiene" dated 1 July 2021.</t>
        </is>
      </c>
      <c r="P1833" s="12" t="n">
        <v>67</v>
      </c>
    </row>
    <row r="1834">
      <c r="A1834" t="inlineStr">
        <is>
          <t>Singapore</t>
        </is>
      </c>
      <c r="B1834" t="inlineStr">
        <is>
          <t>Personal Data Protection (Prescribed Law Enforceme (Singapore - Row 26)</t>
        </is>
      </c>
      <c r="C1834" t="inlineStr">
        <is>
          <t>1</t>
        </is>
      </c>
      <c r="D1834" s="11" t="inlineStr">
        <is>
          <t>Notification effective date and scope</t>
        </is>
      </c>
      <c r="E1834" t="inlineStr">
        <is>
          <t>1</t>
        </is>
      </c>
      <c r="F1834" t="inlineStr">
        <is>
          <t>None</t>
        </is>
      </c>
      <c r="G1834" t="inlineStr">
        <is>
          <t>High (explicit)</t>
        </is>
      </c>
      <c r="H1834" s="11" t="inlineStr"/>
      <c r="I1834" s="11" t="inlineStr"/>
      <c r="J1834" t="inlineStr"/>
      <c r="K1834" s="11" t="inlineStr">
        <is>
          <t>This section establishes the effective date and scope of the Personal Data Protection (Prescribed Law Enforcement Agency) Notification 2020, which comes into operation on 15 April 2020. It defines the Notification as the official document for prescribed law enforcement agencies under the Personal Data Protection Act. The Notification serves as the legal framework for identifying which agencies qualify as prescribed law enforcement agencies.</t>
        </is>
      </c>
      <c r="L1834" s="11" t="inlineStr"/>
      <c r="M1834" s="11" t="inlineStr">
        <is>
          <t>• [Definition] This Notification is the Personal Data Protection (Prescribed Law Enforcement Agency) Notification 2020</t>
        </is>
      </c>
      <c r="N1834" s="11" t="inlineStr">
        <is>
          <t>• [Definition] This Notification comes into operation on 15 April 2020</t>
        </is>
      </c>
      <c r="O1834" s="11" t="inlineStr">
        <is>
          <t>This Notification is the Personal Data Protection (Prescribed Law Enforcement Agency) Notification 2020 and comes into operation on 15 April 2020.</t>
        </is>
      </c>
      <c r="P1834" s="12" t="n">
        <v>68</v>
      </c>
    </row>
    <row r="1835">
      <c r="A1835" t="inlineStr">
        <is>
          <t>Singapore</t>
        </is>
      </c>
      <c r="B1835" t="inlineStr">
        <is>
          <t>Personal Data Protection (Prescribed Law Enforceme (Singapore - Row 26)</t>
        </is>
      </c>
      <c r="C1835" t="inlineStr">
        <is>
          <t>2</t>
        </is>
      </c>
      <c r="D1835" s="11" t="inlineStr">
        <is>
          <t>Corrupt Practices Investigation Bureau as prescribed law enforcement agency</t>
        </is>
      </c>
      <c r="E1835" t="inlineStr">
        <is>
          <t>1–2</t>
        </is>
      </c>
      <c r="F1835" t="inlineStr">
        <is>
          <t>Low</t>
        </is>
      </c>
      <c r="G1835" t="inlineStr">
        <is>
          <t>High (explicit)</t>
        </is>
      </c>
      <c r="H1835" s="11" t="inlineStr"/>
      <c r="I1835" s="11" t="inlineStr"/>
      <c r="J1835" t="inlineStr"/>
      <c r="K1835" s="11" t="inlineStr">
        <is>
          <t>This section specifies that the Corrupt Practices Investigation Bureau (CPIB) is designated as a prescribed law enforcement agency under the Personal Data Protection Act. The designation applies to sections 21(4) and 26D(6) of the Act and the Second Schedule. This designation is effective from 5 February 2021, as noted in the reference [S 83/2021].</t>
        </is>
      </c>
      <c r="L1835" s="11" t="inlineStr"/>
      <c r="M1835" s="11" t="inlineStr">
        <is>
          <t>• [Definition] The Corrupt Practices Investigation Bureau is a prescribed law enforcement agency</t>
        </is>
      </c>
      <c r="N1835" s="11" t="inlineStr"/>
      <c r="O1835" s="11" t="inlineStr">
        <is>
          <t>For the purposes of sections 21(4) and 26D(6) of, and the Second Schedule to, the Act, the Corrupt Practices Investigation Bureau is a prescribed law enforcement agency.</t>
        </is>
      </c>
      <c r="P1835" s="12" t="n">
        <v>68</v>
      </c>
    </row>
    <row r="1836">
      <c r="A1836" t="inlineStr">
        <is>
          <t>Singapore</t>
        </is>
      </c>
      <c r="B1836" t="inlineStr">
        <is>
          <t>Statistics Act 1973 (Singapore - Row 24)PROVISIONALLY</t>
        </is>
      </c>
      <c r="C1836" t="inlineStr">
        <is>
          <t>2</t>
        </is>
      </c>
      <c r="D1836" s="11" t="inlineStr">
        <is>
          <t>Definitions of statistical terms and entities</t>
        </is>
      </c>
      <c r="E1836" t="inlineStr">
        <is>
          <t>2–8</t>
        </is>
      </c>
      <c r="F1836" t="inlineStr">
        <is>
          <t>None</t>
        </is>
      </c>
      <c r="G1836" t="inlineStr">
        <is>
          <t>High (explicit)</t>
        </is>
      </c>
      <c r="H1836" s="11" t="inlineStr"/>
      <c r="I1836" s="11" t="inlineStr">
        <is>
          <t>Personal Information</t>
        </is>
      </c>
      <c r="J1836" t="inlineStr"/>
      <c r="K1836" s="11" t="inlineStr">
        <is>
          <t>This section defines key terms used throughout the Statistics Act, including 'anonymised microdata', 'public agency', 'requisition', 'research and statistics unit', and 'statistical purposes'. These definitions establish the scope and meaning of critical concepts for data collection and processing activities under the Act.</t>
        </is>
      </c>
      <c r="L1836" s="11" t="inlineStr"/>
      <c r="M1836" s="11" t="inlineStr">
        <is>
          <t>• [Definition]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
• [Definition] public agency means a public officer, an Organ of State or a ministry or department of the Government, or a public authority established by or under any written law for a public purpose or a member, an officer or an employee thereof
• [Definition] requisition means a requisition issued under section 5</t>
        </is>
      </c>
      <c r="N1836" s="11" t="inlineStr">
        <is>
          <t>• [Definition] research and statistics unit means a research and statistics unit specified in the Second Schedule
• [Definition] statistical purposes means the compilation of statistics or the preparation of anonymised microdata relating to any subject matter listed in the First Schedule</t>
        </is>
      </c>
      <c r="O1836" s="11" t="inlineStr">
        <is>
          <t>2. In this Act, unless the context otherwise requires —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information; "public agency" means a public officer, an Organ of State or a ministry or department of the Government, or a public authority established by or under any written law for a public purpose or a member, an officer or an employee thereof; "requisition" means a requisition issued under section 5; "research and statistics unit" means a research and statistics unit specified in the Second Schedule; "statistical purposes" means the compilation of statistics or the preparation of anonymised microdata relating to any subject matter listed in the First Schedule.</t>
        </is>
      </c>
      <c r="P1836" s="12" t="n">
        <v>69</v>
      </c>
    </row>
    <row r="1837">
      <c r="A1837" t="inlineStr">
        <is>
          <t>Singapore</t>
        </is>
      </c>
      <c r="B1837" t="inlineStr">
        <is>
          <t>Statistics Act 1973 (Singapore - Row 24)PROVISIONALLY</t>
        </is>
      </c>
      <c r="C1837" t="inlineStr">
        <is>
          <t>7</t>
        </is>
      </c>
      <c r="D1837" s="11" t="inlineStr">
        <is>
          <t>Banking provisions</t>
        </is>
      </c>
      <c r="E1837" t="inlineStr">
        <is>
          <t>11</t>
        </is>
      </c>
      <c r="F1837" t="inlineStr">
        <is>
          <t>Low</t>
        </is>
      </c>
      <c r="G1837" t="inlineStr">
        <is>
          <t>High (explicit)</t>
        </is>
      </c>
      <c r="H1837" s="11" t="inlineStr"/>
      <c r="I1837" s="11" t="inlineStr"/>
      <c r="J1837" t="inlineStr"/>
      <c r="K1837" s="11" t="inlineStr">
        <is>
          <t>This section is a heading for a banking provision but contains no substantive text. It serves as a label for a section that may relate to banking regulations but does not define any specific obligations or conditions.</t>
        </is>
      </c>
      <c r="L1837" s="11" t="inlineStr"/>
      <c r="M1837" s="11" t="inlineStr">
        <is>
          <t>• [Definition] 7. Banking</t>
        </is>
      </c>
      <c r="N1837" s="11" t="inlineStr"/>
      <c r="O1837" s="11" t="inlineStr">
        <is>
          <t>7. Banking</t>
        </is>
      </c>
      <c r="P1837" s="12" t="n">
        <v>69</v>
      </c>
    </row>
    <row r="1838">
      <c r="A1838" t="inlineStr">
        <is>
          <t>Singapore</t>
        </is>
      </c>
      <c r="B1838" t="inlineStr">
        <is>
          <t>Statistics Act 1973 (Singapore - Row 32)</t>
        </is>
      </c>
      <c r="C1838" t="inlineStr">
        <is>
          <t>2</t>
        </is>
      </c>
      <c r="D1838" s="11" t="inlineStr">
        <is>
          <t>Definitions of statistical terms and entities</t>
        </is>
      </c>
      <c r="E1838" t="inlineStr">
        <is>
          <t>2–8</t>
        </is>
      </c>
      <c r="F1838" t="inlineStr">
        <is>
          <t>None</t>
        </is>
      </c>
      <c r="G1838" t="inlineStr">
        <is>
          <t>High (explicit)</t>
        </is>
      </c>
      <c r="H1838" s="11" t="inlineStr"/>
      <c r="I1838" s="11" t="inlineStr">
        <is>
          <t>Personal Information</t>
        </is>
      </c>
      <c r="J1838" t="inlineStr"/>
      <c r="K1838" s="11" t="inlineStr">
        <is>
          <t>This section defines key terms used throughout the Act, including 'anonymised microdata' as statistical information that conceals individual identity, 'public agency' as government entities, 'requisition' for data collection, 'research and statistics unit' for statistical activities, and 'statistical purposes' for data compilation. These definitions establish the scope and terminology for statistical operations under the Act.</t>
        </is>
      </c>
      <c r="L1838" s="11" t="inlineStr"/>
      <c r="M1838" s="11" t="inlineStr">
        <is>
          <t>• [Definition]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
• [Definition] public agency means a public officer, an Organ of State or a ministry or department of the Government, or a public authority established by or under any written law for a public purpose or a member, an officer or an employee thereof
• [Definition] requisition means a requisition issued under section 5</t>
        </is>
      </c>
      <c r="N1838" s="11" t="inlineStr">
        <is>
          <t>• [Definition] research and statistics unit means a research and statistics unit specified in the Second Schedule
• [Definition] statistical purposes means the compilation of statistics or the preparation of anonymised microdata relating to any subject matter listed in the First Schedule</t>
        </is>
      </c>
      <c r="O1838" s="11" t="inlineStr">
        <is>
          <t>2. In this Act, unless the context otherwise requires — "anonymised microdata" means particulars or information pertaining to any person which is in a form that conceals or protects the identity of that person, whether by presenting the particulars or information in statistical form or otherwise, so that the identity of that person cannot be readily discovered or ascertained from the particulars or information; "public agency" means a public officer, an Organ of State or a ministry or department of the Government, or a public authority established by or under any written law for a public purpose or a member, an officer or an employee thereof; "requisition" means a requisition issued under section 5; "research and statistics unit" means a research and statistics unit specified in the Second Schedule; "statistical purposes" means the compilation of statistics or the preparation of anonymised microdata relating to any subject matter listed in the First Schedule.</t>
        </is>
      </c>
      <c r="P1838" s="12" t="n">
        <v>70</v>
      </c>
    </row>
    <row r="1839">
      <c r="A1839" t="inlineStr">
        <is>
          <t>Singapore</t>
        </is>
      </c>
      <c r="B1839" t="inlineStr">
        <is>
          <t>Statistics Act 1973 (Singapore - Row 32)</t>
        </is>
      </c>
      <c r="C1839" t="inlineStr">
        <is>
          <t>7</t>
        </is>
      </c>
      <c r="D1839" s="11" t="inlineStr">
        <is>
          <t>Prohibition on disclosing identifiable data without consent</t>
        </is>
      </c>
      <c r="E1839" t="inlineStr">
        <is>
          <t>11</t>
        </is>
      </c>
      <c r="F1839" t="inlineStr">
        <is>
          <t>Low</t>
        </is>
      </c>
      <c r="G1839" t="inlineStr">
        <is>
          <t>High (explicit)</t>
        </is>
      </c>
      <c r="H1839" s="11" t="inlineStr">
        <is>
          <t>Data Sharing, Data Residency, Security</t>
        </is>
      </c>
      <c r="I1839" s="11" t="inlineStr">
        <is>
          <t>Personal Information</t>
        </is>
      </c>
      <c r="J1839" t="inlineStr"/>
      <c r="K1839" s="11" t="inlineStr">
        <is>
          <t>This section prohibits individuals from disclosing data obtained through statistical requisitions or directives in a form that identifies persons without prior written consent. Exceptions include disclosures as anonymised statistics, to public agencies, for legal proceedings, general business information, or data already in the public domain. Non-compliance incurs fines up to $10,000 or imprisonment for up to 12 months.</t>
        </is>
      </c>
      <c r="L1839" s="11" t="inlineStr">
        <is>
          <t>This section imposes restrictions on how data obtained for statistical purposes can be shared across borders or with third parties, requiring that disclosures do not identify individuals without consent. It mandates anonymisation for cross-border transfers to avoid identification risks.</t>
        </is>
      </c>
      <c r="M1839" s="11" t="inlineStr">
        <is>
          <t>• [Must Not] A person must not disclose any particulars or information obtained under section 5 or 6 in a form that may identify any person without the prior consent in writing of the person that may be identified by the disclosure
• [May] The Chief Statistician or the director of a research and statistics unit (as the case may be) may disclose particulars or information obtained under section 5 or 6 as statistics which do not identify any person
• [May] The Chief Statistician or the director of a research and statistics unit (as the case may be) may disclose particulars or information obtained under section 5 or 6 as anonymised microdata to any public agency
• [May] The Chief Statistician or the director of a research and statistics unit (as the case may be) may disclose particulars or information obtained under section 5 or 6 as anonymised microdata to any other person within a class specified in the Third Schedule
• [May] The Chief Statistician or the director of a research and statistics unit (as the case may be) may disclose particulars or information obtained under section 5 or 6 for the purposes of any proceedings for an offence under this Act or any report of those proceedings</t>
        </is>
      </c>
      <c r="N1839" s="11" t="inlineStr">
        <is>
          <t>• [May] The Chief Statistician or the director of a research and statistics unit (as the case may be) may disclose particulars or information obtained under section 5 or 6 that are of a general nature relating to the products or services provided by, the number of employees in or the addresses of, an establishment
• [May] The Chief Statistician or the director of a research and statistics unit (as the case may be) may disclose particulars or information obtained under section 5 or 6 that are already available in the public domain
• [May] The Chief Statistician or the director of a research and statistics unit may, in respect of any particulars or information disclosed to any person under subsection (2), impose conditions as to the use of the particulars or information by written notice to that person
• [Must] If a person discloses any returns or any particulars or information contrary to this section, or fails to comply with any conditions imposed on the person under subsection (3), the person shall be guilty of an offence and shall be liable on conviction to a fine not exceeding $10,000 or to imprisonment for a term not exceeding 12 months or to both</t>
        </is>
      </c>
      <c r="O1839" s="11" t="inlineStr">
        <is>
          <t>7. (1) A person must not disclose any particulars or information obtained under section 5 or 6 in a form that may identify any person without the prior consent in writing of the person that may be identified by the disclosure. (2) Despite subsection (1), the Chief Statistician or the director of a research and statistics unit (as the case may be) may disclose particulars or information obtained under section 5 or 6 — (a) as statistics which do not identify any person; (b) as anonymised microdata to — (i) any public agency; or (ii) any other person within a class specified in the Third Schedule; (c) for the purposes of any proceedings for an offence under this Act or any report of those proceedings; (d) that are of a general nature relating to the products or services provided by, the number of employees in or the addresses of, an establishment; or (e) that are already available in the public domain. (3) The Chief Statistician or the director of a research and statistics unit may, in respect of any particulars or information disclosed to any person under subsection (2), impose conditions as to the use of the particulars or information by written notice to that person. (4) If a person discloses any returns or any particulars or information contrary to this section, or fails to comply with any conditions imposed on the person under subsection (3), the person shall be guilty of an offence and shall be liable on conviction to a fine not exceeding $10,000 or to imprisonment for a term not exceeding 12 months or to both.</t>
        </is>
      </c>
      <c r="P1839" s="12" t="n">
        <v>70</v>
      </c>
    </row>
    <row r="1840">
      <c r="A1840" t="inlineStr">
        <is>
          <t>South Africa</t>
        </is>
      </c>
      <c r="B1840" t="inlineStr">
        <is>
          <t>1. FSCA Conduct Standard 1 of 2025 - Requirements for FIs providing FE initiatives</t>
        </is>
      </c>
      <c r="C1840" t="inlineStr">
        <is>
          <t>1</t>
        </is>
      </c>
      <c r="D1840" s="11" t="inlineStr">
        <is>
          <t>Definitions of key terms in financial education initiatives</t>
        </is>
      </c>
      <c r="E1840" t="inlineStr">
        <is>
          <t>2–3</t>
        </is>
      </c>
      <c r="F1840" t="inlineStr">
        <is>
          <t>Low</t>
        </is>
      </c>
      <c r="G1840" t="inlineStr">
        <is>
          <t>High (explicit)</t>
        </is>
      </c>
      <c r="H1840" s="11" t="inlineStr"/>
      <c r="I1840" s="11" t="inlineStr">
        <is>
          <t>Personal Information</t>
        </is>
      </c>
      <c r="J1840" t="inlineStr"/>
      <c r="K1840" s="11" t="inlineStr">
        <is>
          <t>This section defines critical terms such as 'financial education initiative', 'target group', and 'service provider' to clarify scope and applicability. It specifies that financial education initiatives must exclude marketing activities and focus on improving financial literacy. The definitions also establish that financial institutions must include potential customers in the scope of 'financial customers' and align with broader economic empowerment frameworks.</t>
        </is>
      </c>
      <c r="L1840" s="11" t="inlineStr"/>
      <c r="M1840" s="11" t="inlineStr">
        <is>
          <t>• [Definition] Authority means the Financial Sector Conduct Authority as defined in section 1 of the Act
• [Definition] Evaluation means a systematic and objective assessment of an ongoing or completed financial education initiative
• [Definition] Financial customer includes potential financial customers
• [Definition] Financial education aims to improve understanding of financial products and risks
• [Definition] Financial education initiative excludes marketing activities for specific financial products</t>
        </is>
      </c>
      <c r="N1840" s="11" t="inlineStr">
        <is>
          <t>• [Definition] Financial Sector Code refers to codes of good practice on broad-based black economic empowerment
• [Definition] Monitoring means regular collection and analysis of information about initiative progress
• [Definition] Service provider includes agents with arrangements for financial education initiatives
• [Definition] Specific financial product or service means actual financial products provided by providers
• [Definition] Target group includes youth, women, small businesses, and other vulnerable groups</t>
        </is>
      </c>
      <c r="O1840" s="11" t="inlineStr">
        <is>
          <t>In this Schedule, "the Act" means the Financial Sector Regulation Act, 2017 () and any word or expression to which a meaning has been assigned in the Act bears the meaning so assigned to it, and unless the context otherwise indicates –</t>
        </is>
      </c>
      <c r="P1840" s="12" t="n">
        <v>71</v>
      </c>
    </row>
    <row r="1841">
      <c r="A1841" t="inlineStr">
        <is>
          <t>South Africa</t>
        </is>
      </c>
      <c r="B1841" t="inlineStr">
        <is>
          <t>1. FSCA Conduct Standard 1 of 2025 - Requirements for FIs providing FE initiatives</t>
        </is>
      </c>
      <c r="C1841" t="inlineStr">
        <is>
          <t>2</t>
        </is>
      </c>
      <c r="D1841" s="11" t="inlineStr">
        <is>
          <t>Scope and purpose of financial education initiatives</t>
        </is>
      </c>
      <c r="E1841" t="inlineStr">
        <is>
          <t>3</t>
        </is>
      </c>
      <c r="F1841" t="inlineStr">
        <is>
          <t>Medium</t>
        </is>
      </c>
      <c r="G1841" t="inlineStr">
        <is>
          <t>High (explicit)</t>
        </is>
      </c>
      <c r="H1841" s="11" t="inlineStr">
        <is>
          <t>Cross-border Transfer</t>
        </is>
      </c>
      <c r="I1841" s="11" t="inlineStr">
        <is>
          <t>Personal Information</t>
        </is>
      </c>
      <c r="J1841" t="inlineStr"/>
      <c r="K1841" s="11" t="inlineStr">
        <is>
          <t>This section specifies that the Conduct Standard applies only when financial institutions provide financial education initiatives, including through service providers. It aims to protect financial customers by ensuring initiatives support informed financial decisions and sound governance practices. Financial institutions must take reasonable steps to ensure appropriate standards of behavior and oversight in developing, implementing, monitoring, and evaluating initiatives.</t>
        </is>
      </c>
      <c r="L1841" s="11" t="inlineStr"/>
      <c r="M1841" s="11" t="inlineStr">
        <is>
          <t>• [Must] This Conduct Standard applies only where a financial institution provides or offers a financial education initiative
• [Must] The purpose is to protect financial customers by ensuring initiatives support informed financial decisions</t>
        </is>
      </c>
      <c r="N1841" s="11" t="inlineStr">
        <is>
          <t>• [Must] Financial institutions must take reasonable steps to ensure appropriate standards of behavior and oversight</t>
        </is>
      </c>
      <c r="O1841" s="11" t="inlineStr">
        <is>
          <t>This Conduct Standard is only applicable where a financial institution provides or offers a financial education initiative, including the provision of a financial education initiative by a service provider.</t>
        </is>
      </c>
      <c r="P1841" s="12" t="n">
        <v>71</v>
      </c>
    </row>
    <row r="1842">
      <c r="A1842" t="inlineStr">
        <is>
          <t>South Africa</t>
        </is>
      </c>
      <c r="B1842" t="inlineStr">
        <is>
          <t>1. FSCA Conduct Standard 1 of 2025 - Requirements for FIs providing FE initiatives</t>
        </is>
      </c>
      <c r="C1842" t="inlineStr">
        <is>
          <t>3</t>
        </is>
      </c>
      <c r="D1842" s="11" t="inlineStr">
        <is>
          <t>Governance and oversight for financial education initiatives</t>
        </is>
      </c>
      <c r="E1842" t="inlineStr">
        <is>
          <t>3–4</t>
        </is>
      </c>
      <c r="F1842" t="inlineStr">
        <is>
          <t>Medium</t>
        </is>
      </c>
      <c r="G1842" t="inlineStr">
        <is>
          <t>High (explicit)</t>
        </is>
      </c>
      <c r="H1842" s="11" t="inlineStr">
        <is>
          <t>Governance, Employee Information</t>
        </is>
      </c>
      <c r="I1842" s="11" t="inlineStr">
        <is>
          <t>Personal Information</t>
        </is>
      </c>
      <c r="J1842" t="inlineStr"/>
      <c r="K1842" s="11" t="inlineStr">
        <is>
          <t>Financial institutions must establish governance arrangements to oversee the design and implementation of financial education initiatives. These arrangements must include ongoing monitoring and review of initiative effectiveness. Institutions must also implement systems for reporting to the Authority and ensure employees and service providers have necessary skills and expertise. Responsibility for regulatory compliance remains with the financial institution regardless of service provider involvement.</t>
        </is>
      </c>
      <c r="L1842" s="11" t="inlineStr"/>
      <c r="M1842" s="11" t="inlineStr">
        <is>
          <t>• [Must] Financial institution must have appropriate governance arrangements to oversee design and implementation
• [Must] Governance arrangements must include ongoing monitoring and review of initiative effectiveness
• [Must] Financial institution must have systems for reporting pre- and post-implementation to Authority</t>
        </is>
      </c>
      <c r="N1842" s="11" t="inlineStr">
        <is>
          <t>• [Must] Financial institution must ensure employees and service providers have necessary skills and expertise
• [Must] Governance arrangements must apply to service providers to ensure initiative effectiveness
• [Must] Financial institution retains responsibility for all regulatory obligations regardless of service provider</t>
        </is>
      </c>
      <c r="O1842" s="11" t="inlineStr">
        <is>
          <t>A financial institution must have appropriate governance arrangements in place to oversee the design and implementation of financial education initiatives.</t>
        </is>
      </c>
      <c r="P1842" s="12" t="n">
        <v>71</v>
      </c>
    </row>
    <row r="1843">
      <c r="A1843" t="inlineStr">
        <is>
          <t>South Africa</t>
        </is>
      </c>
      <c r="B1843" t="inlineStr">
        <is>
          <t>1. FSCA Conduct Standard 1 of 2025 - Requirements for FIs providing FE initiatives</t>
        </is>
      </c>
      <c r="C1843" t="inlineStr">
        <is>
          <t>4</t>
        </is>
      </c>
      <c r="D1843" s="11" t="inlineStr">
        <is>
          <t>Content and delivery requirements for financial education initiatives</t>
        </is>
      </c>
      <c r="E1843" t="inlineStr">
        <is>
          <t>4</t>
        </is>
      </c>
      <c r="F1843" t="inlineStr">
        <is>
          <t>Medium</t>
        </is>
      </c>
      <c r="G1843" t="inlineStr">
        <is>
          <t>High (explicit)</t>
        </is>
      </c>
      <c r="H1843" s="11" t="inlineStr"/>
      <c r="I1843" s="11" t="inlineStr">
        <is>
          <t>Personal Information</t>
        </is>
      </c>
      <c r="J1843" t="inlineStr"/>
      <c r="K1843" s="11" t="inlineStr">
        <is>
          <t>Financial education initiatives must aim to enable individuals to make informed financial decisions and encourage positive behavior. Content must be based on objective information, targeted to the appropriate audience, distinct from marketing activities, and brand agnostic. Delivery platforms must be appropriate for the target group to ensure effective reach and relevance.</t>
        </is>
      </c>
      <c r="L1843" s="11" t="inlineStr"/>
      <c r="M1843" s="11" t="inlineStr">
        <is>
          <t>• [Must] Financial education initiatives should enable natural persons to make informed financial decisions
• [Must] Financial education initiatives should encourage positive customer behavior and influence behavioral change
• [May] Financial institution may use any delivery platform provided it is appropriate for target group
• [Must] Content must be based on objective and impartial information</t>
        </is>
      </c>
      <c r="N1843" s="11" t="inlineStr">
        <is>
          <t>• [Must] Content must be targeted suitably at the appropriate target group
• [Must] Content must be distinct from brand-specific financial product or service sales processes
• [Must] Content must be brand agnostic but may unpack financial concepts</t>
        </is>
      </c>
      <c r="O1843" s="11" t="inlineStr">
        <is>
          <t>Financial education initiative provided by a financial institution should aim to enable natural persons and small, medium and micro-enterprises to make more informed decisions, about their own finances and financial well-being or the finances and financial well-being of others that fall under their responsibility;</t>
        </is>
      </c>
      <c r="P1843" s="12" t="n">
        <v>71</v>
      </c>
    </row>
    <row r="1844">
      <c r="A1844" t="inlineStr">
        <is>
          <t>South Africa</t>
        </is>
      </c>
      <c r="B1844" t="inlineStr">
        <is>
          <t>1. FSCA Conduct Standard 1 of 2025 - Requirements for FIs providing FE initiatives</t>
        </is>
      </c>
      <c r="C1844" t="inlineStr">
        <is>
          <t>5</t>
        </is>
      </c>
      <c r="D1844" s="11" t="inlineStr">
        <is>
          <t>Implementation and measurement requirements for financial education initiatives</t>
        </is>
      </c>
      <c r="E1844" t="inlineStr">
        <is>
          <t>4–5</t>
        </is>
      </c>
      <c r="F1844" t="inlineStr">
        <is>
          <t>Medium</t>
        </is>
      </c>
      <c r="G1844" t="inlineStr">
        <is>
          <t>High (explicit)</t>
        </is>
      </c>
      <c r="H1844" s="11" t="inlineStr">
        <is>
          <t>Data Storage</t>
        </is>
      </c>
      <c r="I1844" s="11" t="inlineStr">
        <is>
          <t>Personal Information</t>
        </is>
      </c>
      <c r="J1844" t="inlineStr"/>
      <c r="K1844" s="11" t="inlineStr">
        <is>
          <t>Financial institutions must ensure appropriate locations for face-to-face initiatives and virtual platforms for online initiatives. They must develop contingency plans for unforeseen circumstances. Outcomes must be measurable to demonstrate effectiveness and impact, with measurement methods directly tied to initiative goals. Institutions must monitor and evaluate initiatives to assess effectiveness, identify improvements, and collect data for future programs.</t>
        </is>
      </c>
      <c r="L1844" s="11" t="inlineStr"/>
      <c r="M1844" s="11" t="inlineStr">
        <is>
          <t>• [Must] Face-to-face initiatives must use appropriate locations for effectiveness
• [Must] Virtual initiatives must ensure virtual platforms are appropriate for effectiveness
• [Should] Financial institutions should consider contingency plans for implementation
• [Must] Outcomes must be measurable to demonstrate effectiveness and impact</t>
        </is>
      </c>
      <c r="N1844" s="11" t="inlineStr">
        <is>
          <t>• [Must] Measurement methods must be appropriate for specific initiatives and relate directly to outcomes
• [Must] Financial institutions must monitor and evaluate initiatives to assess effectiveness
• [Must] Financial institutions must identify areas for improvement through monitoring
• [Must] Financial institutions must collect data to improve future program effectiveness</t>
        </is>
      </c>
      <c r="O1844" s="11" t="inlineStr">
        <is>
          <t>A financial institution providing face-to-face financial education initiatives must utilise a location that is appropriate for this purpose to ensure that the financial education initiative is effective.</t>
        </is>
      </c>
      <c r="P1844" s="12" t="n">
        <v>71</v>
      </c>
    </row>
    <row r="1845">
      <c r="A1845" t="inlineStr">
        <is>
          <t>South Africa</t>
        </is>
      </c>
      <c r="B1845" t="inlineStr">
        <is>
          <t>2002-070</t>
        </is>
      </c>
      <c r="C1845" t="inlineStr">
        <is>
          <t>3</t>
        </is>
      </c>
      <c r="D1845" s="11" t="inlineStr">
        <is>
          <t>Interception of communications under interception direction</t>
        </is>
      </c>
      <c r="E1845" t="inlineStr">
        <is>
          <t>1–5</t>
        </is>
      </c>
      <c r="F1845" t="inlineStr">
        <is>
          <t>High</t>
        </is>
      </c>
      <c r="G1845" t="inlineStr">
        <is>
          <t>Medium (merged from chunks)</t>
        </is>
      </c>
      <c r="H1845" s="11" t="inlineStr">
        <is>
          <t>Cross-border Transfer, International Processing, Data Storage, Security</t>
        </is>
      </c>
      <c r="I1845" s="11" t="inlineStr">
        <is>
          <t>Personal Information</t>
        </is>
      </c>
      <c r="J1845" t="inlineStr">
        <is>
          <t>Parliament of the Republic of South Africa</t>
        </is>
      </c>
      <c r="K1845" s="11" t="inlineStr">
        <is>
          <t>This section prohibits the interception of communications without a valid interception direction. It requires that any interception must be authorized by a specific legal process involving law enforcement agencies. The interception must be conducted by law enforcement officers following the issuance of a direction or entry warrant. Telecommunication service providers and postal services must assist in executing these warrants under strict conditions. The section establishes that interception is only permissible when there is a lawful basis, such as a court-authorized direction, and must be carried out by authorized personnel. This section defines critical terms used in intelligence and communications law, including 'address', 'agency', 'applicant', 'archived communication-related direction', 'archived communication-related information', 'authorised person', 'Authority', 'business', and 'cellular phone'. These definitions specify the scope and application of the law for law enforcement and communications authorities.</t>
        </is>
      </c>
      <c r="L1845" s="11" t="inlineStr">
        <is>
          <t>This section imposes strict conditions for cross-border data interception, requiring court-authorized directions and specific assistance from telecommunication providers. It affects data transfer impact assessments by mandating lawful authorization mechanisms for intercepting communications across borders.</t>
        </is>
      </c>
      <c r="M1845" s="11" t="inlineStr">
        <is>
          <t>• [Must] Interception of communications must be authorized by a valid interception direction.
• [Must] Law enforcement officers must execute interceptions following court-issued directions.
• [Must] Telecommunication service providers must assist in executing interception directions.
• [Must] Postal service providers must assist in executing interception directions.
• [Definition] The term 'address' refers to the physical address where a person usually receives mail or, for a juristic person, the registered address or business location.
• [Definition] 'Agency' means the Agency as defined in section 1 of the Intelligence Services Act.
• [Definition] An 'applicant' is an officer from the South African Police Service with specific rank and authorization, or an officer from the Defence Force with specific rank and authorization, or a member of the Agency with specific authorization, or the head of a Directorate, or a member of a component authorized by the National Director, or a member of the I…</t>
        </is>
      </c>
      <c r="N1845" s="11" t="inlineStr">
        <is>
          <t>• [Definition] 'Archived communication-related direction' means a direction issued under section 18 (3) (a) or 19 (3) requiring a telecommunication service provider to provide archived communication-related information.
• [Definition] 'Archived communication-related information' means communication-related information stored by a telecommunication service provider for up to 90 days after the transmission of indirect communications.
• [Definition] 'Authorised person' means a law enforcement officer who may execute a direction or assist with its execution.
• [Definition] 'Authority' refers to the Independent Communications Authority of South Africa established by section 3 of the Independent Communications Authority of South Africa Act, 2000.
• [Definition] 'Business' means any business activity conducted by any person, including activities of private or public bodies.
• [Definition] 'Cellular phone' means any fixed or mobile cellular apparatus capable of connecting to a cellular telecommunication system and used by a customer to transmit or receive indirect communications.</t>
        </is>
      </c>
      <c r="O1845" s="11" t="inlineStr">
        <is>
          <t>To regulate the interception of certain communications, the monitoring of certain signals and radio frequency spectrums and the provision of certain communication-related information; to regulate the making of applications for, and the issuing of, directions authorising the interception of communications and the provision of communication-related information under certain circumstances; to regulate the execution of directions and entry warrants by law enforcement officers and the assistance to be given by postal service providers, telecommunication service providers and decryption key holders in the execution of such directions and entry warrants; to prohibit the provision of telecommunication services which do not have the capability to be intercepted; to provide for certain costs to be borne by certain telecommunication service providers; to provide for the establishment of interception centres, the Office for Interception Centres and the Internet Service Providers Assistance Fund; to prohibit the manufacturing, assembling, possessing, selling, purchasing or advertising of certain equipment; to create offences and to prescribe penalties for such offences; and to provide for matters connected therewith.</t>
        </is>
      </c>
      <c r="P1845" s="12" t="n">
        <v>72</v>
      </c>
    </row>
    <row r="1846">
      <c r="A1846" t="inlineStr">
        <is>
          <t>South Africa</t>
        </is>
      </c>
      <c r="B1846" t="inlineStr">
        <is>
          <t>2002-070</t>
        </is>
      </c>
      <c r="C1846" t="inlineStr">
        <is>
          <t>3 (part 2)</t>
        </is>
      </c>
      <c r="D1846" s="11" t="inlineStr">
        <is>
          <t>Definitions of communication-related terms for intelligence operations</t>
        </is>
      </c>
      <c r="E1846" t="inlineStr">
        <is>
          <t>5–7</t>
        </is>
      </c>
      <c r="F1846" t="inlineStr">
        <is>
          <t>Low</t>
        </is>
      </c>
      <c r="G1846" t="inlineStr">
        <is>
          <t>High (explicit)</t>
        </is>
      </c>
      <c r="H1846" s="11" t="inlineStr">
        <is>
          <t>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846" s="11" t="inlineStr">
        <is>
          <t>Personal Information, Financial Data, Customer Data, Employee Data, Health Data, Children's Data, Biometric Data, Special Personal Information</t>
        </is>
      </c>
      <c r="J1846" t="inlineStr"/>
      <c r="K1846" s="11" t="inlineStr">
        <is>
          <t>This section defines key terms used in intelligence operations, including communication, communication-related information, customer, decryption key, and electronic communication service providers. It specifies the scope of information covered by these terms and their relevance to telecommunication systems and electronic communications services. The definitions establish the technical and legal framework for intercepting communications and managing data flows within the intelligence context.</t>
        </is>
      </c>
      <c r="L1846" s="11" t="inlineStr">
        <is>
          <t>These definitions clarify what constitutes communication-related information and electronic communication service providers, which are critical for determining data flows and interception capabilities in cross-border intelligence operations.</t>
        </is>
      </c>
      <c r="M1846" s="11" t="inlineStr">
        <is>
          <t>• [Must] A 'communication' includes both direct and indirect communication
• [Must] A 'communication-related information' includes switching, dialling or signalling information that identifies the origin, destination, termination, duration, and equipment used in indirect communications
• [Must] A 'customer' includes any person who has entered into a contract for electronic communications service
• [Must] A 'customer' includes any person who has received electronic communications service as a gift, reward, favour, benefit or donation</t>
        </is>
      </c>
      <c r="N1846" s="11" t="inlineStr">
        <is>
          <t>• [Must] A 'decryption key' means any key, mathematical formula, code, password, algorithm or data used to access encrypted information
• [Must] A 'decryption key holder' means any person in possession of a decryption key for subsequent decryption of encrypted information
• [Must] A 'direct communication' means oral communication between two or more persons in immediate presence
• [Must] A 'encrypted information' means electronic data that cannot be accessed without the decryption key</t>
        </is>
      </c>
      <c r="O1846" s="11" t="inlineStr">
        <is>
          <t>telecommunication system; 'communication' includes both a direct communication and an indirect communication; 'communication-related information' means any information relating to an indirect communication which is available in the records of a telecommunication service provider, and includes switching, dialling or signalling information that identifies the origin, destination, termination, duration, and equipment used in respect, of each indirect communication generated or received by a customer or user of any equipment, facility or service provided by such a telecommunication service provider and, where applicable, the location of the user within the telecommunication system;</t>
        </is>
      </c>
      <c r="P1846" s="12" t="n">
        <v>72</v>
      </c>
    </row>
    <row r="1847">
      <c r="A1847" t="inlineStr">
        <is>
          <t>South Africa</t>
        </is>
      </c>
      <c r="B1847" t="inlineStr">
        <is>
          <t>2002-070</t>
        </is>
      </c>
      <c r="C1847" t="inlineStr">
        <is>
          <t>3 (part 3)</t>
        </is>
      </c>
      <c r="D1847" s="11" t="inlineStr">
        <is>
          <t>Definitions of intelligence interception terms</t>
        </is>
      </c>
      <c r="E1847" t="inlineStr">
        <is>
          <t>7–9</t>
        </is>
      </c>
      <c r="F1847" t="inlineStr">
        <is>
          <t>Low</t>
        </is>
      </c>
      <c r="G1847" t="inlineStr">
        <is>
          <t>High (explicit)</t>
        </is>
      </c>
      <c r="H1847" s="11" t="inlineStr">
        <is>
          <t>Cross-border Transfer, International Processing, Data Storage,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847" s="11" t="inlineStr">
        <is>
          <t>Personal Information, Financial Data, Customer Data, Employee Data, Health Data, Children's Data, Biometric Data, Special Personal Information</t>
        </is>
      </c>
      <c r="J1847" t="inlineStr"/>
      <c r="K1847" s="11" t="inlineStr">
        <is>
          <t>This section defines terms related to intelligence interception operations, including intercept, interception device, interception direction, and law enforcement agencies. It specifies the technical and legal framework for monitoring communications and conducting interceptions within the intelligence context. The definitions establish the scope of permissible interception activities and the entities authorized to conduct such operations.</t>
        </is>
      </c>
      <c r="L1847" s="11" t="inlineStr">
        <is>
          <t>These definitions clarify what constitutes an interception device and the scope of communications that can be intercepted, which are critical for determining data flows and interception capabilities in cross-border intelligence operations.</t>
        </is>
      </c>
      <c r="M1847" s="11" t="inlineStr">
        <is>
          <t>• [Must] An 'intercept' means the aural or other acquisition of communication contents through interception devices
• [Must] An 'interception device' means any electronic, mechanical or other instrument used to intercept communications</t>
        </is>
      </c>
      <c r="N1847" s="11" t="inlineStr">
        <is>
          <t>• [Must] An 'interception direction' means a direction issued under section 16 (4) or 18 (3) (a) authorizing interception of communications
• [Must] A 'law enforcement agency' includes the Police Service, Defence Force, Agency, Directorate, and components of the prosecuting authority</t>
        </is>
      </c>
      <c r="O1847" s="11" t="inlineStr">
        <is>
          <t>'intercept' means the aural or other acquisition of the contents of any communication through the use of any means, including an interception device, so as to make some or all of the contents of a communication available to a person other than the sender or recipient or intended recipient of that communication, and includes the- (a) monitoring of any such communication by means of a monitoring device; (b) viewing, examination or inspection of the contents of any indirect communication; and (c) diversion of any indirect communication from its intended destination to any other destination, and 'interception' has a corresponding meaning;</t>
        </is>
      </c>
      <c r="P1847" s="12" t="n">
        <v>72</v>
      </c>
    </row>
    <row r="1848">
      <c r="A1848" t="inlineStr">
        <is>
          <t>South Africa</t>
        </is>
      </c>
      <c r="B1848" t="inlineStr">
        <is>
          <t>2002-070</t>
        </is>
      </c>
      <c r="C1848" t="inlineStr">
        <is>
          <t>3 (part 4)</t>
        </is>
      </c>
      <c r="D1848" s="11" t="inlineStr">
        <is>
          <t>Definitions of system controller for private and public bodies</t>
        </is>
      </c>
      <c r="E1848" t="inlineStr">
        <is>
          <t>9–11</t>
        </is>
      </c>
      <c r="F1848" t="inlineStr">
        <is>
          <t>Low</t>
        </is>
      </c>
      <c r="G1848" t="inlineStr">
        <is>
          <t>High (explicit)</t>
        </is>
      </c>
      <c r="H1848" s="11" t="inlineStr"/>
      <c r="I1848" s="11" t="inlineStr">
        <is>
          <t>Special Personal Information</t>
        </is>
      </c>
      <c r="J1848" t="inlineStr"/>
      <c r="K1848" s="11" t="inlineStr">
        <is>
          <t>This section defines 'system controller' for both private bodies (natural persons, partnerships, juristic persons) and public bodies (national departments, municipalities, other public bodies). It specifies the authorized individuals who can act as system controllers under different legal frameworks, including the Public Service Act and Local Government: Municipal Structures Act.</t>
        </is>
      </c>
      <c r="L1848" s="11" t="inlineStr">
        <is>
          <t>Defines who can act as a system controller for telecommunication systems, relevant for determining data transfer responsibilities under international data transfer mechanisms.</t>
        </is>
      </c>
      <c r="M1848" s="11" t="inlineStr">
        <is>
          <t>• [Must] For a private body, natural person means that natural person or any person duly authorised by that natural person
• [Must] For a private body, partnership means any partner of the partnership or any person duly authorised by the partnership
• [Must] For a private body, juristic person means the chief executive officer or equivalent officer of the juristic person or any person duly authorised by that officer
• [Must] For a public body, national department means the officer who is the incumbent of the post bearing the designation mentioned in Column 2 of Schedule 1 or 3 opposite the name of the relevant national department</t>
        </is>
      </c>
      <c r="N1848" s="11" t="inlineStr">
        <is>
          <t>• [Must] For a public body, national department means the Director-General, head, executive director or equivalent officer of that national department or the person who is acting as such
• [Must] For a public body, municipality means the municipal manager appointed in terms of section 82 of the Local Government: Municipal Structures Act, 1998
• [Must] For a public body, any other public body means the chief executive officer, or equivalent officer, of that public body or the person who is acting as such</t>
        </is>
      </c>
      <c r="O1848" s="11" t="inlineStr">
        <is>
          <t>system controller of, or in relation to- (a) a private body, means, in the case of a- (i) natural person, that natural person or any person duly authorised by that natural person; (ii) partnership, any partner of the partnership or any person duly authorised by the partnership; or (iii) juristic person, the- (aa) chief executive officer or equivalent officer of the juristic person or any person duly authorised by that officer; or (bb) person who is acting as such or any person duly authorised by such acting person; and (b) a public body, means, in the case of-</t>
        </is>
      </c>
      <c r="P1848" s="12" t="n">
        <v>72</v>
      </c>
    </row>
    <row r="1849">
      <c r="A1849" t="inlineStr">
        <is>
          <t>South Africa</t>
        </is>
      </c>
      <c r="B1849" t="inlineStr">
        <is>
          <t>2002-070</t>
        </is>
      </c>
      <c r="C1849" t="inlineStr">
        <is>
          <t>3 (part 6)</t>
        </is>
      </c>
      <c r="D1849" s="11" t="inlineStr">
        <is>
          <t>Interception direction application requirements and conditions</t>
        </is>
      </c>
      <c r="E1849" t="inlineStr">
        <is>
          <t>13–15</t>
        </is>
      </c>
      <c r="F1849" t="inlineStr">
        <is>
          <t>High</t>
        </is>
      </c>
      <c r="G1849" t="inlineStr">
        <is>
          <t>High (explicit)</t>
        </is>
      </c>
      <c r="H1849" s="11" t="inlineStr">
        <is>
          <t>Cross-border Transfer, International Processing, Data Storage, Security, Incident Reporting, Breach Notification, Governance, Record Keeping</t>
        </is>
      </c>
      <c r="I1849" s="11" t="inlineStr">
        <is>
          <t>Personal Information, Financial Data, Customer Data, Special Personal Information</t>
        </is>
      </c>
      <c r="J1849" t="inlineStr">
        <is>
          <t>Designated judge</t>
        </is>
      </c>
      <c r="K1849" s="11" t="inlineStr">
        <is>
          <t>This section mandates specific information to be included in applications for interception directions, including details on investigative procedures, evidence status, communication duration, prior applications, and compliance with supplementary directives. It requires applicants to specify whether other investigative procedures have failed or are unlikely to succeed, the period for which interception is needed, and the status of any previous applications. The designated judge must satisfy conditions related to reasonable grounds for belief in serious offences, threats to public safety, national security, or organized crime, and the necessity of information gathering.</t>
        </is>
      </c>
      <c r="L1849" s="11" t="inlineStr">
        <is>
          <t>This section establishes requirements for applications to intercept communications across borders, including conditions for when international mutual assistance agreements or national interests justify data transfers. It impacts DTIAs by defining when cross-border data interception is permissible and the safeguards required for such transfers.</t>
        </is>
      </c>
      <c r="M1849" s="11" t="inlineStr">
        <is>
          <t>• [Must] Indicate whether other investigative procedures have failed to produce required evidence or are unlikely to succeed
• [Must] Indicate the period for which the interception direction is required
• [Must] Indicate whether any previous application exists for the same person or facility and its current status
• [Must] Comply with any supplementary directives relating to interception direction applications
• [Must] Application must be made by an applicant specified in the definition of 'applicant' for relevant grounds
• [May] Designated judge may issue interception direction upon application without notice or hearing</t>
        </is>
      </c>
      <c r="N1849" s="11" t="inlineStr">
        <is>
          <t>• [Must] Designated judge must be satisfied there are reasonable grounds to believe serious offence is committed
• [Must] Designated judge must be satisfied interception of communications will be obtained by the direction
• [Must] Designated judge must be satisfied facilities used for communications are commonly used by the applicant
• [May] Interception direction may specify conditions or restrictions on communication interception
• [Must] Interception direction may be issued for a period not exceeding three months</t>
        </is>
      </c>
      <c r="O1849" s="11" t="inlineStr">
        <is>
          <t>An application on a ground referred to in- (a) subsection (5) (a) (i), must be made by an applicant referred to in paragraph (a), (d) or (f) of the definition of 'applicant';</t>
        </is>
      </c>
      <c r="P1849" s="12" t="n">
        <v>72</v>
      </c>
    </row>
    <row r="1850">
      <c r="A1850" t="inlineStr">
        <is>
          <t>South Africa</t>
        </is>
      </c>
      <c r="B1850" t="inlineStr">
        <is>
          <t>2002-070</t>
        </is>
      </c>
      <c r="C1850" t="inlineStr">
        <is>
          <t>3 (part 7)</t>
        </is>
      </c>
      <c r="D1850" s="11" t="inlineStr">
        <is>
          <t>Real-time communication-related direction application requirements</t>
        </is>
      </c>
      <c r="E1850" t="inlineStr">
        <is>
          <t>15–17</t>
        </is>
      </c>
      <c r="F1850" t="inlineStr">
        <is>
          <t>High</t>
        </is>
      </c>
      <c r="G1850" t="inlineStr">
        <is>
          <t>High (explicit)</t>
        </is>
      </c>
      <c r="H1850" s="11" t="inlineStr">
        <is>
          <t>Cross-border Transfer, International Processing, Data Storage, Security, Incident Reporting, Breach Notification, Governance, Record Keeping</t>
        </is>
      </c>
      <c r="I1850" s="11" t="inlineStr">
        <is>
          <t>Personal Information, Financial Data, Customer Data, Special Personal Information</t>
        </is>
      </c>
      <c r="J1850" t="inlineStr">
        <is>
          <t>Designated judge</t>
        </is>
      </c>
      <c r="K1850" s="11" t="inlineStr">
        <is>
          <t>This section outlines the requirements for applications seeking real-time communication-related directions, including details on the ground for application, facts alleged, type of information required, and the period for which information must be provided. It specifies that real-time communication-related directions may be issued for up to three months and must include information on the customer, type of information, and basis for believing evidence will be obtained. The judge must be satisfied there are reasonable grounds to believe serious offences or threats to public safety are occurring.</t>
        </is>
      </c>
      <c r="L1850" s="11" t="inlineStr">
        <is>
          <t>This section defines the conditions under which real-time data transfers for communication-related information can be authorized, impacting DTIAs by establishing when real-time data interception is permissible across borders for security purposes.</t>
        </is>
      </c>
      <c r="M1850" s="11" t="inlineStr">
        <is>
          <t>• [Must] Indicate whether real-time communication-related information must be routed to a designated interception centre
• [Must] Indicate the period for which real-time communication-related information is required
• [Must] Indicate whether any previous application exists for the same customer or information and its status
• [Must] Application must be made by an applicant specified in the definition of 'applicant' for relevant grounds</t>
        </is>
      </c>
      <c r="N1850" s="11" t="inlineStr">
        <is>
          <t>• [May] Designated judge may issue real-time communication-related direction without notice or hearing
• [Must] Designated judge must be satisfied there are reasonable grounds to believe serious offence is committed
• [Must] Designated judge must be satisfied gathering information is necessary for public health, safety, or national security</t>
        </is>
      </c>
      <c r="O1850" s="11" t="inlineStr">
        <is>
          <t>An applicant may apply to a designated judge for the issuing of a real-time communication-related direction.</t>
        </is>
      </c>
      <c r="P1850" s="12" t="n">
        <v>72</v>
      </c>
    </row>
    <row r="1851">
      <c r="A1851" t="inlineStr">
        <is>
          <t>South Africa</t>
        </is>
      </c>
      <c r="B1851" t="inlineStr">
        <is>
          <t>2002-070</t>
        </is>
      </c>
      <c r="C1851" t="inlineStr">
        <is>
          <t>3 (part 8)</t>
        </is>
      </c>
      <c r="D1851" s="11" t="inlineStr">
        <is>
          <t>Decryption direction requirements for interception</t>
        </is>
      </c>
      <c r="E1851" t="inlineStr">
        <is>
          <t>17–19</t>
        </is>
      </c>
      <c r="F1851" t="inlineStr">
        <is>
          <t>High</t>
        </is>
      </c>
      <c r="G1851" t="inlineStr">
        <is>
          <t>High (explicit)</t>
        </is>
      </c>
      <c r="H1851" s="11" t="inlineStr"/>
      <c r="I1851" s="11" t="inlineStr"/>
      <c r="J1851" t="inlineStr">
        <is>
          <t>Designated Judge</t>
        </is>
      </c>
      <c r="K1851" s="11" t="inlineStr">
        <is>
          <t>This section details the specific information required for a decryption direction application to a designated judge. It mandates the applicant to provide the customer's identity if known, the encrypted information to be decrypted, the decryption key or assistance, the duration of the direction, any previous applications, and proof of interception results. The judge must satisfy conditions including reasonable grounds for encrypted information, possession of the key, purpose of interception, and practicality of obtaining information without decryption.</t>
        </is>
      </c>
      <c r="L1851" s="11" t="inlineStr">
        <is>
          <t>This section establishes requirements for decryption directions that impact data transfer impact assessments by specifying the information needed for decryption applications and the conditions under which a decryption direction may be issued, particularly relevant to cross-border data transfers involving encrypted communications.</t>
        </is>
      </c>
      <c r="M1851" s="11" t="inlineStr">
        <is>
          <t>• [Must] Indicate the customer, if known, in respect of whom the decryption of encrypted information is required
• [Must] Describe the encrypted information which is required to be decrypted
• [Must] Specify the decryption key, if known, which must be disclosed
• [Must] Specify the decryption assistance which must be provided, and the form and manner in which it must be provided
• [Must] Indicate the period for which the decryption direction is required to be issued</t>
        </is>
      </c>
      <c r="N1851" s="11" t="inlineStr">
        <is>
          <t>• [Must] Indicate whether any previous application has been made for the issuing of a decryption direction in respect of the same customer or encrypted information
• [Must] Indicate the current status of that application if such previous application exists
• [Must] Provide proof that an interception direction has been issued
• [Must] Provide an affidavit setting forth the results obtained from the interception direction concerned from the date of its issuance up to the date on which that application is made
• [Must] Comply with any supplementary directives relating to applications for decryption directions issued under section 58</t>
        </is>
      </c>
      <c r="O1851" s="11" t="inlineStr">
        <is>
          <t>customer, if known, in respect of whom the decryption of encrypted information is required; and (iii) decryption key holder to whom the decryption direction must be addressed; describe the encrypted information which is required to be decrypted; specify the- (i) decryption key, if known, which must be disclosed; or (ii) decryption assistance which must be provided, and the form and manner in which it must be provided; indicate the period for which the decryption direction is required to be issued; indicate whether any previous application has been made for the issuing of a decryption direction in respect of the same customer or encrypted information specified in the application and, if such previous application exists, must indicate the current status of that application</t>
        </is>
      </c>
      <c r="P1851" s="12" t="n">
        <v>72</v>
      </c>
    </row>
    <row r="1852">
      <c r="A1852" t="inlineStr">
        <is>
          <t>South Africa</t>
        </is>
      </c>
      <c r="B1852" t="inlineStr">
        <is>
          <t>2002-070</t>
        </is>
      </c>
      <c r="C1852" t="inlineStr">
        <is>
          <t>3 (part 9)</t>
        </is>
      </c>
      <c r="D1852" s="11" t="inlineStr">
        <is>
          <t>Decryption and entry warrant applications with journalist/lawyer protections</t>
        </is>
      </c>
      <c r="E1852" t="inlineStr">
        <is>
          <t>19</t>
        </is>
      </c>
      <c r="F1852" t="inlineStr">
        <is>
          <t>High</t>
        </is>
      </c>
      <c r="G1852" t="inlineStr">
        <is>
          <t>High (explicit)</t>
        </is>
      </c>
      <c r="H1852" s="11" t="inlineStr"/>
      <c r="I1852" s="11" t="inlineStr"/>
      <c r="J1852" t="inlineStr">
        <is>
          <t>Designated Judge</t>
        </is>
      </c>
      <c r="K1852" s="11" t="inlineStr">
        <is>
          <t>This section outlines the requirements for applications for decryption directions and entry warrants, including the need to disclose if the intended subject is a journalist or practicing lawyer. It mandates that designated judges grant such applications only if necessary, with conditions to protect journalistic sources or legal professional privilege. The section also specifies that oral applications must be followed by written submissions within 48 hours.</t>
        </is>
      </c>
      <c r="L1852" s="11" t="inlineStr">
        <is>
          <t>This section impacts data transfer impact assessments by requiring specific disclosures for applications involving journalists or lawyers, and mandating that decryption and entry warrants be issued only when necessary with safeguards for professional privacy, which affects cross-border data handling.</t>
        </is>
      </c>
      <c r="M1852" s="11" t="inlineStr">
        <is>
          <t>• [Must] Confirm that oral direction or oral entry warrant in writing within 12 hours after the issuing thereof
• [Must] If the person in respect of whom a direction, extension of a direction or entry warrant is sought is a journalist or practising lawyer, disclose the fact to the designated judge</t>
        </is>
      </c>
      <c r="N1852" s="11" t="inlineStr">
        <is>
          <t>• [Must] Grant the direction, extension of a direction or entry warrant only if satisfied it is necessary, notwithstanding the subject is a journalist or practising lawyer
• [May] Issue the direction, extension of a direction or entry warrant subject to conditions necessary to protect journalistic sources or legal professional privilege</t>
        </is>
      </c>
      <c r="O1852" s="11" t="inlineStr">
        <is>
          <t>Where the person in respect of whom a direction, extension of a direction or entry warrant is sought in terms of sections 16, 1. 17, 18, 20, 21, 22 or 23, whichever is applicable, is a journalist or practising lawyer, the application must disclose to the designated Judge the fact that the intended subject of the direction, extension of a direction or entry warrant is a journalist or practising lawyer.</t>
        </is>
      </c>
      <c r="P1852" s="12" t="n">
        <v>72</v>
      </c>
    </row>
    <row r="1853">
      <c r="A1853" t="inlineStr">
        <is>
          <t>South Africa</t>
        </is>
      </c>
      <c r="B1853" t="inlineStr">
        <is>
          <t>2002-070</t>
        </is>
      </c>
      <c r="C1853" t="inlineStr">
        <is>
          <t>6</t>
        </is>
      </c>
      <c r="D1853" s="11" t="inlineStr">
        <is>
          <t>Telecommunication service provider obligations for interception and communication storage</t>
        </is>
      </c>
      <c r="E1853" t="inlineStr">
        <is>
          <t>20–23</t>
        </is>
      </c>
      <c r="F1853" t="inlineStr">
        <is>
          <t>High</t>
        </is>
      </c>
      <c r="G1853" t="inlineStr">
        <is>
          <t>High (explicit)</t>
        </is>
      </c>
      <c r="H1853" s="11" t="inlineStr">
        <is>
          <t>Data Storage, Security, Cross-border Transfer, International Processing</t>
        </is>
      </c>
      <c r="I1853" s="11" t="inlineStr"/>
      <c r="J1853" t="inlineStr">
        <is>
          <t>Cabinet member responsible for communications</t>
        </is>
      </c>
      <c r="K1853" s="11" t="inlineStr">
        <is>
          <t>Telecommunication service providers must provide interception-capable services and store communication-related information. The Cabinet member responsible for communications must issue directives specifying technical requirements, security measures, and storage periods for intercepted communications. Providers must comply with these directives within a three to six-month timeframe and bear all costs associated with interception capabilities and data storage.</t>
        </is>
      </c>
      <c r="L1853" s="11" t="inlineStr">
        <is>
          <t>This section mandates specific technical and security requirements for telecommunication services to intercept communications, which impacts data transfer and storage practices across borders. The storage period for intercepted data (3-5 years) creates significant data retention considerations for cross-border data flows.</t>
        </is>
      </c>
      <c r="M1853" s="11" t="inlineStr">
        <is>
          <t>• [Must] Telecommunication service provider must provide interception-capable services
• [Must] Telecommunication service provider must store communication-related information
• [Must] Cabinet member must issue directives determining technical requirements for interception
• [Must] Cabinet member must determine security, technical and functional requirements for facilities and devices</t>
        </is>
      </c>
      <c r="N1853" s="11" t="inlineStr">
        <is>
          <t>• [Must] Cabinet member must specify communication-related information to store and minimum 3-year storage period
• [Must] Cabinet member must set compliance period of 3-6 months for directives
• [Must] Telecommunication service provider must acquire facilities and devices at own cost
• [Must] Telecommunication service provider bears costs for interception capabilities and data storage</t>
        </is>
      </c>
      <c r="O1853" s="11" t="inlineStr">
        <is>
          <t>A telecommunication service provider must- (a) provide a telecommunication service which has the capability to be intercepted; and (b) store communication-related information.</t>
        </is>
      </c>
      <c r="P1853" s="12" t="n">
        <v>72</v>
      </c>
    </row>
    <row r="1854">
      <c r="A1854" t="inlineStr">
        <is>
          <t>South Africa</t>
        </is>
      </c>
      <c r="B1854" t="inlineStr">
        <is>
          <t>2002-070</t>
        </is>
      </c>
      <c r="C1854" t="inlineStr">
        <is>
          <t>6 (part 2)</t>
        </is>
      </c>
      <c r="D1854" s="11" t="inlineStr">
        <is>
          <t>Compliance period for interception directives</t>
        </is>
      </c>
      <c r="E1854" t="inlineStr">
        <is>
          <t>23–25</t>
        </is>
      </c>
      <c r="F1854" t="inlineStr">
        <is>
          <t>Medium</t>
        </is>
      </c>
      <c r="G1854" t="inlineStr">
        <is>
          <t>High (explicit)</t>
        </is>
      </c>
      <c r="H1854" s="11" t="inlineStr">
        <is>
          <t>Data Storage, Security, Cross-border Transfer</t>
        </is>
      </c>
      <c r="I1854" s="11" t="inlineStr"/>
      <c r="J1854" t="inlineStr">
        <is>
          <t>Cabinet member responsible for communications</t>
        </is>
      </c>
      <c r="K1854" s="11" t="inlineStr">
        <is>
          <t>The Cabinet member responsible for communications must specify a compliance period of 3-6 months for telecommunication service providers to implement interception directives. This period must be explicitly stated in the directive and allows providers time to meet technical and security requirements while ensuring timely implementation of interception capabilities.</t>
        </is>
      </c>
      <c r="L1854" s="11" t="inlineStr">
        <is>
          <t>This section establishes a 3-6 month compliance window for implementing interception directives, which affects how quickly data can be transferred and stored across borders for law enforcement purposes.</t>
        </is>
      </c>
      <c r="M1854" s="11" t="inlineStr">
        <is>
          <t>• [Must] Cabinet member must determine compliance period of 3-6 months for interception directives</t>
        </is>
      </c>
      <c r="N1854" s="11" t="inlineStr"/>
      <c r="O1854" s="11" t="inlineStr">
        <is>
          <t>The Cabinet member responsible for communications must, on the date of the issuing of a telecommunication service licence... determine a period, which may not be less than three months and not more than six months from the date on which a directive referred to in paragraph (a) is issued, for compliance with such a directive</t>
        </is>
      </c>
      <c r="P1854" s="12" t="n">
        <v>72</v>
      </c>
    </row>
    <row r="1855">
      <c r="A1855" t="inlineStr">
        <is>
          <t>South Africa</t>
        </is>
      </c>
      <c r="B1855" t="inlineStr">
        <is>
          <t>2002-070</t>
        </is>
      </c>
      <c r="C1855" t="inlineStr">
        <is>
          <t>6 (part 3)</t>
        </is>
      </c>
      <c r="D1855" s="11" t="inlineStr">
        <is>
          <t>Quarterly reporting requirements for interception centre heads</t>
        </is>
      </c>
      <c r="E1855" t="inlineStr">
        <is>
          <t>25–27</t>
        </is>
      </c>
      <c r="F1855" t="inlineStr">
        <is>
          <t>Low</t>
        </is>
      </c>
      <c r="G1855" t="inlineStr">
        <is>
          <t>High (explicit)</t>
        </is>
      </c>
      <c r="H1855" s="11" t="inlineStr"/>
      <c r="I1855" s="11" t="inlineStr">
        <is>
          <t>Special Personal Information</t>
        </is>
      </c>
      <c r="J1855" t="inlineStr">
        <is>
          <t>Director</t>
        </is>
      </c>
      <c r="K1855" s="11" t="inlineStr">
        <is>
          <t>The head of an interception centre must submit quarterly written reports to the Director detailing records kept, known abuses, system defects, and any other matters the Director requests. They may also submit urgent reports if they deem a matter critical. The Director must then share a copy of these reports with the Minister and the Intelligence Services Control Act's Joint Standing Committee Chairperson.</t>
        </is>
      </c>
      <c r="L1855" s="11" t="inlineStr">
        <is>
          <t>Requires interception centres to report system defects and abuses quarterly, which could impact data transfer assessments if the centre handles cross-border communications.</t>
        </is>
      </c>
      <c r="M1855" s="11" t="inlineStr">
        <is>
          <t>• [Must] Head of interception centre must submit quarterly written reports to Director on records kept
• [Must] Head must report known abuses in executing directions
• [Must] Head must report system defects discovered</t>
        </is>
      </c>
      <c r="N1855" s="11" t="inlineStr">
        <is>
          <t>• [Must] Head must report any other matters Director requests
• [May] Head may submit urgent reports if critical matters exist
• [Must] Director must share reports with Minister and Joint Standing Committee Chairperson</t>
        </is>
      </c>
      <c r="O1855" s="11" t="inlineStr">
        <is>
          <t>The head of an interception centre must on a quarterly basis, or as often as the Director requires, submit a written report to the Director on- (i) the records kept by him or her in terms of subsection (1); (ii) any abuses in connection with the execution of directions which he or she is aware of; (iii) any defects in any telecommunication system or in the operation of the interception centre which have been discovered; and (iv) such activities at the interception centre or on any other matter relating to this Act which the Director requests the head of the interception centre to deal with in such report.</t>
        </is>
      </c>
      <c r="P1855" s="12" t="n">
        <v>72</v>
      </c>
    </row>
    <row r="1856">
      <c r="A1856" t="inlineStr">
        <is>
          <t>South Africa</t>
        </is>
      </c>
      <c r="B1856" t="inlineStr">
        <is>
          <t>2002-070</t>
        </is>
      </c>
      <c r="C1856" t="inlineStr">
        <is>
          <t>6 (part 5)</t>
        </is>
      </c>
      <c r="D1856" s="11" t="inlineStr">
        <is>
          <t>Exemptions for internet service providers under specific conditions</t>
        </is>
      </c>
      <c r="E1856" t="inlineStr">
        <is>
          <t>29–31</t>
        </is>
      </c>
      <c r="F1856" t="inlineStr">
        <is>
          <t>Medium</t>
        </is>
      </c>
      <c r="G1856" t="inlineStr">
        <is>
          <t>High (explicit)</t>
        </is>
      </c>
      <c r="H1856" s="11" t="inlineStr"/>
      <c r="I1856" s="11" t="inlineStr">
        <is>
          <t>Personal Information</t>
        </is>
      </c>
      <c r="J1856" t="inlineStr">
        <is>
          <t>Minister</t>
        </is>
      </c>
      <c r="K1856" s="11" t="inlineStr">
        <is>
          <t>The Minister may grant exemptions for internet service providers under specific conditions, including small business constraints, reasonable necessity for listed equipment, public interest, or special circumstances. Exemptions must be granted via a certificate specifying the scope, period, and conditions, published in the Gazette, and approved by the National Assembly within two months or 14 days after the next ordinary session. The certificate may be amended or withdrawn by the Minister, and exemptions lapse upon termination of the period or withdrawal of the certificate.</t>
        </is>
      </c>
      <c r="L1856" s="11" t="inlineStr">
        <is>
          <t>Exemptions require specific conditions to be met, including small business constraints, public interest, or special circumstances. The certificate must be published in the Gazette and approved by the National Assembly, creating a regulatory pathway for data transfers that requires transparency and oversight.</t>
        </is>
      </c>
      <c r="M1856" s="11" t="inlineStr">
        <is>
          <t>• [Must] The Minister may only grant an exemption under subsection (1) (a) if satisfied that the Internet service provider carries on a small business that cannot comply with section 30 (4)
• [Must] The Minister may only grant an exemption under subsection (1) (a) if satisfied that the purpose for which listed equipment will be manufactured, assembled, possessed, sold, purchased or advertised is reasonably necessary
• [Must] The Minister may only grant an exemption under subsection (1) (a) if satisfied that such exemption is in the public interest
• [Must] The Minister may only grant an exemption under subsection (1) (a) if satisfied that special circumstances exist which justify such exemption
• [Must] The certificate of exemption must specify the name, scope, period and conditions of the exemption
• [Must] The certificate of exemption must be published in the Gazette
• [Must] The certificate of exemption becomes valid upon publication in the Gazette</t>
        </is>
      </c>
      <c r="N1856" s="11" t="inlineStr">
        <is>
          <t>• [Must] The Minister must table the certificate of exemption in the National Assembly for approval
• [Must] The National Assembly may reject a certificate within two months after tabling if Parliament is in ordinary session, or within 14 days after the next ordinary session
• [Must] The Minister may table an amended certificate if the National Assembly rejects the original certificate
• [Must] The Minister must publish the amended certificate within one month of National Assembly approval
• [May] The certificate of exemption may be amended or withdrawn by the Minister at any time
• [Must] An exemption lapses upon termination of the period for which it was granted
• [Must] An exemption lapses upon withdrawal of the relevant certificate</t>
        </is>
      </c>
      <c r="O1856" s="11" t="inlineStr">
        <is>
          <t>The Minister may only grant an exemption under subsection (1) (a) if he or she is satisfied that- (a) in the case of an exemption under subsection (1) (a) (i), the Internet service provider concerned carries on such a small business that he or she cannot comply with section 30 (4); or (b) in the case of an exemption under subsection (1) (a) (ii), the purpose for which the listed equipment will be manufactured, assembled, possessed, sold, purchased or advertised is reasonably necessary; and (c) such exemption is in the public interest; or (d) special circumstances exist which justify such exemption.</t>
        </is>
      </c>
      <c r="P1856" s="12" t="n">
        <v>72</v>
      </c>
    </row>
    <row r="1857">
      <c r="A1857" t="inlineStr">
        <is>
          <t>South Africa</t>
        </is>
      </c>
      <c r="B1857" t="inlineStr">
        <is>
          <t>2002-070</t>
        </is>
      </c>
      <c r="C1857" t="inlineStr">
        <is>
          <t>6 (part 7)</t>
        </is>
      </c>
      <c r="D1857" s="11" t="inlineStr">
        <is>
          <t>Court order to return forfeited telecommunications equipment</t>
        </is>
      </c>
      <c r="E1857" t="inlineStr">
        <is>
          <t>33–34</t>
        </is>
      </c>
      <c r="F1857" t="inlineStr">
        <is>
          <t>Medium</t>
        </is>
      </c>
      <c r="G1857" t="inlineStr">
        <is>
          <t>High (explicit)</t>
        </is>
      </c>
      <c r="H1857" s="11" t="inlineStr">
        <is>
          <t>Cross-border Transfer, Data Storage, Third Party Processing</t>
        </is>
      </c>
      <c r="I1857" s="11" t="inlineStr">
        <is>
          <t>Personal Information</t>
        </is>
      </c>
      <c r="J1857" t="inlineStr">
        <is>
          <t>Court</t>
        </is>
      </c>
      <c r="K1857" s="11" t="inlineStr">
        <is>
          <t>If a court determines that listed equipment belongs to the telecommunication service provider or other person concerned and that they are a person referred to in subsection (5), the court must set aside the forfeiture declaration and order the return of the equipment. If the court's determination is adverse to the applicant, they may appeal as if it were a conviction. The court must consider the criminal proceedings record and may hear additional evidence.</t>
        </is>
      </c>
      <c r="L1857" s="11" t="inlineStr">
        <is>
          <t>This section requires courts to return forfeited telecommunications equipment to the rightful owner if certain conditions are met, which impacts data transfer assessments involving telecommunications equipment.</t>
        </is>
      </c>
      <c r="M1857" s="11" t="inlineStr">
        <is>
          <t>• [Must] Court must set aside forfeiture declaration and direct return of listed equipment to telecommunication service provider or other person concerned
• [May] If court determination is adverse to applicant, they may appeal as if conviction</t>
        </is>
      </c>
      <c r="N1857" s="11" t="inlineStr">
        <is>
          <t>• [Must] Court must consider criminal proceedings record in determining matters
• [May] Court may hear additional evidence by affidavit or orally</t>
        </is>
      </c>
      <c r="O1857" s="11" t="inlineStr">
        <is>
          <t>inquire into and determine those matters. (b) If the court referred to in paragraph (a) is satisfied that the- (i) listed equipment concerned is the property of the telecommunication service provider or other person concerned; and (ii) telecommunication service provider or other person concerned is a person referred to in subsection (5), the court must set aside the declaration of forfeiture and direct that the listed equipment concerned be returned to such telecommunication service provider or other person.</t>
        </is>
      </c>
      <c r="P1857" s="12" t="n">
        <v>72</v>
      </c>
    </row>
    <row r="1858">
      <c r="A1858" t="inlineStr">
        <is>
          <t>South Africa</t>
        </is>
      </c>
      <c r="B1858" t="inlineStr">
        <is>
          <t>2002-070</t>
        </is>
      </c>
      <c r="C1858" t="inlineStr">
        <is>
          <t>7</t>
        </is>
      </c>
      <c r="D1858" s="11" t="inlineStr">
        <is>
          <t>Section 63 substituted by Act 48 of 2008</t>
        </is>
      </c>
      <c r="E1858" t="inlineStr">
        <is>
          <t>34–35</t>
        </is>
      </c>
      <c r="F1858" t="inlineStr">
        <is>
          <t>None</t>
        </is>
      </c>
      <c r="G1858" t="inlineStr">
        <is>
          <t>High (explicit)</t>
        </is>
      </c>
      <c r="H1858" s="11" t="inlineStr"/>
      <c r="I1858" s="11" t="inlineStr"/>
      <c r="J1858" t="inlineStr"/>
      <c r="K1858" s="11" t="inlineStr">
        <is>
          <t>This section indicates that Section 63 of the Act was amended by Act 48 of 2008, effective from 1 July 2009. The amendment relates to the short title and commencement of the Act, which specifies the effective date of certain provisions.</t>
        </is>
      </c>
      <c r="L1858" s="11" t="inlineStr"/>
      <c r="M1858" s="11" t="inlineStr">
        <is>
          <t>• [Condition] Section 63 of the Act was substituted by section 6 of Act 48 of 2008 effective 1 July 2009</t>
        </is>
      </c>
      <c r="N1858" s="11" t="inlineStr"/>
      <c r="O1858" s="11" t="inlineStr">
        <is>
          <t>[S. 63 substituted by s. 6 of Act 48 of 2008 (wef 1 July 2009).]</t>
        </is>
      </c>
      <c r="P1858" s="12" t="n">
        <v>72</v>
      </c>
    </row>
    <row r="1859">
      <c r="A1859" t="inlineStr">
        <is>
          <t>South Africa</t>
        </is>
      </c>
      <c r="B1859" t="inlineStr">
        <is>
          <t>2024 Open Finance_FSCA Position Paper</t>
        </is>
      </c>
      <c r="C1859" t="inlineStr">
        <is>
          <t>1</t>
        </is>
      </c>
      <c r="D1859" s="11" t="inlineStr">
        <is>
          <t>Executive summary of FSCA's Open Finance policy recommendations</t>
        </is>
      </c>
      <c r="E1859" t="inlineStr">
        <is>
          <t>3–4</t>
        </is>
      </c>
      <c r="F1859" t="inlineStr">
        <is>
          <t>High</t>
        </is>
      </c>
      <c r="G1859" t="inlineStr">
        <is>
          <t>High (explicit)</t>
        </is>
      </c>
      <c r="H1859" s="11" t="inlineStr">
        <is>
          <t>Cross-border Transfer, Data Sharing, Data Storage, Security, Consent, Financial Data, KYC, AML</t>
        </is>
      </c>
      <c r="I1859" s="11" t="inlineStr">
        <is>
          <t>Financial Data</t>
        </is>
      </c>
      <c r="J1859" t="inlineStr">
        <is>
          <t>FSCA</t>
        </is>
      </c>
      <c r="K1859" s="11" t="inlineStr">
        <is>
          <t>The FSCA outlines seven policy recommendations for Open Finance implementation in South Africa. These include mandatory regulation of participants, licensing requirements, establishing a data-protection framework, developing risk management frameworks, creating data protection standards, ensuring consumer access to information and recourse mechanisms, and forming an Open Finance Advisory Group. The recommendations aim to balance Open Finance benefits with risk mitigation in the financial sector.</t>
        </is>
      </c>
      <c r="L1859" s="11" t="inlineStr">
        <is>
          <t>This section establishes the policy framework for Open Finance in South Africa, requiring financial institutions to implement consent-based data sharing with third parties while managing associated risks. It sets the stage for data transfer impact assessments by defining the regulatory approach to Open Finance.</t>
        </is>
      </c>
      <c r="M1859" s="11" t="inlineStr">
        <is>
          <t>• [Must] Participants in Open Finance should be regulated and a mandatory approach implemented
• [Must] Participants in Open Finance should be licensed and regulated
• [Must] A suitable data-protection and consent framework must be put in place
• [Must] Appropriate risk management and disclosure frameworks must be developed</t>
        </is>
      </c>
      <c r="N1859" s="11" t="inlineStr">
        <is>
          <t>• [Must] Data protection and sharing standards must be developed
• [Must] Consumers must have access to information and recourse mechanisms
• [Must] An Advisory Group for Open Finance comprising industry participants and other experts should be established</t>
        </is>
      </c>
      <c r="O1859" s="11" t="inlineStr">
        <is>
          <t>The FSCA continues to support mandating Open Finance in future, noting that the foundational Open Finance Programme of Work will likely need to take place in preparation to optimise the value to be derived from Open Finance and mimimise market disruption.</t>
        </is>
      </c>
      <c r="P1859" s="12" t="n">
        <v>73</v>
      </c>
    </row>
    <row r="1860">
      <c r="A1860" t="inlineStr">
        <is>
          <t>South Africa</t>
        </is>
      </c>
      <c r="B1860" t="inlineStr">
        <is>
          <t>2024 Open Finance_FSCA Position Paper</t>
        </is>
      </c>
      <c r="C1860" t="inlineStr">
        <is>
          <t>2</t>
        </is>
      </c>
      <c r="D1860" s="11" t="inlineStr">
        <is>
          <t>Background and introduction to Open Finance ecosystem</t>
        </is>
      </c>
      <c r="E1860" t="inlineStr">
        <is>
          <t>4–5</t>
        </is>
      </c>
      <c r="F1860" t="inlineStr">
        <is>
          <t>High</t>
        </is>
      </c>
      <c r="G1860" t="inlineStr">
        <is>
          <t>High (explicit)</t>
        </is>
      </c>
      <c r="H1860" s="11" t="inlineStr">
        <is>
          <t>Data Sharing, Security, Consent, Financial Data, KYC, AML</t>
        </is>
      </c>
      <c r="I1860" s="11" t="inlineStr">
        <is>
          <t>Financial Data</t>
        </is>
      </c>
      <c r="J1860" t="inlineStr">
        <is>
          <t>FSCA</t>
        </is>
      </c>
      <c r="K1860" s="11" t="inlineStr">
        <is>
          <t>This section details the FSCA's process for developing Open Finance policy in South Africa, starting from 2020 research and consultations. It highlights the absence of a tailored regulatory framework for financial institutions participating in Open Finance, the risks associated with data sharing including privacy breaches and fraud, and the fact that most third-party providers are unlicensed and outside FSCA's regulatory scope. The section emphasizes the need for a balanced regulatory approach that enables Open Finance while mitigating risks.</t>
        </is>
      </c>
      <c r="L1860" s="11" t="inlineStr">
        <is>
          <t>This section identifies key risks in the Open Finance ecosystem that require data transfer impact assessments, particularly the lack of regulatory oversight for third-party providers and the potential for data privacy breaches when financial institutions share customer data.</t>
        </is>
      </c>
      <c r="M1860" s="11" t="inlineStr">
        <is>
          <t>• [Must] The FSCA started a comprehensive process in 2020 with the Regulating Open Finance Research and Consultation Paper
• [Must] The FSCA held two public workshops in 2021 focusing on consent, customer protection, dispute resolution, data-sharing standards, commercial models and data protection
• [Must] The FSCA developed the Draft Position Paper on Open Finance in 2023
• [Must] The FSCA conducted an Information Request in October 2023 to gather stakeholder submissions</t>
        </is>
      </c>
      <c r="N1860" s="11" t="inlineStr">
        <is>
          <t>• [Must] Most third-party providers are not licensed as financial institutions and fall outside FSCA's regulatory framework
• [Must] Open Finance offers potential benefits such as increased competition, innovative financial services and enhanced value for customers
• [Must] Open Finance exposes customers to risks including data privacy breaches, breaches of contractual agreements, and fraud</t>
        </is>
      </c>
      <c r="O1860" s="11" t="inlineStr">
        <is>
          <t>The FSCA continues to support mandating Open Finance in future, noting that the foundational Open Finance Programme of Work will likely need to take place in preparation to optimise the value to be derived from Open Finance and mimimise market disruption.</t>
        </is>
      </c>
      <c r="P1860" s="12" t="n">
        <v>73</v>
      </c>
    </row>
    <row r="1861">
      <c r="A1861" t="inlineStr">
        <is>
          <t>South Africa</t>
        </is>
      </c>
      <c r="B1861" t="inlineStr">
        <is>
          <t>2024 Open Finance_FSCA Position Paper</t>
        </is>
      </c>
      <c r="C1861" t="inlineStr">
        <is>
          <t>3</t>
        </is>
      </c>
      <c r="D1861" s="11" t="inlineStr">
        <is>
          <t>Definitions of Open Finance, Open Banking and data sharing ecosystem</t>
        </is>
      </c>
      <c r="E1861" t="inlineStr">
        <is>
          <t>5–8</t>
        </is>
      </c>
      <c r="F1861" t="inlineStr">
        <is>
          <t>High</t>
        </is>
      </c>
      <c r="G1861" t="inlineStr">
        <is>
          <t>High (explicit)</t>
        </is>
      </c>
      <c r="H1861" s="11" t="inlineStr">
        <is>
          <t>Data Sharing, Data Storage, Security, Consent, Financial Data, KYC, AML</t>
        </is>
      </c>
      <c r="I1861" s="11" t="inlineStr">
        <is>
          <t>Financial Data</t>
        </is>
      </c>
      <c r="J1861" t="inlineStr">
        <is>
          <t>FSCA</t>
        </is>
      </c>
      <c r="K1861" s="11" t="inlineStr">
        <is>
          <t>This section provides working definitions for Open Finance and Open Finance services, aligning with international standards. It explains that Open Finance is the practice of financial institutions sharing financial customer data with third parties subject to customer consent, and extends beyond Open Banking to include a broader scope of financial products and services. The section also outlines the key entities in the Open Finance ecosystem including data subjects, data holders, data users, and data aggregators.</t>
        </is>
      </c>
      <c r="L1861" s="11" t="inlineStr">
        <is>
          <t>This section defines the data sharing ecosystem and key entities involved in Open Finance, which is critical for data transfer impact assessments as it clarifies the roles and responsibilities of different parties in the data flow process.</t>
        </is>
      </c>
      <c r="M1861" s="11" t="inlineStr">
        <is>
          <t>• [Must] Open finance means the practice of financial institutions sharing their financial customer's financial data with third parties, subject to that customer's full consent, for the provision of open finance services by those third parties, and any activities connected therewith</t>
        </is>
      </c>
      <c r="N1861" s="11" t="inlineStr">
        <is>
          <t>• [Must] Open finance service refers to a service/s developed for a financial customer by using that customer's financial data, which rely on the provision and movement and/or use of that customer's data</t>
        </is>
      </c>
      <c r="O1861" s="11" t="inlineStr">
        <is>
          <t>Open finance means the practice of financial institutions sharing their financial customer's financial data with third parties, subject to that customer's full consent, for the provision of open finance services by those third parties, and any activities connected therewith.</t>
        </is>
      </c>
      <c r="P1861" s="12" t="n">
        <v>73</v>
      </c>
    </row>
    <row r="1862">
      <c r="A1862" t="inlineStr">
        <is>
          <t>South Africa</t>
        </is>
      </c>
      <c r="B1862" t="inlineStr">
        <is>
          <t>2024 Open Finance_FSCA Position Paper</t>
        </is>
      </c>
      <c r="C1862" t="inlineStr">
        <is>
          <t>4</t>
        </is>
      </c>
      <c r="D1862" s="11" t="inlineStr">
        <is>
          <t>Policy considerations and risks for Open Finance implementation</t>
        </is>
      </c>
      <c r="E1862" t="inlineStr">
        <is>
          <t>8</t>
        </is>
      </c>
      <c r="F1862" t="inlineStr">
        <is>
          <t>High</t>
        </is>
      </c>
      <c r="G1862" t="inlineStr">
        <is>
          <t>Medium (minor interpretation)</t>
        </is>
      </c>
      <c r="H1862" s="11" t="inlineStr">
        <is>
          <t>Cross-border Transfer, Data Sharing, Consent</t>
        </is>
      </c>
      <c r="I1862" s="11" t="inlineStr">
        <is>
          <t>Customer Data, Financial Data</t>
        </is>
      </c>
      <c r="J1862" t="inlineStr">
        <is>
          <t>FSCA</t>
        </is>
      </c>
      <c r="K1862" s="11" t="inlineStr">
        <is>
          <t>This section outlines policy considerations and risks related to Open Finance in South Africa, including global comparisons with countries that have adopted voluntary or mandatory approaches. It details potential benefits such as improved financial resilience, financial inclusion, and competition. The section also identifies risks across customer, TPP, and financial institution categories, including financial exclusion, privacy concerns, and market competition issues.</t>
        </is>
      </c>
      <c r="L1862" s="11" t="inlineStr">
        <is>
          <t>This section is relevant for DTIAs as it identifies key risks and benefits of Open Finance, particularly regarding data sharing mechanisms and consent frameworks that impact cross-border data flows.</t>
        </is>
      </c>
      <c r="M1862" s="11" t="inlineStr">
        <is>
          <t>• [Must] FSCA considers global context of voluntary vs mandatory Open Finance approaches
• [Must] FSCA evaluates South African experience with Open Finance for strategic objectives</t>
        </is>
      </c>
      <c r="N1862" s="11" t="inlineStr">
        <is>
          <t>• [Must] FSCA assesses Open Finance benefits including financial resilience, inclusion, and competition
• [Must] FSCA identifies risks for customers, TPPs, and financial institutions</t>
        </is>
      </c>
      <c r="O1862" s="11" t="inlineStr">
        <is>
          <t>Policy considerations and risks related to Open Finance have been thoroughly interrogated in past IFWG9, FSCA10 and National Payment System Department (NPSD) publications11.</t>
        </is>
      </c>
      <c r="P1862" s="12" t="n">
        <v>73</v>
      </c>
    </row>
    <row r="1863">
      <c r="A1863" t="inlineStr">
        <is>
          <t>South Africa</t>
        </is>
      </c>
      <c r="B1863" t="inlineStr">
        <is>
          <t>2024 Open Finance_FSCA Position Paper</t>
        </is>
      </c>
      <c r="C1863" t="inlineStr">
        <is>
          <t>5</t>
        </is>
      </c>
      <c r="D1863" s="11" t="inlineStr">
        <is>
          <t>Stakeholder feedback on Open Finance draft position paper</t>
        </is>
      </c>
      <c r="E1863" t="inlineStr">
        <is>
          <t>13–16</t>
        </is>
      </c>
      <c r="F1863" t="inlineStr">
        <is>
          <t>High</t>
        </is>
      </c>
      <c r="G1863" t="inlineStr">
        <is>
          <t>High (explicit)</t>
        </is>
      </c>
      <c r="H1863" s="11" t="inlineStr">
        <is>
          <t>Cross-border Transfer, Data Sharing, Consent</t>
        </is>
      </c>
      <c r="I1863" s="11" t="inlineStr">
        <is>
          <t>Customer Data, Financial Data</t>
        </is>
      </c>
      <c r="J1863" t="inlineStr">
        <is>
          <t>FSCA</t>
        </is>
      </c>
      <c r="K1863" s="11" t="inlineStr">
        <is>
          <t>This section details stakeholder comments received on the FSCA's draft Open Finance Position Paper, including preferences for voluntary approaches, customer experience considerations, competitive landscape implications, alignment with existing legislation, liability frameworks, and financial literacy concerns. Stakeholders recommend specific actions such as clarifying regulatory obligations, ensuring alignment with POPIA, and establishing liability frameworks.</t>
        </is>
      </c>
      <c r="L1863" s="11" t="inlineStr">
        <is>
          <t>This section is relevant for DTIAs as it provides stakeholder insights into regulatory alignment, consent mechanisms, and risk management requirements for Open Finance implementations.</t>
        </is>
      </c>
      <c r="M1863" s="11" t="inlineStr">
        <is>
          <t>• [Must] FSCA may follow up with stakeholders for additional insights on Open Finance
• [Must] Stakeholders prefer voluntary approach to Open Finance with organic market development
• [Must] Stakeholders recommend clear regulatory plan for mandatory Open Finance implementation
• [Must] Stakeholders emphasize customer experience and value should drive Open Finance design</t>
        </is>
      </c>
      <c r="N1863" s="11" t="inlineStr">
        <is>
          <t>• [Must] Stakeholders support 'same activity, same risk, same rules' for regulatory oversight
• [Must] Stakeholders recommend alignment of Open Finance terminology with POPIA
• [Must] Stakeholders support flexible liability framework for data misuse</t>
        </is>
      </c>
      <c r="O1863" s="11" t="inlineStr">
        <is>
          <t>The FSCA received 16 submissions from stakeholders across different industry segments (see Annexure B).</t>
        </is>
      </c>
      <c r="P1863" s="12" t="n">
        <v>73</v>
      </c>
    </row>
    <row r="1864">
      <c r="A1864" t="inlineStr">
        <is>
          <t>South Africa</t>
        </is>
      </c>
      <c r="B1864" t="inlineStr">
        <is>
          <t>2024 Open Finance_FSCA Position Paper</t>
        </is>
      </c>
      <c r="C1864" t="inlineStr">
        <is>
          <t>6</t>
        </is>
      </c>
      <c r="D1864" s="11" t="inlineStr">
        <is>
          <t>Survey of Open Finance activities in South Africa</t>
        </is>
      </c>
      <c r="E1864" t="inlineStr">
        <is>
          <t>16–17</t>
        </is>
      </c>
      <c r="F1864" t="inlineStr">
        <is>
          <t>High</t>
        </is>
      </c>
      <c r="G1864" t="inlineStr">
        <is>
          <t>High (explicit)</t>
        </is>
      </c>
      <c r="H1864" s="11" t="inlineStr">
        <is>
          <t>Cross-border Transfer, International Processing, Data Sharing, Consent</t>
        </is>
      </c>
      <c r="I1864" s="11" t="inlineStr">
        <is>
          <t>Financial Data, Customer Data</t>
        </is>
      </c>
      <c r="J1864" t="inlineStr">
        <is>
          <t>FSCA</t>
        </is>
      </c>
      <c r="K1864" s="11" t="inlineStr">
        <is>
          <t>The FSCA conducted a survey in October 2023 to understand the uptake and practices of Open Finance activities among financial institutions and third-party providers in South Africa. Over 400 submissions were received, revealing that around 50 financial institutions generate more than 5% of revenue from Open Finance activities, with some entities having annual revenues exceeding R1 billion. The survey indicates that payment services are the most popular Open Finance activity, followed by insurance, lending, and KYC services. Financial institutions primarily target the retail market, while some entities focus on the corporate sector. The survey also highlights that most entities use consent management dashboards but have limited API development, with no insurers having developed APIs. The FSCA plans to publish a detailed report on these findings and engage further with stakeholders.</t>
        </is>
      </c>
      <c r="L1864" s="11" t="inlineStr">
        <is>
          <t>This section provides context on the current state of Open Finance activities in South Africa, indicating the market's early development stage and the need for consistent frameworks to support responsible data sharing. It highlights the importance of understanding participant practices for effective DTIA design.</t>
        </is>
      </c>
      <c r="M1864" s="11" t="inlineStr">
        <is>
          <t>• [Must] Financial institutions and TPPs must submit responses to FSCA's Information Request</t>
        </is>
      </c>
      <c r="N1864" s="11" t="inlineStr">
        <is>
          <t>• [Must] FSCA will publish a report detailing findings from the October 2023 Information Request</t>
        </is>
      </c>
      <c r="O1864" s="11" t="inlineStr">
        <is>
          <t>During October 2023, the FSCA surveyed industry participants to garner insights regarding the uptake, usage, and practices by financial institutions and TPPs that participate in Open Finance related activities in South Africa.</t>
        </is>
      </c>
      <c r="P1864" s="12" t="n">
        <v>73</v>
      </c>
    </row>
    <row r="1865">
      <c r="A1865" t="inlineStr">
        <is>
          <t>South Africa</t>
        </is>
      </c>
      <c r="B1865" t="inlineStr">
        <is>
          <t>2024 Open Finance_FSCA Position Paper</t>
        </is>
      </c>
      <c r="C1865" t="inlineStr">
        <is>
          <t>7</t>
        </is>
      </c>
      <c r="D1865" s="11" t="inlineStr">
        <is>
          <t>FSCA Policy Recommendations for Open Finance</t>
        </is>
      </c>
      <c r="E1865" t="inlineStr">
        <is>
          <t>17–20</t>
        </is>
      </c>
      <c r="F1865" t="inlineStr">
        <is>
          <t>High</t>
        </is>
      </c>
      <c r="G1865" t="inlineStr">
        <is>
          <t>High (explicit)</t>
        </is>
      </c>
      <c r="H1865" s="11" t="inlineStr">
        <is>
          <t>Consent, Data Sharing</t>
        </is>
      </c>
      <c r="I1865" s="11" t="inlineStr">
        <is>
          <t>Financial Data, Customer Data</t>
        </is>
      </c>
      <c r="J1865" t="inlineStr">
        <is>
          <t>FSCA</t>
        </is>
      </c>
      <c r="K1865" s="11" t="inlineStr">
        <is>
          <t>The FSCA proposes a phased regulatory approach for Open Finance, starting with voluntary adoption and transitioning to mandatory requirements. Key recommendations include regulating participants in Open Finance, implementing tailored oversight, ensuring explicit informed consent, developing risk management frameworks, standardizing data sharing through APIs, and establishing consumer awareness mechanisms. The FSCA emphasizes the need for proportionate regulatory requirements, clear consent principles, and contractual liability allocation for data misuse. The recommendations also include forming an Open Finance Advisory Group to guide implementation and align with international practices.</t>
        </is>
      </c>
      <c r="L1865" s="11" t="inlineStr">
        <is>
          <t>This section outlines critical safeguards for DTIA, including explicit consent requirements, risk management frameworks, API standardization, and liability allocation mechanisms that must be considered when assessing cross-border data transfers in Open Finance.</t>
        </is>
      </c>
      <c r="M1865" s="11" t="inlineStr">
        <is>
          <t>• [Must] Persons participating in Open Finance should be regulated for safe and ethical sharing of user consent-based financial data
• [Must] Consent should be explicit, informed, specific, and not conditional on other bundled products
• [Must] Consent should be clear and distinct, not aggregated with other consent agreements
• [Must] Customers should freely and voluntarily give and withdraw consent
• [Must] Consent should not be indefinite and should be easy to withdraw</t>
        </is>
      </c>
      <c r="N1865" s="11" t="inlineStr">
        <is>
          <t>• [Must] Providers must not continue to share or utilize data once consent is withdrawn
• [Must] Consent message must clearly identify risks to consumers
• [Must] Financial institutions and TPPs must develop risk management and disclosure frameworks
• [Must] Data sharing should be secure and standardized through agreed API standards
• [May] Financial institutions and TPPs may contractually allocate liabilities for data misuse</t>
        </is>
      </c>
      <c r="O1865" s="11" t="inlineStr">
        <is>
          <t>The FSCA aims to promote responsible Open Finance and recommends the following: Persons participating in Open Finance should be regulated for the safe and ethical sharing of user consent-based financial data to TPPs.</t>
        </is>
      </c>
      <c r="P1865" s="12" t="n">
        <v>73</v>
      </c>
    </row>
    <row r="1866">
      <c r="A1866" t="inlineStr">
        <is>
          <t>South Africa</t>
        </is>
      </c>
      <c r="B1866" t="inlineStr">
        <is>
          <t>2024 Open Finance_FSCA Position Paper</t>
        </is>
      </c>
      <c r="C1866" t="inlineStr">
        <is>
          <t>8</t>
        </is>
      </c>
      <c r="D1866" s="11" t="inlineStr">
        <is>
          <t>FSCA Programme of Work for Open Finance</t>
        </is>
      </c>
      <c r="E1866" t="inlineStr">
        <is>
          <t>20–21</t>
        </is>
      </c>
      <c r="F1866" t="inlineStr">
        <is>
          <t>High</t>
        </is>
      </c>
      <c r="G1866" t="inlineStr">
        <is>
          <t>High (explicit)</t>
        </is>
      </c>
      <c r="H1866" s="11" t="inlineStr">
        <is>
          <t>Consent, Data Sharing</t>
        </is>
      </c>
      <c r="I1866" s="11" t="inlineStr">
        <is>
          <t>Financial Data, Customer Data</t>
        </is>
      </c>
      <c r="J1866" t="inlineStr">
        <is>
          <t>FSCA</t>
        </is>
      </c>
      <c r="K1866" s="11" t="inlineStr">
        <is>
          <t>The FSCA outlines a series of actions to advance Open Finance, including developing open API standards, establishing consent and risk management frameworks, promoting voluntary adoption of responsible practices, identifying prioritized use cases for mandatory implementation, assessing legal gaps, building sector awareness, empowering consumers, and creating institutional arrangements between regulators. The programme emphasizes collaboration with stakeholders and the establishment of an Open Finance Advisory Group to guide implementation, with specific timelines for delivering each action item.</t>
        </is>
      </c>
      <c r="L1866" s="11" t="inlineStr">
        <is>
          <t>This section details the FSCA's roadmap for Open Finance implementation, highlighting the need for standardized APIs, consent frameworks, and risk management protocols that directly impact DTIA requirements for cross-border data transfers and third-party processing.</t>
        </is>
      </c>
      <c r="M1866" s="11" t="inlineStr">
        <is>
          <t>• [Must] FSCA will develop open API standards
• [Must] FSCA will develop suitable consent, risk management and disclosure frameworks
• [Must] FSCA will promote voluntary adoption of responsible Open Finance
• [Must] FSCA will develop a common view of use cases for mandatory implementation</t>
        </is>
      </c>
      <c r="N1866" s="11" t="inlineStr">
        <is>
          <t>• [Must] FSCA will assess legal framework for weaknesses and gaps
• [Must] FSCA will build knowledge and awareness of responsible Open Finance
• [Must] FSCA will empower consumers to respond to opportunities and risks in Open Finance
• [Must] FSCA will establish institutional arrangements between regulators</t>
        </is>
      </c>
      <c r="O1866" s="11" t="inlineStr">
        <is>
          <t>The FSCA will hold a series of engagements and workshops with stakeholders to further unpack submissions made to date, in support of the following Programme of Work: Developing open APIs standards.</t>
        </is>
      </c>
      <c r="P1866" s="12" t="n">
        <v>73</v>
      </c>
    </row>
    <row r="1867">
      <c r="A1867" t="inlineStr">
        <is>
          <t>South Africa</t>
        </is>
      </c>
      <c r="B1867" t="inlineStr">
        <is>
          <t>2024 Open Finance_FSCA Position Paper</t>
        </is>
      </c>
      <c r="C1867" t="inlineStr">
        <is>
          <t>9</t>
        </is>
      </c>
      <c r="D1867" s="11" t="inlineStr">
        <is>
          <t>Open Finance Approaches Across Jurisdictions</t>
        </is>
      </c>
      <c r="E1867" t="inlineStr">
        <is>
          <t>21–23</t>
        </is>
      </c>
      <c r="F1867" t="inlineStr">
        <is>
          <t>Medium</t>
        </is>
      </c>
      <c r="G1867" t="inlineStr">
        <is>
          <t>High (explicit)</t>
        </is>
      </c>
      <c r="H1867" s="11" t="inlineStr">
        <is>
          <t>Cross-border Transfer, International Processing, Data Sharing</t>
        </is>
      </c>
      <c r="I1867" s="11" t="inlineStr">
        <is>
          <t>Financial Data, Customer Data</t>
        </is>
      </c>
      <c r="J1867" t="inlineStr"/>
      <c r="K1867" s="11" t="inlineStr">
        <is>
          <t>This section compares Open Finance approaches in different jurisdictions, highlighting voluntary models in Singapore, Nigeria, and the US, and mandated models in Brazil, the UK, and the EU. Singapore uses a voluntary approach with standardized APIs and regulatory oversight, Nigeria has a voluntary participation model with tiered data access requirements, the US relies on private sector initiatives, Brazil mandates participation for major banks, and the EU implemented a mandatory framework covering banking and payments with strong regulatory oversight. The section emphasizes the importance of jurisdiction-specific regulatory approaches for data sharing and interoperability.</t>
        </is>
      </c>
      <c r="L1867" s="11" t="inlineStr">
        <is>
          <t>This section provides context for DTIA by illustrating jurisdictional differences in Open Finance implementation, which can impact cross-border data transfer compliance and the need for localized regulatory alignment.</t>
        </is>
      </c>
      <c r="M1867" s="11" t="inlineStr">
        <is>
          <t>• [Must] Singapore follows a voluntary approach with standardized APIs and regulatory oversight
• [Must] Nigeria has a voluntary participation model with tiered data access requirements
• [Must] The US relies on private sector initiatives for Open Banking and APIs</t>
        </is>
      </c>
      <c r="N1867" s="11" t="inlineStr">
        <is>
          <t>• [Must] Brazil mandates participation for 12 major banks and payment entities
• [Must] The EU implemented a mandatory Open Banking framework covering banking and payments
• [Must] The UK ordered major banks to share customer data with TPPs as a penalty for anticompetitive behavior</t>
        </is>
      </c>
      <c r="O1867" s="11" t="inlineStr">
        <is>
          <t>Singapore follows a voluntary approach to Open Finance with the Monetary Authority of Singapore (MAS) playing an active enabling role.</t>
        </is>
      </c>
      <c r="P1867" s="12" t="n">
        <v>73</v>
      </c>
    </row>
    <row r="1868">
      <c r="A1868" t="inlineStr">
        <is>
          <t>South Africa</t>
        </is>
      </c>
      <c r="B1868" t="inlineStr">
        <is>
          <t>2024 Open Finance_FSCA Position Paper</t>
        </is>
      </c>
      <c r="C1868" t="inlineStr">
        <is>
          <t>11</t>
        </is>
      </c>
      <c r="D1868" s="11" t="inlineStr">
        <is>
          <t>Proposed Open Finance Roadmap</t>
        </is>
      </c>
      <c r="E1868" t="inlineStr">
        <is>
          <t>24</t>
        </is>
      </c>
      <c r="F1868" t="inlineStr">
        <is>
          <t>High</t>
        </is>
      </c>
      <c r="G1868" t="inlineStr">
        <is>
          <t>High (explicit)</t>
        </is>
      </c>
      <c r="H1868" s="11" t="inlineStr">
        <is>
          <t>Consent</t>
        </is>
      </c>
      <c r="I1868" s="11" t="inlineStr">
        <is>
          <t>Financial Data, Customer Data</t>
        </is>
      </c>
      <c r="J1868" t="inlineStr">
        <is>
          <t>FSCA</t>
        </is>
      </c>
      <c r="K1868" s="11" t="inlineStr">
        <is>
          <t>The FSCA outlines a detailed timeline for implementing Open Finance initiatives, including establishing an Open Finance Advisory Group by March 2025, developing API standards by March 2026, creating consent and risk management frameworks by September 2026, and conducting workshops with stakeholders by October 2024. The roadmap emphasizes phased implementation, stakeholder collaboration, and the development of infrastructure such as sandbox environments to support responsible data sharing and consumer empowerment.</t>
        </is>
      </c>
      <c r="L1868" s="11" t="inlineStr">
        <is>
          <t>This section provides a clear timeline for regulatory actions that directly impact DTIA, including the development of API standards and consent frameworks, which must be considered when assessing cross-border data transfers in the evolving Open Finance ecosystem.</t>
        </is>
      </c>
      <c r="M1868" s="11" t="inlineStr">
        <is>
          <t>• [Must] FSCA will establish Open Finance Advisory Group by 31 March 2025
• [Must] Advisory Group will develop API standards by 31 March 2026
• [Must] FSCA will develop consent, risk management and disclosure frameworks by 30 September 2026
• [Must] FSCA will promote voluntary adoption of responsible Open Finance by 31 March 2025</t>
        </is>
      </c>
      <c r="N1868" s="11" t="inlineStr">
        <is>
          <t>• [Must] FSCA will develop a common view of use cases for mandatory implementation by 31 March 2025
• [Must] FSCA will assess legal framework for weaknesses and gaps by 31 March 2026
• [Must] FSCA will build knowledge and awareness of responsible Open Finance by 31 December 2026
• [Must] FSCA will empower consumers to respond to opportunities and risks in Open Finance by 31 December 2026</t>
        </is>
      </c>
      <c r="O1868" s="11" t="inlineStr">
        <is>
          <t>Action: Establishing Advisory Group; Owner: FSCA in collaboration with IFWG members; Expected Delivery Date: 31 March 2025</t>
        </is>
      </c>
      <c r="P1868" s="12" t="n">
        <v>73</v>
      </c>
    </row>
    <row r="1869">
      <c r="A1869" t="inlineStr">
        <is>
          <t>South Africa</t>
        </is>
      </c>
      <c r="B1869" t="inlineStr">
        <is>
          <t>Conduct-Standard-3-of-2020-BANKS-Annexure-A</t>
        </is>
      </c>
      <c r="C1869" t="inlineStr">
        <is>
          <t>3 (part 2)</t>
        </is>
      </c>
      <c r="D1869" s="11" t="inlineStr">
        <is>
          <t>Advertising standards for financial products</t>
        </is>
      </c>
      <c r="E1869" t="inlineStr">
        <is>
          <t>12–17</t>
        </is>
      </c>
      <c r="F1869" t="inlineStr">
        <is>
          <t>High</t>
        </is>
      </c>
      <c r="G1869" t="inlineStr">
        <is>
          <t>High (explicit)</t>
        </is>
      </c>
      <c r="H1869" s="11" t="inlineStr"/>
      <c r="I1869" s="11" t="inlineStr">
        <is>
          <t>Customer Data</t>
        </is>
      </c>
      <c r="J1869" t="inlineStr"/>
      <c r="K1869" s="11" t="inlineStr">
        <is>
          <t>Banks must advertise financial products to customers in a clear, fair, and non-misleading manner. This includes ensuring factual accuracy, avoiding fraudulent statements, using plain language for retail customers, and maintaining responsibility for third-party advertising activities. Banks must also correct inconsistent advertising promptly and retain records for at least five years.</t>
        </is>
      </c>
      <c r="L1869" s="11" t="inlineStr">
        <is>
          <t>Advertising standards require banks to ensure transparency and accuracy in communications, which impacts how data is shared with customers through marketing channels. This affects data transfer compliance as advertising practices influence customer data collection and consent mechanisms.</t>
        </is>
      </c>
      <c r="M1869" s="11" t="inlineStr">
        <is>
          <t>• [Must] Banks must ensure advertising is clear, fair, and not misleading
• [Must] Banks must ensure advertisements are factually correct
• [Must Not] Banks must not contain fraudulent, untrue, or misleading statements in advertisements
• [Must] Banks must use plain language for retail customer advertising</t>
        </is>
      </c>
      <c r="N1869" s="11" t="inlineStr">
        <is>
          <t>• [Must] Banks must ensure third-party advertising complies with this standard
• [Must] Banks must correct inconsistent advertising promptly
• [Must] Banks must notify persons who relied on inconsistent advertising
• [Must] Banks must retain advertising records for at least five years</t>
        </is>
      </c>
      <c r="O1869" s="11" t="inlineStr">
        <is>
          <t>A bank must ensure that its financial products and financial services are advertised to financial customers in a way that is clear, fair and not misleading.</t>
        </is>
      </c>
      <c r="P1869" s="12" t="n">
        <v>74</v>
      </c>
    </row>
    <row r="1870">
      <c r="A1870" t="inlineStr">
        <is>
          <t>South Africa</t>
        </is>
      </c>
      <c r="B1870" t="inlineStr">
        <is>
          <t>Conduct-Standard-3-of-2020-BANKS-Annexure-A</t>
        </is>
      </c>
      <c r="C1870" t="inlineStr">
        <is>
          <t>3 (part 3)</t>
        </is>
      </c>
      <c r="D1870" s="11" t="inlineStr">
        <is>
          <t>Complaints management framework requirements</t>
        </is>
      </c>
      <c r="E1870" t="inlineStr">
        <is>
          <t>17–22</t>
        </is>
      </c>
      <c r="F1870" t="inlineStr">
        <is>
          <t>High</t>
        </is>
      </c>
      <c r="G1870" t="inlineStr">
        <is>
          <t>High (explicit)</t>
        </is>
      </c>
      <c r="H1870" s="11" t="inlineStr">
        <is>
          <t>Record Keeping</t>
        </is>
      </c>
      <c r="I1870" s="11" t="inlineStr">
        <is>
          <t>Customer Data</t>
        </is>
      </c>
      <c r="J1870" t="inlineStr"/>
      <c r="K1870" s="11" t="inlineStr">
        <is>
          <t>Banks must establish and maintain a complaints management framework that is proportionate to their business, includes fair treatment of complainants, and covers internal escalation processes. The framework must categorize complaints, record data, and report to the governing body. Banks must also ensure transparency in complaint handling and provide clear communication to complainants.</t>
        </is>
      </c>
      <c r="L1870" s="11" t="inlineStr">
        <is>
          <t>Complaints management frameworks impact data transfer assessments by requiring banks to handle customer data complaints transparently and securely, which affects data sharing practices and third-party data processing.</t>
        </is>
      </c>
      <c r="M1870" s="11" t="inlineStr">
        <is>
          <t>• [Must] Banks must establish an adequate and effective complaints management framework
• [Must] Banks must regularly review complaints management frameworks
• [Must] Banks must categorize reportable complaints into specific categories
• [Must] Banks must record and report on complaint categories</t>
        </is>
      </c>
      <c r="N1870" s="11" t="inlineStr">
        <is>
          <t>• [Must] Banks must maintain records of complaints including details, evidence, categorization, and progress
• [Must] Banks must analyze complaints data to manage conduct risks
• [Must] Banks must provide clear communication to complainants about complaint progress
• [Must] Banks must ensure complaints processes are transparent and accessible</t>
        </is>
      </c>
      <c r="O1870" s="11" t="inlineStr">
        <is>
          <t>A bank must establish, maintain and operate an adequate and effective complaints management framework to ensure the fair treatment of complainants.</t>
        </is>
      </c>
      <c r="P1870" s="12" t="n">
        <v>74</v>
      </c>
    </row>
    <row r="1871">
      <c r="A1871" t="inlineStr">
        <is>
          <t>South Africa</t>
        </is>
      </c>
      <c r="B1871" t="inlineStr">
        <is>
          <t>Conduct-Standard-3-of-2020-BANKS-Annexure-A</t>
        </is>
      </c>
      <c r="C1871" t="inlineStr">
        <is>
          <t>4</t>
        </is>
      </c>
      <c r="D1871" s="11" t="inlineStr">
        <is>
          <t>Design, suitability and performance requirements for financial products</t>
        </is>
      </c>
      <c r="E1871" t="inlineStr">
        <is>
          <t>2</t>
        </is>
      </c>
      <c r="F1871" t="inlineStr">
        <is>
          <t>High</t>
        </is>
      </c>
      <c r="G1871" t="inlineStr">
        <is>
          <t>High (explicit)</t>
        </is>
      </c>
      <c r="H1871" s="11" t="inlineStr"/>
      <c r="I1871" s="11" t="inlineStr">
        <is>
          <t>Financial Data</t>
        </is>
      </c>
      <c r="J1871" t="inlineStr">
        <is>
          <t>Financial Sector Conduct Authority</t>
        </is>
      </c>
      <c r="K1871" s="11" t="inlineStr">
        <is>
          <t>This section mandates that banks design financial products and services with due regard to financial customers' interests. It requires that relevant personnel possess necessary skills and knowledge, and that banks establish ongoing oversight mechanisms to monitor product suitability and performance. The requirements apply to banks providing financial products and services to customers.</t>
        </is>
      </c>
      <c r="L1871" s="11" t="inlineStr">
        <is>
          <t>This section establishes baseline requirements for financial product design and oversight that impact cross-border data transfers involving financial products, particularly regarding customer suitability and performance metrics.</t>
        </is>
      </c>
      <c r="M1871" s="11" t="inlineStr">
        <is>
          <t>• [Must] A bank must design its financial products and financial services with due regard to the interests of its financial customers
• [Must] A bank must ensure relevant personnel responsible for design possess necessary skills, knowledge and expertise</t>
        </is>
      </c>
      <c r="N1871" s="11" t="inlineStr">
        <is>
          <t>• [Must] A bank must establish and implement ongoing oversight arrangements to monitor and review financial product design and suitability</t>
        </is>
      </c>
      <c r="O1871" s="11" t="inlineStr">
        <is>
          <t>A bank must design its financial products and financial services, Including the related models utilised for the advertising, distribution and provision of these financial products and financial services, with due regard to the interests of Its financial customers.</t>
        </is>
      </c>
      <c r="P1871" s="12" t="n">
        <v>74</v>
      </c>
    </row>
    <row r="1872">
      <c r="A1872" t="inlineStr">
        <is>
          <t>South Africa</t>
        </is>
      </c>
      <c r="B1872" t="inlineStr">
        <is>
          <t>Conduct-Standard-3-of-2020-BANKS-Annexure-A</t>
        </is>
      </c>
      <c r="C1872" t="inlineStr">
        <is>
          <t>5</t>
        </is>
      </c>
      <c r="D1872" s="11" t="inlineStr">
        <is>
          <t>Additional requirements for retail financial customers</t>
        </is>
      </c>
      <c r="E1872" t="inlineStr">
        <is>
          <t>2</t>
        </is>
      </c>
      <c r="F1872" t="inlineStr">
        <is>
          <t>High</t>
        </is>
      </c>
      <c r="G1872" t="inlineStr">
        <is>
          <t>High (explicit)</t>
        </is>
      </c>
      <c r="H1872" s="11" t="inlineStr"/>
      <c r="I1872" s="11" t="inlineStr">
        <is>
          <t>Financial Data, Customer Data</t>
        </is>
      </c>
      <c r="J1872" t="inlineStr">
        <is>
          <t>Financial Sector Conduct Authority</t>
        </is>
      </c>
      <c r="K1872" s="11" t="inlineStr">
        <is>
          <t>This section specifies additional obligations for banks providing financial products to retail customers. It requires banks to assess customer needs, ensure products remain appropriate over time, provide flexibility for changing customer needs, and ensure contractual terms are not unfair. The requirements apply specifically to retail financial customers and their contracts.</t>
        </is>
      </c>
      <c r="L1872" s="11" t="inlineStr">
        <is>
          <t>This section establishes requirements for retail financial products that impact data transfer assessments, particularly regarding customer suitability, ongoing product relevance, and contractual fairness.</t>
        </is>
      </c>
      <c r="M1872" s="11" t="inlineStr">
        <is>
          <t>• [Must] A bank must assess customer needs and characteristics when designing financial products for retail customers
• [Must] A bank must ensure financial products remain appropriate to meet target customer needs over time</t>
        </is>
      </c>
      <c r="N1872" s="11" t="inlineStr">
        <is>
          <t>• [Must] A bank must ensure reasonable flexibility in financial product design to address changing customer needs
• [Must] A bank must ensure contractual terms and conditions are not unfair to retail customers</t>
        </is>
      </c>
      <c r="O1872" s="11" t="inlineStr">
        <is>
          <t>A bank that provides financial products or financial services to retail financial customers must ... ensure that the terms, conditions and requirements in a contract between the bank and its retail financial customer, relating to a financial product or financial service, Including fees and charges, are not unfair.</t>
        </is>
      </c>
      <c r="P1872" s="12" t="n">
        <v>74</v>
      </c>
    </row>
    <row r="1873">
      <c r="A1873" t="inlineStr">
        <is>
          <t>South Africa</t>
        </is>
      </c>
      <c r="B1873" t="inlineStr">
        <is>
          <t>Conduct-Standard-3-of-2020-BANKS-Annexure-A</t>
        </is>
      </c>
      <c r="C1873" t="inlineStr">
        <is>
          <t>10</t>
        </is>
      </c>
      <c r="D1873" s="11" t="inlineStr">
        <is>
          <t>Refusal and termination of financial products</t>
        </is>
      </c>
      <c r="E1873" t="inlineStr">
        <is>
          <t>2</t>
        </is>
      </c>
      <c r="F1873" t="inlineStr">
        <is>
          <t>High</t>
        </is>
      </c>
      <c r="G1873" t="inlineStr">
        <is>
          <t>High (explicit)</t>
        </is>
      </c>
      <c r="H1873" s="11" t="inlineStr"/>
      <c r="I1873" s="11" t="inlineStr">
        <is>
          <t>Customer Data</t>
        </is>
      </c>
      <c r="J1873" t="inlineStr"/>
      <c r="K1873" s="11" t="inlineStr">
        <is>
          <t>Banks must document processes for refusing or terminating financial products/services, provide reasonable notice before termination, and disclose reasons for refusal or termination. Banks may terminate without notice if legally compelled, suspected of illegal use, or required to report to authorities.</t>
        </is>
      </c>
      <c r="L1873" s="11" t="inlineStr">
        <is>
          <t>Refusal and termination processes impact data transfer assessments by requiring clear communication and documentation of data handling changes, which affects data retention and deletion procedures.</t>
        </is>
      </c>
      <c r="M1873" s="11" t="inlineStr">
        <is>
          <t>• [Must] Banks must document processes for refusing or terminating financial products/services
• [Must] Banks must provide reasonable prior notice before termination
• [Must] Banks must disclose reasons for refusal or termination</t>
        </is>
      </c>
      <c r="N1873" s="11" t="inlineStr">
        <is>
          <t>• [May] Banks may terminate without notice if legally compelled
• [May] Banks may terminate without notice if suspected of illegal use
• [May] Banks may terminate without notice if required to report to authorities</t>
        </is>
      </c>
      <c r="O1873" s="11" t="inlineStr">
        <is>
          <t>A bank must, subject to other applicable regulatory requirements, document, adopt and implement processes and procedures relating to the refusal to provide a financial product or render a financial service to one or more financial customers.</t>
        </is>
      </c>
      <c r="P1873" s="12" t="n">
        <v>74</v>
      </c>
    </row>
    <row r="1874">
      <c r="A1874" t="inlineStr">
        <is>
          <t>South Africa</t>
        </is>
      </c>
      <c r="B1874" t="inlineStr">
        <is>
          <t>Directive in respect of cybersecurity and cyber-resilisnce within the national payment system</t>
        </is>
      </c>
      <c r="C1874" t="inlineStr">
        <is>
          <t>1</t>
        </is>
      </c>
      <c r="D1874" s="11" t="inlineStr">
        <is>
          <t>Definitions of critical cybersecurity terms for payment systems</t>
        </is>
      </c>
      <c r="E1874" t="inlineStr">
        <is>
          <t>3–5</t>
        </is>
      </c>
      <c r="F1874" t="inlineStr">
        <is>
          <t>High</t>
        </is>
      </c>
      <c r="G1874" t="inlineStr">
        <is>
          <t>High (explicit)</t>
        </is>
      </c>
      <c r="H1874" s="11" t="inlineStr"/>
      <c r="I1874" s="11" t="inlineStr">
        <is>
          <t>Personal Information, Financial Data, Customer Data</t>
        </is>
      </c>
      <c r="J1874" t="inlineStr"/>
      <c r="K1874" s="11" t="inlineStr">
        <is>
          <t>This section defines key terms specific to payment systems and cybersecurity, including critical service providers, cyber-attacks, cyber-incidents, cyber-resilience, cybersecurity, cyber-threats, information assets, information systems, information technology systems, multi-factor authentication, payment institutions, payment system financial market infrastructure, operators, senior management, sensitive information, and vulnerability assessments. These definitions establish the foundational language for the directive's cybersecurity and cyber-resilience requirements.</t>
        </is>
      </c>
      <c r="L1874" s="11" t="inlineStr"/>
      <c r="M1874" s="11" t="inlineStr">
        <is>
          <t>• [Definition] Critical service provider means a service provider that provides critical services to a payment institution in the NPS
• [Definition] Compromise means a violation of the security of an information technology (IT) system
• [Definition] Cyber-attack means malicious attempt(s) to exploit vulnerabilities through the cyber medium to damage, disrupt or gain unauthorised access to assets
• [Definition] Cyber-event means any observable occurrence in an information system
• [Definition] Cyber-incident means a cyber-event that adversely affects the cybersecurity of an information system and/or the information that the system processes, stores or transmits
• [Definition] Cyber-resilience means the ability of a payment institution or an operator to continue carrying out its mission by anticipating and adapting to cyber-threats
• [Definition] Cyber-risk means the combination of the probability of cyber-incidents occurring and their impact
• [Definition] Cybersecurity means the preservation of confidentiality, integrity and availability of information and/or information systems through the cyber-medium
• [Definition] Cyber-threat means a circumstance with the potential to exploit one or more vulnerabilities that adversely affects cybersecurity
• [Definition] Information asset means any piece of data, device or other component of the environment that supports information-related activities</t>
        </is>
      </c>
      <c r="N1874" s="11" t="inlineStr">
        <is>
          <t>• [Definition] Information system means a set of applications, services, information technology assets or other information-handling components
• [Definition] Information technology system means a set of hardware, software, network or other information technology components
• [Definition] Multi-factor authentication means the use of two or more authentication factors to verify the identity of a user or system
• [Definition] Payment institution means persons designated, authorised, registered or regulated under the National Payment System Act 78 of 1998
• [Definition] Payment system Financial Market Infrastructure means a multilateral system among payment system participants
• [Definition] Operator means an operator of a payment system, including payment clearing house system operators
• [Definition] Senior management means the chief executive officer or the person in charge of a payment institution
• [Definition] Sensitive information means information where loss, misuse or unauthorised access could adversely affect the public interest
• [Definition] Vulnerability assessment means a systematic examination of an IT system to determine the adequacy of security measures</t>
        </is>
      </c>
      <c r="O1874" s="11" t="inlineStr">
        <is>
          <t>Definitions 1.1 to 1.19</t>
        </is>
      </c>
      <c r="P1874" s="12" t="n">
        <v>75</v>
      </c>
    </row>
    <row r="1875">
      <c r="A1875" t="inlineStr">
        <is>
          <t>South Africa</t>
        </is>
      </c>
      <c r="B1875" t="inlineStr">
        <is>
          <t>Directive in respect of cybersecurity and cyber-resilisnce within the national payment system</t>
        </is>
      </c>
      <c r="C1875" t="inlineStr">
        <is>
          <t>5</t>
        </is>
      </c>
      <c r="D1875" s="11" t="inlineStr">
        <is>
          <t>Cybersecurity and cyber-resilience requirements for payment systems</t>
        </is>
      </c>
      <c r="E1875" t="inlineStr">
        <is>
          <t>7–13</t>
        </is>
      </c>
      <c r="F1875" t="inlineStr">
        <is>
          <t>High</t>
        </is>
      </c>
      <c r="G1875" t="inlineStr">
        <is>
          <t>High (explicit)</t>
        </is>
      </c>
      <c r="H1875" s="11" t="inlineStr"/>
      <c r="I1875" s="11" t="inlineStr">
        <is>
          <t>Financial Data, Customer Data</t>
        </is>
      </c>
      <c r="J1875" t="inlineStr">
        <is>
          <t>South African Reserve Bank (SARB)</t>
        </is>
      </c>
      <c r="K1875" s="11" t="inlineStr">
        <is>
          <t>This section mandates payment institutions and operators to develop and maintain cybersecurity and cyber-resilience frameworks that include cyber-governance, identification of critical operations and information assets, cybersecurity measures, detection mechanisms, and response and recovery protocols. These frameworks must ensure the protection of critical systems, timely incident response, and adherence to recovery timelines to maintain payment system stability.</t>
        </is>
      </c>
      <c r="L1875" s="11" t="inlineStr">
        <is>
          <t>This section imposes critical requirements for data transfer impact assessments, including the need to identify critical information assets, implement robust cybersecurity measures, and establish response protocols that ensure timely recovery from cyber-attacks to prevent systemic disruptions in payment systems.</t>
        </is>
      </c>
      <c r="M1875" s="11" t="inlineStr">
        <is>
          <t>• [Must] Payment institutions and operators must develop and maintain cybersecurity and cyber-resilience frameworks
• [Must] Payment institutions and operators must have written effective cyber-governance arrangements
• [Must] Board or senior management must determine cyber-risk tolerance levels
• [Must] Board or senior management must approve cybersecurity policies and strategy
• [Must] Board or senior management must oversee development and implementation of cybersecurity frameworks
• [Must] Board or senior management must ensure annual review of cybersecurity policies
• [Must] Cybersecurity framework must be aligned with operational risk management
• [Must] Cybersecurity framework must be based on industry standards and best practices
• [Must] Cybersecurity framework must articulate identification of cyber-risks and controls
• [Must] Board or senior management must appoint a senior executive accountable for cybersecurity
• [Must] Cybersecurity framework must include information sharing with SARB and stakeholders
• [Must] Senior management must keep board informed on cybersecurity status
• [Must] Senior management must ensure compliance with this directive
• [Must] Senior management must conduct due diligence on entities introduced to NPS
• [Must] Payment institutions must conduct third-party risk assessments annually
• [Must] Roles and responsibilities for cybersecurity must be clearly outlined in agreements
• [Must] Payment institutions must identify critical technology, operations, and information assets
• [Must] Payment institutions must identify internal processes and external dependencies for security
• [Must] Payment institutions must ensure cybersecurity frameworks protect confidentiality, integrity and availability
• Payment institutions must embed protective controls to minimize cyber-attack impact
• [Must] Payment institutions must develop measures to protect critical and sensitive information
• [Must] Payment institutions must develop measures to mitigate risks from interconnectedness
• [Must] Payment institutions must develop measures to address anomalous staff behavior</t>
        </is>
      </c>
      <c r="N1875" s="11" t="inlineStr">
        <is>
          <t>• [Must] Payment institutions must train staff on cyber-risk detection and response
• [Must] Payment institutions must design cyber-secure payment instruments and services
• [Must] Payment institutions must implement cyber-hygiene measures including strong password security
• [Must] Payment institutions must implement multi-factor authentication for critical systems
• [Must] Payment institutions must ensure network perimeter defense controls
• [Must] Payment institutions must implement multiple-layer security controls
• [Must] Payment institutions must ensure security patches are applied
• [Must] Payment institutions must test security patches for compatibility
• [Must] Payment institutions must ensure security standards for software, systems and devices
• [Must] Payment institutions must monitor application of security standards
• [Must] Payment institutions must implement malware protection
• [Must] Payment institutions must scan information assets for malicious activities
• [Must] Payment institutions must ensure data loss prevention policies
• [Must] Payment institutions must encrypt data storage systems and endpoint devices
• [Must] Payment institutions must ensure third-party managed systems are protected
• [Must] Payment institutions must ensure cyber-attack trigger points and detection measures
• [Must] Payment institutions must implement multi-layered trigger indicators for detection
• [Must] Payment institutions must identify irregular behavior by persons with access
• [Must] Payment institutions must have arrangements for resumption of critical operations
• [Must] Payment institutions must detect cyber-attack attempts and successful attacks
• [Must] Payment institutions must initiate recovery efforts upon successful cyber-attack
• [Must] Payment institutions must have incident response processes for recovery
• [Must] Payment institutions must have recovery measures within 2 hours for payment systems</t>
        </is>
      </c>
      <c r="O1875" s="11" t="inlineStr">
        <is>
          <t>Directive 5.1 to 5.1.5.1</t>
        </is>
      </c>
      <c r="P1875" s="12" t="n">
        <v>75</v>
      </c>
    </row>
    <row r="1876">
      <c r="A1876" t="inlineStr">
        <is>
          <t>South Africa</t>
        </is>
      </c>
      <c r="B1876" t="inlineStr">
        <is>
          <t>Directive in respect of cybersecurity and cyber-resilisnce within the national payment system</t>
        </is>
      </c>
      <c r="C1876" t="inlineStr">
        <is>
          <t>5 (part 2)</t>
        </is>
      </c>
      <c r="D1876" s="11" t="inlineStr">
        <is>
          <t>Cyber-resilience planning and testing for payment institutions</t>
        </is>
      </c>
      <c r="E1876" t="inlineStr">
        <is>
          <t>13–16</t>
        </is>
      </c>
      <c r="F1876" t="inlineStr">
        <is>
          <t>High</t>
        </is>
      </c>
      <c r="G1876" t="inlineStr">
        <is>
          <t>High (explicit)</t>
        </is>
      </c>
      <c r="H1876" s="11" t="inlineStr">
        <is>
          <t>Incident Reporting, Breach Notification</t>
        </is>
      </c>
      <c r="I1876" s="11" t="inlineStr">
        <is>
          <t>Financial Data</t>
        </is>
      </c>
      <c r="J1876" t="inlineStr">
        <is>
          <t>SARB</t>
        </is>
      </c>
      <c r="K1876" s="11" t="inlineStr">
        <is>
          <t>Payment institutions must develop and test cyber-resilience plans quarterly, update them using threat intelligence and past incidents, include third-party management in their frameworks, and ensure cloud compliance with SARB regulations. These requirements apply to payment institutions and operators to maintain critical system resilience during cyber incidents.</t>
        </is>
      </c>
      <c r="L1876" s="11" t="inlineStr">
        <is>
          <t>Requires payment institutions to maintain robust cyber-resilience frameworks with third-party and cloud service providers, including specific testing and monitoring protocols that impact data transfer and storage security across borders.</t>
        </is>
      </c>
      <c r="M1876" s="11" t="inlineStr">
        <is>
          <t>• [Must] Develop and test response, resumption and recovery plans quarterly
• [Must] Update plans based on threat intelligence and past cyber-events
• [Must] Include third-party management plans in cyber-resilience frameworks
• [Must] Conduct extensive due diligence on third-party cyber-resilience measures
• [Must] Assess criticality of outsourced processes before contracts
• [Must] Obtain independent security attestation reports from third parties
• [Must] Implement and test business continuity plans with third parties
• [Must] Ensure compliance with SARB cloud computing and data offshoring regulations
• [Must] Identify, monitor and mitigate jurisdiction risks for cloud data
• [Must] Remain accountable for data stored and processed on cloud
• [Must] Develop and implement cyber-resilience testing programmes
• [Must] Simulate cyber-attacks to identify vulnerabilities
• [Must] Conduct internal and external penetration testing
• [Must] Test systems after significant changes for security vulnerabilities
• [Must] Perform regular vulnerability assessments</t>
        </is>
      </c>
      <c r="N1876" s="11" t="inlineStr">
        <is>
          <t>• [Must] Share cyber threat and risk information with regulators and trusted parties
• [Must] Plan information sharing through trusted channels
• [Must] Participate in information-sharing groups like Cybersecurity Hub
• [Must] Ensure client data protection during information sharing
• [Must] Comply with Cybercrimes Act regarding information disclosure
• [Must] Understand cyber-threat landscape and risk mitigation adequacy
• [Must] Develop cyber-threat intelligence processes
• [Must] Collect information about cyber-threats from other payment institutions
• [Must] Ensure cybersecurity frameworks adapt to evolving cyber-risk
• [Must] Learn from previous cyber-incidents to improve security systems
• [Must] Monitor technological developments to counter cyber-attacks
• [Must] Implement predictive capabilities for proactive cyber-protection
• [Must] Report material cyber-incidents to SARB within 24 hours
• [Must] Provide detailed incident reports to SARB within 48 hours</t>
        </is>
      </c>
      <c r="O1876" s="11" t="inlineStr">
        <is>
          <t>Payment institutions or operators must develop and implement cyber-resilience testing programmes and methodologies which include the following: different test scenarios and simulations of various cyber-attacks</t>
        </is>
      </c>
      <c r="P1876" s="12" t="n">
        <v>75</v>
      </c>
    </row>
    <row r="1877">
      <c r="A1877" t="inlineStr">
        <is>
          <t>South Africa</t>
        </is>
      </c>
      <c r="B1877" t="inlineStr">
        <is>
          <t>Directive in respect of cybersecurity and cyber-resilisnce within the national payment system</t>
        </is>
      </c>
      <c r="C1877" t="inlineStr">
        <is>
          <t>6</t>
        </is>
      </c>
      <c r="D1877" s="11" t="inlineStr">
        <is>
          <t>SARB supervision and inspection powers for payment institutions</t>
        </is>
      </c>
      <c r="E1877" t="inlineStr">
        <is>
          <t>16–19</t>
        </is>
      </c>
      <c r="F1877" t="inlineStr">
        <is>
          <t>High</t>
        </is>
      </c>
      <c r="G1877" t="inlineStr">
        <is>
          <t>High (explicit)</t>
        </is>
      </c>
      <c r="H1877" s="11" t="inlineStr"/>
      <c r="I1877" s="11" t="inlineStr">
        <is>
          <t>Financial Data</t>
        </is>
      </c>
      <c r="J1877" t="inlineStr">
        <is>
          <t>SARB</t>
        </is>
      </c>
      <c r="K1877" s="11" t="inlineStr">
        <is>
          <t>The SARB may conduct unscheduled inspections of payment institutions with prior written notice, requiring inspectors to present identification and authority documents. Inspectors can access premises, documents, and systems without consent under specific conditions, including warrants for entry. Payment institutions must provide signed receipts for documents taken during inspections.</t>
        </is>
      </c>
      <c r="L1877" s="11" t="inlineStr">
        <is>
          <t>SARB's inspection powers allow for data access and system checks that impact data transfer and storage compliance, particularly for financial institutions operating across borders.</t>
        </is>
      </c>
      <c r="M1877" s="11" t="inlineStr">
        <is>
          <t>• [Must] SARB may conduct onsite or offsite inspections to promote compliance
• [Must] SARB must provide written notification before onsite inspections
• [Must] Inspection notification specifies dates, SARB representatives, review period, and required documentation
• [Must] SARB representatives must produce letter of authority and identity documents
• [Must] SARB may enter business premises without consent
• [Must] SARB may enter private residences with consent if business is conducted there
• [Must] SARB may enter premises without notice if warrant is issued
• [Must] SARB may enter premises with senior staff authority if warrant is likely
• [Must] SARB may enter premises to conduct inspections without notice if necessary
• [Must] SARB representatives have right to access any part of premises and documents
• [Must] SARB may open strongrooms to access relevant documents
• [Must] SARB may examine, copy, and make extracts from documents</t>
        </is>
      </c>
      <c r="N1877" s="11" t="inlineStr">
        <is>
          <t>• [Must] SARB may question individuals for relevant information
• [Must] SARB may require production of documents relevant to inspection
• [Must] SARB may operate computer systems to search information
• [Must] SARB may take copies of documents as evidence of contravention
• [Must] SARB must provide signed receipt for documents taken
• [Must] Payment institutions may examine documents under SARB supervision
• [Must] Individuals may object to answering questions or producing documents
• [Must] SARB may require answers or documents despite objections
• [Must] Magistrates may issue warrants for inspections if conditions are met
• [Must] Warrants must be signed by issuing judge or magistrate
• [Must] SARB must fix warrant copy on premises if no one is in charge
• [Must] SARB must produce warrant on demand</t>
        </is>
      </c>
      <c r="O1877" s="11" t="inlineStr">
        <is>
          <t>The SARB may at any time conduct a supervisory onsite or offsite inspection on payment institutions or operators, in a form and manner that the SARB may determine, to promote compliance with this directive.</t>
        </is>
      </c>
      <c r="P1877" s="12" t="n">
        <v>75</v>
      </c>
    </row>
    <row r="1878">
      <c r="A1878" t="inlineStr">
        <is>
          <t>South Africa</t>
        </is>
      </c>
      <c r="B1878" t="inlineStr">
        <is>
          <t>Directive in respect of cybersecurity and cyber-resilisnce within the national payment system</t>
        </is>
      </c>
      <c r="C1878" t="inlineStr">
        <is>
          <t>7</t>
        </is>
      </c>
      <c r="D1878" s="11" t="inlineStr">
        <is>
          <t>Effective date and non-compliance penalties for payment institutions</t>
        </is>
      </c>
      <c r="E1878" t="inlineStr">
        <is>
          <t>19–20</t>
        </is>
      </c>
      <c r="F1878" t="inlineStr">
        <is>
          <t>High</t>
        </is>
      </c>
      <c r="G1878" t="inlineStr">
        <is>
          <t>High (explicit)</t>
        </is>
      </c>
      <c r="H1878" s="11" t="inlineStr"/>
      <c r="I1878" s="11" t="inlineStr">
        <is>
          <t>Financial Data</t>
        </is>
      </c>
      <c r="J1878" t="inlineStr">
        <is>
          <t>SARB</t>
        </is>
      </c>
      <c r="K1878" s="11" t="inlineStr">
        <is>
          <t>This directive takes effect three months after publication, with SARB retaining amendment rights. Payment institutions must comply with all requirements, and contraventions are offences under the NPS Act, subject to penalties.</t>
        </is>
      </c>
      <c r="L1878" s="11" t="inlineStr">
        <is>
          <t>Sets the effective date and legal consequences for non-compliance, directly impacting data transfer and processing compliance timelines and penalties for financial institutions.</t>
        </is>
      </c>
      <c r="M1878" s="11" t="inlineStr">
        <is>
          <t>• [Must] Directive effective three months after publication
• [Must] SARB may amend requirements in the directive</t>
        </is>
      </c>
      <c r="N1878" s="11" t="inlineStr">
        <is>
          <t>• [Must] Payment institutions must comply with directive requirements
• [Must] Contravention of directive is an offence under NPS Act</t>
        </is>
      </c>
      <c r="O1878" s="11" t="inlineStr">
        <is>
          <t>This directive will be effective three months after its publication. The SARB reserves the right to amend any requirements in this directive.</t>
        </is>
      </c>
      <c r="P1878" s="12" t="n">
        <v>75</v>
      </c>
    </row>
    <row r="1879">
      <c r="A1879" t="inlineStr">
        <is>
          <t>South Africa</t>
        </is>
      </c>
      <c r="B1879" t="inlineStr">
        <is>
          <t>Joint Standard 1 of 2023 - IT Governance and Risk Management</t>
        </is>
      </c>
      <c r="C1879" t="inlineStr">
        <is>
          <t>3</t>
        </is>
      </c>
      <c r="D1879" s="11" t="inlineStr">
        <is>
          <t>Definitions of key terms for financial institutions</t>
        </is>
      </c>
      <c r="E1879" t="inlineStr">
        <is>
          <t>3–5</t>
        </is>
      </c>
      <c r="F1879" t="inlineStr">
        <is>
          <t>High</t>
        </is>
      </c>
      <c r="G1879" t="inlineStr">
        <is>
          <t>High (explicit)</t>
        </is>
      </c>
      <c r="H1879" s="11" t="inlineStr"/>
      <c r="I1879" s="11" t="inlineStr">
        <is>
          <t>Personal Information, Financial Data</t>
        </is>
      </c>
      <c r="J1879" t="inlineStr"/>
      <c r="K1879" s="11" t="inlineStr">
        <is>
          <t>This section defines critical terms used throughout the Joint Standard, including 'financial institution', 'fit and proper', 'governing body', and specific IT-related terms like 'IT system' and 'material incident'. It clarifies the scope of the standard by specifying which entities and concepts are covered, particularly financial institutions and their regulatory frameworks. The definitions are contextualized within South Africa's financial sector laws to ensure alignment with existing legislation.</t>
        </is>
      </c>
      <c r="L1879" s="11" t="inlineStr"/>
      <c r="M1879" s="11" t="inlineStr">
        <is>
          <t>• [Definition] ‘the Act' means the Financial Sector Regulation Act, 2017
• [Definition] ‘Authorities' means the Prudential Authority and Financial Sector Conduct Authority
• [Definition] ‘financial institution' includes banks, mutual banks, insurers, and other specified entities
• [Definition] ‘fit and proper' means compliance with applicable requirements
• [Definition] ‘fit and proper requirements' include honesty, good standing, and competence</t>
        </is>
      </c>
      <c r="N1879" s="11" t="inlineStr">
        <is>
          <t>• [Definition] ‘FSP' means financial services provider as defined in the FAIS Act
• [Definition] ‘governing body' refers to the entity responsible for oversight
• [Definition] ‘IT system' means the integration of IT assets within the IT environment
• [Definition] ‘material incident' means a disruption with severe impact on operations</t>
        </is>
      </c>
      <c r="O1879" s="11" t="inlineStr">
        <is>
          <t>3.1 In this Joint Standard, ‘the Act' means the Financial Sector Regulation Act, 2017 () and any word or expression to which a meaning has been assigned in the Act bears the meaning so assigned to it, unless the context indicates otherwise-</t>
        </is>
      </c>
      <c r="P1879" s="12" t="n">
        <v>76</v>
      </c>
    </row>
    <row r="1880">
      <c r="A1880" t="inlineStr">
        <is>
          <t>South Africa</t>
        </is>
      </c>
      <c r="B1880" t="inlineStr">
        <is>
          <t>Joint Standard 1 of 2023 - IT Governance and Risk Management</t>
        </is>
      </c>
      <c r="C1880" t="inlineStr">
        <is>
          <t>4</t>
        </is>
      </c>
      <c r="D1880" s="11" t="inlineStr">
        <is>
          <t>Application scope and risk coverage</t>
        </is>
      </c>
      <c r="E1880" t="inlineStr">
        <is>
          <t>5</t>
        </is>
      </c>
      <c r="F1880" t="inlineStr">
        <is>
          <t>High</t>
        </is>
      </c>
      <c r="G1880" t="inlineStr">
        <is>
          <t>High (explicit)</t>
        </is>
      </c>
      <c r="H1880" s="11" t="inlineStr">
        <is>
          <t>Cross-border Transfer, International Processing</t>
        </is>
      </c>
      <c r="I1880" s="11" t="inlineStr">
        <is>
          <t>Financial Data</t>
        </is>
      </c>
      <c r="J1880" t="inlineStr"/>
      <c r="K1880" s="11" t="inlineStr">
        <is>
          <t>This section specifies which financial institutions must comply with the Joint Standard and mandates that banks and insurers must address IT risks across all local and foreign branches, subsidiaries, and related entities. It requires financial institutions to tailor their risk management practices to their size, complexity, and risk profile, ensuring alignment with relevant financial sector laws. The standard emphasizes the need for continuous assessment of risk-related requirements.</t>
        </is>
      </c>
      <c r="L1880" s="11" t="inlineStr">
        <is>
          <t>This section establishes the scope of application for financial institutions, requiring them to address IT risks across all branches and subsidiaries, both local and foreign, which is critical for data transfer impact assessments involving cross-border operations.</t>
        </is>
      </c>
      <c r="M1880" s="11" t="inlineStr">
        <is>
          <t>• [Must] This Joint Standard applies to financial institutions as defined
• [Must] Banks and controlling companies must mitigate IT risks for all local and foreign branches and subsidiaries
• [Must] Insurers and controlling companies must mitigate IT risks for all local and foreign branches and subsidiaries</t>
        </is>
      </c>
      <c r="N1880" s="11" t="inlineStr">
        <is>
          <t>• [Must] Minimum requirements must reflect the nature, size, complexity, and risk profile of the financial institution
• [Must] Implementation of requirements must consider the nature, size, complexity, and risk profile
• [Must] This Joint Standard must be read with relevant financial sector laws</t>
        </is>
      </c>
      <c r="O1880" s="11" t="inlineStr">
        <is>
          <t>4.1 This Joint Standard applies to financial institutions as defined.</t>
        </is>
      </c>
      <c r="P1880" s="12" t="n">
        <v>76</v>
      </c>
    </row>
    <row r="1881">
      <c r="A1881" t="inlineStr">
        <is>
          <t>South Africa</t>
        </is>
      </c>
      <c r="B1881" t="inlineStr">
        <is>
          <t>Joint Standard 1 of 2023 - IT Governance and Risk Management</t>
        </is>
      </c>
      <c r="C1881" t="inlineStr">
        <is>
          <t>5</t>
        </is>
      </c>
      <c r="D1881" s="11" t="inlineStr">
        <is>
          <t>Governance responsibilities for IT risk management</t>
        </is>
      </c>
      <c r="E1881" t="inlineStr">
        <is>
          <t>5–6</t>
        </is>
      </c>
      <c r="F1881" t="inlineStr">
        <is>
          <t>High</t>
        </is>
      </c>
      <c r="G1881" t="inlineStr">
        <is>
          <t>High (explicit)</t>
        </is>
      </c>
      <c r="H1881" s="11" t="inlineStr">
        <is>
          <t>Governance</t>
        </is>
      </c>
      <c r="I1881" s="11" t="inlineStr">
        <is>
          <t>Financial Data</t>
        </is>
      </c>
      <c r="J1881" t="inlineStr"/>
      <c r="K1881" s="11" t="inlineStr">
        <is>
          <t>This section outlines the roles and responsibilities of the governing body and senior management in ensuring IT risk management compliance. It mandates that the governing body must establish a robust IT risk management framework, define roles and responsibilities, and work with senior management to maintain effective oversight. The section emphasizes accountability and the integration of IT risk management into the institution's overall governance structure.</t>
        </is>
      </c>
      <c r="L1881" s="11" t="inlineStr">
        <is>
          <t>This section clarifies the governance responsibilities for IT risk management, ensuring that the governing body and senior management are accountable for IT risk oversight, which is essential for data transfer impact assessments involving governance structures.</t>
        </is>
      </c>
      <c r="M1881" s="11" t="inlineStr">
        <is>
          <t>• [Must] The governing body is ultimately responsible for ensuring compliance with the Joint Standard
• [Must] The governing body must ensure a sound and robust IT risk management framework and IT strategy</t>
        </is>
      </c>
      <c r="N1881" s="11" t="inlineStr">
        <is>
          <t>• [Must] The governing body must clearly define roles and responsibilities of all management, execution, oversight, and control functions</t>
        </is>
      </c>
      <c r="O1881" s="11" t="inlineStr">
        <is>
          <t>5.1 The governing body is ultimately responsible for ensuring that the financial institution complies with the requirements as set out in this Joint Standard.</t>
        </is>
      </c>
      <c r="P1881" s="12" t="n">
        <v>76</v>
      </c>
    </row>
    <row r="1882">
      <c r="A1882" t="inlineStr">
        <is>
          <t>South Africa</t>
        </is>
      </c>
      <c r="B1882" t="inlineStr">
        <is>
          <t>Joint Standard 1 of 2023 - IT Governance and Risk Management</t>
        </is>
      </c>
      <c r="C1882" t="inlineStr">
        <is>
          <t>6</t>
        </is>
      </c>
      <c r="D1882" s="11" t="inlineStr">
        <is>
          <t>IT strategy development and review</t>
        </is>
      </c>
      <c r="E1882" t="inlineStr">
        <is>
          <t>6</t>
        </is>
      </c>
      <c r="F1882" t="inlineStr">
        <is>
          <t>High</t>
        </is>
      </c>
      <c r="G1882" t="inlineStr">
        <is>
          <t>High (explicit)</t>
        </is>
      </c>
      <c r="H1882" s="11" t="inlineStr"/>
      <c r="I1882" s="11" t="inlineStr">
        <is>
          <t>Financial Data</t>
        </is>
      </c>
      <c r="J1882" t="inlineStr"/>
      <c r="K1882" s="11" t="inlineStr">
        <is>
          <t>This section requires financial institutions to develop and maintain an IT strategy that is approved by the governing body and aligned with business strategy. It mandates regular review of the IT strategy at least annually to account for market, industry, technology, and other relevant developments. The strategy must include action plans, monitoring processes, and notification mechanisms for deviations that could contravene the Joint Standard or financial sector laws.</t>
        </is>
      </c>
      <c r="L1882" s="11" t="inlineStr">
        <is>
          <t>This section ensures that IT strategies are aligned with business objectives and subject to regular review, which is critical for data transfer impact assessments to ensure strategies accommodate evolving data transfer needs.</t>
        </is>
      </c>
      <c r="M1882" s="11" t="inlineStr">
        <is>
          <t>• [Must] IT strategy must be approved by the governing body and aligned with business strategy
• [Must] IT strategy must be reviewed at least annually for market, industry, technology, and other developments
• [Must] Action plans must be communicated to staff and reviewed at least quarterly</t>
        </is>
      </c>
      <c r="N1882" s="11" t="inlineStr">
        <is>
          <t>• [Must] Processes must be established to monitor and measure IT strategy effectiveness
• [Must] Authorities must be notified when deviations from IT strategy contravene the Joint Standard or financial sector laws</t>
        </is>
      </c>
      <c r="O1882" s="11" t="inlineStr">
        <is>
          <t>6.1 A financial institution must ensure that its IT strategy is approved by the governing body and aligned with its overall business strategy.</t>
        </is>
      </c>
      <c r="P1882" s="12" t="n">
        <v>76</v>
      </c>
    </row>
    <row r="1883">
      <c r="A1883" t="inlineStr">
        <is>
          <t>South Africa</t>
        </is>
      </c>
      <c r="B1883" t="inlineStr">
        <is>
          <t>Joint Standard 1 of 2023 - IT Governance and Risk Management</t>
        </is>
      </c>
      <c r="C1883" t="inlineStr">
        <is>
          <t>7</t>
        </is>
      </c>
      <c r="D1883" s="11" t="inlineStr">
        <is>
          <t>IT risk management framework requirements</t>
        </is>
      </c>
      <c r="E1883" t="inlineStr">
        <is>
          <t>6–8</t>
        </is>
      </c>
      <c r="F1883" t="inlineStr">
        <is>
          <t>High</t>
        </is>
      </c>
      <c r="G1883" t="inlineStr">
        <is>
          <t>High (explicit)</t>
        </is>
      </c>
      <c r="H1883" s="11" t="inlineStr"/>
      <c r="I1883" s="11" t="inlineStr">
        <is>
          <t>Financial Data</t>
        </is>
      </c>
      <c r="J1883" t="inlineStr"/>
      <c r="K1883" s="11" t="inlineStr">
        <is>
          <t>This section mandates the establishment of an IT risk management framework that must be approved by the governing body and reviewed annually. The framework must include policies, procedures for risk identification and assessment, roles and responsibilities, IT asset identification, threat assessment, risk mitigation strategies, and periodic updates to risk registers. It emphasizes the need for continuous monitoring and adaptation to evolving risks and regulatory requirements.</t>
        </is>
      </c>
      <c r="L1883" s="11" t="inlineStr">
        <is>
          <t>This section details the comprehensive requirements for an IT risk management framework, which is critical for data transfer impact assessments to ensure robust risk management practices across borders.</t>
        </is>
      </c>
      <c r="M1883" s="11" t="inlineStr">
        <is>
          <t>• [Must] IT risk management framework must be approved by the governing body and reviewed annually
• [Must] Framework must incorporate policies, standards, and procedures for managing IT risks
• [Must] Framework must identify, assess, and manage all material risks with proportionality
• [Must] Policies must be independently reviewed and updated by relevant business areas
• [Must] Roles and responsibilities must be defined for governing body and senior management
• [Must] IT assets must be identified, recorded, and protected from unauthorized access
• [Must] Criticality and sensitivity of IT assets must be identified to develop protection plans</t>
        </is>
      </c>
      <c r="N1883" s="11" t="inlineStr">
        <is>
          <t>• [Must] Impact and likelihood of threats, risks, and vulnerabilities must be assessed
• [Must] Risk mitigation strategies must be developed for each identified risk
• [Must] Financial institutions must maintain a risk register for monitoring and reporting high-severity risks
• [Must] IT risk metrics must be developed to identify high-risk systems and infrastructure
• [Must] Staff, service providers, and contractors must be fit and proper and have technical knowledge
• [Must] Training programs must be conducted and reviewed at least annually</t>
        </is>
      </c>
      <c r="O1883" s="11" t="inlineStr">
        <is>
          <t>7.1 A financial institution must establish an IT risk management framework to manage IT risks in a systematic and consistent manner.</t>
        </is>
      </c>
      <c r="P1883" s="12" t="n">
        <v>76</v>
      </c>
    </row>
    <row r="1884">
      <c r="A1884" t="inlineStr">
        <is>
          <t>South Africa</t>
        </is>
      </c>
      <c r="B1884" t="inlineStr">
        <is>
          <t>Joint Standard 1 of 2023 - IT Governance and Risk Management</t>
        </is>
      </c>
      <c r="C1884" t="inlineStr">
        <is>
          <t>8</t>
        </is>
      </c>
      <c r="D1884" s="11" t="inlineStr">
        <is>
          <t>Oversight mechanisms for IT risk management</t>
        </is>
      </c>
      <c r="E1884" t="inlineStr">
        <is>
          <t>8</t>
        </is>
      </c>
      <c r="F1884" t="inlineStr">
        <is>
          <t>High</t>
        </is>
      </c>
      <c r="G1884" t="inlineStr">
        <is>
          <t>High (explicit)</t>
        </is>
      </c>
      <c r="H1884" s="11" t="inlineStr">
        <is>
          <t>Governance</t>
        </is>
      </c>
      <c r="I1884" s="11" t="inlineStr">
        <is>
          <t>Financial Data</t>
        </is>
      </c>
      <c r="J1884" t="inlineStr"/>
      <c r="K1884" s="11" t="inlineStr">
        <is>
          <t>This section requires that oversight of IT risk management be integrated into the financial institution's governance and risk management structures, including clear reporting lines to the governing body. It ensures that the governing body maintains accountability for IT risk oversight, which is essential for maintaining regulatory compliance and effective risk management practices.</t>
        </is>
      </c>
      <c r="L1884" s="11" t="inlineStr">
        <is>
          <t>This section ensures that oversight mechanisms for IT risk management are properly integrated into governance structures, which is critical for data transfer impact assessments to ensure accountability and transparency.</t>
        </is>
      </c>
      <c r="M1884" s="11" t="inlineStr">
        <is>
          <t>• [Must] Oversight of IT risk management must be incorporated into governance and risk management structures</t>
        </is>
      </c>
      <c r="N1884" s="11" t="inlineStr">
        <is>
          <t>• [Must] Provisions relating to reporting lines to the governing body must be included</t>
        </is>
      </c>
      <c r="O1884" s="11" t="inlineStr">
        <is>
          <t>8.1 Oversight of IT risk management must be incorporated into the governance and risk management structures, processes and procedures of a financial institution, including provisions relating to reporting lines to the governing body.</t>
        </is>
      </c>
      <c r="P1884" s="12" t="n">
        <v>76</v>
      </c>
    </row>
    <row r="1885">
      <c r="A1885" t="inlineStr">
        <is>
          <t>South Africa</t>
        </is>
      </c>
      <c r="B1885" t="inlineStr">
        <is>
          <t>Joint Standard 1 of 2023 - IT Governance and Risk Management</t>
        </is>
      </c>
      <c r="C1885" t="inlineStr">
        <is>
          <t>9</t>
        </is>
      </c>
      <c r="D1885" s="11" t="inlineStr">
        <is>
          <t>IT operations management framework requirements</t>
        </is>
      </c>
      <c r="E1885" t="inlineStr">
        <is>
          <t>8–9</t>
        </is>
      </c>
      <c r="F1885" t="inlineStr">
        <is>
          <t>High</t>
        </is>
      </c>
      <c r="G1885" t="inlineStr">
        <is>
          <t>High (explicit)</t>
        </is>
      </c>
      <c r="H1885" s="11" t="inlineStr"/>
      <c r="I1885" s="11" t="inlineStr">
        <is>
          <t>Personal Information, Financial Data</t>
        </is>
      </c>
      <c r="J1885" t="inlineStr"/>
      <c r="K1885" s="11" t="inlineStr">
        <is>
          <t>Financial institutions must develop and maintain a robust IT service management framework that includes governance structures for change management, software release management, incident and problem management, and capacity management. This framework must be documented, implemented, and regularly updated to ensure system stability, monitor operations, and maintain an up-to-date IT asset inventory. The framework must also include specific procedures for managing critical IT operations, logging and monitoring critical activities, configuration management, performance planning, backup and restoration, change management, and incident/problem resolution.</t>
        </is>
      </c>
      <c r="L1885" s="11" t="inlineStr">
        <is>
          <t>This section establishes foundational IT operations controls that impact data transfer by requiring robust change management, incident handling, and backup procedures which affect data integrity and availability during cross-border transfers.</t>
        </is>
      </c>
      <c r="M1885" s="11" t="inlineStr">
        <is>
          <t>• [Must] Financial institutions must develop a robust set of IT service management policies, standards, processes and procedures for supporting IT systems and services.
• [Must] IT service management framework must include governance structures for change management, software release management, incident and problem management, and capacity management.
• [Must] Financial institutions must manage IT operations based on documented and implemented policies, processes and procedures that define operations, monitoring and control of information systems.
• [Must] Financial institutions must maintain an up-to-date IT asset inventory and register of critical IT operations.
• [Must] Financial institutions must implement logging and monitoring procedures for critical IT operations to detect, analyze and correct incidents.
• [Must] Financial institutions must store configuration of IT assets and interdependencies to enable configuration management.
• [Must] Financial institutions must implement performance, capacity planning and monitoring processes to prevent, detect and respond to performance issues.</t>
        </is>
      </c>
      <c r="N1885" s="11" t="inlineStr">
        <is>
          <t>• [Must] Financial institutions must define and implement IT system backup and restoration procedures to ensure recovery of IT systems.
• [Must] Financial institutions must establish and implement an effective IT change management process for recording, testing, assessing, approving, implementing and verifying changes.
• [Must] Financial institutions must establish and implement a problem and incident management process to identify, track, log, categorize and classify incidents based on business criticality.
• [Must] Financial institutions must ensure problem management can analyze and solve root causes behind incidents.
• [Must] Backup frequency must align with business recovery requirements and criticality of data and systems evaluated through risk assessment.
• [Must] Backup and restoration procedures must be tested at least annually.
• [Must] Financial institutions must implement appropriate segregation of duties between development, testing and operations environments.</t>
        </is>
      </c>
      <c r="O1885" s="11" t="inlineStr">
        <is>
          <t>A financial institution must develop a robust set of IT service management policies, standards, processes and procedures (framework) which is essential for supporting IT systems, services and operations, managing changes, incidents and problems as well as ensuring the stability of the production IT environment.</t>
        </is>
      </c>
      <c r="P1885" s="12" t="n">
        <v>76</v>
      </c>
    </row>
    <row r="1886">
      <c r="A1886" t="inlineStr">
        <is>
          <t>South Africa</t>
        </is>
      </c>
      <c r="B1886" t="inlineStr">
        <is>
          <t>Joint Standard 1 of 2023 - IT Governance and Risk Management</t>
        </is>
      </c>
      <c r="C1886" t="inlineStr">
        <is>
          <t>10</t>
        </is>
      </c>
      <c r="D1886" s="11" t="inlineStr">
        <is>
          <t>Sensitive information handling and protection measures</t>
        </is>
      </c>
      <c r="E1886" t="inlineStr">
        <is>
          <t>9–10</t>
        </is>
      </c>
      <c r="F1886" t="inlineStr">
        <is>
          <t>High</t>
        </is>
      </c>
      <c r="G1886" t="inlineStr">
        <is>
          <t>High (explicit)</t>
        </is>
      </c>
      <c r="H1886" s="11" t="inlineStr">
        <is>
          <t>Access Control</t>
        </is>
      </c>
      <c r="I1886" s="11" t="inlineStr">
        <is>
          <t>Personal Information, Financial Data</t>
        </is>
      </c>
      <c r="J1886" t="inlineStr"/>
      <c r="K1886" s="11" t="inlineStr">
        <is>
          <t>Financial institutions must define and implement measures to protect sensitive customer information, mitigate IT risks, and ensure information accuracy and reliability. This includes establishing identity and access management procedures with monitoring controls, addressing risks of data theft and loss, ensuring data accuracy, and conducting independent reviews of compliance with security measures. The requirements also mandate adherence to all applicable data protection legislation, including the Protection of Personal Information Act, 2013.</t>
        </is>
      </c>
      <c r="L1886" s="11" t="inlineStr">
        <is>
          <t>This section requires specific security controls for sensitive data handling that directly impact data transfer by mandating robust access controls and data protection measures for cross-border transfers of customer information.</t>
        </is>
      </c>
      <c r="M1886" s="11" t="inlineStr">
        <is>
          <t>• [Must] Financial institutions must define, document and implement measures to protect sensitive or confidential information such as customer personal account and transaction data.
• [Must] Financial institutions must define, document and implement procedures for logical access control (identity and access management) that are enforced, monitored and periodically reviewed.
• [Must] Financial institutions must implement measures to address risks of data theft, data loss and data leakage from endpoint devices, customer service locations and call centres.</t>
        </is>
      </c>
      <c r="N1886" s="11" t="inlineStr">
        <is>
          <t>• [Must] Financial institutions must ensure information processed, stored or transmitted between itself and customers is accurate, reliable and complete.
• [Must] Financial institutions must conduct independent reviews to assess compliance with implemented measures and identify vulnerabilities in compliance processes.
• [Must] Financial institutions must ensure all personal information is processed in accordance with all applicable legislation, including the Protection of Personal Information Act, 2013.</t>
        </is>
      </c>
      <c r="O1886" s="11" t="inlineStr">
        <is>
          <t>A financial institution must define, document and implement appropriate measures to - (a) protect sensitive or confidential information such as customer personal account and transaction data which are stored and processed in systems; and (b) mitigate IT risks and protect information assets in accordance with its sensitivity classification.</t>
        </is>
      </c>
      <c r="P1886" s="12" t="n">
        <v>76</v>
      </c>
    </row>
    <row r="1887">
      <c r="A1887" t="inlineStr">
        <is>
          <t>South Africa</t>
        </is>
      </c>
      <c r="B1887" t="inlineStr">
        <is>
          <t>Joint Standard 1 of 2023 - IT Governance and Risk Management</t>
        </is>
      </c>
      <c r="C1887" t="inlineStr">
        <is>
          <t>11</t>
        </is>
      </c>
      <c r="D1887" s="11" t="inlineStr">
        <is>
          <t>Financial product and service risk management</t>
        </is>
      </c>
      <c r="E1887" t="inlineStr">
        <is>
          <t>10</t>
        </is>
      </c>
      <c r="F1887" t="inlineStr">
        <is>
          <t>High</t>
        </is>
      </c>
      <c r="G1887" t="inlineStr">
        <is>
          <t>High (explicit)</t>
        </is>
      </c>
      <c r="H1887" s="11" t="inlineStr">
        <is>
          <t>Encryption</t>
        </is>
      </c>
      <c r="I1887" s="11" t="inlineStr">
        <is>
          <t>Financial Data</t>
        </is>
      </c>
      <c r="J1887" t="inlineStr"/>
      <c r="K1887" s="11" t="inlineStr">
        <is>
          <t>Financial institutions must identify IT risks associated with financial products and services, and implement security controls, system availability and recovery capabilities commensurate with risk exposure. This includes evaluating security requirements for internet-facing systems, adopting encryption algorithms aligned with international standards, establishing security monitoring systems to detect IT risks, and implementing measures to protect online users and ensure customer awareness of security measures.</t>
        </is>
      </c>
      <c r="L1887" s="11" t="inlineStr">
        <is>
          <t>This section mandates security controls for financial products and services that affect data transfer by requiring encryption standards and security monitoring for cross-border data flows.</t>
        </is>
      </c>
      <c r="M1887" s="11" t="inlineStr">
        <is>
          <t>• [Must] Financial institutions must clearly identify IT risks associated with financial products or services and formulate security controls, system availability and recovery capabilities commensurate with risk exposure.
• [Must] Financial institutions must properly evaluate security requirements for internet-facing systems and adopt encryption algorithms aligned with well-established practices and international standards.
• [Must] Financial institutions must establish security monitoring systems to detect or monitor IT risk exposure in relation to financial services.</t>
        </is>
      </c>
      <c r="N1887" s="11" t="inlineStr">
        <is>
          <t>• [Must] Financial institutions must implement measures to plan and track capacity utilisation and guard against online attacks.
• [Must] Financial institutions must implement reasonable measures to protect IT users, including customers, who use online systems to interact with financial institutions.
• [Must] Financial institutions must ensure customer awareness of security measures to protect customers in an online environment.</t>
        </is>
      </c>
      <c r="O1887" s="11" t="inlineStr">
        <is>
          <t>A financial institution must clearly identify IT risks associated with the types of financial products or financial services being offered, and formulate security controls, system availability and recovery capabilities, which are commensurate with the level of risk exposure for all operations, including the internet-facing operations.</t>
        </is>
      </c>
      <c r="P1887" s="12" t="n">
        <v>76</v>
      </c>
    </row>
    <row r="1888">
      <c r="A1888" t="inlineStr">
        <is>
          <t>South Africa</t>
        </is>
      </c>
      <c r="B1888" t="inlineStr">
        <is>
          <t>Joint Standard 1 of 2023 - IT Governance and Risk Management</t>
        </is>
      </c>
      <c r="C1888" t="inlineStr">
        <is>
          <t>12</t>
        </is>
      </c>
      <c r="D1888" s="11" t="inlineStr">
        <is>
          <t>IT programme and project management framework</t>
        </is>
      </c>
      <c r="E1888" t="inlineStr">
        <is>
          <t>10–11</t>
        </is>
      </c>
      <c r="F1888" t="inlineStr">
        <is>
          <t>High</t>
        </is>
      </c>
      <c r="G1888" t="inlineStr">
        <is>
          <t>High (explicit)</t>
        </is>
      </c>
      <c r="H1888" s="11" t="inlineStr"/>
      <c r="I1888" s="11" t="inlineStr">
        <is>
          <t>Financial Data</t>
        </is>
      </c>
      <c r="J1888" t="inlineStr"/>
      <c r="K1888" s="11" t="inlineStr">
        <is>
          <t>Financial institutions must develop an IT programme and project management framework that includes governance structures, policies, stakeholder engagement, risk management, change control, integration, cost and benefit realization. This framework must incorporate security requirements that are analyzed and approved by an independent function, identify and mitigate risks from interdependencies between projects, ensure functional and non-functional requirements are defined and approved, implement testing methodologies for systems before production deployment, and maintain comprehensive documentation of IT systems.</t>
        </is>
      </c>
      <c r="L1888" s="11" t="inlineStr">
        <is>
          <t>This section establishes IT project management requirements that impact data transfer by mandating comprehensive documentation and testing of systems before deployment, which affects data integrity and security during cross-border transfers.</t>
        </is>
      </c>
      <c r="M1888" s="11" t="inlineStr">
        <is>
          <t>• [Must] Financial institutions must develop a framework and approach for IT programme and project management that incorporates governance structures, policies and processes, stakeholder engagement, risks and issues management, change control, integration, and cost and benefit realization.
• [Must] Financial institutions must establish IT programme and project management policies, procedures and processes that include objectives, roles and responsibilities, risk assessment, project plans, key milestones, and change management requirements.
• [Must] Financial institutions must ensure IT security requirements are analyzed and approved by a function independent from the development function.
• [Must] Financial institutions must identify, monitor and mitigate risks from interdependencies between IT programmes and projects.
• [Must] Financial institutions must ensure functional and non-functional requirements (including information security) are clearly defined and approved by relevant governance structures before system acquisition or development.
• [Must] Financial institutions must follow a methodology for testing and approval of IT systems prior to implementation into production environments.</t>
        </is>
      </c>
      <c r="N1888" s="11" t="inlineStr">
        <is>
          <t>• [Must] Financial institutions must implement controls to ensure adequate segregation of duties between pre-production and production environments.
• [Must] Financial institutions must implement measures to protect the integrity of source codes for in-house developed IT systems.
• [Must] Financial institutions must document the development, implementation, operation and configuration of IT systems comprehensively.
• [Must] Financial institutions must ensure documentation includes user documentation, technical system documentation and operating procedures.
• [Must] Financial institutions must ensure processes for acquisition and development of IT systems apply to business functions outside the IT department using a risk-based approach.
• [Must] Financial institutions must maintain a register of critical applications, business functions and processes.</t>
        </is>
      </c>
      <c r="O1888" s="11" t="inlineStr">
        <is>
          <t>A financial institution must develop a framework and approach for IT programme and/or project management that incorporates the governance structures, policies and processes, stakeholder engagement, risks and issues management, change control, integration, and cost and benefit realisation.</t>
        </is>
      </c>
      <c r="P1888" s="12" t="n">
        <v>76</v>
      </c>
    </row>
    <row r="1889">
      <c r="A1889" t="inlineStr">
        <is>
          <t>South Africa</t>
        </is>
      </c>
      <c r="B1889" t="inlineStr">
        <is>
          <t>Joint Standard 1 of 2023 - IT Governance and Risk Management</t>
        </is>
      </c>
      <c r="C1889" t="inlineStr">
        <is>
          <t>13</t>
        </is>
      </c>
      <c r="D1889" s="11" t="inlineStr">
        <is>
          <t>IT resilience and business continuity planning</t>
        </is>
      </c>
      <c r="E1889" t="inlineStr">
        <is>
          <t>11–13</t>
        </is>
      </c>
      <c r="F1889" t="inlineStr">
        <is>
          <t>High</t>
        </is>
      </c>
      <c r="G1889" t="inlineStr">
        <is>
          <t>High (explicit)</t>
        </is>
      </c>
      <c r="H1889" s="11" t="inlineStr"/>
      <c r="I1889" s="11" t="inlineStr">
        <is>
          <t>Financial Data</t>
        </is>
      </c>
      <c r="J1889" t="inlineStr"/>
      <c r="K1889" s="11" t="inlineStr">
        <is>
          <t>Financial institutions must define system recovery and business resumption priorities with specific Service Level Objectives including RTOs and RPOs for critical services. They must establish disaster recovery sites geographically separate from primary sites, implement IT resilience management processes to maximize service continuity during disruptions, conduct business impact assessments to analyze exposure to severe disruptions, develop IT resilience plans that consider risks to systems and services, and test and review these plans annually to ensure effectiveness.</t>
        </is>
      </c>
      <c r="L1889" s="11" t="inlineStr">
        <is>
          <t>This section mandates business continuity planning requirements that directly impact data transfer by requiring disaster recovery sites and testing of data recovery procedures across borders.</t>
        </is>
      </c>
      <c r="M1889" s="11" t="inlineStr">
        <is>
          <t>• [Must] Financial institutions must define system recovery and business resumption priorities and establish Service Level Objectives including RTOs and RPOs for critical services and business processes.
• [Must] Financial institutions must identify and establish a disaster recovery site geographically separate from the primary site to enable recovery of critical systems.
• [Must] Financial institutions must establish a sound IT resilience management process to maximize service continuity and limit losses during severe business disruption.
• [Must] Financial institutions must conduct a business impact assessment analyzing exposure to severe disruptions and potential impacts on confidentiality, integrity and availability.
• [Must] Financial institutions must ensure business impact assessments consider criticality of business functions, supporting processes, third parties and IT assets and their interdependencies.
• [Must] Financial institutions must develop a sound IT resilience plan that specifically considers risks impacting IT systems and services.
• [Must] Financial institutions must ensure the IT resilience plan supports protection and re-establishment of confidentiality, integrity and availability of business functions.
• [Must] Financial institutions must ensure the IT resilience plan supports critical business functions, processes, IT assets and interdependencies.</t>
        </is>
      </c>
      <c r="N1889" s="11" t="inlineStr">
        <is>
          <t>• [Must] Financial institutions must ensure the IT resilience plan enables return to normalcy in the event of severe business disruption.
• [Must] Financial institutions must align the IT resilience plan with the business impact assessment.
• [Must] Financial institutions must test the IT resilience plan regularly, but at least annually, covering various scenarios including total shutdown of primary sites.
• [Must] Financial institutions must review the IT resilience plan regularly, but at least annually, based on testing results, threat intelligence and lessons learned.
• [Must] Financial institutions must assess redundancy and fault tolerance in electrical power, air conditioning, fire suppression and data communications.
• [Must] Financial institutions must define, document and implement physical security measures to protect premises, data centres and sensitive areas.
• [Must] Financial institutions must test recovery dependencies between systems and conduct bilateral or multilateral recovery testing where networks and systems are linked to service providers.</t>
        </is>
      </c>
      <c r="O1889" s="11" t="inlineStr">
        <is>
          <t>A financial institution must define system recovery and business resumption priorities and establish specific Service Level Objectives including RTOs and RPOs for critical services and business processes.</t>
        </is>
      </c>
      <c r="P1889" s="12" t="n">
        <v>76</v>
      </c>
    </row>
    <row r="1890">
      <c r="A1890" t="inlineStr">
        <is>
          <t>South Africa</t>
        </is>
      </c>
      <c r="B1890" t="inlineStr">
        <is>
          <t>Joint Standard 1 of 2023 - IT Governance and Risk Management</t>
        </is>
      </c>
      <c r="C1890" t="inlineStr">
        <is>
          <t>14</t>
        </is>
      </c>
      <c r="D1890" s="11" t="inlineStr">
        <is>
          <t>IT assurance and compliance review</t>
        </is>
      </c>
      <c r="E1890" t="inlineStr">
        <is>
          <t>13</t>
        </is>
      </c>
      <c r="F1890" t="inlineStr">
        <is>
          <t>High</t>
        </is>
      </c>
      <c r="G1890" t="inlineStr">
        <is>
          <t>High (explicit)</t>
        </is>
      </c>
      <c r="H1890" s="11" t="inlineStr"/>
      <c r="I1890" s="11" t="inlineStr">
        <is>
          <t>Financial Data</t>
        </is>
      </c>
      <c r="J1890" t="inlineStr"/>
      <c r="K1890" s="11" t="inlineStr">
        <is>
          <t>Financial institutions must establish an independent IT assurance structure with reporting lines that preserve independence and objectivity. This includes determining whether operational environment changes affect existing IT controls, requiring changes to be made through formal change management processes, and maintaining an IT assurance plan to evaluate the adequacy and effectiveness of IT systems, internal controls and governance arrangements.</t>
        </is>
      </c>
      <c r="L1890" s="11" t="inlineStr">
        <is>
          <t>This section requires independent IT assurance mechanisms that impact data transfer by ensuring robust oversight of IT systems and controls, which affects data security and compliance during cross-border transfers.</t>
        </is>
      </c>
      <c r="M1890" s="11" t="inlineStr">
        <is>
          <t>• [Must] Control functions and/or external assurance providers must have capacity to independently review and provide objective assurance of compliance with IT-related activities.
• [Must] Financial institutions must establish an organizational structure and reporting lines for IT assurance within control functions to preserve independence and objectivity.</t>
        </is>
      </c>
      <c r="N1890" s="11" t="inlineStr">
        <is>
          <t>• [Must] Financial institutions must determine whether changes in the operational environment influence existing IT controls or require additional measures to mitigate risks, in accordance with formal change management processes.
• [Must] Financial institutions must maintain an IT assurance plan to examine and evaluate the adequacy and effectiveness of IT systems, internal control mechanisms and governance arrangements.</t>
        </is>
      </c>
      <c r="O1890" s="11" t="inlineStr">
        <is>
          <t>The control functions and/or external assurance providers, must, have the capacity to independently review and provide objective assurance of compliance with all IT-related activities as outlined in the financial institution's policies and procedures as well as with external requirements.</t>
        </is>
      </c>
      <c r="P1890" s="12" t="n">
        <v>76</v>
      </c>
    </row>
    <row r="1891">
      <c r="A1891" t="inlineStr">
        <is>
          <t>South Africa</t>
        </is>
      </c>
      <c r="B1891" t="inlineStr">
        <is>
          <t>Joint Standard 1 of 2023 - IT Governance and Risk Management</t>
        </is>
      </c>
      <c r="C1891" t="inlineStr">
        <is>
          <t>15</t>
        </is>
      </c>
      <c r="D1891" s="11" t="inlineStr">
        <is>
          <t>Financial institution incident reporting to regulators</t>
        </is>
      </c>
      <c r="E1891" t="inlineStr">
        <is>
          <t>13</t>
        </is>
      </c>
      <c r="F1891" t="inlineStr">
        <is>
          <t>High</t>
        </is>
      </c>
      <c r="G1891" t="inlineStr">
        <is>
          <t>High (explicit)</t>
        </is>
      </c>
      <c r="H1891" s="11" t="inlineStr">
        <is>
          <t>Incident Reporting, Breach Notification</t>
        </is>
      </c>
      <c r="I1891" s="11" t="inlineStr">
        <is>
          <t>Financial Data</t>
        </is>
      </c>
      <c r="J1891" t="inlineStr">
        <is>
          <t>Authorities</t>
        </is>
      </c>
      <c r="K1891" s="11" t="inlineStr">
        <is>
          <t>Financial institutions must notify the relevant financial sector regulator within a specified timeframe after classifying a system failure, malfunction, delay, or disruptive event as a material incident. The notification must follow the form and manner determined by the authorities. Additionally, regulators may request specific information or compliance reports during ongoing supervisory reviews.</t>
        </is>
      </c>
      <c r="L1891" s="11" t="inlineStr">
        <is>
          <t>Requires timely reporting of material incidents to regulators, impacting data transfer assessments by mandating incident classification and notification protocols for cross-border financial data handling.</t>
        </is>
      </c>
      <c r="M1891" s="11" t="inlineStr">
        <is>
          <t>• [Must] Financial institutions must notify the responsible authority of the financial sector law within the determined timeframe after classifying an event as a material incident
• [Must] Notification must be in the form and manner determined by the authorities</t>
        </is>
      </c>
      <c r="N1891" s="11" t="inlineStr">
        <is>
          <t>• [May] Regulators may request specific information or regulatory reports during ongoing supervisory reviews
• [May] Regulators may request assurance in terms of compliance with this Joint Standard</t>
        </is>
      </c>
      <c r="O1891" s="11" t="inlineStr">
        <is>
          <t>15.1 A financial institution must notify the responsible authority of the financial sector law in terms of which the financial institution is licensed or registered, in the form and manner determined by the Authorities, of any systems failure, malfunction, delay or other disruptive event, within the determined timeframe, after classifying the event as a material incident.</t>
        </is>
      </c>
      <c r="P1891" s="12" t="n">
        <v>76</v>
      </c>
    </row>
    <row r="1892">
      <c r="A1892" t="inlineStr">
        <is>
          <t>South Africa</t>
        </is>
      </c>
      <c r="B1892" t="inlineStr">
        <is>
          <t>Joint Standard 2 of 2024  Cybersecurity &amp; Cyber resilience Requirements</t>
        </is>
      </c>
      <c r="C1892" t="inlineStr">
        <is>
          <t>2</t>
        </is>
      </c>
      <c r="D1892" s="11" t="inlineStr">
        <is>
          <t>Definitions of cybersecurity terms and financial institution scope</t>
        </is>
      </c>
      <c r="E1892" t="inlineStr">
        <is>
          <t>3–6</t>
        </is>
      </c>
      <c r="F1892" t="inlineStr">
        <is>
          <t>High</t>
        </is>
      </c>
      <c r="G1892" t="inlineStr">
        <is>
          <t>High (explicit)</t>
        </is>
      </c>
      <c r="H1892" s="11" t="inlineStr">
        <is>
          <t>Financial Data</t>
        </is>
      </c>
      <c r="I1892" s="11" t="inlineStr">
        <is>
          <t>Personal Information, Financial Data</t>
        </is>
      </c>
      <c r="J1892" t="inlineStr"/>
      <c r="K1892" s="11" t="inlineStr">
        <is>
          <t>This section defines key terms used throughout the Joint Standard, including 'cybersecurity', 'cyber incident', 'financial institution', and 'cyber resilience'. It specifies that 'financial institution' includes banks, insurers, pension funds, and other entities regulated under South African financial laws. The definitions clarify the scope of cybersecurity requirements for these institutions.</t>
        </is>
      </c>
      <c r="L1892" s="11" t="inlineStr">
        <is>
          <t>Provides foundational definitions critical for understanding cross-border data transfers, as 'financial institution' scope includes entities handling international data flows. Clarifies what constitutes 'cyber incident' and 'cyber resilience' relevant to data protection.</t>
        </is>
      </c>
      <c r="M1892" s="11" t="inlineStr">
        <is>
          <t>• [Definition] ‘the Act' means the Financial Sector Regulation Act, 2017</t>
        </is>
      </c>
      <c r="N1892" s="11" t="inlineStr">
        <is>
          <t>• [Definition] ‘financial institution' includes banks, insurers, pension funds, and other entities regulated under South African financial laws</t>
        </is>
      </c>
      <c r="O1892" s="11" t="inlineStr">
        <is>
          <t>Definitions and interpretation</t>
        </is>
      </c>
      <c r="P1892" s="12" t="n">
        <v>77</v>
      </c>
    </row>
    <row r="1893">
      <c r="A1893" t="inlineStr">
        <is>
          <t>South Africa</t>
        </is>
      </c>
      <c r="B1893" t="inlineStr">
        <is>
          <t>Joint Standard 2 of 2024  Cybersecurity &amp; Cyber resilience Requirements</t>
        </is>
      </c>
      <c r="C1893" t="inlineStr">
        <is>
          <t>3</t>
        </is>
      </c>
      <c r="D1893" s="11" t="inlineStr">
        <is>
          <t>Application scope for financial institutions</t>
        </is>
      </c>
      <c r="E1893" t="inlineStr">
        <is>
          <t>6–7</t>
        </is>
      </c>
      <c r="F1893" t="inlineStr">
        <is>
          <t>High</t>
        </is>
      </c>
      <c r="G1893" t="inlineStr">
        <is>
          <t>High (explicit)</t>
        </is>
      </c>
      <c r="H1893" s="11" t="inlineStr">
        <is>
          <t>Cross-border Transfer, Financial Data</t>
        </is>
      </c>
      <c r="I1893" s="11" t="inlineStr">
        <is>
          <t>Financial Data</t>
        </is>
      </c>
      <c r="J1893" t="inlineStr"/>
      <c r="K1893" s="11" t="inlineStr">
        <is>
          <t>This section specifies that the Joint Standard applies to financial institutions as defined in the standard. It requires banks and their controlling companies to mitigate cybersecurity risks from all juristic persons and branches, including foreign entities. Insurers and their controlling companies must similarly address cybersecurity risks from their structured entities. The standard must be tailored to the institution's size, complexity, and risk profile.</t>
        </is>
      </c>
      <c r="L1893" s="11" t="inlineStr">
        <is>
          <t>Defines which financial institutions must comply with cybersecurity requirements, including cross-border entities. Critical for determining data transfer obligations when financial institutions operate internationally.</t>
        </is>
      </c>
      <c r="M1893" s="11" t="inlineStr">
        <is>
          <t>• [Must] Banks and controlling companies must mitigate cybersecurity risks from all juristic persons and branches, including foreign entities
• [Must] Insurers and controlling companies must mitigate cybersecurity risks from all juristic persons and branches, including foreign entities</t>
        </is>
      </c>
      <c r="N1893" s="11" t="inlineStr">
        <is>
          <t>• [Must] Minimum requirements must reflect the nature, size, complexity and risk profile of the financial institution</t>
        </is>
      </c>
      <c r="O1893" s="11" t="inlineStr">
        <is>
          <t>Application</t>
        </is>
      </c>
      <c r="P1893" s="12" t="n">
        <v>77</v>
      </c>
    </row>
    <row r="1894">
      <c r="A1894" t="inlineStr">
        <is>
          <t>South Africa</t>
        </is>
      </c>
      <c r="B1894" t="inlineStr">
        <is>
          <t>Joint Standard 2 of 2024  Cybersecurity &amp; Cyber resilience Requirements</t>
        </is>
      </c>
      <c r="C1894" t="inlineStr">
        <is>
          <t>4</t>
        </is>
      </c>
      <c r="D1894" s="11" t="inlineStr">
        <is>
          <t>Roles and responsibilities for cybersecurity governance</t>
        </is>
      </c>
      <c r="E1894" t="inlineStr">
        <is>
          <t>7</t>
        </is>
      </c>
      <c r="F1894" t="inlineStr">
        <is>
          <t>High</t>
        </is>
      </c>
      <c r="G1894" t="inlineStr">
        <is>
          <t>High (explicit)</t>
        </is>
      </c>
      <c r="H1894" s="11" t="inlineStr">
        <is>
          <t>Governance</t>
        </is>
      </c>
      <c r="I1894" s="11" t="inlineStr">
        <is>
          <t>Financial Data</t>
        </is>
      </c>
      <c r="J1894" t="inlineStr"/>
      <c r="K1894" s="11" t="inlineStr">
        <is>
          <t>This section outlines that the governing body is ultimately responsible for ensuring compliance with the Joint Standard and overseeing cyber risk management. It requires the governing body to establish a robust cybersecurity strategy with senior management, facilitate cooperation with stakeholders, and ensure clear roles for security in third-party contracts. The governing body must also oversee the implementation of cybersecurity measures.</t>
        </is>
      </c>
      <c r="L1894" s="11" t="inlineStr">
        <is>
          <t>Clarifies governance responsibilities for cybersecurity, critical for data transfer impact assessments involving third parties and international operations.</t>
        </is>
      </c>
      <c r="M1894" s="11" t="inlineStr">
        <is>
          <t>• [Must] Governing body must ensure compliance with the Joint Standard
• [Must] Governing body must oversee cyber risk management and delegate primary oversight to a committee
• [Must] Governing body must establish a sound cybersecurity strategy with senior management</t>
        </is>
      </c>
      <c r="N1894" s="11" t="inlineStr">
        <is>
          <t>• [Must] Governing body must ensure cooperation with stakeholders for financial sector cyber resilience
• [Must] Governing body must ensure clear roles for security in third-party contracts</t>
        </is>
      </c>
      <c r="O1894" s="11" t="inlineStr">
        <is>
          <t>Roles and responsibilities</t>
        </is>
      </c>
      <c r="P1894" s="12" t="n">
        <v>77</v>
      </c>
    </row>
    <row r="1895">
      <c r="A1895" t="inlineStr">
        <is>
          <t>South Africa</t>
        </is>
      </c>
      <c r="B1895" t="inlineStr">
        <is>
          <t>Joint Standard 2 of 2024  Cybersecurity &amp; Cyber resilience Requirements</t>
        </is>
      </c>
      <c r="C1895" t="inlineStr">
        <is>
          <t>5</t>
        </is>
      </c>
      <c r="D1895" s="11" t="inlineStr">
        <is>
          <t>Cybersecurity governance structures</t>
        </is>
      </c>
      <c r="E1895" t="inlineStr">
        <is>
          <t>7–8</t>
        </is>
      </c>
      <c r="F1895" t="inlineStr">
        <is>
          <t>High</t>
        </is>
      </c>
      <c r="G1895" t="inlineStr">
        <is>
          <t>High (explicit)</t>
        </is>
      </c>
      <c r="H1895" s="11" t="inlineStr">
        <is>
          <t>Governance</t>
        </is>
      </c>
      <c r="I1895" s="11" t="inlineStr">
        <is>
          <t>Financial Data</t>
        </is>
      </c>
      <c r="J1895" t="inlineStr"/>
      <c r="K1895" s="11" t="inlineStr">
        <is>
          <t>This section requires financial institutions to define roles and responsibilities for management functions and committees overseeing cyber risks. It mandates that cyber risk management be integrated into the institution's governance framework, with direct reporting lines to the governing body. It also requires a dedicated function for cybersecurity with adequate resources and authority, and ensures that oversight functions have access to the governing body without conflicts of interest.</t>
        </is>
      </c>
      <c r="L1895" s="11" t="inlineStr">
        <is>
          <t>Establishes governance structures critical for data transfer impact assessments, particularly for international data flows and third-party data sharing.</t>
        </is>
      </c>
      <c r="M1895" s="11" t="inlineStr">
        <is>
          <t>• [Must] Define roles and responsibilities of all management functions and committees for cyber risk oversight
• [Must] Integrate cyber risk management into governance and risk management structures
• [Must] Establish a function responsible for cybersecurity with adequate resources and authority</t>
        </is>
      </c>
      <c r="N1895" s="11" t="inlineStr">
        <is>
          <t>• [Must] Ensure oversight functions have direct access to the governing body
• [Must] Ensure segregation of duties and avoid conflicts of interest in oversight functions</t>
        </is>
      </c>
      <c r="O1895" s="11" t="inlineStr">
        <is>
          <t>Governance</t>
        </is>
      </c>
      <c r="P1895" s="12" t="n">
        <v>77</v>
      </c>
    </row>
    <row r="1896">
      <c r="A1896" t="inlineStr">
        <is>
          <t>South Africa</t>
        </is>
      </c>
      <c r="B1896" t="inlineStr">
        <is>
          <t>Joint Standard 2 of 2024  Cybersecurity &amp; Cyber resilience Requirements</t>
        </is>
      </c>
      <c r="C1896" t="inlineStr">
        <is>
          <t>6</t>
        </is>
      </c>
      <c r="D1896" s="11" t="inlineStr">
        <is>
          <t>Cybersecurity strategy and framework requirements</t>
        </is>
      </c>
      <c r="E1896" t="inlineStr">
        <is>
          <t>8</t>
        </is>
      </c>
      <c r="F1896" t="inlineStr">
        <is>
          <t>High</t>
        </is>
      </c>
      <c r="G1896" t="inlineStr">
        <is>
          <t>High (explicit)</t>
        </is>
      </c>
      <c r="H1896" s="11" t="inlineStr"/>
      <c r="I1896" s="11" t="inlineStr">
        <is>
          <t>Financial Data</t>
        </is>
      </c>
      <c r="J1896" t="inlineStr"/>
      <c r="K1896" s="11" t="inlineStr">
        <is>
          <t>This section mandates that financial institutions establish and maintain a cybersecurity strategy approved by the governing body, aligned with business strategy. It requires regular review of the strategy, establishment of a cybersecurity framework, alignment with enterprise risk management, development of cybersecurity policies, and regular reassessment of business risk tolerance. Metrics must be established to track cybersecurity risks and inform reporting.</t>
        </is>
      </c>
      <c r="L1896" s="11" t="inlineStr">
        <is>
          <t>Provides detailed requirements for cybersecurity strategies, critical for assessing data transfer risks when financial institutions operate internationally.</t>
        </is>
      </c>
      <c r="M1896" s="11" t="inlineStr">
        <is>
          <t>• [Must] Establish and maintain a cybersecurity strategy approved by the governing body
• [Must] Review cybersecurity strategy at least annually to address threats, allocate resources, and remediate gaps
• [Must] Establish a cybersecurity framework to manage cyber risks
• [Must] Align cybersecurity framework with enterprise risk management framework</t>
        </is>
      </c>
      <c r="N1896" s="11" t="inlineStr">
        <is>
          <t>• [Must] Establish cybersecurity policies, standards, and procedures informed by industry best practices
• [Must] Define and reassess business risk tolerance relative to cybersecurity
• [Must] Establish metrics to track and manage cybersecurity risks</t>
        </is>
      </c>
      <c r="O1896" s="11" t="inlineStr">
        <is>
          <t>Cybersecurity strategy and framework</t>
        </is>
      </c>
      <c r="P1896" s="12" t="n">
        <v>77</v>
      </c>
    </row>
    <row r="1897">
      <c r="A1897" t="inlineStr">
        <is>
          <t>South Africa</t>
        </is>
      </c>
      <c r="B1897" t="inlineStr">
        <is>
          <t>Joint Standard 2 of 2024  Cybersecurity &amp; Cyber resilience Requirements</t>
        </is>
      </c>
      <c r="C1897" t="inlineStr">
        <is>
          <t>7</t>
        </is>
      </c>
      <c r="D1897" s="11" t="inlineStr">
        <is>
          <t>Cybersecurity fundamentals for financial institutions</t>
        </is>
      </c>
      <c r="E1897" t="inlineStr">
        <is>
          <t>8–12</t>
        </is>
      </c>
      <c r="F1897" t="inlineStr">
        <is>
          <t>High</t>
        </is>
      </c>
      <c r="G1897" t="inlineStr">
        <is>
          <t>High (explicit)</t>
        </is>
      </c>
      <c r="H1897" s="11" t="inlineStr">
        <is>
          <t>Security, Access Control</t>
        </is>
      </c>
      <c r="I1897" s="11" t="inlineStr">
        <is>
          <t>Financial Data, Customer Data, Employee Data</t>
        </is>
      </c>
      <c r="J1897" t="inlineStr">
        <is>
          <t>Responsible Authority</t>
        </is>
      </c>
      <c r="K1897" s="11" t="inlineStr">
        <is>
          <t>Financial institutions must identify critical business processes and information assets, classify them by criticality and sensitivity, conduct security risk assessments, and maintain updated inventories of information assets. They must implement robust cybersecurity practices to prevent, limit and contain cyber incidents, including identity and access management, data security, application and system security, network security, cryptography, and cybersecurity awareness training. These measures must be regularly reviewed and updated to address evolving threats.</t>
        </is>
      </c>
      <c r="L1897" s="11" t="inlineStr">
        <is>
          <t>This section establishes foundational cybersecurity requirements that directly impact data transfer and processing across borders by mandating robust security controls, encryption, and incident response protocols. Financial institutions must ensure data security and integrity during cross-border transfers through these fundamental security practices.</t>
        </is>
      </c>
      <c r="M1897" s="11" t="inlineStr">
        <is>
          <t>• [Must] Identify business processes and information assets supporting business and service delivery
• [Must] Classify business processes and information assets by criticality and sensitivity
• [Must] Conduct security risk assessments on critical operations and information assets
• [Must] Maintain inventory of information assets including location, ownership, and roles/responsibilities
• [Must] Update inventory when changes are required and review at least biennially
• [Must] Implement cyber resilience capabilities to prevent, limit and contain cyber incidents
• [Must] Limit access to information assets to authorized users, processes, and devices
• [Must] Manage access based on assessed risk of unauthorized access
• [Must] Establish identity management and access control mechanisms for user administration, accountability and authentication
• [Must] Establish security and access control policies and procedures
• [Must] Ensure remote access is only from secured devices meeting security standards
• [Must] Implement strong authentication for remote access users
• [Must] Develop data loss prevention policies for sensitive information in motion, at rest or in use
• [Must] Implement measures to prevent and detect unauthorized access, modification, copying, transmission or theft of data
• [Must] Ensure third-party service providers' information assets receive same protection level as critical assets
• [Must] Encrypt or protect sensitive information with access controls commensurate to risk exposure
• [Must] Use only authorized IT systems, endpoint devices and storage for sensitive information
• [Must] Implement controls to prevent unauthorized internet services for sensitive data
• [Must] Restrict use of sensitive information in non-production environments unless equivalent controls are in place
• [Must] Implement controls to manage access and removal of sensitive information to prevent leaks
• [Must] Mask sensitive information in production and non-production environments
• [Must] Permanently delete sensitive information from storage media before disposal or redeployment
• [Must] Have agreement for secure return or transfer of data upon contract termination
• [Must] Implement non-disclosure or confidentiality provisions in agreements with users
• [Must] Implement security-by-design approach to minimize system vulnerabilities
• [Must] Determine acceptable security level for business needs and assess threats and risks
• [Must] Specify security requirements for access control, authentication, transaction authorization, data integrity, system logging, audit trails and exception handling
• [Must] Review and test changes to business-critical applications to ensure no adverse impact
• [Must] Install network security devices to secure connections with internet and third-party providers
• [Must] Deploy network intrusion detection or prevention systems
• [Must] Review network architecture and interconnections periodically to identify vulnerabilities
• [Must] Implement network access controls to detect and prevent unauthorized devices
• [Must] Review network access mechanisms at least annually
• [Must] Review firewall rules periodically and test network perimeter controls annually
• [Must] Isolate internet web browsing activities from sensitive IT systems
• [Must] Encrypt remote connections to prevent data leakage through sniffing
• [Must] Establish cryptographic key management policies, standards and procedures
• [Must] Adopt cryptographic algorithms from well-established international standards
• [Must] Ensure cryptographic keys are securely generated and protected from unauthorized disclosure
• [Must] Use secure key destruction method for expired or revoked keys
• [Must] Determine appropriate cryptographic key lifespan based on sensitivity and risks
• [Must] Securely replace cryptographic keys before expiration
• [Must] Maintain backups of cryptographic keys with high protection
• [Must] Ensure cryptographic algorithms have been rigorously tested or vetted
• [Must] Establish comprehensive cybersecurity awareness training program
• [Must] Conduct user refresher training at least annually
• [Must] Ensure governing body receives cybersecurity training
• [Must] Review cybersecurity training program periodically for relevance
• [Must] Maintain effective cyber resilience capabilities to monitor and detect cyber events
• [Must] Periodically evaluate effectiveness of security controls through monitoring, testing and audits
• [Must] Establish security monitoring capabilities including security operations center</t>
        </is>
      </c>
      <c r="N1897" s="11" t="inlineStr">
        <is>
          <t>• [Must] Define processes, roles and responsibilities for security operations
• [Must] Establish process to collect, review and retain IT system logs
• [Must] Protect IT system logs against unauthorized access, editing and deletion
• [Must] Configure IT system events or alerts for early indication of security issues
• [Must] Actively monitor security events or alerts to address issues early
• [Must] Correlate multiple events on IT system logs to identify suspicious activity patterns
• [Must] Establish process for timely escalation of suspicious activities
• [Must] Implement capabilities to rapidly respond and recover from cyber-attacks
• [Must] Establish cyber incident management policies and processes
• [Must] Develop data backup strategy with regular backups and testing
• [Must] Ensure sensitive information in backup media is secured (e.g. encrypted)
• [Must] Store backup media offline or at offsite location (including cloud storage)
• [Must] Implement communication strategy for customers impacted by cyber-attacks
• [Must] Set RPO and RTO based on nature, scale, complexity and risk profile
• [Must] Establish cyber incident response and management plan
• [Must] Describe communication, coordination and response procedures for cyber threats
• [Must] Establish process to investigate security control deficiencies causing compromise
• [Must] Evaluate full extent of impact from security incidents
• [Must] Use cyber intelligence and lessons from incidents to enhance security controls
• [Must] Test cyber incident response and management plan against plausible threats
• [Must] Understand threat landscape and implications in operating environment
• [Must] Establish process to collect and analyze cyber-related information for business relevance
• [Must] Implement cyber intelligence monitoring capabilities for internal and external threats
• [Must] Participate in cyber threat information-sharing arrangements with trusted external parties
• [Must] Test all elements of cyber resilience capacity and security controls
• [Must] Determine testing frequency based on vulnerability rates and criticality
• [Must] Ensure security control assurance is provided by appropriately skilled personnel
• [Must] Escalate and report to governing body security control deficiencies that cannot be remediated
• [Must] Ensure remediation plan with timelines is followed for identified control deficiencies
• [Must] Conduct regular vulnerability assessments on IT systems and information assets
• [Must] Address vulnerabilities in a timely manner
• [Must] Determine vulnerability assessment frequency based on criticality and exposure
• [Must] Conduct penetration testing on critical IT systems and information assets
• [Must] Determine penetration testing frequency based on criticality and exposure
• [Must] Validate security controls for internet-accessible systems after major changes
• [Must] Conduct penetration testing at least annually if no major changes
• [Must] Carry out regular scenario-based simulation exercises to validate response and recovery
• [Must] Design simulation exercises using threat intelligence relevant to IT environment
• [Must] Test security functionality on web-based and critical applications during development
• [Must] Adopt standards on secure coding, source code review and application security testing
• [Must] Establish policy and procedure for third-party and open-source software code review
• [Must] Review policy and procedures regularly
• [Must] Establish comprehensive remediation process to track and resolve issues
• [Must] Classify issues by severity and prioritize based on risk
• [Must] Set timeframes for remediation of issues of different severity
• [Must] Conduct risk assessments where appropriate
• [Must] Implement mitigation strategies for deviations from cybersecurity framework
• [Must] Track all issues identified from cybersecurity testing or exercises
• [Must] Remediate known major issues and security flaws before production deployment
• [Must] Track updates and reported vulnerabilities on in-house, third-party and open-source software</t>
        </is>
      </c>
      <c r="O1897" s="11" t="inlineStr"/>
      <c r="P1897" s="12" t="n">
        <v>77</v>
      </c>
    </row>
    <row r="1898">
      <c r="A1898" t="inlineStr">
        <is>
          <t>South Africa</t>
        </is>
      </c>
      <c r="B1898" t="inlineStr">
        <is>
          <t>Joint Standard 2 of 2024  Cybersecurity &amp; Cyber resilience Requirements</t>
        </is>
      </c>
      <c r="C1898" t="inlineStr">
        <is>
          <t>8</t>
        </is>
      </c>
      <c r="D1898" s="11" t="inlineStr">
        <is>
          <t>Cybersecurity hygiene practices for financial institutions</t>
        </is>
      </c>
      <c r="E1898" t="inlineStr">
        <is>
          <t>15–17</t>
        </is>
      </c>
      <c r="F1898" t="inlineStr">
        <is>
          <t>High</t>
        </is>
      </c>
      <c r="G1898" t="inlineStr">
        <is>
          <t>High (explicit)</t>
        </is>
      </c>
      <c r="H1898" s="11" t="inlineStr">
        <is>
          <t>Access Control, Third Party Processing</t>
        </is>
      </c>
      <c r="I1898" s="11" t="inlineStr">
        <is>
          <t>Financial Data</t>
        </is>
      </c>
      <c r="J1898" t="inlineStr">
        <is>
          <t>Authorities</t>
        </is>
      </c>
      <c r="K1898" s="11" t="inlineStr">
        <is>
          <t>Financial institutions must implement robust access management policies including strong password controls, regular policy reviews, user access provisioning processes, segregation of duties, least privilege principles, periodic access reviews, and consistent access controls for third parties. These requirements ensure appropriate user access rights and minimize unauthorized access risks to critical systems and information assets.</t>
        </is>
      </c>
      <c r="L1898" s="11" t="inlineStr">
        <is>
          <t>These practices establish baseline security controls critical for DTIAs involving financial data transfers, particularly regarding access management and third-party vendor controls.</t>
        </is>
      </c>
      <c r="M1898" s="11" t="inlineStr">
        <is>
          <t>• [Must] Establish a security access control policy and process for strong password security controls
• [Must] Review security access control policy regularly
• [Must] Establish user access management process for provisioning, changing and revoking access rights
• [Must] Apply segregation of duties and least privilege principles when granting user access
• [Must] Ensure appropriate parties perform periodic user access reviews to verify privileges
• [Must] Apply same monitoring and access restrictions to third-party service providers as employees
• [Must] Secure administrative accounts to prevent unauthorized access
• [Must] Grant privileged account access on a need-to-use basis with logging and review
• [Must] Establish process to manage and monitor privileged accounts for suspicious activity
• [Must] Implement MFA for users with access to critical system functions
• [Must] Implement MFA or privilege access management for all administrative accounts
• [Must] Implement MFA for all user accounts accessing internet applications with sensitive information
• [Must] Protect network from unauthorized access and disruption
• [Must] Implement security controls at network perimeter to restrict unauthorized traffic</t>
        </is>
      </c>
      <c r="N1898" s="11" t="inlineStr">
        <is>
          <t>• [Must] Adopt defense in depth approach with multiple layers of security controls
• [Must] Apply security patches within timeframe commensurate with vulnerability risks
• [Must] Institute compensating security controls where patches unavailable
• [Must] Test security patches before production application to ensure compatibility
• [Must] Implement remediation plan with timelines for incompatible patches
• [Must] Establish written security standards for hardware and software
• [Must] Ensure security standards minimize exposure to cyber threats
• [Must] Review security standards periodically for relevance and effectiveness
• [Must] Verify uniform application of security standards and identify deviations
• [Must] Institute controls to reduce risk from non-conformity to security standards
• [Must] Implement endpoint protection against malware delivery channels
• [Must] Keep anti-malware signatures up-to-date and regularly scan systems
• [Must] Implement detection and response mechanisms for indicators of compromise</t>
        </is>
      </c>
      <c r="O1898" s="11" t="inlineStr">
        <is>
          <t>Cybersecurity hygiene practices</t>
        </is>
      </c>
      <c r="P1898" s="12" t="n">
        <v>77</v>
      </c>
    </row>
    <row r="1899">
      <c r="A1899" t="inlineStr">
        <is>
          <t>South Africa</t>
        </is>
      </c>
      <c r="B1899" t="inlineStr">
        <is>
          <t>Joint Standard 2 of 2024  Cybersecurity &amp; Cyber resilience Requirements</t>
        </is>
      </c>
      <c r="C1899" t="inlineStr">
        <is>
          <t>9</t>
        </is>
      </c>
      <c r="D1899" s="11" t="inlineStr">
        <is>
          <t>Material incident reporting requirements for financial institutions</t>
        </is>
      </c>
      <c r="E1899" t="inlineStr">
        <is>
          <t>17</t>
        </is>
      </c>
      <c r="F1899" t="inlineStr">
        <is>
          <t>High</t>
        </is>
      </c>
      <c r="G1899" t="inlineStr">
        <is>
          <t>High (explicit)</t>
        </is>
      </c>
      <c r="H1899" s="11" t="inlineStr">
        <is>
          <t>Incident Reporting, Breach Notification</t>
        </is>
      </c>
      <c r="I1899" s="11" t="inlineStr">
        <is>
          <t>Financial Data</t>
        </is>
      </c>
      <c r="J1899" t="inlineStr">
        <is>
          <t>Authorities</t>
        </is>
      </c>
      <c r="K1899" s="11" t="inlineStr">
        <is>
          <t>Financial institutions must notify the responsible authority within specified timeframe after classifying cyber incidents or information security compromises as material incidents. Additional reporting obligations require institutions to submit information related to compliance with the Joint Standard as determined by the authorities, with reporting formats and timelines specified by regulatory notices.</t>
        </is>
      </c>
      <c r="L1899" s="11" t="inlineStr">
        <is>
          <t>These reporting requirements impact DTIAs by establishing incident classification thresholds and mandatory notification procedures for security breaches involving financial data.</t>
        </is>
      </c>
      <c r="M1899" s="11" t="inlineStr">
        <is>
          <t>• [Must] Notify responsible authority after classifying cyber incidents as material incidents
• [Must] Notify responsible authority after classifying information security compromises as material incidents</t>
        </is>
      </c>
      <c r="N1899" s="11" t="inlineStr">
        <is>
          <t>• [Must] Report information related to Joint Standard compliance to authorities as determined</t>
        </is>
      </c>
      <c r="O1899" s="11" t="inlineStr">
        <is>
          <t>A financial institution must notify the responsible authority in the form and manner determined by the Authorities, after classifying the following as a material incident – cyber incidents; or information security compromise.</t>
        </is>
      </c>
      <c r="P1899" s="12" t="n">
        <v>77</v>
      </c>
    </row>
    <row r="1900">
      <c r="A1900" t="inlineStr">
        <is>
          <t>South Africa</t>
        </is>
      </c>
      <c r="B1900" t="inlineStr">
        <is>
          <t>PA Directive</t>
        </is>
      </c>
      <c r="C1900" t="inlineStr">
        <is>
          <t>1</t>
        </is>
      </c>
      <c r="D1900" s="11" t="inlineStr">
        <is>
          <t>Cloud computing and data offshoring definitions</t>
        </is>
      </c>
      <c r="E1900" t="inlineStr">
        <is>
          <t>1–2</t>
        </is>
      </c>
      <c r="F1900" t="inlineStr">
        <is>
          <t>Low</t>
        </is>
      </c>
      <c r="G1900" t="inlineStr">
        <is>
          <t>High (explicit)</t>
        </is>
      </c>
      <c r="H1900" s="11" t="inlineStr">
        <is>
          <t>Cloud Services, Data Storage</t>
        </is>
      </c>
      <c r="I1900" s="11" t="inlineStr">
        <is>
          <t>Personal Information</t>
        </is>
      </c>
      <c r="J1900" t="inlineStr"/>
      <c r="K1900" s="11" t="inlineStr">
        <is>
          <t>This section defines cloud computing as a model for on-demand network access to shared computing resources. It acknowledges that banks may already offshore data through insourcing relationships with parent organizations and are increasingly considering cloud computing for significant activities. The PA clarifies its policy stance on these practices without imposing specific requirements.</t>
        </is>
      </c>
      <c r="L1900" s="11" t="inlineStr"/>
      <c r="M1900" s="11" t="inlineStr">
        <is>
          <t>• [Definition]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is>
      </c>
      <c r="N1900" s="11" t="inlineStr"/>
      <c r="O1900" s="11" t="inlineStr">
        <is>
          <t>1.3.1 Cloud computing is defined as a model for enabling convenient, on-demand network access to a shared pool of configurable computing resources (e.g. networks, servers, storage facilities, applications and services) that can be rapidly provisioned and released with minimal management effort or service provider interaction.</t>
        </is>
      </c>
      <c r="P1900" s="12" t="n">
        <v>78</v>
      </c>
    </row>
    <row r="1901">
      <c r="A1901" t="inlineStr">
        <is>
          <t>South Africa</t>
        </is>
      </c>
      <c r="B1901" t="inlineStr">
        <is>
          <t>PA Directive</t>
        </is>
      </c>
      <c r="C1901" t="inlineStr">
        <is>
          <t>2</t>
        </is>
      </c>
      <c r="D1901" s="11" t="inlineStr">
        <is>
          <t>Cloud computing and data offshoring requirements</t>
        </is>
      </c>
      <c r="E1901" t="inlineStr">
        <is>
          <t>2–4</t>
        </is>
      </c>
      <c r="F1901" t="inlineStr">
        <is>
          <t>High</t>
        </is>
      </c>
      <c r="G1901" t="inlineStr">
        <is>
          <t>High (explicit)</t>
        </is>
      </c>
      <c r="H1901" s="11" t="inlineStr">
        <is>
          <t>Cloud Services, Data Storage, Data Residency, Security, Encryption, Access Control, Processing, Retention, Deletion, Data Sharing, Third Party Processing, Outsourcing, Incident Reporting, Breach Notification, Governance, Record Keeping</t>
        </is>
      </c>
      <c r="I1901" s="11" t="inlineStr">
        <is>
          <t>Personal Information, Financial Data</t>
        </is>
      </c>
      <c r="J1901" t="inlineStr">
        <is>
          <t>Prudential Authority (PA)</t>
        </is>
      </c>
      <c r="K1901" s="11" t="inlineStr">
        <is>
          <t>Banks must implement a risk-based approach aligned with their risk appetite when using cloud computing or offshoring data. They must have a data strategy, governance framework, and clear policies for such activities. Banks must assess risks before implementing initiatives, ensure data confidentiality and integrity, comply with local and foreign regulations, maintain regulatory access, have contingency plans, protect intellectual property, and ensure data remains usable even after contract termination. All arrangements must be in legally binding agreements.</t>
        </is>
      </c>
      <c r="L1901" s="11" t="inlineStr">
        <is>
          <t>Banks must establish risk-based controls for cloud and offshoring arrangements to ensure data security, regulatory compliance, and operational continuity across borders.</t>
        </is>
      </c>
      <c r="M1901" s="11" t="inlineStr">
        <is>
          <t>• [Must] Banks must have in place a formally defined and board approved data strategy and data governance framework.
• [Must] Banks that use cloud computing and/or offshore their data must have a clearly defined policy for such activities, which is aligned with its business strategy and linked to its risk appetite.
• [Must] Oversight of cloud computing and/or the offshoring of data must be incorporated into the governance structures, processes and procedures within the bank.
• [Must] Banks must ensure that their risk and control frameworks, including the application thereof, are designed and operating effectively in order to manage the risks associated with the use of cloud computing and/or the offshoring of data.
• [Must] Prior to undertaking a particular cloud computing and/or data offshoring initiative, the bank must assess whether the risk involved is within its risk appetite.
• [Must] All strategic investments by the bank, including the use of cloud computing and/or the offshoring of data, must be subjected to appropriate due diligence.
• [Must] Banks must take all reasonable measures to ensure the confidentiality, integrity and availability of its data, information technology (IT) applications or systems.</t>
        </is>
      </c>
      <c r="N1901" s="11" t="inlineStr">
        <is>
          <t>• [Must] Banks that use cloud computing and/or offshore their data must ensure that they remain compliant with applicable legislation and regulations, both locally as well as in any country where the cloud services and/or data are hosted.
• [Must Not] The use of cloud computing and/or the offshoring of data must not in any way infringe on the bank's supervisors or prevent any regulatory mandated access to information, nor must it impact on its regulators' ability to fulfil their duties.
• [Must] Banks must have contingency plans to continue with operations and meet their core obligations, such as regulatory, statutory or otherwise, despite any cloud computing and/or offshoring of data arrangements which may be in place.
• [Must] Banks must ensure that their intellectual property rights and contractual rights to data are not compromised, despite any cloud computing and/or offshoring of data arrangements which may be in place. Data must always be in a usable, readable and portable state, even when the contract is terminated.
• [Must Not] Any cloud computing and/or offshoring of data arrangements must not impact on banks' ability to conduct forensic audits or investigations.
• [Must] All cloud computing and/or offshoring of data arrangements must be contained in a documented, legally binding agreement.</t>
        </is>
      </c>
      <c r="O1901" s="11" t="inlineStr">
        <is>
          <t>Banks must have in place a formally defined and board approved data strategy and data governance framework.</t>
        </is>
      </c>
      <c r="P1901" s="12" t="n">
        <v>78</v>
      </c>
    </row>
    <row r="1902">
      <c r="A1902" t="inlineStr">
        <is>
          <t>South Africa</t>
        </is>
      </c>
      <c r="B1902" t="inlineStr">
        <is>
          <t>PA Directive</t>
        </is>
      </c>
      <c r="C1902" t="inlineStr">
        <is>
          <t>3</t>
        </is>
      </c>
      <c r="D1902" s="11" t="inlineStr">
        <is>
          <t>Acknowledgement of receipt requirement</t>
        </is>
      </c>
      <c r="E1902" t="inlineStr">
        <is>
          <t>4</t>
        </is>
      </c>
      <c r="F1902" t="inlineStr">
        <is>
          <t>Low</t>
        </is>
      </c>
      <c r="G1902" t="inlineStr">
        <is>
          <t>High (explicit)</t>
        </is>
      </c>
      <c r="H1902" s="11" t="inlineStr">
        <is>
          <t>Record Keeping</t>
        </is>
      </c>
      <c r="I1902" s="11" t="inlineStr">
        <is>
          <t>Personal Information</t>
        </is>
      </c>
      <c r="J1902" t="inlineStr"/>
      <c r="K1902" s="11" t="inlineStr">
        <is>
          <t>Banks must provide a signed acknowledgement of receipt to the PA confirming that they have received the directive and made it available to their independent auditors. This ensures regulatory compliance with the directive's implementation.</t>
        </is>
      </c>
      <c r="L1902" s="11" t="inlineStr"/>
      <c r="M1902" s="11" t="inlineStr">
        <is>
          <t>• [Notification] Kindly ensure that a copy of this directive is made available to your institution's independent auditors. The attached acknowledgement of receipt duly completed and signed by both the chief executive officer of the institution and the said auditors should be returned to the PA at the earliest convenience of the aforementioned signatories.</t>
        </is>
      </c>
      <c r="N1902" s="11" t="inlineStr"/>
      <c r="O1902" s="11" t="inlineStr">
        <is>
          <t>Kindly ensure that a copy of this directive is made available to your institution's independent auditors.</t>
        </is>
      </c>
      <c r="P1902" s="12" t="n">
        <v>78</v>
      </c>
    </row>
    <row r="1903">
      <c r="A1903" t="inlineStr">
        <is>
          <t>South Africa</t>
        </is>
      </c>
      <c r="B1903" t="inlineStr">
        <is>
          <t>South Africa National Cybersecurity Policy Framework (NCPF) 2015</t>
        </is>
      </c>
      <c r="C1903" t="inlineStr">
        <is>
          <t>1</t>
        </is>
      </c>
      <c r="D1903" s="11" t="inlineStr">
        <is>
          <t>Introduction to South African Cybersecurity Policy Framework</t>
        </is>
      </c>
      <c r="E1903" t="inlineStr">
        <is>
          <t>10–12</t>
        </is>
      </c>
      <c r="F1903" t="inlineStr">
        <is>
          <t>Low</t>
        </is>
      </c>
      <c r="G1903" t="inlineStr">
        <is>
          <t>High (explicit)</t>
        </is>
      </c>
      <c r="H1903" s="11" t="inlineStr">
        <is>
          <t>Cross-border Transfer, International Processing, Data Storage, Security, Incident Reporting, Breach Notification, Governance, Record Keeping</t>
        </is>
      </c>
      <c r="I1903" s="11" t="inlineStr">
        <is>
          <t>Personal Information, Financial Data</t>
        </is>
      </c>
      <c r="J1903" t="inlineStr">
        <is>
          <t>State Security Agency (SSA)</t>
        </is>
      </c>
      <c r="K1903" s="11" t="inlineStr">
        <is>
          <t>This section introduces the National Cybersecurity Policy Framework (NCPF) as part of South Africa's Justice, Crime Prevention and Security Cluster. It outlines the strategic importance of cybersecurity in the context of national security, economic growth, and digital integration. The framework aims to address cyber threats such as cybercrime, cyber terrorism, and cyber espionage while balancing the benefits of information technology with security risks.</t>
        </is>
      </c>
      <c r="L1903" s="11" t="inlineStr">
        <is>
          <t>This section establishes the foundational context for cybersecurity policy in South Africa, emphasizing the need for coordinated national responses to cyber threats. It does not directly specify transfer mechanisms but sets the stage for future regulatory requirements.</t>
        </is>
      </c>
      <c r="M1903" s="11" t="inlineStr">
        <is>
          <t>• [Must] The NCPF sets out a National Cybersecurity Policy Framework for South Africa
• [Must] The framework addresses cybersecurity threats including cybercrime, cyber terrorism, and cyber espionage
• [Must] The framework promotes a cybersecurity culture and compliance with minimum security standards
• [Must] The framework strengthens intelligence collection, investigation, prosecution and judicial processes for cybercrime</t>
        </is>
      </c>
      <c r="N1903" s="11" t="inlineStr">
        <is>
          <t>• [Must] The framework establishes public-private partnerships for national and international action plans
• [Must] The framework ensures protection of National Critical Information Infrastructure
• [Must] The framework promotes a comprehensive legal framework governing cyberspace</t>
        </is>
      </c>
      <c r="O1903" s="11" t="inlineStr">
        <is>
          <t>The NCPF Policy Framework therefore recognises that Cybersecurity threats and the combating thereof have a personal, national and international context.</t>
        </is>
      </c>
      <c r="P1903" s="12" t="n">
        <v>80</v>
      </c>
    </row>
    <row r="1904">
      <c r="A1904" t="inlineStr">
        <is>
          <t>South Africa</t>
        </is>
      </c>
      <c r="B1904" t="inlineStr">
        <is>
          <t>South Africa National Cybersecurity Policy Framework (NCPF) 2015</t>
        </is>
      </c>
      <c r="C1904" t="inlineStr">
        <is>
          <t>2</t>
        </is>
      </c>
      <c r="D1904" s="11" t="inlineStr">
        <is>
          <t>South African Cybersecurity Context and Challenges</t>
        </is>
      </c>
      <c r="E1904" t="inlineStr">
        <is>
          <t>12–14</t>
        </is>
      </c>
      <c r="F1904" t="inlineStr">
        <is>
          <t>Medium</t>
        </is>
      </c>
      <c r="G1904" t="inlineStr">
        <is>
          <t>High (explicit)</t>
        </is>
      </c>
      <c r="H1904" s="11" t="inlineStr">
        <is>
          <t>Cross-border Transfer, International Processing, Data Storage, Security, Incident Reporting, Breach Notification, Governance, Record Keeping</t>
        </is>
      </c>
      <c r="I1904" s="11" t="inlineStr">
        <is>
          <t>Financial Data</t>
        </is>
      </c>
      <c r="J1904" t="inlineStr"/>
      <c r="K1904" s="11" t="inlineStr">
        <is>
          <t>This section details South Africa's cybersecurity challenges, including the increasing cybercrime threats, the lack of coordinated legislation, and the vulnerability of critical information infrastructure. It highlights the need for a unified approach to cybersecurity that involves government, the private sector, and civil society to address cyber threats and protect national security.</t>
        </is>
      </c>
      <c r="L1904" s="11" t="inlineStr">
        <is>
          <t>This section identifies South Africa's vulnerability to cyber threats and the need for coordinated national responses, which may impact data transfer and processing activities across borders.</t>
        </is>
      </c>
      <c r="M1904" s="11" t="inlineStr">
        <is>
          <t>• [Must] South Africa faces significant cybercrime threats targeting financial institutions
• [Must] The absence of coordinated cybersecurity legislation creates vulnerabilities</t>
        </is>
      </c>
      <c r="N1904" s="11" t="inlineStr">
        <is>
          <t>• [Must] South Africa needs mechanisms for proactive and coordinated national response to cyber threats
• [Must] Cybersecurity is everyone's responsibility, including public and private sectors</t>
        </is>
      </c>
      <c r="O1904" s="11" t="inlineStr">
        <is>
          <t>The banking sector is especially vulnerable to cybercrime.</t>
        </is>
      </c>
      <c r="P1904" s="12" t="n">
        <v>80</v>
      </c>
    </row>
    <row r="1905">
      <c r="A1905" t="inlineStr">
        <is>
          <t>South Africa</t>
        </is>
      </c>
      <c r="B1905" t="inlineStr">
        <is>
          <t>South Africa National Cybersecurity Policy Framework (NCPF) 2015</t>
        </is>
      </c>
      <c r="C1905" t="inlineStr">
        <is>
          <t>3</t>
        </is>
      </c>
      <c r="D1905" s="11" t="inlineStr">
        <is>
          <t>Purpose of the National Cybersecurity Policy Framework</t>
        </is>
      </c>
      <c r="E1905" t="inlineStr">
        <is>
          <t>14–15</t>
        </is>
      </c>
      <c r="F1905" t="inlineStr">
        <is>
          <t>Low</t>
        </is>
      </c>
      <c r="G1905" t="inlineStr">
        <is>
          <t>High (explicit)</t>
        </is>
      </c>
      <c r="H1905" s="11" t="inlineStr">
        <is>
          <t>Data Storage, Security, Incident Reporting, Breach Notification, Governance, Record Keeping</t>
        </is>
      </c>
      <c r="I1905" s="11" t="inlineStr">
        <is>
          <t>Personal Information, Financial Data</t>
        </is>
      </c>
      <c r="J1905" t="inlineStr"/>
      <c r="K1905" s="11" t="inlineStr">
        <is>
          <t>This section outlines the purpose of the NCPF to create a secure, dependable, and trustworthy cyber environment that protects critical information infrastructure while strengthening shared human values and understanding of cybersecurity. It emphasizes the need for collaboration between government, business, and civil society to enhance national security and economic well-being.</t>
        </is>
      </c>
      <c r="L1905" s="11" t="inlineStr">
        <is>
          <t>This section defines the purpose of the NCPF, which includes protecting critical information infrastructure and ensuring cybersecurity, but does not specify data transfer mechanisms.</t>
        </is>
      </c>
      <c r="M1905" s="11" t="inlineStr">
        <is>
          <t>• [Must] The NCPF aims to create a secure, dependable, reliable and trustworthy cyber environment
• The framework ensures protection of critical information infrastructure</t>
        </is>
      </c>
      <c r="N1905" s="11" t="inlineStr">
        <is>
          <t>• [Must] The framework strengthens shared human values and understanding of cybersecurity</t>
        </is>
      </c>
      <c r="O1905" s="11" t="inlineStr">
        <is>
          <t>The purpose of the NCPF is to create a secure, dependable, reliable and trustworthy cyber environment that facilitates the protection of critical information infrastructure whilst strengthening shared human values and understanding of Cybersecurity in support of national security imperatives and the economy.</t>
        </is>
      </c>
      <c r="P1905" s="12" t="n">
        <v>80</v>
      </c>
    </row>
    <row r="1906">
      <c r="A1906" t="inlineStr">
        <is>
          <t>South Africa</t>
        </is>
      </c>
      <c r="B1906" t="inlineStr">
        <is>
          <t>South Africa National Cybersecurity Policy Framework (NCPF) 2015</t>
        </is>
      </c>
      <c r="C1906" t="inlineStr">
        <is>
          <t>4</t>
        </is>
      </c>
      <c r="D1906" s="11" t="inlineStr">
        <is>
          <t>Key Objectives of the National Cybersecurity Policy Framework</t>
        </is>
      </c>
      <c r="E1906" t="inlineStr">
        <is>
          <t>15</t>
        </is>
      </c>
      <c r="F1906" t="inlineStr">
        <is>
          <t>Medium</t>
        </is>
      </c>
      <c r="G1906" t="inlineStr">
        <is>
          <t>High (explicit)</t>
        </is>
      </c>
      <c r="H1906" s="11" t="inlineStr">
        <is>
          <t>Cross-border Transfer, International Processing, Data Storage, Security, Incident Reporting, Breach Notification, Governance, Record Keeping</t>
        </is>
      </c>
      <c r="I1906" s="11" t="inlineStr">
        <is>
          <t>Financial Data</t>
        </is>
      </c>
      <c r="J1906" t="inlineStr"/>
      <c r="K1906" s="11" t="inlineStr">
        <is>
          <t>This section lists the strategic priorities of the NCPF, including centralizing cybersecurity coordination, fostering cooperation between government, the private sector, and civil society, promoting international cooperation, developing cybersecurity skills, promoting a cybersecurity culture, and ensuring compliance with technical and operational standards.</t>
        </is>
      </c>
      <c r="L1906" s="11" t="inlineStr">
        <is>
          <t>This section outlines the strategic objectives for cybersecurity in South Africa, which may influence data transfer and processing activities through the emphasis on critical infrastructure protection and international cooperation.</t>
        </is>
      </c>
      <c r="M1906" s="11" t="inlineStr">
        <is>
          <t>• [Must] Centralize coordination of cybersecurity activities through relevant structures and strategies
• [Must] Foster cooperation and coordination between government, private sector, and civil society
• [Must] Promote international cooperation in cybersecurity</t>
        </is>
      </c>
      <c r="N1906" s="11" t="inlineStr">
        <is>
          <t>• [Must] Develop requisite skills, research and development capacity in cybersecurity
• [Must] Promote a culture of cybersecurity
• [Must] Promote compliance with appropriate technical and operational cybersecurity standards</t>
        </is>
      </c>
      <c r="O1906" s="11" t="inlineStr">
        <is>
          <t>The NCPF articulates the overall aim and objectives of the South African Government and sets out strategic priorities that will be pursued to achieve these objectives.</t>
        </is>
      </c>
      <c r="P1906" s="12" t="n">
        <v>80</v>
      </c>
    </row>
    <row r="1907">
      <c r="A1907" t="inlineStr">
        <is>
          <t>South Africa</t>
        </is>
      </c>
      <c r="B1907" t="inlineStr">
        <is>
          <t>South Africa National Cybersecurity Policy Framework (NCPF) 2015</t>
        </is>
      </c>
      <c r="C1907" t="inlineStr">
        <is>
          <t>6</t>
        </is>
      </c>
      <c r="D1907" s="11" t="inlineStr">
        <is>
          <t>Public-private cybersecurity coordination through Cybersecurity Hub</t>
        </is>
      </c>
      <c r="E1907" t="inlineStr">
        <is>
          <t>18–19</t>
        </is>
      </c>
      <c r="F1907" t="inlineStr">
        <is>
          <t>Low</t>
        </is>
      </c>
      <c r="G1907" t="inlineStr">
        <is>
          <t>High (explicit)</t>
        </is>
      </c>
      <c r="H1907" s="11" t="inlineStr">
        <is>
          <t>Cross-border Transfer, International Processing, Data Sharing, Third Party Processing</t>
        </is>
      </c>
      <c r="I1907" s="11" t="inlineStr">
        <is>
          <t>Personal Information</t>
        </is>
      </c>
      <c r="J1907" t="inlineStr">
        <is>
          <t>Department of Telecommunications and Postal Services</t>
        </is>
      </c>
      <c r="K1907" s="11" t="inlineStr">
        <is>
          <t>This section establishes a Cybersecurity Hub within the Department of Telecommunications and Postal Services to coordinate and consult between public sector, private sector, and civil society on cybersecurity matters. The Hub operates under national security guidelines from the JCPS Cybersecurity Response Committee and has specific responsibilities including stakeholder identification, sector CSIRT coordination, information dissemination, best practice guidance, awareness campaigns, and promoting compliance with cybersecurity standards. The Hub also facilitates the development of additional sector-specific CSIRTs that coordinate incident response within their sectors.</t>
        </is>
      </c>
      <c r="L1907" s="11" t="inlineStr">
        <is>
          <t>This section establishes a coordination mechanism for cybersecurity stakeholders but does not directly address data transfer mechanisms. It may indirectly influence data handling practices through sector-specific security requirements but has no explicit data transfer implications for DTIAs.</t>
        </is>
      </c>
      <c r="M1907" s="11" t="inlineStr">
        <is>
          <t>• [Must] Establish Cybersecurity Hub within Department of Telecommunications and Postal Services
• [Must] Operate Cybersecurity Hub under national security guidelines issued by JCPS Cybersecurity Response Committee
• [Must] Coordinate cybersecurity activities with JCPS CRC and identify stakeholders
• [Must] Develop public-private relationships and collaborate with sector CSIRTs
• [Must] Disseminate cybersecurity information to sector CSIRTs, vendors, and technology experts
• [Must] Provide best practice guidance on ICT security for government, business, and civil society
• [Must] Initiate cybersecurity awareness campaigns
• [Must] Promote compliance with JCPS Cybersecurity Response Committee standards</t>
        </is>
      </c>
      <c r="N1907" s="11" t="inlineStr">
        <is>
          <t>• [Must] Encourage development of additional sector CSIRTs
• [Must] Sector CSIRTs must act as point of contact for cybersecurity matters
• [Must] Coordinate cybersecurity incident response within sector
• [Must] Facilitate information and technology sharing within sector
• [Must] Facilitate information sharing and technology exchange with other sector CSIRTs
• [Must] Establish sector-specific national security standards with JCPS Cybersecurity Response Committee
• [Must] Develop agreed measures for sector cybersecurity</t>
        </is>
      </c>
      <c r="O1907" s="11" t="inlineStr">
        <is>
          <t>The Cybersecurity Hub will be operated within the DOC in accordance with national security guidelines and standards issued by the JCPS Cybersecurity Response Committee.</t>
        </is>
      </c>
      <c r="P1907" s="12" t="n">
        <v>80</v>
      </c>
    </row>
    <row r="1908">
      <c r="A1908" t="inlineStr">
        <is>
          <t>South Africa</t>
        </is>
      </c>
      <c r="B1908" t="inlineStr">
        <is>
          <t>South Africa National Cybersecurity Policy Framework (NCPF) 2015</t>
        </is>
      </c>
      <c r="C1908" t="inlineStr">
        <is>
          <t>7</t>
        </is>
      </c>
      <c r="D1908" s="11" t="inlineStr">
        <is>
          <t>National Information Security Verification Framework</t>
        </is>
      </c>
      <c r="E1908" t="inlineStr">
        <is>
          <t>19–20</t>
        </is>
      </c>
      <c r="F1908" t="inlineStr">
        <is>
          <t>Medium</t>
        </is>
      </c>
      <c r="G1908" t="inlineStr">
        <is>
          <t>High (explicit)</t>
        </is>
      </c>
      <c r="H1908" s="11" t="inlineStr">
        <is>
          <t>Cross-border Transfer, International Processing, Data Storage, Security</t>
        </is>
      </c>
      <c r="I1908" s="11" t="inlineStr">
        <is>
          <t>Personal Information</t>
        </is>
      </c>
      <c r="J1908" t="inlineStr"/>
      <c r="K1908" s="11" t="inlineStr">
        <is>
          <t>This section promotes the development of a National Information Security Verification Framework to independently assess and certify products and systems that process or store information impacting national security. The framework requires facilitating partnerships between South Africa and countries with assessment capacity, government-private sector-academic institutions, establishing national regulations for verification, coordinating government institutions for implementation, and creating a central body for verification functions.</t>
        </is>
      </c>
      <c r="L1908" s="11" t="inlineStr">
        <is>
          <t>This section establishes requirements for verifying information security products and systems that could impact data transfers involving national security, but does not directly address cross-border data transfer mechanisms for DTIAs.</t>
        </is>
      </c>
      <c r="M1908" s="11" t="inlineStr">
        <is>
          <t>• [Must] Develop National Information Security Verification Framework
• [Must] Facilitate partnerships between South Africa and countries with information security assessment capacity
• [Must] Facilitate partnerships between government, private sector, and academic institutions for information security assessments</t>
        </is>
      </c>
      <c r="N1908" s="11" t="inlineStr">
        <is>
          <t>• [Must] Develop national regulations for verification of information security products and systems
• [Must] Facilitate partnerships among government institutions for implementation of verification
• [Must] Establish body to centrally coordinate national verification functions</t>
        </is>
      </c>
      <c r="O1908" s="11" t="inlineStr">
        <is>
          <t>The NCPF therefore promotes the facilitation by the JCPS Cybersecurity Response Committee and the National Cybersecurity Hub of the development of a National Information Security Verification Framework</t>
        </is>
      </c>
      <c r="P1908" s="12" t="n">
        <v>80</v>
      </c>
    </row>
    <row r="1909">
      <c r="A1909" t="inlineStr">
        <is>
          <t>South Africa</t>
        </is>
      </c>
      <c r="B1909" t="inlineStr">
        <is>
          <t>South Africa National Cybersecurity Policy Framework (NCPF) 2015</t>
        </is>
      </c>
      <c r="C1909" t="inlineStr">
        <is>
          <t>8</t>
        </is>
      </c>
      <c r="D1909" s="11" t="inlineStr">
        <is>
          <t>National Critical Information Infrastructure Protection</t>
        </is>
      </c>
      <c r="E1909" t="inlineStr">
        <is>
          <t>20–21</t>
        </is>
      </c>
      <c r="F1909" t="inlineStr">
        <is>
          <t>High</t>
        </is>
      </c>
      <c r="G1909" t="inlineStr">
        <is>
          <t>High (explicit)</t>
        </is>
      </c>
      <c r="H1909" s="11" t="inlineStr">
        <is>
          <t>Data Storage, Security, Incident Reporting, Breach Notification</t>
        </is>
      </c>
      <c r="I1909" s="11" t="inlineStr">
        <is>
          <t>Financial Data, Personal Information</t>
        </is>
      </c>
      <c r="J1909" t="inlineStr"/>
      <c r="K1909" s="11" t="inlineStr">
        <is>
          <t>This section addresses the identification and protection of South Africa's critical information infrastructure (NCII) which is often privately owned. It promotes the development of an NCII Strategy that includes regulations for information classification, third-party access, authentication, storage of critical databases, incident management, business continuity, and physical/technical protection of NCII. The strategy requires collaboration between the private sector, SOEs, and government agencies to implement NCII protection.</t>
        </is>
      </c>
      <c r="L1909" s="11" t="inlineStr">
        <is>
          <t>This section establishes specific requirements for protecting critical information infrastructure, which may impact data storage and handling practices for NCII but does not directly address cross-border data transfers for DTIAs.</t>
        </is>
      </c>
      <c r="M1909" s="11" t="inlineStr">
        <is>
          <t>• [Must] Identify all National Critical Information Infrastructure (NCII)
• [Must] Develop National Critical Information Infrastructure regulations for information classification
• [Must] Develop National Critical Information Infrastructure regulations for third-party access to NCII
• [Must] Develop National Critical Information Infrastructure regulations for access and authentication on NCII</t>
        </is>
      </c>
      <c r="N1909" s="11" t="inlineStr">
        <is>
          <t>• [Must] Develop National Critical Information Infrastructure regulations for storage and archiving of critical databases
• [Must] Develop National Critical Information Infrastructure regulations for incident management and business continuity
• [Must] Develop National Critical Information Infrastructure regulations for physical and technical protection of NCII</t>
        </is>
      </c>
      <c r="O1909" s="11" t="inlineStr">
        <is>
          <t>The NCPF therefore seeks to ensure that appropriate steps are taken to ascertain that all National Critical Information Infrastructure (NCII) are identified and properly protected from a variety of threats.</t>
        </is>
      </c>
      <c r="P1909" s="12" t="n">
        <v>80</v>
      </c>
    </row>
    <row r="1910">
      <c r="A1910" t="inlineStr">
        <is>
          <t>South Africa</t>
        </is>
      </c>
      <c r="B1910" t="inlineStr">
        <is>
          <t>South Africa National Cybersecurity Policy Framework (NCPF) 2015</t>
        </is>
      </c>
      <c r="C1910" t="inlineStr">
        <is>
          <t>9</t>
        </is>
      </c>
      <c r="D1910" s="11" t="inlineStr">
        <is>
          <t>Cryptography Regulation</t>
        </is>
      </c>
      <c r="E1910" t="inlineStr">
        <is>
          <t>21</t>
        </is>
      </c>
      <c r="F1910" t="inlineStr">
        <is>
          <t>Medium</t>
        </is>
      </c>
      <c r="G1910" t="inlineStr">
        <is>
          <t>High (explicit)</t>
        </is>
      </c>
      <c r="H1910" s="11" t="inlineStr">
        <is>
          <t>Security, Encryption</t>
        </is>
      </c>
      <c r="I1910" s="11" t="inlineStr">
        <is>
          <t>Financial Data</t>
        </is>
      </c>
      <c r="J1910" t="inlineStr"/>
      <c r="K1910" s="11" t="inlineStr">
        <is>
          <t>This section recognizes the need for regulating cryptography given its critical role in secure communications. It requires reviewing existing legislation and regulations and developing an integrated regulatory framework for cryptography to ensure secure communications across the country.</t>
        </is>
      </c>
      <c r="L1910" s="11" t="inlineStr">
        <is>
          <t>This section addresses cryptographic standards which could impact data security but does not directly address cross-border data transfer mechanisms for DTIAs.</t>
        </is>
      </c>
      <c r="M1910" s="11" t="inlineStr">
        <is>
          <t>• [Must] Review existing legislation and regulations on cryptography</t>
        </is>
      </c>
      <c r="N1910" s="11" t="inlineStr">
        <is>
          <t>• [Must] Develop an integrated regulatory framework for cryptography</t>
        </is>
      </c>
      <c r="O1910" s="11" t="inlineStr">
        <is>
          <t>The NCPF therefore provides for the regulation of cryptography given the critical role it plays in ensuring improved secure communications.</t>
        </is>
      </c>
      <c r="P1910" s="12" t="n">
        <v>80</v>
      </c>
    </row>
    <row r="1911">
      <c r="A1911" t="inlineStr">
        <is>
          <t>South Africa</t>
        </is>
      </c>
      <c r="B1911" t="inlineStr">
        <is>
          <t>South Africa National Cybersecurity Policy Framework (NCPF) 2015</t>
        </is>
      </c>
      <c r="C1911" t="inlineStr">
        <is>
          <t>10</t>
        </is>
      </c>
      <c r="D1911" s="11" t="inlineStr">
        <is>
          <t>National E-identity and PKI Strategy</t>
        </is>
      </c>
      <c r="E1911" t="inlineStr">
        <is>
          <t>21–23</t>
        </is>
      </c>
      <c r="F1911" t="inlineStr">
        <is>
          <t>High</t>
        </is>
      </c>
      <c r="G1911" t="inlineStr">
        <is>
          <t>High (explicit)</t>
        </is>
      </c>
      <c r="H1911" s="11" t="inlineStr">
        <is>
          <t>Data Sharing, Security</t>
        </is>
      </c>
      <c r="I1911" s="11" t="inlineStr">
        <is>
          <t>Personal Information, Financial Data</t>
        </is>
      </c>
      <c r="J1911" t="inlineStr">
        <is>
          <t>Department of Telecommunications and Postal Services</t>
        </is>
      </c>
      <c r="K1911" s="11" t="inlineStr">
        <is>
          <t>This section promotes the development of an integrated National E-identity and Public Key Infrastructure (PKI) strategy to address authentication, confidentiality, integrity, non-repudiation, and regulatory frameworks for electronic identity. The strategy aims to support e-government services and secure online transactions while ensuring security, confidentiality, and integrity of information.</t>
        </is>
      </c>
      <c r="L1911" s="11" t="inlineStr">
        <is>
          <t>This section establishes requirements for electronic identity and PKI which could impact data sharing practices but does not directly address cross-border data transfer mechanisms for DTIAs.</t>
        </is>
      </c>
      <c r="M1911" s="11" t="inlineStr">
        <is>
          <t>• [Must] Develop integrated National E-identity and PKI strategy
• [Must] Address authentication and securing identities of parties in e-transactions
• [Must] Ensure confidentiality of information</t>
        </is>
      </c>
      <c r="N1911" s="11" t="inlineStr">
        <is>
          <t>• [Must] Ensure integrity of information or processes
• [Must] Ensure non-repudiation of transactions
• [Must] Establish structure and regulatory framework for E-identity and PKI</t>
        </is>
      </c>
      <c r="O1911" s="11" t="inlineStr">
        <is>
          <t>The NCPF seeks to address the fragmented approach by promoting the development of an integrated National E-identity and PKI strategy.</t>
        </is>
      </c>
      <c r="P1911" s="12" t="n">
        <v>80</v>
      </c>
    </row>
    <row r="1912">
      <c r="A1912" t="inlineStr">
        <is>
          <t>South Africa</t>
        </is>
      </c>
      <c r="B1912" t="inlineStr">
        <is>
          <t>South Africa National Cybersecurity Policy Framework (NCPF) 2015</t>
        </is>
      </c>
      <c r="C1912" t="inlineStr">
        <is>
          <t>11</t>
        </is>
      </c>
      <c r="D1912" s="11" t="inlineStr">
        <is>
          <t>Public-Private-Civil Sector Cooperation</t>
        </is>
      </c>
      <c r="E1912" t="inlineStr">
        <is>
          <t>23–28</t>
        </is>
      </c>
      <c r="F1912" t="inlineStr">
        <is>
          <t>Low</t>
        </is>
      </c>
      <c r="G1912" t="inlineStr">
        <is>
          <t>High (explicit)</t>
        </is>
      </c>
      <c r="H1912" s="11" t="inlineStr">
        <is>
          <t>Cross-border Transfer, International Processing, Third Party Processing</t>
        </is>
      </c>
      <c r="I1912" s="11" t="inlineStr">
        <is>
          <t>Personal Information</t>
        </is>
      </c>
      <c r="J1912" t="inlineStr"/>
      <c r="K1912" s="11" t="inlineStr">
        <is>
          <t>This section promotes public-private-civil sector collaboration for cybersecurity through joint knowledge sharing, trusted forums, threat vulnerability understanding, and industry perspectives. It emphasizes the need for local cooperation and international collaboration to combat cybercrime, including participation in regional and international cybersecurity forums, forging bilateral and multilateral partnerships, and affiliating with relevant international organizations.</t>
        </is>
      </c>
      <c r="L1912" s="11" t="inlineStr">
        <is>
          <t>This section establishes cooperation mechanisms that could indirectly influence data transfer practices but does not directly address cross-border data transfer mechanisms for DTIAs.</t>
        </is>
      </c>
      <c r="M1912" s="11" t="inlineStr">
        <is>
          <t>• [Must] Promote public-private-civil sector collaboration for cybersecurity
• [Must] Establish trusted forums for cybersecurity knowledge sharing
• [Must] Develop understanding of cybersecurity threats and vulnerabilities
• [Must] Engage industry perspectives for cybersecurity</t>
        </is>
      </c>
      <c r="N1912" s="11" t="inlineStr">
        <is>
          <t>• [Must] Participate in regional and international cybersecurity forums
• [Must] Forge bilateral and multilateral partnerships for cybersecurity
• [Must] Affiliate with relevant international organizations for cybersecurity</t>
        </is>
      </c>
      <c r="O1912" s="11" t="inlineStr">
        <is>
          <t>The NCPF thus promotes that a Cyber Defence Strategy, that is informed by the National Security Strategy of South Africa, be developed, guided by the JCPS Cybersecurity Response Committee.</t>
        </is>
      </c>
      <c r="P1912" s="12" t="n">
        <v>80</v>
      </c>
    </row>
    <row r="1913">
      <c r="A1913" t="inlineStr">
        <is>
          <t>South Africa</t>
        </is>
      </c>
      <c r="B1913" t="inlineStr">
        <is>
          <t>South Africa National Cybersecurity Policy Framework (NCPF) 2015</t>
        </is>
      </c>
      <c r="C1913" t="inlineStr">
        <is>
          <t>11 (part 2)</t>
        </is>
      </c>
      <c r="D1913" s="11" t="inlineStr">
        <is>
          <t>Cybersecurity responsibilities of government departments and private sector</t>
        </is>
      </c>
      <c r="E1913" t="inlineStr">
        <is>
          <t>28–30</t>
        </is>
      </c>
      <c r="F1913" t="inlineStr">
        <is>
          <t>Medium</t>
        </is>
      </c>
      <c r="G1913" t="inlineStr">
        <is>
          <t>High (explicit)</t>
        </is>
      </c>
      <c r="H1913" s="11" t="inlineStr">
        <is>
          <t>Cross-border Transfer, International Processing, Data Storage, Security, Governance, Record Keeping</t>
        </is>
      </c>
      <c r="I1913" s="11" t="inlineStr">
        <is>
          <t>Personal Information, Financial Data</t>
        </is>
      </c>
      <c r="J1913" t="inlineStr">
        <is>
          <t>South African Department of Police and SAPS</t>
        </is>
      </c>
      <c r="K1913" s="11" t="inlineStr">
        <is>
          <t>This section outlines specific cybersecurity responsibilities for South African government departments including the Department of Police and SAPS for cybercrime prevention, the Department of Telecommunications and Postal Services for ICT policies and the National Cybersecurity Advisory Council, the Department of Defence for cyber defense, and the Department of Science and Technology for cybersecurity research. It also mandates private sector entities to implement information security measures equivalent to government standards and requires all state organs to align their ICT practices with the National Cybersecurity Policy Framework.</t>
        </is>
      </c>
      <c r="L1913" s="11" t="inlineStr">
        <is>
          <t>This section establishes government responsibilities for cybersecurity coordination and mandates private sector information security equivalence, which impacts cross-border data handling through national security frameworks and international cooperation requirements.</t>
        </is>
      </c>
      <c r="M1913" s="11" t="inlineStr">
        <is>
          <t>• [Must] SSA shall develop and implement regulations for cybersecurity
• [Must] SSA shall collect intelligence locally and internationally
• [Must] SSA shall conduct cybersecurity investigations and report on South Africa's cybersecurity situation
• [Must] Department of Police and SAPS shall prevent, investigate and combat cybercrime
• [Must] Department of Police and SAPS shall develop cybercrime policies and strategies
• [Must] Department of Police and SAPS shall provide specialized investigative capacity
• [Must] Department of Police and SAPS shall interact with national and international stakeholders
• [Must] Department of Police and SAPS shall develop operational priorities for fighting child sexual/physical abuse material online
• [Must] Department of Police and SAPS shall address massive attacks against information systems like denial-of-service attacks
• [Must] Department of Police and SAPS shall combat identity fraud
• [Must] Department of Police and SAPS shall develop cross-border law enforcement cooperation
• [Must] Department of Police and SAPS shall promote public-private cooperation to fight cybercrime
• [Must] Department of Police and SAPS shall participate in international initiatives like UN High Level Expert Group on Cybersecurity
• [Must] Department of Telecommunications and Postal Services shall develop and implement ICT policies and regulations
• [Must] Department of Telecommunications and Postal Services shall assist in strategic direction for cybersecurity</t>
        </is>
      </c>
      <c r="N1913" s="11" t="inlineStr">
        <is>
          <t>• [Must] Department of Telecommunications and Postal Services shall build trust and confidence in secure ICT use
• [Must] Department of Telecommunications and Postal Services shall advise Minister on cybersecurity policy and technical issues
• [Must] Department of Telecommunications and Postal Services shall establish the National Cybersecurity Advisory Council
• [Must] Department of Telecommunications and Postal Services shall establish the Cybersecurity Hub
• [Must] Department of Defence and Military Veterans shall coordinate, account for and implement cyber defense measures
• [Must] Department of Science and Technology shall develop national capacity development programs
• [Must] Department of Science and Technology shall facilitate national cybersecurity R&amp;D agenda
• [Must] All other state organs must align ICT policies and practices with NCPF for cybersecurity
• [Must] Private sector must implement information security measures equivalent to government standards
• [Must] NCPF promotes cooperation between private sector security bodies and government bodies
• [Must] Department of Telecommunications and Postal Services and National Cybersecurity Hub will facilitate private sector cooperation
• [Must] Each person must ensure updated malware protection on their ICT infrastructure
• [Must] Each person must report information security incidents to police or CSIRT
• [Must] Department of Telecommunications and Postal Services will facilitate awareness campaigns for cybersecurity</t>
        </is>
      </c>
      <c r="O1913" s="11" t="inlineStr">
        <is>
          <t>The implementation of these responsibilities by SSA shall include aspects of developing and implementing regulations, collecting intelligence both locally and internationally, conducting necessary Cybersecurity investigations and reporting on South Africa's Cybersecurity situation.</t>
        </is>
      </c>
      <c r="P1913" s="12" t="n">
        <v>80</v>
      </c>
    </row>
    <row r="1914">
      <c r="A1914" t="inlineStr">
        <is>
          <t>South Africa</t>
        </is>
      </c>
      <c r="B1914" t="inlineStr">
        <is>
          <t>pAYMENT ACT</t>
        </is>
      </c>
      <c r="C1914" t="inlineStr">
        <is>
          <t>16</t>
        </is>
      </c>
      <c r="D1914" s="11" t="inlineStr">
        <is>
          <t>Definitions for payment system terms</t>
        </is>
      </c>
      <c r="E1914" t="inlineStr">
        <is>
          <t>2–6</t>
        </is>
      </c>
      <c r="F1914" t="inlineStr">
        <is>
          <t>High</t>
        </is>
      </c>
      <c r="G1914" t="inlineStr">
        <is>
          <t>High (explicit)</t>
        </is>
      </c>
      <c r="H1914" s="11" t="inlineStr">
        <is>
          <t>Cross-border Transfer, International Processing, Data Storage, Data Residency, Security, Encryption, Access Control, Processing, Collection, Retention, Deletion, Data Sharing, Third Party Processing, Outsourcing, Cloud Services, Incident Reporting, Breach Notification, Consent, Customer Information, Employee Information, Special Personal Information, Children, Financial Data, KYC, AML, Governance, Record Keeping</t>
        </is>
      </c>
      <c r="I1914" s="11" t="inlineStr">
        <is>
          <t>Financial Data</t>
        </is>
      </c>
      <c r="J1914" t="inlineStr">
        <is>
          <t>Payment Act, Section 16</t>
        </is>
      </c>
      <c r="K1914" s="11" t="inlineStr">
        <is>
          <t>This section defines key terms used throughout the Payment Act, including 'bank', 'Reserve Bank', 'payment system', 'clearing', 'settlement', and various participant types. These definitions establish the legal framework for payment system operations and participants, specifying what constitutes a bank, a payment system, and the roles of different entities in the financial infrastructure. The definitions also clarify the relationship between the Reserve Bank and other payment system participants.</t>
        </is>
      </c>
      <c r="L1914" s="11" t="inlineStr">
        <is>
          <t>These definitions establish the foundational terms for payment systems and participants, which are critical for understanding cross-border data transfers involving payment systems. The section specifies what constitutes a 'branch of a foreign institution' and 'payment system participant', which are relevant for international data transfers and system participants.</t>
        </is>
      </c>
      <c r="M1914" s="11" t="inlineStr">
        <is>
          <t>• [Definition] In this Act, unless the context otherwise indicates, 'bank' means a bank as defined in section 1 of the Banks Act
• [Definition] 'Banks Act' means the Banks Act, 1990 (Act 94 of 1990)
• [Definition] 'branch of a foreign institution' means a branch by means of which a foreign institution conducts the business of a bank in the Republic in terms of a written authorisation granted by the Registrar of Banks in terms of section 18A of the Banks Act
• [Definition] 'clear' or 'clearing' means the exchange of payment instructions
• [Definition] 'clearing, netting and settlement agreements' means written agreements with regard to clearing, netting or settlement, concluded between clearing system participants or settlement system participants
• [Definition] 'clearing system participant' means a bank, a mutual bank, a co-operative bank, a branch of a foreign institution or designated clearing system participant that clears in the manner contemplated in section 4 (2) (d) (i)
• [Definition] 'Companies Act' means the Companies Act, 1973 (Act 61 of 1973)
• [Definition] 'co-operative bank' has the meaning assigned to it in section 1 of the Co-operative Banks Act, 2007
• [Definition] 'Co-operative Banks Act' means the Co-operative Banks Act, 2007
• [Definition] 'designated clearing system participant' means a person specified in the notice referred to in section 6 (3) (a)
• [Definition] 'designated settlement system' means a settlement system designated in terms of section 4A
• [Definition] 'designated settlement system operator' means the person specified in the notice referred to in section 4A (5) as the operator of that system
• [Definition] 'designated settlement system participant' means a person that is a participant in the designated settlement system in accordance with the rules governing the operation of the system or a person that is an operator of the designated settlement system
• [Definition] 'money' means a banknote or coin issued by the Reserve Bank in terms of section 10 (1) (a) (iii), read with section 14 of the South African Reserve Bank Act
• [Definition] 'mutual bank' means a mutual bank as defined in section 1 of the Mutual Banks Act
• [Definition] 'Mutual Banks Act' means the Mutual Banks Act, 1993 (Act 124 of 1993)</t>
        </is>
      </c>
      <c r="N1914" s="11" t="inlineStr">
        <is>
          <t>• [Definition] 'netting' means the determination of the nett payment obligations between two or more clearing system participants within a payment clearing house or the determination of the nett settlement obligations between two or more settlement system participants within a settlement system
• [Definition] 'payment clearing house (PCH)' means an arrangement between two or more clearing system participants and Reserve Bank settlement system participants, excluding a designated settlement system operator, governing the clearing or netting of payment instructions between those clearing system participants and Reserve Bank settlement system participants
• [Definition] 'payment instruction' means an instruction to transfer funds or make a payment
• [Definition] 'payment obligation' means an indebtedness that is owed by one clearing system participant or settlement system participant to another clearing system participant or settlement system participant as a result of the clearing of one or more payment instructions
• [Definition] 'payment system' means a system that enables payments to be effected or facilitates the circulation of money and includes any instruments and procedures that relate to the system
• [Definition] 'payment system management body' means a body recognised by the Reserve Bank in terms of section 3 (1)
• [Definition] 'PCH system operator' means a person, other than a designated settlement system operator, that clears on behalf of any two or more Reserve Bank settlement system participants
• [Definition] 'person' includes a trust
• [Definition] 'Reserve Bank' means the South African Reserve Bank referred to in section 2 of the South African Reserve Bank Act
• [Definition] 'Reserve Bank settlement system' means a settlement system established and operated by, or under the control of, the Reserve Bank
• [Definition] 'Reserve Bank settlement system participant' means the Reserve Bank, a bank, a mutual bank, a co-operative bank or a branch of a foreign institution, or a designated settlement system operator that participates in the Reserve Bank settlement system
• [Definition] 'secondary co-operative bank' means a secondary co-operative bank as defined in section 1 of the Co-operative Banks Act, 2007
• [Definition] 'settlement' means the discharge of settlement obligations
• [Definition] 'settlement system' means a system that enables settlement of payment obligations
• [Definition] 'settlement system participant' means a person that participates in a settlement system
• [Definition] 'system operator' means a person that operates a payment system</t>
        </is>
      </c>
      <c r="O1914" s="11" t="inlineStr"/>
      <c r="P1914" s="12" t="n">
        <v>79</v>
      </c>
    </row>
    <row r="1915">
      <c r="A1915" t="inlineStr">
        <is>
          <t>South Africa</t>
        </is>
      </c>
      <c r="B1915" t="inlineStr">
        <is>
          <t>pAYMENT ACT</t>
        </is>
      </c>
      <c r="C1915" t="inlineStr">
        <is>
          <t>16 (part 3)</t>
        </is>
      </c>
      <c r="D1915" s="11" t="inlineStr">
        <is>
          <t>Designation revocation and conditions for clearing system participants</t>
        </is>
      </c>
      <c r="E1915" t="inlineStr">
        <is>
          <t>10–13</t>
        </is>
      </c>
      <c r="F1915" t="inlineStr">
        <is>
          <t>High</t>
        </is>
      </c>
      <c r="G1915" t="inlineStr">
        <is>
          <t>High (explicit)</t>
        </is>
      </c>
      <c r="H1915" s="11" t="inlineStr">
        <is>
          <t>Cross-border Transfer, International Processing, Data Storage, Security</t>
        </is>
      </c>
      <c r="I1915" s="11" t="inlineStr">
        <is>
          <t>Financial Data</t>
        </is>
      </c>
      <c r="J1915" t="inlineStr">
        <is>
          <t>Reserve Bank</t>
        </is>
      </c>
      <c r="K1915" s="11" t="inlineStr">
        <is>
          <t>The Reserve Bank may revoke or vary designations of clearing system participants based on compliance failures, false information provided, public interest considerations, or retroactive effect restrictions. Designation revocation requires written notice to participants and publication in the Gazette. The Reserve Bank must ensure any variation or revocation does not have retroactive effect.</t>
        </is>
      </c>
      <c r="L1915" s="11" t="inlineStr">
        <is>
          <t>Designation revocation conditions require assessing compliance failures, false information, and public interest before revoking clearing system participants. This affects cross-border data transfers involving payment systems by requiring transparency in participant qualifications.</t>
        </is>
      </c>
      <c r="M1915" s="11" t="inlineStr">
        <is>
          <t>• [Must] Reserve Bank may vary or revoke designation of clearing system participant
• [Must] Reserve Bank may consider failure to comply with designation conditions
• [Must] Reserve Bank may consider knowingly furnishing false or misleading information
• [Must] Reserve Bank may consider public interest in revocation</t>
        </is>
      </c>
      <c r="N1915" s="11" t="inlineStr">
        <is>
          <t>• [Must] Variation or revocation of designation must not have retroactive effect
• [Must] Reserve Bank must notify settlement system participant and designated participant before varying or revoking designation
• [Must] Reserve Bank must publish variation or revocation in Gazette</t>
        </is>
      </c>
      <c r="O1915" s="11" t="inlineStr">
        <is>
          <t>The Reserve Bank may have regard to any or all of the following: (i) Any failure to comply with any condition to which the designation is subject; (ii) whether or not the designated clearing system participant has knowingly furnished information or documents which are false or misleading in any material respect to the Reserve Bank in connection with the designation; (iii) whether or not it is in the public interest to revoke the designation; (iv) No variation of the conditions to which a designation is subject or revocation of designation shall have retroactive effect.</t>
        </is>
      </c>
      <c r="P1915" s="12" t="n">
        <v>79</v>
      </c>
    </row>
    <row r="1916">
      <c r="A1916" t="inlineStr">
        <is>
          <t>South Africa</t>
        </is>
      </c>
      <c r="B1916" t="inlineStr">
        <is>
          <t>pAYMENT ACT</t>
        </is>
      </c>
      <c r="C1916" t="inlineStr">
        <is>
          <t>16 (part 4)</t>
        </is>
      </c>
      <c r="D1916" s="11" t="inlineStr">
        <is>
          <t>Reserve Bank information access and confidentiality</t>
        </is>
      </c>
      <c r="E1916" t="inlineStr">
        <is>
          <t>13–16</t>
        </is>
      </c>
      <c r="F1916" t="inlineStr">
        <is>
          <t>High</t>
        </is>
      </c>
      <c r="G1916" t="inlineStr">
        <is>
          <t>High (explicit)</t>
        </is>
      </c>
      <c r="H1916" s="11" t="inlineStr">
        <is>
          <t>Data Storage, Data Sharing, Security</t>
        </is>
      </c>
      <c r="I1916" s="11" t="inlineStr">
        <is>
          <t>Financial Data</t>
        </is>
      </c>
      <c r="J1916" t="inlineStr">
        <is>
          <t>Reserve Bank</t>
        </is>
      </c>
      <c r="K1916" s="11" t="inlineStr">
        <is>
          <t>The Reserve Bank has access to payment system information and may require participants to provide such information. Information obtained by the Reserve Bank is confidential and may not be disclosed to third parties except for specific purposes like legal proceedings, public interest, or when already publicly available. The Reserve Bank may disclose information in certain circumstances despite confidentiality requirements.</t>
        </is>
      </c>
      <c r="L1916" s="11" t="inlineStr">
        <is>
          <t>Confidentiality rules for payment system information affect data storage and sharing practices. This section requires participants to provide information to the Reserve Bank while restricting disclosure to specific circumstances, impacting data transfer and storage across borders.</t>
        </is>
      </c>
      <c r="M1916" s="11" t="inlineStr">
        <is>
          <t>• [Must] Reserve Bank has access to payment system information
• [Must] Participants must provide information to Reserve Bank as required
• [Must] Information obtained by Reserve Bank is confidential
• [Must] Confidential information may not be disclosed to third parties</t>
        </is>
      </c>
      <c r="N1916" s="11" t="inlineStr">
        <is>
          <t>• [May] Reserve Bank may disclose information in legal proceedings
• [May] Reserve Bank may disclose information for public interest
• [May] Reserve Bank may disclose information that is already publicly available</t>
        </is>
      </c>
      <c r="O1916" s="11" t="inlineStr">
        <is>
          <t>The Reserve Bank has access to any information relating to a payment system and the Reserve Bank settlement system, and any person must on request provide such information to the Reserve Bank in such form and at such times as the Reserve Bank may require.</t>
        </is>
      </c>
      <c r="P1916" s="12" t="n">
        <v>79</v>
      </c>
    </row>
    <row r="1917">
      <c r="A1917" t="inlineStr">
        <is>
          <t>United Kingdom</t>
        </is>
      </c>
      <c r="B1917" t="inlineStr">
        <is>
          <t>Accountability and governance _ ICO (United Kingdom - Row 32) (PROVISIONAL)</t>
        </is>
      </c>
      <c r="C1917" t="inlineStr">
        <is>
          <t>p1</t>
        </is>
      </c>
      <c r="D1917" s="11" t="inlineStr">
        <is>
          <t>Website user survey invitation for feedback</t>
        </is>
      </c>
      <c r="E1917" t="inlineStr">
        <is>
          <t>1–2</t>
        </is>
      </c>
      <c r="F1917" t="inlineStr">
        <is>
          <t>None</t>
        </is>
      </c>
      <c r="G1917" t="inlineStr">
        <is>
          <t>High (explicit)</t>
        </is>
      </c>
      <c r="H1917" s="11" t="inlineStr"/>
      <c r="I1917" s="11" t="inlineStr"/>
      <c r="J1917" t="inlineStr"/>
      <c r="K1917" s="11" t="inlineStr">
        <is>
          <t>This section invites website users to complete a short survey about website improvements. The survey offers three response options: immediate participation, deferred action, or no interest. The text does not establish any legal obligations or permissions related to data processing or transfers.</t>
        </is>
      </c>
      <c r="L1917" s="11" t="inlineStr"/>
      <c r="M1917" s="11" t="inlineStr">
        <is>
          <t>• [Must] Take our website user survey
• [Must] We're making improvements to our website and we'd love to hear your thoughts
• [Must] Please take five minutes to complete this survey to give your feedback</t>
        </is>
      </c>
      <c r="N1917" s="11" t="inlineStr">
        <is>
          <t>• [Must] Yes I'll take the survey
• [Must] I'll do this later
• [Must] I'm not interested</t>
        </is>
      </c>
      <c r="O1917" s="11" t="inlineStr">
        <is>
          <t>Take our website user survey
We're making improvements to our website and we'd love to hear your thoughts.
Please take five minutes to complete this survey to give your feedback.</t>
        </is>
      </c>
      <c r="P1917" s="12" t="n">
        <v>81</v>
      </c>
    </row>
    <row r="1918">
      <c r="A1918" t="inlineStr">
        <is>
          <t>United Kingdom</t>
        </is>
      </c>
      <c r="B1918" t="inlineStr">
        <is>
          <t>Accountability and governance _ ICO (United Kingdom - Row 32) (PROVISIONAL)</t>
        </is>
      </c>
      <c r="C1918" t="inlineStr">
        <is>
          <t>p2</t>
        </is>
      </c>
      <c r="D1918" s="11" t="inlineStr">
        <is>
          <t>Accountability and governance guidance for large businesses</t>
        </is>
      </c>
      <c r="E1918" t="inlineStr">
        <is>
          <t>2–3</t>
        </is>
      </c>
      <c r="F1918" t="inlineStr">
        <is>
          <t>None</t>
        </is>
      </c>
      <c r="G1918" t="inlineStr">
        <is>
          <t>High (explicit)</t>
        </is>
      </c>
      <c r="H1918" s="11" t="inlineStr"/>
      <c r="I1918" s="11" t="inlineStr"/>
      <c r="J1918" t="inlineStr"/>
      <c r="K1918" s="11" t="inlineStr">
        <is>
          <t>This section provides guidance for large businesses across public, private, and third sectors on accountability and governance, including contracts, documentation, data protection impact assessments, codes of conduct, certification schemes, and accountability frameworks. It specifies that small businesses should use separate resources.</t>
        </is>
      </c>
      <c r="L1918" s="11" t="inlineStr"/>
      <c r="M1918" s="11" t="inlineStr">
        <is>
          <t>• [Must] The guidance on this page is suitable for large businesses in the public, private and third sectors
• [Must] Small businesses should use the resources on our small business web hub
• [Must] Guide to accountability and governance
• [Must] Contracts, documentation, data protection by design and default, data protection impact assessments and data protection officers
• [Must] Do we need a UK representative?
• [Must] Guidance discussing receiving personal information from the European Economic Area (EEA)
• [Must] Contracts and liabilities between controllers and processors
• [Must] When contracts are needed and why they are important, what needs to be included and responsibility and liability
• [Must] Documentation
• [Must] What is documentation and who needs to document processing activities, what needs to be documented under article 30 and how to document processing activities</t>
        </is>
      </c>
      <c r="N1918" s="11" t="inlineStr">
        <is>
          <t>• [Must] Data protection impact assessments (DPIA)
• [Must] What is a DPIA, when and how to conduct one, consulting the ICO and examples of 'likely to result in high risk'
• [Must] Codes of conduct
• [Must] Data protection codes of conduct address sector specific data protection issues and support compliance with the UK GDPR
• [Must] We have detailed guidance and other resources for trade organisations and similar representative bodies who may create codes of conduct for their members
• [Must] Certification schemes
• [Must] Data protection certification can help demonstrate data protection in a practical way to businesses, individuals and regulators
• [Must] We have detailed guidance and other resources about certifications schemes for organisations
• [Must] Accountability framework
• [Must] Assess your organisation's accountability and governance</t>
        </is>
      </c>
      <c r="O1918" s="11" t="inlineStr">
        <is>
          <t>The guidance on this page is suitable for large businesses in the public, private and third sectors.</t>
        </is>
      </c>
      <c r="P1918" s="12" t="n">
        <v>81</v>
      </c>
    </row>
    <row r="1919">
      <c r="A1919" t="inlineStr">
        <is>
          <t>United Kingdom</t>
        </is>
      </c>
      <c r="B1919" t="inlineStr">
        <is>
          <t>Accountability and governance _ ICO (United Kingdom - Row 32) (PROVISIONAL)</t>
        </is>
      </c>
      <c r="C1919" t="inlineStr">
        <is>
          <t>p3</t>
        </is>
      </c>
      <c r="D1919" s="11" t="inlineStr">
        <is>
          <t>Sample DPIA template and feedback options</t>
        </is>
      </c>
      <c r="E1919" t="inlineStr">
        <is>
          <t>3</t>
        </is>
      </c>
      <c r="F1919" t="inlineStr">
        <is>
          <t>None</t>
        </is>
      </c>
      <c r="G1919" t="inlineStr">
        <is>
          <t>High (explicit)</t>
        </is>
      </c>
      <c r="H1919" s="11" t="inlineStr"/>
      <c r="I1919" s="11" t="inlineStr"/>
      <c r="J1919" t="inlineStr"/>
      <c r="K1919" s="11" t="inlineStr">
        <is>
          <t>This section contains a sample Data Protection Impact Assessment (DPIA) template and provides a feedback mechanism for users to indicate whether the page was helpful. The text does not establish any legal obligations or permissions related to data processing or transfers.</t>
        </is>
      </c>
      <c r="L1919" s="11" t="inlineStr"/>
      <c r="M1919" s="11" t="inlineStr">
        <is>
          <t>• [Must] Sample DPIA Template
• [Must] Was this page helpful? (optional)</t>
        </is>
      </c>
      <c r="N1919" s="11" t="inlineStr">
        <is>
          <t>• [Must] Send
• [Must] Help us improve our website</t>
        </is>
      </c>
      <c r="O1919" s="11" t="inlineStr">
        <is>
          <t>Sample DPIA Template
Was this page helpful? (optional)
Send
Help us improve our website</t>
        </is>
      </c>
      <c r="P1919" s="12" t="n">
        <v>81</v>
      </c>
    </row>
    <row r="1920">
      <c r="A1920" t="inlineStr">
        <is>
          <t>United Kingdom</t>
        </is>
      </c>
      <c r="B1920" t="inlineStr">
        <is>
          <t>Customer Security Programme _ Swift (United Kingdom - Row 26) (PROVISIONAL)</t>
        </is>
      </c>
      <c r="C1920" t="inlineStr">
        <is>
          <t>1</t>
        </is>
      </c>
      <c r="D1920" s="11" t="inlineStr">
        <is>
          <t>Review mandatory security controls for Swift infrastructure</t>
        </is>
      </c>
      <c r="E1920" t="inlineStr">
        <is>
          <t>3</t>
        </is>
      </c>
      <c r="F1920" t="inlineStr">
        <is>
          <t>High</t>
        </is>
      </c>
      <c r="G1920" t="inlineStr">
        <is>
          <t>High (explicit)</t>
        </is>
      </c>
      <c r="H1920" s="11" t="inlineStr">
        <is>
          <t>Security, Access Control, Processing</t>
        </is>
      </c>
      <c r="I1920" s="11" t="inlineStr">
        <is>
          <t>Customer Data</t>
        </is>
      </c>
      <c r="J1920" t="inlineStr">
        <is>
          <t>Swift</t>
        </is>
      </c>
      <c r="K1920" s="11" t="inlineStr">
        <is>
          <t>This section requires organizations to review the latest Customer Security Controls Framework (CSCF) to identify applicable mandatory and advisory controls for their Swift infrastructure. It mandates understanding the objectives, scope, and risk drivers outlined in the CSCF documentation to ensure alignment with security requirements. The focus is on establishing foundational knowledge before implementing controls.</t>
        </is>
      </c>
      <c r="L1920" s="11" t="inlineStr">
        <is>
          <t>This section establishes the need for organizations to understand security controls before implementing them, which is critical for assessing the security posture of data transfers involving Swift infrastructure.</t>
        </is>
      </c>
      <c r="M1920" s="11" t="inlineStr">
        <is>
          <t>• [Must] Review the latest Customer Security Controls Framework (CSCF)
• [Must] Identify mandatory and advisory controls applicable to Swift infrastructure</t>
        </is>
      </c>
      <c r="N1920" s="11" t="inlineStr">
        <is>
          <t>• [Must] Familiarize with objectives, scope, and risk drivers of the CSCF documentation</t>
        </is>
      </c>
      <c r="O1920" s="11" t="inlineStr">
        <is>
          <t>1. Understand Controls Start by reviewing the latest Customer Security Controls Framework (CSCF). Identify which mandatory and advisory controls apply to your Swi\n infrastructure, and familiarise yourself with the objectives, scope, and risk drivers defined in the documentation.</t>
        </is>
      </c>
      <c r="P1920" s="12" t="n">
        <v>84</v>
      </c>
    </row>
    <row r="1921">
      <c r="A1921" t="inlineStr">
        <is>
          <t>United Kingdom</t>
        </is>
      </c>
      <c r="B1921" t="inlineStr">
        <is>
          <t>Customer Security Programme _ Swift (United Kingdom - Row 26) (PROVISIONAL)</t>
        </is>
      </c>
      <c r="C1921" t="inlineStr">
        <is>
          <t>2</t>
        </is>
      </c>
      <c r="D1921" s="11" t="inlineStr">
        <is>
          <t>Implement security controls for Swift infrastructure</t>
        </is>
      </c>
      <c r="E1921" t="inlineStr">
        <is>
          <t>3–4</t>
        </is>
      </c>
      <c r="F1921" t="inlineStr">
        <is>
          <t>High</t>
        </is>
      </c>
      <c r="G1921" t="inlineStr">
        <is>
          <t>High (explicit)</t>
        </is>
      </c>
      <c r="H1921" s="11" t="inlineStr">
        <is>
          <t>Security, Access Control, Processing</t>
        </is>
      </c>
      <c r="I1921" s="11" t="inlineStr">
        <is>
          <t>Customer Data</t>
        </is>
      </c>
      <c r="J1921" t="inlineStr">
        <is>
          <t>Swift</t>
        </is>
      </c>
      <c r="K1921" s="11" t="inlineStr">
        <is>
          <t>This section requires organizations to implement the identified security controls through actions such as updating infrastructure, enhancing access management, and strengthening technical capabilities. It allows implementation via internal teams or cybersecurity service providers to ensure alignment with industry best practices and robust security measures.</t>
        </is>
      </c>
      <c r="L1921" s="11" t="inlineStr">
        <is>
          <t>This section mandates concrete implementation of security controls, which is essential for ensuring secure data transfers and processing within Swift infrastructure.</t>
        </is>
      </c>
      <c r="M1921" s="11" t="inlineStr">
        <is>
          <t>• [Must] Put identified security controls into practice
• [Must] Update Swift environments
• [Must] Enhance access management</t>
        </is>
      </c>
      <c r="N1921" s="11" t="inlineStr">
        <is>
          <t>• [Must] Strengthen technical infrastructure and incident response capabilities
• [May] Implement with IT, risk, or compliance teams or cybersecurity service providers</t>
        </is>
      </c>
      <c r="O1921" s="11" t="inlineStr">
        <is>
          <t>2. Implement Controls Once you've identified the applicable CSCF controls, the next step is to put them into practice. This may involve, as examples, updating your Swi\n environments, enhancing access management, and strengthening your technical infrastructure and incident response capabilities.</t>
        </is>
      </c>
      <c r="P1921" s="12" t="n">
        <v>84</v>
      </c>
    </row>
    <row r="1922">
      <c r="A1922" t="inlineStr">
        <is>
          <t>United Kingdom</t>
        </is>
      </c>
      <c r="B1922" t="inlineStr">
        <is>
          <t>Customer Security Programme _ Swift (United Kingdom - Row 26) (PROVISIONAL)</t>
        </is>
      </c>
      <c r="C1922" t="inlineStr">
        <is>
          <t>3</t>
        </is>
      </c>
      <c r="D1922" s="11" t="inlineStr">
        <is>
          <t>Conduct independent security assessment</t>
        </is>
      </c>
      <c r="E1922" t="inlineStr">
        <is>
          <t>4</t>
        </is>
      </c>
      <c r="F1922" t="inlineStr">
        <is>
          <t>High</t>
        </is>
      </c>
      <c r="G1922" t="inlineStr">
        <is>
          <t>High (explicit)</t>
        </is>
      </c>
      <c r="H1922" s="11" t="inlineStr">
        <is>
          <t>Security</t>
        </is>
      </c>
      <c r="I1922" s="11" t="inlineStr">
        <is>
          <t>Customer Data</t>
        </is>
      </c>
      <c r="J1922" t="inlineStr">
        <is>
          <t>Swift</t>
        </is>
      </c>
      <c r="K1922" s="11" t="inlineStr">
        <is>
          <t>This section requires organizations to validate the effectiveness of their security controls through an independent assessment. The assessment can be conducted internally by a second or third line of defense or externally by an independent assessor to ensure robustness and compliance.</t>
        </is>
      </c>
      <c r="L1922" s="11" t="inlineStr">
        <is>
          <t>This section mandates independent validation of security controls, which is critical for ensuring the security of data transfers and processing across borders.</t>
        </is>
      </c>
      <c r="M1922" s="11" t="inlineStr">
        <is>
          <t>• [Must] Validate effectiveness of design and implementation of security controls
• [May] Perform independent assessment internally by second or third line of defense</t>
        </is>
      </c>
      <c r="N1922" s="11" t="inlineStr">
        <is>
          <t>• [May] Perform independent assessment externally by an independent assessor</t>
        </is>
      </c>
      <c r="O1922" s="11" t="inlineStr">
        <is>
          <t>3. Perform Independent Assessment Validate the e\n effectiveness of the design and an implementation of your controls through an independent assessment. This can be performed internally by a second or third line of defence (e.g. risk, compliance, internal audit) or externally by an independent assessor.</t>
        </is>
      </c>
      <c r="P1922" s="12" t="n">
        <v>84</v>
      </c>
    </row>
    <row r="1923">
      <c r="A1923" t="inlineStr">
        <is>
          <t>United Kingdom</t>
        </is>
      </c>
      <c r="B1923" t="inlineStr">
        <is>
          <t>Customer Security Programme _ Swift (United Kingdom - Row 26) (PROVISIONAL)</t>
        </is>
      </c>
      <c r="C1923" t="inlineStr">
        <is>
          <t>4</t>
        </is>
      </c>
      <c r="D1923" s="11" t="inlineStr">
        <is>
          <t>Submit compliance status for security controls</t>
        </is>
      </c>
      <c r="E1923" t="inlineStr">
        <is>
          <t>4</t>
        </is>
      </c>
      <c r="F1923" t="inlineStr">
        <is>
          <t>High</t>
        </is>
      </c>
      <c r="G1923" t="inlineStr">
        <is>
          <t>High (explicit)</t>
        </is>
      </c>
      <c r="H1923" s="11" t="inlineStr">
        <is>
          <t>Security</t>
        </is>
      </c>
      <c r="I1923" s="11" t="inlineStr">
        <is>
          <t>Customer Data</t>
        </is>
      </c>
      <c r="J1923" t="inlineStr">
        <is>
          <t>Swift</t>
        </is>
      </c>
      <c r="K1923" s="11" t="inlineStr">
        <is>
          <t>This section requires organizations to complete their compliance status in the KYC-SA application, indicating the level of compliance for each applicable control. It mandates providing remediation dates for non-compliant controls and updating the status once compliance is achieved.</t>
        </is>
      </c>
      <c r="L1923" s="11" t="inlineStr">
        <is>
          <t>This section ensures transparency in security compliance, which is vital for data transfers involving Swift infrastructure and third parties.</t>
        </is>
      </c>
      <c r="M1923" s="11" t="inlineStr">
        <is>
          <t>• [Must] Complete compliance status in KYC-SA application
• [Must] Indicate level of compliance for each applicable control</t>
        </is>
      </c>
      <c r="N1923" s="11" t="inlineStr">
        <is>
          <t>• [Must] Provide remediation date for non-compliant controls
• [Must] Update compliance status once compliant</t>
        </is>
      </c>
      <c r="O1923" s="11" t="inlineStr">
        <is>
          <t>4. Submit A\nestation Complete your a\nestation in the KYC-SA application, indicating your level of compliance compliance for each applicable control. If any control is not yet met, provide a remediation date and update your a\nestation once compliant.</t>
        </is>
      </c>
      <c r="P1923" s="12" t="n">
        <v>84</v>
      </c>
    </row>
    <row r="1924">
      <c r="A1924" t="inlineStr">
        <is>
          <t>United Kingdom</t>
        </is>
      </c>
      <c r="B1924" t="inlineStr">
        <is>
          <t>Customer Security Programme _ Swift (United Kingdom - Row 26) (PROVISIONAL)</t>
        </is>
      </c>
      <c r="C1924" t="inlineStr">
        <is>
          <t>5</t>
        </is>
      </c>
      <c r="D1924" s="11" t="inlineStr">
        <is>
          <t>Share security data with counterparties</t>
        </is>
      </c>
      <c r="E1924" t="inlineStr">
        <is>
          <t>4–7</t>
        </is>
      </c>
      <c r="F1924" t="inlineStr">
        <is>
          <t>High</t>
        </is>
      </c>
      <c r="G1924" t="inlineStr">
        <is>
          <t>High (explicit)</t>
        </is>
      </c>
      <c r="H1924" s="11" t="inlineStr">
        <is>
          <t>Security, Data Sharing</t>
        </is>
      </c>
      <c r="I1924" s="11" t="inlineStr">
        <is>
          <t>Customer Data</t>
        </is>
      </c>
      <c r="J1924" t="inlineStr">
        <is>
          <t>Swift</t>
        </is>
      </c>
      <c r="K1924" s="11" t="inlineStr">
        <is>
          <t>This section enables organizations to leverage and share Customer Security Programme (CSP) data with counterparties to enhance transparency and trust. It allows sharing threat intelligence via the ISAC portal to support broader financial community resilience and risk management.</t>
        </is>
      </c>
      <c r="L1924" s="11" t="inlineStr">
        <is>
          <t>This section facilitates secure data sharing with counterparties, which is critical for cross-border data transfers and financial security.</t>
        </is>
      </c>
      <c r="M1924" s="11" t="inlineStr">
        <is>
          <t>• [May] Make CSP data visible to counterparties
• [May] Use ISAC portal to share threat intelligence</t>
        </is>
      </c>
      <c r="N1924" s="11" t="inlineStr">
        <is>
          <t>• [May] Stay informed about emerging risks</t>
        </is>
      </c>
      <c r="O1924" s="11" t="inlineStr">
        <is>
          <t>5. Leverage &amp; Share CSP Data Once your a\nestation is published in KYC-SA, it becomes visible to counterparties—supporting transparency, trust, and streamlined third-party risk management. You can also use the ISAC portal to share threat intelligence and stay informed about emerging risks, helping strengthen the resilience of the wider financial community.</t>
        </is>
      </c>
      <c r="P1924" s="12" t="n">
        <v>84</v>
      </c>
    </row>
    <row r="1925">
      <c r="A1925" t="inlineStr">
        <is>
          <t>United Kingdom</t>
        </is>
      </c>
      <c r="B1925" t="inlineStr">
        <is>
          <t>NIS Regulations 2018 (United Kingdom - Row 25)</t>
        </is>
      </c>
      <c r="C1925" t="inlineStr">
        <is>
          <t>9</t>
        </is>
      </c>
      <c r="D1925" s="11" t="inlineStr">
        <is>
          <t>Threshold requirement for potable water supply essential services</t>
        </is>
      </c>
      <c r="E1925" t="inlineStr">
        <is>
          <t>54–57</t>
        </is>
      </c>
      <c r="F1925" t="inlineStr">
        <is>
          <t>Low</t>
        </is>
      </c>
      <c r="G1925" t="inlineStr">
        <is>
          <t>High (explicit)</t>
        </is>
      </c>
      <c r="H1925" s="11" t="inlineStr">
        <is>
          <t>Data Storage</t>
        </is>
      </c>
      <c r="I1925" s="11" t="inlineStr">
        <is>
          <t>Customer Data</t>
        </is>
      </c>
      <c r="J1925" t="inlineStr"/>
      <c r="K1925" s="11" t="inlineStr">
        <is>
          <t>This section specifies that the threshold requirement for the essential service of potable water supply in the UK is the supply of water to 200,000 or more people. It defines which water infrastructure qualifies as an essential service provider under the NIS Regulations.</t>
        </is>
      </c>
      <c r="L1925" s="11" t="inlineStr">
        <is>
          <t>This threshold requirement identifies water infrastructure that handles significant populations, impacting data transfer assessments for water-related data flows.</t>
        </is>
      </c>
      <c r="M1925" s="11" t="inlineStr">
        <is>
          <t>• [Must] The threshold requirement for potable water supply is the supply of water to 200,000 or more people</t>
        </is>
      </c>
      <c r="N1925" s="11" t="inlineStr"/>
      <c r="O1925" s="11" t="inlineStr">
        <is>
          <t>9. The threshold requirement which applies to the essential service of the supply of potable water in the United Kingdom is the supply of water to 200,000 or more people.</t>
        </is>
      </c>
      <c r="P1925" s="12" t="n">
        <v>85</v>
      </c>
    </row>
    <row r="1926">
      <c r="A1926" t="inlineStr">
        <is>
          <t>United Kingdom</t>
        </is>
      </c>
      <c r="B1926" t="inlineStr">
        <is>
          <t>NIS Regulations 2018 (United Kingdom - Row 25)</t>
        </is>
      </c>
      <c r="C1926" t="inlineStr">
        <is>
          <t>13</t>
        </is>
      </c>
      <c r="D1926" s="11" t="inlineStr">
        <is>
          <t>Information Commissioner may cooperate with EU authorities on digital service oversight</t>
        </is>
      </c>
      <c r="E1926" t="inlineStr">
        <is>
          <t>18–22</t>
        </is>
      </c>
      <c r="F1926" t="inlineStr">
        <is>
          <t>High</t>
        </is>
      </c>
      <c r="G1926" t="inlineStr">
        <is>
          <t>High (explicit)</t>
        </is>
      </c>
      <c r="H1926" s="11" t="inlineStr">
        <is>
          <t>Cross-border Transfer, International Processing</t>
        </is>
      </c>
      <c r="I1926" s="11" t="inlineStr">
        <is>
          <t>Personal Information</t>
        </is>
      </c>
      <c r="J1926" t="inlineStr">
        <is>
          <t>Information Commissioner</t>
        </is>
      </c>
      <c r="K1926" s="11" t="inlineStr">
        <is>
          <t>The Information Commissioner may provide information and assistance to EU public authorities regarding digital service providers (DSPs) within the UK or internationally, particularly when incidents are notified under regulation 12(3). This facilitates cross-border regulatory oversight of DSPs to ensure effective supervision of digital services across jurisdictions.</t>
        </is>
      </c>
      <c r="L1926" s="11" t="inlineStr">
        <is>
          <t>This section enables cross-border regulatory cooperation between UK and EU authorities for digital service providers, requiring DTIAs to assess how data transfers and service operations impact EU oversight mechanisms.</t>
        </is>
      </c>
      <c r="M1926" s="11" t="inlineStr">
        <is>
          <t>• [Must] The Information Commissioner may give information and assistance to EU public authorities
• [Must] The Information Commissioner may cooperate with EU public authorities on digital service providers</t>
        </is>
      </c>
      <c r="N1926" s="11" t="inlineStr">
        <is>
          <t>• [Must] The Information Commissioner may cooperate with EU public authorities in the event of an incident notified under regulation 12(3)</t>
        </is>
      </c>
      <c r="O1926" s="11" t="inlineStr">
        <is>
          <t>13. The Information Commissioner may give information and assistance to, and otherwise co-operate with, a public authority in the EU if the Information Commissioner considers that to do so would be in the interests of effective supervision of digital service providers (whether inside or outside the United Kingdom), including in the event of an incident notified under regulation 12(3).</t>
        </is>
      </c>
      <c r="P1926" s="12" t="n">
        <v>85</v>
      </c>
    </row>
    <row r="1927">
      <c r="A1927" t="inlineStr">
        <is>
          <t>United Kingdom</t>
        </is>
      </c>
      <c r="B1927" t="inlineStr">
        <is>
          <t>NIS Regulations 2018 (United Kingdom - Row 25)</t>
        </is>
      </c>
      <c r="C1927" t="inlineStr">
        <is>
          <t>13 (part 3)</t>
        </is>
      </c>
      <c r="D1927" s="11" t="inlineStr">
        <is>
          <t>Enforcement notices for non-compliance with data protection duties</t>
        </is>
      </c>
      <c r="E1927" t="inlineStr">
        <is>
          <t>25–28</t>
        </is>
      </c>
      <c r="F1927" t="inlineStr">
        <is>
          <t>High</t>
        </is>
      </c>
      <c r="G1927" t="inlineStr">
        <is>
          <t>High (explicit)</t>
        </is>
      </c>
      <c r="H1927" s="11" t="inlineStr"/>
      <c r="I1927" s="11" t="inlineStr">
        <is>
          <t>Personal Information</t>
        </is>
      </c>
      <c r="J1927" t="inlineStr">
        <is>
          <t>Information Commissioner</t>
        </is>
      </c>
      <c r="K1927" s="11" t="inlineStr">
        <is>
          <t>The Information Commissioner may issue enforcement notices to organizations (OES or RDSPs) that have failed to meet specific data protection obligations. These notices require written responses specifying reasons for the notice, the alleged failure, and corrective actions with deadlines. The notice process includes informing the organization of alleged failures, allowing representations, and providing a reasonable time to rectify issues before potential penalties. The Commissioner must consider any representations made before serving the notice.</t>
        </is>
      </c>
      <c r="L1927" s="11" t="inlineStr">
        <is>
          <t>Enforcement notices require organizations to address specific data protection failures with clear timelines and corrective actions, impacting how data transfers and processing are managed across borders.</t>
        </is>
      </c>
      <c r="M1927" s="11" t="inlineStr">
        <is>
          <t>• [Must] The Information Commissioner may serve an enforcement notice upon an OES or RDSP if it has reasonable grounds to believe they have failed to fulfil duties under regulation 12(1) or (2)
• [Must] The Information Commissioner may serve an enforcement notice upon an OES or RDSP if it has reasonable grounds to believe they have failed to notify an incident under regulation 12(3)
• [Must] The Information Commissioner may serve an enforcement notice upon an OES or RDSP if it has reasonable grounds to believe they have failed to comply with notification requirements under regulation 12(5)
• [Must] The Information Commissioner may serve an enforcement notice upon an OES or RDSP if it has reasonable grounds to believe they have failed to comply with a direction made by the Information Commissioner under regulation 12(12)
• [Must] The Information Commissioner may serve an enforcement notice upon an OES or RDSP if it has reasonable grounds to believe they have failed to comply with requirements stipulated in regulation 14A
• [Must] The Information Commissioner may serve an enforcement notice upon an OES or RDSP if it has reasonable grounds to believe they have failed to comply with an information notice issued under regulation 15
• [Must] The Information Commissioner may serve an enforcement notice upon an OES or RDSP if it has reasonable grounds to believe they have failed to comply with a direction given under regulation 16(2)(c)</t>
        </is>
      </c>
      <c r="N1927" s="11" t="inlineStr">
        <is>
          <t>• [Must] The Information Commissioner may serve an enforcement notice upon an OES or RDSP if it has reasonable grounds to believe they have failed to comply with requirements stipulated in regulation 16(3)
• [Must] An enforcement notice must be in writing and specify reasons for serving the notice
• [Must] An enforcement notice must specify the alleged failure which is the subject of the notice
• [Must] An enforcement notice must specify what steps must be taken to rectify the alleged failure and the time period during which such steps must be completed
• [Must] The Information Commissioner must inform an OES or RDSP of alleged failures before serving an enforcement notice
• [Must] The Information Commissioner must allow an OES or RDSP to make representations before serving an enforcement notice</t>
        </is>
      </c>
      <c r="O1927" s="11" t="inlineStr"/>
      <c r="P1927" s="12" t="n">
        <v>85</v>
      </c>
    </row>
    <row r="1928">
      <c r="A1928" t="inlineStr">
        <is>
          <t>United Kingdom</t>
        </is>
      </c>
      <c r="B1928" t="inlineStr">
        <is>
          <t>NIS Regulations 2018 (United Kingdom - Row 25)</t>
        </is>
      </c>
      <c r="C1928" t="inlineStr">
        <is>
          <t>13 (part 5)</t>
        </is>
      </c>
      <c r="D1928" s="11" t="inlineStr">
        <is>
          <t>Civil proceedings for enforcement actions against organizations</t>
        </is>
      </c>
      <c r="E1928" t="inlineStr">
        <is>
          <t>31–35</t>
        </is>
      </c>
      <c r="F1928" t="inlineStr">
        <is>
          <t>High</t>
        </is>
      </c>
      <c r="G1928" t="inlineStr">
        <is>
          <t>High (explicit)</t>
        </is>
      </c>
      <c r="H1928" s="11" t="inlineStr"/>
      <c r="I1928" s="11" t="inlineStr">
        <is>
          <t>Financial Data</t>
        </is>
      </c>
      <c r="J1928" t="inlineStr">
        <is>
          <t>Information Commissioner</t>
        </is>
      </c>
      <c r="K1928" s="11" t="inlineStr">
        <is>
          <t>This regulation outlines the conditions under which civil proceedings can be initiated by enforcement authorities against organizations that have appealed to the First-tier Tribunal. It specifies that proceedings may commence for injunctions, specific performance of statutory duties, or other remedies where an organization has not complied with regulatory obligations. The regulation also sets a 28-day period before proceedings can begin after the last enforcement notice is served.</t>
        </is>
      </c>
      <c r="L1928" s="11" t="inlineStr">
        <is>
          <t>This section establishes procedural safeguards for enforcement actions, including time limits and remedies available to regulators when organizations contest regulatory decisions. It impacts DTIAs by defining when and how enforcement actions can be initiated across jurisdictions.</t>
        </is>
      </c>
      <c r="M1928" s="11" t="inlineStr">
        <is>
          <t>• [May] Civil proceedings may be commenced against the OES for injunctions to enforce regulation 17(3A)
• [May] Civil proceedings may be commenced against the OES for specific performance of statutory duties under section 45 of the Court of Session Act 1988
• [May] Civil proceedings may be commenced against the OES for any other appropriate remedy or relief
• [May] Civil proceedings may be commenced against the RDSP for injunctions to enforce regulation 17(3A)</t>
        </is>
      </c>
      <c r="N1928" s="11" t="inlineStr">
        <is>
          <t>• [May] Civil proceedings may be commenced against the RDSP for specific performance of statutory duties under section 45 of the Court of Session Act 1988
• [May] Civil proceedings may be commenced against the RDSP for any other appropriate remedy or relief
• [Must Not] No civil proceedings may be commenced under this regulation before the end of a 28-day period beginning with the day on which the last relevant enforcement notice was served</t>
        </is>
      </c>
      <c r="O1928" s="11" t="inlineStr">
        <is>
          <t>Where paragraph (1)(a) applies, the relevant competent authority may commence civil proceedings against the OES— (a) for an injunction to enforce the duty in regulation 17(3A); (b) for specific performance of a statutory duty under section 45 of the Court of Session Act 1988; or (c) for any other appropriate remedy or relief.</t>
        </is>
      </c>
      <c r="P1928" s="12" t="n">
        <v>85</v>
      </c>
    </row>
    <row r="1929">
      <c r="A1929" t="inlineStr">
        <is>
          <t>United Kingdom</t>
        </is>
      </c>
      <c r="B1929" t="inlineStr">
        <is>
          <t>NIS Regulations 2018 (United Kingdom - Row 25)</t>
        </is>
      </c>
      <c r="C1929" t="inlineStr">
        <is>
          <t>13 (part 7)</t>
        </is>
      </c>
      <c r="D1929" s="11" t="inlineStr">
        <is>
          <t>Definitions for petroleum and gas infrastructure</t>
        </is>
      </c>
      <c r="E1929" t="inlineStr">
        <is>
          <t>40–43</t>
        </is>
      </c>
      <c r="F1929" t="inlineStr">
        <is>
          <t>None</t>
        </is>
      </c>
      <c r="G1929" t="inlineStr">
        <is>
          <t>High (explicit)</t>
        </is>
      </c>
      <c r="H1929" s="11" t="inlineStr"/>
      <c r="I1929" s="11" t="inlineStr">
        <is>
          <t>Special Personal Information</t>
        </is>
      </c>
      <c r="J1929" t="inlineStr"/>
      <c r="K1929" s="11" t="inlineStr">
        <is>
          <t>This section defines key terms related to petroleum and gas infrastructure, including 'crude oil', 'crude oil based fuel', 'petroleum production project', and 'upstream petroleum pipeline'. The definitions specify technical thresholds for throughput, storage capacity, and operational requirements for facilities involved in oil and gas production, transmission, and distribution. These definitions apply to both Great Britain and Northern Ireland.</t>
        </is>
      </c>
      <c r="L1929" s="11" t="inlineStr"/>
      <c r="M1929" s="11" t="inlineStr">
        <is>
          <t>• [Notification] The Information Commissioner may give information and assistance to, and otherwise co-</t>
        </is>
      </c>
      <c r="N1929" s="11" t="inlineStr"/>
      <c r="O1929" s="11" t="inlineStr">
        <is>
          <t>The Information Commissioner may give information and assistance to, and otherwise co-</t>
        </is>
      </c>
      <c r="P1929" s="12" t="n">
        <v>85</v>
      </c>
    </row>
    <row r="1930">
      <c r="A1930" t="inlineStr">
        <is>
          <t>United Kingdom</t>
        </is>
      </c>
      <c r="B1930" t="inlineStr">
        <is>
          <t>NIS Regulations 2018 (United Kingdom - Row 25)</t>
        </is>
      </c>
      <c r="C1930" t="inlineStr">
        <is>
          <t>13 (part 9)</t>
        </is>
      </c>
      <c r="D1930" s="11" t="inlineStr">
        <is>
          <t>Definitions for gas and oil industry terms</t>
        </is>
      </c>
      <c r="E1930" t="inlineStr">
        <is>
          <t>46–50</t>
        </is>
      </c>
      <c r="F1930" t="inlineStr">
        <is>
          <t>Low</t>
        </is>
      </c>
      <c r="G1930" t="inlineStr">
        <is>
          <t>Medium (merged from chunks)</t>
        </is>
      </c>
      <c r="H1930" s="11" t="inlineStr"/>
      <c r="I1930" s="11" t="inlineStr">
        <is>
          <t>Special Personal Information, Personal Information</t>
        </is>
      </c>
      <c r="J1930" t="inlineStr">
        <is>
          <t>Information Commissioner</t>
        </is>
      </c>
      <c r="K1930" s="11" t="inlineStr">
        <is>
          <t>This section defines specific terms used in the gas and oil sectors, including 'gas processing facility', 'gas processing operation', 'oil processing facility', and 'oil processing operations'. These definitions are critical for understanding the scope of activities covered by the regulations and ensure clarity in regulatory applications within the energy sector. This section grants the Information Commissioner the authority to provide information and assistance to entities relevant to the instrument. It outlines the Commissioner's role in facilitating access to necessary details for the functioning of the regulations. The provision applies to organizations subject to the instrument's requirements.</t>
        </is>
      </c>
      <c r="L1930" s="11" t="inlineStr">
        <is>
          <t>This section matters for DTIAs as it establishes the Information Commissioner's power to provide information and assistance, which may impact how data is handled across borders when regulatory compliance is required.</t>
        </is>
      </c>
      <c r="M1930" s="11" t="inlineStr">
        <is>
          <t>• [Definition] distribution system operator has the meaning given by Article 2(6) of the Gas Directive
• [Definition] final customer has the meaning given by Article 2(27) of the Gas Directive
• [Definition] foreign sector of the continental shelf has the meaning given by section 90(1) of the Energy Act 2011
• [Definition] gas processing facility means any facility which carries out gas processing operations in relation to piped gas and is operated otherwise than by a gas transporter and is not an LNG import or export facility
• [Definition] gas processing operation means any of the following operations: purifying, blending, odorising or compressing gas for pipeline introduction; removing constituent gases or separating oil/water; determining quantity/quality of gas; separating/purifying/blending/compressing gas for conversion or loading; loading gas for conveyance
• [Definition] gas transporter has the meaning given by section 7(1) of the Gas Act 1986
• [Definition] interconnector licence means a licence granted under section 7ZA of the Gas Act 1986
• [Definition] LNG facility has the meaning given by Article 2(11) of the Gas Directive
• [Definition] LNG system operator has the meaning given by Article 2(12) of the Gas Directive
• [Definition] oil equivalent means petroleum and, for throughput assessments, 1,100 cubic meters of petroleum at 15°C and 1 atm equals one tonne
• [Definition] oil processing facility means any facility which carries out oil processing operations
• [Definition] oil processing operations means initial blending and treatment of petroleum to produce stabilised crude oil for delivery
• [Definition] operator means the person who has control over pipeline conveyance or the person who commissions pipeline construction
• [Definition] petroleum has the same meaning as in section 1 of the Petroleum Act 1998 and includes processed petroleum</t>
        </is>
      </c>
      <c r="N1930" s="11" t="inlineStr">
        <is>
          <t>• [Definition] petroleum production project means a project carried out by virtue of a licence granted under the Petroleum Act 1998 or Petroleum (Production) Act 1934
• [Definition] piped gas means gas originating from a petroleum production project and conveyed only by pipes
• [Definition] pipeline means a pipe or system of pipes for the conveyance of anything
• [Definition] production installation has the meaning given by regulation 2(1) of the Offshore Installations (Safety Case) Regulations 2005
• [Definition] relevant offshore installation means an offshore installation within the Petroleum Act 1998 that carries on specific activities
• [Definition] storage facility has the meaning given by Article 2(9) of the Gas Directive
• [Definition] storage system operator has the meaning given by Article 2(10) of the Gas Directive
• [Definition] supply has the meaning given by Article 2(7) of the Gas Directive
• [Definition] supply undertaking has the meaning given by Article 2(8) of the Gas Directive
• [Definition] terminal includes facilities for initial blending, oil processing facilities, gas processing facilities, and reception of gas
• [Definition] transmission has the meaning given by Article 2(3) of the Gas Directive
• [Definition] transmission system operator has the meaning given by Article 2(4) of the Gas Directive
• [Definition] upstream petroleum pipeline means a pipeline operated as part of a petroleum production project and not a carbon dioxide pipeline
• [Must] The Information Commissioner may give information and assistance to entities relevant to this instrument</t>
        </is>
      </c>
      <c r="O1930" s="11" t="inlineStr">
        <is>
          <t>Distribution system operator has the meaning given by Article 2(6) of the Gas Directive; final customer has the meaning given by Article 2(27) of the Gas Directive; foreign sector of the continental shelf has the meaning given by section 90(1) of the Energy Act 2011</t>
        </is>
      </c>
      <c r="P1930" s="12" t="n">
        <v>85</v>
      </c>
    </row>
    <row r="1931">
      <c r="A1931" t="inlineStr">
        <is>
          <t>United Kingdom</t>
        </is>
      </c>
      <c r="B1931" t="inlineStr">
        <is>
          <t>NIS Regulations 2018 (United Kingdom - Row 25)</t>
        </is>
      </c>
      <c r="C1931" t="inlineStr">
        <is>
          <t>13 (part 10)</t>
        </is>
      </c>
      <c r="D1931" s="11" t="inlineStr">
        <is>
          <t>Threshold requirements for air transport essential services</t>
        </is>
      </c>
      <c r="E1931" t="inlineStr">
        <is>
          <t>50–54</t>
        </is>
      </c>
      <c r="F1931" t="inlineStr">
        <is>
          <t>High</t>
        </is>
      </c>
      <c r="G1931" t="inlineStr">
        <is>
          <t>High (explicit)</t>
        </is>
      </c>
      <c r="H1931" s="11" t="inlineStr">
        <is>
          <t>Cross-border Transfer, International Processing, Data Storage</t>
        </is>
      </c>
      <c r="I1931" s="11" t="inlineStr">
        <is>
          <t>Customer Data</t>
        </is>
      </c>
      <c r="J1931" t="inlineStr">
        <is>
          <t>Secretary of State, Civil Aviation Authority</t>
        </is>
      </c>
      <c r="K1931" s="11" t="inlineStr">
        <is>
          <t>This section defines threshold requirements for entities providing air traffic services or air carrier services in the UK. It specifies that an entity must be licensed by the Secretary of State or Civil Aviation Authority for en-route air traffic services, or must have annual terminal passenger numbers exceeding 10 million at a UK airport. For air carriers, the threshold requires handling over 30% of annual terminal passengers at a UK airport with over 10 million passengers annually, or over 10 million total annual terminal passengers across all UK airports.</t>
        </is>
      </c>
      <c r="L1931" s="11" t="inlineStr">
        <is>
          <t>These threshold requirements define which entities qualify as essential service providers for air transport, impacting data transfer assessments for entities handling passenger data across borders.</t>
        </is>
      </c>
      <c r="M1931" s="11" t="inlineStr">
        <is>
          <t>• [Must] An entity must be licensed by the Secretary of State or Civil Aviation Authority to provide en-route air traffic services in the UK
• [Must] An entity must have annual terminal passenger numbers greater than 10 million at a UK airport</t>
        </is>
      </c>
      <c r="N1931" s="11" t="inlineStr">
        <is>
          <t>• [Must] An air carrier must handle more than 30% of annual terminal passengers at a UK airport with over 10 million passengers annually
• [Must] An air carrier must handle more than 10 million total annual terminal passengers across all UK airports</t>
        </is>
      </c>
      <c r="O1931" s="11" t="inlineStr">
        <is>
          <t>For the essential service of the provision of air traffic services (as defined in the Transport Act 2000), the threshold requirement in the United Kingdom is— (a) an entity which is granted a licence by the Secretary of State or the Civil Aviation Authority to provide en-route air traffic services in the United Kingdom; or (b) an air-traffic service provider at any airport which has annual terminal passenger numbers greater than 10 million.</t>
        </is>
      </c>
      <c r="P1931" s="12" t="n">
        <v>85</v>
      </c>
    </row>
    <row r="1932">
      <c r="A1932" t="inlineStr">
        <is>
          <t>United Kingdom</t>
        </is>
      </c>
      <c r="B1932" t="inlineStr">
        <is>
          <t>NIS Regulations 2018 (United Kingdom - Row 25)</t>
        </is>
      </c>
      <c r="C1932" t="inlineStr">
        <is>
          <t>13 (part 11)</t>
        </is>
      </c>
      <c r="D1932" s="11" t="inlineStr">
        <is>
          <t>Threshold requirements for healthcare essential services</t>
        </is>
      </c>
      <c r="E1932" t="inlineStr">
        <is>
          <t>54</t>
        </is>
      </c>
      <c r="F1932" t="inlineStr">
        <is>
          <t>High</t>
        </is>
      </c>
      <c r="G1932" t="inlineStr">
        <is>
          <t>High (explicit)</t>
        </is>
      </c>
      <c r="H1932" s="11" t="inlineStr">
        <is>
          <t>Cross-border Transfer, Data Storage</t>
        </is>
      </c>
      <c r="I1932" s="11" t="inlineStr">
        <is>
          <t>Health Data</t>
        </is>
      </c>
      <c r="J1932" t="inlineStr"/>
      <c r="K1932" s="11" t="inlineStr">
        <is>
          <t>This section defines threshold requirements for healthcare essential services in the UK, specifying which NHS entities qualify as operators of essential services. It covers NHS Trusts in England, Local Health Boards in Wales, Common Services Agencies in Scotland, and Health and Social Care Trusts in Northern Ireland. These entities must meet specific definitions under relevant health legislation to be considered essential service providers.</t>
        </is>
      </c>
      <c r="L1932" s="11" t="inlineStr">
        <is>
          <t>These healthcare threshold requirements identify which entities handle sensitive health data, impacting data transfer assessments for cross-border health information flows.</t>
        </is>
      </c>
      <c r="M1932" s="11" t="inlineStr">
        <is>
          <t>• [Must] In England, an NHS Trust as defined in section 25 of the National Health Service Act 2006
• [Must] In Wales, a Local Health Board or NHS Trust as defined in the National Health Service (Wales) Act 2006
• [Must] In Scotland, the Common Services Agency for the Scottish Health Service established under section 10 of the National Health Service (Scotland) Act 1978</t>
        </is>
      </c>
      <c r="N1932" s="11" t="inlineStr">
        <is>
          <t>• [Must] In Scotland, a Health Board constituted under section 2 of the National Health Service (Scotland) Act 1978
• [Must] In Scotland, a Special Health Board constituted under section 2 of the National Health Service (Scotland) Act 1978
• [Must] In Northern Ireland, Health and Social Care Trusts within the meaning of 'HSC Trust' in section 31 of the Health and Social Care (Reform) Act (Northern Ireland) 2009</t>
        </is>
      </c>
      <c r="O1932" s="11" t="inlineStr">
        <is>
          <t>For the essential service of healthcare services the threshold requirements are— (a) in England, an NHS Trust as defined in section 25 of the National Health Service Act 2006 or a Foundation trust as defined in section 30 of the National Health Service Act 2006; (b) in Wales, a Local Health Board or NHS Trust as defined in the National Health Service (Wales) Act 2: (c) in Scotland— (i) the Common Services Agency for the Scottish Health Service established under section 10 of the National Health Service (Scotland) Act 1978; (ii) a Health Board, constituted under section 2 of the National Health Service (Scotland) Act 1978; (iii) a Special Health Board, constituted under section 2 of the National Health Service (Scotland) Act 1978; (d) in Northern Ireland, the Health and Social Care Trusts within the meaning of 'HSC Trust' in section 31 of the Health and Social Care (Reform) Act (Northern Ireland) 2009.</t>
        </is>
      </c>
      <c r="P1932" s="12" t="n">
        <v>85</v>
      </c>
    </row>
    <row r="1933">
      <c r="A1933" t="inlineStr">
        <is>
          <t>United Kingdom</t>
        </is>
      </c>
      <c r="B1933" t="inlineStr">
        <is>
          <t>PRA Supervisory Statement — Model Risk Management Principles (United Kingdom - Row 27)</t>
        </is>
      </c>
      <c r="C1933" t="inlineStr">
        <is>
          <t>1</t>
        </is>
      </c>
      <c r="D1933" s="11" t="inlineStr">
        <is>
          <t>Model risk management framework requirements for UK banks</t>
        </is>
      </c>
      <c r="E1933" t="inlineStr">
        <is>
          <t>3–4</t>
        </is>
      </c>
      <c r="F1933" t="inlineStr">
        <is>
          <t>High</t>
        </is>
      </c>
      <c r="G1933" t="inlineStr">
        <is>
          <t>High (explicit)</t>
        </is>
      </c>
      <c r="H1933" s="11" t="inlineStr">
        <is>
          <t>Governance</t>
        </is>
      </c>
      <c r="I1933" s="11" t="inlineStr">
        <is>
          <t>Financial Data</t>
        </is>
      </c>
      <c r="J1933" t="inlineStr">
        <is>
          <t>PRA</t>
        </is>
      </c>
      <c r="K1933" s="11" t="inlineStr">
        <is>
          <t>This section establishes the PRA's expectations for banks' model risk management (MRM) frameworks. It specifies that the requirements apply to UK-incorporated banks, building societies, and PRA-designated investment firms with internal model approval for regulatory capital calculations. Firms without internal model approval or third-country branches are excluded, while credit unions and insurers are not covered. The PRA requires firms to strengthen policies, procedures, and practices to identify, manage, and control model risks across all model types, including those developed in-house or externally. The expectations complement but do not supersede existing supervisory requirements for specific models.</t>
        </is>
      </c>
      <c r="L1933" s="11" t="inlineStr">
        <is>
          <t>This section mandates that financial institutions implement robust model risk management frameworks to ensure models used for regulatory capital calculations are properly validated and monitored, directly impacting cross-border data transfers involving model outputs.</t>
        </is>
      </c>
      <c r="M1933" s="11" t="inlineStr">
        <is>
          <t>• [Must] Firms must conduct an initial self-assessment of their MRM frameworks against these principles before the policy comes into effect
• [Must] Firms must prepare remediation plans to address identified shortcomings in their MRM frameworks
• [Must] Self-assessments must be updated at least annually thereafter
• [Must] Remediation plans must be reviewed and updated on a regular basis</t>
        </is>
      </c>
      <c r="N1933" s="11" t="inlineStr">
        <is>
          <t>• [Must] Firms must document and share self-assessment findings and remediation plans with their boards
• [Must] Firms must ensure remediation plans have clear ownership of necessary actions
• [Must] Firms must have 12 months from internal model approval to comply with the expectations</t>
        </is>
      </c>
      <c r="O1933" s="11" t="inlineStr">
        <is>
          <t>1.6 Before the policy comes into effect, firms are expected to conduct an initial self-assessment of their implemented MRM frameworks against these principles and, where relevant, to prepare remediation plans to address any identified shortcomings.</t>
        </is>
      </c>
      <c r="P1933" s="12" t="n">
        <v>86</v>
      </c>
    </row>
    <row r="1934">
      <c r="A1934" t="inlineStr">
        <is>
          <t>United Kingdom</t>
        </is>
      </c>
      <c r="B1934" t="inlineStr">
        <is>
          <t>PRA Supervisory Statement — Model Risk Management Principles (United Kingdom - Row 27)</t>
        </is>
      </c>
      <c r="C1934" t="inlineStr">
        <is>
          <t>3</t>
        </is>
      </c>
      <c r="D1934" s="11" t="inlineStr">
        <is>
          <t>Model risk management framework responsibilities and governance</t>
        </is>
      </c>
      <c r="E1934" t="inlineStr">
        <is>
          <t>8–13</t>
        </is>
      </c>
      <c r="F1934" t="inlineStr">
        <is>
          <t>High</t>
        </is>
      </c>
      <c r="G1934" t="inlineStr">
        <is>
          <t>High (explicit)</t>
        </is>
      </c>
      <c r="H1934" s="11" t="inlineStr">
        <is>
          <t>Governance</t>
        </is>
      </c>
      <c r="I1934" s="11" t="inlineStr">
        <is>
          <t>Financial Data</t>
        </is>
      </c>
      <c r="J1934" t="inlineStr">
        <is>
          <t>PRA</t>
        </is>
      </c>
      <c r="K1934" s="11" t="inlineStr">
        <is>
          <t>Firms must establish a sound model risk management (MRM) framework with board-level oversight to ensure business decisions are supported by reliable model outputs. The board must define model risk appetite, approve MRM policies, appoint an accountable individual, and maintain robust governance practices. This framework must be proportionate to the firm's size, model complexity, and business activities to effectively manage model-related risks.</t>
        </is>
      </c>
      <c r="L1934" s="11" t="inlineStr">
        <is>
          <t>This section mandates board-level accountability for model risk management, requiring clear governance structures that ensure models support safe and sound business decisions without compromising financial stability.</t>
        </is>
      </c>
      <c r="M1934" s="11" t="inlineStr">
        <is>
          <t>• [Must] Board of directors must establish a comprehensive firm-wide MRM framework proportionate to size, business activities, and model complexity
• [Must] Board must set model risk appetite articulating acceptable levels of model risk</t>
        </is>
      </c>
      <c r="N1934" s="11" t="inlineStr">
        <is>
          <t>• [Must] Board must receive regular reports on model risk profile against appetite
• [Must] Board must challenge outputs of most material models</t>
        </is>
      </c>
      <c r="O1934" s="11" t="inlineStr">
        <is>
          <t>The board of directors and senior management of firms are ultimately responsible for establishing a sound MRM framework to ensure key business decisions relevant to a firm's safety and soundness are supported by sound and appropriate model output</t>
        </is>
      </c>
      <c r="P1934" s="12" t="n">
        <v>86</v>
      </c>
    </row>
    <row r="1935">
      <c r="A1935" t="inlineStr">
        <is>
          <t>United Kingdom</t>
        </is>
      </c>
      <c r="B1935" t="inlineStr">
        <is>
          <t>PRA Supervisory Statement — Model Risk Management Principles (United Kingdom - Row 27)</t>
        </is>
      </c>
      <c r="C1935" t="inlineStr">
        <is>
          <t>3 (part 3)</t>
        </is>
      </c>
      <c r="D1935" s="11" t="inlineStr">
        <is>
          <t>Model risk management framework requirements for data quality and validation</t>
        </is>
      </c>
      <c r="E1935" t="inlineStr">
        <is>
          <t>17–22</t>
        </is>
      </c>
      <c r="F1935" t="inlineStr">
        <is>
          <t>High</t>
        </is>
      </c>
      <c r="G1935" t="inlineStr">
        <is>
          <t>High (explicit)</t>
        </is>
      </c>
      <c r="H1935" s="11" t="inlineStr"/>
      <c r="I1935" s="11" t="inlineStr">
        <is>
          <t>Financial Data</t>
        </is>
      </c>
      <c r="J1935" t="inlineStr">
        <is>
          <t>PRA</t>
        </is>
      </c>
      <c r="K1935" s="11" t="inlineStr">
        <is>
          <t>This section mandates specific data quality management procedures, model validation standards, performance monitoring criteria, and model risk mitigants for financial models. It requires firms to establish clear roles and responsibilities for model development, validation, and monitoring, with particular attention to alternative data sources and unstructured data. The framework emphasizes the need for robust oversight mechanisms to ensure models operate within acceptable risk parameters and maintain alignment with the firm's overall risk appetite.</t>
        </is>
      </c>
      <c r="L1935" s="11" t="inlineStr">
        <is>
          <t>This section establishes critical data quality and validation requirements that impact cross-border data transfers involving financial models. Firms must ensure data quality procedures and model validation standards meet international standards to prevent model-related risks during data transfers.</t>
        </is>
      </c>
      <c r="M1935" s="11" t="inlineStr">
        <is>
          <t>• [Must] Data quality management procedures must include rules and standards for data quality, accuracy and relevance
• [Must] Model validation standards require clear roles and responsibilities, validation procedures, prioritisation and scope of re-validation, and reporting of validation results
• [Must] Model performance monitoring must define criteria for acceptable performance and triggers for recalibration or redevelopment
• [Must] Model risk mitigants must include model adjustments and overrides for expert judgement, restrictions on model use, and escalation processes for validation exceptions</t>
        </is>
      </c>
      <c r="N1935" s="11" t="inlineStr">
        <is>
          <t>• [Must] Model approval process must define clear roles and responsibilities for model approval authorities and materiality criteria for model changes
• [Must] Firms must ensure adequacy of board-level policies for material and complex model types is assessed and supplemented with detailed procedures
• [Must] Standards for model development must include independent model validation and procedures for monitoring material and complex model types
• [Must] Data quality procedures must set clear roles and responsibilities for managing data quality in data-intensive model types</t>
        </is>
      </c>
      <c r="O1935" s="11" t="inlineStr">
        <is>
          <t>data quality management procedures, including: the rules and standards for data quality, accuracy and relevance; and the specific risk controls and criteria applicable to reflect the higher level of uncertainty associated with use of alternative or unstructured data, or information sources</t>
        </is>
      </c>
      <c r="P1935" s="12" t="n">
        <v>86</v>
      </c>
    </row>
    <row r="1936">
      <c r="A1936" t="inlineStr">
        <is>
          <t>United Kingdom</t>
        </is>
      </c>
      <c r="B1936" t="inlineStr">
        <is>
          <t>PRA Supervisory Statement — Model Risk Management Principles (United Kingdom - Row 27)</t>
        </is>
      </c>
      <c r="C1936" t="inlineStr">
        <is>
          <t>3 (part 4)</t>
        </is>
      </c>
      <c r="D1936" s="11" t="inlineStr">
        <is>
          <t>Model development and validation documentation requirements</t>
        </is>
      </c>
      <c r="E1936" t="inlineStr">
        <is>
          <t>22–26</t>
        </is>
      </c>
      <c r="F1936" t="inlineStr">
        <is>
          <t>High</t>
        </is>
      </c>
      <c r="G1936" t="inlineStr">
        <is>
          <t>High (explicit)</t>
        </is>
      </c>
      <c r="H1936" s="11" t="inlineStr"/>
      <c r="I1936" s="11" t="inlineStr">
        <is>
          <t>Financial Data</t>
        </is>
      </c>
      <c r="J1936" t="inlineStr">
        <is>
          <t>PRA</t>
        </is>
      </c>
      <c r="K1936" s="11" t="inlineStr">
        <is>
          <t>This section outlines comprehensive documentation requirements for model development, including design objectives, data usage, methodology, performance testing, and model limitations. It mandates that firms maintain detailed records of model adjustments, expert judgement applications, and system implementations to ensure models remain robust and aligned with business objectives. The requirements emphasize transparency and accountability throughout the model lifecycle.</t>
        </is>
      </c>
      <c r="L1936" s="11" t="inlineStr">
        <is>
          <t>This section establishes detailed documentation requirements that impact data transfers involving financial models. Firms must maintain comprehensive records of model development and validation to ensure transparency and compliance with international data transfer standards.</t>
        </is>
      </c>
      <c r="M1936" s="11" t="inlineStr">
        <is>
          <t>• [Must] Models must have clear statements of purpose and design objectives to guide development
• [Must] Model development should demonstrate suitable data for intended use and consistency with chosen theory and methodology
• [Must] Firms must ensure no inappropriate bias in data used for model development and compliance with data privacy regulations
• [Must] Data adjustments and proxies must be clearly documented and subject to validation</t>
        </is>
      </c>
      <c r="N1936" s="11" t="inlineStr">
        <is>
          <t>• [Must] Interconnected data sources and alternative/unstructured data must be identified and recorded in model inventory
• [Must] Model development testing must demonstrate that models work as intended with clear performance tests
• [Must] Model adjustments must be adequately justified and clearly recorded in model inventory with implementation documentation
• [Must] Firms must have comprehensive documentation on model design, theory, logic, and limitations</t>
        </is>
      </c>
      <c r="O1936" s="11" t="inlineStr">
        <is>
          <t>Firms should have comprehensive, and up-to-date documentation on the design, theory, and logic underlying the development of their models</t>
        </is>
      </c>
      <c r="P1936" s="12" t="n">
        <v>86</v>
      </c>
    </row>
    <row r="1937">
      <c r="A1937" t="inlineStr">
        <is>
          <t>United Kingdom</t>
        </is>
      </c>
      <c r="B1937" t="inlineStr">
        <is>
          <t>PRA Supervisory Statement — Model Risk Management Principles (United Kingdom - Row 27)</t>
        </is>
      </c>
      <c r="C1937" t="inlineStr">
        <is>
          <t>3 (part 5)</t>
        </is>
      </c>
      <c r="D1937" s="11" t="inlineStr">
        <is>
          <t>Independent model validation and review requirements</t>
        </is>
      </c>
      <c r="E1937" t="inlineStr">
        <is>
          <t>26–31</t>
        </is>
      </c>
      <c r="F1937" t="inlineStr">
        <is>
          <t>High</t>
        </is>
      </c>
      <c r="G1937" t="inlineStr">
        <is>
          <t>High (explicit)</t>
        </is>
      </c>
      <c r="H1937" s="11" t="inlineStr"/>
      <c r="I1937" s="11" t="inlineStr">
        <is>
          <t>Financial Data</t>
        </is>
      </c>
      <c r="J1937" t="inlineStr">
        <is>
          <t>PRA</t>
        </is>
      </c>
      <c r="K1937" s="11" t="inlineStr">
        <is>
          <t>Firms must ensure model validators operate independently from model developers and owners through separate reporting lines. The validation function requires sufficient organizational standing to challenge model usage and escalate concerns to the board or committees. Independent reviews must cover all model components, assess conceptual soundness, evaluate development evidence, analyze qualitative judgments, and conduct additional testing to identify model limitations.</t>
        </is>
      </c>
      <c r="L1937" s="11" t="inlineStr">
        <is>
          <t>This section mandates independent validation to ensure models function correctly across borders, requiring robust oversight mechanisms that could impact cross-border model transfers and data processing.</t>
        </is>
      </c>
      <c r="M1937" s="11" t="inlineStr">
        <is>
          <t>• [Must] The validation function should operate independently from the model development process and model owners
• [Must] Firms must demonstrate independence through separate reporting lines for model validators and developers/owners
• [Must] The validation function must have sufficient organizational standing to provide effective challenge and access to the board
• [Must] All models must undergo independent review to ensure suitability for intended use
• [Must] Independent review must cover all model components including inputs, calculations, and reporting outputs
• [Must] Independent review must assess conceptual soundness of model theory and suitability for intended use
• [Must] Independent review must evaluate quality and extent of model development evidence
• [Must] Independent review must analyze qualitative information and judgments used in model development
• [Must] Independent review must conduct additional testing to identify model limitations
• [Must] The nature and extent of independent review must be determined by model tier and materiality of changes
• [Must] Firms must verify model processes and systems implementation to confirm effective operation
• [Must] Model inputs must be representative of underlying portfolios and compliant with data quality standards
• [Must] Calculations must be accurate, controlled, and auditable
• [Must] Reporting outputs must be accurate, complete, informative, and appropriately designed
• [Must] Model performance monitoring must assess model performance against acceptable thresholds
• [Must] Firms must conduct ongoing model performance monitoring to ensure parameter estimates and model constructs are valid
• [Must] Firms must monitor whether assumptions remain applicable for model use
• [Must] Firms must assess whether changes in products, exposures, or market conditions require model adjustments
• [Must] Firms must assess whether models have been used beyond intended scope
• [Must] Model monitoring must include benchmarking, sensitivity testing, analysis of overrides, and parallel outcomes analysis</t>
        </is>
      </c>
      <c r="N1937" s="11" t="inlineStr">
        <is>
          <t>• [Must] Model monitoring must be conducted on an ongoing basis with frequency determined by model tier
• [Must] Firms must produce timely and accurate model performance monitoring reports
• [Must] Firms must undertake regular independent revalidation of models to determine operational suitability
• [Must] Periodic revalidation frequency must be consistent with model tier
• [Must] Firms must have policies and procedures for model risk mitigants when models underperform
• [Must] Firms must have a consistent firm-wide process for applying post-model adjustments (PMAs)
• [Must] PMAs must be documented, supported by senior management, and approved by appropriate authority
• [Must] PMAs must be applied systematically and transparently with clear impact reporting
• [Must] PMAs must be subject to independent review with intensity commensurate to materiality
• [Must] Independent review of PMAs must assess continued relevance to underlying portfolio
• [Must] Independent review of PMAs must evaluate qualitative reasoning for soundness
• [Must] Independent review of PMAs must ensure data integrity for PMA calculations
• [Must] Independent review of PMAs must ensure outputs are plausible
• [Must] Independent review of PMAs must conduct root cause analysis for model limitations
• [Must] PMAs must be supported by appropriate documentation including justification and calculation criteria
• [Must] Firms must have processes to consider materiality of PMAs or trends indicating flawed model design
• [Must] Firms must place restrictions on model use when significant deficiencies are identified
• [Must] Firms must permit model use only under strict controls or mitigants when deficiencies are found
• [Must] Firms must place limits on model use including prohibitions for specific purposes
• [Must] Firms must document and report significant model deficiencies or inadequate performance</t>
        </is>
      </c>
      <c r="O1937" s="11" t="inlineStr">
        <is>
          <t>The validation function should operate independently from the model development process and from model owners. Firms that have approval to use internal models for the purposes of calculating their capital requirements are expected to demonstrate independence through separate reporting lines for model validators and model developers and owners, applicable across the MRM framework.</t>
        </is>
      </c>
      <c r="P1937" s="12" t="n">
        <v>86</v>
      </c>
    </row>
    <row r="1938">
      <c r="A1938" t="inlineStr">
        <is>
          <t>United Kingdom</t>
        </is>
      </c>
      <c r="B1938" t="inlineStr">
        <is>
          <t>Privacy and Electronic Communications Regulations (PECR) 2003 (United Kingdom - Row 18)</t>
        </is>
      </c>
      <c r="C1938" t="inlineStr">
        <is>
          <t>2003</t>
        </is>
      </c>
      <c r="D1938" s="11" t="inlineStr">
        <is>
          <t>Electronic communications service provider obligations for call identification and subscriber data</t>
        </is>
      </c>
      <c r="E1938" t="inlineStr">
        <is>
          <t>2–4</t>
        </is>
      </c>
      <c r="F1938" t="inlineStr">
        <is>
          <t>High</t>
        </is>
      </c>
      <c r="G1938" t="inlineStr">
        <is>
          <t>High (explicit)</t>
        </is>
      </c>
      <c r="H1938" s="11" t="inlineStr">
        <is>
          <t>Cross-border Transfer, International Processing, Data Storage, Security</t>
        </is>
      </c>
      <c r="I1938" s="11" t="inlineStr">
        <is>
          <t>Personal Information, Customer Data</t>
        </is>
      </c>
      <c r="J1938" t="inlineStr">
        <is>
          <t>Information Commissioner</t>
        </is>
      </c>
      <c r="K1938" s="11" t="inlineStr">
        <is>
          <t>Regulation 2003 mandates electronic communications service providers to implement mechanisms allowing subscribers to prevent calling line identification presentation on a per-call and per-line basis. It also requires providers to offer specific facilities for connected line identification where available. These obligations apply to service providers and subscribers within the UK electronic communications sector.</t>
        </is>
      </c>
      <c r="L1938" s="11" t="inlineStr">
        <is>
          <t>This section establishes foundational mechanisms for call identification control that impact cross-border data transfers involving telecommunications services, particularly regarding subscriber data privacy and call metadata handling.</t>
        </is>
      </c>
      <c r="M1938" s="11" t="inlineStr">
        <is>
          <t>• [Must] Provider must give users means to prevent calling line identification on a call-by-call basis
• [Must] Provider must give subscribers means to prevent calling line identification on a per-line basis</t>
        </is>
      </c>
      <c r="N1938" s="11" t="inlineStr">
        <is>
          <t>• [Must] Provider must provide facilities for connected line identification where available</t>
        </is>
      </c>
      <c r="O1938" s="11" t="inlineStr">
        <is>
          <t>Regulation 10 requires a provider of a public electronic communications service to provide users of the service with a means of preventing the presentation of calling line identification on a call-by-call basis, and to provide subscribers to the service with a means of preventing the presentation of such identification on a per-line basis.</t>
        </is>
      </c>
      <c r="P1938" s="12" t="n">
        <v>87</v>
      </c>
    </row>
    <row r="1939">
      <c r="A1939" t="inlineStr">
        <is>
          <t>United Kingdom</t>
        </is>
      </c>
      <c r="B1939" t="inlineStr">
        <is>
          <t>Senior Managers and Certification Regime (United Kingdom - Row 23)</t>
        </is>
      </c>
      <c r="C1939" t="inlineStr">
        <is>
          <t>p1</t>
        </is>
      </c>
      <c r="D1939" s="11" t="inlineStr">
        <is>
          <t>Senior Managers and Certification Regime framework for accountability</t>
        </is>
      </c>
      <c r="E1939" t="inlineStr">
        <is>
          <t>1–2</t>
        </is>
      </c>
      <c r="F1939" t="inlineStr">
        <is>
          <t>High</t>
        </is>
      </c>
      <c r="G1939" t="inlineStr">
        <is>
          <t>High (explicit)</t>
        </is>
      </c>
      <c r="H1939" s="11" t="inlineStr">
        <is>
          <t>Governance, Record Keeping</t>
        </is>
      </c>
      <c r="I1939" s="11" t="inlineStr">
        <is>
          <t>Customer Data</t>
        </is>
      </c>
      <c r="J1939" t="inlineStr">
        <is>
          <t>FCA</t>
        </is>
      </c>
      <c r="K1939" s="11" t="inlineStr">
        <is>
          <t>The Senior Managers and Certification Regime (SM&amp;CR) establishes a framework to enhance accountability and market integrity by requiring individuals to take personal responsibility for their actions and improving conduct across all organizational levels. It applies to banks, building societies, credit unions, PRA-designated investment firms, insurers, and solo-regulated firms with specific exemptions. The regime does not require structural changes to governance or new hires but focuses on clarifying roles and responsibilities within firms.</t>
        </is>
      </c>
      <c r="L1939" s="11" t="inlineStr"/>
      <c r="M1939" s="11" t="inlineStr">
        <is>
          <t>• [Must] Senior Managers and Certification Regime aims to reduce harm to consumers and strengthen market integrity
• [Must] Encourage staff to take personal responsibility for their actions</t>
        </is>
      </c>
      <c r="N1939" s="11" t="inlineStr">
        <is>
          <t>• [Must] Improve conduct at all levels
• [Must] Make sure firms and staff clearly understand and can show who does what</t>
        </is>
      </c>
      <c r="O1939" s="11" t="inlineStr">
        <is>
          <t>Senior Managers and Certification Regime aims to reduce harm to consumers and strengthen market integrity by making individuals more accountable for their conduct and competence.</t>
        </is>
      </c>
      <c r="P1939" s="12" t="n">
        <v>88</v>
      </c>
    </row>
    <row r="1940">
      <c r="A1940" t="inlineStr">
        <is>
          <t>United Kingdom</t>
        </is>
      </c>
      <c r="B1940" t="inlineStr">
        <is>
          <t>Senior Managers and Certification Regime (United Kingdom - Row 23)</t>
        </is>
      </c>
      <c r="C1940" t="inlineStr">
        <is>
          <t>p2</t>
        </is>
      </c>
      <c r="D1940" s="11" t="inlineStr">
        <is>
          <t>Historical background of Senior Managers and Certification Regime</t>
        </is>
      </c>
      <c r="E1940" t="inlineStr">
        <is>
          <t>2–3</t>
        </is>
      </c>
      <c r="F1940" t="inlineStr">
        <is>
          <t>High</t>
        </is>
      </c>
      <c r="G1940" t="inlineStr">
        <is>
          <t>High (explicit)</t>
        </is>
      </c>
      <c r="H1940" s="11" t="inlineStr">
        <is>
          <t>Governance, Record Keeping</t>
        </is>
      </c>
      <c r="I1940" s="11" t="inlineStr">
        <is>
          <t>Customer Data</t>
        </is>
      </c>
      <c r="J1940" t="inlineStr">
        <is>
          <t>FCA</t>
        </is>
      </c>
      <c r="K1940" s="11" t="inlineStr">
        <is>
          <t>The Senior Managers and Certification Regime was established in response to the 2008 banking crisis and conduct failures like LIBOR manipulation. It was introduced by Parliament in December 2013 to address banking sector standards, initially applying to banks and building societies in March 2016, and later expanded to cover all financial services firms by May 2016. The regime has been reviewed multiple times to assess its effectiveness and impact on organizational accountability.</t>
        </is>
      </c>
      <c r="L1940" s="11" t="inlineStr"/>
      <c r="M1940" s="11" t="inlineStr">
        <is>
          <t>• [Must] Parliament set up the Parliamentary Commission for Banking Standards (PCBS) to recommend ways to improve standards in the banking sector
• [Must] PCBS recommended a new accountability framework focused on senior management
• [Must] Firms take more responsibility for employees being fit and proper</t>
        </is>
      </c>
      <c r="N1940" s="11" t="inlineStr">
        <is>
          <t>• [Must] There be better standards of conduct at all levels in banking firms
• [Must] Parliament passed legislation in December 2013, leading to the FCA and PRA applying the SM&amp;CR to the banking sector from March 2016
• [Must] Parliament made further changes to legislation in May 2016, requiring extension of the regime to all FSMA-authorised firms</t>
        </is>
      </c>
      <c r="O1940" s="11" t="inlineStr">
        <is>
          <t>In response to the 2008 banking crisis and significant conduct failings such as the manipulation of LIBOR, Parliament set up the Parliamentary Commission for Banking Standards (PCBS) to recommend ways to improve standards in the banking sector.</t>
        </is>
      </c>
      <c r="P1940" s="12" t="n">
        <v>88</v>
      </c>
    </row>
    <row r="1941">
      <c r="A1941" t="inlineStr">
        <is>
          <t>United Kingdom</t>
        </is>
      </c>
      <c r="B1941" t="inlineStr">
        <is>
          <t>Senior Managers and Certification Regime (United Kingdom - Row 23)</t>
        </is>
      </c>
      <c r="C1941" t="inlineStr">
        <is>
          <t>p3</t>
        </is>
      </c>
      <c r="D1941" s="11" t="inlineStr">
        <is>
          <t>Links to related Senior Managers and Certification Regime resources</t>
        </is>
      </c>
      <c r="E1941" t="inlineStr">
        <is>
          <t>3</t>
        </is>
      </c>
      <c r="F1941" t="inlineStr">
        <is>
          <t>High</t>
        </is>
      </c>
      <c r="G1941" t="inlineStr">
        <is>
          <t>High (explicit)</t>
        </is>
      </c>
      <c r="H1941" s="11" t="inlineStr">
        <is>
          <t>Governance, Record Keeping</t>
        </is>
      </c>
      <c r="I1941" s="11" t="inlineStr">
        <is>
          <t>Customer Data</t>
        </is>
      </c>
      <c r="J1941" t="inlineStr">
        <is>
          <t>FCA</t>
        </is>
      </c>
      <c r="K1941" s="11" t="inlineStr">
        <is>
          <t>This section provides links to additional resources related to the Senior Managers and Certification Regime, including fitness and propriety frameworks, categorization of solo-regulated firms, culture and governance guidance, and application procedures for senior management roles. These links support firms in understanding and implementing the regime's requirements.</t>
        </is>
      </c>
      <c r="L1941" s="11" t="inlineStr"/>
      <c r="M1941" s="11" t="inlineStr">
        <is>
          <t>• [Must] Links to fitness and propriety frameworks
• [Must] Links to categorization of solo-regulated firms
• [Must] Links to culture and governance guidance
• [Must] Links to search results for senior managers regime</t>
        </is>
      </c>
      <c r="N1941" s="11" t="inlineStr">
        <is>
          <t>• [Must] Links to strengthening accountability initiatives
• [Must] Links to senior management functions application procedures
• [Must] Links to approved persons change and cancellation procedures
• [Must] Links to how the FCA assesses senior management</t>
        </is>
      </c>
      <c r="O1941" s="11" t="inlineStr">
        <is>
          <t>• [7] https://www.fca.org.uk/firms/senior-managers-and-certification-regime/fitness-and-propriety-fp</t>
        </is>
      </c>
      <c r="P1941" s="12" t="n">
        <v>88</v>
      </c>
    </row>
    <row r="1942">
      <c r="A1942" t="inlineStr">
        <is>
          <t>United Kingdom</t>
        </is>
      </c>
      <c r="B1942" t="inlineStr">
        <is>
          <t>cbest-implementation-guide (United Kingdom - Row 30)</t>
        </is>
      </c>
      <c r="C1942" t="inlineStr">
        <is>
          <t>4</t>
        </is>
      </c>
      <c r="D1942" s="11" t="inlineStr">
        <is>
          <t>CBEST process framework for financial institutions</t>
        </is>
      </c>
      <c r="E1942" t="inlineStr">
        <is>
          <t>2–10</t>
        </is>
      </c>
      <c r="F1942" t="inlineStr">
        <is>
          <t>High</t>
        </is>
      </c>
      <c r="G1942" t="inlineStr">
        <is>
          <t>High (explicit)</t>
        </is>
      </c>
      <c r="H1942" s="11" t="inlineStr">
        <is>
          <t>Cross-border Transfer, International Processing, Data Storage, Security, Incident Reporting, Breach Notification, Governance, Record Keeping</t>
        </is>
      </c>
      <c r="I1942" s="11" t="inlineStr">
        <is>
          <t>Personal Information, Financial Data</t>
        </is>
      </c>
      <c r="J1942" t="inlineStr">
        <is>
          <t>Bank of England, Prudential Regulation Authority (PRA), Financial Conduct Authority (FCA)</t>
        </is>
      </c>
      <c r="K1942" s="11" t="inlineStr">
        <is>
          <t>This section outlines the CBEST (Cybersecurity Best Practices for Financial Services) assessment process framework for UK financial institutions and market infrastructures. It details four distinct phases: Initiation, Threat Intelligence, Penetration Testing, and Closure. The framework requires collaboration between regulators, the firm/FMI, Threat Intelligence service providers, and Penetration Testing service providers. It mandates specific roles including a Control Group with a Co-ordinator, and establishes minimum criteria for accredited service providers to ensure the assessment is conducted securely and effectively.</t>
        </is>
      </c>
      <c r="L1942" s="11" t="inlineStr">
        <is>
          <t>This section provides the procedural framework for conducting CBEST assessments, which are critical for evaluating cyber resilience. It specifies the four-phase process, stakeholder responsibilities, and requirements for service providers to ensure assessments are conducted with appropriate security controls and threat intelligence integration.</t>
        </is>
      </c>
      <c r="M1942" s="11" t="inlineStr">
        <is>
          <t>• [Must] CBEST assessment must be conducted when firm/FMI meets specific criteria including regulatory request, internal initiative, or post-incident remediation
• [Must] Regulator must provide guidance and oversight throughout CBEST assessment
• [Must] Control Group must appoint a Co-ordinator responsible for coordination, governance, quality assurance, and project management
• [Must] Control Group must ensure CBEST minimum criteria are met during implementation
• [Must] Threat Intelligence service provider must be CBEST accredited and complete specific tasks including threat intelligence assessment</t>
        </is>
      </c>
      <c r="N1942" s="11" t="inlineStr">
        <is>
          <t>• [Must] Penetration Testing service provider must be CBEST accredited and complete specific tasks including penetration testing execution
• [Must] CBEST assessment must follow a risk-controlled process with documented risk management
• [Must] Secrecy of CBEST assessment must be preserved throughout duration
• [Must] Scope of assessment must represent firm/FMI's important business services
• [Must] CG must ensure effective coordination and communication with external parties</t>
        </is>
      </c>
      <c r="O1942" s="11" t="inlineStr">
        <is>
          <t>CBEST is a targeted assessment that allows regulators and firms to better understand weaknesses and vulnerabilities and take remedial actions, thereby improving the resilience of systemically important firms and by extension, the wider financial system.</t>
        </is>
      </c>
      <c r="P1942" s="12" t="n">
        <v>82</v>
      </c>
    </row>
    <row r="1943">
      <c r="A1943" t="inlineStr">
        <is>
          <t>United Kingdom</t>
        </is>
      </c>
      <c r="B1943" t="inlineStr">
        <is>
          <t>cbest-implementation-guide (United Kingdom - Row 30)</t>
        </is>
      </c>
      <c r="C1943" t="inlineStr">
        <is>
          <t>4 (part 3)</t>
        </is>
      </c>
      <c r="D1943" s="11" t="inlineStr">
        <is>
          <t>CBEST timeline and risk management for financial assessments</t>
        </is>
      </c>
      <c r="E1943" t="inlineStr">
        <is>
          <t>15–24</t>
        </is>
      </c>
      <c r="F1943" t="inlineStr">
        <is>
          <t>High</t>
        </is>
      </c>
      <c r="G1943" t="inlineStr">
        <is>
          <t>High (explicit)</t>
        </is>
      </c>
      <c r="H1943" s="11" t="inlineStr">
        <is>
          <t>Cross-border Transfer</t>
        </is>
      </c>
      <c r="I1943" s="11" t="inlineStr">
        <is>
          <t>Financial Data</t>
        </is>
      </c>
      <c r="J1943" t="inlineStr">
        <is>
          <t>UK Regulators (PRA/BoE/FCA)</t>
        </is>
      </c>
      <c r="K1943" s="11" t="inlineStr">
        <is>
          <t>The CBEST process requires a collaborative approach from all parties with significant overlap between phases. The regulator-led assessment involves the Control Group organizing activities including regulatory meetings and engagement with Threat Intelligence Service Providers (TISP) and Penetration Testing Service Providers (PTSP). The average project duration is 9-12 months, with specific phases including Initiation (~6 weeks), Threat Intelligence (~10 weeks), Penetration Testing (~14 weeks), and Closure (~4 weeks). The Control Group must identify, analyze, and manage risks throughout the assessment to ensure technical and operational control, with specific attention to live testing risks and mitigation measures.</t>
        </is>
      </c>
      <c r="L1943" s="11" t="inlineStr">
        <is>
          <t>This section outlines the timeline and risk management framework for CBEST assessments, emphasizing the need for a controlled, collaborative approach with specific phase durations and risk mitigation strategies to ensure secure and effective cross-border financial system testing.</t>
        </is>
      </c>
      <c r="M1943" s="11" t="inlineStr">
        <is>
          <t>• [Must] CBEST process requires collaborative approach from all parties with significant overlap between phase stages
• [Must] Control Group organizes regulatory meetings and engagement with TISP and PTSP throughout all phases
• [Must] Average CBEST project duration is 9-12 months with specific phase estimates
• [Must] Control Group must identify, analyze, and manage risks that could negatively impact CBEST assessment
• [Must] Control Group must plan and implement mitigating actions for identified risks
• [Must] Control Group must ensure risks are reduced through advanced planning, clear scope definition, and predefined escalation procedures</t>
        </is>
      </c>
      <c r="N1943" s="11" t="inlineStr">
        <is>
          <t>• [Must] Control Group must complete dedicated CBEST risk assessment prior to assessment commencement
• [Must] Control Group must regularly review and update mitigating measures throughout the process
• [Must] Control Group must maintain technical and operational control of CBEST throughout all phases
• [Must] Control Group must assign project code name unrelated to organization name for confidentiality
• [Must] CBEST deliverables must not contain sensitive information like personally identifiable information or technical details</t>
        </is>
      </c>
      <c r="O1943" s="11" t="inlineStr">
        <is>
          <t>CBEST process requires a collaborative approach from all parties and, in practice, there is often a significant overlap between the phase stages. Although CBEST is a regulator-led assessment, the CG organises all activities including regulatory meetings and engagement with the TISP and PTSP throughout all phases and ensures the agenda aligns with all the guidelines set in this Implementation Guide.</t>
        </is>
      </c>
      <c r="P1943" s="12" t="n">
        <v>82</v>
      </c>
    </row>
    <row r="1944">
      <c r="A1944" t="inlineStr">
        <is>
          <t>United Kingdom</t>
        </is>
      </c>
      <c r="B1944" t="inlineStr">
        <is>
          <t>cbest-implementation-guide (United Kingdom - Row 30)</t>
        </is>
      </c>
      <c r="C1944" t="inlineStr">
        <is>
          <t>4 (part 4)</t>
        </is>
      </c>
      <c r="D1944" s="11" t="inlineStr">
        <is>
          <t>CBEST service provider accreditation and certification requirements</t>
        </is>
      </c>
      <c r="E1944" t="inlineStr">
        <is>
          <t>24–28</t>
        </is>
      </c>
      <c r="F1944" t="inlineStr">
        <is>
          <t>High</t>
        </is>
      </c>
      <c r="G1944" t="inlineStr">
        <is>
          <t>High (explicit)</t>
        </is>
      </c>
      <c r="H1944" s="11" t="inlineStr">
        <is>
          <t>Cross-border Transfer</t>
        </is>
      </c>
      <c r="I1944" s="11" t="inlineStr">
        <is>
          <t>Financial Data</t>
        </is>
      </c>
      <c r="J1944" t="inlineStr">
        <is>
          <t>CREST</t>
        </is>
      </c>
      <c r="K1944" s="11" t="inlineStr">
        <is>
          <t>The CBEST process requires accredited service providers who must be members of CREST and hold specific certifications. For Threat Intelligence Service Providers (TISP), CREST Certified Threat Intelligence Managers (CCTIM) are required, while Penetration Testing Service Providers (PTSP) must employ CREST Certified Simulated Attack Managers (CCSAM) and Specialists (CCSAS). These certifications ensure technical competence and adherence to strict codes of conduct. Service providers must report any manipulation of the CBEST process to regulators or CREST, and the participant firm must verify provider accreditation and compliance with legal requirements.</t>
        </is>
      </c>
      <c r="L1944" s="11" t="inlineStr">
        <is>
          <t>This section specifies the accreditation and certification requirements for CBEST service providers, ensuring technical competence and adherence to strict codes of conduct to maintain the integrity of cross-border financial system assessments.</t>
        </is>
      </c>
      <c r="M1944" s="11" t="inlineStr">
        <is>
          <t>• [Must] CBEST service providers must be accredited by the Bank of England
• [Must] Service providers must be members of CREST
• [Must] Service providers must abide by strict and enforceable codes of conduct
• [Must] Service providers must report any manipulation of the CBEST process to CREST for investigation
• [Must] Participant firms must alert regulators if service providers lose CBEST-supplier status</t>
        </is>
      </c>
      <c r="N1944" s="11" t="inlineStr">
        <is>
          <t>• [Must] Service providers must report to regulators if they suspect manipulation by the participant firm
• [Must] TISP must employ CREST Certified Threat Intelligence Managers (CCTIM)
• [Must] PTSP must employ CREST Certified Simulated Attack Managers (CCSAM) and Specialists (CCSAS)
• [Must] Certified individuals sign off all major activities and deliverables on behalf of service providers</t>
        </is>
      </c>
      <c r="O1944" s="11" t="inlineStr">
        <is>
          <t>CBEST service providers are professional cyber security services suppliers that will have gone through an accreditation process that is undertaken by the Bank of England. Service providers must be accredited in order to conduct the threat intelligence, penetration testing and reporting elements of the CBEST.</t>
        </is>
      </c>
      <c r="P1944" s="12" t="n">
        <v>82</v>
      </c>
    </row>
    <row r="1945">
      <c r="A1945" t="inlineStr">
        <is>
          <t>United Kingdom</t>
        </is>
      </c>
      <c r="B1945" t="inlineStr">
        <is>
          <t>cbest-implementation-guide (United Kingdom - Row 30)</t>
        </is>
      </c>
      <c r="C1945" t="inlineStr">
        <is>
          <t>4 (part 5)</t>
        </is>
      </c>
      <c r="D1945" s="11" t="inlineStr">
        <is>
          <t>CBEST threat intelligence phase requirements</t>
        </is>
      </c>
      <c r="E1945" t="inlineStr">
        <is>
          <t>28–34</t>
        </is>
      </c>
      <c r="F1945" t="inlineStr">
        <is>
          <t>High</t>
        </is>
      </c>
      <c r="G1945" t="inlineStr">
        <is>
          <t>High (explicit)</t>
        </is>
      </c>
      <c r="H1945" s="11" t="inlineStr"/>
      <c r="I1945" s="11" t="inlineStr">
        <is>
          <t>Financial Data</t>
        </is>
      </c>
      <c r="J1945" t="inlineStr">
        <is>
          <t>CBEST (UK)</t>
        </is>
      </c>
      <c r="K1945" s="11" t="inlineStr">
        <is>
          <t>This section details the Threat Intelligence phase of the CBEST process, where the Threat Intelligence Service Provider (TISP) collects, analyzes, and disseminates intelligence to develop threat scenarios. The phase involves targeting exercises, threat intelligence gathering, scenario development, and handover to the Penetration Testing Service Provider (PTSP). The TISP produces a Threat Intelligence Report and Targeting Report, which inform the Penetration Test Plan. The regulator facilitates a Validation workshop to review and finalize these reports before proceeding to the Penetration Testing phase.</t>
        </is>
      </c>
      <c r="L1945" s="11" t="inlineStr">
        <is>
          <t>This phase establishes threat intelligence requirements that must be met before penetration testing, ensuring realistic scenarios are developed for cross-border data security assessments. It mandates specific intelligence gathering and scenario development steps to validate vulnerabilities before testing.</t>
        </is>
      </c>
      <c r="M1945" s="11" t="inlineStr">
        <is>
          <t>• [Must] TISP produces an IBS-focused Threat Intelligence Plan
• [Must] TISP develops threat scenarios based on real-world threat actors and open-source intelligence
• [Must] TISP creates a Targeting Report identifying attack surfaces across the firm/FMI
• [Must] TISP produces a Threat Intelligence Report summarizing key threats and potential scenarios</t>
        </is>
      </c>
      <c r="N1945" s="11" t="inlineStr">
        <is>
          <t>• [Must] PTSP transforms threat scenarios into a draft Penetration Test Plan
• [Must] TISP and PTSP collaborate to map attack paths using frameworks like MITRE ATT&amp;CK
• [Must] Regulator facilitates a Validation workshop to review reports and draft Penetration Test Plan
• [Must] TISP and PTSP agree on operationalization of scenarios before handover</t>
        </is>
      </c>
      <c r="O1945" s="11" t="inlineStr">
        <is>
          <t>The TISP produces an IBS-focused Threat Intelligence Plan produced by the TISP. The TI plan is delivered to the firm/FMI who will then refer to it when discussing scheduling matters with the regulator.</t>
        </is>
      </c>
      <c r="P1945" s="12" t="n">
        <v>82</v>
      </c>
    </row>
    <row r="1946">
      <c r="A1946" t="inlineStr">
        <is>
          <t>United Kingdom</t>
        </is>
      </c>
      <c r="B1946" t="inlineStr">
        <is>
          <t>cbest-implementation-guide (United Kingdom - Row 30)</t>
        </is>
      </c>
      <c r="C1946" t="inlineStr">
        <is>
          <t>4 (part 7)</t>
        </is>
      </c>
      <c r="D1946" s="11" t="inlineStr">
        <is>
          <t>Threat Intelligence Maturity Assessment for Cyber Security</t>
        </is>
      </c>
      <c r="E1946" t="inlineStr">
        <is>
          <t>38–44</t>
        </is>
      </c>
      <c r="F1946" t="inlineStr">
        <is>
          <t>High</t>
        </is>
      </c>
      <c r="G1946" t="inlineStr">
        <is>
          <t>High (explicit)</t>
        </is>
      </c>
      <c r="H1946" s="11" t="inlineStr"/>
      <c r="I1946" s="11" t="inlineStr">
        <is>
          <t>Personal Information</t>
        </is>
      </c>
      <c r="J1946" t="inlineStr">
        <is>
          <t>CBEST (2024g)</t>
        </is>
      </c>
      <c r="K1946" s="11" t="inlineStr">
        <is>
          <t>The section describes a Threat Intelligence Maturity Assessment (TIMA) conducted by the Threat Intelligence Service Provider (TISP) to evaluate a firm's internal cyber threat intelligence capabilities. The assessment must be completed after a penetration test and involves self-assessment by the firm, use of the CREST Threat Intelligence Maturity Assessment Tool, and review by the TISP. The TIMA feeds into the CBEST Review workshop to inform remediation planning and provides insights into the firm's cyber security maturity. The process ensures objective evaluation without self-certification and is part of a broader cyber security capability assessment.</t>
        </is>
      </c>
      <c r="L1946" s="11" t="inlineStr">
        <is>
          <t>This section mandates a formal assessment of a firm's threat intelligence maturity using standardized tools, ensuring objective evaluation of cyber security capabilities before penetration testing. It requires evidence-based self-assessment and independent review to identify gaps in threat intelligence functions, directly impacting how data transfers and processing are evaluated across borders for security compliance.</t>
        </is>
      </c>
      <c r="M1946" s="11" t="inlineStr">
        <is>
          <t>• [Must] The firm must identify staff best suited to answer TIMA assessment questions
• [May] The firm may draw in third-party staff of appropriate seniority and expertise if TI functions are outsourced
• [Must] The TISP must provide a CREST Certified Threat Intelligence Manager (CCTIM) to conduct the assessment
• [Must] The firm must self-assess capability for each Capability Indicator (CI) and gather supporting evidence</t>
        </is>
      </c>
      <c r="N1946" s="11" t="inlineStr">
        <is>
          <t>• [Must] The TISP must review and challenge firm scores based on expected maturity for similar firms
• [Must] The TISP must provide an Intelligence Assessment Report summarizing findings and recommendations
• [Must] The outcomes must be discussed in the final CBEST Review workshop</t>
        </is>
      </c>
      <c r="O1946" s="11" t="inlineStr">
        <is>
          <t>The TISP must provide an accredited CREST Certified Threat Intelligence Manager (CCTIM) (CREST (2024a)) resource to undertake the assessment and validate the evidence presented and the final scores.</t>
        </is>
      </c>
      <c r="P1946" s="12" t="n">
        <v>82</v>
      </c>
    </row>
    <row r="1947">
      <c r="A1947" t="inlineStr">
        <is>
          <t>United Kingdom</t>
        </is>
      </c>
      <c r="B1947" t="inlineStr">
        <is>
          <t>cbest-implementation-guide (United Kingdom - Row 30)</t>
        </is>
      </c>
      <c r="C1947" t="inlineStr">
        <is>
          <t>4 (part 8)</t>
        </is>
      </c>
      <c r="D1947" s="11" t="inlineStr">
        <is>
          <t>Detection and Response Capability Assessment for Cyber Security</t>
        </is>
      </c>
      <c r="E1947" t="inlineStr">
        <is>
          <t>44–50</t>
        </is>
      </c>
      <c r="F1947" t="inlineStr">
        <is>
          <t>High</t>
        </is>
      </c>
      <c r="G1947" t="inlineStr">
        <is>
          <t>High (explicit)</t>
        </is>
      </c>
      <c r="H1947" s="11" t="inlineStr"/>
      <c r="I1947" s="11" t="inlineStr">
        <is>
          <t>Personal Information</t>
        </is>
      </c>
      <c r="J1947" t="inlineStr">
        <is>
          <t>CBEST (2024i)</t>
        </is>
      </c>
      <c r="K1947" s="11" t="inlineStr">
        <is>
          <t>This section outlines the Detection and Response Capability Assessment (D&amp;R Assessment) conducted by the Penetration Testing Service Provider (PTSP) to evaluate a firm's ability to respond to cyber threats following penetration testing. The assessment involves post-testing interviews with the firm's SOC and Incident Response Team, uses the CREST Certified Simulated Attack Manager (CCSAM), and must be completed within two weeks of the penetration test. The D&amp;R Assessment feeds into the CBEST Review workshop to inform remediation planning and provides insights into the firm's incident response capabilities.</t>
        </is>
      </c>
      <c r="L1947" s="11" t="inlineStr">
        <is>
          <t>This section requires a formal assessment of a firm's detection and response capabilities post-penetration testing, ensuring objective evaluation of incident response functions. It directly impacts how data transfers and processing are evaluated across borders by mandating evidence-based assessments of security response mechanisms.</t>
        </is>
      </c>
      <c r="M1947" s="11" t="inlineStr">
        <is>
          <t>• [Must] The firm must identify staff best suited to answer D&amp;R assessment questions
• [Must] The PTSP must provide a CREST Certified Simulated Attack Manager (CCSAM) to conduct the assessment
• [Must] The D&amp;R Assessment must be completed and returned to the regulator within two weeks of penetration test completion</t>
        </is>
      </c>
      <c r="N1947" s="11" t="inlineStr">
        <is>
          <t>• [Must] The PTSP must conduct post-testing interviews with the firm's SOC and Incident Response Team
• [Must] The D&amp;R Assessment must be delivered to the firm and regulator simultaneously</t>
        </is>
      </c>
      <c r="O1947" s="11" t="inlineStr">
        <is>
          <t>The output of this activity is the Detection &amp; Response Capability Assessment produced by the PTSP for simultaneous delivery to the firm/FMI.</t>
        </is>
      </c>
      <c r="P1947" s="12" t="n">
        <v>82</v>
      </c>
    </row>
    <row r="1948">
      <c r="A1948" t="inlineStr">
        <is>
          <t>United Kingdom</t>
        </is>
      </c>
      <c r="B1948" t="inlineStr">
        <is>
          <t>cbest-implementation-guide (United Kingdom - Row 30)</t>
        </is>
      </c>
      <c r="C1948" t="inlineStr">
        <is>
          <t>4 (part 9)</t>
        </is>
      </c>
      <c r="D1948" s="11" t="inlineStr">
        <is>
          <t>Post-CBEST thematic analysis report compilation</t>
        </is>
      </c>
      <c r="E1948" t="inlineStr">
        <is>
          <t>50–59</t>
        </is>
      </c>
      <c r="F1948" t="inlineStr">
        <is>
          <t>High</t>
        </is>
      </c>
      <c r="G1948" t="inlineStr">
        <is>
          <t>High (explicit)</t>
        </is>
      </c>
      <c r="H1948" s="11" t="inlineStr">
        <is>
          <t>Cross-border Transfer, International Processing, Data Storage, Security, Incident Reporting, Breach Notification</t>
        </is>
      </c>
      <c r="I1948" s="11" t="inlineStr">
        <is>
          <t>Personal Information</t>
        </is>
      </c>
      <c r="J1948" t="inlineStr">
        <is>
          <t>PRA, Bank of England</t>
        </is>
      </c>
      <c r="K1948" s="11" t="inlineStr">
        <is>
          <t>The regulator compiles a periodic thematic report based on CBEST assessments, integrating findings from PT reports, Threat Intelligence assessments, Threat Intelligence Maturity Assessments, and Detection &amp; Response Capability Assessments. The report is jointly prepared by the PRA and FCA with input from the NCSC. This anonymized report is shared with non-CBEST participant firms and financial market infrastructure providers to enhance industry-wide cyber resilience through lessons learned from assessments.</t>
        </is>
      </c>
      <c r="L1948" s="11" t="inlineStr">
        <is>
          <t>This section matters for DTIAs as it outlines how thematic analysis of CBEST assessments informs industry-wide cyber resilience improvements, potentially identifying cross-border data handling patterns that require attention in international data transfers.</t>
        </is>
      </c>
      <c r="M1948" s="11" t="inlineStr">
        <is>
          <t>• [Must] Regulator compiles periodic thematic report based on CBEST assessments
• [Must] Report includes thematic analysis from CBEST assessments
• [Must] Report highlights common themes from PT reports, Threat Intelligence assessments, Threat Intelligence Maturity Assessments, and Detection &amp; Response Capability Assessments</t>
        </is>
      </c>
      <c r="N1948" s="11" t="inlineStr">
        <is>
          <t>• [Must] Report is compiled jointly by PRA and FCA with input from NCSC
• [Must] Anonymized report shared with non-CBEST participant firms and FMIs
• [Must] Report aims to improve industry-level cyber resilience through lessons learned</t>
        </is>
      </c>
      <c r="O1948" s="11" t="inlineStr">
        <is>
          <t>The regulator analyses all CBEST assessments and compiles a periodic thematic report based on the thematic findings of all the CBESTs carried out in the relevant period. The report includes a thematic analysis derived from CBEST assessments and highlights any common themes that arise from PT reports, Threat Intelligence assessments, Threat Intelligence Maturity Assessments and Detection &amp; Response Capability Assessments.</t>
        </is>
      </c>
      <c r="P1948" s="12" t="n">
        <v>82</v>
      </c>
    </row>
    <row r="1949">
      <c r="A1949" t="inlineStr">
        <is>
          <t>United Kingdom</t>
        </is>
      </c>
      <c r="B1949" t="inlineStr">
        <is>
          <t>computer misuse act (United Kingdom - Row 2)</t>
        </is>
      </c>
      <c r="C1949" t="inlineStr">
        <is>
          <t>13</t>
        </is>
      </c>
      <c r="D1949" s="11" t="inlineStr">
        <is>
          <t>Sheriff jurisdiction for computer misuse offences</t>
        </is>
      </c>
      <c r="E1949" t="inlineStr">
        <is>
          <t>13–14</t>
        </is>
      </c>
      <c r="F1949" t="inlineStr">
        <is>
          <t>Low</t>
        </is>
      </c>
      <c r="G1949" t="inlineStr">
        <is>
          <t>High (explicit)</t>
        </is>
      </c>
      <c r="H1949" s="11" t="inlineStr">
        <is>
          <t>Cross-border Transfer</t>
        </is>
      </c>
      <c r="I1949" s="11" t="inlineStr">
        <is>
          <t>Personal Information</t>
        </is>
      </c>
      <c r="J1949" t="inlineStr">
        <is>
          <t>Sheriff</t>
        </is>
      </c>
      <c r="K1949" s="11" t="inlineStr">
        <is>
          <t>A sheriff in Scotland may exercise jurisdiction over computer misuse offences if the accused was within the sheriffdom at the time of the unlawful act or if a computer containing unauthorized program or data was within the sheriffdom at that time. The section also specifies jurisdiction for offences under section 3ZA and 3A, including conditions related to the accused's actions and computer location. Jurisdiction extends to offences committed outside Scotland where the accused is apprehended or in custody in a Scottish sheriff court district.</t>
        </is>
      </c>
      <c r="L1949" s="11" t="inlineStr">
        <is>
          <t>This section defines jurisdictional conditions for computer misuse offences in Scotland, relevant for cross-border data processing where the computer or accused is located in Scotland. It impacts DTIAs by establishing geographical scope for jurisdiction over computer-related offences.</t>
        </is>
      </c>
      <c r="M1949" s="11" t="inlineStr">
        <is>
          <t>• [Must] Sheriff has jurisdiction for computer misuse offences if accused was in sheriffdom at time of unlawful act
• [Must] Sheriff has jurisdiction if computer containing unauthorized program or data was in sheriffdom at time of act
• [Must] Sheriff has jurisdiction for offences under section 3ZA if accused was in sheriffdom at time of act</t>
        </is>
      </c>
      <c r="N1949" s="11" t="inlineStr">
        <is>
          <t>• [Must] Sheriff has jurisdiction for offences under section 3A if computer was in sheriffdom at time of act
• [Must] Offence committed outside Scotland may be prosecuted in Scottish sheriff court district where accused is apprehended
• [Must] Offence committed outside Scotland may be prosecuted in Scottish sheriff court district directed by Lord Advocate</t>
        </is>
      </c>
      <c r="O1949" s="11" t="inlineStr">
        <is>
          <t>A sheriff shall have jurisdiction in respect of an offence under section 1 or 2 above if— (a) the accused was in the sheriffdom at the time when he did the act which caused the computer to perform the function; or [F60(b) any computer containing any program or data to which the accused by doing that act secured or intended to secure unauthorised access, or enabled or intended to enable unauthorised access to be secured, was in the sheriffdom at that time.]</t>
        </is>
      </c>
      <c r="P1949" s="12" t="n">
        <v>83</v>
      </c>
    </row>
    <row r="1950">
      <c r="A1950" t="inlineStr">
        <is>
          <t>United Kingdom</t>
        </is>
      </c>
      <c r="B1950" t="inlineStr">
        <is>
          <t>computer misuse act (United Kingdom - Row 2)</t>
        </is>
      </c>
      <c r="C1950" t="inlineStr">
        <is>
          <t>17</t>
        </is>
      </c>
      <c r="D1950" s="11" t="inlineStr">
        <is>
          <t>Definition of unauthorized computer access</t>
        </is>
      </c>
      <c r="E1950" t="inlineStr">
        <is>
          <t>17–19</t>
        </is>
      </c>
      <c r="F1950" t="inlineStr">
        <is>
          <t>Low</t>
        </is>
      </c>
      <c r="G1950" t="inlineStr">
        <is>
          <t>High (explicit)</t>
        </is>
      </c>
      <c r="H1950" s="11" t="inlineStr">
        <is>
          <t>Access Control, Data Storage</t>
        </is>
      </c>
      <c r="I1950" s="11" t="inlineStr">
        <is>
          <t>Personal Information</t>
        </is>
      </c>
      <c r="J1950" t="inlineStr"/>
      <c r="K1950" s="11" t="inlineStr">
        <is>
          <t>This section defines what constitutes unauthorized access to computer programs or data, including conditions for altering, copying, moving, using, or outputting data. It specifies that unauthorized access occurs when a person is not entitled to control access or lacks consent from someone entitled to control access. The section also clarifies that access to removable storage media within a computer is included and that a series of acts constitutes an 'act' for jurisdiction purposes.</t>
        </is>
      </c>
      <c r="L1950" s="11" t="inlineStr">
        <is>
          <t>This section provides critical definitions for unauthorized access to computer data, directly relevant to DTIAs by establishing what constitutes unauthorized access and how it applies to data transfers across jurisdictions.</t>
        </is>
      </c>
      <c r="M1950" s="11" t="inlineStr">
        <is>
          <t>• [Must] A person secures access to program or data if they alter, erase, copy, move, use, or output it
• [Must] Using a program requires causing it to be executed or being a function of the program
• [Must] Output of program instructions is immaterial as long as they can be executed or processed</t>
        </is>
      </c>
      <c r="N1950" s="11" t="inlineStr">
        <is>
          <t>• [Must] Access is unauthorized if person is not entitled to control access or lacks consent from entitled person
• [Must] References to program include parts of a program</t>
        </is>
      </c>
      <c r="O1950" s="11" t="inlineStr">
        <is>
          <t>A person secures access to any program or data held in a computer if by causing a computer to perform any function he— (a) alters or erases the program or data; (b) copies or moves it to any storage medium other than that in which it is held or to a different location in the storage medium in which it is held; (c) uses it; or (d) has it output from the computer in which it is held (whether by having it displayed or in any other manner);</t>
        </is>
      </c>
      <c r="P1950" s="12" t="n">
        <v>83</v>
      </c>
    </row>
    <row r="1951">
      <c r="A1951" t="inlineStr">
        <is>
          <t>United Kingdom</t>
        </is>
      </c>
      <c r="B1951" t="inlineStr">
        <is>
          <t>ss221-march-21 (United Kingdom - Row 28)</t>
        </is>
      </c>
      <c r="C1951" t="inlineStr">
        <is>
          <t>1</t>
        </is>
      </c>
      <c r="D1951" s="11" t="inlineStr">
        <is>
          <t>Superseded PRA outsourcing and third party risk management expectations</t>
        </is>
      </c>
      <c r="E1951" t="inlineStr">
        <is>
          <t>3–7</t>
        </is>
      </c>
      <c r="F1951" t="inlineStr">
        <is>
          <t>High</t>
        </is>
      </c>
      <c r="G1951" t="inlineStr">
        <is>
          <t>High (explicit)</t>
        </is>
      </c>
      <c r="H1951" s="11" t="inlineStr">
        <is>
          <t>Outsourcing, Third Party Processing, Cloud Services</t>
        </is>
      </c>
      <c r="I1951" s="11" t="inlineStr">
        <is>
          <t>Personal Information, Financial Data</t>
        </is>
      </c>
      <c r="J1951" t="inlineStr">
        <is>
          <t>Prudential Regulation Authority (PRA)</t>
        </is>
      </c>
      <c r="K1951" s="11" t="inlineStr">
        <is>
          <t>This section establishes the Prudential Regulation Authority's (PRA) expectations for how PRA-regulated firms should manage outsourcing and third party risk. It defines key terms, outlines the scope of applicability to banks, insurers, and third-country branches, and specifies compliance deadlines. The document also references international standards and guidelines to ensure alignment with operational resilience and risk management practices.</t>
        </is>
      </c>
      <c r="L1951" s="11" t="inlineStr">
        <is>
          <t>This section sets the baseline expectations for outsourcing and third party risk management that firms must follow, directly impacting how data transfers and processing activities are structured with external providers.</t>
        </is>
      </c>
      <c r="M1951" s="11" t="inlineStr">
        <is>
          <t>• [Must] PRA-regulated firms must comply with the expectations in this Supervisory Statement by Thursday 31 March 2022
• [Must] Firms must review and update legacy outsourcing agreements entered into before Wednesday 31 March 2021 at the first appropriate contractual renewal point to meet the expectations in this SS
• [Must] The PRA expects firms to apply adequate governance and controls to all third party dependencies that can impact statutory objectives</t>
        </is>
      </c>
      <c r="N1951" s="11" t="inlineStr">
        <is>
          <t>• [Must] Firms must assess materiality and risks of third party arrangements irrespective of whether they fall under outsourcing definition
• [Must] Firms must implement proportionate, risk-based controls for material or high-risk third party arrangements</t>
        </is>
      </c>
      <c r="O1951" s="11" t="inlineStr">
        <is>
          <t>This SS is relevant to all: UK banks, building societies, and PRA-designated investment firms (hereafter banks); insurance and reinsurance firms and groups in scope of Solvency II, including the Society of Lloyd's and managing agents (hereafter insurers); and UK branches of overseas banks and insurers (hereafter third-country branches).</t>
        </is>
      </c>
      <c r="P1951" s="12" t="n">
        <v>89</v>
      </c>
    </row>
    <row r="1952">
      <c r="A1952" t="inlineStr">
        <is>
          <t>United Kingdom</t>
        </is>
      </c>
      <c r="B1952" t="inlineStr">
        <is>
          <t>ss221-march-21 (United Kingdom - Row 28)</t>
        </is>
      </c>
      <c r="C1952" t="inlineStr">
        <is>
          <t>3</t>
        </is>
      </c>
      <c r="D1952" s="11" t="inlineStr">
        <is>
          <t>Proportionate risk management for intragroup outsourcing arrangements</t>
        </is>
      </c>
      <c r="E1952" t="inlineStr">
        <is>
          <t>10–14</t>
        </is>
      </c>
      <c r="F1952" t="inlineStr">
        <is>
          <t>High</t>
        </is>
      </c>
      <c r="G1952" t="inlineStr">
        <is>
          <t>Medium (merged from chunks)</t>
        </is>
      </c>
      <c r="H1952" s="11" t="inlineStr">
        <is>
          <t>Third Party Processing, Governance, Cross-border Transfer, Outsourcing</t>
        </is>
      </c>
      <c r="I1952" s="11" t="inlineStr">
        <is>
          <t>Personal Information, Financial Data</t>
        </is>
      </c>
      <c r="J1952" t="inlineStr">
        <is>
          <t>PRA</t>
        </is>
      </c>
      <c r="K1952" s="11" t="inlineStr">
        <is>
          <t>Firms must assess outsourcing risks based on their size, internal structure, activity complexity, and the criticality of outsourced functions, applying proportionality principles. Materiality evaluates potential impacts on operational resilience, regulatory compliance, and policyholder protection. Firms must periodically reassess proportionality and materiality as they evolve over time. The PRA requires third-country branches to maintain documented lists of intragroup outsourcing arrangements, identifying material ones. This applies to firms previously operating under passporting in the UK. The requirements aim to ensure effective risk management for branches deemed systemic due to potential financial stability impacts.</t>
        </is>
      </c>
      <c r="L1952" s="11" t="inlineStr">
        <is>
          <t>Intragroup outsourcing requires equivalent risk management as external outsourcing, with proportionate adjustments based on control and influence levels. This affects cross-border data transfers by mandating robust oversight mechanisms for group-level data handling. Third-country branches must document material outsourcing arrangements to manage cross-border risks and ensure resilience, directly impacting data transfer impact assessments for financial institutions.</t>
        </is>
      </c>
      <c r="M1952" s="11" t="inlineStr">
        <is>
          <t>• [Must] Firms must meet expectations in this SS proportionally based on size, internal organisation, activity complexity, and outsourced function criticality
• [Must] Materiality assesses potential impacts on operational resilience, regulatory compliance, and policyholder protection
• [Must] Firms must periodically reassess proportionality and materiality as they evolve
• [Must] Intragroup outsourcing is subject to same requirements as external outsourcing and not inherently less risky
• [May] Firms may comply proportionately with requirements based on level of control and influence over the service provider
• [Must] Control and influence depends on group governance structure, senior management allocation, ability to alter arrangements, and group-wide standards
• [May] Firms may adjust vendor due diligence for intragroup providers while ensuring capacity and organisational structure
• [May] A single notification may suffice for UK consolidated groups covering multiple firms</t>
        </is>
      </c>
      <c r="N1952" s="11" t="inlineStr">
        <is>
          <t>• [May] Firms may rely on group-wide negotiating power for external third parties
• [May] Firms may adapt outsourcing agreements clauses while maintaining UK regulatory compliance
• [May] Firms may rely on group policies and procedures for risk management if compliant with UK obligations
• [May] Firms may use centralised group processes for overseeing external third parties with legal entity-specific risk mitigation
• [May] Firms may rely on group-level business continuity and contingency plans for operational resilience
• [Must] Third-country branches must maintain a clear, documented list of intragroup outsourcing arrangements
• [Must] Identify material intragroup outsourcing arrangements within the list</t>
        </is>
      </c>
      <c r="O1952" s="11" t="inlineStr">
        <is>
          <t>Firms should meet the expectations in this SS in a manner appropriate to: their size and internal organisation; the nature, scope, and complexity of their activities; and the criticality or importance of the outsourced function, in line with the principle of proportionality.</t>
        </is>
      </c>
      <c r="P1952" s="12" t="n">
        <v>89</v>
      </c>
    </row>
    <row r="1953">
      <c r="A1953" t="inlineStr">
        <is>
          <t>United Kingdom</t>
        </is>
      </c>
      <c r="B1953" t="inlineStr">
        <is>
          <t>ss221-march-21 (United Kingdom - Row 28)</t>
        </is>
      </c>
      <c r="C1953" t="inlineStr">
        <is>
          <t>3 (part 2)</t>
        </is>
      </c>
      <c r="D1953" s="11" t="inlineStr">
        <is>
          <t>Intragroup outsourcing risk management and oversight</t>
        </is>
      </c>
      <c r="E1953" t="inlineStr">
        <is>
          <t>14</t>
        </is>
      </c>
      <c r="F1953" t="inlineStr">
        <is>
          <t>High</t>
        </is>
      </c>
      <c r="G1953" t="inlineStr">
        <is>
          <t>High (explicit)</t>
        </is>
      </c>
      <c r="H1953" s="11" t="inlineStr">
        <is>
          <t>Third Party Processing, Cloud Services, Incident Reporting, Breach Notification</t>
        </is>
      </c>
      <c r="I1953" s="11" t="inlineStr">
        <is>
          <t>Personal Information</t>
        </is>
      </c>
      <c r="J1953" t="inlineStr">
        <is>
          <t>PRA</t>
        </is>
      </c>
      <c r="K1953" s="11" t="inlineStr">
        <is>
          <t>Firms must maintain documented written agreements for material intragroup outsourcing arrangements, including service level agreements and key performance indicators. They must also implement robust monitoring and oversight mechanisms to track material sub-outsourced service providers and supply chains. Additionally, firms need effective processes for escalating concerns and regulatory feedback related to these arrangements to the whole firm or group.</t>
        </is>
      </c>
      <c r="L1953" s="11" t="inlineStr">
        <is>
          <t>This section mandates specific oversight mechanisms for intragroup outsourcing arrangements, requiring firms to document agreements, monitor supply chains, and establish escalation protocols to ensure resilience and regulatory compliance during cross-border data transfers.</t>
        </is>
      </c>
      <c r="M1953" s="11" t="inlineStr">
        <is>
          <t>• [Must] Documented written agreements for all material intragroup outsourcing arrangements
• [Must] Service level agreements and key performance indicators for material intragroup outsourcing arrangements
• [Must] Appropriate monitoring and oversight of intragroup outsourcing arrangements</t>
        </is>
      </c>
      <c r="N1953" s="11" t="inlineStr">
        <is>
          <t>• [Must] Visibility of whole firm's or parent's material sub-outsourced service providers and supply chains
• [Must] Effective processes for escalating concerns, issues, and regulatory feedback to whole firm or group</t>
        </is>
      </c>
      <c r="O1953" s="11" t="inlineStr">
        <is>
          <t>documented written agreements, such as service level agreements, for all intragroup outsourcing arrangements (in particular those deemed material), setting out expected service levels and key performance indicators (KPIs);</t>
        </is>
      </c>
      <c r="P1953" s="12" t="n">
        <v>89</v>
      </c>
    </row>
    <row r="1954">
      <c r="A1954" t="inlineStr">
        <is>
          <t>United Kingdom</t>
        </is>
      </c>
      <c r="B1954" t="inlineStr">
        <is>
          <t>ss221-march-21 (United Kingdom - Row 28)</t>
        </is>
      </c>
      <c r="C1954" t="inlineStr">
        <is>
          <t>4</t>
        </is>
      </c>
      <c r="D1954" s="11" t="inlineStr">
        <is>
          <t>Board oversight of outsourcing responsibilities and risk management</t>
        </is>
      </c>
      <c r="E1954" t="inlineStr">
        <is>
          <t>14–19</t>
        </is>
      </c>
      <c r="F1954" t="inlineStr">
        <is>
          <t>High</t>
        </is>
      </c>
      <c r="G1954" t="inlineStr">
        <is>
          <t>Medium (merged from chunks)</t>
        </is>
      </c>
      <c r="H1954" s="11" t="inlineStr">
        <is>
          <t>Outsourcing, Record Keeping</t>
        </is>
      </c>
      <c r="I1954" s="11" t="inlineStr">
        <is>
          <t>Personal Information, Customer Data, Employee Data</t>
        </is>
      </c>
      <c r="J1954" t="inlineStr">
        <is>
          <t>PRA</t>
        </is>
      </c>
      <c r="K1954" s="11" t="inlineStr">
        <is>
          <t>Firms must ensure their boards actively engage with outsourcing risks, including setting control environments, identifying critical service provider dependencies, and maintaining robust risk management systems. Boards remain fully accountable for regulatory compliance even when outsourcing responsibilities to third parties. This applies to all firms subject to PRA supervision, including banks and insurers. Firms must maintain records of material outsourcing arrangements to comply with PRA expectations. These records should support concentration risk assessments and enable the firm to manage service interruptions during potential outsourcing agreement terminations. The records are required to be sufficient for fulfilling PRA expectations under section 5.24 of the Rulebook.</t>
        </is>
      </c>
      <c r="L1954" s="11" t="inlineStr">
        <is>
          <t>This section mandates board-level oversight of outsourcing arrangements, requiring firms to define responsibilities, assess risks, and maintain records for cross-border data transfers involving third parties. Critical for DTIAs involving cloud services or international service providers. This section requires firms to maintain detailed records of outsourcing arrangements to assess concentration risk and manage potential service interruptions during unexpected termination of agreements, which is critical for DTIA when evaluating third-party risks.</t>
        </is>
      </c>
      <c r="M1954" s="11" t="inlineStr">
        <is>
          <t>• [Must] Boards must set control environment including outsourcing appetite and tolerance levels
• [Must] Boards must identify and understand firm's reliance on critical service providers
• [Must] Boards must ensure effective risk management systems for outsourced service providers
• [Must] Boards remain fully accountable for regulatory compliance in outsourcing arrangements</t>
        </is>
      </c>
      <c r="N1954" s="11" t="inlineStr">
        <is>
          <t>• [Must] Firms must keep appropriate records of material outsourcing arrangements
• [Must] Records should be sufficient to enable the firm to fulfil concentration risk expectations
• [Should] Firms should make information on outsourcing arrangements available for PRA review</t>
        </is>
      </c>
      <c r="O1954" s="11" t="inlineStr">
        <is>
          <t>Boards and senior management, in particular individuals performing SMFs, cannot outsource their responsibilities. Firms that enter into outsourcing arrangements remain fully accountable for complying with all their regulatory obligations.</t>
        </is>
      </c>
      <c r="P1954" s="12" t="n">
        <v>89</v>
      </c>
    </row>
    <row r="1955">
      <c r="A1955" t="inlineStr">
        <is>
          <t>United Kingdom</t>
        </is>
      </c>
      <c r="B1955" t="inlineStr">
        <is>
          <t>ss221-march-21 (United Kingdom - Row 28)</t>
        </is>
      </c>
      <c r="C1955" t="inlineStr">
        <is>
          <t>4 (part 2)</t>
        </is>
      </c>
      <c r="D1955" s="11" t="inlineStr">
        <is>
          <t>PRA oversight of third-party arrangements impacting financial stability</t>
        </is>
      </c>
      <c r="E1955" t="inlineStr">
        <is>
          <t>19</t>
        </is>
      </c>
      <c r="F1955" t="inlineStr">
        <is>
          <t>High</t>
        </is>
      </c>
      <c r="G1955" t="inlineStr">
        <is>
          <t>High (explicit)</t>
        </is>
      </c>
      <c r="H1955" s="11" t="inlineStr">
        <is>
          <t>Third Party Processing, Cloud Services, Incident Reporting, Breach Notification</t>
        </is>
      </c>
      <c r="I1955" s="11" t="inlineStr">
        <is>
          <t>Personal Information</t>
        </is>
      </c>
      <c r="J1955" t="inlineStr">
        <is>
          <t>PRA</t>
        </is>
      </c>
      <c r="K1955" s="11" t="inlineStr">
        <is>
          <t>The PRA requires firms to maintain detailed records of third-party arrangements that could impact UK financial stability, including material outsourcing arrangements. Firms must provide the PRA with notice of significant changes to these arrangements, and the PRA may request additional data on outsourcing arrangements under section 165 of FSMA if necessary.</t>
        </is>
      </c>
      <c r="L1955" s="11" t="inlineStr">
        <is>
          <t>This section specifies that firms must notify the PRA of material third-party arrangements that could affect financial stability, ensuring transparency and regulatory oversight for cross-border data transfers involving critical financial services.</t>
        </is>
      </c>
      <c r="M1955" s="11" t="inlineStr">
        <is>
          <t>• [Must] Maintain up-to-date register of all outsourcing arrangements, distinguishing material and non-material</t>
        </is>
      </c>
      <c r="N1955" s="11" t="inlineStr">
        <is>
          <t>• [Must] Maintain cloud outsourcing arrangements register (Cloud Register) as per EBA Cloud Recommendations</t>
        </is>
      </c>
      <c r="O1955" s="11" t="inlineStr">
        <is>
          <t>third party arrangements of which the PRA would reasonably expect notice available to it in accordance with Fundamental Rule 7</t>
        </is>
      </c>
      <c r="P1955" s="12" t="n">
        <v>89</v>
      </c>
    </row>
    <row r="1956">
      <c r="A1956" t="inlineStr">
        <is>
          <t>United Kingdom</t>
        </is>
      </c>
      <c r="B1956" t="inlineStr">
        <is>
          <t>ss221-march-21 (United Kingdom - Row 28)</t>
        </is>
      </c>
      <c r="C1956" t="inlineStr">
        <is>
          <t>5</t>
        </is>
      </c>
      <c r="D1956" s="11" t="inlineStr">
        <is>
          <t>Materiality assessment for third-party arrangements</t>
        </is>
      </c>
      <c r="E1956" t="inlineStr">
        <is>
          <t>19–23</t>
        </is>
      </c>
      <c r="F1956" t="inlineStr">
        <is>
          <t>High</t>
        </is>
      </c>
      <c r="G1956" t="inlineStr">
        <is>
          <t>High (explicit)</t>
        </is>
      </c>
      <c r="H1956" s="11" t="inlineStr">
        <is>
          <t>Third Party Processing, Cloud Services, Incident Reporting, Breach Notification</t>
        </is>
      </c>
      <c r="I1956" s="11" t="inlineStr">
        <is>
          <t>Personal Information</t>
        </is>
      </c>
      <c r="J1956" t="inlineStr">
        <is>
          <t>PRA</t>
        </is>
      </c>
      <c r="K1956" s="11" t="inlineStr">
        <is>
          <t>Firms must determine the materiality of all third-party arrangements, perform due diligence on potential service providers, and assess risks for each arrangement regardless of materiality. Materiality is defined as outsourcing services of such importance that failure would cast serious doubt on the firm's ability to meet Threshold Conditions or comply with Fundamental Rules.</t>
        </is>
      </c>
      <c r="L1956" s="11" t="inlineStr">
        <is>
          <t>This section establishes materiality criteria for third-party arrangements, which directly impacts data transfer impact assessments by requiring firms to evaluate risks associated with outsourcing and third-party services that could affect financial stability or regulatory compliance.</t>
        </is>
      </c>
      <c r="M1956" s="11" t="inlineStr">
        <is>
          <t>• [Must] Determine materiality of every outsourcing and third party arrangement
• [Must] Perform appropriate and proportionate due diligence on all potential service providers</t>
        </is>
      </c>
      <c r="N1956" s="11" t="inlineStr">
        <is>
          <t>• [Must] Assess risks of every outsourcing arrangement irrespective of materiality</t>
        </is>
      </c>
      <c r="O1956" s="11" t="inlineStr">
        <is>
          <t>determine the materiality of every outsourcing and third party arrangement</t>
        </is>
      </c>
      <c r="P1956" s="12" t="n">
        <v>89</v>
      </c>
    </row>
    <row r="1957">
      <c r="A1957" t="inlineStr">
        <is>
          <t>United Kingdom</t>
        </is>
      </c>
      <c r="B1957" t="inlineStr">
        <is>
          <t>ss221-march-21 (United Kingdom - Row 28)</t>
        </is>
      </c>
      <c r="C1957" t="inlineStr">
        <is>
          <t>6</t>
        </is>
      </c>
      <c r="D1957" s="11" t="inlineStr">
        <is>
          <t>Material outsourcing agreements must include specific contractual safeguards</t>
        </is>
      </c>
      <c r="E1957" t="inlineStr">
        <is>
          <t>24–26</t>
        </is>
      </c>
      <c r="F1957" t="inlineStr">
        <is>
          <t>High</t>
        </is>
      </c>
      <c r="G1957" t="inlineStr">
        <is>
          <t>High (explicit)</t>
        </is>
      </c>
      <c r="H1957" s="11" t="inlineStr">
        <is>
          <t>Outsourcing, Data Storage, Security, Data Sharing, Third Party Processing</t>
        </is>
      </c>
      <c r="I1957" s="11" t="inlineStr">
        <is>
          <t>Personal Information, Financial Data</t>
        </is>
      </c>
      <c r="J1957" t="inlineStr">
        <is>
          <t>PRA</t>
        </is>
      </c>
      <c r="K1957" s="11" t="inlineStr">
        <is>
          <t>Firms must document material outsourcing arrangements in written agreements that specify outsourced functions, service timelines, governing law, financial obligations, sub-outsourcing rules, data locations, security measures, performance metrics, reporting obligations, insurance requirements, contingency plans, and termination rights. These agreements must not impede the PRA's supervisory effectiveness and must include provisions for data access during insolvency. Firms must notify the PRA if service providers cannot meet regulatory obligations.</t>
        </is>
      </c>
      <c r="L1957" s="11" t="inlineStr">
        <is>
          <t>Material outsourcing agreements require detailed contractual safeguards including data location specifications, security measures, performance metrics, and termination rights to ensure data protection and regulatory compliance during cross-border transfers.</t>
        </is>
      </c>
      <c r="M1957" s="11" t="inlineStr">
        <is>
          <t>• [Must] Written agreements for material outsourcing must specify outsourced function description
• [Must] Written agreements must include start date, renewal dates, end dates, and termination notice periods
• [Must] Written agreements must state governing law of the agreement
• [Must] Written agreements must define financial obligations between parties
• [Must] Written agreements must specify whether sub-outsourcing is permitted and conditions
• [Must] Written agreements must state data locations and require advance notice for location changes
• [Must] Written agreements must include data accessibility, availability, integrity, confidentiality, privacy, and safety provisions
• [Must] Written agreements must allow firm to monitor service provider performance through KPIs
• [Must] Written agreements must specify service levels with qualitative and quantitative performance criteria</t>
        </is>
      </c>
      <c r="N1957" s="11" t="inlineStr">
        <is>
          <t>• [Must] Service providers must notify firm of developments affecting service performance
• [Must] Written agreements must specify insurance requirements for certain risks
• [Must] Written agreements must include business contingency plan implementation and testing requirements
• [Must] Written agreements must ensure data access during service provider insolvency
• [Must] Service providers must cooperate with PRA and Bank on information gathering and investigations
• [Must] Banks must reference Bank's resolution powers in agreements
• [Must] Written agreements must allow PRA and Bank to inspect and audit service providers
• [Must] Firms must notify PRA if service providers cannot meet regulatory obligations</t>
        </is>
      </c>
      <c r="O1957" s="11" t="inlineStr">
        <is>
          <t>Superseded. Written agreements for material outsourcing should set out at least: a clear description of the outsourced function, including the type of support services to be provided; the start date, next renewal date, end date, and notice periods regarding termination for the service provider and the firm; the governing law of the agreement; the parties' financial obligations; whether the sub-outsourcing of a material function or part thereof is permitted and, if so, under which conditions; the location(s), ie regions or countries, where the material function or service will be provided, and/or where relevant data will be kept, processed, or transferred, including the possible storage location, and a requirement for the service provider to give reasonable notice to the firm in advance if it proposes to change said location(s); provisions regarding the accessibility, availability, integrity, confidentiality, privacy, and safety of relevant data (see Chapter 7); the right of the firm to monitor the service provider's performance on an ongoing basis (this may be by reference to KPIs); the agreed service levels, which should include qualitative and quantitative performance criteria and allow for timely monitoring, so that appropriate corrective action can be taken if these service levels are not met; the reporting obligations of the service provider to the firm, including a requirement to notify the firm of any development that may have a material or adverse impact on the service provider's ability to effectively perform the material function in line with the agreed service levels and in compliance with applicable laws and regulatory requirements; whether the service provider should take out mandatory insurance against certain risks and, if applicable, the level of insurance cover requested; the requirements for both parties to implement and test business contingency plans. For the firm, these should take account of their impact tolerances for important business services. Where appropriate, both parties should commit to take reasonable steps to support the testing of such plans; provisions to ensure that data owned by the firm can be accessed promptly in the case of the insolvency, resolution, or discontinuation of business operations of the service provider; the obligation of the service provider to co-operate with the PRA and the Bank, as resolution authority, including persons appointed to act on their behalf (see Chapter 8, including the section on the Bank's and PRA's information gathering and investigatory powers); for banks, a clear reference to the Bank's resolution powers, especially under sections 48Z and 70C-D of the Banking Act 2009 (implementing Articles 68 and 71 of Directive 2014/59/EU (BRRD)), and in particular, a description of the 'substantive obligations' of the written agreement in the sense of Article 68 of that Directive; the rights of firms and the PRA to inspect and audit the service provider with regard to the material outsourced function (see Chapter 8); if relevant: appropriate and proportionate information security related objectives and measures, including requirements such as minimum ICT security requirements, specifications of firms' data lifecycles, and any requirements regarding to data security (see Chapter 7), network security, and security monitoring processes; operational and security incident handling procedures, including escalation and reporting; termination rights and exit strategies covering both stressed and non-stressed scenarios, as specified in Chapter 10.</t>
        </is>
      </c>
      <c r="P1957" s="12" t="n">
        <v>89</v>
      </c>
    </row>
    <row r="1958">
      <c r="A1958" t="inlineStr">
        <is>
          <t>United Kingdom</t>
        </is>
      </c>
      <c r="B1958" t="inlineStr">
        <is>
          <t>ss221-march-21 (United Kingdom - Row 28)</t>
        </is>
      </c>
      <c r="C1958" t="inlineStr">
        <is>
          <t>7</t>
        </is>
      </c>
      <c r="D1958" s="11" t="inlineStr">
        <is>
          <t>Data classification and security requirements for outsourced data</t>
        </is>
      </c>
      <c r="E1958" t="inlineStr">
        <is>
          <t>26–29</t>
        </is>
      </c>
      <c r="F1958" t="inlineStr">
        <is>
          <t>High</t>
        </is>
      </c>
      <c r="G1958" t="inlineStr">
        <is>
          <t>High (explicit)</t>
        </is>
      </c>
      <c r="H1958" s="11" t="inlineStr">
        <is>
          <t>Data Storage, Data Sharing, Third Party Processing</t>
        </is>
      </c>
      <c r="I1958" s="11" t="inlineStr">
        <is>
          <t>Personal Information, Financial Data</t>
        </is>
      </c>
      <c r="J1958" t="inlineStr">
        <is>
          <t>PRA</t>
        </is>
      </c>
      <c r="K1958" s="11" t="inlineStr">
        <is>
          <t>Firms must classify data based on confidentiality and sensitivity, identify risks, agree data protection levels, and verify data provenance. The PRA expects firms to implement robust security controls for data in transit, memory, and at rest, including configuration management, encryption, identity access management, insider threat monitoring, and incident response. Firms must also consider data location risks and ensure data accessibility during insolvency.</t>
        </is>
      </c>
      <c r="L1958" s="11" t="inlineStr">
        <is>
          <t>Data classification and security requirements mandate robust technical and organizational controls for outsourced data, including encryption, access management, and incident response, to ensure data protection across borders.</t>
        </is>
      </c>
      <c r="M1958" s="11" t="inlineStr">
        <is>
          <t>• [Must] Firms must classify data based on confidentiality and sensitivity
• [Must] Firms must identify potential risks related to data and their impacts
• [Must] Firms must agree appropriate levels of data availability, confidentiality, and integrity
• [Must] Firms must obtain assurance and documentation on data provenance from third parties
• [Must] Firms must implement robust controls for data-in-transit, data-in-memory, and data-at-rest
• [Must] Firms must implement configuration management for security controls
• [Must] Firms must implement encryption and key management
• [Must] Firms must implement identity and access management with stricter controls for high-risk roles
• [Must] Firms must monitor insider threats through ongoing activity logging</t>
        </is>
      </c>
      <c r="N1958" s="11" t="inlineStr">
        <is>
          <t>• [Must] Firms must implement access and activity logging
• [Must] Firms must implement incident detection and response mechanisms
• [Must] Firms must implement loss prevention and recovery procedures
• [Must] Firms must implement data segregation in multi-tenant environments
• [Must] Firms must configure operating systems, networks, and firewalls
• [Must] Firms must provide staff training on security practices
• [Must] Firms must monitor effectiveness of service provider's security controls
• [Must] Firms must have procedures for data deletion after termination
• [Must] Firms must ensure encryption keys are kept secure by firm or provider</t>
        </is>
      </c>
      <c r="O1958" s="11" t="inlineStr">
        <is>
          <t>Superseded. Firms are responsible for classifying their data. While the PRA does not prescribe a specific taxonomy for data classification, it expects firms to implement appropriate, risk-based technical and organisation measures to protect different classes of data (eg confidential, client, personal, sensitive, transaction) when: developing and implementing their outsourcing policy and other relevant policies and strategies in paragraph 4.10 (business continuity, contingency planning, disaster recovery, ICT, information security, operational resilience, OCIR, and risk management); and sharing data with third parties, including but not limited to as part of an outsourcing arrangement.</t>
        </is>
      </c>
      <c r="P1958" s="12" t="n">
        <v>89</v>
      </c>
    </row>
    <row r="1959">
      <c r="A1959" t="inlineStr">
        <is>
          <t>United Kingdom</t>
        </is>
      </c>
      <c r="B1959" t="inlineStr">
        <is>
          <t>ss221-march-21 (United Kingdom - Row 28)</t>
        </is>
      </c>
      <c r="C1959" t="inlineStr">
        <is>
          <t>8</t>
        </is>
      </c>
      <c r="D1959" s="11" t="inlineStr">
        <is>
          <t>Bank and PRA information gathering powers for outsourced service providers</t>
        </is>
      </c>
      <c r="E1959" t="inlineStr">
        <is>
          <t>29–33</t>
        </is>
      </c>
      <c r="F1959" t="inlineStr">
        <is>
          <t>High</t>
        </is>
      </c>
      <c r="G1959" t="inlineStr">
        <is>
          <t>High (explicit)</t>
        </is>
      </c>
      <c r="H1959" s="11" t="inlineStr">
        <is>
          <t>Access Control, Third Party Processing</t>
        </is>
      </c>
      <c r="I1959" s="11" t="inlineStr">
        <is>
          <t>Financial Data</t>
        </is>
      </c>
      <c r="J1959" t="inlineStr">
        <is>
          <t>Bank of England (Bank) and Prudential Regulation Authority (PRA)</t>
        </is>
      </c>
      <c r="K1959" s="11" t="inlineStr">
        <is>
          <t>The Bank and PRA have statutory powers to gather information from firms and their service providers. These powers include requiring service providers to share information relevant to financial system stability, assisting in reviews, and providing documents. Firms must inform service providers about these powers, though failure to do so does not affect the powers' applicability. The PRA expects firms to ensure service providers cooperate with these powers and provide necessary access for audits and information gathering.</t>
        </is>
      </c>
      <c r="L1959" s="11" t="inlineStr">
        <is>
          <t>This section mandates specific access, audit, and information rights for service providers in material outsourcing arrangements, requiring firms to ensure service providers allow audits, access to data systems, and compliance with regulatory obligations. These rights are critical for assessing and mitigating risks in cross-border data transfers involving third parties.</t>
        </is>
      </c>
      <c r="M1959" s="11" t="inlineStr">
        <is>
          <t>• [Must] The PRA can require service providers to provide information relevant to the stability of the UK financial system
• [Must] Any entity providing services to a firm in relation to matters subject to a section 166 review must give the skilled person all such assistance as reasonably required
• [Must] The PRA can require any member of the authorised person's group to provide information or documents
• [Must] The Bank as a resolution authority can direct a firm to produce information relevant to stabilisation powers
• [Must] The PRA can require a person providing services to an insurer to provide specified documents or information
• [Must] Service providers must co-operate with the PRA and other supervisory authorities in connection with outsourced functions
• [Must] Firms must take reasonable steps to ensure suppliers under material outsourcing arrangements deal with the PRA in an open, co-operative and timely way
• [Must] Firms must permit representatives of the PRA to have access to business premises during reasonable business hours
• [Must] Firms must ensure written agreements for material outsourcing provide full access and unrestricted rights for audit and information</t>
        </is>
      </c>
      <c r="N1959" s="11" t="inlineStr">
        <is>
          <t>• [Must] Firms must ensure access to data, devices, information, systems, and networks used for providing outsourced services
• [Must] Firms must ensure access to results of security penetration testing on applications, data, and systems
• [Must] Firms must ensure access to company and financial information
• [Must] Firms must ensure access to service providers' external auditors, personnel, and premises
• [Must] Firms must assess the adequacy of certificates and reports and not assume their existence is sufficient evidence of compliance
• [Must] Firms must ensure certificates and audit reports meet expectations in Table 8
• [Must] Firms must retain contractual rights to request additional information if justified from legal, regulatory, or risk management perspectives
• [Must] Firms must retain contractual rights to perform onsite audits at their discretion</t>
        </is>
      </c>
      <c r="O1959" s="11" t="inlineStr">
        <is>
          <t>The PRA can require service providers to provide information it considers ‘is or might be, relevant to the stability of the UK financial system.' Any entity which is providing or has provided services to a firm in relation to matters subject to a section 166 review must give the skilled person all such assistance as they may reasonably require.</t>
        </is>
      </c>
      <c r="P1959" s="12" t="n">
        <v>89</v>
      </c>
    </row>
    <row r="1960">
      <c r="A1960" t="inlineStr">
        <is>
          <t>United Kingdom</t>
        </is>
      </c>
      <c r="B1960" t="inlineStr">
        <is>
          <t>ss221-march-21 (United Kingdom - Row 28)</t>
        </is>
      </c>
      <c r="C1960" t="inlineStr">
        <is>
          <t>10</t>
        </is>
      </c>
      <c r="D1960" s="11" t="inlineStr">
        <is>
          <t>Business continuity and stressed exit planning for material outsourcing</t>
        </is>
      </c>
      <c r="E1960" t="inlineStr">
        <is>
          <t>35–39</t>
        </is>
      </c>
      <c r="F1960" t="inlineStr">
        <is>
          <t>High</t>
        </is>
      </c>
      <c r="G1960" t="inlineStr">
        <is>
          <t>High (explicit)</t>
        </is>
      </c>
      <c r="H1960" s="11" t="inlineStr">
        <is>
          <t>Outsourcing</t>
        </is>
      </c>
      <c r="I1960" s="11" t="inlineStr">
        <is>
          <t>Financial Data</t>
        </is>
      </c>
      <c r="J1960" t="inlineStr">
        <is>
          <t>PRA</t>
        </is>
      </c>
      <c r="K1960" s="11" t="inlineStr">
        <is>
          <t>Firms must develop, maintain, and test business continuity plans and documented exit strategies for material outsourcing arrangements. These plans must address both non-stressed exits (planned) and stressed exits (e.g., service provider insolvency). The PRA prioritizes business continuity in severe disruptions over non-stressed exits, requiring firms to ensure critical services continue during disruptions and to have viable exit options when third-party services fail.</t>
        </is>
      </c>
      <c r="L1960" s="11" t="inlineStr">
        <is>
          <t>This section mandates specific business continuity and exit planning for material outsourcing, particularly stressing the need for resilient contingency measures during third-party failures. It directly impacts DTIAs by requiring robust plans for cross-border data transfers involving cloud services or third parties.</t>
        </is>
      </c>
      <c r="M1960" s="11" t="inlineStr">
        <is>
          <t>• [Must] Firms must develop, maintain, and test business continuity plans for material outsourcing arrangements
• [Must] Firms must develop documented exit strategies that differentiate between stressed exits (e.g., service provider insolvency) and non-stressed exits
• [Must] Firms must implement business continuity plans to anticipate, withstand, respond to, and recover from severe operational disruptions
• [Must] Firms must assess cloud resiliency options including multiple data centers, hybrid cloud, backup vendors, and on-premises data retention
• [Must] Firms must consider the impact of destructive cyber-attacks when establishing data recovery capabilities</t>
        </is>
      </c>
      <c r="N1960" s="11" t="inlineStr">
        <is>
          <t>• [Must] Firms must ensure effective crisis communication measures during disruptions
• [Must] Firms must test business continuity and exit plans on a risk-based approach
• [Must] Firms must identify viable exit options in stressed scenarios including bringing services back in-house or transferring to alternative providers
• [Must] Firms must update business continuity and exit plans with lessons learned from testing</t>
        </is>
      </c>
      <c r="O1960" s="11" t="inlineStr">
        <is>
          <t>For each material outsourcing arrangement, the PRA expects firms to develop, maintain, and test a business continuity plan; and a documented exit strategy, which should cover and differentiate between situations where a firm exits an outsourcing agreement: in stressed circumstances (eg following the failure or insolvency of the service provider) and through a planned and managed exit due to commercial, performance, or strategic reasons.</t>
        </is>
      </c>
      <c r="P1960" s="12" t="n">
        <v>89</v>
      </c>
    </row>
  </sheetData>
  <hyperlinks>
    <hyperlink ref="P2" location="Acts!A2" display="Go to Act"/>
    <hyperlink ref="P3" location="Acts!A3" display="Go to Act"/>
    <hyperlink ref="P4" location="Acts!A4" display="Go to Act"/>
    <hyperlink ref="P5" location="Acts!A4" display="Go to Act"/>
    <hyperlink ref="P6" location="Acts!A4" display="Go to Act"/>
    <hyperlink ref="P7" location="Acts!A4" display="Go to Act"/>
    <hyperlink ref="P8" location="Acts!A4" display="Go to Act"/>
    <hyperlink ref="P9" location="Acts!A4" display="Go to Act"/>
    <hyperlink ref="P10" location="Acts!A4" display="Go to Act"/>
    <hyperlink ref="P11" location="Acts!A4" display="Go to Act"/>
    <hyperlink ref="P12" location="Acts!A4" display="Go to Act"/>
    <hyperlink ref="P13" location="Acts!A4" display="Go to Act"/>
    <hyperlink ref="P14" location="Acts!A4" display="Go to Act"/>
    <hyperlink ref="P15" location="Acts!A4" display="Go to Act"/>
    <hyperlink ref="P16" location="Acts!A4" display="Go to Act"/>
    <hyperlink ref="P17" location="Acts!A4" display="Go to Act"/>
    <hyperlink ref="P18" location="Acts!A4" display="Go to Act"/>
    <hyperlink ref="P19" location="Acts!A4" display="Go to Act"/>
    <hyperlink ref="P20" location="Acts!A4" display="Go to Act"/>
    <hyperlink ref="P21" location="Acts!A4" display="Go to Act"/>
    <hyperlink ref="P22" location="Acts!A4" display="Go to Act"/>
    <hyperlink ref="P23" location="Acts!A4" display="Go to Act"/>
    <hyperlink ref="P24" location="Acts!A4" display="Go to Act"/>
    <hyperlink ref="P25" location="Acts!A4" display="Go to Act"/>
    <hyperlink ref="P26" location="Acts!A4" display="Go to Act"/>
    <hyperlink ref="P27" location="Acts!A4" display="Go to Act"/>
    <hyperlink ref="P28" location="Acts!A4" display="Go to Act"/>
    <hyperlink ref="P29" location="Acts!A4" display="Go to Act"/>
    <hyperlink ref="P30" location="Acts!A4" display="Go to Act"/>
    <hyperlink ref="P31" location="Acts!A4" display="Go to Act"/>
    <hyperlink ref="P32" location="Acts!A4" display="Go to Act"/>
    <hyperlink ref="P33" location="Acts!A4" display="Go to Act"/>
    <hyperlink ref="P34" location="Acts!A5" display="Go to Act"/>
    <hyperlink ref="P35" location="Acts!A5" display="Go to Act"/>
    <hyperlink ref="P36" location="Acts!A5" display="Go to Act"/>
    <hyperlink ref="P37" location="Acts!A5" display="Go to Act"/>
    <hyperlink ref="P38" location="Acts!A5" display="Go to Act"/>
    <hyperlink ref="P39" location="Acts!A5" display="Go to Act"/>
    <hyperlink ref="P40" location="Acts!A5" display="Go to Act"/>
    <hyperlink ref="P41" location="Acts!A5" display="Go to Act"/>
    <hyperlink ref="P42" location="Acts!A6" display="Go to Act"/>
    <hyperlink ref="P43" location="Acts!A6" display="Go to Act"/>
    <hyperlink ref="P44" location="Acts!A6" display="Go to Act"/>
    <hyperlink ref="P45" location="Acts!A6" display="Go to Act"/>
    <hyperlink ref="P46" location="Acts!A6" display="Go to Act"/>
    <hyperlink ref="P47" location="Acts!A6" display="Go to Act"/>
    <hyperlink ref="P48" location="Acts!A6" display="Go to Act"/>
    <hyperlink ref="P49" location="Acts!A6" display="Go to Act"/>
    <hyperlink ref="P50" location="Acts!A6" display="Go to Act"/>
    <hyperlink ref="P51" location="Acts!A6" display="Go to Act"/>
    <hyperlink ref="P52" location="Acts!A6" display="Go to Act"/>
    <hyperlink ref="P53" location="Acts!A6" display="Go to Act"/>
    <hyperlink ref="P54" location="Acts!A6" display="Go to Act"/>
    <hyperlink ref="P55" location="Acts!A6" display="Go to Act"/>
    <hyperlink ref="P56" location="Acts!A6" display="Go to Act"/>
    <hyperlink ref="P57" location="Acts!A6" display="Go to Act"/>
    <hyperlink ref="P58" location="Acts!A6" display="Go to Act"/>
    <hyperlink ref="P59" location="Acts!A6" display="Go to Act"/>
    <hyperlink ref="P60" location="Acts!A6" display="Go to Act"/>
    <hyperlink ref="P61" location="Acts!A6" display="Go to Act"/>
    <hyperlink ref="P62" location="Acts!A6" display="Go to Act"/>
    <hyperlink ref="P63" location="Acts!A6" display="Go to Act"/>
    <hyperlink ref="P64" location="Acts!A6" display="Go to Act"/>
    <hyperlink ref="P65" location="Acts!A6" display="Go to Act"/>
    <hyperlink ref="P66" location="Acts!A6" display="Go to Act"/>
    <hyperlink ref="P67" location="Acts!A6" display="Go to Act"/>
    <hyperlink ref="P68" location="Acts!A6" display="Go to Act"/>
    <hyperlink ref="P69" location="Acts!A6" display="Go to Act"/>
    <hyperlink ref="P70" location="Acts!A6" display="Go to Act"/>
    <hyperlink ref="P71" location="Acts!A6" display="Go to Act"/>
    <hyperlink ref="P72" location="Acts!A6" display="Go to Act"/>
    <hyperlink ref="P73" location="Acts!A6" display="Go to Act"/>
    <hyperlink ref="P74" location="Acts!A6" display="Go to Act"/>
    <hyperlink ref="P75" location="Acts!A6" display="Go to Act"/>
    <hyperlink ref="P76" location="Acts!A6" display="Go to Act"/>
    <hyperlink ref="P77" location="Acts!A6" display="Go to Act"/>
    <hyperlink ref="P78" location="Acts!A6" display="Go to Act"/>
    <hyperlink ref="P79" location="Acts!A6" display="Go to Act"/>
    <hyperlink ref="P80" location="Acts!A6" display="Go to Act"/>
    <hyperlink ref="P81" location="Acts!A6" display="Go to Act"/>
    <hyperlink ref="P82" location="Acts!A6" display="Go to Act"/>
    <hyperlink ref="P83" location="Acts!A6" display="Go to Act"/>
    <hyperlink ref="P84" location="Acts!A6" display="Go to Act"/>
    <hyperlink ref="P85" location="Acts!A7" display="Go to Act"/>
    <hyperlink ref="P86" location="Acts!A7" display="Go to Act"/>
    <hyperlink ref="P87" location="Acts!A7" display="Go to Act"/>
    <hyperlink ref="P88" location="Acts!A7" display="Go to Act"/>
    <hyperlink ref="P89" location="Acts!A7" display="Go to Act"/>
    <hyperlink ref="P90" location="Acts!A7" display="Go to Act"/>
    <hyperlink ref="P91" location="Acts!A7" display="Go to Act"/>
    <hyperlink ref="P92" location="Acts!A7" display="Go to Act"/>
    <hyperlink ref="P93" location="Acts!A7" display="Go to Act"/>
    <hyperlink ref="P94" location="Acts!A7" display="Go to Act"/>
    <hyperlink ref="P95" location="Acts!A7" display="Go to Act"/>
    <hyperlink ref="P96" location="Acts!A7" display="Go to Act"/>
    <hyperlink ref="P97" location="Acts!A7" display="Go to Act"/>
    <hyperlink ref="P98" location="Acts!A7" display="Go to Act"/>
    <hyperlink ref="P99" location="Acts!A7" display="Go to Act"/>
    <hyperlink ref="P100" location="Acts!A7" display="Go to Act"/>
    <hyperlink ref="P101" location="Acts!A7" display="Go to Act"/>
    <hyperlink ref="P102" location="Acts!A7" display="Go to Act"/>
    <hyperlink ref="P103" location="Acts!A7" display="Go to Act"/>
    <hyperlink ref="P104" location="Acts!A7" display="Go to Act"/>
    <hyperlink ref="P105" location="Acts!A7" display="Go to Act"/>
    <hyperlink ref="P106" location="Acts!A7" display="Go to Act"/>
    <hyperlink ref="P107" location="Acts!A7" display="Go to Act"/>
    <hyperlink ref="P108" location="Acts!A7" display="Go to Act"/>
    <hyperlink ref="P109" location="Acts!A7" display="Go to Act"/>
    <hyperlink ref="P110" location="Acts!A7" display="Go to Act"/>
    <hyperlink ref="P111" location="Acts!A7" display="Go to Act"/>
    <hyperlink ref="P112" location="Acts!A7" display="Go to Act"/>
    <hyperlink ref="P113" location="Acts!A7" display="Go to Act"/>
    <hyperlink ref="P114" location="Acts!A7" display="Go to Act"/>
    <hyperlink ref="P115" location="Acts!A7" display="Go to Act"/>
    <hyperlink ref="P116" location="Acts!A7" display="Go to Act"/>
    <hyperlink ref="P117" location="Acts!A7" display="Go to Act"/>
    <hyperlink ref="P118" location="Acts!A7" display="Go to Act"/>
    <hyperlink ref="P119" location="Acts!A7" display="Go to Act"/>
    <hyperlink ref="P120" location="Acts!A7" display="Go to Act"/>
    <hyperlink ref="P121" location="Acts!A7" display="Go to Act"/>
    <hyperlink ref="P122" location="Acts!A7" display="Go to Act"/>
    <hyperlink ref="P123" location="Acts!A7" display="Go to Act"/>
    <hyperlink ref="P124" location="Acts!A7" display="Go to Act"/>
    <hyperlink ref="P125" location="Acts!A7" display="Go to Act"/>
    <hyperlink ref="P126" location="Acts!A7" display="Go to Act"/>
    <hyperlink ref="P127" location="Acts!A7" display="Go to Act"/>
    <hyperlink ref="P128" location="Acts!A8" display="Go to Act"/>
    <hyperlink ref="P129" location="Acts!A8" display="Go to Act"/>
    <hyperlink ref="P130" location="Acts!A8" display="Go to Act"/>
    <hyperlink ref="P131" location="Acts!A8" display="Go to Act"/>
    <hyperlink ref="P132" location="Acts!A8" display="Go to Act"/>
    <hyperlink ref="P133" location="Acts!A8" display="Go to Act"/>
    <hyperlink ref="P134" location="Acts!A8" display="Go to Act"/>
    <hyperlink ref="P135" location="Acts!A8" display="Go to Act"/>
    <hyperlink ref="P136" location="Acts!A8" display="Go to Act"/>
    <hyperlink ref="P137" location="Acts!A8" display="Go to Act"/>
    <hyperlink ref="P138" location="Acts!A8" display="Go to Act"/>
    <hyperlink ref="P139" location="Acts!A8" display="Go to Act"/>
    <hyperlink ref="P140" location="Acts!A8" display="Go to Act"/>
    <hyperlink ref="P141" location="Acts!A8" display="Go to Act"/>
    <hyperlink ref="P142" location="Acts!A8" display="Go to Act"/>
    <hyperlink ref="P143" location="Acts!A8" display="Go to Act"/>
    <hyperlink ref="P144" location="Acts!A8" display="Go to Act"/>
    <hyperlink ref="P145" location="Acts!A8" display="Go to Act"/>
    <hyperlink ref="P146" location="Acts!A8" display="Go to Act"/>
    <hyperlink ref="P147" location="Acts!A8" display="Go to Act"/>
    <hyperlink ref="P148" location="Acts!A8" display="Go to Act"/>
    <hyperlink ref="P149" location="Acts!A8" display="Go to Act"/>
    <hyperlink ref="P150" location="Acts!A8" display="Go to Act"/>
    <hyperlink ref="P151" location="Acts!A8" display="Go to Act"/>
    <hyperlink ref="P152" location="Acts!A8" display="Go to Act"/>
    <hyperlink ref="P153" location="Acts!A8" display="Go to Act"/>
    <hyperlink ref="P154" location="Acts!A8" display="Go to Act"/>
    <hyperlink ref="P155" location="Acts!A8" display="Go to Act"/>
    <hyperlink ref="P156" location="Acts!A8" display="Go to Act"/>
    <hyperlink ref="P157" location="Acts!A8" display="Go to Act"/>
    <hyperlink ref="P158" location="Acts!A8" display="Go to Act"/>
    <hyperlink ref="P159" location="Acts!A8" display="Go to Act"/>
    <hyperlink ref="P160" location="Acts!A8" display="Go to Act"/>
    <hyperlink ref="P161" location="Acts!A8" display="Go to Act"/>
    <hyperlink ref="P162" location="Acts!A8" display="Go to Act"/>
    <hyperlink ref="P163" location="Acts!A8" display="Go to Act"/>
    <hyperlink ref="P164" location="Acts!A8" display="Go to Act"/>
    <hyperlink ref="P165" location="Acts!A8" display="Go to Act"/>
    <hyperlink ref="P166" location="Acts!A8" display="Go to Act"/>
    <hyperlink ref="P167" location="Acts!A8" display="Go to Act"/>
    <hyperlink ref="P168" location="Acts!A8" display="Go to Act"/>
    <hyperlink ref="P169" location="Acts!A8" display="Go to Act"/>
    <hyperlink ref="P170" location="Acts!A8" display="Go to Act"/>
    <hyperlink ref="P171" location="Acts!A8" display="Go to Act"/>
    <hyperlink ref="P172" location="Acts!A8" display="Go to Act"/>
    <hyperlink ref="P173" location="Acts!A8" display="Go to Act"/>
    <hyperlink ref="P174" location="Acts!A8" display="Go to Act"/>
    <hyperlink ref="P175" location="Acts!A8" display="Go to Act"/>
    <hyperlink ref="P176" location="Acts!A8" display="Go to Act"/>
    <hyperlink ref="P177" location="Acts!A8" display="Go to Act"/>
    <hyperlink ref="P178" location="Acts!A8" display="Go to Act"/>
    <hyperlink ref="P179" location="Acts!A9" display="Go to Act"/>
    <hyperlink ref="P180" location="Acts!A9" display="Go to Act"/>
    <hyperlink ref="P181" location="Acts!A9" display="Go to Act"/>
    <hyperlink ref="P182" location="Acts!A9" display="Go to Act"/>
    <hyperlink ref="P183" location="Acts!A9" display="Go to Act"/>
    <hyperlink ref="P184" location="Acts!A9" display="Go to Act"/>
    <hyperlink ref="P185" location="Acts!A9" display="Go to Act"/>
    <hyperlink ref="P186" location="Acts!A9" display="Go to Act"/>
    <hyperlink ref="P187" location="Acts!A9" display="Go to Act"/>
    <hyperlink ref="P188" location="Acts!A9" display="Go to Act"/>
    <hyperlink ref="P189" location="Acts!A9" display="Go to Act"/>
    <hyperlink ref="P190" location="Acts!A9" display="Go to Act"/>
    <hyperlink ref="P191" location="Acts!A9" display="Go to Act"/>
    <hyperlink ref="P192" location="Acts!A9" display="Go to Act"/>
    <hyperlink ref="P193" location="Acts!A9" display="Go to Act"/>
    <hyperlink ref="P194" location="Acts!A9" display="Go to Act"/>
    <hyperlink ref="P195" location="Acts!A9" display="Go to Act"/>
    <hyperlink ref="P196" location="Acts!A9" display="Go to Act"/>
    <hyperlink ref="P197" location="Acts!A9" display="Go to Act"/>
    <hyperlink ref="P198" location="Acts!A9" display="Go to Act"/>
    <hyperlink ref="P199" location="Acts!A9" display="Go to Act"/>
    <hyperlink ref="P200" location="Acts!A9" display="Go to Act"/>
    <hyperlink ref="P201" location="Acts!A9" display="Go to Act"/>
    <hyperlink ref="P202" location="Acts!A9" display="Go to Act"/>
    <hyperlink ref="P203" location="Acts!A9" display="Go to Act"/>
    <hyperlink ref="P204" location="Acts!A9" display="Go to Act"/>
    <hyperlink ref="P205" location="Acts!A9" display="Go to Act"/>
    <hyperlink ref="P206" location="Acts!A9" display="Go to Act"/>
    <hyperlink ref="P207" location="Acts!A9" display="Go to Act"/>
    <hyperlink ref="P208" location="Acts!A9" display="Go to Act"/>
    <hyperlink ref="P209" location="Acts!A9" display="Go to Act"/>
    <hyperlink ref="P210" location="Acts!A9" display="Go to Act"/>
    <hyperlink ref="P211" location="Acts!A9" display="Go to Act"/>
    <hyperlink ref="P212" location="Acts!A9" display="Go to Act"/>
    <hyperlink ref="P213" location="Acts!A9" display="Go to Act"/>
    <hyperlink ref="P214" location="Acts!A9" display="Go to Act"/>
    <hyperlink ref="P215" location="Acts!A9" display="Go to Act"/>
    <hyperlink ref="P216" location="Acts!A9" display="Go to Act"/>
    <hyperlink ref="P217" location="Acts!A9" display="Go to Act"/>
    <hyperlink ref="P218" location="Acts!A9" display="Go to Act"/>
    <hyperlink ref="P219" location="Acts!A9" display="Go to Act"/>
    <hyperlink ref="P220" location="Acts!A9" display="Go to Act"/>
    <hyperlink ref="P221" location="Acts!A9" display="Go to Act"/>
    <hyperlink ref="P222" location="Acts!A9" display="Go to Act"/>
    <hyperlink ref="P223" location="Acts!A10" display="Go to Act"/>
    <hyperlink ref="P224" location="Acts!A10" display="Go to Act"/>
    <hyperlink ref="P225" location="Acts!A10" display="Go to Act"/>
    <hyperlink ref="P226" location="Acts!A10" display="Go to Act"/>
    <hyperlink ref="P227" location="Acts!A10" display="Go to Act"/>
    <hyperlink ref="P228" location="Acts!A10" display="Go to Act"/>
    <hyperlink ref="P229" location="Acts!A10" display="Go to Act"/>
    <hyperlink ref="P230" location="Acts!A10" display="Go to Act"/>
    <hyperlink ref="P231" location="Acts!A10" display="Go to Act"/>
    <hyperlink ref="P232" location="Acts!A10" display="Go to Act"/>
    <hyperlink ref="P233" location="Acts!A10" display="Go to Act"/>
    <hyperlink ref="P234" location="Acts!A10" display="Go to Act"/>
    <hyperlink ref="P235" location="Acts!A10" display="Go to Act"/>
    <hyperlink ref="P236" location="Acts!A10" display="Go to Act"/>
    <hyperlink ref="P237" location="Acts!A10" display="Go to Act"/>
    <hyperlink ref="P238" location="Acts!A10" display="Go to Act"/>
    <hyperlink ref="P239" location="Acts!A10" display="Go to Act"/>
    <hyperlink ref="P240" location="Acts!A10" display="Go to Act"/>
    <hyperlink ref="P241" location="Acts!A10" display="Go to Act"/>
    <hyperlink ref="P242" location="Acts!A10" display="Go to Act"/>
    <hyperlink ref="P243" location="Acts!A10" display="Go to Act"/>
    <hyperlink ref="P244" location="Acts!A10" display="Go to Act"/>
    <hyperlink ref="P245" location="Acts!A10" display="Go to Act"/>
    <hyperlink ref="P246" location="Acts!A10" display="Go to Act"/>
    <hyperlink ref="P247" location="Acts!A10" display="Go to Act"/>
    <hyperlink ref="P248" location="Acts!A10" display="Go to Act"/>
    <hyperlink ref="P249" location="Acts!A10" display="Go to Act"/>
    <hyperlink ref="P250" location="Acts!A10" display="Go to Act"/>
    <hyperlink ref="P251" location="Acts!A10" display="Go to Act"/>
    <hyperlink ref="P252" location="Acts!A10" display="Go to Act"/>
    <hyperlink ref="P253" location="Acts!A10" display="Go to Act"/>
    <hyperlink ref="P254" location="Acts!A10" display="Go to Act"/>
    <hyperlink ref="P255" location="Acts!A10" display="Go to Act"/>
    <hyperlink ref="P256" location="Acts!A10" display="Go to Act"/>
    <hyperlink ref="P257" location="Acts!A10" display="Go to Act"/>
    <hyperlink ref="P258" location="Acts!A10" display="Go to Act"/>
    <hyperlink ref="P259" location="Acts!A10" display="Go to Act"/>
    <hyperlink ref="P260" location="Acts!A10" display="Go to Act"/>
    <hyperlink ref="P261" location="Acts!A10" display="Go to Act"/>
    <hyperlink ref="P262" location="Acts!A10" display="Go to Act"/>
    <hyperlink ref="P263" location="Acts!A10" display="Go to Act"/>
    <hyperlink ref="P264" location="Acts!A10" display="Go to Act"/>
    <hyperlink ref="P265" location="Acts!A10" display="Go to Act"/>
    <hyperlink ref="P266" location="Acts!A11" display="Go to Act"/>
    <hyperlink ref="P267" location="Acts!A11" display="Go to Act"/>
    <hyperlink ref="P268" location="Acts!A11" display="Go to Act"/>
    <hyperlink ref="P269" location="Acts!A11" display="Go to Act"/>
    <hyperlink ref="P270" location="Acts!A11" display="Go to Act"/>
    <hyperlink ref="P271" location="Acts!A11" display="Go to Act"/>
    <hyperlink ref="P272" location="Acts!A11" display="Go to Act"/>
    <hyperlink ref="P273" location="Acts!A11" display="Go to Act"/>
    <hyperlink ref="P274" location="Acts!A11" display="Go to Act"/>
    <hyperlink ref="P275" location="Acts!A11" display="Go to Act"/>
    <hyperlink ref="P276" location="Acts!A11" display="Go to Act"/>
    <hyperlink ref="P277" location="Acts!A11" display="Go to Act"/>
    <hyperlink ref="P278" location="Acts!A11" display="Go to Act"/>
    <hyperlink ref="P279" location="Acts!A11" display="Go to Act"/>
    <hyperlink ref="P280" location="Acts!A11" display="Go to Act"/>
    <hyperlink ref="P281" location="Acts!A11" display="Go to Act"/>
    <hyperlink ref="P282" location="Acts!A11" display="Go to Act"/>
    <hyperlink ref="P283" location="Acts!A11" display="Go to Act"/>
    <hyperlink ref="P284" location="Acts!A11" display="Go to Act"/>
    <hyperlink ref="P285" location="Acts!A11" display="Go to Act"/>
    <hyperlink ref="P286" location="Acts!A11" display="Go to Act"/>
    <hyperlink ref="P287" location="Acts!A11" display="Go to Act"/>
    <hyperlink ref="P288" location="Acts!A11" display="Go to Act"/>
    <hyperlink ref="P289" location="Acts!A11" display="Go to Act"/>
    <hyperlink ref="P290" location="Acts!A11" display="Go to Act"/>
    <hyperlink ref="P291" location="Acts!A11" display="Go to Act"/>
    <hyperlink ref="P292" location="Acts!A11" display="Go to Act"/>
    <hyperlink ref="P293" location="Acts!A11" display="Go to Act"/>
    <hyperlink ref="P294" location="Acts!A11" display="Go to Act"/>
    <hyperlink ref="P295" location="Acts!A11" display="Go to Act"/>
    <hyperlink ref="P296" location="Acts!A11" display="Go to Act"/>
    <hyperlink ref="P297" location="Acts!A11" display="Go to Act"/>
    <hyperlink ref="P298" location="Acts!A11" display="Go to Act"/>
    <hyperlink ref="P299" location="Acts!A11" display="Go to Act"/>
    <hyperlink ref="P300" location="Acts!A11" display="Go to Act"/>
    <hyperlink ref="P301" location="Acts!A11" display="Go to Act"/>
    <hyperlink ref="P302" location="Acts!A11" display="Go to Act"/>
    <hyperlink ref="P303" location="Acts!A11" display="Go to Act"/>
    <hyperlink ref="P304" location="Acts!A11" display="Go to Act"/>
    <hyperlink ref="P305" location="Acts!A11" display="Go to Act"/>
    <hyperlink ref="P306" location="Acts!A11" display="Go to Act"/>
    <hyperlink ref="P307" location="Acts!A11" display="Go to Act"/>
    <hyperlink ref="P308" location="Acts!A11" display="Go to Act"/>
    <hyperlink ref="P309" location="Acts!A11" display="Go to Act"/>
    <hyperlink ref="P310" location="Acts!A11" display="Go to Act"/>
    <hyperlink ref="P311" location="Acts!A11" display="Go to Act"/>
    <hyperlink ref="P312" location="Acts!A11" display="Go to Act"/>
    <hyperlink ref="P313" location="Acts!A11" display="Go to Act"/>
    <hyperlink ref="P314" location="Acts!A11" display="Go to Act"/>
    <hyperlink ref="P315" location="Acts!A11" display="Go to Act"/>
    <hyperlink ref="P316" location="Acts!A11" display="Go to Act"/>
    <hyperlink ref="P317" location="Acts!A11" display="Go to Act"/>
    <hyperlink ref="P318" location="Acts!A11" display="Go to Act"/>
    <hyperlink ref="P319" location="Acts!A11" display="Go to Act"/>
    <hyperlink ref="P320" location="Acts!A11" display="Go to Act"/>
    <hyperlink ref="P321" location="Acts!A11" display="Go to Act"/>
    <hyperlink ref="P322" location="Acts!A11" display="Go to Act"/>
    <hyperlink ref="P323" location="Acts!A11" display="Go to Act"/>
    <hyperlink ref="P324" location="Acts!A11" display="Go to Act"/>
    <hyperlink ref="P325" location="Acts!A11" display="Go to Act"/>
    <hyperlink ref="P326" location="Acts!A11" display="Go to Act"/>
    <hyperlink ref="P327" location="Acts!A11" display="Go to Act"/>
    <hyperlink ref="P328" location="Acts!A11" display="Go to Act"/>
    <hyperlink ref="P329" location="Acts!A11" display="Go to Act"/>
    <hyperlink ref="P330" location="Acts!A11" display="Go to Act"/>
    <hyperlink ref="P331" location="Acts!A11" display="Go to Act"/>
    <hyperlink ref="P332" location="Acts!A11" display="Go to Act"/>
    <hyperlink ref="P333" location="Acts!A11" display="Go to Act"/>
    <hyperlink ref="P334" location="Acts!A11" display="Go to Act"/>
    <hyperlink ref="P335" location="Acts!A11" display="Go to Act"/>
    <hyperlink ref="P336" location="Acts!A11" display="Go to Act"/>
    <hyperlink ref="P337" location="Acts!A11" display="Go to Act"/>
    <hyperlink ref="P338" location="Acts!A11" display="Go to Act"/>
    <hyperlink ref="P339" location="Acts!A11" display="Go to Act"/>
    <hyperlink ref="P340" location="Acts!A11" display="Go to Act"/>
    <hyperlink ref="P341" location="Acts!A11" display="Go to Act"/>
    <hyperlink ref="P342" location="Acts!A11" display="Go to Act"/>
    <hyperlink ref="P343" location="Acts!A11" display="Go to Act"/>
    <hyperlink ref="P344" location="Acts!A11" display="Go to Act"/>
    <hyperlink ref="P345" location="Acts!A11" display="Go to Act"/>
    <hyperlink ref="P346" location="Acts!A11" display="Go to Act"/>
    <hyperlink ref="P347" location="Acts!A11" display="Go to Act"/>
    <hyperlink ref="P348" location="Acts!A11" display="Go to Act"/>
    <hyperlink ref="P349" location="Acts!A11" display="Go to Act"/>
    <hyperlink ref="P350" location="Acts!A11" display="Go to Act"/>
    <hyperlink ref="P351" location="Acts!A11" display="Go to Act"/>
    <hyperlink ref="P352" location="Acts!A11" display="Go to Act"/>
    <hyperlink ref="P353" location="Acts!A11" display="Go to Act"/>
    <hyperlink ref="P354" location="Acts!A11" display="Go to Act"/>
    <hyperlink ref="P355" location="Acts!A11" display="Go to Act"/>
    <hyperlink ref="P356" location="Acts!A11" display="Go to Act"/>
    <hyperlink ref="P357" location="Acts!A11" display="Go to Act"/>
    <hyperlink ref="P358" location="Acts!A11" display="Go to Act"/>
    <hyperlink ref="P359" location="Acts!A11" display="Go to Act"/>
    <hyperlink ref="P360" location="Acts!A11" display="Go to Act"/>
    <hyperlink ref="P361" location="Acts!A11" display="Go to Act"/>
    <hyperlink ref="P362" location="Acts!A11" display="Go to Act"/>
    <hyperlink ref="P363" location="Acts!A11" display="Go to Act"/>
    <hyperlink ref="P364" location="Acts!A11" display="Go to Act"/>
    <hyperlink ref="P365" location="Acts!A11" display="Go to Act"/>
    <hyperlink ref="P366" location="Acts!A11" display="Go to Act"/>
    <hyperlink ref="P367" location="Acts!A11" display="Go to Act"/>
    <hyperlink ref="P368" location="Acts!A11" display="Go to Act"/>
    <hyperlink ref="P369" location="Acts!A11" display="Go to Act"/>
    <hyperlink ref="P370" location="Acts!A11" display="Go to Act"/>
    <hyperlink ref="P371" location="Acts!A11" display="Go to Act"/>
    <hyperlink ref="P372" location="Acts!A11" display="Go to Act"/>
    <hyperlink ref="P373" location="Acts!A11" display="Go to Act"/>
    <hyperlink ref="P374" location="Acts!A11" display="Go to Act"/>
    <hyperlink ref="P375" location="Acts!A11" display="Go to Act"/>
    <hyperlink ref="P376" location="Acts!A11" display="Go to Act"/>
    <hyperlink ref="P377" location="Acts!A11" display="Go to Act"/>
    <hyperlink ref="P378" location="Acts!A11" display="Go to Act"/>
    <hyperlink ref="P379" location="Acts!A11" display="Go to Act"/>
    <hyperlink ref="P380" location="Acts!A11" display="Go to Act"/>
    <hyperlink ref="P381" location="Acts!A11" display="Go to Act"/>
    <hyperlink ref="P382" location="Acts!A11" display="Go to Act"/>
    <hyperlink ref="P383" location="Acts!A11" display="Go to Act"/>
    <hyperlink ref="P384" location="Acts!A11" display="Go to Act"/>
    <hyperlink ref="P385" location="Acts!A11" display="Go to Act"/>
    <hyperlink ref="P386" location="Acts!A11" display="Go to Act"/>
    <hyperlink ref="P387" location="Acts!A11" display="Go to Act"/>
    <hyperlink ref="P388" location="Acts!A11" display="Go to Act"/>
    <hyperlink ref="P389" location="Acts!A11" display="Go to Act"/>
    <hyperlink ref="P390" location="Acts!A11" display="Go to Act"/>
    <hyperlink ref="P391" location="Acts!A11" display="Go to Act"/>
    <hyperlink ref="P392" location="Acts!A11" display="Go to Act"/>
    <hyperlink ref="P393" location="Acts!A11" display="Go to Act"/>
    <hyperlink ref="P394" location="Acts!A11" display="Go to Act"/>
    <hyperlink ref="P395" location="Acts!A11" display="Go to Act"/>
    <hyperlink ref="P396" location="Acts!A11" display="Go to Act"/>
    <hyperlink ref="P397" location="Acts!A11" display="Go to Act"/>
    <hyperlink ref="P398" location="Acts!A12" display="Go to Act"/>
    <hyperlink ref="P399" location="Acts!A12" display="Go to Act"/>
    <hyperlink ref="P400" location="Acts!A12" display="Go to Act"/>
    <hyperlink ref="P401" location="Acts!A12" display="Go to Act"/>
    <hyperlink ref="P402" location="Acts!A12" display="Go to Act"/>
    <hyperlink ref="P403" location="Acts!A12" display="Go to Act"/>
    <hyperlink ref="P404" location="Acts!A12" display="Go to Act"/>
    <hyperlink ref="P405" location="Acts!A12" display="Go to Act"/>
    <hyperlink ref="P406" location="Acts!A12" display="Go to Act"/>
    <hyperlink ref="P407" location="Acts!A12" display="Go to Act"/>
    <hyperlink ref="P408" location="Acts!A12" display="Go to Act"/>
    <hyperlink ref="P409" location="Acts!A12" display="Go to Act"/>
    <hyperlink ref="P410" location="Acts!A12" display="Go to Act"/>
    <hyperlink ref="P411" location="Acts!A12" display="Go to Act"/>
    <hyperlink ref="P412" location="Acts!A12" display="Go to Act"/>
    <hyperlink ref="P413" location="Acts!A12" display="Go to Act"/>
    <hyperlink ref="P414" location="Acts!A12" display="Go to Act"/>
    <hyperlink ref="P415" location="Acts!A12" display="Go to Act"/>
    <hyperlink ref="P416" location="Acts!A12" display="Go to Act"/>
    <hyperlink ref="P417" location="Acts!A12" display="Go to Act"/>
    <hyperlink ref="P418" location="Acts!A12" display="Go to Act"/>
    <hyperlink ref="P419" location="Acts!A12" display="Go to Act"/>
    <hyperlink ref="P420" location="Acts!A12" display="Go to Act"/>
    <hyperlink ref="P421" location="Acts!A12" display="Go to Act"/>
    <hyperlink ref="P422" location="Acts!A12" display="Go to Act"/>
    <hyperlink ref="P423" location="Acts!A12" display="Go to Act"/>
    <hyperlink ref="P424" location="Acts!A12" display="Go to Act"/>
    <hyperlink ref="P425" location="Acts!A12" display="Go to Act"/>
    <hyperlink ref="P426" location="Acts!A12" display="Go to Act"/>
    <hyperlink ref="P427" location="Acts!A12" display="Go to Act"/>
    <hyperlink ref="P428" location="Acts!A12" display="Go to Act"/>
    <hyperlink ref="P429" location="Acts!A12" display="Go to Act"/>
    <hyperlink ref="P430" location="Acts!A12" display="Go to Act"/>
    <hyperlink ref="P431" location="Acts!A12" display="Go to Act"/>
    <hyperlink ref="P432" location="Acts!A12" display="Go to Act"/>
    <hyperlink ref="P433" location="Acts!A12" display="Go to Act"/>
    <hyperlink ref="P434" location="Acts!A12" display="Go to Act"/>
    <hyperlink ref="P435" location="Acts!A12" display="Go to Act"/>
    <hyperlink ref="P436" location="Acts!A12" display="Go to Act"/>
    <hyperlink ref="P437" location="Acts!A12" display="Go to Act"/>
    <hyperlink ref="P438" location="Acts!A12" display="Go to Act"/>
    <hyperlink ref="P439" location="Acts!A12" display="Go to Act"/>
    <hyperlink ref="P440" location="Acts!A12" display="Go to Act"/>
    <hyperlink ref="P441" location="Acts!A12" display="Go to Act"/>
    <hyperlink ref="P442" location="Acts!A12" display="Go to Act"/>
    <hyperlink ref="P443" location="Acts!A12" display="Go to Act"/>
    <hyperlink ref="P444" location="Acts!A12" display="Go to Act"/>
    <hyperlink ref="P445" location="Acts!A12" display="Go to Act"/>
    <hyperlink ref="P446" location="Acts!A12" display="Go to Act"/>
    <hyperlink ref="P447" location="Acts!A12" display="Go to Act"/>
    <hyperlink ref="P448" location="Acts!A12" display="Go to Act"/>
    <hyperlink ref="P449" location="Acts!A12" display="Go to Act"/>
    <hyperlink ref="P450" location="Acts!A12" display="Go to Act"/>
    <hyperlink ref="P451" location="Acts!A12" display="Go to Act"/>
    <hyperlink ref="P452" location="Acts!A12" display="Go to Act"/>
    <hyperlink ref="P453" location="Acts!A12" display="Go to Act"/>
    <hyperlink ref="P454" location="Acts!A12" display="Go to Act"/>
    <hyperlink ref="P455" location="Acts!A12" display="Go to Act"/>
    <hyperlink ref="P456" location="Acts!A12" display="Go to Act"/>
    <hyperlink ref="P457" location="Acts!A12" display="Go to Act"/>
    <hyperlink ref="P458" location="Acts!A12" display="Go to Act"/>
    <hyperlink ref="P459" location="Acts!A12" display="Go to Act"/>
    <hyperlink ref="P460" location="Acts!A12" display="Go to Act"/>
    <hyperlink ref="P461" location="Acts!A12" display="Go to Act"/>
    <hyperlink ref="P462" location="Acts!A12" display="Go to Act"/>
    <hyperlink ref="P463" location="Acts!A12" display="Go to Act"/>
    <hyperlink ref="P464" location="Acts!A12" display="Go to Act"/>
    <hyperlink ref="P465" location="Acts!A12" display="Go to Act"/>
    <hyperlink ref="P466" location="Acts!A12" display="Go to Act"/>
    <hyperlink ref="P467" location="Acts!A12" display="Go to Act"/>
    <hyperlink ref="P468" location="Acts!A12" display="Go to Act"/>
    <hyperlink ref="P469" location="Acts!A12" display="Go to Act"/>
    <hyperlink ref="P470" location="Acts!A12" display="Go to Act"/>
    <hyperlink ref="P471" location="Acts!A12" display="Go to Act"/>
    <hyperlink ref="P472" location="Acts!A12" display="Go to Act"/>
    <hyperlink ref="P473" location="Acts!A12" display="Go to Act"/>
    <hyperlink ref="P474" location="Acts!A12" display="Go to Act"/>
    <hyperlink ref="P475" location="Acts!A12" display="Go to Act"/>
    <hyperlink ref="P476" location="Acts!A12" display="Go to Act"/>
    <hyperlink ref="P477" location="Acts!A12" display="Go to Act"/>
    <hyperlink ref="P478" location="Acts!A12" display="Go to Act"/>
    <hyperlink ref="P479" location="Acts!A12" display="Go to Act"/>
    <hyperlink ref="P480" location="Acts!A12" display="Go to Act"/>
    <hyperlink ref="P481" location="Acts!A12" display="Go to Act"/>
    <hyperlink ref="P482" location="Acts!A12" display="Go to Act"/>
    <hyperlink ref="P483" location="Acts!A12" display="Go to Act"/>
    <hyperlink ref="P484" location="Acts!A12" display="Go to Act"/>
    <hyperlink ref="P485" location="Acts!A12" display="Go to Act"/>
    <hyperlink ref="P486" location="Acts!A12" display="Go to Act"/>
    <hyperlink ref="P487" location="Acts!A12" display="Go to Act"/>
    <hyperlink ref="P488" location="Acts!A12" display="Go to Act"/>
    <hyperlink ref="P489" location="Acts!A12" display="Go to Act"/>
    <hyperlink ref="P490" location="Acts!A12" display="Go to Act"/>
    <hyperlink ref="P491" location="Acts!A12" display="Go to Act"/>
    <hyperlink ref="P492" location="Acts!A12" display="Go to Act"/>
    <hyperlink ref="P493" location="Acts!A12" display="Go to Act"/>
    <hyperlink ref="P494" location="Acts!A12" display="Go to Act"/>
    <hyperlink ref="P495" location="Acts!A12" display="Go to Act"/>
    <hyperlink ref="P496" location="Acts!A12" display="Go to Act"/>
    <hyperlink ref="P497" location="Acts!A12" display="Go to Act"/>
    <hyperlink ref="P498" location="Acts!A12" display="Go to Act"/>
    <hyperlink ref="P499" location="Acts!A12" display="Go to Act"/>
    <hyperlink ref="P500" location="Acts!A12" display="Go to Act"/>
    <hyperlink ref="P501" location="Acts!A12" display="Go to Act"/>
    <hyperlink ref="P502" location="Acts!A12" display="Go to Act"/>
    <hyperlink ref="P503" location="Acts!A12" display="Go to Act"/>
    <hyperlink ref="P504" location="Acts!A12" display="Go to Act"/>
    <hyperlink ref="P505" location="Acts!A12" display="Go to Act"/>
    <hyperlink ref="P506" location="Acts!A12" display="Go to Act"/>
    <hyperlink ref="P507" location="Acts!A12" display="Go to Act"/>
    <hyperlink ref="P508" location="Acts!A12" display="Go to Act"/>
    <hyperlink ref="P509" location="Acts!A12" display="Go to Act"/>
    <hyperlink ref="P510" location="Acts!A12" display="Go to Act"/>
    <hyperlink ref="P511" location="Acts!A12" display="Go to Act"/>
    <hyperlink ref="P512" location="Acts!A12" display="Go to Act"/>
    <hyperlink ref="P513" location="Acts!A12" display="Go to Act"/>
    <hyperlink ref="P514" location="Acts!A12" display="Go to Act"/>
    <hyperlink ref="P515" location="Acts!A12" display="Go to Act"/>
    <hyperlink ref="P516" location="Acts!A12" display="Go to Act"/>
    <hyperlink ref="P517" location="Acts!A12" display="Go to Act"/>
    <hyperlink ref="P518" location="Acts!A12" display="Go to Act"/>
    <hyperlink ref="P519" location="Acts!A12" display="Go to Act"/>
    <hyperlink ref="P520" location="Acts!A12" display="Go to Act"/>
    <hyperlink ref="P521" location="Acts!A12" display="Go to Act"/>
    <hyperlink ref="P522" location="Acts!A12" display="Go to Act"/>
    <hyperlink ref="P523" location="Acts!A12" display="Go to Act"/>
    <hyperlink ref="P524" location="Acts!A12" display="Go to Act"/>
    <hyperlink ref="P525" location="Acts!A12" display="Go to Act"/>
    <hyperlink ref="P526" location="Acts!A12" display="Go to Act"/>
    <hyperlink ref="P527" location="Acts!A12" display="Go to Act"/>
    <hyperlink ref="P528" location="Acts!A12" display="Go to Act"/>
    <hyperlink ref="P529" location="Acts!A12" display="Go to Act"/>
    <hyperlink ref="P530" location="Acts!A12" display="Go to Act"/>
    <hyperlink ref="P531" location="Acts!A12" display="Go to Act"/>
    <hyperlink ref="P532" location="Acts!A12" display="Go to Act"/>
    <hyperlink ref="P533" location="Acts!A12" display="Go to Act"/>
    <hyperlink ref="P534" location="Acts!A12" display="Go to Act"/>
    <hyperlink ref="P535" location="Acts!A12" display="Go to Act"/>
    <hyperlink ref="P536" location="Acts!A12" display="Go to Act"/>
    <hyperlink ref="P537" location="Acts!A12" display="Go to Act"/>
    <hyperlink ref="P538" location="Acts!A12" display="Go to Act"/>
    <hyperlink ref="P539" location="Acts!A12" display="Go to Act"/>
    <hyperlink ref="P540" location="Acts!A12" display="Go to Act"/>
    <hyperlink ref="P541" location="Acts!A12" display="Go to Act"/>
    <hyperlink ref="P542" location="Acts!A12" display="Go to Act"/>
    <hyperlink ref="P543" location="Acts!A12" display="Go to Act"/>
    <hyperlink ref="P544" location="Acts!A12" display="Go to Act"/>
    <hyperlink ref="P545" location="Acts!A12" display="Go to Act"/>
    <hyperlink ref="P546" location="Acts!A12" display="Go to Act"/>
    <hyperlink ref="P547" location="Acts!A12" display="Go to Act"/>
    <hyperlink ref="P548" location="Acts!A12" display="Go to Act"/>
    <hyperlink ref="P549" location="Acts!A12" display="Go to Act"/>
    <hyperlink ref="P550" location="Acts!A12" display="Go to Act"/>
    <hyperlink ref="P551" location="Acts!A12" display="Go to Act"/>
    <hyperlink ref="P552" location="Acts!A12" display="Go to Act"/>
    <hyperlink ref="P553" location="Acts!A12" display="Go to Act"/>
    <hyperlink ref="P554" location="Acts!A12" display="Go to Act"/>
    <hyperlink ref="P555" location="Acts!A12" display="Go to Act"/>
    <hyperlink ref="P556" location="Acts!A12" display="Go to Act"/>
    <hyperlink ref="P557" location="Acts!A12" display="Go to Act"/>
    <hyperlink ref="P558" location="Acts!A12" display="Go to Act"/>
    <hyperlink ref="P559" location="Acts!A12" display="Go to Act"/>
    <hyperlink ref="P560" location="Acts!A12" display="Go to Act"/>
    <hyperlink ref="P561" location="Acts!A12" display="Go to Act"/>
    <hyperlink ref="P562" location="Acts!A12" display="Go to Act"/>
    <hyperlink ref="P563" location="Acts!A12" display="Go to Act"/>
    <hyperlink ref="P564" location="Acts!A12" display="Go to Act"/>
    <hyperlink ref="P565" location="Acts!A12" display="Go to Act"/>
    <hyperlink ref="P566" location="Acts!A12" display="Go to Act"/>
    <hyperlink ref="P567" location="Acts!A12" display="Go to Act"/>
    <hyperlink ref="P568" location="Acts!A12" display="Go to Act"/>
    <hyperlink ref="P569" location="Acts!A12" display="Go to Act"/>
    <hyperlink ref="P570" location="Acts!A12" display="Go to Act"/>
    <hyperlink ref="P571" location="Acts!A12" display="Go to Act"/>
    <hyperlink ref="P572" location="Acts!A12" display="Go to Act"/>
    <hyperlink ref="P573" location="Acts!A12" display="Go to Act"/>
    <hyperlink ref="P574" location="Acts!A12" display="Go to Act"/>
    <hyperlink ref="P575" location="Acts!A12" display="Go to Act"/>
    <hyperlink ref="P576" location="Acts!A12" display="Go to Act"/>
    <hyperlink ref="P577" location="Acts!A12" display="Go to Act"/>
    <hyperlink ref="P578" location="Acts!A12" display="Go to Act"/>
    <hyperlink ref="P579" location="Acts!A13" display="Go to Act"/>
    <hyperlink ref="P580" location="Acts!A13" display="Go to Act"/>
    <hyperlink ref="P581" location="Acts!A13" display="Go to Act"/>
    <hyperlink ref="P582" location="Acts!A13" display="Go to Act"/>
    <hyperlink ref="P583" location="Acts!A13" display="Go to Act"/>
    <hyperlink ref="P584" location="Acts!A13" display="Go to Act"/>
    <hyperlink ref="P585" location="Acts!A13" display="Go to Act"/>
    <hyperlink ref="P586" location="Acts!A13" display="Go to Act"/>
    <hyperlink ref="P587" location="Acts!A13" display="Go to Act"/>
    <hyperlink ref="P588" location="Acts!A13" display="Go to Act"/>
    <hyperlink ref="P589" location="Acts!A13" display="Go to Act"/>
    <hyperlink ref="P590" location="Acts!A13" display="Go to Act"/>
    <hyperlink ref="P591" location="Acts!A13" display="Go to Act"/>
    <hyperlink ref="P592" location="Acts!A13" display="Go to Act"/>
    <hyperlink ref="P593" location="Acts!A13" display="Go to Act"/>
    <hyperlink ref="P594" location="Acts!A13" display="Go to Act"/>
    <hyperlink ref="P595" location="Acts!A13" display="Go to Act"/>
    <hyperlink ref="P596" location="Acts!A13" display="Go to Act"/>
    <hyperlink ref="P597" location="Acts!A13" display="Go to Act"/>
    <hyperlink ref="P598" location="Acts!A13" display="Go to Act"/>
    <hyperlink ref="P599" location="Acts!A13" display="Go to Act"/>
    <hyperlink ref="P600" location="Acts!A13" display="Go to Act"/>
    <hyperlink ref="P601" location="Acts!A13" display="Go to Act"/>
    <hyperlink ref="P602" location="Acts!A13" display="Go to Act"/>
    <hyperlink ref="P603" location="Acts!A13" display="Go to Act"/>
    <hyperlink ref="P604" location="Acts!A13" display="Go to Act"/>
    <hyperlink ref="P605" location="Acts!A13" display="Go to Act"/>
    <hyperlink ref="P606" location="Acts!A13" display="Go to Act"/>
    <hyperlink ref="P607" location="Acts!A13" display="Go to Act"/>
    <hyperlink ref="P608" location="Acts!A13" display="Go to Act"/>
    <hyperlink ref="P609" location="Acts!A13" display="Go to Act"/>
    <hyperlink ref="P610" location="Acts!A13" display="Go to Act"/>
    <hyperlink ref="P611" location="Acts!A13" display="Go to Act"/>
    <hyperlink ref="P612" location="Acts!A13" display="Go to Act"/>
    <hyperlink ref="P613" location="Acts!A13" display="Go to Act"/>
    <hyperlink ref="P614" location="Acts!A13" display="Go to Act"/>
    <hyperlink ref="P615" location="Acts!A13" display="Go to Act"/>
    <hyperlink ref="P616" location="Acts!A13" display="Go to Act"/>
    <hyperlink ref="P617" location="Acts!A13" display="Go to Act"/>
    <hyperlink ref="P618" location="Acts!A13" display="Go to Act"/>
    <hyperlink ref="P619" location="Acts!A13" display="Go to Act"/>
    <hyperlink ref="P620" location="Acts!A13" display="Go to Act"/>
    <hyperlink ref="P621" location="Acts!A13" display="Go to Act"/>
    <hyperlink ref="P622" location="Acts!A13" display="Go to Act"/>
    <hyperlink ref="P623" location="Acts!A13" display="Go to Act"/>
    <hyperlink ref="P624" location="Acts!A13" display="Go to Act"/>
    <hyperlink ref="P625" location="Acts!A13" display="Go to Act"/>
    <hyperlink ref="P626" location="Acts!A13" display="Go to Act"/>
    <hyperlink ref="P627" location="Acts!A13" display="Go to Act"/>
    <hyperlink ref="P628" location="Acts!A13" display="Go to Act"/>
    <hyperlink ref="P629" location="Acts!A13" display="Go to Act"/>
    <hyperlink ref="P630" location="Acts!A13" display="Go to Act"/>
    <hyperlink ref="P631" location="Acts!A13" display="Go to Act"/>
    <hyperlink ref="P632" location="Acts!A13" display="Go to Act"/>
    <hyperlink ref="P633" location="Acts!A13" display="Go to Act"/>
    <hyperlink ref="P634" location="Acts!A13" display="Go to Act"/>
    <hyperlink ref="P635" location="Acts!A13" display="Go to Act"/>
    <hyperlink ref="P636" location="Acts!A13" display="Go to Act"/>
    <hyperlink ref="P637" location="Acts!A13" display="Go to Act"/>
    <hyperlink ref="P638" location="Acts!A13" display="Go to Act"/>
    <hyperlink ref="P639" location="Acts!A13" display="Go to Act"/>
    <hyperlink ref="P640" location="Acts!A13" display="Go to Act"/>
    <hyperlink ref="P641" location="Acts!A13" display="Go to Act"/>
    <hyperlink ref="P642" location="Acts!A13" display="Go to Act"/>
    <hyperlink ref="P643" location="Acts!A13" display="Go to Act"/>
    <hyperlink ref="P644" location="Acts!A13" display="Go to Act"/>
    <hyperlink ref="P645" location="Acts!A13" display="Go to Act"/>
    <hyperlink ref="P646" location="Acts!A13" display="Go to Act"/>
    <hyperlink ref="P647" location="Acts!A13" display="Go to Act"/>
    <hyperlink ref="P648" location="Acts!A13" display="Go to Act"/>
    <hyperlink ref="P649" location="Acts!A13" display="Go to Act"/>
    <hyperlink ref="P650" location="Acts!A13" display="Go to Act"/>
    <hyperlink ref="P651" location="Acts!A13" display="Go to Act"/>
    <hyperlink ref="P652" location="Acts!A13" display="Go to Act"/>
    <hyperlink ref="P653" location="Acts!A13" display="Go to Act"/>
    <hyperlink ref="P654" location="Acts!A13" display="Go to Act"/>
    <hyperlink ref="P655" location="Acts!A13" display="Go to Act"/>
    <hyperlink ref="P656" location="Acts!A13" display="Go to Act"/>
    <hyperlink ref="P657" location="Acts!A13" display="Go to Act"/>
    <hyperlink ref="P658" location="Acts!A13" display="Go to Act"/>
    <hyperlink ref="P659" location="Acts!A13" display="Go to Act"/>
    <hyperlink ref="P660" location="Acts!A13" display="Go to Act"/>
    <hyperlink ref="P661" location="Acts!A13" display="Go to Act"/>
    <hyperlink ref="P662" location="Acts!A13" display="Go to Act"/>
    <hyperlink ref="P663" location="Acts!A13" display="Go to Act"/>
    <hyperlink ref="P664" location="Acts!A13" display="Go to Act"/>
    <hyperlink ref="P665" location="Acts!A13" display="Go to Act"/>
    <hyperlink ref="P666" location="Acts!A13" display="Go to Act"/>
    <hyperlink ref="P667" location="Acts!A13" display="Go to Act"/>
    <hyperlink ref="P668" location="Acts!A13" display="Go to Act"/>
    <hyperlink ref="P669" location="Acts!A13" display="Go to Act"/>
    <hyperlink ref="P670" location="Acts!A13" display="Go to Act"/>
    <hyperlink ref="P671" location="Acts!A13" display="Go to Act"/>
    <hyperlink ref="P672" location="Acts!A13" display="Go to Act"/>
    <hyperlink ref="P673" location="Acts!A13" display="Go to Act"/>
    <hyperlink ref="P674" location="Acts!A13" display="Go to Act"/>
    <hyperlink ref="P675" location="Acts!A13" display="Go to Act"/>
    <hyperlink ref="P676" location="Acts!A13" display="Go to Act"/>
    <hyperlink ref="P677" location="Acts!A13" display="Go to Act"/>
    <hyperlink ref="P678" location="Acts!A13" display="Go to Act"/>
    <hyperlink ref="P679" location="Acts!A13" display="Go to Act"/>
    <hyperlink ref="P680" location="Acts!A13" display="Go to Act"/>
    <hyperlink ref="P681" location="Acts!A13" display="Go to Act"/>
    <hyperlink ref="P682" location="Acts!A13" display="Go to Act"/>
    <hyperlink ref="P683" location="Acts!A13" display="Go to Act"/>
    <hyperlink ref="P684" location="Acts!A13" display="Go to Act"/>
    <hyperlink ref="P685" location="Acts!A13" display="Go to Act"/>
    <hyperlink ref="P686" location="Acts!A13" display="Go to Act"/>
    <hyperlink ref="P687" location="Acts!A13" display="Go to Act"/>
    <hyperlink ref="P688" location="Acts!A13" display="Go to Act"/>
    <hyperlink ref="P689" location="Acts!A13" display="Go to Act"/>
    <hyperlink ref="P690" location="Acts!A13" display="Go to Act"/>
    <hyperlink ref="P691" location="Acts!A13" display="Go to Act"/>
    <hyperlink ref="P692" location="Acts!A13" display="Go to Act"/>
    <hyperlink ref="P693" location="Acts!A13" display="Go to Act"/>
    <hyperlink ref="P694" location="Acts!A13" display="Go to Act"/>
    <hyperlink ref="P695" location="Acts!A13" display="Go to Act"/>
    <hyperlink ref="P696" location="Acts!A13" display="Go to Act"/>
    <hyperlink ref="P697" location="Acts!A13" display="Go to Act"/>
    <hyperlink ref="P698" location="Acts!A13" display="Go to Act"/>
    <hyperlink ref="P699" location="Acts!A13" display="Go to Act"/>
    <hyperlink ref="P700" location="Acts!A13" display="Go to Act"/>
    <hyperlink ref="P701" location="Acts!A13" display="Go to Act"/>
    <hyperlink ref="P702" location="Acts!A13" display="Go to Act"/>
    <hyperlink ref="P703" location="Acts!A13" display="Go to Act"/>
    <hyperlink ref="P704" location="Acts!A13" display="Go to Act"/>
    <hyperlink ref="P705" location="Acts!A13" display="Go to Act"/>
    <hyperlink ref="P706" location="Acts!A13" display="Go to Act"/>
    <hyperlink ref="P707" location="Acts!A13" display="Go to Act"/>
    <hyperlink ref="P708" location="Acts!A13" display="Go to Act"/>
    <hyperlink ref="P709" location="Acts!A13" display="Go to Act"/>
    <hyperlink ref="P710" location="Acts!A13" display="Go to Act"/>
    <hyperlink ref="P711" location="Acts!A13" display="Go to Act"/>
    <hyperlink ref="P712" location="Acts!A13" display="Go to Act"/>
    <hyperlink ref="P713" location="Acts!A13" display="Go to Act"/>
    <hyperlink ref="P714" location="Acts!A13" display="Go to Act"/>
    <hyperlink ref="P715" location="Acts!A13" display="Go to Act"/>
    <hyperlink ref="P716" location="Acts!A13" display="Go to Act"/>
    <hyperlink ref="P717" location="Acts!A13" display="Go to Act"/>
    <hyperlink ref="P718" location="Acts!A13" display="Go to Act"/>
    <hyperlink ref="P719" location="Acts!A13" display="Go to Act"/>
    <hyperlink ref="P720" location="Acts!A13" display="Go to Act"/>
    <hyperlink ref="P721" location="Acts!A13" display="Go to Act"/>
    <hyperlink ref="P722" location="Acts!A13" display="Go to Act"/>
    <hyperlink ref="P723" location="Acts!A13" display="Go to Act"/>
    <hyperlink ref="P724" location="Acts!A13" display="Go to Act"/>
    <hyperlink ref="P725" location="Acts!A13" display="Go to Act"/>
    <hyperlink ref="P726" location="Acts!A13" display="Go to Act"/>
    <hyperlink ref="P727" location="Acts!A13" display="Go to Act"/>
    <hyperlink ref="P728" location="Acts!A13" display="Go to Act"/>
    <hyperlink ref="P729" location="Acts!A13" display="Go to Act"/>
    <hyperlink ref="P730" location="Acts!A13" display="Go to Act"/>
    <hyperlink ref="P731" location="Acts!A13" display="Go to Act"/>
    <hyperlink ref="P732" location="Acts!A13" display="Go to Act"/>
    <hyperlink ref="P733" location="Acts!A13" display="Go to Act"/>
    <hyperlink ref="P734" location="Acts!A13" display="Go to Act"/>
    <hyperlink ref="P735" location="Acts!A13" display="Go to Act"/>
    <hyperlink ref="P736" location="Acts!A13" display="Go to Act"/>
    <hyperlink ref="P737" location="Acts!A13" display="Go to Act"/>
    <hyperlink ref="P738" location="Acts!A13" display="Go to Act"/>
    <hyperlink ref="P739" location="Acts!A13" display="Go to Act"/>
    <hyperlink ref="P740" location="Acts!A13" display="Go to Act"/>
    <hyperlink ref="P741" location="Acts!A13" display="Go to Act"/>
    <hyperlink ref="P742" location="Acts!A13" display="Go to Act"/>
    <hyperlink ref="P743" location="Acts!A13" display="Go to Act"/>
    <hyperlink ref="P744" location="Acts!A13" display="Go to Act"/>
    <hyperlink ref="P745" location="Acts!A13" display="Go to Act"/>
    <hyperlink ref="P746" location="Acts!A13" display="Go to Act"/>
    <hyperlink ref="P747" location="Acts!A13" display="Go to Act"/>
    <hyperlink ref="P748" location="Acts!A13" display="Go to Act"/>
    <hyperlink ref="P749" location="Acts!A13" display="Go to Act"/>
    <hyperlink ref="P750" location="Acts!A13" display="Go to Act"/>
    <hyperlink ref="P751" location="Acts!A13" display="Go to Act"/>
    <hyperlink ref="P752" location="Acts!A13" display="Go to Act"/>
    <hyperlink ref="P753" location="Acts!A13" display="Go to Act"/>
    <hyperlink ref="P754" location="Acts!A13" display="Go to Act"/>
    <hyperlink ref="P755" location="Acts!A13" display="Go to Act"/>
    <hyperlink ref="P756" location="Acts!A13" display="Go to Act"/>
    <hyperlink ref="P757" location="Acts!A13" display="Go to Act"/>
    <hyperlink ref="P758" location="Acts!A13" display="Go to Act"/>
    <hyperlink ref="P759" location="Acts!A13" display="Go to Act"/>
    <hyperlink ref="P760" location="Acts!A13" display="Go to Act"/>
    <hyperlink ref="P761" location="Acts!A13" display="Go to Act"/>
    <hyperlink ref="P762" location="Acts!A13" display="Go to Act"/>
    <hyperlink ref="P763" location="Acts!A13" display="Go to Act"/>
    <hyperlink ref="P764" location="Acts!A13" display="Go to Act"/>
    <hyperlink ref="P765" location="Acts!A13" display="Go to Act"/>
    <hyperlink ref="P766" location="Acts!A13" display="Go to Act"/>
    <hyperlink ref="P767" location="Acts!A13" display="Go to Act"/>
    <hyperlink ref="P768" location="Acts!A13" display="Go to Act"/>
    <hyperlink ref="P769" location="Acts!A13" display="Go to Act"/>
    <hyperlink ref="P770" location="Acts!A13" display="Go to Act"/>
    <hyperlink ref="P771" location="Acts!A13" display="Go to Act"/>
    <hyperlink ref="P772" location="Acts!A13" display="Go to Act"/>
    <hyperlink ref="P773" location="Acts!A13" display="Go to Act"/>
    <hyperlink ref="P774" location="Acts!A13" display="Go to Act"/>
    <hyperlink ref="P775" location="Acts!A13" display="Go to Act"/>
    <hyperlink ref="P776" location="Acts!A13" display="Go to Act"/>
    <hyperlink ref="P777" location="Acts!A13" display="Go to Act"/>
    <hyperlink ref="P778" location="Acts!A13" display="Go to Act"/>
    <hyperlink ref="P779" location="Acts!A13" display="Go to Act"/>
    <hyperlink ref="P780" location="Acts!A13" display="Go to Act"/>
    <hyperlink ref="P781" location="Acts!A13" display="Go to Act"/>
    <hyperlink ref="P782" location="Acts!A13" display="Go to Act"/>
    <hyperlink ref="P783" location="Acts!A13" display="Go to Act"/>
    <hyperlink ref="P784" location="Acts!A13" display="Go to Act"/>
    <hyperlink ref="P785" location="Acts!A13" display="Go to Act"/>
    <hyperlink ref="P786" location="Acts!A13" display="Go to Act"/>
    <hyperlink ref="P787" location="Acts!A13" display="Go to Act"/>
    <hyperlink ref="P788" location="Acts!A13" display="Go to Act"/>
    <hyperlink ref="P789" location="Acts!A13" display="Go to Act"/>
    <hyperlink ref="P790" location="Acts!A13" display="Go to Act"/>
    <hyperlink ref="P791" location="Acts!A13" display="Go to Act"/>
    <hyperlink ref="P792" location="Acts!A13" display="Go to Act"/>
    <hyperlink ref="P793" location="Acts!A13" display="Go to Act"/>
    <hyperlink ref="P794" location="Acts!A13" display="Go to Act"/>
    <hyperlink ref="P795" location="Acts!A13" display="Go to Act"/>
    <hyperlink ref="P796" location="Acts!A13" display="Go to Act"/>
    <hyperlink ref="P797" location="Acts!A13" display="Go to Act"/>
    <hyperlink ref="P798" location="Acts!A13" display="Go to Act"/>
    <hyperlink ref="P799" location="Acts!A13" display="Go to Act"/>
    <hyperlink ref="P800" location="Acts!A13" display="Go to Act"/>
    <hyperlink ref="P801" location="Acts!A13" display="Go to Act"/>
    <hyperlink ref="P802" location="Acts!A13" display="Go to Act"/>
    <hyperlink ref="P803" location="Acts!A13" display="Go to Act"/>
    <hyperlink ref="P804" location="Acts!A13" display="Go to Act"/>
    <hyperlink ref="P805" location="Acts!A13" display="Go to Act"/>
    <hyperlink ref="P806" location="Acts!A13" display="Go to Act"/>
    <hyperlink ref="P807" location="Acts!A13" display="Go to Act"/>
    <hyperlink ref="P808" location="Acts!A13" display="Go to Act"/>
    <hyperlink ref="P809" location="Acts!A13" display="Go to Act"/>
    <hyperlink ref="P810" location="Acts!A13" display="Go to Act"/>
    <hyperlink ref="P811" location="Acts!A13" display="Go to Act"/>
    <hyperlink ref="P812" location="Acts!A13" display="Go to Act"/>
    <hyperlink ref="P813" location="Acts!A13" display="Go to Act"/>
    <hyperlink ref="P814" location="Acts!A13" display="Go to Act"/>
    <hyperlink ref="P815" location="Acts!A13" display="Go to Act"/>
    <hyperlink ref="P816" location="Acts!A13" display="Go to Act"/>
    <hyperlink ref="P817" location="Acts!A13" display="Go to Act"/>
    <hyperlink ref="P818" location="Acts!A13" display="Go to Act"/>
    <hyperlink ref="P819" location="Acts!A13" display="Go to Act"/>
    <hyperlink ref="P820" location="Acts!A13" display="Go to Act"/>
    <hyperlink ref="P821" location="Acts!A13" display="Go to Act"/>
    <hyperlink ref="P822" location="Acts!A13" display="Go to Act"/>
    <hyperlink ref="P823" location="Acts!A13" display="Go to Act"/>
    <hyperlink ref="P824" location="Acts!A13" display="Go to Act"/>
    <hyperlink ref="P825" location="Acts!A13" display="Go to Act"/>
    <hyperlink ref="P826" location="Acts!A13" display="Go to Act"/>
    <hyperlink ref="P827" location="Acts!A13" display="Go to Act"/>
    <hyperlink ref="P828" location="Acts!A13" display="Go to Act"/>
    <hyperlink ref="P829" location="Acts!A13" display="Go to Act"/>
    <hyperlink ref="P830" location="Acts!A13" display="Go to Act"/>
    <hyperlink ref="P831" location="Acts!A13" display="Go to Act"/>
    <hyperlink ref="P832" location="Acts!A13" display="Go to Act"/>
    <hyperlink ref="P833" location="Acts!A13" display="Go to Act"/>
    <hyperlink ref="P834" location="Acts!A13" display="Go to Act"/>
    <hyperlink ref="P835" location="Acts!A13" display="Go to Act"/>
    <hyperlink ref="P836" location="Acts!A13" display="Go to Act"/>
    <hyperlink ref="P837" location="Acts!A13" display="Go to Act"/>
    <hyperlink ref="P838" location="Acts!A13" display="Go to Act"/>
    <hyperlink ref="P839" location="Acts!A13" display="Go to Act"/>
    <hyperlink ref="P840" location="Acts!A13" display="Go to Act"/>
    <hyperlink ref="P841" location="Acts!A13" display="Go to Act"/>
    <hyperlink ref="P842" location="Acts!A13" display="Go to Act"/>
    <hyperlink ref="P843" location="Acts!A13" display="Go to Act"/>
    <hyperlink ref="P844" location="Acts!A13" display="Go to Act"/>
    <hyperlink ref="P845" location="Acts!A13" display="Go to Act"/>
    <hyperlink ref="P846" location="Acts!A13" display="Go to Act"/>
    <hyperlink ref="P847" location="Acts!A13" display="Go to Act"/>
    <hyperlink ref="P848" location="Acts!A13" display="Go to Act"/>
    <hyperlink ref="P849" location="Acts!A13" display="Go to Act"/>
    <hyperlink ref="P850" location="Acts!A13" display="Go to Act"/>
    <hyperlink ref="P851" location="Acts!A13" display="Go to Act"/>
    <hyperlink ref="P852" location="Acts!A13" display="Go to Act"/>
    <hyperlink ref="P853" location="Acts!A13" display="Go to Act"/>
    <hyperlink ref="P854" location="Acts!A13" display="Go to Act"/>
    <hyperlink ref="P855" location="Acts!A13" display="Go to Act"/>
    <hyperlink ref="P856" location="Acts!A13" display="Go to Act"/>
    <hyperlink ref="P857" location="Acts!A13" display="Go to Act"/>
    <hyperlink ref="P858" location="Acts!A13" display="Go to Act"/>
    <hyperlink ref="P859" location="Acts!A13" display="Go to Act"/>
    <hyperlink ref="P860" location="Acts!A13" display="Go to Act"/>
    <hyperlink ref="P861" location="Acts!A13" display="Go to Act"/>
    <hyperlink ref="P862" location="Acts!A13" display="Go to Act"/>
    <hyperlink ref="P863" location="Acts!A14" display="Go to Act"/>
    <hyperlink ref="P864" location="Acts!A14" display="Go to Act"/>
    <hyperlink ref="P865" location="Acts!A14" display="Go to Act"/>
    <hyperlink ref="P866" location="Acts!A14" display="Go to Act"/>
    <hyperlink ref="P867" location="Acts!A14" display="Go to Act"/>
    <hyperlink ref="P868" location="Acts!A14" display="Go to Act"/>
    <hyperlink ref="P869" location="Acts!A14" display="Go to Act"/>
    <hyperlink ref="P870" location="Acts!A14" display="Go to Act"/>
    <hyperlink ref="P871" location="Acts!A14" display="Go to Act"/>
    <hyperlink ref="P872" location="Acts!A14" display="Go to Act"/>
    <hyperlink ref="P873" location="Acts!A14" display="Go to Act"/>
    <hyperlink ref="P874" location="Acts!A14" display="Go to Act"/>
    <hyperlink ref="P875" location="Acts!A14" display="Go to Act"/>
    <hyperlink ref="P876" location="Acts!A14" display="Go to Act"/>
    <hyperlink ref="P877" location="Acts!A14" display="Go to Act"/>
    <hyperlink ref="P878" location="Acts!A14" display="Go to Act"/>
    <hyperlink ref="P879" location="Acts!A14" display="Go to Act"/>
    <hyperlink ref="P880" location="Acts!A14" display="Go to Act"/>
    <hyperlink ref="P881" location="Acts!A14" display="Go to Act"/>
    <hyperlink ref="P882" location="Acts!A14" display="Go to Act"/>
    <hyperlink ref="P883" location="Acts!A14" display="Go to Act"/>
    <hyperlink ref="P884" location="Acts!A14" display="Go to Act"/>
    <hyperlink ref="P885" location="Acts!A14" display="Go to Act"/>
    <hyperlink ref="P886" location="Acts!A14" display="Go to Act"/>
    <hyperlink ref="P887" location="Acts!A14" display="Go to Act"/>
    <hyperlink ref="P888" location="Acts!A14" display="Go to Act"/>
    <hyperlink ref="P889" location="Acts!A14" display="Go to Act"/>
    <hyperlink ref="P890" location="Acts!A14" display="Go to Act"/>
    <hyperlink ref="P891" location="Acts!A14" display="Go to Act"/>
    <hyperlink ref="P892" location="Acts!A14" display="Go to Act"/>
    <hyperlink ref="P893" location="Acts!A14" display="Go to Act"/>
    <hyperlink ref="P894" location="Acts!A14" display="Go to Act"/>
    <hyperlink ref="P895" location="Acts!A14" display="Go to Act"/>
    <hyperlink ref="P896" location="Acts!A14" display="Go to Act"/>
    <hyperlink ref="P897" location="Acts!A14" display="Go to Act"/>
    <hyperlink ref="P898" location="Acts!A14" display="Go to Act"/>
    <hyperlink ref="P899" location="Acts!A14" display="Go to Act"/>
    <hyperlink ref="P900" location="Acts!A14" display="Go to Act"/>
    <hyperlink ref="P901" location="Acts!A14" display="Go to Act"/>
    <hyperlink ref="P902" location="Acts!A14" display="Go to Act"/>
    <hyperlink ref="P903" location="Acts!A14" display="Go to Act"/>
    <hyperlink ref="P904" location="Acts!A14" display="Go to Act"/>
    <hyperlink ref="P905" location="Acts!A14" display="Go to Act"/>
    <hyperlink ref="P906" location="Acts!A14" display="Go to Act"/>
    <hyperlink ref="P907" location="Acts!A14" display="Go to Act"/>
    <hyperlink ref="P908" location="Acts!A14" display="Go to Act"/>
    <hyperlink ref="P909" location="Acts!A14" display="Go to Act"/>
    <hyperlink ref="P910" location="Acts!A14" display="Go to Act"/>
    <hyperlink ref="P911" location="Acts!A14" display="Go to Act"/>
    <hyperlink ref="P912" location="Acts!A14" display="Go to Act"/>
    <hyperlink ref="P913" location="Acts!A14" display="Go to Act"/>
    <hyperlink ref="P914" location="Acts!A14" display="Go to Act"/>
    <hyperlink ref="P915" location="Acts!A14" display="Go to Act"/>
    <hyperlink ref="P916" location="Acts!A14" display="Go to Act"/>
    <hyperlink ref="P917" location="Acts!A14" display="Go to Act"/>
    <hyperlink ref="P918" location="Acts!A14" display="Go to Act"/>
    <hyperlink ref="P919" location="Acts!A14" display="Go to Act"/>
    <hyperlink ref="P920" location="Acts!A14" display="Go to Act"/>
    <hyperlink ref="P921" location="Acts!A14" display="Go to Act"/>
    <hyperlink ref="P922" location="Acts!A14" display="Go to Act"/>
    <hyperlink ref="P923" location="Acts!A14" display="Go to Act"/>
    <hyperlink ref="P924" location="Acts!A14" display="Go to Act"/>
    <hyperlink ref="P925" location="Acts!A14" display="Go to Act"/>
    <hyperlink ref="P926" location="Acts!A14" display="Go to Act"/>
    <hyperlink ref="P927" location="Acts!A14" display="Go to Act"/>
    <hyperlink ref="P928" location="Acts!A14" display="Go to Act"/>
    <hyperlink ref="P929" location="Acts!A14" display="Go to Act"/>
    <hyperlink ref="P930" location="Acts!A14" display="Go to Act"/>
    <hyperlink ref="P931" location="Acts!A14" display="Go to Act"/>
    <hyperlink ref="P932" location="Acts!A15" display="Go to Act"/>
    <hyperlink ref="P933" location="Acts!A15" display="Go to Act"/>
    <hyperlink ref="P934" location="Acts!A15" display="Go to Act"/>
    <hyperlink ref="P935" location="Acts!A15" display="Go to Act"/>
    <hyperlink ref="P936" location="Acts!A15" display="Go to Act"/>
    <hyperlink ref="P937" location="Acts!A15" display="Go to Act"/>
    <hyperlink ref="P938" location="Acts!A15" display="Go to Act"/>
    <hyperlink ref="P939" location="Acts!A15" display="Go to Act"/>
    <hyperlink ref="P940" location="Acts!A15" display="Go to Act"/>
    <hyperlink ref="P941" location="Acts!A15" display="Go to Act"/>
    <hyperlink ref="P942" location="Acts!A15" display="Go to Act"/>
    <hyperlink ref="P943" location="Acts!A15" display="Go to Act"/>
    <hyperlink ref="P944" location="Acts!A15" display="Go to Act"/>
    <hyperlink ref="P945" location="Acts!A15" display="Go to Act"/>
    <hyperlink ref="P946" location="Acts!A15" display="Go to Act"/>
    <hyperlink ref="P947" location="Acts!A16" display="Go to Act"/>
    <hyperlink ref="P948" location="Acts!A16" display="Go to Act"/>
    <hyperlink ref="P949" location="Acts!A16" display="Go to Act"/>
    <hyperlink ref="P950" location="Acts!A16" display="Go to Act"/>
    <hyperlink ref="P951" location="Acts!A16" display="Go to Act"/>
    <hyperlink ref="P952" location="Acts!A16" display="Go to Act"/>
    <hyperlink ref="P953" location="Acts!A16" display="Go to Act"/>
    <hyperlink ref="P954" location="Acts!A16" display="Go to Act"/>
    <hyperlink ref="P955" location="Acts!A16" display="Go to Act"/>
    <hyperlink ref="P956" location="Acts!A16" display="Go to Act"/>
    <hyperlink ref="P957" location="Acts!A16" display="Go to Act"/>
    <hyperlink ref="P958" location="Acts!A16" display="Go to Act"/>
    <hyperlink ref="P959" location="Acts!A16" display="Go to Act"/>
    <hyperlink ref="P960" location="Acts!A16" display="Go to Act"/>
    <hyperlink ref="P961" location="Acts!A16" display="Go to Act"/>
    <hyperlink ref="P962" location="Acts!A17" display="Go to Act"/>
    <hyperlink ref="P963" location="Acts!A17" display="Go to Act"/>
    <hyperlink ref="P964" location="Acts!A17" display="Go to Act"/>
    <hyperlink ref="P965" location="Acts!A17" display="Go to Act"/>
    <hyperlink ref="P966" location="Acts!A17" display="Go to Act"/>
    <hyperlink ref="P967" location="Acts!A17" display="Go to Act"/>
    <hyperlink ref="P968" location="Acts!A17" display="Go to Act"/>
    <hyperlink ref="P969" location="Acts!A17" display="Go to Act"/>
    <hyperlink ref="P970" location="Acts!A17" display="Go to Act"/>
    <hyperlink ref="P971" location="Acts!A17" display="Go to Act"/>
    <hyperlink ref="P972" location="Acts!A17" display="Go to Act"/>
    <hyperlink ref="P973" location="Acts!A17" display="Go to Act"/>
    <hyperlink ref="P974" location="Acts!A17" display="Go to Act"/>
    <hyperlink ref="P975" location="Acts!A17" display="Go to Act"/>
    <hyperlink ref="P976" location="Acts!A17" display="Go to Act"/>
    <hyperlink ref="P977" location="Acts!A17" display="Go to Act"/>
    <hyperlink ref="P978" location="Acts!A17" display="Go to Act"/>
    <hyperlink ref="P979" location="Acts!A17" display="Go to Act"/>
    <hyperlink ref="P980" location="Acts!A17" display="Go to Act"/>
    <hyperlink ref="P981" location="Acts!A17" display="Go to Act"/>
    <hyperlink ref="P982" location="Acts!A17" display="Go to Act"/>
    <hyperlink ref="P983" location="Acts!A17" display="Go to Act"/>
    <hyperlink ref="P984" location="Acts!A17" display="Go to Act"/>
    <hyperlink ref="P985" location="Acts!A17" display="Go to Act"/>
    <hyperlink ref="P986" location="Acts!A17" display="Go to Act"/>
    <hyperlink ref="P987" location="Acts!A17" display="Go to Act"/>
    <hyperlink ref="P988" location="Acts!A17" display="Go to Act"/>
    <hyperlink ref="P989" location="Acts!A17" display="Go to Act"/>
    <hyperlink ref="P990" location="Acts!A17" display="Go to Act"/>
    <hyperlink ref="P991" location="Acts!A17" display="Go to Act"/>
    <hyperlink ref="P992" location="Acts!A17" display="Go to Act"/>
    <hyperlink ref="P993" location="Acts!A17" display="Go to Act"/>
    <hyperlink ref="P994" location="Acts!A17" display="Go to Act"/>
    <hyperlink ref="P995" location="Acts!A17" display="Go to Act"/>
    <hyperlink ref="P996" location="Acts!A17" display="Go to Act"/>
    <hyperlink ref="P997" location="Acts!A17" display="Go to Act"/>
    <hyperlink ref="P998" location="Acts!A17" display="Go to Act"/>
    <hyperlink ref="P999" location="Acts!A17" display="Go to Act"/>
    <hyperlink ref="P1000" location="Acts!A17" display="Go to Act"/>
    <hyperlink ref="P1001" location="Acts!A17" display="Go to Act"/>
    <hyperlink ref="P1002" location="Acts!A17" display="Go to Act"/>
    <hyperlink ref="P1003" location="Acts!A17" display="Go to Act"/>
    <hyperlink ref="P1004" location="Acts!A17" display="Go to Act"/>
    <hyperlink ref="P1005" location="Acts!A17" display="Go to Act"/>
    <hyperlink ref="P1006" location="Acts!A17" display="Go to Act"/>
    <hyperlink ref="P1007" location="Acts!A17" display="Go to Act"/>
    <hyperlink ref="P1008" location="Acts!A17" display="Go to Act"/>
    <hyperlink ref="P1009" location="Acts!A17" display="Go to Act"/>
    <hyperlink ref="P1010" location="Acts!A17" display="Go to Act"/>
    <hyperlink ref="P1011" location="Acts!A17" display="Go to Act"/>
    <hyperlink ref="P1012" location="Acts!A17" display="Go to Act"/>
    <hyperlink ref="P1013" location="Acts!A17" display="Go to Act"/>
    <hyperlink ref="P1014" location="Acts!A17" display="Go to Act"/>
    <hyperlink ref="P1015" location="Acts!A17" display="Go to Act"/>
    <hyperlink ref="P1016" location="Acts!A19" display="Go to Act"/>
    <hyperlink ref="P1017" location="Acts!A19" display="Go to Act"/>
    <hyperlink ref="P1018" location="Acts!A20" display="Go to Act"/>
    <hyperlink ref="P1019" location="Acts!A20" display="Go to Act"/>
    <hyperlink ref="P1020" location="Acts!A20" display="Go to Act"/>
    <hyperlink ref="P1021" location="Acts!A20" display="Go to Act"/>
    <hyperlink ref="P1022" location="Acts!A20" display="Go to Act"/>
    <hyperlink ref="P1023" location="Acts!A20" display="Go to Act"/>
    <hyperlink ref="P1024" location="Acts!A20" display="Go to Act"/>
    <hyperlink ref="P1025" location="Acts!A20" display="Go to Act"/>
    <hyperlink ref="P1026" location="Acts!A20" display="Go to Act"/>
    <hyperlink ref="P1027" location="Acts!A20" display="Go to Act"/>
    <hyperlink ref="P1028" location="Acts!A20" display="Go to Act"/>
    <hyperlink ref="P1029" location="Acts!A20" display="Go to Act"/>
    <hyperlink ref="P1030" location="Acts!A20" display="Go to Act"/>
    <hyperlink ref="P1031" location="Acts!A20" display="Go to Act"/>
    <hyperlink ref="P1032" location="Acts!A20" display="Go to Act"/>
    <hyperlink ref="P1033" location="Acts!A20" display="Go to Act"/>
    <hyperlink ref="P1034" location="Acts!A20" display="Go to Act"/>
    <hyperlink ref="P1035" location="Acts!A20" display="Go to Act"/>
    <hyperlink ref="P1036" location="Acts!A20" display="Go to Act"/>
    <hyperlink ref="P1037" location="Acts!A20" display="Go to Act"/>
    <hyperlink ref="P1038" location="Acts!A20" display="Go to Act"/>
    <hyperlink ref="P1039" location="Acts!A20" display="Go to Act"/>
    <hyperlink ref="P1040" location="Acts!A20" display="Go to Act"/>
    <hyperlink ref="P1041" location="Acts!A20" display="Go to Act"/>
    <hyperlink ref="P1042" location="Acts!A20" display="Go to Act"/>
    <hyperlink ref="P1043" location="Acts!A20" display="Go to Act"/>
    <hyperlink ref="P1044" location="Acts!A20" display="Go to Act"/>
    <hyperlink ref="P1045" location="Acts!A20" display="Go to Act"/>
    <hyperlink ref="P1046" location="Acts!A20" display="Go to Act"/>
    <hyperlink ref="P1047" location="Acts!A20" display="Go to Act"/>
    <hyperlink ref="P1048" location="Acts!A20" display="Go to Act"/>
    <hyperlink ref="P1049" location="Acts!A20" display="Go to Act"/>
    <hyperlink ref="P1050" location="Acts!A20" display="Go to Act"/>
    <hyperlink ref="P1051" location="Acts!A20" display="Go to Act"/>
    <hyperlink ref="P1052" location="Acts!A20" display="Go to Act"/>
    <hyperlink ref="P1053" location="Acts!A20" display="Go to Act"/>
    <hyperlink ref="P1054" location="Acts!A20" display="Go to Act"/>
    <hyperlink ref="P1055" location="Acts!A20" display="Go to Act"/>
    <hyperlink ref="P1056" location="Acts!A20" display="Go to Act"/>
    <hyperlink ref="P1057" location="Acts!A20" display="Go to Act"/>
    <hyperlink ref="P1058" location="Acts!A20" display="Go to Act"/>
    <hyperlink ref="P1059" location="Acts!A20" display="Go to Act"/>
    <hyperlink ref="P1060" location="Acts!A21" display="Go to Act"/>
    <hyperlink ref="P1061" location="Acts!A21" display="Go to Act"/>
    <hyperlink ref="P1062" location="Acts!A21" display="Go to Act"/>
    <hyperlink ref="P1063" location="Acts!A21" display="Go to Act"/>
    <hyperlink ref="P1064" location="Acts!A21" display="Go to Act"/>
    <hyperlink ref="P1065" location="Acts!A21" display="Go to Act"/>
    <hyperlink ref="P1066" location="Acts!A21" display="Go to Act"/>
    <hyperlink ref="P1067" location="Acts!A21" display="Go to Act"/>
    <hyperlink ref="P1068" location="Acts!A21" display="Go to Act"/>
    <hyperlink ref="P1069" location="Acts!A21" display="Go to Act"/>
    <hyperlink ref="P1070" location="Acts!A21" display="Go to Act"/>
    <hyperlink ref="P1071" location="Acts!A21" display="Go to Act"/>
    <hyperlink ref="P1072" location="Acts!A21" display="Go to Act"/>
    <hyperlink ref="P1073" location="Acts!A21" display="Go to Act"/>
    <hyperlink ref="P1074" location="Acts!A21" display="Go to Act"/>
    <hyperlink ref="P1075" location="Acts!A21" display="Go to Act"/>
    <hyperlink ref="P1076" location="Acts!A21" display="Go to Act"/>
    <hyperlink ref="P1077" location="Acts!A21" display="Go to Act"/>
    <hyperlink ref="P1078" location="Acts!A21" display="Go to Act"/>
    <hyperlink ref="P1079" location="Acts!A22" display="Go to Act"/>
    <hyperlink ref="P1080" location="Acts!A22" display="Go to Act"/>
    <hyperlink ref="P1081" location="Acts!A22" display="Go to Act"/>
    <hyperlink ref="P1082" location="Acts!A22" display="Go to Act"/>
    <hyperlink ref="P1083" location="Acts!A22" display="Go to Act"/>
    <hyperlink ref="P1084" location="Acts!A22" display="Go to Act"/>
    <hyperlink ref="P1085" location="Acts!A22" display="Go to Act"/>
    <hyperlink ref="P1086" location="Acts!A22" display="Go to Act"/>
    <hyperlink ref="P1087" location="Acts!A22" display="Go to Act"/>
    <hyperlink ref="P1088" location="Acts!A22" display="Go to Act"/>
    <hyperlink ref="P1089" location="Acts!A22" display="Go to Act"/>
    <hyperlink ref="P1090" location="Acts!A22" display="Go to Act"/>
    <hyperlink ref="P1091" location="Acts!A22" display="Go to Act"/>
    <hyperlink ref="P1092" location="Acts!A22" display="Go to Act"/>
    <hyperlink ref="P1093" location="Acts!A22" display="Go to Act"/>
    <hyperlink ref="P1094" location="Acts!A22" display="Go to Act"/>
    <hyperlink ref="P1095" location="Acts!A22" display="Go to Act"/>
    <hyperlink ref="P1096" location="Acts!A22" display="Go to Act"/>
    <hyperlink ref="P1097" location="Acts!A22" display="Go to Act"/>
    <hyperlink ref="P1098" location="Acts!A22" display="Go to Act"/>
    <hyperlink ref="P1099" location="Acts!A22" display="Go to Act"/>
    <hyperlink ref="P1100" location="Acts!A22" display="Go to Act"/>
    <hyperlink ref="P1101" location="Acts!A22" display="Go to Act"/>
    <hyperlink ref="P1102" location="Acts!A22" display="Go to Act"/>
    <hyperlink ref="P1103" location="Acts!A22" display="Go to Act"/>
    <hyperlink ref="P1104" location="Acts!A22" display="Go to Act"/>
    <hyperlink ref="P1105" location="Acts!A22" display="Go to Act"/>
    <hyperlink ref="P1106" location="Acts!A22" display="Go to Act"/>
    <hyperlink ref="P1107" location="Acts!A22" display="Go to Act"/>
    <hyperlink ref="P1108" location="Acts!A22" display="Go to Act"/>
    <hyperlink ref="P1109" location="Acts!A22" display="Go to Act"/>
    <hyperlink ref="P1110" location="Acts!A22" display="Go to Act"/>
    <hyperlink ref="P1111" location="Acts!A22" display="Go to Act"/>
    <hyperlink ref="P1112" location="Acts!A22" display="Go to Act"/>
    <hyperlink ref="P1113" location="Acts!A22" display="Go to Act"/>
    <hyperlink ref="P1114" location="Acts!A22" display="Go to Act"/>
    <hyperlink ref="P1115" location="Acts!A22" display="Go to Act"/>
    <hyperlink ref="P1116" location="Acts!A23" display="Go to Act"/>
    <hyperlink ref="P1117" location="Acts!A23" display="Go to Act"/>
    <hyperlink ref="P1118" location="Acts!A23" display="Go to Act"/>
    <hyperlink ref="P1119" location="Acts!A23" display="Go to Act"/>
    <hyperlink ref="P1120" location="Acts!A23" display="Go to Act"/>
    <hyperlink ref="P1121" location="Acts!A23" display="Go to Act"/>
    <hyperlink ref="P1122" location="Acts!A23" display="Go to Act"/>
    <hyperlink ref="P1123" location="Acts!A23" display="Go to Act"/>
    <hyperlink ref="P1124" location="Acts!A23" display="Go to Act"/>
    <hyperlink ref="P1125" location="Acts!A23" display="Go to Act"/>
    <hyperlink ref="P1126" location="Acts!A23" display="Go to Act"/>
    <hyperlink ref="P1127" location="Acts!A25" display="Go to Act"/>
    <hyperlink ref="P1128" location="Acts!A25" display="Go to Act"/>
    <hyperlink ref="P1129" location="Acts!A25" display="Go to Act"/>
    <hyperlink ref="P1130" location="Acts!A25" display="Go to Act"/>
    <hyperlink ref="P1131" location="Acts!A25" display="Go to Act"/>
    <hyperlink ref="P1132" location="Acts!A18" display="Go to Act"/>
    <hyperlink ref="P1133" location="Acts!A18" display="Go to Act"/>
    <hyperlink ref="P1134" location="Acts!A18" display="Go to Act"/>
    <hyperlink ref="P1135" location="Acts!A18" display="Go to Act"/>
    <hyperlink ref="P1136" location="Acts!A18" display="Go to Act"/>
    <hyperlink ref="P1137" location="Acts!A18" display="Go to Act"/>
    <hyperlink ref="P1138" location="Acts!A18" display="Go to Act"/>
    <hyperlink ref="P1139" location="Acts!A18" display="Go to Act"/>
    <hyperlink ref="P1140" location="Acts!A18" display="Go to Act"/>
    <hyperlink ref="P1141" location="Acts!A18" display="Go to Act"/>
    <hyperlink ref="P1142" location="Acts!A18" display="Go to Act"/>
    <hyperlink ref="P1143" location="Acts!A18" display="Go to Act"/>
    <hyperlink ref="P1144" location="Acts!A18" display="Go to Act"/>
    <hyperlink ref="P1145" location="Acts!A18" display="Go to Act"/>
    <hyperlink ref="P1146" location="Acts!A18" display="Go to Act"/>
    <hyperlink ref="P1147" location="Acts!A18" display="Go to Act"/>
    <hyperlink ref="P1148" location="Acts!A18" display="Go to Act"/>
    <hyperlink ref="P1149" location="Acts!A18" display="Go to Act"/>
    <hyperlink ref="P1150" location="Acts!A18" display="Go to Act"/>
    <hyperlink ref="P1151" location="Acts!A18" display="Go to Act"/>
    <hyperlink ref="P1152" location="Acts!A18" display="Go to Act"/>
    <hyperlink ref="P1153" location="Acts!A18" display="Go to Act"/>
    <hyperlink ref="P1154" location="Acts!A18" display="Go to Act"/>
    <hyperlink ref="P1155" location="Acts!A18" display="Go to Act"/>
    <hyperlink ref="P1156" location="Acts!A18" display="Go to Act"/>
    <hyperlink ref="P1157" location="Acts!A18" display="Go to Act"/>
    <hyperlink ref="P1158" location="Acts!A18" display="Go to Act"/>
    <hyperlink ref="P1159" location="Acts!A18" display="Go to Act"/>
    <hyperlink ref="P1160" location="Acts!A18" display="Go to Act"/>
    <hyperlink ref="P1161" location="Acts!A18" display="Go to Act"/>
    <hyperlink ref="P1162" location="Acts!A18" display="Go to Act"/>
    <hyperlink ref="P1163" location="Acts!A18" display="Go to Act"/>
    <hyperlink ref="P1164" location="Acts!A24" display="Go to Act"/>
    <hyperlink ref="P1165" location="Acts!A24" display="Go to Act"/>
    <hyperlink ref="P1166" location="Acts!A24" display="Go to Act"/>
    <hyperlink ref="P1167" location="Acts!A24" display="Go to Act"/>
    <hyperlink ref="P1168" location="Acts!A24" display="Go to Act"/>
    <hyperlink ref="P1169" location="Acts!A24" display="Go to Act"/>
    <hyperlink ref="P1170" location="Acts!A24" display="Go to Act"/>
    <hyperlink ref="P1171" location="Acts!A24" display="Go to Act"/>
    <hyperlink ref="P1172" location="Acts!A24" display="Go to Act"/>
    <hyperlink ref="P1173" location="Acts!A24" display="Go to Act"/>
    <hyperlink ref="P1174" location="Acts!A24" display="Go to Act"/>
    <hyperlink ref="P1175" location="Acts!A24" display="Go to Act"/>
    <hyperlink ref="P1176" location="Acts!A24" display="Go to Act"/>
    <hyperlink ref="P1177" location="Acts!A24" display="Go to Act"/>
    <hyperlink ref="P1178" location="Acts!A24" display="Go to Act"/>
    <hyperlink ref="P1179" location="Acts!A24" display="Go to Act"/>
    <hyperlink ref="P1180" location="Acts!A24" display="Go to Act"/>
    <hyperlink ref="P1181" location="Acts!A24" display="Go to Act"/>
    <hyperlink ref="P1182" location="Acts!A24" display="Go to Act"/>
    <hyperlink ref="P1183" location="Acts!A24" display="Go to Act"/>
    <hyperlink ref="P1184" location="Acts!A24" display="Go to Act"/>
    <hyperlink ref="P1185" location="Acts!A24" display="Go to Act"/>
    <hyperlink ref="P1186" location="Acts!A24" display="Go to Act"/>
    <hyperlink ref="P1187" location="Acts!A24" display="Go to Act"/>
    <hyperlink ref="P1188" location="Acts!A24" display="Go to Act"/>
    <hyperlink ref="P1189" location="Acts!A24" display="Go to Act"/>
    <hyperlink ref="P1190" location="Acts!A24" display="Go to Act"/>
    <hyperlink ref="P1191" location="Acts!A24" display="Go to Act"/>
    <hyperlink ref="P1192" location="Acts!A24" display="Go to Act"/>
    <hyperlink ref="P1193" location="Acts!A24" display="Go to Act"/>
    <hyperlink ref="P1194" location="Acts!A24" display="Go to Act"/>
    <hyperlink ref="P1195" location="Acts!A24" display="Go to Act"/>
    <hyperlink ref="P1196" location="Acts!A24" display="Go to Act"/>
    <hyperlink ref="P1197" location="Acts!A24" display="Go to Act"/>
    <hyperlink ref="P1198" location="Acts!A24" display="Go to Act"/>
    <hyperlink ref="P1199" location="Acts!A24" display="Go to Act"/>
    <hyperlink ref="P1200" location="Acts!A24" display="Go to Act"/>
    <hyperlink ref="P1201" location="Acts!A24" display="Go to Act"/>
    <hyperlink ref="P1202" location="Acts!A24" display="Go to Act"/>
    <hyperlink ref="P1203" location="Acts!A24" display="Go to Act"/>
    <hyperlink ref="P1204" location="Acts!A26" display="Go to Act"/>
    <hyperlink ref="P1205" location="Acts!A26" display="Go to Act"/>
    <hyperlink ref="P1206" location="Acts!A26" display="Go to Act"/>
    <hyperlink ref="P1207" location="Acts!A26" display="Go to Act"/>
    <hyperlink ref="P1208" location="Acts!A26" display="Go to Act"/>
    <hyperlink ref="P1209" location="Acts!A27" display="Go to Act"/>
    <hyperlink ref="P1210" location="Acts!A27" display="Go to Act"/>
    <hyperlink ref="P1211" location="Acts!A27" display="Go to Act"/>
    <hyperlink ref="P1212" location="Acts!A27" display="Go to Act"/>
    <hyperlink ref="P1213" location="Acts!A27" display="Go to Act"/>
    <hyperlink ref="P1214" location="Acts!A27" display="Go to Act"/>
    <hyperlink ref="P1215" location="Acts!A27" display="Go to Act"/>
    <hyperlink ref="P1216" location="Acts!A27" display="Go to Act"/>
    <hyperlink ref="P1217" location="Acts!A27" display="Go to Act"/>
    <hyperlink ref="P1218" location="Acts!A27" display="Go to Act"/>
    <hyperlink ref="P1219" location="Acts!A27" display="Go to Act"/>
    <hyperlink ref="P1220" location="Acts!A27" display="Go to Act"/>
    <hyperlink ref="P1221" location="Acts!A27" display="Go to Act"/>
    <hyperlink ref="P1222" location="Acts!A27" display="Go to Act"/>
    <hyperlink ref="P1223" location="Acts!A27" display="Go to Act"/>
    <hyperlink ref="P1224" location="Acts!A27" display="Go to Act"/>
    <hyperlink ref="P1225" location="Acts!A27" display="Go to Act"/>
    <hyperlink ref="P1226" location="Acts!A27" display="Go to Act"/>
    <hyperlink ref="P1227" location="Acts!A27" display="Go to Act"/>
    <hyperlink ref="P1228" location="Acts!A27" display="Go to Act"/>
    <hyperlink ref="P1229" location="Acts!A27" display="Go to Act"/>
    <hyperlink ref="P1230" location="Acts!A27" display="Go to Act"/>
    <hyperlink ref="P1231" location="Acts!A27" display="Go to Act"/>
    <hyperlink ref="P1232" location="Acts!A27" display="Go to Act"/>
    <hyperlink ref="P1233" location="Acts!A27" display="Go to Act"/>
    <hyperlink ref="P1234" location="Acts!A28" display="Go to Act"/>
    <hyperlink ref="P1235" location="Acts!A28" display="Go to Act"/>
    <hyperlink ref="P1236" location="Acts!A28" display="Go to Act"/>
    <hyperlink ref="P1237" location="Acts!A28" display="Go to Act"/>
    <hyperlink ref="P1238" location="Acts!A28" display="Go to Act"/>
    <hyperlink ref="P1239" location="Acts!A28" display="Go to Act"/>
    <hyperlink ref="P1240" location="Acts!A29" display="Go to Act"/>
    <hyperlink ref="P1241" location="Acts!A29" display="Go to Act"/>
    <hyperlink ref="P1242" location="Acts!A29" display="Go to Act"/>
    <hyperlink ref="P1243" location="Acts!A29" display="Go to Act"/>
    <hyperlink ref="P1244" location="Acts!A29" display="Go to Act"/>
    <hyperlink ref="P1245" location="Acts!A30" display="Go to Act"/>
    <hyperlink ref="P1246" location="Acts!A30" display="Go to Act"/>
    <hyperlink ref="P1247" location="Acts!A30" display="Go to Act"/>
    <hyperlink ref="P1248" location="Acts!A30" display="Go to Act"/>
    <hyperlink ref="P1249" location="Acts!A30" display="Go to Act"/>
    <hyperlink ref="P1250" location="Acts!A30" display="Go to Act"/>
    <hyperlink ref="P1251" location="Acts!A30" display="Go to Act"/>
    <hyperlink ref="P1252" location="Acts!A30" display="Go to Act"/>
    <hyperlink ref="P1253" location="Acts!A30" display="Go to Act"/>
    <hyperlink ref="P1254" location="Acts!A30" display="Go to Act"/>
    <hyperlink ref="P1255" location="Acts!A30" display="Go to Act"/>
    <hyperlink ref="P1256" location="Acts!A30" display="Go to Act"/>
    <hyperlink ref="P1257" location="Acts!A30" display="Go to Act"/>
    <hyperlink ref="P1258" location="Acts!A31" display="Go to Act"/>
    <hyperlink ref="P1259" location="Acts!A31" display="Go to Act"/>
    <hyperlink ref="P1260" location="Acts!A31" display="Go to Act"/>
    <hyperlink ref="P1261" location="Acts!A31" display="Go to Act"/>
    <hyperlink ref="P1262" location="Acts!A31" display="Go to Act"/>
    <hyperlink ref="P1263" location="Acts!A31" display="Go to Act"/>
    <hyperlink ref="P1264" location="Acts!A31" display="Go to Act"/>
    <hyperlink ref="P1265" location="Acts!A31" display="Go to Act"/>
    <hyperlink ref="P1266" location="Acts!A31" display="Go to Act"/>
    <hyperlink ref="P1267" location="Acts!A31" display="Go to Act"/>
    <hyperlink ref="P1268" location="Acts!A31" display="Go to Act"/>
    <hyperlink ref="P1269" location="Acts!A31" display="Go to Act"/>
    <hyperlink ref="P1270" location="Acts!A31" display="Go to Act"/>
    <hyperlink ref="P1271" location="Acts!A31" display="Go to Act"/>
    <hyperlink ref="P1272" location="Acts!A31" display="Go to Act"/>
    <hyperlink ref="P1273" location="Acts!A31" display="Go to Act"/>
    <hyperlink ref="P1274" location="Acts!A31" display="Go to Act"/>
    <hyperlink ref="P1275" location="Acts!A31" display="Go to Act"/>
    <hyperlink ref="P1276" location="Acts!A31" display="Go to Act"/>
    <hyperlink ref="P1277" location="Acts!A31" display="Go to Act"/>
    <hyperlink ref="P1278" location="Acts!A31" display="Go to Act"/>
    <hyperlink ref="P1279" location="Acts!A32" display="Go to Act"/>
    <hyperlink ref="P1280" location="Acts!A32" display="Go to Act"/>
    <hyperlink ref="P1281" location="Acts!A32" display="Go to Act"/>
    <hyperlink ref="P1282" location="Acts!A32" display="Go to Act"/>
    <hyperlink ref="P1283" location="Acts!A32" display="Go to Act"/>
    <hyperlink ref="P1284" location="Acts!A32" display="Go to Act"/>
    <hyperlink ref="P1285" location="Acts!A32" display="Go to Act"/>
    <hyperlink ref="P1286" location="Acts!A32" display="Go to Act"/>
    <hyperlink ref="P1287" location="Acts!A32" display="Go to Act"/>
    <hyperlink ref="P1288" location="Acts!A32" display="Go to Act"/>
    <hyperlink ref="P1289" location="Acts!A32" display="Go to Act"/>
    <hyperlink ref="P1290" location="Acts!A32" display="Go to Act"/>
    <hyperlink ref="P1291" location="Acts!A32" display="Go to Act"/>
    <hyperlink ref="P1292" location="Acts!A32" display="Go to Act"/>
    <hyperlink ref="P1293" location="Acts!A32" display="Go to Act"/>
    <hyperlink ref="P1294" location="Acts!A32" display="Go to Act"/>
    <hyperlink ref="P1295" location="Acts!A32" display="Go to Act"/>
    <hyperlink ref="P1296" location="Acts!A32" display="Go to Act"/>
    <hyperlink ref="P1297" location="Acts!A32" display="Go to Act"/>
    <hyperlink ref="P1298" location="Acts!A32" display="Go to Act"/>
    <hyperlink ref="P1299" location="Acts!A32" display="Go to Act"/>
    <hyperlink ref="P1300" location="Acts!A33" display="Go to Act"/>
    <hyperlink ref="P1301" location="Acts!A33" display="Go to Act"/>
    <hyperlink ref="P1302" location="Acts!A33" display="Go to Act"/>
    <hyperlink ref="P1303" location="Acts!A33" display="Go to Act"/>
    <hyperlink ref="P1304" location="Acts!A33" display="Go to Act"/>
    <hyperlink ref="P1305" location="Acts!A33" display="Go to Act"/>
    <hyperlink ref="P1306" location="Acts!A33" display="Go to Act"/>
    <hyperlink ref="P1307" location="Acts!A33" display="Go to Act"/>
    <hyperlink ref="P1308" location="Acts!A33" display="Go to Act"/>
    <hyperlink ref="P1309" location="Acts!A33" display="Go to Act"/>
    <hyperlink ref="P1310" location="Acts!A33" display="Go to Act"/>
    <hyperlink ref="P1311" location="Acts!A33" display="Go to Act"/>
    <hyperlink ref="P1312" location="Acts!A33" display="Go to Act"/>
    <hyperlink ref="P1313" location="Acts!A33" display="Go to Act"/>
    <hyperlink ref="P1314" location="Acts!A35" display="Go to Act"/>
    <hyperlink ref="P1315" location="Acts!A35" display="Go to Act"/>
    <hyperlink ref="P1316" location="Acts!A35" display="Go to Act"/>
    <hyperlink ref="P1317" location="Acts!A35" display="Go to Act"/>
    <hyperlink ref="P1318" location="Acts!A35" display="Go to Act"/>
    <hyperlink ref="P1319" location="Acts!A35" display="Go to Act"/>
    <hyperlink ref="P1320" location="Acts!A35" display="Go to Act"/>
    <hyperlink ref="P1321" location="Acts!A35" display="Go to Act"/>
    <hyperlink ref="P1322" location="Acts!A35" display="Go to Act"/>
    <hyperlink ref="P1323" location="Acts!A35" display="Go to Act"/>
    <hyperlink ref="P1324" location="Acts!A35" display="Go to Act"/>
    <hyperlink ref="P1325" location="Acts!A35" display="Go to Act"/>
    <hyperlink ref="P1326" location="Acts!A35" display="Go to Act"/>
    <hyperlink ref="P1327" location="Acts!A35" display="Go to Act"/>
    <hyperlink ref="P1328" location="Acts!A35" display="Go to Act"/>
    <hyperlink ref="P1329" location="Acts!A35" display="Go to Act"/>
    <hyperlink ref="P1330" location="Acts!A35" display="Go to Act"/>
    <hyperlink ref="P1331" location="Acts!A35" display="Go to Act"/>
    <hyperlink ref="P1332" location="Acts!A35" display="Go to Act"/>
    <hyperlink ref="P1333" location="Acts!A35" display="Go to Act"/>
    <hyperlink ref="P1334" location="Acts!A35" display="Go to Act"/>
    <hyperlink ref="P1335" location="Acts!A35" display="Go to Act"/>
    <hyperlink ref="P1336" location="Acts!A35" display="Go to Act"/>
    <hyperlink ref="P1337" location="Acts!A35" display="Go to Act"/>
    <hyperlink ref="P1338" location="Acts!A35" display="Go to Act"/>
    <hyperlink ref="P1339" location="Acts!A35" display="Go to Act"/>
    <hyperlink ref="P1340" location="Acts!A35" display="Go to Act"/>
    <hyperlink ref="P1341" location="Acts!A35" display="Go to Act"/>
    <hyperlink ref="P1342" location="Acts!A35" display="Go to Act"/>
    <hyperlink ref="P1343" location="Acts!A35" display="Go to Act"/>
    <hyperlink ref="P1344" location="Acts!A35" display="Go to Act"/>
    <hyperlink ref="P1345" location="Acts!A35" display="Go to Act"/>
    <hyperlink ref="P1346" location="Acts!A35" display="Go to Act"/>
    <hyperlink ref="P1347" location="Acts!A35" display="Go to Act"/>
    <hyperlink ref="P1348" location="Acts!A35" display="Go to Act"/>
    <hyperlink ref="P1349" location="Acts!A35" display="Go to Act"/>
    <hyperlink ref="P1350" location="Acts!A35" display="Go to Act"/>
    <hyperlink ref="P1351" location="Acts!A35" display="Go to Act"/>
    <hyperlink ref="P1352" location="Acts!A35" display="Go to Act"/>
    <hyperlink ref="P1353" location="Acts!A35" display="Go to Act"/>
    <hyperlink ref="P1354" location="Acts!A35" display="Go to Act"/>
    <hyperlink ref="P1355" location="Acts!A35" display="Go to Act"/>
    <hyperlink ref="P1356" location="Acts!A35" display="Go to Act"/>
    <hyperlink ref="P1357" location="Acts!A35" display="Go to Act"/>
    <hyperlink ref="P1358" location="Acts!A35" display="Go to Act"/>
    <hyperlink ref="P1359" location="Acts!A35" display="Go to Act"/>
    <hyperlink ref="P1360" location="Acts!A35" display="Go to Act"/>
    <hyperlink ref="P1361" location="Acts!A35" display="Go to Act"/>
    <hyperlink ref="P1362" location="Acts!A35" display="Go to Act"/>
    <hyperlink ref="P1363" location="Acts!A35" display="Go to Act"/>
    <hyperlink ref="P1364" location="Acts!A35" display="Go to Act"/>
    <hyperlink ref="P1365" location="Acts!A35" display="Go to Act"/>
    <hyperlink ref="P1366" location="Acts!A35" display="Go to Act"/>
    <hyperlink ref="P1367" location="Acts!A35" display="Go to Act"/>
    <hyperlink ref="P1368" location="Acts!A35" display="Go to Act"/>
    <hyperlink ref="P1369" location="Acts!A35" display="Go to Act"/>
    <hyperlink ref="P1370" location="Acts!A35" display="Go to Act"/>
    <hyperlink ref="P1371" location="Acts!A35" display="Go to Act"/>
    <hyperlink ref="P1372" location="Acts!A35" display="Go to Act"/>
    <hyperlink ref="P1373" location="Acts!A35" display="Go to Act"/>
    <hyperlink ref="P1374" location="Acts!A35" display="Go to Act"/>
    <hyperlink ref="P1375" location="Acts!A35" display="Go to Act"/>
    <hyperlink ref="P1376" location="Acts!A35" display="Go to Act"/>
    <hyperlink ref="P1377" location="Acts!A35" display="Go to Act"/>
    <hyperlink ref="P1378" location="Acts!A35" display="Go to Act"/>
    <hyperlink ref="P1379" location="Acts!A35" display="Go to Act"/>
    <hyperlink ref="P1380" location="Acts!A35" display="Go to Act"/>
    <hyperlink ref="P1381" location="Acts!A35" display="Go to Act"/>
    <hyperlink ref="P1382" location="Acts!A35" display="Go to Act"/>
    <hyperlink ref="P1383" location="Acts!A35" display="Go to Act"/>
    <hyperlink ref="P1384" location="Acts!A35" display="Go to Act"/>
    <hyperlink ref="P1385" location="Acts!A35" display="Go to Act"/>
    <hyperlink ref="P1386" location="Acts!A35" display="Go to Act"/>
    <hyperlink ref="P1387" location="Acts!A35" display="Go to Act"/>
    <hyperlink ref="P1388" location="Acts!A35" display="Go to Act"/>
    <hyperlink ref="P1389" location="Acts!A35" display="Go to Act"/>
    <hyperlink ref="P1390" location="Acts!A35" display="Go to Act"/>
    <hyperlink ref="P1391" location="Acts!A35" display="Go to Act"/>
    <hyperlink ref="P1392" location="Acts!A35" display="Go to Act"/>
    <hyperlink ref="P1393" location="Acts!A35" display="Go to Act"/>
    <hyperlink ref="P1394" location="Acts!A35" display="Go to Act"/>
    <hyperlink ref="P1395" location="Acts!A35" display="Go to Act"/>
    <hyperlink ref="P1396" location="Acts!A35" display="Go to Act"/>
    <hyperlink ref="P1397" location="Acts!A35" display="Go to Act"/>
    <hyperlink ref="P1398" location="Acts!A35" display="Go to Act"/>
    <hyperlink ref="P1399" location="Acts!A35" display="Go to Act"/>
    <hyperlink ref="P1400" location="Acts!A35" display="Go to Act"/>
    <hyperlink ref="P1401" location="Acts!A35" display="Go to Act"/>
    <hyperlink ref="P1402" location="Acts!A35" display="Go to Act"/>
    <hyperlink ref="P1403" location="Acts!A35" display="Go to Act"/>
    <hyperlink ref="P1404" location="Acts!A35" display="Go to Act"/>
    <hyperlink ref="P1405" location="Acts!A35" display="Go to Act"/>
    <hyperlink ref="P1406" location="Acts!A35" display="Go to Act"/>
    <hyperlink ref="P1407" location="Acts!A35" display="Go to Act"/>
    <hyperlink ref="P1408" location="Acts!A35" display="Go to Act"/>
    <hyperlink ref="P1409" location="Acts!A35" display="Go to Act"/>
    <hyperlink ref="P1410" location="Acts!A35" display="Go to Act"/>
    <hyperlink ref="P1411" location="Acts!A35" display="Go to Act"/>
    <hyperlink ref="P1412" location="Acts!A35" display="Go to Act"/>
    <hyperlink ref="P1413" location="Acts!A35" display="Go to Act"/>
    <hyperlink ref="P1414" location="Acts!A35" display="Go to Act"/>
    <hyperlink ref="P1415" location="Acts!A35" display="Go to Act"/>
    <hyperlink ref="P1416" location="Acts!A35" display="Go to Act"/>
    <hyperlink ref="P1417" location="Acts!A35" display="Go to Act"/>
    <hyperlink ref="P1418" location="Acts!A35" display="Go to Act"/>
    <hyperlink ref="P1419" location="Acts!A35" display="Go to Act"/>
    <hyperlink ref="P1420" location="Acts!A35" display="Go to Act"/>
    <hyperlink ref="P1421" location="Acts!A35" display="Go to Act"/>
    <hyperlink ref="P1422" location="Acts!A35" display="Go to Act"/>
    <hyperlink ref="P1423" location="Acts!A35" display="Go to Act"/>
    <hyperlink ref="P1424" location="Acts!A35" display="Go to Act"/>
    <hyperlink ref="P1425" location="Acts!A35" display="Go to Act"/>
    <hyperlink ref="P1426" location="Acts!A35" display="Go to Act"/>
    <hyperlink ref="P1427" location="Acts!A35" display="Go to Act"/>
    <hyperlink ref="P1428" location="Acts!A35" display="Go to Act"/>
    <hyperlink ref="P1429" location="Acts!A35" display="Go to Act"/>
    <hyperlink ref="P1430" location="Acts!A35" display="Go to Act"/>
    <hyperlink ref="P1431" location="Acts!A35" display="Go to Act"/>
    <hyperlink ref="P1432" location="Acts!A35" display="Go to Act"/>
    <hyperlink ref="P1433" location="Acts!A35" display="Go to Act"/>
    <hyperlink ref="P1434" location="Acts!A35" display="Go to Act"/>
    <hyperlink ref="P1435" location="Acts!A35" display="Go to Act"/>
    <hyperlink ref="P1436" location="Acts!A35" display="Go to Act"/>
    <hyperlink ref="P1437" location="Acts!A35" display="Go to Act"/>
    <hyperlink ref="P1438" location="Acts!A35" display="Go to Act"/>
    <hyperlink ref="P1439" location="Acts!A35" display="Go to Act"/>
    <hyperlink ref="P1440" location="Acts!A35" display="Go to Act"/>
    <hyperlink ref="P1441" location="Acts!A37" display="Go to Act"/>
    <hyperlink ref="P1442" location="Acts!A37" display="Go to Act"/>
    <hyperlink ref="P1443" location="Acts!A37" display="Go to Act"/>
    <hyperlink ref="P1444" location="Acts!A37" display="Go to Act"/>
    <hyperlink ref="P1445" location="Acts!A37" display="Go to Act"/>
    <hyperlink ref="P1446" location="Acts!A37" display="Go to Act"/>
    <hyperlink ref="P1447" location="Acts!A37" display="Go to Act"/>
    <hyperlink ref="P1448" location="Acts!A37" display="Go to Act"/>
    <hyperlink ref="P1449" location="Acts!A37" display="Go to Act"/>
    <hyperlink ref="P1450" location="Acts!A37" display="Go to Act"/>
    <hyperlink ref="P1451" location="Acts!A37" display="Go to Act"/>
    <hyperlink ref="P1452" location="Acts!A37" display="Go to Act"/>
    <hyperlink ref="P1453" location="Acts!A38" display="Go to Act"/>
    <hyperlink ref="P1454" location="Acts!A38" display="Go to Act"/>
    <hyperlink ref="P1455" location="Acts!A38" display="Go to Act"/>
    <hyperlink ref="P1456" location="Acts!A38" display="Go to Act"/>
    <hyperlink ref="P1457" location="Acts!A38" display="Go to Act"/>
    <hyperlink ref="P1458" location="Acts!A38" display="Go to Act"/>
    <hyperlink ref="P1459" location="Acts!A38" display="Go to Act"/>
    <hyperlink ref="P1460" location="Acts!A38" display="Go to Act"/>
    <hyperlink ref="P1461" location="Acts!A38" display="Go to Act"/>
    <hyperlink ref="P1462" location="Acts!A38" display="Go to Act"/>
    <hyperlink ref="P1463" location="Acts!A38" display="Go to Act"/>
    <hyperlink ref="P1464" location="Acts!A38" display="Go to Act"/>
    <hyperlink ref="P1465" location="Acts!A38" display="Go to Act"/>
    <hyperlink ref="P1466" location="Acts!A38" display="Go to Act"/>
    <hyperlink ref="P1467" location="Acts!A39" display="Go to Act"/>
    <hyperlink ref="P1468" location="Acts!A39" display="Go to Act"/>
    <hyperlink ref="P1469" location="Acts!A39" display="Go to Act"/>
    <hyperlink ref="P1470" location="Acts!A39" display="Go to Act"/>
    <hyperlink ref="P1471" location="Acts!A39" display="Go to Act"/>
    <hyperlink ref="P1472" location="Acts!A39" display="Go to Act"/>
    <hyperlink ref="P1473" location="Acts!A39" display="Go to Act"/>
    <hyperlink ref="P1474" location="Acts!A39" display="Go to Act"/>
    <hyperlink ref="P1475" location="Acts!A39" display="Go to Act"/>
    <hyperlink ref="P1476" location="Acts!A39" display="Go to Act"/>
    <hyperlink ref="P1477" location="Acts!A39" display="Go to Act"/>
    <hyperlink ref="P1478" location="Acts!A39" display="Go to Act"/>
    <hyperlink ref="P1479" location="Acts!A39" display="Go to Act"/>
    <hyperlink ref="P1480" location="Acts!A39" display="Go to Act"/>
    <hyperlink ref="P1481" location="Acts!A39" display="Go to Act"/>
    <hyperlink ref="P1482" location="Acts!A39" display="Go to Act"/>
    <hyperlink ref="P1483" location="Acts!A39" display="Go to Act"/>
    <hyperlink ref="P1484" location="Acts!A40" display="Go to Act"/>
    <hyperlink ref="P1485" location="Acts!A40" display="Go to Act"/>
    <hyperlink ref="P1486" location="Acts!A40" display="Go to Act"/>
    <hyperlink ref="P1487" location="Acts!A40" display="Go to Act"/>
    <hyperlink ref="P1488" location="Acts!A40" display="Go to Act"/>
    <hyperlink ref="P1489" location="Acts!A40" display="Go to Act"/>
    <hyperlink ref="P1490" location="Acts!A40" display="Go to Act"/>
    <hyperlink ref="P1491" location="Acts!A40" display="Go to Act"/>
    <hyperlink ref="P1492" location="Acts!A40" display="Go to Act"/>
    <hyperlink ref="P1493" location="Acts!A40" display="Go to Act"/>
    <hyperlink ref="P1494" location="Acts!A40" display="Go to Act"/>
    <hyperlink ref="P1495" location="Acts!A40" display="Go to Act"/>
    <hyperlink ref="P1496" location="Acts!A40" display="Go to Act"/>
    <hyperlink ref="P1497" location="Acts!A40" display="Go to Act"/>
    <hyperlink ref="P1498" location="Acts!A40" display="Go to Act"/>
    <hyperlink ref="P1499" location="Acts!A40" display="Go to Act"/>
    <hyperlink ref="P1500" location="Acts!A40" display="Go to Act"/>
    <hyperlink ref="P1501" location="Acts!A40" display="Go to Act"/>
    <hyperlink ref="P1502" location="Acts!A40" display="Go to Act"/>
    <hyperlink ref="P1503" location="Acts!A40" display="Go to Act"/>
    <hyperlink ref="P1504" location="Acts!A40" display="Go to Act"/>
    <hyperlink ref="P1505" location="Acts!A40" display="Go to Act"/>
    <hyperlink ref="P1506" location="Acts!A40" display="Go to Act"/>
    <hyperlink ref="P1507" location="Acts!A40" display="Go to Act"/>
    <hyperlink ref="P1508" location="Acts!A40" display="Go to Act"/>
    <hyperlink ref="P1509" location="Acts!A40" display="Go to Act"/>
    <hyperlink ref="P1510" location="Acts!A40" display="Go to Act"/>
    <hyperlink ref="P1511" location="Acts!A40" display="Go to Act"/>
    <hyperlink ref="P1512" location="Acts!A34" display="Go to Act"/>
    <hyperlink ref="P1513" location="Acts!A34" display="Go to Act"/>
    <hyperlink ref="P1514" location="Acts!A34" display="Go to Act"/>
    <hyperlink ref="P1515" location="Acts!A34" display="Go to Act"/>
    <hyperlink ref="P1516" location="Acts!A34" display="Go to Act"/>
    <hyperlink ref="P1517" location="Acts!A34" display="Go to Act"/>
    <hyperlink ref="P1518" location="Acts!A34" display="Go to Act"/>
    <hyperlink ref="P1519" location="Acts!A34" display="Go to Act"/>
    <hyperlink ref="P1520" location="Acts!A34" display="Go to Act"/>
    <hyperlink ref="P1521" location="Acts!A34" display="Go to Act"/>
    <hyperlink ref="P1522" location="Acts!A34" display="Go to Act"/>
    <hyperlink ref="P1523" location="Acts!A34" display="Go to Act"/>
    <hyperlink ref="P1524" location="Acts!A34" display="Go to Act"/>
    <hyperlink ref="P1525" location="Acts!A36" display="Go to Act"/>
    <hyperlink ref="P1526" location="Acts!A36" display="Go to Act"/>
    <hyperlink ref="P1527" location="Acts!A36" display="Go to Act"/>
    <hyperlink ref="P1528" location="Acts!A36" display="Go to Act"/>
    <hyperlink ref="P1529" location="Acts!A36" display="Go to Act"/>
    <hyperlink ref="P1530" location="Acts!A36" display="Go to Act"/>
    <hyperlink ref="P1531" location="Acts!A36" display="Go to Act"/>
    <hyperlink ref="P1532" location="Acts!A36" display="Go to Act"/>
    <hyperlink ref="P1533" location="Acts!A36" display="Go to Act"/>
    <hyperlink ref="P1534" location="Acts!A36" display="Go to Act"/>
    <hyperlink ref="P1535" location="Acts!A36" display="Go to Act"/>
    <hyperlink ref="P1536" location="Acts!A36" display="Go to Act"/>
    <hyperlink ref="P1537" location="Acts!A36" display="Go to Act"/>
    <hyperlink ref="P1538" location="Acts!A36" display="Go to Act"/>
    <hyperlink ref="P1539" location="Acts!A36" display="Go to Act"/>
    <hyperlink ref="P1540" location="Acts!A36" display="Go to Act"/>
    <hyperlink ref="P1541" location="Acts!A36" display="Go to Act"/>
    <hyperlink ref="P1542" location="Acts!A36" display="Go to Act"/>
    <hyperlink ref="P1543" location="Acts!A36" display="Go to Act"/>
    <hyperlink ref="P1544" location="Acts!A36" display="Go to Act"/>
    <hyperlink ref="P1545" location="Acts!A36" display="Go to Act"/>
    <hyperlink ref="P1546" location="Acts!A36" display="Go to Act"/>
    <hyperlink ref="P1547" location="Acts!A36" display="Go to Act"/>
    <hyperlink ref="P1548" location="Acts!A36" display="Go to Act"/>
    <hyperlink ref="P1549" location="Acts!A36" display="Go to Act"/>
    <hyperlink ref="P1550" location="Acts!A36" display="Go to Act"/>
    <hyperlink ref="P1551" location="Acts!A36" display="Go to Act"/>
    <hyperlink ref="P1552" location="Acts!A36" display="Go to Act"/>
    <hyperlink ref="P1553" location="Acts!A36" display="Go to Act"/>
    <hyperlink ref="P1554" location="Acts!A36" display="Go to Act"/>
    <hyperlink ref="P1555" location="Acts!A36" display="Go to Act"/>
    <hyperlink ref="P1556" location="Acts!A36" display="Go to Act"/>
    <hyperlink ref="P1557" location="Acts!A36" display="Go to Act"/>
    <hyperlink ref="P1558" location="Acts!A36" display="Go to Act"/>
    <hyperlink ref="P1559" location="Acts!A36" display="Go to Act"/>
    <hyperlink ref="P1560" location="Acts!A36" display="Go to Act"/>
    <hyperlink ref="P1561" location="Acts!A36" display="Go to Act"/>
    <hyperlink ref="P1562" location="Acts!A36" display="Go to Act"/>
    <hyperlink ref="P1563" location="Acts!A36" display="Go to Act"/>
    <hyperlink ref="P1564" location="Acts!A36" display="Go to Act"/>
    <hyperlink ref="P1565" location="Acts!A36" display="Go to Act"/>
    <hyperlink ref="P1566" location="Acts!A36" display="Go to Act"/>
    <hyperlink ref="P1567" location="Acts!A36" display="Go to Act"/>
    <hyperlink ref="P1568" location="Acts!A36" display="Go to Act"/>
    <hyperlink ref="P1569" location="Acts!A36" display="Go to Act"/>
    <hyperlink ref="P1570" location="Acts!A41" display="Go to Act"/>
    <hyperlink ref="P1571" location="Acts!A41" display="Go to Act"/>
    <hyperlink ref="P1572" location="Acts!A43" display="Go to Act"/>
    <hyperlink ref="P1573" location="Acts!A44" display="Go to Act"/>
    <hyperlink ref="P1574" location="Acts!A44" display="Go to Act"/>
    <hyperlink ref="P1575" location="Acts!A44" display="Go to Act"/>
    <hyperlink ref="P1576" location="Acts!A44" display="Go to Act"/>
    <hyperlink ref="P1577" location="Acts!A44" display="Go to Act"/>
    <hyperlink ref="P1578" location="Acts!A44" display="Go to Act"/>
    <hyperlink ref="P1579" location="Acts!A44" display="Go to Act"/>
    <hyperlink ref="P1580" location="Acts!A44" display="Go to Act"/>
    <hyperlink ref="P1581" location="Acts!A44" display="Go to Act"/>
    <hyperlink ref="P1582" location="Acts!A44" display="Go to Act"/>
    <hyperlink ref="P1583" location="Acts!A44" display="Go to Act"/>
    <hyperlink ref="P1584" location="Acts!A44" display="Go to Act"/>
    <hyperlink ref="P1585" location="Acts!A44" display="Go to Act"/>
    <hyperlink ref="P1586" location="Acts!A44" display="Go to Act"/>
    <hyperlink ref="P1587" location="Acts!A44" display="Go to Act"/>
    <hyperlink ref="P1588" location="Acts!A44" display="Go to Act"/>
    <hyperlink ref="P1589" location="Acts!A44" display="Go to Act"/>
    <hyperlink ref="P1590" location="Acts!A44" display="Go to Act"/>
    <hyperlink ref="P1591" location="Acts!A44" display="Go to Act"/>
    <hyperlink ref="P1592" location="Acts!A44" display="Go to Act"/>
    <hyperlink ref="P1593" location="Acts!A44" display="Go to Act"/>
    <hyperlink ref="P1594" location="Acts!A44" display="Go to Act"/>
    <hyperlink ref="P1595" location="Acts!A44" display="Go to Act"/>
    <hyperlink ref="P1596" location="Acts!A44" display="Go to Act"/>
    <hyperlink ref="P1597" location="Acts!A44" display="Go to Act"/>
    <hyperlink ref="P1598" location="Acts!A44" display="Go to Act"/>
    <hyperlink ref="P1599" location="Acts!A44" display="Go to Act"/>
    <hyperlink ref="P1600" location="Acts!A44" display="Go to Act"/>
    <hyperlink ref="P1601" location="Acts!A44" display="Go to Act"/>
    <hyperlink ref="P1602" location="Acts!A44" display="Go to Act"/>
    <hyperlink ref="P1603" location="Acts!A44" display="Go to Act"/>
    <hyperlink ref="P1604" location="Acts!A44" display="Go to Act"/>
    <hyperlink ref="P1605" location="Acts!A44" display="Go to Act"/>
    <hyperlink ref="P1606" location="Acts!A44" display="Go to Act"/>
    <hyperlink ref="P1607" location="Acts!A44" display="Go to Act"/>
    <hyperlink ref="P1608" location="Acts!A44" display="Go to Act"/>
    <hyperlink ref="P1609" location="Acts!A44" display="Go to Act"/>
    <hyperlink ref="P1610" location="Acts!A45" display="Go to Act"/>
    <hyperlink ref="P1611" location="Acts!A45" display="Go to Act"/>
    <hyperlink ref="P1612" location="Acts!A45" display="Go to Act"/>
    <hyperlink ref="P1613" location="Acts!A45" display="Go to Act"/>
    <hyperlink ref="P1614" location="Acts!A45" display="Go to Act"/>
    <hyperlink ref="P1615" location="Acts!A45" display="Go to Act"/>
    <hyperlink ref="P1616" location="Acts!A45" display="Go to Act"/>
    <hyperlink ref="P1617" location="Acts!A45" display="Go to Act"/>
    <hyperlink ref="P1618" location="Acts!A45" display="Go to Act"/>
    <hyperlink ref="P1619" location="Acts!A45" display="Go to Act"/>
    <hyperlink ref="P1620" location="Acts!A45" display="Go to Act"/>
    <hyperlink ref="P1621" location="Acts!A45" display="Go to Act"/>
    <hyperlink ref="P1622" location="Acts!A45" display="Go to Act"/>
    <hyperlink ref="P1623" location="Acts!A45" display="Go to Act"/>
    <hyperlink ref="P1624" location="Acts!A45" display="Go to Act"/>
    <hyperlink ref="P1625" location="Acts!A45" display="Go to Act"/>
    <hyperlink ref="P1626" location="Acts!A45" display="Go to Act"/>
    <hyperlink ref="P1627" location="Acts!A45" display="Go to Act"/>
    <hyperlink ref="P1628" location="Acts!A45" display="Go to Act"/>
    <hyperlink ref="P1629" location="Acts!A45" display="Go to Act"/>
    <hyperlink ref="P1630" location="Acts!A45" display="Go to Act"/>
    <hyperlink ref="P1631" location="Acts!A45" display="Go to Act"/>
    <hyperlink ref="P1632" location="Acts!A45" display="Go to Act"/>
    <hyperlink ref="P1633" location="Acts!A46" display="Go to Act"/>
    <hyperlink ref="P1634" location="Acts!A46" display="Go to Act"/>
    <hyperlink ref="P1635" location="Acts!A47" display="Go to Act"/>
    <hyperlink ref="P1636" location="Acts!A47" display="Go to Act"/>
    <hyperlink ref="P1637" location="Acts!A47" display="Go to Act"/>
    <hyperlink ref="P1638" location="Acts!A47" display="Go to Act"/>
    <hyperlink ref="P1639" location="Acts!A47" display="Go to Act"/>
    <hyperlink ref="P1640" location="Acts!A47" display="Go to Act"/>
    <hyperlink ref="P1641" location="Acts!A47" display="Go to Act"/>
    <hyperlink ref="P1642" location="Acts!A47" display="Go to Act"/>
    <hyperlink ref="P1643" location="Acts!A47" display="Go to Act"/>
    <hyperlink ref="P1644" location="Acts!A47" display="Go to Act"/>
    <hyperlink ref="P1645" location="Acts!A47" display="Go to Act"/>
    <hyperlink ref="P1646" location="Acts!A47" display="Go to Act"/>
    <hyperlink ref="P1647" location="Acts!A47" display="Go to Act"/>
    <hyperlink ref="P1648" location="Acts!A47" display="Go to Act"/>
    <hyperlink ref="P1649" location="Acts!A47" display="Go to Act"/>
    <hyperlink ref="P1650" location="Acts!A47" display="Go to Act"/>
    <hyperlink ref="P1651" location="Acts!A47" display="Go to Act"/>
    <hyperlink ref="P1652" location="Acts!A47" display="Go to Act"/>
    <hyperlink ref="P1653" location="Acts!A47" display="Go to Act"/>
    <hyperlink ref="P1654" location="Acts!A47" display="Go to Act"/>
    <hyperlink ref="P1655" location="Acts!A47" display="Go to Act"/>
    <hyperlink ref="P1656" location="Acts!A47" display="Go to Act"/>
    <hyperlink ref="P1657" location="Acts!A48" display="Go to Act"/>
    <hyperlink ref="P1658" location="Acts!A49" display="Go to Act"/>
    <hyperlink ref="P1659" location="Acts!A49" display="Go to Act"/>
    <hyperlink ref="P1660" location="Acts!A49" display="Go to Act"/>
    <hyperlink ref="P1661" location="Acts!A49" display="Go to Act"/>
    <hyperlink ref="P1662" location="Acts!A49" display="Go to Act"/>
    <hyperlink ref="P1663" location="Acts!A49" display="Go to Act"/>
    <hyperlink ref="P1664" location="Acts!A49" display="Go to Act"/>
    <hyperlink ref="P1665" location="Acts!A49" display="Go to Act"/>
    <hyperlink ref="P1666" location="Acts!A49" display="Go to Act"/>
    <hyperlink ref="P1667" location="Acts!A49" display="Go to Act"/>
    <hyperlink ref="P1668" location="Acts!A49" display="Go to Act"/>
    <hyperlink ref="P1669" location="Acts!A49" display="Go to Act"/>
    <hyperlink ref="P1670" location="Acts!A49" display="Go to Act"/>
    <hyperlink ref="P1671" location="Acts!A49" display="Go to Act"/>
    <hyperlink ref="P1672" location="Acts!A49" display="Go to Act"/>
    <hyperlink ref="P1673" location="Acts!A49" display="Go to Act"/>
    <hyperlink ref="P1674" location="Acts!A49" display="Go to Act"/>
    <hyperlink ref="P1675" location="Acts!A49" display="Go to Act"/>
    <hyperlink ref="P1676" location="Acts!A49" display="Go to Act"/>
    <hyperlink ref="P1677" location="Acts!A49" display="Go to Act"/>
    <hyperlink ref="P1678" location="Acts!A49" display="Go to Act"/>
    <hyperlink ref="P1679" location="Acts!A49" display="Go to Act"/>
    <hyperlink ref="P1680" location="Acts!A49" display="Go to Act"/>
    <hyperlink ref="P1681" location="Acts!A49" display="Go to Act"/>
    <hyperlink ref="P1682" location="Acts!A49" display="Go to Act"/>
    <hyperlink ref="P1683" location="Acts!A49" display="Go to Act"/>
    <hyperlink ref="P1684" location="Acts!A49" display="Go to Act"/>
    <hyperlink ref="P1685" location="Acts!A49" display="Go to Act"/>
    <hyperlink ref="P1686" location="Acts!A49" display="Go to Act"/>
    <hyperlink ref="P1687" location="Acts!A49" display="Go to Act"/>
    <hyperlink ref="P1688" location="Acts!A49" display="Go to Act"/>
    <hyperlink ref="P1689" location="Acts!A49" display="Go to Act"/>
    <hyperlink ref="P1690" location="Acts!A49" display="Go to Act"/>
    <hyperlink ref="P1691" location="Acts!A50" display="Go to Act"/>
    <hyperlink ref="P1692" location="Acts!A50" display="Go to Act"/>
    <hyperlink ref="P1693" location="Acts!A50" display="Go to Act"/>
    <hyperlink ref="P1694" location="Acts!A50" display="Go to Act"/>
    <hyperlink ref="P1695" location="Acts!A50" display="Go to Act"/>
    <hyperlink ref="P1696" location="Acts!A50" display="Go to Act"/>
    <hyperlink ref="P1697" location="Acts!A50" display="Go to Act"/>
    <hyperlink ref="P1698" location="Acts!A50" display="Go to Act"/>
    <hyperlink ref="P1699" location="Acts!A50" display="Go to Act"/>
    <hyperlink ref="P1700" location="Acts!A50" display="Go to Act"/>
    <hyperlink ref="P1701" location="Acts!A50" display="Go to Act"/>
    <hyperlink ref="P1702" location="Acts!A50" display="Go to Act"/>
    <hyperlink ref="P1703" location="Acts!A50" display="Go to Act"/>
    <hyperlink ref="P1704" location="Acts!A50" display="Go to Act"/>
    <hyperlink ref="P1705" location="Acts!A50" display="Go to Act"/>
    <hyperlink ref="P1706" location="Acts!A50" display="Go to Act"/>
    <hyperlink ref="P1707" location="Acts!A50" display="Go to Act"/>
    <hyperlink ref="P1708" location="Acts!A50" display="Go to Act"/>
    <hyperlink ref="P1709" location="Acts!A50" display="Go to Act"/>
    <hyperlink ref="P1710" location="Acts!A50" display="Go to Act"/>
    <hyperlink ref="P1711" location="Acts!A50" display="Go to Act"/>
    <hyperlink ref="P1712" location="Acts!A50" display="Go to Act"/>
    <hyperlink ref="P1713" location="Acts!A50" display="Go to Act"/>
    <hyperlink ref="P1714" location="Acts!A50" display="Go to Act"/>
    <hyperlink ref="P1715" location="Acts!A50" display="Go to Act"/>
    <hyperlink ref="P1716" location="Acts!A50" display="Go to Act"/>
    <hyperlink ref="P1717" location="Acts!A50" display="Go to Act"/>
    <hyperlink ref="P1718" location="Acts!A50" display="Go to Act"/>
    <hyperlink ref="P1719" location="Acts!A50" display="Go to Act"/>
    <hyperlink ref="P1720" location="Acts!A50" display="Go to Act"/>
    <hyperlink ref="P1721" location="Acts!A42" display="Go to Act"/>
    <hyperlink ref="P1722" location="Acts!A42" display="Go to Act"/>
    <hyperlink ref="P1723" location="Acts!A42" display="Go to Act"/>
    <hyperlink ref="P1724" location="Acts!A42" display="Go to Act"/>
    <hyperlink ref="P1725" location="Acts!A42" display="Go to Act"/>
    <hyperlink ref="P1726" location="Acts!A42" display="Go to Act"/>
    <hyperlink ref="P1727" location="Acts!A42" display="Go to Act"/>
    <hyperlink ref="P1728" location="Acts!A42" display="Go to Act"/>
    <hyperlink ref="P1729" location="Acts!A42" display="Go to Act"/>
    <hyperlink ref="P1730" location="Acts!A42" display="Go to Act"/>
    <hyperlink ref="P1731" location="Acts!A42" display="Go to Act"/>
    <hyperlink ref="P1732" location="Acts!A42" display="Go to Act"/>
    <hyperlink ref="P1733" location="Acts!A42" display="Go to Act"/>
    <hyperlink ref="P1734" location="Acts!A42" display="Go to Act"/>
    <hyperlink ref="P1735" location="Acts!A42" display="Go to Act"/>
    <hyperlink ref="P1736" location="Acts!A42" display="Go to Act"/>
    <hyperlink ref="P1737" location="Acts!A42" display="Go to Act"/>
    <hyperlink ref="P1738" location="Acts!A42" display="Go to Act"/>
    <hyperlink ref="P1739" location="Acts!A42" display="Go to Act"/>
    <hyperlink ref="P1740" location="Acts!A42" display="Go to Act"/>
    <hyperlink ref="P1741" location="Acts!A42" display="Go to Act"/>
    <hyperlink ref="P1742" location="Acts!A54" display="Go to Act"/>
    <hyperlink ref="P1743" location="Acts!A54" display="Go to Act"/>
    <hyperlink ref="P1744" location="Acts!A54" display="Go to Act"/>
    <hyperlink ref="P1745" location="Acts!A54" display="Go to Act"/>
    <hyperlink ref="P1746" location="Acts!A54" display="Go to Act"/>
    <hyperlink ref="P1747" location="Acts!A54" display="Go to Act"/>
    <hyperlink ref="P1748" location="Acts!A54" display="Go to Act"/>
    <hyperlink ref="P1749" location="Acts!A58" display="Go to Act"/>
    <hyperlink ref="P1750" location="Acts!A58" display="Go to Act"/>
    <hyperlink ref="P1751" location="Acts!A58" display="Go to Act"/>
    <hyperlink ref="P1752" location="Acts!A58" display="Go to Act"/>
    <hyperlink ref="P1753" location="Acts!A58" display="Go to Act"/>
    <hyperlink ref="P1754" location="Acts!A59" display="Go to Act"/>
    <hyperlink ref="P1755" location="Acts!A59" display="Go to Act"/>
    <hyperlink ref="P1756" location="Acts!A59" display="Go to Act"/>
    <hyperlink ref="P1757" location="Acts!A59" display="Go to Act"/>
    <hyperlink ref="P1758" location="Acts!A59" display="Go to Act"/>
    <hyperlink ref="P1759" location="Acts!A51" display="Go to Act"/>
    <hyperlink ref="P1760" location="Acts!A51" display="Go to Act"/>
    <hyperlink ref="P1761" location="Acts!A51" display="Go to Act"/>
    <hyperlink ref="P1762" location="Acts!A51" display="Go to Act"/>
    <hyperlink ref="P1763" location="Acts!A52" display="Go to Act"/>
    <hyperlink ref="P1764" location="Acts!A52" display="Go to Act"/>
    <hyperlink ref="P1765" location="Acts!A52" display="Go to Act"/>
    <hyperlink ref="P1766" location="Acts!A52" display="Go to Act"/>
    <hyperlink ref="P1767" location="Acts!A53" display="Go to Act"/>
    <hyperlink ref="P1768" location="Acts!A53" display="Go to Act"/>
    <hyperlink ref="P1769" location="Acts!A53" display="Go to Act"/>
    <hyperlink ref="P1770" location="Acts!A53" display="Go to Act"/>
    <hyperlink ref="P1771" location="Acts!A53" display="Go to Act"/>
    <hyperlink ref="P1772" location="Acts!A53" display="Go to Act"/>
    <hyperlink ref="P1773" location="Acts!A53" display="Go to Act"/>
    <hyperlink ref="P1774" location="Acts!A53" display="Go to Act"/>
    <hyperlink ref="P1775" location="Acts!A53" display="Go to Act"/>
    <hyperlink ref="P1776" location="Acts!A53" display="Go to Act"/>
    <hyperlink ref="P1777" location="Acts!A53" display="Go to Act"/>
    <hyperlink ref="P1778" location="Acts!A53" display="Go to Act"/>
    <hyperlink ref="P1779" location="Acts!A55" display="Go to Act"/>
    <hyperlink ref="P1780" location="Acts!A55" display="Go to Act"/>
    <hyperlink ref="P1781" location="Acts!A55" display="Go to Act"/>
    <hyperlink ref="P1782" location="Acts!A55" display="Go to Act"/>
    <hyperlink ref="P1783" location="Acts!A55" display="Go to Act"/>
    <hyperlink ref="P1784" location="Acts!A55" display="Go to Act"/>
    <hyperlink ref="P1785" location="Acts!A55" display="Go to Act"/>
    <hyperlink ref="P1786" location="Acts!A55" display="Go to Act"/>
    <hyperlink ref="P1787" location="Acts!A55" display="Go to Act"/>
    <hyperlink ref="P1788" location="Acts!A55" display="Go to Act"/>
    <hyperlink ref="P1789" location="Acts!A55" display="Go to Act"/>
    <hyperlink ref="P1790" location="Acts!A55" display="Go to Act"/>
    <hyperlink ref="P1791" location="Acts!A55" display="Go to Act"/>
    <hyperlink ref="P1792" location="Acts!A56" display="Go to Act"/>
    <hyperlink ref="P1793" location="Acts!A56" display="Go to Act"/>
    <hyperlink ref="P1794" location="Acts!A56" display="Go to Act"/>
    <hyperlink ref="P1795" location="Acts!A56" display="Go to Act"/>
    <hyperlink ref="P1796" location="Acts!A56" display="Go to Act"/>
    <hyperlink ref="P1797" location="Acts!A56" display="Go to Act"/>
    <hyperlink ref="P1798" location="Acts!A56" display="Go to Act"/>
    <hyperlink ref="P1799" location="Acts!A56" display="Go to Act"/>
    <hyperlink ref="P1800" location="Acts!A56" display="Go to Act"/>
    <hyperlink ref="P1801" location="Acts!A56" display="Go to Act"/>
    <hyperlink ref="P1802" location="Acts!A56" display="Go to Act"/>
    <hyperlink ref="P1803" location="Acts!A56" display="Go to Act"/>
    <hyperlink ref="P1804" location="Acts!A56" display="Go to Act"/>
    <hyperlink ref="P1805" location="Acts!A57" display="Go to Act"/>
    <hyperlink ref="P1806" location="Acts!A57" display="Go to Act"/>
    <hyperlink ref="P1807" location="Acts!A60" display="Go to Act"/>
    <hyperlink ref="P1808" location="Acts!A60" display="Go to Act"/>
    <hyperlink ref="P1809" location="Acts!A60" display="Go to Act"/>
    <hyperlink ref="P1810" location="Acts!A60" display="Go to Act"/>
    <hyperlink ref="P1811" location="Acts!A60" display="Go to Act"/>
    <hyperlink ref="P1812" location="Acts!A60" display="Go to Act"/>
    <hyperlink ref="P1813" location="Acts!A61" display="Go to Act"/>
    <hyperlink ref="P1814" location="Acts!A62" display="Go to Act"/>
    <hyperlink ref="P1815" location="Acts!A62" display="Go to Act"/>
    <hyperlink ref="P1816" location="Acts!A62" display="Go to Act"/>
    <hyperlink ref="P1817" location="Acts!A63" display="Go to Act"/>
    <hyperlink ref="P1818" location="Acts!A63" display="Go to Act"/>
    <hyperlink ref="P1819" location="Acts!A63" display="Go to Act"/>
    <hyperlink ref="P1820" location="Acts!A63" display="Go to Act"/>
    <hyperlink ref="P1821" location="Acts!A63" display="Go to Act"/>
    <hyperlink ref="P1822" location="Acts!A63" display="Go to Act"/>
    <hyperlink ref="P1823" location="Acts!A64" display="Go to Act"/>
    <hyperlink ref="P1824" location="Acts!A65" display="Go to Act"/>
    <hyperlink ref="P1825" location="Acts!A66" display="Go to Act"/>
    <hyperlink ref="P1826" location="Acts!A66" display="Go to Act"/>
    <hyperlink ref="P1827" location="Acts!A66" display="Go to Act"/>
    <hyperlink ref="P1828" location="Acts!A66" display="Go to Act"/>
    <hyperlink ref="P1829" location="Acts!A66" display="Go to Act"/>
    <hyperlink ref="P1830" location="Acts!A66" display="Go to Act"/>
    <hyperlink ref="P1831" location="Acts!A66" display="Go to Act"/>
    <hyperlink ref="P1832" location="Acts!A67" display="Go to Act"/>
    <hyperlink ref="P1833" location="Acts!A67" display="Go to Act"/>
    <hyperlink ref="P1834" location="Acts!A68" display="Go to Act"/>
    <hyperlink ref="P1835" location="Acts!A68" display="Go to Act"/>
    <hyperlink ref="P1836" location="Acts!A69" display="Go to Act"/>
    <hyperlink ref="P1837" location="Acts!A69" display="Go to Act"/>
    <hyperlink ref="P1838" location="Acts!A70" display="Go to Act"/>
    <hyperlink ref="P1839" location="Acts!A70" display="Go to Act"/>
    <hyperlink ref="P1840" location="Acts!A71" display="Go to Act"/>
    <hyperlink ref="P1841" location="Acts!A71" display="Go to Act"/>
    <hyperlink ref="P1842" location="Acts!A71" display="Go to Act"/>
    <hyperlink ref="P1843" location="Acts!A71" display="Go to Act"/>
    <hyperlink ref="P1844" location="Acts!A71" display="Go to Act"/>
    <hyperlink ref="P1845" location="Acts!A72" display="Go to Act"/>
    <hyperlink ref="P1846" location="Acts!A72" display="Go to Act"/>
    <hyperlink ref="P1847" location="Acts!A72" display="Go to Act"/>
    <hyperlink ref="P1848" location="Acts!A72" display="Go to Act"/>
    <hyperlink ref="P1849" location="Acts!A72" display="Go to Act"/>
    <hyperlink ref="P1850" location="Acts!A72" display="Go to Act"/>
    <hyperlink ref="P1851" location="Acts!A72" display="Go to Act"/>
    <hyperlink ref="P1852" location="Acts!A72" display="Go to Act"/>
    <hyperlink ref="P1853" location="Acts!A72" display="Go to Act"/>
    <hyperlink ref="P1854" location="Acts!A72" display="Go to Act"/>
    <hyperlink ref="P1855" location="Acts!A72" display="Go to Act"/>
    <hyperlink ref="P1856" location="Acts!A72" display="Go to Act"/>
    <hyperlink ref="P1857" location="Acts!A72" display="Go to Act"/>
    <hyperlink ref="P1858" location="Acts!A72" display="Go to Act"/>
    <hyperlink ref="P1859" location="Acts!A73" display="Go to Act"/>
    <hyperlink ref="P1860" location="Acts!A73" display="Go to Act"/>
    <hyperlink ref="P1861" location="Acts!A73" display="Go to Act"/>
    <hyperlink ref="P1862" location="Acts!A73" display="Go to Act"/>
    <hyperlink ref="P1863" location="Acts!A73" display="Go to Act"/>
    <hyperlink ref="P1864" location="Acts!A73" display="Go to Act"/>
    <hyperlink ref="P1865" location="Acts!A73" display="Go to Act"/>
    <hyperlink ref="P1866" location="Acts!A73" display="Go to Act"/>
    <hyperlink ref="P1867" location="Acts!A73" display="Go to Act"/>
    <hyperlink ref="P1868" location="Acts!A73" display="Go to Act"/>
    <hyperlink ref="P1869" location="Acts!A74" display="Go to Act"/>
    <hyperlink ref="P1870" location="Acts!A74" display="Go to Act"/>
    <hyperlink ref="P1871" location="Acts!A74" display="Go to Act"/>
    <hyperlink ref="P1872" location="Acts!A74" display="Go to Act"/>
    <hyperlink ref="P1873" location="Acts!A74" display="Go to Act"/>
    <hyperlink ref="P1874" location="Acts!A75" display="Go to Act"/>
    <hyperlink ref="P1875" location="Acts!A75" display="Go to Act"/>
    <hyperlink ref="P1876" location="Acts!A75" display="Go to Act"/>
    <hyperlink ref="P1877" location="Acts!A75" display="Go to Act"/>
    <hyperlink ref="P1878" location="Acts!A75" display="Go to Act"/>
    <hyperlink ref="P1879" location="Acts!A76" display="Go to Act"/>
    <hyperlink ref="P1880" location="Acts!A76" display="Go to Act"/>
    <hyperlink ref="P1881" location="Acts!A76" display="Go to Act"/>
    <hyperlink ref="P1882" location="Acts!A76" display="Go to Act"/>
    <hyperlink ref="P1883" location="Acts!A76" display="Go to Act"/>
    <hyperlink ref="P1884" location="Acts!A76" display="Go to Act"/>
    <hyperlink ref="P1885" location="Acts!A76" display="Go to Act"/>
    <hyperlink ref="P1886" location="Acts!A76" display="Go to Act"/>
    <hyperlink ref="P1887" location="Acts!A76" display="Go to Act"/>
    <hyperlink ref="P1888" location="Acts!A76" display="Go to Act"/>
    <hyperlink ref="P1889" location="Acts!A76" display="Go to Act"/>
    <hyperlink ref="P1890" location="Acts!A76" display="Go to Act"/>
    <hyperlink ref="P1891" location="Acts!A76" display="Go to Act"/>
    <hyperlink ref="P1892" location="Acts!A77" display="Go to Act"/>
    <hyperlink ref="P1893" location="Acts!A77" display="Go to Act"/>
    <hyperlink ref="P1894" location="Acts!A77" display="Go to Act"/>
    <hyperlink ref="P1895" location="Acts!A77" display="Go to Act"/>
    <hyperlink ref="P1896" location="Acts!A77" display="Go to Act"/>
    <hyperlink ref="P1897" location="Acts!A77" display="Go to Act"/>
    <hyperlink ref="P1898" location="Acts!A77" display="Go to Act"/>
    <hyperlink ref="P1899" location="Acts!A77" display="Go to Act"/>
    <hyperlink ref="P1900" location="Acts!A78" display="Go to Act"/>
    <hyperlink ref="P1901" location="Acts!A78" display="Go to Act"/>
    <hyperlink ref="P1902" location="Acts!A78" display="Go to Act"/>
    <hyperlink ref="P1903" location="Acts!A80" display="Go to Act"/>
    <hyperlink ref="P1904" location="Acts!A80" display="Go to Act"/>
    <hyperlink ref="P1905" location="Acts!A80" display="Go to Act"/>
    <hyperlink ref="P1906" location="Acts!A80" display="Go to Act"/>
    <hyperlink ref="P1907" location="Acts!A80" display="Go to Act"/>
    <hyperlink ref="P1908" location="Acts!A80" display="Go to Act"/>
    <hyperlink ref="P1909" location="Acts!A80" display="Go to Act"/>
    <hyperlink ref="P1910" location="Acts!A80" display="Go to Act"/>
    <hyperlink ref="P1911" location="Acts!A80" display="Go to Act"/>
    <hyperlink ref="P1912" location="Acts!A80" display="Go to Act"/>
    <hyperlink ref="P1913" location="Acts!A80" display="Go to Act"/>
    <hyperlink ref="P1914" location="Acts!A79" display="Go to Act"/>
    <hyperlink ref="P1915" location="Acts!A79" display="Go to Act"/>
    <hyperlink ref="P1916" location="Acts!A79" display="Go to Act"/>
    <hyperlink ref="P1917" location="Acts!A81" display="Go to Act"/>
    <hyperlink ref="P1918" location="Acts!A81" display="Go to Act"/>
    <hyperlink ref="P1919" location="Acts!A81" display="Go to Act"/>
    <hyperlink ref="P1920" location="Acts!A84" display="Go to Act"/>
    <hyperlink ref="P1921" location="Acts!A84" display="Go to Act"/>
    <hyperlink ref="P1922" location="Acts!A84" display="Go to Act"/>
    <hyperlink ref="P1923" location="Acts!A84" display="Go to Act"/>
    <hyperlink ref="P1924" location="Acts!A84" display="Go to Act"/>
    <hyperlink ref="P1925" location="Acts!A85" display="Go to Act"/>
    <hyperlink ref="P1926" location="Acts!A85" display="Go to Act"/>
    <hyperlink ref="P1927" location="Acts!A85" display="Go to Act"/>
    <hyperlink ref="P1928" location="Acts!A85" display="Go to Act"/>
    <hyperlink ref="P1929" location="Acts!A85" display="Go to Act"/>
    <hyperlink ref="P1930" location="Acts!A85" display="Go to Act"/>
    <hyperlink ref="P1931" location="Acts!A85" display="Go to Act"/>
    <hyperlink ref="P1932" location="Acts!A85" display="Go to Act"/>
    <hyperlink ref="P1933" location="Acts!A86" display="Go to Act"/>
    <hyperlink ref="P1934" location="Acts!A86" display="Go to Act"/>
    <hyperlink ref="P1935" location="Acts!A86" display="Go to Act"/>
    <hyperlink ref="P1936" location="Acts!A86" display="Go to Act"/>
    <hyperlink ref="P1937" location="Acts!A86" display="Go to Act"/>
    <hyperlink ref="P1938" location="Acts!A87" display="Go to Act"/>
    <hyperlink ref="P1939" location="Acts!A88" display="Go to Act"/>
    <hyperlink ref="P1940" location="Acts!A88" display="Go to Act"/>
    <hyperlink ref="P1941" location="Acts!A88" display="Go to Act"/>
    <hyperlink ref="P1942" location="Acts!A82" display="Go to Act"/>
    <hyperlink ref="P1943" location="Acts!A82" display="Go to Act"/>
    <hyperlink ref="P1944" location="Acts!A82" display="Go to Act"/>
    <hyperlink ref="P1945" location="Acts!A82" display="Go to Act"/>
    <hyperlink ref="P1946" location="Acts!A82" display="Go to Act"/>
    <hyperlink ref="P1947" location="Acts!A82" display="Go to Act"/>
    <hyperlink ref="P1948" location="Acts!A82" display="Go to Act"/>
    <hyperlink ref="P1949" location="Acts!A83" display="Go to Act"/>
    <hyperlink ref="P1950" location="Acts!A83" display="Go to Act"/>
    <hyperlink ref="P1951" location="Acts!A89" display="Go to Act"/>
    <hyperlink ref="P1952" location="Acts!A89" display="Go to Act"/>
    <hyperlink ref="P1953" location="Acts!A89" display="Go to Act"/>
    <hyperlink ref="P1954" location="Acts!A89" display="Go to Act"/>
    <hyperlink ref="P1955" location="Acts!A89" display="Go to Act"/>
    <hyperlink ref="P1956" location="Acts!A89" display="Go to Act"/>
    <hyperlink ref="P1957" location="Acts!A89" display="Go to Act"/>
    <hyperlink ref="P1958" location="Acts!A89" display="Go to Act"/>
    <hyperlink ref="P1959" location="Acts!A89" display="Go to Act"/>
    <hyperlink ref="P1960" location="Acts!A89" display="Go to Act"/>
  </hyperlink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89"/>
  <sheetViews>
    <sheetView workbookViewId="0">
      <pane ySplit="1" topLeftCell="A2" activePane="bottomLeft" state="frozen"/>
      <selection pane="bottomLeft" activeCell="A1" sqref="A1"/>
    </sheetView>
  </sheetViews>
  <sheetFormatPr baseColWidth="8" defaultRowHeight="15"/>
  <cols>
    <col width="16" customWidth="1" min="1" max="1"/>
    <col width="60" customWidth="1" min="2" max="2"/>
    <col width="12" customWidth="1" min="3" max="3"/>
    <col width="60" customWidth="1" min="4" max="4"/>
    <col width="60" customWidth="1" min="5" max="5"/>
    <col width="21" customWidth="1" min="6" max="6"/>
    <col width="12" customWidth="1" min="7" max="7"/>
  </cols>
  <sheetData>
    <row r="1">
      <c r="A1" s="10" t="inlineStr">
        <is>
          <t>Country</t>
        </is>
      </c>
      <c r="B1" s="10" t="inlineStr">
        <is>
          <t>Act</t>
        </is>
      </c>
      <c r="C1" s="10" t="inlineStr">
        <is>
          <t>Sections</t>
        </is>
      </c>
      <c r="D1" s="10" t="inlineStr">
        <is>
          <t>Regulators</t>
        </is>
      </c>
      <c r="E1" s="10" t="inlineStr">
        <is>
          <t>Topics</t>
        </is>
      </c>
      <c r="F1" s="10" t="inlineStr">
        <is>
          <t>Financial Relevance</t>
        </is>
      </c>
      <c r="G1" s="10" t="inlineStr">
        <is>
          <t>Source PDF</t>
        </is>
      </c>
    </row>
    <row r="2">
      <c r="A2" t="inlineStr">
        <is>
          <t>Australia</t>
        </is>
      </c>
      <c r="B2" t="inlineStr">
        <is>
          <t>C2004A01182 (Australia - Row 25)</t>
        </is>
      </c>
      <c r="C2" t="n">
        <v>1</v>
      </c>
      <c r="D2" t="inlineStr"/>
      <c r="E2" t="inlineStr">
        <is>
          <t>AML, Access Control, Breach Notification, Children, Cloud Services, Collection, Consent, Cross-border Transfer, Customer Information, Data Sharing, Data Storage, Deletion, Employee Information, Encryption, Financial Data, Governance, Incident Reporting, International Processing, KYC, Outsourcing, Processing, Record Keeping, Retention, Security, Special Personal Information, Third Party Processing</t>
        </is>
      </c>
      <c r="F2" t="inlineStr">
        <is>
          <t>Medium</t>
        </is>
      </c>
      <c r="G2" s="12" t="inlineStr">
        <is>
          <t>Open PDF</t>
        </is>
      </c>
    </row>
    <row r="3">
      <c r="A3" t="inlineStr">
        <is>
          <t>Australia</t>
        </is>
      </c>
      <c r="B3" t="inlineStr">
        <is>
          <t>C2004C01271-1 (Australia - Row 7)</t>
        </is>
      </c>
      <c r="C3" t="n">
        <v>1</v>
      </c>
      <c r="D3" t="inlineStr">
        <is>
          <t>Arts Minister</t>
        </is>
      </c>
      <c r="E3" t="inlineStr">
        <is>
          <t>Customer Information, Employee Information, Financial Data</t>
        </is>
      </c>
      <c r="F3" t="inlineStr">
        <is>
          <t>Medium</t>
        </is>
      </c>
      <c r="G3" s="12" t="inlineStr">
        <is>
          <t>Open PDF</t>
        </is>
      </c>
    </row>
    <row r="4">
      <c r="A4" t="inlineStr">
        <is>
          <t>Australia</t>
        </is>
      </c>
      <c r="B4" t="inlineStr">
        <is>
          <t>C2012C00866 (Australia - Row 12)</t>
        </is>
      </c>
      <c r="C4" t="n">
        <v>30</v>
      </c>
      <c r="D4" t="inlineStr">
        <is>
          <t>Australian Information Commissioner, Commonwealth, Information Commissioner, Ombudsman</t>
        </is>
      </c>
      <c r="E4" t="inlineStr">
        <is>
          <t>AML, Breach Notification, Children, Consent, Cross-border Transfer, Customer Information, Data Residency, Data Storage, Employee Information, Financial Data, Governance, Incident Reporting, International Processing, KYC, Record Keeping, Retention, Security, Special Personal Information, Third Party Processing</t>
        </is>
      </c>
      <c r="F4" t="inlineStr">
        <is>
          <t>High</t>
        </is>
      </c>
      <c r="G4" s="12" t="inlineStr">
        <is>
          <t>Open PDF</t>
        </is>
      </c>
    </row>
    <row r="5">
      <c r="A5" t="inlineStr">
        <is>
          <t>Australia</t>
        </is>
      </c>
      <c r="B5" t="inlineStr">
        <is>
          <t>C2016C00614 (Australia - Row 23)</t>
        </is>
      </c>
      <c r="C5" t="n">
        <v>8</v>
      </c>
      <c r="D5" t="inlineStr">
        <is>
          <t>ACMA, Federal Court</t>
        </is>
      </c>
      <c r="E5" t="inlineStr">
        <is>
          <t>Consent</t>
        </is>
      </c>
      <c r="F5" t="inlineStr">
        <is>
          <t>High</t>
        </is>
      </c>
      <c r="G5" s="12" t="inlineStr">
        <is>
          <t>Open PDF</t>
        </is>
      </c>
    </row>
    <row r="6">
      <c r="A6" t="inlineStr">
        <is>
          <t>Australia</t>
        </is>
      </c>
      <c r="B6" t="inlineStr">
        <is>
          <t>C2024C00719 (Australia - Row 15)</t>
        </is>
      </c>
      <c r="C6" t="n">
        <v>43</v>
      </c>
      <c r="D6" t="inlineStr">
        <is>
          <t>Australian Competition and Consumer Commission, Australian Government, Australian Securities and Investments Commission, Commonwealth, Corporations Act 2001, Minister, Personal Property Securities Act 2009, Registrar</t>
        </is>
      </c>
      <c r="E6"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6" t="inlineStr">
        <is>
          <t>High</t>
        </is>
      </c>
      <c r="G6" s="12" t="inlineStr">
        <is>
          <t>Open PDF</t>
        </is>
      </c>
    </row>
    <row r="7">
      <c r="A7" t="inlineStr">
        <is>
          <t>Australia</t>
        </is>
      </c>
      <c r="B7" t="inlineStr">
        <is>
          <t>C2024C00719-1 (Australia - Row 20)</t>
        </is>
      </c>
      <c r="C7" t="n">
        <v>43</v>
      </c>
      <c r="D7" t="inlineStr">
        <is>
          <t>Australian Government, Australian Securities and Investments Commission, Commonwealth, Corporations Act 2001, Courts, Minister, Registrar</t>
        </is>
      </c>
      <c r="E7" t="inlineStr">
        <is>
          <t>AML, Breach Notification, Children, Cloud Services, Consent, Cross-border Transfer, Customer Information, Data Residency, Data Sharing, Data Storage, Employee Information, Financial Data, Governance, Incident Reporting, International Processing, KYC, Record Keeping, Security, Special Personal Information, Third Party Processing</t>
        </is>
      </c>
      <c r="F7" t="inlineStr">
        <is>
          <t>High</t>
        </is>
      </c>
      <c r="G7" s="12" t="inlineStr">
        <is>
          <t>Open PDF</t>
        </is>
      </c>
    </row>
    <row r="8">
      <c r="A8" t="inlineStr">
        <is>
          <t>Australia</t>
        </is>
      </c>
      <c r="B8" t="inlineStr">
        <is>
          <t>C2025C00672 (Australia - Row 17)</t>
        </is>
      </c>
      <c r="C8" t="n">
        <v>51</v>
      </c>
      <c r="D8" t="inlineStr">
        <is>
          <t>Commissioner of Taxation, Commonwealth, Governor-General, Minister, Registrar, Secretary, Treasurer</t>
        </is>
      </c>
      <c r="E8" t="inlineStr">
        <is>
          <t>AML, Cross-border Transfer, Data Residency, Data Sharing, Data Storage, Financial Data, International Processing, Record Keeping, Retention, Security</t>
        </is>
      </c>
      <c r="F8" t="inlineStr">
        <is>
          <t>High</t>
        </is>
      </c>
      <c r="G8" s="12" t="inlineStr">
        <is>
          <t>Open PDF</t>
        </is>
      </c>
    </row>
    <row r="9">
      <c r="A9" t="inlineStr">
        <is>
          <t>Australia</t>
        </is>
      </c>
      <c r="B9" t="inlineStr">
        <is>
          <t>C2026C00058VOL01 (Australia - Row 13)</t>
        </is>
      </c>
      <c r="C9" t="n">
        <v>44</v>
      </c>
      <c r="D9" t="inlineStr">
        <is>
          <t>ASIC, Court</t>
        </is>
      </c>
      <c r="E9" t="inlineStr">
        <is>
          <t>AML, Access Control, Breach Notification, Children, Cloud Services, Collection, Consent, Cross-border Transfer, Customer Information, Data Residency, Data Sharing, Data Storage, Deletion, Employee Information, Financial Data, Governance, Incident Reporting, International Processing, KYC, Outsourcing, Processing, Record Keeping, Retention, Security, Special Personal Information, Third Party Processing</t>
        </is>
      </c>
      <c r="F9" t="inlineStr">
        <is>
          <t>High</t>
        </is>
      </c>
      <c r="G9" s="12" t="inlineStr">
        <is>
          <t>Open PDF</t>
        </is>
      </c>
    </row>
    <row r="10">
      <c r="A10" t="inlineStr">
        <is>
          <t>Australia</t>
        </is>
      </c>
      <c r="B10" t="inlineStr">
        <is>
          <t>C2026C00058VOL01 (Australia - Row 8)</t>
        </is>
      </c>
      <c r="C10" t="n">
        <v>43</v>
      </c>
      <c r="D10" t="inlineStr">
        <is>
          <t>ASIC, Court</t>
        </is>
      </c>
      <c r="E10" t="inlineStr">
        <is>
          <t>AML, Access Control, Breach Notification, Children, Cloud Services, Collection, Consent, Cross-border Transfer, Customer Information, Data Residency, Data Sharing, Data Storage, Deletion, Employee Information, Financial Data, Governance, Incident Reporting, International Processing, KYC, Outsourcing, Processing, Record Keeping, Retention, Security, Special Personal Information, Third Party Processing</t>
        </is>
      </c>
      <c r="F10" t="inlineStr">
        <is>
          <t>High</t>
        </is>
      </c>
      <c r="G10" s="12" t="inlineStr">
        <is>
          <t>Open PDF</t>
        </is>
      </c>
    </row>
    <row r="11">
      <c r="A11" t="inlineStr">
        <is>
          <t>Australia</t>
        </is>
      </c>
      <c r="B11" t="inlineStr">
        <is>
          <t>C2026C00209VOL01 (Australia - Row 26)</t>
        </is>
      </c>
      <c r="C11" t="n">
        <v>132</v>
      </c>
      <c r="D11" t="inlineStr">
        <is>
          <t>ASIO, Attorney-General, Australian Crime Commission, Australian Crime Commission Act 2002, Australian Federal Police, Australian Federal Police (AFP), Australian Federal Police, State Police, Australian Security Intelligence Organisation Act 1979, Carrier employees, Chief Officer, Chief officer of agency, Director-General of Security, Enforcement agencies, Judge or nominated ART member, Law Enforcement Conduct Commission (NSW), IBAC (Vic.), Corruption and Crime Commission (WA), etc., Minister, National Anti-Corruption Commission, Network protection personnel, Ombudsman, Ombudsman, National Anti-Corruption Commission (NACC), Parliamentary Joint Committee on Intelligence and Security, Part 4-1 issuing authority, Secretary of the Department, Security Authority</t>
        </is>
      </c>
      <c r="E11"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11" t="inlineStr">
        <is>
          <t>High</t>
        </is>
      </c>
      <c r="G11" s="12" t="inlineStr">
        <is>
          <t>Open PDF</t>
        </is>
      </c>
    </row>
    <row r="12">
      <c r="A12" t="inlineStr">
        <is>
          <t>Australia</t>
        </is>
      </c>
      <c r="B12" t="inlineStr">
        <is>
          <t>C2026C00213REC01 (Australia - Row 22)</t>
        </is>
      </c>
      <c r="C12" t="n">
        <v>181</v>
      </c>
      <c r="D12" t="inlineStr">
        <is>
          <t>ASD, Authorised agency, Constable, Minister, Relevant chief executive, Relevant official, Secretary</t>
        </is>
      </c>
      <c r="E12"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12" t="inlineStr">
        <is>
          <t>High</t>
        </is>
      </c>
      <c r="G12" s="12" t="inlineStr">
        <is>
          <t>Open PDF</t>
        </is>
      </c>
    </row>
    <row r="13">
      <c r="A13" t="inlineStr">
        <is>
          <t>Australia</t>
        </is>
      </c>
      <c r="B13" t="inlineStr">
        <is>
          <t>C2026C00220 (Australia - Row 2)</t>
        </is>
      </c>
      <c r="C13" t="n">
        <v>284</v>
      </c>
      <c r="D13" t="inlineStr">
        <is>
          <t>AML/CTF Rules, AUSTRAC, AUSTRAC CEO, AUSTRAC CEO, authorised officers, Australian Federal Police, Australian Crime Commission, Australian Financial Regulations, Australian Privacy Principle 6, Australian Regulatory Authority, Australian Transaction Reports and Analysis Centre (AUSTRAC), Australian Transaction Reports and Records (ATR) Regulator, Commonwealth, Federal Court, Magistrate, Minister, Police Officer or Customs Officer, Police officer or customs officer, Privacy Act 1988, Secretary</t>
        </is>
      </c>
      <c r="E13"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13" t="inlineStr">
        <is>
          <t>High</t>
        </is>
      </c>
      <c r="G13" s="12" t="inlineStr">
        <is>
          <t>Open PDF</t>
        </is>
      </c>
    </row>
    <row r="14">
      <c r="A14" t="inlineStr">
        <is>
          <t>Australia</t>
        </is>
      </c>
      <c r="B14" t="inlineStr">
        <is>
          <t>C2026C00224VOL01 (Australia - Row 27)</t>
        </is>
      </c>
      <c r="C14" t="n">
        <v>69</v>
      </c>
      <c r="D14" t="inlineStr">
        <is>
          <t>ACCC, ACMA, Federal Court, Privacy Act 1988</t>
        </is>
      </c>
      <c r="E14"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14" t="inlineStr">
        <is>
          <t>High</t>
        </is>
      </c>
      <c r="G14" s="12" t="inlineStr">
        <is>
          <t>Open PDF</t>
        </is>
      </c>
    </row>
    <row r="15">
      <c r="A15" t="inlineStr">
        <is>
          <t>Australia</t>
        </is>
      </c>
      <c r="B15" t="inlineStr">
        <is>
          <t>C2026C00227 (Australia - Row 16)</t>
        </is>
      </c>
      <c r="C15" t="n">
        <v>15</v>
      </c>
      <c r="D15" t="inlineStr">
        <is>
          <t>Australian Privacy Principles (APP), Court, Privacy Commissioner</t>
        </is>
      </c>
      <c r="E15" t="inlineStr">
        <is>
          <t>Consent, Cross-border Transfer, Data Sharing, Data Storage, Security</t>
        </is>
      </c>
      <c r="F15" t="inlineStr">
        <is>
          <t>High</t>
        </is>
      </c>
      <c r="G15" s="12" t="inlineStr">
        <is>
          <t>Open PDF</t>
        </is>
      </c>
    </row>
    <row r="16">
      <c r="A16" t="inlineStr">
        <is>
          <t>Australia</t>
        </is>
      </c>
      <c r="B16" t="inlineStr">
        <is>
          <t>C2026C00227-1 (Australia - Row 21)</t>
        </is>
      </c>
      <c r="C16" t="n">
        <v>15</v>
      </c>
      <c r="D16" t="inlineStr">
        <is>
          <t>Australian Privacy Principles (APP), Privacy Act 1988 (Cth)</t>
        </is>
      </c>
      <c r="E16" t="inlineStr">
        <is>
          <t>AML, Access Control, Breach Notification, Children, Cloud Services, Collection, Consent, Cross-border Transfer, Customer Information, Data Sharing, Data Storage, Deletion, Employee Information, Encryption, Financial Data, Governance, Incident Reporting, International Processing, KYC, Outsourcing, Processing, Record Keeping, Retention, Security, Special Personal Information, Third Party Processing</t>
        </is>
      </c>
      <c r="F16" t="inlineStr">
        <is>
          <t>High</t>
        </is>
      </c>
      <c r="G16" s="12" t="inlineStr">
        <is>
          <t>Open PDF</t>
        </is>
      </c>
    </row>
    <row r="17">
      <c r="A17" t="inlineStr">
        <is>
          <t>Australia</t>
        </is>
      </c>
      <c r="B17" t="inlineStr">
        <is>
          <t>C2026C00243VOL01 (Australia - Row 14)</t>
        </is>
      </c>
      <c r="C17" t="n">
        <v>54</v>
      </c>
      <c r="D17" t="inlineStr">
        <is>
          <t>Attorney-General, Australian Criminal Code, Australian Federal Police, Australian Federal Police (AFP), Australian Federal Police (AFP) Minister, Australian Government, Australian Police, Commonwealth, Court, Defence Minister, Director of Public Prosecutions, Federal Court of Australia, Issuing authority, Police, Supreme Court, Supreme Court of a State or Territory</t>
        </is>
      </c>
      <c r="E17" t="inlineStr">
        <is>
          <t>AML, Access Control, Breach Notification, Children, Cloud Services, Collection, Consent, Cross-border Transfer, Customer Information, Data Residency, Data Sharing, Data Storage, Deletion, Employee Information, Financial Data, Governance, Incident Reporting, International Processing, KYC, Outsourcing, Processing, Record Keeping, Retention, Security, Special Personal Information, Third Party Processing</t>
        </is>
      </c>
      <c r="F17" t="inlineStr">
        <is>
          <t>High</t>
        </is>
      </c>
      <c r="G17" s="12" t="inlineStr">
        <is>
          <t>Open PDF</t>
        </is>
      </c>
    </row>
    <row r="18">
      <c r="A18" t="inlineStr">
        <is>
          <t>Australia</t>
        </is>
      </c>
      <c r="B18" t="inlineStr">
        <is>
          <t>cps_234_july_2019_for_public_release (Australia - Row 6)</t>
        </is>
      </c>
      <c r="C18" t="n">
        <v>32</v>
      </c>
      <c r="D18" t="inlineStr">
        <is>
          <t>APRA</t>
        </is>
      </c>
      <c r="E18" t="inlineStr">
        <is>
          <t>Breach Notification, Governance, Incident Reporting, Security, Third Party Processing</t>
        </is>
      </c>
      <c r="F18" t="inlineStr">
        <is>
          <t>High</t>
        </is>
      </c>
      <c r="G18" s="12" t="inlineStr">
        <is>
          <t>Open PDF</t>
        </is>
      </c>
    </row>
    <row r="19">
      <c r="A19" t="inlineStr">
        <is>
          <t>Australia</t>
        </is>
      </c>
      <c r="B19" t="inlineStr">
        <is>
          <t>Essential Eight explained (November 2023) (Australia - Row 11)</t>
        </is>
      </c>
      <c r="C19" t="n">
        <v>2</v>
      </c>
      <c r="D19" t="inlineStr">
        <is>
          <t>Australian Signals Directorate (ASD)</t>
        </is>
      </c>
      <c r="E19" t="inlineStr">
        <is>
          <t>Security</t>
        </is>
      </c>
      <c r="F19" t="inlineStr">
        <is>
          <t>Medium</t>
        </is>
      </c>
      <c r="G19" s="12" t="inlineStr">
        <is>
          <t>Open PDF</t>
        </is>
      </c>
    </row>
    <row r="20">
      <c r="A20" t="inlineStr">
        <is>
          <t>Australia</t>
        </is>
      </c>
      <c r="B20" t="inlineStr">
        <is>
          <t>F2026C00274 (Australia - Row 10)</t>
        </is>
      </c>
      <c r="C20" t="n">
        <v>42</v>
      </c>
      <c r="D20" t="inlineStr">
        <is>
          <t>AUSTRAC, AUSTRAC CEO, Australian Financial Regulations, Australian Financial Services Authority (AFS), Australian Financial Services Regulatory Authority, Australian Government, Australian Transaction Reports and Analysis Centre (AUSTRAC), Australian Transaction Reports and Security (ATRS) Act</t>
        </is>
      </c>
      <c r="E20" t="inlineStr">
        <is>
          <t>AML, Consent, Cross-border Transfer, Customer Information, Data Sharing, Data Storage, Financial Data, Governance, International Processing, KYC, Record Keeping, Security</t>
        </is>
      </c>
      <c r="F20" t="inlineStr">
        <is>
          <t>High</t>
        </is>
      </c>
      <c r="G20" s="12" t="inlineStr">
        <is>
          <t>Open PDF</t>
        </is>
      </c>
    </row>
    <row r="21">
      <c r="A21" t="inlineStr">
        <is>
          <t>Australia</t>
        </is>
      </c>
      <c r="B21" t="inlineStr">
        <is>
          <t>Prudential Standard - CPS 230 Operational Risk Management - clean (Australia - Row 3)</t>
        </is>
      </c>
      <c r="C21" t="n">
        <v>19</v>
      </c>
      <c r="D21" t="inlineStr">
        <is>
          <t>APRA</t>
        </is>
      </c>
      <c r="E21" t="inlineStr">
        <is>
          <t>Breach Notification, Cloud Services, Data Storage, Incident Reporting, Outsourcing, Security, Third Party Processing</t>
        </is>
      </c>
      <c r="F21" t="inlineStr">
        <is>
          <t>High</t>
        </is>
      </c>
      <c r="G21" s="12" t="inlineStr">
        <is>
          <t>Open PDF</t>
        </is>
      </c>
    </row>
    <row r="22">
      <c r="A22" t="inlineStr">
        <is>
          <t>Australia</t>
        </is>
      </c>
      <c r="B22" t="inlineStr">
        <is>
          <t>Prudential-Practice-Guide-CPG-235-Managing-Data-Risk_1 (Australia - Row 4)</t>
        </is>
      </c>
      <c r="C22" t="n">
        <v>37</v>
      </c>
      <c r="D22" t="inlineStr">
        <is>
          <t>APRA, Australian Prudential Regulation Authority</t>
        </is>
      </c>
      <c r="E22" t="inlineStr">
        <is>
          <t>Cross-border Transfer, Data Sharing, Data Storage, Governance, Security, Third Party Processing</t>
        </is>
      </c>
      <c r="F22" t="inlineStr">
        <is>
          <t>High</t>
        </is>
      </c>
      <c r="G22" s="12" t="inlineStr">
        <is>
          <t>Open PDF</t>
        </is>
      </c>
    </row>
    <row r="23">
      <c r="A23" t="inlineStr">
        <is>
          <t>Australia</t>
        </is>
      </c>
      <c r="B23" t="inlineStr">
        <is>
          <t>Prudential-Standard-CPS-232-Business-Continuity-Management-(July-2017) (Australia - Row 5)</t>
        </is>
      </c>
      <c r="C23" t="n">
        <v>11</v>
      </c>
      <c r="D23" t="inlineStr">
        <is>
          <t>APRA</t>
        </is>
      </c>
      <c r="E23" t="inlineStr">
        <is>
          <t>Governance, Incident Reporting</t>
        </is>
      </c>
      <c r="F23" t="inlineStr">
        <is>
          <t>High</t>
        </is>
      </c>
      <c r="G23" s="12" t="inlineStr">
        <is>
          <t>Open PDF</t>
        </is>
      </c>
    </row>
    <row r="24">
      <c r="A24" t="inlineStr">
        <is>
          <t>Australia</t>
        </is>
      </c>
      <c r="B24" t="inlineStr">
        <is>
          <t>rg255-published-30-august-2016-20220328 (Australia - Row 9)</t>
        </is>
      </c>
      <c r="C24" t="n">
        <v>40</v>
      </c>
      <c r="D24" t="inlineStr">
        <is>
          <t>ASIC</t>
        </is>
      </c>
      <c r="E24" t="inlineStr">
        <is>
          <t>Breach Notification, Cloud Services, Cross-border Transfer, Data Sharing, Data Storage, Financial Data, Incident Reporting, Processing, Security, Third Party Processing</t>
        </is>
      </c>
      <c r="F24" t="inlineStr">
        <is>
          <t>High</t>
        </is>
      </c>
      <c r="G24" s="12" t="inlineStr">
        <is>
          <t>Open PDF</t>
        </is>
      </c>
    </row>
    <row r="25">
      <c r="A25" t="inlineStr">
        <is>
          <t>Australia</t>
        </is>
      </c>
      <c r="B25" t="inlineStr">
        <is>
          <t>Statutory tort for serious invasions of privacy _ OAIC (Australia - Row 24)</t>
        </is>
      </c>
      <c r="C25" t="n">
        <v>5</v>
      </c>
      <c r="D25" t="inlineStr"/>
      <c r="E25"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25" t="inlineStr">
        <is>
          <t>Medium</t>
        </is>
      </c>
      <c r="G25" s="12" t="inlineStr">
        <is>
          <t>Open PDF</t>
        </is>
      </c>
    </row>
    <row r="26">
      <c r="A26" t="inlineStr">
        <is>
          <t>GDPR</t>
        </is>
      </c>
      <c r="B26" t="inlineStr">
        <is>
          <t>CELEX_32002L0058_EN_TXT (GDPR Row 7)</t>
        </is>
      </c>
      <c r="C26" t="n">
        <v>5</v>
      </c>
      <c r="D26" t="inlineStr">
        <is>
          <t>European Commission</t>
        </is>
      </c>
      <c r="E26" t="inlineStr">
        <is>
          <t>Consent, Cross-border Transfer, Data Sharing, Data Storage, Governance, Processing, Record Keeping</t>
        </is>
      </c>
      <c r="F26" t="inlineStr">
        <is>
          <t>High</t>
        </is>
      </c>
      <c r="G26" s="12" t="inlineStr">
        <is>
          <t>Open PDF</t>
        </is>
      </c>
    </row>
    <row r="27">
      <c r="A27" t="inlineStr">
        <is>
          <t>GDPR</t>
        </is>
      </c>
      <c r="B27" t="inlineStr">
        <is>
          <t>CELEX_32014L0065_EN_TXT (GDPR - Row 16)</t>
        </is>
      </c>
      <c r="C27" t="n">
        <v>25</v>
      </c>
      <c r="D27" t="inlineStr">
        <is>
          <t>Competent Authority, ESMA, European Commission, European Parliament and Council, European Securities and Markets Authority (ESMA), Member States</t>
        </is>
      </c>
      <c r="E27" t="inlineStr">
        <is>
          <t>AML, Cloud Services, Consent, Cross-border Transfer, Customer Information, Data Sharing, Data Storage, Financial Data, Governance, International Processing, KYC, Record Keeping, Security, Third Party Processing</t>
        </is>
      </c>
      <c r="F27" t="inlineStr">
        <is>
          <t>High</t>
        </is>
      </c>
      <c r="G27" s="12" t="inlineStr">
        <is>
          <t>Open PDF</t>
        </is>
      </c>
    </row>
    <row r="28">
      <c r="A28" t="inlineStr">
        <is>
          <t>GDPR</t>
        </is>
      </c>
      <c r="B28" t="inlineStr">
        <is>
          <t>CELEX_32015L2366_EN_TXT (GDPR - Row 18)</t>
        </is>
      </c>
      <c r="C28" t="n">
        <v>6</v>
      </c>
      <c r="D28" t="inlineStr"/>
      <c r="E28" t="inlineStr">
        <is>
          <t>Cross-border Transfer, Security</t>
        </is>
      </c>
      <c r="F28" t="inlineStr">
        <is>
          <t>High</t>
        </is>
      </c>
      <c r="G28" s="12" t="inlineStr">
        <is>
          <t>Open PDF</t>
        </is>
      </c>
    </row>
    <row r="29">
      <c r="A29" t="inlineStr">
        <is>
          <t>GDPR</t>
        </is>
      </c>
      <c r="B29" t="inlineStr">
        <is>
          <t>CELEX_32018L1673_EN_TXT (GDPR - Row 2)</t>
        </is>
      </c>
      <c r="C29" t="n">
        <v>5</v>
      </c>
      <c r="D29" t="inlineStr">
        <is>
          <t>European Commission</t>
        </is>
      </c>
      <c r="E29" t="inlineStr">
        <is>
          <t>Cross-border Transfer, Governance, Record Keeping</t>
        </is>
      </c>
      <c r="F29" t="inlineStr">
        <is>
          <t>High</t>
        </is>
      </c>
      <c r="G29" s="12" t="inlineStr">
        <is>
          <t>Open PDF</t>
        </is>
      </c>
    </row>
    <row r="30">
      <c r="A30" t="inlineStr">
        <is>
          <t>GDPR</t>
        </is>
      </c>
      <c r="B30" t="inlineStr">
        <is>
          <t>CELEX_32022L2555_EN_TXT (GDPR - Row 17)</t>
        </is>
      </c>
      <c r="C30" t="n">
        <v>13</v>
      </c>
      <c r="D30" t="inlineStr">
        <is>
          <t>European Commission</t>
        </is>
      </c>
      <c r="E30" t="inlineStr">
        <is>
          <t>Cloud Services, Cross-border Transfer, Data Storage, Incident Reporting, International Processing, Processing, Security</t>
        </is>
      </c>
      <c r="F30" t="inlineStr">
        <is>
          <t>High</t>
        </is>
      </c>
      <c r="G30" s="12" t="inlineStr">
        <is>
          <t>Open PDF</t>
        </is>
      </c>
    </row>
    <row r="31">
      <c r="A31" t="inlineStr">
        <is>
          <t>GDPR</t>
        </is>
      </c>
      <c r="B31" t="inlineStr">
        <is>
          <t>CELEX_32022R0868_EN_TXT (GDPR - Row 12)</t>
        </is>
      </c>
      <c r="C31" t="n">
        <v>21</v>
      </c>
      <c r="D31" t="inlineStr">
        <is>
          <t>Commission, Competent authorities for data intermediation services, Competent authorities for registration of data altruism organizations, European Commission, European Parliament or Council</t>
        </is>
      </c>
      <c r="E31" t="inlineStr">
        <is>
          <t>Consent, Cross-border Transfer, Data Residency, Data Sharing, Data Storage, Incident Reporting, Security</t>
        </is>
      </c>
      <c r="F31" t="inlineStr">
        <is>
          <t>High</t>
        </is>
      </c>
      <c r="G31" s="12" t="inlineStr">
        <is>
          <t>Open PDF</t>
        </is>
      </c>
    </row>
    <row r="32">
      <c r="A32" t="inlineStr">
        <is>
          <t>GDPR</t>
        </is>
      </c>
      <c r="B32" t="inlineStr">
        <is>
          <t>CELEX_32022R2554_EN_TXT (GDPR -Row 3)</t>
        </is>
      </c>
      <c r="C32" t="n">
        <v>21</v>
      </c>
      <c r="D32" t="inlineStr">
        <is>
          <t>Commission, Competent authorities, ESAs, European Commission, European Supervisory Authorities, European Union, Lead Overseer</t>
        </is>
      </c>
      <c r="E32" t="inlineStr">
        <is>
          <t>AML, Breach Notification, Cloud Services, Cross-border Transfer, Data Storage, Financial Data, Governance, Incident Reporting, International Processing, KYC, Record Keeping, Security, Third Party Processing</t>
        </is>
      </c>
      <c r="F32" t="inlineStr">
        <is>
          <t>High</t>
        </is>
      </c>
      <c r="G32" s="12" t="inlineStr">
        <is>
          <t>Open PDF</t>
        </is>
      </c>
    </row>
    <row r="33">
      <c r="A33" t="inlineStr">
        <is>
          <t>GDPR</t>
        </is>
      </c>
      <c r="B33" t="inlineStr">
        <is>
          <t>CELEX_52023PC0360_EN_TXT (GDPR - Row 13)</t>
        </is>
      </c>
      <c r="C33" t="n">
        <v>14</v>
      </c>
      <c r="D33" t="inlineStr">
        <is>
          <t>Competent authorities, Competent authority, European Banking Authority (EBA), European Parliament or Council, Member States</t>
        </is>
      </c>
      <c r="E33" t="inlineStr">
        <is>
          <t>Breach Notification, Consent, Cross-border Transfer, Customer Information, Data Sharing, Data Storage, Financial Data, Governance, Incident Reporting, International Processing, Security</t>
        </is>
      </c>
      <c r="F33" t="inlineStr">
        <is>
          <t>High</t>
        </is>
      </c>
      <c r="G33" s="12" t="inlineStr">
        <is>
          <t>Open PDF</t>
        </is>
      </c>
    </row>
    <row r="34">
      <c r="A34" t="inlineStr">
        <is>
          <t>GDPR</t>
        </is>
      </c>
      <c r="B34" t="inlineStr">
        <is>
          <t>cellar_04cc5bd5-196f-11ee-806b-01aa75ed71a1.0001.02_DOC_1 (GDPR - Row 15)</t>
        </is>
      </c>
      <c r="C34" t="n">
        <v>13</v>
      </c>
      <c r="D34" t="inlineStr">
        <is>
          <t>Commission, Competent authorities, EBA, European Financial Authority</t>
        </is>
      </c>
      <c r="E34" t="inlineStr">
        <is>
          <t>Cross-border Transfer, Data Storage, Financial Data, Governance, Security</t>
        </is>
      </c>
      <c r="F34" t="inlineStr">
        <is>
          <t>High</t>
        </is>
      </c>
      <c r="G34" s="12" t="inlineStr">
        <is>
          <t>Open PDF</t>
        </is>
      </c>
    </row>
    <row r="35">
      <c r="A35" t="inlineStr">
        <is>
          <t>GDPR</t>
        </is>
      </c>
      <c r="B35" t="inlineStr">
        <is>
          <t>EBA revised Guidelines on outsourcing arrangements (GDPR - Row 5)</t>
        </is>
      </c>
      <c r="C35" t="n">
        <v>127</v>
      </c>
      <c r="D35" t="inlineStr">
        <is>
          <t>Committee of European Banking Supervisors (CEBS), Competent authorities, Competent authority, EBA, European Banking Authority, European Banking Authority (EBA)</t>
        </is>
      </c>
      <c r="E35" t="inlineStr">
        <is>
          <t>AML, Access Control, Breach Notification, Cloud Services, Consent, Cross-border Transfer, Customer Information, Data Storage, Encryption, Financial Data, Governance, Incident Reporting, International Processing, KYC, Outsourcing, Processing, Record Keeping, Security, Third Party Processing</t>
        </is>
      </c>
      <c r="F35" t="inlineStr">
        <is>
          <t>High</t>
        </is>
      </c>
      <c r="G35" s="12" t="inlineStr">
        <is>
          <t>Open PDF</t>
        </is>
      </c>
    </row>
    <row r="36">
      <c r="A36" t="inlineStr">
        <is>
          <t>GDPR</t>
        </is>
      </c>
      <c r="B36" t="inlineStr">
        <is>
          <t>esma_cloud_guidelines (GDPR - Row 8)</t>
        </is>
      </c>
      <c r="C36" t="n">
        <v>45</v>
      </c>
      <c r="D36" t="inlineStr">
        <is>
          <t>Competent authorities, ESMA</t>
        </is>
      </c>
      <c r="E36" t="inlineStr">
        <is>
          <t>Access Control, Breach Notification, Cloud Services, Encryption, Governance, Incident Reporting, Outsourcing, Record Keeping, Security, Third Party Processing</t>
        </is>
      </c>
      <c r="F36" t="inlineStr">
        <is>
          <t>High</t>
        </is>
      </c>
      <c r="G36" s="12" t="inlineStr">
        <is>
          <t>Open PDF</t>
        </is>
      </c>
    </row>
    <row r="37">
      <c r="A37" t="inlineStr">
        <is>
          <t>GDPR</t>
        </is>
      </c>
      <c r="B37" t="inlineStr">
        <is>
          <t>Final report on amending GLs on ICT risk and security (GDPR - Row 4)</t>
        </is>
      </c>
      <c r="C37" t="n">
        <v>12</v>
      </c>
      <c r="D37" t="inlineStr">
        <is>
          <t>EBA</t>
        </is>
      </c>
      <c r="E37" t="inlineStr">
        <is>
          <t>Financial Data, Governance, Security</t>
        </is>
      </c>
      <c r="F37" t="inlineStr">
        <is>
          <t>High</t>
        </is>
      </c>
      <c r="G37" s="12" t="inlineStr">
        <is>
          <t>Open PDF</t>
        </is>
      </c>
    </row>
    <row r="38">
      <c r="A38" t="inlineStr">
        <is>
          <t>GDPR</t>
        </is>
      </c>
      <c r="B38" t="inlineStr">
        <is>
          <t>OJ_L_202302854_EN_TXT (GDPR - Row 11)</t>
        </is>
      </c>
      <c r="C38" t="n">
        <v>14</v>
      </c>
      <c r="D38" t="inlineStr">
        <is>
          <t>Competent authorities, European Commission, European Data Protection Supervisor, Member States</t>
        </is>
      </c>
      <c r="E38" t="inlineStr">
        <is>
          <t>Cross-border Transfer, Data Sharing, Data Storage, International Processing, Security, Third Party Processing</t>
        </is>
      </c>
      <c r="F38" t="inlineStr">
        <is>
          <t>High</t>
        </is>
      </c>
      <c r="G38" s="12" t="inlineStr">
        <is>
          <t>Open PDF</t>
        </is>
      </c>
    </row>
    <row r="39">
      <c r="A39" t="inlineStr">
        <is>
          <t>GDPR</t>
        </is>
      </c>
      <c r="B39" t="inlineStr">
        <is>
          <t>OJ_L_202401689_EN_TXT (GDPR - Row 9)</t>
        </is>
      </c>
      <c r="C39" t="n">
        <v>17</v>
      </c>
      <c r="D39" t="inlineStr">
        <is>
          <t>AI Office, European Commission, European Data Protection Supervisor, National competent authorities, Notified body</t>
        </is>
      </c>
      <c r="E39"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39" t="inlineStr">
        <is>
          <t>High</t>
        </is>
      </c>
      <c r="G39" s="12" t="inlineStr">
        <is>
          <t>Open PDF</t>
        </is>
      </c>
    </row>
    <row r="40">
      <c r="A40" t="inlineStr">
        <is>
          <t>GDPR</t>
        </is>
      </c>
      <c r="B40" t="inlineStr">
        <is>
          <t>OJ_L_202402847_EN_TXT (GDPR - Row 10)</t>
        </is>
      </c>
      <c r="C40" t="n">
        <v>28</v>
      </c>
      <c r="D40" t="inlineStr">
        <is>
          <t>ADCO, European Commission, European Union, Manufacturer's authorised representative, Manufacturers, Market surveillance authorities, Notified bodies</t>
        </is>
      </c>
      <c r="E40"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40" t="inlineStr">
        <is>
          <t>Medium</t>
        </is>
      </c>
      <c r="G40" s="12" t="inlineStr">
        <is>
          <t>Open PDF</t>
        </is>
      </c>
    </row>
    <row r="41">
      <c r="A41" t="inlineStr">
        <is>
          <t>India</t>
        </is>
      </c>
      <c r="B41" t="inlineStr">
        <is>
          <t>Guidelines on Information and Cyber Security (India - Row 8)</t>
        </is>
      </c>
      <c r="C41" t="n">
        <v>2</v>
      </c>
      <c r="D41" t="inlineStr">
        <is>
          <t>IRDAI</t>
        </is>
      </c>
      <c r="E41" t="inlineStr"/>
      <c r="F41" t="inlineStr">
        <is>
          <t>Medium</t>
        </is>
      </c>
      <c r="G41" s="12" t="inlineStr">
        <is>
          <t>Open PDF</t>
        </is>
      </c>
    </row>
    <row r="42">
      <c r="A42" t="inlineStr">
        <is>
          <t>India</t>
        </is>
      </c>
      <c r="B42" t="inlineStr">
        <is>
          <t>guidelines-on-cyber-security-and-cyber-resilience-for-regulated-entities-in-ifscs-1-10032025064412 (India - Row 5)</t>
        </is>
      </c>
      <c r="C42" t="n">
        <v>21</v>
      </c>
      <c r="D42" t="inlineStr">
        <is>
          <t>IFSCA</t>
        </is>
      </c>
      <c r="E42" t="inlineStr">
        <is>
          <t>Access Control, Breach Notification, Governance, Incident Reporting, Record Keeping, Security, Third Party Processing</t>
        </is>
      </c>
      <c r="F42" t="inlineStr">
        <is>
          <t>High</t>
        </is>
      </c>
      <c r="G42" s="12" t="inlineStr">
        <is>
          <t>Open PDF</t>
        </is>
      </c>
    </row>
    <row r="43">
      <c r="A43" t="inlineStr">
        <is>
          <t>India</t>
        </is>
      </c>
      <c r="B43" t="inlineStr">
        <is>
          <t>NT75589AC4A988D446CA94182886F6D8EADD (India - Row 13) PROVISIONALLY</t>
        </is>
      </c>
      <c r="C43" t="n">
        <v>1</v>
      </c>
      <c r="D43" t="inlineStr"/>
      <c r="E43" t="inlineStr"/>
      <c r="F43" t="inlineStr"/>
      <c r="G43" s="12" t="inlineStr">
        <is>
          <t>Open PDF</t>
        </is>
      </c>
    </row>
    <row r="44">
      <c r="A44" t="inlineStr">
        <is>
          <t>India</t>
        </is>
      </c>
      <c r="B44" t="inlineStr">
        <is>
          <t>Payment and Settlement Systems Act, 2007 (India - Row 11)</t>
        </is>
      </c>
      <c r="C44" t="n">
        <v>37</v>
      </c>
      <c r="D44" t="inlineStr">
        <is>
          <t>Central Government, Reserve Bank, Reserve Bank of India</t>
        </is>
      </c>
      <c r="E44" t="inlineStr">
        <is>
          <t>Cross-border Transfer, Data Sharing, Financial Data, Governance, Record Keeping</t>
        </is>
      </c>
      <c r="F44" t="inlineStr">
        <is>
          <t>High</t>
        </is>
      </c>
      <c r="G44" s="12" t="inlineStr">
        <is>
          <t>Open PDF</t>
        </is>
      </c>
    </row>
    <row r="45">
      <c r="A45" t="inlineStr">
        <is>
          <t>India</t>
        </is>
      </c>
      <c r="B45" t="inlineStr">
        <is>
          <t>RBI Digital Lending Directions 2025 Digital Lending Guidelines 2022 (India - Row 14)</t>
        </is>
      </c>
      <c r="C45" t="n">
        <v>23</v>
      </c>
      <c r="D45" t="inlineStr">
        <is>
          <t>RBI, Reserve Bank of India, Reserve Bank of India (RBI)</t>
        </is>
      </c>
      <c r="E45"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45" t="inlineStr">
        <is>
          <t>High</t>
        </is>
      </c>
      <c r="G45" s="12" t="inlineStr">
        <is>
          <t>Open PDF</t>
        </is>
      </c>
    </row>
    <row r="46">
      <c r="A46" t="inlineStr">
        <is>
          <t>India</t>
        </is>
      </c>
      <c r="B46" t="inlineStr">
        <is>
          <t>RBI Master Direction on Information Technology Framework for NBFC Sector (2017) (India - Row 15)</t>
        </is>
      </c>
      <c r="C46" t="n">
        <v>2</v>
      </c>
      <c r="D46" t="inlineStr">
        <is>
          <t>RBI</t>
        </is>
      </c>
      <c r="E46" t="inlineStr">
        <is>
          <t>Customer Information, Financial Data</t>
        </is>
      </c>
      <c r="F46" t="inlineStr">
        <is>
          <t>Low</t>
        </is>
      </c>
      <c r="G46" s="12" t="inlineStr">
        <is>
          <t>Open PDF</t>
        </is>
      </c>
    </row>
    <row r="47">
      <c r="A47" t="inlineStr">
        <is>
          <t>India</t>
        </is>
      </c>
      <c r="B47" t="inlineStr">
        <is>
          <t>RBI Master Direction on Outsourcing of IT Services (MDS on IT Outsourcing, 2023) (India - Row 16)</t>
        </is>
      </c>
      <c r="C47" t="n">
        <v>22</v>
      </c>
      <c r="D47" t="inlineStr">
        <is>
          <t>RBI, Reserve Bank of India, Reserve Bank of India (RBI)</t>
        </is>
      </c>
      <c r="E47" t="inlineStr">
        <is>
          <t>Access Control, Breach Notification, Cloud Services, Cross-border Transfer, Data Residency, Data Sharing, Data Storage, Governance, Incident Reporting, International Processing, Outsourcing, Record Keeping, Security</t>
        </is>
      </c>
      <c r="F47" t="inlineStr">
        <is>
          <t>High</t>
        </is>
      </c>
      <c r="G47" s="12" t="inlineStr">
        <is>
          <t>Open PDF</t>
        </is>
      </c>
    </row>
    <row r="48">
      <c r="A48" t="inlineStr">
        <is>
          <t>India</t>
        </is>
      </c>
      <c r="B48" t="inlineStr">
        <is>
          <t>RBI Payment Data Localisation Requirement (India - Row 17)</t>
        </is>
      </c>
      <c r="C48" t="n">
        <v>1</v>
      </c>
      <c r="D48" t="inlineStr">
        <is>
          <t>Reserve Bank of India</t>
        </is>
      </c>
      <c r="E48" t="inlineStr">
        <is>
          <t>Cross-border Transfer, Data Storage, Financial Data</t>
        </is>
      </c>
      <c r="F48" t="inlineStr">
        <is>
          <t>High</t>
        </is>
      </c>
      <c r="G48" s="12" t="inlineStr">
        <is>
          <t>Open PDF</t>
        </is>
      </c>
    </row>
    <row r="49">
      <c r="A49" t="inlineStr">
        <is>
          <t>India</t>
        </is>
      </c>
      <c r="B49" t="inlineStr">
        <is>
          <t>Reserve Bank of India – IT Governance and Cybersecurity Regulatory Framework (including Master Directions and Cyber Security Framework) (India - Row 18)</t>
        </is>
      </c>
      <c r="C49" t="n">
        <v>33</v>
      </c>
      <c r="D49" t="inlineStr">
        <is>
          <t>RBI, Reserve Bank of India</t>
        </is>
      </c>
      <c r="E49" t="inlineStr">
        <is>
          <t>Access Control, Breach Notification, Data Sharing, Data Storage, Encryption, Governance, Incident Reporting, Processing, Security, Third Party Processing</t>
        </is>
      </c>
      <c r="F49" t="inlineStr">
        <is>
          <t>High</t>
        </is>
      </c>
      <c r="G49" s="12" t="inlineStr">
        <is>
          <t>Open PDF</t>
        </is>
      </c>
    </row>
    <row r="50">
      <c r="A50" t="inlineStr">
        <is>
          <t>India</t>
        </is>
      </c>
      <c r="B50" t="inlineStr">
        <is>
          <t>SEBI Master Circular for Alternative Investment Funds (India - Row 25)</t>
        </is>
      </c>
      <c r="C50" t="n">
        <v>30</v>
      </c>
      <c r="D50" t="inlineStr">
        <is>
          <t>SEBI</t>
        </is>
      </c>
      <c r="E50"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50" t="inlineStr">
        <is>
          <t>High</t>
        </is>
      </c>
      <c r="G50" s="12" t="inlineStr">
        <is>
          <t>Open PDF</t>
        </is>
      </c>
    </row>
    <row r="51">
      <c r="A51" t="inlineStr">
        <is>
          <t>Mauritius</t>
        </is>
      </c>
      <c r="B51" t="inlineStr">
        <is>
          <t>code-of-business-conduct_final (Mauritius - Row 14)</t>
        </is>
      </c>
      <c r="C51" t="n">
        <v>4</v>
      </c>
      <c r="D51" t="inlineStr">
        <is>
          <t>Financial Services Commission (FSC)</t>
        </is>
      </c>
      <c r="E51" t="inlineStr">
        <is>
          <t>Customer Information, Governance, Record Keeping</t>
        </is>
      </c>
      <c r="F51" t="inlineStr">
        <is>
          <t>High</t>
        </is>
      </c>
      <c r="G51" s="12" t="inlineStr">
        <is>
          <t>Open PDF</t>
        </is>
      </c>
    </row>
    <row r="52">
      <c r="A52" t="inlineStr">
        <is>
          <t>Mauritius</t>
        </is>
      </c>
      <c r="B52" t="inlineStr">
        <is>
          <t>code-of-business-conduct_final (Mauritius - Row 18)</t>
        </is>
      </c>
      <c r="C52" t="n">
        <v>4</v>
      </c>
      <c r="D52" t="inlineStr">
        <is>
          <t>Financial Services Commission (FSC)</t>
        </is>
      </c>
      <c r="E52" t="inlineStr">
        <is>
          <t>Customer Information, Governance, Record Keeping</t>
        </is>
      </c>
      <c r="F52" t="inlineStr">
        <is>
          <t>High</t>
        </is>
      </c>
      <c r="G52" s="12" t="inlineStr">
        <is>
          <t>Open PDF</t>
        </is>
      </c>
    </row>
    <row r="53">
      <c r="A53" t="inlineStr">
        <is>
          <t>Mauritius</t>
        </is>
      </c>
      <c r="B53" t="inlineStr">
        <is>
          <t>final-guideline-on-cloud-computing (Mauritius - Row 17)</t>
        </is>
      </c>
      <c r="C53" t="n">
        <v>12</v>
      </c>
      <c r="D53" t="inlineStr">
        <is>
          <t>FSC, Financial Services Commission (FSC)</t>
        </is>
      </c>
      <c r="E53" t="inlineStr">
        <is>
          <t>Cloud Services, Data Storage, Encryption, Governance, Security</t>
        </is>
      </c>
      <c r="F53" t="inlineStr">
        <is>
          <t>High</t>
        </is>
      </c>
      <c r="G53" s="12" t="inlineStr">
        <is>
          <t>Open PDF</t>
        </is>
      </c>
    </row>
    <row r="54">
      <c r="A54" t="inlineStr">
        <is>
          <t>Mauritius</t>
        </is>
      </c>
      <c r="B54" t="inlineStr">
        <is>
          <t>Guideline-on-Incident-Handling-and-Reporting (Mauritius - Row 8)</t>
        </is>
      </c>
      <c r="C54" t="n">
        <v>7</v>
      </c>
      <c r="D54" t="inlineStr">
        <is>
          <t>Mauritius Data Protection Authority</t>
        </is>
      </c>
      <c r="E54" t="inlineStr">
        <is>
          <t>Breach Notification, Incident Reporting, Third Party Processing</t>
        </is>
      </c>
      <c r="F54" t="inlineStr">
        <is>
          <t>High</t>
        </is>
      </c>
      <c r="G54" s="12" t="inlineStr">
        <is>
          <t>Open PDF</t>
        </is>
      </c>
    </row>
    <row r="55">
      <c r="A55" t="inlineStr">
        <is>
          <t>Mauritius</t>
        </is>
      </c>
      <c r="B55" t="inlineStr">
        <is>
          <t>guideline_for_digital_banks_06.12.2021 (Mauritius - Row 7)</t>
        </is>
      </c>
      <c r="C55" t="n">
        <v>13</v>
      </c>
      <c r="D55" t="inlineStr">
        <is>
          <t>Bank, Bank of Mauritius</t>
        </is>
      </c>
      <c r="E55" t="inlineStr">
        <is>
          <t>Cross-border Transfer, Customer Information, Data Storage, Governance, International Processing, Record Keeping, Security</t>
        </is>
      </c>
      <c r="F55" t="inlineStr">
        <is>
          <t>High</t>
        </is>
      </c>
      <c r="G55" s="12" t="inlineStr">
        <is>
          <t>Open PDF</t>
        </is>
      </c>
    </row>
    <row r="56">
      <c r="A56" t="inlineStr">
        <is>
          <t>Mauritius</t>
        </is>
      </c>
      <c r="B56" t="inlineStr">
        <is>
          <t>guidelines-on-responsible-use-of-ai (Mauritius - Row 19)</t>
        </is>
      </c>
      <c r="C56" t="n">
        <v>13</v>
      </c>
      <c r="D56" t="inlineStr">
        <is>
          <t>FSC, FSC Mauritius, Financial Services Commission, Mauritius (FSC)</t>
        </is>
      </c>
      <c r="E56" t="inlineStr">
        <is>
          <t>Governance, Record Keeping, Security, Third Party Processing</t>
        </is>
      </c>
      <c r="F56" t="inlineStr">
        <is>
          <t>High</t>
        </is>
      </c>
      <c r="G56" s="12" t="inlineStr">
        <is>
          <t>Open PDF</t>
        </is>
      </c>
    </row>
    <row r="57">
      <c r="A57" t="inlineStr">
        <is>
          <t>Mauritius</t>
        </is>
      </c>
      <c r="B57" t="inlineStr">
        <is>
          <t>guidelines_on_outsourcing_by_financial_institutions (Mauritius - Row 3)</t>
        </is>
      </c>
      <c r="C57" t="n">
        <v>2</v>
      </c>
      <c r="D57" t="inlineStr">
        <is>
          <t>Bank, Bank of Mauritius</t>
        </is>
      </c>
      <c r="E57" t="inlineStr">
        <is>
          <t>Governance, Outsourcing, Third Party Processing</t>
        </is>
      </c>
      <c r="F57" t="inlineStr">
        <is>
          <t>High</t>
        </is>
      </c>
      <c r="G57" s="12" t="inlineStr">
        <is>
          <t>Open PDF</t>
        </is>
      </c>
    </row>
    <row r="58">
      <c r="A58" t="inlineStr">
        <is>
          <t>Mauritius</t>
        </is>
      </c>
      <c r="B58" t="inlineStr">
        <is>
          <t>Mauritius_Emerging_Technologies_Council_Act_2021 (Mauritius - Row 24)</t>
        </is>
      </c>
      <c r="C58" t="n">
        <v>5</v>
      </c>
      <c r="D58" t="inlineStr"/>
      <c r="E58" t="inlineStr"/>
      <c r="F58" t="inlineStr">
        <is>
          <t>Low</t>
        </is>
      </c>
      <c r="G58" s="12" t="inlineStr">
        <is>
          <t>Open PDF</t>
        </is>
      </c>
    </row>
    <row r="59">
      <c r="A59" t="inlineStr">
        <is>
          <t>Mauritius</t>
        </is>
      </c>
      <c r="B59" t="inlineStr">
        <is>
          <t>National-Identity-Card-Act-Consolidated- (Mauritius - Row 23)</t>
        </is>
      </c>
      <c r="C59" t="n">
        <v>5</v>
      </c>
      <c r="D59" t="inlineStr"/>
      <c r="E59" t="inlineStr"/>
      <c r="F59" t="inlineStr">
        <is>
          <t>Low</t>
        </is>
      </c>
      <c r="G59" s="12" t="inlineStr">
        <is>
          <t>Open PDF</t>
        </is>
      </c>
    </row>
    <row r="60">
      <c r="A60" t="inlineStr">
        <is>
          <t>Mauritius</t>
        </is>
      </c>
      <c r="B60" t="inlineStr">
        <is>
          <t>part2 (Mauritius - Row 15)</t>
        </is>
      </c>
      <c r="C60" t="n">
        <v>6</v>
      </c>
      <c r="D60" t="inlineStr">
        <is>
          <t>Financial Services Commission, Mauritius</t>
        </is>
      </c>
      <c r="E60" t="inlineStr">
        <is>
          <t>AML, Cloud Services</t>
        </is>
      </c>
      <c r="F60" t="inlineStr">
        <is>
          <t>High</t>
        </is>
      </c>
      <c r="G60" s="12" t="inlineStr">
        <is>
          <t>Open PDF</t>
        </is>
      </c>
    </row>
    <row r="61">
      <c r="A61" t="inlineStr">
        <is>
          <t>Singapore</t>
        </is>
      </c>
      <c r="B61" t="inlineStr">
        <is>
          <t>A Comprehensive Guide to the Law of Confidence and Breach of Confidence in Singapore_ Insights from [2024] SGCA 16 - IRB Law Singapore (Singapore - Row 33)</t>
        </is>
      </c>
      <c r="C61" t="n">
        <v>1</v>
      </c>
      <c r="D61" t="inlineStr">
        <is>
          <t>Singapore High Court</t>
        </is>
      </c>
      <c r="E61" t="inlineStr">
        <is>
          <t>Cross-border Transfer, Data Sharing, Data Storage, Security</t>
        </is>
      </c>
      <c r="F61" t="inlineStr">
        <is>
          <t>Low</t>
        </is>
      </c>
      <c r="G61" s="12" t="inlineStr">
        <is>
          <t>Open PDF</t>
        </is>
      </c>
    </row>
    <row r="62">
      <c r="A62" t="inlineStr">
        <is>
          <t>Singapore</t>
        </is>
      </c>
      <c r="B62" t="inlineStr">
        <is>
          <t>Cybersecurity (Provider-Owned Critical Information (Singapore - Row 5 &amp; 6)</t>
        </is>
      </c>
      <c r="C62" t="n">
        <v>3</v>
      </c>
      <c r="D62" t="inlineStr">
        <is>
          <t>Cybersecurity (Provider-Owned Critical Information) Regulations</t>
        </is>
      </c>
      <c r="E62" t="inlineStr">
        <is>
          <t>Data Storage, Security</t>
        </is>
      </c>
      <c r="F62" t="inlineStr">
        <is>
          <t>High</t>
        </is>
      </c>
      <c r="G62" s="12" t="inlineStr">
        <is>
          <t>Open PDF</t>
        </is>
      </c>
    </row>
    <row r="63">
      <c r="A63" t="inlineStr">
        <is>
          <t>Singapore</t>
        </is>
      </c>
      <c r="B63" t="inlineStr">
        <is>
          <t>Guidelines on Environmental Risk Management Insurers Dec 2020-2 (Singapore - Row 14)</t>
        </is>
      </c>
      <c r="C63" t="n">
        <v>6</v>
      </c>
      <c r="D63" t="inlineStr">
        <is>
          <t>MAS</t>
        </is>
      </c>
      <c r="E63" t="inlineStr">
        <is>
          <t>AML, Consent, Cross-border Transfer, Customer Information, Data Storage, Financial Data, Governance, International Processing, KYC, Record Keeping, Security</t>
        </is>
      </c>
      <c r="F63" t="inlineStr">
        <is>
          <t>High</t>
        </is>
      </c>
      <c r="G63" s="12" t="inlineStr">
        <is>
          <t>Open PDF</t>
        </is>
      </c>
    </row>
    <row r="64">
      <c r="A64" t="inlineStr">
        <is>
          <t>Singapore</t>
        </is>
      </c>
      <c r="B64" t="inlineStr">
        <is>
          <t>ID18_24 (Singapore - Row 12)</t>
        </is>
      </c>
      <c r="C64" t="n">
        <v>1</v>
      </c>
      <c r="D64" t="inlineStr">
        <is>
          <t>Monetary Authority of Singapore (MAS)</t>
        </is>
      </c>
      <c r="E64" t="inlineStr">
        <is>
          <t>Governance</t>
        </is>
      </c>
      <c r="F64" t="inlineStr">
        <is>
          <t>High</t>
        </is>
      </c>
      <c r="G64" s="12" t="inlineStr">
        <is>
          <t>Open PDF</t>
        </is>
      </c>
    </row>
    <row r="65">
      <c r="A65" t="inlineStr">
        <is>
          <t>Singapore</t>
        </is>
      </c>
      <c r="B65" t="inlineStr">
        <is>
          <t>ID18_24-2 (Singapore - Row 21)</t>
        </is>
      </c>
      <c r="C65" t="n">
        <v>1</v>
      </c>
      <c r="D65" t="inlineStr">
        <is>
          <t>Monetary Authority of Singapore (MAS)</t>
        </is>
      </c>
      <c r="E65" t="inlineStr">
        <is>
          <t>Governance</t>
        </is>
      </c>
      <c r="F65" t="inlineStr">
        <is>
          <t>High</t>
        </is>
      </c>
      <c r="G65" s="12" t="inlineStr">
        <is>
          <t>Open PDF</t>
        </is>
      </c>
    </row>
    <row r="66">
      <c r="A66" t="inlineStr">
        <is>
          <t>Singapore</t>
        </is>
      </c>
      <c r="B66" t="inlineStr">
        <is>
          <t>MAS Notice FSM-N21 (Singapore - Row 32)</t>
        </is>
      </c>
      <c r="C66" t="n">
        <v>7</v>
      </c>
      <c r="D66" t="inlineStr">
        <is>
          <t>MAS</t>
        </is>
      </c>
      <c r="E66" t="inlineStr">
        <is>
          <t>Breach Notification, Customer Information, Employee Information, Financial Data, Incident Reporting, Security, Special Personal Information</t>
        </is>
      </c>
      <c r="F66" t="inlineStr">
        <is>
          <t>High</t>
        </is>
      </c>
      <c r="G66" s="12" t="inlineStr">
        <is>
          <t>Open PDF</t>
        </is>
      </c>
    </row>
    <row r="67">
      <c r="A67" t="inlineStr">
        <is>
          <t>Singapore</t>
        </is>
      </c>
      <c r="B67" t="inlineStr">
        <is>
          <t>MAS Notices 644 655 644A 655A 1114 1118 Cancellation 2024 (Singapore - Row 18)</t>
        </is>
      </c>
      <c r="C67" t="n">
        <v>2</v>
      </c>
      <c r="D67" t="inlineStr">
        <is>
          <t>MAS</t>
        </is>
      </c>
      <c r="E67" t="inlineStr">
        <is>
          <t>Governance</t>
        </is>
      </c>
      <c r="F67" t="inlineStr">
        <is>
          <t>High</t>
        </is>
      </c>
      <c r="G67" s="12" t="inlineStr">
        <is>
          <t>Open PDF</t>
        </is>
      </c>
    </row>
    <row r="68">
      <c r="A68" t="inlineStr">
        <is>
          <t>Singapore</t>
        </is>
      </c>
      <c r="B68" t="inlineStr">
        <is>
          <t>Personal Data Protection (Prescribed Law Enforceme (Singapore - Row 26)</t>
        </is>
      </c>
      <c r="C68" t="n">
        <v>2</v>
      </c>
      <c r="D68" t="inlineStr"/>
      <c r="E68" t="inlineStr"/>
      <c r="F68" t="inlineStr">
        <is>
          <t>Low</t>
        </is>
      </c>
      <c r="G68" s="12" t="inlineStr">
        <is>
          <t>Open PDF</t>
        </is>
      </c>
    </row>
    <row r="69">
      <c r="A69" t="inlineStr">
        <is>
          <t>Singapore</t>
        </is>
      </c>
      <c r="B69" t="inlineStr">
        <is>
          <t>Statistics Act 1973 (Singapore - Row 24)PROVISIONALLY</t>
        </is>
      </c>
      <c r="C69" t="n">
        <v>2</v>
      </c>
      <c r="D69" t="inlineStr"/>
      <c r="E69" t="inlineStr"/>
      <c r="F69" t="inlineStr">
        <is>
          <t>Low</t>
        </is>
      </c>
      <c r="G69" s="12" t="inlineStr">
        <is>
          <t>Open PDF</t>
        </is>
      </c>
    </row>
    <row r="70">
      <c r="A70" t="inlineStr">
        <is>
          <t>Singapore</t>
        </is>
      </c>
      <c r="B70" t="inlineStr">
        <is>
          <t>Statistics Act 1973 (Singapore - Row 32)</t>
        </is>
      </c>
      <c r="C70" t="n">
        <v>2</v>
      </c>
      <c r="D70" t="inlineStr"/>
      <c r="E70" t="inlineStr">
        <is>
          <t>Data Residency, Data Sharing, Security</t>
        </is>
      </c>
      <c r="F70" t="inlineStr">
        <is>
          <t>Low</t>
        </is>
      </c>
      <c r="G70" s="12" t="inlineStr">
        <is>
          <t>Open PDF</t>
        </is>
      </c>
    </row>
    <row r="71">
      <c r="A71" t="inlineStr">
        <is>
          <t>South Africa</t>
        </is>
      </c>
      <c r="B71" t="inlineStr">
        <is>
          <t>1. FSCA Conduct Standard 1 of 2025 - Requirements for FIs providing FE initiatives</t>
        </is>
      </c>
      <c r="C71" t="n">
        <v>5</v>
      </c>
      <c r="D71" t="inlineStr"/>
      <c r="E71" t="inlineStr">
        <is>
          <t>Cross-border Transfer, Data Storage, Employee Information, Governance</t>
        </is>
      </c>
      <c r="F71" t="inlineStr">
        <is>
          <t>Medium</t>
        </is>
      </c>
      <c r="G71" s="12" t="inlineStr">
        <is>
          <t>Open PDF</t>
        </is>
      </c>
    </row>
    <row r="72">
      <c r="A72" t="inlineStr">
        <is>
          <t>South Africa</t>
        </is>
      </c>
      <c r="B72" t="inlineStr">
        <is>
          <t>2002-070</t>
        </is>
      </c>
      <c r="C72" t="n">
        <v>14</v>
      </c>
      <c r="D72" t="inlineStr">
        <is>
          <t>Cabinet member responsible for communications, Court, Designated Judge, Designated judge, Director, Minister, Parliament of the Republic of South Africa</t>
        </is>
      </c>
      <c r="E72" t="inlineStr">
        <is>
          <t>AML, Access Control, Breach Notification, Children, Cloud Services, Collection, Consent, Cross-border Transfer, Customer Information, Data Sharing, Data Storage, Deletion, Employee Information, Encryption, Financial Data, Governance, Incident Reporting, International Processing, KYC, Outsourcing, Processing, Record Keeping, Retention, Security, Special Personal Information, Third Party Processing</t>
        </is>
      </c>
      <c r="F72" t="inlineStr">
        <is>
          <t>High</t>
        </is>
      </c>
      <c r="G72" s="12" t="inlineStr">
        <is>
          <t>Open PDF</t>
        </is>
      </c>
    </row>
    <row r="73">
      <c r="A73" t="inlineStr">
        <is>
          <t>South Africa</t>
        </is>
      </c>
      <c r="B73" t="inlineStr">
        <is>
          <t>2024 Open Finance_FSCA Position Paper</t>
        </is>
      </c>
      <c r="C73" t="n">
        <v>10</v>
      </c>
      <c r="D73" t="inlineStr">
        <is>
          <t>FSCA</t>
        </is>
      </c>
      <c r="E73" t="inlineStr">
        <is>
          <t>AML, Consent, Cross-border Transfer, Data Sharing, Data Storage, Financial Data, International Processing, KYC, Security</t>
        </is>
      </c>
      <c r="F73" t="inlineStr">
        <is>
          <t>High</t>
        </is>
      </c>
      <c r="G73" s="12" t="inlineStr">
        <is>
          <t>Open PDF</t>
        </is>
      </c>
    </row>
    <row r="74">
      <c r="A74" t="inlineStr">
        <is>
          <t>South Africa</t>
        </is>
      </c>
      <c r="B74" t="inlineStr">
        <is>
          <t>Conduct-Standard-3-of-2020-BANKS-Annexure-A</t>
        </is>
      </c>
      <c r="C74" t="n">
        <v>5</v>
      </c>
      <c r="D74" t="inlineStr">
        <is>
          <t>Financial Sector Conduct Authority</t>
        </is>
      </c>
      <c r="E74" t="inlineStr">
        <is>
          <t>Record Keeping</t>
        </is>
      </c>
      <c r="F74" t="inlineStr">
        <is>
          <t>High</t>
        </is>
      </c>
      <c r="G74" s="12" t="inlineStr">
        <is>
          <t>Open PDF</t>
        </is>
      </c>
    </row>
    <row r="75">
      <c r="A75" t="inlineStr">
        <is>
          <t>South Africa</t>
        </is>
      </c>
      <c r="B75" t="inlineStr">
        <is>
          <t>Directive in respect of cybersecurity and cyber-resilisnce within the national payment system</t>
        </is>
      </c>
      <c r="C75" t="n">
        <v>5</v>
      </c>
      <c r="D75" t="inlineStr">
        <is>
          <t>SARB, South African Reserve Bank (SARB)</t>
        </is>
      </c>
      <c r="E75" t="inlineStr">
        <is>
          <t>Breach Notification, Incident Reporting</t>
        </is>
      </c>
      <c r="F75" t="inlineStr">
        <is>
          <t>High</t>
        </is>
      </c>
      <c r="G75" s="12" t="inlineStr">
        <is>
          <t>Open PDF</t>
        </is>
      </c>
    </row>
    <row r="76">
      <c r="A76" t="inlineStr">
        <is>
          <t>South Africa</t>
        </is>
      </c>
      <c r="B76" t="inlineStr">
        <is>
          <t>Joint Standard 1 of 2023 - IT Governance and Risk Management</t>
        </is>
      </c>
      <c r="C76" t="n">
        <v>13</v>
      </c>
      <c r="D76" t="inlineStr">
        <is>
          <t>Authorities</t>
        </is>
      </c>
      <c r="E76" t="inlineStr">
        <is>
          <t>Access Control, Breach Notification, Cross-border Transfer, Encryption, Governance, Incident Reporting, International Processing</t>
        </is>
      </c>
      <c r="F76" t="inlineStr">
        <is>
          <t>High</t>
        </is>
      </c>
      <c r="G76" s="12" t="inlineStr">
        <is>
          <t>Open PDF</t>
        </is>
      </c>
    </row>
    <row r="77">
      <c r="A77" t="inlineStr">
        <is>
          <t>South Africa</t>
        </is>
      </c>
      <c r="B77" t="inlineStr">
        <is>
          <t>Joint Standard 2 of 2024  Cybersecurity &amp; Cyber resilience Requirements</t>
        </is>
      </c>
      <c r="C77" t="n">
        <v>8</v>
      </c>
      <c r="D77" t="inlineStr">
        <is>
          <t>Authorities, Responsible Authority</t>
        </is>
      </c>
      <c r="E77" t="inlineStr">
        <is>
          <t>Access Control, Breach Notification, Cross-border Transfer, Financial Data, Governance, Incident Reporting, Security, Third Party Processing</t>
        </is>
      </c>
      <c r="F77" t="inlineStr">
        <is>
          <t>High</t>
        </is>
      </c>
      <c r="G77" s="12" t="inlineStr">
        <is>
          <t>Open PDF</t>
        </is>
      </c>
    </row>
    <row r="78">
      <c r="A78" t="inlineStr">
        <is>
          <t>South Africa</t>
        </is>
      </c>
      <c r="B78" t="inlineStr">
        <is>
          <t>PA Directive</t>
        </is>
      </c>
      <c r="C78" t="n">
        <v>3</v>
      </c>
      <c r="D78" t="inlineStr">
        <is>
          <t>Prudential Authority (PA)</t>
        </is>
      </c>
      <c r="E78" t="inlineStr">
        <is>
          <t>Access Control, Breach Notification, Cloud Services, Data Residency, Data Sharing, Data Storage, Deletion, Encryption, Governance, Incident Reporting, Outsourcing, Processing, Record Keeping, Retention, Security, Third Party Processing</t>
        </is>
      </c>
      <c r="F78" t="inlineStr">
        <is>
          <t>High</t>
        </is>
      </c>
      <c r="G78" s="12" t="inlineStr">
        <is>
          <t>Open PDF</t>
        </is>
      </c>
    </row>
    <row r="79">
      <c r="A79" t="inlineStr">
        <is>
          <t>South Africa</t>
        </is>
      </c>
      <c r="B79" t="inlineStr">
        <is>
          <t>pAYMENT ACT</t>
        </is>
      </c>
      <c r="C79" t="n">
        <v>3</v>
      </c>
      <c r="D79" t="inlineStr">
        <is>
          <t>Payment Act, Section 16, Reserve Bank</t>
        </is>
      </c>
      <c r="E79" t="inlineStr">
        <is>
          <t>AML, Access Control, Breach Notification, Children, Cloud Services, Collection, Consent, Cross-border Transfer, Customer Information, Data Residency, Data Sharing, Data Storage, Deletion, Employee Information, Encryption, Financial Data, Governance, Incident Reporting, International Processing, KYC, Outsourcing, Processing, Record Keeping, Retention, Security, Special Personal Information, Third Party Processing</t>
        </is>
      </c>
      <c r="F79" t="inlineStr">
        <is>
          <t>High</t>
        </is>
      </c>
      <c r="G79" s="12" t="inlineStr">
        <is>
          <t>Open PDF</t>
        </is>
      </c>
    </row>
    <row r="80">
      <c r="A80" t="inlineStr">
        <is>
          <t>South Africa</t>
        </is>
      </c>
      <c r="B80" t="inlineStr">
        <is>
          <t>South Africa National Cybersecurity Policy Framework (NCPF) 2015</t>
        </is>
      </c>
      <c r="C80" t="n">
        <v>11</v>
      </c>
      <c r="D80" t="inlineStr">
        <is>
          <t>Department of Telecommunications and Postal Services, South African Department of Police and SAPS, State Security Agency (SSA)</t>
        </is>
      </c>
      <c r="E80" t="inlineStr">
        <is>
          <t>Breach Notification, Cross-border Transfer, Data Sharing, Data Storage, Encryption, Governance, Incident Reporting, International Processing, Record Keeping, Security, Third Party Processing</t>
        </is>
      </c>
      <c r="F80" t="inlineStr">
        <is>
          <t>High</t>
        </is>
      </c>
      <c r="G80" s="12" t="inlineStr">
        <is>
          <t>Open PDF</t>
        </is>
      </c>
    </row>
    <row r="81">
      <c r="A81" t="inlineStr">
        <is>
          <t>United Kingdom</t>
        </is>
      </c>
      <c r="B81" t="inlineStr">
        <is>
          <t>Accountability and governance _ ICO (United Kingdom - Row 32) (PROVISIONAL)</t>
        </is>
      </c>
      <c r="C81" t="n">
        <v>3</v>
      </c>
      <c r="D81" t="inlineStr"/>
      <c r="E81" t="inlineStr"/>
      <c r="F81" t="inlineStr"/>
      <c r="G81" s="12" t="inlineStr">
        <is>
          <t>Open PDF</t>
        </is>
      </c>
    </row>
    <row r="82">
      <c r="A82" t="inlineStr">
        <is>
          <t>United Kingdom</t>
        </is>
      </c>
      <c r="B82" t="inlineStr">
        <is>
          <t>cbest-implementation-guide (United Kingdom - Row 30)</t>
        </is>
      </c>
      <c r="C82" t="n">
        <v>7</v>
      </c>
      <c r="D82" t="inlineStr">
        <is>
          <t>Bank of England, Prudential Regulation Authority (PRA), Financial Conduct Authority (FCA), CBEST (2024g), CBEST (2024i), CBEST (UK), CREST, PRA, Bank of England, UK Regulators (PRA/BoE/FCA)</t>
        </is>
      </c>
      <c r="E82" t="inlineStr">
        <is>
          <t>Breach Notification, Cross-border Transfer, Data Storage, Governance, Incident Reporting, International Processing, Record Keeping, Security</t>
        </is>
      </c>
      <c r="F82" t="inlineStr">
        <is>
          <t>High</t>
        </is>
      </c>
      <c r="G82" s="12" t="inlineStr">
        <is>
          <t>Open PDF</t>
        </is>
      </c>
    </row>
    <row r="83">
      <c r="A83" t="inlineStr">
        <is>
          <t>United Kingdom</t>
        </is>
      </c>
      <c r="B83" t="inlineStr">
        <is>
          <t>computer misuse act (United Kingdom - Row 2)</t>
        </is>
      </c>
      <c r="C83" t="n">
        <v>2</v>
      </c>
      <c r="D83" t="inlineStr">
        <is>
          <t>Sheriff</t>
        </is>
      </c>
      <c r="E83" t="inlineStr">
        <is>
          <t>Access Control, Cross-border Transfer, Data Storage</t>
        </is>
      </c>
      <c r="F83" t="inlineStr">
        <is>
          <t>Low</t>
        </is>
      </c>
      <c r="G83" s="12" t="inlineStr">
        <is>
          <t>Open PDF</t>
        </is>
      </c>
    </row>
    <row r="84">
      <c r="A84" t="inlineStr">
        <is>
          <t>United Kingdom</t>
        </is>
      </c>
      <c r="B84" t="inlineStr">
        <is>
          <t>Customer Security Programme _ Swift (United Kingdom - Row 26) (PROVISIONAL)</t>
        </is>
      </c>
      <c r="C84" t="n">
        <v>5</v>
      </c>
      <c r="D84" t="inlineStr">
        <is>
          <t>Swift</t>
        </is>
      </c>
      <c r="E84" t="inlineStr">
        <is>
          <t>Access Control, Data Sharing, Processing, Security</t>
        </is>
      </c>
      <c r="F84" t="inlineStr">
        <is>
          <t>High</t>
        </is>
      </c>
      <c r="G84" s="12" t="inlineStr">
        <is>
          <t>Open PDF</t>
        </is>
      </c>
    </row>
    <row r="85">
      <c r="A85" t="inlineStr">
        <is>
          <t>United Kingdom</t>
        </is>
      </c>
      <c r="B85" t="inlineStr">
        <is>
          <t>NIS Regulations 2018 (United Kingdom - Row 25)</t>
        </is>
      </c>
      <c r="C85" t="n">
        <v>8</v>
      </c>
      <c r="D85" t="inlineStr">
        <is>
          <t>Information Commissioner, Secretary of State, Civil Aviation Authority</t>
        </is>
      </c>
      <c r="E85" t="inlineStr">
        <is>
          <t>Cross-border Transfer, Data Storage, International Processing</t>
        </is>
      </c>
      <c r="F85" t="inlineStr">
        <is>
          <t>High</t>
        </is>
      </c>
      <c r="G85" s="12" t="inlineStr">
        <is>
          <t>Open PDF</t>
        </is>
      </c>
    </row>
    <row r="86">
      <c r="A86" t="inlineStr">
        <is>
          <t>United Kingdom</t>
        </is>
      </c>
      <c r="B86" t="inlineStr">
        <is>
          <t>PRA Supervisory Statement — Model Risk Management Principles (United Kingdom - Row 27)</t>
        </is>
      </c>
      <c r="C86" t="n">
        <v>5</v>
      </c>
      <c r="D86" t="inlineStr">
        <is>
          <t>PRA</t>
        </is>
      </c>
      <c r="E86" t="inlineStr">
        <is>
          <t>Governance</t>
        </is>
      </c>
      <c r="F86" t="inlineStr">
        <is>
          <t>High</t>
        </is>
      </c>
      <c r="G86" s="12" t="inlineStr">
        <is>
          <t>Open PDF</t>
        </is>
      </c>
    </row>
    <row r="87">
      <c r="A87" t="inlineStr">
        <is>
          <t>United Kingdom</t>
        </is>
      </c>
      <c r="B87" t="inlineStr">
        <is>
          <t>Privacy and Electronic Communications Regulations (PECR) 2003 (United Kingdom - Row 18)</t>
        </is>
      </c>
      <c r="C87" t="n">
        <v>1</v>
      </c>
      <c r="D87" t="inlineStr">
        <is>
          <t>Information Commissioner</t>
        </is>
      </c>
      <c r="E87" t="inlineStr">
        <is>
          <t>Cross-border Transfer, Data Storage, International Processing, Security</t>
        </is>
      </c>
      <c r="F87" t="inlineStr">
        <is>
          <t>High</t>
        </is>
      </c>
      <c r="G87" s="12" t="inlineStr">
        <is>
          <t>Open PDF</t>
        </is>
      </c>
    </row>
    <row r="88">
      <c r="A88" t="inlineStr">
        <is>
          <t>United Kingdom</t>
        </is>
      </c>
      <c r="B88" t="inlineStr">
        <is>
          <t>Senior Managers and Certification Regime (United Kingdom - Row 23)</t>
        </is>
      </c>
      <c r="C88" t="n">
        <v>3</v>
      </c>
      <c r="D88" t="inlineStr">
        <is>
          <t>FCA</t>
        </is>
      </c>
      <c r="E88" t="inlineStr">
        <is>
          <t>Governance, Record Keeping</t>
        </is>
      </c>
      <c r="F88" t="inlineStr">
        <is>
          <t>High</t>
        </is>
      </c>
      <c r="G88" s="12" t="inlineStr">
        <is>
          <t>Open PDF</t>
        </is>
      </c>
    </row>
    <row r="89">
      <c r="A89" t="inlineStr">
        <is>
          <t>United Kingdom</t>
        </is>
      </c>
      <c r="B89" t="inlineStr">
        <is>
          <t>ss221-march-21 (United Kingdom - Row 28)</t>
        </is>
      </c>
      <c r="C89" t="n">
        <v>10</v>
      </c>
      <c r="D89" t="inlineStr">
        <is>
          <t>Bank of England (Bank) and Prudential Regulation Authority (PRA), PRA, Prudential Regulation Authority (PRA)</t>
        </is>
      </c>
      <c r="E89" t="inlineStr">
        <is>
          <t>Access Control, Breach Notification, Cloud Services, Cross-border Transfer, Data Sharing, Data Storage, Governance, Incident Reporting, Outsourcing, Record Keeping, Security, Third Party Processing</t>
        </is>
      </c>
      <c r="F89" t="inlineStr">
        <is>
          <t>High</t>
        </is>
      </c>
      <c r="G89" s="12" t="inlineStr">
        <is>
          <t>Open PDF</t>
        </is>
      </c>
    </row>
  </sheetData>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G7" r:id="rId6"/>
    <hyperlink xmlns:r="http://schemas.openxmlformats.org/officeDocument/2006/relationships" ref="G8" r:id="rId7"/>
    <hyperlink xmlns:r="http://schemas.openxmlformats.org/officeDocument/2006/relationships" ref="G9" r:id="rId8"/>
    <hyperlink xmlns:r="http://schemas.openxmlformats.org/officeDocument/2006/relationships" ref="G10" r:id="rId9"/>
    <hyperlink xmlns:r="http://schemas.openxmlformats.org/officeDocument/2006/relationships" ref="G11" r:id="rId10"/>
    <hyperlink xmlns:r="http://schemas.openxmlformats.org/officeDocument/2006/relationships" ref="G12" r:id="rId11"/>
    <hyperlink xmlns:r="http://schemas.openxmlformats.org/officeDocument/2006/relationships" ref="G13" r:id="rId12"/>
    <hyperlink xmlns:r="http://schemas.openxmlformats.org/officeDocument/2006/relationships" ref="G14" r:id="rId13"/>
    <hyperlink xmlns:r="http://schemas.openxmlformats.org/officeDocument/2006/relationships" ref="G15" r:id="rId14"/>
    <hyperlink xmlns:r="http://schemas.openxmlformats.org/officeDocument/2006/relationships" ref="G16" r:id="rId15"/>
    <hyperlink xmlns:r="http://schemas.openxmlformats.org/officeDocument/2006/relationships" ref="G17" r:id="rId16"/>
    <hyperlink xmlns:r="http://schemas.openxmlformats.org/officeDocument/2006/relationships" ref="G18" r:id="rId17"/>
    <hyperlink xmlns:r="http://schemas.openxmlformats.org/officeDocument/2006/relationships" ref="G19" r:id="rId18"/>
    <hyperlink xmlns:r="http://schemas.openxmlformats.org/officeDocument/2006/relationships" ref="G20" r:id="rId19"/>
    <hyperlink xmlns:r="http://schemas.openxmlformats.org/officeDocument/2006/relationships" ref="G21" r:id="rId20"/>
    <hyperlink xmlns:r="http://schemas.openxmlformats.org/officeDocument/2006/relationships" ref="G22" r:id="rId21"/>
    <hyperlink xmlns:r="http://schemas.openxmlformats.org/officeDocument/2006/relationships" ref="G23" r:id="rId22"/>
    <hyperlink xmlns:r="http://schemas.openxmlformats.org/officeDocument/2006/relationships" ref="G24" r:id="rId23"/>
    <hyperlink xmlns:r="http://schemas.openxmlformats.org/officeDocument/2006/relationships" ref="G25" r:id="rId24"/>
    <hyperlink xmlns:r="http://schemas.openxmlformats.org/officeDocument/2006/relationships" ref="G26" r:id="rId25"/>
    <hyperlink xmlns:r="http://schemas.openxmlformats.org/officeDocument/2006/relationships" ref="G27" r:id="rId26"/>
    <hyperlink xmlns:r="http://schemas.openxmlformats.org/officeDocument/2006/relationships" ref="G28" r:id="rId27"/>
    <hyperlink xmlns:r="http://schemas.openxmlformats.org/officeDocument/2006/relationships" ref="G29" r:id="rId28"/>
    <hyperlink xmlns:r="http://schemas.openxmlformats.org/officeDocument/2006/relationships" ref="G30" r:id="rId29"/>
    <hyperlink xmlns:r="http://schemas.openxmlformats.org/officeDocument/2006/relationships" ref="G31" r:id="rId30"/>
    <hyperlink xmlns:r="http://schemas.openxmlformats.org/officeDocument/2006/relationships" ref="G32" r:id="rId31"/>
    <hyperlink xmlns:r="http://schemas.openxmlformats.org/officeDocument/2006/relationships" ref="G33" r:id="rId32"/>
    <hyperlink xmlns:r="http://schemas.openxmlformats.org/officeDocument/2006/relationships" ref="G34" r:id="rId33"/>
    <hyperlink xmlns:r="http://schemas.openxmlformats.org/officeDocument/2006/relationships" ref="G35" r:id="rId34"/>
    <hyperlink xmlns:r="http://schemas.openxmlformats.org/officeDocument/2006/relationships" ref="G36" r:id="rId35"/>
    <hyperlink xmlns:r="http://schemas.openxmlformats.org/officeDocument/2006/relationships" ref="G37" r:id="rId36"/>
    <hyperlink xmlns:r="http://schemas.openxmlformats.org/officeDocument/2006/relationships" ref="G38" r:id="rId37"/>
    <hyperlink xmlns:r="http://schemas.openxmlformats.org/officeDocument/2006/relationships" ref="G39" r:id="rId38"/>
    <hyperlink xmlns:r="http://schemas.openxmlformats.org/officeDocument/2006/relationships" ref="G40" r:id="rId39"/>
    <hyperlink xmlns:r="http://schemas.openxmlformats.org/officeDocument/2006/relationships" ref="G41" r:id="rId40"/>
    <hyperlink xmlns:r="http://schemas.openxmlformats.org/officeDocument/2006/relationships" ref="G42" r:id="rId41"/>
    <hyperlink xmlns:r="http://schemas.openxmlformats.org/officeDocument/2006/relationships" ref="G43" r:id="rId42"/>
    <hyperlink xmlns:r="http://schemas.openxmlformats.org/officeDocument/2006/relationships" ref="G44" r:id="rId43"/>
    <hyperlink xmlns:r="http://schemas.openxmlformats.org/officeDocument/2006/relationships" ref="G45" r:id="rId44"/>
    <hyperlink xmlns:r="http://schemas.openxmlformats.org/officeDocument/2006/relationships" ref="G46" r:id="rId45"/>
    <hyperlink xmlns:r="http://schemas.openxmlformats.org/officeDocument/2006/relationships" ref="G47" r:id="rId46"/>
    <hyperlink xmlns:r="http://schemas.openxmlformats.org/officeDocument/2006/relationships" ref="G48" r:id="rId47"/>
    <hyperlink xmlns:r="http://schemas.openxmlformats.org/officeDocument/2006/relationships" ref="G49" r:id="rId48"/>
    <hyperlink xmlns:r="http://schemas.openxmlformats.org/officeDocument/2006/relationships" ref="G50" r:id="rId49"/>
    <hyperlink xmlns:r="http://schemas.openxmlformats.org/officeDocument/2006/relationships" ref="G51" r:id="rId50"/>
    <hyperlink xmlns:r="http://schemas.openxmlformats.org/officeDocument/2006/relationships" ref="G52" r:id="rId51"/>
    <hyperlink xmlns:r="http://schemas.openxmlformats.org/officeDocument/2006/relationships" ref="G53" r:id="rId52"/>
    <hyperlink xmlns:r="http://schemas.openxmlformats.org/officeDocument/2006/relationships" ref="G54" r:id="rId53"/>
    <hyperlink xmlns:r="http://schemas.openxmlformats.org/officeDocument/2006/relationships" ref="G55" r:id="rId54"/>
    <hyperlink xmlns:r="http://schemas.openxmlformats.org/officeDocument/2006/relationships" ref="G56" r:id="rId55"/>
    <hyperlink xmlns:r="http://schemas.openxmlformats.org/officeDocument/2006/relationships" ref="G57" r:id="rId56"/>
    <hyperlink xmlns:r="http://schemas.openxmlformats.org/officeDocument/2006/relationships" ref="G58" r:id="rId57"/>
    <hyperlink xmlns:r="http://schemas.openxmlformats.org/officeDocument/2006/relationships" ref="G59" r:id="rId58"/>
    <hyperlink xmlns:r="http://schemas.openxmlformats.org/officeDocument/2006/relationships" ref="G60" r:id="rId59"/>
    <hyperlink xmlns:r="http://schemas.openxmlformats.org/officeDocument/2006/relationships" ref="G61" r:id="rId60"/>
    <hyperlink xmlns:r="http://schemas.openxmlformats.org/officeDocument/2006/relationships" ref="G62" r:id="rId61"/>
    <hyperlink xmlns:r="http://schemas.openxmlformats.org/officeDocument/2006/relationships" ref="G63" r:id="rId62"/>
    <hyperlink xmlns:r="http://schemas.openxmlformats.org/officeDocument/2006/relationships" ref="G64" r:id="rId63"/>
    <hyperlink xmlns:r="http://schemas.openxmlformats.org/officeDocument/2006/relationships" ref="G65" r:id="rId64"/>
    <hyperlink xmlns:r="http://schemas.openxmlformats.org/officeDocument/2006/relationships" ref="G66" r:id="rId65"/>
    <hyperlink xmlns:r="http://schemas.openxmlformats.org/officeDocument/2006/relationships" ref="G67" r:id="rId66"/>
    <hyperlink xmlns:r="http://schemas.openxmlformats.org/officeDocument/2006/relationships" ref="G68" r:id="rId67"/>
    <hyperlink xmlns:r="http://schemas.openxmlformats.org/officeDocument/2006/relationships" ref="G69" r:id="rId68"/>
    <hyperlink xmlns:r="http://schemas.openxmlformats.org/officeDocument/2006/relationships" ref="G70" r:id="rId69"/>
    <hyperlink xmlns:r="http://schemas.openxmlformats.org/officeDocument/2006/relationships" ref="G71" r:id="rId70"/>
    <hyperlink xmlns:r="http://schemas.openxmlformats.org/officeDocument/2006/relationships" ref="G72" r:id="rId71"/>
    <hyperlink xmlns:r="http://schemas.openxmlformats.org/officeDocument/2006/relationships" ref="G73" r:id="rId72"/>
    <hyperlink xmlns:r="http://schemas.openxmlformats.org/officeDocument/2006/relationships" ref="G74" r:id="rId73"/>
    <hyperlink xmlns:r="http://schemas.openxmlformats.org/officeDocument/2006/relationships" ref="G75" r:id="rId74"/>
    <hyperlink xmlns:r="http://schemas.openxmlformats.org/officeDocument/2006/relationships" ref="G76" r:id="rId75"/>
    <hyperlink xmlns:r="http://schemas.openxmlformats.org/officeDocument/2006/relationships" ref="G77" r:id="rId76"/>
    <hyperlink xmlns:r="http://schemas.openxmlformats.org/officeDocument/2006/relationships" ref="G78" r:id="rId77"/>
    <hyperlink xmlns:r="http://schemas.openxmlformats.org/officeDocument/2006/relationships" ref="G79" r:id="rId78"/>
    <hyperlink xmlns:r="http://schemas.openxmlformats.org/officeDocument/2006/relationships" ref="G80" r:id="rId79"/>
    <hyperlink xmlns:r="http://schemas.openxmlformats.org/officeDocument/2006/relationships" ref="G81" r:id="rId80"/>
    <hyperlink xmlns:r="http://schemas.openxmlformats.org/officeDocument/2006/relationships" ref="G82" r:id="rId81"/>
    <hyperlink xmlns:r="http://schemas.openxmlformats.org/officeDocument/2006/relationships" ref="G83" r:id="rId82"/>
    <hyperlink xmlns:r="http://schemas.openxmlformats.org/officeDocument/2006/relationships" ref="G84" r:id="rId83"/>
    <hyperlink xmlns:r="http://schemas.openxmlformats.org/officeDocument/2006/relationships" ref="G85" r:id="rId84"/>
    <hyperlink xmlns:r="http://schemas.openxmlformats.org/officeDocument/2006/relationships" ref="G86" r:id="rId85"/>
    <hyperlink xmlns:r="http://schemas.openxmlformats.org/officeDocument/2006/relationships" ref="G87" r:id="rId86"/>
    <hyperlink xmlns:r="http://schemas.openxmlformats.org/officeDocument/2006/relationships" ref="G88" r:id="rId87"/>
    <hyperlink xmlns:r="http://schemas.openxmlformats.org/officeDocument/2006/relationships" ref="G89" r:id="rId88"/>
  </hyperlinks>
  <pageMargins left="0.75" right="0.75" top="1" bottom="1" header="0.5" footer="0.5"/>
  <tableParts count="1">
    <tablePart xmlns:r="http://schemas.openxmlformats.org/officeDocument/2006/relationships" r:id="rId89"/>
  </tableParts>
</worksheet>
</file>

<file path=xl/worksheets/sheet6.xml><?xml version="1.0" encoding="utf-8"?>
<worksheet xmlns="http://schemas.openxmlformats.org/spreadsheetml/2006/main">
  <sheetPr>
    <outlinePr summaryBelow="1" summaryRight="1"/>
    <pageSetUpPr/>
  </sheetPr>
  <dimension ref="A1:C162"/>
  <sheetViews>
    <sheetView workbookViewId="0">
      <pane ySplit="1" topLeftCell="A2" activePane="bottomLeft" state="frozen"/>
      <selection pane="bottomLeft" activeCell="A1" sqref="A1"/>
    </sheetView>
  </sheetViews>
  <sheetFormatPr baseColWidth="8" defaultRowHeight="15"/>
  <cols>
    <col width="60" customWidth="1" min="1" max="1"/>
    <col width="27" customWidth="1" min="2" max="2"/>
    <col width="60" customWidth="1" min="3" max="3"/>
  </cols>
  <sheetData>
    <row r="1">
      <c r="A1" s="10" t="inlineStr">
        <is>
          <t>Authority</t>
        </is>
      </c>
      <c r="B1" s="10" t="inlineStr">
        <is>
          <t>Countries</t>
        </is>
      </c>
      <c r="C1" s="10" t="inlineStr">
        <is>
          <t>Acts</t>
        </is>
      </c>
    </row>
    <row r="2">
      <c r="A2" t="inlineStr">
        <is>
          <t>ACCC</t>
        </is>
      </c>
      <c r="B2" t="inlineStr">
        <is>
          <t>Australia</t>
        </is>
      </c>
      <c r="C2" t="inlineStr">
        <is>
          <t>C2026C00224VOL01 (Australia - Row 27)</t>
        </is>
      </c>
    </row>
    <row r="3">
      <c r="A3" t="inlineStr">
        <is>
          <t>ACMA</t>
        </is>
      </c>
      <c r="B3" t="inlineStr">
        <is>
          <t>Australia</t>
        </is>
      </c>
      <c r="C3" t="inlineStr">
        <is>
          <t>C2016C00614 (Australia - Row 23), C2026C00224VOL01 (Australia - Row 27)</t>
        </is>
      </c>
    </row>
    <row r="4">
      <c r="A4" t="inlineStr">
        <is>
          <t>ADCO</t>
        </is>
      </c>
      <c r="B4" t="inlineStr">
        <is>
          <t>GDPR</t>
        </is>
      </c>
      <c r="C4" t="inlineStr">
        <is>
          <t>OJ_L_202402847_EN_TXT (GDPR - Row 10)</t>
        </is>
      </c>
    </row>
    <row r="5">
      <c r="A5" t="inlineStr">
        <is>
          <t>AI Office</t>
        </is>
      </c>
      <c r="B5" t="inlineStr">
        <is>
          <t>GDPR</t>
        </is>
      </c>
      <c r="C5" t="inlineStr">
        <is>
          <t>OJ_L_202401689_EN_TXT (GDPR - Row 9)</t>
        </is>
      </c>
    </row>
    <row r="6">
      <c r="A6" t="inlineStr">
        <is>
          <t>AML/CTF Rules</t>
        </is>
      </c>
      <c r="B6" t="inlineStr">
        <is>
          <t>Australia</t>
        </is>
      </c>
      <c r="C6" t="inlineStr">
        <is>
          <t>C2026C00220 (Australia - Row 2)</t>
        </is>
      </c>
    </row>
    <row r="7">
      <c r="A7" t="inlineStr">
        <is>
          <t>APRA</t>
        </is>
      </c>
      <c r="B7" t="inlineStr">
        <is>
          <t>Australia</t>
        </is>
      </c>
      <c r="C7" t="inlineStr">
        <is>
          <t>Prudential Standard - CPS 230 Operational Risk Management - clean (Australia - Row 3), Prudential-Practice-Guide-CPG-235-Managing-Data-Risk_1 (Australia - Row 4), Prudential-Standard-CPS-232-Business-Continuity-Management-(July-2017) (Australia - Row 5), cps_234_july_2019_for_public_release (Australia - Row 6)</t>
        </is>
      </c>
    </row>
    <row r="8">
      <c r="A8" t="inlineStr">
        <is>
          <t>ASD</t>
        </is>
      </c>
      <c r="B8" t="inlineStr">
        <is>
          <t>Australia</t>
        </is>
      </c>
      <c r="C8" t="inlineStr">
        <is>
          <t>C2026C00213REC01 (Australia - Row 22)</t>
        </is>
      </c>
    </row>
    <row r="9">
      <c r="A9" t="inlineStr">
        <is>
          <t>ASIC</t>
        </is>
      </c>
      <c r="B9" t="inlineStr">
        <is>
          <t>Australia</t>
        </is>
      </c>
      <c r="C9" t="inlineStr">
        <is>
          <t>C2026C00058VOL01 (Australia - Row 13), C2026C00058VOL01 (Australia - Row 8), rg255-published-30-august-2016-20220328 (Australia - Row 9)</t>
        </is>
      </c>
    </row>
    <row r="10">
      <c r="A10" t="inlineStr">
        <is>
          <t>ASIO</t>
        </is>
      </c>
      <c r="B10" t="inlineStr">
        <is>
          <t>Australia</t>
        </is>
      </c>
      <c r="C10" t="inlineStr">
        <is>
          <t>C2026C00209VOL01 (Australia - Row 26)</t>
        </is>
      </c>
    </row>
    <row r="11">
      <c r="A11" t="inlineStr">
        <is>
          <t>AUSTRAC</t>
        </is>
      </c>
      <c r="B11" t="inlineStr">
        <is>
          <t>Australia</t>
        </is>
      </c>
      <c r="C11" t="inlineStr">
        <is>
          <t>C2026C00220 (Australia - Row 2), F2026C00274 (Australia - Row 10)</t>
        </is>
      </c>
    </row>
    <row r="12">
      <c r="A12" t="inlineStr">
        <is>
          <t>AUSTRAC CEO</t>
        </is>
      </c>
      <c r="B12" t="inlineStr">
        <is>
          <t>Australia</t>
        </is>
      </c>
      <c r="C12" t="inlineStr">
        <is>
          <t>C2026C00220 (Australia - Row 2), F2026C00274 (Australia - Row 10)</t>
        </is>
      </c>
    </row>
    <row r="13">
      <c r="A13" t="inlineStr">
        <is>
          <t>AUSTRAC CEO, authorised officers, Australian Federal Police, Australian Crime Commission</t>
        </is>
      </c>
      <c r="B13" t="inlineStr">
        <is>
          <t>Australia</t>
        </is>
      </c>
      <c r="C13" t="inlineStr">
        <is>
          <t>C2026C00220 (Australia - Row 2)</t>
        </is>
      </c>
    </row>
    <row r="14">
      <c r="A14" t="inlineStr">
        <is>
          <t>Arts Minister</t>
        </is>
      </c>
      <c r="B14" t="inlineStr">
        <is>
          <t>Australia</t>
        </is>
      </c>
      <c r="C14" t="inlineStr">
        <is>
          <t>C2004C01271-1 (Australia - Row 7)</t>
        </is>
      </c>
    </row>
    <row r="15">
      <c r="A15" t="inlineStr">
        <is>
          <t>Attorney-General</t>
        </is>
      </c>
      <c r="B15" t="inlineStr">
        <is>
          <t>Australia</t>
        </is>
      </c>
      <c r="C15" t="inlineStr">
        <is>
          <t>C2026C00209VOL01 (Australia - Row 26), C2026C00243VOL01 (Australia - Row 14)</t>
        </is>
      </c>
    </row>
    <row r="16">
      <c r="A16" t="inlineStr">
        <is>
          <t>Australian Competition and Consumer Commission</t>
        </is>
      </c>
      <c r="B16" t="inlineStr">
        <is>
          <t>Australia</t>
        </is>
      </c>
      <c r="C16" t="inlineStr">
        <is>
          <t>C2024C00719 (Australia - Row 15)</t>
        </is>
      </c>
    </row>
    <row r="17">
      <c r="A17" t="inlineStr">
        <is>
          <t>Australian Crime Commission</t>
        </is>
      </c>
      <c r="B17" t="inlineStr">
        <is>
          <t>Australia</t>
        </is>
      </c>
      <c r="C17" t="inlineStr">
        <is>
          <t>C2026C00209VOL01 (Australia - Row 26)</t>
        </is>
      </c>
    </row>
    <row r="18">
      <c r="A18" t="inlineStr">
        <is>
          <t>Australian Crime Commission Act 2002</t>
        </is>
      </c>
      <c r="B18" t="inlineStr">
        <is>
          <t>Australia</t>
        </is>
      </c>
      <c r="C18" t="inlineStr">
        <is>
          <t>C2026C00209VOL01 (Australia - Row 26)</t>
        </is>
      </c>
    </row>
    <row r="19">
      <c r="A19" t="inlineStr">
        <is>
          <t>Australian Criminal Code</t>
        </is>
      </c>
      <c r="B19" t="inlineStr">
        <is>
          <t>Australia</t>
        </is>
      </c>
      <c r="C19" t="inlineStr">
        <is>
          <t>C2026C00243VOL01 (Australia - Row 14)</t>
        </is>
      </c>
    </row>
    <row r="20">
      <c r="A20" t="inlineStr">
        <is>
          <t>Australian Federal Police</t>
        </is>
      </c>
      <c r="B20" t="inlineStr">
        <is>
          <t>Australia</t>
        </is>
      </c>
      <c r="C20" t="inlineStr">
        <is>
          <t>C2026C00209VOL01 (Australia - Row 26), C2026C00243VOL01 (Australia - Row 14)</t>
        </is>
      </c>
    </row>
    <row r="21">
      <c r="A21" t="inlineStr">
        <is>
          <t>Australian Federal Police (AFP)</t>
        </is>
      </c>
      <c r="B21" t="inlineStr">
        <is>
          <t>Australia</t>
        </is>
      </c>
      <c r="C21" t="inlineStr">
        <is>
          <t>C2026C00209VOL01 (Australia - Row 26), C2026C00243VOL01 (Australia - Row 14)</t>
        </is>
      </c>
    </row>
    <row r="22">
      <c r="A22" t="inlineStr">
        <is>
          <t>Australian Federal Police (AFP) Minister</t>
        </is>
      </c>
      <c r="B22" t="inlineStr">
        <is>
          <t>Australia</t>
        </is>
      </c>
      <c r="C22" t="inlineStr">
        <is>
          <t>C2026C00243VOL01 (Australia - Row 14)</t>
        </is>
      </c>
    </row>
    <row r="23">
      <c r="A23" t="inlineStr">
        <is>
          <t>Australian Federal Police, State Police</t>
        </is>
      </c>
      <c r="B23" t="inlineStr">
        <is>
          <t>Australia</t>
        </is>
      </c>
      <c r="C23" t="inlineStr">
        <is>
          <t>C2026C00209VOL01 (Australia - Row 26)</t>
        </is>
      </c>
    </row>
    <row r="24">
      <c r="A24" t="inlineStr">
        <is>
          <t>Australian Financial Regulations</t>
        </is>
      </c>
      <c r="B24" t="inlineStr">
        <is>
          <t>Australia</t>
        </is>
      </c>
      <c r="C24" t="inlineStr">
        <is>
          <t>C2026C00220 (Australia - Row 2), F2026C00274 (Australia - Row 10)</t>
        </is>
      </c>
    </row>
    <row r="25">
      <c r="A25" t="inlineStr">
        <is>
          <t>Australian Financial Services Authority (AFS)</t>
        </is>
      </c>
      <c r="B25" t="inlineStr">
        <is>
          <t>Australia</t>
        </is>
      </c>
      <c r="C25" t="inlineStr">
        <is>
          <t>F2026C00274 (Australia - Row 10)</t>
        </is>
      </c>
    </row>
    <row r="26">
      <c r="A26" t="inlineStr">
        <is>
          <t>Australian Financial Services Regulatory Authority</t>
        </is>
      </c>
      <c r="B26" t="inlineStr">
        <is>
          <t>Australia</t>
        </is>
      </c>
      <c r="C26" t="inlineStr">
        <is>
          <t>F2026C00274 (Australia - Row 10)</t>
        </is>
      </c>
    </row>
    <row r="27">
      <c r="A27" t="inlineStr">
        <is>
          <t>Australian Government</t>
        </is>
      </c>
      <c r="B27" t="inlineStr">
        <is>
          <t>Australia</t>
        </is>
      </c>
      <c r="C27" t="inlineStr">
        <is>
          <t>C2024C00719 (Australia - Row 15), C2024C00719-1 (Australia - Row 20), C2026C00243VOL01 (Australia - Row 14), F2026C00274 (Australia - Row 10)</t>
        </is>
      </c>
    </row>
    <row r="28">
      <c r="A28" t="inlineStr">
        <is>
          <t>Australian Information Commissioner</t>
        </is>
      </c>
      <c r="B28" t="inlineStr">
        <is>
          <t>Australia</t>
        </is>
      </c>
      <c r="C28" t="inlineStr">
        <is>
          <t>C2012C00866 (Australia - Row 12)</t>
        </is>
      </c>
    </row>
    <row r="29">
      <c r="A29" t="inlineStr">
        <is>
          <t>Australian Police</t>
        </is>
      </c>
      <c r="B29" t="inlineStr">
        <is>
          <t>Australia</t>
        </is>
      </c>
      <c r="C29" t="inlineStr">
        <is>
          <t>C2026C00243VOL01 (Australia - Row 14)</t>
        </is>
      </c>
    </row>
    <row r="30">
      <c r="A30" t="inlineStr">
        <is>
          <t>Australian Privacy Principle 6</t>
        </is>
      </c>
      <c r="B30" t="inlineStr">
        <is>
          <t>Australia</t>
        </is>
      </c>
      <c r="C30" t="inlineStr">
        <is>
          <t>C2026C00220 (Australia - Row 2)</t>
        </is>
      </c>
    </row>
    <row r="31">
      <c r="A31" t="inlineStr">
        <is>
          <t>Australian Privacy Principles (APP)</t>
        </is>
      </c>
      <c r="B31" t="inlineStr">
        <is>
          <t>Australia</t>
        </is>
      </c>
      <c r="C31" t="inlineStr">
        <is>
          <t>C2026C00227 (Australia - Row 16), C2026C00227-1 (Australia - Row 21)</t>
        </is>
      </c>
    </row>
    <row r="32">
      <c r="A32" t="inlineStr">
        <is>
          <t>Australian Prudential Regulation Authority</t>
        </is>
      </c>
      <c r="B32" t="inlineStr">
        <is>
          <t>Australia</t>
        </is>
      </c>
      <c r="C32" t="inlineStr">
        <is>
          <t>Prudential-Practice-Guide-CPG-235-Managing-Data-Risk_1 (Australia - Row 4)</t>
        </is>
      </c>
    </row>
    <row r="33">
      <c r="A33" t="inlineStr">
        <is>
          <t>Australian Regulatory Authority</t>
        </is>
      </c>
      <c r="B33" t="inlineStr">
        <is>
          <t>Australia</t>
        </is>
      </c>
      <c r="C33" t="inlineStr">
        <is>
          <t>C2026C00220 (Australia - Row 2)</t>
        </is>
      </c>
    </row>
    <row r="34">
      <c r="A34" t="inlineStr">
        <is>
          <t>Australian Securities and Investments Commission</t>
        </is>
      </c>
      <c r="B34" t="inlineStr">
        <is>
          <t>Australia</t>
        </is>
      </c>
      <c r="C34" t="inlineStr">
        <is>
          <t>C2024C00719 (Australia - Row 15), C2024C00719-1 (Australia - Row 20)</t>
        </is>
      </c>
    </row>
    <row r="35">
      <c r="A35" t="inlineStr">
        <is>
          <t>Australian Security Intelligence Organisation Act 1979</t>
        </is>
      </c>
      <c r="B35" t="inlineStr">
        <is>
          <t>Australia</t>
        </is>
      </c>
      <c r="C35" t="inlineStr">
        <is>
          <t>C2026C00209VOL01 (Australia - Row 26)</t>
        </is>
      </c>
    </row>
    <row r="36">
      <c r="A36" t="inlineStr">
        <is>
          <t>Australian Signals Directorate (ASD)</t>
        </is>
      </c>
      <c r="B36" t="inlineStr">
        <is>
          <t>Australia</t>
        </is>
      </c>
      <c r="C36" t="inlineStr">
        <is>
          <t>Essential Eight explained (November 2023) (Australia - Row 11)</t>
        </is>
      </c>
    </row>
    <row r="37">
      <c r="A37" t="inlineStr">
        <is>
          <t>Australian Transaction Reports and Analysis Centre (AUSTRAC)</t>
        </is>
      </c>
      <c r="B37" t="inlineStr">
        <is>
          <t>Australia</t>
        </is>
      </c>
      <c r="C37" t="inlineStr">
        <is>
          <t>C2026C00220 (Australia - Row 2), F2026C00274 (Australia - Row 10)</t>
        </is>
      </c>
    </row>
    <row r="38">
      <c r="A38" t="inlineStr">
        <is>
          <t>Australian Transaction Reports and Records (ATR) Regulator</t>
        </is>
      </c>
      <c r="B38" t="inlineStr">
        <is>
          <t>Australia</t>
        </is>
      </c>
      <c r="C38" t="inlineStr">
        <is>
          <t>C2026C00220 (Australia - Row 2)</t>
        </is>
      </c>
    </row>
    <row r="39">
      <c r="A39" t="inlineStr">
        <is>
          <t>Australian Transaction Reports and Security (ATRS) Act</t>
        </is>
      </c>
      <c r="B39" t="inlineStr">
        <is>
          <t>Australia</t>
        </is>
      </c>
      <c r="C39" t="inlineStr">
        <is>
          <t>F2026C00274 (Australia - Row 10)</t>
        </is>
      </c>
    </row>
    <row r="40">
      <c r="A40" t="inlineStr">
        <is>
          <t>Authorised agency</t>
        </is>
      </c>
      <c r="B40" t="inlineStr">
        <is>
          <t>Australia</t>
        </is>
      </c>
      <c r="C40" t="inlineStr">
        <is>
          <t>C2026C00213REC01 (Australia - Row 22)</t>
        </is>
      </c>
    </row>
    <row r="41">
      <c r="A41" t="inlineStr">
        <is>
          <t>Authorities</t>
        </is>
      </c>
      <c r="B41" t="inlineStr">
        <is>
          <t>South Africa</t>
        </is>
      </c>
      <c r="C41" t="inlineStr">
        <is>
          <t>Joint Standard 1 of 2023 - IT Governance and Risk Management, Joint Standard 2 of 2024  Cybersecurity &amp; Cyber resilience Requirements</t>
        </is>
      </c>
    </row>
    <row r="42">
      <c r="A42" t="inlineStr">
        <is>
          <t>Bank</t>
        </is>
      </c>
      <c r="B42" t="inlineStr">
        <is>
          <t>Mauritius</t>
        </is>
      </c>
      <c r="C42" t="inlineStr">
        <is>
          <t>guideline_for_digital_banks_06.12.2021 (Mauritius - Row 7), guidelines_on_outsourcing_by_financial_institutions (Mauritius - Row 3)</t>
        </is>
      </c>
    </row>
    <row r="43">
      <c r="A43" t="inlineStr">
        <is>
          <t>Bank of England (Bank) and Prudential Regulation Authority (PRA)</t>
        </is>
      </c>
      <c r="B43" t="inlineStr">
        <is>
          <t>United Kingdom</t>
        </is>
      </c>
      <c r="C43" t="inlineStr">
        <is>
          <t>ss221-march-21 (United Kingdom - Row 28)</t>
        </is>
      </c>
    </row>
    <row r="44">
      <c r="A44" t="inlineStr">
        <is>
          <t>Bank of England, Prudential Regulation Authority (PRA), Financial Conduct Authority (FCA)</t>
        </is>
      </c>
      <c r="B44" t="inlineStr">
        <is>
          <t>United Kingdom</t>
        </is>
      </c>
      <c r="C44" t="inlineStr">
        <is>
          <t>cbest-implementation-guide (United Kingdom - Row 30)</t>
        </is>
      </c>
    </row>
    <row r="45">
      <c r="A45" t="inlineStr">
        <is>
          <t>Bank of Mauritius</t>
        </is>
      </c>
      <c r="B45" t="inlineStr">
        <is>
          <t>Mauritius</t>
        </is>
      </c>
      <c r="C45" t="inlineStr">
        <is>
          <t>guideline_for_digital_banks_06.12.2021 (Mauritius - Row 7), guidelines_on_outsourcing_by_financial_institutions (Mauritius - Row 3)</t>
        </is>
      </c>
    </row>
    <row r="46">
      <c r="A46" t="inlineStr">
        <is>
          <t>CBEST (2024g)</t>
        </is>
      </c>
      <c r="B46" t="inlineStr">
        <is>
          <t>United Kingdom</t>
        </is>
      </c>
      <c r="C46" t="inlineStr">
        <is>
          <t>cbest-implementation-guide (United Kingdom - Row 30)</t>
        </is>
      </c>
    </row>
    <row r="47">
      <c r="A47" t="inlineStr">
        <is>
          <t>CBEST (2024i)</t>
        </is>
      </c>
      <c r="B47" t="inlineStr">
        <is>
          <t>United Kingdom</t>
        </is>
      </c>
      <c r="C47" t="inlineStr">
        <is>
          <t>cbest-implementation-guide (United Kingdom - Row 30)</t>
        </is>
      </c>
    </row>
    <row r="48">
      <c r="A48" t="inlineStr">
        <is>
          <t>CBEST (UK)</t>
        </is>
      </c>
      <c r="B48" t="inlineStr">
        <is>
          <t>United Kingdom</t>
        </is>
      </c>
      <c r="C48" t="inlineStr">
        <is>
          <t>cbest-implementation-guide (United Kingdom - Row 30)</t>
        </is>
      </c>
    </row>
    <row r="49">
      <c r="A49" t="inlineStr">
        <is>
          <t>CREST</t>
        </is>
      </c>
      <c r="B49" t="inlineStr">
        <is>
          <t>United Kingdom</t>
        </is>
      </c>
      <c r="C49" t="inlineStr">
        <is>
          <t>cbest-implementation-guide (United Kingdom - Row 30)</t>
        </is>
      </c>
    </row>
    <row r="50">
      <c r="A50" t="inlineStr">
        <is>
          <t>Cabinet member responsible for communications</t>
        </is>
      </c>
      <c r="B50" t="inlineStr">
        <is>
          <t>South Africa</t>
        </is>
      </c>
      <c r="C50" t="inlineStr">
        <is>
          <t>2002-070</t>
        </is>
      </c>
    </row>
    <row r="51">
      <c r="A51" t="inlineStr">
        <is>
          <t>Carrier employees</t>
        </is>
      </c>
      <c r="B51" t="inlineStr">
        <is>
          <t>Australia</t>
        </is>
      </c>
      <c r="C51" t="inlineStr">
        <is>
          <t>C2026C00209VOL01 (Australia - Row 26)</t>
        </is>
      </c>
    </row>
    <row r="52">
      <c r="A52" t="inlineStr">
        <is>
          <t>Central Government</t>
        </is>
      </c>
      <c r="B52" t="inlineStr">
        <is>
          <t>India</t>
        </is>
      </c>
      <c r="C52" t="inlineStr">
        <is>
          <t>Payment and Settlement Systems Act, 2007 (India - Row 11)</t>
        </is>
      </c>
    </row>
    <row r="53">
      <c r="A53" t="inlineStr">
        <is>
          <t>Chief Officer</t>
        </is>
      </c>
      <c r="B53" t="inlineStr">
        <is>
          <t>Australia</t>
        </is>
      </c>
      <c r="C53" t="inlineStr">
        <is>
          <t>C2026C00209VOL01 (Australia - Row 26)</t>
        </is>
      </c>
    </row>
    <row r="54">
      <c r="A54" t="inlineStr">
        <is>
          <t>Chief officer of agency</t>
        </is>
      </c>
      <c r="B54" t="inlineStr">
        <is>
          <t>Australia</t>
        </is>
      </c>
      <c r="C54" t="inlineStr">
        <is>
          <t>C2026C00209VOL01 (Australia - Row 26)</t>
        </is>
      </c>
    </row>
    <row r="55">
      <c r="A55" t="inlineStr">
        <is>
          <t>Commission</t>
        </is>
      </c>
      <c r="B55" t="inlineStr">
        <is>
          <t>GDPR</t>
        </is>
      </c>
      <c r="C55" t="inlineStr">
        <is>
          <t>CELEX_32022R0868_EN_TXT (GDPR - Row 12), CELEX_32022R2554_EN_TXT (GDPR -Row 3), cellar_04cc5bd5-196f-11ee-806b-01aa75ed71a1.0001.02_DOC_1 (GDPR - Row 15)</t>
        </is>
      </c>
    </row>
    <row r="56">
      <c r="A56" t="inlineStr">
        <is>
          <t>Commissioner of Taxation</t>
        </is>
      </c>
      <c r="B56" t="inlineStr">
        <is>
          <t>Australia</t>
        </is>
      </c>
      <c r="C56" t="inlineStr">
        <is>
          <t>C2025C00672 (Australia - Row 17)</t>
        </is>
      </c>
    </row>
    <row r="57">
      <c r="A57" t="inlineStr">
        <is>
          <t>Committee of European Banking Supervisors (CEBS)</t>
        </is>
      </c>
      <c r="B57" t="inlineStr">
        <is>
          <t>GDPR</t>
        </is>
      </c>
      <c r="C57" t="inlineStr">
        <is>
          <t>EBA revised Guidelines on outsourcing arrangements (GDPR - Row 5)</t>
        </is>
      </c>
    </row>
    <row r="58">
      <c r="A58" t="inlineStr">
        <is>
          <t>Commonwealth</t>
        </is>
      </c>
      <c r="B58" t="inlineStr">
        <is>
          <t>Australia</t>
        </is>
      </c>
      <c r="C58" t="inlineStr">
        <is>
          <t>C2012C00866 (Australia - Row 12), C2024C00719 (Australia - Row 15), C2024C00719-1 (Australia - Row 20), C2025C00672 (Australia - Row 17), C2026C00220 (Australia - Row 2), C2026C00243VOL01 (Australia - Row 14)</t>
        </is>
      </c>
    </row>
    <row r="59">
      <c r="A59" t="inlineStr">
        <is>
          <t>Competent Authority</t>
        </is>
      </c>
      <c r="B59" t="inlineStr">
        <is>
          <t>GDPR</t>
        </is>
      </c>
      <c r="C59" t="inlineStr">
        <is>
          <t>CELEX_32014L0065_EN_TXT (GDPR - Row 16)</t>
        </is>
      </c>
    </row>
    <row r="60">
      <c r="A60" t="inlineStr">
        <is>
          <t>Competent authorities</t>
        </is>
      </c>
      <c r="B60" t="inlineStr">
        <is>
          <t>GDPR</t>
        </is>
      </c>
      <c r="C60" t="inlineStr">
        <is>
          <t>CELEX_32022R2554_EN_TXT (GDPR -Row 3), CELEX_52023PC0360_EN_TXT (GDPR - Row 13), EBA revised Guidelines on outsourcing arrangements (GDPR - Row 5), OJ_L_202302854_EN_TXT (GDPR - Row 11), cellar_04cc5bd5-196f-11ee-806b-01aa75ed71a1.0001.02_DOC_1 (GDPR - Row 15), esma_cloud_guidelines (GDPR - Row 8)</t>
        </is>
      </c>
    </row>
    <row r="61">
      <c r="A61" t="inlineStr">
        <is>
          <t>Competent authorities for data intermediation services</t>
        </is>
      </c>
      <c r="B61" t="inlineStr">
        <is>
          <t>GDPR</t>
        </is>
      </c>
      <c r="C61" t="inlineStr">
        <is>
          <t>CELEX_32022R0868_EN_TXT (GDPR - Row 12)</t>
        </is>
      </c>
    </row>
    <row r="62">
      <c r="A62" t="inlineStr">
        <is>
          <t>Competent authorities for registration of data altruism organizations</t>
        </is>
      </c>
      <c r="B62" t="inlineStr">
        <is>
          <t>GDPR</t>
        </is>
      </c>
      <c r="C62" t="inlineStr">
        <is>
          <t>CELEX_32022R0868_EN_TXT (GDPR - Row 12)</t>
        </is>
      </c>
    </row>
    <row r="63">
      <c r="A63" t="inlineStr">
        <is>
          <t>Competent authority</t>
        </is>
      </c>
      <c r="B63" t="inlineStr">
        <is>
          <t>GDPR</t>
        </is>
      </c>
      <c r="C63" t="inlineStr">
        <is>
          <t>CELEX_52023PC0360_EN_TXT (GDPR - Row 13), EBA revised Guidelines on outsourcing arrangements (GDPR - Row 5)</t>
        </is>
      </c>
    </row>
    <row r="64">
      <c r="A64" t="inlineStr">
        <is>
          <t>Constable</t>
        </is>
      </c>
      <c r="B64" t="inlineStr">
        <is>
          <t>Australia</t>
        </is>
      </c>
      <c r="C64" t="inlineStr">
        <is>
          <t>C2026C00213REC01 (Australia - Row 22)</t>
        </is>
      </c>
    </row>
    <row r="65">
      <c r="A65" t="inlineStr">
        <is>
          <t>Corporations Act 2001</t>
        </is>
      </c>
      <c r="B65" t="inlineStr">
        <is>
          <t>Australia</t>
        </is>
      </c>
      <c r="C65" t="inlineStr">
        <is>
          <t>C2024C00719 (Australia - Row 15), C2024C00719-1 (Australia - Row 20)</t>
        </is>
      </c>
    </row>
    <row r="66">
      <c r="A66" t="inlineStr">
        <is>
          <t>Court</t>
        </is>
      </c>
      <c r="B66" t="inlineStr">
        <is>
          <t>Australia, South Africa</t>
        </is>
      </c>
      <c r="C66" t="inlineStr">
        <is>
          <t>2002-070, C2026C00058VOL01 (Australia - Row 13), C2026C00058VOL01 (Australia - Row 8), C2026C00227 (Australia - Row 16), C2026C00243VOL01 (Australia - Row 14)</t>
        </is>
      </c>
    </row>
    <row r="67">
      <c r="A67" t="inlineStr">
        <is>
          <t>Courts</t>
        </is>
      </c>
      <c r="B67" t="inlineStr">
        <is>
          <t>Australia</t>
        </is>
      </c>
      <c r="C67" t="inlineStr">
        <is>
          <t>C2024C00719-1 (Australia - Row 20)</t>
        </is>
      </c>
    </row>
    <row r="68">
      <c r="A68" t="inlineStr">
        <is>
          <t>Cybersecurity (Provider-Owned Critical Information) Regulations</t>
        </is>
      </c>
      <c r="B68" t="inlineStr">
        <is>
          <t>Singapore</t>
        </is>
      </c>
      <c r="C68" t="inlineStr">
        <is>
          <t>Cybersecurity (Provider-Owned Critical Information (Singapore - Row 5 &amp; 6)</t>
        </is>
      </c>
    </row>
    <row r="69">
      <c r="A69" t="inlineStr">
        <is>
          <t>Defence Minister</t>
        </is>
      </c>
      <c r="B69" t="inlineStr">
        <is>
          <t>Australia</t>
        </is>
      </c>
      <c r="C69" t="inlineStr">
        <is>
          <t>C2026C00243VOL01 (Australia - Row 14)</t>
        </is>
      </c>
    </row>
    <row r="70">
      <c r="A70" t="inlineStr">
        <is>
          <t>Department of Telecommunications and Postal Services</t>
        </is>
      </c>
      <c r="B70" t="inlineStr">
        <is>
          <t>South Africa</t>
        </is>
      </c>
      <c r="C70" t="inlineStr">
        <is>
          <t>South Africa National Cybersecurity Policy Framework (NCPF) 2015</t>
        </is>
      </c>
    </row>
    <row r="71">
      <c r="A71" t="inlineStr">
        <is>
          <t>Designated Judge</t>
        </is>
      </c>
      <c r="B71" t="inlineStr">
        <is>
          <t>South Africa</t>
        </is>
      </c>
      <c r="C71" t="inlineStr">
        <is>
          <t>2002-070</t>
        </is>
      </c>
    </row>
    <row r="72">
      <c r="A72" t="inlineStr">
        <is>
          <t>Designated judge</t>
        </is>
      </c>
      <c r="B72" t="inlineStr">
        <is>
          <t>South Africa</t>
        </is>
      </c>
      <c r="C72" t="inlineStr">
        <is>
          <t>2002-070</t>
        </is>
      </c>
    </row>
    <row r="73">
      <c r="A73" t="inlineStr">
        <is>
          <t>Director</t>
        </is>
      </c>
      <c r="B73" t="inlineStr">
        <is>
          <t>South Africa</t>
        </is>
      </c>
      <c r="C73" t="inlineStr">
        <is>
          <t>2002-070</t>
        </is>
      </c>
    </row>
    <row r="74">
      <c r="A74" t="inlineStr">
        <is>
          <t>Director of Public Prosecutions</t>
        </is>
      </c>
      <c r="B74" t="inlineStr">
        <is>
          <t>Australia</t>
        </is>
      </c>
      <c r="C74" t="inlineStr">
        <is>
          <t>C2026C00243VOL01 (Australia - Row 14)</t>
        </is>
      </c>
    </row>
    <row r="75">
      <c r="A75" t="inlineStr">
        <is>
          <t>Director-General of Security</t>
        </is>
      </c>
      <c r="B75" t="inlineStr">
        <is>
          <t>Australia</t>
        </is>
      </c>
      <c r="C75" t="inlineStr">
        <is>
          <t>C2026C00209VOL01 (Australia - Row 26)</t>
        </is>
      </c>
    </row>
    <row r="76">
      <c r="A76" t="inlineStr">
        <is>
          <t>EBA</t>
        </is>
      </c>
      <c r="B76" t="inlineStr">
        <is>
          <t>GDPR</t>
        </is>
      </c>
      <c r="C76" t="inlineStr">
        <is>
          <t>EBA revised Guidelines on outsourcing arrangements (GDPR - Row 5), Final report on amending GLs on ICT risk and security (GDPR - Row 4), cellar_04cc5bd5-196f-11ee-806b-01aa75ed71a1.0001.02_DOC_1 (GDPR - Row 15)</t>
        </is>
      </c>
    </row>
    <row r="77">
      <c r="A77" t="inlineStr">
        <is>
          <t>ESAs</t>
        </is>
      </c>
      <c r="B77" t="inlineStr">
        <is>
          <t>GDPR</t>
        </is>
      </c>
      <c r="C77" t="inlineStr">
        <is>
          <t>CELEX_32022R2554_EN_TXT (GDPR -Row 3)</t>
        </is>
      </c>
    </row>
    <row r="78">
      <c r="A78" t="inlineStr">
        <is>
          <t>ESMA</t>
        </is>
      </c>
      <c r="B78" t="inlineStr">
        <is>
          <t>GDPR</t>
        </is>
      </c>
      <c r="C78" t="inlineStr">
        <is>
          <t>CELEX_32014L0065_EN_TXT (GDPR - Row 16), esma_cloud_guidelines (GDPR - Row 8)</t>
        </is>
      </c>
    </row>
    <row r="79">
      <c r="A79" t="inlineStr">
        <is>
          <t>Enforcement agencies</t>
        </is>
      </c>
      <c r="B79" t="inlineStr">
        <is>
          <t>Australia</t>
        </is>
      </c>
      <c r="C79" t="inlineStr">
        <is>
          <t>C2026C00209VOL01 (Australia - Row 26)</t>
        </is>
      </c>
    </row>
    <row r="80">
      <c r="A80" t="inlineStr">
        <is>
          <t>European Banking Authority</t>
        </is>
      </c>
      <c r="B80" t="inlineStr">
        <is>
          <t>GDPR</t>
        </is>
      </c>
      <c r="C80" t="inlineStr">
        <is>
          <t>EBA revised Guidelines on outsourcing arrangements (GDPR - Row 5)</t>
        </is>
      </c>
    </row>
    <row r="81">
      <c r="A81" t="inlineStr">
        <is>
          <t>European Banking Authority (EBA)</t>
        </is>
      </c>
      <c r="B81" t="inlineStr">
        <is>
          <t>GDPR</t>
        </is>
      </c>
      <c r="C81" t="inlineStr">
        <is>
          <t>CELEX_52023PC0360_EN_TXT (GDPR - Row 13), EBA revised Guidelines on outsourcing arrangements (GDPR - Row 5)</t>
        </is>
      </c>
    </row>
    <row r="82">
      <c r="A82" t="inlineStr">
        <is>
          <t>European Commission</t>
        </is>
      </c>
      <c r="B82" t="inlineStr">
        <is>
          <t>GDPR</t>
        </is>
      </c>
      <c r="C82" t="inlineStr">
        <is>
          <t>CELEX_32002L0058_EN_TXT (GDPR Row 7), CELEX_32014L0065_EN_TXT (GDPR - Row 16), CELEX_32018L1673_EN_TXT (GDPR - Row 2), CELEX_32022L2555_EN_TXT (GDPR - Row 17), CELEX_32022R0868_EN_TXT (GDPR - Row 12), CELEX_32022R2554_EN_TXT (GDPR -Row 3), OJ_L_202302854_EN_TXT (GDPR - Row 11), OJ_L_202401689_EN_TXT (GDPR - Row 9), OJ_L_202402847_EN_TXT (GDPR - Row 10)</t>
        </is>
      </c>
    </row>
    <row r="83">
      <c r="A83" t="inlineStr">
        <is>
          <t>European Data Protection Supervisor</t>
        </is>
      </c>
      <c r="B83" t="inlineStr">
        <is>
          <t>GDPR</t>
        </is>
      </c>
      <c r="C83" t="inlineStr">
        <is>
          <t>OJ_L_202302854_EN_TXT (GDPR - Row 11), OJ_L_202401689_EN_TXT (GDPR - Row 9)</t>
        </is>
      </c>
    </row>
    <row r="84">
      <c r="A84" t="inlineStr">
        <is>
          <t>European Financial Authority</t>
        </is>
      </c>
      <c r="B84" t="inlineStr">
        <is>
          <t>GDPR</t>
        </is>
      </c>
      <c r="C84" t="inlineStr">
        <is>
          <t>cellar_04cc5bd5-196f-11ee-806b-01aa75ed71a1.0001.02_DOC_1 (GDPR - Row 15)</t>
        </is>
      </c>
    </row>
    <row r="85">
      <c r="A85" t="inlineStr">
        <is>
          <t>European Parliament and Council</t>
        </is>
      </c>
      <c r="B85" t="inlineStr">
        <is>
          <t>GDPR</t>
        </is>
      </c>
      <c r="C85" t="inlineStr">
        <is>
          <t>CELEX_32014L0065_EN_TXT (GDPR - Row 16)</t>
        </is>
      </c>
    </row>
    <row r="86">
      <c r="A86" t="inlineStr">
        <is>
          <t>European Parliament or Council</t>
        </is>
      </c>
      <c r="B86" t="inlineStr">
        <is>
          <t>GDPR</t>
        </is>
      </c>
      <c r="C86" t="inlineStr">
        <is>
          <t>CELEX_32022R0868_EN_TXT (GDPR - Row 12), CELEX_52023PC0360_EN_TXT (GDPR - Row 13)</t>
        </is>
      </c>
    </row>
    <row r="87">
      <c r="A87" t="inlineStr">
        <is>
          <t>European Securities and Markets Authority (ESMA)</t>
        </is>
      </c>
      <c r="B87" t="inlineStr">
        <is>
          <t>GDPR</t>
        </is>
      </c>
      <c r="C87" t="inlineStr">
        <is>
          <t>CELEX_32014L0065_EN_TXT (GDPR - Row 16)</t>
        </is>
      </c>
    </row>
    <row r="88">
      <c r="A88" t="inlineStr">
        <is>
          <t>European Supervisory Authorities</t>
        </is>
      </c>
      <c r="B88" t="inlineStr">
        <is>
          <t>GDPR</t>
        </is>
      </c>
      <c r="C88" t="inlineStr">
        <is>
          <t>CELEX_32022R2554_EN_TXT (GDPR -Row 3)</t>
        </is>
      </c>
    </row>
    <row r="89">
      <c r="A89" t="inlineStr">
        <is>
          <t>European Union</t>
        </is>
      </c>
      <c r="B89" t="inlineStr">
        <is>
          <t>GDPR</t>
        </is>
      </c>
      <c r="C89" t="inlineStr">
        <is>
          <t>CELEX_32022R2554_EN_TXT (GDPR -Row 3), OJ_L_202402847_EN_TXT (GDPR - Row 10)</t>
        </is>
      </c>
    </row>
    <row r="90">
      <c r="A90" t="inlineStr">
        <is>
          <t>FCA</t>
        </is>
      </c>
      <c r="B90" t="inlineStr">
        <is>
          <t>United Kingdom</t>
        </is>
      </c>
      <c r="C90" t="inlineStr">
        <is>
          <t>Senior Managers and Certification Regime (United Kingdom - Row 23)</t>
        </is>
      </c>
    </row>
    <row r="91">
      <c r="A91" t="inlineStr">
        <is>
          <t>FSC</t>
        </is>
      </c>
      <c r="B91" t="inlineStr">
        <is>
          <t>Mauritius</t>
        </is>
      </c>
      <c r="C91" t="inlineStr">
        <is>
          <t>final-guideline-on-cloud-computing (Mauritius - Row 17), guidelines-on-responsible-use-of-ai (Mauritius - Row 19)</t>
        </is>
      </c>
    </row>
    <row r="92">
      <c r="A92" t="inlineStr">
        <is>
          <t>FSC Mauritius</t>
        </is>
      </c>
      <c r="B92" t="inlineStr">
        <is>
          <t>Mauritius</t>
        </is>
      </c>
      <c r="C92" t="inlineStr">
        <is>
          <t>guidelines-on-responsible-use-of-ai (Mauritius - Row 19)</t>
        </is>
      </c>
    </row>
    <row r="93">
      <c r="A93" t="inlineStr">
        <is>
          <t>FSCA</t>
        </is>
      </c>
      <c r="B93" t="inlineStr">
        <is>
          <t>South Africa</t>
        </is>
      </c>
      <c r="C93" t="inlineStr">
        <is>
          <t>2024 Open Finance_FSCA Position Paper</t>
        </is>
      </c>
    </row>
    <row r="94">
      <c r="A94" t="inlineStr">
        <is>
          <t>Federal Court</t>
        </is>
      </c>
      <c r="B94" t="inlineStr">
        <is>
          <t>Australia</t>
        </is>
      </c>
      <c r="C94" t="inlineStr">
        <is>
          <t>C2016C00614 (Australia - Row 23), C2026C00220 (Australia - Row 2), C2026C00224VOL01 (Australia - Row 27)</t>
        </is>
      </c>
    </row>
    <row r="95">
      <c r="A95" t="inlineStr">
        <is>
          <t>Federal Court of Australia</t>
        </is>
      </c>
      <c r="B95" t="inlineStr">
        <is>
          <t>Australia</t>
        </is>
      </c>
      <c r="C95" t="inlineStr">
        <is>
          <t>C2026C00243VOL01 (Australia - Row 14)</t>
        </is>
      </c>
    </row>
    <row r="96">
      <c r="A96" t="inlineStr">
        <is>
          <t>Financial Sector Conduct Authority</t>
        </is>
      </c>
      <c r="B96" t="inlineStr">
        <is>
          <t>South Africa</t>
        </is>
      </c>
      <c r="C96" t="inlineStr">
        <is>
          <t>Conduct-Standard-3-of-2020-BANKS-Annexure-A</t>
        </is>
      </c>
    </row>
    <row r="97">
      <c r="A97" t="inlineStr">
        <is>
          <t>Financial Services Commission (FSC)</t>
        </is>
      </c>
      <c r="B97" t="inlineStr">
        <is>
          <t>Mauritius</t>
        </is>
      </c>
      <c r="C97" t="inlineStr">
        <is>
          <t>code-of-business-conduct_final (Mauritius - Row 14), code-of-business-conduct_final (Mauritius - Row 18), final-guideline-on-cloud-computing (Mauritius - Row 17)</t>
        </is>
      </c>
    </row>
    <row r="98">
      <c r="A98" t="inlineStr">
        <is>
          <t>Financial Services Commission, Mauritius</t>
        </is>
      </c>
      <c r="B98" t="inlineStr">
        <is>
          <t>Mauritius</t>
        </is>
      </c>
      <c r="C98" t="inlineStr">
        <is>
          <t>part2 (Mauritius - Row 15)</t>
        </is>
      </c>
    </row>
    <row r="99">
      <c r="A99" t="inlineStr">
        <is>
          <t>Financial Services Commission, Mauritius (FSC)</t>
        </is>
      </c>
      <c r="B99" t="inlineStr">
        <is>
          <t>Mauritius</t>
        </is>
      </c>
      <c r="C99" t="inlineStr">
        <is>
          <t>guidelines-on-responsible-use-of-ai (Mauritius - Row 19)</t>
        </is>
      </c>
    </row>
    <row r="100">
      <c r="A100" t="inlineStr">
        <is>
          <t>Governor-General</t>
        </is>
      </c>
      <c r="B100" t="inlineStr">
        <is>
          <t>Australia</t>
        </is>
      </c>
      <c r="C100" t="inlineStr">
        <is>
          <t>C2025C00672 (Australia - Row 17)</t>
        </is>
      </c>
    </row>
    <row r="101">
      <c r="A101" t="inlineStr">
        <is>
          <t>IFSCA</t>
        </is>
      </c>
      <c r="B101" t="inlineStr">
        <is>
          <t>India</t>
        </is>
      </c>
      <c r="C101" t="inlineStr">
        <is>
          <t>guidelines-on-cyber-security-and-cyber-resilience-for-regulated-entities-in-ifscs-1-10032025064412 (India - Row 5)</t>
        </is>
      </c>
    </row>
    <row r="102">
      <c r="A102" t="inlineStr">
        <is>
          <t>IRDAI</t>
        </is>
      </c>
      <c r="B102" t="inlineStr">
        <is>
          <t>India</t>
        </is>
      </c>
      <c r="C102" t="inlineStr">
        <is>
          <t>Guidelines on Information and Cyber Security (India - Row 8)</t>
        </is>
      </c>
    </row>
    <row r="103">
      <c r="A103" t="inlineStr">
        <is>
          <t>Information Commissioner</t>
        </is>
      </c>
      <c r="B103" t="inlineStr">
        <is>
          <t>Australia, United Kingdom</t>
        </is>
      </c>
      <c r="C103" t="inlineStr">
        <is>
          <t>C2012C00866 (Australia - Row 12), NIS Regulations 2018 (United Kingdom - Row 25), Privacy and Electronic Communications Regulations (PECR) 2003 (United Kingdom - Row 18)</t>
        </is>
      </c>
    </row>
    <row r="104">
      <c r="A104" t="inlineStr">
        <is>
          <t>Issuing authority</t>
        </is>
      </c>
      <c r="B104" t="inlineStr">
        <is>
          <t>Australia</t>
        </is>
      </c>
      <c r="C104" t="inlineStr">
        <is>
          <t>C2026C00243VOL01 (Australia - Row 14)</t>
        </is>
      </c>
    </row>
    <row r="105">
      <c r="A105" t="inlineStr">
        <is>
          <t>Judge or nominated ART member</t>
        </is>
      </c>
      <c r="B105" t="inlineStr">
        <is>
          <t>Australia</t>
        </is>
      </c>
      <c r="C105" t="inlineStr">
        <is>
          <t>C2026C00209VOL01 (Australia - Row 26)</t>
        </is>
      </c>
    </row>
    <row r="106">
      <c r="A106" t="inlineStr">
        <is>
          <t>Law Enforcement Conduct Commission (NSW), IBAC (Vic.), Corruption and Crime Commission (WA), etc.</t>
        </is>
      </c>
      <c r="B106" t="inlineStr">
        <is>
          <t>Australia</t>
        </is>
      </c>
      <c r="C106" t="inlineStr">
        <is>
          <t>C2026C00209VOL01 (Australia - Row 26)</t>
        </is>
      </c>
    </row>
    <row r="107">
      <c r="A107" t="inlineStr">
        <is>
          <t>Lead Overseer</t>
        </is>
      </c>
      <c r="B107" t="inlineStr">
        <is>
          <t>GDPR</t>
        </is>
      </c>
      <c r="C107" t="inlineStr">
        <is>
          <t>CELEX_32022R2554_EN_TXT (GDPR -Row 3)</t>
        </is>
      </c>
    </row>
    <row r="108">
      <c r="A108" t="inlineStr">
        <is>
          <t>MAS</t>
        </is>
      </c>
      <c r="B108" t="inlineStr">
        <is>
          <t>Singapore</t>
        </is>
      </c>
      <c r="C108" t="inlineStr">
        <is>
          <t>Guidelines on Environmental Risk Management Insurers Dec 2020-2 (Singapore - Row 14), MAS Notice FSM-N21 (Singapore - Row 32), MAS Notices 644 655 644A 655A 1114 1118 Cancellation 2024 (Singapore - Row 18)</t>
        </is>
      </c>
    </row>
    <row r="109">
      <c r="A109" t="inlineStr">
        <is>
          <t>Magistrate</t>
        </is>
      </c>
      <c r="B109" t="inlineStr">
        <is>
          <t>Australia</t>
        </is>
      </c>
      <c r="C109" t="inlineStr">
        <is>
          <t>C2026C00220 (Australia - Row 2)</t>
        </is>
      </c>
    </row>
    <row r="110">
      <c r="A110" t="inlineStr">
        <is>
          <t>Manufacturer's authorised representative</t>
        </is>
      </c>
      <c r="B110" t="inlineStr">
        <is>
          <t>GDPR</t>
        </is>
      </c>
      <c r="C110" t="inlineStr">
        <is>
          <t>OJ_L_202402847_EN_TXT (GDPR - Row 10)</t>
        </is>
      </c>
    </row>
    <row r="111">
      <c r="A111" t="inlineStr">
        <is>
          <t>Manufacturers</t>
        </is>
      </c>
      <c r="B111" t="inlineStr">
        <is>
          <t>GDPR</t>
        </is>
      </c>
      <c r="C111" t="inlineStr">
        <is>
          <t>OJ_L_202402847_EN_TXT (GDPR - Row 10)</t>
        </is>
      </c>
    </row>
    <row r="112">
      <c r="A112" t="inlineStr">
        <is>
          <t>Market surveillance authorities</t>
        </is>
      </c>
      <c r="B112" t="inlineStr">
        <is>
          <t>GDPR</t>
        </is>
      </c>
      <c r="C112" t="inlineStr">
        <is>
          <t>OJ_L_202402847_EN_TXT (GDPR - Row 10)</t>
        </is>
      </c>
    </row>
    <row r="113">
      <c r="A113" t="inlineStr">
        <is>
          <t>Mauritius Data Protection Authority</t>
        </is>
      </c>
      <c r="B113" t="inlineStr">
        <is>
          <t>Mauritius</t>
        </is>
      </c>
      <c r="C113" t="inlineStr">
        <is>
          <t>Guideline-on-Incident-Handling-and-Reporting (Mauritius - Row 8)</t>
        </is>
      </c>
    </row>
    <row r="114">
      <c r="A114" t="inlineStr">
        <is>
          <t>Member States</t>
        </is>
      </c>
      <c r="B114" t="inlineStr">
        <is>
          <t>GDPR</t>
        </is>
      </c>
      <c r="C114" t="inlineStr">
        <is>
          <t>CELEX_32014L0065_EN_TXT (GDPR - Row 16), CELEX_52023PC0360_EN_TXT (GDPR - Row 13), OJ_L_202302854_EN_TXT (GDPR - Row 11)</t>
        </is>
      </c>
    </row>
    <row r="115">
      <c r="A115" t="inlineStr">
        <is>
          <t>Minister</t>
        </is>
      </c>
      <c r="B115" t="inlineStr">
        <is>
          <t>Australia, South Africa</t>
        </is>
      </c>
      <c r="C115" t="inlineStr">
        <is>
          <t>2002-070, C2024C00719 (Australia - Row 15), C2024C00719-1 (Australia - Row 20), C2025C00672 (Australia - Row 17), C2026C00209VOL01 (Australia - Row 26), C2026C00213REC01 (Australia - Row 22), C2026C00220 (Australia - Row 2)</t>
        </is>
      </c>
    </row>
    <row r="116">
      <c r="A116" t="inlineStr">
        <is>
          <t>Monetary Authority of Singapore (MAS)</t>
        </is>
      </c>
      <c r="B116" t="inlineStr">
        <is>
          <t>Singapore</t>
        </is>
      </c>
      <c r="C116" t="inlineStr">
        <is>
          <t>ID18_24 (Singapore - Row 12), ID18_24-2 (Singapore - Row 21)</t>
        </is>
      </c>
    </row>
    <row r="117">
      <c r="A117" t="inlineStr">
        <is>
          <t>National Anti-Corruption Commission</t>
        </is>
      </c>
      <c r="B117" t="inlineStr">
        <is>
          <t>Australia</t>
        </is>
      </c>
      <c r="C117" t="inlineStr">
        <is>
          <t>C2026C00209VOL01 (Australia - Row 26)</t>
        </is>
      </c>
    </row>
    <row r="118">
      <c r="A118" t="inlineStr">
        <is>
          <t>National competent authorities</t>
        </is>
      </c>
      <c r="B118" t="inlineStr">
        <is>
          <t>GDPR</t>
        </is>
      </c>
      <c r="C118" t="inlineStr">
        <is>
          <t>OJ_L_202401689_EN_TXT (GDPR - Row 9)</t>
        </is>
      </c>
    </row>
    <row r="119">
      <c r="A119" t="inlineStr">
        <is>
          <t>Network protection personnel</t>
        </is>
      </c>
      <c r="B119" t="inlineStr">
        <is>
          <t>Australia</t>
        </is>
      </c>
      <c r="C119" t="inlineStr">
        <is>
          <t>C2026C00209VOL01 (Australia - Row 26)</t>
        </is>
      </c>
    </row>
    <row r="120">
      <c r="A120" t="inlineStr">
        <is>
          <t>Notified bodies</t>
        </is>
      </c>
      <c r="B120" t="inlineStr">
        <is>
          <t>GDPR</t>
        </is>
      </c>
      <c r="C120" t="inlineStr">
        <is>
          <t>OJ_L_202402847_EN_TXT (GDPR - Row 10)</t>
        </is>
      </c>
    </row>
    <row r="121">
      <c r="A121" t="inlineStr">
        <is>
          <t>Notified body</t>
        </is>
      </c>
      <c r="B121" t="inlineStr">
        <is>
          <t>GDPR</t>
        </is>
      </c>
      <c r="C121" t="inlineStr">
        <is>
          <t>OJ_L_202401689_EN_TXT (GDPR - Row 9)</t>
        </is>
      </c>
    </row>
    <row r="122">
      <c r="A122" t="inlineStr">
        <is>
          <t>Ombudsman</t>
        </is>
      </c>
      <c r="B122" t="inlineStr">
        <is>
          <t>Australia</t>
        </is>
      </c>
      <c r="C122" t="inlineStr">
        <is>
          <t>C2012C00866 (Australia - Row 12), C2026C00209VOL01 (Australia - Row 26)</t>
        </is>
      </c>
    </row>
    <row r="123">
      <c r="A123" t="inlineStr">
        <is>
          <t>Ombudsman, National Anti-Corruption Commission (NACC)</t>
        </is>
      </c>
      <c r="B123" t="inlineStr">
        <is>
          <t>Australia</t>
        </is>
      </c>
      <c r="C123" t="inlineStr">
        <is>
          <t>C2026C00209VOL01 (Australia - Row 26)</t>
        </is>
      </c>
    </row>
    <row r="124">
      <c r="A124" t="inlineStr">
        <is>
          <t>PRA</t>
        </is>
      </c>
      <c r="B124" t="inlineStr">
        <is>
          <t>United Kingdom</t>
        </is>
      </c>
      <c r="C124" t="inlineStr">
        <is>
          <t>PRA Supervisory Statement — Model Risk Management Principles (United Kingdom - Row 27), ss221-march-21 (United Kingdom - Row 28)</t>
        </is>
      </c>
    </row>
    <row r="125">
      <c r="A125" t="inlineStr">
        <is>
          <t>PRA, Bank of England</t>
        </is>
      </c>
      <c r="B125" t="inlineStr">
        <is>
          <t>United Kingdom</t>
        </is>
      </c>
      <c r="C125" t="inlineStr">
        <is>
          <t>cbest-implementation-guide (United Kingdom - Row 30)</t>
        </is>
      </c>
    </row>
    <row r="126">
      <c r="A126" t="inlineStr">
        <is>
          <t>Parliament of the Republic of South Africa</t>
        </is>
      </c>
      <c r="B126" t="inlineStr">
        <is>
          <t>South Africa</t>
        </is>
      </c>
      <c r="C126" t="inlineStr">
        <is>
          <t>2002-070</t>
        </is>
      </c>
    </row>
    <row r="127">
      <c r="A127" t="inlineStr">
        <is>
          <t>Parliamentary Joint Committee on Intelligence and Security</t>
        </is>
      </c>
      <c r="B127" t="inlineStr">
        <is>
          <t>Australia</t>
        </is>
      </c>
      <c r="C127" t="inlineStr">
        <is>
          <t>C2026C00209VOL01 (Australia - Row 26)</t>
        </is>
      </c>
    </row>
    <row r="128">
      <c r="A128" t="inlineStr">
        <is>
          <t>Part 4-1 issuing authority</t>
        </is>
      </c>
      <c r="B128" t="inlineStr">
        <is>
          <t>Australia</t>
        </is>
      </c>
      <c r="C128" t="inlineStr">
        <is>
          <t>C2026C00209VOL01 (Australia - Row 26)</t>
        </is>
      </c>
    </row>
    <row r="129">
      <c r="A129" t="inlineStr">
        <is>
          <t>Payment Act, Section 16</t>
        </is>
      </c>
      <c r="B129" t="inlineStr">
        <is>
          <t>South Africa</t>
        </is>
      </c>
      <c r="C129" t="inlineStr">
        <is>
          <t>pAYMENT ACT</t>
        </is>
      </c>
    </row>
    <row r="130">
      <c r="A130" t="inlineStr">
        <is>
          <t>Personal Property Securities Act 2009</t>
        </is>
      </c>
      <c r="B130" t="inlineStr">
        <is>
          <t>Australia</t>
        </is>
      </c>
      <c r="C130" t="inlineStr">
        <is>
          <t>C2024C00719 (Australia - Row 15)</t>
        </is>
      </c>
    </row>
    <row r="131">
      <c r="A131" t="inlineStr">
        <is>
          <t>Police</t>
        </is>
      </c>
      <c r="B131" t="inlineStr">
        <is>
          <t>Australia</t>
        </is>
      </c>
      <c r="C131" t="inlineStr">
        <is>
          <t>C2026C00243VOL01 (Australia - Row 14)</t>
        </is>
      </c>
    </row>
    <row r="132">
      <c r="A132" t="inlineStr">
        <is>
          <t>Police Officer or Customs Officer</t>
        </is>
      </c>
      <c r="B132" t="inlineStr">
        <is>
          <t>Australia</t>
        </is>
      </c>
      <c r="C132" t="inlineStr">
        <is>
          <t>C2026C00220 (Australia - Row 2)</t>
        </is>
      </c>
    </row>
    <row r="133">
      <c r="A133" t="inlineStr">
        <is>
          <t>Police officer or customs officer</t>
        </is>
      </c>
      <c r="B133" t="inlineStr">
        <is>
          <t>Australia</t>
        </is>
      </c>
      <c r="C133" t="inlineStr">
        <is>
          <t>C2026C00220 (Australia - Row 2)</t>
        </is>
      </c>
    </row>
    <row r="134">
      <c r="A134" t="inlineStr">
        <is>
          <t>Privacy Act 1988</t>
        </is>
      </c>
      <c r="B134" t="inlineStr">
        <is>
          <t>Australia</t>
        </is>
      </c>
      <c r="C134" t="inlineStr">
        <is>
          <t>C2026C00220 (Australia - Row 2), C2026C00224VOL01 (Australia - Row 27)</t>
        </is>
      </c>
    </row>
    <row r="135">
      <c r="A135" t="inlineStr">
        <is>
          <t>Privacy Act 1988 (Cth)</t>
        </is>
      </c>
      <c r="B135" t="inlineStr">
        <is>
          <t>Australia</t>
        </is>
      </c>
      <c r="C135" t="inlineStr">
        <is>
          <t>C2026C00227-1 (Australia - Row 21)</t>
        </is>
      </c>
    </row>
    <row r="136">
      <c r="A136" t="inlineStr">
        <is>
          <t>Privacy Commissioner</t>
        </is>
      </c>
      <c r="B136" t="inlineStr">
        <is>
          <t>Australia</t>
        </is>
      </c>
      <c r="C136" t="inlineStr">
        <is>
          <t>C2026C00227 (Australia - Row 16)</t>
        </is>
      </c>
    </row>
    <row r="137">
      <c r="A137" t="inlineStr">
        <is>
          <t>Prudential Authority (PA)</t>
        </is>
      </c>
      <c r="B137" t="inlineStr">
        <is>
          <t>South Africa</t>
        </is>
      </c>
      <c r="C137" t="inlineStr">
        <is>
          <t>PA Directive</t>
        </is>
      </c>
    </row>
    <row r="138">
      <c r="A138" t="inlineStr">
        <is>
          <t>Prudential Regulation Authority (PRA)</t>
        </is>
      </c>
      <c r="B138" t="inlineStr">
        <is>
          <t>United Kingdom</t>
        </is>
      </c>
      <c r="C138" t="inlineStr">
        <is>
          <t>ss221-march-21 (United Kingdom - Row 28)</t>
        </is>
      </c>
    </row>
    <row r="139">
      <c r="A139" t="inlineStr">
        <is>
          <t>RBI</t>
        </is>
      </c>
      <c r="B139" t="inlineStr">
        <is>
          <t>India</t>
        </is>
      </c>
      <c r="C139" t="inlineStr">
        <is>
          <t>RBI Digital Lending Directions 2025 Digital Lending Guidelines 2022 (India - Row 14), RBI Master Direction on Information Technology Framework for NBFC Sector (2017) (India - Row 15), RBI Master Direction on Outsourcing of IT Services (MDS on IT Outsourcing, 2023) (India - Row 16), Reserve Bank of India – IT Governance and Cybersecurity Regulatory Framework (including Master Directions and Cyber Security Framework) (India - Row 18)</t>
        </is>
      </c>
    </row>
    <row r="140">
      <c r="A140" t="inlineStr">
        <is>
          <t>Registrar</t>
        </is>
      </c>
      <c r="B140" t="inlineStr">
        <is>
          <t>Australia</t>
        </is>
      </c>
      <c r="C140" t="inlineStr">
        <is>
          <t>C2024C00719 (Australia - Row 15), C2024C00719-1 (Australia - Row 20), C2025C00672 (Australia - Row 17)</t>
        </is>
      </c>
    </row>
    <row r="141">
      <c r="A141" t="inlineStr">
        <is>
          <t>Relevant chief executive</t>
        </is>
      </c>
      <c r="B141" t="inlineStr">
        <is>
          <t>Australia</t>
        </is>
      </c>
      <c r="C141" t="inlineStr">
        <is>
          <t>C2026C00213REC01 (Australia - Row 22)</t>
        </is>
      </c>
    </row>
    <row r="142">
      <c r="A142" t="inlineStr">
        <is>
          <t>Relevant official</t>
        </is>
      </c>
      <c r="B142" t="inlineStr">
        <is>
          <t>Australia</t>
        </is>
      </c>
      <c r="C142" t="inlineStr">
        <is>
          <t>C2026C00213REC01 (Australia - Row 22)</t>
        </is>
      </c>
    </row>
    <row r="143">
      <c r="A143" t="inlineStr">
        <is>
          <t>Reserve Bank</t>
        </is>
      </c>
      <c r="B143" t="inlineStr">
        <is>
          <t>India, South Africa</t>
        </is>
      </c>
      <c r="C143" t="inlineStr">
        <is>
          <t>Payment and Settlement Systems Act, 2007 (India - Row 11), pAYMENT ACT</t>
        </is>
      </c>
    </row>
    <row r="144">
      <c r="A144" t="inlineStr">
        <is>
          <t>Reserve Bank of India</t>
        </is>
      </c>
      <c r="B144" t="inlineStr">
        <is>
          <t>India</t>
        </is>
      </c>
      <c r="C144" t="inlineStr">
        <is>
          <t>Payment and Settlement Systems Act, 2007 (India - Row 11), RBI Digital Lending Directions 2025 Digital Lending Guidelines 2022 (India - Row 14), RBI Master Direction on Outsourcing of IT Services (MDS on IT Outsourcing, 2023) (India - Row 16), RBI Payment Data Localisation Requirement (India - Row 17), Reserve Bank of India – IT Governance and Cybersecurity Regulatory Framework (including Master Directions and Cyber Security Framework) (India - Row 18)</t>
        </is>
      </c>
    </row>
    <row r="145">
      <c r="A145" t="inlineStr">
        <is>
          <t>Reserve Bank of India (RBI)</t>
        </is>
      </c>
      <c r="B145" t="inlineStr">
        <is>
          <t>India</t>
        </is>
      </c>
      <c r="C145" t="inlineStr">
        <is>
          <t>RBI Digital Lending Directions 2025 Digital Lending Guidelines 2022 (India - Row 14), RBI Master Direction on Outsourcing of IT Services (MDS on IT Outsourcing, 2023) (India - Row 16)</t>
        </is>
      </c>
    </row>
    <row r="146">
      <c r="A146" t="inlineStr">
        <is>
          <t>Responsible Authority</t>
        </is>
      </c>
      <c r="B146" t="inlineStr">
        <is>
          <t>South Africa</t>
        </is>
      </c>
      <c r="C146" t="inlineStr">
        <is>
          <t>Joint Standard 2 of 2024  Cybersecurity &amp; Cyber resilience Requirements</t>
        </is>
      </c>
    </row>
    <row r="147">
      <c r="A147" t="inlineStr">
        <is>
          <t>SARB</t>
        </is>
      </c>
      <c r="B147" t="inlineStr">
        <is>
          <t>South Africa</t>
        </is>
      </c>
      <c r="C147" t="inlineStr">
        <is>
          <t>Directive in respect of cybersecurity and cyber-resilisnce within the national payment system</t>
        </is>
      </c>
    </row>
    <row r="148">
      <c r="A148" t="inlineStr">
        <is>
          <t>SEBI</t>
        </is>
      </c>
      <c r="B148" t="inlineStr">
        <is>
          <t>India</t>
        </is>
      </c>
      <c r="C148" t="inlineStr">
        <is>
          <t>SEBI Master Circular for Alternative Investment Funds (India - Row 25)</t>
        </is>
      </c>
    </row>
    <row r="149">
      <c r="A149" t="inlineStr">
        <is>
          <t>Secretary</t>
        </is>
      </c>
      <c r="B149" t="inlineStr">
        <is>
          <t>Australia</t>
        </is>
      </c>
      <c r="C149" t="inlineStr">
        <is>
          <t>C2025C00672 (Australia - Row 17), C2026C00213REC01 (Australia - Row 22), C2026C00220 (Australia - Row 2)</t>
        </is>
      </c>
    </row>
    <row r="150">
      <c r="A150" t="inlineStr">
        <is>
          <t>Secretary of State, Civil Aviation Authority</t>
        </is>
      </c>
      <c r="B150" t="inlineStr">
        <is>
          <t>United Kingdom</t>
        </is>
      </c>
      <c r="C150" t="inlineStr">
        <is>
          <t>NIS Regulations 2018 (United Kingdom - Row 25)</t>
        </is>
      </c>
    </row>
    <row r="151">
      <c r="A151" t="inlineStr">
        <is>
          <t>Secretary of the Department</t>
        </is>
      </c>
      <c r="B151" t="inlineStr">
        <is>
          <t>Australia</t>
        </is>
      </c>
      <c r="C151" t="inlineStr">
        <is>
          <t>C2026C00209VOL01 (Australia - Row 26)</t>
        </is>
      </c>
    </row>
    <row r="152">
      <c r="A152" t="inlineStr">
        <is>
          <t>Security Authority</t>
        </is>
      </c>
      <c r="B152" t="inlineStr">
        <is>
          <t>Australia</t>
        </is>
      </c>
      <c r="C152" t="inlineStr">
        <is>
          <t>C2026C00209VOL01 (Australia - Row 26)</t>
        </is>
      </c>
    </row>
    <row r="153">
      <c r="A153" t="inlineStr">
        <is>
          <t>Sheriff</t>
        </is>
      </c>
      <c r="B153" t="inlineStr">
        <is>
          <t>United Kingdom</t>
        </is>
      </c>
      <c r="C153" t="inlineStr">
        <is>
          <t>computer misuse act (United Kingdom - Row 2)</t>
        </is>
      </c>
    </row>
    <row r="154">
      <c r="A154" t="inlineStr">
        <is>
          <t>Singapore High Court</t>
        </is>
      </c>
      <c r="B154" t="inlineStr">
        <is>
          <t>Singapore</t>
        </is>
      </c>
      <c r="C154" t="inlineStr">
        <is>
          <t>A Comprehensive Guide to the Law of Confidence and Breach of Confidence in Singapore_ Insights from [2024] SGCA 16 - IRB Law Singapore (Singapore - Row 33)</t>
        </is>
      </c>
    </row>
    <row r="155">
      <c r="A155" t="inlineStr">
        <is>
          <t>South African Department of Police and SAPS</t>
        </is>
      </c>
      <c r="B155" t="inlineStr">
        <is>
          <t>South Africa</t>
        </is>
      </c>
      <c r="C155" t="inlineStr">
        <is>
          <t>South Africa National Cybersecurity Policy Framework (NCPF) 2015</t>
        </is>
      </c>
    </row>
    <row r="156">
      <c r="A156" t="inlineStr">
        <is>
          <t>South African Reserve Bank (SARB)</t>
        </is>
      </c>
      <c r="B156" t="inlineStr">
        <is>
          <t>South Africa</t>
        </is>
      </c>
      <c r="C156" t="inlineStr">
        <is>
          <t>Directive in respect of cybersecurity and cyber-resilisnce within the national payment system</t>
        </is>
      </c>
    </row>
    <row r="157">
      <c r="A157" t="inlineStr">
        <is>
          <t>State Security Agency (SSA)</t>
        </is>
      </c>
      <c r="B157" t="inlineStr">
        <is>
          <t>South Africa</t>
        </is>
      </c>
      <c r="C157" t="inlineStr">
        <is>
          <t>South Africa National Cybersecurity Policy Framework (NCPF) 2015</t>
        </is>
      </c>
    </row>
    <row r="158">
      <c r="A158" t="inlineStr">
        <is>
          <t>Supreme Court</t>
        </is>
      </c>
      <c r="B158" t="inlineStr">
        <is>
          <t>Australia</t>
        </is>
      </c>
      <c r="C158" t="inlineStr">
        <is>
          <t>C2026C00243VOL01 (Australia - Row 14)</t>
        </is>
      </c>
    </row>
    <row r="159">
      <c r="A159" t="inlineStr">
        <is>
          <t>Supreme Court of a State or Territory</t>
        </is>
      </c>
      <c r="B159" t="inlineStr">
        <is>
          <t>Australia</t>
        </is>
      </c>
      <c r="C159" t="inlineStr">
        <is>
          <t>C2026C00243VOL01 (Australia - Row 14)</t>
        </is>
      </c>
    </row>
    <row r="160">
      <c r="A160" t="inlineStr">
        <is>
          <t>Swift</t>
        </is>
      </c>
      <c r="B160" t="inlineStr">
        <is>
          <t>United Kingdom</t>
        </is>
      </c>
      <c r="C160" t="inlineStr">
        <is>
          <t>Customer Security Programme _ Swift (United Kingdom - Row 26) (PROVISIONAL)</t>
        </is>
      </c>
    </row>
    <row r="161">
      <c r="A161" t="inlineStr">
        <is>
          <t>Treasurer</t>
        </is>
      </c>
      <c r="B161" t="inlineStr">
        <is>
          <t>Australia</t>
        </is>
      </c>
      <c r="C161" t="inlineStr">
        <is>
          <t>C2025C00672 (Australia - Row 17)</t>
        </is>
      </c>
    </row>
    <row r="162">
      <c r="A162" t="inlineStr">
        <is>
          <t>UK Regulators (PRA/BoE/FCA)</t>
        </is>
      </c>
      <c r="B162" t="inlineStr">
        <is>
          <t>United Kingdom</t>
        </is>
      </c>
      <c r="C162" t="inlineStr">
        <is>
          <t>cbest-implementation-guide (United Kingdom - Row 30)</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B28"/>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s>
  <sheetData>
    <row r="1">
      <c r="A1" s="10" t="inlineStr">
        <is>
          <t>Topic</t>
        </is>
      </c>
      <c r="B1" s="10" t="inlineStr">
        <is>
          <t>Sections</t>
        </is>
      </c>
    </row>
    <row r="2">
      <c r="A2" t="inlineStr">
        <is>
          <t>Cross-border Transfer</t>
        </is>
      </c>
      <c r="B2" t="n">
        <v>484</v>
      </c>
    </row>
    <row r="3">
      <c r="A3" t="inlineStr">
        <is>
          <t>Security</t>
        </is>
      </c>
      <c r="B3" t="n">
        <v>410</v>
      </c>
    </row>
    <row r="4">
      <c r="A4" t="inlineStr">
        <is>
          <t>Data Storage</t>
        </is>
      </c>
      <c r="B4" t="n">
        <v>396</v>
      </c>
    </row>
    <row r="5">
      <c r="A5" t="inlineStr">
        <is>
          <t>Financial Data</t>
        </is>
      </c>
      <c r="B5" t="n">
        <v>279</v>
      </c>
    </row>
    <row r="6">
      <c r="A6" t="inlineStr">
        <is>
          <t>Data Sharing</t>
        </is>
      </c>
      <c r="B6" t="n">
        <v>273</v>
      </c>
    </row>
    <row r="7">
      <c r="A7" t="inlineStr">
        <is>
          <t>International Processing</t>
        </is>
      </c>
      <c r="B7" t="n">
        <v>233</v>
      </c>
    </row>
    <row r="8">
      <c r="A8" t="inlineStr">
        <is>
          <t>AML</t>
        </is>
      </c>
      <c r="B8" t="n">
        <v>214</v>
      </c>
    </row>
    <row r="9">
      <c r="A9" t="inlineStr">
        <is>
          <t>Governance</t>
        </is>
      </c>
      <c r="B9" t="n">
        <v>202</v>
      </c>
    </row>
    <row r="10">
      <c r="A10" t="inlineStr">
        <is>
          <t>Incident Reporting</t>
        </is>
      </c>
      <c r="B10" t="n">
        <v>200</v>
      </c>
    </row>
    <row r="11">
      <c r="A11" t="inlineStr">
        <is>
          <t>Record Keeping</t>
        </is>
      </c>
      <c r="B11" t="n">
        <v>193</v>
      </c>
    </row>
    <row r="12">
      <c r="A12" t="inlineStr">
        <is>
          <t>Outsourcing</t>
        </is>
      </c>
      <c r="B12" t="n">
        <v>175</v>
      </c>
    </row>
    <row r="13">
      <c r="A13" t="inlineStr">
        <is>
          <t>Breach Notification</t>
        </is>
      </c>
      <c r="B13" t="n">
        <v>173</v>
      </c>
    </row>
    <row r="14">
      <c r="A14" t="inlineStr">
        <is>
          <t>Third Party Processing</t>
        </is>
      </c>
      <c r="B14" t="n">
        <v>172</v>
      </c>
    </row>
    <row r="15">
      <c r="A15" t="inlineStr">
        <is>
          <t>Cloud Services</t>
        </is>
      </c>
      <c r="B15" t="n">
        <v>170</v>
      </c>
    </row>
    <row r="16">
      <c r="A16" t="inlineStr">
        <is>
          <t>KYC</t>
        </is>
      </c>
      <c r="B16" t="n">
        <v>137</v>
      </c>
    </row>
    <row r="17">
      <c r="A17" t="inlineStr">
        <is>
          <t>Customer Information</t>
        </is>
      </c>
      <c r="B17" t="n">
        <v>133</v>
      </c>
    </row>
    <row r="18">
      <c r="A18" t="inlineStr">
        <is>
          <t>Consent</t>
        </is>
      </c>
      <c r="B18" t="n">
        <v>132</v>
      </c>
    </row>
    <row r="19">
      <c r="A19" t="inlineStr">
        <is>
          <t>Access Control</t>
        </is>
      </c>
      <c r="B19" t="n">
        <v>103</v>
      </c>
    </row>
    <row r="20">
      <c r="A20" t="inlineStr">
        <is>
          <t>Processing</t>
        </is>
      </c>
      <c r="B20" t="n">
        <v>93</v>
      </c>
    </row>
    <row r="21">
      <c r="A21" t="inlineStr">
        <is>
          <t>Data Residency</t>
        </is>
      </c>
      <c r="B21" t="n">
        <v>91</v>
      </c>
    </row>
    <row r="22">
      <c r="A22" t="inlineStr">
        <is>
          <t>Retention</t>
        </is>
      </c>
      <c r="B22" t="n">
        <v>87</v>
      </c>
    </row>
    <row r="23">
      <c r="A23" t="inlineStr">
        <is>
          <t>Employee Information</t>
        </is>
      </c>
      <c r="B23" t="n">
        <v>85</v>
      </c>
    </row>
    <row r="24">
      <c r="A24" t="inlineStr">
        <is>
          <t>Special Personal Information</t>
        </is>
      </c>
      <c r="B24" t="n">
        <v>75</v>
      </c>
    </row>
    <row r="25">
      <c r="A25" t="inlineStr">
        <is>
          <t>Children</t>
        </is>
      </c>
      <c r="B25" t="n">
        <v>75</v>
      </c>
    </row>
    <row r="26">
      <c r="A26" t="inlineStr">
        <is>
          <t>Deletion</t>
        </is>
      </c>
      <c r="B26" t="n">
        <v>71</v>
      </c>
    </row>
    <row r="27">
      <c r="A27" t="inlineStr">
        <is>
          <t>Collection</t>
        </is>
      </c>
      <c r="B27" t="n">
        <v>68</v>
      </c>
    </row>
    <row r="28">
      <c r="A28" t="inlineStr">
        <is>
          <t>Encryption</t>
        </is>
      </c>
      <c r="B28" t="n">
        <v>54</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163"/>
  <sheetViews>
    <sheetView workbookViewId="0">
      <selection activeCell="A1" sqref="A1"/>
    </sheetView>
  </sheetViews>
  <sheetFormatPr baseColWidth="8" defaultRowHeight="15"/>
  <sheetData>
    <row r="1">
      <c r="A1" t="inlineStr">
        <is>
          <t>Country</t>
        </is>
      </c>
      <c r="B1" t="inlineStr">
        <is>
          <t>Topic</t>
        </is>
      </c>
      <c r="C1" t="inlineStr">
        <is>
          <t>Data Type</t>
        </is>
      </c>
      <c r="D1" t="inlineStr">
        <is>
          <t>Financial Relevance</t>
        </is>
      </c>
      <c r="E1" t="inlineStr">
        <is>
          <t>Authority</t>
        </is>
      </c>
    </row>
    <row r="2">
      <c r="A2" t="inlineStr">
        <is>
          <t>All</t>
        </is>
      </c>
      <c r="B2" t="inlineStr">
        <is>
          <t>All</t>
        </is>
      </c>
      <c r="C2" t="inlineStr">
        <is>
          <t>All</t>
        </is>
      </c>
      <c r="D2" t="inlineStr">
        <is>
          <t>All</t>
        </is>
      </c>
      <c r="E2" t="inlineStr">
        <is>
          <t>All</t>
        </is>
      </c>
    </row>
    <row r="3">
      <c r="A3" t="inlineStr">
        <is>
          <t>Australia</t>
        </is>
      </c>
      <c r="B3" t="inlineStr">
        <is>
          <t>AML</t>
        </is>
      </c>
      <c r="C3" t="inlineStr">
        <is>
          <t>Biometric Data</t>
        </is>
      </c>
      <c r="D3" t="inlineStr">
        <is>
          <t>High</t>
        </is>
      </c>
      <c r="E3" t="inlineStr">
        <is>
          <t>ACCC</t>
        </is>
      </c>
    </row>
    <row r="4">
      <c r="A4" t="inlineStr">
        <is>
          <t>GDPR</t>
        </is>
      </c>
      <c r="B4" t="inlineStr">
        <is>
          <t>Access Control</t>
        </is>
      </c>
      <c r="C4" t="inlineStr">
        <is>
          <t>Children's Data</t>
        </is>
      </c>
      <c r="D4" t="inlineStr">
        <is>
          <t>Medium</t>
        </is>
      </c>
      <c r="E4" t="inlineStr">
        <is>
          <t>ACMA</t>
        </is>
      </c>
    </row>
    <row r="5">
      <c r="A5" t="inlineStr">
        <is>
          <t>India</t>
        </is>
      </c>
      <c r="B5" t="inlineStr">
        <is>
          <t>Breach Notification</t>
        </is>
      </c>
      <c r="C5" t="inlineStr">
        <is>
          <t>Customer Data</t>
        </is>
      </c>
      <c r="D5" t="inlineStr">
        <is>
          <t>Low</t>
        </is>
      </c>
      <c r="E5" t="inlineStr">
        <is>
          <t>ADCO</t>
        </is>
      </c>
    </row>
    <row r="6">
      <c r="A6" t="inlineStr">
        <is>
          <t>Mauritius</t>
        </is>
      </c>
      <c r="B6" t="inlineStr">
        <is>
          <t>Children</t>
        </is>
      </c>
      <c r="C6" t="inlineStr">
        <is>
          <t>Employee Data</t>
        </is>
      </c>
      <c r="D6" t="inlineStr">
        <is>
          <t>None</t>
        </is>
      </c>
      <c r="E6" t="inlineStr">
        <is>
          <t>AI Office</t>
        </is>
      </c>
    </row>
    <row r="7">
      <c r="A7" t="inlineStr">
        <is>
          <t>Singapore</t>
        </is>
      </c>
      <c r="B7" t="inlineStr">
        <is>
          <t>Cloud Services</t>
        </is>
      </c>
      <c r="C7" t="inlineStr">
        <is>
          <t>Financial Data</t>
        </is>
      </c>
      <c r="E7" t="inlineStr">
        <is>
          <t>AML/CTF Rules</t>
        </is>
      </c>
    </row>
    <row r="8">
      <c r="A8" t="inlineStr">
        <is>
          <t>South Africa</t>
        </is>
      </c>
      <c r="B8" t="inlineStr">
        <is>
          <t>Collection</t>
        </is>
      </c>
      <c r="C8" t="inlineStr">
        <is>
          <t>Health Data</t>
        </is>
      </c>
      <c r="E8" t="inlineStr">
        <is>
          <t>APRA</t>
        </is>
      </c>
    </row>
    <row r="9">
      <c r="A9" t="inlineStr">
        <is>
          <t>United Kingdom</t>
        </is>
      </c>
      <c r="B9" t="inlineStr">
        <is>
          <t>Consent</t>
        </is>
      </c>
      <c r="C9" t="inlineStr">
        <is>
          <t>Personal Information</t>
        </is>
      </c>
      <c r="E9" t="inlineStr">
        <is>
          <t>ASD</t>
        </is>
      </c>
    </row>
    <row r="10">
      <c r="B10" t="inlineStr">
        <is>
          <t>Cross-border Transfer</t>
        </is>
      </c>
      <c r="C10" t="inlineStr">
        <is>
          <t>Special Personal Information</t>
        </is>
      </c>
      <c r="E10" t="inlineStr">
        <is>
          <t>ASIC</t>
        </is>
      </c>
    </row>
    <row r="11">
      <c r="B11" t="inlineStr">
        <is>
          <t>Customer Information</t>
        </is>
      </c>
      <c r="E11" t="inlineStr">
        <is>
          <t>ASIO</t>
        </is>
      </c>
    </row>
    <row r="12">
      <c r="B12" t="inlineStr">
        <is>
          <t>Data Residency</t>
        </is>
      </c>
      <c r="E12" t="inlineStr">
        <is>
          <t>AUSTRAC</t>
        </is>
      </c>
    </row>
    <row r="13">
      <c r="B13" t="inlineStr">
        <is>
          <t>Data Sharing</t>
        </is>
      </c>
      <c r="E13" t="inlineStr">
        <is>
          <t>AUSTRAC CEO</t>
        </is>
      </c>
    </row>
    <row r="14">
      <c r="B14" t="inlineStr">
        <is>
          <t>Data Storage</t>
        </is>
      </c>
      <c r="E14" t="inlineStr">
        <is>
          <t>AUSTRAC CEO, authorised officers, Australian Federal Police, Australian Crime Commission</t>
        </is>
      </c>
    </row>
    <row r="15">
      <c r="B15" t="inlineStr">
        <is>
          <t>Deletion</t>
        </is>
      </c>
      <c r="E15" t="inlineStr">
        <is>
          <t>Arts Minister</t>
        </is>
      </c>
    </row>
    <row r="16">
      <c r="B16" t="inlineStr">
        <is>
          <t>Employee Information</t>
        </is>
      </c>
      <c r="E16" t="inlineStr">
        <is>
          <t>Attorney-General</t>
        </is>
      </c>
    </row>
    <row r="17">
      <c r="B17" t="inlineStr">
        <is>
          <t>Encryption</t>
        </is>
      </c>
      <c r="E17" t="inlineStr">
        <is>
          <t>Australian Competition and Consumer Commission</t>
        </is>
      </c>
    </row>
    <row r="18">
      <c r="B18" t="inlineStr">
        <is>
          <t>Financial Data</t>
        </is>
      </c>
      <c r="E18" t="inlineStr">
        <is>
          <t>Australian Crime Commission</t>
        </is>
      </c>
    </row>
    <row r="19">
      <c r="B19" t="inlineStr">
        <is>
          <t>Governance</t>
        </is>
      </c>
      <c r="E19" t="inlineStr">
        <is>
          <t>Australian Crime Commission Act 2002</t>
        </is>
      </c>
    </row>
    <row r="20">
      <c r="B20" t="inlineStr">
        <is>
          <t>Incident Reporting</t>
        </is>
      </c>
      <c r="E20" t="inlineStr">
        <is>
          <t>Australian Criminal Code</t>
        </is>
      </c>
    </row>
    <row r="21">
      <c r="B21" t="inlineStr">
        <is>
          <t>International Processing</t>
        </is>
      </c>
      <c r="E21" t="inlineStr">
        <is>
          <t>Australian Federal Police</t>
        </is>
      </c>
    </row>
    <row r="22">
      <c r="B22" t="inlineStr">
        <is>
          <t>KYC</t>
        </is>
      </c>
      <c r="E22" t="inlineStr">
        <is>
          <t>Australian Federal Police (AFP)</t>
        </is>
      </c>
    </row>
    <row r="23">
      <c r="B23" t="inlineStr">
        <is>
          <t>Outsourcing</t>
        </is>
      </c>
      <c r="E23" t="inlineStr">
        <is>
          <t>Australian Federal Police (AFP) Minister</t>
        </is>
      </c>
    </row>
    <row r="24">
      <c r="B24" t="inlineStr">
        <is>
          <t>Processing</t>
        </is>
      </c>
      <c r="E24" t="inlineStr">
        <is>
          <t>Australian Federal Police, State Police</t>
        </is>
      </c>
    </row>
    <row r="25">
      <c r="B25" t="inlineStr">
        <is>
          <t>Record Keeping</t>
        </is>
      </c>
      <c r="E25" t="inlineStr">
        <is>
          <t>Australian Financial Regulations</t>
        </is>
      </c>
    </row>
    <row r="26">
      <c r="B26" t="inlineStr">
        <is>
          <t>Retention</t>
        </is>
      </c>
      <c r="E26" t="inlineStr">
        <is>
          <t>Australian Financial Services Authority (AFS)</t>
        </is>
      </c>
    </row>
    <row r="27">
      <c r="B27" t="inlineStr">
        <is>
          <t>Security</t>
        </is>
      </c>
      <c r="E27" t="inlineStr">
        <is>
          <t>Australian Financial Services Regulatory Authority</t>
        </is>
      </c>
    </row>
    <row r="28">
      <c r="B28" t="inlineStr">
        <is>
          <t>Special Personal Information</t>
        </is>
      </c>
      <c r="E28" t="inlineStr">
        <is>
          <t>Australian Government</t>
        </is>
      </c>
    </row>
    <row r="29">
      <c r="B29" t="inlineStr">
        <is>
          <t>Third Party Processing</t>
        </is>
      </c>
      <c r="E29" t="inlineStr">
        <is>
          <t>Australian Information Commissioner</t>
        </is>
      </c>
    </row>
    <row r="30">
      <c r="E30" t="inlineStr">
        <is>
          <t>Australian Police</t>
        </is>
      </c>
    </row>
    <row r="31">
      <c r="E31" t="inlineStr">
        <is>
          <t>Australian Privacy Principle 6</t>
        </is>
      </c>
    </row>
    <row r="32">
      <c r="E32" t="inlineStr">
        <is>
          <t>Australian Privacy Principles (APP)</t>
        </is>
      </c>
    </row>
    <row r="33">
      <c r="E33" t="inlineStr">
        <is>
          <t>Australian Prudential Regulation Authority</t>
        </is>
      </c>
    </row>
    <row r="34">
      <c r="E34" t="inlineStr">
        <is>
          <t>Australian Regulatory Authority</t>
        </is>
      </c>
    </row>
    <row r="35">
      <c r="E35" t="inlineStr">
        <is>
          <t>Australian Securities and Investments Commission</t>
        </is>
      </c>
    </row>
    <row r="36">
      <c r="E36" t="inlineStr">
        <is>
          <t>Australian Security Intelligence Organisation Act 1979</t>
        </is>
      </c>
    </row>
    <row r="37">
      <c r="E37" t="inlineStr">
        <is>
          <t>Australian Signals Directorate (ASD)</t>
        </is>
      </c>
    </row>
    <row r="38">
      <c r="E38" t="inlineStr">
        <is>
          <t>Australian Transaction Reports and Analysis Centre (AUSTRAC)</t>
        </is>
      </c>
    </row>
    <row r="39">
      <c r="E39" t="inlineStr">
        <is>
          <t>Australian Transaction Reports and Records (ATR) Regulator</t>
        </is>
      </c>
    </row>
    <row r="40">
      <c r="E40" t="inlineStr">
        <is>
          <t>Australian Transaction Reports and Security (ATRS) Act</t>
        </is>
      </c>
    </row>
    <row r="41">
      <c r="E41" t="inlineStr">
        <is>
          <t>Authorised agency</t>
        </is>
      </c>
    </row>
    <row r="42">
      <c r="E42" t="inlineStr">
        <is>
          <t>Authorities</t>
        </is>
      </c>
    </row>
    <row r="43">
      <c r="E43" t="inlineStr">
        <is>
          <t>Bank</t>
        </is>
      </c>
    </row>
    <row r="44">
      <c r="E44" t="inlineStr">
        <is>
          <t>Bank of England (Bank) and Prudential Regulation Authority (PRA)</t>
        </is>
      </c>
    </row>
    <row r="45">
      <c r="E45" t="inlineStr">
        <is>
          <t>Bank of England, Prudential Regulation Authority (PRA), Financial Conduct Authority (FCA)</t>
        </is>
      </c>
    </row>
    <row r="46">
      <c r="E46" t="inlineStr">
        <is>
          <t>Bank of Mauritius</t>
        </is>
      </c>
    </row>
    <row r="47">
      <c r="E47" t="inlineStr">
        <is>
          <t>CBEST (2024g)</t>
        </is>
      </c>
    </row>
    <row r="48">
      <c r="E48" t="inlineStr">
        <is>
          <t>CBEST (2024i)</t>
        </is>
      </c>
    </row>
    <row r="49">
      <c r="E49" t="inlineStr">
        <is>
          <t>CBEST (UK)</t>
        </is>
      </c>
    </row>
    <row r="50">
      <c r="E50" t="inlineStr">
        <is>
          <t>CREST</t>
        </is>
      </c>
    </row>
    <row r="51">
      <c r="E51" t="inlineStr">
        <is>
          <t>Cabinet member responsible for communications</t>
        </is>
      </c>
    </row>
    <row r="52">
      <c r="E52" t="inlineStr">
        <is>
          <t>Carrier employees</t>
        </is>
      </c>
    </row>
    <row r="53">
      <c r="E53" t="inlineStr">
        <is>
          <t>Central Government</t>
        </is>
      </c>
    </row>
    <row r="54">
      <c r="E54" t="inlineStr">
        <is>
          <t>Chief Officer</t>
        </is>
      </c>
    </row>
    <row r="55">
      <c r="E55" t="inlineStr">
        <is>
          <t>Chief officer of agency</t>
        </is>
      </c>
    </row>
    <row r="56">
      <c r="E56" t="inlineStr">
        <is>
          <t>Commission</t>
        </is>
      </c>
    </row>
    <row r="57">
      <c r="E57" t="inlineStr">
        <is>
          <t>Commissioner of Taxation</t>
        </is>
      </c>
    </row>
    <row r="58">
      <c r="E58" t="inlineStr">
        <is>
          <t>Committee of European Banking Supervisors (CEBS)</t>
        </is>
      </c>
    </row>
    <row r="59">
      <c r="E59" t="inlineStr">
        <is>
          <t>Commonwealth</t>
        </is>
      </c>
    </row>
    <row r="60">
      <c r="E60" t="inlineStr">
        <is>
          <t>Competent Authority</t>
        </is>
      </c>
    </row>
    <row r="61">
      <c r="E61" t="inlineStr">
        <is>
          <t>Competent authorities</t>
        </is>
      </c>
    </row>
    <row r="62">
      <c r="E62" t="inlineStr">
        <is>
          <t>Competent authorities for data intermediation services</t>
        </is>
      </c>
    </row>
    <row r="63">
      <c r="E63" t="inlineStr">
        <is>
          <t>Competent authorities for registration of data altruism organizations</t>
        </is>
      </c>
    </row>
    <row r="64">
      <c r="E64" t="inlineStr">
        <is>
          <t>Competent authority</t>
        </is>
      </c>
    </row>
    <row r="65">
      <c r="E65" t="inlineStr">
        <is>
          <t>Constable</t>
        </is>
      </c>
    </row>
    <row r="66">
      <c r="E66" t="inlineStr">
        <is>
          <t>Corporations Act 2001</t>
        </is>
      </c>
    </row>
    <row r="67">
      <c r="E67" t="inlineStr">
        <is>
          <t>Court</t>
        </is>
      </c>
    </row>
    <row r="68">
      <c r="E68" t="inlineStr">
        <is>
          <t>Courts</t>
        </is>
      </c>
    </row>
    <row r="69">
      <c r="E69" t="inlineStr">
        <is>
          <t>Cybersecurity (Provider-Owned Critical Information) Regulations</t>
        </is>
      </c>
    </row>
    <row r="70">
      <c r="E70" t="inlineStr">
        <is>
          <t>Defence Minister</t>
        </is>
      </c>
    </row>
    <row r="71">
      <c r="E71" t="inlineStr">
        <is>
          <t>Department of Telecommunications and Postal Services</t>
        </is>
      </c>
    </row>
    <row r="72">
      <c r="E72" t="inlineStr">
        <is>
          <t>Designated Judge</t>
        </is>
      </c>
    </row>
    <row r="73">
      <c r="E73" t="inlineStr">
        <is>
          <t>Designated judge</t>
        </is>
      </c>
    </row>
    <row r="74">
      <c r="E74" t="inlineStr">
        <is>
          <t>Director</t>
        </is>
      </c>
    </row>
    <row r="75">
      <c r="E75" t="inlineStr">
        <is>
          <t>Director of Public Prosecutions</t>
        </is>
      </c>
    </row>
    <row r="76">
      <c r="E76" t="inlineStr">
        <is>
          <t>Director-General of Security</t>
        </is>
      </c>
    </row>
    <row r="77">
      <c r="E77" t="inlineStr">
        <is>
          <t>EBA</t>
        </is>
      </c>
    </row>
    <row r="78">
      <c r="E78" t="inlineStr">
        <is>
          <t>ESAs</t>
        </is>
      </c>
    </row>
    <row r="79">
      <c r="E79" t="inlineStr">
        <is>
          <t>ESMA</t>
        </is>
      </c>
    </row>
    <row r="80">
      <c r="E80" t="inlineStr">
        <is>
          <t>Enforcement agencies</t>
        </is>
      </c>
    </row>
    <row r="81">
      <c r="E81" t="inlineStr">
        <is>
          <t>European Banking Authority</t>
        </is>
      </c>
    </row>
    <row r="82">
      <c r="E82" t="inlineStr">
        <is>
          <t>European Banking Authority (EBA)</t>
        </is>
      </c>
    </row>
    <row r="83">
      <c r="E83" t="inlineStr">
        <is>
          <t>European Commission</t>
        </is>
      </c>
    </row>
    <row r="84">
      <c r="E84" t="inlineStr">
        <is>
          <t>European Data Protection Supervisor</t>
        </is>
      </c>
    </row>
    <row r="85">
      <c r="E85" t="inlineStr">
        <is>
          <t>European Financial Authority</t>
        </is>
      </c>
    </row>
    <row r="86">
      <c r="E86" t="inlineStr">
        <is>
          <t>European Parliament and Council</t>
        </is>
      </c>
    </row>
    <row r="87">
      <c r="E87" t="inlineStr">
        <is>
          <t>European Parliament or Council</t>
        </is>
      </c>
    </row>
    <row r="88">
      <c r="E88" t="inlineStr">
        <is>
          <t>European Securities and Markets Authority (ESMA)</t>
        </is>
      </c>
    </row>
    <row r="89">
      <c r="E89" t="inlineStr">
        <is>
          <t>European Supervisory Authorities</t>
        </is>
      </c>
    </row>
    <row r="90">
      <c r="E90" t="inlineStr">
        <is>
          <t>European Union</t>
        </is>
      </c>
    </row>
    <row r="91">
      <c r="E91" t="inlineStr">
        <is>
          <t>FCA</t>
        </is>
      </c>
    </row>
    <row r="92">
      <c r="E92" t="inlineStr">
        <is>
          <t>FSC</t>
        </is>
      </c>
    </row>
    <row r="93">
      <c r="E93" t="inlineStr">
        <is>
          <t>FSC Mauritius</t>
        </is>
      </c>
    </row>
    <row r="94">
      <c r="E94" t="inlineStr">
        <is>
          <t>FSCA</t>
        </is>
      </c>
    </row>
    <row r="95">
      <c r="E95" t="inlineStr">
        <is>
          <t>Federal Court</t>
        </is>
      </c>
    </row>
    <row r="96">
      <c r="E96" t="inlineStr">
        <is>
          <t>Federal Court of Australia</t>
        </is>
      </c>
    </row>
    <row r="97">
      <c r="E97" t="inlineStr">
        <is>
          <t>Financial Sector Conduct Authority</t>
        </is>
      </c>
    </row>
    <row r="98">
      <c r="E98" t="inlineStr">
        <is>
          <t>Financial Services Commission (FSC)</t>
        </is>
      </c>
    </row>
    <row r="99">
      <c r="E99" t="inlineStr">
        <is>
          <t>Financial Services Commission, Mauritius</t>
        </is>
      </c>
    </row>
    <row r="100">
      <c r="E100" t="inlineStr">
        <is>
          <t>Financial Services Commission, Mauritius (FSC)</t>
        </is>
      </c>
    </row>
    <row r="101">
      <c r="E101" t="inlineStr">
        <is>
          <t>Governor-General</t>
        </is>
      </c>
    </row>
    <row r="102">
      <c r="E102" t="inlineStr">
        <is>
          <t>IFSCA</t>
        </is>
      </c>
    </row>
    <row r="103">
      <c r="E103" t="inlineStr">
        <is>
          <t>IRDAI</t>
        </is>
      </c>
    </row>
    <row r="104">
      <c r="E104" t="inlineStr">
        <is>
          <t>Information Commissioner</t>
        </is>
      </c>
    </row>
    <row r="105">
      <c r="E105" t="inlineStr">
        <is>
          <t>Issuing authority</t>
        </is>
      </c>
    </row>
    <row r="106">
      <c r="E106" t="inlineStr">
        <is>
          <t>Judge or nominated ART member</t>
        </is>
      </c>
    </row>
    <row r="107">
      <c r="E107" t="inlineStr">
        <is>
          <t>Law Enforcement Conduct Commission (NSW), IBAC (Vic.), Corruption and Crime Commission (WA), etc.</t>
        </is>
      </c>
    </row>
    <row r="108">
      <c r="E108" t="inlineStr">
        <is>
          <t>Lead Overseer</t>
        </is>
      </c>
    </row>
    <row r="109">
      <c r="E109" t="inlineStr">
        <is>
          <t>MAS</t>
        </is>
      </c>
    </row>
    <row r="110">
      <c r="E110" t="inlineStr">
        <is>
          <t>Magistrate</t>
        </is>
      </c>
    </row>
    <row r="111">
      <c r="E111" t="inlineStr">
        <is>
          <t>Manufacturer's authorised representative</t>
        </is>
      </c>
    </row>
    <row r="112">
      <c r="E112" t="inlineStr">
        <is>
          <t>Manufacturers</t>
        </is>
      </c>
    </row>
    <row r="113">
      <c r="E113" t="inlineStr">
        <is>
          <t>Market surveillance authorities</t>
        </is>
      </c>
    </row>
    <row r="114">
      <c r="E114" t="inlineStr">
        <is>
          <t>Mauritius Data Protection Authority</t>
        </is>
      </c>
    </row>
    <row r="115">
      <c r="E115" t="inlineStr">
        <is>
          <t>Member States</t>
        </is>
      </c>
    </row>
    <row r="116">
      <c r="E116" t="inlineStr">
        <is>
          <t>Minister</t>
        </is>
      </c>
    </row>
    <row r="117">
      <c r="E117" t="inlineStr">
        <is>
          <t>Monetary Authority of Singapore (MAS)</t>
        </is>
      </c>
    </row>
    <row r="118">
      <c r="E118" t="inlineStr">
        <is>
          <t>National Anti-Corruption Commission</t>
        </is>
      </c>
    </row>
    <row r="119">
      <c r="E119" t="inlineStr">
        <is>
          <t>National competent authorities</t>
        </is>
      </c>
    </row>
    <row r="120">
      <c r="E120" t="inlineStr">
        <is>
          <t>Network protection personnel</t>
        </is>
      </c>
    </row>
    <row r="121">
      <c r="E121" t="inlineStr">
        <is>
          <t>Notified bodies</t>
        </is>
      </c>
    </row>
    <row r="122">
      <c r="E122" t="inlineStr">
        <is>
          <t>Notified body</t>
        </is>
      </c>
    </row>
    <row r="123">
      <c r="E123" t="inlineStr">
        <is>
          <t>Ombudsman</t>
        </is>
      </c>
    </row>
    <row r="124">
      <c r="E124" t="inlineStr">
        <is>
          <t>Ombudsman, National Anti-Corruption Commission (NACC)</t>
        </is>
      </c>
    </row>
    <row r="125">
      <c r="E125" t="inlineStr">
        <is>
          <t>PRA</t>
        </is>
      </c>
    </row>
    <row r="126">
      <c r="E126" t="inlineStr">
        <is>
          <t>PRA, Bank of England</t>
        </is>
      </c>
    </row>
    <row r="127">
      <c r="E127" t="inlineStr">
        <is>
          <t>Parliament of the Republic of South Africa</t>
        </is>
      </c>
    </row>
    <row r="128">
      <c r="E128" t="inlineStr">
        <is>
          <t>Parliamentary Joint Committee on Intelligence and Security</t>
        </is>
      </c>
    </row>
    <row r="129">
      <c r="E129" t="inlineStr">
        <is>
          <t>Part 4-1 issuing authority</t>
        </is>
      </c>
    </row>
    <row r="130">
      <c r="E130" t="inlineStr">
        <is>
          <t>Payment Act, Section 16</t>
        </is>
      </c>
    </row>
    <row r="131">
      <c r="E131" t="inlineStr">
        <is>
          <t>Personal Property Securities Act 2009</t>
        </is>
      </c>
    </row>
    <row r="132">
      <c r="E132" t="inlineStr">
        <is>
          <t>Police</t>
        </is>
      </c>
    </row>
    <row r="133">
      <c r="E133" t="inlineStr">
        <is>
          <t>Police Officer or Customs Officer</t>
        </is>
      </c>
    </row>
    <row r="134">
      <c r="E134" t="inlineStr">
        <is>
          <t>Police officer or customs officer</t>
        </is>
      </c>
    </row>
    <row r="135">
      <c r="E135" t="inlineStr">
        <is>
          <t>Privacy Act 1988</t>
        </is>
      </c>
    </row>
    <row r="136">
      <c r="E136" t="inlineStr">
        <is>
          <t>Privacy Act 1988 (Cth)</t>
        </is>
      </c>
    </row>
    <row r="137">
      <c r="E137" t="inlineStr">
        <is>
          <t>Privacy Commissioner</t>
        </is>
      </c>
    </row>
    <row r="138">
      <c r="E138" t="inlineStr">
        <is>
          <t>Prudential Authority (PA)</t>
        </is>
      </c>
    </row>
    <row r="139">
      <c r="E139" t="inlineStr">
        <is>
          <t>Prudential Regulation Authority (PRA)</t>
        </is>
      </c>
    </row>
    <row r="140">
      <c r="E140" t="inlineStr">
        <is>
          <t>RBI</t>
        </is>
      </c>
    </row>
    <row r="141">
      <c r="E141" t="inlineStr">
        <is>
          <t>Registrar</t>
        </is>
      </c>
    </row>
    <row r="142">
      <c r="E142" t="inlineStr">
        <is>
          <t>Relevant chief executive</t>
        </is>
      </c>
    </row>
    <row r="143">
      <c r="E143" t="inlineStr">
        <is>
          <t>Relevant official</t>
        </is>
      </c>
    </row>
    <row r="144">
      <c r="E144" t="inlineStr">
        <is>
          <t>Reserve Bank</t>
        </is>
      </c>
    </row>
    <row r="145">
      <c r="E145" t="inlineStr">
        <is>
          <t>Reserve Bank of India</t>
        </is>
      </c>
    </row>
    <row r="146">
      <c r="E146" t="inlineStr">
        <is>
          <t>Reserve Bank of India (RBI)</t>
        </is>
      </c>
    </row>
    <row r="147">
      <c r="E147" t="inlineStr">
        <is>
          <t>Responsible Authority</t>
        </is>
      </c>
    </row>
    <row r="148">
      <c r="E148" t="inlineStr">
        <is>
          <t>SARB</t>
        </is>
      </c>
    </row>
    <row r="149">
      <c r="E149" t="inlineStr">
        <is>
          <t>SEBI</t>
        </is>
      </c>
    </row>
    <row r="150">
      <c r="E150" t="inlineStr">
        <is>
          <t>Secretary</t>
        </is>
      </c>
    </row>
    <row r="151">
      <c r="E151" t="inlineStr">
        <is>
          <t>Secretary of State, Civil Aviation Authority</t>
        </is>
      </c>
    </row>
    <row r="152">
      <c r="E152" t="inlineStr">
        <is>
          <t>Secretary of the Department</t>
        </is>
      </c>
    </row>
    <row r="153">
      <c r="E153" t="inlineStr">
        <is>
          <t>Security Authority</t>
        </is>
      </c>
    </row>
    <row r="154">
      <c r="E154" t="inlineStr">
        <is>
          <t>Sheriff</t>
        </is>
      </c>
    </row>
    <row r="155">
      <c r="E155" t="inlineStr">
        <is>
          <t>Singapore High Court</t>
        </is>
      </c>
    </row>
    <row r="156">
      <c r="E156" t="inlineStr">
        <is>
          <t>South African Department of Police and SAPS</t>
        </is>
      </c>
    </row>
    <row r="157">
      <c r="E157" t="inlineStr">
        <is>
          <t>South African Reserve Bank (SARB)</t>
        </is>
      </c>
    </row>
    <row r="158">
      <c r="E158" t="inlineStr">
        <is>
          <t>State Security Agency (SSA)</t>
        </is>
      </c>
    </row>
    <row r="159">
      <c r="E159" t="inlineStr">
        <is>
          <t>Supreme Court</t>
        </is>
      </c>
    </row>
    <row r="160">
      <c r="E160" t="inlineStr">
        <is>
          <t>Supreme Court of a State or Territory</t>
        </is>
      </c>
    </row>
    <row r="161">
      <c r="E161" t="inlineStr">
        <is>
          <t>Swift</t>
        </is>
      </c>
    </row>
    <row r="162">
      <c r="E162" t="inlineStr">
        <is>
          <t>Treasurer</t>
        </is>
      </c>
    </row>
    <row r="163">
      <c r="E163" t="inlineStr">
        <is>
          <t>UK Regulators (PRA/BoE/FCA)</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960"/>
  <sheetViews>
    <sheetView workbookViewId="0">
      <selection activeCell="A1" sqref="A1"/>
    </sheetView>
  </sheetViews>
  <sheetFormatPr baseColWidth="8" defaultRowHeight="15"/>
  <sheetData>
    <row r="1">
      <c r="A1" t="inlineStr">
        <is>
          <t>match</t>
        </is>
      </c>
      <c r="B1" t="inlineStr">
        <is>
          <t>rank</t>
        </is>
      </c>
      <c r="C1" t="inlineStr">
        <is>
          <t>rankval</t>
        </is>
      </c>
      <c r="D1">
        <f>SUM($A$2:$A$1960)</f>
        <v/>
      </c>
    </row>
    <row r="2">
      <c r="A2">
        <f>IF(AND(OR(Query!$B$4="All",'Compliance Database'!$A2=Query!$B$4),OR(Query!$B$5="All",ISNUMBER(SEARCH(Query!$B$5,'Compliance Database'!$H2))),OR(Query!$B$6="All",ISNUMBER(SEARCH(Query!$B$6,'Compliance Database'!$I2))),OR(Query!$B$7="All",'Compliance Database'!$F2=Query!$B$7),OR(Query!$B$8="All",'Compliance Database'!$J2=Query!$B$8),OR(Query!$B$9="",ISNUMBER(SEARCH(Query!$B$9,'Compliance Database'!$D2&amp;" "&amp;'Compliance Database'!$K2&amp;" "&amp;'Compliance Database'!$L2&amp;" "&amp;'Compliance Database'!$M2&amp;" "&amp;'Compliance Database'!$N2&amp;" "&amp;'Compliance Database'!$O2))),OR(Query!$B$10&lt;&gt;"Yes",'Compliance Database'!$F2&lt;&gt;"None")),1,0)</f>
        <v/>
      </c>
      <c r="B2">
        <f>IF($A2=1,SUM($A$2:$A2),"")</f>
        <v/>
      </c>
      <c r="C2">
        <f>IF($A2=1,SUM($A$2:$A2),0)</f>
        <v/>
      </c>
    </row>
    <row r="3">
      <c r="A3">
        <f>IF(AND(OR(Query!$B$4="All",'Compliance Database'!$A3=Query!$B$4),OR(Query!$B$5="All",ISNUMBER(SEARCH(Query!$B$5,'Compliance Database'!$H3))),OR(Query!$B$6="All",ISNUMBER(SEARCH(Query!$B$6,'Compliance Database'!$I3))),OR(Query!$B$7="All",'Compliance Database'!$F3=Query!$B$7),OR(Query!$B$8="All",'Compliance Database'!$J3=Query!$B$8),OR(Query!$B$9="",ISNUMBER(SEARCH(Query!$B$9,'Compliance Database'!$D3&amp;" "&amp;'Compliance Database'!$K3&amp;" "&amp;'Compliance Database'!$L3&amp;" "&amp;'Compliance Database'!$M3&amp;" "&amp;'Compliance Database'!$N3&amp;" "&amp;'Compliance Database'!$O3))),OR(Query!$B$10&lt;&gt;"Yes",'Compliance Database'!$F3&lt;&gt;"None")),1,0)</f>
        <v/>
      </c>
      <c r="B3">
        <f>IF($A3=1,SUM($A$2:$A3),"")</f>
        <v/>
      </c>
      <c r="C3">
        <f>IF($A3=1,SUM($A$2:$A3),0)</f>
        <v/>
      </c>
    </row>
    <row r="4">
      <c r="A4">
        <f>IF(AND(OR(Query!$B$4="All",'Compliance Database'!$A4=Query!$B$4),OR(Query!$B$5="All",ISNUMBER(SEARCH(Query!$B$5,'Compliance Database'!$H4))),OR(Query!$B$6="All",ISNUMBER(SEARCH(Query!$B$6,'Compliance Database'!$I4))),OR(Query!$B$7="All",'Compliance Database'!$F4=Query!$B$7),OR(Query!$B$8="All",'Compliance Database'!$J4=Query!$B$8),OR(Query!$B$9="",ISNUMBER(SEARCH(Query!$B$9,'Compliance Database'!$D4&amp;" "&amp;'Compliance Database'!$K4&amp;" "&amp;'Compliance Database'!$L4&amp;" "&amp;'Compliance Database'!$M4&amp;" "&amp;'Compliance Database'!$N4&amp;" "&amp;'Compliance Database'!$O4))),OR(Query!$B$10&lt;&gt;"Yes",'Compliance Database'!$F4&lt;&gt;"None")),1,0)</f>
        <v/>
      </c>
      <c r="B4">
        <f>IF($A4=1,SUM($A$2:$A4),"")</f>
        <v/>
      </c>
      <c r="C4">
        <f>IF($A4=1,SUM($A$2:$A4),0)</f>
        <v/>
      </c>
    </row>
    <row r="5">
      <c r="A5">
        <f>IF(AND(OR(Query!$B$4="All",'Compliance Database'!$A5=Query!$B$4),OR(Query!$B$5="All",ISNUMBER(SEARCH(Query!$B$5,'Compliance Database'!$H5))),OR(Query!$B$6="All",ISNUMBER(SEARCH(Query!$B$6,'Compliance Database'!$I5))),OR(Query!$B$7="All",'Compliance Database'!$F5=Query!$B$7),OR(Query!$B$8="All",'Compliance Database'!$J5=Query!$B$8),OR(Query!$B$9="",ISNUMBER(SEARCH(Query!$B$9,'Compliance Database'!$D5&amp;" "&amp;'Compliance Database'!$K5&amp;" "&amp;'Compliance Database'!$L5&amp;" "&amp;'Compliance Database'!$M5&amp;" "&amp;'Compliance Database'!$N5&amp;" "&amp;'Compliance Database'!$O5))),OR(Query!$B$10&lt;&gt;"Yes",'Compliance Database'!$F5&lt;&gt;"None")),1,0)</f>
        <v/>
      </c>
      <c r="B5">
        <f>IF($A5=1,SUM($A$2:$A5),"")</f>
        <v/>
      </c>
      <c r="C5">
        <f>IF($A5=1,SUM($A$2:$A5),0)</f>
        <v/>
      </c>
    </row>
    <row r="6">
      <c r="A6">
        <f>IF(AND(OR(Query!$B$4="All",'Compliance Database'!$A6=Query!$B$4),OR(Query!$B$5="All",ISNUMBER(SEARCH(Query!$B$5,'Compliance Database'!$H6))),OR(Query!$B$6="All",ISNUMBER(SEARCH(Query!$B$6,'Compliance Database'!$I6))),OR(Query!$B$7="All",'Compliance Database'!$F6=Query!$B$7),OR(Query!$B$8="All",'Compliance Database'!$J6=Query!$B$8),OR(Query!$B$9="",ISNUMBER(SEARCH(Query!$B$9,'Compliance Database'!$D6&amp;" "&amp;'Compliance Database'!$K6&amp;" "&amp;'Compliance Database'!$L6&amp;" "&amp;'Compliance Database'!$M6&amp;" "&amp;'Compliance Database'!$N6&amp;" "&amp;'Compliance Database'!$O6))),OR(Query!$B$10&lt;&gt;"Yes",'Compliance Database'!$F6&lt;&gt;"None")),1,0)</f>
        <v/>
      </c>
      <c r="B6">
        <f>IF($A6=1,SUM($A$2:$A6),"")</f>
        <v/>
      </c>
      <c r="C6">
        <f>IF($A6=1,SUM($A$2:$A6),0)</f>
        <v/>
      </c>
    </row>
    <row r="7">
      <c r="A7">
        <f>IF(AND(OR(Query!$B$4="All",'Compliance Database'!$A7=Query!$B$4),OR(Query!$B$5="All",ISNUMBER(SEARCH(Query!$B$5,'Compliance Database'!$H7))),OR(Query!$B$6="All",ISNUMBER(SEARCH(Query!$B$6,'Compliance Database'!$I7))),OR(Query!$B$7="All",'Compliance Database'!$F7=Query!$B$7),OR(Query!$B$8="All",'Compliance Database'!$J7=Query!$B$8),OR(Query!$B$9="",ISNUMBER(SEARCH(Query!$B$9,'Compliance Database'!$D7&amp;" "&amp;'Compliance Database'!$K7&amp;" "&amp;'Compliance Database'!$L7&amp;" "&amp;'Compliance Database'!$M7&amp;" "&amp;'Compliance Database'!$N7&amp;" "&amp;'Compliance Database'!$O7))),OR(Query!$B$10&lt;&gt;"Yes",'Compliance Database'!$F7&lt;&gt;"None")),1,0)</f>
        <v/>
      </c>
      <c r="B7">
        <f>IF($A7=1,SUM($A$2:$A7),"")</f>
        <v/>
      </c>
      <c r="C7">
        <f>IF($A7=1,SUM($A$2:$A7),0)</f>
        <v/>
      </c>
    </row>
    <row r="8">
      <c r="A8">
        <f>IF(AND(OR(Query!$B$4="All",'Compliance Database'!$A8=Query!$B$4),OR(Query!$B$5="All",ISNUMBER(SEARCH(Query!$B$5,'Compliance Database'!$H8))),OR(Query!$B$6="All",ISNUMBER(SEARCH(Query!$B$6,'Compliance Database'!$I8))),OR(Query!$B$7="All",'Compliance Database'!$F8=Query!$B$7),OR(Query!$B$8="All",'Compliance Database'!$J8=Query!$B$8),OR(Query!$B$9="",ISNUMBER(SEARCH(Query!$B$9,'Compliance Database'!$D8&amp;" "&amp;'Compliance Database'!$K8&amp;" "&amp;'Compliance Database'!$L8&amp;" "&amp;'Compliance Database'!$M8&amp;" "&amp;'Compliance Database'!$N8&amp;" "&amp;'Compliance Database'!$O8))),OR(Query!$B$10&lt;&gt;"Yes",'Compliance Database'!$F8&lt;&gt;"None")),1,0)</f>
        <v/>
      </c>
      <c r="B8">
        <f>IF($A8=1,SUM($A$2:$A8),"")</f>
        <v/>
      </c>
      <c r="C8">
        <f>IF($A8=1,SUM($A$2:$A8),0)</f>
        <v/>
      </c>
    </row>
    <row r="9">
      <c r="A9">
        <f>IF(AND(OR(Query!$B$4="All",'Compliance Database'!$A9=Query!$B$4),OR(Query!$B$5="All",ISNUMBER(SEARCH(Query!$B$5,'Compliance Database'!$H9))),OR(Query!$B$6="All",ISNUMBER(SEARCH(Query!$B$6,'Compliance Database'!$I9))),OR(Query!$B$7="All",'Compliance Database'!$F9=Query!$B$7),OR(Query!$B$8="All",'Compliance Database'!$J9=Query!$B$8),OR(Query!$B$9="",ISNUMBER(SEARCH(Query!$B$9,'Compliance Database'!$D9&amp;" "&amp;'Compliance Database'!$K9&amp;" "&amp;'Compliance Database'!$L9&amp;" "&amp;'Compliance Database'!$M9&amp;" "&amp;'Compliance Database'!$N9&amp;" "&amp;'Compliance Database'!$O9))),OR(Query!$B$10&lt;&gt;"Yes",'Compliance Database'!$F9&lt;&gt;"None")),1,0)</f>
        <v/>
      </c>
      <c r="B9">
        <f>IF($A9=1,SUM($A$2:$A9),"")</f>
        <v/>
      </c>
      <c r="C9">
        <f>IF($A9=1,SUM($A$2:$A9),0)</f>
        <v/>
      </c>
    </row>
    <row r="10">
      <c r="A10">
        <f>IF(AND(OR(Query!$B$4="All",'Compliance Database'!$A10=Query!$B$4),OR(Query!$B$5="All",ISNUMBER(SEARCH(Query!$B$5,'Compliance Database'!$H10))),OR(Query!$B$6="All",ISNUMBER(SEARCH(Query!$B$6,'Compliance Database'!$I10))),OR(Query!$B$7="All",'Compliance Database'!$F10=Query!$B$7),OR(Query!$B$8="All",'Compliance Database'!$J10=Query!$B$8),OR(Query!$B$9="",ISNUMBER(SEARCH(Query!$B$9,'Compliance Database'!$D10&amp;" "&amp;'Compliance Database'!$K10&amp;" "&amp;'Compliance Database'!$L10&amp;" "&amp;'Compliance Database'!$M10&amp;" "&amp;'Compliance Database'!$N10&amp;" "&amp;'Compliance Database'!$O10))),OR(Query!$B$10&lt;&gt;"Yes",'Compliance Database'!$F10&lt;&gt;"None")),1,0)</f>
        <v/>
      </c>
      <c r="B10">
        <f>IF($A10=1,SUM($A$2:$A10),"")</f>
        <v/>
      </c>
      <c r="C10">
        <f>IF($A10=1,SUM($A$2:$A10),0)</f>
        <v/>
      </c>
    </row>
    <row r="11">
      <c r="A11">
        <f>IF(AND(OR(Query!$B$4="All",'Compliance Database'!$A11=Query!$B$4),OR(Query!$B$5="All",ISNUMBER(SEARCH(Query!$B$5,'Compliance Database'!$H11))),OR(Query!$B$6="All",ISNUMBER(SEARCH(Query!$B$6,'Compliance Database'!$I11))),OR(Query!$B$7="All",'Compliance Database'!$F11=Query!$B$7),OR(Query!$B$8="All",'Compliance Database'!$J11=Query!$B$8),OR(Query!$B$9="",ISNUMBER(SEARCH(Query!$B$9,'Compliance Database'!$D11&amp;" "&amp;'Compliance Database'!$K11&amp;" "&amp;'Compliance Database'!$L11&amp;" "&amp;'Compliance Database'!$M11&amp;" "&amp;'Compliance Database'!$N11&amp;" "&amp;'Compliance Database'!$O11))),OR(Query!$B$10&lt;&gt;"Yes",'Compliance Database'!$F11&lt;&gt;"None")),1,0)</f>
        <v/>
      </c>
      <c r="B11">
        <f>IF($A11=1,SUM($A$2:$A11),"")</f>
        <v/>
      </c>
      <c r="C11">
        <f>IF($A11=1,SUM($A$2:$A11),0)</f>
        <v/>
      </c>
    </row>
    <row r="12">
      <c r="A12">
        <f>IF(AND(OR(Query!$B$4="All",'Compliance Database'!$A12=Query!$B$4),OR(Query!$B$5="All",ISNUMBER(SEARCH(Query!$B$5,'Compliance Database'!$H12))),OR(Query!$B$6="All",ISNUMBER(SEARCH(Query!$B$6,'Compliance Database'!$I12))),OR(Query!$B$7="All",'Compliance Database'!$F12=Query!$B$7),OR(Query!$B$8="All",'Compliance Database'!$J12=Query!$B$8),OR(Query!$B$9="",ISNUMBER(SEARCH(Query!$B$9,'Compliance Database'!$D12&amp;" "&amp;'Compliance Database'!$K12&amp;" "&amp;'Compliance Database'!$L12&amp;" "&amp;'Compliance Database'!$M12&amp;" "&amp;'Compliance Database'!$N12&amp;" "&amp;'Compliance Database'!$O12))),OR(Query!$B$10&lt;&gt;"Yes",'Compliance Database'!$F12&lt;&gt;"None")),1,0)</f>
        <v/>
      </c>
      <c r="B12">
        <f>IF($A12=1,SUM($A$2:$A12),"")</f>
        <v/>
      </c>
      <c r="C12">
        <f>IF($A12=1,SUM($A$2:$A12),0)</f>
        <v/>
      </c>
    </row>
    <row r="13">
      <c r="A13">
        <f>IF(AND(OR(Query!$B$4="All",'Compliance Database'!$A13=Query!$B$4),OR(Query!$B$5="All",ISNUMBER(SEARCH(Query!$B$5,'Compliance Database'!$H13))),OR(Query!$B$6="All",ISNUMBER(SEARCH(Query!$B$6,'Compliance Database'!$I13))),OR(Query!$B$7="All",'Compliance Database'!$F13=Query!$B$7),OR(Query!$B$8="All",'Compliance Database'!$J13=Query!$B$8),OR(Query!$B$9="",ISNUMBER(SEARCH(Query!$B$9,'Compliance Database'!$D13&amp;" "&amp;'Compliance Database'!$K13&amp;" "&amp;'Compliance Database'!$L13&amp;" "&amp;'Compliance Database'!$M13&amp;" "&amp;'Compliance Database'!$N13&amp;" "&amp;'Compliance Database'!$O13))),OR(Query!$B$10&lt;&gt;"Yes",'Compliance Database'!$F13&lt;&gt;"None")),1,0)</f>
        <v/>
      </c>
      <c r="B13">
        <f>IF($A13=1,SUM($A$2:$A13),"")</f>
        <v/>
      </c>
      <c r="C13">
        <f>IF($A13=1,SUM($A$2:$A13),0)</f>
        <v/>
      </c>
    </row>
    <row r="14">
      <c r="A14">
        <f>IF(AND(OR(Query!$B$4="All",'Compliance Database'!$A14=Query!$B$4),OR(Query!$B$5="All",ISNUMBER(SEARCH(Query!$B$5,'Compliance Database'!$H14))),OR(Query!$B$6="All",ISNUMBER(SEARCH(Query!$B$6,'Compliance Database'!$I14))),OR(Query!$B$7="All",'Compliance Database'!$F14=Query!$B$7),OR(Query!$B$8="All",'Compliance Database'!$J14=Query!$B$8),OR(Query!$B$9="",ISNUMBER(SEARCH(Query!$B$9,'Compliance Database'!$D14&amp;" "&amp;'Compliance Database'!$K14&amp;" "&amp;'Compliance Database'!$L14&amp;" "&amp;'Compliance Database'!$M14&amp;" "&amp;'Compliance Database'!$N14&amp;" "&amp;'Compliance Database'!$O14))),OR(Query!$B$10&lt;&gt;"Yes",'Compliance Database'!$F14&lt;&gt;"None")),1,0)</f>
        <v/>
      </c>
      <c r="B14">
        <f>IF($A14=1,SUM($A$2:$A14),"")</f>
        <v/>
      </c>
      <c r="C14">
        <f>IF($A14=1,SUM($A$2:$A14),0)</f>
        <v/>
      </c>
    </row>
    <row r="15">
      <c r="A15">
        <f>IF(AND(OR(Query!$B$4="All",'Compliance Database'!$A15=Query!$B$4),OR(Query!$B$5="All",ISNUMBER(SEARCH(Query!$B$5,'Compliance Database'!$H15))),OR(Query!$B$6="All",ISNUMBER(SEARCH(Query!$B$6,'Compliance Database'!$I15))),OR(Query!$B$7="All",'Compliance Database'!$F15=Query!$B$7),OR(Query!$B$8="All",'Compliance Database'!$J15=Query!$B$8),OR(Query!$B$9="",ISNUMBER(SEARCH(Query!$B$9,'Compliance Database'!$D15&amp;" "&amp;'Compliance Database'!$K15&amp;" "&amp;'Compliance Database'!$L15&amp;" "&amp;'Compliance Database'!$M15&amp;" "&amp;'Compliance Database'!$N15&amp;" "&amp;'Compliance Database'!$O15))),OR(Query!$B$10&lt;&gt;"Yes",'Compliance Database'!$F15&lt;&gt;"None")),1,0)</f>
        <v/>
      </c>
      <c r="B15">
        <f>IF($A15=1,SUM($A$2:$A15),"")</f>
        <v/>
      </c>
      <c r="C15">
        <f>IF($A15=1,SUM($A$2:$A15),0)</f>
        <v/>
      </c>
    </row>
    <row r="16">
      <c r="A16">
        <f>IF(AND(OR(Query!$B$4="All",'Compliance Database'!$A16=Query!$B$4),OR(Query!$B$5="All",ISNUMBER(SEARCH(Query!$B$5,'Compliance Database'!$H16))),OR(Query!$B$6="All",ISNUMBER(SEARCH(Query!$B$6,'Compliance Database'!$I16))),OR(Query!$B$7="All",'Compliance Database'!$F16=Query!$B$7),OR(Query!$B$8="All",'Compliance Database'!$J16=Query!$B$8),OR(Query!$B$9="",ISNUMBER(SEARCH(Query!$B$9,'Compliance Database'!$D16&amp;" "&amp;'Compliance Database'!$K16&amp;" "&amp;'Compliance Database'!$L16&amp;" "&amp;'Compliance Database'!$M16&amp;" "&amp;'Compliance Database'!$N16&amp;" "&amp;'Compliance Database'!$O16))),OR(Query!$B$10&lt;&gt;"Yes",'Compliance Database'!$F16&lt;&gt;"None")),1,0)</f>
        <v/>
      </c>
      <c r="B16">
        <f>IF($A16=1,SUM($A$2:$A16),"")</f>
        <v/>
      </c>
      <c r="C16">
        <f>IF($A16=1,SUM($A$2:$A16),0)</f>
        <v/>
      </c>
    </row>
    <row r="17">
      <c r="A17">
        <f>IF(AND(OR(Query!$B$4="All",'Compliance Database'!$A17=Query!$B$4),OR(Query!$B$5="All",ISNUMBER(SEARCH(Query!$B$5,'Compliance Database'!$H17))),OR(Query!$B$6="All",ISNUMBER(SEARCH(Query!$B$6,'Compliance Database'!$I17))),OR(Query!$B$7="All",'Compliance Database'!$F17=Query!$B$7),OR(Query!$B$8="All",'Compliance Database'!$J17=Query!$B$8),OR(Query!$B$9="",ISNUMBER(SEARCH(Query!$B$9,'Compliance Database'!$D17&amp;" "&amp;'Compliance Database'!$K17&amp;" "&amp;'Compliance Database'!$L17&amp;" "&amp;'Compliance Database'!$M17&amp;" "&amp;'Compliance Database'!$N17&amp;" "&amp;'Compliance Database'!$O17))),OR(Query!$B$10&lt;&gt;"Yes",'Compliance Database'!$F17&lt;&gt;"None")),1,0)</f>
        <v/>
      </c>
      <c r="B17">
        <f>IF($A17=1,SUM($A$2:$A17),"")</f>
        <v/>
      </c>
      <c r="C17">
        <f>IF($A17=1,SUM($A$2:$A17),0)</f>
        <v/>
      </c>
    </row>
    <row r="18">
      <c r="A18">
        <f>IF(AND(OR(Query!$B$4="All",'Compliance Database'!$A18=Query!$B$4),OR(Query!$B$5="All",ISNUMBER(SEARCH(Query!$B$5,'Compliance Database'!$H18))),OR(Query!$B$6="All",ISNUMBER(SEARCH(Query!$B$6,'Compliance Database'!$I18))),OR(Query!$B$7="All",'Compliance Database'!$F18=Query!$B$7),OR(Query!$B$8="All",'Compliance Database'!$J18=Query!$B$8),OR(Query!$B$9="",ISNUMBER(SEARCH(Query!$B$9,'Compliance Database'!$D18&amp;" "&amp;'Compliance Database'!$K18&amp;" "&amp;'Compliance Database'!$L18&amp;" "&amp;'Compliance Database'!$M18&amp;" "&amp;'Compliance Database'!$N18&amp;" "&amp;'Compliance Database'!$O18))),OR(Query!$B$10&lt;&gt;"Yes",'Compliance Database'!$F18&lt;&gt;"None")),1,0)</f>
        <v/>
      </c>
      <c r="B18">
        <f>IF($A18=1,SUM($A$2:$A18),"")</f>
        <v/>
      </c>
      <c r="C18">
        <f>IF($A18=1,SUM($A$2:$A18),0)</f>
        <v/>
      </c>
    </row>
    <row r="19">
      <c r="A19">
        <f>IF(AND(OR(Query!$B$4="All",'Compliance Database'!$A19=Query!$B$4),OR(Query!$B$5="All",ISNUMBER(SEARCH(Query!$B$5,'Compliance Database'!$H19))),OR(Query!$B$6="All",ISNUMBER(SEARCH(Query!$B$6,'Compliance Database'!$I19))),OR(Query!$B$7="All",'Compliance Database'!$F19=Query!$B$7),OR(Query!$B$8="All",'Compliance Database'!$J19=Query!$B$8),OR(Query!$B$9="",ISNUMBER(SEARCH(Query!$B$9,'Compliance Database'!$D19&amp;" "&amp;'Compliance Database'!$K19&amp;" "&amp;'Compliance Database'!$L19&amp;" "&amp;'Compliance Database'!$M19&amp;" "&amp;'Compliance Database'!$N19&amp;" "&amp;'Compliance Database'!$O19))),OR(Query!$B$10&lt;&gt;"Yes",'Compliance Database'!$F19&lt;&gt;"None")),1,0)</f>
        <v/>
      </c>
      <c r="B19">
        <f>IF($A19=1,SUM($A$2:$A19),"")</f>
        <v/>
      </c>
      <c r="C19">
        <f>IF($A19=1,SUM($A$2:$A19),0)</f>
        <v/>
      </c>
    </row>
    <row r="20">
      <c r="A20">
        <f>IF(AND(OR(Query!$B$4="All",'Compliance Database'!$A20=Query!$B$4),OR(Query!$B$5="All",ISNUMBER(SEARCH(Query!$B$5,'Compliance Database'!$H20))),OR(Query!$B$6="All",ISNUMBER(SEARCH(Query!$B$6,'Compliance Database'!$I20))),OR(Query!$B$7="All",'Compliance Database'!$F20=Query!$B$7),OR(Query!$B$8="All",'Compliance Database'!$J20=Query!$B$8),OR(Query!$B$9="",ISNUMBER(SEARCH(Query!$B$9,'Compliance Database'!$D20&amp;" "&amp;'Compliance Database'!$K20&amp;" "&amp;'Compliance Database'!$L20&amp;" "&amp;'Compliance Database'!$M20&amp;" "&amp;'Compliance Database'!$N20&amp;" "&amp;'Compliance Database'!$O20))),OR(Query!$B$10&lt;&gt;"Yes",'Compliance Database'!$F20&lt;&gt;"None")),1,0)</f>
        <v/>
      </c>
      <c r="B20">
        <f>IF($A20=1,SUM($A$2:$A20),"")</f>
        <v/>
      </c>
      <c r="C20">
        <f>IF($A20=1,SUM($A$2:$A20),0)</f>
        <v/>
      </c>
    </row>
    <row r="21">
      <c r="A21">
        <f>IF(AND(OR(Query!$B$4="All",'Compliance Database'!$A21=Query!$B$4),OR(Query!$B$5="All",ISNUMBER(SEARCH(Query!$B$5,'Compliance Database'!$H21))),OR(Query!$B$6="All",ISNUMBER(SEARCH(Query!$B$6,'Compliance Database'!$I21))),OR(Query!$B$7="All",'Compliance Database'!$F21=Query!$B$7),OR(Query!$B$8="All",'Compliance Database'!$J21=Query!$B$8),OR(Query!$B$9="",ISNUMBER(SEARCH(Query!$B$9,'Compliance Database'!$D21&amp;" "&amp;'Compliance Database'!$K21&amp;" "&amp;'Compliance Database'!$L21&amp;" "&amp;'Compliance Database'!$M21&amp;" "&amp;'Compliance Database'!$N21&amp;" "&amp;'Compliance Database'!$O21))),OR(Query!$B$10&lt;&gt;"Yes",'Compliance Database'!$F21&lt;&gt;"None")),1,0)</f>
        <v/>
      </c>
      <c r="B21">
        <f>IF($A21=1,SUM($A$2:$A21),"")</f>
        <v/>
      </c>
      <c r="C21">
        <f>IF($A21=1,SUM($A$2:$A21),0)</f>
        <v/>
      </c>
    </row>
    <row r="22">
      <c r="A22">
        <f>IF(AND(OR(Query!$B$4="All",'Compliance Database'!$A22=Query!$B$4),OR(Query!$B$5="All",ISNUMBER(SEARCH(Query!$B$5,'Compliance Database'!$H22))),OR(Query!$B$6="All",ISNUMBER(SEARCH(Query!$B$6,'Compliance Database'!$I22))),OR(Query!$B$7="All",'Compliance Database'!$F22=Query!$B$7),OR(Query!$B$8="All",'Compliance Database'!$J22=Query!$B$8),OR(Query!$B$9="",ISNUMBER(SEARCH(Query!$B$9,'Compliance Database'!$D22&amp;" "&amp;'Compliance Database'!$K22&amp;" "&amp;'Compliance Database'!$L22&amp;" "&amp;'Compliance Database'!$M22&amp;" "&amp;'Compliance Database'!$N22&amp;" "&amp;'Compliance Database'!$O22))),OR(Query!$B$10&lt;&gt;"Yes",'Compliance Database'!$F22&lt;&gt;"None")),1,0)</f>
        <v/>
      </c>
      <c r="B22">
        <f>IF($A22=1,SUM($A$2:$A22),"")</f>
        <v/>
      </c>
      <c r="C22">
        <f>IF($A22=1,SUM($A$2:$A22),0)</f>
        <v/>
      </c>
    </row>
    <row r="23">
      <c r="A23">
        <f>IF(AND(OR(Query!$B$4="All",'Compliance Database'!$A23=Query!$B$4),OR(Query!$B$5="All",ISNUMBER(SEARCH(Query!$B$5,'Compliance Database'!$H23))),OR(Query!$B$6="All",ISNUMBER(SEARCH(Query!$B$6,'Compliance Database'!$I23))),OR(Query!$B$7="All",'Compliance Database'!$F23=Query!$B$7),OR(Query!$B$8="All",'Compliance Database'!$J23=Query!$B$8),OR(Query!$B$9="",ISNUMBER(SEARCH(Query!$B$9,'Compliance Database'!$D23&amp;" "&amp;'Compliance Database'!$K23&amp;" "&amp;'Compliance Database'!$L23&amp;" "&amp;'Compliance Database'!$M23&amp;" "&amp;'Compliance Database'!$N23&amp;" "&amp;'Compliance Database'!$O23))),OR(Query!$B$10&lt;&gt;"Yes",'Compliance Database'!$F23&lt;&gt;"None")),1,0)</f>
        <v/>
      </c>
      <c r="B23">
        <f>IF($A23=1,SUM($A$2:$A23),"")</f>
        <v/>
      </c>
      <c r="C23">
        <f>IF($A23=1,SUM($A$2:$A23),0)</f>
        <v/>
      </c>
    </row>
    <row r="24">
      <c r="A24">
        <f>IF(AND(OR(Query!$B$4="All",'Compliance Database'!$A24=Query!$B$4),OR(Query!$B$5="All",ISNUMBER(SEARCH(Query!$B$5,'Compliance Database'!$H24))),OR(Query!$B$6="All",ISNUMBER(SEARCH(Query!$B$6,'Compliance Database'!$I24))),OR(Query!$B$7="All",'Compliance Database'!$F24=Query!$B$7),OR(Query!$B$8="All",'Compliance Database'!$J24=Query!$B$8),OR(Query!$B$9="",ISNUMBER(SEARCH(Query!$B$9,'Compliance Database'!$D24&amp;" "&amp;'Compliance Database'!$K24&amp;" "&amp;'Compliance Database'!$L24&amp;" "&amp;'Compliance Database'!$M24&amp;" "&amp;'Compliance Database'!$N24&amp;" "&amp;'Compliance Database'!$O24))),OR(Query!$B$10&lt;&gt;"Yes",'Compliance Database'!$F24&lt;&gt;"None")),1,0)</f>
        <v/>
      </c>
      <c r="B24">
        <f>IF($A24=1,SUM($A$2:$A24),"")</f>
        <v/>
      </c>
      <c r="C24">
        <f>IF($A24=1,SUM($A$2:$A24),0)</f>
        <v/>
      </c>
    </row>
    <row r="25">
      <c r="A25">
        <f>IF(AND(OR(Query!$B$4="All",'Compliance Database'!$A25=Query!$B$4),OR(Query!$B$5="All",ISNUMBER(SEARCH(Query!$B$5,'Compliance Database'!$H25))),OR(Query!$B$6="All",ISNUMBER(SEARCH(Query!$B$6,'Compliance Database'!$I25))),OR(Query!$B$7="All",'Compliance Database'!$F25=Query!$B$7),OR(Query!$B$8="All",'Compliance Database'!$J25=Query!$B$8),OR(Query!$B$9="",ISNUMBER(SEARCH(Query!$B$9,'Compliance Database'!$D25&amp;" "&amp;'Compliance Database'!$K25&amp;" "&amp;'Compliance Database'!$L25&amp;" "&amp;'Compliance Database'!$M25&amp;" "&amp;'Compliance Database'!$N25&amp;" "&amp;'Compliance Database'!$O25))),OR(Query!$B$10&lt;&gt;"Yes",'Compliance Database'!$F25&lt;&gt;"None")),1,0)</f>
        <v/>
      </c>
      <c r="B25">
        <f>IF($A25=1,SUM($A$2:$A25),"")</f>
        <v/>
      </c>
      <c r="C25">
        <f>IF($A25=1,SUM($A$2:$A25),0)</f>
        <v/>
      </c>
    </row>
    <row r="26">
      <c r="A26">
        <f>IF(AND(OR(Query!$B$4="All",'Compliance Database'!$A26=Query!$B$4),OR(Query!$B$5="All",ISNUMBER(SEARCH(Query!$B$5,'Compliance Database'!$H26))),OR(Query!$B$6="All",ISNUMBER(SEARCH(Query!$B$6,'Compliance Database'!$I26))),OR(Query!$B$7="All",'Compliance Database'!$F26=Query!$B$7),OR(Query!$B$8="All",'Compliance Database'!$J26=Query!$B$8),OR(Query!$B$9="",ISNUMBER(SEARCH(Query!$B$9,'Compliance Database'!$D26&amp;" "&amp;'Compliance Database'!$K26&amp;" "&amp;'Compliance Database'!$L26&amp;" "&amp;'Compliance Database'!$M26&amp;" "&amp;'Compliance Database'!$N26&amp;" "&amp;'Compliance Database'!$O26))),OR(Query!$B$10&lt;&gt;"Yes",'Compliance Database'!$F26&lt;&gt;"None")),1,0)</f>
        <v/>
      </c>
      <c r="B26">
        <f>IF($A26=1,SUM($A$2:$A26),"")</f>
        <v/>
      </c>
      <c r="C26">
        <f>IF($A26=1,SUM($A$2:$A26),0)</f>
        <v/>
      </c>
    </row>
    <row r="27">
      <c r="A27">
        <f>IF(AND(OR(Query!$B$4="All",'Compliance Database'!$A27=Query!$B$4),OR(Query!$B$5="All",ISNUMBER(SEARCH(Query!$B$5,'Compliance Database'!$H27))),OR(Query!$B$6="All",ISNUMBER(SEARCH(Query!$B$6,'Compliance Database'!$I27))),OR(Query!$B$7="All",'Compliance Database'!$F27=Query!$B$7),OR(Query!$B$8="All",'Compliance Database'!$J27=Query!$B$8),OR(Query!$B$9="",ISNUMBER(SEARCH(Query!$B$9,'Compliance Database'!$D27&amp;" "&amp;'Compliance Database'!$K27&amp;" "&amp;'Compliance Database'!$L27&amp;" "&amp;'Compliance Database'!$M27&amp;" "&amp;'Compliance Database'!$N27&amp;" "&amp;'Compliance Database'!$O27))),OR(Query!$B$10&lt;&gt;"Yes",'Compliance Database'!$F27&lt;&gt;"None")),1,0)</f>
        <v/>
      </c>
      <c r="B27">
        <f>IF($A27=1,SUM($A$2:$A27),"")</f>
        <v/>
      </c>
      <c r="C27">
        <f>IF($A27=1,SUM($A$2:$A27),0)</f>
        <v/>
      </c>
    </row>
    <row r="28">
      <c r="A28">
        <f>IF(AND(OR(Query!$B$4="All",'Compliance Database'!$A28=Query!$B$4),OR(Query!$B$5="All",ISNUMBER(SEARCH(Query!$B$5,'Compliance Database'!$H28))),OR(Query!$B$6="All",ISNUMBER(SEARCH(Query!$B$6,'Compliance Database'!$I28))),OR(Query!$B$7="All",'Compliance Database'!$F28=Query!$B$7),OR(Query!$B$8="All",'Compliance Database'!$J28=Query!$B$8),OR(Query!$B$9="",ISNUMBER(SEARCH(Query!$B$9,'Compliance Database'!$D28&amp;" "&amp;'Compliance Database'!$K28&amp;" "&amp;'Compliance Database'!$L28&amp;" "&amp;'Compliance Database'!$M28&amp;" "&amp;'Compliance Database'!$N28&amp;" "&amp;'Compliance Database'!$O28))),OR(Query!$B$10&lt;&gt;"Yes",'Compliance Database'!$F28&lt;&gt;"None")),1,0)</f>
        <v/>
      </c>
      <c r="B28">
        <f>IF($A28=1,SUM($A$2:$A28),"")</f>
        <v/>
      </c>
      <c r="C28">
        <f>IF($A28=1,SUM($A$2:$A28),0)</f>
        <v/>
      </c>
    </row>
    <row r="29">
      <c r="A29">
        <f>IF(AND(OR(Query!$B$4="All",'Compliance Database'!$A29=Query!$B$4),OR(Query!$B$5="All",ISNUMBER(SEARCH(Query!$B$5,'Compliance Database'!$H29))),OR(Query!$B$6="All",ISNUMBER(SEARCH(Query!$B$6,'Compliance Database'!$I29))),OR(Query!$B$7="All",'Compliance Database'!$F29=Query!$B$7),OR(Query!$B$8="All",'Compliance Database'!$J29=Query!$B$8),OR(Query!$B$9="",ISNUMBER(SEARCH(Query!$B$9,'Compliance Database'!$D29&amp;" "&amp;'Compliance Database'!$K29&amp;" "&amp;'Compliance Database'!$L29&amp;" "&amp;'Compliance Database'!$M29&amp;" "&amp;'Compliance Database'!$N29&amp;" "&amp;'Compliance Database'!$O29))),OR(Query!$B$10&lt;&gt;"Yes",'Compliance Database'!$F29&lt;&gt;"None")),1,0)</f>
        <v/>
      </c>
      <c r="B29">
        <f>IF($A29=1,SUM($A$2:$A29),"")</f>
        <v/>
      </c>
      <c r="C29">
        <f>IF($A29=1,SUM($A$2:$A29),0)</f>
        <v/>
      </c>
    </row>
    <row r="30">
      <c r="A30">
        <f>IF(AND(OR(Query!$B$4="All",'Compliance Database'!$A30=Query!$B$4),OR(Query!$B$5="All",ISNUMBER(SEARCH(Query!$B$5,'Compliance Database'!$H30))),OR(Query!$B$6="All",ISNUMBER(SEARCH(Query!$B$6,'Compliance Database'!$I30))),OR(Query!$B$7="All",'Compliance Database'!$F30=Query!$B$7),OR(Query!$B$8="All",'Compliance Database'!$J30=Query!$B$8),OR(Query!$B$9="",ISNUMBER(SEARCH(Query!$B$9,'Compliance Database'!$D30&amp;" "&amp;'Compliance Database'!$K30&amp;" "&amp;'Compliance Database'!$L30&amp;" "&amp;'Compliance Database'!$M30&amp;" "&amp;'Compliance Database'!$N30&amp;" "&amp;'Compliance Database'!$O30))),OR(Query!$B$10&lt;&gt;"Yes",'Compliance Database'!$F30&lt;&gt;"None")),1,0)</f>
        <v/>
      </c>
      <c r="B30">
        <f>IF($A30=1,SUM($A$2:$A30),"")</f>
        <v/>
      </c>
      <c r="C30">
        <f>IF($A30=1,SUM($A$2:$A30),0)</f>
        <v/>
      </c>
    </row>
    <row r="31">
      <c r="A31">
        <f>IF(AND(OR(Query!$B$4="All",'Compliance Database'!$A31=Query!$B$4),OR(Query!$B$5="All",ISNUMBER(SEARCH(Query!$B$5,'Compliance Database'!$H31))),OR(Query!$B$6="All",ISNUMBER(SEARCH(Query!$B$6,'Compliance Database'!$I31))),OR(Query!$B$7="All",'Compliance Database'!$F31=Query!$B$7),OR(Query!$B$8="All",'Compliance Database'!$J31=Query!$B$8),OR(Query!$B$9="",ISNUMBER(SEARCH(Query!$B$9,'Compliance Database'!$D31&amp;" "&amp;'Compliance Database'!$K31&amp;" "&amp;'Compliance Database'!$L31&amp;" "&amp;'Compliance Database'!$M31&amp;" "&amp;'Compliance Database'!$N31&amp;" "&amp;'Compliance Database'!$O31))),OR(Query!$B$10&lt;&gt;"Yes",'Compliance Database'!$F31&lt;&gt;"None")),1,0)</f>
        <v/>
      </c>
      <c r="B31">
        <f>IF($A31=1,SUM($A$2:$A31),"")</f>
        <v/>
      </c>
      <c r="C31">
        <f>IF($A31=1,SUM($A$2:$A31),0)</f>
        <v/>
      </c>
    </row>
    <row r="32">
      <c r="A32">
        <f>IF(AND(OR(Query!$B$4="All",'Compliance Database'!$A32=Query!$B$4),OR(Query!$B$5="All",ISNUMBER(SEARCH(Query!$B$5,'Compliance Database'!$H32))),OR(Query!$B$6="All",ISNUMBER(SEARCH(Query!$B$6,'Compliance Database'!$I32))),OR(Query!$B$7="All",'Compliance Database'!$F32=Query!$B$7),OR(Query!$B$8="All",'Compliance Database'!$J32=Query!$B$8),OR(Query!$B$9="",ISNUMBER(SEARCH(Query!$B$9,'Compliance Database'!$D32&amp;" "&amp;'Compliance Database'!$K32&amp;" "&amp;'Compliance Database'!$L32&amp;" "&amp;'Compliance Database'!$M32&amp;" "&amp;'Compliance Database'!$N32&amp;" "&amp;'Compliance Database'!$O32))),OR(Query!$B$10&lt;&gt;"Yes",'Compliance Database'!$F32&lt;&gt;"None")),1,0)</f>
        <v/>
      </c>
      <c r="B32">
        <f>IF($A32=1,SUM($A$2:$A32),"")</f>
        <v/>
      </c>
      <c r="C32">
        <f>IF($A32=1,SUM($A$2:$A32),0)</f>
        <v/>
      </c>
    </row>
    <row r="33">
      <c r="A33">
        <f>IF(AND(OR(Query!$B$4="All",'Compliance Database'!$A33=Query!$B$4),OR(Query!$B$5="All",ISNUMBER(SEARCH(Query!$B$5,'Compliance Database'!$H33))),OR(Query!$B$6="All",ISNUMBER(SEARCH(Query!$B$6,'Compliance Database'!$I33))),OR(Query!$B$7="All",'Compliance Database'!$F33=Query!$B$7),OR(Query!$B$8="All",'Compliance Database'!$J33=Query!$B$8),OR(Query!$B$9="",ISNUMBER(SEARCH(Query!$B$9,'Compliance Database'!$D33&amp;" "&amp;'Compliance Database'!$K33&amp;" "&amp;'Compliance Database'!$L33&amp;" "&amp;'Compliance Database'!$M33&amp;" "&amp;'Compliance Database'!$N33&amp;" "&amp;'Compliance Database'!$O33))),OR(Query!$B$10&lt;&gt;"Yes",'Compliance Database'!$F33&lt;&gt;"None")),1,0)</f>
        <v/>
      </c>
      <c r="B33">
        <f>IF($A33=1,SUM($A$2:$A33),"")</f>
        <v/>
      </c>
      <c r="C33">
        <f>IF($A33=1,SUM($A$2:$A33),0)</f>
        <v/>
      </c>
    </row>
    <row r="34">
      <c r="A34">
        <f>IF(AND(OR(Query!$B$4="All",'Compliance Database'!$A34=Query!$B$4),OR(Query!$B$5="All",ISNUMBER(SEARCH(Query!$B$5,'Compliance Database'!$H34))),OR(Query!$B$6="All",ISNUMBER(SEARCH(Query!$B$6,'Compliance Database'!$I34))),OR(Query!$B$7="All",'Compliance Database'!$F34=Query!$B$7),OR(Query!$B$8="All",'Compliance Database'!$J34=Query!$B$8),OR(Query!$B$9="",ISNUMBER(SEARCH(Query!$B$9,'Compliance Database'!$D34&amp;" "&amp;'Compliance Database'!$K34&amp;" "&amp;'Compliance Database'!$L34&amp;" "&amp;'Compliance Database'!$M34&amp;" "&amp;'Compliance Database'!$N34&amp;" "&amp;'Compliance Database'!$O34))),OR(Query!$B$10&lt;&gt;"Yes",'Compliance Database'!$F34&lt;&gt;"None")),1,0)</f>
        <v/>
      </c>
      <c r="B34">
        <f>IF($A34=1,SUM($A$2:$A34),"")</f>
        <v/>
      </c>
      <c r="C34">
        <f>IF($A34=1,SUM($A$2:$A34),0)</f>
        <v/>
      </c>
    </row>
    <row r="35">
      <c r="A35">
        <f>IF(AND(OR(Query!$B$4="All",'Compliance Database'!$A35=Query!$B$4),OR(Query!$B$5="All",ISNUMBER(SEARCH(Query!$B$5,'Compliance Database'!$H35))),OR(Query!$B$6="All",ISNUMBER(SEARCH(Query!$B$6,'Compliance Database'!$I35))),OR(Query!$B$7="All",'Compliance Database'!$F35=Query!$B$7),OR(Query!$B$8="All",'Compliance Database'!$J35=Query!$B$8),OR(Query!$B$9="",ISNUMBER(SEARCH(Query!$B$9,'Compliance Database'!$D35&amp;" "&amp;'Compliance Database'!$K35&amp;" "&amp;'Compliance Database'!$L35&amp;" "&amp;'Compliance Database'!$M35&amp;" "&amp;'Compliance Database'!$N35&amp;" "&amp;'Compliance Database'!$O35))),OR(Query!$B$10&lt;&gt;"Yes",'Compliance Database'!$F35&lt;&gt;"None")),1,0)</f>
        <v/>
      </c>
      <c r="B35">
        <f>IF($A35=1,SUM($A$2:$A35),"")</f>
        <v/>
      </c>
      <c r="C35">
        <f>IF($A35=1,SUM($A$2:$A35),0)</f>
        <v/>
      </c>
    </row>
    <row r="36">
      <c r="A36">
        <f>IF(AND(OR(Query!$B$4="All",'Compliance Database'!$A36=Query!$B$4),OR(Query!$B$5="All",ISNUMBER(SEARCH(Query!$B$5,'Compliance Database'!$H36))),OR(Query!$B$6="All",ISNUMBER(SEARCH(Query!$B$6,'Compliance Database'!$I36))),OR(Query!$B$7="All",'Compliance Database'!$F36=Query!$B$7),OR(Query!$B$8="All",'Compliance Database'!$J36=Query!$B$8),OR(Query!$B$9="",ISNUMBER(SEARCH(Query!$B$9,'Compliance Database'!$D36&amp;" "&amp;'Compliance Database'!$K36&amp;" "&amp;'Compliance Database'!$L36&amp;" "&amp;'Compliance Database'!$M36&amp;" "&amp;'Compliance Database'!$N36&amp;" "&amp;'Compliance Database'!$O36))),OR(Query!$B$10&lt;&gt;"Yes",'Compliance Database'!$F36&lt;&gt;"None")),1,0)</f>
        <v/>
      </c>
      <c r="B36">
        <f>IF($A36=1,SUM($A$2:$A36),"")</f>
        <v/>
      </c>
      <c r="C36">
        <f>IF($A36=1,SUM($A$2:$A36),0)</f>
        <v/>
      </c>
    </row>
    <row r="37">
      <c r="A37">
        <f>IF(AND(OR(Query!$B$4="All",'Compliance Database'!$A37=Query!$B$4),OR(Query!$B$5="All",ISNUMBER(SEARCH(Query!$B$5,'Compliance Database'!$H37))),OR(Query!$B$6="All",ISNUMBER(SEARCH(Query!$B$6,'Compliance Database'!$I37))),OR(Query!$B$7="All",'Compliance Database'!$F37=Query!$B$7),OR(Query!$B$8="All",'Compliance Database'!$J37=Query!$B$8),OR(Query!$B$9="",ISNUMBER(SEARCH(Query!$B$9,'Compliance Database'!$D37&amp;" "&amp;'Compliance Database'!$K37&amp;" "&amp;'Compliance Database'!$L37&amp;" "&amp;'Compliance Database'!$M37&amp;" "&amp;'Compliance Database'!$N37&amp;" "&amp;'Compliance Database'!$O37))),OR(Query!$B$10&lt;&gt;"Yes",'Compliance Database'!$F37&lt;&gt;"None")),1,0)</f>
        <v/>
      </c>
      <c r="B37">
        <f>IF($A37=1,SUM($A$2:$A37),"")</f>
        <v/>
      </c>
      <c r="C37">
        <f>IF($A37=1,SUM($A$2:$A37),0)</f>
        <v/>
      </c>
    </row>
    <row r="38">
      <c r="A38">
        <f>IF(AND(OR(Query!$B$4="All",'Compliance Database'!$A38=Query!$B$4),OR(Query!$B$5="All",ISNUMBER(SEARCH(Query!$B$5,'Compliance Database'!$H38))),OR(Query!$B$6="All",ISNUMBER(SEARCH(Query!$B$6,'Compliance Database'!$I38))),OR(Query!$B$7="All",'Compliance Database'!$F38=Query!$B$7),OR(Query!$B$8="All",'Compliance Database'!$J38=Query!$B$8),OR(Query!$B$9="",ISNUMBER(SEARCH(Query!$B$9,'Compliance Database'!$D38&amp;" "&amp;'Compliance Database'!$K38&amp;" "&amp;'Compliance Database'!$L38&amp;" "&amp;'Compliance Database'!$M38&amp;" "&amp;'Compliance Database'!$N38&amp;" "&amp;'Compliance Database'!$O38))),OR(Query!$B$10&lt;&gt;"Yes",'Compliance Database'!$F38&lt;&gt;"None")),1,0)</f>
        <v/>
      </c>
      <c r="B38">
        <f>IF($A38=1,SUM($A$2:$A38),"")</f>
        <v/>
      </c>
      <c r="C38">
        <f>IF($A38=1,SUM($A$2:$A38),0)</f>
        <v/>
      </c>
    </row>
    <row r="39">
      <c r="A39">
        <f>IF(AND(OR(Query!$B$4="All",'Compliance Database'!$A39=Query!$B$4),OR(Query!$B$5="All",ISNUMBER(SEARCH(Query!$B$5,'Compliance Database'!$H39))),OR(Query!$B$6="All",ISNUMBER(SEARCH(Query!$B$6,'Compliance Database'!$I39))),OR(Query!$B$7="All",'Compliance Database'!$F39=Query!$B$7),OR(Query!$B$8="All",'Compliance Database'!$J39=Query!$B$8),OR(Query!$B$9="",ISNUMBER(SEARCH(Query!$B$9,'Compliance Database'!$D39&amp;" "&amp;'Compliance Database'!$K39&amp;" "&amp;'Compliance Database'!$L39&amp;" "&amp;'Compliance Database'!$M39&amp;" "&amp;'Compliance Database'!$N39&amp;" "&amp;'Compliance Database'!$O39))),OR(Query!$B$10&lt;&gt;"Yes",'Compliance Database'!$F39&lt;&gt;"None")),1,0)</f>
        <v/>
      </c>
      <c r="B39">
        <f>IF($A39=1,SUM($A$2:$A39),"")</f>
        <v/>
      </c>
      <c r="C39">
        <f>IF($A39=1,SUM($A$2:$A39),0)</f>
        <v/>
      </c>
    </row>
    <row r="40">
      <c r="A40">
        <f>IF(AND(OR(Query!$B$4="All",'Compliance Database'!$A40=Query!$B$4),OR(Query!$B$5="All",ISNUMBER(SEARCH(Query!$B$5,'Compliance Database'!$H40))),OR(Query!$B$6="All",ISNUMBER(SEARCH(Query!$B$6,'Compliance Database'!$I40))),OR(Query!$B$7="All",'Compliance Database'!$F40=Query!$B$7),OR(Query!$B$8="All",'Compliance Database'!$J40=Query!$B$8),OR(Query!$B$9="",ISNUMBER(SEARCH(Query!$B$9,'Compliance Database'!$D40&amp;" "&amp;'Compliance Database'!$K40&amp;" "&amp;'Compliance Database'!$L40&amp;" "&amp;'Compliance Database'!$M40&amp;" "&amp;'Compliance Database'!$N40&amp;" "&amp;'Compliance Database'!$O40))),OR(Query!$B$10&lt;&gt;"Yes",'Compliance Database'!$F40&lt;&gt;"None")),1,0)</f>
        <v/>
      </c>
      <c r="B40">
        <f>IF($A40=1,SUM($A$2:$A40),"")</f>
        <v/>
      </c>
      <c r="C40">
        <f>IF($A40=1,SUM($A$2:$A40),0)</f>
        <v/>
      </c>
    </row>
    <row r="41">
      <c r="A41">
        <f>IF(AND(OR(Query!$B$4="All",'Compliance Database'!$A41=Query!$B$4),OR(Query!$B$5="All",ISNUMBER(SEARCH(Query!$B$5,'Compliance Database'!$H41))),OR(Query!$B$6="All",ISNUMBER(SEARCH(Query!$B$6,'Compliance Database'!$I41))),OR(Query!$B$7="All",'Compliance Database'!$F41=Query!$B$7),OR(Query!$B$8="All",'Compliance Database'!$J41=Query!$B$8),OR(Query!$B$9="",ISNUMBER(SEARCH(Query!$B$9,'Compliance Database'!$D41&amp;" "&amp;'Compliance Database'!$K41&amp;" "&amp;'Compliance Database'!$L41&amp;" "&amp;'Compliance Database'!$M41&amp;" "&amp;'Compliance Database'!$N41&amp;" "&amp;'Compliance Database'!$O41))),OR(Query!$B$10&lt;&gt;"Yes",'Compliance Database'!$F41&lt;&gt;"None")),1,0)</f>
        <v/>
      </c>
      <c r="B41">
        <f>IF($A41=1,SUM($A$2:$A41),"")</f>
        <v/>
      </c>
      <c r="C41">
        <f>IF($A41=1,SUM($A$2:$A41),0)</f>
        <v/>
      </c>
    </row>
    <row r="42">
      <c r="A42">
        <f>IF(AND(OR(Query!$B$4="All",'Compliance Database'!$A42=Query!$B$4),OR(Query!$B$5="All",ISNUMBER(SEARCH(Query!$B$5,'Compliance Database'!$H42))),OR(Query!$B$6="All",ISNUMBER(SEARCH(Query!$B$6,'Compliance Database'!$I42))),OR(Query!$B$7="All",'Compliance Database'!$F42=Query!$B$7),OR(Query!$B$8="All",'Compliance Database'!$J42=Query!$B$8),OR(Query!$B$9="",ISNUMBER(SEARCH(Query!$B$9,'Compliance Database'!$D42&amp;" "&amp;'Compliance Database'!$K42&amp;" "&amp;'Compliance Database'!$L42&amp;" "&amp;'Compliance Database'!$M42&amp;" "&amp;'Compliance Database'!$N42&amp;" "&amp;'Compliance Database'!$O42))),OR(Query!$B$10&lt;&gt;"Yes",'Compliance Database'!$F42&lt;&gt;"None")),1,0)</f>
        <v/>
      </c>
      <c r="B42">
        <f>IF($A42=1,SUM($A$2:$A42),"")</f>
        <v/>
      </c>
      <c r="C42">
        <f>IF($A42=1,SUM($A$2:$A42),0)</f>
        <v/>
      </c>
    </row>
    <row r="43">
      <c r="A43">
        <f>IF(AND(OR(Query!$B$4="All",'Compliance Database'!$A43=Query!$B$4),OR(Query!$B$5="All",ISNUMBER(SEARCH(Query!$B$5,'Compliance Database'!$H43))),OR(Query!$B$6="All",ISNUMBER(SEARCH(Query!$B$6,'Compliance Database'!$I43))),OR(Query!$B$7="All",'Compliance Database'!$F43=Query!$B$7),OR(Query!$B$8="All",'Compliance Database'!$J43=Query!$B$8),OR(Query!$B$9="",ISNUMBER(SEARCH(Query!$B$9,'Compliance Database'!$D43&amp;" "&amp;'Compliance Database'!$K43&amp;" "&amp;'Compliance Database'!$L43&amp;" "&amp;'Compliance Database'!$M43&amp;" "&amp;'Compliance Database'!$N43&amp;" "&amp;'Compliance Database'!$O43))),OR(Query!$B$10&lt;&gt;"Yes",'Compliance Database'!$F43&lt;&gt;"None")),1,0)</f>
        <v/>
      </c>
      <c r="B43">
        <f>IF($A43=1,SUM($A$2:$A43),"")</f>
        <v/>
      </c>
      <c r="C43">
        <f>IF($A43=1,SUM($A$2:$A43),0)</f>
        <v/>
      </c>
    </row>
    <row r="44">
      <c r="A44">
        <f>IF(AND(OR(Query!$B$4="All",'Compliance Database'!$A44=Query!$B$4),OR(Query!$B$5="All",ISNUMBER(SEARCH(Query!$B$5,'Compliance Database'!$H44))),OR(Query!$B$6="All",ISNUMBER(SEARCH(Query!$B$6,'Compliance Database'!$I44))),OR(Query!$B$7="All",'Compliance Database'!$F44=Query!$B$7),OR(Query!$B$8="All",'Compliance Database'!$J44=Query!$B$8),OR(Query!$B$9="",ISNUMBER(SEARCH(Query!$B$9,'Compliance Database'!$D44&amp;" "&amp;'Compliance Database'!$K44&amp;" "&amp;'Compliance Database'!$L44&amp;" "&amp;'Compliance Database'!$M44&amp;" "&amp;'Compliance Database'!$N44&amp;" "&amp;'Compliance Database'!$O44))),OR(Query!$B$10&lt;&gt;"Yes",'Compliance Database'!$F44&lt;&gt;"None")),1,0)</f>
        <v/>
      </c>
      <c r="B44">
        <f>IF($A44=1,SUM($A$2:$A44),"")</f>
        <v/>
      </c>
      <c r="C44">
        <f>IF($A44=1,SUM($A$2:$A44),0)</f>
        <v/>
      </c>
    </row>
    <row r="45">
      <c r="A45">
        <f>IF(AND(OR(Query!$B$4="All",'Compliance Database'!$A45=Query!$B$4),OR(Query!$B$5="All",ISNUMBER(SEARCH(Query!$B$5,'Compliance Database'!$H45))),OR(Query!$B$6="All",ISNUMBER(SEARCH(Query!$B$6,'Compliance Database'!$I45))),OR(Query!$B$7="All",'Compliance Database'!$F45=Query!$B$7),OR(Query!$B$8="All",'Compliance Database'!$J45=Query!$B$8),OR(Query!$B$9="",ISNUMBER(SEARCH(Query!$B$9,'Compliance Database'!$D45&amp;" "&amp;'Compliance Database'!$K45&amp;" "&amp;'Compliance Database'!$L45&amp;" "&amp;'Compliance Database'!$M45&amp;" "&amp;'Compliance Database'!$N45&amp;" "&amp;'Compliance Database'!$O45))),OR(Query!$B$10&lt;&gt;"Yes",'Compliance Database'!$F45&lt;&gt;"None")),1,0)</f>
        <v/>
      </c>
      <c r="B45">
        <f>IF($A45=1,SUM($A$2:$A45),"")</f>
        <v/>
      </c>
      <c r="C45">
        <f>IF($A45=1,SUM($A$2:$A45),0)</f>
        <v/>
      </c>
    </row>
    <row r="46">
      <c r="A46">
        <f>IF(AND(OR(Query!$B$4="All",'Compliance Database'!$A46=Query!$B$4),OR(Query!$B$5="All",ISNUMBER(SEARCH(Query!$B$5,'Compliance Database'!$H46))),OR(Query!$B$6="All",ISNUMBER(SEARCH(Query!$B$6,'Compliance Database'!$I46))),OR(Query!$B$7="All",'Compliance Database'!$F46=Query!$B$7),OR(Query!$B$8="All",'Compliance Database'!$J46=Query!$B$8),OR(Query!$B$9="",ISNUMBER(SEARCH(Query!$B$9,'Compliance Database'!$D46&amp;" "&amp;'Compliance Database'!$K46&amp;" "&amp;'Compliance Database'!$L46&amp;" "&amp;'Compliance Database'!$M46&amp;" "&amp;'Compliance Database'!$N46&amp;" "&amp;'Compliance Database'!$O46))),OR(Query!$B$10&lt;&gt;"Yes",'Compliance Database'!$F46&lt;&gt;"None")),1,0)</f>
        <v/>
      </c>
      <c r="B46">
        <f>IF($A46=1,SUM($A$2:$A46),"")</f>
        <v/>
      </c>
      <c r="C46">
        <f>IF($A46=1,SUM($A$2:$A46),0)</f>
        <v/>
      </c>
    </row>
    <row r="47">
      <c r="A47">
        <f>IF(AND(OR(Query!$B$4="All",'Compliance Database'!$A47=Query!$B$4),OR(Query!$B$5="All",ISNUMBER(SEARCH(Query!$B$5,'Compliance Database'!$H47))),OR(Query!$B$6="All",ISNUMBER(SEARCH(Query!$B$6,'Compliance Database'!$I47))),OR(Query!$B$7="All",'Compliance Database'!$F47=Query!$B$7),OR(Query!$B$8="All",'Compliance Database'!$J47=Query!$B$8),OR(Query!$B$9="",ISNUMBER(SEARCH(Query!$B$9,'Compliance Database'!$D47&amp;" "&amp;'Compliance Database'!$K47&amp;" "&amp;'Compliance Database'!$L47&amp;" "&amp;'Compliance Database'!$M47&amp;" "&amp;'Compliance Database'!$N47&amp;" "&amp;'Compliance Database'!$O47))),OR(Query!$B$10&lt;&gt;"Yes",'Compliance Database'!$F47&lt;&gt;"None")),1,0)</f>
        <v/>
      </c>
      <c r="B47">
        <f>IF($A47=1,SUM($A$2:$A47),"")</f>
        <v/>
      </c>
      <c r="C47">
        <f>IF($A47=1,SUM($A$2:$A47),0)</f>
        <v/>
      </c>
    </row>
    <row r="48">
      <c r="A48">
        <f>IF(AND(OR(Query!$B$4="All",'Compliance Database'!$A48=Query!$B$4),OR(Query!$B$5="All",ISNUMBER(SEARCH(Query!$B$5,'Compliance Database'!$H48))),OR(Query!$B$6="All",ISNUMBER(SEARCH(Query!$B$6,'Compliance Database'!$I48))),OR(Query!$B$7="All",'Compliance Database'!$F48=Query!$B$7),OR(Query!$B$8="All",'Compliance Database'!$J48=Query!$B$8),OR(Query!$B$9="",ISNUMBER(SEARCH(Query!$B$9,'Compliance Database'!$D48&amp;" "&amp;'Compliance Database'!$K48&amp;" "&amp;'Compliance Database'!$L48&amp;" "&amp;'Compliance Database'!$M48&amp;" "&amp;'Compliance Database'!$N48&amp;" "&amp;'Compliance Database'!$O48))),OR(Query!$B$10&lt;&gt;"Yes",'Compliance Database'!$F48&lt;&gt;"None")),1,0)</f>
        <v/>
      </c>
      <c r="B48">
        <f>IF($A48=1,SUM($A$2:$A48),"")</f>
        <v/>
      </c>
      <c r="C48">
        <f>IF($A48=1,SUM($A$2:$A48),0)</f>
        <v/>
      </c>
    </row>
    <row r="49">
      <c r="A49">
        <f>IF(AND(OR(Query!$B$4="All",'Compliance Database'!$A49=Query!$B$4),OR(Query!$B$5="All",ISNUMBER(SEARCH(Query!$B$5,'Compliance Database'!$H49))),OR(Query!$B$6="All",ISNUMBER(SEARCH(Query!$B$6,'Compliance Database'!$I49))),OR(Query!$B$7="All",'Compliance Database'!$F49=Query!$B$7),OR(Query!$B$8="All",'Compliance Database'!$J49=Query!$B$8),OR(Query!$B$9="",ISNUMBER(SEARCH(Query!$B$9,'Compliance Database'!$D49&amp;" "&amp;'Compliance Database'!$K49&amp;" "&amp;'Compliance Database'!$L49&amp;" "&amp;'Compliance Database'!$M49&amp;" "&amp;'Compliance Database'!$N49&amp;" "&amp;'Compliance Database'!$O49))),OR(Query!$B$10&lt;&gt;"Yes",'Compliance Database'!$F49&lt;&gt;"None")),1,0)</f>
        <v/>
      </c>
      <c r="B49">
        <f>IF($A49=1,SUM($A$2:$A49),"")</f>
        <v/>
      </c>
      <c r="C49">
        <f>IF($A49=1,SUM($A$2:$A49),0)</f>
        <v/>
      </c>
    </row>
    <row r="50">
      <c r="A50">
        <f>IF(AND(OR(Query!$B$4="All",'Compliance Database'!$A50=Query!$B$4),OR(Query!$B$5="All",ISNUMBER(SEARCH(Query!$B$5,'Compliance Database'!$H50))),OR(Query!$B$6="All",ISNUMBER(SEARCH(Query!$B$6,'Compliance Database'!$I50))),OR(Query!$B$7="All",'Compliance Database'!$F50=Query!$B$7),OR(Query!$B$8="All",'Compliance Database'!$J50=Query!$B$8),OR(Query!$B$9="",ISNUMBER(SEARCH(Query!$B$9,'Compliance Database'!$D50&amp;" "&amp;'Compliance Database'!$K50&amp;" "&amp;'Compliance Database'!$L50&amp;" "&amp;'Compliance Database'!$M50&amp;" "&amp;'Compliance Database'!$N50&amp;" "&amp;'Compliance Database'!$O50))),OR(Query!$B$10&lt;&gt;"Yes",'Compliance Database'!$F50&lt;&gt;"None")),1,0)</f>
        <v/>
      </c>
      <c r="B50">
        <f>IF($A50=1,SUM($A$2:$A50),"")</f>
        <v/>
      </c>
      <c r="C50">
        <f>IF($A50=1,SUM($A$2:$A50),0)</f>
        <v/>
      </c>
    </row>
    <row r="51">
      <c r="A51">
        <f>IF(AND(OR(Query!$B$4="All",'Compliance Database'!$A51=Query!$B$4),OR(Query!$B$5="All",ISNUMBER(SEARCH(Query!$B$5,'Compliance Database'!$H51))),OR(Query!$B$6="All",ISNUMBER(SEARCH(Query!$B$6,'Compliance Database'!$I51))),OR(Query!$B$7="All",'Compliance Database'!$F51=Query!$B$7),OR(Query!$B$8="All",'Compliance Database'!$J51=Query!$B$8),OR(Query!$B$9="",ISNUMBER(SEARCH(Query!$B$9,'Compliance Database'!$D51&amp;" "&amp;'Compliance Database'!$K51&amp;" "&amp;'Compliance Database'!$L51&amp;" "&amp;'Compliance Database'!$M51&amp;" "&amp;'Compliance Database'!$N51&amp;" "&amp;'Compliance Database'!$O51))),OR(Query!$B$10&lt;&gt;"Yes",'Compliance Database'!$F51&lt;&gt;"None")),1,0)</f>
        <v/>
      </c>
      <c r="B51">
        <f>IF($A51=1,SUM($A$2:$A51),"")</f>
        <v/>
      </c>
      <c r="C51">
        <f>IF($A51=1,SUM($A$2:$A51),0)</f>
        <v/>
      </c>
    </row>
    <row r="52">
      <c r="A52">
        <f>IF(AND(OR(Query!$B$4="All",'Compliance Database'!$A52=Query!$B$4),OR(Query!$B$5="All",ISNUMBER(SEARCH(Query!$B$5,'Compliance Database'!$H52))),OR(Query!$B$6="All",ISNUMBER(SEARCH(Query!$B$6,'Compliance Database'!$I52))),OR(Query!$B$7="All",'Compliance Database'!$F52=Query!$B$7),OR(Query!$B$8="All",'Compliance Database'!$J52=Query!$B$8),OR(Query!$B$9="",ISNUMBER(SEARCH(Query!$B$9,'Compliance Database'!$D52&amp;" "&amp;'Compliance Database'!$K52&amp;" "&amp;'Compliance Database'!$L52&amp;" "&amp;'Compliance Database'!$M52&amp;" "&amp;'Compliance Database'!$N52&amp;" "&amp;'Compliance Database'!$O52))),OR(Query!$B$10&lt;&gt;"Yes",'Compliance Database'!$F52&lt;&gt;"None")),1,0)</f>
        <v/>
      </c>
      <c r="B52">
        <f>IF($A52=1,SUM($A$2:$A52),"")</f>
        <v/>
      </c>
      <c r="C52">
        <f>IF($A52=1,SUM($A$2:$A52),0)</f>
        <v/>
      </c>
    </row>
    <row r="53">
      <c r="A53">
        <f>IF(AND(OR(Query!$B$4="All",'Compliance Database'!$A53=Query!$B$4),OR(Query!$B$5="All",ISNUMBER(SEARCH(Query!$B$5,'Compliance Database'!$H53))),OR(Query!$B$6="All",ISNUMBER(SEARCH(Query!$B$6,'Compliance Database'!$I53))),OR(Query!$B$7="All",'Compliance Database'!$F53=Query!$B$7),OR(Query!$B$8="All",'Compliance Database'!$J53=Query!$B$8),OR(Query!$B$9="",ISNUMBER(SEARCH(Query!$B$9,'Compliance Database'!$D53&amp;" "&amp;'Compliance Database'!$K53&amp;" "&amp;'Compliance Database'!$L53&amp;" "&amp;'Compliance Database'!$M53&amp;" "&amp;'Compliance Database'!$N53&amp;" "&amp;'Compliance Database'!$O53))),OR(Query!$B$10&lt;&gt;"Yes",'Compliance Database'!$F53&lt;&gt;"None")),1,0)</f>
        <v/>
      </c>
      <c r="B53">
        <f>IF($A53=1,SUM($A$2:$A53),"")</f>
        <v/>
      </c>
      <c r="C53">
        <f>IF($A53=1,SUM($A$2:$A53),0)</f>
        <v/>
      </c>
    </row>
    <row r="54">
      <c r="A54">
        <f>IF(AND(OR(Query!$B$4="All",'Compliance Database'!$A54=Query!$B$4),OR(Query!$B$5="All",ISNUMBER(SEARCH(Query!$B$5,'Compliance Database'!$H54))),OR(Query!$B$6="All",ISNUMBER(SEARCH(Query!$B$6,'Compliance Database'!$I54))),OR(Query!$B$7="All",'Compliance Database'!$F54=Query!$B$7),OR(Query!$B$8="All",'Compliance Database'!$J54=Query!$B$8),OR(Query!$B$9="",ISNUMBER(SEARCH(Query!$B$9,'Compliance Database'!$D54&amp;" "&amp;'Compliance Database'!$K54&amp;" "&amp;'Compliance Database'!$L54&amp;" "&amp;'Compliance Database'!$M54&amp;" "&amp;'Compliance Database'!$N54&amp;" "&amp;'Compliance Database'!$O54))),OR(Query!$B$10&lt;&gt;"Yes",'Compliance Database'!$F54&lt;&gt;"None")),1,0)</f>
        <v/>
      </c>
      <c r="B54">
        <f>IF($A54=1,SUM($A$2:$A54),"")</f>
        <v/>
      </c>
      <c r="C54">
        <f>IF($A54=1,SUM($A$2:$A54),0)</f>
        <v/>
      </c>
    </row>
    <row r="55">
      <c r="A55">
        <f>IF(AND(OR(Query!$B$4="All",'Compliance Database'!$A55=Query!$B$4),OR(Query!$B$5="All",ISNUMBER(SEARCH(Query!$B$5,'Compliance Database'!$H55))),OR(Query!$B$6="All",ISNUMBER(SEARCH(Query!$B$6,'Compliance Database'!$I55))),OR(Query!$B$7="All",'Compliance Database'!$F55=Query!$B$7),OR(Query!$B$8="All",'Compliance Database'!$J55=Query!$B$8),OR(Query!$B$9="",ISNUMBER(SEARCH(Query!$B$9,'Compliance Database'!$D55&amp;" "&amp;'Compliance Database'!$K55&amp;" "&amp;'Compliance Database'!$L55&amp;" "&amp;'Compliance Database'!$M55&amp;" "&amp;'Compliance Database'!$N55&amp;" "&amp;'Compliance Database'!$O55))),OR(Query!$B$10&lt;&gt;"Yes",'Compliance Database'!$F55&lt;&gt;"None")),1,0)</f>
        <v/>
      </c>
      <c r="B55">
        <f>IF($A55=1,SUM($A$2:$A55),"")</f>
        <v/>
      </c>
      <c r="C55">
        <f>IF($A55=1,SUM($A$2:$A55),0)</f>
        <v/>
      </c>
    </row>
    <row r="56">
      <c r="A56">
        <f>IF(AND(OR(Query!$B$4="All",'Compliance Database'!$A56=Query!$B$4),OR(Query!$B$5="All",ISNUMBER(SEARCH(Query!$B$5,'Compliance Database'!$H56))),OR(Query!$B$6="All",ISNUMBER(SEARCH(Query!$B$6,'Compliance Database'!$I56))),OR(Query!$B$7="All",'Compliance Database'!$F56=Query!$B$7),OR(Query!$B$8="All",'Compliance Database'!$J56=Query!$B$8),OR(Query!$B$9="",ISNUMBER(SEARCH(Query!$B$9,'Compliance Database'!$D56&amp;" "&amp;'Compliance Database'!$K56&amp;" "&amp;'Compliance Database'!$L56&amp;" "&amp;'Compliance Database'!$M56&amp;" "&amp;'Compliance Database'!$N56&amp;" "&amp;'Compliance Database'!$O56))),OR(Query!$B$10&lt;&gt;"Yes",'Compliance Database'!$F56&lt;&gt;"None")),1,0)</f>
        <v/>
      </c>
      <c r="B56">
        <f>IF($A56=1,SUM($A$2:$A56),"")</f>
        <v/>
      </c>
      <c r="C56">
        <f>IF($A56=1,SUM($A$2:$A56),0)</f>
        <v/>
      </c>
    </row>
    <row r="57">
      <c r="A57">
        <f>IF(AND(OR(Query!$B$4="All",'Compliance Database'!$A57=Query!$B$4),OR(Query!$B$5="All",ISNUMBER(SEARCH(Query!$B$5,'Compliance Database'!$H57))),OR(Query!$B$6="All",ISNUMBER(SEARCH(Query!$B$6,'Compliance Database'!$I57))),OR(Query!$B$7="All",'Compliance Database'!$F57=Query!$B$7),OR(Query!$B$8="All",'Compliance Database'!$J57=Query!$B$8),OR(Query!$B$9="",ISNUMBER(SEARCH(Query!$B$9,'Compliance Database'!$D57&amp;" "&amp;'Compliance Database'!$K57&amp;" "&amp;'Compliance Database'!$L57&amp;" "&amp;'Compliance Database'!$M57&amp;" "&amp;'Compliance Database'!$N57&amp;" "&amp;'Compliance Database'!$O57))),OR(Query!$B$10&lt;&gt;"Yes",'Compliance Database'!$F57&lt;&gt;"None")),1,0)</f>
        <v/>
      </c>
      <c r="B57">
        <f>IF($A57=1,SUM($A$2:$A57),"")</f>
        <v/>
      </c>
      <c r="C57">
        <f>IF($A57=1,SUM($A$2:$A57),0)</f>
        <v/>
      </c>
    </row>
    <row r="58">
      <c r="A58">
        <f>IF(AND(OR(Query!$B$4="All",'Compliance Database'!$A58=Query!$B$4),OR(Query!$B$5="All",ISNUMBER(SEARCH(Query!$B$5,'Compliance Database'!$H58))),OR(Query!$B$6="All",ISNUMBER(SEARCH(Query!$B$6,'Compliance Database'!$I58))),OR(Query!$B$7="All",'Compliance Database'!$F58=Query!$B$7),OR(Query!$B$8="All",'Compliance Database'!$J58=Query!$B$8),OR(Query!$B$9="",ISNUMBER(SEARCH(Query!$B$9,'Compliance Database'!$D58&amp;" "&amp;'Compliance Database'!$K58&amp;" "&amp;'Compliance Database'!$L58&amp;" "&amp;'Compliance Database'!$M58&amp;" "&amp;'Compliance Database'!$N58&amp;" "&amp;'Compliance Database'!$O58))),OR(Query!$B$10&lt;&gt;"Yes",'Compliance Database'!$F58&lt;&gt;"None")),1,0)</f>
        <v/>
      </c>
      <c r="B58">
        <f>IF($A58=1,SUM($A$2:$A58),"")</f>
        <v/>
      </c>
      <c r="C58">
        <f>IF($A58=1,SUM($A$2:$A58),0)</f>
        <v/>
      </c>
    </row>
    <row r="59">
      <c r="A59">
        <f>IF(AND(OR(Query!$B$4="All",'Compliance Database'!$A59=Query!$B$4),OR(Query!$B$5="All",ISNUMBER(SEARCH(Query!$B$5,'Compliance Database'!$H59))),OR(Query!$B$6="All",ISNUMBER(SEARCH(Query!$B$6,'Compliance Database'!$I59))),OR(Query!$B$7="All",'Compliance Database'!$F59=Query!$B$7),OR(Query!$B$8="All",'Compliance Database'!$J59=Query!$B$8),OR(Query!$B$9="",ISNUMBER(SEARCH(Query!$B$9,'Compliance Database'!$D59&amp;" "&amp;'Compliance Database'!$K59&amp;" "&amp;'Compliance Database'!$L59&amp;" "&amp;'Compliance Database'!$M59&amp;" "&amp;'Compliance Database'!$N59&amp;" "&amp;'Compliance Database'!$O59))),OR(Query!$B$10&lt;&gt;"Yes",'Compliance Database'!$F59&lt;&gt;"None")),1,0)</f>
        <v/>
      </c>
      <c r="B59">
        <f>IF($A59=1,SUM($A$2:$A59),"")</f>
        <v/>
      </c>
      <c r="C59">
        <f>IF($A59=1,SUM($A$2:$A59),0)</f>
        <v/>
      </c>
    </row>
    <row r="60">
      <c r="A60">
        <f>IF(AND(OR(Query!$B$4="All",'Compliance Database'!$A60=Query!$B$4),OR(Query!$B$5="All",ISNUMBER(SEARCH(Query!$B$5,'Compliance Database'!$H60))),OR(Query!$B$6="All",ISNUMBER(SEARCH(Query!$B$6,'Compliance Database'!$I60))),OR(Query!$B$7="All",'Compliance Database'!$F60=Query!$B$7),OR(Query!$B$8="All",'Compliance Database'!$J60=Query!$B$8),OR(Query!$B$9="",ISNUMBER(SEARCH(Query!$B$9,'Compliance Database'!$D60&amp;" "&amp;'Compliance Database'!$K60&amp;" "&amp;'Compliance Database'!$L60&amp;" "&amp;'Compliance Database'!$M60&amp;" "&amp;'Compliance Database'!$N60&amp;" "&amp;'Compliance Database'!$O60))),OR(Query!$B$10&lt;&gt;"Yes",'Compliance Database'!$F60&lt;&gt;"None")),1,0)</f>
        <v/>
      </c>
      <c r="B60">
        <f>IF($A60=1,SUM($A$2:$A60),"")</f>
        <v/>
      </c>
      <c r="C60">
        <f>IF($A60=1,SUM($A$2:$A60),0)</f>
        <v/>
      </c>
    </row>
    <row r="61">
      <c r="A61">
        <f>IF(AND(OR(Query!$B$4="All",'Compliance Database'!$A61=Query!$B$4),OR(Query!$B$5="All",ISNUMBER(SEARCH(Query!$B$5,'Compliance Database'!$H61))),OR(Query!$B$6="All",ISNUMBER(SEARCH(Query!$B$6,'Compliance Database'!$I61))),OR(Query!$B$7="All",'Compliance Database'!$F61=Query!$B$7),OR(Query!$B$8="All",'Compliance Database'!$J61=Query!$B$8),OR(Query!$B$9="",ISNUMBER(SEARCH(Query!$B$9,'Compliance Database'!$D61&amp;" "&amp;'Compliance Database'!$K61&amp;" "&amp;'Compliance Database'!$L61&amp;" "&amp;'Compliance Database'!$M61&amp;" "&amp;'Compliance Database'!$N61&amp;" "&amp;'Compliance Database'!$O61))),OR(Query!$B$10&lt;&gt;"Yes",'Compliance Database'!$F61&lt;&gt;"None")),1,0)</f>
        <v/>
      </c>
      <c r="B61">
        <f>IF($A61=1,SUM($A$2:$A61),"")</f>
        <v/>
      </c>
      <c r="C61">
        <f>IF($A61=1,SUM($A$2:$A61),0)</f>
        <v/>
      </c>
    </row>
    <row r="62">
      <c r="A62">
        <f>IF(AND(OR(Query!$B$4="All",'Compliance Database'!$A62=Query!$B$4),OR(Query!$B$5="All",ISNUMBER(SEARCH(Query!$B$5,'Compliance Database'!$H62))),OR(Query!$B$6="All",ISNUMBER(SEARCH(Query!$B$6,'Compliance Database'!$I62))),OR(Query!$B$7="All",'Compliance Database'!$F62=Query!$B$7),OR(Query!$B$8="All",'Compliance Database'!$J62=Query!$B$8),OR(Query!$B$9="",ISNUMBER(SEARCH(Query!$B$9,'Compliance Database'!$D62&amp;" "&amp;'Compliance Database'!$K62&amp;" "&amp;'Compliance Database'!$L62&amp;" "&amp;'Compliance Database'!$M62&amp;" "&amp;'Compliance Database'!$N62&amp;" "&amp;'Compliance Database'!$O62))),OR(Query!$B$10&lt;&gt;"Yes",'Compliance Database'!$F62&lt;&gt;"None")),1,0)</f>
        <v/>
      </c>
      <c r="B62">
        <f>IF($A62=1,SUM($A$2:$A62),"")</f>
        <v/>
      </c>
      <c r="C62">
        <f>IF($A62=1,SUM($A$2:$A62),0)</f>
        <v/>
      </c>
    </row>
    <row r="63">
      <c r="A63">
        <f>IF(AND(OR(Query!$B$4="All",'Compliance Database'!$A63=Query!$B$4),OR(Query!$B$5="All",ISNUMBER(SEARCH(Query!$B$5,'Compliance Database'!$H63))),OR(Query!$B$6="All",ISNUMBER(SEARCH(Query!$B$6,'Compliance Database'!$I63))),OR(Query!$B$7="All",'Compliance Database'!$F63=Query!$B$7),OR(Query!$B$8="All",'Compliance Database'!$J63=Query!$B$8),OR(Query!$B$9="",ISNUMBER(SEARCH(Query!$B$9,'Compliance Database'!$D63&amp;" "&amp;'Compliance Database'!$K63&amp;" "&amp;'Compliance Database'!$L63&amp;" "&amp;'Compliance Database'!$M63&amp;" "&amp;'Compliance Database'!$N63&amp;" "&amp;'Compliance Database'!$O63))),OR(Query!$B$10&lt;&gt;"Yes",'Compliance Database'!$F63&lt;&gt;"None")),1,0)</f>
        <v/>
      </c>
      <c r="B63">
        <f>IF($A63=1,SUM($A$2:$A63),"")</f>
        <v/>
      </c>
      <c r="C63">
        <f>IF($A63=1,SUM($A$2:$A63),0)</f>
        <v/>
      </c>
    </row>
    <row r="64">
      <c r="A64">
        <f>IF(AND(OR(Query!$B$4="All",'Compliance Database'!$A64=Query!$B$4),OR(Query!$B$5="All",ISNUMBER(SEARCH(Query!$B$5,'Compliance Database'!$H64))),OR(Query!$B$6="All",ISNUMBER(SEARCH(Query!$B$6,'Compliance Database'!$I64))),OR(Query!$B$7="All",'Compliance Database'!$F64=Query!$B$7),OR(Query!$B$8="All",'Compliance Database'!$J64=Query!$B$8),OR(Query!$B$9="",ISNUMBER(SEARCH(Query!$B$9,'Compliance Database'!$D64&amp;" "&amp;'Compliance Database'!$K64&amp;" "&amp;'Compliance Database'!$L64&amp;" "&amp;'Compliance Database'!$M64&amp;" "&amp;'Compliance Database'!$N64&amp;" "&amp;'Compliance Database'!$O64))),OR(Query!$B$10&lt;&gt;"Yes",'Compliance Database'!$F64&lt;&gt;"None")),1,0)</f>
        <v/>
      </c>
      <c r="B64">
        <f>IF($A64=1,SUM($A$2:$A64),"")</f>
        <v/>
      </c>
      <c r="C64">
        <f>IF($A64=1,SUM($A$2:$A64),0)</f>
        <v/>
      </c>
    </row>
    <row r="65">
      <c r="A65">
        <f>IF(AND(OR(Query!$B$4="All",'Compliance Database'!$A65=Query!$B$4),OR(Query!$B$5="All",ISNUMBER(SEARCH(Query!$B$5,'Compliance Database'!$H65))),OR(Query!$B$6="All",ISNUMBER(SEARCH(Query!$B$6,'Compliance Database'!$I65))),OR(Query!$B$7="All",'Compliance Database'!$F65=Query!$B$7),OR(Query!$B$8="All",'Compliance Database'!$J65=Query!$B$8),OR(Query!$B$9="",ISNUMBER(SEARCH(Query!$B$9,'Compliance Database'!$D65&amp;" "&amp;'Compliance Database'!$K65&amp;" "&amp;'Compliance Database'!$L65&amp;" "&amp;'Compliance Database'!$M65&amp;" "&amp;'Compliance Database'!$N65&amp;" "&amp;'Compliance Database'!$O65))),OR(Query!$B$10&lt;&gt;"Yes",'Compliance Database'!$F65&lt;&gt;"None")),1,0)</f>
        <v/>
      </c>
      <c r="B65">
        <f>IF($A65=1,SUM($A$2:$A65),"")</f>
        <v/>
      </c>
      <c r="C65">
        <f>IF($A65=1,SUM($A$2:$A65),0)</f>
        <v/>
      </c>
    </row>
    <row r="66">
      <c r="A66">
        <f>IF(AND(OR(Query!$B$4="All",'Compliance Database'!$A66=Query!$B$4),OR(Query!$B$5="All",ISNUMBER(SEARCH(Query!$B$5,'Compliance Database'!$H66))),OR(Query!$B$6="All",ISNUMBER(SEARCH(Query!$B$6,'Compliance Database'!$I66))),OR(Query!$B$7="All",'Compliance Database'!$F66=Query!$B$7),OR(Query!$B$8="All",'Compliance Database'!$J66=Query!$B$8),OR(Query!$B$9="",ISNUMBER(SEARCH(Query!$B$9,'Compliance Database'!$D66&amp;" "&amp;'Compliance Database'!$K66&amp;" "&amp;'Compliance Database'!$L66&amp;" "&amp;'Compliance Database'!$M66&amp;" "&amp;'Compliance Database'!$N66&amp;" "&amp;'Compliance Database'!$O66))),OR(Query!$B$10&lt;&gt;"Yes",'Compliance Database'!$F66&lt;&gt;"None")),1,0)</f>
        <v/>
      </c>
      <c r="B66">
        <f>IF($A66=1,SUM($A$2:$A66),"")</f>
        <v/>
      </c>
      <c r="C66">
        <f>IF($A66=1,SUM($A$2:$A66),0)</f>
        <v/>
      </c>
    </row>
    <row r="67">
      <c r="A67">
        <f>IF(AND(OR(Query!$B$4="All",'Compliance Database'!$A67=Query!$B$4),OR(Query!$B$5="All",ISNUMBER(SEARCH(Query!$B$5,'Compliance Database'!$H67))),OR(Query!$B$6="All",ISNUMBER(SEARCH(Query!$B$6,'Compliance Database'!$I67))),OR(Query!$B$7="All",'Compliance Database'!$F67=Query!$B$7),OR(Query!$B$8="All",'Compliance Database'!$J67=Query!$B$8),OR(Query!$B$9="",ISNUMBER(SEARCH(Query!$B$9,'Compliance Database'!$D67&amp;" "&amp;'Compliance Database'!$K67&amp;" "&amp;'Compliance Database'!$L67&amp;" "&amp;'Compliance Database'!$M67&amp;" "&amp;'Compliance Database'!$N67&amp;" "&amp;'Compliance Database'!$O67))),OR(Query!$B$10&lt;&gt;"Yes",'Compliance Database'!$F67&lt;&gt;"None")),1,0)</f>
        <v/>
      </c>
      <c r="B67">
        <f>IF($A67=1,SUM($A$2:$A67),"")</f>
        <v/>
      </c>
      <c r="C67">
        <f>IF($A67=1,SUM($A$2:$A67),0)</f>
        <v/>
      </c>
    </row>
    <row r="68">
      <c r="A68">
        <f>IF(AND(OR(Query!$B$4="All",'Compliance Database'!$A68=Query!$B$4),OR(Query!$B$5="All",ISNUMBER(SEARCH(Query!$B$5,'Compliance Database'!$H68))),OR(Query!$B$6="All",ISNUMBER(SEARCH(Query!$B$6,'Compliance Database'!$I68))),OR(Query!$B$7="All",'Compliance Database'!$F68=Query!$B$7),OR(Query!$B$8="All",'Compliance Database'!$J68=Query!$B$8),OR(Query!$B$9="",ISNUMBER(SEARCH(Query!$B$9,'Compliance Database'!$D68&amp;" "&amp;'Compliance Database'!$K68&amp;" "&amp;'Compliance Database'!$L68&amp;" "&amp;'Compliance Database'!$M68&amp;" "&amp;'Compliance Database'!$N68&amp;" "&amp;'Compliance Database'!$O68))),OR(Query!$B$10&lt;&gt;"Yes",'Compliance Database'!$F68&lt;&gt;"None")),1,0)</f>
        <v/>
      </c>
      <c r="B68">
        <f>IF($A68=1,SUM($A$2:$A68),"")</f>
        <v/>
      </c>
      <c r="C68">
        <f>IF($A68=1,SUM($A$2:$A68),0)</f>
        <v/>
      </c>
    </row>
    <row r="69">
      <c r="A69">
        <f>IF(AND(OR(Query!$B$4="All",'Compliance Database'!$A69=Query!$B$4),OR(Query!$B$5="All",ISNUMBER(SEARCH(Query!$B$5,'Compliance Database'!$H69))),OR(Query!$B$6="All",ISNUMBER(SEARCH(Query!$B$6,'Compliance Database'!$I69))),OR(Query!$B$7="All",'Compliance Database'!$F69=Query!$B$7),OR(Query!$B$8="All",'Compliance Database'!$J69=Query!$B$8),OR(Query!$B$9="",ISNUMBER(SEARCH(Query!$B$9,'Compliance Database'!$D69&amp;" "&amp;'Compliance Database'!$K69&amp;" "&amp;'Compliance Database'!$L69&amp;" "&amp;'Compliance Database'!$M69&amp;" "&amp;'Compliance Database'!$N69&amp;" "&amp;'Compliance Database'!$O69))),OR(Query!$B$10&lt;&gt;"Yes",'Compliance Database'!$F69&lt;&gt;"None")),1,0)</f>
        <v/>
      </c>
      <c r="B69">
        <f>IF($A69=1,SUM($A$2:$A69),"")</f>
        <v/>
      </c>
      <c r="C69">
        <f>IF($A69=1,SUM($A$2:$A69),0)</f>
        <v/>
      </c>
    </row>
    <row r="70">
      <c r="A70">
        <f>IF(AND(OR(Query!$B$4="All",'Compliance Database'!$A70=Query!$B$4),OR(Query!$B$5="All",ISNUMBER(SEARCH(Query!$B$5,'Compliance Database'!$H70))),OR(Query!$B$6="All",ISNUMBER(SEARCH(Query!$B$6,'Compliance Database'!$I70))),OR(Query!$B$7="All",'Compliance Database'!$F70=Query!$B$7),OR(Query!$B$8="All",'Compliance Database'!$J70=Query!$B$8),OR(Query!$B$9="",ISNUMBER(SEARCH(Query!$B$9,'Compliance Database'!$D70&amp;" "&amp;'Compliance Database'!$K70&amp;" "&amp;'Compliance Database'!$L70&amp;" "&amp;'Compliance Database'!$M70&amp;" "&amp;'Compliance Database'!$N70&amp;" "&amp;'Compliance Database'!$O70))),OR(Query!$B$10&lt;&gt;"Yes",'Compliance Database'!$F70&lt;&gt;"None")),1,0)</f>
        <v/>
      </c>
      <c r="B70">
        <f>IF($A70=1,SUM($A$2:$A70),"")</f>
        <v/>
      </c>
      <c r="C70">
        <f>IF($A70=1,SUM($A$2:$A70),0)</f>
        <v/>
      </c>
    </row>
    <row r="71">
      <c r="A71">
        <f>IF(AND(OR(Query!$B$4="All",'Compliance Database'!$A71=Query!$B$4),OR(Query!$B$5="All",ISNUMBER(SEARCH(Query!$B$5,'Compliance Database'!$H71))),OR(Query!$B$6="All",ISNUMBER(SEARCH(Query!$B$6,'Compliance Database'!$I71))),OR(Query!$B$7="All",'Compliance Database'!$F71=Query!$B$7),OR(Query!$B$8="All",'Compliance Database'!$J71=Query!$B$8),OR(Query!$B$9="",ISNUMBER(SEARCH(Query!$B$9,'Compliance Database'!$D71&amp;" "&amp;'Compliance Database'!$K71&amp;" "&amp;'Compliance Database'!$L71&amp;" "&amp;'Compliance Database'!$M71&amp;" "&amp;'Compliance Database'!$N71&amp;" "&amp;'Compliance Database'!$O71))),OR(Query!$B$10&lt;&gt;"Yes",'Compliance Database'!$F71&lt;&gt;"None")),1,0)</f>
        <v/>
      </c>
      <c r="B71">
        <f>IF($A71=1,SUM($A$2:$A71),"")</f>
        <v/>
      </c>
      <c r="C71">
        <f>IF($A71=1,SUM($A$2:$A71),0)</f>
        <v/>
      </c>
    </row>
    <row r="72">
      <c r="A72">
        <f>IF(AND(OR(Query!$B$4="All",'Compliance Database'!$A72=Query!$B$4),OR(Query!$B$5="All",ISNUMBER(SEARCH(Query!$B$5,'Compliance Database'!$H72))),OR(Query!$B$6="All",ISNUMBER(SEARCH(Query!$B$6,'Compliance Database'!$I72))),OR(Query!$B$7="All",'Compliance Database'!$F72=Query!$B$7),OR(Query!$B$8="All",'Compliance Database'!$J72=Query!$B$8),OR(Query!$B$9="",ISNUMBER(SEARCH(Query!$B$9,'Compliance Database'!$D72&amp;" "&amp;'Compliance Database'!$K72&amp;" "&amp;'Compliance Database'!$L72&amp;" "&amp;'Compliance Database'!$M72&amp;" "&amp;'Compliance Database'!$N72&amp;" "&amp;'Compliance Database'!$O72))),OR(Query!$B$10&lt;&gt;"Yes",'Compliance Database'!$F72&lt;&gt;"None")),1,0)</f>
        <v/>
      </c>
      <c r="B72">
        <f>IF($A72=1,SUM($A$2:$A72),"")</f>
        <v/>
      </c>
      <c r="C72">
        <f>IF($A72=1,SUM($A$2:$A72),0)</f>
        <v/>
      </c>
    </row>
    <row r="73">
      <c r="A73">
        <f>IF(AND(OR(Query!$B$4="All",'Compliance Database'!$A73=Query!$B$4),OR(Query!$B$5="All",ISNUMBER(SEARCH(Query!$B$5,'Compliance Database'!$H73))),OR(Query!$B$6="All",ISNUMBER(SEARCH(Query!$B$6,'Compliance Database'!$I73))),OR(Query!$B$7="All",'Compliance Database'!$F73=Query!$B$7),OR(Query!$B$8="All",'Compliance Database'!$J73=Query!$B$8),OR(Query!$B$9="",ISNUMBER(SEARCH(Query!$B$9,'Compliance Database'!$D73&amp;" "&amp;'Compliance Database'!$K73&amp;" "&amp;'Compliance Database'!$L73&amp;" "&amp;'Compliance Database'!$M73&amp;" "&amp;'Compliance Database'!$N73&amp;" "&amp;'Compliance Database'!$O73))),OR(Query!$B$10&lt;&gt;"Yes",'Compliance Database'!$F73&lt;&gt;"None")),1,0)</f>
        <v/>
      </c>
      <c r="B73">
        <f>IF($A73=1,SUM($A$2:$A73),"")</f>
        <v/>
      </c>
      <c r="C73">
        <f>IF($A73=1,SUM($A$2:$A73),0)</f>
        <v/>
      </c>
    </row>
    <row r="74">
      <c r="A74">
        <f>IF(AND(OR(Query!$B$4="All",'Compliance Database'!$A74=Query!$B$4),OR(Query!$B$5="All",ISNUMBER(SEARCH(Query!$B$5,'Compliance Database'!$H74))),OR(Query!$B$6="All",ISNUMBER(SEARCH(Query!$B$6,'Compliance Database'!$I74))),OR(Query!$B$7="All",'Compliance Database'!$F74=Query!$B$7),OR(Query!$B$8="All",'Compliance Database'!$J74=Query!$B$8),OR(Query!$B$9="",ISNUMBER(SEARCH(Query!$B$9,'Compliance Database'!$D74&amp;" "&amp;'Compliance Database'!$K74&amp;" "&amp;'Compliance Database'!$L74&amp;" "&amp;'Compliance Database'!$M74&amp;" "&amp;'Compliance Database'!$N74&amp;" "&amp;'Compliance Database'!$O74))),OR(Query!$B$10&lt;&gt;"Yes",'Compliance Database'!$F74&lt;&gt;"None")),1,0)</f>
        <v/>
      </c>
      <c r="B74">
        <f>IF($A74=1,SUM($A$2:$A74),"")</f>
        <v/>
      </c>
      <c r="C74">
        <f>IF($A74=1,SUM($A$2:$A74),0)</f>
        <v/>
      </c>
    </row>
    <row r="75">
      <c r="A75">
        <f>IF(AND(OR(Query!$B$4="All",'Compliance Database'!$A75=Query!$B$4),OR(Query!$B$5="All",ISNUMBER(SEARCH(Query!$B$5,'Compliance Database'!$H75))),OR(Query!$B$6="All",ISNUMBER(SEARCH(Query!$B$6,'Compliance Database'!$I75))),OR(Query!$B$7="All",'Compliance Database'!$F75=Query!$B$7),OR(Query!$B$8="All",'Compliance Database'!$J75=Query!$B$8),OR(Query!$B$9="",ISNUMBER(SEARCH(Query!$B$9,'Compliance Database'!$D75&amp;" "&amp;'Compliance Database'!$K75&amp;" "&amp;'Compliance Database'!$L75&amp;" "&amp;'Compliance Database'!$M75&amp;" "&amp;'Compliance Database'!$N75&amp;" "&amp;'Compliance Database'!$O75))),OR(Query!$B$10&lt;&gt;"Yes",'Compliance Database'!$F75&lt;&gt;"None")),1,0)</f>
        <v/>
      </c>
      <c r="B75">
        <f>IF($A75=1,SUM($A$2:$A75),"")</f>
        <v/>
      </c>
      <c r="C75">
        <f>IF($A75=1,SUM($A$2:$A75),0)</f>
        <v/>
      </c>
    </row>
    <row r="76">
      <c r="A76">
        <f>IF(AND(OR(Query!$B$4="All",'Compliance Database'!$A76=Query!$B$4),OR(Query!$B$5="All",ISNUMBER(SEARCH(Query!$B$5,'Compliance Database'!$H76))),OR(Query!$B$6="All",ISNUMBER(SEARCH(Query!$B$6,'Compliance Database'!$I76))),OR(Query!$B$7="All",'Compliance Database'!$F76=Query!$B$7),OR(Query!$B$8="All",'Compliance Database'!$J76=Query!$B$8),OR(Query!$B$9="",ISNUMBER(SEARCH(Query!$B$9,'Compliance Database'!$D76&amp;" "&amp;'Compliance Database'!$K76&amp;" "&amp;'Compliance Database'!$L76&amp;" "&amp;'Compliance Database'!$M76&amp;" "&amp;'Compliance Database'!$N76&amp;" "&amp;'Compliance Database'!$O76))),OR(Query!$B$10&lt;&gt;"Yes",'Compliance Database'!$F76&lt;&gt;"None")),1,0)</f>
        <v/>
      </c>
      <c r="B76">
        <f>IF($A76=1,SUM($A$2:$A76),"")</f>
        <v/>
      </c>
      <c r="C76">
        <f>IF($A76=1,SUM($A$2:$A76),0)</f>
        <v/>
      </c>
    </row>
    <row r="77">
      <c r="A77">
        <f>IF(AND(OR(Query!$B$4="All",'Compliance Database'!$A77=Query!$B$4),OR(Query!$B$5="All",ISNUMBER(SEARCH(Query!$B$5,'Compliance Database'!$H77))),OR(Query!$B$6="All",ISNUMBER(SEARCH(Query!$B$6,'Compliance Database'!$I77))),OR(Query!$B$7="All",'Compliance Database'!$F77=Query!$B$7),OR(Query!$B$8="All",'Compliance Database'!$J77=Query!$B$8),OR(Query!$B$9="",ISNUMBER(SEARCH(Query!$B$9,'Compliance Database'!$D77&amp;" "&amp;'Compliance Database'!$K77&amp;" "&amp;'Compliance Database'!$L77&amp;" "&amp;'Compliance Database'!$M77&amp;" "&amp;'Compliance Database'!$N77&amp;" "&amp;'Compliance Database'!$O77))),OR(Query!$B$10&lt;&gt;"Yes",'Compliance Database'!$F77&lt;&gt;"None")),1,0)</f>
        <v/>
      </c>
      <c r="B77">
        <f>IF($A77=1,SUM($A$2:$A77),"")</f>
        <v/>
      </c>
      <c r="C77">
        <f>IF($A77=1,SUM($A$2:$A77),0)</f>
        <v/>
      </c>
    </row>
    <row r="78">
      <c r="A78">
        <f>IF(AND(OR(Query!$B$4="All",'Compliance Database'!$A78=Query!$B$4),OR(Query!$B$5="All",ISNUMBER(SEARCH(Query!$B$5,'Compliance Database'!$H78))),OR(Query!$B$6="All",ISNUMBER(SEARCH(Query!$B$6,'Compliance Database'!$I78))),OR(Query!$B$7="All",'Compliance Database'!$F78=Query!$B$7),OR(Query!$B$8="All",'Compliance Database'!$J78=Query!$B$8),OR(Query!$B$9="",ISNUMBER(SEARCH(Query!$B$9,'Compliance Database'!$D78&amp;" "&amp;'Compliance Database'!$K78&amp;" "&amp;'Compliance Database'!$L78&amp;" "&amp;'Compliance Database'!$M78&amp;" "&amp;'Compliance Database'!$N78&amp;" "&amp;'Compliance Database'!$O78))),OR(Query!$B$10&lt;&gt;"Yes",'Compliance Database'!$F78&lt;&gt;"None")),1,0)</f>
        <v/>
      </c>
      <c r="B78">
        <f>IF($A78=1,SUM($A$2:$A78),"")</f>
        <v/>
      </c>
      <c r="C78">
        <f>IF($A78=1,SUM($A$2:$A78),0)</f>
        <v/>
      </c>
    </row>
    <row r="79">
      <c r="A79">
        <f>IF(AND(OR(Query!$B$4="All",'Compliance Database'!$A79=Query!$B$4),OR(Query!$B$5="All",ISNUMBER(SEARCH(Query!$B$5,'Compliance Database'!$H79))),OR(Query!$B$6="All",ISNUMBER(SEARCH(Query!$B$6,'Compliance Database'!$I79))),OR(Query!$B$7="All",'Compliance Database'!$F79=Query!$B$7),OR(Query!$B$8="All",'Compliance Database'!$J79=Query!$B$8),OR(Query!$B$9="",ISNUMBER(SEARCH(Query!$B$9,'Compliance Database'!$D79&amp;" "&amp;'Compliance Database'!$K79&amp;" "&amp;'Compliance Database'!$L79&amp;" "&amp;'Compliance Database'!$M79&amp;" "&amp;'Compliance Database'!$N79&amp;" "&amp;'Compliance Database'!$O79))),OR(Query!$B$10&lt;&gt;"Yes",'Compliance Database'!$F79&lt;&gt;"None")),1,0)</f>
        <v/>
      </c>
      <c r="B79">
        <f>IF($A79=1,SUM($A$2:$A79),"")</f>
        <v/>
      </c>
      <c r="C79">
        <f>IF($A79=1,SUM($A$2:$A79),0)</f>
        <v/>
      </c>
    </row>
    <row r="80">
      <c r="A80">
        <f>IF(AND(OR(Query!$B$4="All",'Compliance Database'!$A80=Query!$B$4),OR(Query!$B$5="All",ISNUMBER(SEARCH(Query!$B$5,'Compliance Database'!$H80))),OR(Query!$B$6="All",ISNUMBER(SEARCH(Query!$B$6,'Compliance Database'!$I80))),OR(Query!$B$7="All",'Compliance Database'!$F80=Query!$B$7),OR(Query!$B$8="All",'Compliance Database'!$J80=Query!$B$8),OR(Query!$B$9="",ISNUMBER(SEARCH(Query!$B$9,'Compliance Database'!$D80&amp;" "&amp;'Compliance Database'!$K80&amp;" "&amp;'Compliance Database'!$L80&amp;" "&amp;'Compliance Database'!$M80&amp;" "&amp;'Compliance Database'!$N80&amp;" "&amp;'Compliance Database'!$O80))),OR(Query!$B$10&lt;&gt;"Yes",'Compliance Database'!$F80&lt;&gt;"None")),1,0)</f>
        <v/>
      </c>
      <c r="B80">
        <f>IF($A80=1,SUM($A$2:$A80),"")</f>
        <v/>
      </c>
      <c r="C80">
        <f>IF($A80=1,SUM($A$2:$A80),0)</f>
        <v/>
      </c>
    </row>
    <row r="81">
      <c r="A81">
        <f>IF(AND(OR(Query!$B$4="All",'Compliance Database'!$A81=Query!$B$4),OR(Query!$B$5="All",ISNUMBER(SEARCH(Query!$B$5,'Compliance Database'!$H81))),OR(Query!$B$6="All",ISNUMBER(SEARCH(Query!$B$6,'Compliance Database'!$I81))),OR(Query!$B$7="All",'Compliance Database'!$F81=Query!$B$7),OR(Query!$B$8="All",'Compliance Database'!$J81=Query!$B$8),OR(Query!$B$9="",ISNUMBER(SEARCH(Query!$B$9,'Compliance Database'!$D81&amp;" "&amp;'Compliance Database'!$K81&amp;" "&amp;'Compliance Database'!$L81&amp;" "&amp;'Compliance Database'!$M81&amp;" "&amp;'Compliance Database'!$N81&amp;" "&amp;'Compliance Database'!$O81))),OR(Query!$B$10&lt;&gt;"Yes",'Compliance Database'!$F81&lt;&gt;"None")),1,0)</f>
        <v/>
      </c>
      <c r="B81">
        <f>IF($A81=1,SUM($A$2:$A81),"")</f>
        <v/>
      </c>
      <c r="C81">
        <f>IF($A81=1,SUM($A$2:$A81),0)</f>
        <v/>
      </c>
    </row>
    <row r="82">
      <c r="A82">
        <f>IF(AND(OR(Query!$B$4="All",'Compliance Database'!$A82=Query!$B$4),OR(Query!$B$5="All",ISNUMBER(SEARCH(Query!$B$5,'Compliance Database'!$H82))),OR(Query!$B$6="All",ISNUMBER(SEARCH(Query!$B$6,'Compliance Database'!$I82))),OR(Query!$B$7="All",'Compliance Database'!$F82=Query!$B$7),OR(Query!$B$8="All",'Compliance Database'!$J82=Query!$B$8),OR(Query!$B$9="",ISNUMBER(SEARCH(Query!$B$9,'Compliance Database'!$D82&amp;" "&amp;'Compliance Database'!$K82&amp;" "&amp;'Compliance Database'!$L82&amp;" "&amp;'Compliance Database'!$M82&amp;" "&amp;'Compliance Database'!$N82&amp;" "&amp;'Compliance Database'!$O82))),OR(Query!$B$10&lt;&gt;"Yes",'Compliance Database'!$F82&lt;&gt;"None")),1,0)</f>
        <v/>
      </c>
      <c r="B82">
        <f>IF($A82=1,SUM($A$2:$A82),"")</f>
        <v/>
      </c>
      <c r="C82">
        <f>IF($A82=1,SUM($A$2:$A82),0)</f>
        <v/>
      </c>
    </row>
    <row r="83">
      <c r="A83">
        <f>IF(AND(OR(Query!$B$4="All",'Compliance Database'!$A83=Query!$B$4),OR(Query!$B$5="All",ISNUMBER(SEARCH(Query!$B$5,'Compliance Database'!$H83))),OR(Query!$B$6="All",ISNUMBER(SEARCH(Query!$B$6,'Compliance Database'!$I83))),OR(Query!$B$7="All",'Compliance Database'!$F83=Query!$B$7),OR(Query!$B$8="All",'Compliance Database'!$J83=Query!$B$8),OR(Query!$B$9="",ISNUMBER(SEARCH(Query!$B$9,'Compliance Database'!$D83&amp;" "&amp;'Compliance Database'!$K83&amp;" "&amp;'Compliance Database'!$L83&amp;" "&amp;'Compliance Database'!$M83&amp;" "&amp;'Compliance Database'!$N83&amp;" "&amp;'Compliance Database'!$O83))),OR(Query!$B$10&lt;&gt;"Yes",'Compliance Database'!$F83&lt;&gt;"None")),1,0)</f>
        <v/>
      </c>
      <c r="B83">
        <f>IF($A83=1,SUM($A$2:$A83),"")</f>
        <v/>
      </c>
      <c r="C83">
        <f>IF($A83=1,SUM($A$2:$A83),0)</f>
        <v/>
      </c>
    </row>
    <row r="84">
      <c r="A84">
        <f>IF(AND(OR(Query!$B$4="All",'Compliance Database'!$A84=Query!$B$4),OR(Query!$B$5="All",ISNUMBER(SEARCH(Query!$B$5,'Compliance Database'!$H84))),OR(Query!$B$6="All",ISNUMBER(SEARCH(Query!$B$6,'Compliance Database'!$I84))),OR(Query!$B$7="All",'Compliance Database'!$F84=Query!$B$7),OR(Query!$B$8="All",'Compliance Database'!$J84=Query!$B$8),OR(Query!$B$9="",ISNUMBER(SEARCH(Query!$B$9,'Compliance Database'!$D84&amp;" "&amp;'Compliance Database'!$K84&amp;" "&amp;'Compliance Database'!$L84&amp;" "&amp;'Compliance Database'!$M84&amp;" "&amp;'Compliance Database'!$N84&amp;" "&amp;'Compliance Database'!$O84))),OR(Query!$B$10&lt;&gt;"Yes",'Compliance Database'!$F84&lt;&gt;"None")),1,0)</f>
        <v/>
      </c>
      <c r="B84">
        <f>IF($A84=1,SUM($A$2:$A84),"")</f>
        <v/>
      </c>
      <c r="C84">
        <f>IF($A84=1,SUM($A$2:$A84),0)</f>
        <v/>
      </c>
    </row>
    <row r="85">
      <c r="A85">
        <f>IF(AND(OR(Query!$B$4="All",'Compliance Database'!$A85=Query!$B$4),OR(Query!$B$5="All",ISNUMBER(SEARCH(Query!$B$5,'Compliance Database'!$H85))),OR(Query!$B$6="All",ISNUMBER(SEARCH(Query!$B$6,'Compliance Database'!$I85))),OR(Query!$B$7="All",'Compliance Database'!$F85=Query!$B$7),OR(Query!$B$8="All",'Compliance Database'!$J85=Query!$B$8),OR(Query!$B$9="",ISNUMBER(SEARCH(Query!$B$9,'Compliance Database'!$D85&amp;" "&amp;'Compliance Database'!$K85&amp;" "&amp;'Compliance Database'!$L85&amp;" "&amp;'Compliance Database'!$M85&amp;" "&amp;'Compliance Database'!$N85&amp;" "&amp;'Compliance Database'!$O85))),OR(Query!$B$10&lt;&gt;"Yes",'Compliance Database'!$F85&lt;&gt;"None")),1,0)</f>
        <v/>
      </c>
      <c r="B85">
        <f>IF($A85=1,SUM($A$2:$A85),"")</f>
        <v/>
      </c>
      <c r="C85">
        <f>IF($A85=1,SUM($A$2:$A85),0)</f>
        <v/>
      </c>
    </row>
    <row r="86">
      <c r="A86">
        <f>IF(AND(OR(Query!$B$4="All",'Compliance Database'!$A86=Query!$B$4),OR(Query!$B$5="All",ISNUMBER(SEARCH(Query!$B$5,'Compliance Database'!$H86))),OR(Query!$B$6="All",ISNUMBER(SEARCH(Query!$B$6,'Compliance Database'!$I86))),OR(Query!$B$7="All",'Compliance Database'!$F86=Query!$B$7),OR(Query!$B$8="All",'Compliance Database'!$J86=Query!$B$8),OR(Query!$B$9="",ISNUMBER(SEARCH(Query!$B$9,'Compliance Database'!$D86&amp;" "&amp;'Compliance Database'!$K86&amp;" "&amp;'Compliance Database'!$L86&amp;" "&amp;'Compliance Database'!$M86&amp;" "&amp;'Compliance Database'!$N86&amp;" "&amp;'Compliance Database'!$O86))),OR(Query!$B$10&lt;&gt;"Yes",'Compliance Database'!$F86&lt;&gt;"None")),1,0)</f>
        <v/>
      </c>
      <c r="B86">
        <f>IF($A86=1,SUM($A$2:$A86),"")</f>
        <v/>
      </c>
      <c r="C86">
        <f>IF($A86=1,SUM($A$2:$A86),0)</f>
        <v/>
      </c>
    </row>
    <row r="87">
      <c r="A87">
        <f>IF(AND(OR(Query!$B$4="All",'Compliance Database'!$A87=Query!$B$4),OR(Query!$B$5="All",ISNUMBER(SEARCH(Query!$B$5,'Compliance Database'!$H87))),OR(Query!$B$6="All",ISNUMBER(SEARCH(Query!$B$6,'Compliance Database'!$I87))),OR(Query!$B$7="All",'Compliance Database'!$F87=Query!$B$7),OR(Query!$B$8="All",'Compliance Database'!$J87=Query!$B$8),OR(Query!$B$9="",ISNUMBER(SEARCH(Query!$B$9,'Compliance Database'!$D87&amp;" "&amp;'Compliance Database'!$K87&amp;" "&amp;'Compliance Database'!$L87&amp;" "&amp;'Compliance Database'!$M87&amp;" "&amp;'Compliance Database'!$N87&amp;" "&amp;'Compliance Database'!$O87))),OR(Query!$B$10&lt;&gt;"Yes",'Compliance Database'!$F87&lt;&gt;"None")),1,0)</f>
        <v/>
      </c>
      <c r="B87">
        <f>IF($A87=1,SUM($A$2:$A87),"")</f>
        <v/>
      </c>
      <c r="C87">
        <f>IF($A87=1,SUM($A$2:$A87),0)</f>
        <v/>
      </c>
    </row>
    <row r="88">
      <c r="A88">
        <f>IF(AND(OR(Query!$B$4="All",'Compliance Database'!$A88=Query!$B$4),OR(Query!$B$5="All",ISNUMBER(SEARCH(Query!$B$5,'Compliance Database'!$H88))),OR(Query!$B$6="All",ISNUMBER(SEARCH(Query!$B$6,'Compliance Database'!$I88))),OR(Query!$B$7="All",'Compliance Database'!$F88=Query!$B$7),OR(Query!$B$8="All",'Compliance Database'!$J88=Query!$B$8),OR(Query!$B$9="",ISNUMBER(SEARCH(Query!$B$9,'Compliance Database'!$D88&amp;" "&amp;'Compliance Database'!$K88&amp;" "&amp;'Compliance Database'!$L88&amp;" "&amp;'Compliance Database'!$M88&amp;" "&amp;'Compliance Database'!$N88&amp;" "&amp;'Compliance Database'!$O88))),OR(Query!$B$10&lt;&gt;"Yes",'Compliance Database'!$F88&lt;&gt;"None")),1,0)</f>
        <v/>
      </c>
      <c r="B88">
        <f>IF($A88=1,SUM($A$2:$A88),"")</f>
        <v/>
      </c>
      <c r="C88">
        <f>IF($A88=1,SUM($A$2:$A88),0)</f>
        <v/>
      </c>
    </row>
    <row r="89">
      <c r="A89">
        <f>IF(AND(OR(Query!$B$4="All",'Compliance Database'!$A89=Query!$B$4),OR(Query!$B$5="All",ISNUMBER(SEARCH(Query!$B$5,'Compliance Database'!$H89))),OR(Query!$B$6="All",ISNUMBER(SEARCH(Query!$B$6,'Compliance Database'!$I89))),OR(Query!$B$7="All",'Compliance Database'!$F89=Query!$B$7),OR(Query!$B$8="All",'Compliance Database'!$J89=Query!$B$8),OR(Query!$B$9="",ISNUMBER(SEARCH(Query!$B$9,'Compliance Database'!$D89&amp;" "&amp;'Compliance Database'!$K89&amp;" "&amp;'Compliance Database'!$L89&amp;" "&amp;'Compliance Database'!$M89&amp;" "&amp;'Compliance Database'!$N89&amp;" "&amp;'Compliance Database'!$O89))),OR(Query!$B$10&lt;&gt;"Yes",'Compliance Database'!$F89&lt;&gt;"None")),1,0)</f>
        <v/>
      </c>
      <c r="B89">
        <f>IF($A89=1,SUM($A$2:$A89),"")</f>
        <v/>
      </c>
      <c r="C89">
        <f>IF($A89=1,SUM($A$2:$A89),0)</f>
        <v/>
      </c>
    </row>
    <row r="90">
      <c r="A90">
        <f>IF(AND(OR(Query!$B$4="All",'Compliance Database'!$A90=Query!$B$4),OR(Query!$B$5="All",ISNUMBER(SEARCH(Query!$B$5,'Compliance Database'!$H90))),OR(Query!$B$6="All",ISNUMBER(SEARCH(Query!$B$6,'Compliance Database'!$I90))),OR(Query!$B$7="All",'Compliance Database'!$F90=Query!$B$7),OR(Query!$B$8="All",'Compliance Database'!$J90=Query!$B$8),OR(Query!$B$9="",ISNUMBER(SEARCH(Query!$B$9,'Compliance Database'!$D90&amp;" "&amp;'Compliance Database'!$K90&amp;" "&amp;'Compliance Database'!$L90&amp;" "&amp;'Compliance Database'!$M90&amp;" "&amp;'Compliance Database'!$N90&amp;" "&amp;'Compliance Database'!$O90))),OR(Query!$B$10&lt;&gt;"Yes",'Compliance Database'!$F90&lt;&gt;"None")),1,0)</f>
        <v/>
      </c>
      <c r="B90">
        <f>IF($A90=1,SUM($A$2:$A90),"")</f>
        <v/>
      </c>
      <c r="C90">
        <f>IF($A90=1,SUM($A$2:$A90),0)</f>
        <v/>
      </c>
    </row>
    <row r="91">
      <c r="A91">
        <f>IF(AND(OR(Query!$B$4="All",'Compliance Database'!$A91=Query!$B$4),OR(Query!$B$5="All",ISNUMBER(SEARCH(Query!$B$5,'Compliance Database'!$H91))),OR(Query!$B$6="All",ISNUMBER(SEARCH(Query!$B$6,'Compliance Database'!$I91))),OR(Query!$B$7="All",'Compliance Database'!$F91=Query!$B$7),OR(Query!$B$8="All",'Compliance Database'!$J91=Query!$B$8),OR(Query!$B$9="",ISNUMBER(SEARCH(Query!$B$9,'Compliance Database'!$D91&amp;" "&amp;'Compliance Database'!$K91&amp;" "&amp;'Compliance Database'!$L91&amp;" "&amp;'Compliance Database'!$M91&amp;" "&amp;'Compliance Database'!$N91&amp;" "&amp;'Compliance Database'!$O91))),OR(Query!$B$10&lt;&gt;"Yes",'Compliance Database'!$F91&lt;&gt;"None")),1,0)</f>
        <v/>
      </c>
      <c r="B91">
        <f>IF($A91=1,SUM($A$2:$A91),"")</f>
        <v/>
      </c>
      <c r="C91">
        <f>IF($A91=1,SUM($A$2:$A91),0)</f>
        <v/>
      </c>
    </row>
    <row r="92">
      <c r="A92">
        <f>IF(AND(OR(Query!$B$4="All",'Compliance Database'!$A92=Query!$B$4),OR(Query!$B$5="All",ISNUMBER(SEARCH(Query!$B$5,'Compliance Database'!$H92))),OR(Query!$B$6="All",ISNUMBER(SEARCH(Query!$B$6,'Compliance Database'!$I92))),OR(Query!$B$7="All",'Compliance Database'!$F92=Query!$B$7),OR(Query!$B$8="All",'Compliance Database'!$J92=Query!$B$8),OR(Query!$B$9="",ISNUMBER(SEARCH(Query!$B$9,'Compliance Database'!$D92&amp;" "&amp;'Compliance Database'!$K92&amp;" "&amp;'Compliance Database'!$L92&amp;" "&amp;'Compliance Database'!$M92&amp;" "&amp;'Compliance Database'!$N92&amp;" "&amp;'Compliance Database'!$O92))),OR(Query!$B$10&lt;&gt;"Yes",'Compliance Database'!$F92&lt;&gt;"None")),1,0)</f>
        <v/>
      </c>
      <c r="B92">
        <f>IF($A92=1,SUM($A$2:$A92),"")</f>
        <v/>
      </c>
      <c r="C92">
        <f>IF($A92=1,SUM($A$2:$A92),0)</f>
        <v/>
      </c>
    </row>
    <row r="93">
      <c r="A93">
        <f>IF(AND(OR(Query!$B$4="All",'Compliance Database'!$A93=Query!$B$4),OR(Query!$B$5="All",ISNUMBER(SEARCH(Query!$B$5,'Compliance Database'!$H93))),OR(Query!$B$6="All",ISNUMBER(SEARCH(Query!$B$6,'Compliance Database'!$I93))),OR(Query!$B$7="All",'Compliance Database'!$F93=Query!$B$7),OR(Query!$B$8="All",'Compliance Database'!$J93=Query!$B$8),OR(Query!$B$9="",ISNUMBER(SEARCH(Query!$B$9,'Compliance Database'!$D93&amp;" "&amp;'Compliance Database'!$K93&amp;" "&amp;'Compliance Database'!$L93&amp;" "&amp;'Compliance Database'!$M93&amp;" "&amp;'Compliance Database'!$N93&amp;" "&amp;'Compliance Database'!$O93))),OR(Query!$B$10&lt;&gt;"Yes",'Compliance Database'!$F93&lt;&gt;"None")),1,0)</f>
        <v/>
      </c>
      <c r="B93">
        <f>IF($A93=1,SUM($A$2:$A93),"")</f>
        <v/>
      </c>
      <c r="C93">
        <f>IF($A93=1,SUM($A$2:$A93),0)</f>
        <v/>
      </c>
    </row>
    <row r="94">
      <c r="A94">
        <f>IF(AND(OR(Query!$B$4="All",'Compliance Database'!$A94=Query!$B$4),OR(Query!$B$5="All",ISNUMBER(SEARCH(Query!$B$5,'Compliance Database'!$H94))),OR(Query!$B$6="All",ISNUMBER(SEARCH(Query!$B$6,'Compliance Database'!$I94))),OR(Query!$B$7="All",'Compliance Database'!$F94=Query!$B$7),OR(Query!$B$8="All",'Compliance Database'!$J94=Query!$B$8),OR(Query!$B$9="",ISNUMBER(SEARCH(Query!$B$9,'Compliance Database'!$D94&amp;" "&amp;'Compliance Database'!$K94&amp;" "&amp;'Compliance Database'!$L94&amp;" "&amp;'Compliance Database'!$M94&amp;" "&amp;'Compliance Database'!$N94&amp;" "&amp;'Compliance Database'!$O94))),OR(Query!$B$10&lt;&gt;"Yes",'Compliance Database'!$F94&lt;&gt;"None")),1,0)</f>
        <v/>
      </c>
      <c r="B94">
        <f>IF($A94=1,SUM($A$2:$A94),"")</f>
        <v/>
      </c>
      <c r="C94">
        <f>IF($A94=1,SUM($A$2:$A94),0)</f>
        <v/>
      </c>
    </row>
    <row r="95">
      <c r="A95">
        <f>IF(AND(OR(Query!$B$4="All",'Compliance Database'!$A95=Query!$B$4),OR(Query!$B$5="All",ISNUMBER(SEARCH(Query!$B$5,'Compliance Database'!$H95))),OR(Query!$B$6="All",ISNUMBER(SEARCH(Query!$B$6,'Compliance Database'!$I95))),OR(Query!$B$7="All",'Compliance Database'!$F95=Query!$B$7),OR(Query!$B$8="All",'Compliance Database'!$J95=Query!$B$8),OR(Query!$B$9="",ISNUMBER(SEARCH(Query!$B$9,'Compliance Database'!$D95&amp;" "&amp;'Compliance Database'!$K95&amp;" "&amp;'Compliance Database'!$L95&amp;" "&amp;'Compliance Database'!$M95&amp;" "&amp;'Compliance Database'!$N95&amp;" "&amp;'Compliance Database'!$O95))),OR(Query!$B$10&lt;&gt;"Yes",'Compliance Database'!$F95&lt;&gt;"None")),1,0)</f>
        <v/>
      </c>
      <c r="B95">
        <f>IF($A95=1,SUM($A$2:$A95),"")</f>
        <v/>
      </c>
      <c r="C95">
        <f>IF($A95=1,SUM($A$2:$A95),0)</f>
        <v/>
      </c>
    </row>
    <row r="96">
      <c r="A96">
        <f>IF(AND(OR(Query!$B$4="All",'Compliance Database'!$A96=Query!$B$4),OR(Query!$B$5="All",ISNUMBER(SEARCH(Query!$B$5,'Compliance Database'!$H96))),OR(Query!$B$6="All",ISNUMBER(SEARCH(Query!$B$6,'Compliance Database'!$I96))),OR(Query!$B$7="All",'Compliance Database'!$F96=Query!$B$7),OR(Query!$B$8="All",'Compliance Database'!$J96=Query!$B$8),OR(Query!$B$9="",ISNUMBER(SEARCH(Query!$B$9,'Compliance Database'!$D96&amp;" "&amp;'Compliance Database'!$K96&amp;" "&amp;'Compliance Database'!$L96&amp;" "&amp;'Compliance Database'!$M96&amp;" "&amp;'Compliance Database'!$N96&amp;" "&amp;'Compliance Database'!$O96))),OR(Query!$B$10&lt;&gt;"Yes",'Compliance Database'!$F96&lt;&gt;"None")),1,0)</f>
        <v/>
      </c>
      <c r="B96">
        <f>IF($A96=1,SUM($A$2:$A96),"")</f>
        <v/>
      </c>
      <c r="C96">
        <f>IF($A96=1,SUM($A$2:$A96),0)</f>
        <v/>
      </c>
    </row>
    <row r="97">
      <c r="A97">
        <f>IF(AND(OR(Query!$B$4="All",'Compliance Database'!$A97=Query!$B$4),OR(Query!$B$5="All",ISNUMBER(SEARCH(Query!$B$5,'Compliance Database'!$H97))),OR(Query!$B$6="All",ISNUMBER(SEARCH(Query!$B$6,'Compliance Database'!$I97))),OR(Query!$B$7="All",'Compliance Database'!$F97=Query!$B$7),OR(Query!$B$8="All",'Compliance Database'!$J97=Query!$B$8),OR(Query!$B$9="",ISNUMBER(SEARCH(Query!$B$9,'Compliance Database'!$D97&amp;" "&amp;'Compliance Database'!$K97&amp;" "&amp;'Compliance Database'!$L97&amp;" "&amp;'Compliance Database'!$M97&amp;" "&amp;'Compliance Database'!$N97&amp;" "&amp;'Compliance Database'!$O97))),OR(Query!$B$10&lt;&gt;"Yes",'Compliance Database'!$F97&lt;&gt;"None")),1,0)</f>
        <v/>
      </c>
      <c r="B97">
        <f>IF($A97=1,SUM($A$2:$A97),"")</f>
        <v/>
      </c>
      <c r="C97">
        <f>IF($A97=1,SUM($A$2:$A97),0)</f>
        <v/>
      </c>
    </row>
    <row r="98">
      <c r="A98">
        <f>IF(AND(OR(Query!$B$4="All",'Compliance Database'!$A98=Query!$B$4),OR(Query!$B$5="All",ISNUMBER(SEARCH(Query!$B$5,'Compliance Database'!$H98))),OR(Query!$B$6="All",ISNUMBER(SEARCH(Query!$B$6,'Compliance Database'!$I98))),OR(Query!$B$7="All",'Compliance Database'!$F98=Query!$B$7),OR(Query!$B$8="All",'Compliance Database'!$J98=Query!$B$8),OR(Query!$B$9="",ISNUMBER(SEARCH(Query!$B$9,'Compliance Database'!$D98&amp;" "&amp;'Compliance Database'!$K98&amp;" "&amp;'Compliance Database'!$L98&amp;" "&amp;'Compliance Database'!$M98&amp;" "&amp;'Compliance Database'!$N98&amp;" "&amp;'Compliance Database'!$O98))),OR(Query!$B$10&lt;&gt;"Yes",'Compliance Database'!$F98&lt;&gt;"None")),1,0)</f>
        <v/>
      </c>
      <c r="B98">
        <f>IF($A98=1,SUM($A$2:$A98),"")</f>
        <v/>
      </c>
      <c r="C98">
        <f>IF($A98=1,SUM($A$2:$A98),0)</f>
        <v/>
      </c>
    </row>
    <row r="99">
      <c r="A99">
        <f>IF(AND(OR(Query!$B$4="All",'Compliance Database'!$A99=Query!$B$4),OR(Query!$B$5="All",ISNUMBER(SEARCH(Query!$B$5,'Compliance Database'!$H99))),OR(Query!$B$6="All",ISNUMBER(SEARCH(Query!$B$6,'Compliance Database'!$I99))),OR(Query!$B$7="All",'Compliance Database'!$F99=Query!$B$7),OR(Query!$B$8="All",'Compliance Database'!$J99=Query!$B$8),OR(Query!$B$9="",ISNUMBER(SEARCH(Query!$B$9,'Compliance Database'!$D99&amp;" "&amp;'Compliance Database'!$K99&amp;" "&amp;'Compliance Database'!$L99&amp;" "&amp;'Compliance Database'!$M99&amp;" "&amp;'Compliance Database'!$N99&amp;" "&amp;'Compliance Database'!$O99))),OR(Query!$B$10&lt;&gt;"Yes",'Compliance Database'!$F99&lt;&gt;"None")),1,0)</f>
        <v/>
      </c>
      <c r="B99">
        <f>IF($A99=1,SUM($A$2:$A99),"")</f>
        <v/>
      </c>
      <c r="C99">
        <f>IF($A99=1,SUM($A$2:$A99),0)</f>
        <v/>
      </c>
    </row>
    <row r="100">
      <c r="A100">
        <f>IF(AND(OR(Query!$B$4="All",'Compliance Database'!$A100=Query!$B$4),OR(Query!$B$5="All",ISNUMBER(SEARCH(Query!$B$5,'Compliance Database'!$H100))),OR(Query!$B$6="All",ISNUMBER(SEARCH(Query!$B$6,'Compliance Database'!$I100))),OR(Query!$B$7="All",'Compliance Database'!$F100=Query!$B$7),OR(Query!$B$8="All",'Compliance Database'!$J100=Query!$B$8),OR(Query!$B$9="",ISNUMBER(SEARCH(Query!$B$9,'Compliance Database'!$D100&amp;" "&amp;'Compliance Database'!$K100&amp;" "&amp;'Compliance Database'!$L100&amp;" "&amp;'Compliance Database'!$M100&amp;" "&amp;'Compliance Database'!$N100&amp;" "&amp;'Compliance Database'!$O100))),OR(Query!$B$10&lt;&gt;"Yes",'Compliance Database'!$F100&lt;&gt;"None")),1,0)</f>
        <v/>
      </c>
      <c r="B100">
        <f>IF($A100=1,SUM($A$2:$A100),"")</f>
        <v/>
      </c>
      <c r="C100">
        <f>IF($A100=1,SUM($A$2:$A100),0)</f>
        <v/>
      </c>
    </row>
    <row r="101">
      <c r="A101">
        <f>IF(AND(OR(Query!$B$4="All",'Compliance Database'!$A101=Query!$B$4),OR(Query!$B$5="All",ISNUMBER(SEARCH(Query!$B$5,'Compliance Database'!$H101))),OR(Query!$B$6="All",ISNUMBER(SEARCH(Query!$B$6,'Compliance Database'!$I101))),OR(Query!$B$7="All",'Compliance Database'!$F101=Query!$B$7),OR(Query!$B$8="All",'Compliance Database'!$J101=Query!$B$8),OR(Query!$B$9="",ISNUMBER(SEARCH(Query!$B$9,'Compliance Database'!$D101&amp;" "&amp;'Compliance Database'!$K101&amp;" "&amp;'Compliance Database'!$L101&amp;" "&amp;'Compliance Database'!$M101&amp;" "&amp;'Compliance Database'!$N101&amp;" "&amp;'Compliance Database'!$O101))),OR(Query!$B$10&lt;&gt;"Yes",'Compliance Database'!$F101&lt;&gt;"None")),1,0)</f>
        <v/>
      </c>
      <c r="B101">
        <f>IF($A101=1,SUM($A$2:$A101),"")</f>
        <v/>
      </c>
      <c r="C101">
        <f>IF($A101=1,SUM($A$2:$A101),0)</f>
        <v/>
      </c>
    </row>
    <row r="102">
      <c r="A102">
        <f>IF(AND(OR(Query!$B$4="All",'Compliance Database'!$A102=Query!$B$4),OR(Query!$B$5="All",ISNUMBER(SEARCH(Query!$B$5,'Compliance Database'!$H102))),OR(Query!$B$6="All",ISNUMBER(SEARCH(Query!$B$6,'Compliance Database'!$I102))),OR(Query!$B$7="All",'Compliance Database'!$F102=Query!$B$7),OR(Query!$B$8="All",'Compliance Database'!$J102=Query!$B$8),OR(Query!$B$9="",ISNUMBER(SEARCH(Query!$B$9,'Compliance Database'!$D102&amp;" "&amp;'Compliance Database'!$K102&amp;" "&amp;'Compliance Database'!$L102&amp;" "&amp;'Compliance Database'!$M102&amp;" "&amp;'Compliance Database'!$N102&amp;" "&amp;'Compliance Database'!$O102))),OR(Query!$B$10&lt;&gt;"Yes",'Compliance Database'!$F102&lt;&gt;"None")),1,0)</f>
        <v/>
      </c>
      <c r="B102">
        <f>IF($A102=1,SUM($A$2:$A102),"")</f>
        <v/>
      </c>
      <c r="C102">
        <f>IF($A102=1,SUM($A$2:$A102),0)</f>
        <v/>
      </c>
    </row>
    <row r="103">
      <c r="A103">
        <f>IF(AND(OR(Query!$B$4="All",'Compliance Database'!$A103=Query!$B$4),OR(Query!$B$5="All",ISNUMBER(SEARCH(Query!$B$5,'Compliance Database'!$H103))),OR(Query!$B$6="All",ISNUMBER(SEARCH(Query!$B$6,'Compliance Database'!$I103))),OR(Query!$B$7="All",'Compliance Database'!$F103=Query!$B$7),OR(Query!$B$8="All",'Compliance Database'!$J103=Query!$B$8),OR(Query!$B$9="",ISNUMBER(SEARCH(Query!$B$9,'Compliance Database'!$D103&amp;" "&amp;'Compliance Database'!$K103&amp;" "&amp;'Compliance Database'!$L103&amp;" "&amp;'Compliance Database'!$M103&amp;" "&amp;'Compliance Database'!$N103&amp;" "&amp;'Compliance Database'!$O103))),OR(Query!$B$10&lt;&gt;"Yes",'Compliance Database'!$F103&lt;&gt;"None")),1,0)</f>
        <v/>
      </c>
      <c r="B103">
        <f>IF($A103=1,SUM($A$2:$A103),"")</f>
        <v/>
      </c>
      <c r="C103">
        <f>IF($A103=1,SUM($A$2:$A103),0)</f>
        <v/>
      </c>
    </row>
    <row r="104">
      <c r="A104">
        <f>IF(AND(OR(Query!$B$4="All",'Compliance Database'!$A104=Query!$B$4),OR(Query!$B$5="All",ISNUMBER(SEARCH(Query!$B$5,'Compliance Database'!$H104))),OR(Query!$B$6="All",ISNUMBER(SEARCH(Query!$B$6,'Compliance Database'!$I104))),OR(Query!$B$7="All",'Compliance Database'!$F104=Query!$B$7),OR(Query!$B$8="All",'Compliance Database'!$J104=Query!$B$8),OR(Query!$B$9="",ISNUMBER(SEARCH(Query!$B$9,'Compliance Database'!$D104&amp;" "&amp;'Compliance Database'!$K104&amp;" "&amp;'Compliance Database'!$L104&amp;" "&amp;'Compliance Database'!$M104&amp;" "&amp;'Compliance Database'!$N104&amp;" "&amp;'Compliance Database'!$O104))),OR(Query!$B$10&lt;&gt;"Yes",'Compliance Database'!$F104&lt;&gt;"None")),1,0)</f>
        <v/>
      </c>
      <c r="B104">
        <f>IF($A104=1,SUM($A$2:$A104),"")</f>
        <v/>
      </c>
      <c r="C104">
        <f>IF($A104=1,SUM($A$2:$A104),0)</f>
        <v/>
      </c>
    </row>
    <row r="105">
      <c r="A105">
        <f>IF(AND(OR(Query!$B$4="All",'Compliance Database'!$A105=Query!$B$4),OR(Query!$B$5="All",ISNUMBER(SEARCH(Query!$B$5,'Compliance Database'!$H105))),OR(Query!$B$6="All",ISNUMBER(SEARCH(Query!$B$6,'Compliance Database'!$I105))),OR(Query!$B$7="All",'Compliance Database'!$F105=Query!$B$7),OR(Query!$B$8="All",'Compliance Database'!$J105=Query!$B$8),OR(Query!$B$9="",ISNUMBER(SEARCH(Query!$B$9,'Compliance Database'!$D105&amp;" "&amp;'Compliance Database'!$K105&amp;" "&amp;'Compliance Database'!$L105&amp;" "&amp;'Compliance Database'!$M105&amp;" "&amp;'Compliance Database'!$N105&amp;" "&amp;'Compliance Database'!$O105))),OR(Query!$B$10&lt;&gt;"Yes",'Compliance Database'!$F105&lt;&gt;"None")),1,0)</f>
        <v/>
      </c>
      <c r="B105">
        <f>IF($A105=1,SUM($A$2:$A105),"")</f>
        <v/>
      </c>
      <c r="C105">
        <f>IF($A105=1,SUM($A$2:$A105),0)</f>
        <v/>
      </c>
    </row>
    <row r="106">
      <c r="A106">
        <f>IF(AND(OR(Query!$B$4="All",'Compliance Database'!$A106=Query!$B$4),OR(Query!$B$5="All",ISNUMBER(SEARCH(Query!$B$5,'Compliance Database'!$H106))),OR(Query!$B$6="All",ISNUMBER(SEARCH(Query!$B$6,'Compliance Database'!$I106))),OR(Query!$B$7="All",'Compliance Database'!$F106=Query!$B$7),OR(Query!$B$8="All",'Compliance Database'!$J106=Query!$B$8),OR(Query!$B$9="",ISNUMBER(SEARCH(Query!$B$9,'Compliance Database'!$D106&amp;" "&amp;'Compliance Database'!$K106&amp;" "&amp;'Compliance Database'!$L106&amp;" "&amp;'Compliance Database'!$M106&amp;" "&amp;'Compliance Database'!$N106&amp;" "&amp;'Compliance Database'!$O106))),OR(Query!$B$10&lt;&gt;"Yes",'Compliance Database'!$F106&lt;&gt;"None")),1,0)</f>
        <v/>
      </c>
      <c r="B106">
        <f>IF($A106=1,SUM($A$2:$A106),"")</f>
        <v/>
      </c>
      <c r="C106">
        <f>IF($A106=1,SUM($A$2:$A106),0)</f>
        <v/>
      </c>
    </row>
    <row r="107">
      <c r="A107">
        <f>IF(AND(OR(Query!$B$4="All",'Compliance Database'!$A107=Query!$B$4),OR(Query!$B$5="All",ISNUMBER(SEARCH(Query!$B$5,'Compliance Database'!$H107))),OR(Query!$B$6="All",ISNUMBER(SEARCH(Query!$B$6,'Compliance Database'!$I107))),OR(Query!$B$7="All",'Compliance Database'!$F107=Query!$B$7),OR(Query!$B$8="All",'Compliance Database'!$J107=Query!$B$8),OR(Query!$B$9="",ISNUMBER(SEARCH(Query!$B$9,'Compliance Database'!$D107&amp;" "&amp;'Compliance Database'!$K107&amp;" "&amp;'Compliance Database'!$L107&amp;" "&amp;'Compliance Database'!$M107&amp;" "&amp;'Compliance Database'!$N107&amp;" "&amp;'Compliance Database'!$O107))),OR(Query!$B$10&lt;&gt;"Yes",'Compliance Database'!$F107&lt;&gt;"None")),1,0)</f>
        <v/>
      </c>
      <c r="B107">
        <f>IF($A107=1,SUM($A$2:$A107),"")</f>
        <v/>
      </c>
      <c r="C107">
        <f>IF($A107=1,SUM($A$2:$A107),0)</f>
        <v/>
      </c>
    </row>
    <row r="108">
      <c r="A108">
        <f>IF(AND(OR(Query!$B$4="All",'Compliance Database'!$A108=Query!$B$4),OR(Query!$B$5="All",ISNUMBER(SEARCH(Query!$B$5,'Compliance Database'!$H108))),OR(Query!$B$6="All",ISNUMBER(SEARCH(Query!$B$6,'Compliance Database'!$I108))),OR(Query!$B$7="All",'Compliance Database'!$F108=Query!$B$7),OR(Query!$B$8="All",'Compliance Database'!$J108=Query!$B$8),OR(Query!$B$9="",ISNUMBER(SEARCH(Query!$B$9,'Compliance Database'!$D108&amp;" "&amp;'Compliance Database'!$K108&amp;" "&amp;'Compliance Database'!$L108&amp;" "&amp;'Compliance Database'!$M108&amp;" "&amp;'Compliance Database'!$N108&amp;" "&amp;'Compliance Database'!$O108))),OR(Query!$B$10&lt;&gt;"Yes",'Compliance Database'!$F108&lt;&gt;"None")),1,0)</f>
        <v/>
      </c>
      <c r="B108">
        <f>IF($A108=1,SUM($A$2:$A108),"")</f>
        <v/>
      </c>
      <c r="C108">
        <f>IF($A108=1,SUM($A$2:$A108),0)</f>
        <v/>
      </c>
    </row>
    <row r="109">
      <c r="A109">
        <f>IF(AND(OR(Query!$B$4="All",'Compliance Database'!$A109=Query!$B$4),OR(Query!$B$5="All",ISNUMBER(SEARCH(Query!$B$5,'Compliance Database'!$H109))),OR(Query!$B$6="All",ISNUMBER(SEARCH(Query!$B$6,'Compliance Database'!$I109))),OR(Query!$B$7="All",'Compliance Database'!$F109=Query!$B$7),OR(Query!$B$8="All",'Compliance Database'!$J109=Query!$B$8),OR(Query!$B$9="",ISNUMBER(SEARCH(Query!$B$9,'Compliance Database'!$D109&amp;" "&amp;'Compliance Database'!$K109&amp;" "&amp;'Compliance Database'!$L109&amp;" "&amp;'Compliance Database'!$M109&amp;" "&amp;'Compliance Database'!$N109&amp;" "&amp;'Compliance Database'!$O109))),OR(Query!$B$10&lt;&gt;"Yes",'Compliance Database'!$F109&lt;&gt;"None")),1,0)</f>
        <v/>
      </c>
      <c r="B109">
        <f>IF($A109=1,SUM($A$2:$A109),"")</f>
        <v/>
      </c>
      <c r="C109">
        <f>IF($A109=1,SUM($A$2:$A109),0)</f>
        <v/>
      </c>
    </row>
    <row r="110">
      <c r="A110">
        <f>IF(AND(OR(Query!$B$4="All",'Compliance Database'!$A110=Query!$B$4),OR(Query!$B$5="All",ISNUMBER(SEARCH(Query!$B$5,'Compliance Database'!$H110))),OR(Query!$B$6="All",ISNUMBER(SEARCH(Query!$B$6,'Compliance Database'!$I110))),OR(Query!$B$7="All",'Compliance Database'!$F110=Query!$B$7),OR(Query!$B$8="All",'Compliance Database'!$J110=Query!$B$8),OR(Query!$B$9="",ISNUMBER(SEARCH(Query!$B$9,'Compliance Database'!$D110&amp;" "&amp;'Compliance Database'!$K110&amp;" "&amp;'Compliance Database'!$L110&amp;" "&amp;'Compliance Database'!$M110&amp;" "&amp;'Compliance Database'!$N110&amp;" "&amp;'Compliance Database'!$O110))),OR(Query!$B$10&lt;&gt;"Yes",'Compliance Database'!$F110&lt;&gt;"None")),1,0)</f>
        <v/>
      </c>
      <c r="B110">
        <f>IF($A110=1,SUM($A$2:$A110),"")</f>
        <v/>
      </c>
      <c r="C110">
        <f>IF($A110=1,SUM($A$2:$A110),0)</f>
        <v/>
      </c>
    </row>
    <row r="111">
      <c r="A111">
        <f>IF(AND(OR(Query!$B$4="All",'Compliance Database'!$A111=Query!$B$4),OR(Query!$B$5="All",ISNUMBER(SEARCH(Query!$B$5,'Compliance Database'!$H111))),OR(Query!$B$6="All",ISNUMBER(SEARCH(Query!$B$6,'Compliance Database'!$I111))),OR(Query!$B$7="All",'Compliance Database'!$F111=Query!$B$7),OR(Query!$B$8="All",'Compliance Database'!$J111=Query!$B$8),OR(Query!$B$9="",ISNUMBER(SEARCH(Query!$B$9,'Compliance Database'!$D111&amp;" "&amp;'Compliance Database'!$K111&amp;" "&amp;'Compliance Database'!$L111&amp;" "&amp;'Compliance Database'!$M111&amp;" "&amp;'Compliance Database'!$N111&amp;" "&amp;'Compliance Database'!$O111))),OR(Query!$B$10&lt;&gt;"Yes",'Compliance Database'!$F111&lt;&gt;"None")),1,0)</f>
        <v/>
      </c>
      <c r="B111">
        <f>IF($A111=1,SUM($A$2:$A111),"")</f>
        <v/>
      </c>
      <c r="C111">
        <f>IF($A111=1,SUM($A$2:$A111),0)</f>
        <v/>
      </c>
    </row>
    <row r="112">
      <c r="A112">
        <f>IF(AND(OR(Query!$B$4="All",'Compliance Database'!$A112=Query!$B$4),OR(Query!$B$5="All",ISNUMBER(SEARCH(Query!$B$5,'Compliance Database'!$H112))),OR(Query!$B$6="All",ISNUMBER(SEARCH(Query!$B$6,'Compliance Database'!$I112))),OR(Query!$B$7="All",'Compliance Database'!$F112=Query!$B$7),OR(Query!$B$8="All",'Compliance Database'!$J112=Query!$B$8),OR(Query!$B$9="",ISNUMBER(SEARCH(Query!$B$9,'Compliance Database'!$D112&amp;" "&amp;'Compliance Database'!$K112&amp;" "&amp;'Compliance Database'!$L112&amp;" "&amp;'Compliance Database'!$M112&amp;" "&amp;'Compliance Database'!$N112&amp;" "&amp;'Compliance Database'!$O112))),OR(Query!$B$10&lt;&gt;"Yes",'Compliance Database'!$F112&lt;&gt;"None")),1,0)</f>
        <v/>
      </c>
      <c r="B112">
        <f>IF($A112=1,SUM($A$2:$A112),"")</f>
        <v/>
      </c>
      <c r="C112">
        <f>IF($A112=1,SUM($A$2:$A112),0)</f>
        <v/>
      </c>
    </row>
    <row r="113">
      <c r="A113">
        <f>IF(AND(OR(Query!$B$4="All",'Compliance Database'!$A113=Query!$B$4),OR(Query!$B$5="All",ISNUMBER(SEARCH(Query!$B$5,'Compliance Database'!$H113))),OR(Query!$B$6="All",ISNUMBER(SEARCH(Query!$B$6,'Compliance Database'!$I113))),OR(Query!$B$7="All",'Compliance Database'!$F113=Query!$B$7),OR(Query!$B$8="All",'Compliance Database'!$J113=Query!$B$8),OR(Query!$B$9="",ISNUMBER(SEARCH(Query!$B$9,'Compliance Database'!$D113&amp;" "&amp;'Compliance Database'!$K113&amp;" "&amp;'Compliance Database'!$L113&amp;" "&amp;'Compliance Database'!$M113&amp;" "&amp;'Compliance Database'!$N113&amp;" "&amp;'Compliance Database'!$O113))),OR(Query!$B$10&lt;&gt;"Yes",'Compliance Database'!$F113&lt;&gt;"None")),1,0)</f>
        <v/>
      </c>
      <c r="B113">
        <f>IF($A113=1,SUM($A$2:$A113),"")</f>
        <v/>
      </c>
      <c r="C113">
        <f>IF($A113=1,SUM($A$2:$A113),0)</f>
        <v/>
      </c>
    </row>
    <row r="114">
      <c r="A114">
        <f>IF(AND(OR(Query!$B$4="All",'Compliance Database'!$A114=Query!$B$4),OR(Query!$B$5="All",ISNUMBER(SEARCH(Query!$B$5,'Compliance Database'!$H114))),OR(Query!$B$6="All",ISNUMBER(SEARCH(Query!$B$6,'Compliance Database'!$I114))),OR(Query!$B$7="All",'Compliance Database'!$F114=Query!$B$7),OR(Query!$B$8="All",'Compliance Database'!$J114=Query!$B$8),OR(Query!$B$9="",ISNUMBER(SEARCH(Query!$B$9,'Compliance Database'!$D114&amp;" "&amp;'Compliance Database'!$K114&amp;" "&amp;'Compliance Database'!$L114&amp;" "&amp;'Compliance Database'!$M114&amp;" "&amp;'Compliance Database'!$N114&amp;" "&amp;'Compliance Database'!$O114))),OR(Query!$B$10&lt;&gt;"Yes",'Compliance Database'!$F114&lt;&gt;"None")),1,0)</f>
        <v/>
      </c>
      <c r="B114">
        <f>IF($A114=1,SUM($A$2:$A114),"")</f>
        <v/>
      </c>
      <c r="C114">
        <f>IF($A114=1,SUM($A$2:$A114),0)</f>
        <v/>
      </c>
    </row>
    <row r="115">
      <c r="A115">
        <f>IF(AND(OR(Query!$B$4="All",'Compliance Database'!$A115=Query!$B$4),OR(Query!$B$5="All",ISNUMBER(SEARCH(Query!$B$5,'Compliance Database'!$H115))),OR(Query!$B$6="All",ISNUMBER(SEARCH(Query!$B$6,'Compliance Database'!$I115))),OR(Query!$B$7="All",'Compliance Database'!$F115=Query!$B$7),OR(Query!$B$8="All",'Compliance Database'!$J115=Query!$B$8),OR(Query!$B$9="",ISNUMBER(SEARCH(Query!$B$9,'Compliance Database'!$D115&amp;" "&amp;'Compliance Database'!$K115&amp;" "&amp;'Compliance Database'!$L115&amp;" "&amp;'Compliance Database'!$M115&amp;" "&amp;'Compliance Database'!$N115&amp;" "&amp;'Compliance Database'!$O115))),OR(Query!$B$10&lt;&gt;"Yes",'Compliance Database'!$F115&lt;&gt;"None")),1,0)</f>
        <v/>
      </c>
      <c r="B115">
        <f>IF($A115=1,SUM($A$2:$A115),"")</f>
        <v/>
      </c>
      <c r="C115">
        <f>IF($A115=1,SUM($A$2:$A115),0)</f>
        <v/>
      </c>
    </row>
    <row r="116">
      <c r="A116">
        <f>IF(AND(OR(Query!$B$4="All",'Compliance Database'!$A116=Query!$B$4),OR(Query!$B$5="All",ISNUMBER(SEARCH(Query!$B$5,'Compliance Database'!$H116))),OR(Query!$B$6="All",ISNUMBER(SEARCH(Query!$B$6,'Compliance Database'!$I116))),OR(Query!$B$7="All",'Compliance Database'!$F116=Query!$B$7),OR(Query!$B$8="All",'Compliance Database'!$J116=Query!$B$8),OR(Query!$B$9="",ISNUMBER(SEARCH(Query!$B$9,'Compliance Database'!$D116&amp;" "&amp;'Compliance Database'!$K116&amp;" "&amp;'Compliance Database'!$L116&amp;" "&amp;'Compliance Database'!$M116&amp;" "&amp;'Compliance Database'!$N116&amp;" "&amp;'Compliance Database'!$O116))),OR(Query!$B$10&lt;&gt;"Yes",'Compliance Database'!$F116&lt;&gt;"None")),1,0)</f>
        <v/>
      </c>
      <c r="B116">
        <f>IF($A116=1,SUM($A$2:$A116),"")</f>
        <v/>
      </c>
      <c r="C116">
        <f>IF($A116=1,SUM($A$2:$A116),0)</f>
        <v/>
      </c>
    </row>
    <row r="117">
      <c r="A117">
        <f>IF(AND(OR(Query!$B$4="All",'Compliance Database'!$A117=Query!$B$4),OR(Query!$B$5="All",ISNUMBER(SEARCH(Query!$B$5,'Compliance Database'!$H117))),OR(Query!$B$6="All",ISNUMBER(SEARCH(Query!$B$6,'Compliance Database'!$I117))),OR(Query!$B$7="All",'Compliance Database'!$F117=Query!$B$7),OR(Query!$B$8="All",'Compliance Database'!$J117=Query!$B$8),OR(Query!$B$9="",ISNUMBER(SEARCH(Query!$B$9,'Compliance Database'!$D117&amp;" "&amp;'Compliance Database'!$K117&amp;" "&amp;'Compliance Database'!$L117&amp;" "&amp;'Compliance Database'!$M117&amp;" "&amp;'Compliance Database'!$N117&amp;" "&amp;'Compliance Database'!$O117))),OR(Query!$B$10&lt;&gt;"Yes",'Compliance Database'!$F117&lt;&gt;"None")),1,0)</f>
        <v/>
      </c>
      <c r="B117">
        <f>IF($A117=1,SUM($A$2:$A117),"")</f>
        <v/>
      </c>
      <c r="C117">
        <f>IF($A117=1,SUM($A$2:$A117),0)</f>
        <v/>
      </c>
    </row>
    <row r="118">
      <c r="A118">
        <f>IF(AND(OR(Query!$B$4="All",'Compliance Database'!$A118=Query!$B$4),OR(Query!$B$5="All",ISNUMBER(SEARCH(Query!$B$5,'Compliance Database'!$H118))),OR(Query!$B$6="All",ISNUMBER(SEARCH(Query!$B$6,'Compliance Database'!$I118))),OR(Query!$B$7="All",'Compliance Database'!$F118=Query!$B$7),OR(Query!$B$8="All",'Compliance Database'!$J118=Query!$B$8),OR(Query!$B$9="",ISNUMBER(SEARCH(Query!$B$9,'Compliance Database'!$D118&amp;" "&amp;'Compliance Database'!$K118&amp;" "&amp;'Compliance Database'!$L118&amp;" "&amp;'Compliance Database'!$M118&amp;" "&amp;'Compliance Database'!$N118&amp;" "&amp;'Compliance Database'!$O118))),OR(Query!$B$10&lt;&gt;"Yes",'Compliance Database'!$F118&lt;&gt;"None")),1,0)</f>
        <v/>
      </c>
      <c r="B118">
        <f>IF($A118=1,SUM($A$2:$A118),"")</f>
        <v/>
      </c>
      <c r="C118">
        <f>IF($A118=1,SUM($A$2:$A118),0)</f>
        <v/>
      </c>
    </row>
    <row r="119">
      <c r="A119">
        <f>IF(AND(OR(Query!$B$4="All",'Compliance Database'!$A119=Query!$B$4),OR(Query!$B$5="All",ISNUMBER(SEARCH(Query!$B$5,'Compliance Database'!$H119))),OR(Query!$B$6="All",ISNUMBER(SEARCH(Query!$B$6,'Compliance Database'!$I119))),OR(Query!$B$7="All",'Compliance Database'!$F119=Query!$B$7),OR(Query!$B$8="All",'Compliance Database'!$J119=Query!$B$8),OR(Query!$B$9="",ISNUMBER(SEARCH(Query!$B$9,'Compliance Database'!$D119&amp;" "&amp;'Compliance Database'!$K119&amp;" "&amp;'Compliance Database'!$L119&amp;" "&amp;'Compliance Database'!$M119&amp;" "&amp;'Compliance Database'!$N119&amp;" "&amp;'Compliance Database'!$O119))),OR(Query!$B$10&lt;&gt;"Yes",'Compliance Database'!$F119&lt;&gt;"None")),1,0)</f>
        <v/>
      </c>
      <c r="B119">
        <f>IF($A119=1,SUM($A$2:$A119),"")</f>
        <v/>
      </c>
      <c r="C119">
        <f>IF($A119=1,SUM($A$2:$A119),0)</f>
        <v/>
      </c>
    </row>
    <row r="120">
      <c r="A120">
        <f>IF(AND(OR(Query!$B$4="All",'Compliance Database'!$A120=Query!$B$4),OR(Query!$B$5="All",ISNUMBER(SEARCH(Query!$B$5,'Compliance Database'!$H120))),OR(Query!$B$6="All",ISNUMBER(SEARCH(Query!$B$6,'Compliance Database'!$I120))),OR(Query!$B$7="All",'Compliance Database'!$F120=Query!$B$7),OR(Query!$B$8="All",'Compliance Database'!$J120=Query!$B$8),OR(Query!$B$9="",ISNUMBER(SEARCH(Query!$B$9,'Compliance Database'!$D120&amp;" "&amp;'Compliance Database'!$K120&amp;" "&amp;'Compliance Database'!$L120&amp;" "&amp;'Compliance Database'!$M120&amp;" "&amp;'Compliance Database'!$N120&amp;" "&amp;'Compliance Database'!$O120))),OR(Query!$B$10&lt;&gt;"Yes",'Compliance Database'!$F120&lt;&gt;"None")),1,0)</f>
        <v/>
      </c>
      <c r="B120">
        <f>IF($A120=1,SUM($A$2:$A120),"")</f>
        <v/>
      </c>
      <c r="C120">
        <f>IF($A120=1,SUM($A$2:$A120),0)</f>
        <v/>
      </c>
    </row>
    <row r="121">
      <c r="A121">
        <f>IF(AND(OR(Query!$B$4="All",'Compliance Database'!$A121=Query!$B$4),OR(Query!$B$5="All",ISNUMBER(SEARCH(Query!$B$5,'Compliance Database'!$H121))),OR(Query!$B$6="All",ISNUMBER(SEARCH(Query!$B$6,'Compliance Database'!$I121))),OR(Query!$B$7="All",'Compliance Database'!$F121=Query!$B$7),OR(Query!$B$8="All",'Compliance Database'!$J121=Query!$B$8),OR(Query!$B$9="",ISNUMBER(SEARCH(Query!$B$9,'Compliance Database'!$D121&amp;" "&amp;'Compliance Database'!$K121&amp;" "&amp;'Compliance Database'!$L121&amp;" "&amp;'Compliance Database'!$M121&amp;" "&amp;'Compliance Database'!$N121&amp;" "&amp;'Compliance Database'!$O121))),OR(Query!$B$10&lt;&gt;"Yes",'Compliance Database'!$F121&lt;&gt;"None")),1,0)</f>
        <v/>
      </c>
      <c r="B121">
        <f>IF($A121=1,SUM($A$2:$A121),"")</f>
        <v/>
      </c>
      <c r="C121">
        <f>IF($A121=1,SUM($A$2:$A121),0)</f>
        <v/>
      </c>
    </row>
    <row r="122">
      <c r="A122">
        <f>IF(AND(OR(Query!$B$4="All",'Compliance Database'!$A122=Query!$B$4),OR(Query!$B$5="All",ISNUMBER(SEARCH(Query!$B$5,'Compliance Database'!$H122))),OR(Query!$B$6="All",ISNUMBER(SEARCH(Query!$B$6,'Compliance Database'!$I122))),OR(Query!$B$7="All",'Compliance Database'!$F122=Query!$B$7),OR(Query!$B$8="All",'Compliance Database'!$J122=Query!$B$8),OR(Query!$B$9="",ISNUMBER(SEARCH(Query!$B$9,'Compliance Database'!$D122&amp;" "&amp;'Compliance Database'!$K122&amp;" "&amp;'Compliance Database'!$L122&amp;" "&amp;'Compliance Database'!$M122&amp;" "&amp;'Compliance Database'!$N122&amp;" "&amp;'Compliance Database'!$O122))),OR(Query!$B$10&lt;&gt;"Yes",'Compliance Database'!$F122&lt;&gt;"None")),1,0)</f>
        <v/>
      </c>
      <c r="B122">
        <f>IF($A122=1,SUM($A$2:$A122),"")</f>
        <v/>
      </c>
      <c r="C122">
        <f>IF($A122=1,SUM($A$2:$A122),0)</f>
        <v/>
      </c>
    </row>
    <row r="123">
      <c r="A123">
        <f>IF(AND(OR(Query!$B$4="All",'Compliance Database'!$A123=Query!$B$4),OR(Query!$B$5="All",ISNUMBER(SEARCH(Query!$B$5,'Compliance Database'!$H123))),OR(Query!$B$6="All",ISNUMBER(SEARCH(Query!$B$6,'Compliance Database'!$I123))),OR(Query!$B$7="All",'Compliance Database'!$F123=Query!$B$7),OR(Query!$B$8="All",'Compliance Database'!$J123=Query!$B$8),OR(Query!$B$9="",ISNUMBER(SEARCH(Query!$B$9,'Compliance Database'!$D123&amp;" "&amp;'Compliance Database'!$K123&amp;" "&amp;'Compliance Database'!$L123&amp;" "&amp;'Compliance Database'!$M123&amp;" "&amp;'Compliance Database'!$N123&amp;" "&amp;'Compliance Database'!$O123))),OR(Query!$B$10&lt;&gt;"Yes",'Compliance Database'!$F123&lt;&gt;"None")),1,0)</f>
        <v/>
      </c>
      <c r="B123">
        <f>IF($A123=1,SUM($A$2:$A123),"")</f>
        <v/>
      </c>
      <c r="C123">
        <f>IF($A123=1,SUM($A$2:$A123),0)</f>
        <v/>
      </c>
    </row>
    <row r="124">
      <c r="A124">
        <f>IF(AND(OR(Query!$B$4="All",'Compliance Database'!$A124=Query!$B$4),OR(Query!$B$5="All",ISNUMBER(SEARCH(Query!$B$5,'Compliance Database'!$H124))),OR(Query!$B$6="All",ISNUMBER(SEARCH(Query!$B$6,'Compliance Database'!$I124))),OR(Query!$B$7="All",'Compliance Database'!$F124=Query!$B$7),OR(Query!$B$8="All",'Compliance Database'!$J124=Query!$B$8),OR(Query!$B$9="",ISNUMBER(SEARCH(Query!$B$9,'Compliance Database'!$D124&amp;" "&amp;'Compliance Database'!$K124&amp;" "&amp;'Compliance Database'!$L124&amp;" "&amp;'Compliance Database'!$M124&amp;" "&amp;'Compliance Database'!$N124&amp;" "&amp;'Compliance Database'!$O124))),OR(Query!$B$10&lt;&gt;"Yes",'Compliance Database'!$F124&lt;&gt;"None")),1,0)</f>
        <v/>
      </c>
      <c r="B124">
        <f>IF($A124=1,SUM($A$2:$A124),"")</f>
        <v/>
      </c>
      <c r="C124">
        <f>IF($A124=1,SUM($A$2:$A124),0)</f>
        <v/>
      </c>
    </row>
    <row r="125">
      <c r="A125">
        <f>IF(AND(OR(Query!$B$4="All",'Compliance Database'!$A125=Query!$B$4),OR(Query!$B$5="All",ISNUMBER(SEARCH(Query!$B$5,'Compliance Database'!$H125))),OR(Query!$B$6="All",ISNUMBER(SEARCH(Query!$B$6,'Compliance Database'!$I125))),OR(Query!$B$7="All",'Compliance Database'!$F125=Query!$B$7),OR(Query!$B$8="All",'Compliance Database'!$J125=Query!$B$8),OR(Query!$B$9="",ISNUMBER(SEARCH(Query!$B$9,'Compliance Database'!$D125&amp;" "&amp;'Compliance Database'!$K125&amp;" "&amp;'Compliance Database'!$L125&amp;" "&amp;'Compliance Database'!$M125&amp;" "&amp;'Compliance Database'!$N125&amp;" "&amp;'Compliance Database'!$O125))),OR(Query!$B$10&lt;&gt;"Yes",'Compliance Database'!$F125&lt;&gt;"None")),1,0)</f>
        <v/>
      </c>
      <c r="B125">
        <f>IF($A125=1,SUM($A$2:$A125),"")</f>
        <v/>
      </c>
      <c r="C125">
        <f>IF($A125=1,SUM($A$2:$A125),0)</f>
        <v/>
      </c>
    </row>
    <row r="126">
      <c r="A126">
        <f>IF(AND(OR(Query!$B$4="All",'Compliance Database'!$A126=Query!$B$4),OR(Query!$B$5="All",ISNUMBER(SEARCH(Query!$B$5,'Compliance Database'!$H126))),OR(Query!$B$6="All",ISNUMBER(SEARCH(Query!$B$6,'Compliance Database'!$I126))),OR(Query!$B$7="All",'Compliance Database'!$F126=Query!$B$7),OR(Query!$B$8="All",'Compliance Database'!$J126=Query!$B$8),OR(Query!$B$9="",ISNUMBER(SEARCH(Query!$B$9,'Compliance Database'!$D126&amp;" "&amp;'Compliance Database'!$K126&amp;" "&amp;'Compliance Database'!$L126&amp;" "&amp;'Compliance Database'!$M126&amp;" "&amp;'Compliance Database'!$N126&amp;" "&amp;'Compliance Database'!$O126))),OR(Query!$B$10&lt;&gt;"Yes",'Compliance Database'!$F126&lt;&gt;"None")),1,0)</f>
        <v/>
      </c>
      <c r="B126">
        <f>IF($A126=1,SUM($A$2:$A126),"")</f>
        <v/>
      </c>
      <c r="C126">
        <f>IF($A126=1,SUM($A$2:$A126),0)</f>
        <v/>
      </c>
    </row>
    <row r="127">
      <c r="A127">
        <f>IF(AND(OR(Query!$B$4="All",'Compliance Database'!$A127=Query!$B$4),OR(Query!$B$5="All",ISNUMBER(SEARCH(Query!$B$5,'Compliance Database'!$H127))),OR(Query!$B$6="All",ISNUMBER(SEARCH(Query!$B$6,'Compliance Database'!$I127))),OR(Query!$B$7="All",'Compliance Database'!$F127=Query!$B$7),OR(Query!$B$8="All",'Compliance Database'!$J127=Query!$B$8),OR(Query!$B$9="",ISNUMBER(SEARCH(Query!$B$9,'Compliance Database'!$D127&amp;" "&amp;'Compliance Database'!$K127&amp;" "&amp;'Compliance Database'!$L127&amp;" "&amp;'Compliance Database'!$M127&amp;" "&amp;'Compliance Database'!$N127&amp;" "&amp;'Compliance Database'!$O127))),OR(Query!$B$10&lt;&gt;"Yes",'Compliance Database'!$F127&lt;&gt;"None")),1,0)</f>
        <v/>
      </c>
      <c r="B127">
        <f>IF($A127=1,SUM($A$2:$A127),"")</f>
        <v/>
      </c>
      <c r="C127">
        <f>IF($A127=1,SUM($A$2:$A127),0)</f>
        <v/>
      </c>
    </row>
    <row r="128">
      <c r="A128">
        <f>IF(AND(OR(Query!$B$4="All",'Compliance Database'!$A128=Query!$B$4),OR(Query!$B$5="All",ISNUMBER(SEARCH(Query!$B$5,'Compliance Database'!$H128))),OR(Query!$B$6="All",ISNUMBER(SEARCH(Query!$B$6,'Compliance Database'!$I128))),OR(Query!$B$7="All",'Compliance Database'!$F128=Query!$B$7),OR(Query!$B$8="All",'Compliance Database'!$J128=Query!$B$8),OR(Query!$B$9="",ISNUMBER(SEARCH(Query!$B$9,'Compliance Database'!$D128&amp;" "&amp;'Compliance Database'!$K128&amp;" "&amp;'Compliance Database'!$L128&amp;" "&amp;'Compliance Database'!$M128&amp;" "&amp;'Compliance Database'!$N128&amp;" "&amp;'Compliance Database'!$O128))),OR(Query!$B$10&lt;&gt;"Yes",'Compliance Database'!$F128&lt;&gt;"None")),1,0)</f>
        <v/>
      </c>
      <c r="B128">
        <f>IF($A128=1,SUM($A$2:$A128),"")</f>
        <v/>
      </c>
      <c r="C128">
        <f>IF($A128=1,SUM($A$2:$A128),0)</f>
        <v/>
      </c>
    </row>
    <row r="129">
      <c r="A129">
        <f>IF(AND(OR(Query!$B$4="All",'Compliance Database'!$A129=Query!$B$4),OR(Query!$B$5="All",ISNUMBER(SEARCH(Query!$B$5,'Compliance Database'!$H129))),OR(Query!$B$6="All",ISNUMBER(SEARCH(Query!$B$6,'Compliance Database'!$I129))),OR(Query!$B$7="All",'Compliance Database'!$F129=Query!$B$7),OR(Query!$B$8="All",'Compliance Database'!$J129=Query!$B$8),OR(Query!$B$9="",ISNUMBER(SEARCH(Query!$B$9,'Compliance Database'!$D129&amp;" "&amp;'Compliance Database'!$K129&amp;" "&amp;'Compliance Database'!$L129&amp;" "&amp;'Compliance Database'!$M129&amp;" "&amp;'Compliance Database'!$N129&amp;" "&amp;'Compliance Database'!$O129))),OR(Query!$B$10&lt;&gt;"Yes",'Compliance Database'!$F129&lt;&gt;"None")),1,0)</f>
        <v/>
      </c>
      <c r="B129">
        <f>IF($A129=1,SUM($A$2:$A129),"")</f>
        <v/>
      </c>
      <c r="C129">
        <f>IF($A129=1,SUM($A$2:$A129),0)</f>
        <v/>
      </c>
    </row>
    <row r="130">
      <c r="A130">
        <f>IF(AND(OR(Query!$B$4="All",'Compliance Database'!$A130=Query!$B$4),OR(Query!$B$5="All",ISNUMBER(SEARCH(Query!$B$5,'Compliance Database'!$H130))),OR(Query!$B$6="All",ISNUMBER(SEARCH(Query!$B$6,'Compliance Database'!$I130))),OR(Query!$B$7="All",'Compliance Database'!$F130=Query!$B$7),OR(Query!$B$8="All",'Compliance Database'!$J130=Query!$B$8),OR(Query!$B$9="",ISNUMBER(SEARCH(Query!$B$9,'Compliance Database'!$D130&amp;" "&amp;'Compliance Database'!$K130&amp;" "&amp;'Compliance Database'!$L130&amp;" "&amp;'Compliance Database'!$M130&amp;" "&amp;'Compliance Database'!$N130&amp;" "&amp;'Compliance Database'!$O130))),OR(Query!$B$10&lt;&gt;"Yes",'Compliance Database'!$F130&lt;&gt;"None")),1,0)</f>
        <v/>
      </c>
      <c r="B130">
        <f>IF($A130=1,SUM($A$2:$A130),"")</f>
        <v/>
      </c>
      <c r="C130">
        <f>IF($A130=1,SUM($A$2:$A130),0)</f>
        <v/>
      </c>
    </row>
    <row r="131">
      <c r="A131">
        <f>IF(AND(OR(Query!$B$4="All",'Compliance Database'!$A131=Query!$B$4),OR(Query!$B$5="All",ISNUMBER(SEARCH(Query!$B$5,'Compliance Database'!$H131))),OR(Query!$B$6="All",ISNUMBER(SEARCH(Query!$B$6,'Compliance Database'!$I131))),OR(Query!$B$7="All",'Compliance Database'!$F131=Query!$B$7),OR(Query!$B$8="All",'Compliance Database'!$J131=Query!$B$8),OR(Query!$B$9="",ISNUMBER(SEARCH(Query!$B$9,'Compliance Database'!$D131&amp;" "&amp;'Compliance Database'!$K131&amp;" "&amp;'Compliance Database'!$L131&amp;" "&amp;'Compliance Database'!$M131&amp;" "&amp;'Compliance Database'!$N131&amp;" "&amp;'Compliance Database'!$O131))),OR(Query!$B$10&lt;&gt;"Yes",'Compliance Database'!$F131&lt;&gt;"None")),1,0)</f>
        <v/>
      </c>
      <c r="B131">
        <f>IF($A131=1,SUM($A$2:$A131),"")</f>
        <v/>
      </c>
      <c r="C131">
        <f>IF($A131=1,SUM($A$2:$A131),0)</f>
        <v/>
      </c>
    </row>
    <row r="132">
      <c r="A132">
        <f>IF(AND(OR(Query!$B$4="All",'Compliance Database'!$A132=Query!$B$4),OR(Query!$B$5="All",ISNUMBER(SEARCH(Query!$B$5,'Compliance Database'!$H132))),OR(Query!$B$6="All",ISNUMBER(SEARCH(Query!$B$6,'Compliance Database'!$I132))),OR(Query!$B$7="All",'Compliance Database'!$F132=Query!$B$7),OR(Query!$B$8="All",'Compliance Database'!$J132=Query!$B$8),OR(Query!$B$9="",ISNUMBER(SEARCH(Query!$B$9,'Compliance Database'!$D132&amp;" "&amp;'Compliance Database'!$K132&amp;" "&amp;'Compliance Database'!$L132&amp;" "&amp;'Compliance Database'!$M132&amp;" "&amp;'Compliance Database'!$N132&amp;" "&amp;'Compliance Database'!$O132))),OR(Query!$B$10&lt;&gt;"Yes",'Compliance Database'!$F132&lt;&gt;"None")),1,0)</f>
        <v/>
      </c>
      <c r="B132">
        <f>IF($A132=1,SUM($A$2:$A132),"")</f>
        <v/>
      </c>
      <c r="C132">
        <f>IF($A132=1,SUM($A$2:$A132),0)</f>
        <v/>
      </c>
    </row>
    <row r="133">
      <c r="A133">
        <f>IF(AND(OR(Query!$B$4="All",'Compliance Database'!$A133=Query!$B$4),OR(Query!$B$5="All",ISNUMBER(SEARCH(Query!$B$5,'Compliance Database'!$H133))),OR(Query!$B$6="All",ISNUMBER(SEARCH(Query!$B$6,'Compliance Database'!$I133))),OR(Query!$B$7="All",'Compliance Database'!$F133=Query!$B$7),OR(Query!$B$8="All",'Compliance Database'!$J133=Query!$B$8),OR(Query!$B$9="",ISNUMBER(SEARCH(Query!$B$9,'Compliance Database'!$D133&amp;" "&amp;'Compliance Database'!$K133&amp;" "&amp;'Compliance Database'!$L133&amp;" "&amp;'Compliance Database'!$M133&amp;" "&amp;'Compliance Database'!$N133&amp;" "&amp;'Compliance Database'!$O133))),OR(Query!$B$10&lt;&gt;"Yes",'Compliance Database'!$F133&lt;&gt;"None")),1,0)</f>
        <v/>
      </c>
      <c r="B133">
        <f>IF($A133=1,SUM($A$2:$A133),"")</f>
        <v/>
      </c>
      <c r="C133">
        <f>IF($A133=1,SUM($A$2:$A133),0)</f>
        <v/>
      </c>
    </row>
    <row r="134">
      <c r="A134">
        <f>IF(AND(OR(Query!$B$4="All",'Compliance Database'!$A134=Query!$B$4),OR(Query!$B$5="All",ISNUMBER(SEARCH(Query!$B$5,'Compliance Database'!$H134))),OR(Query!$B$6="All",ISNUMBER(SEARCH(Query!$B$6,'Compliance Database'!$I134))),OR(Query!$B$7="All",'Compliance Database'!$F134=Query!$B$7),OR(Query!$B$8="All",'Compliance Database'!$J134=Query!$B$8),OR(Query!$B$9="",ISNUMBER(SEARCH(Query!$B$9,'Compliance Database'!$D134&amp;" "&amp;'Compliance Database'!$K134&amp;" "&amp;'Compliance Database'!$L134&amp;" "&amp;'Compliance Database'!$M134&amp;" "&amp;'Compliance Database'!$N134&amp;" "&amp;'Compliance Database'!$O134))),OR(Query!$B$10&lt;&gt;"Yes",'Compliance Database'!$F134&lt;&gt;"None")),1,0)</f>
        <v/>
      </c>
      <c r="B134">
        <f>IF($A134=1,SUM($A$2:$A134),"")</f>
        <v/>
      </c>
      <c r="C134">
        <f>IF($A134=1,SUM($A$2:$A134),0)</f>
        <v/>
      </c>
    </row>
    <row r="135">
      <c r="A135">
        <f>IF(AND(OR(Query!$B$4="All",'Compliance Database'!$A135=Query!$B$4),OR(Query!$B$5="All",ISNUMBER(SEARCH(Query!$B$5,'Compliance Database'!$H135))),OR(Query!$B$6="All",ISNUMBER(SEARCH(Query!$B$6,'Compliance Database'!$I135))),OR(Query!$B$7="All",'Compliance Database'!$F135=Query!$B$7),OR(Query!$B$8="All",'Compliance Database'!$J135=Query!$B$8),OR(Query!$B$9="",ISNUMBER(SEARCH(Query!$B$9,'Compliance Database'!$D135&amp;" "&amp;'Compliance Database'!$K135&amp;" "&amp;'Compliance Database'!$L135&amp;" "&amp;'Compliance Database'!$M135&amp;" "&amp;'Compliance Database'!$N135&amp;" "&amp;'Compliance Database'!$O135))),OR(Query!$B$10&lt;&gt;"Yes",'Compliance Database'!$F135&lt;&gt;"None")),1,0)</f>
        <v/>
      </c>
      <c r="B135">
        <f>IF($A135=1,SUM($A$2:$A135),"")</f>
        <v/>
      </c>
      <c r="C135">
        <f>IF($A135=1,SUM($A$2:$A135),0)</f>
        <v/>
      </c>
    </row>
    <row r="136">
      <c r="A136">
        <f>IF(AND(OR(Query!$B$4="All",'Compliance Database'!$A136=Query!$B$4),OR(Query!$B$5="All",ISNUMBER(SEARCH(Query!$B$5,'Compliance Database'!$H136))),OR(Query!$B$6="All",ISNUMBER(SEARCH(Query!$B$6,'Compliance Database'!$I136))),OR(Query!$B$7="All",'Compliance Database'!$F136=Query!$B$7),OR(Query!$B$8="All",'Compliance Database'!$J136=Query!$B$8),OR(Query!$B$9="",ISNUMBER(SEARCH(Query!$B$9,'Compliance Database'!$D136&amp;" "&amp;'Compliance Database'!$K136&amp;" "&amp;'Compliance Database'!$L136&amp;" "&amp;'Compliance Database'!$M136&amp;" "&amp;'Compliance Database'!$N136&amp;" "&amp;'Compliance Database'!$O136))),OR(Query!$B$10&lt;&gt;"Yes",'Compliance Database'!$F136&lt;&gt;"None")),1,0)</f>
        <v/>
      </c>
      <c r="B136">
        <f>IF($A136=1,SUM($A$2:$A136),"")</f>
        <v/>
      </c>
      <c r="C136">
        <f>IF($A136=1,SUM($A$2:$A136),0)</f>
        <v/>
      </c>
    </row>
    <row r="137">
      <c r="A137">
        <f>IF(AND(OR(Query!$B$4="All",'Compliance Database'!$A137=Query!$B$4),OR(Query!$B$5="All",ISNUMBER(SEARCH(Query!$B$5,'Compliance Database'!$H137))),OR(Query!$B$6="All",ISNUMBER(SEARCH(Query!$B$6,'Compliance Database'!$I137))),OR(Query!$B$7="All",'Compliance Database'!$F137=Query!$B$7),OR(Query!$B$8="All",'Compliance Database'!$J137=Query!$B$8),OR(Query!$B$9="",ISNUMBER(SEARCH(Query!$B$9,'Compliance Database'!$D137&amp;" "&amp;'Compliance Database'!$K137&amp;" "&amp;'Compliance Database'!$L137&amp;" "&amp;'Compliance Database'!$M137&amp;" "&amp;'Compliance Database'!$N137&amp;" "&amp;'Compliance Database'!$O137))),OR(Query!$B$10&lt;&gt;"Yes",'Compliance Database'!$F137&lt;&gt;"None")),1,0)</f>
        <v/>
      </c>
      <c r="B137">
        <f>IF($A137=1,SUM($A$2:$A137),"")</f>
        <v/>
      </c>
      <c r="C137">
        <f>IF($A137=1,SUM($A$2:$A137),0)</f>
        <v/>
      </c>
    </row>
    <row r="138">
      <c r="A138">
        <f>IF(AND(OR(Query!$B$4="All",'Compliance Database'!$A138=Query!$B$4),OR(Query!$B$5="All",ISNUMBER(SEARCH(Query!$B$5,'Compliance Database'!$H138))),OR(Query!$B$6="All",ISNUMBER(SEARCH(Query!$B$6,'Compliance Database'!$I138))),OR(Query!$B$7="All",'Compliance Database'!$F138=Query!$B$7),OR(Query!$B$8="All",'Compliance Database'!$J138=Query!$B$8),OR(Query!$B$9="",ISNUMBER(SEARCH(Query!$B$9,'Compliance Database'!$D138&amp;" "&amp;'Compliance Database'!$K138&amp;" "&amp;'Compliance Database'!$L138&amp;" "&amp;'Compliance Database'!$M138&amp;" "&amp;'Compliance Database'!$N138&amp;" "&amp;'Compliance Database'!$O138))),OR(Query!$B$10&lt;&gt;"Yes",'Compliance Database'!$F138&lt;&gt;"None")),1,0)</f>
        <v/>
      </c>
      <c r="B138">
        <f>IF($A138=1,SUM($A$2:$A138),"")</f>
        <v/>
      </c>
      <c r="C138">
        <f>IF($A138=1,SUM($A$2:$A138),0)</f>
        <v/>
      </c>
    </row>
    <row r="139">
      <c r="A139">
        <f>IF(AND(OR(Query!$B$4="All",'Compliance Database'!$A139=Query!$B$4),OR(Query!$B$5="All",ISNUMBER(SEARCH(Query!$B$5,'Compliance Database'!$H139))),OR(Query!$B$6="All",ISNUMBER(SEARCH(Query!$B$6,'Compliance Database'!$I139))),OR(Query!$B$7="All",'Compliance Database'!$F139=Query!$B$7),OR(Query!$B$8="All",'Compliance Database'!$J139=Query!$B$8),OR(Query!$B$9="",ISNUMBER(SEARCH(Query!$B$9,'Compliance Database'!$D139&amp;" "&amp;'Compliance Database'!$K139&amp;" "&amp;'Compliance Database'!$L139&amp;" "&amp;'Compliance Database'!$M139&amp;" "&amp;'Compliance Database'!$N139&amp;" "&amp;'Compliance Database'!$O139))),OR(Query!$B$10&lt;&gt;"Yes",'Compliance Database'!$F139&lt;&gt;"None")),1,0)</f>
        <v/>
      </c>
      <c r="B139">
        <f>IF($A139=1,SUM($A$2:$A139),"")</f>
        <v/>
      </c>
      <c r="C139">
        <f>IF($A139=1,SUM($A$2:$A139),0)</f>
        <v/>
      </c>
    </row>
    <row r="140">
      <c r="A140">
        <f>IF(AND(OR(Query!$B$4="All",'Compliance Database'!$A140=Query!$B$4),OR(Query!$B$5="All",ISNUMBER(SEARCH(Query!$B$5,'Compliance Database'!$H140))),OR(Query!$B$6="All",ISNUMBER(SEARCH(Query!$B$6,'Compliance Database'!$I140))),OR(Query!$B$7="All",'Compliance Database'!$F140=Query!$B$7),OR(Query!$B$8="All",'Compliance Database'!$J140=Query!$B$8),OR(Query!$B$9="",ISNUMBER(SEARCH(Query!$B$9,'Compliance Database'!$D140&amp;" "&amp;'Compliance Database'!$K140&amp;" "&amp;'Compliance Database'!$L140&amp;" "&amp;'Compliance Database'!$M140&amp;" "&amp;'Compliance Database'!$N140&amp;" "&amp;'Compliance Database'!$O140))),OR(Query!$B$10&lt;&gt;"Yes",'Compliance Database'!$F140&lt;&gt;"None")),1,0)</f>
        <v/>
      </c>
      <c r="B140">
        <f>IF($A140=1,SUM($A$2:$A140),"")</f>
        <v/>
      </c>
      <c r="C140">
        <f>IF($A140=1,SUM($A$2:$A140),0)</f>
        <v/>
      </c>
    </row>
    <row r="141">
      <c r="A141">
        <f>IF(AND(OR(Query!$B$4="All",'Compliance Database'!$A141=Query!$B$4),OR(Query!$B$5="All",ISNUMBER(SEARCH(Query!$B$5,'Compliance Database'!$H141))),OR(Query!$B$6="All",ISNUMBER(SEARCH(Query!$B$6,'Compliance Database'!$I141))),OR(Query!$B$7="All",'Compliance Database'!$F141=Query!$B$7),OR(Query!$B$8="All",'Compliance Database'!$J141=Query!$B$8),OR(Query!$B$9="",ISNUMBER(SEARCH(Query!$B$9,'Compliance Database'!$D141&amp;" "&amp;'Compliance Database'!$K141&amp;" "&amp;'Compliance Database'!$L141&amp;" "&amp;'Compliance Database'!$M141&amp;" "&amp;'Compliance Database'!$N141&amp;" "&amp;'Compliance Database'!$O141))),OR(Query!$B$10&lt;&gt;"Yes",'Compliance Database'!$F141&lt;&gt;"None")),1,0)</f>
        <v/>
      </c>
      <c r="B141">
        <f>IF($A141=1,SUM($A$2:$A141),"")</f>
        <v/>
      </c>
      <c r="C141">
        <f>IF($A141=1,SUM($A$2:$A141),0)</f>
        <v/>
      </c>
    </row>
    <row r="142">
      <c r="A142">
        <f>IF(AND(OR(Query!$B$4="All",'Compliance Database'!$A142=Query!$B$4),OR(Query!$B$5="All",ISNUMBER(SEARCH(Query!$B$5,'Compliance Database'!$H142))),OR(Query!$B$6="All",ISNUMBER(SEARCH(Query!$B$6,'Compliance Database'!$I142))),OR(Query!$B$7="All",'Compliance Database'!$F142=Query!$B$7),OR(Query!$B$8="All",'Compliance Database'!$J142=Query!$B$8),OR(Query!$B$9="",ISNUMBER(SEARCH(Query!$B$9,'Compliance Database'!$D142&amp;" "&amp;'Compliance Database'!$K142&amp;" "&amp;'Compliance Database'!$L142&amp;" "&amp;'Compliance Database'!$M142&amp;" "&amp;'Compliance Database'!$N142&amp;" "&amp;'Compliance Database'!$O142))),OR(Query!$B$10&lt;&gt;"Yes",'Compliance Database'!$F142&lt;&gt;"None")),1,0)</f>
        <v/>
      </c>
      <c r="B142">
        <f>IF($A142=1,SUM($A$2:$A142),"")</f>
        <v/>
      </c>
      <c r="C142">
        <f>IF($A142=1,SUM($A$2:$A142),0)</f>
        <v/>
      </c>
    </row>
    <row r="143">
      <c r="A143">
        <f>IF(AND(OR(Query!$B$4="All",'Compliance Database'!$A143=Query!$B$4),OR(Query!$B$5="All",ISNUMBER(SEARCH(Query!$B$5,'Compliance Database'!$H143))),OR(Query!$B$6="All",ISNUMBER(SEARCH(Query!$B$6,'Compliance Database'!$I143))),OR(Query!$B$7="All",'Compliance Database'!$F143=Query!$B$7),OR(Query!$B$8="All",'Compliance Database'!$J143=Query!$B$8),OR(Query!$B$9="",ISNUMBER(SEARCH(Query!$B$9,'Compliance Database'!$D143&amp;" "&amp;'Compliance Database'!$K143&amp;" "&amp;'Compliance Database'!$L143&amp;" "&amp;'Compliance Database'!$M143&amp;" "&amp;'Compliance Database'!$N143&amp;" "&amp;'Compliance Database'!$O143))),OR(Query!$B$10&lt;&gt;"Yes",'Compliance Database'!$F143&lt;&gt;"None")),1,0)</f>
        <v/>
      </c>
      <c r="B143">
        <f>IF($A143=1,SUM($A$2:$A143),"")</f>
        <v/>
      </c>
      <c r="C143">
        <f>IF($A143=1,SUM($A$2:$A143),0)</f>
        <v/>
      </c>
    </row>
    <row r="144">
      <c r="A144">
        <f>IF(AND(OR(Query!$B$4="All",'Compliance Database'!$A144=Query!$B$4),OR(Query!$B$5="All",ISNUMBER(SEARCH(Query!$B$5,'Compliance Database'!$H144))),OR(Query!$B$6="All",ISNUMBER(SEARCH(Query!$B$6,'Compliance Database'!$I144))),OR(Query!$B$7="All",'Compliance Database'!$F144=Query!$B$7),OR(Query!$B$8="All",'Compliance Database'!$J144=Query!$B$8),OR(Query!$B$9="",ISNUMBER(SEARCH(Query!$B$9,'Compliance Database'!$D144&amp;" "&amp;'Compliance Database'!$K144&amp;" "&amp;'Compliance Database'!$L144&amp;" "&amp;'Compliance Database'!$M144&amp;" "&amp;'Compliance Database'!$N144&amp;" "&amp;'Compliance Database'!$O144))),OR(Query!$B$10&lt;&gt;"Yes",'Compliance Database'!$F144&lt;&gt;"None")),1,0)</f>
        <v/>
      </c>
      <c r="B144">
        <f>IF($A144=1,SUM($A$2:$A144),"")</f>
        <v/>
      </c>
      <c r="C144">
        <f>IF($A144=1,SUM($A$2:$A144),0)</f>
        <v/>
      </c>
    </row>
    <row r="145">
      <c r="A145">
        <f>IF(AND(OR(Query!$B$4="All",'Compliance Database'!$A145=Query!$B$4),OR(Query!$B$5="All",ISNUMBER(SEARCH(Query!$B$5,'Compliance Database'!$H145))),OR(Query!$B$6="All",ISNUMBER(SEARCH(Query!$B$6,'Compliance Database'!$I145))),OR(Query!$B$7="All",'Compliance Database'!$F145=Query!$B$7),OR(Query!$B$8="All",'Compliance Database'!$J145=Query!$B$8),OR(Query!$B$9="",ISNUMBER(SEARCH(Query!$B$9,'Compliance Database'!$D145&amp;" "&amp;'Compliance Database'!$K145&amp;" "&amp;'Compliance Database'!$L145&amp;" "&amp;'Compliance Database'!$M145&amp;" "&amp;'Compliance Database'!$N145&amp;" "&amp;'Compliance Database'!$O145))),OR(Query!$B$10&lt;&gt;"Yes",'Compliance Database'!$F145&lt;&gt;"None")),1,0)</f>
        <v/>
      </c>
      <c r="B145">
        <f>IF($A145=1,SUM($A$2:$A145),"")</f>
        <v/>
      </c>
      <c r="C145">
        <f>IF($A145=1,SUM($A$2:$A145),0)</f>
        <v/>
      </c>
    </row>
    <row r="146">
      <c r="A146">
        <f>IF(AND(OR(Query!$B$4="All",'Compliance Database'!$A146=Query!$B$4),OR(Query!$B$5="All",ISNUMBER(SEARCH(Query!$B$5,'Compliance Database'!$H146))),OR(Query!$B$6="All",ISNUMBER(SEARCH(Query!$B$6,'Compliance Database'!$I146))),OR(Query!$B$7="All",'Compliance Database'!$F146=Query!$B$7),OR(Query!$B$8="All",'Compliance Database'!$J146=Query!$B$8),OR(Query!$B$9="",ISNUMBER(SEARCH(Query!$B$9,'Compliance Database'!$D146&amp;" "&amp;'Compliance Database'!$K146&amp;" "&amp;'Compliance Database'!$L146&amp;" "&amp;'Compliance Database'!$M146&amp;" "&amp;'Compliance Database'!$N146&amp;" "&amp;'Compliance Database'!$O146))),OR(Query!$B$10&lt;&gt;"Yes",'Compliance Database'!$F146&lt;&gt;"None")),1,0)</f>
        <v/>
      </c>
      <c r="B146">
        <f>IF($A146=1,SUM($A$2:$A146),"")</f>
        <v/>
      </c>
      <c r="C146">
        <f>IF($A146=1,SUM($A$2:$A146),0)</f>
        <v/>
      </c>
    </row>
    <row r="147">
      <c r="A147">
        <f>IF(AND(OR(Query!$B$4="All",'Compliance Database'!$A147=Query!$B$4),OR(Query!$B$5="All",ISNUMBER(SEARCH(Query!$B$5,'Compliance Database'!$H147))),OR(Query!$B$6="All",ISNUMBER(SEARCH(Query!$B$6,'Compliance Database'!$I147))),OR(Query!$B$7="All",'Compliance Database'!$F147=Query!$B$7),OR(Query!$B$8="All",'Compliance Database'!$J147=Query!$B$8),OR(Query!$B$9="",ISNUMBER(SEARCH(Query!$B$9,'Compliance Database'!$D147&amp;" "&amp;'Compliance Database'!$K147&amp;" "&amp;'Compliance Database'!$L147&amp;" "&amp;'Compliance Database'!$M147&amp;" "&amp;'Compliance Database'!$N147&amp;" "&amp;'Compliance Database'!$O147))),OR(Query!$B$10&lt;&gt;"Yes",'Compliance Database'!$F147&lt;&gt;"None")),1,0)</f>
        <v/>
      </c>
      <c r="B147">
        <f>IF($A147=1,SUM($A$2:$A147),"")</f>
        <v/>
      </c>
      <c r="C147">
        <f>IF($A147=1,SUM($A$2:$A147),0)</f>
        <v/>
      </c>
    </row>
    <row r="148">
      <c r="A148">
        <f>IF(AND(OR(Query!$B$4="All",'Compliance Database'!$A148=Query!$B$4),OR(Query!$B$5="All",ISNUMBER(SEARCH(Query!$B$5,'Compliance Database'!$H148))),OR(Query!$B$6="All",ISNUMBER(SEARCH(Query!$B$6,'Compliance Database'!$I148))),OR(Query!$B$7="All",'Compliance Database'!$F148=Query!$B$7),OR(Query!$B$8="All",'Compliance Database'!$J148=Query!$B$8),OR(Query!$B$9="",ISNUMBER(SEARCH(Query!$B$9,'Compliance Database'!$D148&amp;" "&amp;'Compliance Database'!$K148&amp;" "&amp;'Compliance Database'!$L148&amp;" "&amp;'Compliance Database'!$M148&amp;" "&amp;'Compliance Database'!$N148&amp;" "&amp;'Compliance Database'!$O148))),OR(Query!$B$10&lt;&gt;"Yes",'Compliance Database'!$F148&lt;&gt;"None")),1,0)</f>
        <v/>
      </c>
      <c r="B148">
        <f>IF($A148=1,SUM($A$2:$A148),"")</f>
        <v/>
      </c>
      <c r="C148">
        <f>IF($A148=1,SUM($A$2:$A148),0)</f>
        <v/>
      </c>
    </row>
    <row r="149">
      <c r="A149">
        <f>IF(AND(OR(Query!$B$4="All",'Compliance Database'!$A149=Query!$B$4),OR(Query!$B$5="All",ISNUMBER(SEARCH(Query!$B$5,'Compliance Database'!$H149))),OR(Query!$B$6="All",ISNUMBER(SEARCH(Query!$B$6,'Compliance Database'!$I149))),OR(Query!$B$7="All",'Compliance Database'!$F149=Query!$B$7),OR(Query!$B$8="All",'Compliance Database'!$J149=Query!$B$8),OR(Query!$B$9="",ISNUMBER(SEARCH(Query!$B$9,'Compliance Database'!$D149&amp;" "&amp;'Compliance Database'!$K149&amp;" "&amp;'Compliance Database'!$L149&amp;" "&amp;'Compliance Database'!$M149&amp;" "&amp;'Compliance Database'!$N149&amp;" "&amp;'Compliance Database'!$O149))),OR(Query!$B$10&lt;&gt;"Yes",'Compliance Database'!$F149&lt;&gt;"None")),1,0)</f>
        <v/>
      </c>
      <c r="B149">
        <f>IF($A149=1,SUM($A$2:$A149),"")</f>
        <v/>
      </c>
      <c r="C149">
        <f>IF($A149=1,SUM($A$2:$A149),0)</f>
        <v/>
      </c>
    </row>
    <row r="150">
      <c r="A150">
        <f>IF(AND(OR(Query!$B$4="All",'Compliance Database'!$A150=Query!$B$4),OR(Query!$B$5="All",ISNUMBER(SEARCH(Query!$B$5,'Compliance Database'!$H150))),OR(Query!$B$6="All",ISNUMBER(SEARCH(Query!$B$6,'Compliance Database'!$I150))),OR(Query!$B$7="All",'Compliance Database'!$F150=Query!$B$7),OR(Query!$B$8="All",'Compliance Database'!$J150=Query!$B$8),OR(Query!$B$9="",ISNUMBER(SEARCH(Query!$B$9,'Compliance Database'!$D150&amp;" "&amp;'Compliance Database'!$K150&amp;" "&amp;'Compliance Database'!$L150&amp;" "&amp;'Compliance Database'!$M150&amp;" "&amp;'Compliance Database'!$N150&amp;" "&amp;'Compliance Database'!$O150))),OR(Query!$B$10&lt;&gt;"Yes",'Compliance Database'!$F150&lt;&gt;"None")),1,0)</f>
        <v/>
      </c>
      <c r="B150">
        <f>IF($A150=1,SUM($A$2:$A150),"")</f>
        <v/>
      </c>
      <c r="C150">
        <f>IF($A150=1,SUM($A$2:$A150),0)</f>
        <v/>
      </c>
    </row>
    <row r="151">
      <c r="A151">
        <f>IF(AND(OR(Query!$B$4="All",'Compliance Database'!$A151=Query!$B$4),OR(Query!$B$5="All",ISNUMBER(SEARCH(Query!$B$5,'Compliance Database'!$H151))),OR(Query!$B$6="All",ISNUMBER(SEARCH(Query!$B$6,'Compliance Database'!$I151))),OR(Query!$B$7="All",'Compliance Database'!$F151=Query!$B$7),OR(Query!$B$8="All",'Compliance Database'!$J151=Query!$B$8),OR(Query!$B$9="",ISNUMBER(SEARCH(Query!$B$9,'Compliance Database'!$D151&amp;" "&amp;'Compliance Database'!$K151&amp;" "&amp;'Compliance Database'!$L151&amp;" "&amp;'Compliance Database'!$M151&amp;" "&amp;'Compliance Database'!$N151&amp;" "&amp;'Compliance Database'!$O151))),OR(Query!$B$10&lt;&gt;"Yes",'Compliance Database'!$F151&lt;&gt;"None")),1,0)</f>
        <v/>
      </c>
      <c r="B151">
        <f>IF($A151=1,SUM($A$2:$A151),"")</f>
        <v/>
      </c>
      <c r="C151">
        <f>IF($A151=1,SUM($A$2:$A151),0)</f>
        <v/>
      </c>
    </row>
    <row r="152">
      <c r="A152">
        <f>IF(AND(OR(Query!$B$4="All",'Compliance Database'!$A152=Query!$B$4),OR(Query!$B$5="All",ISNUMBER(SEARCH(Query!$B$5,'Compliance Database'!$H152))),OR(Query!$B$6="All",ISNUMBER(SEARCH(Query!$B$6,'Compliance Database'!$I152))),OR(Query!$B$7="All",'Compliance Database'!$F152=Query!$B$7),OR(Query!$B$8="All",'Compliance Database'!$J152=Query!$B$8),OR(Query!$B$9="",ISNUMBER(SEARCH(Query!$B$9,'Compliance Database'!$D152&amp;" "&amp;'Compliance Database'!$K152&amp;" "&amp;'Compliance Database'!$L152&amp;" "&amp;'Compliance Database'!$M152&amp;" "&amp;'Compliance Database'!$N152&amp;" "&amp;'Compliance Database'!$O152))),OR(Query!$B$10&lt;&gt;"Yes",'Compliance Database'!$F152&lt;&gt;"None")),1,0)</f>
        <v/>
      </c>
      <c r="B152">
        <f>IF($A152=1,SUM($A$2:$A152),"")</f>
        <v/>
      </c>
      <c r="C152">
        <f>IF($A152=1,SUM($A$2:$A152),0)</f>
        <v/>
      </c>
    </row>
    <row r="153">
      <c r="A153">
        <f>IF(AND(OR(Query!$B$4="All",'Compliance Database'!$A153=Query!$B$4),OR(Query!$B$5="All",ISNUMBER(SEARCH(Query!$B$5,'Compliance Database'!$H153))),OR(Query!$B$6="All",ISNUMBER(SEARCH(Query!$B$6,'Compliance Database'!$I153))),OR(Query!$B$7="All",'Compliance Database'!$F153=Query!$B$7),OR(Query!$B$8="All",'Compliance Database'!$J153=Query!$B$8),OR(Query!$B$9="",ISNUMBER(SEARCH(Query!$B$9,'Compliance Database'!$D153&amp;" "&amp;'Compliance Database'!$K153&amp;" "&amp;'Compliance Database'!$L153&amp;" "&amp;'Compliance Database'!$M153&amp;" "&amp;'Compliance Database'!$N153&amp;" "&amp;'Compliance Database'!$O153))),OR(Query!$B$10&lt;&gt;"Yes",'Compliance Database'!$F153&lt;&gt;"None")),1,0)</f>
        <v/>
      </c>
      <c r="B153">
        <f>IF($A153=1,SUM($A$2:$A153),"")</f>
        <v/>
      </c>
      <c r="C153">
        <f>IF($A153=1,SUM($A$2:$A153),0)</f>
        <v/>
      </c>
    </row>
    <row r="154">
      <c r="A154">
        <f>IF(AND(OR(Query!$B$4="All",'Compliance Database'!$A154=Query!$B$4),OR(Query!$B$5="All",ISNUMBER(SEARCH(Query!$B$5,'Compliance Database'!$H154))),OR(Query!$B$6="All",ISNUMBER(SEARCH(Query!$B$6,'Compliance Database'!$I154))),OR(Query!$B$7="All",'Compliance Database'!$F154=Query!$B$7),OR(Query!$B$8="All",'Compliance Database'!$J154=Query!$B$8),OR(Query!$B$9="",ISNUMBER(SEARCH(Query!$B$9,'Compliance Database'!$D154&amp;" "&amp;'Compliance Database'!$K154&amp;" "&amp;'Compliance Database'!$L154&amp;" "&amp;'Compliance Database'!$M154&amp;" "&amp;'Compliance Database'!$N154&amp;" "&amp;'Compliance Database'!$O154))),OR(Query!$B$10&lt;&gt;"Yes",'Compliance Database'!$F154&lt;&gt;"None")),1,0)</f>
        <v/>
      </c>
      <c r="B154">
        <f>IF($A154=1,SUM($A$2:$A154),"")</f>
        <v/>
      </c>
      <c r="C154">
        <f>IF($A154=1,SUM($A$2:$A154),0)</f>
        <v/>
      </c>
    </row>
    <row r="155">
      <c r="A155">
        <f>IF(AND(OR(Query!$B$4="All",'Compliance Database'!$A155=Query!$B$4),OR(Query!$B$5="All",ISNUMBER(SEARCH(Query!$B$5,'Compliance Database'!$H155))),OR(Query!$B$6="All",ISNUMBER(SEARCH(Query!$B$6,'Compliance Database'!$I155))),OR(Query!$B$7="All",'Compliance Database'!$F155=Query!$B$7),OR(Query!$B$8="All",'Compliance Database'!$J155=Query!$B$8),OR(Query!$B$9="",ISNUMBER(SEARCH(Query!$B$9,'Compliance Database'!$D155&amp;" "&amp;'Compliance Database'!$K155&amp;" "&amp;'Compliance Database'!$L155&amp;" "&amp;'Compliance Database'!$M155&amp;" "&amp;'Compliance Database'!$N155&amp;" "&amp;'Compliance Database'!$O155))),OR(Query!$B$10&lt;&gt;"Yes",'Compliance Database'!$F155&lt;&gt;"None")),1,0)</f>
        <v/>
      </c>
      <c r="B155">
        <f>IF($A155=1,SUM($A$2:$A155),"")</f>
        <v/>
      </c>
      <c r="C155">
        <f>IF($A155=1,SUM($A$2:$A155),0)</f>
        <v/>
      </c>
    </row>
    <row r="156">
      <c r="A156">
        <f>IF(AND(OR(Query!$B$4="All",'Compliance Database'!$A156=Query!$B$4),OR(Query!$B$5="All",ISNUMBER(SEARCH(Query!$B$5,'Compliance Database'!$H156))),OR(Query!$B$6="All",ISNUMBER(SEARCH(Query!$B$6,'Compliance Database'!$I156))),OR(Query!$B$7="All",'Compliance Database'!$F156=Query!$B$7),OR(Query!$B$8="All",'Compliance Database'!$J156=Query!$B$8),OR(Query!$B$9="",ISNUMBER(SEARCH(Query!$B$9,'Compliance Database'!$D156&amp;" "&amp;'Compliance Database'!$K156&amp;" "&amp;'Compliance Database'!$L156&amp;" "&amp;'Compliance Database'!$M156&amp;" "&amp;'Compliance Database'!$N156&amp;" "&amp;'Compliance Database'!$O156))),OR(Query!$B$10&lt;&gt;"Yes",'Compliance Database'!$F156&lt;&gt;"None")),1,0)</f>
        <v/>
      </c>
      <c r="B156">
        <f>IF($A156=1,SUM($A$2:$A156),"")</f>
        <v/>
      </c>
      <c r="C156">
        <f>IF($A156=1,SUM($A$2:$A156),0)</f>
        <v/>
      </c>
    </row>
    <row r="157">
      <c r="A157">
        <f>IF(AND(OR(Query!$B$4="All",'Compliance Database'!$A157=Query!$B$4),OR(Query!$B$5="All",ISNUMBER(SEARCH(Query!$B$5,'Compliance Database'!$H157))),OR(Query!$B$6="All",ISNUMBER(SEARCH(Query!$B$6,'Compliance Database'!$I157))),OR(Query!$B$7="All",'Compliance Database'!$F157=Query!$B$7),OR(Query!$B$8="All",'Compliance Database'!$J157=Query!$B$8),OR(Query!$B$9="",ISNUMBER(SEARCH(Query!$B$9,'Compliance Database'!$D157&amp;" "&amp;'Compliance Database'!$K157&amp;" "&amp;'Compliance Database'!$L157&amp;" "&amp;'Compliance Database'!$M157&amp;" "&amp;'Compliance Database'!$N157&amp;" "&amp;'Compliance Database'!$O157))),OR(Query!$B$10&lt;&gt;"Yes",'Compliance Database'!$F157&lt;&gt;"None")),1,0)</f>
        <v/>
      </c>
      <c r="B157">
        <f>IF($A157=1,SUM($A$2:$A157),"")</f>
        <v/>
      </c>
      <c r="C157">
        <f>IF($A157=1,SUM($A$2:$A157),0)</f>
        <v/>
      </c>
    </row>
    <row r="158">
      <c r="A158">
        <f>IF(AND(OR(Query!$B$4="All",'Compliance Database'!$A158=Query!$B$4),OR(Query!$B$5="All",ISNUMBER(SEARCH(Query!$B$5,'Compliance Database'!$H158))),OR(Query!$B$6="All",ISNUMBER(SEARCH(Query!$B$6,'Compliance Database'!$I158))),OR(Query!$B$7="All",'Compliance Database'!$F158=Query!$B$7),OR(Query!$B$8="All",'Compliance Database'!$J158=Query!$B$8),OR(Query!$B$9="",ISNUMBER(SEARCH(Query!$B$9,'Compliance Database'!$D158&amp;" "&amp;'Compliance Database'!$K158&amp;" "&amp;'Compliance Database'!$L158&amp;" "&amp;'Compliance Database'!$M158&amp;" "&amp;'Compliance Database'!$N158&amp;" "&amp;'Compliance Database'!$O158))),OR(Query!$B$10&lt;&gt;"Yes",'Compliance Database'!$F158&lt;&gt;"None")),1,0)</f>
        <v/>
      </c>
      <c r="B158">
        <f>IF($A158=1,SUM($A$2:$A158),"")</f>
        <v/>
      </c>
      <c r="C158">
        <f>IF($A158=1,SUM($A$2:$A158),0)</f>
        <v/>
      </c>
    </row>
    <row r="159">
      <c r="A159">
        <f>IF(AND(OR(Query!$B$4="All",'Compliance Database'!$A159=Query!$B$4),OR(Query!$B$5="All",ISNUMBER(SEARCH(Query!$B$5,'Compliance Database'!$H159))),OR(Query!$B$6="All",ISNUMBER(SEARCH(Query!$B$6,'Compliance Database'!$I159))),OR(Query!$B$7="All",'Compliance Database'!$F159=Query!$B$7),OR(Query!$B$8="All",'Compliance Database'!$J159=Query!$B$8),OR(Query!$B$9="",ISNUMBER(SEARCH(Query!$B$9,'Compliance Database'!$D159&amp;" "&amp;'Compliance Database'!$K159&amp;" "&amp;'Compliance Database'!$L159&amp;" "&amp;'Compliance Database'!$M159&amp;" "&amp;'Compliance Database'!$N159&amp;" "&amp;'Compliance Database'!$O159))),OR(Query!$B$10&lt;&gt;"Yes",'Compliance Database'!$F159&lt;&gt;"None")),1,0)</f>
        <v/>
      </c>
      <c r="B159">
        <f>IF($A159=1,SUM($A$2:$A159),"")</f>
        <v/>
      </c>
      <c r="C159">
        <f>IF($A159=1,SUM($A$2:$A159),0)</f>
        <v/>
      </c>
    </row>
    <row r="160">
      <c r="A160">
        <f>IF(AND(OR(Query!$B$4="All",'Compliance Database'!$A160=Query!$B$4),OR(Query!$B$5="All",ISNUMBER(SEARCH(Query!$B$5,'Compliance Database'!$H160))),OR(Query!$B$6="All",ISNUMBER(SEARCH(Query!$B$6,'Compliance Database'!$I160))),OR(Query!$B$7="All",'Compliance Database'!$F160=Query!$B$7),OR(Query!$B$8="All",'Compliance Database'!$J160=Query!$B$8),OR(Query!$B$9="",ISNUMBER(SEARCH(Query!$B$9,'Compliance Database'!$D160&amp;" "&amp;'Compliance Database'!$K160&amp;" "&amp;'Compliance Database'!$L160&amp;" "&amp;'Compliance Database'!$M160&amp;" "&amp;'Compliance Database'!$N160&amp;" "&amp;'Compliance Database'!$O160))),OR(Query!$B$10&lt;&gt;"Yes",'Compliance Database'!$F160&lt;&gt;"None")),1,0)</f>
        <v/>
      </c>
      <c r="B160">
        <f>IF($A160=1,SUM($A$2:$A160),"")</f>
        <v/>
      </c>
      <c r="C160">
        <f>IF($A160=1,SUM($A$2:$A160),0)</f>
        <v/>
      </c>
    </row>
    <row r="161">
      <c r="A161">
        <f>IF(AND(OR(Query!$B$4="All",'Compliance Database'!$A161=Query!$B$4),OR(Query!$B$5="All",ISNUMBER(SEARCH(Query!$B$5,'Compliance Database'!$H161))),OR(Query!$B$6="All",ISNUMBER(SEARCH(Query!$B$6,'Compliance Database'!$I161))),OR(Query!$B$7="All",'Compliance Database'!$F161=Query!$B$7),OR(Query!$B$8="All",'Compliance Database'!$J161=Query!$B$8),OR(Query!$B$9="",ISNUMBER(SEARCH(Query!$B$9,'Compliance Database'!$D161&amp;" "&amp;'Compliance Database'!$K161&amp;" "&amp;'Compliance Database'!$L161&amp;" "&amp;'Compliance Database'!$M161&amp;" "&amp;'Compliance Database'!$N161&amp;" "&amp;'Compliance Database'!$O161))),OR(Query!$B$10&lt;&gt;"Yes",'Compliance Database'!$F161&lt;&gt;"None")),1,0)</f>
        <v/>
      </c>
      <c r="B161">
        <f>IF($A161=1,SUM($A$2:$A161),"")</f>
        <v/>
      </c>
      <c r="C161">
        <f>IF($A161=1,SUM($A$2:$A161),0)</f>
        <v/>
      </c>
    </row>
    <row r="162">
      <c r="A162">
        <f>IF(AND(OR(Query!$B$4="All",'Compliance Database'!$A162=Query!$B$4),OR(Query!$B$5="All",ISNUMBER(SEARCH(Query!$B$5,'Compliance Database'!$H162))),OR(Query!$B$6="All",ISNUMBER(SEARCH(Query!$B$6,'Compliance Database'!$I162))),OR(Query!$B$7="All",'Compliance Database'!$F162=Query!$B$7),OR(Query!$B$8="All",'Compliance Database'!$J162=Query!$B$8),OR(Query!$B$9="",ISNUMBER(SEARCH(Query!$B$9,'Compliance Database'!$D162&amp;" "&amp;'Compliance Database'!$K162&amp;" "&amp;'Compliance Database'!$L162&amp;" "&amp;'Compliance Database'!$M162&amp;" "&amp;'Compliance Database'!$N162&amp;" "&amp;'Compliance Database'!$O162))),OR(Query!$B$10&lt;&gt;"Yes",'Compliance Database'!$F162&lt;&gt;"None")),1,0)</f>
        <v/>
      </c>
      <c r="B162">
        <f>IF($A162=1,SUM($A$2:$A162),"")</f>
        <v/>
      </c>
      <c r="C162">
        <f>IF($A162=1,SUM($A$2:$A162),0)</f>
        <v/>
      </c>
    </row>
    <row r="163">
      <c r="A163">
        <f>IF(AND(OR(Query!$B$4="All",'Compliance Database'!$A163=Query!$B$4),OR(Query!$B$5="All",ISNUMBER(SEARCH(Query!$B$5,'Compliance Database'!$H163))),OR(Query!$B$6="All",ISNUMBER(SEARCH(Query!$B$6,'Compliance Database'!$I163))),OR(Query!$B$7="All",'Compliance Database'!$F163=Query!$B$7),OR(Query!$B$8="All",'Compliance Database'!$J163=Query!$B$8),OR(Query!$B$9="",ISNUMBER(SEARCH(Query!$B$9,'Compliance Database'!$D163&amp;" "&amp;'Compliance Database'!$K163&amp;" "&amp;'Compliance Database'!$L163&amp;" "&amp;'Compliance Database'!$M163&amp;" "&amp;'Compliance Database'!$N163&amp;" "&amp;'Compliance Database'!$O163))),OR(Query!$B$10&lt;&gt;"Yes",'Compliance Database'!$F163&lt;&gt;"None")),1,0)</f>
        <v/>
      </c>
      <c r="B163">
        <f>IF($A163=1,SUM($A$2:$A163),"")</f>
        <v/>
      </c>
      <c r="C163">
        <f>IF($A163=1,SUM($A$2:$A163),0)</f>
        <v/>
      </c>
    </row>
    <row r="164">
      <c r="A164">
        <f>IF(AND(OR(Query!$B$4="All",'Compliance Database'!$A164=Query!$B$4),OR(Query!$B$5="All",ISNUMBER(SEARCH(Query!$B$5,'Compliance Database'!$H164))),OR(Query!$B$6="All",ISNUMBER(SEARCH(Query!$B$6,'Compliance Database'!$I164))),OR(Query!$B$7="All",'Compliance Database'!$F164=Query!$B$7),OR(Query!$B$8="All",'Compliance Database'!$J164=Query!$B$8),OR(Query!$B$9="",ISNUMBER(SEARCH(Query!$B$9,'Compliance Database'!$D164&amp;" "&amp;'Compliance Database'!$K164&amp;" "&amp;'Compliance Database'!$L164&amp;" "&amp;'Compliance Database'!$M164&amp;" "&amp;'Compliance Database'!$N164&amp;" "&amp;'Compliance Database'!$O164))),OR(Query!$B$10&lt;&gt;"Yes",'Compliance Database'!$F164&lt;&gt;"None")),1,0)</f>
        <v/>
      </c>
      <c r="B164">
        <f>IF($A164=1,SUM($A$2:$A164),"")</f>
        <v/>
      </c>
      <c r="C164">
        <f>IF($A164=1,SUM($A$2:$A164),0)</f>
        <v/>
      </c>
    </row>
    <row r="165">
      <c r="A165">
        <f>IF(AND(OR(Query!$B$4="All",'Compliance Database'!$A165=Query!$B$4),OR(Query!$B$5="All",ISNUMBER(SEARCH(Query!$B$5,'Compliance Database'!$H165))),OR(Query!$B$6="All",ISNUMBER(SEARCH(Query!$B$6,'Compliance Database'!$I165))),OR(Query!$B$7="All",'Compliance Database'!$F165=Query!$B$7),OR(Query!$B$8="All",'Compliance Database'!$J165=Query!$B$8),OR(Query!$B$9="",ISNUMBER(SEARCH(Query!$B$9,'Compliance Database'!$D165&amp;" "&amp;'Compliance Database'!$K165&amp;" "&amp;'Compliance Database'!$L165&amp;" "&amp;'Compliance Database'!$M165&amp;" "&amp;'Compliance Database'!$N165&amp;" "&amp;'Compliance Database'!$O165))),OR(Query!$B$10&lt;&gt;"Yes",'Compliance Database'!$F165&lt;&gt;"None")),1,0)</f>
        <v/>
      </c>
      <c r="B165">
        <f>IF($A165=1,SUM($A$2:$A165),"")</f>
        <v/>
      </c>
      <c r="C165">
        <f>IF($A165=1,SUM($A$2:$A165),0)</f>
        <v/>
      </c>
    </row>
    <row r="166">
      <c r="A166">
        <f>IF(AND(OR(Query!$B$4="All",'Compliance Database'!$A166=Query!$B$4),OR(Query!$B$5="All",ISNUMBER(SEARCH(Query!$B$5,'Compliance Database'!$H166))),OR(Query!$B$6="All",ISNUMBER(SEARCH(Query!$B$6,'Compliance Database'!$I166))),OR(Query!$B$7="All",'Compliance Database'!$F166=Query!$B$7),OR(Query!$B$8="All",'Compliance Database'!$J166=Query!$B$8),OR(Query!$B$9="",ISNUMBER(SEARCH(Query!$B$9,'Compliance Database'!$D166&amp;" "&amp;'Compliance Database'!$K166&amp;" "&amp;'Compliance Database'!$L166&amp;" "&amp;'Compliance Database'!$M166&amp;" "&amp;'Compliance Database'!$N166&amp;" "&amp;'Compliance Database'!$O166))),OR(Query!$B$10&lt;&gt;"Yes",'Compliance Database'!$F166&lt;&gt;"None")),1,0)</f>
        <v/>
      </c>
      <c r="B166">
        <f>IF($A166=1,SUM($A$2:$A166),"")</f>
        <v/>
      </c>
      <c r="C166">
        <f>IF($A166=1,SUM($A$2:$A166),0)</f>
        <v/>
      </c>
    </row>
    <row r="167">
      <c r="A167">
        <f>IF(AND(OR(Query!$B$4="All",'Compliance Database'!$A167=Query!$B$4),OR(Query!$B$5="All",ISNUMBER(SEARCH(Query!$B$5,'Compliance Database'!$H167))),OR(Query!$B$6="All",ISNUMBER(SEARCH(Query!$B$6,'Compliance Database'!$I167))),OR(Query!$B$7="All",'Compliance Database'!$F167=Query!$B$7),OR(Query!$B$8="All",'Compliance Database'!$J167=Query!$B$8),OR(Query!$B$9="",ISNUMBER(SEARCH(Query!$B$9,'Compliance Database'!$D167&amp;" "&amp;'Compliance Database'!$K167&amp;" "&amp;'Compliance Database'!$L167&amp;" "&amp;'Compliance Database'!$M167&amp;" "&amp;'Compliance Database'!$N167&amp;" "&amp;'Compliance Database'!$O167))),OR(Query!$B$10&lt;&gt;"Yes",'Compliance Database'!$F167&lt;&gt;"None")),1,0)</f>
        <v/>
      </c>
      <c r="B167">
        <f>IF($A167=1,SUM($A$2:$A167),"")</f>
        <v/>
      </c>
      <c r="C167">
        <f>IF($A167=1,SUM($A$2:$A167),0)</f>
        <v/>
      </c>
    </row>
    <row r="168">
      <c r="A168">
        <f>IF(AND(OR(Query!$B$4="All",'Compliance Database'!$A168=Query!$B$4),OR(Query!$B$5="All",ISNUMBER(SEARCH(Query!$B$5,'Compliance Database'!$H168))),OR(Query!$B$6="All",ISNUMBER(SEARCH(Query!$B$6,'Compliance Database'!$I168))),OR(Query!$B$7="All",'Compliance Database'!$F168=Query!$B$7),OR(Query!$B$8="All",'Compliance Database'!$J168=Query!$B$8),OR(Query!$B$9="",ISNUMBER(SEARCH(Query!$B$9,'Compliance Database'!$D168&amp;" "&amp;'Compliance Database'!$K168&amp;" "&amp;'Compliance Database'!$L168&amp;" "&amp;'Compliance Database'!$M168&amp;" "&amp;'Compliance Database'!$N168&amp;" "&amp;'Compliance Database'!$O168))),OR(Query!$B$10&lt;&gt;"Yes",'Compliance Database'!$F168&lt;&gt;"None")),1,0)</f>
        <v/>
      </c>
      <c r="B168">
        <f>IF($A168=1,SUM($A$2:$A168),"")</f>
        <v/>
      </c>
      <c r="C168">
        <f>IF($A168=1,SUM($A$2:$A168),0)</f>
        <v/>
      </c>
    </row>
    <row r="169">
      <c r="A169">
        <f>IF(AND(OR(Query!$B$4="All",'Compliance Database'!$A169=Query!$B$4),OR(Query!$B$5="All",ISNUMBER(SEARCH(Query!$B$5,'Compliance Database'!$H169))),OR(Query!$B$6="All",ISNUMBER(SEARCH(Query!$B$6,'Compliance Database'!$I169))),OR(Query!$B$7="All",'Compliance Database'!$F169=Query!$B$7),OR(Query!$B$8="All",'Compliance Database'!$J169=Query!$B$8),OR(Query!$B$9="",ISNUMBER(SEARCH(Query!$B$9,'Compliance Database'!$D169&amp;" "&amp;'Compliance Database'!$K169&amp;" "&amp;'Compliance Database'!$L169&amp;" "&amp;'Compliance Database'!$M169&amp;" "&amp;'Compliance Database'!$N169&amp;" "&amp;'Compliance Database'!$O169))),OR(Query!$B$10&lt;&gt;"Yes",'Compliance Database'!$F169&lt;&gt;"None")),1,0)</f>
        <v/>
      </c>
      <c r="B169">
        <f>IF($A169=1,SUM($A$2:$A169),"")</f>
        <v/>
      </c>
      <c r="C169">
        <f>IF($A169=1,SUM($A$2:$A169),0)</f>
        <v/>
      </c>
    </row>
    <row r="170">
      <c r="A170">
        <f>IF(AND(OR(Query!$B$4="All",'Compliance Database'!$A170=Query!$B$4),OR(Query!$B$5="All",ISNUMBER(SEARCH(Query!$B$5,'Compliance Database'!$H170))),OR(Query!$B$6="All",ISNUMBER(SEARCH(Query!$B$6,'Compliance Database'!$I170))),OR(Query!$B$7="All",'Compliance Database'!$F170=Query!$B$7),OR(Query!$B$8="All",'Compliance Database'!$J170=Query!$B$8),OR(Query!$B$9="",ISNUMBER(SEARCH(Query!$B$9,'Compliance Database'!$D170&amp;" "&amp;'Compliance Database'!$K170&amp;" "&amp;'Compliance Database'!$L170&amp;" "&amp;'Compliance Database'!$M170&amp;" "&amp;'Compliance Database'!$N170&amp;" "&amp;'Compliance Database'!$O170))),OR(Query!$B$10&lt;&gt;"Yes",'Compliance Database'!$F170&lt;&gt;"None")),1,0)</f>
        <v/>
      </c>
      <c r="B170">
        <f>IF($A170=1,SUM($A$2:$A170),"")</f>
        <v/>
      </c>
      <c r="C170">
        <f>IF($A170=1,SUM($A$2:$A170),0)</f>
        <v/>
      </c>
    </row>
    <row r="171">
      <c r="A171">
        <f>IF(AND(OR(Query!$B$4="All",'Compliance Database'!$A171=Query!$B$4),OR(Query!$B$5="All",ISNUMBER(SEARCH(Query!$B$5,'Compliance Database'!$H171))),OR(Query!$B$6="All",ISNUMBER(SEARCH(Query!$B$6,'Compliance Database'!$I171))),OR(Query!$B$7="All",'Compliance Database'!$F171=Query!$B$7),OR(Query!$B$8="All",'Compliance Database'!$J171=Query!$B$8),OR(Query!$B$9="",ISNUMBER(SEARCH(Query!$B$9,'Compliance Database'!$D171&amp;" "&amp;'Compliance Database'!$K171&amp;" "&amp;'Compliance Database'!$L171&amp;" "&amp;'Compliance Database'!$M171&amp;" "&amp;'Compliance Database'!$N171&amp;" "&amp;'Compliance Database'!$O171))),OR(Query!$B$10&lt;&gt;"Yes",'Compliance Database'!$F171&lt;&gt;"None")),1,0)</f>
        <v/>
      </c>
      <c r="B171">
        <f>IF($A171=1,SUM($A$2:$A171),"")</f>
        <v/>
      </c>
      <c r="C171">
        <f>IF($A171=1,SUM($A$2:$A171),0)</f>
        <v/>
      </c>
    </row>
    <row r="172">
      <c r="A172">
        <f>IF(AND(OR(Query!$B$4="All",'Compliance Database'!$A172=Query!$B$4),OR(Query!$B$5="All",ISNUMBER(SEARCH(Query!$B$5,'Compliance Database'!$H172))),OR(Query!$B$6="All",ISNUMBER(SEARCH(Query!$B$6,'Compliance Database'!$I172))),OR(Query!$B$7="All",'Compliance Database'!$F172=Query!$B$7),OR(Query!$B$8="All",'Compliance Database'!$J172=Query!$B$8),OR(Query!$B$9="",ISNUMBER(SEARCH(Query!$B$9,'Compliance Database'!$D172&amp;" "&amp;'Compliance Database'!$K172&amp;" "&amp;'Compliance Database'!$L172&amp;" "&amp;'Compliance Database'!$M172&amp;" "&amp;'Compliance Database'!$N172&amp;" "&amp;'Compliance Database'!$O172))),OR(Query!$B$10&lt;&gt;"Yes",'Compliance Database'!$F172&lt;&gt;"None")),1,0)</f>
        <v/>
      </c>
      <c r="B172">
        <f>IF($A172=1,SUM($A$2:$A172),"")</f>
        <v/>
      </c>
      <c r="C172">
        <f>IF($A172=1,SUM($A$2:$A172),0)</f>
        <v/>
      </c>
    </row>
    <row r="173">
      <c r="A173">
        <f>IF(AND(OR(Query!$B$4="All",'Compliance Database'!$A173=Query!$B$4),OR(Query!$B$5="All",ISNUMBER(SEARCH(Query!$B$5,'Compliance Database'!$H173))),OR(Query!$B$6="All",ISNUMBER(SEARCH(Query!$B$6,'Compliance Database'!$I173))),OR(Query!$B$7="All",'Compliance Database'!$F173=Query!$B$7),OR(Query!$B$8="All",'Compliance Database'!$J173=Query!$B$8),OR(Query!$B$9="",ISNUMBER(SEARCH(Query!$B$9,'Compliance Database'!$D173&amp;" "&amp;'Compliance Database'!$K173&amp;" "&amp;'Compliance Database'!$L173&amp;" "&amp;'Compliance Database'!$M173&amp;" "&amp;'Compliance Database'!$N173&amp;" "&amp;'Compliance Database'!$O173))),OR(Query!$B$10&lt;&gt;"Yes",'Compliance Database'!$F173&lt;&gt;"None")),1,0)</f>
        <v/>
      </c>
      <c r="B173">
        <f>IF($A173=1,SUM($A$2:$A173),"")</f>
        <v/>
      </c>
      <c r="C173">
        <f>IF($A173=1,SUM($A$2:$A173),0)</f>
        <v/>
      </c>
    </row>
    <row r="174">
      <c r="A174">
        <f>IF(AND(OR(Query!$B$4="All",'Compliance Database'!$A174=Query!$B$4),OR(Query!$B$5="All",ISNUMBER(SEARCH(Query!$B$5,'Compliance Database'!$H174))),OR(Query!$B$6="All",ISNUMBER(SEARCH(Query!$B$6,'Compliance Database'!$I174))),OR(Query!$B$7="All",'Compliance Database'!$F174=Query!$B$7),OR(Query!$B$8="All",'Compliance Database'!$J174=Query!$B$8),OR(Query!$B$9="",ISNUMBER(SEARCH(Query!$B$9,'Compliance Database'!$D174&amp;" "&amp;'Compliance Database'!$K174&amp;" "&amp;'Compliance Database'!$L174&amp;" "&amp;'Compliance Database'!$M174&amp;" "&amp;'Compliance Database'!$N174&amp;" "&amp;'Compliance Database'!$O174))),OR(Query!$B$10&lt;&gt;"Yes",'Compliance Database'!$F174&lt;&gt;"None")),1,0)</f>
        <v/>
      </c>
      <c r="B174">
        <f>IF($A174=1,SUM($A$2:$A174),"")</f>
        <v/>
      </c>
      <c r="C174">
        <f>IF($A174=1,SUM($A$2:$A174),0)</f>
        <v/>
      </c>
    </row>
    <row r="175">
      <c r="A175">
        <f>IF(AND(OR(Query!$B$4="All",'Compliance Database'!$A175=Query!$B$4),OR(Query!$B$5="All",ISNUMBER(SEARCH(Query!$B$5,'Compliance Database'!$H175))),OR(Query!$B$6="All",ISNUMBER(SEARCH(Query!$B$6,'Compliance Database'!$I175))),OR(Query!$B$7="All",'Compliance Database'!$F175=Query!$B$7),OR(Query!$B$8="All",'Compliance Database'!$J175=Query!$B$8),OR(Query!$B$9="",ISNUMBER(SEARCH(Query!$B$9,'Compliance Database'!$D175&amp;" "&amp;'Compliance Database'!$K175&amp;" "&amp;'Compliance Database'!$L175&amp;" "&amp;'Compliance Database'!$M175&amp;" "&amp;'Compliance Database'!$N175&amp;" "&amp;'Compliance Database'!$O175))),OR(Query!$B$10&lt;&gt;"Yes",'Compliance Database'!$F175&lt;&gt;"None")),1,0)</f>
        <v/>
      </c>
      <c r="B175">
        <f>IF($A175=1,SUM($A$2:$A175),"")</f>
        <v/>
      </c>
      <c r="C175">
        <f>IF($A175=1,SUM($A$2:$A175),0)</f>
        <v/>
      </c>
    </row>
    <row r="176">
      <c r="A176">
        <f>IF(AND(OR(Query!$B$4="All",'Compliance Database'!$A176=Query!$B$4),OR(Query!$B$5="All",ISNUMBER(SEARCH(Query!$B$5,'Compliance Database'!$H176))),OR(Query!$B$6="All",ISNUMBER(SEARCH(Query!$B$6,'Compliance Database'!$I176))),OR(Query!$B$7="All",'Compliance Database'!$F176=Query!$B$7),OR(Query!$B$8="All",'Compliance Database'!$J176=Query!$B$8),OR(Query!$B$9="",ISNUMBER(SEARCH(Query!$B$9,'Compliance Database'!$D176&amp;" "&amp;'Compliance Database'!$K176&amp;" "&amp;'Compliance Database'!$L176&amp;" "&amp;'Compliance Database'!$M176&amp;" "&amp;'Compliance Database'!$N176&amp;" "&amp;'Compliance Database'!$O176))),OR(Query!$B$10&lt;&gt;"Yes",'Compliance Database'!$F176&lt;&gt;"None")),1,0)</f>
        <v/>
      </c>
      <c r="B176">
        <f>IF($A176=1,SUM($A$2:$A176),"")</f>
        <v/>
      </c>
      <c r="C176">
        <f>IF($A176=1,SUM($A$2:$A176),0)</f>
        <v/>
      </c>
    </row>
    <row r="177">
      <c r="A177">
        <f>IF(AND(OR(Query!$B$4="All",'Compliance Database'!$A177=Query!$B$4),OR(Query!$B$5="All",ISNUMBER(SEARCH(Query!$B$5,'Compliance Database'!$H177))),OR(Query!$B$6="All",ISNUMBER(SEARCH(Query!$B$6,'Compliance Database'!$I177))),OR(Query!$B$7="All",'Compliance Database'!$F177=Query!$B$7),OR(Query!$B$8="All",'Compliance Database'!$J177=Query!$B$8),OR(Query!$B$9="",ISNUMBER(SEARCH(Query!$B$9,'Compliance Database'!$D177&amp;" "&amp;'Compliance Database'!$K177&amp;" "&amp;'Compliance Database'!$L177&amp;" "&amp;'Compliance Database'!$M177&amp;" "&amp;'Compliance Database'!$N177&amp;" "&amp;'Compliance Database'!$O177))),OR(Query!$B$10&lt;&gt;"Yes",'Compliance Database'!$F177&lt;&gt;"None")),1,0)</f>
        <v/>
      </c>
      <c r="B177">
        <f>IF($A177=1,SUM($A$2:$A177),"")</f>
        <v/>
      </c>
      <c r="C177">
        <f>IF($A177=1,SUM($A$2:$A177),0)</f>
        <v/>
      </c>
    </row>
    <row r="178">
      <c r="A178">
        <f>IF(AND(OR(Query!$B$4="All",'Compliance Database'!$A178=Query!$B$4),OR(Query!$B$5="All",ISNUMBER(SEARCH(Query!$B$5,'Compliance Database'!$H178))),OR(Query!$B$6="All",ISNUMBER(SEARCH(Query!$B$6,'Compliance Database'!$I178))),OR(Query!$B$7="All",'Compliance Database'!$F178=Query!$B$7),OR(Query!$B$8="All",'Compliance Database'!$J178=Query!$B$8),OR(Query!$B$9="",ISNUMBER(SEARCH(Query!$B$9,'Compliance Database'!$D178&amp;" "&amp;'Compliance Database'!$K178&amp;" "&amp;'Compliance Database'!$L178&amp;" "&amp;'Compliance Database'!$M178&amp;" "&amp;'Compliance Database'!$N178&amp;" "&amp;'Compliance Database'!$O178))),OR(Query!$B$10&lt;&gt;"Yes",'Compliance Database'!$F178&lt;&gt;"None")),1,0)</f>
        <v/>
      </c>
      <c r="B178">
        <f>IF($A178=1,SUM($A$2:$A178),"")</f>
        <v/>
      </c>
      <c r="C178">
        <f>IF($A178=1,SUM($A$2:$A178),0)</f>
        <v/>
      </c>
    </row>
    <row r="179">
      <c r="A179">
        <f>IF(AND(OR(Query!$B$4="All",'Compliance Database'!$A179=Query!$B$4),OR(Query!$B$5="All",ISNUMBER(SEARCH(Query!$B$5,'Compliance Database'!$H179))),OR(Query!$B$6="All",ISNUMBER(SEARCH(Query!$B$6,'Compliance Database'!$I179))),OR(Query!$B$7="All",'Compliance Database'!$F179=Query!$B$7),OR(Query!$B$8="All",'Compliance Database'!$J179=Query!$B$8),OR(Query!$B$9="",ISNUMBER(SEARCH(Query!$B$9,'Compliance Database'!$D179&amp;" "&amp;'Compliance Database'!$K179&amp;" "&amp;'Compliance Database'!$L179&amp;" "&amp;'Compliance Database'!$M179&amp;" "&amp;'Compliance Database'!$N179&amp;" "&amp;'Compliance Database'!$O179))),OR(Query!$B$10&lt;&gt;"Yes",'Compliance Database'!$F179&lt;&gt;"None")),1,0)</f>
        <v/>
      </c>
      <c r="B179">
        <f>IF($A179=1,SUM($A$2:$A179),"")</f>
        <v/>
      </c>
      <c r="C179">
        <f>IF($A179=1,SUM($A$2:$A179),0)</f>
        <v/>
      </c>
    </row>
    <row r="180">
      <c r="A180">
        <f>IF(AND(OR(Query!$B$4="All",'Compliance Database'!$A180=Query!$B$4),OR(Query!$B$5="All",ISNUMBER(SEARCH(Query!$B$5,'Compliance Database'!$H180))),OR(Query!$B$6="All",ISNUMBER(SEARCH(Query!$B$6,'Compliance Database'!$I180))),OR(Query!$B$7="All",'Compliance Database'!$F180=Query!$B$7),OR(Query!$B$8="All",'Compliance Database'!$J180=Query!$B$8),OR(Query!$B$9="",ISNUMBER(SEARCH(Query!$B$9,'Compliance Database'!$D180&amp;" "&amp;'Compliance Database'!$K180&amp;" "&amp;'Compliance Database'!$L180&amp;" "&amp;'Compliance Database'!$M180&amp;" "&amp;'Compliance Database'!$N180&amp;" "&amp;'Compliance Database'!$O180))),OR(Query!$B$10&lt;&gt;"Yes",'Compliance Database'!$F180&lt;&gt;"None")),1,0)</f>
        <v/>
      </c>
      <c r="B180">
        <f>IF($A180=1,SUM($A$2:$A180),"")</f>
        <v/>
      </c>
      <c r="C180">
        <f>IF($A180=1,SUM($A$2:$A180),0)</f>
        <v/>
      </c>
    </row>
    <row r="181">
      <c r="A181">
        <f>IF(AND(OR(Query!$B$4="All",'Compliance Database'!$A181=Query!$B$4),OR(Query!$B$5="All",ISNUMBER(SEARCH(Query!$B$5,'Compliance Database'!$H181))),OR(Query!$B$6="All",ISNUMBER(SEARCH(Query!$B$6,'Compliance Database'!$I181))),OR(Query!$B$7="All",'Compliance Database'!$F181=Query!$B$7),OR(Query!$B$8="All",'Compliance Database'!$J181=Query!$B$8),OR(Query!$B$9="",ISNUMBER(SEARCH(Query!$B$9,'Compliance Database'!$D181&amp;" "&amp;'Compliance Database'!$K181&amp;" "&amp;'Compliance Database'!$L181&amp;" "&amp;'Compliance Database'!$M181&amp;" "&amp;'Compliance Database'!$N181&amp;" "&amp;'Compliance Database'!$O181))),OR(Query!$B$10&lt;&gt;"Yes",'Compliance Database'!$F181&lt;&gt;"None")),1,0)</f>
        <v/>
      </c>
      <c r="B181">
        <f>IF($A181=1,SUM($A$2:$A181),"")</f>
        <v/>
      </c>
      <c r="C181">
        <f>IF($A181=1,SUM($A$2:$A181),0)</f>
        <v/>
      </c>
    </row>
    <row r="182">
      <c r="A182">
        <f>IF(AND(OR(Query!$B$4="All",'Compliance Database'!$A182=Query!$B$4),OR(Query!$B$5="All",ISNUMBER(SEARCH(Query!$B$5,'Compliance Database'!$H182))),OR(Query!$B$6="All",ISNUMBER(SEARCH(Query!$B$6,'Compliance Database'!$I182))),OR(Query!$B$7="All",'Compliance Database'!$F182=Query!$B$7),OR(Query!$B$8="All",'Compliance Database'!$J182=Query!$B$8),OR(Query!$B$9="",ISNUMBER(SEARCH(Query!$B$9,'Compliance Database'!$D182&amp;" "&amp;'Compliance Database'!$K182&amp;" "&amp;'Compliance Database'!$L182&amp;" "&amp;'Compliance Database'!$M182&amp;" "&amp;'Compliance Database'!$N182&amp;" "&amp;'Compliance Database'!$O182))),OR(Query!$B$10&lt;&gt;"Yes",'Compliance Database'!$F182&lt;&gt;"None")),1,0)</f>
        <v/>
      </c>
      <c r="B182">
        <f>IF($A182=1,SUM($A$2:$A182),"")</f>
        <v/>
      </c>
      <c r="C182">
        <f>IF($A182=1,SUM($A$2:$A182),0)</f>
        <v/>
      </c>
    </row>
    <row r="183">
      <c r="A183">
        <f>IF(AND(OR(Query!$B$4="All",'Compliance Database'!$A183=Query!$B$4),OR(Query!$B$5="All",ISNUMBER(SEARCH(Query!$B$5,'Compliance Database'!$H183))),OR(Query!$B$6="All",ISNUMBER(SEARCH(Query!$B$6,'Compliance Database'!$I183))),OR(Query!$B$7="All",'Compliance Database'!$F183=Query!$B$7),OR(Query!$B$8="All",'Compliance Database'!$J183=Query!$B$8),OR(Query!$B$9="",ISNUMBER(SEARCH(Query!$B$9,'Compliance Database'!$D183&amp;" "&amp;'Compliance Database'!$K183&amp;" "&amp;'Compliance Database'!$L183&amp;" "&amp;'Compliance Database'!$M183&amp;" "&amp;'Compliance Database'!$N183&amp;" "&amp;'Compliance Database'!$O183))),OR(Query!$B$10&lt;&gt;"Yes",'Compliance Database'!$F183&lt;&gt;"None")),1,0)</f>
        <v/>
      </c>
      <c r="B183">
        <f>IF($A183=1,SUM($A$2:$A183),"")</f>
        <v/>
      </c>
      <c r="C183">
        <f>IF($A183=1,SUM($A$2:$A183),0)</f>
        <v/>
      </c>
    </row>
    <row r="184">
      <c r="A184">
        <f>IF(AND(OR(Query!$B$4="All",'Compliance Database'!$A184=Query!$B$4),OR(Query!$B$5="All",ISNUMBER(SEARCH(Query!$B$5,'Compliance Database'!$H184))),OR(Query!$B$6="All",ISNUMBER(SEARCH(Query!$B$6,'Compliance Database'!$I184))),OR(Query!$B$7="All",'Compliance Database'!$F184=Query!$B$7),OR(Query!$B$8="All",'Compliance Database'!$J184=Query!$B$8),OR(Query!$B$9="",ISNUMBER(SEARCH(Query!$B$9,'Compliance Database'!$D184&amp;" "&amp;'Compliance Database'!$K184&amp;" "&amp;'Compliance Database'!$L184&amp;" "&amp;'Compliance Database'!$M184&amp;" "&amp;'Compliance Database'!$N184&amp;" "&amp;'Compliance Database'!$O184))),OR(Query!$B$10&lt;&gt;"Yes",'Compliance Database'!$F184&lt;&gt;"None")),1,0)</f>
        <v/>
      </c>
      <c r="B184">
        <f>IF($A184=1,SUM($A$2:$A184),"")</f>
        <v/>
      </c>
      <c r="C184">
        <f>IF($A184=1,SUM($A$2:$A184),0)</f>
        <v/>
      </c>
    </row>
    <row r="185">
      <c r="A185">
        <f>IF(AND(OR(Query!$B$4="All",'Compliance Database'!$A185=Query!$B$4),OR(Query!$B$5="All",ISNUMBER(SEARCH(Query!$B$5,'Compliance Database'!$H185))),OR(Query!$B$6="All",ISNUMBER(SEARCH(Query!$B$6,'Compliance Database'!$I185))),OR(Query!$B$7="All",'Compliance Database'!$F185=Query!$B$7),OR(Query!$B$8="All",'Compliance Database'!$J185=Query!$B$8),OR(Query!$B$9="",ISNUMBER(SEARCH(Query!$B$9,'Compliance Database'!$D185&amp;" "&amp;'Compliance Database'!$K185&amp;" "&amp;'Compliance Database'!$L185&amp;" "&amp;'Compliance Database'!$M185&amp;" "&amp;'Compliance Database'!$N185&amp;" "&amp;'Compliance Database'!$O185))),OR(Query!$B$10&lt;&gt;"Yes",'Compliance Database'!$F185&lt;&gt;"None")),1,0)</f>
        <v/>
      </c>
      <c r="B185">
        <f>IF($A185=1,SUM($A$2:$A185),"")</f>
        <v/>
      </c>
      <c r="C185">
        <f>IF($A185=1,SUM($A$2:$A185),0)</f>
        <v/>
      </c>
    </row>
    <row r="186">
      <c r="A186">
        <f>IF(AND(OR(Query!$B$4="All",'Compliance Database'!$A186=Query!$B$4),OR(Query!$B$5="All",ISNUMBER(SEARCH(Query!$B$5,'Compliance Database'!$H186))),OR(Query!$B$6="All",ISNUMBER(SEARCH(Query!$B$6,'Compliance Database'!$I186))),OR(Query!$B$7="All",'Compliance Database'!$F186=Query!$B$7),OR(Query!$B$8="All",'Compliance Database'!$J186=Query!$B$8),OR(Query!$B$9="",ISNUMBER(SEARCH(Query!$B$9,'Compliance Database'!$D186&amp;" "&amp;'Compliance Database'!$K186&amp;" "&amp;'Compliance Database'!$L186&amp;" "&amp;'Compliance Database'!$M186&amp;" "&amp;'Compliance Database'!$N186&amp;" "&amp;'Compliance Database'!$O186))),OR(Query!$B$10&lt;&gt;"Yes",'Compliance Database'!$F186&lt;&gt;"None")),1,0)</f>
        <v/>
      </c>
      <c r="B186">
        <f>IF($A186=1,SUM($A$2:$A186),"")</f>
        <v/>
      </c>
      <c r="C186">
        <f>IF($A186=1,SUM($A$2:$A186),0)</f>
        <v/>
      </c>
    </row>
    <row r="187">
      <c r="A187">
        <f>IF(AND(OR(Query!$B$4="All",'Compliance Database'!$A187=Query!$B$4),OR(Query!$B$5="All",ISNUMBER(SEARCH(Query!$B$5,'Compliance Database'!$H187))),OR(Query!$B$6="All",ISNUMBER(SEARCH(Query!$B$6,'Compliance Database'!$I187))),OR(Query!$B$7="All",'Compliance Database'!$F187=Query!$B$7),OR(Query!$B$8="All",'Compliance Database'!$J187=Query!$B$8),OR(Query!$B$9="",ISNUMBER(SEARCH(Query!$B$9,'Compliance Database'!$D187&amp;" "&amp;'Compliance Database'!$K187&amp;" "&amp;'Compliance Database'!$L187&amp;" "&amp;'Compliance Database'!$M187&amp;" "&amp;'Compliance Database'!$N187&amp;" "&amp;'Compliance Database'!$O187))),OR(Query!$B$10&lt;&gt;"Yes",'Compliance Database'!$F187&lt;&gt;"None")),1,0)</f>
        <v/>
      </c>
      <c r="B187">
        <f>IF($A187=1,SUM($A$2:$A187),"")</f>
        <v/>
      </c>
      <c r="C187">
        <f>IF($A187=1,SUM($A$2:$A187),0)</f>
        <v/>
      </c>
    </row>
    <row r="188">
      <c r="A188">
        <f>IF(AND(OR(Query!$B$4="All",'Compliance Database'!$A188=Query!$B$4),OR(Query!$B$5="All",ISNUMBER(SEARCH(Query!$B$5,'Compliance Database'!$H188))),OR(Query!$B$6="All",ISNUMBER(SEARCH(Query!$B$6,'Compliance Database'!$I188))),OR(Query!$B$7="All",'Compliance Database'!$F188=Query!$B$7),OR(Query!$B$8="All",'Compliance Database'!$J188=Query!$B$8),OR(Query!$B$9="",ISNUMBER(SEARCH(Query!$B$9,'Compliance Database'!$D188&amp;" "&amp;'Compliance Database'!$K188&amp;" "&amp;'Compliance Database'!$L188&amp;" "&amp;'Compliance Database'!$M188&amp;" "&amp;'Compliance Database'!$N188&amp;" "&amp;'Compliance Database'!$O188))),OR(Query!$B$10&lt;&gt;"Yes",'Compliance Database'!$F188&lt;&gt;"None")),1,0)</f>
        <v/>
      </c>
      <c r="B188">
        <f>IF($A188=1,SUM($A$2:$A188),"")</f>
        <v/>
      </c>
      <c r="C188">
        <f>IF($A188=1,SUM($A$2:$A188),0)</f>
        <v/>
      </c>
    </row>
    <row r="189">
      <c r="A189">
        <f>IF(AND(OR(Query!$B$4="All",'Compliance Database'!$A189=Query!$B$4),OR(Query!$B$5="All",ISNUMBER(SEARCH(Query!$B$5,'Compliance Database'!$H189))),OR(Query!$B$6="All",ISNUMBER(SEARCH(Query!$B$6,'Compliance Database'!$I189))),OR(Query!$B$7="All",'Compliance Database'!$F189=Query!$B$7),OR(Query!$B$8="All",'Compliance Database'!$J189=Query!$B$8),OR(Query!$B$9="",ISNUMBER(SEARCH(Query!$B$9,'Compliance Database'!$D189&amp;" "&amp;'Compliance Database'!$K189&amp;" "&amp;'Compliance Database'!$L189&amp;" "&amp;'Compliance Database'!$M189&amp;" "&amp;'Compliance Database'!$N189&amp;" "&amp;'Compliance Database'!$O189))),OR(Query!$B$10&lt;&gt;"Yes",'Compliance Database'!$F189&lt;&gt;"None")),1,0)</f>
        <v/>
      </c>
      <c r="B189">
        <f>IF($A189=1,SUM($A$2:$A189),"")</f>
        <v/>
      </c>
      <c r="C189">
        <f>IF($A189=1,SUM($A$2:$A189),0)</f>
        <v/>
      </c>
    </row>
    <row r="190">
      <c r="A190">
        <f>IF(AND(OR(Query!$B$4="All",'Compliance Database'!$A190=Query!$B$4),OR(Query!$B$5="All",ISNUMBER(SEARCH(Query!$B$5,'Compliance Database'!$H190))),OR(Query!$B$6="All",ISNUMBER(SEARCH(Query!$B$6,'Compliance Database'!$I190))),OR(Query!$B$7="All",'Compliance Database'!$F190=Query!$B$7),OR(Query!$B$8="All",'Compliance Database'!$J190=Query!$B$8),OR(Query!$B$9="",ISNUMBER(SEARCH(Query!$B$9,'Compliance Database'!$D190&amp;" "&amp;'Compliance Database'!$K190&amp;" "&amp;'Compliance Database'!$L190&amp;" "&amp;'Compliance Database'!$M190&amp;" "&amp;'Compliance Database'!$N190&amp;" "&amp;'Compliance Database'!$O190))),OR(Query!$B$10&lt;&gt;"Yes",'Compliance Database'!$F190&lt;&gt;"None")),1,0)</f>
        <v/>
      </c>
      <c r="B190">
        <f>IF($A190=1,SUM($A$2:$A190),"")</f>
        <v/>
      </c>
      <c r="C190">
        <f>IF($A190=1,SUM($A$2:$A190),0)</f>
        <v/>
      </c>
    </row>
    <row r="191">
      <c r="A191">
        <f>IF(AND(OR(Query!$B$4="All",'Compliance Database'!$A191=Query!$B$4),OR(Query!$B$5="All",ISNUMBER(SEARCH(Query!$B$5,'Compliance Database'!$H191))),OR(Query!$B$6="All",ISNUMBER(SEARCH(Query!$B$6,'Compliance Database'!$I191))),OR(Query!$B$7="All",'Compliance Database'!$F191=Query!$B$7),OR(Query!$B$8="All",'Compliance Database'!$J191=Query!$B$8),OR(Query!$B$9="",ISNUMBER(SEARCH(Query!$B$9,'Compliance Database'!$D191&amp;" "&amp;'Compliance Database'!$K191&amp;" "&amp;'Compliance Database'!$L191&amp;" "&amp;'Compliance Database'!$M191&amp;" "&amp;'Compliance Database'!$N191&amp;" "&amp;'Compliance Database'!$O191))),OR(Query!$B$10&lt;&gt;"Yes",'Compliance Database'!$F191&lt;&gt;"None")),1,0)</f>
        <v/>
      </c>
      <c r="B191">
        <f>IF($A191=1,SUM($A$2:$A191),"")</f>
        <v/>
      </c>
      <c r="C191">
        <f>IF($A191=1,SUM($A$2:$A191),0)</f>
        <v/>
      </c>
    </row>
    <row r="192">
      <c r="A192">
        <f>IF(AND(OR(Query!$B$4="All",'Compliance Database'!$A192=Query!$B$4),OR(Query!$B$5="All",ISNUMBER(SEARCH(Query!$B$5,'Compliance Database'!$H192))),OR(Query!$B$6="All",ISNUMBER(SEARCH(Query!$B$6,'Compliance Database'!$I192))),OR(Query!$B$7="All",'Compliance Database'!$F192=Query!$B$7),OR(Query!$B$8="All",'Compliance Database'!$J192=Query!$B$8),OR(Query!$B$9="",ISNUMBER(SEARCH(Query!$B$9,'Compliance Database'!$D192&amp;" "&amp;'Compliance Database'!$K192&amp;" "&amp;'Compliance Database'!$L192&amp;" "&amp;'Compliance Database'!$M192&amp;" "&amp;'Compliance Database'!$N192&amp;" "&amp;'Compliance Database'!$O192))),OR(Query!$B$10&lt;&gt;"Yes",'Compliance Database'!$F192&lt;&gt;"None")),1,0)</f>
        <v/>
      </c>
      <c r="B192">
        <f>IF($A192=1,SUM($A$2:$A192),"")</f>
        <v/>
      </c>
      <c r="C192">
        <f>IF($A192=1,SUM($A$2:$A192),0)</f>
        <v/>
      </c>
    </row>
    <row r="193">
      <c r="A193">
        <f>IF(AND(OR(Query!$B$4="All",'Compliance Database'!$A193=Query!$B$4),OR(Query!$B$5="All",ISNUMBER(SEARCH(Query!$B$5,'Compliance Database'!$H193))),OR(Query!$B$6="All",ISNUMBER(SEARCH(Query!$B$6,'Compliance Database'!$I193))),OR(Query!$B$7="All",'Compliance Database'!$F193=Query!$B$7),OR(Query!$B$8="All",'Compliance Database'!$J193=Query!$B$8),OR(Query!$B$9="",ISNUMBER(SEARCH(Query!$B$9,'Compliance Database'!$D193&amp;" "&amp;'Compliance Database'!$K193&amp;" "&amp;'Compliance Database'!$L193&amp;" "&amp;'Compliance Database'!$M193&amp;" "&amp;'Compliance Database'!$N193&amp;" "&amp;'Compliance Database'!$O193))),OR(Query!$B$10&lt;&gt;"Yes",'Compliance Database'!$F193&lt;&gt;"None")),1,0)</f>
        <v/>
      </c>
      <c r="B193">
        <f>IF($A193=1,SUM($A$2:$A193),"")</f>
        <v/>
      </c>
      <c r="C193">
        <f>IF($A193=1,SUM($A$2:$A193),0)</f>
        <v/>
      </c>
    </row>
    <row r="194">
      <c r="A194">
        <f>IF(AND(OR(Query!$B$4="All",'Compliance Database'!$A194=Query!$B$4),OR(Query!$B$5="All",ISNUMBER(SEARCH(Query!$B$5,'Compliance Database'!$H194))),OR(Query!$B$6="All",ISNUMBER(SEARCH(Query!$B$6,'Compliance Database'!$I194))),OR(Query!$B$7="All",'Compliance Database'!$F194=Query!$B$7),OR(Query!$B$8="All",'Compliance Database'!$J194=Query!$B$8),OR(Query!$B$9="",ISNUMBER(SEARCH(Query!$B$9,'Compliance Database'!$D194&amp;" "&amp;'Compliance Database'!$K194&amp;" "&amp;'Compliance Database'!$L194&amp;" "&amp;'Compliance Database'!$M194&amp;" "&amp;'Compliance Database'!$N194&amp;" "&amp;'Compliance Database'!$O194))),OR(Query!$B$10&lt;&gt;"Yes",'Compliance Database'!$F194&lt;&gt;"None")),1,0)</f>
        <v/>
      </c>
      <c r="B194">
        <f>IF($A194=1,SUM($A$2:$A194),"")</f>
        <v/>
      </c>
      <c r="C194">
        <f>IF($A194=1,SUM($A$2:$A194),0)</f>
        <v/>
      </c>
    </row>
    <row r="195">
      <c r="A195">
        <f>IF(AND(OR(Query!$B$4="All",'Compliance Database'!$A195=Query!$B$4),OR(Query!$B$5="All",ISNUMBER(SEARCH(Query!$B$5,'Compliance Database'!$H195))),OR(Query!$B$6="All",ISNUMBER(SEARCH(Query!$B$6,'Compliance Database'!$I195))),OR(Query!$B$7="All",'Compliance Database'!$F195=Query!$B$7),OR(Query!$B$8="All",'Compliance Database'!$J195=Query!$B$8),OR(Query!$B$9="",ISNUMBER(SEARCH(Query!$B$9,'Compliance Database'!$D195&amp;" "&amp;'Compliance Database'!$K195&amp;" "&amp;'Compliance Database'!$L195&amp;" "&amp;'Compliance Database'!$M195&amp;" "&amp;'Compliance Database'!$N195&amp;" "&amp;'Compliance Database'!$O195))),OR(Query!$B$10&lt;&gt;"Yes",'Compliance Database'!$F195&lt;&gt;"None")),1,0)</f>
        <v/>
      </c>
      <c r="B195">
        <f>IF($A195=1,SUM($A$2:$A195),"")</f>
        <v/>
      </c>
      <c r="C195">
        <f>IF($A195=1,SUM($A$2:$A195),0)</f>
        <v/>
      </c>
    </row>
    <row r="196">
      <c r="A196">
        <f>IF(AND(OR(Query!$B$4="All",'Compliance Database'!$A196=Query!$B$4),OR(Query!$B$5="All",ISNUMBER(SEARCH(Query!$B$5,'Compliance Database'!$H196))),OR(Query!$B$6="All",ISNUMBER(SEARCH(Query!$B$6,'Compliance Database'!$I196))),OR(Query!$B$7="All",'Compliance Database'!$F196=Query!$B$7),OR(Query!$B$8="All",'Compliance Database'!$J196=Query!$B$8),OR(Query!$B$9="",ISNUMBER(SEARCH(Query!$B$9,'Compliance Database'!$D196&amp;" "&amp;'Compliance Database'!$K196&amp;" "&amp;'Compliance Database'!$L196&amp;" "&amp;'Compliance Database'!$M196&amp;" "&amp;'Compliance Database'!$N196&amp;" "&amp;'Compliance Database'!$O196))),OR(Query!$B$10&lt;&gt;"Yes",'Compliance Database'!$F196&lt;&gt;"None")),1,0)</f>
        <v/>
      </c>
      <c r="B196">
        <f>IF($A196=1,SUM($A$2:$A196),"")</f>
        <v/>
      </c>
      <c r="C196">
        <f>IF($A196=1,SUM($A$2:$A196),0)</f>
        <v/>
      </c>
    </row>
    <row r="197">
      <c r="A197">
        <f>IF(AND(OR(Query!$B$4="All",'Compliance Database'!$A197=Query!$B$4),OR(Query!$B$5="All",ISNUMBER(SEARCH(Query!$B$5,'Compliance Database'!$H197))),OR(Query!$B$6="All",ISNUMBER(SEARCH(Query!$B$6,'Compliance Database'!$I197))),OR(Query!$B$7="All",'Compliance Database'!$F197=Query!$B$7),OR(Query!$B$8="All",'Compliance Database'!$J197=Query!$B$8),OR(Query!$B$9="",ISNUMBER(SEARCH(Query!$B$9,'Compliance Database'!$D197&amp;" "&amp;'Compliance Database'!$K197&amp;" "&amp;'Compliance Database'!$L197&amp;" "&amp;'Compliance Database'!$M197&amp;" "&amp;'Compliance Database'!$N197&amp;" "&amp;'Compliance Database'!$O197))),OR(Query!$B$10&lt;&gt;"Yes",'Compliance Database'!$F197&lt;&gt;"None")),1,0)</f>
        <v/>
      </c>
      <c r="B197">
        <f>IF($A197=1,SUM($A$2:$A197),"")</f>
        <v/>
      </c>
      <c r="C197">
        <f>IF($A197=1,SUM($A$2:$A197),0)</f>
        <v/>
      </c>
    </row>
    <row r="198">
      <c r="A198">
        <f>IF(AND(OR(Query!$B$4="All",'Compliance Database'!$A198=Query!$B$4),OR(Query!$B$5="All",ISNUMBER(SEARCH(Query!$B$5,'Compliance Database'!$H198))),OR(Query!$B$6="All",ISNUMBER(SEARCH(Query!$B$6,'Compliance Database'!$I198))),OR(Query!$B$7="All",'Compliance Database'!$F198=Query!$B$7),OR(Query!$B$8="All",'Compliance Database'!$J198=Query!$B$8),OR(Query!$B$9="",ISNUMBER(SEARCH(Query!$B$9,'Compliance Database'!$D198&amp;" "&amp;'Compliance Database'!$K198&amp;" "&amp;'Compliance Database'!$L198&amp;" "&amp;'Compliance Database'!$M198&amp;" "&amp;'Compliance Database'!$N198&amp;" "&amp;'Compliance Database'!$O198))),OR(Query!$B$10&lt;&gt;"Yes",'Compliance Database'!$F198&lt;&gt;"None")),1,0)</f>
        <v/>
      </c>
      <c r="B198">
        <f>IF($A198=1,SUM($A$2:$A198),"")</f>
        <v/>
      </c>
      <c r="C198">
        <f>IF($A198=1,SUM($A$2:$A198),0)</f>
        <v/>
      </c>
    </row>
    <row r="199">
      <c r="A199">
        <f>IF(AND(OR(Query!$B$4="All",'Compliance Database'!$A199=Query!$B$4),OR(Query!$B$5="All",ISNUMBER(SEARCH(Query!$B$5,'Compliance Database'!$H199))),OR(Query!$B$6="All",ISNUMBER(SEARCH(Query!$B$6,'Compliance Database'!$I199))),OR(Query!$B$7="All",'Compliance Database'!$F199=Query!$B$7),OR(Query!$B$8="All",'Compliance Database'!$J199=Query!$B$8),OR(Query!$B$9="",ISNUMBER(SEARCH(Query!$B$9,'Compliance Database'!$D199&amp;" "&amp;'Compliance Database'!$K199&amp;" "&amp;'Compliance Database'!$L199&amp;" "&amp;'Compliance Database'!$M199&amp;" "&amp;'Compliance Database'!$N199&amp;" "&amp;'Compliance Database'!$O199))),OR(Query!$B$10&lt;&gt;"Yes",'Compliance Database'!$F199&lt;&gt;"None")),1,0)</f>
        <v/>
      </c>
      <c r="B199">
        <f>IF($A199=1,SUM($A$2:$A199),"")</f>
        <v/>
      </c>
      <c r="C199">
        <f>IF($A199=1,SUM($A$2:$A199),0)</f>
        <v/>
      </c>
    </row>
    <row r="200">
      <c r="A200">
        <f>IF(AND(OR(Query!$B$4="All",'Compliance Database'!$A200=Query!$B$4),OR(Query!$B$5="All",ISNUMBER(SEARCH(Query!$B$5,'Compliance Database'!$H200))),OR(Query!$B$6="All",ISNUMBER(SEARCH(Query!$B$6,'Compliance Database'!$I200))),OR(Query!$B$7="All",'Compliance Database'!$F200=Query!$B$7),OR(Query!$B$8="All",'Compliance Database'!$J200=Query!$B$8),OR(Query!$B$9="",ISNUMBER(SEARCH(Query!$B$9,'Compliance Database'!$D200&amp;" "&amp;'Compliance Database'!$K200&amp;" "&amp;'Compliance Database'!$L200&amp;" "&amp;'Compliance Database'!$M200&amp;" "&amp;'Compliance Database'!$N200&amp;" "&amp;'Compliance Database'!$O200))),OR(Query!$B$10&lt;&gt;"Yes",'Compliance Database'!$F200&lt;&gt;"None")),1,0)</f>
        <v/>
      </c>
      <c r="B200">
        <f>IF($A200=1,SUM($A$2:$A200),"")</f>
        <v/>
      </c>
      <c r="C200">
        <f>IF($A200=1,SUM($A$2:$A200),0)</f>
        <v/>
      </c>
    </row>
    <row r="201">
      <c r="A201">
        <f>IF(AND(OR(Query!$B$4="All",'Compliance Database'!$A201=Query!$B$4),OR(Query!$B$5="All",ISNUMBER(SEARCH(Query!$B$5,'Compliance Database'!$H201))),OR(Query!$B$6="All",ISNUMBER(SEARCH(Query!$B$6,'Compliance Database'!$I201))),OR(Query!$B$7="All",'Compliance Database'!$F201=Query!$B$7),OR(Query!$B$8="All",'Compliance Database'!$J201=Query!$B$8),OR(Query!$B$9="",ISNUMBER(SEARCH(Query!$B$9,'Compliance Database'!$D201&amp;" "&amp;'Compliance Database'!$K201&amp;" "&amp;'Compliance Database'!$L201&amp;" "&amp;'Compliance Database'!$M201&amp;" "&amp;'Compliance Database'!$N201&amp;" "&amp;'Compliance Database'!$O201))),OR(Query!$B$10&lt;&gt;"Yes",'Compliance Database'!$F201&lt;&gt;"None")),1,0)</f>
        <v/>
      </c>
      <c r="B201">
        <f>IF($A201=1,SUM($A$2:$A201),"")</f>
        <v/>
      </c>
      <c r="C201">
        <f>IF($A201=1,SUM($A$2:$A201),0)</f>
        <v/>
      </c>
    </row>
    <row r="202">
      <c r="A202">
        <f>IF(AND(OR(Query!$B$4="All",'Compliance Database'!$A202=Query!$B$4),OR(Query!$B$5="All",ISNUMBER(SEARCH(Query!$B$5,'Compliance Database'!$H202))),OR(Query!$B$6="All",ISNUMBER(SEARCH(Query!$B$6,'Compliance Database'!$I202))),OR(Query!$B$7="All",'Compliance Database'!$F202=Query!$B$7),OR(Query!$B$8="All",'Compliance Database'!$J202=Query!$B$8),OR(Query!$B$9="",ISNUMBER(SEARCH(Query!$B$9,'Compliance Database'!$D202&amp;" "&amp;'Compliance Database'!$K202&amp;" "&amp;'Compliance Database'!$L202&amp;" "&amp;'Compliance Database'!$M202&amp;" "&amp;'Compliance Database'!$N202&amp;" "&amp;'Compliance Database'!$O202))),OR(Query!$B$10&lt;&gt;"Yes",'Compliance Database'!$F202&lt;&gt;"None")),1,0)</f>
        <v/>
      </c>
      <c r="B202">
        <f>IF($A202=1,SUM($A$2:$A202),"")</f>
        <v/>
      </c>
      <c r="C202">
        <f>IF($A202=1,SUM($A$2:$A202),0)</f>
        <v/>
      </c>
    </row>
    <row r="203">
      <c r="A203">
        <f>IF(AND(OR(Query!$B$4="All",'Compliance Database'!$A203=Query!$B$4),OR(Query!$B$5="All",ISNUMBER(SEARCH(Query!$B$5,'Compliance Database'!$H203))),OR(Query!$B$6="All",ISNUMBER(SEARCH(Query!$B$6,'Compliance Database'!$I203))),OR(Query!$B$7="All",'Compliance Database'!$F203=Query!$B$7),OR(Query!$B$8="All",'Compliance Database'!$J203=Query!$B$8),OR(Query!$B$9="",ISNUMBER(SEARCH(Query!$B$9,'Compliance Database'!$D203&amp;" "&amp;'Compliance Database'!$K203&amp;" "&amp;'Compliance Database'!$L203&amp;" "&amp;'Compliance Database'!$M203&amp;" "&amp;'Compliance Database'!$N203&amp;" "&amp;'Compliance Database'!$O203))),OR(Query!$B$10&lt;&gt;"Yes",'Compliance Database'!$F203&lt;&gt;"None")),1,0)</f>
        <v/>
      </c>
      <c r="B203">
        <f>IF($A203=1,SUM($A$2:$A203),"")</f>
        <v/>
      </c>
      <c r="C203">
        <f>IF($A203=1,SUM($A$2:$A203),0)</f>
        <v/>
      </c>
    </row>
    <row r="204">
      <c r="A204">
        <f>IF(AND(OR(Query!$B$4="All",'Compliance Database'!$A204=Query!$B$4),OR(Query!$B$5="All",ISNUMBER(SEARCH(Query!$B$5,'Compliance Database'!$H204))),OR(Query!$B$6="All",ISNUMBER(SEARCH(Query!$B$6,'Compliance Database'!$I204))),OR(Query!$B$7="All",'Compliance Database'!$F204=Query!$B$7),OR(Query!$B$8="All",'Compliance Database'!$J204=Query!$B$8),OR(Query!$B$9="",ISNUMBER(SEARCH(Query!$B$9,'Compliance Database'!$D204&amp;" "&amp;'Compliance Database'!$K204&amp;" "&amp;'Compliance Database'!$L204&amp;" "&amp;'Compliance Database'!$M204&amp;" "&amp;'Compliance Database'!$N204&amp;" "&amp;'Compliance Database'!$O204))),OR(Query!$B$10&lt;&gt;"Yes",'Compliance Database'!$F204&lt;&gt;"None")),1,0)</f>
        <v/>
      </c>
      <c r="B204">
        <f>IF($A204=1,SUM($A$2:$A204),"")</f>
        <v/>
      </c>
      <c r="C204">
        <f>IF($A204=1,SUM($A$2:$A204),0)</f>
        <v/>
      </c>
    </row>
    <row r="205">
      <c r="A205">
        <f>IF(AND(OR(Query!$B$4="All",'Compliance Database'!$A205=Query!$B$4),OR(Query!$B$5="All",ISNUMBER(SEARCH(Query!$B$5,'Compliance Database'!$H205))),OR(Query!$B$6="All",ISNUMBER(SEARCH(Query!$B$6,'Compliance Database'!$I205))),OR(Query!$B$7="All",'Compliance Database'!$F205=Query!$B$7),OR(Query!$B$8="All",'Compliance Database'!$J205=Query!$B$8),OR(Query!$B$9="",ISNUMBER(SEARCH(Query!$B$9,'Compliance Database'!$D205&amp;" "&amp;'Compliance Database'!$K205&amp;" "&amp;'Compliance Database'!$L205&amp;" "&amp;'Compliance Database'!$M205&amp;" "&amp;'Compliance Database'!$N205&amp;" "&amp;'Compliance Database'!$O205))),OR(Query!$B$10&lt;&gt;"Yes",'Compliance Database'!$F205&lt;&gt;"None")),1,0)</f>
        <v/>
      </c>
      <c r="B205">
        <f>IF($A205=1,SUM($A$2:$A205),"")</f>
        <v/>
      </c>
      <c r="C205">
        <f>IF($A205=1,SUM($A$2:$A205),0)</f>
        <v/>
      </c>
    </row>
    <row r="206">
      <c r="A206">
        <f>IF(AND(OR(Query!$B$4="All",'Compliance Database'!$A206=Query!$B$4),OR(Query!$B$5="All",ISNUMBER(SEARCH(Query!$B$5,'Compliance Database'!$H206))),OR(Query!$B$6="All",ISNUMBER(SEARCH(Query!$B$6,'Compliance Database'!$I206))),OR(Query!$B$7="All",'Compliance Database'!$F206=Query!$B$7),OR(Query!$B$8="All",'Compliance Database'!$J206=Query!$B$8),OR(Query!$B$9="",ISNUMBER(SEARCH(Query!$B$9,'Compliance Database'!$D206&amp;" "&amp;'Compliance Database'!$K206&amp;" "&amp;'Compliance Database'!$L206&amp;" "&amp;'Compliance Database'!$M206&amp;" "&amp;'Compliance Database'!$N206&amp;" "&amp;'Compliance Database'!$O206))),OR(Query!$B$10&lt;&gt;"Yes",'Compliance Database'!$F206&lt;&gt;"None")),1,0)</f>
        <v/>
      </c>
      <c r="B206">
        <f>IF($A206=1,SUM($A$2:$A206),"")</f>
        <v/>
      </c>
      <c r="C206">
        <f>IF($A206=1,SUM($A$2:$A206),0)</f>
        <v/>
      </c>
    </row>
    <row r="207">
      <c r="A207">
        <f>IF(AND(OR(Query!$B$4="All",'Compliance Database'!$A207=Query!$B$4),OR(Query!$B$5="All",ISNUMBER(SEARCH(Query!$B$5,'Compliance Database'!$H207))),OR(Query!$B$6="All",ISNUMBER(SEARCH(Query!$B$6,'Compliance Database'!$I207))),OR(Query!$B$7="All",'Compliance Database'!$F207=Query!$B$7),OR(Query!$B$8="All",'Compliance Database'!$J207=Query!$B$8),OR(Query!$B$9="",ISNUMBER(SEARCH(Query!$B$9,'Compliance Database'!$D207&amp;" "&amp;'Compliance Database'!$K207&amp;" "&amp;'Compliance Database'!$L207&amp;" "&amp;'Compliance Database'!$M207&amp;" "&amp;'Compliance Database'!$N207&amp;" "&amp;'Compliance Database'!$O207))),OR(Query!$B$10&lt;&gt;"Yes",'Compliance Database'!$F207&lt;&gt;"None")),1,0)</f>
        <v/>
      </c>
      <c r="B207">
        <f>IF($A207=1,SUM($A$2:$A207),"")</f>
        <v/>
      </c>
      <c r="C207">
        <f>IF($A207=1,SUM($A$2:$A207),0)</f>
        <v/>
      </c>
    </row>
    <row r="208">
      <c r="A208">
        <f>IF(AND(OR(Query!$B$4="All",'Compliance Database'!$A208=Query!$B$4),OR(Query!$B$5="All",ISNUMBER(SEARCH(Query!$B$5,'Compliance Database'!$H208))),OR(Query!$B$6="All",ISNUMBER(SEARCH(Query!$B$6,'Compliance Database'!$I208))),OR(Query!$B$7="All",'Compliance Database'!$F208=Query!$B$7),OR(Query!$B$8="All",'Compliance Database'!$J208=Query!$B$8),OR(Query!$B$9="",ISNUMBER(SEARCH(Query!$B$9,'Compliance Database'!$D208&amp;" "&amp;'Compliance Database'!$K208&amp;" "&amp;'Compliance Database'!$L208&amp;" "&amp;'Compliance Database'!$M208&amp;" "&amp;'Compliance Database'!$N208&amp;" "&amp;'Compliance Database'!$O208))),OR(Query!$B$10&lt;&gt;"Yes",'Compliance Database'!$F208&lt;&gt;"None")),1,0)</f>
        <v/>
      </c>
      <c r="B208">
        <f>IF($A208=1,SUM($A$2:$A208),"")</f>
        <v/>
      </c>
      <c r="C208">
        <f>IF($A208=1,SUM($A$2:$A208),0)</f>
        <v/>
      </c>
    </row>
    <row r="209">
      <c r="A209">
        <f>IF(AND(OR(Query!$B$4="All",'Compliance Database'!$A209=Query!$B$4),OR(Query!$B$5="All",ISNUMBER(SEARCH(Query!$B$5,'Compliance Database'!$H209))),OR(Query!$B$6="All",ISNUMBER(SEARCH(Query!$B$6,'Compliance Database'!$I209))),OR(Query!$B$7="All",'Compliance Database'!$F209=Query!$B$7),OR(Query!$B$8="All",'Compliance Database'!$J209=Query!$B$8),OR(Query!$B$9="",ISNUMBER(SEARCH(Query!$B$9,'Compliance Database'!$D209&amp;" "&amp;'Compliance Database'!$K209&amp;" "&amp;'Compliance Database'!$L209&amp;" "&amp;'Compliance Database'!$M209&amp;" "&amp;'Compliance Database'!$N209&amp;" "&amp;'Compliance Database'!$O209))),OR(Query!$B$10&lt;&gt;"Yes",'Compliance Database'!$F209&lt;&gt;"None")),1,0)</f>
        <v/>
      </c>
      <c r="B209">
        <f>IF($A209=1,SUM($A$2:$A209),"")</f>
        <v/>
      </c>
      <c r="C209">
        <f>IF($A209=1,SUM($A$2:$A209),0)</f>
        <v/>
      </c>
    </row>
    <row r="210">
      <c r="A210">
        <f>IF(AND(OR(Query!$B$4="All",'Compliance Database'!$A210=Query!$B$4),OR(Query!$B$5="All",ISNUMBER(SEARCH(Query!$B$5,'Compliance Database'!$H210))),OR(Query!$B$6="All",ISNUMBER(SEARCH(Query!$B$6,'Compliance Database'!$I210))),OR(Query!$B$7="All",'Compliance Database'!$F210=Query!$B$7),OR(Query!$B$8="All",'Compliance Database'!$J210=Query!$B$8),OR(Query!$B$9="",ISNUMBER(SEARCH(Query!$B$9,'Compliance Database'!$D210&amp;" "&amp;'Compliance Database'!$K210&amp;" "&amp;'Compliance Database'!$L210&amp;" "&amp;'Compliance Database'!$M210&amp;" "&amp;'Compliance Database'!$N210&amp;" "&amp;'Compliance Database'!$O210))),OR(Query!$B$10&lt;&gt;"Yes",'Compliance Database'!$F210&lt;&gt;"None")),1,0)</f>
        <v/>
      </c>
      <c r="B210">
        <f>IF($A210=1,SUM($A$2:$A210),"")</f>
        <v/>
      </c>
      <c r="C210">
        <f>IF($A210=1,SUM($A$2:$A210),0)</f>
        <v/>
      </c>
    </row>
    <row r="211">
      <c r="A211">
        <f>IF(AND(OR(Query!$B$4="All",'Compliance Database'!$A211=Query!$B$4),OR(Query!$B$5="All",ISNUMBER(SEARCH(Query!$B$5,'Compliance Database'!$H211))),OR(Query!$B$6="All",ISNUMBER(SEARCH(Query!$B$6,'Compliance Database'!$I211))),OR(Query!$B$7="All",'Compliance Database'!$F211=Query!$B$7),OR(Query!$B$8="All",'Compliance Database'!$J211=Query!$B$8),OR(Query!$B$9="",ISNUMBER(SEARCH(Query!$B$9,'Compliance Database'!$D211&amp;" "&amp;'Compliance Database'!$K211&amp;" "&amp;'Compliance Database'!$L211&amp;" "&amp;'Compliance Database'!$M211&amp;" "&amp;'Compliance Database'!$N211&amp;" "&amp;'Compliance Database'!$O211))),OR(Query!$B$10&lt;&gt;"Yes",'Compliance Database'!$F211&lt;&gt;"None")),1,0)</f>
        <v/>
      </c>
      <c r="B211">
        <f>IF($A211=1,SUM($A$2:$A211),"")</f>
        <v/>
      </c>
      <c r="C211">
        <f>IF($A211=1,SUM($A$2:$A211),0)</f>
        <v/>
      </c>
    </row>
    <row r="212">
      <c r="A212">
        <f>IF(AND(OR(Query!$B$4="All",'Compliance Database'!$A212=Query!$B$4),OR(Query!$B$5="All",ISNUMBER(SEARCH(Query!$B$5,'Compliance Database'!$H212))),OR(Query!$B$6="All",ISNUMBER(SEARCH(Query!$B$6,'Compliance Database'!$I212))),OR(Query!$B$7="All",'Compliance Database'!$F212=Query!$B$7),OR(Query!$B$8="All",'Compliance Database'!$J212=Query!$B$8),OR(Query!$B$9="",ISNUMBER(SEARCH(Query!$B$9,'Compliance Database'!$D212&amp;" "&amp;'Compliance Database'!$K212&amp;" "&amp;'Compliance Database'!$L212&amp;" "&amp;'Compliance Database'!$M212&amp;" "&amp;'Compliance Database'!$N212&amp;" "&amp;'Compliance Database'!$O212))),OR(Query!$B$10&lt;&gt;"Yes",'Compliance Database'!$F212&lt;&gt;"None")),1,0)</f>
        <v/>
      </c>
      <c r="B212">
        <f>IF($A212=1,SUM($A$2:$A212),"")</f>
        <v/>
      </c>
      <c r="C212">
        <f>IF($A212=1,SUM($A$2:$A212),0)</f>
        <v/>
      </c>
    </row>
    <row r="213">
      <c r="A213">
        <f>IF(AND(OR(Query!$B$4="All",'Compliance Database'!$A213=Query!$B$4),OR(Query!$B$5="All",ISNUMBER(SEARCH(Query!$B$5,'Compliance Database'!$H213))),OR(Query!$B$6="All",ISNUMBER(SEARCH(Query!$B$6,'Compliance Database'!$I213))),OR(Query!$B$7="All",'Compliance Database'!$F213=Query!$B$7),OR(Query!$B$8="All",'Compliance Database'!$J213=Query!$B$8),OR(Query!$B$9="",ISNUMBER(SEARCH(Query!$B$9,'Compliance Database'!$D213&amp;" "&amp;'Compliance Database'!$K213&amp;" "&amp;'Compliance Database'!$L213&amp;" "&amp;'Compliance Database'!$M213&amp;" "&amp;'Compliance Database'!$N213&amp;" "&amp;'Compliance Database'!$O213))),OR(Query!$B$10&lt;&gt;"Yes",'Compliance Database'!$F213&lt;&gt;"None")),1,0)</f>
        <v/>
      </c>
      <c r="B213">
        <f>IF($A213=1,SUM($A$2:$A213),"")</f>
        <v/>
      </c>
      <c r="C213">
        <f>IF($A213=1,SUM($A$2:$A213),0)</f>
        <v/>
      </c>
    </row>
    <row r="214">
      <c r="A214">
        <f>IF(AND(OR(Query!$B$4="All",'Compliance Database'!$A214=Query!$B$4),OR(Query!$B$5="All",ISNUMBER(SEARCH(Query!$B$5,'Compliance Database'!$H214))),OR(Query!$B$6="All",ISNUMBER(SEARCH(Query!$B$6,'Compliance Database'!$I214))),OR(Query!$B$7="All",'Compliance Database'!$F214=Query!$B$7),OR(Query!$B$8="All",'Compliance Database'!$J214=Query!$B$8),OR(Query!$B$9="",ISNUMBER(SEARCH(Query!$B$9,'Compliance Database'!$D214&amp;" "&amp;'Compliance Database'!$K214&amp;" "&amp;'Compliance Database'!$L214&amp;" "&amp;'Compliance Database'!$M214&amp;" "&amp;'Compliance Database'!$N214&amp;" "&amp;'Compliance Database'!$O214))),OR(Query!$B$10&lt;&gt;"Yes",'Compliance Database'!$F214&lt;&gt;"None")),1,0)</f>
        <v/>
      </c>
      <c r="B214">
        <f>IF($A214=1,SUM($A$2:$A214),"")</f>
        <v/>
      </c>
      <c r="C214">
        <f>IF($A214=1,SUM($A$2:$A214),0)</f>
        <v/>
      </c>
    </row>
    <row r="215">
      <c r="A215">
        <f>IF(AND(OR(Query!$B$4="All",'Compliance Database'!$A215=Query!$B$4),OR(Query!$B$5="All",ISNUMBER(SEARCH(Query!$B$5,'Compliance Database'!$H215))),OR(Query!$B$6="All",ISNUMBER(SEARCH(Query!$B$6,'Compliance Database'!$I215))),OR(Query!$B$7="All",'Compliance Database'!$F215=Query!$B$7),OR(Query!$B$8="All",'Compliance Database'!$J215=Query!$B$8),OR(Query!$B$9="",ISNUMBER(SEARCH(Query!$B$9,'Compliance Database'!$D215&amp;" "&amp;'Compliance Database'!$K215&amp;" "&amp;'Compliance Database'!$L215&amp;" "&amp;'Compliance Database'!$M215&amp;" "&amp;'Compliance Database'!$N215&amp;" "&amp;'Compliance Database'!$O215))),OR(Query!$B$10&lt;&gt;"Yes",'Compliance Database'!$F215&lt;&gt;"None")),1,0)</f>
        <v/>
      </c>
      <c r="B215">
        <f>IF($A215=1,SUM($A$2:$A215),"")</f>
        <v/>
      </c>
      <c r="C215">
        <f>IF($A215=1,SUM($A$2:$A215),0)</f>
        <v/>
      </c>
    </row>
    <row r="216">
      <c r="A216">
        <f>IF(AND(OR(Query!$B$4="All",'Compliance Database'!$A216=Query!$B$4),OR(Query!$B$5="All",ISNUMBER(SEARCH(Query!$B$5,'Compliance Database'!$H216))),OR(Query!$B$6="All",ISNUMBER(SEARCH(Query!$B$6,'Compliance Database'!$I216))),OR(Query!$B$7="All",'Compliance Database'!$F216=Query!$B$7),OR(Query!$B$8="All",'Compliance Database'!$J216=Query!$B$8),OR(Query!$B$9="",ISNUMBER(SEARCH(Query!$B$9,'Compliance Database'!$D216&amp;" "&amp;'Compliance Database'!$K216&amp;" "&amp;'Compliance Database'!$L216&amp;" "&amp;'Compliance Database'!$M216&amp;" "&amp;'Compliance Database'!$N216&amp;" "&amp;'Compliance Database'!$O216))),OR(Query!$B$10&lt;&gt;"Yes",'Compliance Database'!$F216&lt;&gt;"None")),1,0)</f>
        <v/>
      </c>
      <c r="B216">
        <f>IF($A216=1,SUM($A$2:$A216),"")</f>
        <v/>
      </c>
      <c r="C216">
        <f>IF($A216=1,SUM($A$2:$A216),0)</f>
        <v/>
      </c>
    </row>
    <row r="217">
      <c r="A217">
        <f>IF(AND(OR(Query!$B$4="All",'Compliance Database'!$A217=Query!$B$4),OR(Query!$B$5="All",ISNUMBER(SEARCH(Query!$B$5,'Compliance Database'!$H217))),OR(Query!$B$6="All",ISNUMBER(SEARCH(Query!$B$6,'Compliance Database'!$I217))),OR(Query!$B$7="All",'Compliance Database'!$F217=Query!$B$7),OR(Query!$B$8="All",'Compliance Database'!$J217=Query!$B$8),OR(Query!$B$9="",ISNUMBER(SEARCH(Query!$B$9,'Compliance Database'!$D217&amp;" "&amp;'Compliance Database'!$K217&amp;" "&amp;'Compliance Database'!$L217&amp;" "&amp;'Compliance Database'!$M217&amp;" "&amp;'Compliance Database'!$N217&amp;" "&amp;'Compliance Database'!$O217))),OR(Query!$B$10&lt;&gt;"Yes",'Compliance Database'!$F217&lt;&gt;"None")),1,0)</f>
        <v/>
      </c>
      <c r="B217">
        <f>IF($A217=1,SUM($A$2:$A217),"")</f>
        <v/>
      </c>
      <c r="C217">
        <f>IF($A217=1,SUM($A$2:$A217),0)</f>
        <v/>
      </c>
    </row>
    <row r="218">
      <c r="A218">
        <f>IF(AND(OR(Query!$B$4="All",'Compliance Database'!$A218=Query!$B$4),OR(Query!$B$5="All",ISNUMBER(SEARCH(Query!$B$5,'Compliance Database'!$H218))),OR(Query!$B$6="All",ISNUMBER(SEARCH(Query!$B$6,'Compliance Database'!$I218))),OR(Query!$B$7="All",'Compliance Database'!$F218=Query!$B$7),OR(Query!$B$8="All",'Compliance Database'!$J218=Query!$B$8),OR(Query!$B$9="",ISNUMBER(SEARCH(Query!$B$9,'Compliance Database'!$D218&amp;" "&amp;'Compliance Database'!$K218&amp;" "&amp;'Compliance Database'!$L218&amp;" "&amp;'Compliance Database'!$M218&amp;" "&amp;'Compliance Database'!$N218&amp;" "&amp;'Compliance Database'!$O218))),OR(Query!$B$10&lt;&gt;"Yes",'Compliance Database'!$F218&lt;&gt;"None")),1,0)</f>
        <v/>
      </c>
      <c r="B218">
        <f>IF($A218=1,SUM($A$2:$A218),"")</f>
        <v/>
      </c>
      <c r="C218">
        <f>IF($A218=1,SUM($A$2:$A218),0)</f>
        <v/>
      </c>
    </row>
    <row r="219">
      <c r="A219">
        <f>IF(AND(OR(Query!$B$4="All",'Compliance Database'!$A219=Query!$B$4),OR(Query!$B$5="All",ISNUMBER(SEARCH(Query!$B$5,'Compliance Database'!$H219))),OR(Query!$B$6="All",ISNUMBER(SEARCH(Query!$B$6,'Compliance Database'!$I219))),OR(Query!$B$7="All",'Compliance Database'!$F219=Query!$B$7),OR(Query!$B$8="All",'Compliance Database'!$J219=Query!$B$8),OR(Query!$B$9="",ISNUMBER(SEARCH(Query!$B$9,'Compliance Database'!$D219&amp;" "&amp;'Compliance Database'!$K219&amp;" "&amp;'Compliance Database'!$L219&amp;" "&amp;'Compliance Database'!$M219&amp;" "&amp;'Compliance Database'!$N219&amp;" "&amp;'Compliance Database'!$O219))),OR(Query!$B$10&lt;&gt;"Yes",'Compliance Database'!$F219&lt;&gt;"None")),1,0)</f>
        <v/>
      </c>
      <c r="B219">
        <f>IF($A219=1,SUM($A$2:$A219),"")</f>
        <v/>
      </c>
      <c r="C219">
        <f>IF($A219=1,SUM($A$2:$A219),0)</f>
        <v/>
      </c>
    </row>
    <row r="220">
      <c r="A220">
        <f>IF(AND(OR(Query!$B$4="All",'Compliance Database'!$A220=Query!$B$4),OR(Query!$B$5="All",ISNUMBER(SEARCH(Query!$B$5,'Compliance Database'!$H220))),OR(Query!$B$6="All",ISNUMBER(SEARCH(Query!$B$6,'Compliance Database'!$I220))),OR(Query!$B$7="All",'Compliance Database'!$F220=Query!$B$7),OR(Query!$B$8="All",'Compliance Database'!$J220=Query!$B$8),OR(Query!$B$9="",ISNUMBER(SEARCH(Query!$B$9,'Compliance Database'!$D220&amp;" "&amp;'Compliance Database'!$K220&amp;" "&amp;'Compliance Database'!$L220&amp;" "&amp;'Compliance Database'!$M220&amp;" "&amp;'Compliance Database'!$N220&amp;" "&amp;'Compliance Database'!$O220))),OR(Query!$B$10&lt;&gt;"Yes",'Compliance Database'!$F220&lt;&gt;"None")),1,0)</f>
        <v/>
      </c>
      <c r="B220">
        <f>IF($A220=1,SUM($A$2:$A220),"")</f>
        <v/>
      </c>
      <c r="C220">
        <f>IF($A220=1,SUM($A$2:$A220),0)</f>
        <v/>
      </c>
    </row>
    <row r="221">
      <c r="A221">
        <f>IF(AND(OR(Query!$B$4="All",'Compliance Database'!$A221=Query!$B$4),OR(Query!$B$5="All",ISNUMBER(SEARCH(Query!$B$5,'Compliance Database'!$H221))),OR(Query!$B$6="All",ISNUMBER(SEARCH(Query!$B$6,'Compliance Database'!$I221))),OR(Query!$B$7="All",'Compliance Database'!$F221=Query!$B$7),OR(Query!$B$8="All",'Compliance Database'!$J221=Query!$B$8),OR(Query!$B$9="",ISNUMBER(SEARCH(Query!$B$9,'Compliance Database'!$D221&amp;" "&amp;'Compliance Database'!$K221&amp;" "&amp;'Compliance Database'!$L221&amp;" "&amp;'Compliance Database'!$M221&amp;" "&amp;'Compliance Database'!$N221&amp;" "&amp;'Compliance Database'!$O221))),OR(Query!$B$10&lt;&gt;"Yes",'Compliance Database'!$F221&lt;&gt;"None")),1,0)</f>
        <v/>
      </c>
      <c r="B221">
        <f>IF($A221=1,SUM($A$2:$A221),"")</f>
        <v/>
      </c>
      <c r="C221">
        <f>IF($A221=1,SUM($A$2:$A221),0)</f>
        <v/>
      </c>
    </row>
    <row r="222">
      <c r="A222">
        <f>IF(AND(OR(Query!$B$4="All",'Compliance Database'!$A222=Query!$B$4),OR(Query!$B$5="All",ISNUMBER(SEARCH(Query!$B$5,'Compliance Database'!$H222))),OR(Query!$B$6="All",ISNUMBER(SEARCH(Query!$B$6,'Compliance Database'!$I222))),OR(Query!$B$7="All",'Compliance Database'!$F222=Query!$B$7),OR(Query!$B$8="All",'Compliance Database'!$J222=Query!$B$8),OR(Query!$B$9="",ISNUMBER(SEARCH(Query!$B$9,'Compliance Database'!$D222&amp;" "&amp;'Compliance Database'!$K222&amp;" "&amp;'Compliance Database'!$L222&amp;" "&amp;'Compliance Database'!$M222&amp;" "&amp;'Compliance Database'!$N222&amp;" "&amp;'Compliance Database'!$O222))),OR(Query!$B$10&lt;&gt;"Yes",'Compliance Database'!$F222&lt;&gt;"None")),1,0)</f>
        <v/>
      </c>
      <c r="B222">
        <f>IF($A222=1,SUM($A$2:$A222),"")</f>
        <v/>
      </c>
      <c r="C222">
        <f>IF($A222=1,SUM($A$2:$A222),0)</f>
        <v/>
      </c>
    </row>
    <row r="223">
      <c r="A223">
        <f>IF(AND(OR(Query!$B$4="All",'Compliance Database'!$A223=Query!$B$4),OR(Query!$B$5="All",ISNUMBER(SEARCH(Query!$B$5,'Compliance Database'!$H223))),OR(Query!$B$6="All",ISNUMBER(SEARCH(Query!$B$6,'Compliance Database'!$I223))),OR(Query!$B$7="All",'Compliance Database'!$F223=Query!$B$7),OR(Query!$B$8="All",'Compliance Database'!$J223=Query!$B$8),OR(Query!$B$9="",ISNUMBER(SEARCH(Query!$B$9,'Compliance Database'!$D223&amp;" "&amp;'Compliance Database'!$K223&amp;" "&amp;'Compliance Database'!$L223&amp;" "&amp;'Compliance Database'!$M223&amp;" "&amp;'Compliance Database'!$N223&amp;" "&amp;'Compliance Database'!$O223))),OR(Query!$B$10&lt;&gt;"Yes",'Compliance Database'!$F223&lt;&gt;"None")),1,0)</f>
        <v/>
      </c>
      <c r="B223">
        <f>IF($A223=1,SUM($A$2:$A223),"")</f>
        <v/>
      </c>
      <c r="C223">
        <f>IF($A223=1,SUM($A$2:$A223),0)</f>
        <v/>
      </c>
    </row>
    <row r="224">
      <c r="A224">
        <f>IF(AND(OR(Query!$B$4="All",'Compliance Database'!$A224=Query!$B$4),OR(Query!$B$5="All",ISNUMBER(SEARCH(Query!$B$5,'Compliance Database'!$H224))),OR(Query!$B$6="All",ISNUMBER(SEARCH(Query!$B$6,'Compliance Database'!$I224))),OR(Query!$B$7="All",'Compliance Database'!$F224=Query!$B$7),OR(Query!$B$8="All",'Compliance Database'!$J224=Query!$B$8),OR(Query!$B$9="",ISNUMBER(SEARCH(Query!$B$9,'Compliance Database'!$D224&amp;" "&amp;'Compliance Database'!$K224&amp;" "&amp;'Compliance Database'!$L224&amp;" "&amp;'Compliance Database'!$M224&amp;" "&amp;'Compliance Database'!$N224&amp;" "&amp;'Compliance Database'!$O224))),OR(Query!$B$10&lt;&gt;"Yes",'Compliance Database'!$F224&lt;&gt;"None")),1,0)</f>
        <v/>
      </c>
      <c r="B224">
        <f>IF($A224=1,SUM($A$2:$A224),"")</f>
        <v/>
      </c>
      <c r="C224">
        <f>IF($A224=1,SUM($A$2:$A224),0)</f>
        <v/>
      </c>
    </row>
    <row r="225">
      <c r="A225">
        <f>IF(AND(OR(Query!$B$4="All",'Compliance Database'!$A225=Query!$B$4),OR(Query!$B$5="All",ISNUMBER(SEARCH(Query!$B$5,'Compliance Database'!$H225))),OR(Query!$B$6="All",ISNUMBER(SEARCH(Query!$B$6,'Compliance Database'!$I225))),OR(Query!$B$7="All",'Compliance Database'!$F225=Query!$B$7),OR(Query!$B$8="All",'Compliance Database'!$J225=Query!$B$8),OR(Query!$B$9="",ISNUMBER(SEARCH(Query!$B$9,'Compliance Database'!$D225&amp;" "&amp;'Compliance Database'!$K225&amp;" "&amp;'Compliance Database'!$L225&amp;" "&amp;'Compliance Database'!$M225&amp;" "&amp;'Compliance Database'!$N225&amp;" "&amp;'Compliance Database'!$O225))),OR(Query!$B$10&lt;&gt;"Yes",'Compliance Database'!$F225&lt;&gt;"None")),1,0)</f>
        <v/>
      </c>
      <c r="B225">
        <f>IF($A225=1,SUM($A$2:$A225),"")</f>
        <v/>
      </c>
      <c r="C225">
        <f>IF($A225=1,SUM($A$2:$A225),0)</f>
        <v/>
      </c>
    </row>
    <row r="226">
      <c r="A226">
        <f>IF(AND(OR(Query!$B$4="All",'Compliance Database'!$A226=Query!$B$4),OR(Query!$B$5="All",ISNUMBER(SEARCH(Query!$B$5,'Compliance Database'!$H226))),OR(Query!$B$6="All",ISNUMBER(SEARCH(Query!$B$6,'Compliance Database'!$I226))),OR(Query!$B$7="All",'Compliance Database'!$F226=Query!$B$7),OR(Query!$B$8="All",'Compliance Database'!$J226=Query!$B$8),OR(Query!$B$9="",ISNUMBER(SEARCH(Query!$B$9,'Compliance Database'!$D226&amp;" "&amp;'Compliance Database'!$K226&amp;" "&amp;'Compliance Database'!$L226&amp;" "&amp;'Compliance Database'!$M226&amp;" "&amp;'Compliance Database'!$N226&amp;" "&amp;'Compliance Database'!$O226))),OR(Query!$B$10&lt;&gt;"Yes",'Compliance Database'!$F226&lt;&gt;"None")),1,0)</f>
        <v/>
      </c>
      <c r="B226">
        <f>IF($A226=1,SUM($A$2:$A226),"")</f>
        <v/>
      </c>
      <c r="C226">
        <f>IF($A226=1,SUM($A$2:$A226),0)</f>
        <v/>
      </c>
    </row>
    <row r="227">
      <c r="A227">
        <f>IF(AND(OR(Query!$B$4="All",'Compliance Database'!$A227=Query!$B$4),OR(Query!$B$5="All",ISNUMBER(SEARCH(Query!$B$5,'Compliance Database'!$H227))),OR(Query!$B$6="All",ISNUMBER(SEARCH(Query!$B$6,'Compliance Database'!$I227))),OR(Query!$B$7="All",'Compliance Database'!$F227=Query!$B$7),OR(Query!$B$8="All",'Compliance Database'!$J227=Query!$B$8),OR(Query!$B$9="",ISNUMBER(SEARCH(Query!$B$9,'Compliance Database'!$D227&amp;" "&amp;'Compliance Database'!$K227&amp;" "&amp;'Compliance Database'!$L227&amp;" "&amp;'Compliance Database'!$M227&amp;" "&amp;'Compliance Database'!$N227&amp;" "&amp;'Compliance Database'!$O227))),OR(Query!$B$10&lt;&gt;"Yes",'Compliance Database'!$F227&lt;&gt;"None")),1,0)</f>
        <v/>
      </c>
      <c r="B227">
        <f>IF($A227=1,SUM($A$2:$A227),"")</f>
        <v/>
      </c>
      <c r="C227">
        <f>IF($A227=1,SUM($A$2:$A227),0)</f>
        <v/>
      </c>
    </row>
    <row r="228">
      <c r="A228">
        <f>IF(AND(OR(Query!$B$4="All",'Compliance Database'!$A228=Query!$B$4),OR(Query!$B$5="All",ISNUMBER(SEARCH(Query!$B$5,'Compliance Database'!$H228))),OR(Query!$B$6="All",ISNUMBER(SEARCH(Query!$B$6,'Compliance Database'!$I228))),OR(Query!$B$7="All",'Compliance Database'!$F228=Query!$B$7),OR(Query!$B$8="All",'Compliance Database'!$J228=Query!$B$8),OR(Query!$B$9="",ISNUMBER(SEARCH(Query!$B$9,'Compliance Database'!$D228&amp;" "&amp;'Compliance Database'!$K228&amp;" "&amp;'Compliance Database'!$L228&amp;" "&amp;'Compliance Database'!$M228&amp;" "&amp;'Compliance Database'!$N228&amp;" "&amp;'Compliance Database'!$O228))),OR(Query!$B$10&lt;&gt;"Yes",'Compliance Database'!$F228&lt;&gt;"None")),1,0)</f>
        <v/>
      </c>
      <c r="B228">
        <f>IF($A228=1,SUM($A$2:$A228),"")</f>
        <v/>
      </c>
      <c r="C228">
        <f>IF($A228=1,SUM($A$2:$A228),0)</f>
        <v/>
      </c>
    </row>
    <row r="229">
      <c r="A229">
        <f>IF(AND(OR(Query!$B$4="All",'Compliance Database'!$A229=Query!$B$4),OR(Query!$B$5="All",ISNUMBER(SEARCH(Query!$B$5,'Compliance Database'!$H229))),OR(Query!$B$6="All",ISNUMBER(SEARCH(Query!$B$6,'Compliance Database'!$I229))),OR(Query!$B$7="All",'Compliance Database'!$F229=Query!$B$7),OR(Query!$B$8="All",'Compliance Database'!$J229=Query!$B$8),OR(Query!$B$9="",ISNUMBER(SEARCH(Query!$B$9,'Compliance Database'!$D229&amp;" "&amp;'Compliance Database'!$K229&amp;" "&amp;'Compliance Database'!$L229&amp;" "&amp;'Compliance Database'!$M229&amp;" "&amp;'Compliance Database'!$N229&amp;" "&amp;'Compliance Database'!$O229))),OR(Query!$B$10&lt;&gt;"Yes",'Compliance Database'!$F229&lt;&gt;"None")),1,0)</f>
        <v/>
      </c>
      <c r="B229">
        <f>IF($A229=1,SUM($A$2:$A229),"")</f>
        <v/>
      </c>
      <c r="C229">
        <f>IF($A229=1,SUM($A$2:$A229),0)</f>
        <v/>
      </c>
    </row>
    <row r="230">
      <c r="A230">
        <f>IF(AND(OR(Query!$B$4="All",'Compliance Database'!$A230=Query!$B$4),OR(Query!$B$5="All",ISNUMBER(SEARCH(Query!$B$5,'Compliance Database'!$H230))),OR(Query!$B$6="All",ISNUMBER(SEARCH(Query!$B$6,'Compliance Database'!$I230))),OR(Query!$B$7="All",'Compliance Database'!$F230=Query!$B$7),OR(Query!$B$8="All",'Compliance Database'!$J230=Query!$B$8),OR(Query!$B$9="",ISNUMBER(SEARCH(Query!$B$9,'Compliance Database'!$D230&amp;" "&amp;'Compliance Database'!$K230&amp;" "&amp;'Compliance Database'!$L230&amp;" "&amp;'Compliance Database'!$M230&amp;" "&amp;'Compliance Database'!$N230&amp;" "&amp;'Compliance Database'!$O230))),OR(Query!$B$10&lt;&gt;"Yes",'Compliance Database'!$F230&lt;&gt;"None")),1,0)</f>
        <v/>
      </c>
      <c r="B230">
        <f>IF($A230=1,SUM($A$2:$A230),"")</f>
        <v/>
      </c>
      <c r="C230">
        <f>IF($A230=1,SUM($A$2:$A230),0)</f>
        <v/>
      </c>
    </row>
    <row r="231">
      <c r="A231">
        <f>IF(AND(OR(Query!$B$4="All",'Compliance Database'!$A231=Query!$B$4),OR(Query!$B$5="All",ISNUMBER(SEARCH(Query!$B$5,'Compliance Database'!$H231))),OR(Query!$B$6="All",ISNUMBER(SEARCH(Query!$B$6,'Compliance Database'!$I231))),OR(Query!$B$7="All",'Compliance Database'!$F231=Query!$B$7),OR(Query!$B$8="All",'Compliance Database'!$J231=Query!$B$8),OR(Query!$B$9="",ISNUMBER(SEARCH(Query!$B$9,'Compliance Database'!$D231&amp;" "&amp;'Compliance Database'!$K231&amp;" "&amp;'Compliance Database'!$L231&amp;" "&amp;'Compliance Database'!$M231&amp;" "&amp;'Compliance Database'!$N231&amp;" "&amp;'Compliance Database'!$O231))),OR(Query!$B$10&lt;&gt;"Yes",'Compliance Database'!$F231&lt;&gt;"None")),1,0)</f>
        <v/>
      </c>
      <c r="B231">
        <f>IF($A231=1,SUM($A$2:$A231),"")</f>
        <v/>
      </c>
      <c r="C231">
        <f>IF($A231=1,SUM($A$2:$A231),0)</f>
        <v/>
      </c>
    </row>
    <row r="232">
      <c r="A232">
        <f>IF(AND(OR(Query!$B$4="All",'Compliance Database'!$A232=Query!$B$4),OR(Query!$B$5="All",ISNUMBER(SEARCH(Query!$B$5,'Compliance Database'!$H232))),OR(Query!$B$6="All",ISNUMBER(SEARCH(Query!$B$6,'Compliance Database'!$I232))),OR(Query!$B$7="All",'Compliance Database'!$F232=Query!$B$7),OR(Query!$B$8="All",'Compliance Database'!$J232=Query!$B$8),OR(Query!$B$9="",ISNUMBER(SEARCH(Query!$B$9,'Compliance Database'!$D232&amp;" "&amp;'Compliance Database'!$K232&amp;" "&amp;'Compliance Database'!$L232&amp;" "&amp;'Compliance Database'!$M232&amp;" "&amp;'Compliance Database'!$N232&amp;" "&amp;'Compliance Database'!$O232))),OR(Query!$B$10&lt;&gt;"Yes",'Compliance Database'!$F232&lt;&gt;"None")),1,0)</f>
        <v/>
      </c>
      <c r="B232">
        <f>IF($A232=1,SUM($A$2:$A232),"")</f>
        <v/>
      </c>
      <c r="C232">
        <f>IF($A232=1,SUM($A$2:$A232),0)</f>
        <v/>
      </c>
    </row>
    <row r="233">
      <c r="A233">
        <f>IF(AND(OR(Query!$B$4="All",'Compliance Database'!$A233=Query!$B$4),OR(Query!$B$5="All",ISNUMBER(SEARCH(Query!$B$5,'Compliance Database'!$H233))),OR(Query!$B$6="All",ISNUMBER(SEARCH(Query!$B$6,'Compliance Database'!$I233))),OR(Query!$B$7="All",'Compliance Database'!$F233=Query!$B$7),OR(Query!$B$8="All",'Compliance Database'!$J233=Query!$B$8),OR(Query!$B$9="",ISNUMBER(SEARCH(Query!$B$9,'Compliance Database'!$D233&amp;" "&amp;'Compliance Database'!$K233&amp;" "&amp;'Compliance Database'!$L233&amp;" "&amp;'Compliance Database'!$M233&amp;" "&amp;'Compliance Database'!$N233&amp;" "&amp;'Compliance Database'!$O233))),OR(Query!$B$10&lt;&gt;"Yes",'Compliance Database'!$F233&lt;&gt;"None")),1,0)</f>
        <v/>
      </c>
      <c r="B233">
        <f>IF($A233=1,SUM($A$2:$A233),"")</f>
        <v/>
      </c>
      <c r="C233">
        <f>IF($A233=1,SUM($A$2:$A233),0)</f>
        <v/>
      </c>
    </row>
    <row r="234">
      <c r="A234">
        <f>IF(AND(OR(Query!$B$4="All",'Compliance Database'!$A234=Query!$B$4),OR(Query!$B$5="All",ISNUMBER(SEARCH(Query!$B$5,'Compliance Database'!$H234))),OR(Query!$B$6="All",ISNUMBER(SEARCH(Query!$B$6,'Compliance Database'!$I234))),OR(Query!$B$7="All",'Compliance Database'!$F234=Query!$B$7),OR(Query!$B$8="All",'Compliance Database'!$J234=Query!$B$8),OR(Query!$B$9="",ISNUMBER(SEARCH(Query!$B$9,'Compliance Database'!$D234&amp;" "&amp;'Compliance Database'!$K234&amp;" "&amp;'Compliance Database'!$L234&amp;" "&amp;'Compliance Database'!$M234&amp;" "&amp;'Compliance Database'!$N234&amp;" "&amp;'Compliance Database'!$O234))),OR(Query!$B$10&lt;&gt;"Yes",'Compliance Database'!$F234&lt;&gt;"None")),1,0)</f>
        <v/>
      </c>
      <c r="B234">
        <f>IF($A234=1,SUM($A$2:$A234),"")</f>
        <v/>
      </c>
      <c r="C234">
        <f>IF($A234=1,SUM($A$2:$A234),0)</f>
        <v/>
      </c>
    </row>
    <row r="235">
      <c r="A235">
        <f>IF(AND(OR(Query!$B$4="All",'Compliance Database'!$A235=Query!$B$4),OR(Query!$B$5="All",ISNUMBER(SEARCH(Query!$B$5,'Compliance Database'!$H235))),OR(Query!$B$6="All",ISNUMBER(SEARCH(Query!$B$6,'Compliance Database'!$I235))),OR(Query!$B$7="All",'Compliance Database'!$F235=Query!$B$7),OR(Query!$B$8="All",'Compliance Database'!$J235=Query!$B$8),OR(Query!$B$9="",ISNUMBER(SEARCH(Query!$B$9,'Compliance Database'!$D235&amp;" "&amp;'Compliance Database'!$K235&amp;" "&amp;'Compliance Database'!$L235&amp;" "&amp;'Compliance Database'!$M235&amp;" "&amp;'Compliance Database'!$N235&amp;" "&amp;'Compliance Database'!$O235))),OR(Query!$B$10&lt;&gt;"Yes",'Compliance Database'!$F235&lt;&gt;"None")),1,0)</f>
        <v/>
      </c>
      <c r="B235">
        <f>IF($A235=1,SUM($A$2:$A235),"")</f>
        <v/>
      </c>
      <c r="C235">
        <f>IF($A235=1,SUM($A$2:$A235),0)</f>
        <v/>
      </c>
    </row>
    <row r="236">
      <c r="A236">
        <f>IF(AND(OR(Query!$B$4="All",'Compliance Database'!$A236=Query!$B$4),OR(Query!$B$5="All",ISNUMBER(SEARCH(Query!$B$5,'Compliance Database'!$H236))),OR(Query!$B$6="All",ISNUMBER(SEARCH(Query!$B$6,'Compliance Database'!$I236))),OR(Query!$B$7="All",'Compliance Database'!$F236=Query!$B$7),OR(Query!$B$8="All",'Compliance Database'!$J236=Query!$B$8),OR(Query!$B$9="",ISNUMBER(SEARCH(Query!$B$9,'Compliance Database'!$D236&amp;" "&amp;'Compliance Database'!$K236&amp;" "&amp;'Compliance Database'!$L236&amp;" "&amp;'Compliance Database'!$M236&amp;" "&amp;'Compliance Database'!$N236&amp;" "&amp;'Compliance Database'!$O236))),OR(Query!$B$10&lt;&gt;"Yes",'Compliance Database'!$F236&lt;&gt;"None")),1,0)</f>
        <v/>
      </c>
      <c r="B236">
        <f>IF($A236=1,SUM($A$2:$A236),"")</f>
        <v/>
      </c>
      <c r="C236">
        <f>IF($A236=1,SUM($A$2:$A236),0)</f>
        <v/>
      </c>
    </row>
    <row r="237">
      <c r="A237">
        <f>IF(AND(OR(Query!$B$4="All",'Compliance Database'!$A237=Query!$B$4),OR(Query!$B$5="All",ISNUMBER(SEARCH(Query!$B$5,'Compliance Database'!$H237))),OR(Query!$B$6="All",ISNUMBER(SEARCH(Query!$B$6,'Compliance Database'!$I237))),OR(Query!$B$7="All",'Compliance Database'!$F237=Query!$B$7),OR(Query!$B$8="All",'Compliance Database'!$J237=Query!$B$8),OR(Query!$B$9="",ISNUMBER(SEARCH(Query!$B$9,'Compliance Database'!$D237&amp;" "&amp;'Compliance Database'!$K237&amp;" "&amp;'Compliance Database'!$L237&amp;" "&amp;'Compliance Database'!$M237&amp;" "&amp;'Compliance Database'!$N237&amp;" "&amp;'Compliance Database'!$O237))),OR(Query!$B$10&lt;&gt;"Yes",'Compliance Database'!$F237&lt;&gt;"None")),1,0)</f>
        <v/>
      </c>
      <c r="B237">
        <f>IF($A237=1,SUM($A$2:$A237),"")</f>
        <v/>
      </c>
      <c r="C237">
        <f>IF($A237=1,SUM($A$2:$A237),0)</f>
        <v/>
      </c>
    </row>
    <row r="238">
      <c r="A238">
        <f>IF(AND(OR(Query!$B$4="All",'Compliance Database'!$A238=Query!$B$4),OR(Query!$B$5="All",ISNUMBER(SEARCH(Query!$B$5,'Compliance Database'!$H238))),OR(Query!$B$6="All",ISNUMBER(SEARCH(Query!$B$6,'Compliance Database'!$I238))),OR(Query!$B$7="All",'Compliance Database'!$F238=Query!$B$7),OR(Query!$B$8="All",'Compliance Database'!$J238=Query!$B$8),OR(Query!$B$9="",ISNUMBER(SEARCH(Query!$B$9,'Compliance Database'!$D238&amp;" "&amp;'Compliance Database'!$K238&amp;" "&amp;'Compliance Database'!$L238&amp;" "&amp;'Compliance Database'!$M238&amp;" "&amp;'Compliance Database'!$N238&amp;" "&amp;'Compliance Database'!$O238))),OR(Query!$B$10&lt;&gt;"Yes",'Compliance Database'!$F238&lt;&gt;"None")),1,0)</f>
        <v/>
      </c>
      <c r="B238">
        <f>IF($A238=1,SUM($A$2:$A238),"")</f>
        <v/>
      </c>
      <c r="C238">
        <f>IF($A238=1,SUM($A$2:$A238),0)</f>
        <v/>
      </c>
    </row>
    <row r="239">
      <c r="A239">
        <f>IF(AND(OR(Query!$B$4="All",'Compliance Database'!$A239=Query!$B$4),OR(Query!$B$5="All",ISNUMBER(SEARCH(Query!$B$5,'Compliance Database'!$H239))),OR(Query!$B$6="All",ISNUMBER(SEARCH(Query!$B$6,'Compliance Database'!$I239))),OR(Query!$B$7="All",'Compliance Database'!$F239=Query!$B$7),OR(Query!$B$8="All",'Compliance Database'!$J239=Query!$B$8),OR(Query!$B$9="",ISNUMBER(SEARCH(Query!$B$9,'Compliance Database'!$D239&amp;" "&amp;'Compliance Database'!$K239&amp;" "&amp;'Compliance Database'!$L239&amp;" "&amp;'Compliance Database'!$M239&amp;" "&amp;'Compliance Database'!$N239&amp;" "&amp;'Compliance Database'!$O239))),OR(Query!$B$10&lt;&gt;"Yes",'Compliance Database'!$F239&lt;&gt;"None")),1,0)</f>
        <v/>
      </c>
      <c r="B239">
        <f>IF($A239=1,SUM($A$2:$A239),"")</f>
        <v/>
      </c>
      <c r="C239">
        <f>IF($A239=1,SUM($A$2:$A239),0)</f>
        <v/>
      </c>
    </row>
    <row r="240">
      <c r="A240">
        <f>IF(AND(OR(Query!$B$4="All",'Compliance Database'!$A240=Query!$B$4),OR(Query!$B$5="All",ISNUMBER(SEARCH(Query!$B$5,'Compliance Database'!$H240))),OR(Query!$B$6="All",ISNUMBER(SEARCH(Query!$B$6,'Compliance Database'!$I240))),OR(Query!$B$7="All",'Compliance Database'!$F240=Query!$B$7),OR(Query!$B$8="All",'Compliance Database'!$J240=Query!$B$8),OR(Query!$B$9="",ISNUMBER(SEARCH(Query!$B$9,'Compliance Database'!$D240&amp;" "&amp;'Compliance Database'!$K240&amp;" "&amp;'Compliance Database'!$L240&amp;" "&amp;'Compliance Database'!$M240&amp;" "&amp;'Compliance Database'!$N240&amp;" "&amp;'Compliance Database'!$O240))),OR(Query!$B$10&lt;&gt;"Yes",'Compliance Database'!$F240&lt;&gt;"None")),1,0)</f>
        <v/>
      </c>
      <c r="B240">
        <f>IF($A240=1,SUM($A$2:$A240),"")</f>
        <v/>
      </c>
      <c r="C240">
        <f>IF($A240=1,SUM($A$2:$A240),0)</f>
        <v/>
      </c>
    </row>
    <row r="241">
      <c r="A241">
        <f>IF(AND(OR(Query!$B$4="All",'Compliance Database'!$A241=Query!$B$4),OR(Query!$B$5="All",ISNUMBER(SEARCH(Query!$B$5,'Compliance Database'!$H241))),OR(Query!$B$6="All",ISNUMBER(SEARCH(Query!$B$6,'Compliance Database'!$I241))),OR(Query!$B$7="All",'Compliance Database'!$F241=Query!$B$7),OR(Query!$B$8="All",'Compliance Database'!$J241=Query!$B$8),OR(Query!$B$9="",ISNUMBER(SEARCH(Query!$B$9,'Compliance Database'!$D241&amp;" "&amp;'Compliance Database'!$K241&amp;" "&amp;'Compliance Database'!$L241&amp;" "&amp;'Compliance Database'!$M241&amp;" "&amp;'Compliance Database'!$N241&amp;" "&amp;'Compliance Database'!$O241))),OR(Query!$B$10&lt;&gt;"Yes",'Compliance Database'!$F241&lt;&gt;"None")),1,0)</f>
        <v/>
      </c>
      <c r="B241">
        <f>IF($A241=1,SUM($A$2:$A241),"")</f>
        <v/>
      </c>
      <c r="C241">
        <f>IF($A241=1,SUM($A$2:$A241),0)</f>
        <v/>
      </c>
    </row>
    <row r="242">
      <c r="A242">
        <f>IF(AND(OR(Query!$B$4="All",'Compliance Database'!$A242=Query!$B$4),OR(Query!$B$5="All",ISNUMBER(SEARCH(Query!$B$5,'Compliance Database'!$H242))),OR(Query!$B$6="All",ISNUMBER(SEARCH(Query!$B$6,'Compliance Database'!$I242))),OR(Query!$B$7="All",'Compliance Database'!$F242=Query!$B$7),OR(Query!$B$8="All",'Compliance Database'!$J242=Query!$B$8),OR(Query!$B$9="",ISNUMBER(SEARCH(Query!$B$9,'Compliance Database'!$D242&amp;" "&amp;'Compliance Database'!$K242&amp;" "&amp;'Compliance Database'!$L242&amp;" "&amp;'Compliance Database'!$M242&amp;" "&amp;'Compliance Database'!$N242&amp;" "&amp;'Compliance Database'!$O242))),OR(Query!$B$10&lt;&gt;"Yes",'Compliance Database'!$F242&lt;&gt;"None")),1,0)</f>
        <v/>
      </c>
      <c r="B242">
        <f>IF($A242=1,SUM($A$2:$A242),"")</f>
        <v/>
      </c>
      <c r="C242">
        <f>IF($A242=1,SUM($A$2:$A242),0)</f>
        <v/>
      </c>
    </row>
    <row r="243">
      <c r="A243">
        <f>IF(AND(OR(Query!$B$4="All",'Compliance Database'!$A243=Query!$B$4),OR(Query!$B$5="All",ISNUMBER(SEARCH(Query!$B$5,'Compliance Database'!$H243))),OR(Query!$B$6="All",ISNUMBER(SEARCH(Query!$B$6,'Compliance Database'!$I243))),OR(Query!$B$7="All",'Compliance Database'!$F243=Query!$B$7),OR(Query!$B$8="All",'Compliance Database'!$J243=Query!$B$8),OR(Query!$B$9="",ISNUMBER(SEARCH(Query!$B$9,'Compliance Database'!$D243&amp;" "&amp;'Compliance Database'!$K243&amp;" "&amp;'Compliance Database'!$L243&amp;" "&amp;'Compliance Database'!$M243&amp;" "&amp;'Compliance Database'!$N243&amp;" "&amp;'Compliance Database'!$O243))),OR(Query!$B$10&lt;&gt;"Yes",'Compliance Database'!$F243&lt;&gt;"None")),1,0)</f>
        <v/>
      </c>
      <c r="B243">
        <f>IF($A243=1,SUM($A$2:$A243),"")</f>
        <v/>
      </c>
      <c r="C243">
        <f>IF($A243=1,SUM($A$2:$A243),0)</f>
        <v/>
      </c>
    </row>
    <row r="244">
      <c r="A244">
        <f>IF(AND(OR(Query!$B$4="All",'Compliance Database'!$A244=Query!$B$4),OR(Query!$B$5="All",ISNUMBER(SEARCH(Query!$B$5,'Compliance Database'!$H244))),OR(Query!$B$6="All",ISNUMBER(SEARCH(Query!$B$6,'Compliance Database'!$I244))),OR(Query!$B$7="All",'Compliance Database'!$F244=Query!$B$7),OR(Query!$B$8="All",'Compliance Database'!$J244=Query!$B$8),OR(Query!$B$9="",ISNUMBER(SEARCH(Query!$B$9,'Compliance Database'!$D244&amp;" "&amp;'Compliance Database'!$K244&amp;" "&amp;'Compliance Database'!$L244&amp;" "&amp;'Compliance Database'!$M244&amp;" "&amp;'Compliance Database'!$N244&amp;" "&amp;'Compliance Database'!$O244))),OR(Query!$B$10&lt;&gt;"Yes",'Compliance Database'!$F244&lt;&gt;"None")),1,0)</f>
        <v/>
      </c>
      <c r="B244">
        <f>IF($A244=1,SUM($A$2:$A244),"")</f>
        <v/>
      </c>
      <c r="C244">
        <f>IF($A244=1,SUM($A$2:$A244),0)</f>
        <v/>
      </c>
    </row>
    <row r="245">
      <c r="A245">
        <f>IF(AND(OR(Query!$B$4="All",'Compliance Database'!$A245=Query!$B$4),OR(Query!$B$5="All",ISNUMBER(SEARCH(Query!$B$5,'Compliance Database'!$H245))),OR(Query!$B$6="All",ISNUMBER(SEARCH(Query!$B$6,'Compliance Database'!$I245))),OR(Query!$B$7="All",'Compliance Database'!$F245=Query!$B$7),OR(Query!$B$8="All",'Compliance Database'!$J245=Query!$B$8),OR(Query!$B$9="",ISNUMBER(SEARCH(Query!$B$9,'Compliance Database'!$D245&amp;" "&amp;'Compliance Database'!$K245&amp;" "&amp;'Compliance Database'!$L245&amp;" "&amp;'Compliance Database'!$M245&amp;" "&amp;'Compliance Database'!$N245&amp;" "&amp;'Compliance Database'!$O245))),OR(Query!$B$10&lt;&gt;"Yes",'Compliance Database'!$F245&lt;&gt;"None")),1,0)</f>
        <v/>
      </c>
      <c r="B245">
        <f>IF($A245=1,SUM($A$2:$A245),"")</f>
        <v/>
      </c>
      <c r="C245">
        <f>IF($A245=1,SUM($A$2:$A245),0)</f>
        <v/>
      </c>
    </row>
    <row r="246">
      <c r="A246">
        <f>IF(AND(OR(Query!$B$4="All",'Compliance Database'!$A246=Query!$B$4),OR(Query!$B$5="All",ISNUMBER(SEARCH(Query!$B$5,'Compliance Database'!$H246))),OR(Query!$B$6="All",ISNUMBER(SEARCH(Query!$B$6,'Compliance Database'!$I246))),OR(Query!$B$7="All",'Compliance Database'!$F246=Query!$B$7),OR(Query!$B$8="All",'Compliance Database'!$J246=Query!$B$8),OR(Query!$B$9="",ISNUMBER(SEARCH(Query!$B$9,'Compliance Database'!$D246&amp;" "&amp;'Compliance Database'!$K246&amp;" "&amp;'Compliance Database'!$L246&amp;" "&amp;'Compliance Database'!$M246&amp;" "&amp;'Compliance Database'!$N246&amp;" "&amp;'Compliance Database'!$O246))),OR(Query!$B$10&lt;&gt;"Yes",'Compliance Database'!$F246&lt;&gt;"None")),1,0)</f>
        <v/>
      </c>
      <c r="B246">
        <f>IF($A246=1,SUM($A$2:$A246),"")</f>
        <v/>
      </c>
      <c r="C246">
        <f>IF($A246=1,SUM($A$2:$A246),0)</f>
        <v/>
      </c>
    </row>
    <row r="247">
      <c r="A247">
        <f>IF(AND(OR(Query!$B$4="All",'Compliance Database'!$A247=Query!$B$4),OR(Query!$B$5="All",ISNUMBER(SEARCH(Query!$B$5,'Compliance Database'!$H247))),OR(Query!$B$6="All",ISNUMBER(SEARCH(Query!$B$6,'Compliance Database'!$I247))),OR(Query!$B$7="All",'Compliance Database'!$F247=Query!$B$7),OR(Query!$B$8="All",'Compliance Database'!$J247=Query!$B$8),OR(Query!$B$9="",ISNUMBER(SEARCH(Query!$B$9,'Compliance Database'!$D247&amp;" "&amp;'Compliance Database'!$K247&amp;" "&amp;'Compliance Database'!$L247&amp;" "&amp;'Compliance Database'!$M247&amp;" "&amp;'Compliance Database'!$N247&amp;" "&amp;'Compliance Database'!$O247))),OR(Query!$B$10&lt;&gt;"Yes",'Compliance Database'!$F247&lt;&gt;"None")),1,0)</f>
        <v/>
      </c>
      <c r="B247">
        <f>IF($A247=1,SUM($A$2:$A247),"")</f>
        <v/>
      </c>
      <c r="C247">
        <f>IF($A247=1,SUM($A$2:$A247),0)</f>
        <v/>
      </c>
    </row>
    <row r="248">
      <c r="A248">
        <f>IF(AND(OR(Query!$B$4="All",'Compliance Database'!$A248=Query!$B$4),OR(Query!$B$5="All",ISNUMBER(SEARCH(Query!$B$5,'Compliance Database'!$H248))),OR(Query!$B$6="All",ISNUMBER(SEARCH(Query!$B$6,'Compliance Database'!$I248))),OR(Query!$B$7="All",'Compliance Database'!$F248=Query!$B$7),OR(Query!$B$8="All",'Compliance Database'!$J248=Query!$B$8),OR(Query!$B$9="",ISNUMBER(SEARCH(Query!$B$9,'Compliance Database'!$D248&amp;" "&amp;'Compliance Database'!$K248&amp;" "&amp;'Compliance Database'!$L248&amp;" "&amp;'Compliance Database'!$M248&amp;" "&amp;'Compliance Database'!$N248&amp;" "&amp;'Compliance Database'!$O248))),OR(Query!$B$10&lt;&gt;"Yes",'Compliance Database'!$F248&lt;&gt;"None")),1,0)</f>
        <v/>
      </c>
      <c r="B248">
        <f>IF($A248=1,SUM($A$2:$A248),"")</f>
        <v/>
      </c>
      <c r="C248">
        <f>IF($A248=1,SUM($A$2:$A248),0)</f>
        <v/>
      </c>
    </row>
    <row r="249">
      <c r="A249">
        <f>IF(AND(OR(Query!$B$4="All",'Compliance Database'!$A249=Query!$B$4),OR(Query!$B$5="All",ISNUMBER(SEARCH(Query!$B$5,'Compliance Database'!$H249))),OR(Query!$B$6="All",ISNUMBER(SEARCH(Query!$B$6,'Compliance Database'!$I249))),OR(Query!$B$7="All",'Compliance Database'!$F249=Query!$B$7),OR(Query!$B$8="All",'Compliance Database'!$J249=Query!$B$8),OR(Query!$B$9="",ISNUMBER(SEARCH(Query!$B$9,'Compliance Database'!$D249&amp;" "&amp;'Compliance Database'!$K249&amp;" "&amp;'Compliance Database'!$L249&amp;" "&amp;'Compliance Database'!$M249&amp;" "&amp;'Compliance Database'!$N249&amp;" "&amp;'Compliance Database'!$O249))),OR(Query!$B$10&lt;&gt;"Yes",'Compliance Database'!$F249&lt;&gt;"None")),1,0)</f>
        <v/>
      </c>
      <c r="B249">
        <f>IF($A249=1,SUM($A$2:$A249),"")</f>
        <v/>
      </c>
      <c r="C249">
        <f>IF($A249=1,SUM($A$2:$A249),0)</f>
        <v/>
      </c>
    </row>
    <row r="250">
      <c r="A250">
        <f>IF(AND(OR(Query!$B$4="All",'Compliance Database'!$A250=Query!$B$4),OR(Query!$B$5="All",ISNUMBER(SEARCH(Query!$B$5,'Compliance Database'!$H250))),OR(Query!$B$6="All",ISNUMBER(SEARCH(Query!$B$6,'Compliance Database'!$I250))),OR(Query!$B$7="All",'Compliance Database'!$F250=Query!$B$7),OR(Query!$B$8="All",'Compliance Database'!$J250=Query!$B$8),OR(Query!$B$9="",ISNUMBER(SEARCH(Query!$B$9,'Compliance Database'!$D250&amp;" "&amp;'Compliance Database'!$K250&amp;" "&amp;'Compliance Database'!$L250&amp;" "&amp;'Compliance Database'!$M250&amp;" "&amp;'Compliance Database'!$N250&amp;" "&amp;'Compliance Database'!$O250))),OR(Query!$B$10&lt;&gt;"Yes",'Compliance Database'!$F250&lt;&gt;"None")),1,0)</f>
        <v/>
      </c>
      <c r="B250">
        <f>IF($A250=1,SUM($A$2:$A250),"")</f>
        <v/>
      </c>
      <c r="C250">
        <f>IF($A250=1,SUM($A$2:$A250),0)</f>
        <v/>
      </c>
    </row>
    <row r="251">
      <c r="A251">
        <f>IF(AND(OR(Query!$B$4="All",'Compliance Database'!$A251=Query!$B$4),OR(Query!$B$5="All",ISNUMBER(SEARCH(Query!$B$5,'Compliance Database'!$H251))),OR(Query!$B$6="All",ISNUMBER(SEARCH(Query!$B$6,'Compliance Database'!$I251))),OR(Query!$B$7="All",'Compliance Database'!$F251=Query!$B$7),OR(Query!$B$8="All",'Compliance Database'!$J251=Query!$B$8),OR(Query!$B$9="",ISNUMBER(SEARCH(Query!$B$9,'Compliance Database'!$D251&amp;" "&amp;'Compliance Database'!$K251&amp;" "&amp;'Compliance Database'!$L251&amp;" "&amp;'Compliance Database'!$M251&amp;" "&amp;'Compliance Database'!$N251&amp;" "&amp;'Compliance Database'!$O251))),OR(Query!$B$10&lt;&gt;"Yes",'Compliance Database'!$F251&lt;&gt;"None")),1,0)</f>
        <v/>
      </c>
      <c r="B251">
        <f>IF($A251=1,SUM($A$2:$A251),"")</f>
        <v/>
      </c>
      <c r="C251">
        <f>IF($A251=1,SUM($A$2:$A251),0)</f>
        <v/>
      </c>
    </row>
    <row r="252">
      <c r="A252">
        <f>IF(AND(OR(Query!$B$4="All",'Compliance Database'!$A252=Query!$B$4),OR(Query!$B$5="All",ISNUMBER(SEARCH(Query!$B$5,'Compliance Database'!$H252))),OR(Query!$B$6="All",ISNUMBER(SEARCH(Query!$B$6,'Compliance Database'!$I252))),OR(Query!$B$7="All",'Compliance Database'!$F252=Query!$B$7),OR(Query!$B$8="All",'Compliance Database'!$J252=Query!$B$8),OR(Query!$B$9="",ISNUMBER(SEARCH(Query!$B$9,'Compliance Database'!$D252&amp;" "&amp;'Compliance Database'!$K252&amp;" "&amp;'Compliance Database'!$L252&amp;" "&amp;'Compliance Database'!$M252&amp;" "&amp;'Compliance Database'!$N252&amp;" "&amp;'Compliance Database'!$O252))),OR(Query!$B$10&lt;&gt;"Yes",'Compliance Database'!$F252&lt;&gt;"None")),1,0)</f>
        <v/>
      </c>
      <c r="B252">
        <f>IF($A252=1,SUM($A$2:$A252),"")</f>
        <v/>
      </c>
      <c r="C252">
        <f>IF($A252=1,SUM($A$2:$A252),0)</f>
        <v/>
      </c>
    </row>
    <row r="253">
      <c r="A253">
        <f>IF(AND(OR(Query!$B$4="All",'Compliance Database'!$A253=Query!$B$4),OR(Query!$B$5="All",ISNUMBER(SEARCH(Query!$B$5,'Compliance Database'!$H253))),OR(Query!$B$6="All",ISNUMBER(SEARCH(Query!$B$6,'Compliance Database'!$I253))),OR(Query!$B$7="All",'Compliance Database'!$F253=Query!$B$7),OR(Query!$B$8="All",'Compliance Database'!$J253=Query!$B$8),OR(Query!$B$9="",ISNUMBER(SEARCH(Query!$B$9,'Compliance Database'!$D253&amp;" "&amp;'Compliance Database'!$K253&amp;" "&amp;'Compliance Database'!$L253&amp;" "&amp;'Compliance Database'!$M253&amp;" "&amp;'Compliance Database'!$N253&amp;" "&amp;'Compliance Database'!$O253))),OR(Query!$B$10&lt;&gt;"Yes",'Compliance Database'!$F253&lt;&gt;"None")),1,0)</f>
        <v/>
      </c>
      <c r="B253">
        <f>IF($A253=1,SUM($A$2:$A253),"")</f>
        <v/>
      </c>
      <c r="C253">
        <f>IF($A253=1,SUM($A$2:$A253),0)</f>
        <v/>
      </c>
    </row>
    <row r="254">
      <c r="A254">
        <f>IF(AND(OR(Query!$B$4="All",'Compliance Database'!$A254=Query!$B$4),OR(Query!$B$5="All",ISNUMBER(SEARCH(Query!$B$5,'Compliance Database'!$H254))),OR(Query!$B$6="All",ISNUMBER(SEARCH(Query!$B$6,'Compliance Database'!$I254))),OR(Query!$B$7="All",'Compliance Database'!$F254=Query!$B$7),OR(Query!$B$8="All",'Compliance Database'!$J254=Query!$B$8),OR(Query!$B$9="",ISNUMBER(SEARCH(Query!$B$9,'Compliance Database'!$D254&amp;" "&amp;'Compliance Database'!$K254&amp;" "&amp;'Compliance Database'!$L254&amp;" "&amp;'Compliance Database'!$M254&amp;" "&amp;'Compliance Database'!$N254&amp;" "&amp;'Compliance Database'!$O254))),OR(Query!$B$10&lt;&gt;"Yes",'Compliance Database'!$F254&lt;&gt;"None")),1,0)</f>
        <v/>
      </c>
      <c r="B254">
        <f>IF($A254=1,SUM($A$2:$A254),"")</f>
        <v/>
      </c>
      <c r="C254">
        <f>IF($A254=1,SUM($A$2:$A254),0)</f>
        <v/>
      </c>
    </row>
    <row r="255">
      <c r="A255">
        <f>IF(AND(OR(Query!$B$4="All",'Compliance Database'!$A255=Query!$B$4),OR(Query!$B$5="All",ISNUMBER(SEARCH(Query!$B$5,'Compliance Database'!$H255))),OR(Query!$B$6="All",ISNUMBER(SEARCH(Query!$B$6,'Compliance Database'!$I255))),OR(Query!$B$7="All",'Compliance Database'!$F255=Query!$B$7),OR(Query!$B$8="All",'Compliance Database'!$J255=Query!$B$8),OR(Query!$B$9="",ISNUMBER(SEARCH(Query!$B$9,'Compliance Database'!$D255&amp;" "&amp;'Compliance Database'!$K255&amp;" "&amp;'Compliance Database'!$L255&amp;" "&amp;'Compliance Database'!$M255&amp;" "&amp;'Compliance Database'!$N255&amp;" "&amp;'Compliance Database'!$O255))),OR(Query!$B$10&lt;&gt;"Yes",'Compliance Database'!$F255&lt;&gt;"None")),1,0)</f>
        <v/>
      </c>
      <c r="B255">
        <f>IF($A255=1,SUM($A$2:$A255),"")</f>
        <v/>
      </c>
      <c r="C255">
        <f>IF($A255=1,SUM($A$2:$A255),0)</f>
        <v/>
      </c>
    </row>
    <row r="256">
      <c r="A256">
        <f>IF(AND(OR(Query!$B$4="All",'Compliance Database'!$A256=Query!$B$4),OR(Query!$B$5="All",ISNUMBER(SEARCH(Query!$B$5,'Compliance Database'!$H256))),OR(Query!$B$6="All",ISNUMBER(SEARCH(Query!$B$6,'Compliance Database'!$I256))),OR(Query!$B$7="All",'Compliance Database'!$F256=Query!$B$7),OR(Query!$B$8="All",'Compliance Database'!$J256=Query!$B$8),OR(Query!$B$9="",ISNUMBER(SEARCH(Query!$B$9,'Compliance Database'!$D256&amp;" "&amp;'Compliance Database'!$K256&amp;" "&amp;'Compliance Database'!$L256&amp;" "&amp;'Compliance Database'!$M256&amp;" "&amp;'Compliance Database'!$N256&amp;" "&amp;'Compliance Database'!$O256))),OR(Query!$B$10&lt;&gt;"Yes",'Compliance Database'!$F256&lt;&gt;"None")),1,0)</f>
        <v/>
      </c>
      <c r="B256">
        <f>IF($A256=1,SUM($A$2:$A256),"")</f>
        <v/>
      </c>
      <c r="C256">
        <f>IF($A256=1,SUM($A$2:$A256),0)</f>
        <v/>
      </c>
    </row>
    <row r="257">
      <c r="A257">
        <f>IF(AND(OR(Query!$B$4="All",'Compliance Database'!$A257=Query!$B$4),OR(Query!$B$5="All",ISNUMBER(SEARCH(Query!$B$5,'Compliance Database'!$H257))),OR(Query!$B$6="All",ISNUMBER(SEARCH(Query!$B$6,'Compliance Database'!$I257))),OR(Query!$B$7="All",'Compliance Database'!$F257=Query!$B$7),OR(Query!$B$8="All",'Compliance Database'!$J257=Query!$B$8),OR(Query!$B$9="",ISNUMBER(SEARCH(Query!$B$9,'Compliance Database'!$D257&amp;" "&amp;'Compliance Database'!$K257&amp;" "&amp;'Compliance Database'!$L257&amp;" "&amp;'Compliance Database'!$M257&amp;" "&amp;'Compliance Database'!$N257&amp;" "&amp;'Compliance Database'!$O257))),OR(Query!$B$10&lt;&gt;"Yes",'Compliance Database'!$F257&lt;&gt;"None")),1,0)</f>
        <v/>
      </c>
      <c r="B257">
        <f>IF($A257=1,SUM($A$2:$A257),"")</f>
        <v/>
      </c>
      <c r="C257">
        <f>IF($A257=1,SUM($A$2:$A257),0)</f>
        <v/>
      </c>
    </row>
    <row r="258">
      <c r="A258">
        <f>IF(AND(OR(Query!$B$4="All",'Compliance Database'!$A258=Query!$B$4),OR(Query!$B$5="All",ISNUMBER(SEARCH(Query!$B$5,'Compliance Database'!$H258))),OR(Query!$B$6="All",ISNUMBER(SEARCH(Query!$B$6,'Compliance Database'!$I258))),OR(Query!$B$7="All",'Compliance Database'!$F258=Query!$B$7),OR(Query!$B$8="All",'Compliance Database'!$J258=Query!$B$8),OR(Query!$B$9="",ISNUMBER(SEARCH(Query!$B$9,'Compliance Database'!$D258&amp;" "&amp;'Compliance Database'!$K258&amp;" "&amp;'Compliance Database'!$L258&amp;" "&amp;'Compliance Database'!$M258&amp;" "&amp;'Compliance Database'!$N258&amp;" "&amp;'Compliance Database'!$O258))),OR(Query!$B$10&lt;&gt;"Yes",'Compliance Database'!$F258&lt;&gt;"None")),1,0)</f>
        <v/>
      </c>
      <c r="B258">
        <f>IF($A258=1,SUM($A$2:$A258),"")</f>
        <v/>
      </c>
      <c r="C258">
        <f>IF($A258=1,SUM($A$2:$A258),0)</f>
        <v/>
      </c>
    </row>
    <row r="259">
      <c r="A259">
        <f>IF(AND(OR(Query!$B$4="All",'Compliance Database'!$A259=Query!$B$4),OR(Query!$B$5="All",ISNUMBER(SEARCH(Query!$B$5,'Compliance Database'!$H259))),OR(Query!$B$6="All",ISNUMBER(SEARCH(Query!$B$6,'Compliance Database'!$I259))),OR(Query!$B$7="All",'Compliance Database'!$F259=Query!$B$7),OR(Query!$B$8="All",'Compliance Database'!$J259=Query!$B$8),OR(Query!$B$9="",ISNUMBER(SEARCH(Query!$B$9,'Compliance Database'!$D259&amp;" "&amp;'Compliance Database'!$K259&amp;" "&amp;'Compliance Database'!$L259&amp;" "&amp;'Compliance Database'!$M259&amp;" "&amp;'Compliance Database'!$N259&amp;" "&amp;'Compliance Database'!$O259))),OR(Query!$B$10&lt;&gt;"Yes",'Compliance Database'!$F259&lt;&gt;"None")),1,0)</f>
        <v/>
      </c>
      <c r="B259">
        <f>IF($A259=1,SUM($A$2:$A259),"")</f>
        <v/>
      </c>
      <c r="C259">
        <f>IF($A259=1,SUM($A$2:$A259),0)</f>
        <v/>
      </c>
    </row>
    <row r="260">
      <c r="A260">
        <f>IF(AND(OR(Query!$B$4="All",'Compliance Database'!$A260=Query!$B$4),OR(Query!$B$5="All",ISNUMBER(SEARCH(Query!$B$5,'Compliance Database'!$H260))),OR(Query!$B$6="All",ISNUMBER(SEARCH(Query!$B$6,'Compliance Database'!$I260))),OR(Query!$B$7="All",'Compliance Database'!$F260=Query!$B$7),OR(Query!$B$8="All",'Compliance Database'!$J260=Query!$B$8),OR(Query!$B$9="",ISNUMBER(SEARCH(Query!$B$9,'Compliance Database'!$D260&amp;" "&amp;'Compliance Database'!$K260&amp;" "&amp;'Compliance Database'!$L260&amp;" "&amp;'Compliance Database'!$M260&amp;" "&amp;'Compliance Database'!$N260&amp;" "&amp;'Compliance Database'!$O260))),OR(Query!$B$10&lt;&gt;"Yes",'Compliance Database'!$F260&lt;&gt;"None")),1,0)</f>
        <v/>
      </c>
      <c r="B260">
        <f>IF($A260=1,SUM($A$2:$A260),"")</f>
        <v/>
      </c>
      <c r="C260">
        <f>IF($A260=1,SUM($A$2:$A260),0)</f>
        <v/>
      </c>
    </row>
    <row r="261">
      <c r="A261">
        <f>IF(AND(OR(Query!$B$4="All",'Compliance Database'!$A261=Query!$B$4),OR(Query!$B$5="All",ISNUMBER(SEARCH(Query!$B$5,'Compliance Database'!$H261))),OR(Query!$B$6="All",ISNUMBER(SEARCH(Query!$B$6,'Compliance Database'!$I261))),OR(Query!$B$7="All",'Compliance Database'!$F261=Query!$B$7),OR(Query!$B$8="All",'Compliance Database'!$J261=Query!$B$8),OR(Query!$B$9="",ISNUMBER(SEARCH(Query!$B$9,'Compliance Database'!$D261&amp;" "&amp;'Compliance Database'!$K261&amp;" "&amp;'Compliance Database'!$L261&amp;" "&amp;'Compliance Database'!$M261&amp;" "&amp;'Compliance Database'!$N261&amp;" "&amp;'Compliance Database'!$O261))),OR(Query!$B$10&lt;&gt;"Yes",'Compliance Database'!$F261&lt;&gt;"None")),1,0)</f>
        <v/>
      </c>
      <c r="B261">
        <f>IF($A261=1,SUM($A$2:$A261),"")</f>
        <v/>
      </c>
      <c r="C261">
        <f>IF($A261=1,SUM($A$2:$A261),0)</f>
        <v/>
      </c>
    </row>
    <row r="262">
      <c r="A262">
        <f>IF(AND(OR(Query!$B$4="All",'Compliance Database'!$A262=Query!$B$4),OR(Query!$B$5="All",ISNUMBER(SEARCH(Query!$B$5,'Compliance Database'!$H262))),OR(Query!$B$6="All",ISNUMBER(SEARCH(Query!$B$6,'Compliance Database'!$I262))),OR(Query!$B$7="All",'Compliance Database'!$F262=Query!$B$7),OR(Query!$B$8="All",'Compliance Database'!$J262=Query!$B$8),OR(Query!$B$9="",ISNUMBER(SEARCH(Query!$B$9,'Compliance Database'!$D262&amp;" "&amp;'Compliance Database'!$K262&amp;" "&amp;'Compliance Database'!$L262&amp;" "&amp;'Compliance Database'!$M262&amp;" "&amp;'Compliance Database'!$N262&amp;" "&amp;'Compliance Database'!$O262))),OR(Query!$B$10&lt;&gt;"Yes",'Compliance Database'!$F262&lt;&gt;"None")),1,0)</f>
        <v/>
      </c>
      <c r="B262">
        <f>IF($A262=1,SUM($A$2:$A262),"")</f>
        <v/>
      </c>
      <c r="C262">
        <f>IF($A262=1,SUM($A$2:$A262),0)</f>
        <v/>
      </c>
    </row>
    <row r="263">
      <c r="A263">
        <f>IF(AND(OR(Query!$B$4="All",'Compliance Database'!$A263=Query!$B$4),OR(Query!$B$5="All",ISNUMBER(SEARCH(Query!$B$5,'Compliance Database'!$H263))),OR(Query!$B$6="All",ISNUMBER(SEARCH(Query!$B$6,'Compliance Database'!$I263))),OR(Query!$B$7="All",'Compliance Database'!$F263=Query!$B$7),OR(Query!$B$8="All",'Compliance Database'!$J263=Query!$B$8),OR(Query!$B$9="",ISNUMBER(SEARCH(Query!$B$9,'Compliance Database'!$D263&amp;" "&amp;'Compliance Database'!$K263&amp;" "&amp;'Compliance Database'!$L263&amp;" "&amp;'Compliance Database'!$M263&amp;" "&amp;'Compliance Database'!$N263&amp;" "&amp;'Compliance Database'!$O263))),OR(Query!$B$10&lt;&gt;"Yes",'Compliance Database'!$F263&lt;&gt;"None")),1,0)</f>
        <v/>
      </c>
      <c r="B263">
        <f>IF($A263=1,SUM($A$2:$A263),"")</f>
        <v/>
      </c>
      <c r="C263">
        <f>IF($A263=1,SUM($A$2:$A263),0)</f>
        <v/>
      </c>
    </row>
    <row r="264">
      <c r="A264">
        <f>IF(AND(OR(Query!$B$4="All",'Compliance Database'!$A264=Query!$B$4),OR(Query!$B$5="All",ISNUMBER(SEARCH(Query!$B$5,'Compliance Database'!$H264))),OR(Query!$B$6="All",ISNUMBER(SEARCH(Query!$B$6,'Compliance Database'!$I264))),OR(Query!$B$7="All",'Compliance Database'!$F264=Query!$B$7),OR(Query!$B$8="All",'Compliance Database'!$J264=Query!$B$8),OR(Query!$B$9="",ISNUMBER(SEARCH(Query!$B$9,'Compliance Database'!$D264&amp;" "&amp;'Compliance Database'!$K264&amp;" "&amp;'Compliance Database'!$L264&amp;" "&amp;'Compliance Database'!$M264&amp;" "&amp;'Compliance Database'!$N264&amp;" "&amp;'Compliance Database'!$O264))),OR(Query!$B$10&lt;&gt;"Yes",'Compliance Database'!$F264&lt;&gt;"None")),1,0)</f>
        <v/>
      </c>
      <c r="B264">
        <f>IF($A264=1,SUM($A$2:$A264),"")</f>
        <v/>
      </c>
      <c r="C264">
        <f>IF($A264=1,SUM($A$2:$A264),0)</f>
        <v/>
      </c>
    </row>
    <row r="265">
      <c r="A265">
        <f>IF(AND(OR(Query!$B$4="All",'Compliance Database'!$A265=Query!$B$4),OR(Query!$B$5="All",ISNUMBER(SEARCH(Query!$B$5,'Compliance Database'!$H265))),OR(Query!$B$6="All",ISNUMBER(SEARCH(Query!$B$6,'Compliance Database'!$I265))),OR(Query!$B$7="All",'Compliance Database'!$F265=Query!$B$7),OR(Query!$B$8="All",'Compliance Database'!$J265=Query!$B$8),OR(Query!$B$9="",ISNUMBER(SEARCH(Query!$B$9,'Compliance Database'!$D265&amp;" "&amp;'Compliance Database'!$K265&amp;" "&amp;'Compliance Database'!$L265&amp;" "&amp;'Compliance Database'!$M265&amp;" "&amp;'Compliance Database'!$N265&amp;" "&amp;'Compliance Database'!$O265))),OR(Query!$B$10&lt;&gt;"Yes",'Compliance Database'!$F265&lt;&gt;"None")),1,0)</f>
        <v/>
      </c>
      <c r="B265">
        <f>IF($A265=1,SUM($A$2:$A265),"")</f>
        <v/>
      </c>
      <c r="C265">
        <f>IF($A265=1,SUM($A$2:$A265),0)</f>
        <v/>
      </c>
    </row>
    <row r="266">
      <c r="A266">
        <f>IF(AND(OR(Query!$B$4="All",'Compliance Database'!$A266=Query!$B$4),OR(Query!$B$5="All",ISNUMBER(SEARCH(Query!$B$5,'Compliance Database'!$H266))),OR(Query!$B$6="All",ISNUMBER(SEARCH(Query!$B$6,'Compliance Database'!$I266))),OR(Query!$B$7="All",'Compliance Database'!$F266=Query!$B$7),OR(Query!$B$8="All",'Compliance Database'!$J266=Query!$B$8),OR(Query!$B$9="",ISNUMBER(SEARCH(Query!$B$9,'Compliance Database'!$D266&amp;" "&amp;'Compliance Database'!$K266&amp;" "&amp;'Compliance Database'!$L266&amp;" "&amp;'Compliance Database'!$M266&amp;" "&amp;'Compliance Database'!$N266&amp;" "&amp;'Compliance Database'!$O266))),OR(Query!$B$10&lt;&gt;"Yes",'Compliance Database'!$F266&lt;&gt;"None")),1,0)</f>
        <v/>
      </c>
      <c r="B266">
        <f>IF($A266=1,SUM($A$2:$A266),"")</f>
        <v/>
      </c>
      <c r="C266">
        <f>IF($A266=1,SUM($A$2:$A266),0)</f>
        <v/>
      </c>
    </row>
    <row r="267">
      <c r="A267">
        <f>IF(AND(OR(Query!$B$4="All",'Compliance Database'!$A267=Query!$B$4),OR(Query!$B$5="All",ISNUMBER(SEARCH(Query!$B$5,'Compliance Database'!$H267))),OR(Query!$B$6="All",ISNUMBER(SEARCH(Query!$B$6,'Compliance Database'!$I267))),OR(Query!$B$7="All",'Compliance Database'!$F267=Query!$B$7),OR(Query!$B$8="All",'Compliance Database'!$J267=Query!$B$8),OR(Query!$B$9="",ISNUMBER(SEARCH(Query!$B$9,'Compliance Database'!$D267&amp;" "&amp;'Compliance Database'!$K267&amp;" "&amp;'Compliance Database'!$L267&amp;" "&amp;'Compliance Database'!$M267&amp;" "&amp;'Compliance Database'!$N267&amp;" "&amp;'Compliance Database'!$O267))),OR(Query!$B$10&lt;&gt;"Yes",'Compliance Database'!$F267&lt;&gt;"None")),1,0)</f>
        <v/>
      </c>
      <c r="B267">
        <f>IF($A267=1,SUM($A$2:$A267),"")</f>
        <v/>
      </c>
      <c r="C267">
        <f>IF($A267=1,SUM($A$2:$A267),0)</f>
        <v/>
      </c>
    </row>
    <row r="268">
      <c r="A268">
        <f>IF(AND(OR(Query!$B$4="All",'Compliance Database'!$A268=Query!$B$4),OR(Query!$B$5="All",ISNUMBER(SEARCH(Query!$B$5,'Compliance Database'!$H268))),OR(Query!$B$6="All",ISNUMBER(SEARCH(Query!$B$6,'Compliance Database'!$I268))),OR(Query!$B$7="All",'Compliance Database'!$F268=Query!$B$7),OR(Query!$B$8="All",'Compliance Database'!$J268=Query!$B$8),OR(Query!$B$9="",ISNUMBER(SEARCH(Query!$B$9,'Compliance Database'!$D268&amp;" "&amp;'Compliance Database'!$K268&amp;" "&amp;'Compliance Database'!$L268&amp;" "&amp;'Compliance Database'!$M268&amp;" "&amp;'Compliance Database'!$N268&amp;" "&amp;'Compliance Database'!$O268))),OR(Query!$B$10&lt;&gt;"Yes",'Compliance Database'!$F268&lt;&gt;"None")),1,0)</f>
        <v/>
      </c>
      <c r="B268">
        <f>IF($A268=1,SUM($A$2:$A268),"")</f>
        <v/>
      </c>
      <c r="C268">
        <f>IF($A268=1,SUM($A$2:$A268),0)</f>
        <v/>
      </c>
    </row>
    <row r="269">
      <c r="A269">
        <f>IF(AND(OR(Query!$B$4="All",'Compliance Database'!$A269=Query!$B$4),OR(Query!$B$5="All",ISNUMBER(SEARCH(Query!$B$5,'Compliance Database'!$H269))),OR(Query!$B$6="All",ISNUMBER(SEARCH(Query!$B$6,'Compliance Database'!$I269))),OR(Query!$B$7="All",'Compliance Database'!$F269=Query!$B$7),OR(Query!$B$8="All",'Compliance Database'!$J269=Query!$B$8),OR(Query!$B$9="",ISNUMBER(SEARCH(Query!$B$9,'Compliance Database'!$D269&amp;" "&amp;'Compliance Database'!$K269&amp;" "&amp;'Compliance Database'!$L269&amp;" "&amp;'Compliance Database'!$M269&amp;" "&amp;'Compliance Database'!$N269&amp;" "&amp;'Compliance Database'!$O269))),OR(Query!$B$10&lt;&gt;"Yes",'Compliance Database'!$F269&lt;&gt;"None")),1,0)</f>
        <v/>
      </c>
      <c r="B269">
        <f>IF($A269=1,SUM($A$2:$A269),"")</f>
        <v/>
      </c>
      <c r="C269">
        <f>IF($A269=1,SUM($A$2:$A269),0)</f>
        <v/>
      </c>
    </row>
    <row r="270">
      <c r="A270">
        <f>IF(AND(OR(Query!$B$4="All",'Compliance Database'!$A270=Query!$B$4),OR(Query!$B$5="All",ISNUMBER(SEARCH(Query!$B$5,'Compliance Database'!$H270))),OR(Query!$B$6="All",ISNUMBER(SEARCH(Query!$B$6,'Compliance Database'!$I270))),OR(Query!$B$7="All",'Compliance Database'!$F270=Query!$B$7),OR(Query!$B$8="All",'Compliance Database'!$J270=Query!$B$8),OR(Query!$B$9="",ISNUMBER(SEARCH(Query!$B$9,'Compliance Database'!$D270&amp;" "&amp;'Compliance Database'!$K270&amp;" "&amp;'Compliance Database'!$L270&amp;" "&amp;'Compliance Database'!$M270&amp;" "&amp;'Compliance Database'!$N270&amp;" "&amp;'Compliance Database'!$O270))),OR(Query!$B$10&lt;&gt;"Yes",'Compliance Database'!$F270&lt;&gt;"None")),1,0)</f>
        <v/>
      </c>
      <c r="B270">
        <f>IF($A270=1,SUM($A$2:$A270),"")</f>
        <v/>
      </c>
      <c r="C270">
        <f>IF($A270=1,SUM($A$2:$A270),0)</f>
        <v/>
      </c>
    </row>
    <row r="271">
      <c r="A271">
        <f>IF(AND(OR(Query!$B$4="All",'Compliance Database'!$A271=Query!$B$4),OR(Query!$B$5="All",ISNUMBER(SEARCH(Query!$B$5,'Compliance Database'!$H271))),OR(Query!$B$6="All",ISNUMBER(SEARCH(Query!$B$6,'Compliance Database'!$I271))),OR(Query!$B$7="All",'Compliance Database'!$F271=Query!$B$7),OR(Query!$B$8="All",'Compliance Database'!$J271=Query!$B$8),OR(Query!$B$9="",ISNUMBER(SEARCH(Query!$B$9,'Compliance Database'!$D271&amp;" "&amp;'Compliance Database'!$K271&amp;" "&amp;'Compliance Database'!$L271&amp;" "&amp;'Compliance Database'!$M271&amp;" "&amp;'Compliance Database'!$N271&amp;" "&amp;'Compliance Database'!$O271))),OR(Query!$B$10&lt;&gt;"Yes",'Compliance Database'!$F271&lt;&gt;"None")),1,0)</f>
        <v/>
      </c>
      <c r="B271">
        <f>IF($A271=1,SUM($A$2:$A271),"")</f>
        <v/>
      </c>
      <c r="C271">
        <f>IF($A271=1,SUM($A$2:$A271),0)</f>
        <v/>
      </c>
    </row>
    <row r="272">
      <c r="A272">
        <f>IF(AND(OR(Query!$B$4="All",'Compliance Database'!$A272=Query!$B$4),OR(Query!$B$5="All",ISNUMBER(SEARCH(Query!$B$5,'Compliance Database'!$H272))),OR(Query!$B$6="All",ISNUMBER(SEARCH(Query!$B$6,'Compliance Database'!$I272))),OR(Query!$B$7="All",'Compliance Database'!$F272=Query!$B$7),OR(Query!$B$8="All",'Compliance Database'!$J272=Query!$B$8),OR(Query!$B$9="",ISNUMBER(SEARCH(Query!$B$9,'Compliance Database'!$D272&amp;" "&amp;'Compliance Database'!$K272&amp;" "&amp;'Compliance Database'!$L272&amp;" "&amp;'Compliance Database'!$M272&amp;" "&amp;'Compliance Database'!$N272&amp;" "&amp;'Compliance Database'!$O272))),OR(Query!$B$10&lt;&gt;"Yes",'Compliance Database'!$F272&lt;&gt;"None")),1,0)</f>
        <v/>
      </c>
      <c r="B272">
        <f>IF($A272=1,SUM($A$2:$A272),"")</f>
        <v/>
      </c>
      <c r="C272">
        <f>IF($A272=1,SUM($A$2:$A272),0)</f>
        <v/>
      </c>
    </row>
    <row r="273">
      <c r="A273">
        <f>IF(AND(OR(Query!$B$4="All",'Compliance Database'!$A273=Query!$B$4),OR(Query!$B$5="All",ISNUMBER(SEARCH(Query!$B$5,'Compliance Database'!$H273))),OR(Query!$B$6="All",ISNUMBER(SEARCH(Query!$B$6,'Compliance Database'!$I273))),OR(Query!$B$7="All",'Compliance Database'!$F273=Query!$B$7),OR(Query!$B$8="All",'Compliance Database'!$J273=Query!$B$8),OR(Query!$B$9="",ISNUMBER(SEARCH(Query!$B$9,'Compliance Database'!$D273&amp;" "&amp;'Compliance Database'!$K273&amp;" "&amp;'Compliance Database'!$L273&amp;" "&amp;'Compliance Database'!$M273&amp;" "&amp;'Compliance Database'!$N273&amp;" "&amp;'Compliance Database'!$O273))),OR(Query!$B$10&lt;&gt;"Yes",'Compliance Database'!$F273&lt;&gt;"None")),1,0)</f>
        <v/>
      </c>
      <c r="B273">
        <f>IF($A273=1,SUM($A$2:$A273),"")</f>
        <v/>
      </c>
      <c r="C273">
        <f>IF($A273=1,SUM($A$2:$A273),0)</f>
        <v/>
      </c>
    </row>
    <row r="274">
      <c r="A274">
        <f>IF(AND(OR(Query!$B$4="All",'Compliance Database'!$A274=Query!$B$4),OR(Query!$B$5="All",ISNUMBER(SEARCH(Query!$B$5,'Compliance Database'!$H274))),OR(Query!$B$6="All",ISNUMBER(SEARCH(Query!$B$6,'Compliance Database'!$I274))),OR(Query!$B$7="All",'Compliance Database'!$F274=Query!$B$7),OR(Query!$B$8="All",'Compliance Database'!$J274=Query!$B$8),OR(Query!$B$9="",ISNUMBER(SEARCH(Query!$B$9,'Compliance Database'!$D274&amp;" "&amp;'Compliance Database'!$K274&amp;" "&amp;'Compliance Database'!$L274&amp;" "&amp;'Compliance Database'!$M274&amp;" "&amp;'Compliance Database'!$N274&amp;" "&amp;'Compliance Database'!$O274))),OR(Query!$B$10&lt;&gt;"Yes",'Compliance Database'!$F274&lt;&gt;"None")),1,0)</f>
        <v/>
      </c>
      <c r="B274">
        <f>IF($A274=1,SUM($A$2:$A274),"")</f>
        <v/>
      </c>
      <c r="C274">
        <f>IF($A274=1,SUM($A$2:$A274),0)</f>
        <v/>
      </c>
    </row>
    <row r="275">
      <c r="A275">
        <f>IF(AND(OR(Query!$B$4="All",'Compliance Database'!$A275=Query!$B$4),OR(Query!$B$5="All",ISNUMBER(SEARCH(Query!$B$5,'Compliance Database'!$H275))),OR(Query!$B$6="All",ISNUMBER(SEARCH(Query!$B$6,'Compliance Database'!$I275))),OR(Query!$B$7="All",'Compliance Database'!$F275=Query!$B$7),OR(Query!$B$8="All",'Compliance Database'!$J275=Query!$B$8),OR(Query!$B$9="",ISNUMBER(SEARCH(Query!$B$9,'Compliance Database'!$D275&amp;" "&amp;'Compliance Database'!$K275&amp;" "&amp;'Compliance Database'!$L275&amp;" "&amp;'Compliance Database'!$M275&amp;" "&amp;'Compliance Database'!$N275&amp;" "&amp;'Compliance Database'!$O275))),OR(Query!$B$10&lt;&gt;"Yes",'Compliance Database'!$F275&lt;&gt;"None")),1,0)</f>
        <v/>
      </c>
      <c r="B275">
        <f>IF($A275=1,SUM($A$2:$A275),"")</f>
        <v/>
      </c>
      <c r="C275">
        <f>IF($A275=1,SUM($A$2:$A275),0)</f>
        <v/>
      </c>
    </row>
    <row r="276">
      <c r="A276">
        <f>IF(AND(OR(Query!$B$4="All",'Compliance Database'!$A276=Query!$B$4),OR(Query!$B$5="All",ISNUMBER(SEARCH(Query!$B$5,'Compliance Database'!$H276))),OR(Query!$B$6="All",ISNUMBER(SEARCH(Query!$B$6,'Compliance Database'!$I276))),OR(Query!$B$7="All",'Compliance Database'!$F276=Query!$B$7),OR(Query!$B$8="All",'Compliance Database'!$J276=Query!$B$8),OR(Query!$B$9="",ISNUMBER(SEARCH(Query!$B$9,'Compliance Database'!$D276&amp;" "&amp;'Compliance Database'!$K276&amp;" "&amp;'Compliance Database'!$L276&amp;" "&amp;'Compliance Database'!$M276&amp;" "&amp;'Compliance Database'!$N276&amp;" "&amp;'Compliance Database'!$O276))),OR(Query!$B$10&lt;&gt;"Yes",'Compliance Database'!$F276&lt;&gt;"None")),1,0)</f>
        <v/>
      </c>
      <c r="B276">
        <f>IF($A276=1,SUM($A$2:$A276),"")</f>
        <v/>
      </c>
      <c r="C276">
        <f>IF($A276=1,SUM($A$2:$A276),0)</f>
        <v/>
      </c>
    </row>
    <row r="277">
      <c r="A277">
        <f>IF(AND(OR(Query!$B$4="All",'Compliance Database'!$A277=Query!$B$4),OR(Query!$B$5="All",ISNUMBER(SEARCH(Query!$B$5,'Compliance Database'!$H277))),OR(Query!$B$6="All",ISNUMBER(SEARCH(Query!$B$6,'Compliance Database'!$I277))),OR(Query!$B$7="All",'Compliance Database'!$F277=Query!$B$7),OR(Query!$B$8="All",'Compliance Database'!$J277=Query!$B$8),OR(Query!$B$9="",ISNUMBER(SEARCH(Query!$B$9,'Compliance Database'!$D277&amp;" "&amp;'Compliance Database'!$K277&amp;" "&amp;'Compliance Database'!$L277&amp;" "&amp;'Compliance Database'!$M277&amp;" "&amp;'Compliance Database'!$N277&amp;" "&amp;'Compliance Database'!$O277))),OR(Query!$B$10&lt;&gt;"Yes",'Compliance Database'!$F277&lt;&gt;"None")),1,0)</f>
        <v/>
      </c>
      <c r="B277">
        <f>IF($A277=1,SUM($A$2:$A277),"")</f>
        <v/>
      </c>
      <c r="C277">
        <f>IF($A277=1,SUM($A$2:$A277),0)</f>
        <v/>
      </c>
    </row>
    <row r="278">
      <c r="A278">
        <f>IF(AND(OR(Query!$B$4="All",'Compliance Database'!$A278=Query!$B$4),OR(Query!$B$5="All",ISNUMBER(SEARCH(Query!$B$5,'Compliance Database'!$H278))),OR(Query!$B$6="All",ISNUMBER(SEARCH(Query!$B$6,'Compliance Database'!$I278))),OR(Query!$B$7="All",'Compliance Database'!$F278=Query!$B$7),OR(Query!$B$8="All",'Compliance Database'!$J278=Query!$B$8),OR(Query!$B$9="",ISNUMBER(SEARCH(Query!$B$9,'Compliance Database'!$D278&amp;" "&amp;'Compliance Database'!$K278&amp;" "&amp;'Compliance Database'!$L278&amp;" "&amp;'Compliance Database'!$M278&amp;" "&amp;'Compliance Database'!$N278&amp;" "&amp;'Compliance Database'!$O278))),OR(Query!$B$10&lt;&gt;"Yes",'Compliance Database'!$F278&lt;&gt;"None")),1,0)</f>
        <v/>
      </c>
      <c r="B278">
        <f>IF($A278=1,SUM($A$2:$A278),"")</f>
        <v/>
      </c>
      <c r="C278">
        <f>IF($A278=1,SUM($A$2:$A278),0)</f>
        <v/>
      </c>
    </row>
    <row r="279">
      <c r="A279">
        <f>IF(AND(OR(Query!$B$4="All",'Compliance Database'!$A279=Query!$B$4),OR(Query!$B$5="All",ISNUMBER(SEARCH(Query!$B$5,'Compliance Database'!$H279))),OR(Query!$B$6="All",ISNUMBER(SEARCH(Query!$B$6,'Compliance Database'!$I279))),OR(Query!$B$7="All",'Compliance Database'!$F279=Query!$B$7),OR(Query!$B$8="All",'Compliance Database'!$J279=Query!$B$8),OR(Query!$B$9="",ISNUMBER(SEARCH(Query!$B$9,'Compliance Database'!$D279&amp;" "&amp;'Compliance Database'!$K279&amp;" "&amp;'Compliance Database'!$L279&amp;" "&amp;'Compliance Database'!$M279&amp;" "&amp;'Compliance Database'!$N279&amp;" "&amp;'Compliance Database'!$O279))),OR(Query!$B$10&lt;&gt;"Yes",'Compliance Database'!$F279&lt;&gt;"None")),1,0)</f>
        <v/>
      </c>
      <c r="B279">
        <f>IF($A279=1,SUM($A$2:$A279),"")</f>
        <v/>
      </c>
      <c r="C279">
        <f>IF($A279=1,SUM($A$2:$A279),0)</f>
        <v/>
      </c>
    </row>
    <row r="280">
      <c r="A280">
        <f>IF(AND(OR(Query!$B$4="All",'Compliance Database'!$A280=Query!$B$4),OR(Query!$B$5="All",ISNUMBER(SEARCH(Query!$B$5,'Compliance Database'!$H280))),OR(Query!$B$6="All",ISNUMBER(SEARCH(Query!$B$6,'Compliance Database'!$I280))),OR(Query!$B$7="All",'Compliance Database'!$F280=Query!$B$7),OR(Query!$B$8="All",'Compliance Database'!$J280=Query!$B$8),OR(Query!$B$9="",ISNUMBER(SEARCH(Query!$B$9,'Compliance Database'!$D280&amp;" "&amp;'Compliance Database'!$K280&amp;" "&amp;'Compliance Database'!$L280&amp;" "&amp;'Compliance Database'!$M280&amp;" "&amp;'Compliance Database'!$N280&amp;" "&amp;'Compliance Database'!$O280))),OR(Query!$B$10&lt;&gt;"Yes",'Compliance Database'!$F280&lt;&gt;"None")),1,0)</f>
        <v/>
      </c>
      <c r="B280">
        <f>IF($A280=1,SUM($A$2:$A280),"")</f>
        <v/>
      </c>
      <c r="C280">
        <f>IF($A280=1,SUM($A$2:$A280),0)</f>
        <v/>
      </c>
    </row>
    <row r="281">
      <c r="A281">
        <f>IF(AND(OR(Query!$B$4="All",'Compliance Database'!$A281=Query!$B$4),OR(Query!$B$5="All",ISNUMBER(SEARCH(Query!$B$5,'Compliance Database'!$H281))),OR(Query!$B$6="All",ISNUMBER(SEARCH(Query!$B$6,'Compliance Database'!$I281))),OR(Query!$B$7="All",'Compliance Database'!$F281=Query!$B$7),OR(Query!$B$8="All",'Compliance Database'!$J281=Query!$B$8),OR(Query!$B$9="",ISNUMBER(SEARCH(Query!$B$9,'Compliance Database'!$D281&amp;" "&amp;'Compliance Database'!$K281&amp;" "&amp;'Compliance Database'!$L281&amp;" "&amp;'Compliance Database'!$M281&amp;" "&amp;'Compliance Database'!$N281&amp;" "&amp;'Compliance Database'!$O281))),OR(Query!$B$10&lt;&gt;"Yes",'Compliance Database'!$F281&lt;&gt;"None")),1,0)</f>
        <v/>
      </c>
      <c r="B281">
        <f>IF($A281=1,SUM($A$2:$A281),"")</f>
        <v/>
      </c>
      <c r="C281">
        <f>IF($A281=1,SUM($A$2:$A281),0)</f>
        <v/>
      </c>
    </row>
    <row r="282">
      <c r="A282">
        <f>IF(AND(OR(Query!$B$4="All",'Compliance Database'!$A282=Query!$B$4),OR(Query!$B$5="All",ISNUMBER(SEARCH(Query!$B$5,'Compliance Database'!$H282))),OR(Query!$B$6="All",ISNUMBER(SEARCH(Query!$B$6,'Compliance Database'!$I282))),OR(Query!$B$7="All",'Compliance Database'!$F282=Query!$B$7),OR(Query!$B$8="All",'Compliance Database'!$J282=Query!$B$8),OR(Query!$B$9="",ISNUMBER(SEARCH(Query!$B$9,'Compliance Database'!$D282&amp;" "&amp;'Compliance Database'!$K282&amp;" "&amp;'Compliance Database'!$L282&amp;" "&amp;'Compliance Database'!$M282&amp;" "&amp;'Compliance Database'!$N282&amp;" "&amp;'Compliance Database'!$O282))),OR(Query!$B$10&lt;&gt;"Yes",'Compliance Database'!$F282&lt;&gt;"None")),1,0)</f>
        <v/>
      </c>
      <c r="B282">
        <f>IF($A282=1,SUM($A$2:$A282),"")</f>
        <v/>
      </c>
      <c r="C282">
        <f>IF($A282=1,SUM($A$2:$A282),0)</f>
        <v/>
      </c>
    </row>
    <row r="283">
      <c r="A283">
        <f>IF(AND(OR(Query!$B$4="All",'Compliance Database'!$A283=Query!$B$4),OR(Query!$B$5="All",ISNUMBER(SEARCH(Query!$B$5,'Compliance Database'!$H283))),OR(Query!$B$6="All",ISNUMBER(SEARCH(Query!$B$6,'Compliance Database'!$I283))),OR(Query!$B$7="All",'Compliance Database'!$F283=Query!$B$7),OR(Query!$B$8="All",'Compliance Database'!$J283=Query!$B$8),OR(Query!$B$9="",ISNUMBER(SEARCH(Query!$B$9,'Compliance Database'!$D283&amp;" "&amp;'Compliance Database'!$K283&amp;" "&amp;'Compliance Database'!$L283&amp;" "&amp;'Compliance Database'!$M283&amp;" "&amp;'Compliance Database'!$N283&amp;" "&amp;'Compliance Database'!$O283))),OR(Query!$B$10&lt;&gt;"Yes",'Compliance Database'!$F283&lt;&gt;"None")),1,0)</f>
        <v/>
      </c>
      <c r="B283">
        <f>IF($A283=1,SUM($A$2:$A283),"")</f>
        <v/>
      </c>
      <c r="C283">
        <f>IF($A283=1,SUM($A$2:$A283),0)</f>
        <v/>
      </c>
    </row>
    <row r="284">
      <c r="A284">
        <f>IF(AND(OR(Query!$B$4="All",'Compliance Database'!$A284=Query!$B$4),OR(Query!$B$5="All",ISNUMBER(SEARCH(Query!$B$5,'Compliance Database'!$H284))),OR(Query!$B$6="All",ISNUMBER(SEARCH(Query!$B$6,'Compliance Database'!$I284))),OR(Query!$B$7="All",'Compliance Database'!$F284=Query!$B$7),OR(Query!$B$8="All",'Compliance Database'!$J284=Query!$B$8),OR(Query!$B$9="",ISNUMBER(SEARCH(Query!$B$9,'Compliance Database'!$D284&amp;" "&amp;'Compliance Database'!$K284&amp;" "&amp;'Compliance Database'!$L284&amp;" "&amp;'Compliance Database'!$M284&amp;" "&amp;'Compliance Database'!$N284&amp;" "&amp;'Compliance Database'!$O284))),OR(Query!$B$10&lt;&gt;"Yes",'Compliance Database'!$F284&lt;&gt;"None")),1,0)</f>
        <v/>
      </c>
      <c r="B284">
        <f>IF($A284=1,SUM($A$2:$A284),"")</f>
        <v/>
      </c>
      <c r="C284">
        <f>IF($A284=1,SUM($A$2:$A284),0)</f>
        <v/>
      </c>
    </row>
    <row r="285">
      <c r="A285">
        <f>IF(AND(OR(Query!$B$4="All",'Compliance Database'!$A285=Query!$B$4),OR(Query!$B$5="All",ISNUMBER(SEARCH(Query!$B$5,'Compliance Database'!$H285))),OR(Query!$B$6="All",ISNUMBER(SEARCH(Query!$B$6,'Compliance Database'!$I285))),OR(Query!$B$7="All",'Compliance Database'!$F285=Query!$B$7),OR(Query!$B$8="All",'Compliance Database'!$J285=Query!$B$8),OR(Query!$B$9="",ISNUMBER(SEARCH(Query!$B$9,'Compliance Database'!$D285&amp;" "&amp;'Compliance Database'!$K285&amp;" "&amp;'Compliance Database'!$L285&amp;" "&amp;'Compliance Database'!$M285&amp;" "&amp;'Compliance Database'!$N285&amp;" "&amp;'Compliance Database'!$O285))),OR(Query!$B$10&lt;&gt;"Yes",'Compliance Database'!$F285&lt;&gt;"None")),1,0)</f>
        <v/>
      </c>
      <c r="B285">
        <f>IF($A285=1,SUM($A$2:$A285),"")</f>
        <v/>
      </c>
      <c r="C285">
        <f>IF($A285=1,SUM($A$2:$A285),0)</f>
        <v/>
      </c>
    </row>
    <row r="286">
      <c r="A286">
        <f>IF(AND(OR(Query!$B$4="All",'Compliance Database'!$A286=Query!$B$4),OR(Query!$B$5="All",ISNUMBER(SEARCH(Query!$B$5,'Compliance Database'!$H286))),OR(Query!$B$6="All",ISNUMBER(SEARCH(Query!$B$6,'Compliance Database'!$I286))),OR(Query!$B$7="All",'Compliance Database'!$F286=Query!$B$7),OR(Query!$B$8="All",'Compliance Database'!$J286=Query!$B$8),OR(Query!$B$9="",ISNUMBER(SEARCH(Query!$B$9,'Compliance Database'!$D286&amp;" "&amp;'Compliance Database'!$K286&amp;" "&amp;'Compliance Database'!$L286&amp;" "&amp;'Compliance Database'!$M286&amp;" "&amp;'Compliance Database'!$N286&amp;" "&amp;'Compliance Database'!$O286))),OR(Query!$B$10&lt;&gt;"Yes",'Compliance Database'!$F286&lt;&gt;"None")),1,0)</f>
        <v/>
      </c>
      <c r="B286">
        <f>IF($A286=1,SUM($A$2:$A286),"")</f>
        <v/>
      </c>
      <c r="C286">
        <f>IF($A286=1,SUM($A$2:$A286),0)</f>
        <v/>
      </c>
    </row>
    <row r="287">
      <c r="A287">
        <f>IF(AND(OR(Query!$B$4="All",'Compliance Database'!$A287=Query!$B$4),OR(Query!$B$5="All",ISNUMBER(SEARCH(Query!$B$5,'Compliance Database'!$H287))),OR(Query!$B$6="All",ISNUMBER(SEARCH(Query!$B$6,'Compliance Database'!$I287))),OR(Query!$B$7="All",'Compliance Database'!$F287=Query!$B$7),OR(Query!$B$8="All",'Compliance Database'!$J287=Query!$B$8),OR(Query!$B$9="",ISNUMBER(SEARCH(Query!$B$9,'Compliance Database'!$D287&amp;" "&amp;'Compliance Database'!$K287&amp;" "&amp;'Compliance Database'!$L287&amp;" "&amp;'Compliance Database'!$M287&amp;" "&amp;'Compliance Database'!$N287&amp;" "&amp;'Compliance Database'!$O287))),OR(Query!$B$10&lt;&gt;"Yes",'Compliance Database'!$F287&lt;&gt;"None")),1,0)</f>
        <v/>
      </c>
      <c r="B287">
        <f>IF($A287=1,SUM($A$2:$A287),"")</f>
        <v/>
      </c>
      <c r="C287">
        <f>IF($A287=1,SUM($A$2:$A287),0)</f>
        <v/>
      </c>
    </row>
    <row r="288">
      <c r="A288">
        <f>IF(AND(OR(Query!$B$4="All",'Compliance Database'!$A288=Query!$B$4),OR(Query!$B$5="All",ISNUMBER(SEARCH(Query!$B$5,'Compliance Database'!$H288))),OR(Query!$B$6="All",ISNUMBER(SEARCH(Query!$B$6,'Compliance Database'!$I288))),OR(Query!$B$7="All",'Compliance Database'!$F288=Query!$B$7),OR(Query!$B$8="All",'Compliance Database'!$J288=Query!$B$8),OR(Query!$B$9="",ISNUMBER(SEARCH(Query!$B$9,'Compliance Database'!$D288&amp;" "&amp;'Compliance Database'!$K288&amp;" "&amp;'Compliance Database'!$L288&amp;" "&amp;'Compliance Database'!$M288&amp;" "&amp;'Compliance Database'!$N288&amp;" "&amp;'Compliance Database'!$O288))),OR(Query!$B$10&lt;&gt;"Yes",'Compliance Database'!$F288&lt;&gt;"None")),1,0)</f>
        <v/>
      </c>
      <c r="B288">
        <f>IF($A288=1,SUM($A$2:$A288),"")</f>
        <v/>
      </c>
      <c r="C288">
        <f>IF($A288=1,SUM($A$2:$A288),0)</f>
        <v/>
      </c>
    </row>
    <row r="289">
      <c r="A289">
        <f>IF(AND(OR(Query!$B$4="All",'Compliance Database'!$A289=Query!$B$4),OR(Query!$B$5="All",ISNUMBER(SEARCH(Query!$B$5,'Compliance Database'!$H289))),OR(Query!$B$6="All",ISNUMBER(SEARCH(Query!$B$6,'Compliance Database'!$I289))),OR(Query!$B$7="All",'Compliance Database'!$F289=Query!$B$7),OR(Query!$B$8="All",'Compliance Database'!$J289=Query!$B$8),OR(Query!$B$9="",ISNUMBER(SEARCH(Query!$B$9,'Compliance Database'!$D289&amp;" "&amp;'Compliance Database'!$K289&amp;" "&amp;'Compliance Database'!$L289&amp;" "&amp;'Compliance Database'!$M289&amp;" "&amp;'Compliance Database'!$N289&amp;" "&amp;'Compliance Database'!$O289))),OR(Query!$B$10&lt;&gt;"Yes",'Compliance Database'!$F289&lt;&gt;"None")),1,0)</f>
        <v/>
      </c>
      <c r="B289">
        <f>IF($A289=1,SUM($A$2:$A289),"")</f>
        <v/>
      </c>
      <c r="C289">
        <f>IF($A289=1,SUM($A$2:$A289),0)</f>
        <v/>
      </c>
    </row>
    <row r="290">
      <c r="A290">
        <f>IF(AND(OR(Query!$B$4="All",'Compliance Database'!$A290=Query!$B$4),OR(Query!$B$5="All",ISNUMBER(SEARCH(Query!$B$5,'Compliance Database'!$H290))),OR(Query!$B$6="All",ISNUMBER(SEARCH(Query!$B$6,'Compliance Database'!$I290))),OR(Query!$B$7="All",'Compliance Database'!$F290=Query!$B$7),OR(Query!$B$8="All",'Compliance Database'!$J290=Query!$B$8),OR(Query!$B$9="",ISNUMBER(SEARCH(Query!$B$9,'Compliance Database'!$D290&amp;" "&amp;'Compliance Database'!$K290&amp;" "&amp;'Compliance Database'!$L290&amp;" "&amp;'Compliance Database'!$M290&amp;" "&amp;'Compliance Database'!$N290&amp;" "&amp;'Compliance Database'!$O290))),OR(Query!$B$10&lt;&gt;"Yes",'Compliance Database'!$F290&lt;&gt;"None")),1,0)</f>
        <v/>
      </c>
      <c r="B290">
        <f>IF($A290=1,SUM($A$2:$A290),"")</f>
        <v/>
      </c>
      <c r="C290">
        <f>IF($A290=1,SUM($A$2:$A290),0)</f>
        <v/>
      </c>
    </row>
    <row r="291">
      <c r="A291">
        <f>IF(AND(OR(Query!$B$4="All",'Compliance Database'!$A291=Query!$B$4),OR(Query!$B$5="All",ISNUMBER(SEARCH(Query!$B$5,'Compliance Database'!$H291))),OR(Query!$B$6="All",ISNUMBER(SEARCH(Query!$B$6,'Compliance Database'!$I291))),OR(Query!$B$7="All",'Compliance Database'!$F291=Query!$B$7),OR(Query!$B$8="All",'Compliance Database'!$J291=Query!$B$8),OR(Query!$B$9="",ISNUMBER(SEARCH(Query!$B$9,'Compliance Database'!$D291&amp;" "&amp;'Compliance Database'!$K291&amp;" "&amp;'Compliance Database'!$L291&amp;" "&amp;'Compliance Database'!$M291&amp;" "&amp;'Compliance Database'!$N291&amp;" "&amp;'Compliance Database'!$O291))),OR(Query!$B$10&lt;&gt;"Yes",'Compliance Database'!$F291&lt;&gt;"None")),1,0)</f>
        <v/>
      </c>
      <c r="B291">
        <f>IF($A291=1,SUM($A$2:$A291),"")</f>
        <v/>
      </c>
      <c r="C291">
        <f>IF($A291=1,SUM($A$2:$A291),0)</f>
        <v/>
      </c>
    </row>
    <row r="292">
      <c r="A292">
        <f>IF(AND(OR(Query!$B$4="All",'Compliance Database'!$A292=Query!$B$4),OR(Query!$B$5="All",ISNUMBER(SEARCH(Query!$B$5,'Compliance Database'!$H292))),OR(Query!$B$6="All",ISNUMBER(SEARCH(Query!$B$6,'Compliance Database'!$I292))),OR(Query!$B$7="All",'Compliance Database'!$F292=Query!$B$7),OR(Query!$B$8="All",'Compliance Database'!$J292=Query!$B$8),OR(Query!$B$9="",ISNUMBER(SEARCH(Query!$B$9,'Compliance Database'!$D292&amp;" "&amp;'Compliance Database'!$K292&amp;" "&amp;'Compliance Database'!$L292&amp;" "&amp;'Compliance Database'!$M292&amp;" "&amp;'Compliance Database'!$N292&amp;" "&amp;'Compliance Database'!$O292))),OR(Query!$B$10&lt;&gt;"Yes",'Compliance Database'!$F292&lt;&gt;"None")),1,0)</f>
        <v/>
      </c>
      <c r="B292">
        <f>IF($A292=1,SUM($A$2:$A292),"")</f>
        <v/>
      </c>
      <c r="C292">
        <f>IF($A292=1,SUM($A$2:$A292),0)</f>
        <v/>
      </c>
    </row>
    <row r="293">
      <c r="A293">
        <f>IF(AND(OR(Query!$B$4="All",'Compliance Database'!$A293=Query!$B$4),OR(Query!$B$5="All",ISNUMBER(SEARCH(Query!$B$5,'Compliance Database'!$H293))),OR(Query!$B$6="All",ISNUMBER(SEARCH(Query!$B$6,'Compliance Database'!$I293))),OR(Query!$B$7="All",'Compliance Database'!$F293=Query!$B$7),OR(Query!$B$8="All",'Compliance Database'!$J293=Query!$B$8),OR(Query!$B$9="",ISNUMBER(SEARCH(Query!$B$9,'Compliance Database'!$D293&amp;" "&amp;'Compliance Database'!$K293&amp;" "&amp;'Compliance Database'!$L293&amp;" "&amp;'Compliance Database'!$M293&amp;" "&amp;'Compliance Database'!$N293&amp;" "&amp;'Compliance Database'!$O293))),OR(Query!$B$10&lt;&gt;"Yes",'Compliance Database'!$F293&lt;&gt;"None")),1,0)</f>
        <v/>
      </c>
      <c r="B293">
        <f>IF($A293=1,SUM($A$2:$A293),"")</f>
        <v/>
      </c>
      <c r="C293">
        <f>IF($A293=1,SUM($A$2:$A293),0)</f>
        <v/>
      </c>
    </row>
    <row r="294">
      <c r="A294">
        <f>IF(AND(OR(Query!$B$4="All",'Compliance Database'!$A294=Query!$B$4),OR(Query!$B$5="All",ISNUMBER(SEARCH(Query!$B$5,'Compliance Database'!$H294))),OR(Query!$B$6="All",ISNUMBER(SEARCH(Query!$B$6,'Compliance Database'!$I294))),OR(Query!$B$7="All",'Compliance Database'!$F294=Query!$B$7),OR(Query!$B$8="All",'Compliance Database'!$J294=Query!$B$8),OR(Query!$B$9="",ISNUMBER(SEARCH(Query!$B$9,'Compliance Database'!$D294&amp;" "&amp;'Compliance Database'!$K294&amp;" "&amp;'Compliance Database'!$L294&amp;" "&amp;'Compliance Database'!$M294&amp;" "&amp;'Compliance Database'!$N294&amp;" "&amp;'Compliance Database'!$O294))),OR(Query!$B$10&lt;&gt;"Yes",'Compliance Database'!$F294&lt;&gt;"None")),1,0)</f>
        <v/>
      </c>
      <c r="B294">
        <f>IF($A294=1,SUM($A$2:$A294),"")</f>
        <v/>
      </c>
      <c r="C294">
        <f>IF($A294=1,SUM($A$2:$A294),0)</f>
        <v/>
      </c>
    </row>
    <row r="295">
      <c r="A295">
        <f>IF(AND(OR(Query!$B$4="All",'Compliance Database'!$A295=Query!$B$4),OR(Query!$B$5="All",ISNUMBER(SEARCH(Query!$B$5,'Compliance Database'!$H295))),OR(Query!$B$6="All",ISNUMBER(SEARCH(Query!$B$6,'Compliance Database'!$I295))),OR(Query!$B$7="All",'Compliance Database'!$F295=Query!$B$7),OR(Query!$B$8="All",'Compliance Database'!$J295=Query!$B$8),OR(Query!$B$9="",ISNUMBER(SEARCH(Query!$B$9,'Compliance Database'!$D295&amp;" "&amp;'Compliance Database'!$K295&amp;" "&amp;'Compliance Database'!$L295&amp;" "&amp;'Compliance Database'!$M295&amp;" "&amp;'Compliance Database'!$N295&amp;" "&amp;'Compliance Database'!$O295))),OR(Query!$B$10&lt;&gt;"Yes",'Compliance Database'!$F295&lt;&gt;"None")),1,0)</f>
        <v/>
      </c>
      <c r="B295">
        <f>IF($A295=1,SUM($A$2:$A295),"")</f>
        <v/>
      </c>
      <c r="C295">
        <f>IF($A295=1,SUM($A$2:$A295),0)</f>
        <v/>
      </c>
    </row>
    <row r="296">
      <c r="A296">
        <f>IF(AND(OR(Query!$B$4="All",'Compliance Database'!$A296=Query!$B$4),OR(Query!$B$5="All",ISNUMBER(SEARCH(Query!$B$5,'Compliance Database'!$H296))),OR(Query!$B$6="All",ISNUMBER(SEARCH(Query!$B$6,'Compliance Database'!$I296))),OR(Query!$B$7="All",'Compliance Database'!$F296=Query!$B$7),OR(Query!$B$8="All",'Compliance Database'!$J296=Query!$B$8),OR(Query!$B$9="",ISNUMBER(SEARCH(Query!$B$9,'Compliance Database'!$D296&amp;" "&amp;'Compliance Database'!$K296&amp;" "&amp;'Compliance Database'!$L296&amp;" "&amp;'Compliance Database'!$M296&amp;" "&amp;'Compliance Database'!$N296&amp;" "&amp;'Compliance Database'!$O296))),OR(Query!$B$10&lt;&gt;"Yes",'Compliance Database'!$F296&lt;&gt;"None")),1,0)</f>
        <v/>
      </c>
      <c r="B296">
        <f>IF($A296=1,SUM($A$2:$A296),"")</f>
        <v/>
      </c>
      <c r="C296">
        <f>IF($A296=1,SUM($A$2:$A296),0)</f>
        <v/>
      </c>
    </row>
    <row r="297">
      <c r="A297">
        <f>IF(AND(OR(Query!$B$4="All",'Compliance Database'!$A297=Query!$B$4),OR(Query!$B$5="All",ISNUMBER(SEARCH(Query!$B$5,'Compliance Database'!$H297))),OR(Query!$B$6="All",ISNUMBER(SEARCH(Query!$B$6,'Compliance Database'!$I297))),OR(Query!$B$7="All",'Compliance Database'!$F297=Query!$B$7),OR(Query!$B$8="All",'Compliance Database'!$J297=Query!$B$8),OR(Query!$B$9="",ISNUMBER(SEARCH(Query!$B$9,'Compliance Database'!$D297&amp;" "&amp;'Compliance Database'!$K297&amp;" "&amp;'Compliance Database'!$L297&amp;" "&amp;'Compliance Database'!$M297&amp;" "&amp;'Compliance Database'!$N297&amp;" "&amp;'Compliance Database'!$O297))),OR(Query!$B$10&lt;&gt;"Yes",'Compliance Database'!$F297&lt;&gt;"None")),1,0)</f>
        <v/>
      </c>
      <c r="B297">
        <f>IF($A297=1,SUM($A$2:$A297),"")</f>
        <v/>
      </c>
      <c r="C297">
        <f>IF($A297=1,SUM($A$2:$A297),0)</f>
        <v/>
      </c>
    </row>
    <row r="298">
      <c r="A298">
        <f>IF(AND(OR(Query!$B$4="All",'Compliance Database'!$A298=Query!$B$4),OR(Query!$B$5="All",ISNUMBER(SEARCH(Query!$B$5,'Compliance Database'!$H298))),OR(Query!$B$6="All",ISNUMBER(SEARCH(Query!$B$6,'Compliance Database'!$I298))),OR(Query!$B$7="All",'Compliance Database'!$F298=Query!$B$7),OR(Query!$B$8="All",'Compliance Database'!$J298=Query!$B$8),OR(Query!$B$9="",ISNUMBER(SEARCH(Query!$B$9,'Compliance Database'!$D298&amp;" "&amp;'Compliance Database'!$K298&amp;" "&amp;'Compliance Database'!$L298&amp;" "&amp;'Compliance Database'!$M298&amp;" "&amp;'Compliance Database'!$N298&amp;" "&amp;'Compliance Database'!$O298))),OR(Query!$B$10&lt;&gt;"Yes",'Compliance Database'!$F298&lt;&gt;"None")),1,0)</f>
        <v/>
      </c>
      <c r="B298">
        <f>IF($A298=1,SUM($A$2:$A298),"")</f>
        <v/>
      </c>
      <c r="C298">
        <f>IF($A298=1,SUM($A$2:$A298),0)</f>
        <v/>
      </c>
    </row>
    <row r="299">
      <c r="A299">
        <f>IF(AND(OR(Query!$B$4="All",'Compliance Database'!$A299=Query!$B$4),OR(Query!$B$5="All",ISNUMBER(SEARCH(Query!$B$5,'Compliance Database'!$H299))),OR(Query!$B$6="All",ISNUMBER(SEARCH(Query!$B$6,'Compliance Database'!$I299))),OR(Query!$B$7="All",'Compliance Database'!$F299=Query!$B$7),OR(Query!$B$8="All",'Compliance Database'!$J299=Query!$B$8),OR(Query!$B$9="",ISNUMBER(SEARCH(Query!$B$9,'Compliance Database'!$D299&amp;" "&amp;'Compliance Database'!$K299&amp;" "&amp;'Compliance Database'!$L299&amp;" "&amp;'Compliance Database'!$M299&amp;" "&amp;'Compliance Database'!$N299&amp;" "&amp;'Compliance Database'!$O299))),OR(Query!$B$10&lt;&gt;"Yes",'Compliance Database'!$F299&lt;&gt;"None")),1,0)</f>
        <v/>
      </c>
      <c r="B299">
        <f>IF($A299=1,SUM($A$2:$A299),"")</f>
        <v/>
      </c>
      <c r="C299">
        <f>IF($A299=1,SUM($A$2:$A299),0)</f>
        <v/>
      </c>
    </row>
    <row r="300">
      <c r="A300">
        <f>IF(AND(OR(Query!$B$4="All",'Compliance Database'!$A300=Query!$B$4),OR(Query!$B$5="All",ISNUMBER(SEARCH(Query!$B$5,'Compliance Database'!$H300))),OR(Query!$B$6="All",ISNUMBER(SEARCH(Query!$B$6,'Compliance Database'!$I300))),OR(Query!$B$7="All",'Compliance Database'!$F300=Query!$B$7),OR(Query!$B$8="All",'Compliance Database'!$J300=Query!$B$8),OR(Query!$B$9="",ISNUMBER(SEARCH(Query!$B$9,'Compliance Database'!$D300&amp;" "&amp;'Compliance Database'!$K300&amp;" "&amp;'Compliance Database'!$L300&amp;" "&amp;'Compliance Database'!$M300&amp;" "&amp;'Compliance Database'!$N300&amp;" "&amp;'Compliance Database'!$O300))),OR(Query!$B$10&lt;&gt;"Yes",'Compliance Database'!$F300&lt;&gt;"None")),1,0)</f>
        <v/>
      </c>
      <c r="B300">
        <f>IF($A300=1,SUM($A$2:$A300),"")</f>
        <v/>
      </c>
      <c r="C300">
        <f>IF($A300=1,SUM($A$2:$A300),0)</f>
        <v/>
      </c>
    </row>
    <row r="301">
      <c r="A301">
        <f>IF(AND(OR(Query!$B$4="All",'Compliance Database'!$A301=Query!$B$4),OR(Query!$B$5="All",ISNUMBER(SEARCH(Query!$B$5,'Compliance Database'!$H301))),OR(Query!$B$6="All",ISNUMBER(SEARCH(Query!$B$6,'Compliance Database'!$I301))),OR(Query!$B$7="All",'Compliance Database'!$F301=Query!$B$7),OR(Query!$B$8="All",'Compliance Database'!$J301=Query!$B$8),OR(Query!$B$9="",ISNUMBER(SEARCH(Query!$B$9,'Compliance Database'!$D301&amp;" "&amp;'Compliance Database'!$K301&amp;" "&amp;'Compliance Database'!$L301&amp;" "&amp;'Compliance Database'!$M301&amp;" "&amp;'Compliance Database'!$N301&amp;" "&amp;'Compliance Database'!$O301))),OR(Query!$B$10&lt;&gt;"Yes",'Compliance Database'!$F301&lt;&gt;"None")),1,0)</f>
        <v/>
      </c>
      <c r="B301">
        <f>IF($A301=1,SUM($A$2:$A301),"")</f>
        <v/>
      </c>
      <c r="C301">
        <f>IF($A301=1,SUM($A$2:$A301),0)</f>
        <v/>
      </c>
    </row>
    <row r="302">
      <c r="A302">
        <f>IF(AND(OR(Query!$B$4="All",'Compliance Database'!$A302=Query!$B$4),OR(Query!$B$5="All",ISNUMBER(SEARCH(Query!$B$5,'Compliance Database'!$H302))),OR(Query!$B$6="All",ISNUMBER(SEARCH(Query!$B$6,'Compliance Database'!$I302))),OR(Query!$B$7="All",'Compliance Database'!$F302=Query!$B$7),OR(Query!$B$8="All",'Compliance Database'!$J302=Query!$B$8),OR(Query!$B$9="",ISNUMBER(SEARCH(Query!$B$9,'Compliance Database'!$D302&amp;" "&amp;'Compliance Database'!$K302&amp;" "&amp;'Compliance Database'!$L302&amp;" "&amp;'Compliance Database'!$M302&amp;" "&amp;'Compliance Database'!$N302&amp;" "&amp;'Compliance Database'!$O302))),OR(Query!$B$10&lt;&gt;"Yes",'Compliance Database'!$F302&lt;&gt;"None")),1,0)</f>
        <v/>
      </c>
      <c r="B302">
        <f>IF($A302=1,SUM($A$2:$A302),"")</f>
        <v/>
      </c>
      <c r="C302">
        <f>IF($A302=1,SUM($A$2:$A302),0)</f>
        <v/>
      </c>
    </row>
    <row r="303">
      <c r="A303">
        <f>IF(AND(OR(Query!$B$4="All",'Compliance Database'!$A303=Query!$B$4),OR(Query!$B$5="All",ISNUMBER(SEARCH(Query!$B$5,'Compliance Database'!$H303))),OR(Query!$B$6="All",ISNUMBER(SEARCH(Query!$B$6,'Compliance Database'!$I303))),OR(Query!$B$7="All",'Compliance Database'!$F303=Query!$B$7),OR(Query!$B$8="All",'Compliance Database'!$J303=Query!$B$8),OR(Query!$B$9="",ISNUMBER(SEARCH(Query!$B$9,'Compliance Database'!$D303&amp;" "&amp;'Compliance Database'!$K303&amp;" "&amp;'Compliance Database'!$L303&amp;" "&amp;'Compliance Database'!$M303&amp;" "&amp;'Compliance Database'!$N303&amp;" "&amp;'Compliance Database'!$O303))),OR(Query!$B$10&lt;&gt;"Yes",'Compliance Database'!$F303&lt;&gt;"None")),1,0)</f>
        <v/>
      </c>
      <c r="B303">
        <f>IF($A303=1,SUM($A$2:$A303),"")</f>
        <v/>
      </c>
      <c r="C303">
        <f>IF($A303=1,SUM($A$2:$A303),0)</f>
        <v/>
      </c>
    </row>
    <row r="304">
      <c r="A304">
        <f>IF(AND(OR(Query!$B$4="All",'Compliance Database'!$A304=Query!$B$4),OR(Query!$B$5="All",ISNUMBER(SEARCH(Query!$B$5,'Compliance Database'!$H304))),OR(Query!$B$6="All",ISNUMBER(SEARCH(Query!$B$6,'Compliance Database'!$I304))),OR(Query!$B$7="All",'Compliance Database'!$F304=Query!$B$7),OR(Query!$B$8="All",'Compliance Database'!$J304=Query!$B$8),OR(Query!$B$9="",ISNUMBER(SEARCH(Query!$B$9,'Compliance Database'!$D304&amp;" "&amp;'Compliance Database'!$K304&amp;" "&amp;'Compliance Database'!$L304&amp;" "&amp;'Compliance Database'!$M304&amp;" "&amp;'Compliance Database'!$N304&amp;" "&amp;'Compliance Database'!$O304))),OR(Query!$B$10&lt;&gt;"Yes",'Compliance Database'!$F304&lt;&gt;"None")),1,0)</f>
        <v/>
      </c>
      <c r="B304">
        <f>IF($A304=1,SUM($A$2:$A304),"")</f>
        <v/>
      </c>
      <c r="C304">
        <f>IF($A304=1,SUM($A$2:$A304),0)</f>
        <v/>
      </c>
    </row>
    <row r="305">
      <c r="A305">
        <f>IF(AND(OR(Query!$B$4="All",'Compliance Database'!$A305=Query!$B$4),OR(Query!$B$5="All",ISNUMBER(SEARCH(Query!$B$5,'Compliance Database'!$H305))),OR(Query!$B$6="All",ISNUMBER(SEARCH(Query!$B$6,'Compliance Database'!$I305))),OR(Query!$B$7="All",'Compliance Database'!$F305=Query!$B$7),OR(Query!$B$8="All",'Compliance Database'!$J305=Query!$B$8),OR(Query!$B$9="",ISNUMBER(SEARCH(Query!$B$9,'Compliance Database'!$D305&amp;" "&amp;'Compliance Database'!$K305&amp;" "&amp;'Compliance Database'!$L305&amp;" "&amp;'Compliance Database'!$M305&amp;" "&amp;'Compliance Database'!$N305&amp;" "&amp;'Compliance Database'!$O305))),OR(Query!$B$10&lt;&gt;"Yes",'Compliance Database'!$F305&lt;&gt;"None")),1,0)</f>
        <v/>
      </c>
      <c r="B305">
        <f>IF($A305=1,SUM($A$2:$A305),"")</f>
        <v/>
      </c>
      <c r="C305">
        <f>IF($A305=1,SUM($A$2:$A305),0)</f>
        <v/>
      </c>
    </row>
    <row r="306">
      <c r="A306">
        <f>IF(AND(OR(Query!$B$4="All",'Compliance Database'!$A306=Query!$B$4),OR(Query!$B$5="All",ISNUMBER(SEARCH(Query!$B$5,'Compliance Database'!$H306))),OR(Query!$B$6="All",ISNUMBER(SEARCH(Query!$B$6,'Compliance Database'!$I306))),OR(Query!$B$7="All",'Compliance Database'!$F306=Query!$B$7),OR(Query!$B$8="All",'Compliance Database'!$J306=Query!$B$8),OR(Query!$B$9="",ISNUMBER(SEARCH(Query!$B$9,'Compliance Database'!$D306&amp;" "&amp;'Compliance Database'!$K306&amp;" "&amp;'Compliance Database'!$L306&amp;" "&amp;'Compliance Database'!$M306&amp;" "&amp;'Compliance Database'!$N306&amp;" "&amp;'Compliance Database'!$O306))),OR(Query!$B$10&lt;&gt;"Yes",'Compliance Database'!$F306&lt;&gt;"None")),1,0)</f>
        <v/>
      </c>
      <c r="B306">
        <f>IF($A306=1,SUM($A$2:$A306),"")</f>
        <v/>
      </c>
      <c r="C306">
        <f>IF($A306=1,SUM($A$2:$A306),0)</f>
        <v/>
      </c>
    </row>
    <row r="307">
      <c r="A307">
        <f>IF(AND(OR(Query!$B$4="All",'Compliance Database'!$A307=Query!$B$4),OR(Query!$B$5="All",ISNUMBER(SEARCH(Query!$B$5,'Compliance Database'!$H307))),OR(Query!$B$6="All",ISNUMBER(SEARCH(Query!$B$6,'Compliance Database'!$I307))),OR(Query!$B$7="All",'Compliance Database'!$F307=Query!$B$7),OR(Query!$B$8="All",'Compliance Database'!$J307=Query!$B$8),OR(Query!$B$9="",ISNUMBER(SEARCH(Query!$B$9,'Compliance Database'!$D307&amp;" "&amp;'Compliance Database'!$K307&amp;" "&amp;'Compliance Database'!$L307&amp;" "&amp;'Compliance Database'!$M307&amp;" "&amp;'Compliance Database'!$N307&amp;" "&amp;'Compliance Database'!$O307))),OR(Query!$B$10&lt;&gt;"Yes",'Compliance Database'!$F307&lt;&gt;"None")),1,0)</f>
        <v/>
      </c>
      <c r="B307">
        <f>IF($A307=1,SUM($A$2:$A307),"")</f>
        <v/>
      </c>
      <c r="C307">
        <f>IF($A307=1,SUM($A$2:$A307),0)</f>
        <v/>
      </c>
    </row>
    <row r="308">
      <c r="A308">
        <f>IF(AND(OR(Query!$B$4="All",'Compliance Database'!$A308=Query!$B$4),OR(Query!$B$5="All",ISNUMBER(SEARCH(Query!$B$5,'Compliance Database'!$H308))),OR(Query!$B$6="All",ISNUMBER(SEARCH(Query!$B$6,'Compliance Database'!$I308))),OR(Query!$B$7="All",'Compliance Database'!$F308=Query!$B$7),OR(Query!$B$8="All",'Compliance Database'!$J308=Query!$B$8),OR(Query!$B$9="",ISNUMBER(SEARCH(Query!$B$9,'Compliance Database'!$D308&amp;" "&amp;'Compliance Database'!$K308&amp;" "&amp;'Compliance Database'!$L308&amp;" "&amp;'Compliance Database'!$M308&amp;" "&amp;'Compliance Database'!$N308&amp;" "&amp;'Compliance Database'!$O308))),OR(Query!$B$10&lt;&gt;"Yes",'Compliance Database'!$F308&lt;&gt;"None")),1,0)</f>
        <v/>
      </c>
      <c r="B308">
        <f>IF($A308=1,SUM($A$2:$A308),"")</f>
        <v/>
      </c>
      <c r="C308">
        <f>IF($A308=1,SUM($A$2:$A308),0)</f>
        <v/>
      </c>
    </row>
    <row r="309">
      <c r="A309">
        <f>IF(AND(OR(Query!$B$4="All",'Compliance Database'!$A309=Query!$B$4),OR(Query!$B$5="All",ISNUMBER(SEARCH(Query!$B$5,'Compliance Database'!$H309))),OR(Query!$B$6="All",ISNUMBER(SEARCH(Query!$B$6,'Compliance Database'!$I309))),OR(Query!$B$7="All",'Compliance Database'!$F309=Query!$B$7),OR(Query!$B$8="All",'Compliance Database'!$J309=Query!$B$8),OR(Query!$B$9="",ISNUMBER(SEARCH(Query!$B$9,'Compliance Database'!$D309&amp;" "&amp;'Compliance Database'!$K309&amp;" "&amp;'Compliance Database'!$L309&amp;" "&amp;'Compliance Database'!$M309&amp;" "&amp;'Compliance Database'!$N309&amp;" "&amp;'Compliance Database'!$O309))),OR(Query!$B$10&lt;&gt;"Yes",'Compliance Database'!$F309&lt;&gt;"None")),1,0)</f>
        <v/>
      </c>
      <c r="B309">
        <f>IF($A309=1,SUM($A$2:$A309),"")</f>
        <v/>
      </c>
      <c r="C309">
        <f>IF($A309=1,SUM($A$2:$A309),0)</f>
        <v/>
      </c>
    </row>
    <row r="310">
      <c r="A310">
        <f>IF(AND(OR(Query!$B$4="All",'Compliance Database'!$A310=Query!$B$4),OR(Query!$B$5="All",ISNUMBER(SEARCH(Query!$B$5,'Compliance Database'!$H310))),OR(Query!$B$6="All",ISNUMBER(SEARCH(Query!$B$6,'Compliance Database'!$I310))),OR(Query!$B$7="All",'Compliance Database'!$F310=Query!$B$7),OR(Query!$B$8="All",'Compliance Database'!$J310=Query!$B$8),OR(Query!$B$9="",ISNUMBER(SEARCH(Query!$B$9,'Compliance Database'!$D310&amp;" "&amp;'Compliance Database'!$K310&amp;" "&amp;'Compliance Database'!$L310&amp;" "&amp;'Compliance Database'!$M310&amp;" "&amp;'Compliance Database'!$N310&amp;" "&amp;'Compliance Database'!$O310))),OR(Query!$B$10&lt;&gt;"Yes",'Compliance Database'!$F310&lt;&gt;"None")),1,0)</f>
        <v/>
      </c>
      <c r="B310">
        <f>IF($A310=1,SUM($A$2:$A310),"")</f>
        <v/>
      </c>
      <c r="C310">
        <f>IF($A310=1,SUM($A$2:$A310),0)</f>
        <v/>
      </c>
    </row>
    <row r="311">
      <c r="A311">
        <f>IF(AND(OR(Query!$B$4="All",'Compliance Database'!$A311=Query!$B$4),OR(Query!$B$5="All",ISNUMBER(SEARCH(Query!$B$5,'Compliance Database'!$H311))),OR(Query!$B$6="All",ISNUMBER(SEARCH(Query!$B$6,'Compliance Database'!$I311))),OR(Query!$B$7="All",'Compliance Database'!$F311=Query!$B$7),OR(Query!$B$8="All",'Compliance Database'!$J311=Query!$B$8),OR(Query!$B$9="",ISNUMBER(SEARCH(Query!$B$9,'Compliance Database'!$D311&amp;" "&amp;'Compliance Database'!$K311&amp;" "&amp;'Compliance Database'!$L311&amp;" "&amp;'Compliance Database'!$M311&amp;" "&amp;'Compliance Database'!$N311&amp;" "&amp;'Compliance Database'!$O311))),OR(Query!$B$10&lt;&gt;"Yes",'Compliance Database'!$F311&lt;&gt;"None")),1,0)</f>
        <v/>
      </c>
      <c r="B311">
        <f>IF($A311=1,SUM($A$2:$A311),"")</f>
        <v/>
      </c>
      <c r="C311">
        <f>IF($A311=1,SUM($A$2:$A311),0)</f>
        <v/>
      </c>
    </row>
    <row r="312">
      <c r="A312">
        <f>IF(AND(OR(Query!$B$4="All",'Compliance Database'!$A312=Query!$B$4),OR(Query!$B$5="All",ISNUMBER(SEARCH(Query!$B$5,'Compliance Database'!$H312))),OR(Query!$B$6="All",ISNUMBER(SEARCH(Query!$B$6,'Compliance Database'!$I312))),OR(Query!$B$7="All",'Compliance Database'!$F312=Query!$B$7),OR(Query!$B$8="All",'Compliance Database'!$J312=Query!$B$8),OR(Query!$B$9="",ISNUMBER(SEARCH(Query!$B$9,'Compliance Database'!$D312&amp;" "&amp;'Compliance Database'!$K312&amp;" "&amp;'Compliance Database'!$L312&amp;" "&amp;'Compliance Database'!$M312&amp;" "&amp;'Compliance Database'!$N312&amp;" "&amp;'Compliance Database'!$O312))),OR(Query!$B$10&lt;&gt;"Yes",'Compliance Database'!$F312&lt;&gt;"None")),1,0)</f>
        <v/>
      </c>
      <c r="B312">
        <f>IF($A312=1,SUM($A$2:$A312),"")</f>
        <v/>
      </c>
      <c r="C312">
        <f>IF($A312=1,SUM($A$2:$A312),0)</f>
        <v/>
      </c>
    </row>
    <row r="313">
      <c r="A313">
        <f>IF(AND(OR(Query!$B$4="All",'Compliance Database'!$A313=Query!$B$4),OR(Query!$B$5="All",ISNUMBER(SEARCH(Query!$B$5,'Compliance Database'!$H313))),OR(Query!$B$6="All",ISNUMBER(SEARCH(Query!$B$6,'Compliance Database'!$I313))),OR(Query!$B$7="All",'Compliance Database'!$F313=Query!$B$7),OR(Query!$B$8="All",'Compliance Database'!$J313=Query!$B$8),OR(Query!$B$9="",ISNUMBER(SEARCH(Query!$B$9,'Compliance Database'!$D313&amp;" "&amp;'Compliance Database'!$K313&amp;" "&amp;'Compliance Database'!$L313&amp;" "&amp;'Compliance Database'!$M313&amp;" "&amp;'Compliance Database'!$N313&amp;" "&amp;'Compliance Database'!$O313))),OR(Query!$B$10&lt;&gt;"Yes",'Compliance Database'!$F313&lt;&gt;"None")),1,0)</f>
        <v/>
      </c>
      <c r="B313">
        <f>IF($A313=1,SUM($A$2:$A313),"")</f>
        <v/>
      </c>
      <c r="C313">
        <f>IF($A313=1,SUM($A$2:$A313),0)</f>
        <v/>
      </c>
    </row>
    <row r="314">
      <c r="A314">
        <f>IF(AND(OR(Query!$B$4="All",'Compliance Database'!$A314=Query!$B$4),OR(Query!$B$5="All",ISNUMBER(SEARCH(Query!$B$5,'Compliance Database'!$H314))),OR(Query!$B$6="All",ISNUMBER(SEARCH(Query!$B$6,'Compliance Database'!$I314))),OR(Query!$B$7="All",'Compliance Database'!$F314=Query!$B$7),OR(Query!$B$8="All",'Compliance Database'!$J314=Query!$B$8),OR(Query!$B$9="",ISNUMBER(SEARCH(Query!$B$9,'Compliance Database'!$D314&amp;" "&amp;'Compliance Database'!$K314&amp;" "&amp;'Compliance Database'!$L314&amp;" "&amp;'Compliance Database'!$M314&amp;" "&amp;'Compliance Database'!$N314&amp;" "&amp;'Compliance Database'!$O314))),OR(Query!$B$10&lt;&gt;"Yes",'Compliance Database'!$F314&lt;&gt;"None")),1,0)</f>
        <v/>
      </c>
      <c r="B314">
        <f>IF($A314=1,SUM($A$2:$A314),"")</f>
        <v/>
      </c>
      <c r="C314">
        <f>IF($A314=1,SUM($A$2:$A314),0)</f>
        <v/>
      </c>
    </row>
    <row r="315">
      <c r="A315">
        <f>IF(AND(OR(Query!$B$4="All",'Compliance Database'!$A315=Query!$B$4),OR(Query!$B$5="All",ISNUMBER(SEARCH(Query!$B$5,'Compliance Database'!$H315))),OR(Query!$B$6="All",ISNUMBER(SEARCH(Query!$B$6,'Compliance Database'!$I315))),OR(Query!$B$7="All",'Compliance Database'!$F315=Query!$B$7),OR(Query!$B$8="All",'Compliance Database'!$J315=Query!$B$8),OR(Query!$B$9="",ISNUMBER(SEARCH(Query!$B$9,'Compliance Database'!$D315&amp;" "&amp;'Compliance Database'!$K315&amp;" "&amp;'Compliance Database'!$L315&amp;" "&amp;'Compliance Database'!$M315&amp;" "&amp;'Compliance Database'!$N315&amp;" "&amp;'Compliance Database'!$O315))),OR(Query!$B$10&lt;&gt;"Yes",'Compliance Database'!$F315&lt;&gt;"None")),1,0)</f>
        <v/>
      </c>
      <c r="B315">
        <f>IF($A315=1,SUM($A$2:$A315),"")</f>
        <v/>
      </c>
      <c r="C315">
        <f>IF($A315=1,SUM($A$2:$A315),0)</f>
        <v/>
      </c>
    </row>
    <row r="316">
      <c r="A316">
        <f>IF(AND(OR(Query!$B$4="All",'Compliance Database'!$A316=Query!$B$4),OR(Query!$B$5="All",ISNUMBER(SEARCH(Query!$B$5,'Compliance Database'!$H316))),OR(Query!$B$6="All",ISNUMBER(SEARCH(Query!$B$6,'Compliance Database'!$I316))),OR(Query!$B$7="All",'Compliance Database'!$F316=Query!$B$7),OR(Query!$B$8="All",'Compliance Database'!$J316=Query!$B$8),OR(Query!$B$9="",ISNUMBER(SEARCH(Query!$B$9,'Compliance Database'!$D316&amp;" "&amp;'Compliance Database'!$K316&amp;" "&amp;'Compliance Database'!$L316&amp;" "&amp;'Compliance Database'!$M316&amp;" "&amp;'Compliance Database'!$N316&amp;" "&amp;'Compliance Database'!$O316))),OR(Query!$B$10&lt;&gt;"Yes",'Compliance Database'!$F316&lt;&gt;"None")),1,0)</f>
        <v/>
      </c>
      <c r="B316">
        <f>IF($A316=1,SUM($A$2:$A316),"")</f>
        <v/>
      </c>
      <c r="C316">
        <f>IF($A316=1,SUM($A$2:$A316),0)</f>
        <v/>
      </c>
    </row>
    <row r="317">
      <c r="A317">
        <f>IF(AND(OR(Query!$B$4="All",'Compliance Database'!$A317=Query!$B$4),OR(Query!$B$5="All",ISNUMBER(SEARCH(Query!$B$5,'Compliance Database'!$H317))),OR(Query!$B$6="All",ISNUMBER(SEARCH(Query!$B$6,'Compliance Database'!$I317))),OR(Query!$B$7="All",'Compliance Database'!$F317=Query!$B$7),OR(Query!$B$8="All",'Compliance Database'!$J317=Query!$B$8),OR(Query!$B$9="",ISNUMBER(SEARCH(Query!$B$9,'Compliance Database'!$D317&amp;" "&amp;'Compliance Database'!$K317&amp;" "&amp;'Compliance Database'!$L317&amp;" "&amp;'Compliance Database'!$M317&amp;" "&amp;'Compliance Database'!$N317&amp;" "&amp;'Compliance Database'!$O317))),OR(Query!$B$10&lt;&gt;"Yes",'Compliance Database'!$F317&lt;&gt;"None")),1,0)</f>
        <v/>
      </c>
      <c r="B317">
        <f>IF($A317=1,SUM($A$2:$A317),"")</f>
        <v/>
      </c>
      <c r="C317">
        <f>IF($A317=1,SUM($A$2:$A317),0)</f>
        <v/>
      </c>
    </row>
    <row r="318">
      <c r="A318">
        <f>IF(AND(OR(Query!$B$4="All",'Compliance Database'!$A318=Query!$B$4),OR(Query!$B$5="All",ISNUMBER(SEARCH(Query!$B$5,'Compliance Database'!$H318))),OR(Query!$B$6="All",ISNUMBER(SEARCH(Query!$B$6,'Compliance Database'!$I318))),OR(Query!$B$7="All",'Compliance Database'!$F318=Query!$B$7),OR(Query!$B$8="All",'Compliance Database'!$J318=Query!$B$8),OR(Query!$B$9="",ISNUMBER(SEARCH(Query!$B$9,'Compliance Database'!$D318&amp;" "&amp;'Compliance Database'!$K318&amp;" "&amp;'Compliance Database'!$L318&amp;" "&amp;'Compliance Database'!$M318&amp;" "&amp;'Compliance Database'!$N318&amp;" "&amp;'Compliance Database'!$O318))),OR(Query!$B$10&lt;&gt;"Yes",'Compliance Database'!$F318&lt;&gt;"None")),1,0)</f>
        <v/>
      </c>
      <c r="B318">
        <f>IF($A318=1,SUM($A$2:$A318),"")</f>
        <v/>
      </c>
      <c r="C318">
        <f>IF($A318=1,SUM($A$2:$A318),0)</f>
        <v/>
      </c>
    </row>
    <row r="319">
      <c r="A319">
        <f>IF(AND(OR(Query!$B$4="All",'Compliance Database'!$A319=Query!$B$4),OR(Query!$B$5="All",ISNUMBER(SEARCH(Query!$B$5,'Compliance Database'!$H319))),OR(Query!$B$6="All",ISNUMBER(SEARCH(Query!$B$6,'Compliance Database'!$I319))),OR(Query!$B$7="All",'Compliance Database'!$F319=Query!$B$7),OR(Query!$B$8="All",'Compliance Database'!$J319=Query!$B$8),OR(Query!$B$9="",ISNUMBER(SEARCH(Query!$B$9,'Compliance Database'!$D319&amp;" "&amp;'Compliance Database'!$K319&amp;" "&amp;'Compliance Database'!$L319&amp;" "&amp;'Compliance Database'!$M319&amp;" "&amp;'Compliance Database'!$N319&amp;" "&amp;'Compliance Database'!$O319))),OR(Query!$B$10&lt;&gt;"Yes",'Compliance Database'!$F319&lt;&gt;"None")),1,0)</f>
        <v/>
      </c>
      <c r="B319">
        <f>IF($A319=1,SUM($A$2:$A319),"")</f>
        <v/>
      </c>
      <c r="C319">
        <f>IF($A319=1,SUM($A$2:$A319),0)</f>
        <v/>
      </c>
    </row>
    <row r="320">
      <c r="A320">
        <f>IF(AND(OR(Query!$B$4="All",'Compliance Database'!$A320=Query!$B$4),OR(Query!$B$5="All",ISNUMBER(SEARCH(Query!$B$5,'Compliance Database'!$H320))),OR(Query!$B$6="All",ISNUMBER(SEARCH(Query!$B$6,'Compliance Database'!$I320))),OR(Query!$B$7="All",'Compliance Database'!$F320=Query!$B$7),OR(Query!$B$8="All",'Compliance Database'!$J320=Query!$B$8),OR(Query!$B$9="",ISNUMBER(SEARCH(Query!$B$9,'Compliance Database'!$D320&amp;" "&amp;'Compliance Database'!$K320&amp;" "&amp;'Compliance Database'!$L320&amp;" "&amp;'Compliance Database'!$M320&amp;" "&amp;'Compliance Database'!$N320&amp;" "&amp;'Compliance Database'!$O320))),OR(Query!$B$10&lt;&gt;"Yes",'Compliance Database'!$F320&lt;&gt;"None")),1,0)</f>
        <v/>
      </c>
      <c r="B320">
        <f>IF($A320=1,SUM($A$2:$A320),"")</f>
        <v/>
      </c>
      <c r="C320">
        <f>IF($A320=1,SUM($A$2:$A320),0)</f>
        <v/>
      </c>
    </row>
    <row r="321">
      <c r="A321">
        <f>IF(AND(OR(Query!$B$4="All",'Compliance Database'!$A321=Query!$B$4),OR(Query!$B$5="All",ISNUMBER(SEARCH(Query!$B$5,'Compliance Database'!$H321))),OR(Query!$B$6="All",ISNUMBER(SEARCH(Query!$B$6,'Compliance Database'!$I321))),OR(Query!$B$7="All",'Compliance Database'!$F321=Query!$B$7),OR(Query!$B$8="All",'Compliance Database'!$J321=Query!$B$8),OR(Query!$B$9="",ISNUMBER(SEARCH(Query!$B$9,'Compliance Database'!$D321&amp;" "&amp;'Compliance Database'!$K321&amp;" "&amp;'Compliance Database'!$L321&amp;" "&amp;'Compliance Database'!$M321&amp;" "&amp;'Compliance Database'!$N321&amp;" "&amp;'Compliance Database'!$O321))),OR(Query!$B$10&lt;&gt;"Yes",'Compliance Database'!$F321&lt;&gt;"None")),1,0)</f>
        <v/>
      </c>
      <c r="B321">
        <f>IF($A321=1,SUM($A$2:$A321),"")</f>
        <v/>
      </c>
      <c r="C321">
        <f>IF($A321=1,SUM($A$2:$A321),0)</f>
        <v/>
      </c>
    </row>
    <row r="322">
      <c r="A322">
        <f>IF(AND(OR(Query!$B$4="All",'Compliance Database'!$A322=Query!$B$4),OR(Query!$B$5="All",ISNUMBER(SEARCH(Query!$B$5,'Compliance Database'!$H322))),OR(Query!$B$6="All",ISNUMBER(SEARCH(Query!$B$6,'Compliance Database'!$I322))),OR(Query!$B$7="All",'Compliance Database'!$F322=Query!$B$7),OR(Query!$B$8="All",'Compliance Database'!$J322=Query!$B$8),OR(Query!$B$9="",ISNUMBER(SEARCH(Query!$B$9,'Compliance Database'!$D322&amp;" "&amp;'Compliance Database'!$K322&amp;" "&amp;'Compliance Database'!$L322&amp;" "&amp;'Compliance Database'!$M322&amp;" "&amp;'Compliance Database'!$N322&amp;" "&amp;'Compliance Database'!$O322))),OR(Query!$B$10&lt;&gt;"Yes",'Compliance Database'!$F322&lt;&gt;"None")),1,0)</f>
        <v/>
      </c>
      <c r="B322">
        <f>IF($A322=1,SUM($A$2:$A322),"")</f>
        <v/>
      </c>
      <c r="C322">
        <f>IF($A322=1,SUM($A$2:$A322),0)</f>
        <v/>
      </c>
    </row>
    <row r="323">
      <c r="A323">
        <f>IF(AND(OR(Query!$B$4="All",'Compliance Database'!$A323=Query!$B$4),OR(Query!$B$5="All",ISNUMBER(SEARCH(Query!$B$5,'Compliance Database'!$H323))),OR(Query!$B$6="All",ISNUMBER(SEARCH(Query!$B$6,'Compliance Database'!$I323))),OR(Query!$B$7="All",'Compliance Database'!$F323=Query!$B$7),OR(Query!$B$8="All",'Compliance Database'!$J323=Query!$B$8),OR(Query!$B$9="",ISNUMBER(SEARCH(Query!$B$9,'Compliance Database'!$D323&amp;" "&amp;'Compliance Database'!$K323&amp;" "&amp;'Compliance Database'!$L323&amp;" "&amp;'Compliance Database'!$M323&amp;" "&amp;'Compliance Database'!$N323&amp;" "&amp;'Compliance Database'!$O323))),OR(Query!$B$10&lt;&gt;"Yes",'Compliance Database'!$F323&lt;&gt;"None")),1,0)</f>
        <v/>
      </c>
      <c r="B323">
        <f>IF($A323=1,SUM($A$2:$A323),"")</f>
        <v/>
      </c>
      <c r="C323">
        <f>IF($A323=1,SUM($A$2:$A323),0)</f>
        <v/>
      </c>
    </row>
    <row r="324">
      <c r="A324">
        <f>IF(AND(OR(Query!$B$4="All",'Compliance Database'!$A324=Query!$B$4),OR(Query!$B$5="All",ISNUMBER(SEARCH(Query!$B$5,'Compliance Database'!$H324))),OR(Query!$B$6="All",ISNUMBER(SEARCH(Query!$B$6,'Compliance Database'!$I324))),OR(Query!$B$7="All",'Compliance Database'!$F324=Query!$B$7),OR(Query!$B$8="All",'Compliance Database'!$J324=Query!$B$8),OR(Query!$B$9="",ISNUMBER(SEARCH(Query!$B$9,'Compliance Database'!$D324&amp;" "&amp;'Compliance Database'!$K324&amp;" "&amp;'Compliance Database'!$L324&amp;" "&amp;'Compliance Database'!$M324&amp;" "&amp;'Compliance Database'!$N324&amp;" "&amp;'Compliance Database'!$O324))),OR(Query!$B$10&lt;&gt;"Yes",'Compliance Database'!$F324&lt;&gt;"None")),1,0)</f>
        <v/>
      </c>
      <c r="B324">
        <f>IF($A324=1,SUM($A$2:$A324),"")</f>
        <v/>
      </c>
      <c r="C324">
        <f>IF($A324=1,SUM($A$2:$A324),0)</f>
        <v/>
      </c>
    </row>
    <row r="325">
      <c r="A325">
        <f>IF(AND(OR(Query!$B$4="All",'Compliance Database'!$A325=Query!$B$4),OR(Query!$B$5="All",ISNUMBER(SEARCH(Query!$B$5,'Compliance Database'!$H325))),OR(Query!$B$6="All",ISNUMBER(SEARCH(Query!$B$6,'Compliance Database'!$I325))),OR(Query!$B$7="All",'Compliance Database'!$F325=Query!$B$7),OR(Query!$B$8="All",'Compliance Database'!$J325=Query!$B$8),OR(Query!$B$9="",ISNUMBER(SEARCH(Query!$B$9,'Compliance Database'!$D325&amp;" "&amp;'Compliance Database'!$K325&amp;" "&amp;'Compliance Database'!$L325&amp;" "&amp;'Compliance Database'!$M325&amp;" "&amp;'Compliance Database'!$N325&amp;" "&amp;'Compliance Database'!$O325))),OR(Query!$B$10&lt;&gt;"Yes",'Compliance Database'!$F325&lt;&gt;"None")),1,0)</f>
        <v/>
      </c>
      <c r="B325">
        <f>IF($A325=1,SUM($A$2:$A325),"")</f>
        <v/>
      </c>
      <c r="C325">
        <f>IF($A325=1,SUM($A$2:$A325),0)</f>
        <v/>
      </c>
    </row>
    <row r="326">
      <c r="A326">
        <f>IF(AND(OR(Query!$B$4="All",'Compliance Database'!$A326=Query!$B$4),OR(Query!$B$5="All",ISNUMBER(SEARCH(Query!$B$5,'Compliance Database'!$H326))),OR(Query!$B$6="All",ISNUMBER(SEARCH(Query!$B$6,'Compliance Database'!$I326))),OR(Query!$B$7="All",'Compliance Database'!$F326=Query!$B$7),OR(Query!$B$8="All",'Compliance Database'!$J326=Query!$B$8),OR(Query!$B$9="",ISNUMBER(SEARCH(Query!$B$9,'Compliance Database'!$D326&amp;" "&amp;'Compliance Database'!$K326&amp;" "&amp;'Compliance Database'!$L326&amp;" "&amp;'Compliance Database'!$M326&amp;" "&amp;'Compliance Database'!$N326&amp;" "&amp;'Compliance Database'!$O326))),OR(Query!$B$10&lt;&gt;"Yes",'Compliance Database'!$F326&lt;&gt;"None")),1,0)</f>
        <v/>
      </c>
      <c r="B326">
        <f>IF($A326=1,SUM($A$2:$A326),"")</f>
        <v/>
      </c>
      <c r="C326">
        <f>IF($A326=1,SUM($A$2:$A326),0)</f>
        <v/>
      </c>
    </row>
    <row r="327">
      <c r="A327">
        <f>IF(AND(OR(Query!$B$4="All",'Compliance Database'!$A327=Query!$B$4),OR(Query!$B$5="All",ISNUMBER(SEARCH(Query!$B$5,'Compliance Database'!$H327))),OR(Query!$B$6="All",ISNUMBER(SEARCH(Query!$B$6,'Compliance Database'!$I327))),OR(Query!$B$7="All",'Compliance Database'!$F327=Query!$B$7),OR(Query!$B$8="All",'Compliance Database'!$J327=Query!$B$8),OR(Query!$B$9="",ISNUMBER(SEARCH(Query!$B$9,'Compliance Database'!$D327&amp;" "&amp;'Compliance Database'!$K327&amp;" "&amp;'Compliance Database'!$L327&amp;" "&amp;'Compliance Database'!$M327&amp;" "&amp;'Compliance Database'!$N327&amp;" "&amp;'Compliance Database'!$O327))),OR(Query!$B$10&lt;&gt;"Yes",'Compliance Database'!$F327&lt;&gt;"None")),1,0)</f>
        <v/>
      </c>
      <c r="B327">
        <f>IF($A327=1,SUM($A$2:$A327),"")</f>
        <v/>
      </c>
      <c r="C327">
        <f>IF($A327=1,SUM($A$2:$A327),0)</f>
        <v/>
      </c>
    </row>
    <row r="328">
      <c r="A328">
        <f>IF(AND(OR(Query!$B$4="All",'Compliance Database'!$A328=Query!$B$4),OR(Query!$B$5="All",ISNUMBER(SEARCH(Query!$B$5,'Compliance Database'!$H328))),OR(Query!$B$6="All",ISNUMBER(SEARCH(Query!$B$6,'Compliance Database'!$I328))),OR(Query!$B$7="All",'Compliance Database'!$F328=Query!$B$7),OR(Query!$B$8="All",'Compliance Database'!$J328=Query!$B$8),OR(Query!$B$9="",ISNUMBER(SEARCH(Query!$B$9,'Compliance Database'!$D328&amp;" "&amp;'Compliance Database'!$K328&amp;" "&amp;'Compliance Database'!$L328&amp;" "&amp;'Compliance Database'!$M328&amp;" "&amp;'Compliance Database'!$N328&amp;" "&amp;'Compliance Database'!$O328))),OR(Query!$B$10&lt;&gt;"Yes",'Compliance Database'!$F328&lt;&gt;"None")),1,0)</f>
        <v/>
      </c>
      <c r="B328">
        <f>IF($A328=1,SUM($A$2:$A328),"")</f>
        <v/>
      </c>
      <c r="C328">
        <f>IF($A328=1,SUM($A$2:$A328),0)</f>
        <v/>
      </c>
    </row>
    <row r="329">
      <c r="A329">
        <f>IF(AND(OR(Query!$B$4="All",'Compliance Database'!$A329=Query!$B$4),OR(Query!$B$5="All",ISNUMBER(SEARCH(Query!$B$5,'Compliance Database'!$H329))),OR(Query!$B$6="All",ISNUMBER(SEARCH(Query!$B$6,'Compliance Database'!$I329))),OR(Query!$B$7="All",'Compliance Database'!$F329=Query!$B$7),OR(Query!$B$8="All",'Compliance Database'!$J329=Query!$B$8),OR(Query!$B$9="",ISNUMBER(SEARCH(Query!$B$9,'Compliance Database'!$D329&amp;" "&amp;'Compliance Database'!$K329&amp;" "&amp;'Compliance Database'!$L329&amp;" "&amp;'Compliance Database'!$M329&amp;" "&amp;'Compliance Database'!$N329&amp;" "&amp;'Compliance Database'!$O329))),OR(Query!$B$10&lt;&gt;"Yes",'Compliance Database'!$F329&lt;&gt;"None")),1,0)</f>
        <v/>
      </c>
      <c r="B329">
        <f>IF($A329=1,SUM($A$2:$A329),"")</f>
        <v/>
      </c>
      <c r="C329">
        <f>IF($A329=1,SUM($A$2:$A329),0)</f>
        <v/>
      </c>
    </row>
    <row r="330">
      <c r="A330">
        <f>IF(AND(OR(Query!$B$4="All",'Compliance Database'!$A330=Query!$B$4),OR(Query!$B$5="All",ISNUMBER(SEARCH(Query!$B$5,'Compliance Database'!$H330))),OR(Query!$B$6="All",ISNUMBER(SEARCH(Query!$B$6,'Compliance Database'!$I330))),OR(Query!$B$7="All",'Compliance Database'!$F330=Query!$B$7),OR(Query!$B$8="All",'Compliance Database'!$J330=Query!$B$8),OR(Query!$B$9="",ISNUMBER(SEARCH(Query!$B$9,'Compliance Database'!$D330&amp;" "&amp;'Compliance Database'!$K330&amp;" "&amp;'Compliance Database'!$L330&amp;" "&amp;'Compliance Database'!$M330&amp;" "&amp;'Compliance Database'!$N330&amp;" "&amp;'Compliance Database'!$O330))),OR(Query!$B$10&lt;&gt;"Yes",'Compliance Database'!$F330&lt;&gt;"None")),1,0)</f>
        <v/>
      </c>
      <c r="B330">
        <f>IF($A330=1,SUM($A$2:$A330),"")</f>
        <v/>
      </c>
      <c r="C330">
        <f>IF($A330=1,SUM($A$2:$A330),0)</f>
        <v/>
      </c>
    </row>
    <row r="331">
      <c r="A331">
        <f>IF(AND(OR(Query!$B$4="All",'Compliance Database'!$A331=Query!$B$4),OR(Query!$B$5="All",ISNUMBER(SEARCH(Query!$B$5,'Compliance Database'!$H331))),OR(Query!$B$6="All",ISNUMBER(SEARCH(Query!$B$6,'Compliance Database'!$I331))),OR(Query!$B$7="All",'Compliance Database'!$F331=Query!$B$7),OR(Query!$B$8="All",'Compliance Database'!$J331=Query!$B$8),OR(Query!$B$9="",ISNUMBER(SEARCH(Query!$B$9,'Compliance Database'!$D331&amp;" "&amp;'Compliance Database'!$K331&amp;" "&amp;'Compliance Database'!$L331&amp;" "&amp;'Compliance Database'!$M331&amp;" "&amp;'Compliance Database'!$N331&amp;" "&amp;'Compliance Database'!$O331))),OR(Query!$B$10&lt;&gt;"Yes",'Compliance Database'!$F331&lt;&gt;"None")),1,0)</f>
        <v/>
      </c>
      <c r="B331">
        <f>IF($A331=1,SUM($A$2:$A331),"")</f>
        <v/>
      </c>
      <c r="C331">
        <f>IF($A331=1,SUM($A$2:$A331),0)</f>
        <v/>
      </c>
    </row>
    <row r="332">
      <c r="A332">
        <f>IF(AND(OR(Query!$B$4="All",'Compliance Database'!$A332=Query!$B$4),OR(Query!$B$5="All",ISNUMBER(SEARCH(Query!$B$5,'Compliance Database'!$H332))),OR(Query!$B$6="All",ISNUMBER(SEARCH(Query!$B$6,'Compliance Database'!$I332))),OR(Query!$B$7="All",'Compliance Database'!$F332=Query!$B$7),OR(Query!$B$8="All",'Compliance Database'!$J332=Query!$B$8),OR(Query!$B$9="",ISNUMBER(SEARCH(Query!$B$9,'Compliance Database'!$D332&amp;" "&amp;'Compliance Database'!$K332&amp;" "&amp;'Compliance Database'!$L332&amp;" "&amp;'Compliance Database'!$M332&amp;" "&amp;'Compliance Database'!$N332&amp;" "&amp;'Compliance Database'!$O332))),OR(Query!$B$10&lt;&gt;"Yes",'Compliance Database'!$F332&lt;&gt;"None")),1,0)</f>
        <v/>
      </c>
      <c r="B332">
        <f>IF($A332=1,SUM($A$2:$A332),"")</f>
        <v/>
      </c>
      <c r="C332">
        <f>IF($A332=1,SUM($A$2:$A332),0)</f>
        <v/>
      </c>
    </row>
    <row r="333">
      <c r="A333">
        <f>IF(AND(OR(Query!$B$4="All",'Compliance Database'!$A333=Query!$B$4),OR(Query!$B$5="All",ISNUMBER(SEARCH(Query!$B$5,'Compliance Database'!$H333))),OR(Query!$B$6="All",ISNUMBER(SEARCH(Query!$B$6,'Compliance Database'!$I333))),OR(Query!$B$7="All",'Compliance Database'!$F333=Query!$B$7),OR(Query!$B$8="All",'Compliance Database'!$J333=Query!$B$8),OR(Query!$B$9="",ISNUMBER(SEARCH(Query!$B$9,'Compliance Database'!$D333&amp;" "&amp;'Compliance Database'!$K333&amp;" "&amp;'Compliance Database'!$L333&amp;" "&amp;'Compliance Database'!$M333&amp;" "&amp;'Compliance Database'!$N333&amp;" "&amp;'Compliance Database'!$O333))),OR(Query!$B$10&lt;&gt;"Yes",'Compliance Database'!$F333&lt;&gt;"None")),1,0)</f>
        <v/>
      </c>
      <c r="B333">
        <f>IF($A333=1,SUM($A$2:$A333),"")</f>
        <v/>
      </c>
      <c r="C333">
        <f>IF($A333=1,SUM($A$2:$A333),0)</f>
        <v/>
      </c>
    </row>
    <row r="334">
      <c r="A334">
        <f>IF(AND(OR(Query!$B$4="All",'Compliance Database'!$A334=Query!$B$4),OR(Query!$B$5="All",ISNUMBER(SEARCH(Query!$B$5,'Compliance Database'!$H334))),OR(Query!$B$6="All",ISNUMBER(SEARCH(Query!$B$6,'Compliance Database'!$I334))),OR(Query!$B$7="All",'Compliance Database'!$F334=Query!$B$7),OR(Query!$B$8="All",'Compliance Database'!$J334=Query!$B$8),OR(Query!$B$9="",ISNUMBER(SEARCH(Query!$B$9,'Compliance Database'!$D334&amp;" "&amp;'Compliance Database'!$K334&amp;" "&amp;'Compliance Database'!$L334&amp;" "&amp;'Compliance Database'!$M334&amp;" "&amp;'Compliance Database'!$N334&amp;" "&amp;'Compliance Database'!$O334))),OR(Query!$B$10&lt;&gt;"Yes",'Compliance Database'!$F334&lt;&gt;"None")),1,0)</f>
        <v/>
      </c>
      <c r="B334">
        <f>IF($A334=1,SUM($A$2:$A334),"")</f>
        <v/>
      </c>
      <c r="C334">
        <f>IF($A334=1,SUM($A$2:$A334),0)</f>
        <v/>
      </c>
    </row>
    <row r="335">
      <c r="A335">
        <f>IF(AND(OR(Query!$B$4="All",'Compliance Database'!$A335=Query!$B$4),OR(Query!$B$5="All",ISNUMBER(SEARCH(Query!$B$5,'Compliance Database'!$H335))),OR(Query!$B$6="All",ISNUMBER(SEARCH(Query!$B$6,'Compliance Database'!$I335))),OR(Query!$B$7="All",'Compliance Database'!$F335=Query!$B$7),OR(Query!$B$8="All",'Compliance Database'!$J335=Query!$B$8),OR(Query!$B$9="",ISNUMBER(SEARCH(Query!$B$9,'Compliance Database'!$D335&amp;" "&amp;'Compliance Database'!$K335&amp;" "&amp;'Compliance Database'!$L335&amp;" "&amp;'Compliance Database'!$M335&amp;" "&amp;'Compliance Database'!$N335&amp;" "&amp;'Compliance Database'!$O335))),OR(Query!$B$10&lt;&gt;"Yes",'Compliance Database'!$F335&lt;&gt;"None")),1,0)</f>
        <v/>
      </c>
      <c r="B335">
        <f>IF($A335=1,SUM($A$2:$A335),"")</f>
        <v/>
      </c>
      <c r="C335">
        <f>IF($A335=1,SUM($A$2:$A335),0)</f>
        <v/>
      </c>
    </row>
    <row r="336">
      <c r="A336">
        <f>IF(AND(OR(Query!$B$4="All",'Compliance Database'!$A336=Query!$B$4),OR(Query!$B$5="All",ISNUMBER(SEARCH(Query!$B$5,'Compliance Database'!$H336))),OR(Query!$B$6="All",ISNUMBER(SEARCH(Query!$B$6,'Compliance Database'!$I336))),OR(Query!$B$7="All",'Compliance Database'!$F336=Query!$B$7),OR(Query!$B$8="All",'Compliance Database'!$J336=Query!$B$8),OR(Query!$B$9="",ISNUMBER(SEARCH(Query!$B$9,'Compliance Database'!$D336&amp;" "&amp;'Compliance Database'!$K336&amp;" "&amp;'Compliance Database'!$L336&amp;" "&amp;'Compliance Database'!$M336&amp;" "&amp;'Compliance Database'!$N336&amp;" "&amp;'Compliance Database'!$O336))),OR(Query!$B$10&lt;&gt;"Yes",'Compliance Database'!$F336&lt;&gt;"None")),1,0)</f>
        <v/>
      </c>
      <c r="B336">
        <f>IF($A336=1,SUM($A$2:$A336),"")</f>
        <v/>
      </c>
      <c r="C336">
        <f>IF($A336=1,SUM($A$2:$A336),0)</f>
        <v/>
      </c>
    </row>
    <row r="337">
      <c r="A337">
        <f>IF(AND(OR(Query!$B$4="All",'Compliance Database'!$A337=Query!$B$4),OR(Query!$B$5="All",ISNUMBER(SEARCH(Query!$B$5,'Compliance Database'!$H337))),OR(Query!$B$6="All",ISNUMBER(SEARCH(Query!$B$6,'Compliance Database'!$I337))),OR(Query!$B$7="All",'Compliance Database'!$F337=Query!$B$7),OR(Query!$B$8="All",'Compliance Database'!$J337=Query!$B$8),OR(Query!$B$9="",ISNUMBER(SEARCH(Query!$B$9,'Compliance Database'!$D337&amp;" "&amp;'Compliance Database'!$K337&amp;" "&amp;'Compliance Database'!$L337&amp;" "&amp;'Compliance Database'!$M337&amp;" "&amp;'Compliance Database'!$N337&amp;" "&amp;'Compliance Database'!$O337))),OR(Query!$B$10&lt;&gt;"Yes",'Compliance Database'!$F337&lt;&gt;"None")),1,0)</f>
        <v/>
      </c>
      <c r="B337">
        <f>IF($A337=1,SUM($A$2:$A337),"")</f>
        <v/>
      </c>
      <c r="C337">
        <f>IF($A337=1,SUM($A$2:$A337),0)</f>
        <v/>
      </c>
    </row>
    <row r="338">
      <c r="A338">
        <f>IF(AND(OR(Query!$B$4="All",'Compliance Database'!$A338=Query!$B$4),OR(Query!$B$5="All",ISNUMBER(SEARCH(Query!$B$5,'Compliance Database'!$H338))),OR(Query!$B$6="All",ISNUMBER(SEARCH(Query!$B$6,'Compliance Database'!$I338))),OR(Query!$B$7="All",'Compliance Database'!$F338=Query!$B$7),OR(Query!$B$8="All",'Compliance Database'!$J338=Query!$B$8),OR(Query!$B$9="",ISNUMBER(SEARCH(Query!$B$9,'Compliance Database'!$D338&amp;" "&amp;'Compliance Database'!$K338&amp;" "&amp;'Compliance Database'!$L338&amp;" "&amp;'Compliance Database'!$M338&amp;" "&amp;'Compliance Database'!$N338&amp;" "&amp;'Compliance Database'!$O338))),OR(Query!$B$10&lt;&gt;"Yes",'Compliance Database'!$F338&lt;&gt;"None")),1,0)</f>
        <v/>
      </c>
      <c r="B338">
        <f>IF($A338=1,SUM($A$2:$A338),"")</f>
        <v/>
      </c>
      <c r="C338">
        <f>IF($A338=1,SUM($A$2:$A338),0)</f>
        <v/>
      </c>
    </row>
    <row r="339">
      <c r="A339">
        <f>IF(AND(OR(Query!$B$4="All",'Compliance Database'!$A339=Query!$B$4),OR(Query!$B$5="All",ISNUMBER(SEARCH(Query!$B$5,'Compliance Database'!$H339))),OR(Query!$B$6="All",ISNUMBER(SEARCH(Query!$B$6,'Compliance Database'!$I339))),OR(Query!$B$7="All",'Compliance Database'!$F339=Query!$B$7),OR(Query!$B$8="All",'Compliance Database'!$J339=Query!$B$8),OR(Query!$B$9="",ISNUMBER(SEARCH(Query!$B$9,'Compliance Database'!$D339&amp;" "&amp;'Compliance Database'!$K339&amp;" "&amp;'Compliance Database'!$L339&amp;" "&amp;'Compliance Database'!$M339&amp;" "&amp;'Compliance Database'!$N339&amp;" "&amp;'Compliance Database'!$O339))),OR(Query!$B$10&lt;&gt;"Yes",'Compliance Database'!$F339&lt;&gt;"None")),1,0)</f>
        <v/>
      </c>
      <c r="B339">
        <f>IF($A339=1,SUM($A$2:$A339),"")</f>
        <v/>
      </c>
      <c r="C339">
        <f>IF($A339=1,SUM($A$2:$A339),0)</f>
        <v/>
      </c>
    </row>
    <row r="340">
      <c r="A340">
        <f>IF(AND(OR(Query!$B$4="All",'Compliance Database'!$A340=Query!$B$4),OR(Query!$B$5="All",ISNUMBER(SEARCH(Query!$B$5,'Compliance Database'!$H340))),OR(Query!$B$6="All",ISNUMBER(SEARCH(Query!$B$6,'Compliance Database'!$I340))),OR(Query!$B$7="All",'Compliance Database'!$F340=Query!$B$7),OR(Query!$B$8="All",'Compliance Database'!$J340=Query!$B$8),OR(Query!$B$9="",ISNUMBER(SEARCH(Query!$B$9,'Compliance Database'!$D340&amp;" "&amp;'Compliance Database'!$K340&amp;" "&amp;'Compliance Database'!$L340&amp;" "&amp;'Compliance Database'!$M340&amp;" "&amp;'Compliance Database'!$N340&amp;" "&amp;'Compliance Database'!$O340))),OR(Query!$B$10&lt;&gt;"Yes",'Compliance Database'!$F340&lt;&gt;"None")),1,0)</f>
        <v/>
      </c>
      <c r="B340">
        <f>IF($A340=1,SUM($A$2:$A340),"")</f>
        <v/>
      </c>
      <c r="C340">
        <f>IF($A340=1,SUM($A$2:$A340),0)</f>
        <v/>
      </c>
    </row>
    <row r="341">
      <c r="A341">
        <f>IF(AND(OR(Query!$B$4="All",'Compliance Database'!$A341=Query!$B$4),OR(Query!$B$5="All",ISNUMBER(SEARCH(Query!$B$5,'Compliance Database'!$H341))),OR(Query!$B$6="All",ISNUMBER(SEARCH(Query!$B$6,'Compliance Database'!$I341))),OR(Query!$B$7="All",'Compliance Database'!$F341=Query!$B$7),OR(Query!$B$8="All",'Compliance Database'!$J341=Query!$B$8),OR(Query!$B$9="",ISNUMBER(SEARCH(Query!$B$9,'Compliance Database'!$D341&amp;" "&amp;'Compliance Database'!$K341&amp;" "&amp;'Compliance Database'!$L341&amp;" "&amp;'Compliance Database'!$M341&amp;" "&amp;'Compliance Database'!$N341&amp;" "&amp;'Compliance Database'!$O341))),OR(Query!$B$10&lt;&gt;"Yes",'Compliance Database'!$F341&lt;&gt;"None")),1,0)</f>
        <v/>
      </c>
      <c r="B341">
        <f>IF($A341=1,SUM($A$2:$A341),"")</f>
        <v/>
      </c>
      <c r="C341">
        <f>IF($A341=1,SUM($A$2:$A341),0)</f>
        <v/>
      </c>
    </row>
    <row r="342">
      <c r="A342">
        <f>IF(AND(OR(Query!$B$4="All",'Compliance Database'!$A342=Query!$B$4),OR(Query!$B$5="All",ISNUMBER(SEARCH(Query!$B$5,'Compliance Database'!$H342))),OR(Query!$B$6="All",ISNUMBER(SEARCH(Query!$B$6,'Compliance Database'!$I342))),OR(Query!$B$7="All",'Compliance Database'!$F342=Query!$B$7),OR(Query!$B$8="All",'Compliance Database'!$J342=Query!$B$8),OR(Query!$B$9="",ISNUMBER(SEARCH(Query!$B$9,'Compliance Database'!$D342&amp;" "&amp;'Compliance Database'!$K342&amp;" "&amp;'Compliance Database'!$L342&amp;" "&amp;'Compliance Database'!$M342&amp;" "&amp;'Compliance Database'!$N342&amp;" "&amp;'Compliance Database'!$O342))),OR(Query!$B$10&lt;&gt;"Yes",'Compliance Database'!$F342&lt;&gt;"None")),1,0)</f>
        <v/>
      </c>
      <c r="B342">
        <f>IF($A342=1,SUM($A$2:$A342),"")</f>
        <v/>
      </c>
      <c r="C342">
        <f>IF($A342=1,SUM($A$2:$A342),0)</f>
        <v/>
      </c>
    </row>
    <row r="343">
      <c r="A343">
        <f>IF(AND(OR(Query!$B$4="All",'Compliance Database'!$A343=Query!$B$4),OR(Query!$B$5="All",ISNUMBER(SEARCH(Query!$B$5,'Compliance Database'!$H343))),OR(Query!$B$6="All",ISNUMBER(SEARCH(Query!$B$6,'Compliance Database'!$I343))),OR(Query!$B$7="All",'Compliance Database'!$F343=Query!$B$7),OR(Query!$B$8="All",'Compliance Database'!$J343=Query!$B$8),OR(Query!$B$9="",ISNUMBER(SEARCH(Query!$B$9,'Compliance Database'!$D343&amp;" "&amp;'Compliance Database'!$K343&amp;" "&amp;'Compliance Database'!$L343&amp;" "&amp;'Compliance Database'!$M343&amp;" "&amp;'Compliance Database'!$N343&amp;" "&amp;'Compliance Database'!$O343))),OR(Query!$B$10&lt;&gt;"Yes",'Compliance Database'!$F343&lt;&gt;"None")),1,0)</f>
        <v/>
      </c>
      <c r="B343">
        <f>IF($A343=1,SUM($A$2:$A343),"")</f>
        <v/>
      </c>
      <c r="C343">
        <f>IF($A343=1,SUM($A$2:$A343),0)</f>
        <v/>
      </c>
    </row>
    <row r="344">
      <c r="A344">
        <f>IF(AND(OR(Query!$B$4="All",'Compliance Database'!$A344=Query!$B$4),OR(Query!$B$5="All",ISNUMBER(SEARCH(Query!$B$5,'Compliance Database'!$H344))),OR(Query!$B$6="All",ISNUMBER(SEARCH(Query!$B$6,'Compliance Database'!$I344))),OR(Query!$B$7="All",'Compliance Database'!$F344=Query!$B$7),OR(Query!$B$8="All",'Compliance Database'!$J344=Query!$B$8),OR(Query!$B$9="",ISNUMBER(SEARCH(Query!$B$9,'Compliance Database'!$D344&amp;" "&amp;'Compliance Database'!$K344&amp;" "&amp;'Compliance Database'!$L344&amp;" "&amp;'Compliance Database'!$M344&amp;" "&amp;'Compliance Database'!$N344&amp;" "&amp;'Compliance Database'!$O344))),OR(Query!$B$10&lt;&gt;"Yes",'Compliance Database'!$F344&lt;&gt;"None")),1,0)</f>
        <v/>
      </c>
      <c r="B344">
        <f>IF($A344=1,SUM($A$2:$A344),"")</f>
        <v/>
      </c>
      <c r="C344">
        <f>IF($A344=1,SUM($A$2:$A344),0)</f>
        <v/>
      </c>
    </row>
    <row r="345">
      <c r="A345">
        <f>IF(AND(OR(Query!$B$4="All",'Compliance Database'!$A345=Query!$B$4),OR(Query!$B$5="All",ISNUMBER(SEARCH(Query!$B$5,'Compliance Database'!$H345))),OR(Query!$B$6="All",ISNUMBER(SEARCH(Query!$B$6,'Compliance Database'!$I345))),OR(Query!$B$7="All",'Compliance Database'!$F345=Query!$B$7),OR(Query!$B$8="All",'Compliance Database'!$J345=Query!$B$8),OR(Query!$B$9="",ISNUMBER(SEARCH(Query!$B$9,'Compliance Database'!$D345&amp;" "&amp;'Compliance Database'!$K345&amp;" "&amp;'Compliance Database'!$L345&amp;" "&amp;'Compliance Database'!$M345&amp;" "&amp;'Compliance Database'!$N345&amp;" "&amp;'Compliance Database'!$O345))),OR(Query!$B$10&lt;&gt;"Yes",'Compliance Database'!$F345&lt;&gt;"None")),1,0)</f>
        <v/>
      </c>
      <c r="B345">
        <f>IF($A345=1,SUM($A$2:$A345),"")</f>
        <v/>
      </c>
      <c r="C345">
        <f>IF($A345=1,SUM($A$2:$A345),0)</f>
        <v/>
      </c>
    </row>
    <row r="346">
      <c r="A346">
        <f>IF(AND(OR(Query!$B$4="All",'Compliance Database'!$A346=Query!$B$4),OR(Query!$B$5="All",ISNUMBER(SEARCH(Query!$B$5,'Compliance Database'!$H346))),OR(Query!$B$6="All",ISNUMBER(SEARCH(Query!$B$6,'Compliance Database'!$I346))),OR(Query!$B$7="All",'Compliance Database'!$F346=Query!$B$7),OR(Query!$B$8="All",'Compliance Database'!$J346=Query!$B$8),OR(Query!$B$9="",ISNUMBER(SEARCH(Query!$B$9,'Compliance Database'!$D346&amp;" "&amp;'Compliance Database'!$K346&amp;" "&amp;'Compliance Database'!$L346&amp;" "&amp;'Compliance Database'!$M346&amp;" "&amp;'Compliance Database'!$N346&amp;" "&amp;'Compliance Database'!$O346))),OR(Query!$B$10&lt;&gt;"Yes",'Compliance Database'!$F346&lt;&gt;"None")),1,0)</f>
        <v/>
      </c>
      <c r="B346">
        <f>IF($A346=1,SUM($A$2:$A346),"")</f>
        <v/>
      </c>
      <c r="C346">
        <f>IF($A346=1,SUM($A$2:$A346),0)</f>
        <v/>
      </c>
    </row>
    <row r="347">
      <c r="A347">
        <f>IF(AND(OR(Query!$B$4="All",'Compliance Database'!$A347=Query!$B$4),OR(Query!$B$5="All",ISNUMBER(SEARCH(Query!$B$5,'Compliance Database'!$H347))),OR(Query!$B$6="All",ISNUMBER(SEARCH(Query!$B$6,'Compliance Database'!$I347))),OR(Query!$B$7="All",'Compliance Database'!$F347=Query!$B$7),OR(Query!$B$8="All",'Compliance Database'!$J347=Query!$B$8),OR(Query!$B$9="",ISNUMBER(SEARCH(Query!$B$9,'Compliance Database'!$D347&amp;" "&amp;'Compliance Database'!$K347&amp;" "&amp;'Compliance Database'!$L347&amp;" "&amp;'Compliance Database'!$M347&amp;" "&amp;'Compliance Database'!$N347&amp;" "&amp;'Compliance Database'!$O347))),OR(Query!$B$10&lt;&gt;"Yes",'Compliance Database'!$F347&lt;&gt;"None")),1,0)</f>
        <v/>
      </c>
      <c r="B347">
        <f>IF($A347=1,SUM($A$2:$A347),"")</f>
        <v/>
      </c>
      <c r="C347">
        <f>IF($A347=1,SUM($A$2:$A347),0)</f>
        <v/>
      </c>
    </row>
    <row r="348">
      <c r="A348">
        <f>IF(AND(OR(Query!$B$4="All",'Compliance Database'!$A348=Query!$B$4),OR(Query!$B$5="All",ISNUMBER(SEARCH(Query!$B$5,'Compliance Database'!$H348))),OR(Query!$B$6="All",ISNUMBER(SEARCH(Query!$B$6,'Compliance Database'!$I348))),OR(Query!$B$7="All",'Compliance Database'!$F348=Query!$B$7),OR(Query!$B$8="All",'Compliance Database'!$J348=Query!$B$8),OR(Query!$B$9="",ISNUMBER(SEARCH(Query!$B$9,'Compliance Database'!$D348&amp;" "&amp;'Compliance Database'!$K348&amp;" "&amp;'Compliance Database'!$L348&amp;" "&amp;'Compliance Database'!$M348&amp;" "&amp;'Compliance Database'!$N348&amp;" "&amp;'Compliance Database'!$O348))),OR(Query!$B$10&lt;&gt;"Yes",'Compliance Database'!$F348&lt;&gt;"None")),1,0)</f>
        <v/>
      </c>
      <c r="B348">
        <f>IF($A348=1,SUM($A$2:$A348),"")</f>
        <v/>
      </c>
      <c r="C348">
        <f>IF($A348=1,SUM($A$2:$A348),0)</f>
        <v/>
      </c>
    </row>
    <row r="349">
      <c r="A349">
        <f>IF(AND(OR(Query!$B$4="All",'Compliance Database'!$A349=Query!$B$4),OR(Query!$B$5="All",ISNUMBER(SEARCH(Query!$B$5,'Compliance Database'!$H349))),OR(Query!$B$6="All",ISNUMBER(SEARCH(Query!$B$6,'Compliance Database'!$I349))),OR(Query!$B$7="All",'Compliance Database'!$F349=Query!$B$7),OR(Query!$B$8="All",'Compliance Database'!$J349=Query!$B$8),OR(Query!$B$9="",ISNUMBER(SEARCH(Query!$B$9,'Compliance Database'!$D349&amp;" "&amp;'Compliance Database'!$K349&amp;" "&amp;'Compliance Database'!$L349&amp;" "&amp;'Compliance Database'!$M349&amp;" "&amp;'Compliance Database'!$N349&amp;" "&amp;'Compliance Database'!$O349))),OR(Query!$B$10&lt;&gt;"Yes",'Compliance Database'!$F349&lt;&gt;"None")),1,0)</f>
        <v/>
      </c>
      <c r="B349">
        <f>IF($A349=1,SUM($A$2:$A349),"")</f>
        <v/>
      </c>
      <c r="C349">
        <f>IF($A349=1,SUM($A$2:$A349),0)</f>
        <v/>
      </c>
    </row>
    <row r="350">
      <c r="A350">
        <f>IF(AND(OR(Query!$B$4="All",'Compliance Database'!$A350=Query!$B$4),OR(Query!$B$5="All",ISNUMBER(SEARCH(Query!$B$5,'Compliance Database'!$H350))),OR(Query!$B$6="All",ISNUMBER(SEARCH(Query!$B$6,'Compliance Database'!$I350))),OR(Query!$B$7="All",'Compliance Database'!$F350=Query!$B$7),OR(Query!$B$8="All",'Compliance Database'!$J350=Query!$B$8),OR(Query!$B$9="",ISNUMBER(SEARCH(Query!$B$9,'Compliance Database'!$D350&amp;" "&amp;'Compliance Database'!$K350&amp;" "&amp;'Compliance Database'!$L350&amp;" "&amp;'Compliance Database'!$M350&amp;" "&amp;'Compliance Database'!$N350&amp;" "&amp;'Compliance Database'!$O350))),OR(Query!$B$10&lt;&gt;"Yes",'Compliance Database'!$F350&lt;&gt;"None")),1,0)</f>
        <v/>
      </c>
      <c r="B350">
        <f>IF($A350=1,SUM($A$2:$A350),"")</f>
        <v/>
      </c>
      <c r="C350">
        <f>IF($A350=1,SUM($A$2:$A350),0)</f>
        <v/>
      </c>
    </row>
    <row r="351">
      <c r="A351">
        <f>IF(AND(OR(Query!$B$4="All",'Compliance Database'!$A351=Query!$B$4),OR(Query!$B$5="All",ISNUMBER(SEARCH(Query!$B$5,'Compliance Database'!$H351))),OR(Query!$B$6="All",ISNUMBER(SEARCH(Query!$B$6,'Compliance Database'!$I351))),OR(Query!$B$7="All",'Compliance Database'!$F351=Query!$B$7),OR(Query!$B$8="All",'Compliance Database'!$J351=Query!$B$8),OR(Query!$B$9="",ISNUMBER(SEARCH(Query!$B$9,'Compliance Database'!$D351&amp;" "&amp;'Compliance Database'!$K351&amp;" "&amp;'Compliance Database'!$L351&amp;" "&amp;'Compliance Database'!$M351&amp;" "&amp;'Compliance Database'!$N351&amp;" "&amp;'Compliance Database'!$O351))),OR(Query!$B$10&lt;&gt;"Yes",'Compliance Database'!$F351&lt;&gt;"None")),1,0)</f>
        <v/>
      </c>
      <c r="B351">
        <f>IF($A351=1,SUM($A$2:$A351),"")</f>
        <v/>
      </c>
      <c r="C351">
        <f>IF($A351=1,SUM($A$2:$A351),0)</f>
        <v/>
      </c>
    </row>
    <row r="352">
      <c r="A352">
        <f>IF(AND(OR(Query!$B$4="All",'Compliance Database'!$A352=Query!$B$4),OR(Query!$B$5="All",ISNUMBER(SEARCH(Query!$B$5,'Compliance Database'!$H352))),OR(Query!$B$6="All",ISNUMBER(SEARCH(Query!$B$6,'Compliance Database'!$I352))),OR(Query!$B$7="All",'Compliance Database'!$F352=Query!$B$7),OR(Query!$B$8="All",'Compliance Database'!$J352=Query!$B$8),OR(Query!$B$9="",ISNUMBER(SEARCH(Query!$B$9,'Compliance Database'!$D352&amp;" "&amp;'Compliance Database'!$K352&amp;" "&amp;'Compliance Database'!$L352&amp;" "&amp;'Compliance Database'!$M352&amp;" "&amp;'Compliance Database'!$N352&amp;" "&amp;'Compliance Database'!$O352))),OR(Query!$B$10&lt;&gt;"Yes",'Compliance Database'!$F352&lt;&gt;"None")),1,0)</f>
        <v/>
      </c>
      <c r="B352">
        <f>IF($A352=1,SUM($A$2:$A352),"")</f>
        <v/>
      </c>
      <c r="C352">
        <f>IF($A352=1,SUM($A$2:$A352),0)</f>
        <v/>
      </c>
    </row>
    <row r="353">
      <c r="A353">
        <f>IF(AND(OR(Query!$B$4="All",'Compliance Database'!$A353=Query!$B$4),OR(Query!$B$5="All",ISNUMBER(SEARCH(Query!$B$5,'Compliance Database'!$H353))),OR(Query!$B$6="All",ISNUMBER(SEARCH(Query!$B$6,'Compliance Database'!$I353))),OR(Query!$B$7="All",'Compliance Database'!$F353=Query!$B$7),OR(Query!$B$8="All",'Compliance Database'!$J353=Query!$B$8),OR(Query!$B$9="",ISNUMBER(SEARCH(Query!$B$9,'Compliance Database'!$D353&amp;" "&amp;'Compliance Database'!$K353&amp;" "&amp;'Compliance Database'!$L353&amp;" "&amp;'Compliance Database'!$M353&amp;" "&amp;'Compliance Database'!$N353&amp;" "&amp;'Compliance Database'!$O353))),OR(Query!$B$10&lt;&gt;"Yes",'Compliance Database'!$F353&lt;&gt;"None")),1,0)</f>
        <v/>
      </c>
      <c r="B353">
        <f>IF($A353=1,SUM($A$2:$A353),"")</f>
        <v/>
      </c>
      <c r="C353">
        <f>IF($A353=1,SUM($A$2:$A353),0)</f>
        <v/>
      </c>
    </row>
    <row r="354">
      <c r="A354">
        <f>IF(AND(OR(Query!$B$4="All",'Compliance Database'!$A354=Query!$B$4),OR(Query!$B$5="All",ISNUMBER(SEARCH(Query!$B$5,'Compliance Database'!$H354))),OR(Query!$B$6="All",ISNUMBER(SEARCH(Query!$B$6,'Compliance Database'!$I354))),OR(Query!$B$7="All",'Compliance Database'!$F354=Query!$B$7),OR(Query!$B$8="All",'Compliance Database'!$J354=Query!$B$8),OR(Query!$B$9="",ISNUMBER(SEARCH(Query!$B$9,'Compliance Database'!$D354&amp;" "&amp;'Compliance Database'!$K354&amp;" "&amp;'Compliance Database'!$L354&amp;" "&amp;'Compliance Database'!$M354&amp;" "&amp;'Compliance Database'!$N354&amp;" "&amp;'Compliance Database'!$O354))),OR(Query!$B$10&lt;&gt;"Yes",'Compliance Database'!$F354&lt;&gt;"None")),1,0)</f>
        <v/>
      </c>
      <c r="B354">
        <f>IF($A354=1,SUM($A$2:$A354),"")</f>
        <v/>
      </c>
      <c r="C354">
        <f>IF($A354=1,SUM($A$2:$A354),0)</f>
        <v/>
      </c>
    </row>
    <row r="355">
      <c r="A355">
        <f>IF(AND(OR(Query!$B$4="All",'Compliance Database'!$A355=Query!$B$4),OR(Query!$B$5="All",ISNUMBER(SEARCH(Query!$B$5,'Compliance Database'!$H355))),OR(Query!$B$6="All",ISNUMBER(SEARCH(Query!$B$6,'Compliance Database'!$I355))),OR(Query!$B$7="All",'Compliance Database'!$F355=Query!$B$7),OR(Query!$B$8="All",'Compliance Database'!$J355=Query!$B$8),OR(Query!$B$9="",ISNUMBER(SEARCH(Query!$B$9,'Compliance Database'!$D355&amp;" "&amp;'Compliance Database'!$K355&amp;" "&amp;'Compliance Database'!$L355&amp;" "&amp;'Compliance Database'!$M355&amp;" "&amp;'Compliance Database'!$N355&amp;" "&amp;'Compliance Database'!$O355))),OR(Query!$B$10&lt;&gt;"Yes",'Compliance Database'!$F355&lt;&gt;"None")),1,0)</f>
        <v/>
      </c>
      <c r="B355">
        <f>IF($A355=1,SUM($A$2:$A355),"")</f>
        <v/>
      </c>
      <c r="C355">
        <f>IF($A355=1,SUM($A$2:$A355),0)</f>
        <v/>
      </c>
    </row>
    <row r="356">
      <c r="A356">
        <f>IF(AND(OR(Query!$B$4="All",'Compliance Database'!$A356=Query!$B$4),OR(Query!$B$5="All",ISNUMBER(SEARCH(Query!$B$5,'Compliance Database'!$H356))),OR(Query!$B$6="All",ISNUMBER(SEARCH(Query!$B$6,'Compliance Database'!$I356))),OR(Query!$B$7="All",'Compliance Database'!$F356=Query!$B$7),OR(Query!$B$8="All",'Compliance Database'!$J356=Query!$B$8),OR(Query!$B$9="",ISNUMBER(SEARCH(Query!$B$9,'Compliance Database'!$D356&amp;" "&amp;'Compliance Database'!$K356&amp;" "&amp;'Compliance Database'!$L356&amp;" "&amp;'Compliance Database'!$M356&amp;" "&amp;'Compliance Database'!$N356&amp;" "&amp;'Compliance Database'!$O356))),OR(Query!$B$10&lt;&gt;"Yes",'Compliance Database'!$F356&lt;&gt;"None")),1,0)</f>
        <v/>
      </c>
      <c r="B356">
        <f>IF($A356=1,SUM($A$2:$A356),"")</f>
        <v/>
      </c>
      <c r="C356">
        <f>IF($A356=1,SUM($A$2:$A356),0)</f>
        <v/>
      </c>
    </row>
    <row r="357">
      <c r="A357">
        <f>IF(AND(OR(Query!$B$4="All",'Compliance Database'!$A357=Query!$B$4),OR(Query!$B$5="All",ISNUMBER(SEARCH(Query!$B$5,'Compliance Database'!$H357))),OR(Query!$B$6="All",ISNUMBER(SEARCH(Query!$B$6,'Compliance Database'!$I357))),OR(Query!$B$7="All",'Compliance Database'!$F357=Query!$B$7),OR(Query!$B$8="All",'Compliance Database'!$J357=Query!$B$8),OR(Query!$B$9="",ISNUMBER(SEARCH(Query!$B$9,'Compliance Database'!$D357&amp;" "&amp;'Compliance Database'!$K357&amp;" "&amp;'Compliance Database'!$L357&amp;" "&amp;'Compliance Database'!$M357&amp;" "&amp;'Compliance Database'!$N357&amp;" "&amp;'Compliance Database'!$O357))),OR(Query!$B$10&lt;&gt;"Yes",'Compliance Database'!$F357&lt;&gt;"None")),1,0)</f>
        <v/>
      </c>
      <c r="B357">
        <f>IF($A357=1,SUM($A$2:$A357),"")</f>
        <v/>
      </c>
      <c r="C357">
        <f>IF($A357=1,SUM($A$2:$A357),0)</f>
        <v/>
      </c>
    </row>
    <row r="358">
      <c r="A358">
        <f>IF(AND(OR(Query!$B$4="All",'Compliance Database'!$A358=Query!$B$4),OR(Query!$B$5="All",ISNUMBER(SEARCH(Query!$B$5,'Compliance Database'!$H358))),OR(Query!$B$6="All",ISNUMBER(SEARCH(Query!$B$6,'Compliance Database'!$I358))),OR(Query!$B$7="All",'Compliance Database'!$F358=Query!$B$7),OR(Query!$B$8="All",'Compliance Database'!$J358=Query!$B$8),OR(Query!$B$9="",ISNUMBER(SEARCH(Query!$B$9,'Compliance Database'!$D358&amp;" "&amp;'Compliance Database'!$K358&amp;" "&amp;'Compliance Database'!$L358&amp;" "&amp;'Compliance Database'!$M358&amp;" "&amp;'Compliance Database'!$N358&amp;" "&amp;'Compliance Database'!$O358))),OR(Query!$B$10&lt;&gt;"Yes",'Compliance Database'!$F358&lt;&gt;"None")),1,0)</f>
        <v/>
      </c>
      <c r="B358">
        <f>IF($A358=1,SUM($A$2:$A358),"")</f>
        <v/>
      </c>
      <c r="C358">
        <f>IF($A358=1,SUM($A$2:$A358),0)</f>
        <v/>
      </c>
    </row>
    <row r="359">
      <c r="A359">
        <f>IF(AND(OR(Query!$B$4="All",'Compliance Database'!$A359=Query!$B$4),OR(Query!$B$5="All",ISNUMBER(SEARCH(Query!$B$5,'Compliance Database'!$H359))),OR(Query!$B$6="All",ISNUMBER(SEARCH(Query!$B$6,'Compliance Database'!$I359))),OR(Query!$B$7="All",'Compliance Database'!$F359=Query!$B$7),OR(Query!$B$8="All",'Compliance Database'!$J359=Query!$B$8),OR(Query!$B$9="",ISNUMBER(SEARCH(Query!$B$9,'Compliance Database'!$D359&amp;" "&amp;'Compliance Database'!$K359&amp;" "&amp;'Compliance Database'!$L359&amp;" "&amp;'Compliance Database'!$M359&amp;" "&amp;'Compliance Database'!$N359&amp;" "&amp;'Compliance Database'!$O359))),OR(Query!$B$10&lt;&gt;"Yes",'Compliance Database'!$F359&lt;&gt;"None")),1,0)</f>
        <v/>
      </c>
      <c r="B359">
        <f>IF($A359=1,SUM($A$2:$A359),"")</f>
        <v/>
      </c>
      <c r="C359">
        <f>IF($A359=1,SUM($A$2:$A359),0)</f>
        <v/>
      </c>
    </row>
    <row r="360">
      <c r="A360">
        <f>IF(AND(OR(Query!$B$4="All",'Compliance Database'!$A360=Query!$B$4),OR(Query!$B$5="All",ISNUMBER(SEARCH(Query!$B$5,'Compliance Database'!$H360))),OR(Query!$B$6="All",ISNUMBER(SEARCH(Query!$B$6,'Compliance Database'!$I360))),OR(Query!$B$7="All",'Compliance Database'!$F360=Query!$B$7),OR(Query!$B$8="All",'Compliance Database'!$J360=Query!$B$8),OR(Query!$B$9="",ISNUMBER(SEARCH(Query!$B$9,'Compliance Database'!$D360&amp;" "&amp;'Compliance Database'!$K360&amp;" "&amp;'Compliance Database'!$L360&amp;" "&amp;'Compliance Database'!$M360&amp;" "&amp;'Compliance Database'!$N360&amp;" "&amp;'Compliance Database'!$O360))),OR(Query!$B$10&lt;&gt;"Yes",'Compliance Database'!$F360&lt;&gt;"None")),1,0)</f>
        <v/>
      </c>
      <c r="B360">
        <f>IF($A360=1,SUM($A$2:$A360),"")</f>
        <v/>
      </c>
      <c r="C360">
        <f>IF($A360=1,SUM($A$2:$A360),0)</f>
        <v/>
      </c>
    </row>
    <row r="361">
      <c r="A361">
        <f>IF(AND(OR(Query!$B$4="All",'Compliance Database'!$A361=Query!$B$4),OR(Query!$B$5="All",ISNUMBER(SEARCH(Query!$B$5,'Compliance Database'!$H361))),OR(Query!$B$6="All",ISNUMBER(SEARCH(Query!$B$6,'Compliance Database'!$I361))),OR(Query!$B$7="All",'Compliance Database'!$F361=Query!$B$7),OR(Query!$B$8="All",'Compliance Database'!$J361=Query!$B$8),OR(Query!$B$9="",ISNUMBER(SEARCH(Query!$B$9,'Compliance Database'!$D361&amp;" "&amp;'Compliance Database'!$K361&amp;" "&amp;'Compliance Database'!$L361&amp;" "&amp;'Compliance Database'!$M361&amp;" "&amp;'Compliance Database'!$N361&amp;" "&amp;'Compliance Database'!$O361))),OR(Query!$B$10&lt;&gt;"Yes",'Compliance Database'!$F361&lt;&gt;"None")),1,0)</f>
        <v/>
      </c>
      <c r="B361">
        <f>IF($A361=1,SUM($A$2:$A361),"")</f>
        <v/>
      </c>
      <c r="C361">
        <f>IF($A361=1,SUM($A$2:$A361),0)</f>
        <v/>
      </c>
    </row>
    <row r="362">
      <c r="A362">
        <f>IF(AND(OR(Query!$B$4="All",'Compliance Database'!$A362=Query!$B$4),OR(Query!$B$5="All",ISNUMBER(SEARCH(Query!$B$5,'Compliance Database'!$H362))),OR(Query!$B$6="All",ISNUMBER(SEARCH(Query!$B$6,'Compliance Database'!$I362))),OR(Query!$B$7="All",'Compliance Database'!$F362=Query!$B$7),OR(Query!$B$8="All",'Compliance Database'!$J362=Query!$B$8),OR(Query!$B$9="",ISNUMBER(SEARCH(Query!$B$9,'Compliance Database'!$D362&amp;" "&amp;'Compliance Database'!$K362&amp;" "&amp;'Compliance Database'!$L362&amp;" "&amp;'Compliance Database'!$M362&amp;" "&amp;'Compliance Database'!$N362&amp;" "&amp;'Compliance Database'!$O362))),OR(Query!$B$10&lt;&gt;"Yes",'Compliance Database'!$F362&lt;&gt;"None")),1,0)</f>
        <v/>
      </c>
      <c r="B362">
        <f>IF($A362=1,SUM($A$2:$A362),"")</f>
        <v/>
      </c>
      <c r="C362">
        <f>IF($A362=1,SUM($A$2:$A362),0)</f>
        <v/>
      </c>
    </row>
    <row r="363">
      <c r="A363">
        <f>IF(AND(OR(Query!$B$4="All",'Compliance Database'!$A363=Query!$B$4),OR(Query!$B$5="All",ISNUMBER(SEARCH(Query!$B$5,'Compliance Database'!$H363))),OR(Query!$B$6="All",ISNUMBER(SEARCH(Query!$B$6,'Compliance Database'!$I363))),OR(Query!$B$7="All",'Compliance Database'!$F363=Query!$B$7),OR(Query!$B$8="All",'Compliance Database'!$J363=Query!$B$8),OR(Query!$B$9="",ISNUMBER(SEARCH(Query!$B$9,'Compliance Database'!$D363&amp;" "&amp;'Compliance Database'!$K363&amp;" "&amp;'Compliance Database'!$L363&amp;" "&amp;'Compliance Database'!$M363&amp;" "&amp;'Compliance Database'!$N363&amp;" "&amp;'Compliance Database'!$O363))),OR(Query!$B$10&lt;&gt;"Yes",'Compliance Database'!$F363&lt;&gt;"None")),1,0)</f>
        <v/>
      </c>
      <c r="B363">
        <f>IF($A363=1,SUM($A$2:$A363),"")</f>
        <v/>
      </c>
      <c r="C363">
        <f>IF($A363=1,SUM($A$2:$A363),0)</f>
        <v/>
      </c>
    </row>
    <row r="364">
      <c r="A364">
        <f>IF(AND(OR(Query!$B$4="All",'Compliance Database'!$A364=Query!$B$4),OR(Query!$B$5="All",ISNUMBER(SEARCH(Query!$B$5,'Compliance Database'!$H364))),OR(Query!$B$6="All",ISNUMBER(SEARCH(Query!$B$6,'Compliance Database'!$I364))),OR(Query!$B$7="All",'Compliance Database'!$F364=Query!$B$7),OR(Query!$B$8="All",'Compliance Database'!$J364=Query!$B$8),OR(Query!$B$9="",ISNUMBER(SEARCH(Query!$B$9,'Compliance Database'!$D364&amp;" "&amp;'Compliance Database'!$K364&amp;" "&amp;'Compliance Database'!$L364&amp;" "&amp;'Compliance Database'!$M364&amp;" "&amp;'Compliance Database'!$N364&amp;" "&amp;'Compliance Database'!$O364))),OR(Query!$B$10&lt;&gt;"Yes",'Compliance Database'!$F364&lt;&gt;"None")),1,0)</f>
        <v/>
      </c>
      <c r="B364">
        <f>IF($A364=1,SUM($A$2:$A364),"")</f>
        <v/>
      </c>
      <c r="C364">
        <f>IF($A364=1,SUM($A$2:$A364),0)</f>
        <v/>
      </c>
    </row>
    <row r="365">
      <c r="A365">
        <f>IF(AND(OR(Query!$B$4="All",'Compliance Database'!$A365=Query!$B$4),OR(Query!$B$5="All",ISNUMBER(SEARCH(Query!$B$5,'Compliance Database'!$H365))),OR(Query!$B$6="All",ISNUMBER(SEARCH(Query!$B$6,'Compliance Database'!$I365))),OR(Query!$B$7="All",'Compliance Database'!$F365=Query!$B$7),OR(Query!$B$8="All",'Compliance Database'!$J365=Query!$B$8),OR(Query!$B$9="",ISNUMBER(SEARCH(Query!$B$9,'Compliance Database'!$D365&amp;" "&amp;'Compliance Database'!$K365&amp;" "&amp;'Compliance Database'!$L365&amp;" "&amp;'Compliance Database'!$M365&amp;" "&amp;'Compliance Database'!$N365&amp;" "&amp;'Compliance Database'!$O365))),OR(Query!$B$10&lt;&gt;"Yes",'Compliance Database'!$F365&lt;&gt;"None")),1,0)</f>
        <v/>
      </c>
      <c r="B365">
        <f>IF($A365=1,SUM($A$2:$A365),"")</f>
        <v/>
      </c>
      <c r="C365">
        <f>IF($A365=1,SUM($A$2:$A365),0)</f>
        <v/>
      </c>
    </row>
    <row r="366">
      <c r="A366">
        <f>IF(AND(OR(Query!$B$4="All",'Compliance Database'!$A366=Query!$B$4),OR(Query!$B$5="All",ISNUMBER(SEARCH(Query!$B$5,'Compliance Database'!$H366))),OR(Query!$B$6="All",ISNUMBER(SEARCH(Query!$B$6,'Compliance Database'!$I366))),OR(Query!$B$7="All",'Compliance Database'!$F366=Query!$B$7),OR(Query!$B$8="All",'Compliance Database'!$J366=Query!$B$8),OR(Query!$B$9="",ISNUMBER(SEARCH(Query!$B$9,'Compliance Database'!$D366&amp;" "&amp;'Compliance Database'!$K366&amp;" "&amp;'Compliance Database'!$L366&amp;" "&amp;'Compliance Database'!$M366&amp;" "&amp;'Compliance Database'!$N366&amp;" "&amp;'Compliance Database'!$O366))),OR(Query!$B$10&lt;&gt;"Yes",'Compliance Database'!$F366&lt;&gt;"None")),1,0)</f>
        <v/>
      </c>
      <c r="B366">
        <f>IF($A366=1,SUM($A$2:$A366),"")</f>
        <v/>
      </c>
      <c r="C366">
        <f>IF($A366=1,SUM($A$2:$A366),0)</f>
        <v/>
      </c>
    </row>
    <row r="367">
      <c r="A367">
        <f>IF(AND(OR(Query!$B$4="All",'Compliance Database'!$A367=Query!$B$4),OR(Query!$B$5="All",ISNUMBER(SEARCH(Query!$B$5,'Compliance Database'!$H367))),OR(Query!$B$6="All",ISNUMBER(SEARCH(Query!$B$6,'Compliance Database'!$I367))),OR(Query!$B$7="All",'Compliance Database'!$F367=Query!$B$7),OR(Query!$B$8="All",'Compliance Database'!$J367=Query!$B$8),OR(Query!$B$9="",ISNUMBER(SEARCH(Query!$B$9,'Compliance Database'!$D367&amp;" "&amp;'Compliance Database'!$K367&amp;" "&amp;'Compliance Database'!$L367&amp;" "&amp;'Compliance Database'!$M367&amp;" "&amp;'Compliance Database'!$N367&amp;" "&amp;'Compliance Database'!$O367))),OR(Query!$B$10&lt;&gt;"Yes",'Compliance Database'!$F367&lt;&gt;"None")),1,0)</f>
        <v/>
      </c>
      <c r="B367">
        <f>IF($A367=1,SUM($A$2:$A367),"")</f>
        <v/>
      </c>
      <c r="C367">
        <f>IF($A367=1,SUM($A$2:$A367),0)</f>
        <v/>
      </c>
    </row>
    <row r="368">
      <c r="A368">
        <f>IF(AND(OR(Query!$B$4="All",'Compliance Database'!$A368=Query!$B$4),OR(Query!$B$5="All",ISNUMBER(SEARCH(Query!$B$5,'Compliance Database'!$H368))),OR(Query!$B$6="All",ISNUMBER(SEARCH(Query!$B$6,'Compliance Database'!$I368))),OR(Query!$B$7="All",'Compliance Database'!$F368=Query!$B$7),OR(Query!$B$8="All",'Compliance Database'!$J368=Query!$B$8),OR(Query!$B$9="",ISNUMBER(SEARCH(Query!$B$9,'Compliance Database'!$D368&amp;" "&amp;'Compliance Database'!$K368&amp;" "&amp;'Compliance Database'!$L368&amp;" "&amp;'Compliance Database'!$M368&amp;" "&amp;'Compliance Database'!$N368&amp;" "&amp;'Compliance Database'!$O368))),OR(Query!$B$10&lt;&gt;"Yes",'Compliance Database'!$F368&lt;&gt;"None")),1,0)</f>
        <v/>
      </c>
      <c r="B368">
        <f>IF($A368=1,SUM($A$2:$A368),"")</f>
        <v/>
      </c>
      <c r="C368">
        <f>IF($A368=1,SUM($A$2:$A368),0)</f>
        <v/>
      </c>
    </row>
    <row r="369">
      <c r="A369">
        <f>IF(AND(OR(Query!$B$4="All",'Compliance Database'!$A369=Query!$B$4),OR(Query!$B$5="All",ISNUMBER(SEARCH(Query!$B$5,'Compliance Database'!$H369))),OR(Query!$B$6="All",ISNUMBER(SEARCH(Query!$B$6,'Compliance Database'!$I369))),OR(Query!$B$7="All",'Compliance Database'!$F369=Query!$B$7),OR(Query!$B$8="All",'Compliance Database'!$J369=Query!$B$8),OR(Query!$B$9="",ISNUMBER(SEARCH(Query!$B$9,'Compliance Database'!$D369&amp;" "&amp;'Compliance Database'!$K369&amp;" "&amp;'Compliance Database'!$L369&amp;" "&amp;'Compliance Database'!$M369&amp;" "&amp;'Compliance Database'!$N369&amp;" "&amp;'Compliance Database'!$O369))),OR(Query!$B$10&lt;&gt;"Yes",'Compliance Database'!$F369&lt;&gt;"None")),1,0)</f>
        <v/>
      </c>
      <c r="B369">
        <f>IF($A369=1,SUM($A$2:$A369),"")</f>
        <v/>
      </c>
      <c r="C369">
        <f>IF($A369=1,SUM($A$2:$A369),0)</f>
        <v/>
      </c>
    </row>
    <row r="370">
      <c r="A370">
        <f>IF(AND(OR(Query!$B$4="All",'Compliance Database'!$A370=Query!$B$4),OR(Query!$B$5="All",ISNUMBER(SEARCH(Query!$B$5,'Compliance Database'!$H370))),OR(Query!$B$6="All",ISNUMBER(SEARCH(Query!$B$6,'Compliance Database'!$I370))),OR(Query!$B$7="All",'Compliance Database'!$F370=Query!$B$7),OR(Query!$B$8="All",'Compliance Database'!$J370=Query!$B$8),OR(Query!$B$9="",ISNUMBER(SEARCH(Query!$B$9,'Compliance Database'!$D370&amp;" "&amp;'Compliance Database'!$K370&amp;" "&amp;'Compliance Database'!$L370&amp;" "&amp;'Compliance Database'!$M370&amp;" "&amp;'Compliance Database'!$N370&amp;" "&amp;'Compliance Database'!$O370))),OR(Query!$B$10&lt;&gt;"Yes",'Compliance Database'!$F370&lt;&gt;"None")),1,0)</f>
        <v/>
      </c>
      <c r="B370">
        <f>IF($A370=1,SUM($A$2:$A370),"")</f>
        <v/>
      </c>
      <c r="C370">
        <f>IF($A370=1,SUM($A$2:$A370),0)</f>
        <v/>
      </c>
    </row>
    <row r="371">
      <c r="A371">
        <f>IF(AND(OR(Query!$B$4="All",'Compliance Database'!$A371=Query!$B$4),OR(Query!$B$5="All",ISNUMBER(SEARCH(Query!$B$5,'Compliance Database'!$H371))),OR(Query!$B$6="All",ISNUMBER(SEARCH(Query!$B$6,'Compliance Database'!$I371))),OR(Query!$B$7="All",'Compliance Database'!$F371=Query!$B$7),OR(Query!$B$8="All",'Compliance Database'!$J371=Query!$B$8),OR(Query!$B$9="",ISNUMBER(SEARCH(Query!$B$9,'Compliance Database'!$D371&amp;" "&amp;'Compliance Database'!$K371&amp;" "&amp;'Compliance Database'!$L371&amp;" "&amp;'Compliance Database'!$M371&amp;" "&amp;'Compliance Database'!$N371&amp;" "&amp;'Compliance Database'!$O371))),OR(Query!$B$10&lt;&gt;"Yes",'Compliance Database'!$F371&lt;&gt;"None")),1,0)</f>
        <v/>
      </c>
      <c r="B371">
        <f>IF($A371=1,SUM($A$2:$A371),"")</f>
        <v/>
      </c>
      <c r="C371">
        <f>IF($A371=1,SUM($A$2:$A371),0)</f>
        <v/>
      </c>
    </row>
    <row r="372">
      <c r="A372">
        <f>IF(AND(OR(Query!$B$4="All",'Compliance Database'!$A372=Query!$B$4),OR(Query!$B$5="All",ISNUMBER(SEARCH(Query!$B$5,'Compliance Database'!$H372))),OR(Query!$B$6="All",ISNUMBER(SEARCH(Query!$B$6,'Compliance Database'!$I372))),OR(Query!$B$7="All",'Compliance Database'!$F372=Query!$B$7),OR(Query!$B$8="All",'Compliance Database'!$J372=Query!$B$8),OR(Query!$B$9="",ISNUMBER(SEARCH(Query!$B$9,'Compliance Database'!$D372&amp;" "&amp;'Compliance Database'!$K372&amp;" "&amp;'Compliance Database'!$L372&amp;" "&amp;'Compliance Database'!$M372&amp;" "&amp;'Compliance Database'!$N372&amp;" "&amp;'Compliance Database'!$O372))),OR(Query!$B$10&lt;&gt;"Yes",'Compliance Database'!$F372&lt;&gt;"None")),1,0)</f>
        <v/>
      </c>
      <c r="B372">
        <f>IF($A372=1,SUM($A$2:$A372),"")</f>
        <v/>
      </c>
      <c r="C372">
        <f>IF($A372=1,SUM($A$2:$A372),0)</f>
        <v/>
      </c>
    </row>
    <row r="373">
      <c r="A373">
        <f>IF(AND(OR(Query!$B$4="All",'Compliance Database'!$A373=Query!$B$4),OR(Query!$B$5="All",ISNUMBER(SEARCH(Query!$B$5,'Compliance Database'!$H373))),OR(Query!$B$6="All",ISNUMBER(SEARCH(Query!$B$6,'Compliance Database'!$I373))),OR(Query!$B$7="All",'Compliance Database'!$F373=Query!$B$7),OR(Query!$B$8="All",'Compliance Database'!$J373=Query!$B$8),OR(Query!$B$9="",ISNUMBER(SEARCH(Query!$B$9,'Compliance Database'!$D373&amp;" "&amp;'Compliance Database'!$K373&amp;" "&amp;'Compliance Database'!$L373&amp;" "&amp;'Compliance Database'!$M373&amp;" "&amp;'Compliance Database'!$N373&amp;" "&amp;'Compliance Database'!$O373))),OR(Query!$B$10&lt;&gt;"Yes",'Compliance Database'!$F373&lt;&gt;"None")),1,0)</f>
        <v/>
      </c>
      <c r="B373">
        <f>IF($A373=1,SUM($A$2:$A373),"")</f>
        <v/>
      </c>
      <c r="C373">
        <f>IF($A373=1,SUM($A$2:$A373),0)</f>
        <v/>
      </c>
    </row>
    <row r="374">
      <c r="A374">
        <f>IF(AND(OR(Query!$B$4="All",'Compliance Database'!$A374=Query!$B$4),OR(Query!$B$5="All",ISNUMBER(SEARCH(Query!$B$5,'Compliance Database'!$H374))),OR(Query!$B$6="All",ISNUMBER(SEARCH(Query!$B$6,'Compliance Database'!$I374))),OR(Query!$B$7="All",'Compliance Database'!$F374=Query!$B$7),OR(Query!$B$8="All",'Compliance Database'!$J374=Query!$B$8),OR(Query!$B$9="",ISNUMBER(SEARCH(Query!$B$9,'Compliance Database'!$D374&amp;" "&amp;'Compliance Database'!$K374&amp;" "&amp;'Compliance Database'!$L374&amp;" "&amp;'Compliance Database'!$M374&amp;" "&amp;'Compliance Database'!$N374&amp;" "&amp;'Compliance Database'!$O374))),OR(Query!$B$10&lt;&gt;"Yes",'Compliance Database'!$F374&lt;&gt;"None")),1,0)</f>
        <v/>
      </c>
      <c r="B374">
        <f>IF($A374=1,SUM($A$2:$A374),"")</f>
        <v/>
      </c>
      <c r="C374">
        <f>IF($A374=1,SUM($A$2:$A374),0)</f>
        <v/>
      </c>
    </row>
    <row r="375">
      <c r="A375">
        <f>IF(AND(OR(Query!$B$4="All",'Compliance Database'!$A375=Query!$B$4),OR(Query!$B$5="All",ISNUMBER(SEARCH(Query!$B$5,'Compliance Database'!$H375))),OR(Query!$B$6="All",ISNUMBER(SEARCH(Query!$B$6,'Compliance Database'!$I375))),OR(Query!$B$7="All",'Compliance Database'!$F375=Query!$B$7),OR(Query!$B$8="All",'Compliance Database'!$J375=Query!$B$8),OR(Query!$B$9="",ISNUMBER(SEARCH(Query!$B$9,'Compliance Database'!$D375&amp;" "&amp;'Compliance Database'!$K375&amp;" "&amp;'Compliance Database'!$L375&amp;" "&amp;'Compliance Database'!$M375&amp;" "&amp;'Compliance Database'!$N375&amp;" "&amp;'Compliance Database'!$O375))),OR(Query!$B$10&lt;&gt;"Yes",'Compliance Database'!$F375&lt;&gt;"None")),1,0)</f>
        <v/>
      </c>
      <c r="B375">
        <f>IF($A375=1,SUM($A$2:$A375),"")</f>
        <v/>
      </c>
      <c r="C375">
        <f>IF($A375=1,SUM($A$2:$A375),0)</f>
        <v/>
      </c>
    </row>
    <row r="376">
      <c r="A376">
        <f>IF(AND(OR(Query!$B$4="All",'Compliance Database'!$A376=Query!$B$4),OR(Query!$B$5="All",ISNUMBER(SEARCH(Query!$B$5,'Compliance Database'!$H376))),OR(Query!$B$6="All",ISNUMBER(SEARCH(Query!$B$6,'Compliance Database'!$I376))),OR(Query!$B$7="All",'Compliance Database'!$F376=Query!$B$7),OR(Query!$B$8="All",'Compliance Database'!$J376=Query!$B$8),OR(Query!$B$9="",ISNUMBER(SEARCH(Query!$B$9,'Compliance Database'!$D376&amp;" "&amp;'Compliance Database'!$K376&amp;" "&amp;'Compliance Database'!$L376&amp;" "&amp;'Compliance Database'!$M376&amp;" "&amp;'Compliance Database'!$N376&amp;" "&amp;'Compliance Database'!$O376))),OR(Query!$B$10&lt;&gt;"Yes",'Compliance Database'!$F376&lt;&gt;"None")),1,0)</f>
        <v/>
      </c>
      <c r="B376">
        <f>IF($A376=1,SUM($A$2:$A376),"")</f>
        <v/>
      </c>
      <c r="C376">
        <f>IF($A376=1,SUM($A$2:$A376),0)</f>
        <v/>
      </c>
    </row>
    <row r="377">
      <c r="A377">
        <f>IF(AND(OR(Query!$B$4="All",'Compliance Database'!$A377=Query!$B$4),OR(Query!$B$5="All",ISNUMBER(SEARCH(Query!$B$5,'Compliance Database'!$H377))),OR(Query!$B$6="All",ISNUMBER(SEARCH(Query!$B$6,'Compliance Database'!$I377))),OR(Query!$B$7="All",'Compliance Database'!$F377=Query!$B$7),OR(Query!$B$8="All",'Compliance Database'!$J377=Query!$B$8),OR(Query!$B$9="",ISNUMBER(SEARCH(Query!$B$9,'Compliance Database'!$D377&amp;" "&amp;'Compliance Database'!$K377&amp;" "&amp;'Compliance Database'!$L377&amp;" "&amp;'Compliance Database'!$M377&amp;" "&amp;'Compliance Database'!$N377&amp;" "&amp;'Compliance Database'!$O377))),OR(Query!$B$10&lt;&gt;"Yes",'Compliance Database'!$F377&lt;&gt;"None")),1,0)</f>
        <v/>
      </c>
      <c r="B377">
        <f>IF($A377=1,SUM($A$2:$A377),"")</f>
        <v/>
      </c>
      <c r="C377">
        <f>IF($A377=1,SUM($A$2:$A377),0)</f>
        <v/>
      </c>
    </row>
    <row r="378">
      <c r="A378">
        <f>IF(AND(OR(Query!$B$4="All",'Compliance Database'!$A378=Query!$B$4),OR(Query!$B$5="All",ISNUMBER(SEARCH(Query!$B$5,'Compliance Database'!$H378))),OR(Query!$B$6="All",ISNUMBER(SEARCH(Query!$B$6,'Compliance Database'!$I378))),OR(Query!$B$7="All",'Compliance Database'!$F378=Query!$B$7),OR(Query!$B$8="All",'Compliance Database'!$J378=Query!$B$8),OR(Query!$B$9="",ISNUMBER(SEARCH(Query!$B$9,'Compliance Database'!$D378&amp;" "&amp;'Compliance Database'!$K378&amp;" "&amp;'Compliance Database'!$L378&amp;" "&amp;'Compliance Database'!$M378&amp;" "&amp;'Compliance Database'!$N378&amp;" "&amp;'Compliance Database'!$O378))),OR(Query!$B$10&lt;&gt;"Yes",'Compliance Database'!$F378&lt;&gt;"None")),1,0)</f>
        <v/>
      </c>
      <c r="B378">
        <f>IF($A378=1,SUM($A$2:$A378),"")</f>
        <v/>
      </c>
      <c r="C378">
        <f>IF($A378=1,SUM($A$2:$A378),0)</f>
        <v/>
      </c>
    </row>
    <row r="379">
      <c r="A379">
        <f>IF(AND(OR(Query!$B$4="All",'Compliance Database'!$A379=Query!$B$4),OR(Query!$B$5="All",ISNUMBER(SEARCH(Query!$B$5,'Compliance Database'!$H379))),OR(Query!$B$6="All",ISNUMBER(SEARCH(Query!$B$6,'Compliance Database'!$I379))),OR(Query!$B$7="All",'Compliance Database'!$F379=Query!$B$7),OR(Query!$B$8="All",'Compliance Database'!$J379=Query!$B$8),OR(Query!$B$9="",ISNUMBER(SEARCH(Query!$B$9,'Compliance Database'!$D379&amp;" "&amp;'Compliance Database'!$K379&amp;" "&amp;'Compliance Database'!$L379&amp;" "&amp;'Compliance Database'!$M379&amp;" "&amp;'Compliance Database'!$N379&amp;" "&amp;'Compliance Database'!$O379))),OR(Query!$B$10&lt;&gt;"Yes",'Compliance Database'!$F379&lt;&gt;"None")),1,0)</f>
        <v/>
      </c>
      <c r="B379">
        <f>IF($A379=1,SUM($A$2:$A379),"")</f>
        <v/>
      </c>
      <c r="C379">
        <f>IF($A379=1,SUM($A$2:$A379),0)</f>
        <v/>
      </c>
    </row>
    <row r="380">
      <c r="A380">
        <f>IF(AND(OR(Query!$B$4="All",'Compliance Database'!$A380=Query!$B$4),OR(Query!$B$5="All",ISNUMBER(SEARCH(Query!$B$5,'Compliance Database'!$H380))),OR(Query!$B$6="All",ISNUMBER(SEARCH(Query!$B$6,'Compliance Database'!$I380))),OR(Query!$B$7="All",'Compliance Database'!$F380=Query!$B$7),OR(Query!$B$8="All",'Compliance Database'!$J380=Query!$B$8),OR(Query!$B$9="",ISNUMBER(SEARCH(Query!$B$9,'Compliance Database'!$D380&amp;" "&amp;'Compliance Database'!$K380&amp;" "&amp;'Compliance Database'!$L380&amp;" "&amp;'Compliance Database'!$M380&amp;" "&amp;'Compliance Database'!$N380&amp;" "&amp;'Compliance Database'!$O380))),OR(Query!$B$10&lt;&gt;"Yes",'Compliance Database'!$F380&lt;&gt;"None")),1,0)</f>
        <v/>
      </c>
      <c r="B380">
        <f>IF($A380=1,SUM($A$2:$A380),"")</f>
        <v/>
      </c>
      <c r="C380">
        <f>IF($A380=1,SUM($A$2:$A380),0)</f>
        <v/>
      </c>
    </row>
    <row r="381">
      <c r="A381">
        <f>IF(AND(OR(Query!$B$4="All",'Compliance Database'!$A381=Query!$B$4),OR(Query!$B$5="All",ISNUMBER(SEARCH(Query!$B$5,'Compliance Database'!$H381))),OR(Query!$B$6="All",ISNUMBER(SEARCH(Query!$B$6,'Compliance Database'!$I381))),OR(Query!$B$7="All",'Compliance Database'!$F381=Query!$B$7),OR(Query!$B$8="All",'Compliance Database'!$J381=Query!$B$8),OR(Query!$B$9="",ISNUMBER(SEARCH(Query!$B$9,'Compliance Database'!$D381&amp;" "&amp;'Compliance Database'!$K381&amp;" "&amp;'Compliance Database'!$L381&amp;" "&amp;'Compliance Database'!$M381&amp;" "&amp;'Compliance Database'!$N381&amp;" "&amp;'Compliance Database'!$O381))),OR(Query!$B$10&lt;&gt;"Yes",'Compliance Database'!$F381&lt;&gt;"None")),1,0)</f>
        <v/>
      </c>
      <c r="B381">
        <f>IF($A381=1,SUM($A$2:$A381),"")</f>
        <v/>
      </c>
      <c r="C381">
        <f>IF($A381=1,SUM($A$2:$A381),0)</f>
        <v/>
      </c>
    </row>
    <row r="382">
      <c r="A382">
        <f>IF(AND(OR(Query!$B$4="All",'Compliance Database'!$A382=Query!$B$4),OR(Query!$B$5="All",ISNUMBER(SEARCH(Query!$B$5,'Compliance Database'!$H382))),OR(Query!$B$6="All",ISNUMBER(SEARCH(Query!$B$6,'Compliance Database'!$I382))),OR(Query!$B$7="All",'Compliance Database'!$F382=Query!$B$7),OR(Query!$B$8="All",'Compliance Database'!$J382=Query!$B$8),OR(Query!$B$9="",ISNUMBER(SEARCH(Query!$B$9,'Compliance Database'!$D382&amp;" "&amp;'Compliance Database'!$K382&amp;" "&amp;'Compliance Database'!$L382&amp;" "&amp;'Compliance Database'!$M382&amp;" "&amp;'Compliance Database'!$N382&amp;" "&amp;'Compliance Database'!$O382))),OR(Query!$B$10&lt;&gt;"Yes",'Compliance Database'!$F382&lt;&gt;"None")),1,0)</f>
        <v/>
      </c>
      <c r="B382">
        <f>IF($A382=1,SUM($A$2:$A382),"")</f>
        <v/>
      </c>
      <c r="C382">
        <f>IF($A382=1,SUM($A$2:$A382),0)</f>
        <v/>
      </c>
    </row>
    <row r="383">
      <c r="A383">
        <f>IF(AND(OR(Query!$B$4="All",'Compliance Database'!$A383=Query!$B$4),OR(Query!$B$5="All",ISNUMBER(SEARCH(Query!$B$5,'Compliance Database'!$H383))),OR(Query!$B$6="All",ISNUMBER(SEARCH(Query!$B$6,'Compliance Database'!$I383))),OR(Query!$B$7="All",'Compliance Database'!$F383=Query!$B$7),OR(Query!$B$8="All",'Compliance Database'!$J383=Query!$B$8),OR(Query!$B$9="",ISNUMBER(SEARCH(Query!$B$9,'Compliance Database'!$D383&amp;" "&amp;'Compliance Database'!$K383&amp;" "&amp;'Compliance Database'!$L383&amp;" "&amp;'Compliance Database'!$M383&amp;" "&amp;'Compliance Database'!$N383&amp;" "&amp;'Compliance Database'!$O383))),OR(Query!$B$10&lt;&gt;"Yes",'Compliance Database'!$F383&lt;&gt;"None")),1,0)</f>
        <v/>
      </c>
      <c r="B383">
        <f>IF($A383=1,SUM($A$2:$A383),"")</f>
        <v/>
      </c>
      <c r="C383">
        <f>IF($A383=1,SUM($A$2:$A383),0)</f>
        <v/>
      </c>
    </row>
    <row r="384">
      <c r="A384">
        <f>IF(AND(OR(Query!$B$4="All",'Compliance Database'!$A384=Query!$B$4),OR(Query!$B$5="All",ISNUMBER(SEARCH(Query!$B$5,'Compliance Database'!$H384))),OR(Query!$B$6="All",ISNUMBER(SEARCH(Query!$B$6,'Compliance Database'!$I384))),OR(Query!$B$7="All",'Compliance Database'!$F384=Query!$B$7),OR(Query!$B$8="All",'Compliance Database'!$J384=Query!$B$8),OR(Query!$B$9="",ISNUMBER(SEARCH(Query!$B$9,'Compliance Database'!$D384&amp;" "&amp;'Compliance Database'!$K384&amp;" "&amp;'Compliance Database'!$L384&amp;" "&amp;'Compliance Database'!$M384&amp;" "&amp;'Compliance Database'!$N384&amp;" "&amp;'Compliance Database'!$O384))),OR(Query!$B$10&lt;&gt;"Yes",'Compliance Database'!$F384&lt;&gt;"None")),1,0)</f>
        <v/>
      </c>
      <c r="B384">
        <f>IF($A384=1,SUM($A$2:$A384),"")</f>
        <v/>
      </c>
      <c r="C384">
        <f>IF($A384=1,SUM($A$2:$A384),0)</f>
        <v/>
      </c>
    </row>
    <row r="385">
      <c r="A385">
        <f>IF(AND(OR(Query!$B$4="All",'Compliance Database'!$A385=Query!$B$4),OR(Query!$B$5="All",ISNUMBER(SEARCH(Query!$B$5,'Compliance Database'!$H385))),OR(Query!$B$6="All",ISNUMBER(SEARCH(Query!$B$6,'Compliance Database'!$I385))),OR(Query!$B$7="All",'Compliance Database'!$F385=Query!$B$7),OR(Query!$B$8="All",'Compliance Database'!$J385=Query!$B$8),OR(Query!$B$9="",ISNUMBER(SEARCH(Query!$B$9,'Compliance Database'!$D385&amp;" "&amp;'Compliance Database'!$K385&amp;" "&amp;'Compliance Database'!$L385&amp;" "&amp;'Compliance Database'!$M385&amp;" "&amp;'Compliance Database'!$N385&amp;" "&amp;'Compliance Database'!$O385))),OR(Query!$B$10&lt;&gt;"Yes",'Compliance Database'!$F385&lt;&gt;"None")),1,0)</f>
        <v/>
      </c>
      <c r="B385">
        <f>IF($A385=1,SUM($A$2:$A385),"")</f>
        <v/>
      </c>
      <c r="C385">
        <f>IF($A385=1,SUM($A$2:$A385),0)</f>
        <v/>
      </c>
    </row>
    <row r="386">
      <c r="A386">
        <f>IF(AND(OR(Query!$B$4="All",'Compliance Database'!$A386=Query!$B$4),OR(Query!$B$5="All",ISNUMBER(SEARCH(Query!$B$5,'Compliance Database'!$H386))),OR(Query!$B$6="All",ISNUMBER(SEARCH(Query!$B$6,'Compliance Database'!$I386))),OR(Query!$B$7="All",'Compliance Database'!$F386=Query!$B$7),OR(Query!$B$8="All",'Compliance Database'!$J386=Query!$B$8),OR(Query!$B$9="",ISNUMBER(SEARCH(Query!$B$9,'Compliance Database'!$D386&amp;" "&amp;'Compliance Database'!$K386&amp;" "&amp;'Compliance Database'!$L386&amp;" "&amp;'Compliance Database'!$M386&amp;" "&amp;'Compliance Database'!$N386&amp;" "&amp;'Compliance Database'!$O386))),OR(Query!$B$10&lt;&gt;"Yes",'Compliance Database'!$F386&lt;&gt;"None")),1,0)</f>
        <v/>
      </c>
      <c r="B386">
        <f>IF($A386=1,SUM($A$2:$A386),"")</f>
        <v/>
      </c>
      <c r="C386">
        <f>IF($A386=1,SUM($A$2:$A386),0)</f>
        <v/>
      </c>
    </row>
    <row r="387">
      <c r="A387">
        <f>IF(AND(OR(Query!$B$4="All",'Compliance Database'!$A387=Query!$B$4),OR(Query!$B$5="All",ISNUMBER(SEARCH(Query!$B$5,'Compliance Database'!$H387))),OR(Query!$B$6="All",ISNUMBER(SEARCH(Query!$B$6,'Compliance Database'!$I387))),OR(Query!$B$7="All",'Compliance Database'!$F387=Query!$B$7),OR(Query!$B$8="All",'Compliance Database'!$J387=Query!$B$8),OR(Query!$B$9="",ISNUMBER(SEARCH(Query!$B$9,'Compliance Database'!$D387&amp;" "&amp;'Compliance Database'!$K387&amp;" "&amp;'Compliance Database'!$L387&amp;" "&amp;'Compliance Database'!$M387&amp;" "&amp;'Compliance Database'!$N387&amp;" "&amp;'Compliance Database'!$O387))),OR(Query!$B$10&lt;&gt;"Yes",'Compliance Database'!$F387&lt;&gt;"None")),1,0)</f>
        <v/>
      </c>
      <c r="B387">
        <f>IF($A387=1,SUM($A$2:$A387),"")</f>
        <v/>
      </c>
      <c r="C387">
        <f>IF($A387=1,SUM($A$2:$A387),0)</f>
        <v/>
      </c>
    </row>
    <row r="388">
      <c r="A388">
        <f>IF(AND(OR(Query!$B$4="All",'Compliance Database'!$A388=Query!$B$4),OR(Query!$B$5="All",ISNUMBER(SEARCH(Query!$B$5,'Compliance Database'!$H388))),OR(Query!$B$6="All",ISNUMBER(SEARCH(Query!$B$6,'Compliance Database'!$I388))),OR(Query!$B$7="All",'Compliance Database'!$F388=Query!$B$7),OR(Query!$B$8="All",'Compliance Database'!$J388=Query!$B$8),OR(Query!$B$9="",ISNUMBER(SEARCH(Query!$B$9,'Compliance Database'!$D388&amp;" "&amp;'Compliance Database'!$K388&amp;" "&amp;'Compliance Database'!$L388&amp;" "&amp;'Compliance Database'!$M388&amp;" "&amp;'Compliance Database'!$N388&amp;" "&amp;'Compliance Database'!$O388))),OR(Query!$B$10&lt;&gt;"Yes",'Compliance Database'!$F388&lt;&gt;"None")),1,0)</f>
        <v/>
      </c>
      <c r="B388">
        <f>IF($A388=1,SUM($A$2:$A388),"")</f>
        <v/>
      </c>
      <c r="C388">
        <f>IF($A388=1,SUM($A$2:$A388),0)</f>
        <v/>
      </c>
    </row>
    <row r="389">
      <c r="A389">
        <f>IF(AND(OR(Query!$B$4="All",'Compliance Database'!$A389=Query!$B$4),OR(Query!$B$5="All",ISNUMBER(SEARCH(Query!$B$5,'Compliance Database'!$H389))),OR(Query!$B$6="All",ISNUMBER(SEARCH(Query!$B$6,'Compliance Database'!$I389))),OR(Query!$B$7="All",'Compliance Database'!$F389=Query!$B$7),OR(Query!$B$8="All",'Compliance Database'!$J389=Query!$B$8),OR(Query!$B$9="",ISNUMBER(SEARCH(Query!$B$9,'Compliance Database'!$D389&amp;" "&amp;'Compliance Database'!$K389&amp;" "&amp;'Compliance Database'!$L389&amp;" "&amp;'Compliance Database'!$M389&amp;" "&amp;'Compliance Database'!$N389&amp;" "&amp;'Compliance Database'!$O389))),OR(Query!$B$10&lt;&gt;"Yes",'Compliance Database'!$F389&lt;&gt;"None")),1,0)</f>
        <v/>
      </c>
      <c r="B389">
        <f>IF($A389=1,SUM($A$2:$A389),"")</f>
        <v/>
      </c>
      <c r="C389">
        <f>IF($A389=1,SUM($A$2:$A389),0)</f>
        <v/>
      </c>
    </row>
    <row r="390">
      <c r="A390">
        <f>IF(AND(OR(Query!$B$4="All",'Compliance Database'!$A390=Query!$B$4),OR(Query!$B$5="All",ISNUMBER(SEARCH(Query!$B$5,'Compliance Database'!$H390))),OR(Query!$B$6="All",ISNUMBER(SEARCH(Query!$B$6,'Compliance Database'!$I390))),OR(Query!$B$7="All",'Compliance Database'!$F390=Query!$B$7),OR(Query!$B$8="All",'Compliance Database'!$J390=Query!$B$8),OR(Query!$B$9="",ISNUMBER(SEARCH(Query!$B$9,'Compliance Database'!$D390&amp;" "&amp;'Compliance Database'!$K390&amp;" "&amp;'Compliance Database'!$L390&amp;" "&amp;'Compliance Database'!$M390&amp;" "&amp;'Compliance Database'!$N390&amp;" "&amp;'Compliance Database'!$O390))),OR(Query!$B$10&lt;&gt;"Yes",'Compliance Database'!$F390&lt;&gt;"None")),1,0)</f>
        <v/>
      </c>
      <c r="B390">
        <f>IF($A390=1,SUM($A$2:$A390),"")</f>
        <v/>
      </c>
      <c r="C390">
        <f>IF($A390=1,SUM($A$2:$A390),0)</f>
        <v/>
      </c>
    </row>
    <row r="391">
      <c r="A391">
        <f>IF(AND(OR(Query!$B$4="All",'Compliance Database'!$A391=Query!$B$4),OR(Query!$B$5="All",ISNUMBER(SEARCH(Query!$B$5,'Compliance Database'!$H391))),OR(Query!$B$6="All",ISNUMBER(SEARCH(Query!$B$6,'Compliance Database'!$I391))),OR(Query!$B$7="All",'Compliance Database'!$F391=Query!$B$7),OR(Query!$B$8="All",'Compliance Database'!$J391=Query!$B$8),OR(Query!$B$9="",ISNUMBER(SEARCH(Query!$B$9,'Compliance Database'!$D391&amp;" "&amp;'Compliance Database'!$K391&amp;" "&amp;'Compliance Database'!$L391&amp;" "&amp;'Compliance Database'!$M391&amp;" "&amp;'Compliance Database'!$N391&amp;" "&amp;'Compliance Database'!$O391))),OR(Query!$B$10&lt;&gt;"Yes",'Compliance Database'!$F391&lt;&gt;"None")),1,0)</f>
        <v/>
      </c>
      <c r="B391">
        <f>IF($A391=1,SUM($A$2:$A391),"")</f>
        <v/>
      </c>
      <c r="C391">
        <f>IF($A391=1,SUM($A$2:$A391),0)</f>
        <v/>
      </c>
    </row>
    <row r="392">
      <c r="A392">
        <f>IF(AND(OR(Query!$B$4="All",'Compliance Database'!$A392=Query!$B$4),OR(Query!$B$5="All",ISNUMBER(SEARCH(Query!$B$5,'Compliance Database'!$H392))),OR(Query!$B$6="All",ISNUMBER(SEARCH(Query!$B$6,'Compliance Database'!$I392))),OR(Query!$B$7="All",'Compliance Database'!$F392=Query!$B$7),OR(Query!$B$8="All",'Compliance Database'!$J392=Query!$B$8),OR(Query!$B$9="",ISNUMBER(SEARCH(Query!$B$9,'Compliance Database'!$D392&amp;" "&amp;'Compliance Database'!$K392&amp;" "&amp;'Compliance Database'!$L392&amp;" "&amp;'Compliance Database'!$M392&amp;" "&amp;'Compliance Database'!$N392&amp;" "&amp;'Compliance Database'!$O392))),OR(Query!$B$10&lt;&gt;"Yes",'Compliance Database'!$F392&lt;&gt;"None")),1,0)</f>
        <v/>
      </c>
      <c r="B392">
        <f>IF($A392=1,SUM($A$2:$A392),"")</f>
        <v/>
      </c>
      <c r="C392">
        <f>IF($A392=1,SUM($A$2:$A392),0)</f>
        <v/>
      </c>
    </row>
    <row r="393">
      <c r="A393">
        <f>IF(AND(OR(Query!$B$4="All",'Compliance Database'!$A393=Query!$B$4),OR(Query!$B$5="All",ISNUMBER(SEARCH(Query!$B$5,'Compliance Database'!$H393))),OR(Query!$B$6="All",ISNUMBER(SEARCH(Query!$B$6,'Compliance Database'!$I393))),OR(Query!$B$7="All",'Compliance Database'!$F393=Query!$B$7),OR(Query!$B$8="All",'Compliance Database'!$J393=Query!$B$8),OR(Query!$B$9="",ISNUMBER(SEARCH(Query!$B$9,'Compliance Database'!$D393&amp;" "&amp;'Compliance Database'!$K393&amp;" "&amp;'Compliance Database'!$L393&amp;" "&amp;'Compliance Database'!$M393&amp;" "&amp;'Compliance Database'!$N393&amp;" "&amp;'Compliance Database'!$O393))),OR(Query!$B$10&lt;&gt;"Yes",'Compliance Database'!$F393&lt;&gt;"None")),1,0)</f>
        <v/>
      </c>
      <c r="B393">
        <f>IF($A393=1,SUM($A$2:$A393),"")</f>
        <v/>
      </c>
      <c r="C393">
        <f>IF($A393=1,SUM($A$2:$A393),0)</f>
        <v/>
      </c>
    </row>
    <row r="394">
      <c r="A394">
        <f>IF(AND(OR(Query!$B$4="All",'Compliance Database'!$A394=Query!$B$4),OR(Query!$B$5="All",ISNUMBER(SEARCH(Query!$B$5,'Compliance Database'!$H394))),OR(Query!$B$6="All",ISNUMBER(SEARCH(Query!$B$6,'Compliance Database'!$I394))),OR(Query!$B$7="All",'Compliance Database'!$F394=Query!$B$7),OR(Query!$B$8="All",'Compliance Database'!$J394=Query!$B$8),OR(Query!$B$9="",ISNUMBER(SEARCH(Query!$B$9,'Compliance Database'!$D394&amp;" "&amp;'Compliance Database'!$K394&amp;" "&amp;'Compliance Database'!$L394&amp;" "&amp;'Compliance Database'!$M394&amp;" "&amp;'Compliance Database'!$N394&amp;" "&amp;'Compliance Database'!$O394))),OR(Query!$B$10&lt;&gt;"Yes",'Compliance Database'!$F394&lt;&gt;"None")),1,0)</f>
        <v/>
      </c>
      <c r="B394">
        <f>IF($A394=1,SUM($A$2:$A394),"")</f>
        <v/>
      </c>
      <c r="C394">
        <f>IF($A394=1,SUM($A$2:$A394),0)</f>
        <v/>
      </c>
    </row>
    <row r="395">
      <c r="A395">
        <f>IF(AND(OR(Query!$B$4="All",'Compliance Database'!$A395=Query!$B$4),OR(Query!$B$5="All",ISNUMBER(SEARCH(Query!$B$5,'Compliance Database'!$H395))),OR(Query!$B$6="All",ISNUMBER(SEARCH(Query!$B$6,'Compliance Database'!$I395))),OR(Query!$B$7="All",'Compliance Database'!$F395=Query!$B$7),OR(Query!$B$8="All",'Compliance Database'!$J395=Query!$B$8),OR(Query!$B$9="",ISNUMBER(SEARCH(Query!$B$9,'Compliance Database'!$D395&amp;" "&amp;'Compliance Database'!$K395&amp;" "&amp;'Compliance Database'!$L395&amp;" "&amp;'Compliance Database'!$M395&amp;" "&amp;'Compliance Database'!$N395&amp;" "&amp;'Compliance Database'!$O395))),OR(Query!$B$10&lt;&gt;"Yes",'Compliance Database'!$F395&lt;&gt;"None")),1,0)</f>
        <v/>
      </c>
      <c r="B395">
        <f>IF($A395=1,SUM($A$2:$A395),"")</f>
        <v/>
      </c>
      <c r="C395">
        <f>IF($A395=1,SUM($A$2:$A395),0)</f>
        <v/>
      </c>
    </row>
    <row r="396">
      <c r="A396">
        <f>IF(AND(OR(Query!$B$4="All",'Compliance Database'!$A396=Query!$B$4),OR(Query!$B$5="All",ISNUMBER(SEARCH(Query!$B$5,'Compliance Database'!$H396))),OR(Query!$B$6="All",ISNUMBER(SEARCH(Query!$B$6,'Compliance Database'!$I396))),OR(Query!$B$7="All",'Compliance Database'!$F396=Query!$B$7),OR(Query!$B$8="All",'Compliance Database'!$J396=Query!$B$8),OR(Query!$B$9="",ISNUMBER(SEARCH(Query!$B$9,'Compliance Database'!$D396&amp;" "&amp;'Compliance Database'!$K396&amp;" "&amp;'Compliance Database'!$L396&amp;" "&amp;'Compliance Database'!$M396&amp;" "&amp;'Compliance Database'!$N396&amp;" "&amp;'Compliance Database'!$O396))),OR(Query!$B$10&lt;&gt;"Yes",'Compliance Database'!$F396&lt;&gt;"None")),1,0)</f>
        <v/>
      </c>
      <c r="B396">
        <f>IF($A396=1,SUM($A$2:$A396),"")</f>
        <v/>
      </c>
      <c r="C396">
        <f>IF($A396=1,SUM($A$2:$A396),0)</f>
        <v/>
      </c>
    </row>
    <row r="397">
      <c r="A397">
        <f>IF(AND(OR(Query!$B$4="All",'Compliance Database'!$A397=Query!$B$4),OR(Query!$B$5="All",ISNUMBER(SEARCH(Query!$B$5,'Compliance Database'!$H397))),OR(Query!$B$6="All",ISNUMBER(SEARCH(Query!$B$6,'Compliance Database'!$I397))),OR(Query!$B$7="All",'Compliance Database'!$F397=Query!$B$7),OR(Query!$B$8="All",'Compliance Database'!$J397=Query!$B$8),OR(Query!$B$9="",ISNUMBER(SEARCH(Query!$B$9,'Compliance Database'!$D397&amp;" "&amp;'Compliance Database'!$K397&amp;" "&amp;'Compliance Database'!$L397&amp;" "&amp;'Compliance Database'!$M397&amp;" "&amp;'Compliance Database'!$N397&amp;" "&amp;'Compliance Database'!$O397))),OR(Query!$B$10&lt;&gt;"Yes",'Compliance Database'!$F397&lt;&gt;"None")),1,0)</f>
        <v/>
      </c>
      <c r="B397">
        <f>IF($A397=1,SUM($A$2:$A397),"")</f>
        <v/>
      </c>
      <c r="C397">
        <f>IF($A397=1,SUM($A$2:$A397),0)</f>
        <v/>
      </c>
    </row>
    <row r="398">
      <c r="A398">
        <f>IF(AND(OR(Query!$B$4="All",'Compliance Database'!$A398=Query!$B$4),OR(Query!$B$5="All",ISNUMBER(SEARCH(Query!$B$5,'Compliance Database'!$H398))),OR(Query!$B$6="All",ISNUMBER(SEARCH(Query!$B$6,'Compliance Database'!$I398))),OR(Query!$B$7="All",'Compliance Database'!$F398=Query!$B$7),OR(Query!$B$8="All",'Compliance Database'!$J398=Query!$B$8),OR(Query!$B$9="",ISNUMBER(SEARCH(Query!$B$9,'Compliance Database'!$D398&amp;" "&amp;'Compliance Database'!$K398&amp;" "&amp;'Compliance Database'!$L398&amp;" "&amp;'Compliance Database'!$M398&amp;" "&amp;'Compliance Database'!$N398&amp;" "&amp;'Compliance Database'!$O398))),OR(Query!$B$10&lt;&gt;"Yes",'Compliance Database'!$F398&lt;&gt;"None")),1,0)</f>
        <v/>
      </c>
      <c r="B398">
        <f>IF($A398=1,SUM($A$2:$A398),"")</f>
        <v/>
      </c>
      <c r="C398">
        <f>IF($A398=1,SUM($A$2:$A398),0)</f>
        <v/>
      </c>
    </row>
    <row r="399">
      <c r="A399">
        <f>IF(AND(OR(Query!$B$4="All",'Compliance Database'!$A399=Query!$B$4),OR(Query!$B$5="All",ISNUMBER(SEARCH(Query!$B$5,'Compliance Database'!$H399))),OR(Query!$B$6="All",ISNUMBER(SEARCH(Query!$B$6,'Compliance Database'!$I399))),OR(Query!$B$7="All",'Compliance Database'!$F399=Query!$B$7),OR(Query!$B$8="All",'Compliance Database'!$J399=Query!$B$8),OR(Query!$B$9="",ISNUMBER(SEARCH(Query!$B$9,'Compliance Database'!$D399&amp;" "&amp;'Compliance Database'!$K399&amp;" "&amp;'Compliance Database'!$L399&amp;" "&amp;'Compliance Database'!$M399&amp;" "&amp;'Compliance Database'!$N399&amp;" "&amp;'Compliance Database'!$O399))),OR(Query!$B$10&lt;&gt;"Yes",'Compliance Database'!$F399&lt;&gt;"None")),1,0)</f>
        <v/>
      </c>
      <c r="B399">
        <f>IF($A399=1,SUM($A$2:$A399),"")</f>
        <v/>
      </c>
      <c r="C399">
        <f>IF($A399=1,SUM($A$2:$A399),0)</f>
        <v/>
      </c>
    </row>
    <row r="400">
      <c r="A400">
        <f>IF(AND(OR(Query!$B$4="All",'Compliance Database'!$A400=Query!$B$4),OR(Query!$B$5="All",ISNUMBER(SEARCH(Query!$B$5,'Compliance Database'!$H400))),OR(Query!$B$6="All",ISNUMBER(SEARCH(Query!$B$6,'Compliance Database'!$I400))),OR(Query!$B$7="All",'Compliance Database'!$F400=Query!$B$7),OR(Query!$B$8="All",'Compliance Database'!$J400=Query!$B$8),OR(Query!$B$9="",ISNUMBER(SEARCH(Query!$B$9,'Compliance Database'!$D400&amp;" "&amp;'Compliance Database'!$K400&amp;" "&amp;'Compliance Database'!$L400&amp;" "&amp;'Compliance Database'!$M400&amp;" "&amp;'Compliance Database'!$N400&amp;" "&amp;'Compliance Database'!$O400))),OR(Query!$B$10&lt;&gt;"Yes",'Compliance Database'!$F400&lt;&gt;"None")),1,0)</f>
        <v/>
      </c>
      <c r="B400">
        <f>IF($A400=1,SUM($A$2:$A400),"")</f>
        <v/>
      </c>
      <c r="C400">
        <f>IF($A400=1,SUM($A$2:$A400),0)</f>
        <v/>
      </c>
    </row>
    <row r="401">
      <c r="A401">
        <f>IF(AND(OR(Query!$B$4="All",'Compliance Database'!$A401=Query!$B$4),OR(Query!$B$5="All",ISNUMBER(SEARCH(Query!$B$5,'Compliance Database'!$H401))),OR(Query!$B$6="All",ISNUMBER(SEARCH(Query!$B$6,'Compliance Database'!$I401))),OR(Query!$B$7="All",'Compliance Database'!$F401=Query!$B$7),OR(Query!$B$8="All",'Compliance Database'!$J401=Query!$B$8),OR(Query!$B$9="",ISNUMBER(SEARCH(Query!$B$9,'Compliance Database'!$D401&amp;" "&amp;'Compliance Database'!$K401&amp;" "&amp;'Compliance Database'!$L401&amp;" "&amp;'Compliance Database'!$M401&amp;" "&amp;'Compliance Database'!$N401&amp;" "&amp;'Compliance Database'!$O401))),OR(Query!$B$10&lt;&gt;"Yes",'Compliance Database'!$F401&lt;&gt;"None")),1,0)</f>
        <v/>
      </c>
      <c r="B401">
        <f>IF($A401=1,SUM($A$2:$A401),"")</f>
        <v/>
      </c>
      <c r="C401">
        <f>IF($A401=1,SUM($A$2:$A401),0)</f>
        <v/>
      </c>
    </row>
    <row r="402">
      <c r="A402">
        <f>IF(AND(OR(Query!$B$4="All",'Compliance Database'!$A402=Query!$B$4),OR(Query!$B$5="All",ISNUMBER(SEARCH(Query!$B$5,'Compliance Database'!$H402))),OR(Query!$B$6="All",ISNUMBER(SEARCH(Query!$B$6,'Compliance Database'!$I402))),OR(Query!$B$7="All",'Compliance Database'!$F402=Query!$B$7),OR(Query!$B$8="All",'Compliance Database'!$J402=Query!$B$8),OR(Query!$B$9="",ISNUMBER(SEARCH(Query!$B$9,'Compliance Database'!$D402&amp;" "&amp;'Compliance Database'!$K402&amp;" "&amp;'Compliance Database'!$L402&amp;" "&amp;'Compliance Database'!$M402&amp;" "&amp;'Compliance Database'!$N402&amp;" "&amp;'Compliance Database'!$O402))),OR(Query!$B$10&lt;&gt;"Yes",'Compliance Database'!$F402&lt;&gt;"None")),1,0)</f>
        <v/>
      </c>
      <c r="B402">
        <f>IF($A402=1,SUM($A$2:$A402),"")</f>
        <v/>
      </c>
      <c r="C402">
        <f>IF($A402=1,SUM($A$2:$A402),0)</f>
        <v/>
      </c>
    </row>
    <row r="403">
      <c r="A403">
        <f>IF(AND(OR(Query!$B$4="All",'Compliance Database'!$A403=Query!$B$4),OR(Query!$B$5="All",ISNUMBER(SEARCH(Query!$B$5,'Compliance Database'!$H403))),OR(Query!$B$6="All",ISNUMBER(SEARCH(Query!$B$6,'Compliance Database'!$I403))),OR(Query!$B$7="All",'Compliance Database'!$F403=Query!$B$7),OR(Query!$B$8="All",'Compliance Database'!$J403=Query!$B$8),OR(Query!$B$9="",ISNUMBER(SEARCH(Query!$B$9,'Compliance Database'!$D403&amp;" "&amp;'Compliance Database'!$K403&amp;" "&amp;'Compliance Database'!$L403&amp;" "&amp;'Compliance Database'!$M403&amp;" "&amp;'Compliance Database'!$N403&amp;" "&amp;'Compliance Database'!$O403))),OR(Query!$B$10&lt;&gt;"Yes",'Compliance Database'!$F403&lt;&gt;"None")),1,0)</f>
        <v/>
      </c>
      <c r="B403">
        <f>IF($A403=1,SUM($A$2:$A403),"")</f>
        <v/>
      </c>
      <c r="C403">
        <f>IF($A403=1,SUM($A$2:$A403),0)</f>
        <v/>
      </c>
    </row>
    <row r="404">
      <c r="A404">
        <f>IF(AND(OR(Query!$B$4="All",'Compliance Database'!$A404=Query!$B$4),OR(Query!$B$5="All",ISNUMBER(SEARCH(Query!$B$5,'Compliance Database'!$H404))),OR(Query!$B$6="All",ISNUMBER(SEARCH(Query!$B$6,'Compliance Database'!$I404))),OR(Query!$B$7="All",'Compliance Database'!$F404=Query!$B$7),OR(Query!$B$8="All",'Compliance Database'!$J404=Query!$B$8),OR(Query!$B$9="",ISNUMBER(SEARCH(Query!$B$9,'Compliance Database'!$D404&amp;" "&amp;'Compliance Database'!$K404&amp;" "&amp;'Compliance Database'!$L404&amp;" "&amp;'Compliance Database'!$M404&amp;" "&amp;'Compliance Database'!$N404&amp;" "&amp;'Compliance Database'!$O404))),OR(Query!$B$10&lt;&gt;"Yes",'Compliance Database'!$F404&lt;&gt;"None")),1,0)</f>
        <v/>
      </c>
      <c r="B404">
        <f>IF($A404=1,SUM($A$2:$A404),"")</f>
        <v/>
      </c>
      <c r="C404">
        <f>IF($A404=1,SUM($A$2:$A404),0)</f>
        <v/>
      </c>
    </row>
    <row r="405">
      <c r="A405">
        <f>IF(AND(OR(Query!$B$4="All",'Compliance Database'!$A405=Query!$B$4),OR(Query!$B$5="All",ISNUMBER(SEARCH(Query!$B$5,'Compliance Database'!$H405))),OR(Query!$B$6="All",ISNUMBER(SEARCH(Query!$B$6,'Compliance Database'!$I405))),OR(Query!$B$7="All",'Compliance Database'!$F405=Query!$B$7),OR(Query!$B$8="All",'Compliance Database'!$J405=Query!$B$8),OR(Query!$B$9="",ISNUMBER(SEARCH(Query!$B$9,'Compliance Database'!$D405&amp;" "&amp;'Compliance Database'!$K405&amp;" "&amp;'Compliance Database'!$L405&amp;" "&amp;'Compliance Database'!$M405&amp;" "&amp;'Compliance Database'!$N405&amp;" "&amp;'Compliance Database'!$O405))),OR(Query!$B$10&lt;&gt;"Yes",'Compliance Database'!$F405&lt;&gt;"None")),1,0)</f>
        <v/>
      </c>
      <c r="B405">
        <f>IF($A405=1,SUM($A$2:$A405),"")</f>
        <v/>
      </c>
      <c r="C405">
        <f>IF($A405=1,SUM($A$2:$A405),0)</f>
        <v/>
      </c>
    </row>
    <row r="406">
      <c r="A406">
        <f>IF(AND(OR(Query!$B$4="All",'Compliance Database'!$A406=Query!$B$4),OR(Query!$B$5="All",ISNUMBER(SEARCH(Query!$B$5,'Compliance Database'!$H406))),OR(Query!$B$6="All",ISNUMBER(SEARCH(Query!$B$6,'Compliance Database'!$I406))),OR(Query!$B$7="All",'Compliance Database'!$F406=Query!$B$7),OR(Query!$B$8="All",'Compliance Database'!$J406=Query!$B$8),OR(Query!$B$9="",ISNUMBER(SEARCH(Query!$B$9,'Compliance Database'!$D406&amp;" "&amp;'Compliance Database'!$K406&amp;" "&amp;'Compliance Database'!$L406&amp;" "&amp;'Compliance Database'!$M406&amp;" "&amp;'Compliance Database'!$N406&amp;" "&amp;'Compliance Database'!$O406))),OR(Query!$B$10&lt;&gt;"Yes",'Compliance Database'!$F406&lt;&gt;"None")),1,0)</f>
        <v/>
      </c>
      <c r="B406">
        <f>IF($A406=1,SUM($A$2:$A406),"")</f>
        <v/>
      </c>
      <c r="C406">
        <f>IF($A406=1,SUM($A$2:$A406),0)</f>
        <v/>
      </c>
    </row>
    <row r="407">
      <c r="A407">
        <f>IF(AND(OR(Query!$B$4="All",'Compliance Database'!$A407=Query!$B$4),OR(Query!$B$5="All",ISNUMBER(SEARCH(Query!$B$5,'Compliance Database'!$H407))),OR(Query!$B$6="All",ISNUMBER(SEARCH(Query!$B$6,'Compliance Database'!$I407))),OR(Query!$B$7="All",'Compliance Database'!$F407=Query!$B$7),OR(Query!$B$8="All",'Compliance Database'!$J407=Query!$B$8),OR(Query!$B$9="",ISNUMBER(SEARCH(Query!$B$9,'Compliance Database'!$D407&amp;" "&amp;'Compliance Database'!$K407&amp;" "&amp;'Compliance Database'!$L407&amp;" "&amp;'Compliance Database'!$M407&amp;" "&amp;'Compliance Database'!$N407&amp;" "&amp;'Compliance Database'!$O407))),OR(Query!$B$10&lt;&gt;"Yes",'Compliance Database'!$F407&lt;&gt;"None")),1,0)</f>
        <v/>
      </c>
      <c r="B407">
        <f>IF($A407=1,SUM($A$2:$A407),"")</f>
        <v/>
      </c>
      <c r="C407">
        <f>IF($A407=1,SUM($A$2:$A407),0)</f>
        <v/>
      </c>
    </row>
    <row r="408">
      <c r="A408">
        <f>IF(AND(OR(Query!$B$4="All",'Compliance Database'!$A408=Query!$B$4),OR(Query!$B$5="All",ISNUMBER(SEARCH(Query!$B$5,'Compliance Database'!$H408))),OR(Query!$B$6="All",ISNUMBER(SEARCH(Query!$B$6,'Compliance Database'!$I408))),OR(Query!$B$7="All",'Compliance Database'!$F408=Query!$B$7),OR(Query!$B$8="All",'Compliance Database'!$J408=Query!$B$8),OR(Query!$B$9="",ISNUMBER(SEARCH(Query!$B$9,'Compliance Database'!$D408&amp;" "&amp;'Compliance Database'!$K408&amp;" "&amp;'Compliance Database'!$L408&amp;" "&amp;'Compliance Database'!$M408&amp;" "&amp;'Compliance Database'!$N408&amp;" "&amp;'Compliance Database'!$O408))),OR(Query!$B$10&lt;&gt;"Yes",'Compliance Database'!$F408&lt;&gt;"None")),1,0)</f>
        <v/>
      </c>
      <c r="B408">
        <f>IF($A408=1,SUM($A$2:$A408),"")</f>
        <v/>
      </c>
      <c r="C408">
        <f>IF($A408=1,SUM($A$2:$A408),0)</f>
        <v/>
      </c>
    </row>
    <row r="409">
      <c r="A409">
        <f>IF(AND(OR(Query!$B$4="All",'Compliance Database'!$A409=Query!$B$4),OR(Query!$B$5="All",ISNUMBER(SEARCH(Query!$B$5,'Compliance Database'!$H409))),OR(Query!$B$6="All",ISNUMBER(SEARCH(Query!$B$6,'Compliance Database'!$I409))),OR(Query!$B$7="All",'Compliance Database'!$F409=Query!$B$7),OR(Query!$B$8="All",'Compliance Database'!$J409=Query!$B$8),OR(Query!$B$9="",ISNUMBER(SEARCH(Query!$B$9,'Compliance Database'!$D409&amp;" "&amp;'Compliance Database'!$K409&amp;" "&amp;'Compliance Database'!$L409&amp;" "&amp;'Compliance Database'!$M409&amp;" "&amp;'Compliance Database'!$N409&amp;" "&amp;'Compliance Database'!$O409))),OR(Query!$B$10&lt;&gt;"Yes",'Compliance Database'!$F409&lt;&gt;"None")),1,0)</f>
        <v/>
      </c>
      <c r="B409">
        <f>IF($A409=1,SUM($A$2:$A409),"")</f>
        <v/>
      </c>
      <c r="C409">
        <f>IF($A409=1,SUM($A$2:$A409),0)</f>
        <v/>
      </c>
    </row>
    <row r="410">
      <c r="A410">
        <f>IF(AND(OR(Query!$B$4="All",'Compliance Database'!$A410=Query!$B$4),OR(Query!$B$5="All",ISNUMBER(SEARCH(Query!$B$5,'Compliance Database'!$H410))),OR(Query!$B$6="All",ISNUMBER(SEARCH(Query!$B$6,'Compliance Database'!$I410))),OR(Query!$B$7="All",'Compliance Database'!$F410=Query!$B$7),OR(Query!$B$8="All",'Compliance Database'!$J410=Query!$B$8),OR(Query!$B$9="",ISNUMBER(SEARCH(Query!$B$9,'Compliance Database'!$D410&amp;" "&amp;'Compliance Database'!$K410&amp;" "&amp;'Compliance Database'!$L410&amp;" "&amp;'Compliance Database'!$M410&amp;" "&amp;'Compliance Database'!$N410&amp;" "&amp;'Compliance Database'!$O410))),OR(Query!$B$10&lt;&gt;"Yes",'Compliance Database'!$F410&lt;&gt;"None")),1,0)</f>
        <v/>
      </c>
      <c r="B410">
        <f>IF($A410=1,SUM($A$2:$A410),"")</f>
        <v/>
      </c>
      <c r="C410">
        <f>IF($A410=1,SUM($A$2:$A410),0)</f>
        <v/>
      </c>
    </row>
    <row r="411">
      <c r="A411">
        <f>IF(AND(OR(Query!$B$4="All",'Compliance Database'!$A411=Query!$B$4),OR(Query!$B$5="All",ISNUMBER(SEARCH(Query!$B$5,'Compliance Database'!$H411))),OR(Query!$B$6="All",ISNUMBER(SEARCH(Query!$B$6,'Compliance Database'!$I411))),OR(Query!$B$7="All",'Compliance Database'!$F411=Query!$B$7),OR(Query!$B$8="All",'Compliance Database'!$J411=Query!$B$8),OR(Query!$B$9="",ISNUMBER(SEARCH(Query!$B$9,'Compliance Database'!$D411&amp;" "&amp;'Compliance Database'!$K411&amp;" "&amp;'Compliance Database'!$L411&amp;" "&amp;'Compliance Database'!$M411&amp;" "&amp;'Compliance Database'!$N411&amp;" "&amp;'Compliance Database'!$O411))),OR(Query!$B$10&lt;&gt;"Yes",'Compliance Database'!$F411&lt;&gt;"None")),1,0)</f>
        <v/>
      </c>
      <c r="B411">
        <f>IF($A411=1,SUM($A$2:$A411),"")</f>
        <v/>
      </c>
      <c r="C411">
        <f>IF($A411=1,SUM($A$2:$A411),0)</f>
        <v/>
      </c>
    </row>
    <row r="412">
      <c r="A412">
        <f>IF(AND(OR(Query!$B$4="All",'Compliance Database'!$A412=Query!$B$4),OR(Query!$B$5="All",ISNUMBER(SEARCH(Query!$B$5,'Compliance Database'!$H412))),OR(Query!$B$6="All",ISNUMBER(SEARCH(Query!$B$6,'Compliance Database'!$I412))),OR(Query!$B$7="All",'Compliance Database'!$F412=Query!$B$7),OR(Query!$B$8="All",'Compliance Database'!$J412=Query!$B$8),OR(Query!$B$9="",ISNUMBER(SEARCH(Query!$B$9,'Compliance Database'!$D412&amp;" "&amp;'Compliance Database'!$K412&amp;" "&amp;'Compliance Database'!$L412&amp;" "&amp;'Compliance Database'!$M412&amp;" "&amp;'Compliance Database'!$N412&amp;" "&amp;'Compliance Database'!$O412))),OR(Query!$B$10&lt;&gt;"Yes",'Compliance Database'!$F412&lt;&gt;"None")),1,0)</f>
        <v/>
      </c>
      <c r="B412">
        <f>IF($A412=1,SUM($A$2:$A412),"")</f>
        <v/>
      </c>
      <c r="C412">
        <f>IF($A412=1,SUM($A$2:$A412),0)</f>
        <v/>
      </c>
    </row>
    <row r="413">
      <c r="A413">
        <f>IF(AND(OR(Query!$B$4="All",'Compliance Database'!$A413=Query!$B$4),OR(Query!$B$5="All",ISNUMBER(SEARCH(Query!$B$5,'Compliance Database'!$H413))),OR(Query!$B$6="All",ISNUMBER(SEARCH(Query!$B$6,'Compliance Database'!$I413))),OR(Query!$B$7="All",'Compliance Database'!$F413=Query!$B$7),OR(Query!$B$8="All",'Compliance Database'!$J413=Query!$B$8),OR(Query!$B$9="",ISNUMBER(SEARCH(Query!$B$9,'Compliance Database'!$D413&amp;" "&amp;'Compliance Database'!$K413&amp;" "&amp;'Compliance Database'!$L413&amp;" "&amp;'Compliance Database'!$M413&amp;" "&amp;'Compliance Database'!$N413&amp;" "&amp;'Compliance Database'!$O413))),OR(Query!$B$10&lt;&gt;"Yes",'Compliance Database'!$F413&lt;&gt;"None")),1,0)</f>
        <v/>
      </c>
      <c r="B413">
        <f>IF($A413=1,SUM($A$2:$A413),"")</f>
        <v/>
      </c>
      <c r="C413">
        <f>IF($A413=1,SUM($A$2:$A413),0)</f>
        <v/>
      </c>
    </row>
    <row r="414">
      <c r="A414">
        <f>IF(AND(OR(Query!$B$4="All",'Compliance Database'!$A414=Query!$B$4),OR(Query!$B$5="All",ISNUMBER(SEARCH(Query!$B$5,'Compliance Database'!$H414))),OR(Query!$B$6="All",ISNUMBER(SEARCH(Query!$B$6,'Compliance Database'!$I414))),OR(Query!$B$7="All",'Compliance Database'!$F414=Query!$B$7),OR(Query!$B$8="All",'Compliance Database'!$J414=Query!$B$8),OR(Query!$B$9="",ISNUMBER(SEARCH(Query!$B$9,'Compliance Database'!$D414&amp;" "&amp;'Compliance Database'!$K414&amp;" "&amp;'Compliance Database'!$L414&amp;" "&amp;'Compliance Database'!$M414&amp;" "&amp;'Compliance Database'!$N414&amp;" "&amp;'Compliance Database'!$O414))),OR(Query!$B$10&lt;&gt;"Yes",'Compliance Database'!$F414&lt;&gt;"None")),1,0)</f>
        <v/>
      </c>
      <c r="B414">
        <f>IF($A414=1,SUM($A$2:$A414),"")</f>
        <v/>
      </c>
      <c r="C414">
        <f>IF($A414=1,SUM($A$2:$A414),0)</f>
        <v/>
      </c>
    </row>
    <row r="415">
      <c r="A415">
        <f>IF(AND(OR(Query!$B$4="All",'Compliance Database'!$A415=Query!$B$4),OR(Query!$B$5="All",ISNUMBER(SEARCH(Query!$B$5,'Compliance Database'!$H415))),OR(Query!$B$6="All",ISNUMBER(SEARCH(Query!$B$6,'Compliance Database'!$I415))),OR(Query!$B$7="All",'Compliance Database'!$F415=Query!$B$7),OR(Query!$B$8="All",'Compliance Database'!$J415=Query!$B$8),OR(Query!$B$9="",ISNUMBER(SEARCH(Query!$B$9,'Compliance Database'!$D415&amp;" "&amp;'Compliance Database'!$K415&amp;" "&amp;'Compliance Database'!$L415&amp;" "&amp;'Compliance Database'!$M415&amp;" "&amp;'Compliance Database'!$N415&amp;" "&amp;'Compliance Database'!$O415))),OR(Query!$B$10&lt;&gt;"Yes",'Compliance Database'!$F415&lt;&gt;"None")),1,0)</f>
        <v/>
      </c>
      <c r="B415">
        <f>IF($A415=1,SUM($A$2:$A415),"")</f>
        <v/>
      </c>
      <c r="C415">
        <f>IF($A415=1,SUM($A$2:$A415),0)</f>
        <v/>
      </c>
    </row>
    <row r="416">
      <c r="A416">
        <f>IF(AND(OR(Query!$B$4="All",'Compliance Database'!$A416=Query!$B$4),OR(Query!$B$5="All",ISNUMBER(SEARCH(Query!$B$5,'Compliance Database'!$H416))),OR(Query!$B$6="All",ISNUMBER(SEARCH(Query!$B$6,'Compliance Database'!$I416))),OR(Query!$B$7="All",'Compliance Database'!$F416=Query!$B$7),OR(Query!$B$8="All",'Compliance Database'!$J416=Query!$B$8),OR(Query!$B$9="",ISNUMBER(SEARCH(Query!$B$9,'Compliance Database'!$D416&amp;" "&amp;'Compliance Database'!$K416&amp;" "&amp;'Compliance Database'!$L416&amp;" "&amp;'Compliance Database'!$M416&amp;" "&amp;'Compliance Database'!$N416&amp;" "&amp;'Compliance Database'!$O416))),OR(Query!$B$10&lt;&gt;"Yes",'Compliance Database'!$F416&lt;&gt;"None")),1,0)</f>
        <v/>
      </c>
      <c r="B416">
        <f>IF($A416=1,SUM($A$2:$A416),"")</f>
        <v/>
      </c>
      <c r="C416">
        <f>IF($A416=1,SUM($A$2:$A416),0)</f>
        <v/>
      </c>
    </row>
    <row r="417">
      <c r="A417">
        <f>IF(AND(OR(Query!$B$4="All",'Compliance Database'!$A417=Query!$B$4),OR(Query!$B$5="All",ISNUMBER(SEARCH(Query!$B$5,'Compliance Database'!$H417))),OR(Query!$B$6="All",ISNUMBER(SEARCH(Query!$B$6,'Compliance Database'!$I417))),OR(Query!$B$7="All",'Compliance Database'!$F417=Query!$B$7),OR(Query!$B$8="All",'Compliance Database'!$J417=Query!$B$8),OR(Query!$B$9="",ISNUMBER(SEARCH(Query!$B$9,'Compliance Database'!$D417&amp;" "&amp;'Compliance Database'!$K417&amp;" "&amp;'Compliance Database'!$L417&amp;" "&amp;'Compliance Database'!$M417&amp;" "&amp;'Compliance Database'!$N417&amp;" "&amp;'Compliance Database'!$O417))),OR(Query!$B$10&lt;&gt;"Yes",'Compliance Database'!$F417&lt;&gt;"None")),1,0)</f>
        <v/>
      </c>
      <c r="B417">
        <f>IF($A417=1,SUM($A$2:$A417),"")</f>
        <v/>
      </c>
      <c r="C417">
        <f>IF($A417=1,SUM($A$2:$A417),0)</f>
        <v/>
      </c>
    </row>
    <row r="418">
      <c r="A418">
        <f>IF(AND(OR(Query!$B$4="All",'Compliance Database'!$A418=Query!$B$4),OR(Query!$B$5="All",ISNUMBER(SEARCH(Query!$B$5,'Compliance Database'!$H418))),OR(Query!$B$6="All",ISNUMBER(SEARCH(Query!$B$6,'Compliance Database'!$I418))),OR(Query!$B$7="All",'Compliance Database'!$F418=Query!$B$7),OR(Query!$B$8="All",'Compliance Database'!$J418=Query!$B$8),OR(Query!$B$9="",ISNUMBER(SEARCH(Query!$B$9,'Compliance Database'!$D418&amp;" "&amp;'Compliance Database'!$K418&amp;" "&amp;'Compliance Database'!$L418&amp;" "&amp;'Compliance Database'!$M418&amp;" "&amp;'Compliance Database'!$N418&amp;" "&amp;'Compliance Database'!$O418))),OR(Query!$B$10&lt;&gt;"Yes",'Compliance Database'!$F418&lt;&gt;"None")),1,0)</f>
        <v/>
      </c>
      <c r="B418">
        <f>IF($A418=1,SUM($A$2:$A418),"")</f>
        <v/>
      </c>
      <c r="C418">
        <f>IF($A418=1,SUM($A$2:$A418),0)</f>
        <v/>
      </c>
    </row>
    <row r="419">
      <c r="A419">
        <f>IF(AND(OR(Query!$B$4="All",'Compliance Database'!$A419=Query!$B$4),OR(Query!$B$5="All",ISNUMBER(SEARCH(Query!$B$5,'Compliance Database'!$H419))),OR(Query!$B$6="All",ISNUMBER(SEARCH(Query!$B$6,'Compliance Database'!$I419))),OR(Query!$B$7="All",'Compliance Database'!$F419=Query!$B$7),OR(Query!$B$8="All",'Compliance Database'!$J419=Query!$B$8),OR(Query!$B$9="",ISNUMBER(SEARCH(Query!$B$9,'Compliance Database'!$D419&amp;" "&amp;'Compliance Database'!$K419&amp;" "&amp;'Compliance Database'!$L419&amp;" "&amp;'Compliance Database'!$M419&amp;" "&amp;'Compliance Database'!$N419&amp;" "&amp;'Compliance Database'!$O419))),OR(Query!$B$10&lt;&gt;"Yes",'Compliance Database'!$F419&lt;&gt;"None")),1,0)</f>
        <v/>
      </c>
      <c r="B419">
        <f>IF($A419=1,SUM($A$2:$A419),"")</f>
        <v/>
      </c>
      <c r="C419">
        <f>IF($A419=1,SUM($A$2:$A419),0)</f>
        <v/>
      </c>
    </row>
    <row r="420">
      <c r="A420">
        <f>IF(AND(OR(Query!$B$4="All",'Compliance Database'!$A420=Query!$B$4),OR(Query!$B$5="All",ISNUMBER(SEARCH(Query!$B$5,'Compliance Database'!$H420))),OR(Query!$B$6="All",ISNUMBER(SEARCH(Query!$B$6,'Compliance Database'!$I420))),OR(Query!$B$7="All",'Compliance Database'!$F420=Query!$B$7),OR(Query!$B$8="All",'Compliance Database'!$J420=Query!$B$8),OR(Query!$B$9="",ISNUMBER(SEARCH(Query!$B$9,'Compliance Database'!$D420&amp;" "&amp;'Compliance Database'!$K420&amp;" "&amp;'Compliance Database'!$L420&amp;" "&amp;'Compliance Database'!$M420&amp;" "&amp;'Compliance Database'!$N420&amp;" "&amp;'Compliance Database'!$O420))),OR(Query!$B$10&lt;&gt;"Yes",'Compliance Database'!$F420&lt;&gt;"None")),1,0)</f>
        <v/>
      </c>
      <c r="B420">
        <f>IF($A420=1,SUM($A$2:$A420),"")</f>
        <v/>
      </c>
      <c r="C420">
        <f>IF($A420=1,SUM($A$2:$A420),0)</f>
        <v/>
      </c>
    </row>
    <row r="421">
      <c r="A421">
        <f>IF(AND(OR(Query!$B$4="All",'Compliance Database'!$A421=Query!$B$4),OR(Query!$B$5="All",ISNUMBER(SEARCH(Query!$B$5,'Compliance Database'!$H421))),OR(Query!$B$6="All",ISNUMBER(SEARCH(Query!$B$6,'Compliance Database'!$I421))),OR(Query!$B$7="All",'Compliance Database'!$F421=Query!$B$7),OR(Query!$B$8="All",'Compliance Database'!$J421=Query!$B$8),OR(Query!$B$9="",ISNUMBER(SEARCH(Query!$B$9,'Compliance Database'!$D421&amp;" "&amp;'Compliance Database'!$K421&amp;" "&amp;'Compliance Database'!$L421&amp;" "&amp;'Compliance Database'!$M421&amp;" "&amp;'Compliance Database'!$N421&amp;" "&amp;'Compliance Database'!$O421))),OR(Query!$B$10&lt;&gt;"Yes",'Compliance Database'!$F421&lt;&gt;"None")),1,0)</f>
        <v/>
      </c>
      <c r="B421">
        <f>IF($A421=1,SUM($A$2:$A421),"")</f>
        <v/>
      </c>
      <c r="C421">
        <f>IF($A421=1,SUM($A$2:$A421),0)</f>
        <v/>
      </c>
    </row>
    <row r="422">
      <c r="A422">
        <f>IF(AND(OR(Query!$B$4="All",'Compliance Database'!$A422=Query!$B$4),OR(Query!$B$5="All",ISNUMBER(SEARCH(Query!$B$5,'Compliance Database'!$H422))),OR(Query!$B$6="All",ISNUMBER(SEARCH(Query!$B$6,'Compliance Database'!$I422))),OR(Query!$B$7="All",'Compliance Database'!$F422=Query!$B$7),OR(Query!$B$8="All",'Compliance Database'!$J422=Query!$B$8),OR(Query!$B$9="",ISNUMBER(SEARCH(Query!$B$9,'Compliance Database'!$D422&amp;" "&amp;'Compliance Database'!$K422&amp;" "&amp;'Compliance Database'!$L422&amp;" "&amp;'Compliance Database'!$M422&amp;" "&amp;'Compliance Database'!$N422&amp;" "&amp;'Compliance Database'!$O422))),OR(Query!$B$10&lt;&gt;"Yes",'Compliance Database'!$F422&lt;&gt;"None")),1,0)</f>
        <v/>
      </c>
      <c r="B422">
        <f>IF($A422=1,SUM($A$2:$A422),"")</f>
        <v/>
      </c>
      <c r="C422">
        <f>IF($A422=1,SUM($A$2:$A422),0)</f>
        <v/>
      </c>
    </row>
    <row r="423">
      <c r="A423">
        <f>IF(AND(OR(Query!$B$4="All",'Compliance Database'!$A423=Query!$B$4),OR(Query!$B$5="All",ISNUMBER(SEARCH(Query!$B$5,'Compliance Database'!$H423))),OR(Query!$B$6="All",ISNUMBER(SEARCH(Query!$B$6,'Compliance Database'!$I423))),OR(Query!$B$7="All",'Compliance Database'!$F423=Query!$B$7),OR(Query!$B$8="All",'Compliance Database'!$J423=Query!$B$8),OR(Query!$B$9="",ISNUMBER(SEARCH(Query!$B$9,'Compliance Database'!$D423&amp;" "&amp;'Compliance Database'!$K423&amp;" "&amp;'Compliance Database'!$L423&amp;" "&amp;'Compliance Database'!$M423&amp;" "&amp;'Compliance Database'!$N423&amp;" "&amp;'Compliance Database'!$O423))),OR(Query!$B$10&lt;&gt;"Yes",'Compliance Database'!$F423&lt;&gt;"None")),1,0)</f>
        <v/>
      </c>
      <c r="B423">
        <f>IF($A423=1,SUM($A$2:$A423),"")</f>
        <v/>
      </c>
      <c r="C423">
        <f>IF($A423=1,SUM($A$2:$A423),0)</f>
        <v/>
      </c>
    </row>
    <row r="424">
      <c r="A424">
        <f>IF(AND(OR(Query!$B$4="All",'Compliance Database'!$A424=Query!$B$4),OR(Query!$B$5="All",ISNUMBER(SEARCH(Query!$B$5,'Compliance Database'!$H424))),OR(Query!$B$6="All",ISNUMBER(SEARCH(Query!$B$6,'Compliance Database'!$I424))),OR(Query!$B$7="All",'Compliance Database'!$F424=Query!$B$7),OR(Query!$B$8="All",'Compliance Database'!$J424=Query!$B$8),OR(Query!$B$9="",ISNUMBER(SEARCH(Query!$B$9,'Compliance Database'!$D424&amp;" "&amp;'Compliance Database'!$K424&amp;" "&amp;'Compliance Database'!$L424&amp;" "&amp;'Compliance Database'!$M424&amp;" "&amp;'Compliance Database'!$N424&amp;" "&amp;'Compliance Database'!$O424))),OR(Query!$B$10&lt;&gt;"Yes",'Compliance Database'!$F424&lt;&gt;"None")),1,0)</f>
        <v/>
      </c>
      <c r="B424">
        <f>IF($A424=1,SUM($A$2:$A424),"")</f>
        <v/>
      </c>
      <c r="C424">
        <f>IF($A424=1,SUM($A$2:$A424),0)</f>
        <v/>
      </c>
    </row>
    <row r="425">
      <c r="A425">
        <f>IF(AND(OR(Query!$B$4="All",'Compliance Database'!$A425=Query!$B$4),OR(Query!$B$5="All",ISNUMBER(SEARCH(Query!$B$5,'Compliance Database'!$H425))),OR(Query!$B$6="All",ISNUMBER(SEARCH(Query!$B$6,'Compliance Database'!$I425))),OR(Query!$B$7="All",'Compliance Database'!$F425=Query!$B$7),OR(Query!$B$8="All",'Compliance Database'!$J425=Query!$B$8),OR(Query!$B$9="",ISNUMBER(SEARCH(Query!$B$9,'Compliance Database'!$D425&amp;" "&amp;'Compliance Database'!$K425&amp;" "&amp;'Compliance Database'!$L425&amp;" "&amp;'Compliance Database'!$M425&amp;" "&amp;'Compliance Database'!$N425&amp;" "&amp;'Compliance Database'!$O425))),OR(Query!$B$10&lt;&gt;"Yes",'Compliance Database'!$F425&lt;&gt;"None")),1,0)</f>
        <v/>
      </c>
      <c r="B425">
        <f>IF($A425=1,SUM($A$2:$A425),"")</f>
        <v/>
      </c>
      <c r="C425">
        <f>IF($A425=1,SUM($A$2:$A425),0)</f>
        <v/>
      </c>
    </row>
    <row r="426">
      <c r="A426">
        <f>IF(AND(OR(Query!$B$4="All",'Compliance Database'!$A426=Query!$B$4),OR(Query!$B$5="All",ISNUMBER(SEARCH(Query!$B$5,'Compliance Database'!$H426))),OR(Query!$B$6="All",ISNUMBER(SEARCH(Query!$B$6,'Compliance Database'!$I426))),OR(Query!$B$7="All",'Compliance Database'!$F426=Query!$B$7),OR(Query!$B$8="All",'Compliance Database'!$J426=Query!$B$8),OR(Query!$B$9="",ISNUMBER(SEARCH(Query!$B$9,'Compliance Database'!$D426&amp;" "&amp;'Compliance Database'!$K426&amp;" "&amp;'Compliance Database'!$L426&amp;" "&amp;'Compliance Database'!$M426&amp;" "&amp;'Compliance Database'!$N426&amp;" "&amp;'Compliance Database'!$O426))),OR(Query!$B$10&lt;&gt;"Yes",'Compliance Database'!$F426&lt;&gt;"None")),1,0)</f>
        <v/>
      </c>
      <c r="B426">
        <f>IF($A426=1,SUM($A$2:$A426),"")</f>
        <v/>
      </c>
      <c r="C426">
        <f>IF($A426=1,SUM($A$2:$A426),0)</f>
        <v/>
      </c>
    </row>
    <row r="427">
      <c r="A427">
        <f>IF(AND(OR(Query!$B$4="All",'Compliance Database'!$A427=Query!$B$4),OR(Query!$B$5="All",ISNUMBER(SEARCH(Query!$B$5,'Compliance Database'!$H427))),OR(Query!$B$6="All",ISNUMBER(SEARCH(Query!$B$6,'Compliance Database'!$I427))),OR(Query!$B$7="All",'Compliance Database'!$F427=Query!$B$7),OR(Query!$B$8="All",'Compliance Database'!$J427=Query!$B$8),OR(Query!$B$9="",ISNUMBER(SEARCH(Query!$B$9,'Compliance Database'!$D427&amp;" "&amp;'Compliance Database'!$K427&amp;" "&amp;'Compliance Database'!$L427&amp;" "&amp;'Compliance Database'!$M427&amp;" "&amp;'Compliance Database'!$N427&amp;" "&amp;'Compliance Database'!$O427))),OR(Query!$B$10&lt;&gt;"Yes",'Compliance Database'!$F427&lt;&gt;"None")),1,0)</f>
        <v/>
      </c>
      <c r="B427">
        <f>IF($A427=1,SUM($A$2:$A427),"")</f>
        <v/>
      </c>
      <c r="C427">
        <f>IF($A427=1,SUM($A$2:$A427),0)</f>
        <v/>
      </c>
    </row>
    <row r="428">
      <c r="A428">
        <f>IF(AND(OR(Query!$B$4="All",'Compliance Database'!$A428=Query!$B$4),OR(Query!$B$5="All",ISNUMBER(SEARCH(Query!$B$5,'Compliance Database'!$H428))),OR(Query!$B$6="All",ISNUMBER(SEARCH(Query!$B$6,'Compliance Database'!$I428))),OR(Query!$B$7="All",'Compliance Database'!$F428=Query!$B$7),OR(Query!$B$8="All",'Compliance Database'!$J428=Query!$B$8),OR(Query!$B$9="",ISNUMBER(SEARCH(Query!$B$9,'Compliance Database'!$D428&amp;" "&amp;'Compliance Database'!$K428&amp;" "&amp;'Compliance Database'!$L428&amp;" "&amp;'Compliance Database'!$M428&amp;" "&amp;'Compliance Database'!$N428&amp;" "&amp;'Compliance Database'!$O428))),OR(Query!$B$10&lt;&gt;"Yes",'Compliance Database'!$F428&lt;&gt;"None")),1,0)</f>
        <v/>
      </c>
      <c r="B428">
        <f>IF($A428=1,SUM($A$2:$A428),"")</f>
        <v/>
      </c>
      <c r="C428">
        <f>IF($A428=1,SUM($A$2:$A428),0)</f>
        <v/>
      </c>
    </row>
    <row r="429">
      <c r="A429">
        <f>IF(AND(OR(Query!$B$4="All",'Compliance Database'!$A429=Query!$B$4),OR(Query!$B$5="All",ISNUMBER(SEARCH(Query!$B$5,'Compliance Database'!$H429))),OR(Query!$B$6="All",ISNUMBER(SEARCH(Query!$B$6,'Compliance Database'!$I429))),OR(Query!$B$7="All",'Compliance Database'!$F429=Query!$B$7),OR(Query!$B$8="All",'Compliance Database'!$J429=Query!$B$8),OR(Query!$B$9="",ISNUMBER(SEARCH(Query!$B$9,'Compliance Database'!$D429&amp;" "&amp;'Compliance Database'!$K429&amp;" "&amp;'Compliance Database'!$L429&amp;" "&amp;'Compliance Database'!$M429&amp;" "&amp;'Compliance Database'!$N429&amp;" "&amp;'Compliance Database'!$O429))),OR(Query!$B$10&lt;&gt;"Yes",'Compliance Database'!$F429&lt;&gt;"None")),1,0)</f>
        <v/>
      </c>
      <c r="B429">
        <f>IF($A429=1,SUM($A$2:$A429),"")</f>
        <v/>
      </c>
      <c r="C429">
        <f>IF($A429=1,SUM($A$2:$A429),0)</f>
        <v/>
      </c>
    </row>
    <row r="430">
      <c r="A430">
        <f>IF(AND(OR(Query!$B$4="All",'Compliance Database'!$A430=Query!$B$4),OR(Query!$B$5="All",ISNUMBER(SEARCH(Query!$B$5,'Compliance Database'!$H430))),OR(Query!$B$6="All",ISNUMBER(SEARCH(Query!$B$6,'Compliance Database'!$I430))),OR(Query!$B$7="All",'Compliance Database'!$F430=Query!$B$7),OR(Query!$B$8="All",'Compliance Database'!$J430=Query!$B$8),OR(Query!$B$9="",ISNUMBER(SEARCH(Query!$B$9,'Compliance Database'!$D430&amp;" "&amp;'Compliance Database'!$K430&amp;" "&amp;'Compliance Database'!$L430&amp;" "&amp;'Compliance Database'!$M430&amp;" "&amp;'Compliance Database'!$N430&amp;" "&amp;'Compliance Database'!$O430))),OR(Query!$B$10&lt;&gt;"Yes",'Compliance Database'!$F430&lt;&gt;"None")),1,0)</f>
        <v/>
      </c>
      <c r="B430">
        <f>IF($A430=1,SUM($A$2:$A430),"")</f>
        <v/>
      </c>
      <c r="C430">
        <f>IF($A430=1,SUM($A$2:$A430),0)</f>
        <v/>
      </c>
    </row>
    <row r="431">
      <c r="A431">
        <f>IF(AND(OR(Query!$B$4="All",'Compliance Database'!$A431=Query!$B$4),OR(Query!$B$5="All",ISNUMBER(SEARCH(Query!$B$5,'Compliance Database'!$H431))),OR(Query!$B$6="All",ISNUMBER(SEARCH(Query!$B$6,'Compliance Database'!$I431))),OR(Query!$B$7="All",'Compliance Database'!$F431=Query!$B$7),OR(Query!$B$8="All",'Compliance Database'!$J431=Query!$B$8),OR(Query!$B$9="",ISNUMBER(SEARCH(Query!$B$9,'Compliance Database'!$D431&amp;" "&amp;'Compliance Database'!$K431&amp;" "&amp;'Compliance Database'!$L431&amp;" "&amp;'Compliance Database'!$M431&amp;" "&amp;'Compliance Database'!$N431&amp;" "&amp;'Compliance Database'!$O431))),OR(Query!$B$10&lt;&gt;"Yes",'Compliance Database'!$F431&lt;&gt;"None")),1,0)</f>
        <v/>
      </c>
      <c r="B431">
        <f>IF($A431=1,SUM($A$2:$A431),"")</f>
        <v/>
      </c>
      <c r="C431">
        <f>IF($A431=1,SUM($A$2:$A431),0)</f>
        <v/>
      </c>
    </row>
    <row r="432">
      <c r="A432">
        <f>IF(AND(OR(Query!$B$4="All",'Compliance Database'!$A432=Query!$B$4),OR(Query!$B$5="All",ISNUMBER(SEARCH(Query!$B$5,'Compliance Database'!$H432))),OR(Query!$B$6="All",ISNUMBER(SEARCH(Query!$B$6,'Compliance Database'!$I432))),OR(Query!$B$7="All",'Compliance Database'!$F432=Query!$B$7),OR(Query!$B$8="All",'Compliance Database'!$J432=Query!$B$8),OR(Query!$B$9="",ISNUMBER(SEARCH(Query!$B$9,'Compliance Database'!$D432&amp;" "&amp;'Compliance Database'!$K432&amp;" "&amp;'Compliance Database'!$L432&amp;" "&amp;'Compliance Database'!$M432&amp;" "&amp;'Compliance Database'!$N432&amp;" "&amp;'Compliance Database'!$O432))),OR(Query!$B$10&lt;&gt;"Yes",'Compliance Database'!$F432&lt;&gt;"None")),1,0)</f>
        <v/>
      </c>
      <c r="B432">
        <f>IF($A432=1,SUM($A$2:$A432),"")</f>
        <v/>
      </c>
      <c r="C432">
        <f>IF($A432=1,SUM($A$2:$A432),0)</f>
        <v/>
      </c>
    </row>
    <row r="433">
      <c r="A433">
        <f>IF(AND(OR(Query!$B$4="All",'Compliance Database'!$A433=Query!$B$4),OR(Query!$B$5="All",ISNUMBER(SEARCH(Query!$B$5,'Compliance Database'!$H433))),OR(Query!$B$6="All",ISNUMBER(SEARCH(Query!$B$6,'Compliance Database'!$I433))),OR(Query!$B$7="All",'Compliance Database'!$F433=Query!$B$7),OR(Query!$B$8="All",'Compliance Database'!$J433=Query!$B$8),OR(Query!$B$9="",ISNUMBER(SEARCH(Query!$B$9,'Compliance Database'!$D433&amp;" "&amp;'Compliance Database'!$K433&amp;" "&amp;'Compliance Database'!$L433&amp;" "&amp;'Compliance Database'!$M433&amp;" "&amp;'Compliance Database'!$N433&amp;" "&amp;'Compliance Database'!$O433))),OR(Query!$B$10&lt;&gt;"Yes",'Compliance Database'!$F433&lt;&gt;"None")),1,0)</f>
        <v/>
      </c>
      <c r="B433">
        <f>IF($A433=1,SUM($A$2:$A433),"")</f>
        <v/>
      </c>
      <c r="C433">
        <f>IF($A433=1,SUM($A$2:$A433),0)</f>
        <v/>
      </c>
    </row>
    <row r="434">
      <c r="A434">
        <f>IF(AND(OR(Query!$B$4="All",'Compliance Database'!$A434=Query!$B$4),OR(Query!$B$5="All",ISNUMBER(SEARCH(Query!$B$5,'Compliance Database'!$H434))),OR(Query!$B$6="All",ISNUMBER(SEARCH(Query!$B$6,'Compliance Database'!$I434))),OR(Query!$B$7="All",'Compliance Database'!$F434=Query!$B$7),OR(Query!$B$8="All",'Compliance Database'!$J434=Query!$B$8),OR(Query!$B$9="",ISNUMBER(SEARCH(Query!$B$9,'Compliance Database'!$D434&amp;" "&amp;'Compliance Database'!$K434&amp;" "&amp;'Compliance Database'!$L434&amp;" "&amp;'Compliance Database'!$M434&amp;" "&amp;'Compliance Database'!$N434&amp;" "&amp;'Compliance Database'!$O434))),OR(Query!$B$10&lt;&gt;"Yes",'Compliance Database'!$F434&lt;&gt;"None")),1,0)</f>
        <v/>
      </c>
      <c r="B434">
        <f>IF($A434=1,SUM($A$2:$A434),"")</f>
        <v/>
      </c>
      <c r="C434">
        <f>IF($A434=1,SUM($A$2:$A434),0)</f>
        <v/>
      </c>
    </row>
    <row r="435">
      <c r="A435">
        <f>IF(AND(OR(Query!$B$4="All",'Compliance Database'!$A435=Query!$B$4),OR(Query!$B$5="All",ISNUMBER(SEARCH(Query!$B$5,'Compliance Database'!$H435))),OR(Query!$B$6="All",ISNUMBER(SEARCH(Query!$B$6,'Compliance Database'!$I435))),OR(Query!$B$7="All",'Compliance Database'!$F435=Query!$B$7),OR(Query!$B$8="All",'Compliance Database'!$J435=Query!$B$8),OR(Query!$B$9="",ISNUMBER(SEARCH(Query!$B$9,'Compliance Database'!$D435&amp;" "&amp;'Compliance Database'!$K435&amp;" "&amp;'Compliance Database'!$L435&amp;" "&amp;'Compliance Database'!$M435&amp;" "&amp;'Compliance Database'!$N435&amp;" "&amp;'Compliance Database'!$O435))),OR(Query!$B$10&lt;&gt;"Yes",'Compliance Database'!$F435&lt;&gt;"None")),1,0)</f>
        <v/>
      </c>
      <c r="B435">
        <f>IF($A435=1,SUM($A$2:$A435),"")</f>
        <v/>
      </c>
      <c r="C435">
        <f>IF($A435=1,SUM($A$2:$A435),0)</f>
        <v/>
      </c>
    </row>
    <row r="436">
      <c r="A436">
        <f>IF(AND(OR(Query!$B$4="All",'Compliance Database'!$A436=Query!$B$4),OR(Query!$B$5="All",ISNUMBER(SEARCH(Query!$B$5,'Compliance Database'!$H436))),OR(Query!$B$6="All",ISNUMBER(SEARCH(Query!$B$6,'Compliance Database'!$I436))),OR(Query!$B$7="All",'Compliance Database'!$F436=Query!$B$7),OR(Query!$B$8="All",'Compliance Database'!$J436=Query!$B$8),OR(Query!$B$9="",ISNUMBER(SEARCH(Query!$B$9,'Compliance Database'!$D436&amp;" "&amp;'Compliance Database'!$K436&amp;" "&amp;'Compliance Database'!$L436&amp;" "&amp;'Compliance Database'!$M436&amp;" "&amp;'Compliance Database'!$N436&amp;" "&amp;'Compliance Database'!$O436))),OR(Query!$B$10&lt;&gt;"Yes",'Compliance Database'!$F436&lt;&gt;"None")),1,0)</f>
        <v/>
      </c>
      <c r="B436">
        <f>IF($A436=1,SUM($A$2:$A436),"")</f>
        <v/>
      </c>
      <c r="C436">
        <f>IF($A436=1,SUM($A$2:$A436),0)</f>
        <v/>
      </c>
    </row>
    <row r="437">
      <c r="A437">
        <f>IF(AND(OR(Query!$B$4="All",'Compliance Database'!$A437=Query!$B$4),OR(Query!$B$5="All",ISNUMBER(SEARCH(Query!$B$5,'Compliance Database'!$H437))),OR(Query!$B$6="All",ISNUMBER(SEARCH(Query!$B$6,'Compliance Database'!$I437))),OR(Query!$B$7="All",'Compliance Database'!$F437=Query!$B$7),OR(Query!$B$8="All",'Compliance Database'!$J437=Query!$B$8),OR(Query!$B$9="",ISNUMBER(SEARCH(Query!$B$9,'Compliance Database'!$D437&amp;" "&amp;'Compliance Database'!$K437&amp;" "&amp;'Compliance Database'!$L437&amp;" "&amp;'Compliance Database'!$M437&amp;" "&amp;'Compliance Database'!$N437&amp;" "&amp;'Compliance Database'!$O437))),OR(Query!$B$10&lt;&gt;"Yes",'Compliance Database'!$F437&lt;&gt;"None")),1,0)</f>
        <v/>
      </c>
      <c r="B437">
        <f>IF($A437=1,SUM($A$2:$A437),"")</f>
        <v/>
      </c>
      <c r="C437">
        <f>IF($A437=1,SUM($A$2:$A437),0)</f>
        <v/>
      </c>
    </row>
    <row r="438">
      <c r="A438">
        <f>IF(AND(OR(Query!$B$4="All",'Compliance Database'!$A438=Query!$B$4),OR(Query!$B$5="All",ISNUMBER(SEARCH(Query!$B$5,'Compliance Database'!$H438))),OR(Query!$B$6="All",ISNUMBER(SEARCH(Query!$B$6,'Compliance Database'!$I438))),OR(Query!$B$7="All",'Compliance Database'!$F438=Query!$B$7),OR(Query!$B$8="All",'Compliance Database'!$J438=Query!$B$8),OR(Query!$B$9="",ISNUMBER(SEARCH(Query!$B$9,'Compliance Database'!$D438&amp;" "&amp;'Compliance Database'!$K438&amp;" "&amp;'Compliance Database'!$L438&amp;" "&amp;'Compliance Database'!$M438&amp;" "&amp;'Compliance Database'!$N438&amp;" "&amp;'Compliance Database'!$O438))),OR(Query!$B$10&lt;&gt;"Yes",'Compliance Database'!$F438&lt;&gt;"None")),1,0)</f>
        <v/>
      </c>
      <c r="B438">
        <f>IF($A438=1,SUM($A$2:$A438),"")</f>
        <v/>
      </c>
      <c r="C438">
        <f>IF($A438=1,SUM($A$2:$A438),0)</f>
        <v/>
      </c>
    </row>
    <row r="439">
      <c r="A439">
        <f>IF(AND(OR(Query!$B$4="All",'Compliance Database'!$A439=Query!$B$4),OR(Query!$B$5="All",ISNUMBER(SEARCH(Query!$B$5,'Compliance Database'!$H439))),OR(Query!$B$6="All",ISNUMBER(SEARCH(Query!$B$6,'Compliance Database'!$I439))),OR(Query!$B$7="All",'Compliance Database'!$F439=Query!$B$7),OR(Query!$B$8="All",'Compliance Database'!$J439=Query!$B$8),OR(Query!$B$9="",ISNUMBER(SEARCH(Query!$B$9,'Compliance Database'!$D439&amp;" "&amp;'Compliance Database'!$K439&amp;" "&amp;'Compliance Database'!$L439&amp;" "&amp;'Compliance Database'!$M439&amp;" "&amp;'Compliance Database'!$N439&amp;" "&amp;'Compliance Database'!$O439))),OR(Query!$B$10&lt;&gt;"Yes",'Compliance Database'!$F439&lt;&gt;"None")),1,0)</f>
        <v/>
      </c>
      <c r="B439">
        <f>IF($A439=1,SUM($A$2:$A439),"")</f>
        <v/>
      </c>
      <c r="C439">
        <f>IF($A439=1,SUM($A$2:$A439),0)</f>
        <v/>
      </c>
    </row>
    <row r="440">
      <c r="A440">
        <f>IF(AND(OR(Query!$B$4="All",'Compliance Database'!$A440=Query!$B$4),OR(Query!$B$5="All",ISNUMBER(SEARCH(Query!$B$5,'Compliance Database'!$H440))),OR(Query!$B$6="All",ISNUMBER(SEARCH(Query!$B$6,'Compliance Database'!$I440))),OR(Query!$B$7="All",'Compliance Database'!$F440=Query!$B$7),OR(Query!$B$8="All",'Compliance Database'!$J440=Query!$B$8),OR(Query!$B$9="",ISNUMBER(SEARCH(Query!$B$9,'Compliance Database'!$D440&amp;" "&amp;'Compliance Database'!$K440&amp;" "&amp;'Compliance Database'!$L440&amp;" "&amp;'Compliance Database'!$M440&amp;" "&amp;'Compliance Database'!$N440&amp;" "&amp;'Compliance Database'!$O440))),OR(Query!$B$10&lt;&gt;"Yes",'Compliance Database'!$F440&lt;&gt;"None")),1,0)</f>
        <v/>
      </c>
      <c r="B440">
        <f>IF($A440=1,SUM($A$2:$A440),"")</f>
        <v/>
      </c>
      <c r="C440">
        <f>IF($A440=1,SUM($A$2:$A440),0)</f>
        <v/>
      </c>
    </row>
    <row r="441">
      <c r="A441">
        <f>IF(AND(OR(Query!$B$4="All",'Compliance Database'!$A441=Query!$B$4),OR(Query!$B$5="All",ISNUMBER(SEARCH(Query!$B$5,'Compliance Database'!$H441))),OR(Query!$B$6="All",ISNUMBER(SEARCH(Query!$B$6,'Compliance Database'!$I441))),OR(Query!$B$7="All",'Compliance Database'!$F441=Query!$B$7),OR(Query!$B$8="All",'Compliance Database'!$J441=Query!$B$8),OR(Query!$B$9="",ISNUMBER(SEARCH(Query!$B$9,'Compliance Database'!$D441&amp;" "&amp;'Compliance Database'!$K441&amp;" "&amp;'Compliance Database'!$L441&amp;" "&amp;'Compliance Database'!$M441&amp;" "&amp;'Compliance Database'!$N441&amp;" "&amp;'Compliance Database'!$O441))),OR(Query!$B$10&lt;&gt;"Yes",'Compliance Database'!$F441&lt;&gt;"None")),1,0)</f>
        <v/>
      </c>
      <c r="B441">
        <f>IF($A441=1,SUM($A$2:$A441),"")</f>
        <v/>
      </c>
      <c r="C441">
        <f>IF($A441=1,SUM($A$2:$A441),0)</f>
        <v/>
      </c>
    </row>
    <row r="442">
      <c r="A442">
        <f>IF(AND(OR(Query!$B$4="All",'Compliance Database'!$A442=Query!$B$4),OR(Query!$B$5="All",ISNUMBER(SEARCH(Query!$B$5,'Compliance Database'!$H442))),OR(Query!$B$6="All",ISNUMBER(SEARCH(Query!$B$6,'Compliance Database'!$I442))),OR(Query!$B$7="All",'Compliance Database'!$F442=Query!$B$7),OR(Query!$B$8="All",'Compliance Database'!$J442=Query!$B$8),OR(Query!$B$9="",ISNUMBER(SEARCH(Query!$B$9,'Compliance Database'!$D442&amp;" "&amp;'Compliance Database'!$K442&amp;" "&amp;'Compliance Database'!$L442&amp;" "&amp;'Compliance Database'!$M442&amp;" "&amp;'Compliance Database'!$N442&amp;" "&amp;'Compliance Database'!$O442))),OR(Query!$B$10&lt;&gt;"Yes",'Compliance Database'!$F442&lt;&gt;"None")),1,0)</f>
        <v/>
      </c>
      <c r="B442">
        <f>IF($A442=1,SUM($A$2:$A442),"")</f>
        <v/>
      </c>
      <c r="C442">
        <f>IF($A442=1,SUM($A$2:$A442),0)</f>
        <v/>
      </c>
    </row>
    <row r="443">
      <c r="A443">
        <f>IF(AND(OR(Query!$B$4="All",'Compliance Database'!$A443=Query!$B$4),OR(Query!$B$5="All",ISNUMBER(SEARCH(Query!$B$5,'Compliance Database'!$H443))),OR(Query!$B$6="All",ISNUMBER(SEARCH(Query!$B$6,'Compliance Database'!$I443))),OR(Query!$B$7="All",'Compliance Database'!$F443=Query!$B$7),OR(Query!$B$8="All",'Compliance Database'!$J443=Query!$B$8),OR(Query!$B$9="",ISNUMBER(SEARCH(Query!$B$9,'Compliance Database'!$D443&amp;" "&amp;'Compliance Database'!$K443&amp;" "&amp;'Compliance Database'!$L443&amp;" "&amp;'Compliance Database'!$M443&amp;" "&amp;'Compliance Database'!$N443&amp;" "&amp;'Compliance Database'!$O443))),OR(Query!$B$10&lt;&gt;"Yes",'Compliance Database'!$F443&lt;&gt;"None")),1,0)</f>
        <v/>
      </c>
      <c r="B443">
        <f>IF($A443=1,SUM($A$2:$A443),"")</f>
        <v/>
      </c>
      <c r="C443">
        <f>IF($A443=1,SUM($A$2:$A443),0)</f>
        <v/>
      </c>
    </row>
    <row r="444">
      <c r="A444">
        <f>IF(AND(OR(Query!$B$4="All",'Compliance Database'!$A444=Query!$B$4),OR(Query!$B$5="All",ISNUMBER(SEARCH(Query!$B$5,'Compliance Database'!$H444))),OR(Query!$B$6="All",ISNUMBER(SEARCH(Query!$B$6,'Compliance Database'!$I444))),OR(Query!$B$7="All",'Compliance Database'!$F444=Query!$B$7),OR(Query!$B$8="All",'Compliance Database'!$J444=Query!$B$8),OR(Query!$B$9="",ISNUMBER(SEARCH(Query!$B$9,'Compliance Database'!$D444&amp;" "&amp;'Compliance Database'!$K444&amp;" "&amp;'Compliance Database'!$L444&amp;" "&amp;'Compliance Database'!$M444&amp;" "&amp;'Compliance Database'!$N444&amp;" "&amp;'Compliance Database'!$O444))),OR(Query!$B$10&lt;&gt;"Yes",'Compliance Database'!$F444&lt;&gt;"None")),1,0)</f>
        <v/>
      </c>
      <c r="B444">
        <f>IF($A444=1,SUM($A$2:$A444),"")</f>
        <v/>
      </c>
      <c r="C444">
        <f>IF($A444=1,SUM($A$2:$A444),0)</f>
        <v/>
      </c>
    </row>
    <row r="445">
      <c r="A445">
        <f>IF(AND(OR(Query!$B$4="All",'Compliance Database'!$A445=Query!$B$4),OR(Query!$B$5="All",ISNUMBER(SEARCH(Query!$B$5,'Compliance Database'!$H445))),OR(Query!$B$6="All",ISNUMBER(SEARCH(Query!$B$6,'Compliance Database'!$I445))),OR(Query!$B$7="All",'Compliance Database'!$F445=Query!$B$7),OR(Query!$B$8="All",'Compliance Database'!$J445=Query!$B$8),OR(Query!$B$9="",ISNUMBER(SEARCH(Query!$B$9,'Compliance Database'!$D445&amp;" "&amp;'Compliance Database'!$K445&amp;" "&amp;'Compliance Database'!$L445&amp;" "&amp;'Compliance Database'!$M445&amp;" "&amp;'Compliance Database'!$N445&amp;" "&amp;'Compliance Database'!$O445))),OR(Query!$B$10&lt;&gt;"Yes",'Compliance Database'!$F445&lt;&gt;"None")),1,0)</f>
        <v/>
      </c>
      <c r="B445">
        <f>IF($A445=1,SUM($A$2:$A445),"")</f>
        <v/>
      </c>
      <c r="C445">
        <f>IF($A445=1,SUM($A$2:$A445),0)</f>
        <v/>
      </c>
    </row>
    <row r="446">
      <c r="A446">
        <f>IF(AND(OR(Query!$B$4="All",'Compliance Database'!$A446=Query!$B$4),OR(Query!$B$5="All",ISNUMBER(SEARCH(Query!$B$5,'Compliance Database'!$H446))),OR(Query!$B$6="All",ISNUMBER(SEARCH(Query!$B$6,'Compliance Database'!$I446))),OR(Query!$B$7="All",'Compliance Database'!$F446=Query!$B$7),OR(Query!$B$8="All",'Compliance Database'!$J446=Query!$B$8),OR(Query!$B$9="",ISNUMBER(SEARCH(Query!$B$9,'Compliance Database'!$D446&amp;" "&amp;'Compliance Database'!$K446&amp;" "&amp;'Compliance Database'!$L446&amp;" "&amp;'Compliance Database'!$M446&amp;" "&amp;'Compliance Database'!$N446&amp;" "&amp;'Compliance Database'!$O446))),OR(Query!$B$10&lt;&gt;"Yes",'Compliance Database'!$F446&lt;&gt;"None")),1,0)</f>
        <v/>
      </c>
      <c r="B446">
        <f>IF($A446=1,SUM($A$2:$A446),"")</f>
        <v/>
      </c>
      <c r="C446">
        <f>IF($A446=1,SUM($A$2:$A446),0)</f>
        <v/>
      </c>
    </row>
    <row r="447">
      <c r="A447">
        <f>IF(AND(OR(Query!$B$4="All",'Compliance Database'!$A447=Query!$B$4),OR(Query!$B$5="All",ISNUMBER(SEARCH(Query!$B$5,'Compliance Database'!$H447))),OR(Query!$B$6="All",ISNUMBER(SEARCH(Query!$B$6,'Compliance Database'!$I447))),OR(Query!$B$7="All",'Compliance Database'!$F447=Query!$B$7),OR(Query!$B$8="All",'Compliance Database'!$J447=Query!$B$8),OR(Query!$B$9="",ISNUMBER(SEARCH(Query!$B$9,'Compliance Database'!$D447&amp;" "&amp;'Compliance Database'!$K447&amp;" "&amp;'Compliance Database'!$L447&amp;" "&amp;'Compliance Database'!$M447&amp;" "&amp;'Compliance Database'!$N447&amp;" "&amp;'Compliance Database'!$O447))),OR(Query!$B$10&lt;&gt;"Yes",'Compliance Database'!$F447&lt;&gt;"None")),1,0)</f>
        <v/>
      </c>
      <c r="B447">
        <f>IF($A447=1,SUM($A$2:$A447),"")</f>
        <v/>
      </c>
      <c r="C447">
        <f>IF($A447=1,SUM($A$2:$A447),0)</f>
        <v/>
      </c>
    </row>
    <row r="448">
      <c r="A448">
        <f>IF(AND(OR(Query!$B$4="All",'Compliance Database'!$A448=Query!$B$4),OR(Query!$B$5="All",ISNUMBER(SEARCH(Query!$B$5,'Compliance Database'!$H448))),OR(Query!$B$6="All",ISNUMBER(SEARCH(Query!$B$6,'Compliance Database'!$I448))),OR(Query!$B$7="All",'Compliance Database'!$F448=Query!$B$7),OR(Query!$B$8="All",'Compliance Database'!$J448=Query!$B$8),OR(Query!$B$9="",ISNUMBER(SEARCH(Query!$B$9,'Compliance Database'!$D448&amp;" "&amp;'Compliance Database'!$K448&amp;" "&amp;'Compliance Database'!$L448&amp;" "&amp;'Compliance Database'!$M448&amp;" "&amp;'Compliance Database'!$N448&amp;" "&amp;'Compliance Database'!$O448))),OR(Query!$B$10&lt;&gt;"Yes",'Compliance Database'!$F448&lt;&gt;"None")),1,0)</f>
        <v/>
      </c>
      <c r="B448">
        <f>IF($A448=1,SUM($A$2:$A448),"")</f>
        <v/>
      </c>
      <c r="C448">
        <f>IF($A448=1,SUM($A$2:$A448),0)</f>
        <v/>
      </c>
    </row>
    <row r="449">
      <c r="A449">
        <f>IF(AND(OR(Query!$B$4="All",'Compliance Database'!$A449=Query!$B$4),OR(Query!$B$5="All",ISNUMBER(SEARCH(Query!$B$5,'Compliance Database'!$H449))),OR(Query!$B$6="All",ISNUMBER(SEARCH(Query!$B$6,'Compliance Database'!$I449))),OR(Query!$B$7="All",'Compliance Database'!$F449=Query!$B$7),OR(Query!$B$8="All",'Compliance Database'!$J449=Query!$B$8),OR(Query!$B$9="",ISNUMBER(SEARCH(Query!$B$9,'Compliance Database'!$D449&amp;" "&amp;'Compliance Database'!$K449&amp;" "&amp;'Compliance Database'!$L449&amp;" "&amp;'Compliance Database'!$M449&amp;" "&amp;'Compliance Database'!$N449&amp;" "&amp;'Compliance Database'!$O449))),OR(Query!$B$10&lt;&gt;"Yes",'Compliance Database'!$F449&lt;&gt;"None")),1,0)</f>
        <v/>
      </c>
      <c r="B449">
        <f>IF($A449=1,SUM($A$2:$A449),"")</f>
        <v/>
      </c>
      <c r="C449">
        <f>IF($A449=1,SUM($A$2:$A449),0)</f>
        <v/>
      </c>
    </row>
    <row r="450">
      <c r="A450">
        <f>IF(AND(OR(Query!$B$4="All",'Compliance Database'!$A450=Query!$B$4),OR(Query!$B$5="All",ISNUMBER(SEARCH(Query!$B$5,'Compliance Database'!$H450))),OR(Query!$B$6="All",ISNUMBER(SEARCH(Query!$B$6,'Compliance Database'!$I450))),OR(Query!$B$7="All",'Compliance Database'!$F450=Query!$B$7),OR(Query!$B$8="All",'Compliance Database'!$J450=Query!$B$8),OR(Query!$B$9="",ISNUMBER(SEARCH(Query!$B$9,'Compliance Database'!$D450&amp;" "&amp;'Compliance Database'!$K450&amp;" "&amp;'Compliance Database'!$L450&amp;" "&amp;'Compliance Database'!$M450&amp;" "&amp;'Compliance Database'!$N450&amp;" "&amp;'Compliance Database'!$O450))),OR(Query!$B$10&lt;&gt;"Yes",'Compliance Database'!$F450&lt;&gt;"None")),1,0)</f>
        <v/>
      </c>
      <c r="B450">
        <f>IF($A450=1,SUM($A$2:$A450),"")</f>
        <v/>
      </c>
      <c r="C450">
        <f>IF($A450=1,SUM($A$2:$A450),0)</f>
        <v/>
      </c>
    </row>
    <row r="451">
      <c r="A451">
        <f>IF(AND(OR(Query!$B$4="All",'Compliance Database'!$A451=Query!$B$4),OR(Query!$B$5="All",ISNUMBER(SEARCH(Query!$B$5,'Compliance Database'!$H451))),OR(Query!$B$6="All",ISNUMBER(SEARCH(Query!$B$6,'Compliance Database'!$I451))),OR(Query!$B$7="All",'Compliance Database'!$F451=Query!$B$7),OR(Query!$B$8="All",'Compliance Database'!$J451=Query!$B$8),OR(Query!$B$9="",ISNUMBER(SEARCH(Query!$B$9,'Compliance Database'!$D451&amp;" "&amp;'Compliance Database'!$K451&amp;" "&amp;'Compliance Database'!$L451&amp;" "&amp;'Compliance Database'!$M451&amp;" "&amp;'Compliance Database'!$N451&amp;" "&amp;'Compliance Database'!$O451))),OR(Query!$B$10&lt;&gt;"Yes",'Compliance Database'!$F451&lt;&gt;"None")),1,0)</f>
        <v/>
      </c>
      <c r="B451">
        <f>IF($A451=1,SUM($A$2:$A451),"")</f>
        <v/>
      </c>
      <c r="C451">
        <f>IF($A451=1,SUM($A$2:$A451),0)</f>
        <v/>
      </c>
    </row>
    <row r="452">
      <c r="A452">
        <f>IF(AND(OR(Query!$B$4="All",'Compliance Database'!$A452=Query!$B$4),OR(Query!$B$5="All",ISNUMBER(SEARCH(Query!$B$5,'Compliance Database'!$H452))),OR(Query!$B$6="All",ISNUMBER(SEARCH(Query!$B$6,'Compliance Database'!$I452))),OR(Query!$B$7="All",'Compliance Database'!$F452=Query!$B$7),OR(Query!$B$8="All",'Compliance Database'!$J452=Query!$B$8),OR(Query!$B$9="",ISNUMBER(SEARCH(Query!$B$9,'Compliance Database'!$D452&amp;" "&amp;'Compliance Database'!$K452&amp;" "&amp;'Compliance Database'!$L452&amp;" "&amp;'Compliance Database'!$M452&amp;" "&amp;'Compliance Database'!$N452&amp;" "&amp;'Compliance Database'!$O452))),OR(Query!$B$10&lt;&gt;"Yes",'Compliance Database'!$F452&lt;&gt;"None")),1,0)</f>
        <v/>
      </c>
      <c r="B452">
        <f>IF($A452=1,SUM($A$2:$A452),"")</f>
        <v/>
      </c>
      <c r="C452">
        <f>IF($A452=1,SUM($A$2:$A452),0)</f>
        <v/>
      </c>
    </row>
    <row r="453">
      <c r="A453">
        <f>IF(AND(OR(Query!$B$4="All",'Compliance Database'!$A453=Query!$B$4),OR(Query!$B$5="All",ISNUMBER(SEARCH(Query!$B$5,'Compliance Database'!$H453))),OR(Query!$B$6="All",ISNUMBER(SEARCH(Query!$B$6,'Compliance Database'!$I453))),OR(Query!$B$7="All",'Compliance Database'!$F453=Query!$B$7),OR(Query!$B$8="All",'Compliance Database'!$J453=Query!$B$8),OR(Query!$B$9="",ISNUMBER(SEARCH(Query!$B$9,'Compliance Database'!$D453&amp;" "&amp;'Compliance Database'!$K453&amp;" "&amp;'Compliance Database'!$L453&amp;" "&amp;'Compliance Database'!$M453&amp;" "&amp;'Compliance Database'!$N453&amp;" "&amp;'Compliance Database'!$O453))),OR(Query!$B$10&lt;&gt;"Yes",'Compliance Database'!$F453&lt;&gt;"None")),1,0)</f>
        <v/>
      </c>
      <c r="B453">
        <f>IF($A453=1,SUM($A$2:$A453),"")</f>
        <v/>
      </c>
      <c r="C453">
        <f>IF($A453=1,SUM($A$2:$A453),0)</f>
        <v/>
      </c>
    </row>
    <row r="454">
      <c r="A454">
        <f>IF(AND(OR(Query!$B$4="All",'Compliance Database'!$A454=Query!$B$4),OR(Query!$B$5="All",ISNUMBER(SEARCH(Query!$B$5,'Compliance Database'!$H454))),OR(Query!$B$6="All",ISNUMBER(SEARCH(Query!$B$6,'Compliance Database'!$I454))),OR(Query!$B$7="All",'Compliance Database'!$F454=Query!$B$7),OR(Query!$B$8="All",'Compliance Database'!$J454=Query!$B$8),OR(Query!$B$9="",ISNUMBER(SEARCH(Query!$B$9,'Compliance Database'!$D454&amp;" "&amp;'Compliance Database'!$K454&amp;" "&amp;'Compliance Database'!$L454&amp;" "&amp;'Compliance Database'!$M454&amp;" "&amp;'Compliance Database'!$N454&amp;" "&amp;'Compliance Database'!$O454))),OR(Query!$B$10&lt;&gt;"Yes",'Compliance Database'!$F454&lt;&gt;"None")),1,0)</f>
        <v/>
      </c>
      <c r="B454">
        <f>IF($A454=1,SUM($A$2:$A454),"")</f>
        <v/>
      </c>
      <c r="C454">
        <f>IF($A454=1,SUM($A$2:$A454),0)</f>
        <v/>
      </c>
    </row>
    <row r="455">
      <c r="A455">
        <f>IF(AND(OR(Query!$B$4="All",'Compliance Database'!$A455=Query!$B$4),OR(Query!$B$5="All",ISNUMBER(SEARCH(Query!$B$5,'Compliance Database'!$H455))),OR(Query!$B$6="All",ISNUMBER(SEARCH(Query!$B$6,'Compliance Database'!$I455))),OR(Query!$B$7="All",'Compliance Database'!$F455=Query!$B$7),OR(Query!$B$8="All",'Compliance Database'!$J455=Query!$B$8),OR(Query!$B$9="",ISNUMBER(SEARCH(Query!$B$9,'Compliance Database'!$D455&amp;" "&amp;'Compliance Database'!$K455&amp;" "&amp;'Compliance Database'!$L455&amp;" "&amp;'Compliance Database'!$M455&amp;" "&amp;'Compliance Database'!$N455&amp;" "&amp;'Compliance Database'!$O455))),OR(Query!$B$10&lt;&gt;"Yes",'Compliance Database'!$F455&lt;&gt;"None")),1,0)</f>
        <v/>
      </c>
      <c r="B455">
        <f>IF($A455=1,SUM($A$2:$A455),"")</f>
        <v/>
      </c>
      <c r="C455">
        <f>IF($A455=1,SUM($A$2:$A455),0)</f>
        <v/>
      </c>
    </row>
    <row r="456">
      <c r="A456">
        <f>IF(AND(OR(Query!$B$4="All",'Compliance Database'!$A456=Query!$B$4),OR(Query!$B$5="All",ISNUMBER(SEARCH(Query!$B$5,'Compliance Database'!$H456))),OR(Query!$B$6="All",ISNUMBER(SEARCH(Query!$B$6,'Compliance Database'!$I456))),OR(Query!$B$7="All",'Compliance Database'!$F456=Query!$B$7),OR(Query!$B$8="All",'Compliance Database'!$J456=Query!$B$8),OR(Query!$B$9="",ISNUMBER(SEARCH(Query!$B$9,'Compliance Database'!$D456&amp;" "&amp;'Compliance Database'!$K456&amp;" "&amp;'Compliance Database'!$L456&amp;" "&amp;'Compliance Database'!$M456&amp;" "&amp;'Compliance Database'!$N456&amp;" "&amp;'Compliance Database'!$O456))),OR(Query!$B$10&lt;&gt;"Yes",'Compliance Database'!$F456&lt;&gt;"None")),1,0)</f>
        <v/>
      </c>
      <c r="B456">
        <f>IF($A456=1,SUM($A$2:$A456),"")</f>
        <v/>
      </c>
      <c r="C456">
        <f>IF($A456=1,SUM($A$2:$A456),0)</f>
        <v/>
      </c>
    </row>
    <row r="457">
      <c r="A457">
        <f>IF(AND(OR(Query!$B$4="All",'Compliance Database'!$A457=Query!$B$4),OR(Query!$B$5="All",ISNUMBER(SEARCH(Query!$B$5,'Compliance Database'!$H457))),OR(Query!$B$6="All",ISNUMBER(SEARCH(Query!$B$6,'Compliance Database'!$I457))),OR(Query!$B$7="All",'Compliance Database'!$F457=Query!$B$7),OR(Query!$B$8="All",'Compliance Database'!$J457=Query!$B$8),OR(Query!$B$9="",ISNUMBER(SEARCH(Query!$B$9,'Compliance Database'!$D457&amp;" "&amp;'Compliance Database'!$K457&amp;" "&amp;'Compliance Database'!$L457&amp;" "&amp;'Compliance Database'!$M457&amp;" "&amp;'Compliance Database'!$N457&amp;" "&amp;'Compliance Database'!$O457))),OR(Query!$B$10&lt;&gt;"Yes",'Compliance Database'!$F457&lt;&gt;"None")),1,0)</f>
        <v/>
      </c>
      <c r="B457">
        <f>IF($A457=1,SUM($A$2:$A457),"")</f>
        <v/>
      </c>
      <c r="C457">
        <f>IF($A457=1,SUM($A$2:$A457),0)</f>
        <v/>
      </c>
    </row>
    <row r="458">
      <c r="A458">
        <f>IF(AND(OR(Query!$B$4="All",'Compliance Database'!$A458=Query!$B$4),OR(Query!$B$5="All",ISNUMBER(SEARCH(Query!$B$5,'Compliance Database'!$H458))),OR(Query!$B$6="All",ISNUMBER(SEARCH(Query!$B$6,'Compliance Database'!$I458))),OR(Query!$B$7="All",'Compliance Database'!$F458=Query!$B$7),OR(Query!$B$8="All",'Compliance Database'!$J458=Query!$B$8),OR(Query!$B$9="",ISNUMBER(SEARCH(Query!$B$9,'Compliance Database'!$D458&amp;" "&amp;'Compliance Database'!$K458&amp;" "&amp;'Compliance Database'!$L458&amp;" "&amp;'Compliance Database'!$M458&amp;" "&amp;'Compliance Database'!$N458&amp;" "&amp;'Compliance Database'!$O458))),OR(Query!$B$10&lt;&gt;"Yes",'Compliance Database'!$F458&lt;&gt;"None")),1,0)</f>
        <v/>
      </c>
      <c r="B458">
        <f>IF($A458=1,SUM($A$2:$A458),"")</f>
        <v/>
      </c>
      <c r="C458">
        <f>IF($A458=1,SUM($A$2:$A458),0)</f>
        <v/>
      </c>
    </row>
    <row r="459">
      <c r="A459">
        <f>IF(AND(OR(Query!$B$4="All",'Compliance Database'!$A459=Query!$B$4),OR(Query!$B$5="All",ISNUMBER(SEARCH(Query!$B$5,'Compliance Database'!$H459))),OR(Query!$B$6="All",ISNUMBER(SEARCH(Query!$B$6,'Compliance Database'!$I459))),OR(Query!$B$7="All",'Compliance Database'!$F459=Query!$B$7),OR(Query!$B$8="All",'Compliance Database'!$J459=Query!$B$8),OR(Query!$B$9="",ISNUMBER(SEARCH(Query!$B$9,'Compliance Database'!$D459&amp;" "&amp;'Compliance Database'!$K459&amp;" "&amp;'Compliance Database'!$L459&amp;" "&amp;'Compliance Database'!$M459&amp;" "&amp;'Compliance Database'!$N459&amp;" "&amp;'Compliance Database'!$O459))),OR(Query!$B$10&lt;&gt;"Yes",'Compliance Database'!$F459&lt;&gt;"None")),1,0)</f>
        <v/>
      </c>
      <c r="B459">
        <f>IF($A459=1,SUM($A$2:$A459),"")</f>
        <v/>
      </c>
      <c r="C459">
        <f>IF($A459=1,SUM($A$2:$A459),0)</f>
        <v/>
      </c>
    </row>
    <row r="460">
      <c r="A460">
        <f>IF(AND(OR(Query!$B$4="All",'Compliance Database'!$A460=Query!$B$4),OR(Query!$B$5="All",ISNUMBER(SEARCH(Query!$B$5,'Compliance Database'!$H460))),OR(Query!$B$6="All",ISNUMBER(SEARCH(Query!$B$6,'Compliance Database'!$I460))),OR(Query!$B$7="All",'Compliance Database'!$F460=Query!$B$7),OR(Query!$B$8="All",'Compliance Database'!$J460=Query!$B$8),OR(Query!$B$9="",ISNUMBER(SEARCH(Query!$B$9,'Compliance Database'!$D460&amp;" "&amp;'Compliance Database'!$K460&amp;" "&amp;'Compliance Database'!$L460&amp;" "&amp;'Compliance Database'!$M460&amp;" "&amp;'Compliance Database'!$N460&amp;" "&amp;'Compliance Database'!$O460))),OR(Query!$B$10&lt;&gt;"Yes",'Compliance Database'!$F460&lt;&gt;"None")),1,0)</f>
        <v/>
      </c>
      <c r="B460">
        <f>IF($A460=1,SUM($A$2:$A460),"")</f>
        <v/>
      </c>
      <c r="C460">
        <f>IF($A460=1,SUM($A$2:$A460),0)</f>
        <v/>
      </c>
    </row>
    <row r="461">
      <c r="A461">
        <f>IF(AND(OR(Query!$B$4="All",'Compliance Database'!$A461=Query!$B$4),OR(Query!$B$5="All",ISNUMBER(SEARCH(Query!$B$5,'Compliance Database'!$H461))),OR(Query!$B$6="All",ISNUMBER(SEARCH(Query!$B$6,'Compliance Database'!$I461))),OR(Query!$B$7="All",'Compliance Database'!$F461=Query!$B$7),OR(Query!$B$8="All",'Compliance Database'!$J461=Query!$B$8),OR(Query!$B$9="",ISNUMBER(SEARCH(Query!$B$9,'Compliance Database'!$D461&amp;" "&amp;'Compliance Database'!$K461&amp;" "&amp;'Compliance Database'!$L461&amp;" "&amp;'Compliance Database'!$M461&amp;" "&amp;'Compliance Database'!$N461&amp;" "&amp;'Compliance Database'!$O461))),OR(Query!$B$10&lt;&gt;"Yes",'Compliance Database'!$F461&lt;&gt;"None")),1,0)</f>
        <v/>
      </c>
      <c r="B461">
        <f>IF($A461=1,SUM($A$2:$A461),"")</f>
        <v/>
      </c>
      <c r="C461">
        <f>IF($A461=1,SUM($A$2:$A461),0)</f>
        <v/>
      </c>
    </row>
    <row r="462">
      <c r="A462">
        <f>IF(AND(OR(Query!$B$4="All",'Compliance Database'!$A462=Query!$B$4),OR(Query!$B$5="All",ISNUMBER(SEARCH(Query!$B$5,'Compliance Database'!$H462))),OR(Query!$B$6="All",ISNUMBER(SEARCH(Query!$B$6,'Compliance Database'!$I462))),OR(Query!$B$7="All",'Compliance Database'!$F462=Query!$B$7),OR(Query!$B$8="All",'Compliance Database'!$J462=Query!$B$8),OR(Query!$B$9="",ISNUMBER(SEARCH(Query!$B$9,'Compliance Database'!$D462&amp;" "&amp;'Compliance Database'!$K462&amp;" "&amp;'Compliance Database'!$L462&amp;" "&amp;'Compliance Database'!$M462&amp;" "&amp;'Compliance Database'!$N462&amp;" "&amp;'Compliance Database'!$O462))),OR(Query!$B$10&lt;&gt;"Yes",'Compliance Database'!$F462&lt;&gt;"None")),1,0)</f>
        <v/>
      </c>
      <c r="B462">
        <f>IF($A462=1,SUM($A$2:$A462),"")</f>
        <v/>
      </c>
      <c r="C462">
        <f>IF($A462=1,SUM($A$2:$A462),0)</f>
        <v/>
      </c>
    </row>
    <row r="463">
      <c r="A463">
        <f>IF(AND(OR(Query!$B$4="All",'Compliance Database'!$A463=Query!$B$4),OR(Query!$B$5="All",ISNUMBER(SEARCH(Query!$B$5,'Compliance Database'!$H463))),OR(Query!$B$6="All",ISNUMBER(SEARCH(Query!$B$6,'Compliance Database'!$I463))),OR(Query!$B$7="All",'Compliance Database'!$F463=Query!$B$7),OR(Query!$B$8="All",'Compliance Database'!$J463=Query!$B$8),OR(Query!$B$9="",ISNUMBER(SEARCH(Query!$B$9,'Compliance Database'!$D463&amp;" "&amp;'Compliance Database'!$K463&amp;" "&amp;'Compliance Database'!$L463&amp;" "&amp;'Compliance Database'!$M463&amp;" "&amp;'Compliance Database'!$N463&amp;" "&amp;'Compliance Database'!$O463))),OR(Query!$B$10&lt;&gt;"Yes",'Compliance Database'!$F463&lt;&gt;"None")),1,0)</f>
        <v/>
      </c>
      <c r="B463">
        <f>IF($A463=1,SUM($A$2:$A463),"")</f>
        <v/>
      </c>
      <c r="C463">
        <f>IF($A463=1,SUM($A$2:$A463),0)</f>
        <v/>
      </c>
    </row>
    <row r="464">
      <c r="A464">
        <f>IF(AND(OR(Query!$B$4="All",'Compliance Database'!$A464=Query!$B$4),OR(Query!$B$5="All",ISNUMBER(SEARCH(Query!$B$5,'Compliance Database'!$H464))),OR(Query!$B$6="All",ISNUMBER(SEARCH(Query!$B$6,'Compliance Database'!$I464))),OR(Query!$B$7="All",'Compliance Database'!$F464=Query!$B$7),OR(Query!$B$8="All",'Compliance Database'!$J464=Query!$B$8),OR(Query!$B$9="",ISNUMBER(SEARCH(Query!$B$9,'Compliance Database'!$D464&amp;" "&amp;'Compliance Database'!$K464&amp;" "&amp;'Compliance Database'!$L464&amp;" "&amp;'Compliance Database'!$M464&amp;" "&amp;'Compliance Database'!$N464&amp;" "&amp;'Compliance Database'!$O464))),OR(Query!$B$10&lt;&gt;"Yes",'Compliance Database'!$F464&lt;&gt;"None")),1,0)</f>
        <v/>
      </c>
      <c r="B464">
        <f>IF($A464=1,SUM($A$2:$A464),"")</f>
        <v/>
      </c>
      <c r="C464">
        <f>IF($A464=1,SUM($A$2:$A464),0)</f>
        <v/>
      </c>
    </row>
    <row r="465">
      <c r="A465">
        <f>IF(AND(OR(Query!$B$4="All",'Compliance Database'!$A465=Query!$B$4),OR(Query!$B$5="All",ISNUMBER(SEARCH(Query!$B$5,'Compliance Database'!$H465))),OR(Query!$B$6="All",ISNUMBER(SEARCH(Query!$B$6,'Compliance Database'!$I465))),OR(Query!$B$7="All",'Compliance Database'!$F465=Query!$B$7),OR(Query!$B$8="All",'Compliance Database'!$J465=Query!$B$8),OR(Query!$B$9="",ISNUMBER(SEARCH(Query!$B$9,'Compliance Database'!$D465&amp;" "&amp;'Compliance Database'!$K465&amp;" "&amp;'Compliance Database'!$L465&amp;" "&amp;'Compliance Database'!$M465&amp;" "&amp;'Compliance Database'!$N465&amp;" "&amp;'Compliance Database'!$O465))),OR(Query!$B$10&lt;&gt;"Yes",'Compliance Database'!$F465&lt;&gt;"None")),1,0)</f>
        <v/>
      </c>
      <c r="B465">
        <f>IF($A465=1,SUM($A$2:$A465),"")</f>
        <v/>
      </c>
      <c r="C465">
        <f>IF($A465=1,SUM($A$2:$A465),0)</f>
        <v/>
      </c>
    </row>
    <row r="466">
      <c r="A466">
        <f>IF(AND(OR(Query!$B$4="All",'Compliance Database'!$A466=Query!$B$4),OR(Query!$B$5="All",ISNUMBER(SEARCH(Query!$B$5,'Compliance Database'!$H466))),OR(Query!$B$6="All",ISNUMBER(SEARCH(Query!$B$6,'Compliance Database'!$I466))),OR(Query!$B$7="All",'Compliance Database'!$F466=Query!$B$7),OR(Query!$B$8="All",'Compliance Database'!$J466=Query!$B$8),OR(Query!$B$9="",ISNUMBER(SEARCH(Query!$B$9,'Compliance Database'!$D466&amp;" "&amp;'Compliance Database'!$K466&amp;" "&amp;'Compliance Database'!$L466&amp;" "&amp;'Compliance Database'!$M466&amp;" "&amp;'Compliance Database'!$N466&amp;" "&amp;'Compliance Database'!$O466))),OR(Query!$B$10&lt;&gt;"Yes",'Compliance Database'!$F466&lt;&gt;"None")),1,0)</f>
        <v/>
      </c>
      <c r="B466">
        <f>IF($A466=1,SUM($A$2:$A466),"")</f>
        <v/>
      </c>
      <c r="C466">
        <f>IF($A466=1,SUM($A$2:$A466),0)</f>
        <v/>
      </c>
    </row>
    <row r="467">
      <c r="A467">
        <f>IF(AND(OR(Query!$B$4="All",'Compliance Database'!$A467=Query!$B$4),OR(Query!$B$5="All",ISNUMBER(SEARCH(Query!$B$5,'Compliance Database'!$H467))),OR(Query!$B$6="All",ISNUMBER(SEARCH(Query!$B$6,'Compliance Database'!$I467))),OR(Query!$B$7="All",'Compliance Database'!$F467=Query!$B$7),OR(Query!$B$8="All",'Compliance Database'!$J467=Query!$B$8),OR(Query!$B$9="",ISNUMBER(SEARCH(Query!$B$9,'Compliance Database'!$D467&amp;" "&amp;'Compliance Database'!$K467&amp;" "&amp;'Compliance Database'!$L467&amp;" "&amp;'Compliance Database'!$M467&amp;" "&amp;'Compliance Database'!$N467&amp;" "&amp;'Compliance Database'!$O467))),OR(Query!$B$10&lt;&gt;"Yes",'Compliance Database'!$F467&lt;&gt;"None")),1,0)</f>
        <v/>
      </c>
      <c r="B467">
        <f>IF($A467=1,SUM($A$2:$A467),"")</f>
        <v/>
      </c>
      <c r="C467">
        <f>IF($A467=1,SUM($A$2:$A467),0)</f>
        <v/>
      </c>
    </row>
    <row r="468">
      <c r="A468">
        <f>IF(AND(OR(Query!$B$4="All",'Compliance Database'!$A468=Query!$B$4),OR(Query!$B$5="All",ISNUMBER(SEARCH(Query!$B$5,'Compliance Database'!$H468))),OR(Query!$B$6="All",ISNUMBER(SEARCH(Query!$B$6,'Compliance Database'!$I468))),OR(Query!$B$7="All",'Compliance Database'!$F468=Query!$B$7),OR(Query!$B$8="All",'Compliance Database'!$J468=Query!$B$8),OR(Query!$B$9="",ISNUMBER(SEARCH(Query!$B$9,'Compliance Database'!$D468&amp;" "&amp;'Compliance Database'!$K468&amp;" "&amp;'Compliance Database'!$L468&amp;" "&amp;'Compliance Database'!$M468&amp;" "&amp;'Compliance Database'!$N468&amp;" "&amp;'Compliance Database'!$O468))),OR(Query!$B$10&lt;&gt;"Yes",'Compliance Database'!$F468&lt;&gt;"None")),1,0)</f>
        <v/>
      </c>
      <c r="B468">
        <f>IF($A468=1,SUM($A$2:$A468),"")</f>
        <v/>
      </c>
      <c r="C468">
        <f>IF($A468=1,SUM($A$2:$A468),0)</f>
        <v/>
      </c>
    </row>
    <row r="469">
      <c r="A469">
        <f>IF(AND(OR(Query!$B$4="All",'Compliance Database'!$A469=Query!$B$4),OR(Query!$B$5="All",ISNUMBER(SEARCH(Query!$B$5,'Compliance Database'!$H469))),OR(Query!$B$6="All",ISNUMBER(SEARCH(Query!$B$6,'Compliance Database'!$I469))),OR(Query!$B$7="All",'Compliance Database'!$F469=Query!$B$7),OR(Query!$B$8="All",'Compliance Database'!$J469=Query!$B$8),OR(Query!$B$9="",ISNUMBER(SEARCH(Query!$B$9,'Compliance Database'!$D469&amp;" "&amp;'Compliance Database'!$K469&amp;" "&amp;'Compliance Database'!$L469&amp;" "&amp;'Compliance Database'!$M469&amp;" "&amp;'Compliance Database'!$N469&amp;" "&amp;'Compliance Database'!$O469))),OR(Query!$B$10&lt;&gt;"Yes",'Compliance Database'!$F469&lt;&gt;"None")),1,0)</f>
        <v/>
      </c>
      <c r="B469">
        <f>IF($A469=1,SUM($A$2:$A469),"")</f>
        <v/>
      </c>
      <c r="C469">
        <f>IF($A469=1,SUM($A$2:$A469),0)</f>
        <v/>
      </c>
    </row>
    <row r="470">
      <c r="A470">
        <f>IF(AND(OR(Query!$B$4="All",'Compliance Database'!$A470=Query!$B$4),OR(Query!$B$5="All",ISNUMBER(SEARCH(Query!$B$5,'Compliance Database'!$H470))),OR(Query!$B$6="All",ISNUMBER(SEARCH(Query!$B$6,'Compliance Database'!$I470))),OR(Query!$B$7="All",'Compliance Database'!$F470=Query!$B$7),OR(Query!$B$8="All",'Compliance Database'!$J470=Query!$B$8),OR(Query!$B$9="",ISNUMBER(SEARCH(Query!$B$9,'Compliance Database'!$D470&amp;" "&amp;'Compliance Database'!$K470&amp;" "&amp;'Compliance Database'!$L470&amp;" "&amp;'Compliance Database'!$M470&amp;" "&amp;'Compliance Database'!$N470&amp;" "&amp;'Compliance Database'!$O470))),OR(Query!$B$10&lt;&gt;"Yes",'Compliance Database'!$F470&lt;&gt;"None")),1,0)</f>
        <v/>
      </c>
      <c r="B470">
        <f>IF($A470=1,SUM($A$2:$A470),"")</f>
        <v/>
      </c>
      <c r="C470">
        <f>IF($A470=1,SUM($A$2:$A470),0)</f>
        <v/>
      </c>
    </row>
    <row r="471">
      <c r="A471">
        <f>IF(AND(OR(Query!$B$4="All",'Compliance Database'!$A471=Query!$B$4),OR(Query!$B$5="All",ISNUMBER(SEARCH(Query!$B$5,'Compliance Database'!$H471))),OR(Query!$B$6="All",ISNUMBER(SEARCH(Query!$B$6,'Compliance Database'!$I471))),OR(Query!$B$7="All",'Compliance Database'!$F471=Query!$B$7),OR(Query!$B$8="All",'Compliance Database'!$J471=Query!$B$8),OR(Query!$B$9="",ISNUMBER(SEARCH(Query!$B$9,'Compliance Database'!$D471&amp;" "&amp;'Compliance Database'!$K471&amp;" "&amp;'Compliance Database'!$L471&amp;" "&amp;'Compliance Database'!$M471&amp;" "&amp;'Compliance Database'!$N471&amp;" "&amp;'Compliance Database'!$O471))),OR(Query!$B$10&lt;&gt;"Yes",'Compliance Database'!$F471&lt;&gt;"None")),1,0)</f>
        <v/>
      </c>
      <c r="B471">
        <f>IF($A471=1,SUM($A$2:$A471),"")</f>
        <v/>
      </c>
      <c r="C471">
        <f>IF($A471=1,SUM($A$2:$A471),0)</f>
        <v/>
      </c>
    </row>
    <row r="472">
      <c r="A472">
        <f>IF(AND(OR(Query!$B$4="All",'Compliance Database'!$A472=Query!$B$4),OR(Query!$B$5="All",ISNUMBER(SEARCH(Query!$B$5,'Compliance Database'!$H472))),OR(Query!$B$6="All",ISNUMBER(SEARCH(Query!$B$6,'Compliance Database'!$I472))),OR(Query!$B$7="All",'Compliance Database'!$F472=Query!$B$7),OR(Query!$B$8="All",'Compliance Database'!$J472=Query!$B$8),OR(Query!$B$9="",ISNUMBER(SEARCH(Query!$B$9,'Compliance Database'!$D472&amp;" "&amp;'Compliance Database'!$K472&amp;" "&amp;'Compliance Database'!$L472&amp;" "&amp;'Compliance Database'!$M472&amp;" "&amp;'Compliance Database'!$N472&amp;" "&amp;'Compliance Database'!$O472))),OR(Query!$B$10&lt;&gt;"Yes",'Compliance Database'!$F472&lt;&gt;"None")),1,0)</f>
        <v/>
      </c>
      <c r="B472">
        <f>IF($A472=1,SUM($A$2:$A472),"")</f>
        <v/>
      </c>
      <c r="C472">
        <f>IF($A472=1,SUM($A$2:$A472),0)</f>
        <v/>
      </c>
    </row>
    <row r="473">
      <c r="A473">
        <f>IF(AND(OR(Query!$B$4="All",'Compliance Database'!$A473=Query!$B$4),OR(Query!$B$5="All",ISNUMBER(SEARCH(Query!$B$5,'Compliance Database'!$H473))),OR(Query!$B$6="All",ISNUMBER(SEARCH(Query!$B$6,'Compliance Database'!$I473))),OR(Query!$B$7="All",'Compliance Database'!$F473=Query!$B$7),OR(Query!$B$8="All",'Compliance Database'!$J473=Query!$B$8),OR(Query!$B$9="",ISNUMBER(SEARCH(Query!$B$9,'Compliance Database'!$D473&amp;" "&amp;'Compliance Database'!$K473&amp;" "&amp;'Compliance Database'!$L473&amp;" "&amp;'Compliance Database'!$M473&amp;" "&amp;'Compliance Database'!$N473&amp;" "&amp;'Compliance Database'!$O473))),OR(Query!$B$10&lt;&gt;"Yes",'Compliance Database'!$F473&lt;&gt;"None")),1,0)</f>
        <v/>
      </c>
      <c r="B473">
        <f>IF($A473=1,SUM($A$2:$A473),"")</f>
        <v/>
      </c>
      <c r="C473">
        <f>IF($A473=1,SUM($A$2:$A473),0)</f>
        <v/>
      </c>
    </row>
    <row r="474">
      <c r="A474">
        <f>IF(AND(OR(Query!$B$4="All",'Compliance Database'!$A474=Query!$B$4),OR(Query!$B$5="All",ISNUMBER(SEARCH(Query!$B$5,'Compliance Database'!$H474))),OR(Query!$B$6="All",ISNUMBER(SEARCH(Query!$B$6,'Compliance Database'!$I474))),OR(Query!$B$7="All",'Compliance Database'!$F474=Query!$B$7),OR(Query!$B$8="All",'Compliance Database'!$J474=Query!$B$8),OR(Query!$B$9="",ISNUMBER(SEARCH(Query!$B$9,'Compliance Database'!$D474&amp;" "&amp;'Compliance Database'!$K474&amp;" "&amp;'Compliance Database'!$L474&amp;" "&amp;'Compliance Database'!$M474&amp;" "&amp;'Compliance Database'!$N474&amp;" "&amp;'Compliance Database'!$O474))),OR(Query!$B$10&lt;&gt;"Yes",'Compliance Database'!$F474&lt;&gt;"None")),1,0)</f>
        <v/>
      </c>
      <c r="B474">
        <f>IF($A474=1,SUM($A$2:$A474),"")</f>
        <v/>
      </c>
      <c r="C474">
        <f>IF($A474=1,SUM($A$2:$A474),0)</f>
        <v/>
      </c>
    </row>
    <row r="475">
      <c r="A475">
        <f>IF(AND(OR(Query!$B$4="All",'Compliance Database'!$A475=Query!$B$4),OR(Query!$B$5="All",ISNUMBER(SEARCH(Query!$B$5,'Compliance Database'!$H475))),OR(Query!$B$6="All",ISNUMBER(SEARCH(Query!$B$6,'Compliance Database'!$I475))),OR(Query!$B$7="All",'Compliance Database'!$F475=Query!$B$7),OR(Query!$B$8="All",'Compliance Database'!$J475=Query!$B$8),OR(Query!$B$9="",ISNUMBER(SEARCH(Query!$B$9,'Compliance Database'!$D475&amp;" "&amp;'Compliance Database'!$K475&amp;" "&amp;'Compliance Database'!$L475&amp;" "&amp;'Compliance Database'!$M475&amp;" "&amp;'Compliance Database'!$N475&amp;" "&amp;'Compliance Database'!$O475))),OR(Query!$B$10&lt;&gt;"Yes",'Compliance Database'!$F475&lt;&gt;"None")),1,0)</f>
        <v/>
      </c>
      <c r="B475">
        <f>IF($A475=1,SUM($A$2:$A475),"")</f>
        <v/>
      </c>
      <c r="C475">
        <f>IF($A475=1,SUM($A$2:$A475),0)</f>
        <v/>
      </c>
    </row>
    <row r="476">
      <c r="A476">
        <f>IF(AND(OR(Query!$B$4="All",'Compliance Database'!$A476=Query!$B$4),OR(Query!$B$5="All",ISNUMBER(SEARCH(Query!$B$5,'Compliance Database'!$H476))),OR(Query!$B$6="All",ISNUMBER(SEARCH(Query!$B$6,'Compliance Database'!$I476))),OR(Query!$B$7="All",'Compliance Database'!$F476=Query!$B$7),OR(Query!$B$8="All",'Compliance Database'!$J476=Query!$B$8),OR(Query!$B$9="",ISNUMBER(SEARCH(Query!$B$9,'Compliance Database'!$D476&amp;" "&amp;'Compliance Database'!$K476&amp;" "&amp;'Compliance Database'!$L476&amp;" "&amp;'Compliance Database'!$M476&amp;" "&amp;'Compliance Database'!$N476&amp;" "&amp;'Compliance Database'!$O476))),OR(Query!$B$10&lt;&gt;"Yes",'Compliance Database'!$F476&lt;&gt;"None")),1,0)</f>
        <v/>
      </c>
      <c r="B476">
        <f>IF($A476=1,SUM($A$2:$A476),"")</f>
        <v/>
      </c>
      <c r="C476">
        <f>IF($A476=1,SUM($A$2:$A476),0)</f>
        <v/>
      </c>
    </row>
    <row r="477">
      <c r="A477">
        <f>IF(AND(OR(Query!$B$4="All",'Compliance Database'!$A477=Query!$B$4),OR(Query!$B$5="All",ISNUMBER(SEARCH(Query!$B$5,'Compliance Database'!$H477))),OR(Query!$B$6="All",ISNUMBER(SEARCH(Query!$B$6,'Compliance Database'!$I477))),OR(Query!$B$7="All",'Compliance Database'!$F477=Query!$B$7),OR(Query!$B$8="All",'Compliance Database'!$J477=Query!$B$8),OR(Query!$B$9="",ISNUMBER(SEARCH(Query!$B$9,'Compliance Database'!$D477&amp;" "&amp;'Compliance Database'!$K477&amp;" "&amp;'Compliance Database'!$L477&amp;" "&amp;'Compliance Database'!$M477&amp;" "&amp;'Compliance Database'!$N477&amp;" "&amp;'Compliance Database'!$O477))),OR(Query!$B$10&lt;&gt;"Yes",'Compliance Database'!$F477&lt;&gt;"None")),1,0)</f>
        <v/>
      </c>
      <c r="B477">
        <f>IF($A477=1,SUM($A$2:$A477),"")</f>
        <v/>
      </c>
      <c r="C477">
        <f>IF($A477=1,SUM($A$2:$A477),0)</f>
        <v/>
      </c>
    </row>
    <row r="478">
      <c r="A478">
        <f>IF(AND(OR(Query!$B$4="All",'Compliance Database'!$A478=Query!$B$4),OR(Query!$B$5="All",ISNUMBER(SEARCH(Query!$B$5,'Compliance Database'!$H478))),OR(Query!$B$6="All",ISNUMBER(SEARCH(Query!$B$6,'Compliance Database'!$I478))),OR(Query!$B$7="All",'Compliance Database'!$F478=Query!$B$7),OR(Query!$B$8="All",'Compliance Database'!$J478=Query!$B$8),OR(Query!$B$9="",ISNUMBER(SEARCH(Query!$B$9,'Compliance Database'!$D478&amp;" "&amp;'Compliance Database'!$K478&amp;" "&amp;'Compliance Database'!$L478&amp;" "&amp;'Compliance Database'!$M478&amp;" "&amp;'Compliance Database'!$N478&amp;" "&amp;'Compliance Database'!$O478))),OR(Query!$B$10&lt;&gt;"Yes",'Compliance Database'!$F478&lt;&gt;"None")),1,0)</f>
        <v/>
      </c>
      <c r="B478">
        <f>IF($A478=1,SUM($A$2:$A478),"")</f>
        <v/>
      </c>
      <c r="C478">
        <f>IF($A478=1,SUM($A$2:$A478),0)</f>
        <v/>
      </c>
    </row>
    <row r="479">
      <c r="A479">
        <f>IF(AND(OR(Query!$B$4="All",'Compliance Database'!$A479=Query!$B$4),OR(Query!$B$5="All",ISNUMBER(SEARCH(Query!$B$5,'Compliance Database'!$H479))),OR(Query!$B$6="All",ISNUMBER(SEARCH(Query!$B$6,'Compliance Database'!$I479))),OR(Query!$B$7="All",'Compliance Database'!$F479=Query!$B$7),OR(Query!$B$8="All",'Compliance Database'!$J479=Query!$B$8),OR(Query!$B$9="",ISNUMBER(SEARCH(Query!$B$9,'Compliance Database'!$D479&amp;" "&amp;'Compliance Database'!$K479&amp;" "&amp;'Compliance Database'!$L479&amp;" "&amp;'Compliance Database'!$M479&amp;" "&amp;'Compliance Database'!$N479&amp;" "&amp;'Compliance Database'!$O479))),OR(Query!$B$10&lt;&gt;"Yes",'Compliance Database'!$F479&lt;&gt;"None")),1,0)</f>
        <v/>
      </c>
      <c r="B479">
        <f>IF($A479=1,SUM($A$2:$A479),"")</f>
        <v/>
      </c>
      <c r="C479">
        <f>IF($A479=1,SUM($A$2:$A479),0)</f>
        <v/>
      </c>
    </row>
    <row r="480">
      <c r="A480">
        <f>IF(AND(OR(Query!$B$4="All",'Compliance Database'!$A480=Query!$B$4),OR(Query!$B$5="All",ISNUMBER(SEARCH(Query!$B$5,'Compliance Database'!$H480))),OR(Query!$B$6="All",ISNUMBER(SEARCH(Query!$B$6,'Compliance Database'!$I480))),OR(Query!$B$7="All",'Compliance Database'!$F480=Query!$B$7),OR(Query!$B$8="All",'Compliance Database'!$J480=Query!$B$8),OR(Query!$B$9="",ISNUMBER(SEARCH(Query!$B$9,'Compliance Database'!$D480&amp;" "&amp;'Compliance Database'!$K480&amp;" "&amp;'Compliance Database'!$L480&amp;" "&amp;'Compliance Database'!$M480&amp;" "&amp;'Compliance Database'!$N480&amp;" "&amp;'Compliance Database'!$O480))),OR(Query!$B$10&lt;&gt;"Yes",'Compliance Database'!$F480&lt;&gt;"None")),1,0)</f>
        <v/>
      </c>
      <c r="B480">
        <f>IF($A480=1,SUM($A$2:$A480),"")</f>
        <v/>
      </c>
      <c r="C480">
        <f>IF($A480=1,SUM($A$2:$A480),0)</f>
        <v/>
      </c>
    </row>
    <row r="481">
      <c r="A481">
        <f>IF(AND(OR(Query!$B$4="All",'Compliance Database'!$A481=Query!$B$4),OR(Query!$B$5="All",ISNUMBER(SEARCH(Query!$B$5,'Compliance Database'!$H481))),OR(Query!$B$6="All",ISNUMBER(SEARCH(Query!$B$6,'Compliance Database'!$I481))),OR(Query!$B$7="All",'Compliance Database'!$F481=Query!$B$7),OR(Query!$B$8="All",'Compliance Database'!$J481=Query!$B$8),OR(Query!$B$9="",ISNUMBER(SEARCH(Query!$B$9,'Compliance Database'!$D481&amp;" "&amp;'Compliance Database'!$K481&amp;" "&amp;'Compliance Database'!$L481&amp;" "&amp;'Compliance Database'!$M481&amp;" "&amp;'Compliance Database'!$N481&amp;" "&amp;'Compliance Database'!$O481))),OR(Query!$B$10&lt;&gt;"Yes",'Compliance Database'!$F481&lt;&gt;"None")),1,0)</f>
        <v/>
      </c>
      <c r="B481">
        <f>IF($A481=1,SUM($A$2:$A481),"")</f>
        <v/>
      </c>
      <c r="C481">
        <f>IF($A481=1,SUM($A$2:$A481),0)</f>
        <v/>
      </c>
    </row>
    <row r="482">
      <c r="A482">
        <f>IF(AND(OR(Query!$B$4="All",'Compliance Database'!$A482=Query!$B$4),OR(Query!$B$5="All",ISNUMBER(SEARCH(Query!$B$5,'Compliance Database'!$H482))),OR(Query!$B$6="All",ISNUMBER(SEARCH(Query!$B$6,'Compliance Database'!$I482))),OR(Query!$B$7="All",'Compliance Database'!$F482=Query!$B$7),OR(Query!$B$8="All",'Compliance Database'!$J482=Query!$B$8),OR(Query!$B$9="",ISNUMBER(SEARCH(Query!$B$9,'Compliance Database'!$D482&amp;" "&amp;'Compliance Database'!$K482&amp;" "&amp;'Compliance Database'!$L482&amp;" "&amp;'Compliance Database'!$M482&amp;" "&amp;'Compliance Database'!$N482&amp;" "&amp;'Compliance Database'!$O482))),OR(Query!$B$10&lt;&gt;"Yes",'Compliance Database'!$F482&lt;&gt;"None")),1,0)</f>
        <v/>
      </c>
      <c r="B482">
        <f>IF($A482=1,SUM($A$2:$A482),"")</f>
        <v/>
      </c>
      <c r="C482">
        <f>IF($A482=1,SUM($A$2:$A482),0)</f>
        <v/>
      </c>
    </row>
    <row r="483">
      <c r="A483">
        <f>IF(AND(OR(Query!$B$4="All",'Compliance Database'!$A483=Query!$B$4),OR(Query!$B$5="All",ISNUMBER(SEARCH(Query!$B$5,'Compliance Database'!$H483))),OR(Query!$B$6="All",ISNUMBER(SEARCH(Query!$B$6,'Compliance Database'!$I483))),OR(Query!$B$7="All",'Compliance Database'!$F483=Query!$B$7),OR(Query!$B$8="All",'Compliance Database'!$J483=Query!$B$8),OR(Query!$B$9="",ISNUMBER(SEARCH(Query!$B$9,'Compliance Database'!$D483&amp;" "&amp;'Compliance Database'!$K483&amp;" "&amp;'Compliance Database'!$L483&amp;" "&amp;'Compliance Database'!$M483&amp;" "&amp;'Compliance Database'!$N483&amp;" "&amp;'Compliance Database'!$O483))),OR(Query!$B$10&lt;&gt;"Yes",'Compliance Database'!$F483&lt;&gt;"None")),1,0)</f>
        <v/>
      </c>
      <c r="B483">
        <f>IF($A483=1,SUM($A$2:$A483),"")</f>
        <v/>
      </c>
      <c r="C483">
        <f>IF($A483=1,SUM($A$2:$A483),0)</f>
        <v/>
      </c>
    </row>
    <row r="484">
      <c r="A484">
        <f>IF(AND(OR(Query!$B$4="All",'Compliance Database'!$A484=Query!$B$4),OR(Query!$B$5="All",ISNUMBER(SEARCH(Query!$B$5,'Compliance Database'!$H484))),OR(Query!$B$6="All",ISNUMBER(SEARCH(Query!$B$6,'Compliance Database'!$I484))),OR(Query!$B$7="All",'Compliance Database'!$F484=Query!$B$7),OR(Query!$B$8="All",'Compliance Database'!$J484=Query!$B$8),OR(Query!$B$9="",ISNUMBER(SEARCH(Query!$B$9,'Compliance Database'!$D484&amp;" "&amp;'Compliance Database'!$K484&amp;" "&amp;'Compliance Database'!$L484&amp;" "&amp;'Compliance Database'!$M484&amp;" "&amp;'Compliance Database'!$N484&amp;" "&amp;'Compliance Database'!$O484))),OR(Query!$B$10&lt;&gt;"Yes",'Compliance Database'!$F484&lt;&gt;"None")),1,0)</f>
        <v/>
      </c>
      <c r="B484">
        <f>IF($A484=1,SUM($A$2:$A484),"")</f>
        <v/>
      </c>
      <c r="C484">
        <f>IF($A484=1,SUM($A$2:$A484),0)</f>
        <v/>
      </c>
    </row>
    <row r="485">
      <c r="A485">
        <f>IF(AND(OR(Query!$B$4="All",'Compliance Database'!$A485=Query!$B$4),OR(Query!$B$5="All",ISNUMBER(SEARCH(Query!$B$5,'Compliance Database'!$H485))),OR(Query!$B$6="All",ISNUMBER(SEARCH(Query!$B$6,'Compliance Database'!$I485))),OR(Query!$B$7="All",'Compliance Database'!$F485=Query!$B$7),OR(Query!$B$8="All",'Compliance Database'!$J485=Query!$B$8),OR(Query!$B$9="",ISNUMBER(SEARCH(Query!$B$9,'Compliance Database'!$D485&amp;" "&amp;'Compliance Database'!$K485&amp;" "&amp;'Compliance Database'!$L485&amp;" "&amp;'Compliance Database'!$M485&amp;" "&amp;'Compliance Database'!$N485&amp;" "&amp;'Compliance Database'!$O485))),OR(Query!$B$10&lt;&gt;"Yes",'Compliance Database'!$F485&lt;&gt;"None")),1,0)</f>
        <v/>
      </c>
      <c r="B485">
        <f>IF($A485=1,SUM($A$2:$A485),"")</f>
        <v/>
      </c>
      <c r="C485">
        <f>IF($A485=1,SUM($A$2:$A485),0)</f>
        <v/>
      </c>
    </row>
    <row r="486">
      <c r="A486">
        <f>IF(AND(OR(Query!$B$4="All",'Compliance Database'!$A486=Query!$B$4),OR(Query!$B$5="All",ISNUMBER(SEARCH(Query!$B$5,'Compliance Database'!$H486))),OR(Query!$B$6="All",ISNUMBER(SEARCH(Query!$B$6,'Compliance Database'!$I486))),OR(Query!$B$7="All",'Compliance Database'!$F486=Query!$B$7),OR(Query!$B$8="All",'Compliance Database'!$J486=Query!$B$8),OR(Query!$B$9="",ISNUMBER(SEARCH(Query!$B$9,'Compliance Database'!$D486&amp;" "&amp;'Compliance Database'!$K486&amp;" "&amp;'Compliance Database'!$L486&amp;" "&amp;'Compliance Database'!$M486&amp;" "&amp;'Compliance Database'!$N486&amp;" "&amp;'Compliance Database'!$O486))),OR(Query!$B$10&lt;&gt;"Yes",'Compliance Database'!$F486&lt;&gt;"None")),1,0)</f>
        <v/>
      </c>
      <c r="B486">
        <f>IF($A486=1,SUM($A$2:$A486),"")</f>
        <v/>
      </c>
      <c r="C486">
        <f>IF($A486=1,SUM($A$2:$A486),0)</f>
        <v/>
      </c>
    </row>
    <row r="487">
      <c r="A487">
        <f>IF(AND(OR(Query!$B$4="All",'Compliance Database'!$A487=Query!$B$4),OR(Query!$B$5="All",ISNUMBER(SEARCH(Query!$B$5,'Compliance Database'!$H487))),OR(Query!$B$6="All",ISNUMBER(SEARCH(Query!$B$6,'Compliance Database'!$I487))),OR(Query!$B$7="All",'Compliance Database'!$F487=Query!$B$7),OR(Query!$B$8="All",'Compliance Database'!$J487=Query!$B$8),OR(Query!$B$9="",ISNUMBER(SEARCH(Query!$B$9,'Compliance Database'!$D487&amp;" "&amp;'Compliance Database'!$K487&amp;" "&amp;'Compliance Database'!$L487&amp;" "&amp;'Compliance Database'!$M487&amp;" "&amp;'Compliance Database'!$N487&amp;" "&amp;'Compliance Database'!$O487))),OR(Query!$B$10&lt;&gt;"Yes",'Compliance Database'!$F487&lt;&gt;"None")),1,0)</f>
        <v/>
      </c>
      <c r="B487">
        <f>IF($A487=1,SUM($A$2:$A487),"")</f>
        <v/>
      </c>
      <c r="C487">
        <f>IF($A487=1,SUM($A$2:$A487),0)</f>
        <v/>
      </c>
    </row>
    <row r="488">
      <c r="A488">
        <f>IF(AND(OR(Query!$B$4="All",'Compliance Database'!$A488=Query!$B$4),OR(Query!$B$5="All",ISNUMBER(SEARCH(Query!$B$5,'Compliance Database'!$H488))),OR(Query!$B$6="All",ISNUMBER(SEARCH(Query!$B$6,'Compliance Database'!$I488))),OR(Query!$B$7="All",'Compliance Database'!$F488=Query!$B$7),OR(Query!$B$8="All",'Compliance Database'!$J488=Query!$B$8),OR(Query!$B$9="",ISNUMBER(SEARCH(Query!$B$9,'Compliance Database'!$D488&amp;" "&amp;'Compliance Database'!$K488&amp;" "&amp;'Compliance Database'!$L488&amp;" "&amp;'Compliance Database'!$M488&amp;" "&amp;'Compliance Database'!$N488&amp;" "&amp;'Compliance Database'!$O488))),OR(Query!$B$10&lt;&gt;"Yes",'Compliance Database'!$F488&lt;&gt;"None")),1,0)</f>
        <v/>
      </c>
      <c r="B488">
        <f>IF($A488=1,SUM($A$2:$A488),"")</f>
        <v/>
      </c>
      <c r="C488">
        <f>IF($A488=1,SUM($A$2:$A488),0)</f>
        <v/>
      </c>
    </row>
    <row r="489">
      <c r="A489">
        <f>IF(AND(OR(Query!$B$4="All",'Compliance Database'!$A489=Query!$B$4),OR(Query!$B$5="All",ISNUMBER(SEARCH(Query!$B$5,'Compliance Database'!$H489))),OR(Query!$B$6="All",ISNUMBER(SEARCH(Query!$B$6,'Compliance Database'!$I489))),OR(Query!$B$7="All",'Compliance Database'!$F489=Query!$B$7),OR(Query!$B$8="All",'Compliance Database'!$J489=Query!$B$8),OR(Query!$B$9="",ISNUMBER(SEARCH(Query!$B$9,'Compliance Database'!$D489&amp;" "&amp;'Compliance Database'!$K489&amp;" "&amp;'Compliance Database'!$L489&amp;" "&amp;'Compliance Database'!$M489&amp;" "&amp;'Compliance Database'!$N489&amp;" "&amp;'Compliance Database'!$O489))),OR(Query!$B$10&lt;&gt;"Yes",'Compliance Database'!$F489&lt;&gt;"None")),1,0)</f>
        <v/>
      </c>
      <c r="B489">
        <f>IF($A489=1,SUM($A$2:$A489),"")</f>
        <v/>
      </c>
      <c r="C489">
        <f>IF($A489=1,SUM($A$2:$A489),0)</f>
        <v/>
      </c>
    </row>
    <row r="490">
      <c r="A490">
        <f>IF(AND(OR(Query!$B$4="All",'Compliance Database'!$A490=Query!$B$4),OR(Query!$B$5="All",ISNUMBER(SEARCH(Query!$B$5,'Compliance Database'!$H490))),OR(Query!$B$6="All",ISNUMBER(SEARCH(Query!$B$6,'Compliance Database'!$I490))),OR(Query!$B$7="All",'Compliance Database'!$F490=Query!$B$7),OR(Query!$B$8="All",'Compliance Database'!$J490=Query!$B$8),OR(Query!$B$9="",ISNUMBER(SEARCH(Query!$B$9,'Compliance Database'!$D490&amp;" "&amp;'Compliance Database'!$K490&amp;" "&amp;'Compliance Database'!$L490&amp;" "&amp;'Compliance Database'!$M490&amp;" "&amp;'Compliance Database'!$N490&amp;" "&amp;'Compliance Database'!$O490))),OR(Query!$B$10&lt;&gt;"Yes",'Compliance Database'!$F490&lt;&gt;"None")),1,0)</f>
        <v/>
      </c>
      <c r="B490">
        <f>IF($A490=1,SUM($A$2:$A490),"")</f>
        <v/>
      </c>
      <c r="C490">
        <f>IF($A490=1,SUM($A$2:$A490),0)</f>
        <v/>
      </c>
    </row>
    <row r="491">
      <c r="A491">
        <f>IF(AND(OR(Query!$B$4="All",'Compliance Database'!$A491=Query!$B$4),OR(Query!$B$5="All",ISNUMBER(SEARCH(Query!$B$5,'Compliance Database'!$H491))),OR(Query!$B$6="All",ISNUMBER(SEARCH(Query!$B$6,'Compliance Database'!$I491))),OR(Query!$B$7="All",'Compliance Database'!$F491=Query!$B$7),OR(Query!$B$8="All",'Compliance Database'!$J491=Query!$B$8),OR(Query!$B$9="",ISNUMBER(SEARCH(Query!$B$9,'Compliance Database'!$D491&amp;" "&amp;'Compliance Database'!$K491&amp;" "&amp;'Compliance Database'!$L491&amp;" "&amp;'Compliance Database'!$M491&amp;" "&amp;'Compliance Database'!$N491&amp;" "&amp;'Compliance Database'!$O491))),OR(Query!$B$10&lt;&gt;"Yes",'Compliance Database'!$F491&lt;&gt;"None")),1,0)</f>
        <v/>
      </c>
      <c r="B491">
        <f>IF($A491=1,SUM($A$2:$A491),"")</f>
        <v/>
      </c>
      <c r="C491">
        <f>IF($A491=1,SUM($A$2:$A491),0)</f>
        <v/>
      </c>
    </row>
    <row r="492">
      <c r="A492">
        <f>IF(AND(OR(Query!$B$4="All",'Compliance Database'!$A492=Query!$B$4),OR(Query!$B$5="All",ISNUMBER(SEARCH(Query!$B$5,'Compliance Database'!$H492))),OR(Query!$B$6="All",ISNUMBER(SEARCH(Query!$B$6,'Compliance Database'!$I492))),OR(Query!$B$7="All",'Compliance Database'!$F492=Query!$B$7),OR(Query!$B$8="All",'Compliance Database'!$J492=Query!$B$8),OR(Query!$B$9="",ISNUMBER(SEARCH(Query!$B$9,'Compliance Database'!$D492&amp;" "&amp;'Compliance Database'!$K492&amp;" "&amp;'Compliance Database'!$L492&amp;" "&amp;'Compliance Database'!$M492&amp;" "&amp;'Compliance Database'!$N492&amp;" "&amp;'Compliance Database'!$O492))),OR(Query!$B$10&lt;&gt;"Yes",'Compliance Database'!$F492&lt;&gt;"None")),1,0)</f>
        <v/>
      </c>
      <c r="B492">
        <f>IF($A492=1,SUM($A$2:$A492),"")</f>
        <v/>
      </c>
      <c r="C492">
        <f>IF($A492=1,SUM($A$2:$A492),0)</f>
        <v/>
      </c>
    </row>
    <row r="493">
      <c r="A493">
        <f>IF(AND(OR(Query!$B$4="All",'Compliance Database'!$A493=Query!$B$4),OR(Query!$B$5="All",ISNUMBER(SEARCH(Query!$B$5,'Compliance Database'!$H493))),OR(Query!$B$6="All",ISNUMBER(SEARCH(Query!$B$6,'Compliance Database'!$I493))),OR(Query!$B$7="All",'Compliance Database'!$F493=Query!$B$7),OR(Query!$B$8="All",'Compliance Database'!$J493=Query!$B$8),OR(Query!$B$9="",ISNUMBER(SEARCH(Query!$B$9,'Compliance Database'!$D493&amp;" "&amp;'Compliance Database'!$K493&amp;" "&amp;'Compliance Database'!$L493&amp;" "&amp;'Compliance Database'!$M493&amp;" "&amp;'Compliance Database'!$N493&amp;" "&amp;'Compliance Database'!$O493))),OR(Query!$B$10&lt;&gt;"Yes",'Compliance Database'!$F493&lt;&gt;"None")),1,0)</f>
        <v/>
      </c>
      <c r="B493">
        <f>IF($A493=1,SUM($A$2:$A493),"")</f>
        <v/>
      </c>
      <c r="C493">
        <f>IF($A493=1,SUM($A$2:$A493),0)</f>
        <v/>
      </c>
    </row>
    <row r="494">
      <c r="A494">
        <f>IF(AND(OR(Query!$B$4="All",'Compliance Database'!$A494=Query!$B$4),OR(Query!$B$5="All",ISNUMBER(SEARCH(Query!$B$5,'Compliance Database'!$H494))),OR(Query!$B$6="All",ISNUMBER(SEARCH(Query!$B$6,'Compliance Database'!$I494))),OR(Query!$B$7="All",'Compliance Database'!$F494=Query!$B$7),OR(Query!$B$8="All",'Compliance Database'!$J494=Query!$B$8),OR(Query!$B$9="",ISNUMBER(SEARCH(Query!$B$9,'Compliance Database'!$D494&amp;" "&amp;'Compliance Database'!$K494&amp;" "&amp;'Compliance Database'!$L494&amp;" "&amp;'Compliance Database'!$M494&amp;" "&amp;'Compliance Database'!$N494&amp;" "&amp;'Compliance Database'!$O494))),OR(Query!$B$10&lt;&gt;"Yes",'Compliance Database'!$F494&lt;&gt;"None")),1,0)</f>
        <v/>
      </c>
      <c r="B494">
        <f>IF($A494=1,SUM($A$2:$A494),"")</f>
        <v/>
      </c>
      <c r="C494">
        <f>IF($A494=1,SUM($A$2:$A494),0)</f>
        <v/>
      </c>
    </row>
    <row r="495">
      <c r="A495">
        <f>IF(AND(OR(Query!$B$4="All",'Compliance Database'!$A495=Query!$B$4),OR(Query!$B$5="All",ISNUMBER(SEARCH(Query!$B$5,'Compliance Database'!$H495))),OR(Query!$B$6="All",ISNUMBER(SEARCH(Query!$B$6,'Compliance Database'!$I495))),OR(Query!$B$7="All",'Compliance Database'!$F495=Query!$B$7),OR(Query!$B$8="All",'Compliance Database'!$J495=Query!$B$8),OR(Query!$B$9="",ISNUMBER(SEARCH(Query!$B$9,'Compliance Database'!$D495&amp;" "&amp;'Compliance Database'!$K495&amp;" "&amp;'Compliance Database'!$L495&amp;" "&amp;'Compliance Database'!$M495&amp;" "&amp;'Compliance Database'!$N495&amp;" "&amp;'Compliance Database'!$O495))),OR(Query!$B$10&lt;&gt;"Yes",'Compliance Database'!$F495&lt;&gt;"None")),1,0)</f>
        <v/>
      </c>
      <c r="B495">
        <f>IF($A495=1,SUM($A$2:$A495),"")</f>
        <v/>
      </c>
      <c r="C495">
        <f>IF($A495=1,SUM($A$2:$A495),0)</f>
        <v/>
      </c>
    </row>
    <row r="496">
      <c r="A496">
        <f>IF(AND(OR(Query!$B$4="All",'Compliance Database'!$A496=Query!$B$4),OR(Query!$B$5="All",ISNUMBER(SEARCH(Query!$B$5,'Compliance Database'!$H496))),OR(Query!$B$6="All",ISNUMBER(SEARCH(Query!$B$6,'Compliance Database'!$I496))),OR(Query!$B$7="All",'Compliance Database'!$F496=Query!$B$7),OR(Query!$B$8="All",'Compliance Database'!$J496=Query!$B$8),OR(Query!$B$9="",ISNUMBER(SEARCH(Query!$B$9,'Compliance Database'!$D496&amp;" "&amp;'Compliance Database'!$K496&amp;" "&amp;'Compliance Database'!$L496&amp;" "&amp;'Compliance Database'!$M496&amp;" "&amp;'Compliance Database'!$N496&amp;" "&amp;'Compliance Database'!$O496))),OR(Query!$B$10&lt;&gt;"Yes",'Compliance Database'!$F496&lt;&gt;"None")),1,0)</f>
        <v/>
      </c>
      <c r="B496">
        <f>IF($A496=1,SUM($A$2:$A496),"")</f>
        <v/>
      </c>
      <c r="C496">
        <f>IF($A496=1,SUM($A$2:$A496),0)</f>
        <v/>
      </c>
    </row>
    <row r="497">
      <c r="A497">
        <f>IF(AND(OR(Query!$B$4="All",'Compliance Database'!$A497=Query!$B$4),OR(Query!$B$5="All",ISNUMBER(SEARCH(Query!$B$5,'Compliance Database'!$H497))),OR(Query!$B$6="All",ISNUMBER(SEARCH(Query!$B$6,'Compliance Database'!$I497))),OR(Query!$B$7="All",'Compliance Database'!$F497=Query!$B$7),OR(Query!$B$8="All",'Compliance Database'!$J497=Query!$B$8),OR(Query!$B$9="",ISNUMBER(SEARCH(Query!$B$9,'Compliance Database'!$D497&amp;" "&amp;'Compliance Database'!$K497&amp;" "&amp;'Compliance Database'!$L497&amp;" "&amp;'Compliance Database'!$M497&amp;" "&amp;'Compliance Database'!$N497&amp;" "&amp;'Compliance Database'!$O497))),OR(Query!$B$10&lt;&gt;"Yes",'Compliance Database'!$F497&lt;&gt;"None")),1,0)</f>
        <v/>
      </c>
      <c r="B497">
        <f>IF($A497=1,SUM($A$2:$A497),"")</f>
        <v/>
      </c>
      <c r="C497">
        <f>IF($A497=1,SUM($A$2:$A497),0)</f>
        <v/>
      </c>
    </row>
    <row r="498">
      <c r="A498">
        <f>IF(AND(OR(Query!$B$4="All",'Compliance Database'!$A498=Query!$B$4),OR(Query!$B$5="All",ISNUMBER(SEARCH(Query!$B$5,'Compliance Database'!$H498))),OR(Query!$B$6="All",ISNUMBER(SEARCH(Query!$B$6,'Compliance Database'!$I498))),OR(Query!$B$7="All",'Compliance Database'!$F498=Query!$B$7),OR(Query!$B$8="All",'Compliance Database'!$J498=Query!$B$8),OR(Query!$B$9="",ISNUMBER(SEARCH(Query!$B$9,'Compliance Database'!$D498&amp;" "&amp;'Compliance Database'!$K498&amp;" "&amp;'Compliance Database'!$L498&amp;" "&amp;'Compliance Database'!$M498&amp;" "&amp;'Compliance Database'!$N498&amp;" "&amp;'Compliance Database'!$O498))),OR(Query!$B$10&lt;&gt;"Yes",'Compliance Database'!$F498&lt;&gt;"None")),1,0)</f>
        <v/>
      </c>
      <c r="B498">
        <f>IF($A498=1,SUM($A$2:$A498),"")</f>
        <v/>
      </c>
      <c r="C498">
        <f>IF($A498=1,SUM($A$2:$A498),0)</f>
        <v/>
      </c>
    </row>
    <row r="499">
      <c r="A499">
        <f>IF(AND(OR(Query!$B$4="All",'Compliance Database'!$A499=Query!$B$4),OR(Query!$B$5="All",ISNUMBER(SEARCH(Query!$B$5,'Compliance Database'!$H499))),OR(Query!$B$6="All",ISNUMBER(SEARCH(Query!$B$6,'Compliance Database'!$I499))),OR(Query!$B$7="All",'Compliance Database'!$F499=Query!$B$7),OR(Query!$B$8="All",'Compliance Database'!$J499=Query!$B$8),OR(Query!$B$9="",ISNUMBER(SEARCH(Query!$B$9,'Compliance Database'!$D499&amp;" "&amp;'Compliance Database'!$K499&amp;" "&amp;'Compliance Database'!$L499&amp;" "&amp;'Compliance Database'!$M499&amp;" "&amp;'Compliance Database'!$N499&amp;" "&amp;'Compliance Database'!$O499))),OR(Query!$B$10&lt;&gt;"Yes",'Compliance Database'!$F499&lt;&gt;"None")),1,0)</f>
        <v/>
      </c>
      <c r="B499">
        <f>IF($A499=1,SUM($A$2:$A499),"")</f>
        <v/>
      </c>
      <c r="C499">
        <f>IF($A499=1,SUM($A$2:$A499),0)</f>
        <v/>
      </c>
    </row>
    <row r="500">
      <c r="A500">
        <f>IF(AND(OR(Query!$B$4="All",'Compliance Database'!$A500=Query!$B$4),OR(Query!$B$5="All",ISNUMBER(SEARCH(Query!$B$5,'Compliance Database'!$H500))),OR(Query!$B$6="All",ISNUMBER(SEARCH(Query!$B$6,'Compliance Database'!$I500))),OR(Query!$B$7="All",'Compliance Database'!$F500=Query!$B$7),OR(Query!$B$8="All",'Compliance Database'!$J500=Query!$B$8),OR(Query!$B$9="",ISNUMBER(SEARCH(Query!$B$9,'Compliance Database'!$D500&amp;" "&amp;'Compliance Database'!$K500&amp;" "&amp;'Compliance Database'!$L500&amp;" "&amp;'Compliance Database'!$M500&amp;" "&amp;'Compliance Database'!$N500&amp;" "&amp;'Compliance Database'!$O500))),OR(Query!$B$10&lt;&gt;"Yes",'Compliance Database'!$F500&lt;&gt;"None")),1,0)</f>
        <v/>
      </c>
      <c r="B500">
        <f>IF($A500=1,SUM($A$2:$A500),"")</f>
        <v/>
      </c>
      <c r="C500">
        <f>IF($A500=1,SUM($A$2:$A500),0)</f>
        <v/>
      </c>
    </row>
    <row r="501">
      <c r="A501">
        <f>IF(AND(OR(Query!$B$4="All",'Compliance Database'!$A501=Query!$B$4),OR(Query!$B$5="All",ISNUMBER(SEARCH(Query!$B$5,'Compliance Database'!$H501))),OR(Query!$B$6="All",ISNUMBER(SEARCH(Query!$B$6,'Compliance Database'!$I501))),OR(Query!$B$7="All",'Compliance Database'!$F501=Query!$B$7),OR(Query!$B$8="All",'Compliance Database'!$J501=Query!$B$8),OR(Query!$B$9="",ISNUMBER(SEARCH(Query!$B$9,'Compliance Database'!$D501&amp;" "&amp;'Compliance Database'!$K501&amp;" "&amp;'Compliance Database'!$L501&amp;" "&amp;'Compliance Database'!$M501&amp;" "&amp;'Compliance Database'!$N501&amp;" "&amp;'Compliance Database'!$O501))),OR(Query!$B$10&lt;&gt;"Yes",'Compliance Database'!$F501&lt;&gt;"None")),1,0)</f>
        <v/>
      </c>
      <c r="B501">
        <f>IF($A501=1,SUM($A$2:$A501),"")</f>
        <v/>
      </c>
      <c r="C501">
        <f>IF($A501=1,SUM($A$2:$A501),0)</f>
        <v/>
      </c>
    </row>
    <row r="502">
      <c r="A502">
        <f>IF(AND(OR(Query!$B$4="All",'Compliance Database'!$A502=Query!$B$4),OR(Query!$B$5="All",ISNUMBER(SEARCH(Query!$B$5,'Compliance Database'!$H502))),OR(Query!$B$6="All",ISNUMBER(SEARCH(Query!$B$6,'Compliance Database'!$I502))),OR(Query!$B$7="All",'Compliance Database'!$F502=Query!$B$7),OR(Query!$B$8="All",'Compliance Database'!$J502=Query!$B$8),OR(Query!$B$9="",ISNUMBER(SEARCH(Query!$B$9,'Compliance Database'!$D502&amp;" "&amp;'Compliance Database'!$K502&amp;" "&amp;'Compliance Database'!$L502&amp;" "&amp;'Compliance Database'!$M502&amp;" "&amp;'Compliance Database'!$N502&amp;" "&amp;'Compliance Database'!$O502))),OR(Query!$B$10&lt;&gt;"Yes",'Compliance Database'!$F502&lt;&gt;"None")),1,0)</f>
        <v/>
      </c>
      <c r="B502">
        <f>IF($A502=1,SUM($A$2:$A502),"")</f>
        <v/>
      </c>
      <c r="C502">
        <f>IF($A502=1,SUM($A$2:$A502),0)</f>
        <v/>
      </c>
    </row>
    <row r="503">
      <c r="A503">
        <f>IF(AND(OR(Query!$B$4="All",'Compliance Database'!$A503=Query!$B$4),OR(Query!$B$5="All",ISNUMBER(SEARCH(Query!$B$5,'Compliance Database'!$H503))),OR(Query!$B$6="All",ISNUMBER(SEARCH(Query!$B$6,'Compliance Database'!$I503))),OR(Query!$B$7="All",'Compliance Database'!$F503=Query!$B$7),OR(Query!$B$8="All",'Compliance Database'!$J503=Query!$B$8),OR(Query!$B$9="",ISNUMBER(SEARCH(Query!$B$9,'Compliance Database'!$D503&amp;" "&amp;'Compliance Database'!$K503&amp;" "&amp;'Compliance Database'!$L503&amp;" "&amp;'Compliance Database'!$M503&amp;" "&amp;'Compliance Database'!$N503&amp;" "&amp;'Compliance Database'!$O503))),OR(Query!$B$10&lt;&gt;"Yes",'Compliance Database'!$F503&lt;&gt;"None")),1,0)</f>
        <v/>
      </c>
      <c r="B503">
        <f>IF($A503=1,SUM($A$2:$A503),"")</f>
        <v/>
      </c>
      <c r="C503">
        <f>IF($A503=1,SUM($A$2:$A503),0)</f>
        <v/>
      </c>
    </row>
    <row r="504">
      <c r="A504">
        <f>IF(AND(OR(Query!$B$4="All",'Compliance Database'!$A504=Query!$B$4),OR(Query!$B$5="All",ISNUMBER(SEARCH(Query!$B$5,'Compliance Database'!$H504))),OR(Query!$B$6="All",ISNUMBER(SEARCH(Query!$B$6,'Compliance Database'!$I504))),OR(Query!$B$7="All",'Compliance Database'!$F504=Query!$B$7),OR(Query!$B$8="All",'Compliance Database'!$J504=Query!$B$8),OR(Query!$B$9="",ISNUMBER(SEARCH(Query!$B$9,'Compliance Database'!$D504&amp;" "&amp;'Compliance Database'!$K504&amp;" "&amp;'Compliance Database'!$L504&amp;" "&amp;'Compliance Database'!$M504&amp;" "&amp;'Compliance Database'!$N504&amp;" "&amp;'Compliance Database'!$O504))),OR(Query!$B$10&lt;&gt;"Yes",'Compliance Database'!$F504&lt;&gt;"None")),1,0)</f>
        <v/>
      </c>
      <c r="B504">
        <f>IF($A504=1,SUM($A$2:$A504),"")</f>
        <v/>
      </c>
      <c r="C504">
        <f>IF($A504=1,SUM($A$2:$A504),0)</f>
        <v/>
      </c>
    </row>
    <row r="505">
      <c r="A505">
        <f>IF(AND(OR(Query!$B$4="All",'Compliance Database'!$A505=Query!$B$4),OR(Query!$B$5="All",ISNUMBER(SEARCH(Query!$B$5,'Compliance Database'!$H505))),OR(Query!$B$6="All",ISNUMBER(SEARCH(Query!$B$6,'Compliance Database'!$I505))),OR(Query!$B$7="All",'Compliance Database'!$F505=Query!$B$7),OR(Query!$B$8="All",'Compliance Database'!$J505=Query!$B$8),OR(Query!$B$9="",ISNUMBER(SEARCH(Query!$B$9,'Compliance Database'!$D505&amp;" "&amp;'Compliance Database'!$K505&amp;" "&amp;'Compliance Database'!$L505&amp;" "&amp;'Compliance Database'!$M505&amp;" "&amp;'Compliance Database'!$N505&amp;" "&amp;'Compliance Database'!$O505))),OR(Query!$B$10&lt;&gt;"Yes",'Compliance Database'!$F505&lt;&gt;"None")),1,0)</f>
        <v/>
      </c>
      <c r="B505">
        <f>IF($A505=1,SUM($A$2:$A505),"")</f>
        <v/>
      </c>
      <c r="C505">
        <f>IF($A505=1,SUM($A$2:$A505),0)</f>
        <v/>
      </c>
    </row>
    <row r="506">
      <c r="A506">
        <f>IF(AND(OR(Query!$B$4="All",'Compliance Database'!$A506=Query!$B$4),OR(Query!$B$5="All",ISNUMBER(SEARCH(Query!$B$5,'Compliance Database'!$H506))),OR(Query!$B$6="All",ISNUMBER(SEARCH(Query!$B$6,'Compliance Database'!$I506))),OR(Query!$B$7="All",'Compliance Database'!$F506=Query!$B$7),OR(Query!$B$8="All",'Compliance Database'!$J506=Query!$B$8),OR(Query!$B$9="",ISNUMBER(SEARCH(Query!$B$9,'Compliance Database'!$D506&amp;" "&amp;'Compliance Database'!$K506&amp;" "&amp;'Compliance Database'!$L506&amp;" "&amp;'Compliance Database'!$M506&amp;" "&amp;'Compliance Database'!$N506&amp;" "&amp;'Compliance Database'!$O506))),OR(Query!$B$10&lt;&gt;"Yes",'Compliance Database'!$F506&lt;&gt;"None")),1,0)</f>
        <v/>
      </c>
      <c r="B506">
        <f>IF($A506=1,SUM($A$2:$A506),"")</f>
        <v/>
      </c>
      <c r="C506">
        <f>IF($A506=1,SUM($A$2:$A506),0)</f>
        <v/>
      </c>
    </row>
    <row r="507">
      <c r="A507">
        <f>IF(AND(OR(Query!$B$4="All",'Compliance Database'!$A507=Query!$B$4),OR(Query!$B$5="All",ISNUMBER(SEARCH(Query!$B$5,'Compliance Database'!$H507))),OR(Query!$B$6="All",ISNUMBER(SEARCH(Query!$B$6,'Compliance Database'!$I507))),OR(Query!$B$7="All",'Compliance Database'!$F507=Query!$B$7),OR(Query!$B$8="All",'Compliance Database'!$J507=Query!$B$8),OR(Query!$B$9="",ISNUMBER(SEARCH(Query!$B$9,'Compliance Database'!$D507&amp;" "&amp;'Compliance Database'!$K507&amp;" "&amp;'Compliance Database'!$L507&amp;" "&amp;'Compliance Database'!$M507&amp;" "&amp;'Compliance Database'!$N507&amp;" "&amp;'Compliance Database'!$O507))),OR(Query!$B$10&lt;&gt;"Yes",'Compliance Database'!$F507&lt;&gt;"None")),1,0)</f>
        <v/>
      </c>
      <c r="B507">
        <f>IF($A507=1,SUM($A$2:$A507),"")</f>
        <v/>
      </c>
      <c r="C507">
        <f>IF($A507=1,SUM($A$2:$A507),0)</f>
        <v/>
      </c>
    </row>
    <row r="508">
      <c r="A508">
        <f>IF(AND(OR(Query!$B$4="All",'Compliance Database'!$A508=Query!$B$4),OR(Query!$B$5="All",ISNUMBER(SEARCH(Query!$B$5,'Compliance Database'!$H508))),OR(Query!$B$6="All",ISNUMBER(SEARCH(Query!$B$6,'Compliance Database'!$I508))),OR(Query!$B$7="All",'Compliance Database'!$F508=Query!$B$7),OR(Query!$B$8="All",'Compliance Database'!$J508=Query!$B$8),OR(Query!$B$9="",ISNUMBER(SEARCH(Query!$B$9,'Compliance Database'!$D508&amp;" "&amp;'Compliance Database'!$K508&amp;" "&amp;'Compliance Database'!$L508&amp;" "&amp;'Compliance Database'!$M508&amp;" "&amp;'Compliance Database'!$N508&amp;" "&amp;'Compliance Database'!$O508))),OR(Query!$B$10&lt;&gt;"Yes",'Compliance Database'!$F508&lt;&gt;"None")),1,0)</f>
        <v/>
      </c>
      <c r="B508">
        <f>IF($A508=1,SUM($A$2:$A508),"")</f>
        <v/>
      </c>
      <c r="C508">
        <f>IF($A508=1,SUM($A$2:$A508),0)</f>
        <v/>
      </c>
    </row>
    <row r="509">
      <c r="A509">
        <f>IF(AND(OR(Query!$B$4="All",'Compliance Database'!$A509=Query!$B$4),OR(Query!$B$5="All",ISNUMBER(SEARCH(Query!$B$5,'Compliance Database'!$H509))),OR(Query!$B$6="All",ISNUMBER(SEARCH(Query!$B$6,'Compliance Database'!$I509))),OR(Query!$B$7="All",'Compliance Database'!$F509=Query!$B$7),OR(Query!$B$8="All",'Compliance Database'!$J509=Query!$B$8),OR(Query!$B$9="",ISNUMBER(SEARCH(Query!$B$9,'Compliance Database'!$D509&amp;" "&amp;'Compliance Database'!$K509&amp;" "&amp;'Compliance Database'!$L509&amp;" "&amp;'Compliance Database'!$M509&amp;" "&amp;'Compliance Database'!$N509&amp;" "&amp;'Compliance Database'!$O509))),OR(Query!$B$10&lt;&gt;"Yes",'Compliance Database'!$F509&lt;&gt;"None")),1,0)</f>
        <v/>
      </c>
      <c r="B509">
        <f>IF($A509=1,SUM($A$2:$A509),"")</f>
        <v/>
      </c>
      <c r="C509">
        <f>IF($A509=1,SUM($A$2:$A509),0)</f>
        <v/>
      </c>
    </row>
    <row r="510">
      <c r="A510">
        <f>IF(AND(OR(Query!$B$4="All",'Compliance Database'!$A510=Query!$B$4),OR(Query!$B$5="All",ISNUMBER(SEARCH(Query!$B$5,'Compliance Database'!$H510))),OR(Query!$B$6="All",ISNUMBER(SEARCH(Query!$B$6,'Compliance Database'!$I510))),OR(Query!$B$7="All",'Compliance Database'!$F510=Query!$B$7),OR(Query!$B$8="All",'Compliance Database'!$J510=Query!$B$8),OR(Query!$B$9="",ISNUMBER(SEARCH(Query!$B$9,'Compliance Database'!$D510&amp;" "&amp;'Compliance Database'!$K510&amp;" "&amp;'Compliance Database'!$L510&amp;" "&amp;'Compliance Database'!$M510&amp;" "&amp;'Compliance Database'!$N510&amp;" "&amp;'Compliance Database'!$O510))),OR(Query!$B$10&lt;&gt;"Yes",'Compliance Database'!$F510&lt;&gt;"None")),1,0)</f>
        <v/>
      </c>
      <c r="B510">
        <f>IF($A510=1,SUM($A$2:$A510),"")</f>
        <v/>
      </c>
      <c r="C510">
        <f>IF($A510=1,SUM($A$2:$A510),0)</f>
        <v/>
      </c>
    </row>
    <row r="511">
      <c r="A511">
        <f>IF(AND(OR(Query!$B$4="All",'Compliance Database'!$A511=Query!$B$4),OR(Query!$B$5="All",ISNUMBER(SEARCH(Query!$B$5,'Compliance Database'!$H511))),OR(Query!$B$6="All",ISNUMBER(SEARCH(Query!$B$6,'Compliance Database'!$I511))),OR(Query!$B$7="All",'Compliance Database'!$F511=Query!$B$7),OR(Query!$B$8="All",'Compliance Database'!$J511=Query!$B$8),OR(Query!$B$9="",ISNUMBER(SEARCH(Query!$B$9,'Compliance Database'!$D511&amp;" "&amp;'Compliance Database'!$K511&amp;" "&amp;'Compliance Database'!$L511&amp;" "&amp;'Compliance Database'!$M511&amp;" "&amp;'Compliance Database'!$N511&amp;" "&amp;'Compliance Database'!$O511))),OR(Query!$B$10&lt;&gt;"Yes",'Compliance Database'!$F511&lt;&gt;"None")),1,0)</f>
        <v/>
      </c>
      <c r="B511">
        <f>IF($A511=1,SUM($A$2:$A511),"")</f>
        <v/>
      </c>
      <c r="C511">
        <f>IF($A511=1,SUM($A$2:$A511),0)</f>
        <v/>
      </c>
    </row>
    <row r="512">
      <c r="A512">
        <f>IF(AND(OR(Query!$B$4="All",'Compliance Database'!$A512=Query!$B$4),OR(Query!$B$5="All",ISNUMBER(SEARCH(Query!$B$5,'Compliance Database'!$H512))),OR(Query!$B$6="All",ISNUMBER(SEARCH(Query!$B$6,'Compliance Database'!$I512))),OR(Query!$B$7="All",'Compliance Database'!$F512=Query!$B$7),OR(Query!$B$8="All",'Compliance Database'!$J512=Query!$B$8),OR(Query!$B$9="",ISNUMBER(SEARCH(Query!$B$9,'Compliance Database'!$D512&amp;" "&amp;'Compliance Database'!$K512&amp;" "&amp;'Compliance Database'!$L512&amp;" "&amp;'Compliance Database'!$M512&amp;" "&amp;'Compliance Database'!$N512&amp;" "&amp;'Compliance Database'!$O512))),OR(Query!$B$10&lt;&gt;"Yes",'Compliance Database'!$F512&lt;&gt;"None")),1,0)</f>
        <v/>
      </c>
      <c r="B512">
        <f>IF($A512=1,SUM($A$2:$A512),"")</f>
        <v/>
      </c>
      <c r="C512">
        <f>IF($A512=1,SUM($A$2:$A512),0)</f>
        <v/>
      </c>
    </row>
    <row r="513">
      <c r="A513">
        <f>IF(AND(OR(Query!$B$4="All",'Compliance Database'!$A513=Query!$B$4),OR(Query!$B$5="All",ISNUMBER(SEARCH(Query!$B$5,'Compliance Database'!$H513))),OR(Query!$B$6="All",ISNUMBER(SEARCH(Query!$B$6,'Compliance Database'!$I513))),OR(Query!$B$7="All",'Compliance Database'!$F513=Query!$B$7),OR(Query!$B$8="All",'Compliance Database'!$J513=Query!$B$8),OR(Query!$B$9="",ISNUMBER(SEARCH(Query!$B$9,'Compliance Database'!$D513&amp;" "&amp;'Compliance Database'!$K513&amp;" "&amp;'Compliance Database'!$L513&amp;" "&amp;'Compliance Database'!$M513&amp;" "&amp;'Compliance Database'!$N513&amp;" "&amp;'Compliance Database'!$O513))),OR(Query!$B$10&lt;&gt;"Yes",'Compliance Database'!$F513&lt;&gt;"None")),1,0)</f>
        <v/>
      </c>
      <c r="B513">
        <f>IF($A513=1,SUM($A$2:$A513),"")</f>
        <v/>
      </c>
      <c r="C513">
        <f>IF($A513=1,SUM($A$2:$A513),0)</f>
        <v/>
      </c>
    </row>
    <row r="514">
      <c r="A514">
        <f>IF(AND(OR(Query!$B$4="All",'Compliance Database'!$A514=Query!$B$4),OR(Query!$B$5="All",ISNUMBER(SEARCH(Query!$B$5,'Compliance Database'!$H514))),OR(Query!$B$6="All",ISNUMBER(SEARCH(Query!$B$6,'Compliance Database'!$I514))),OR(Query!$B$7="All",'Compliance Database'!$F514=Query!$B$7),OR(Query!$B$8="All",'Compliance Database'!$J514=Query!$B$8),OR(Query!$B$9="",ISNUMBER(SEARCH(Query!$B$9,'Compliance Database'!$D514&amp;" "&amp;'Compliance Database'!$K514&amp;" "&amp;'Compliance Database'!$L514&amp;" "&amp;'Compliance Database'!$M514&amp;" "&amp;'Compliance Database'!$N514&amp;" "&amp;'Compliance Database'!$O514))),OR(Query!$B$10&lt;&gt;"Yes",'Compliance Database'!$F514&lt;&gt;"None")),1,0)</f>
        <v/>
      </c>
      <c r="B514">
        <f>IF($A514=1,SUM($A$2:$A514),"")</f>
        <v/>
      </c>
      <c r="C514">
        <f>IF($A514=1,SUM($A$2:$A514),0)</f>
        <v/>
      </c>
    </row>
    <row r="515">
      <c r="A515">
        <f>IF(AND(OR(Query!$B$4="All",'Compliance Database'!$A515=Query!$B$4),OR(Query!$B$5="All",ISNUMBER(SEARCH(Query!$B$5,'Compliance Database'!$H515))),OR(Query!$B$6="All",ISNUMBER(SEARCH(Query!$B$6,'Compliance Database'!$I515))),OR(Query!$B$7="All",'Compliance Database'!$F515=Query!$B$7),OR(Query!$B$8="All",'Compliance Database'!$J515=Query!$B$8),OR(Query!$B$9="",ISNUMBER(SEARCH(Query!$B$9,'Compliance Database'!$D515&amp;" "&amp;'Compliance Database'!$K515&amp;" "&amp;'Compliance Database'!$L515&amp;" "&amp;'Compliance Database'!$M515&amp;" "&amp;'Compliance Database'!$N515&amp;" "&amp;'Compliance Database'!$O515))),OR(Query!$B$10&lt;&gt;"Yes",'Compliance Database'!$F515&lt;&gt;"None")),1,0)</f>
        <v/>
      </c>
      <c r="B515">
        <f>IF($A515=1,SUM($A$2:$A515),"")</f>
        <v/>
      </c>
      <c r="C515">
        <f>IF($A515=1,SUM($A$2:$A515),0)</f>
        <v/>
      </c>
    </row>
    <row r="516">
      <c r="A516">
        <f>IF(AND(OR(Query!$B$4="All",'Compliance Database'!$A516=Query!$B$4),OR(Query!$B$5="All",ISNUMBER(SEARCH(Query!$B$5,'Compliance Database'!$H516))),OR(Query!$B$6="All",ISNUMBER(SEARCH(Query!$B$6,'Compliance Database'!$I516))),OR(Query!$B$7="All",'Compliance Database'!$F516=Query!$B$7),OR(Query!$B$8="All",'Compliance Database'!$J516=Query!$B$8),OR(Query!$B$9="",ISNUMBER(SEARCH(Query!$B$9,'Compliance Database'!$D516&amp;" "&amp;'Compliance Database'!$K516&amp;" "&amp;'Compliance Database'!$L516&amp;" "&amp;'Compliance Database'!$M516&amp;" "&amp;'Compliance Database'!$N516&amp;" "&amp;'Compliance Database'!$O516))),OR(Query!$B$10&lt;&gt;"Yes",'Compliance Database'!$F516&lt;&gt;"None")),1,0)</f>
        <v/>
      </c>
      <c r="B516">
        <f>IF($A516=1,SUM($A$2:$A516),"")</f>
        <v/>
      </c>
      <c r="C516">
        <f>IF($A516=1,SUM($A$2:$A516),0)</f>
        <v/>
      </c>
    </row>
    <row r="517">
      <c r="A517">
        <f>IF(AND(OR(Query!$B$4="All",'Compliance Database'!$A517=Query!$B$4),OR(Query!$B$5="All",ISNUMBER(SEARCH(Query!$B$5,'Compliance Database'!$H517))),OR(Query!$B$6="All",ISNUMBER(SEARCH(Query!$B$6,'Compliance Database'!$I517))),OR(Query!$B$7="All",'Compliance Database'!$F517=Query!$B$7),OR(Query!$B$8="All",'Compliance Database'!$J517=Query!$B$8),OR(Query!$B$9="",ISNUMBER(SEARCH(Query!$B$9,'Compliance Database'!$D517&amp;" "&amp;'Compliance Database'!$K517&amp;" "&amp;'Compliance Database'!$L517&amp;" "&amp;'Compliance Database'!$M517&amp;" "&amp;'Compliance Database'!$N517&amp;" "&amp;'Compliance Database'!$O517))),OR(Query!$B$10&lt;&gt;"Yes",'Compliance Database'!$F517&lt;&gt;"None")),1,0)</f>
        <v/>
      </c>
      <c r="B517">
        <f>IF($A517=1,SUM($A$2:$A517),"")</f>
        <v/>
      </c>
      <c r="C517">
        <f>IF($A517=1,SUM($A$2:$A517),0)</f>
        <v/>
      </c>
    </row>
    <row r="518">
      <c r="A518">
        <f>IF(AND(OR(Query!$B$4="All",'Compliance Database'!$A518=Query!$B$4),OR(Query!$B$5="All",ISNUMBER(SEARCH(Query!$B$5,'Compliance Database'!$H518))),OR(Query!$B$6="All",ISNUMBER(SEARCH(Query!$B$6,'Compliance Database'!$I518))),OR(Query!$B$7="All",'Compliance Database'!$F518=Query!$B$7),OR(Query!$B$8="All",'Compliance Database'!$J518=Query!$B$8),OR(Query!$B$9="",ISNUMBER(SEARCH(Query!$B$9,'Compliance Database'!$D518&amp;" "&amp;'Compliance Database'!$K518&amp;" "&amp;'Compliance Database'!$L518&amp;" "&amp;'Compliance Database'!$M518&amp;" "&amp;'Compliance Database'!$N518&amp;" "&amp;'Compliance Database'!$O518))),OR(Query!$B$10&lt;&gt;"Yes",'Compliance Database'!$F518&lt;&gt;"None")),1,0)</f>
        <v/>
      </c>
      <c r="B518">
        <f>IF($A518=1,SUM($A$2:$A518),"")</f>
        <v/>
      </c>
      <c r="C518">
        <f>IF($A518=1,SUM($A$2:$A518),0)</f>
        <v/>
      </c>
    </row>
    <row r="519">
      <c r="A519">
        <f>IF(AND(OR(Query!$B$4="All",'Compliance Database'!$A519=Query!$B$4),OR(Query!$B$5="All",ISNUMBER(SEARCH(Query!$B$5,'Compliance Database'!$H519))),OR(Query!$B$6="All",ISNUMBER(SEARCH(Query!$B$6,'Compliance Database'!$I519))),OR(Query!$B$7="All",'Compliance Database'!$F519=Query!$B$7),OR(Query!$B$8="All",'Compliance Database'!$J519=Query!$B$8),OR(Query!$B$9="",ISNUMBER(SEARCH(Query!$B$9,'Compliance Database'!$D519&amp;" "&amp;'Compliance Database'!$K519&amp;" "&amp;'Compliance Database'!$L519&amp;" "&amp;'Compliance Database'!$M519&amp;" "&amp;'Compliance Database'!$N519&amp;" "&amp;'Compliance Database'!$O519))),OR(Query!$B$10&lt;&gt;"Yes",'Compliance Database'!$F519&lt;&gt;"None")),1,0)</f>
        <v/>
      </c>
      <c r="B519">
        <f>IF($A519=1,SUM($A$2:$A519),"")</f>
        <v/>
      </c>
      <c r="C519">
        <f>IF($A519=1,SUM($A$2:$A519),0)</f>
        <v/>
      </c>
    </row>
    <row r="520">
      <c r="A520">
        <f>IF(AND(OR(Query!$B$4="All",'Compliance Database'!$A520=Query!$B$4),OR(Query!$B$5="All",ISNUMBER(SEARCH(Query!$B$5,'Compliance Database'!$H520))),OR(Query!$B$6="All",ISNUMBER(SEARCH(Query!$B$6,'Compliance Database'!$I520))),OR(Query!$B$7="All",'Compliance Database'!$F520=Query!$B$7),OR(Query!$B$8="All",'Compliance Database'!$J520=Query!$B$8),OR(Query!$B$9="",ISNUMBER(SEARCH(Query!$B$9,'Compliance Database'!$D520&amp;" "&amp;'Compliance Database'!$K520&amp;" "&amp;'Compliance Database'!$L520&amp;" "&amp;'Compliance Database'!$M520&amp;" "&amp;'Compliance Database'!$N520&amp;" "&amp;'Compliance Database'!$O520))),OR(Query!$B$10&lt;&gt;"Yes",'Compliance Database'!$F520&lt;&gt;"None")),1,0)</f>
        <v/>
      </c>
      <c r="B520">
        <f>IF($A520=1,SUM($A$2:$A520),"")</f>
        <v/>
      </c>
      <c r="C520">
        <f>IF($A520=1,SUM($A$2:$A520),0)</f>
        <v/>
      </c>
    </row>
    <row r="521">
      <c r="A521">
        <f>IF(AND(OR(Query!$B$4="All",'Compliance Database'!$A521=Query!$B$4),OR(Query!$B$5="All",ISNUMBER(SEARCH(Query!$B$5,'Compliance Database'!$H521))),OR(Query!$B$6="All",ISNUMBER(SEARCH(Query!$B$6,'Compliance Database'!$I521))),OR(Query!$B$7="All",'Compliance Database'!$F521=Query!$B$7),OR(Query!$B$8="All",'Compliance Database'!$J521=Query!$B$8),OR(Query!$B$9="",ISNUMBER(SEARCH(Query!$B$9,'Compliance Database'!$D521&amp;" "&amp;'Compliance Database'!$K521&amp;" "&amp;'Compliance Database'!$L521&amp;" "&amp;'Compliance Database'!$M521&amp;" "&amp;'Compliance Database'!$N521&amp;" "&amp;'Compliance Database'!$O521))),OR(Query!$B$10&lt;&gt;"Yes",'Compliance Database'!$F521&lt;&gt;"None")),1,0)</f>
        <v/>
      </c>
      <c r="B521">
        <f>IF($A521=1,SUM($A$2:$A521),"")</f>
        <v/>
      </c>
      <c r="C521">
        <f>IF($A521=1,SUM($A$2:$A521),0)</f>
        <v/>
      </c>
    </row>
    <row r="522">
      <c r="A522">
        <f>IF(AND(OR(Query!$B$4="All",'Compliance Database'!$A522=Query!$B$4),OR(Query!$B$5="All",ISNUMBER(SEARCH(Query!$B$5,'Compliance Database'!$H522))),OR(Query!$B$6="All",ISNUMBER(SEARCH(Query!$B$6,'Compliance Database'!$I522))),OR(Query!$B$7="All",'Compliance Database'!$F522=Query!$B$7),OR(Query!$B$8="All",'Compliance Database'!$J522=Query!$B$8),OR(Query!$B$9="",ISNUMBER(SEARCH(Query!$B$9,'Compliance Database'!$D522&amp;" "&amp;'Compliance Database'!$K522&amp;" "&amp;'Compliance Database'!$L522&amp;" "&amp;'Compliance Database'!$M522&amp;" "&amp;'Compliance Database'!$N522&amp;" "&amp;'Compliance Database'!$O522))),OR(Query!$B$10&lt;&gt;"Yes",'Compliance Database'!$F522&lt;&gt;"None")),1,0)</f>
        <v/>
      </c>
      <c r="B522">
        <f>IF($A522=1,SUM($A$2:$A522),"")</f>
        <v/>
      </c>
      <c r="C522">
        <f>IF($A522=1,SUM($A$2:$A522),0)</f>
        <v/>
      </c>
    </row>
    <row r="523">
      <c r="A523">
        <f>IF(AND(OR(Query!$B$4="All",'Compliance Database'!$A523=Query!$B$4),OR(Query!$B$5="All",ISNUMBER(SEARCH(Query!$B$5,'Compliance Database'!$H523))),OR(Query!$B$6="All",ISNUMBER(SEARCH(Query!$B$6,'Compliance Database'!$I523))),OR(Query!$B$7="All",'Compliance Database'!$F523=Query!$B$7),OR(Query!$B$8="All",'Compliance Database'!$J523=Query!$B$8),OR(Query!$B$9="",ISNUMBER(SEARCH(Query!$B$9,'Compliance Database'!$D523&amp;" "&amp;'Compliance Database'!$K523&amp;" "&amp;'Compliance Database'!$L523&amp;" "&amp;'Compliance Database'!$M523&amp;" "&amp;'Compliance Database'!$N523&amp;" "&amp;'Compliance Database'!$O523))),OR(Query!$B$10&lt;&gt;"Yes",'Compliance Database'!$F523&lt;&gt;"None")),1,0)</f>
        <v/>
      </c>
      <c r="B523">
        <f>IF($A523=1,SUM($A$2:$A523),"")</f>
        <v/>
      </c>
      <c r="C523">
        <f>IF($A523=1,SUM($A$2:$A523),0)</f>
        <v/>
      </c>
    </row>
    <row r="524">
      <c r="A524">
        <f>IF(AND(OR(Query!$B$4="All",'Compliance Database'!$A524=Query!$B$4),OR(Query!$B$5="All",ISNUMBER(SEARCH(Query!$B$5,'Compliance Database'!$H524))),OR(Query!$B$6="All",ISNUMBER(SEARCH(Query!$B$6,'Compliance Database'!$I524))),OR(Query!$B$7="All",'Compliance Database'!$F524=Query!$B$7),OR(Query!$B$8="All",'Compliance Database'!$J524=Query!$B$8),OR(Query!$B$9="",ISNUMBER(SEARCH(Query!$B$9,'Compliance Database'!$D524&amp;" "&amp;'Compliance Database'!$K524&amp;" "&amp;'Compliance Database'!$L524&amp;" "&amp;'Compliance Database'!$M524&amp;" "&amp;'Compliance Database'!$N524&amp;" "&amp;'Compliance Database'!$O524))),OR(Query!$B$10&lt;&gt;"Yes",'Compliance Database'!$F524&lt;&gt;"None")),1,0)</f>
        <v/>
      </c>
      <c r="B524">
        <f>IF($A524=1,SUM($A$2:$A524),"")</f>
        <v/>
      </c>
      <c r="C524">
        <f>IF($A524=1,SUM($A$2:$A524),0)</f>
        <v/>
      </c>
    </row>
    <row r="525">
      <c r="A525">
        <f>IF(AND(OR(Query!$B$4="All",'Compliance Database'!$A525=Query!$B$4),OR(Query!$B$5="All",ISNUMBER(SEARCH(Query!$B$5,'Compliance Database'!$H525))),OR(Query!$B$6="All",ISNUMBER(SEARCH(Query!$B$6,'Compliance Database'!$I525))),OR(Query!$B$7="All",'Compliance Database'!$F525=Query!$B$7),OR(Query!$B$8="All",'Compliance Database'!$J525=Query!$B$8),OR(Query!$B$9="",ISNUMBER(SEARCH(Query!$B$9,'Compliance Database'!$D525&amp;" "&amp;'Compliance Database'!$K525&amp;" "&amp;'Compliance Database'!$L525&amp;" "&amp;'Compliance Database'!$M525&amp;" "&amp;'Compliance Database'!$N525&amp;" "&amp;'Compliance Database'!$O525))),OR(Query!$B$10&lt;&gt;"Yes",'Compliance Database'!$F525&lt;&gt;"None")),1,0)</f>
        <v/>
      </c>
      <c r="B525">
        <f>IF($A525=1,SUM($A$2:$A525),"")</f>
        <v/>
      </c>
      <c r="C525">
        <f>IF($A525=1,SUM($A$2:$A525),0)</f>
        <v/>
      </c>
    </row>
    <row r="526">
      <c r="A526">
        <f>IF(AND(OR(Query!$B$4="All",'Compliance Database'!$A526=Query!$B$4),OR(Query!$B$5="All",ISNUMBER(SEARCH(Query!$B$5,'Compliance Database'!$H526))),OR(Query!$B$6="All",ISNUMBER(SEARCH(Query!$B$6,'Compliance Database'!$I526))),OR(Query!$B$7="All",'Compliance Database'!$F526=Query!$B$7),OR(Query!$B$8="All",'Compliance Database'!$J526=Query!$B$8),OR(Query!$B$9="",ISNUMBER(SEARCH(Query!$B$9,'Compliance Database'!$D526&amp;" "&amp;'Compliance Database'!$K526&amp;" "&amp;'Compliance Database'!$L526&amp;" "&amp;'Compliance Database'!$M526&amp;" "&amp;'Compliance Database'!$N526&amp;" "&amp;'Compliance Database'!$O526))),OR(Query!$B$10&lt;&gt;"Yes",'Compliance Database'!$F526&lt;&gt;"None")),1,0)</f>
        <v/>
      </c>
      <c r="B526">
        <f>IF($A526=1,SUM($A$2:$A526),"")</f>
        <v/>
      </c>
      <c r="C526">
        <f>IF($A526=1,SUM($A$2:$A526),0)</f>
        <v/>
      </c>
    </row>
    <row r="527">
      <c r="A527">
        <f>IF(AND(OR(Query!$B$4="All",'Compliance Database'!$A527=Query!$B$4),OR(Query!$B$5="All",ISNUMBER(SEARCH(Query!$B$5,'Compliance Database'!$H527))),OR(Query!$B$6="All",ISNUMBER(SEARCH(Query!$B$6,'Compliance Database'!$I527))),OR(Query!$B$7="All",'Compliance Database'!$F527=Query!$B$7),OR(Query!$B$8="All",'Compliance Database'!$J527=Query!$B$8),OR(Query!$B$9="",ISNUMBER(SEARCH(Query!$B$9,'Compliance Database'!$D527&amp;" "&amp;'Compliance Database'!$K527&amp;" "&amp;'Compliance Database'!$L527&amp;" "&amp;'Compliance Database'!$M527&amp;" "&amp;'Compliance Database'!$N527&amp;" "&amp;'Compliance Database'!$O527))),OR(Query!$B$10&lt;&gt;"Yes",'Compliance Database'!$F527&lt;&gt;"None")),1,0)</f>
        <v/>
      </c>
      <c r="B527">
        <f>IF($A527=1,SUM($A$2:$A527),"")</f>
        <v/>
      </c>
      <c r="C527">
        <f>IF($A527=1,SUM($A$2:$A527),0)</f>
        <v/>
      </c>
    </row>
    <row r="528">
      <c r="A528">
        <f>IF(AND(OR(Query!$B$4="All",'Compliance Database'!$A528=Query!$B$4),OR(Query!$B$5="All",ISNUMBER(SEARCH(Query!$B$5,'Compliance Database'!$H528))),OR(Query!$B$6="All",ISNUMBER(SEARCH(Query!$B$6,'Compliance Database'!$I528))),OR(Query!$B$7="All",'Compliance Database'!$F528=Query!$B$7),OR(Query!$B$8="All",'Compliance Database'!$J528=Query!$B$8),OR(Query!$B$9="",ISNUMBER(SEARCH(Query!$B$9,'Compliance Database'!$D528&amp;" "&amp;'Compliance Database'!$K528&amp;" "&amp;'Compliance Database'!$L528&amp;" "&amp;'Compliance Database'!$M528&amp;" "&amp;'Compliance Database'!$N528&amp;" "&amp;'Compliance Database'!$O528))),OR(Query!$B$10&lt;&gt;"Yes",'Compliance Database'!$F528&lt;&gt;"None")),1,0)</f>
        <v/>
      </c>
      <c r="B528">
        <f>IF($A528=1,SUM($A$2:$A528),"")</f>
        <v/>
      </c>
      <c r="C528">
        <f>IF($A528=1,SUM($A$2:$A528),0)</f>
        <v/>
      </c>
    </row>
    <row r="529">
      <c r="A529">
        <f>IF(AND(OR(Query!$B$4="All",'Compliance Database'!$A529=Query!$B$4),OR(Query!$B$5="All",ISNUMBER(SEARCH(Query!$B$5,'Compliance Database'!$H529))),OR(Query!$B$6="All",ISNUMBER(SEARCH(Query!$B$6,'Compliance Database'!$I529))),OR(Query!$B$7="All",'Compliance Database'!$F529=Query!$B$7),OR(Query!$B$8="All",'Compliance Database'!$J529=Query!$B$8),OR(Query!$B$9="",ISNUMBER(SEARCH(Query!$B$9,'Compliance Database'!$D529&amp;" "&amp;'Compliance Database'!$K529&amp;" "&amp;'Compliance Database'!$L529&amp;" "&amp;'Compliance Database'!$M529&amp;" "&amp;'Compliance Database'!$N529&amp;" "&amp;'Compliance Database'!$O529))),OR(Query!$B$10&lt;&gt;"Yes",'Compliance Database'!$F529&lt;&gt;"None")),1,0)</f>
        <v/>
      </c>
      <c r="B529">
        <f>IF($A529=1,SUM($A$2:$A529),"")</f>
        <v/>
      </c>
      <c r="C529">
        <f>IF($A529=1,SUM($A$2:$A529),0)</f>
        <v/>
      </c>
    </row>
    <row r="530">
      <c r="A530">
        <f>IF(AND(OR(Query!$B$4="All",'Compliance Database'!$A530=Query!$B$4),OR(Query!$B$5="All",ISNUMBER(SEARCH(Query!$B$5,'Compliance Database'!$H530))),OR(Query!$B$6="All",ISNUMBER(SEARCH(Query!$B$6,'Compliance Database'!$I530))),OR(Query!$B$7="All",'Compliance Database'!$F530=Query!$B$7),OR(Query!$B$8="All",'Compliance Database'!$J530=Query!$B$8),OR(Query!$B$9="",ISNUMBER(SEARCH(Query!$B$9,'Compliance Database'!$D530&amp;" "&amp;'Compliance Database'!$K530&amp;" "&amp;'Compliance Database'!$L530&amp;" "&amp;'Compliance Database'!$M530&amp;" "&amp;'Compliance Database'!$N530&amp;" "&amp;'Compliance Database'!$O530))),OR(Query!$B$10&lt;&gt;"Yes",'Compliance Database'!$F530&lt;&gt;"None")),1,0)</f>
        <v/>
      </c>
      <c r="B530">
        <f>IF($A530=1,SUM($A$2:$A530),"")</f>
        <v/>
      </c>
      <c r="C530">
        <f>IF($A530=1,SUM($A$2:$A530),0)</f>
        <v/>
      </c>
    </row>
    <row r="531">
      <c r="A531">
        <f>IF(AND(OR(Query!$B$4="All",'Compliance Database'!$A531=Query!$B$4),OR(Query!$B$5="All",ISNUMBER(SEARCH(Query!$B$5,'Compliance Database'!$H531))),OR(Query!$B$6="All",ISNUMBER(SEARCH(Query!$B$6,'Compliance Database'!$I531))),OR(Query!$B$7="All",'Compliance Database'!$F531=Query!$B$7),OR(Query!$B$8="All",'Compliance Database'!$J531=Query!$B$8),OR(Query!$B$9="",ISNUMBER(SEARCH(Query!$B$9,'Compliance Database'!$D531&amp;" "&amp;'Compliance Database'!$K531&amp;" "&amp;'Compliance Database'!$L531&amp;" "&amp;'Compliance Database'!$M531&amp;" "&amp;'Compliance Database'!$N531&amp;" "&amp;'Compliance Database'!$O531))),OR(Query!$B$10&lt;&gt;"Yes",'Compliance Database'!$F531&lt;&gt;"None")),1,0)</f>
        <v/>
      </c>
      <c r="B531">
        <f>IF($A531=1,SUM($A$2:$A531),"")</f>
        <v/>
      </c>
      <c r="C531">
        <f>IF($A531=1,SUM($A$2:$A531),0)</f>
        <v/>
      </c>
    </row>
    <row r="532">
      <c r="A532">
        <f>IF(AND(OR(Query!$B$4="All",'Compliance Database'!$A532=Query!$B$4),OR(Query!$B$5="All",ISNUMBER(SEARCH(Query!$B$5,'Compliance Database'!$H532))),OR(Query!$B$6="All",ISNUMBER(SEARCH(Query!$B$6,'Compliance Database'!$I532))),OR(Query!$B$7="All",'Compliance Database'!$F532=Query!$B$7),OR(Query!$B$8="All",'Compliance Database'!$J532=Query!$B$8),OR(Query!$B$9="",ISNUMBER(SEARCH(Query!$B$9,'Compliance Database'!$D532&amp;" "&amp;'Compliance Database'!$K532&amp;" "&amp;'Compliance Database'!$L532&amp;" "&amp;'Compliance Database'!$M532&amp;" "&amp;'Compliance Database'!$N532&amp;" "&amp;'Compliance Database'!$O532))),OR(Query!$B$10&lt;&gt;"Yes",'Compliance Database'!$F532&lt;&gt;"None")),1,0)</f>
        <v/>
      </c>
      <c r="B532">
        <f>IF($A532=1,SUM($A$2:$A532),"")</f>
        <v/>
      </c>
      <c r="C532">
        <f>IF($A532=1,SUM($A$2:$A532),0)</f>
        <v/>
      </c>
    </row>
    <row r="533">
      <c r="A533">
        <f>IF(AND(OR(Query!$B$4="All",'Compliance Database'!$A533=Query!$B$4),OR(Query!$B$5="All",ISNUMBER(SEARCH(Query!$B$5,'Compliance Database'!$H533))),OR(Query!$B$6="All",ISNUMBER(SEARCH(Query!$B$6,'Compliance Database'!$I533))),OR(Query!$B$7="All",'Compliance Database'!$F533=Query!$B$7),OR(Query!$B$8="All",'Compliance Database'!$J533=Query!$B$8),OR(Query!$B$9="",ISNUMBER(SEARCH(Query!$B$9,'Compliance Database'!$D533&amp;" "&amp;'Compliance Database'!$K533&amp;" "&amp;'Compliance Database'!$L533&amp;" "&amp;'Compliance Database'!$M533&amp;" "&amp;'Compliance Database'!$N533&amp;" "&amp;'Compliance Database'!$O533))),OR(Query!$B$10&lt;&gt;"Yes",'Compliance Database'!$F533&lt;&gt;"None")),1,0)</f>
        <v/>
      </c>
      <c r="B533">
        <f>IF($A533=1,SUM($A$2:$A533),"")</f>
        <v/>
      </c>
      <c r="C533">
        <f>IF($A533=1,SUM($A$2:$A533),0)</f>
        <v/>
      </c>
    </row>
    <row r="534">
      <c r="A534">
        <f>IF(AND(OR(Query!$B$4="All",'Compliance Database'!$A534=Query!$B$4),OR(Query!$B$5="All",ISNUMBER(SEARCH(Query!$B$5,'Compliance Database'!$H534))),OR(Query!$B$6="All",ISNUMBER(SEARCH(Query!$B$6,'Compliance Database'!$I534))),OR(Query!$B$7="All",'Compliance Database'!$F534=Query!$B$7),OR(Query!$B$8="All",'Compliance Database'!$J534=Query!$B$8),OR(Query!$B$9="",ISNUMBER(SEARCH(Query!$B$9,'Compliance Database'!$D534&amp;" "&amp;'Compliance Database'!$K534&amp;" "&amp;'Compliance Database'!$L534&amp;" "&amp;'Compliance Database'!$M534&amp;" "&amp;'Compliance Database'!$N534&amp;" "&amp;'Compliance Database'!$O534))),OR(Query!$B$10&lt;&gt;"Yes",'Compliance Database'!$F534&lt;&gt;"None")),1,0)</f>
        <v/>
      </c>
      <c r="B534">
        <f>IF($A534=1,SUM($A$2:$A534),"")</f>
        <v/>
      </c>
      <c r="C534">
        <f>IF($A534=1,SUM($A$2:$A534),0)</f>
        <v/>
      </c>
    </row>
    <row r="535">
      <c r="A535">
        <f>IF(AND(OR(Query!$B$4="All",'Compliance Database'!$A535=Query!$B$4),OR(Query!$B$5="All",ISNUMBER(SEARCH(Query!$B$5,'Compliance Database'!$H535))),OR(Query!$B$6="All",ISNUMBER(SEARCH(Query!$B$6,'Compliance Database'!$I535))),OR(Query!$B$7="All",'Compliance Database'!$F535=Query!$B$7),OR(Query!$B$8="All",'Compliance Database'!$J535=Query!$B$8),OR(Query!$B$9="",ISNUMBER(SEARCH(Query!$B$9,'Compliance Database'!$D535&amp;" "&amp;'Compliance Database'!$K535&amp;" "&amp;'Compliance Database'!$L535&amp;" "&amp;'Compliance Database'!$M535&amp;" "&amp;'Compliance Database'!$N535&amp;" "&amp;'Compliance Database'!$O535))),OR(Query!$B$10&lt;&gt;"Yes",'Compliance Database'!$F535&lt;&gt;"None")),1,0)</f>
        <v/>
      </c>
      <c r="B535">
        <f>IF($A535=1,SUM($A$2:$A535),"")</f>
        <v/>
      </c>
      <c r="C535">
        <f>IF($A535=1,SUM($A$2:$A535),0)</f>
        <v/>
      </c>
    </row>
    <row r="536">
      <c r="A536">
        <f>IF(AND(OR(Query!$B$4="All",'Compliance Database'!$A536=Query!$B$4),OR(Query!$B$5="All",ISNUMBER(SEARCH(Query!$B$5,'Compliance Database'!$H536))),OR(Query!$B$6="All",ISNUMBER(SEARCH(Query!$B$6,'Compliance Database'!$I536))),OR(Query!$B$7="All",'Compliance Database'!$F536=Query!$B$7),OR(Query!$B$8="All",'Compliance Database'!$J536=Query!$B$8),OR(Query!$B$9="",ISNUMBER(SEARCH(Query!$B$9,'Compliance Database'!$D536&amp;" "&amp;'Compliance Database'!$K536&amp;" "&amp;'Compliance Database'!$L536&amp;" "&amp;'Compliance Database'!$M536&amp;" "&amp;'Compliance Database'!$N536&amp;" "&amp;'Compliance Database'!$O536))),OR(Query!$B$10&lt;&gt;"Yes",'Compliance Database'!$F536&lt;&gt;"None")),1,0)</f>
        <v/>
      </c>
      <c r="B536">
        <f>IF($A536=1,SUM($A$2:$A536),"")</f>
        <v/>
      </c>
      <c r="C536">
        <f>IF($A536=1,SUM($A$2:$A536),0)</f>
        <v/>
      </c>
    </row>
    <row r="537">
      <c r="A537">
        <f>IF(AND(OR(Query!$B$4="All",'Compliance Database'!$A537=Query!$B$4),OR(Query!$B$5="All",ISNUMBER(SEARCH(Query!$B$5,'Compliance Database'!$H537))),OR(Query!$B$6="All",ISNUMBER(SEARCH(Query!$B$6,'Compliance Database'!$I537))),OR(Query!$B$7="All",'Compliance Database'!$F537=Query!$B$7),OR(Query!$B$8="All",'Compliance Database'!$J537=Query!$B$8),OR(Query!$B$9="",ISNUMBER(SEARCH(Query!$B$9,'Compliance Database'!$D537&amp;" "&amp;'Compliance Database'!$K537&amp;" "&amp;'Compliance Database'!$L537&amp;" "&amp;'Compliance Database'!$M537&amp;" "&amp;'Compliance Database'!$N537&amp;" "&amp;'Compliance Database'!$O537))),OR(Query!$B$10&lt;&gt;"Yes",'Compliance Database'!$F537&lt;&gt;"None")),1,0)</f>
        <v/>
      </c>
      <c r="B537">
        <f>IF($A537=1,SUM($A$2:$A537),"")</f>
        <v/>
      </c>
      <c r="C537">
        <f>IF($A537=1,SUM($A$2:$A537),0)</f>
        <v/>
      </c>
    </row>
    <row r="538">
      <c r="A538">
        <f>IF(AND(OR(Query!$B$4="All",'Compliance Database'!$A538=Query!$B$4),OR(Query!$B$5="All",ISNUMBER(SEARCH(Query!$B$5,'Compliance Database'!$H538))),OR(Query!$B$6="All",ISNUMBER(SEARCH(Query!$B$6,'Compliance Database'!$I538))),OR(Query!$B$7="All",'Compliance Database'!$F538=Query!$B$7),OR(Query!$B$8="All",'Compliance Database'!$J538=Query!$B$8),OR(Query!$B$9="",ISNUMBER(SEARCH(Query!$B$9,'Compliance Database'!$D538&amp;" "&amp;'Compliance Database'!$K538&amp;" "&amp;'Compliance Database'!$L538&amp;" "&amp;'Compliance Database'!$M538&amp;" "&amp;'Compliance Database'!$N538&amp;" "&amp;'Compliance Database'!$O538))),OR(Query!$B$10&lt;&gt;"Yes",'Compliance Database'!$F538&lt;&gt;"None")),1,0)</f>
        <v/>
      </c>
      <c r="B538">
        <f>IF($A538=1,SUM($A$2:$A538),"")</f>
        <v/>
      </c>
      <c r="C538">
        <f>IF($A538=1,SUM($A$2:$A538),0)</f>
        <v/>
      </c>
    </row>
    <row r="539">
      <c r="A539">
        <f>IF(AND(OR(Query!$B$4="All",'Compliance Database'!$A539=Query!$B$4),OR(Query!$B$5="All",ISNUMBER(SEARCH(Query!$B$5,'Compliance Database'!$H539))),OR(Query!$B$6="All",ISNUMBER(SEARCH(Query!$B$6,'Compliance Database'!$I539))),OR(Query!$B$7="All",'Compliance Database'!$F539=Query!$B$7),OR(Query!$B$8="All",'Compliance Database'!$J539=Query!$B$8),OR(Query!$B$9="",ISNUMBER(SEARCH(Query!$B$9,'Compliance Database'!$D539&amp;" "&amp;'Compliance Database'!$K539&amp;" "&amp;'Compliance Database'!$L539&amp;" "&amp;'Compliance Database'!$M539&amp;" "&amp;'Compliance Database'!$N539&amp;" "&amp;'Compliance Database'!$O539))),OR(Query!$B$10&lt;&gt;"Yes",'Compliance Database'!$F539&lt;&gt;"None")),1,0)</f>
        <v/>
      </c>
      <c r="B539">
        <f>IF($A539=1,SUM($A$2:$A539),"")</f>
        <v/>
      </c>
      <c r="C539">
        <f>IF($A539=1,SUM($A$2:$A539),0)</f>
        <v/>
      </c>
    </row>
    <row r="540">
      <c r="A540">
        <f>IF(AND(OR(Query!$B$4="All",'Compliance Database'!$A540=Query!$B$4),OR(Query!$B$5="All",ISNUMBER(SEARCH(Query!$B$5,'Compliance Database'!$H540))),OR(Query!$B$6="All",ISNUMBER(SEARCH(Query!$B$6,'Compliance Database'!$I540))),OR(Query!$B$7="All",'Compliance Database'!$F540=Query!$B$7),OR(Query!$B$8="All",'Compliance Database'!$J540=Query!$B$8),OR(Query!$B$9="",ISNUMBER(SEARCH(Query!$B$9,'Compliance Database'!$D540&amp;" "&amp;'Compliance Database'!$K540&amp;" "&amp;'Compliance Database'!$L540&amp;" "&amp;'Compliance Database'!$M540&amp;" "&amp;'Compliance Database'!$N540&amp;" "&amp;'Compliance Database'!$O540))),OR(Query!$B$10&lt;&gt;"Yes",'Compliance Database'!$F540&lt;&gt;"None")),1,0)</f>
        <v/>
      </c>
      <c r="B540">
        <f>IF($A540=1,SUM($A$2:$A540),"")</f>
        <v/>
      </c>
      <c r="C540">
        <f>IF($A540=1,SUM($A$2:$A540),0)</f>
        <v/>
      </c>
    </row>
    <row r="541">
      <c r="A541">
        <f>IF(AND(OR(Query!$B$4="All",'Compliance Database'!$A541=Query!$B$4),OR(Query!$B$5="All",ISNUMBER(SEARCH(Query!$B$5,'Compliance Database'!$H541))),OR(Query!$B$6="All",ISNUMBER(SEARCH(Query!$B$6,'Compliance Database'!$I541))),OR(Query!$B$7="All",'Compliance Database'!$F541=Query!$B$7),OR(Query!$B$8="All",'Compliance Database'!$J541=Query!$B$8),OR(Query!$B$9="",ISNUMBER(SEARCH(Query!$B$9,'Compliance Database'!$D541&amp;" "&amp;'Compliance Database'!$K541&amp;" "&amp;'Compliance Database'!$L541&amp;" "&amp;'Compliance Database'!$M541&amp;" "&amp;'Compliance Database'!$N541&amp;" "&amp;'Compliance Database'!$O541))),OR(Query!$B$10&lt;&gt;"Yes",'Compliance Database'!$F541&lt;&gt;"None")),1,0)</f>
        <v/>
      </c>
      <c r="B541">
        <f>IF($A541=1,SUM($A$2:$A541),"")</f>
        <v/>
      </c>
      <c r="C541">
        <f>IF($A541=1,SUM($A$2:$A541),0)</f>
        <v/>
      </c>
    </row>
    <row r="542">
      <c r="A542">
        <f>IF(AND(OR(Query!$B$4="All",'Compliance Database'!$A542=Query!$B$4),OR(Query!$B$5="All",ISNUMBER(SEARCH(Query!$B$5,'Compliance Database'!$H542))),OR(Query!$B$6="All",ISNUMBER(SEARCH(Query!$B$6,'Compliance Database'!$I542))),OR(Query!$B$7="All",'Compliance Database'!$F542=Query!$B$7),OR(Query!$B$8="All",'Compliance Database'!$J542=Query!$B$8),OR(Query!$B$9="",ISNUMBER(SEARCH(Query!$B$9,'Compliance Database'!$D542&amp;" "&amp;'Compliance Database'!$K542&amp;" "&amp;'Compliance Database'!$L542&amp;" "&amp;'Compliance Database'!$M542&amp;" "&amp;'Compliance Database'!$N542&amp;" "&amp;'Compliance Database'!$O542))),OR(Query!$B$10&lt;&gt;"Yes",'Compliance Database'!$F542&lt;&gt;"None")),1,0)</f>
        <v/>
      </c>
      <c r="B542">
        <f>IF($A542=1,SUM($A$2:$A542),"")</f>
        <v/>
      </c>
      <c r="C542">
        <f>IF($A542=1,SUM($A$2:$A542),0)</f>
        <v/>
      </c>
    </row>
    <row r="543">
      <c r="A543">
        <f>IF(AND(OR(Query!$B$4="All",'Compliance Database'!$A543=Query!$B$4),OR(Query!$B$5="All",ISNUMBER(SEARCH(Query!$B$5,'Compliance Database'!$H543))),OR(Query!$B$6="All",ISNUMBER(SEARCH(Query!$B$6,'Compliance Database'!$I543))),OR(Query!$B$7="All",'Compliance Database'!$F543=Query!$B$7),OR(Query!$B$8="All",'Compliance Database'!$J543=Query!$B$8),OR(Query!$B$9="",ISNUMBER(SEARCH(Query!$B$9,'Compliance Database'!$D543&amp;" "&amp;'Compliance Database'!$K543&amp;" "&amp;'Compliance Database'!$L543&amp;" "&amp;'Compliance Database'!$M543&amp;" "&amp;'Compliance Database'!$N543&amp;" "&amp;'Compliance Database'!$O543))),OR(Query!$B$10&lt;&gt;"Yes",'Compliance Database'!$F543&lt;&gt;"None")),1,0)</f>
        <v/>
      </c>
      <c r="B543">
        <f>IF($A543=1,SUM($A$2:$A543),"")</f>
        <v/>
      </c>
      <c r="C543">
        <f>IF($A543=1,SUM($A$2:$A543),0)</f>
        <v/>
      </c>
    </row>
    <row r="544">
      <c r="A544">
        <f>IF(AND(OR(Query!$B$4="All",'Compliance Database'!$A544=Query!$B$4),OR(Query!$B$5="All",ISNUMBER(SEARCH(Query!$B$5,'Compliance Database'!$H544))),OR(Query!$B$6="All",ISNUMBER(SEARCH(Query!$B$6,'Compliance Database'!$I544))),OR(Query!$B$7="All",'Compliance Database'!$F544=Query!$B$7),OR(Query!$B$8="All",'Compliance Database'!$J544=Query!$B$8),OR(Query!$B$9="",ISNUMBER(SEARCH(Query!$B$9,'Compliance Database'!$D544&amp;" "&amp;'Compliance Database'!$K544&amp;" "&amp;'Compliance Database'!$L544&amp;" "&amp;'Compliance Database'!$M544&amp;" "&amp;'Compliance Database'!$N544&amp;" "&amp;'Compliance Database'!$O544))),OR(Query!$B$10&lt;&gt;"Yes",'Compliance Database'!$F544&lt;&gt;"None")),1,0)</f>
        <v/>
      </c>
      <c r="B544">
        <f>IF($A544=1,SUM($A$2:$A544),"")</f>
        <v/>
      </c>
      <c r="C544">
        <f>IF($A544=1,SUM($A$2:$A544),0)</f>
        <v/>
      </c>
    </row>
    <row r="545">
      <c r="A545">
        <f>IF(AND(OR(Query!$B$4="All",'Compliance Database'!$A545=Query!$B$4),OR(Query!$B$5="All",ISNUMBER(SEARCH(Query!$B$5,'Compliance Database'!$H545))),OR(Query!$B$6="All",ISNUMBER(SEARCH(Query!$B$6,'Compliance Database'!$I545))),OR(Query!$B$7="All",'Compliance Database'!$F545=Query!$B$7),OR(Query!$B$8="All",'Compliance Database'!$J545=Query!$B$8),OR(Query!$B$9="",ISNUMBER(SEARCH(Query!$B$9,'Compliance Database'!$D545&amp;" "&amp;'Compliance Database'!$K545&amp;" "&amp;'Compliance Database'!$L545&amp;" "&amp;'Compliance Database'!$M545&amp;" "&amp;'Compliance Database'!$N545&amp;" "&amp;'Compliance Database'!$O545))),OR(Query!$B$10&lt;&gt;"Yes",'Compliance Database'!$F545&lt;&gt;"None")),1,0)</f>
        <v/>
      </c>
      <c r="B545">
        <f>IF($A545=1,SUM($A$2:$A545),"")</f>
        <v/>
      </c>
      <c r="C545">
        <f>IF($A545=1,SUM($A$2:$A545),0)</f>
        <v/>
      </c>
    </row>
    <row r="546">
      <c r="A546">
        <f>IF(AND(OR(Query!$B$4="All",'Compliance Database'!$A546=Query!$B$4),OR(Query!$B$5="All",ISNUMBER(SEARCH(Query!$B$5,'Compliance Database'!$H546))),OR(Query!$B$6="All",ISNUMBER(SEARCH(Query!$B$6,'Compliance Database'!$I546))),OR(Query!$B$7="All",'Compliance Database'!$F546=Query!$B$7),OR(Query!$B$8="All",'Compliance Database'!$J546=Query!$B$8),OR(Query!$B$9="",ISNUMBER(SEARCH(Query!$B$9,'Compliance Database'!$D546&amp;" "&amp;'Compliance Database'!$K546&amp;" "&amp;'Compliance Database'!$L546&amp;" "&amp;'Compliance Database'!$M546&amp;" "&amp;'Compliance Database'!$N546&amp;" "&amp;'Compliance Database'!$O546))),OR(Query!$B$10&lt;&gt;"Yes",'Compliance Database'!$F546&lt;&gt;"None")),1,0)</f>
        <v/>
      </c>
      <c r="B546">
        <f>IF($A546=1,SUM($A$2:$A546),"")</f>
        <v/>
      </c>
      <c r="C546">
        <f>IF($A546=1,SUM($A$2:$A546),0)</f>
        <v/>
      </c>
    </row>
    <row r="547">
      <c r="A547">
        <f>IF(AND(OR(Query!$B$4="All",'Compliance Database'!$A547=Query!$B$4),OR(Query!$B$5="All",ISNUMBER(SEARCH(Query!$B$5,'Compliance Database'!$H547))),OR(Query!$B$6="All",ISNUMBER(SEARCH(Query!$B$6,'Compliance Database'!$I547))),OR(Query!$B$7="All",'Compliance Database'!$F547=Query!$B$7),OR(Query!$B$8="All",'Compliance Database'!$J547=Query!$B$8),OR(Query!$B$9="",ISNUMBER(SEARCH(Query!$B$9,'Compliance Database'!$D547&amp;" "&amp;'Compliance Database'!$K547&amp;" "&amp;'Compliance Database'!$L547&amp;" "&amp;'Compliance Database'!$M547&amp;" "&amp;'Compliance Database'!$N547&amp;" "&amp;'Compliance Database'!$O547))),OR(Query!$B$10&lt;&gt;"Yes",'Compliance Database'!$F547&lt;&gt;"None")),1,0)</f>
        <v/>
      </c>
      <c r="B547">
        <f>IF($A547=1,SUM($A$2:$A547),"")</f>
        <v/>
      </c>
      <c r="C547">
        <f>IF($A547=1,SUM($A$2:$A547),0)</f>
        <v/>
      </c>
    </row>
    <row r="548">
      <c r="A548">
        <f>IF(AND(OR(Query!$B$4="All",'Compliance Database'!$A548=Query!$B$4),OR(Query!$B$5="All",ISNUMBER(SEARCH(Query!$B$5,'Compliance Database'!$H548))),OR(Query!$B$6="All",ISNUMBER(SEARCH(Query!$B$6,'Compliance Database'!$I548))),OR(Query!$B$7="All",'Compliance Database'!$F548=Query!$B$7),OR(Query!$B$8="All",'Compliance Database'!$J548=Query!$B$8),OR(Query!$B$9="",ISNUMBER(SEARCH(Query!$B$9,'Compliance Database'!$D548&amp;" "&amp;'Compliance Database'!$K548&amp;" "&amp;'Compliance Database'!$L548&amp;" "&amp;'Compliance Database'!$M548&amp;" "&amp;'Compliance Database'!$N548&amp;" "&amp;'Compliance Database'!$O548))),OR(Query!$B$10&lt;&gt;"Yes",'Compliance Database'!$F548&lt;&gt;"None")),1,0)</f>
        <v/>
      </c>
      <c r="B548">
        <f>IF($A548=1,SUM($A$2:$A548),"")</f>
        <v/>
      </c>
      <c r="C548">
        <f>IF($A548=1,SUM($A$2:$A548),0)</f>
        <v/>
      </c>
    </row>
    <row r="549">
      <c r="A549">
        <f>IF(AND(OR(Query!$B$4="All",'Compliance Database'!$A549=Query!$B$4),OR(Query!$B$5="All",ISNUMBER(SEARCH(Query!$B$5,'Compliance Database'!$H549))),OR(Query!$B$6="All",ISNUMBER(SEARCH(Query!$B$6,'Compliance Database'!$I549))),OR(Query!$B$7="All",'Compliance Database'!$F549=Query!$B$7),OR(Query!$B$8="All",'Compliance Database'!$J549=Query!$B$8),OR(Query!$B$9="",ISNUMBER(SEARCH(Query!$B$9,'Compliance Database'!$D549&amp;" "&amp;'Compliance Database'!$K549&amp;" "&amp;'Compliance Database'!$L549&amp;" "&amp;'Compliance Database'!$M549&amp;" "&amp;'Compliance Database'!$N549&amp;" "&amp;'Compliance Database'!$O549))),OR(Query!$B$10&lt;&gt;"Yes",'Compliance Database'!$F549&lt;&gt;"None")),1,0)</f>
        <v/>
      </c>
      <c r="B549">
        <f>IF($A549=1,SUM($A$2:$A549),"")</f>
        <v/>
      </c>
      <c r="C549">
        <f>IF($A549=1,SUM($A$2:$A549),0)</f>
        <v/>
      </c>
    </row>
    <row r="550">
      <c r="A550">
        <f>IF(AND(OR(Query!$B$4="All",'Compliance Database'!$A550=Query!$B$4),OR(Query!$B$5="All",ISNUMBER(SEARCH(Query!$B$5,'Compliance Database'!$H550))),OR(Query!$B$6="All",ISNUMBER(SEARCH(Query!$B$6,'Compliance Database'!$I550))),OR(Query!$B$7="All",'Compliance Database'!$F550=Query!$B$7),OR(Query!$B$8="All",'Compliance Database'!$J550=Query!$B$8),OR(Query!$B$9="",ISNUMBER(SEARCH(Query!$B$9,'Compliance Database'!$D550&amp;" "&amp;'Compliance Database'!$K550&amp;" "&amp;'Compliance Database'!$L550&amp;" "&amp;'Compliance Database'!$M550&amp;" "&amp;'Compliance Database'!$N550&amp;" "&amp;'Compliance Database'!$O550))),OR(Query!$B$10&lt;&gt;"Yes",'Compliance Database'!$F550&lt;&gt;"None")),1,0)</f>
        <v/>
      </c>
      <c r="B550">
        <f>IF($A550=1,SUM($A$2:$A550),"")</f>
        <v/>
      </c>
      <c r="C550">
        <f>IF($A550=1,SUM($A$2:$A550),0)</f>
        <v/>
      </c>
    </row>
    <row r="551">
      <c r="A551">
        <f>IF(AND(OR(Query!$B$4="All",'Compliance Database'!$A551=Query!$B$4),OR(Query!$B$5="All",ISNUMBER(SEARCH(Query!$B$5,'Compliance Database'!$H551))),OR(Query!$B$6="All",ISNUMBER(SEARCH(Query!$B$6,'Compliance Database'!$I551))),OR(Query!$B$7="All",'Compliance Database'!$F551=Query!$B$7),OR(Query!$B$8="All",'Compliance Database'!$J551=Query!$B$8),OR(Query!$B$9="",ISNUMBER(SEARCH(Query!$B$9,'Compliance Database'!$D551&amp;" "&amp;'Compliance Database'!$K551&amp;" "&amp;'Compliance Database'!$L551&amp;" "&amp;'Compliance Database'!$M551&amp;" "&amp;'Compliance Database'!$N551&amp;" "&amp;'Compliance Database'!$O551))),OR(Query!$B$10&lt;&gt;"Yes",'Compliance Database'!$F551&lt;&gt;"None")),1,0)</f>
        <v/>
      </c>
      <c r="B551">
        <f>IF($A551=1,SUM($A$2:$A551),"")</f>
        <v/>
      </c>
      <c r="C551">
        <f>IF($A551=1,SUM($A$2:$A551),0)</f>
        <v/>
      </c>
    </row>
    <row r="552">
      <c r="A552">
        <f>IF(AND(OR(Query!$B$4="All",'Compliance Database'!$A552=Query!$B$4),OR(Query!$B$5="All",ISNUMBER(SEARCH(Query!$B$5,'Compliance Database'!$H552))),OR(Query!$B$6="All",ISNUMBER(SEARCH(Query!$B$6,'Compliance Database'!$I552))),OR(Query!$B$7="All",'Compliance Database'!$F552=Query!$B$7),OR(Query!$B$8="All",'Compliance Database'!$J552=Query!$B$8),OR(Query!$B$9="",ISNUMBER(SEARCH(Query!$B$9,'Compliance Database'!$D552&amp;" "&amp;'Compliance Database'!$K552&amp;" "&amp;'Compliance Database'!$L552&amp;" "&amp;'Compliance Database'!$M552&amp;" "&amp;'Compliance Database'!$N552&amp;" "&amp;'Compliance Database'!$O552))),OR(Query!$B$10&lt;&gt;"Yes",'Compliance Database'!$F552&lt;&gt;"None")),1,0)</f>
        <v/>
      </c>
      <c r="B552">
        <f>IF($A552=1,SUM($A$2:$A552),"")</f>
        <v/>
      </c>
      <c r="C552">
        <f>IF($A552=1,SUM($A$2:$A552),0)</f>
        <v/>
      </c>
    </row>
    <row r="553">
      <c r="A553">
        <f>IF(AND(OR(Query!$B$4="All",'Compliance Database'!$A553=Query!$B$4),OR(Query!$B$5="All",ISNUMBER(SEARCH(Query!$B$5,'Compliance Database'!$H553))),OR(Query!$B$6="All",ISNUMBER(SEARCH(Query!$B$6,'Compliance Database'!$I553))),OR(Query!$B$7="All",'Compliance Database'!$F553=Query!$B$7),OR(Query!$B$8="All",'Compliance Database'!$J553=Query!$B$8),OR(Query!$B$9="",ISNUMBER(SEARCH(Query!$B$9,'Compliance Database'!$D553&amp;" "&amp;'Compliance Database'!$K553&amp;" "&amp;'Compliance Database'!$L553&amp;" "&amp;'Compliance Database'!$M553&amp;" "&amp;'Compliance Database'!$N553&amp;" "&amp;'Compliance Database'!$O553))),OR(Query!$B$10&lt;&gt;"Yes",'Compliance Database'!$F553&lt;&gt;"None")),1,0)</f>
        <v/>
      </c>
      <c r="B553">
        <f>IF($A553=1,SUM($A$2:$A553),"")</f>
        <v/>
      </c>
      <c r="C553">
        <f>IF($A553=1,SUM($A$2:$A553),0)</f>
        <v/>
      </c>
    </row>
    <row r="554">
      <c r="A554">
        <f>IF(AND(OR(Query!$B$4="All",'Compliance Database'!$A554=Query!$B$4),OR(Query!$B$5="All",ISNUMBER(SEARCH(Query!$B$5,'Compliance Database'!$H554))),OR(Query!$B$6="All",ISNUMBER(SEARCH(Query!$B$6,'Compliance Database'!$I554))),OR(Query!$B$7="All",'Compliance Database'!$F554=Query!$B$7),OR(Query!$B$8="All",'Compliance Database'!$J554=Query!$B$8),OR(Query!$B$9="",ISNUMBER(SEARCH(Query!$B$9,'Compliance Database'!$D554&amp;" "&amp;'Compliance Database'!$K554&amp;" "&amp;'Compliance Database'!$L554&amp;" "&amp;'Compliance Database'!$M554&amp;" "&amp;'Compliance Database'!$N554&amp;" "&amp;'Compliance Database'!$O554))),OR(Query!$B$10&lt;&gt;"Yes",'Compliance Database'!$F554&lt;&gt;"None")),1,0)</f>
        <v/>
      </c>
      <c r="B554">
        <f>IF($A554=1,SUM($A$2:$A554),"")</f>
        <v/>
      </c>
      <c r="C554">
        <f>IF($A554=1,SUM($A$2:$A554),0)</f>
        <v/>
      </c>
    </row>
    <row r="555">
      <c r="A555">
        <f>IF(AND(OR(Query!$B$4="All",'Compliance Database'!$A555=Query!$B$4),OR(Query!$B$5="All",ISNUMBER(SEARCH(Query!$B$5,'Compliance Database'!$H555))),OR(Query!$B$6="All",ISNUMBER(SEARCH(Query!$B$6,'Compliance Database'!$I555))),OR(Query!$B$7="All",'Compliance Database'!$F555=Query!$B$7),OR(Query!$B$8="All",'Compliance Database'!$J555=Query!$B$8),OR(Query!$B$9="",ISNUMBER(SEARCH(Query!$B$9,'Compliance Database'!$D555&amp;" "&amp;'Compliance Database'!$K555&amp;" "&amp;'Compliance Database'!$L555&amp;" "&amp;'Compliance Database'!$M555&amp;" "&amp;'Compliance Database'!$N555&amp;" "&amp;'Compliance Database'!$O555))),OR(Query!$B$10&lt;&gt;"Yes",'Compliance Database'!$F555&lt;&gt;"None")),1,0)</f>
        <v/>
      </c>
      <c r="B555">
        <f>IF($A555=1,SUM($A$2:$A555),"")</f>
        <v/>
      </c>
      <c r="C555">
        <f>IF($A555=1,SUM($A$2:$A555),0)</f>
        <v/>
      </c>
    </row>
    <row r="556">
      <c r="A556">
        <f>IF(AND(OR(Query!$B$4="All",'Compliance Database'!$A556=Query!$B$4),OR(Query!$B$5="All",ISNUMBER(SEARCH(Query!$B$5,'Compliance Database'!$H556))),OR(Query!$B$6="All",ISNUMBER(SEARCH(Query!$B$6,'Compliance Database'!$I556))),OR(Query!$B$7="All",'Compliance Database'!$F556=Query!$B$7),OR(Query!$B$8="All",'Compliance Database'!$J556=Query!$B$8),OR(Query!$B$9="",ISNUMBER(SEARCH(Query!$B$9,'Compliance Database'!$D556&amp;" "&amp;'Compliance Database'!$K556&amp;" "&amp;'Compliance Database'!$L556&amp;" "&amp;'Compliance Database'!$M556&amp;" "&amp;'Compliance Database'!$N556&amp;" "&amp;'Compliance Database'!$O556))),OR(Query!$B$10&lt;&gt;"Yes",'Compliance Database'!$F556&lt;&gt;"None")),1,0)</f>
        <v/>
      </c>
      <c r="B556">
        <f>IF($A556=1,SUM($A$2:$A556),"")</f>
        <v/>
      </c>
      <c r="C556">
        <f>IF($A556=1,SUM($A$2:$A556),0)</f>
        <v/>
      </c>
    </row>
    <row r="557">
      <c r="A557">
        <f>IF(AND(OR(Query!$B$4="All",'Compliance Database'!$A557=Query!$B$4),OR(Query!$B$5="All",ISNUMBER(SEARCH(Query!$B$5,'Compliance Database'!$H557))),OR(Query!$B$6="All",ISNUMBER(SEARCH(Query!$B$6,'Compliance Database'!$I557))),OR(Query!$B$7="All",'Compliance Database'!$F557=Query!$B$7),OR(Query!$B$8="All",'Compliance Database'!$J557=Query!$B$8),OR(Query!$B$9="",ISNUMBER(SEARCH(Query!$B$9,'Compliance Database'!$D557&amp;" "&amp;'Compliance Database'!$K557&amp;" "&amp;'Compliance Database'!$L557&amp;" "&amp;'Compliance Database'!$M557&amp;" "&amp;'Compliance Database'!$N557&amp;" "&amp;'Compliance Database'!$O557))),OR(Query!$B$10&lt;&gt;"Yes",'Compliance Database'!$F557&lt;&gt;"None")),1,0)</f>
        <v/>
      </c>
      <c r="B557">
        <f>IF($A557=1,SUM($A$2:$A557),"")</f>
        <v/>
      </c>
      <c r="C557">
        <f>IF($A557=1,SUM($A$2:$A557),0)</f>
        <v/>
      </c>
    </row>
    <row r="558">
      <c r="A558">
        <f>IF(AND(OR(Query!$B$4="All",'Compliance Database'!$A558=Query!$B$4),OR(Query!$B$5="All",ISNUMBER(SEARCH(Query!$B$5,'Compliance Database'!$H558))),OR(Query!$B$6="All",ISNUMBER(SEARCH(Query!$B$6,'Compliance Database'!$I558))),OR(Query!$B$7="All",'Compliance Database'!$F558=Query!$B$7),OR(Query!$B$8="All",'Compliance Database'!$J558=Query!$B$8),OR(Query!$B$9="",ISNUMBER(SEARCH(Query!$B$9,'Compliance Database'!$D558&amp;" "&amp;'Compliance Database'!$K558&amp;" "&amp;'Compliance Database'!$L558&amp;" "&amp;'Compliance Database'!$M558&amp;" "&amp;'Compliance Database'!$N558&amp;" "&amp;'Compliance Database'!$O558))),OR(Query!$B$10&lt;&gt;"Yes",'Compliance Database'!$F558&lt;&gt;"None")),1,0)</f>
        <v/>
      </c>
      <c r="B558">
        <f>IF($A558=1,SUM($A$2:$A558),"")</f>
        <v/>
      </c>
      <c r="C558">
        <f>IF($A558=1,SUM($A$2:$A558),0)</f>
        <v/>
      </c>
    </row>
    <row r="559">
      <c r="A559">
        <f>IF(AND(OR(Query!$B$4="All",'Compliance Database'!$A559=Query!$B$4),OR(Query!$B$5="All",ISNUMBER(SEARCH(Query!$B$5,'Compliance Database'!$H559))),OR(Query!$B$6="All",ISNUMBER(SEARCH(Query!$B$6,'Compliance Database'!$I559))),OR(Query!$B$7="All",'Compliance Database'!$F559=Query!$B$7),OR(Query!$B$8="All",'Compliance Database'!$J559=Query!$B$8),OR(Query!$B$9="",ISNUMBER(SEARCH(Query!$B$9,'Compliance Database'!$D559&amp;" "&amp;'Compliance Database'!$K559&amp;" "&amp;'Compliance Database'!$L559&amp;" "&amp;'Compliance Database'!$M559&amp;" "&amp;'Compliance Database'!$N559&amp;" "&amp;'Compliance Database'!$O559))),OR(Query!$B$10&lt;&gt;"Yes",'Compliance Database'!$F559&lt;&gt;"None")),1,0)</f>
        <v/>
      </c>
      <c r="B559">
        <f>IF($A559=1,SUM($A$2:$A559),"")</f>
        <v/>
      </c>
      <c r="C559">
        <f>IF($A559=1,SUM($A$2:$A559),0)</f>
        <v/>
      </c>
    </row>
    <row r="560">
      <c r="A560">
        <f>IF(AND(OR(Query!$B$4="All",'Compliance Database'!$A560=Query!$B$4),OR(Query!$B$5="All",ISNUMBER(SEARCH(Query!$B$5,'Compliance Database'!$H560))),OR(Query!$B$6="All",ISNUMBER(SEARCH(Query!$B$6,'Compliance Database'!$I560))),OR(Query!$B$7="All",'Compliance Database'!$F560=Query!$B$7),OR(Query!$B$8="All",'Compliance Database'!$J560=Query!$B$8),OR(Query!$B$9="",ISNUMBER(SEARCH(Query!$B$9,'Compliance Database'!$D560&amp;" "&amp;'Compliance Database'!$K560&amp;" "&amp;'Compliance Database'!$L560&amp;" "&amp;'Compliance Database'!$M560&amp;" "&amp;'Compliance Database'!$N560&amp;" "&amp;'Compliance Database'!$O560))),OR(Query!$B$10&lt;&gt;"Yes",'Compliance Database'!$F560&lt;&gt;"None")),1,0)</f>
        <v/>
      </c>
      <c r="B560">
        <f>IF($A560=1,SUM($A$2:$A560),"")</f>
        <v/>
      </c>
      <c r="C560">
        <f>IF($A560=1,SUM($A$2:$A560),0)</f>
        <v/>
      </c>
    </row>
    <row r="561">
      <c r="A561">
        <f>IF(AND(OR(Query!$B$4="All",'Compliance Database'!$A561=Query!$B$4),OR(Query!$B$5="All",ISNUMBER(SEARCH(Query!$B$5,'Compliance Database'!$H561))),OR(Query!$B$6="All",ISNUMBER(SEARCH(Query!$B$6,'Compliance Database'!$I561))),OR(Query!$B$7="All",'Compliance Database'!$F561=Query!$B$7),OR(Query!$B$8="All",'Compliance Database'!$J561=Query!$B$8),OR(Query!$B$9="",ISNUMBER(SEARCH(Query!$B$9,'Compliance Database'!$D561&amp;" "&amp;'Compliance Database'!$K561&amp;" "&amp;'Compliance Database'!$L561&amp;" "&amp;'Compliance Database'!$M561&amp;" "&amp;'Compliance Database'!$N561&amp;" "&amp;'Compliance Database'!$O561))),OR(Query!$B$10&lt;&gt;"Yes",'Compliance Database'!$F561&lt;&gt;"None")),1,0)</f>
        <v/>
      </c>
      <c r="B561">
        <f>IF($A561=1,SUM($A$2:$A561),"")</f>
        <v/>
      </c>
      <c r="C561">
        <f>IF($A561=1,SUM($A$2:$A561),0)</f>
        <v/>
      </c>
    </row>
    <row r="562">
      <c r="A562">
        <f>IF(AND(OR(Query!$B$4="All",'Compliance Database'!$A562=Query!$B$4),OR(Query!$B$5="All",ISNUMBER(SEARCH(Query!$B$5,'Compliance Database'!$H562))),OR(Query!$B$6="All",ISNUMBER(SEARCH(Query!$B$6,'Compliance Database'!$I562))),OR(Query!$B$7="All",'Compliance Database'!$F562=Query!$B$7),OR(Query!$B$8="All",'Compliance Database'!$J562=Query!$B$8),OR(Query!$B$9="",ISNUMBER(SEARCH(Query!$B$9,'Compliance Database'!$D562&amp;" "&amp;'Compliance Database'!$K562&amp;" "&amp;'Compliance Database'!$L562&amp;" "&amp;'Compliance Database'!$M562&amp;" "&amp;'Compliance Database'!$N562&amp;" "&amp;'Compliance Database'!$O562))),OR(Query!$B$10&lt;&gt;"Yes",'Compliance Database'!$F562&lt;&gt;"None")),1,0)</f>
        <v/>
      </c>
      <c r="B562">
        <f>IF($A562=1,SUM($A$2:$A562),"")</f>
        <v/>
      </c>
      <c r="C562">
        <f>IF($A562=1,SUM($A$2:$A562),0)</f>
        <v/>
      </c>
    </row>
    <row r="563">
      <c r="A563">
        <f>IF(AND(OR(Query!$B$4="All",'Compliance Database'!$A563=Query!$B$4),OR(Query!$B$5="All",ISNUMBER(SEARCH(Query!$B$5,'Compliance Database'!$H563))),OR(Query!$B$6="All",ISNUMBER(SEARCH(Query!$B$6,'Compliance Database'!$I563))),OR(Query!$B$7="All",'Compliance Database'!$F563=Query!$B$7),OR(Query!$B$8="All",'Compliance Database'!$J563=Query!$B$8),OR(Query!$B$9="",ISNUMBER(SEARCH(Query!$B$9,'Compliance Database'!$D563&amp;" "&amp;'Compliance Database'!$K563&amp;" "&amp;'Compliance Database'!$L563&amp;" "&amp;'Compliance Database'!$M563&amp;" "&amp;'Compliance Database'!$N563&amp;" "&amp;'Compliance Database'!$O563))),OR(Query!$B$10&lt;&gt;"Yes",'Compliance Database'!$F563&lt;&gt;"None")),1,0)</f>
        <v/>
      </c>
      <c r="B563">
        <f>IF($A563=1,SUM($A$2:$A563),"")</f>
        <v/>
      </c>
      <c r="C563">
        <f>IF($A563=1,SUM($A$2:$A563),0)</f>
        <v/>
      </c>
    </row>
    <row r="564">
      <c r="A564">
        <f>IF(AND(OR(Query!$B$4="All",'Compliance Database'!$A564=Query!$B$4),OR(Query!$B$5="All",ISNUMBER(SEARCH(Query!$B$5,'Compliance Database'!$H564))),OR(Query!$B$6="All",ISNUMBER(SEARCH(Query!$B$6,'Compliance Database'!$I564))),OR(Query!$B$7="All",'Compliance Database'!$F564=Query!$B$7),OR(Query!$B$8="All",'Compliance Database'!$J564=Query!$B$8),OR(Query!$B$9="",ISNUMBER(SEARCH(Query!$B$9,'Compliance Database'!$D564&amp;" "&amp;'Compliance Database'!$K564&amp;" "&amp;'Compliance Database'!$L564&amp;" "&amp;'Compliance Database'!$M564&amp;" "&amp;'Compliance Database'!$N564&amp;" "&amp;'Compliance Database'!$O564))),OR(Query!$B$10&lt;&gt;"Yes",'Compliance Database'!$F564&lt;&gt;"None")),1,0)</f>
        <v/>
      </c>
      <c r="B564">
        <f>IF($A564=1,SUM($A$2:$A564),"")</f>
        <v/>
      </c>
      <c r="C564">
        <f>IF($A564=1,SUM($A$2:$A564),0)</f>
        <v/>
      </c>
    </row>
    <row r="565">
      <c r="A565">
        <f>IF(AND(OR(Query!$B$4="All",'Compliance Database'!$A565=Query!$B$4),OR(Query!$B$5="All",ISNUMBER(SEARCH(Query!$B$5,'Compliance Database'!$H565))),OR(Query!$B$6="All",ISNUMBER(SEARCH(Query!$B$6,'Compliance Database'!$I565))),OR(Query!$B$7="All",'Compliance Database'!$F565=Query!$B$7),OR(Query!$B$8="All",'Compliance Database'!$J565=Query!$B$8),OR(Query!$B$9="",ISNUMBER(SEARCH(Query!$B$9,'Compliance Database'!$D565&amp;" "&amp;'Compliance Database'!$K565&amp;" "&amp;'Compliance Database'!$L565&amp;" "&amp;'Compliance Database'!$M565&amp;" "&amp;'Compliance Database'!$N565&amp;" "&amp;'Compliance Database'!$O565))),OR(Query!$B$10&lt;&gt;"Yes",'Compliance Database'!$F565&lt;&gt;"None")),1,0)</f>
        <v/>
      </c>
      <c r="B565">
        <f>IF($A565=1,SUM($A$2:$A565),"")</f>
        <v/>
      </c>
      <c r="C565">
        <f>IF($A565=1,SUM($A$2:$A565),0)</f>
        <v/>
      </c>
    </row>
    <row r="566">
      <c r="A566">
        <f>IF(AND(OR(Query!$B$4="All",'Compliance Database'!$A566=Query!$B$4),OR(Query!$B$5="All",ISNUMBER(SEARCH(Query!$B$5,'Compliance Database'!$H566))),OR(Query!$B$6="All",ISNUMBER(SEARCH(Query!$B$6,'Compliance Database'!$I566))),OR(Query!$B$7="All",'Compliance Database'!$F566=Query!$B$7),OR(Query!$B$8="All",'Compliance Database'!$J566=Query!$B$8),OR(Query!$B$9="",ISNUMBER(SEARCH(Query!$B$9,'Compliance Database'!$D566&amp;" "&amp;'Compliance Database'!$K566&amp;" "&amp;'Compliance Database'!$L566&amp;" "&amp;'Compliance Database'!$M566&amp;" "&amp;'Compliance Database'!$N566&amp;" "&amp;'Compliance Database'!$O566))),OR(Query!$B$10&lt;&gt;"Yes",'Compliance Database'!$F566&lt;&gt;"None")),1,0)</f>
        <v/>
      </c>
      <c r="B566">
        <f>IF($A566=1,SUM($A$2:$A566),"")</f>
        <v/>
      </c>
      <c r="C566">
        <f>IF($A566=1,SUM($A$2:$A566),0)</f>
        <v/>
      </c>
    </row>
    <row r="567">
      <c r="A567">
        <f>IF(AND(OR(Query!$B$4="All",'Compliance Database'!$A567=Query!$B$4),OR(Query!$B$5="All",ISNUMBER(SEARCH(Query!$B$5,'Compliance Database'!$H567))),OR(Query!$B$6="All",ISNUMBER(SEARCH(Query!$B$6,'Compliance Database'!$I567))),OR(Query!$B$7="All",'Compliance Database'!$F567=Query!$B$7),OR(Query!$B$8="All",'Compliance Database'!$J567=Query!$B$8),OR(Query!$B$9="",ISNUMBER(SEARCH(Query!$B$9,'Compliance Database'!$D567&amp;" "&amp;'Compliance Database'!$K567&amp;" "&amp;'Compliance Database'!$L567&amp;" "&amp;'Compliance Database'!$M567&amp;" "&amp;'Compliance Database'!$N567&amp;" "&amp;'Compliance Database'!$O567))),OR(Query!$B$10&lt;&gt;"Yes",'Compliance Database'!$F567&lt;&gt;"None")),1,0)</f>
        <v/>
      </c>
      <c r="B567">
        <f>IF($A567=1,SUM($A$2:$A567),"")</f>
        <v/>
      </c>
      <c r="C567">
        <f>IF($A567=1,SUM($A$2:$A567),0)</f>
        <v/>
      </c>
    </row>
    <row r="568">
      <c r="A568">
        <f>IF(AND(OR(Query!$B$4="All",'Compliance Database'!$A568=Query!$B$4),OR(Query!$B$5="All",ISNUMBER(SEARCH(Query!$B$5,'Compliance Database'!$H568))),OR(Query!$B$6="All",ISNUMBER(SEARCH(Query!$B$6,'Compliance Database'!$I568))),OR(Query!$B$7="All",'Compliance Database'!$F568=Query!$B$7),OR(Query!$B$8="All",'Compliance Database'!$J568=Query!$B$8),OR(Query!$B$9="",ISNUMBER(SEARCH(Query!$B$9,'Compliance Database'!$D568&amp;" "&amp;'Compliance Database'!$K568&amp;" "&amp;'Compliance Database'!$L568&amp;" "&amp;'Compliance Database'!$M568&amp;" "&amp;'Compliance Database'!$N568&amp;" "&amp;'Compliance Database'!$O568))),OR(Query!$B$10&lt;&gt;"Yes",'Compliance Database'!$F568&lt;&gt;"None")),1,0)</f>
        <v/>
      </c>
      <c r="B568">
        <f>IF($A568=1,SUM($A$2:$A568),"")</f>
        <v/>
      </c>
      <c r="C568">
        <f>IF($A568=1,SUM($A$2:$A568),0)</f>
        <v/>
      </c>
    </row>
    <row r="569">
      <c r="A569">
        <f>IF(AND(OR(Query!$B$4="All",'Compliance Database'!$A569=Query!$B$4),OR(Query!$B$5="All",ISNUMBER(SEARCH(Query!$B$5,'Compliance Database'!$H569))),OR(Query!$B$6="All",ISNUMBER(SEARCH(Query!$B$6,'Compliance Database'!$I569))),OR(Query!$B$7="All",'Compliance Database'!$F569=Query!$B$7),OR(Query!$B$8="All",'Compliance Database'!$J569=Query!$B$8),OR(Query!$B$9="",ISNUMBER(SEARCH(Query!$B$9,'Compliance Database'!$D569&amp;" "&amp;'Compliance Database'!$K569&amp;" "&amp;'Compliance Database'!$L569&amp;" "&amp;'Compliance Database'!$M569&amp;" "&amp;'Compliance Database'!$N569&amp;" "&amp;'Compliance Database'!$O569))),OR(Query!$B$10&lt;&gt;"Yes",'Compliance Database'!$F569&lt;&gt;"None")),1,0)</f>
        <v/>
      </c>
      <c r="B569">
        <f>IF($A569=1,SUM($A$2:$A569),"")</f>
        <v/>
      </c>
      <c r="C569">
        <f>IF($A569=1,SUM($A$2:$A569),0)</f>
        <v/>
      </c>
    </row>
    <row r="570">
      <c r="A570">
        <f>IF(AND(OR(Query!$B$4="All",'Compliance Database'!$A570=Query!$B$4),OR(Query!$B$5="All",ISNUMBER(SEARCH(Query!$B$5,'Compliance Database'!$H570))),OR(Query!$B$6="All",ISNUMBER(SEARCH(Query!$B$6,'Compliance Database'!$I570))),OR(Query!$B$7="All",'Compliance Database'!$F570=Query!$B$7),OR(Query!$B$8="All",'Compliance Database'!$J570=Query!$B$8),OR(Query!$B$9="",ISNUMBER(SEARCH(Query!$B$9,'Compliance Database'!$D570&amp;" "&amp;'Compliance Database'!$K570&amp;" "&amp;'Compliance Database'!$L570&amp;" "&amp;'Compliance Database'!$M570&amp;" "&amp;'Compliance Database'!$N570&amp;" "&amp;'Compliance Database'!$O570))),OR(Query!$B$10&lt;&gt;"Yes",'Compliance Database'!$F570&lt;&gt;"None")),1,0)</f>
        <v/>
      </c>
      <c r="B570">
        <f>IF($A570=1,SUM($A$2:$A570),"")</f>
        <v/>
      </c>
      <c r="C570">
        <f>IF($A570=1,SUM($A$2:$A570),0)</f>
        <v/>
      </c>
    </row>
    <row r="571">
      <c r="A571">
        <f>IF(AND(OR(Query!$B$4="All",'Compliance Database'!$A571=Query!$B$4),OR(Query!$B$5="All",ISNUMBER(SEARCH(Query!$B$5,'Compliance Database'!$H571))),OR(Query!$B$6="All",ISNUMBER(SEARCH(Query!$B$6,'Compliance Database'!$I571))),OR(Query!$B$7="All",'Compliance Database'!$F571=Query!$B$7),OR(Query!$B$8="All",'Compliance Database'!$J571=Query!$B$8),OR(Query!$B$9="",ISNUMBER(SEARCH(Query!$B$9,'Compliance Database'!$D571&amp;" "&amp;'Compliance Database'!$K571&amp;" "&amp;'Compliance Database'!$L571&amp;" "&amp;'Compliance Database'!$M571&amp;" "&amp;'Compliance Database'!$N571&amp;" "&amp;'Compliance Database'!$O571))),OR(Query!$B$10&lt;&gt;"Yes",'Compliance Database'!$F571&lt;&gt;"None")),1,0)</f>
        <v/>
      </c>
      <c r="B571">
        <f>IF($A571=1,SUM($A$2:$A571),"")</f>
        <v/>
      </c>
      <c r="C571">
        <f>IF($A571=1,SUM($A$2:$A571),0)</f>
        <v/>
      </c>
    </row>
    <row r="572">
      <c r="A572">
        <f>IF(AND(OR(Query!$B$4="All",'Compliance Database'!$A572=Query!$B$4),OR(Query!$B$5="All",ISNUMBER(SEARCH(Query!$B$5,'Compliance Database'!$H572))),OR(Query!$B$6="All",ISNUMBER(SEARCH(Query!$B$6,'Compliance Database'!$I572))),OR(Query!$B$7="All",'Compliance Database'!$F572=Query!$B$7),OR(Query!$B$8="All",'Compliance Database'!$J572=Query!$B$8),OR(Query!$B$9="",ISNUMBER(SEARCH(Query!$B$9,'Compliance Database'!$D572&amp;" "&amp;'Compliance Database'!$K572&amp;" "&amp;'Compliance Database'!$L572&amp;" "&amp;'Compliance Database'!$M572&amp;" "&amp;'Compliance Database'!$N572&amp;" "&amp;'Compliance Database'!$O572))),OR(Query!$B$10&lt;&gt;"Yes",'Compliance Database'!$F572&lt;&gt;"None")),1,0)</f>
        <v/>
      </c>
      <c r="B572">
        <f>IF($A572=1,SUM($A$2:$A572),"")</f>
        <v/>
      </c>
      <c r="C572">
        <f>IF($A572=1,SUM($A$2:$A572),0)</f>
        <v/>
      </c>
    </row>
    <row r="573">
      <c r="A573">
        <f>IF(AND(OR(Query!$B$4="All",'Compliance Database'!$A573=Query!$B$4),OR(Query!$B$5="All",ISNUMBER(SEARCH(Query!$B$5,'Compliance Database'!$H573))),OR(Query!$B$6="All",ISNUMBER(SEARCH(Query!$B$6,'Compliance Database'!$I573))),OR(Query!$B$7="All",'Compliance Database'!$F573=Query!$B$7),OR(Query!$B$8="All",'Compliance Database'!$J573=Query!$B$8),OR(Query!$B$9="",ISNUMBER(SEARCH(Query!$B$9,'Compliance Database'!$D573&amp;" "&amp;'Compliance Database'!$K573&amp;" "&amp;'Compliance Database'!$L573&amp;" "&amp;'Compliance Database'!$M573&amp;" "&amp;'Compliance Database'!$N573&amp;" "&amp;'Compliance Database'!$O573))),OR(Query!$B$10&lt;&gt;"Yes",'Compliance Database'!$F573&lt;&gt;"None")),1,0)</f>
        <v/>
      </c>
      <c r="B573">
        <f>IF($A573=1,SUM($A$2:$A573),"")</f>
        <v/>
      </c>
      <c r="C573">
        <f>IF($A573=1,SUM($A$2:$A573),0)</f>
        <v/>
      </c>
    </row>
    <row r="574">
      <c r="A574">
        <f>IF(AND(OR(Query!$B$4="All",'Compliance Database'!$A574=Query!$B$4),OR(Query!$B$5="All",ISNUMBER(SEARCH(Query!$B$5,'Compliance Database'!$H574))),OR(Query!$B$6="All",ISNUMBER(SEARCH(Query!$B$6,'Compliance Database'!$I574))),OR(Query!$B$7="All",'Compliance Database'!$F574=Query!$B$7),OR(Query!$B$8="All",'Compliance Database'!$J574=Query!$B$8),OR(Query!$B$9="",ISNUMBER(SEARCH(Query!$B$9,'Compliance Database'!$D574&amp;" "&amp;'Compliance Database'!$K574&amp;" "&amp;'Compliance Database'!$L574&amp;" "&amp;'Compliance Database'!$M574&amp;" "&amp;'Compliance Database'!$N574&amp;" "&amp;'Compliance Database'!$O574))),OR(Query!$B$10&lt;&gt;"Yes",'Compliance Database'!$F574&lt;&gt;"None")),1,0)</f>
        <v/>
      </c>
      <c r="B574">
        <f>IF($A574=1,SUM($A$2:$A574),"")</f>
        <v/>
      </c>
      <c r="C574">
        <f>IF($A574=1,SUM($A$2:$A574),0)</f>
        <v/>
      </c>
    </row>
    <row r="575">
      <c r="A575">
        <f>IF(AND(OR(Query!$B$4="All",'Compliance Database'!$A575=Query!$B$4),OR(Query!$B$5="All",ISNUMBER(SEARCH(Query!$B$5,'Compliance Database'!$H575))),OR(Query!$B$6="All",ISNUMBER(SEARCH(Query!$B$6,'Compliance Database'!$I575))),OR(Query!$B$7="All",'Compliance Database'!$F575=Query!$B$7),OR(Query!$B$8="All",'Compliance Database'!$J575=Query!$B$8),OR(Query!$B$9="",ISNUMBER(SEARCH(Query!$B$9,'Compliance Database'!$D575&amp;" "&amp;'Compliance Database'!$K575&amp;" "&amp;'Compliance Database'!$L575&amp;" "&amp;'Compliance Database'!$M575&amp;" "&amp;'Compliance Database'!$N575&amp;" "&amp;'Compliance Database'!$O575))),OR(Query!$B$10&lt;&gt;"Yes",'Compliance Database'!$F575&lt;&gt;"None")),1,0)</f>
        <v/>
      </c>
      <c r="B575">
        <f>IF($A575=1,SUM($A$2:$A575),"")</f>
        <v/>
      </c>
      <c r="C575">
        <f>IF($A575=1,SUM($A$2:$A575),0)</f>
        <v/>
      </c>
    </row>
    <row r="576">
      <c r="A576">
        <f>IF(AND(OR(Query!$B$4="All",'Compliance Database'!$A576=Query!$B$4),OR(Query!$B$5="All",ISNUMBER(SEARCH(Query!$B$5,'Compliance Database'!$H576))),OR(Query!$B$6="All",ISNUMBER(SEARCH(Query!$B$6,'Compliance Database'!$I576))),OR(Query!$B$7="All",'Compliance Database'!$F576=Query!$B$7),OR(Query!$B$8="All",'Compliance Database'!$J576=Query!$B$8),OR(Query!$B$9="",ISNUMBER(SEARCH(Query!$B$9,'Compliance Database'!$D576&amp;" "&amp;'Compliance Database'!$K576&amp;" "&amp;'Compliance Database'!$L576&amp;" "&amp;'Compliance Database'!$M576&amp;" "&amp;'Compliance Database'!$N576&amp;" "&amp;'Compliance Database'!$O576))),OR(Query!$B$10&lt;&gt;"Yes",'Compliance Database'!$F576&lt;&gt;"None")),1,0)</f>
        <v/>
      </c>
      <c r="B576">
        <f>IF($A576=1,SUM($A$2:$A576),"")</f>
        <v/>
      </c>
      <c r="C576">
        <f>IF($A576=1,SUM($A$2:$A576),0)</f>
        <v/>
      </c>
    </row>
    <row r="577">
      <c r="A577">
        <f>IF(AND(OR(Query!$B$4="All",'Compliance Database'!$A577=Query!$B$4),OR(Query!$B$5="All",ISNUMBER(SEARCH(Query!$B$5,'Compliance Database'!$H577))),OR(Query!$B$6="All",ISNUMBER(SEARCH(Query!$B$6,'Compliance Database'!$I577))),OR(Query!$B$7="All",'Compliance Database'!$F577=Query!$B$7),OR(Query!$B$8="All",'Compliance Database'!$J577=Query!$B$8),OR(Query!$B$9="",ISNUMBER(SEARCH(Query!$B$9,'Compliance Database'!$D577&amp;" "&amp;'Compliance Database'!$K577&amp;" "&amp;'Compliance Database'!$L577&amp;" "&amp;'Compliance Database'!$M577&amp;" "&amp;'Compliance Database'!$N577&amp;" "&amp;'Compliance Database'!$O577))),OR(Query!$B$10&lt;&gt;"Yes",'Compliance Database'!$F577&lt;&gt;"None")),1,0)</f>
        <v/>
      </c>
      <c r="B577">
        <f>IF($A577=1,SUM($A$2:$A577),"")</f>
        <v/>
      </c>
      <c r="C577">
        <f>IF($A577=1,SUM($A$2:$A577),0)</f>
        <v/>
      </c>
    </row>
    <row r="578">
      <c r="A578">
        <f>IF(AND(OR(Query!$B$4="All",'Compliance Database'!$A578=Query!$B$4),OR(Query!$B$5="All",ISNUMBER(SEARCH(Query!$B$5,'Compliance Database'!$H578))),OR(Query!$B$6="All",ISNUMBER(SEARCH(Query!$B$6,'Compliance Database'!$I578))),OR(Query!$B$7="All",'Compliance Database'!$F578=Query!$B$7),OR(Query!$B$8="All",'Compliance Database'!$J578=Query!$B$8),OR(Query!$B$9="",ISNUMBER(SEARCH(Query!$B$9,'Compliance Database'!$D578&amp;" "&amp;'Compliance Database'!$K578&amp;" "&amp;'Compliance Database'!$L578&amp;" "&amp;'Compliance Database'!$M578&amp;" "&amp;'Compliance Database'!$N578&amp;" "&amp;'Compliance Database'!$O578))),OR(Query!$B$10&lt;&gt;"Yes",'Compliance Database'!$F578&lt;&gt;"None")),1,0)</f>
        <v/>
      </c>
      <c r="B578">
        <f>IF($A578=1,SUM($A$2:$A578),"")</f>
        <v/>
      </c>
      <c r="C578">
        <f>IF($A578=1,SUM($A$2:$A578),0)</f>
        <v/>
      </c>
    </row>
    <row r="579">
      <c r="A579">
        <f>IF(AND(OR(Query!$B$4="All",'Compliance Database'!$A579=Query!$B$4),OR(Query!$B$5="All",ISNUMBER(SEARCH(Query!$B$5,'Compliance Database'!$H579))),OR(Query!$B$6="All",ISNUMBER(SEARCH(Query!$B$6,'Compliance Database'!$I579))),OR(Query!$B$7="All",'Compliance Database'!$F579=Query!$B$7),OR(Query!$B$8="All",'Compliance Database'!$J579=Query!$B$8),OR(Query!$B$9="",ISNUMBER(SEARCH(Query!$B$9,'Compliance Database'!$D579&amp;" "&amp;'Compliance Database'!$K579&amp;" "&amp;'Compliance Database'!$L579&amp;" "&amp;'Compliance Database'!$M579&amp;" "&amp;'Compliance Database'!$N579&amp;" "&amp;'Compliance Database'!$O579))),OR(Query!$B$10&lt;&gt;"Yes",'Compliance Database'!$F579&lt;&gt;"None")),1,0)</f>
        <v/>
      </c>
      <c r="B579">
        <f>IF($A579=1,SUM($A$2:$A579),"")</f>
        <v/>
      </c>
      <c r="C579">
        <f>IF($A579=1,SUM($A$2:$A579),0)</f>
        <v/>
      </c>
    </row>
    <row r="580">
      <c r="A580">
        <f>IF(AND(OR(Query!$B$4="All",'Compliance Database'!$A580=Query!$B$4),OR(Query!$B$5="All",ISNUMBER(SEARCH(Query!$B$5,'Compliance Database'!$H580))),OR(Query!$B$6="All",ISNUMBER(SEARCH(Query!$B$6,'Compliance Database'!$I580))),OR(Query!$B$7="All",'Compliance Database'!$F580=Query!$B$7),OR(Query!$B$8="All",'Compliance Database'!$J580=Query!$B$8),OR(Query!$B$9="",ISNUMBER(SEARCH(Query!$B$9,'Compliance Database'!$D580&amp;" "&amp;'Compliance Database'!$K580&amp;" "&amp;'Compliance Database'!$L580&amp;" "&amp;'Compliance Database'!$M580&amp;" "&amp;'Compliance Database'!$N580&amp;" "&amp;'Compliance Database'!$O580))),OR(Query!$B$10&lt;&gt;"Yes",'Compliance Database'!$F580&lt;&gt;"None")),1,0)</f>
        <v/>
      </c>
      <c r="B580">
        <f>IF($A580=1,SUM($A$2:$A580),"")</f>
        <v/>
      </c>
      <c r="C580">
        <f>IF($A580=1,SUM($A$2:$A580),0)</f>
        <v/>
      </c>
    </row>
    <row r="581">
      <c r="A581">
        <f>IF(AND(OR(Query!$B$4="All",'Compliance Database'!$A581=Query!$B$4),OR(Query!$B$5="All",ISNUMBER(SEARCH(Query!$B$5,'Compliance Database'!$H581))),OR(Query!$B$6="All",ISNUMBER(SEARCH(Query!$B$6,'Compliance Database'!$I581))),OR(Query!$B$7="All",'Compliance Database'!$F581=Query!$B$7),OR(Query!$B$8="All",'Compliance Database'!$J581=Query!$B$8),OR(Query!$B$9="",ISNUMBER(SEARCH(Query!$B$9,'Compliance Database'!$D581&amp;" "&amp;'Compliance Database'!$K581&amp;" "&amp;'Compliance Database'!$L581&amp;" "&amp;'Compliance Database'!$M581&amp;" "&amp;'Compliance Database'!$N581&amp;" "&amp;'Compliance Database'!$O581))),OR(Query!$B$10&lt;&gt;"Yes",'Compliance Database'!$F581&lt;&gt;"None")),1,0)</f>
        <v/>
      </c>
      <c r="B581">
        <f>IF($A581=1,SUM($A$2:$A581),"")</f>
        <v/>
      </c>
      <c r="C581">
        <f>IF($A581=1,SUM($A$2:$A581),0)</f>
        <v/>
      </c>
    </row>
    <row r="582">
      <c r="A582">
        <f>IF(AND(OR(Query!$B$4="All",'Compliance Database'!$A582=Query!$B$4),OR(Query!$B$5="All",ISNUMBER(SEARCH(Query!$B$5,'Compliance Database'!$H582))),OR(Query!$B$6="All",ISNUMBER(SEARCH(Query!$B$6,'Compliance Database'!$I582))),OR(Query!$B$7="All",'Compliance Database'!$F582=Query!$B$7),OR(Query!$B$8="All",'Compliance Database'!$J582=Query!$B$8),OR(Query!$B$9="",ISNUMBER(SEARCH(Query!$B$9,'Compliance Database'!$D582&amp;" "&amp;'Compliance Database'!$K582&amp;" "&amp;'Compliance Database'!$L582&amp;" "&amp;'Compliance Database'!$M582&amp;" "&amp;'Compliance Database'!$N582&amp;" "&amp;'Compliance Database'!$O582))),OR(Query!$B$10&lt;&gt;"Yes",'Compliance Database'!$F582&lt;&gt;"None")),1,0)</f>
        <v/>
      </c>
      <c r="B582">
        <f>IF($A582=1,SUM($A$2:$A582),"")</f>
        <v/>
      </c>
      <c r="C582">
        <f>IF($A582=1,SUM($A$2:$A582),0)</f>
        <v/>
      </c>
    </row>
    <row r="583">
      <c r="A583">
        <f>IF(AND(OR(Query!$B$4="All",'Compliance Database'!$A583=Query!$B$4),OR(Query!$B$5="All",ISNUMBER(SEARCH(Query!$B$5,'Compliance Database'!$H583))),OR(Query!$B$6="All",ISNUMBER(SEARCH(Query!$B$6,'Compliance Database'!$I583))),OR(Query!$B$7="All",'Compliance Database'!$F583=Query!$B$7),OR(Query!$B$8="All",'Compliance Database'!$J583=Query!$B$8),OR(Query!$B$9="",ISNUMBER(SEARCH(Query!$B$9,'Compliance Database'!$D583&amp;" "&amp;'Compliance Database'!$K583&amp;" "&amp;'Compliance Database'!$L583&amp;" "&amp;'Compliance Database'!$M583&amp;" "&amp;'Compliance Database'!$N583&amp;" "&amp;'Compliance Database'!$O583))),OR(Query!$B$10&lt;&gt;"Yes",'Compliance Database'!$F583&lt;&gt;"None")),1,0)</f>
        <v/>
      </c>
      <c r="B583">
        <f>IF($A583=1,SUM($A$2:$A583),"")</f>
        <v/>
      </c>
      <c r="C583">
        <f>IF($A583=1,SUM($A$2:$A583),0)</f>
        <v/>
      </c>
    </row>
    <row r="584">
      <c r="A584">
        <f>IF(AND(OR(Query!$B$4="All",'Compliance Database'!$A584=Query!$B$4),OR(Query!$B$5="All",ISNUMBER(SEARCH(Query!$B$5,'Compliance Database'!$H584))),OR(Query!$B$6="All",ISNUMBER(SEARCH(Query!$B$6,'Compliance Database'!$I584))),OR(Query!$B$7="All",'Compliance Database'!$F584=Query!$B$7),OR(Query!$B$8="All",'Compliance Database'!$J584=Query!$B$8),OR(Query!$B$9="",ISNUMBER(SEARCH(Query!$B$9,'Compliance Database'!$D584&amp;" "&amp;'Compliance Database'!$K584&amp;" "&amp;'Compliance Database'!$L584&amp;" "&amp;'Compliance Database'!$M584&amp;" "&amp;'Compliance Database'!$N584&amp;" "&amp;'Compliance Database'!$O584))),OR(Query!$B$10&lt;&gt;"Yes",'Compliance Database'!$F584&lt;&gt;"None")),1,0)</f>
        <v/>
      </c>
      <c r="B584">
        <f>IF($A584=1,SUM($A$2:$A584),"")</f>
        <v/>
      </c>
      <c r="C584">
        <f>IF($A584=1,SUM($A$2:$A584),0)</f>
        <v/>
      </c>
    </row>
    <row r="585">
      <c r="A585">
        <f>IF(AND(OR(Query!$B$4="All",'Compliance Database'!$A585=Query!$B$4),OR(Query!$B$5="All",ISNUMBER(SEARCH(Query!$B$5,'Compliance Database'!$H585))),OR(Query!$B$6="All",ISNUMBER(SEARCH(Query!$B$6,'Compliance Database'!$I585))),OR(Query!$B$7="All",'Compliance Database'!$F585=Query!$B$7),OR(Query!$B$8="All",'Compliance Database'!$J585=Query!$B$8),OR(Query!$B$9="",ISNUMBER(SEARCH(Query!$B$9,'Compliance Database'!$D585&amp;" "&amp;'Compliance Database'!$K585&amp;" "&amp;'Compliance Database'!$L585&amp;" "&amp;'Compliance Database'!$M585&amp;" "&amp;'Compliance Database'!$N585&amp;" "&amp;'Compliance Database'!$O585))),OR(Query!$B$10&lt;&gt;"Yes",'Compliance Database'!$F585&lt;&gt;"None")),1,0)</f>
        <v/>
      </c>
      <c r="B585">
        <f>IF($A585=1,SUM($A$2:$A585),"")</f>
        <v/>
      </c>
      <c r="C585">
        <f>IF($A585=1,SUM($A$2:$A585),0)</f>
        <v/>
      </c>
    </row>
    <row r="586">
      <c r="A586">
        <f>IF(AND(OR(Query!$B$4="All",'Compliance Database'!$A586=Query!$B$4),OR(Query!$B$5="All",ISNUMBER(SEARCH(Query!$B$5,'Compliance Database'!$H586))),OR(Query!$B$6="All",ISNUMBER(SEARCH(Query!$B$6,'Compliance Database'!$I586))),OR(Query!$B$7="All",'Compliance Database'!$F586=Query!$B$7),OR(Query!$B$8="All",'Compliance Database'!$J586=Query!$B$8),OR(Query!$B$9="",ISNUMBER(SEARCH(Query!$B$9,'Compliance Database'!$D586&amp;" "&amp;'Compliance Database'!$K586&amp;" "&amp;'Compliance Database'!$L586&amp;" "&amp;'Compliance Database'!$M586&amp;" "&amp;'Compliance Database'!$N586&amp;" "&amp;'Compliance Database'!$O586))),OR(Query!$B$10&lt;&gt;"Yes",'Compliance Database'!$F586&lt;&gt;"None")),1,0)</f>
        <v/>
      </c>
      <c r="B586">
        <f>IF($A586=1,SUM($A$2:$A586),"")</f>
        <v/>
      </c>
      <c r="C586">
        <f>IF($A586=1,SUM($A$2:$A586),0)</f>
        <v/>
      </c>
    </row>
    <row r="587">
      <c r="A587">
        <f>IF(AND(OR(Query!$B$4="All",'Compliance Database'!$A587=Query!$B$4),OR(Query!$B$5="All",ISNUMBER(SEARCH(Query!$B$5,'Compliance Database'!$H587))),OR(Query!$B$6="All",ISNUMBER(SEARCH(Query!$B$6,'Compliance Database'!$I587))),OR(Query!$B$7="All",'Compliance Database'!$F587=Query!$B$7),OR(Query!$B$8="All",'Compliance Database'!$J587=Query!$B$8),OR(Query!$B$9="",ISNUMBER(SEARCH(Query!$B$9,'Compliance Database'!$D587&amp;" "&amp;'Compliance Database'!$K587&amp;" "&amp;'Compliance Database'!$L587&amp;" "&amp;'Compliance Database'!$M587&amp;" "&amp;'Compliance Database'!$N587&amp;" "&amp;'Compliance Database'!$O587))),OR(Query!$B$10&lt;&gt;"Yes",'Compliance Database'!$F587&lt;&gt;"None")),1,0)</f>
        <v/>
      </c>
      <c r="B587">
        <f>IF($A587=1,SUM($A$2:$A587),"")</f>
        <v/>
      </c>
      <c r="C587">
        <f>IF($A587=1,SUM($A$2:$A587),0)</f>
        <v/>
      </c>
    </row>
    <row r="588">
      <c r="A588">
        <f>IF(AND(OR(Query!$B$4="All",'Compliance Database'!$A588=Query!$B$4),OR(Query!$B$5="All",ISNUMBER(SEARCH(Query!$B$5,'Compliance Database'!$H588))),OR(Query!$B$6="All",ISNUMBER(SEARCH(Query!$B$6,'Compliance Database'!$I588))),OR(Query!$B$7="All",'Compliance Database'!$F588=Query!$B$7),OR(Query!$B$8="All",'Compliance Database'!$J588=Query!$B$8),OR(Query!$B$9="",ISNUMBER(SEARCH(Query!$B$9,'Compliance Database'!$D588&amp;" "&amp;'Compliance Database'!$K588&amp;" "&amp;'Compliance Database'!$L588&amp;" "&amp;'Compliance Database'!$M588&amp;" "&amp;'Compliance Database'!$N588&amp;" "&amp;'Compliance Database'!$O588))),OR(Query!$B$10&lt;&gt;"Yes",'Compliance Database'!$F588&lt;&gt;"None")),1,0)</f>
        <v/>
      </c>
      <c r="B588">
        <f>IF($A588=1,SUM($A$2:$A588),"")</f>
        <v/>
      </c>
      <c r="C588">
        <f>IF($A588=1,SUM($A$2:$A588),0)</f>
        <v/>
      </c>
    </row>
    <row r="589">
      <c r="A589">
        <f>IF(AND(OR(Query!$B$4="All",'Compliance Database'!$A589=Query!$B$4),OR(Query!$B$5="All",ISNUMBER(SEARCH(Query!$B$5,'Compliance Database'!$H589))),OR(Query!$B$6="All",ISNUMBER(SEARCH(Query!$B$6,'Compliance Database'!$I589))),OR(Query!$B$7="All",'Compliance Database'!$F589=Query!$B$7),OR(Query!$B$8="All",'Compliance Database'!$J589=Query!$B$8),OR(Query!$B$9="",ISNUMBER(SEARCH(Query!$B$9,'Compliance Database'!$D589&amp;" "&amp;'Compliance Database'!$K589&amp;" "&amp;'Compliance Database'!$L589&amp;" "&amp;'Compliance Database'!$M589&amp;" "&amp;'Compliance Database'!$N589&amp;" "&amp;'Compliance Database'!$O589))),OR(Query!$B$10&lt;&gt;"Yes",'Compliance Database'!$F589&lt;&gt;"None")),1,0)</f>
        <v/>
      </c>
      <c r="B589">
        <f>IF($A589=1,SUM($A$2:$A589),"")</f>
        <v/>
      </c>
      <c r="C589">
        <f>IF($A589=1,SUM($A$2:$A589),0)</f>
        <v/>
      </c>
    </row>
    <row r="590">
      <c r="A590">
        <f>IF(AND(OR(Query!$B$4="All",'Compliance Database'!$A590=Query!$B$4),OR(Query!$B$5="All",ISNUMBER(SEARCH(Query!$B$5,'Compliance Database'!$H590))),OR(Query!$B$6="All",ISNUMBER(SEARCH(Query!$B$6,'Compliance Database'!$I590))),OR(Query!$B$7="All",'Compliance Database'!$F590=Query!$B$7),OR(Query!$B$8="All",'Compliance Database'!$J590=Query!$B$8),OR(Query!$B$9="",ISNUMBER(SEARCH(Query!$B$9,'Compliance Database'!$D590&amp;" "&amp;'Compliance Database'!$K590&amp;" "&amp;'Compliance Database'!$L590&amp;" "&amp;'Compliance Database'!$M590&amp;" "&amp;'Compliance Database'!$N590&amp;" "&amp;'Compliance Database'!$O590))),OR(Query!$B$10&lt;&gt;"Yes",'Compliance Database'!$F590&lt;&gt;"None")),1,0)</f>
        <v/>
      </c>
      <c r="B590">
        <f>IF($A590=1,SUM($A$2:$A590),"")</f>
        <v/>
      </c>
      <c r="C590">
        <f>IF($A590=1,SUM($A$2:$A590),0)</f>
        <v/>
      </c>
    </row>
    <row r="591">
      <c r="A591">
        <f>IF(AND(OR(Query!$B$4="All",'Compliance Database'!$A591=Query!$B$4),OR(Query!$B$5="All",ISNUMBER(SEARCH(Query!$B$5,'Compliance Database'!$H591))),OR(Query!$B$6="All",ISNUMBER(SEARCH(Query!$B$6,'Compliance Database'!$I591))),OR(Query!$B$7="All",'Compliance Database'!$F591=Query!$B$7),OR(Query!$B$8="All",'Compliance Database'!$J591=Query!$B$8),OR(Query!$B$9="",ISNUMBER(SEARCH(Query!$B$9,'Compliance Database'!$D591&amp;" "&amp;'Compliance Database'!$K591&amp;" "&amp;'Compliance Database'!$L591&amp;" "&amp;'Compliance Database'!$M591&amp;" "&amp;'Compliance Database'!$N591&amp;" "&amp;'Compliance Database'!$O591))),OR(Query!$B$10&lt;&gt;"Yes",'Compliance Database'!$F591&lt;&gt;"None")),1,0)</f>
        <v/>
      </c>
      <c r="B591">
        <f>IF($A591=1,SUM($A$2:$A591),"")</f>
        <v/>
      </c>
      <c r="C591">
        <f>IF($A591=1,SUM($A$2:$A591),0)</f>
        <v/>
      </c>
    </row>
    <row r="592">
      <c r="A592">
        <f>IF(AND(OR(Query!$B$4="All",'Compliance Database'!$A592=Query!$B$4),OR(Query!$B$5="All",ISNUMBER(SEARCH(Query!$B$5,'Compliance Database'!$H592))),OR(Query!$B$6="All",ISNUMBER(SEARCH(Query!$B$6,'Compliance Database'!$I592))),OR(Query!$B$7="All",'Compliance Database'!$F592=Query!$B$7),OR(Query!$B$8="All",'Compliance Database'!$J592=Query!$B$8),OR(Query!$B$9="",ISNUMBER(SEARCH(Query!$B$9,'Compliance Database'!$D592&amp;" "&amp;'Compliance Database'!$K592&amp;" "&amp;'Compliance Database'!$L592&amp;" "&amp;'Compliance Database'!$M592&amp;" "&amp;'Compliance Database'!$N592&amp;" "&amp;'Compliance Database'!$O592))),OR(Query!$B$10&lt;&gt;"Yes",'Compliance Database'!$F592&lt;&gt;"None")),1,0)</f>
        <v/>
      </c>
      <c r="B592">
        <f>IF($A592=1,SUM($A$2:$A592),"")</f>
        <v/>
      </c>
      <c r="C592">
        <f>IF($A592=1,SUM($A$2:$A592),0)</f>
        <v/>
      </c>
    </row>
    <row r="593">
      <c r="A593">
        <f>IF(AND(OR(Query!$B$4="All",'Compliance Database'!$A593=Query!$B$4),OR(Query!$B$5="All",ISNUMBER(SEARCH(Query!$B$5,'Compliance Database'!$H593))),OR(Query!$B$6="All",ISNUMBER(SEARCH(Query!$B$6,'Compliance Database'!$I593))),OR(Query!$B$7="All",'Compliance Database'!$F593=Query!$B$7),OR(Query!$B$8="All",'Compliance Database'!$J593=Query!$B$8),OR(Query!$B$9="",ISNUMBER(SEARCH(Query!$B$9,'Compliance Database'!$D593&amp;" "&amp;'Compliance Database'!$K593&amp;" "&amp;'Compliance Database'!$L593&amp;" "&amp;'Compliance Database'!$M593&amp;" "&amp;'Compliance Database'!$N593&amp;" "&amp;'Compliance Database'!$O593))),OR(Query!$B$10&lt;&gt;"Yes",'Compliance Database'!$F593&lt;&gt;"None")),1,0)</f>
        <v/>
      </c>
      <c r="B593">
        <f>IF($A593=1,SUM($A$2:$A593),"")</f>
        <v/>
      </c>
      <c r="C593">
        <f>IF($A593=1,SUM($A$2:$A593),0)</f>
        <v/>
      </c>
    </row>
    <row r="594">
      <c r="A594">
        <f>IF(AND(OR(Query!$B$4="All",'Compliance Database'!$A594=Query!$B$4),OR(Query!$B$5="All",ISNUMBER(SEARCH(Query!$B$5,'Compliance Database'!$H594))),OR(Query!$B$6="All",ISNUMBER(SEARCH(Query!$B$6,'Compliance Database'!$I594))),OR(Query!$B$7="All",'Compliance Database'!$F594=Query!$B$7),OR(Query!$B$8="All",'Compliance Database'!$J594=Query!$B$8),OR(Query!$B$9="",ISNUMBER(SEARCH(Query!$B$9,'Compliance Database'!$D594&amp;" "&amp;'Compliance Database'!$K594&amp;" "&amp;'Compliance Database'!$L594&amp;" "&amp;'Compliance Database'!$M594&amp;" "&amp;'Compliance Database'!$N594&amp;" "&amp;'Compliance Database'!$O594))),OR(Query!$B$10&lt;&gt;"Yes",'Compliance Database'!$F594&lt;&gt;"None")),1,0)</f>
        <v/>
      </c>
      <c r="B594">
        <f>IF($A594=1,SUM($A$2:$A594),"")</f>
        <v/>
      </c>
      <c r="C594">
        <f>IF($A594=1,SUM($A$2:$A594),0)</f>
        <v/>
      </c>
    </row>
    <row r="595">
      <c r="A595">
        <f>IF(AND(OR(Query!$B$4="All",'Compliance Database'!$A595=Query!$B$4),OR(Query!$B$5="All",ISNUMBER(SEARCH(Query!$B$5,'Compliance Database'!$H595))),OR(Query!$B$6="All",ISNUMBER(SEARCH(Query!$B$6,'Compliance Database'!$I595))),OR(Query!$B$7="All",'Compliance Database'!$F595=Query!$B$7),OR(Query!$B$8="All",'Compliance Database'!$J595=Query!$B$8),OR(Query!$B$9="",ISNUMBER(SEARCH(Query!$B$9,'Compliance Database'!$D595&amp;" "&amp;'Compliance Database'!$K595&amp;" "&amp;'Compliance Database'!$L595&amp;" "&amp;'Compliance Database'!$M595&amp;" "&amp;'Compliance Database'!$N595&amp;" "&amp;'Compliance Database'!$O595))),OR(Query!$B$10&lt;&gt;"Yes",'Compliance Database'!$F595&lt;&gt;"None")),1,0)</f>
        <v/>
      </c>
      <c r="B595">
        <f>IF($A595=1,SUM($A$2:$A595),"")</f>
        <v/>
      </c>
      <c r="C595">
        <f>IF($A595=1,SUM($A$2:$A595),0)</f>
        <v/>
      </c>
    </row>
    <row r="596">
      <c r="A596">
        <f>IF(AND(OR(Query!$B$4="All",'Compliance Database'!$A596=Query!$B$4),OR(Query!$B$5="All",ISNUMBER(SEARCH(Query!$B$5,'Compliance Database'!$H596))),OR(Query!$B$6="All",ISNUMBER(SEARCH(Query!$B$6,'Compliance Database'!$I596))),OR(Query!$B$7="All",'Compliance Database'!$F596=Query!$B$7),OR(Query!$B$8="All",'Compliance Database'!$J596=Query!$B$8),OR(Query!$B$9="",ISNUMBER(SEARCH(Query!$B$9,'Compliance Database'!$D596&amp;" "&amp;'Compliance Database'!$K596&amp;" "&amp;'Compliance Database'!$L596&amp;" "&amp;'Compliance Database'!$M596&amp;" "&amp;'Compliance Database'!$N596&amp;" "&amp;'Compliance Database'!$O596))),OR(Query!$B$10&lt;&gt;"Yes",'Compliance Database'!$F596&lt;&gt;"None")),1,0)</f>
        <v/>
      </c>
      <c r="B596">
        <f>IF($A596=1,SUM($A$2:$A596),"")</f>
        <v/>
      </c>
      <c r="C596">
        <f>IF($A596=1,SUM($A$2:$A596),0)</f>
        <v/>
      </c>
    </row>
    <row r="597">
      <c r="A597">
        <f>IF(AND(OR(Query!$B$4="All",'Compliance Database'!$A597=Query!$B$4),OR(Query!$B$5="All",ISNUMBER(SEARCH(Query!$B$5,'Compliance Database'!$H597))),OR(Query!$B$6="All",ISNUMBER(SEARCH(Query!$B$6,'Compliance Database'!$I597))),OR(Query!$B$7="All",'Compliance Database'!$F597=Query!$B$7),OR(Query!$B$8="All",'Compliance Database'!$J597=Query!$B$8),OR(Query!$B$9="",ISNUMBER(SEARCH(Query!$B$9,'Compliance Database'!$D597&amp;" "&amp;'Compliance Database'!$K597&amp;" "&amp;'Compliance Database'!$L597&amp;" "&amp;'Compliance Database'!$M597&amp;" "&amp;'Compliance Database'!$N597&amp;" "&amp;'Compliance Database'!$O597))),OR(Query!$B$10&lt;&gt;"Yes",'Compliance Database'!$F597&lt;&gt;"None")),1,0)</f>
        <v/>
      </c>
      <c r="B597">
        <f>IF($A597=1,SUM($A$2:$A597),"")</f>
        <v/>
      </c>
      <c r="C597">
        <f>IF($A597=1,SUM($A$2:$A597),0)</f>
        <v/>
      </c>
    </row>
    <row r="598">
      <c r="A598">
        <f>IF(AND(OR(Query!$B$4="All",'Compliance Database'!$A598=Query!$B$4),OR(Query!$B$5="All",ISNUMBER(SEARCH(Query!$B$5,'Compliance Database'!$H598))),OR(Query!$B$6="All",ISNUMBER(SEARCH(Query!$B$6,'Compliance Database'!$I598))),OR(Query!$B$7="All",'Compliance Database'!$F598=Query!$B$7),OR(Query!$B$8="All",'Compliance Database'!$J598=Query!$B$8),OR(Query!$B$9="",ISNUMBER(SEARCH(Query!$B$9,'Compliance Database'!$D598&amp;" "&amp;'Compliance Database'!$K598&amp;" "&amp;'Compliance Database'!$L598&amp;" "&amp;'Compliance Database'!$M598&amp;" "&amp;'Compliance Database'!$N598&amp;" "&amp;'Compliance Database'!$O598))),OR(Query!$B$10&lt;&gt;"Yes",'Compliance Database'!$F598&lt;&gt;"None")),1,0)</f>
        <v/>
      </c>
      <c r="B598">
        <f>IF($A598=1,SUM($A$2:$A598),"")</f>
        <v/>
      </c>
      <c r="C598">
        <f>IF($A598=1,SUM($A$2:$A598),0)</f>
        <v/>
      </c>
    </row>
    <row r="599">
      <c r="A599">
        <f>IF(AND(OR(Query!$B$4="All",'Compliance Database'!$A599=Query!$B$4),OR(Query!$B$5="All",ISNUMBER(SEARCH(Query!$B$5,'Compliance Database'!$H599))),OR(Query!$B$6="All",ISNUMBER(SEARCH(Query!$B$6,'Compliance Database'!$I599))),OR(Query!$B$7="All",'Compliance Database'!$F599=Query!$B$7),OR(Query!$B$8="All",'Compliance Database'!$J599=Query!$B$8),OR(Query!$B$9="",ISNUMBER(SEARCH(Query!$B$9,'Compliance Database'!$D599&amp;" "&amp;'Compliance Database'!$K599&amp;" "&amp;'Compliance Database'!$L599&amp;" "&amp;'Compliance Database'!$M599&amp;" "&amp;'Compliance Database'!$N599&amp;" "&amp;'Compliance Database'!$O599))),OR(Query!$B$10&lt;&gt;"Yes",'Compliance Database'!$F599&lt;&gt;"None")),1,0)</f>
        <v/>
      </c>
      <c r="B599">
        <f>IF($A599=1,SUM($A$2:$A599),"")</f>
        <v/>
      </c>
      <c r="C599">
        <f>IF($A599=1,SUM($A$2:$A599),0)</f>
        <v/>
      </c>
    </row>
    <row r="600">
      <c r="A600">
        <f>IF(AND(OR(Query!$B$4="All",'Compliance Database'!$A600=Query!$B$4),OR(Query!$B$5="All",ISNUMBER(SEARCH(Query!$B$5,'Compliance Database'!$H600))),OR(Query!$B$6="All",ISNUMBER(SEARCH(Query!$B$6,'Compliance Database'!$I600))),OR(Query!$B$7="All",'Compliance Database'!$F600=Query!$B$7),OR(Query!$B$8="All",'Compliance Database'!$J600=Query!$B$8),OR(Query!$B$9="",ISNUMBER(SEARCH(Query!$B$9,'Compliance Database'!$D600&amp;" "&amp;'Compliance Database'!$K600&amp;" "&amp;'Compliance Database'!$L600&amp;" "&amp;'Compliance Database'!$M600&amp;" "&amp;'Compliance Database'!$N600&amp;" "&amp;'Compliance Database'!$O600))),OR(Query!$B$10&lt;&gt;"Yes",'Compliance Database'!$F600&lt;&gt;"None")),1,0)</f>
        <v/>
      </c>
      <c r="B600">
        <f>IF($A600=1,SUM($A$2:$A600),"")</f>
        <v/>
      </c>
      <c r="C600">
        <f>IF($A600=1,SUM($A$2:$A600),0)</f>
        <v/>
      </c>
    </row>
    <row r="601">
      <c r="A601">
        <f>IF(AND(OR(Query!$B$4="All",'Compliance Database'!$A601=Query!$B$4),OR(Query!$B$5="All",ISNUMBER(SEARCH(Query!$B$5,'Compliance Database'!$H601))),OR(Query!$B$6="All",ISNUMBER(SEARCH(Query!$B$6,'Compliance Database'!$I601))),OR(Query!$B$7="All",'Compliance Database'!$F601=Query!$B$7),OR(Query!$B$8="All",'Compliance Database'!$J601=Query!$B$8),OR(Query!$B$9="",ISNUMBER(SEARCH(Query!$B$9,'Compliance Database'!$D601&amp;" "&amp;'Compliance Database'!$K601&amp;" "&amp;'Compliance Database'!$L601&amp;" "&amp;'Compliance Database'!$M601&amp;" "&amp;'Compliance Database'!$N601&amp;" "&amp;'Compliance Database'!$O601))),OR(Query!$B$10&lt;&gt;"Yes",'Compliance Database'!$F601&lt;&gt;"None")),1,0)</f>
        <v/>
      </c>
      <c r="B601">
        <f>IF($A601=1,SUM($A$2:$A601),"")</f>
        <v/>
      </c>
      <c r="C601">
        <f>IF($A601=1,SUM($A$2:$A601),0)</f>
        <v/>
      </c>
    </row>
    <row r="602">
      <c r="A602">
        <f>IF(AND(OR(Query!$B$4="All",'Compliance Database'!$A602=Query!$B$4),OR(Query!$B$5="All",ISNUMBER(SEARCH(Query!$B$5,'Compliance Database'!$H602))),OR(Query!$B$6="All",ISNUMBER(SEARCH(Query!$B$6,'Compliance Database'!$I602))),OR(Query!$B$7="All",'Compliance Database'!$F602=Query!$B$7),OR(Query!$B$8="All",'Compliance Database'!$J602=Query!$B$8),OR(Query!$B$9="",ISNUMBER(SEARCH(Query!$B$9,'Compliance Database'!$D602&amp;" "&amp;'Compliance Database'!$K602&amp;" "&amp;'Compliance Database'!$L602&amp;" "&amp;'Compliance Database'!$M602&amp;" "&amp;'Compliance Database'!$N602&amp;" "&amp;'Compliance Database'!$O602))),OR(Query!$B$10&lt;&gt;"Yes",'Compliance Database'!$F602&lt;&gt;"None")),1,0)</f>
        <v/>
      </c>
      <c r="B602">
        <f>IF($A602=1,SUM($A$2:$A602),"")</f>
        <v/>
      </c>
      <c r="C602">
        <f>IF($A602=1,SUM($A$2:$A602),0)</f>
        <v/>
      </c>
    </row>
    <row r="603">
      <c r="A603">
        <f>IF(AND(OR(Query!$B$4="All",'Compliance Database'!$A603=Query!$B$4),OR(Query!$B$5="All",ISNUMBER(SEARCH(Query!$B$5,'Compliance Database'!$H603))),OR(Query!$B$6="All",ISNUMBER(SEARCH(Query!$B$6,'Compliance Database'!$I603))),OR(Query!$B$7="All",'Compliance Database'!$F603=Query!$B$7),OR(Query!$B$8="All",'Compliance Database'!$J603=Query!$B$8),OR(Query!$B$9="",ISNUMBER(SEARCH(Query!$B$9,'Compliance Database'!$D603&amp;" "&amp;'Compliance Database'!$K603&amp;" "&amp;'Compliance Database'!$L603&amp;" "&amp;'Compliance Database'!$M603&amp;" "&amp;'Compliance Database'!$N603&amp;" "&amp;'Compliance Database'!$O603))),OR(Query!$B$10&lt;&gt;"Yes",'Compliance Database'!$F603&lt;&gt;"None")),1,0)</f>
        <v/>
      </c>
      <c r="B603">
        <f>IF($A603=1,SUM($A$2:$A603),"")</f>
        <v/>
      </c>
      <c r="C603">
        <f>IF($A603=1,SUM($A$2:$A603),0)</f>
        <v/>
      </c>
    </row>
    <row r="604">
      <c r="A604">
        <f>IF(AND(OR(Query!$B$4="All",'Compliance Database'!$A604=Query!$B$4),OR(Query!$B$5="All",ISNUMBER(SEARCH(Query!$B$5,'Compliance Database'!$H604))),OR(Query!$B$6="All",ISNUMBER(SEARCH(Query!$B$6,'Compliance Database'!$I604))),OR(Query!$B$7="All",'Compliance Database'!$F604=Query!$B$7),OR(Query!$B$8="All",'Compliance Database'!$J604=Query!$B$8),OR(Query!$B$9="",ISNUMBER(SEARCH(Query!$B$9,'Compliance Database'!$D604&amp;" "&amp;'Compliance Database'!$K604&amp;" "&amp;'Compliance Database'!$L604&amp;" "&amp;'Compliance Database'!$M604&amp;" "&amp;'Compliance Database'!$N604&amp;" "&amp;'Compliance Database'!$O604))),OR(Query!$B$10&lt;&gt;"Yes",'Compliance Database'!$F604&lt;&gt;"None")),1,0)</f>
        <v/>
      </c>
      <c r="B604">
        <f>IF($A604=1,SUM($A$2:$A604),"")</f>
        <v/>
      </c>
      <c r="C604">
        <f>IF($A604=1,SUM($A$2:$A604),0)</f>
        <v/>
      </c>
    </row>
    <row r="605">
      <c r="A605">
        <f>IF(AND(OR(Query!$B$4="All",'Compliance Database'!$A605=Query!$B$4),OR(Query!$B$5="All",ISNUMBER(SEARCH(Query!$B$5,'Compliance Database'!$H605))),OR(Query!$B$6="All",ISNUMBER(SEARCH(Query!$B$6,'Compliance Database'!$I605))),OR(Query!$B$7="All",'Compliance Database'!$F605=Query!$B$7),OR(Query!$B$8="All",'Compliance Database'!$J605=Query!$B$8),OR(Query!$B$9="",ISNUMBER(SEARCH(Query!$B$9,'Compliance Database'!$D605&amp;" "&amp;'Compliance Database'!$K605&amp;" "&amp;'Compliance Database'!$L605&amp;" "&amp;'Compliance Database'!$M605&amp;" "&amp;'Compliance Database'!$N605&amp;" "&amp;'Compliance Database'!$O605))),OR(Query!$B$10&lt;&gt;"Yes",'Compliance Database'!$F605&lt;&gt;"None")),1,0)</f>
        <v/>
      </c>
      <c r="B605">
        <f>IF($A605=1,SUM($A$2:$A605),"")</f>
        <v/>
      </c>
      <c r="C605">
        <f>IF($A605=1,SUM($A$2:$A605),0)</f>
        <v/>
      </c>
    </row>
    <row r="606">
      <c r="A606">
        <f>IF(AND(OR(Query!$B$4="All",'Compliance Database'!$A606=Query!$B$4),OR(Query!$B$5="All",ISNUMBER(SEARCH(Query!$B$5,'Compliance Database'!$H606))),OR(Query!$B$6="All",ISNUMBER(SEARCH(Query!$B$6,'Compliance Database'!$I606))),OR(Query!$B$7="All",'Compliance Database'!$F606=Query!$B$7),OR(Query!$B$8="All",'Compliance Database'!$J606=Query!$B$8),OR(Query!$B$9="",ISNUMBER(SEARCH(Query!$B$9,'Compliance Database'!$D606&amp;" "&amp;'Compliance Database'!$K606&amp;" "&amp;'Compliance Database'!$L606&amp;" "&amp;'Compliance Database'!$M606&amp;" "&amp;'Compliance Database'!$N606&amp;" "&amp;'Compliance Database'!$O606))),OR(Query!$B$10&lt;&gt;"Yes",'Compliance Database'!$F606&lt;&gt;"None")),1,0)</f>
        <v/>
      </c>
      <c r="B606">
        <f>IF($A606=1,SUM($A$2:$A606),"")</f>
        <v/>
      </c>
      <c r="C606">
        <f>IF($A606=1,SUM($A$2:$A606),0)</f>
        <v/>
      </c>
    </row>
    <row r="607">
      <c r="A607">
        <f>IF(AND(OR(Query!$B$4="All",'Compliance Database'!$A607=Query!$B$4),OR(Query!$B$5="All",ISNUMBER(SEARCH(Query!$B$5,'Compliance Database'!$H607))),OR(Query!$B$6="All",ISNUMBER(SEARCH(Query!$B$6,'Compliance Database'!$I607))),OR(Query!$B$7="All",'Compliance Database'!$F607=Query!$B$7),OR(Query!$B$8="All",'Compliance Database'!$J607=Query!$B$8),OR(Query!$B$9="",ISNUMBER(SEARCH(Query!$B$9,'Compliance Database'!$D607&amp;" "&amp;'Compliance Database'!$K607&amp;" "&amp;'Compliance Database'!$L607&amp;" "&amp;'Compliance Database'!$M607&amp;" "&amp;'Compliance Database'!$N607&amp;" "&amp;'Compliance Database'!$O607))),OR(Query!$B$10&lt;&gt;"Yes",'Compliance Database'!$F607&lt;&gt;"None")),1,0)</f>
        <v/>
      </c>
      <c r="B607">
        <f>IF($A607=1,SUM($A$2:$A607),"")</f>
        <v/>
      </c>
      <c r="C607">
        <f>IF($A607=1,SUM($A$2:$A607),0)</f>
        <v/>
      </c>
    </row>
    <row r="608">
      <c r="A608">
        <f>IF(AND(OR(Query!$B$4="All",'Compliance Database'!$A608=Query!$B$4),OR(Query!$B$5="All",ISNUMBER(SEARCH(Query!$B$5,'Compliance Database'!$H608))),OR(Query!$B$6="All",ISNUMBER(SEARCH(Query!$B$6,'Compliance Database'!$I608))),OR(Query!$B$7="All",'Compliance Database'!$F608=Query!$B$7),OR(Query!$B$8="All",'Compliance Database'!$J608=Query!$B$8),OR(Query!$B$9="",ISNUMBER(SEARCH(Query!$B$9,'Compliance Database'!$D608&amp;" "&amp;'Compliance Database'!$K608&amp;" "&amp;'Compliance Database'!$L608&amp;" "&amp;'Compliance Database'!$M608&amp;" "&amp;'Compliance Database'!$N608&amp;" "&amp;'Compliance Database'!$O608))),OR(Query!$B$10&lt;&gt;"Yes",'Compliance Database'!$F608&lt;&gt;"None")),1,0)</f>
        <v/>
      </c>
      <c r="B608">
        <f>IF($A608=1,SUM($A$2:$A608),"")</f>
        <v/>
      </c>
      <c r="C608">
        <f>IF($A608=1,SUM($A$2:$A608),0)</f>
        <v/>
      </c>
    </row>
    <row r="609">
      <c r="A609">
        <f>IF(AND(OR(Query!$B$4="All",'Compliance Database'!$A609=Query!$B$4),OR(Query!$B$5="All",ISNUMBER(SEARCH(Query!$B$5,'Compliance Database'!$H609))),OR(Query!$B$6="All",ISNUMBER(SEARCH(Query!$B$6,'Compliance Database'!$I609))),OR(Query!$B$7="All",'Compliance Database'!$F609=Query!$B$7),OR(Query!$B$8="All",'Compliance Database'!$J609=Query!$B$8),OR(Query!$B$9="",ISNUMBER(SEARCH(Query!$B$9,'Compliance Database'!$D609&amp;" "&amp;'Compliance Database'!$K609&amp;" "&amp;'Compliance Database'!$L609&amp;" "&amp;'Compliance Database'!$M609&amp;" "&amp;'Compliance Database'!$N609&amp;" "&amp;'Compliance Database'!$O609))),OR(Query!$B$10&lt;&gt;"Yes",'Compliance Database'!$F609&lt;&gt;"None")),1,0)</f>
        <v/>
      </c>
      <c r="B609">
        <f>IF($A609=1,SUM($A$2:$A609),"")</f>
        <v/>
      </c>
      <c r="C609">
        <f>IF($A609=1,SUM($A$2:$A609),0)</f>
        <v/>
      </c>
    </row>
    <row r="610">
      <c r="A610">
        <f>IF(AND(OR(Query!$B$4="All",'Compliance Database'!$A610=Query!$B$4),OR(Query!$B$5="All",ISNUMBER(SEARCH(Query!$B$5,'Compliance Database'!$H610))),OR(Query!$B$6="All",ISNUMBER(SEARCH(Query!$B$6,'Compliance Database'!$I610))),OR(Query!$B$7="All",'Compliance Database'!$F610=Query!$B$7),OR(Query!$B$8="All",'Compliance Database'!$J610=Query!$B$8),OR(Query!$B$9="",ISNUMBER(SEARCH(Query!$B$9,'Compliance Database'!$D610&amp;" "&amp;'Compliance Database'!$K610&amp;" "&amp;'Compliance Database'!$L610&amp;" "&amp;'Compliance Database'!$M610&amp;" "&amp;'Compliance Database'!$N610&amp;" "&amp;'Compliance Database'!$O610))),OR(Query!$B$10&lt;&gt;"Yes",'Compliance Database'!$F610&lt;&gt;"None")),1,0)</f>
        <v/>
      </c>
      <c r="B610">
        <f>IF($A610=1,SUM($A$2:$A610),"")</f>
        <v/>
      </c>
      <c r="C610">
        <f>IF($A610=1,SUM($A$2:$A610),0)</f>
        <v/>
      </c>
    </row>
    <row r="611">
      <c r="A611">
        <f>IF(AND(OR(Query!$B$4="All",'Compliance Database'!$A611=Query!$B$4),OR(Query!$B$5="All",ISNUMBER(SEARCH(Query!$B$5,'Compliance Database'!$H611))),OR(Query!$B$6="All",ISNUMBER(SEARCH(Query!$B$6,'Compliance Database'!$I611))),OR(Query!$B$7="All",'Compliance Database'!$F611=Query!$B$7),OR(Query!$B$8="All",'Compliance Database'!$J611=Query!$B$8),OR(Query!$B$9="",ISNUMBER(SEARCH(Query!$B$9,'Compliance Database'!$D611&amp;" "&amp;'Compliance Database'!$K611&amp;" "&amp;'Compliance Database'!$L611&amp;" "&amp;'Compliance Database'!$M611&amp;" "&amp;'Compliance Database'!$N611&amp;" "&amp;'Compliance Database'!$O611))),OR(Query!$B$10&lt;&gt;"Yes",'Compliance Database'!$F611&lt;&gt;"None")),1,0)</f>
        <v/>
      </c>
      <c r="B611">
        <f>IF($A611=1,SUM($A$2:$A611),"")</f>
        <v/>
      </c>
      <c r="C611">
        <f>IF($A611=1,SUM($A$2:$A611),0)</f>
        <v/>
      </c>
    </row>
    <row r="612">
      <c r="A612">
        <f>IF(AND(OR(Query!$B$4="All",'Compliance Database'!$A612=Query!$B$4),OR(Query!$B$5="All",ISNUMBER(SEARCH(Query!$B$5,'Compliance Database'!$H612))),OR(Query!$B$6="All",ISNUMBER(SEARCH(Query!$B$6,'Compliance Database'!$I612))),OR(Query!$B$7="All",'Compliance Database'!$F612=Query!$B$7),OR(Query!$B$8="All",'Compliance Database'!$J612=Query!$B$8),OR(Query!$B$9="",ISNUMBER(SEARCH(Query!$B$9,'Compliance Database'!$D612&amp;" "&amp;'Compliance Database'!$K612&amp;" "&amp;'Compliance Database'!$L612&amp;" "&amp;'Compliance Database'!$M612&amp;" "&amp;'Compliance Database'!$N612&amp;" "&amp;'Compliance Database'!$O612))),OR(Query!$B$10&lt;&gt;"Yes",'Compliance Database'!$F612&lt;&gt;"None")),1,0)</f>
        <v/>
      </c>
      <c r="B612">
        <f>IF($A612=1,SUM($A$2:$A612),"")</f>
        <v/>
      </c>
      <c r="C612">
        <f>IF($A612=1,SUM($A$2:$A612),0)</f>
        <v/>
      </c>
    </row>
    <row r="613">
      <c r="A613">
        <f>IF(AND(OR(Query!$B$4="All",'Compliance Database'!$A613=Query!$B$4),OR(Query!$B$5="All",ISNUMBER(SEARCH(Query!$B$5,'Compliance Database'!$H613))),OR(Query!$B$6="All",ISNUMBER(SEARCH(Query!$B$6,'Compliance Database'!$I613))),OR(Query!$B$7="All",'Compliance Database'!$F613=Query!$B$7),OR(Query!$B$8="All",'Compliance Database'!$J613=Query!$B$8),OR(Query!$B$9="",ISNUMBER(SEARCH(Query!$B$9,'Compliance Database'!$D613&amp;" "&amp;'Compliance Database'!$K613&amp;" "&amp;'Compliance Database'!$L613&amp;" "&amp;'Compliance Database'!$M613&amp;" "&amp;'Compliance Database'!$N613&amp;" "&amp;'Compliance Database'!$O613))),OR(Query!$B$10&lt;&gt;"Yes",'Compliance Database'!$F613&lt;&gt;"None")),1,0)</f>
        <v/>
      </c>
      <c r="B613">
        <f>IF($A613=1,SUM($A$2:$A613),"")</f>
        <v/>
      </c>
      <c r="C613">
        <f>IF($A613=1,SUM($A$2:$A613),0)</f>
        <v/>
      </c>
    </row>
    <row r="614">
      <c r="A614">
        <f>IF(AND(OR(Query!$B$4="All",'Compliance Database'!$A614=Query!$B$4),OR(Query!$B$5="All",ISNUMBER(SEARCH(Query!$B$5,'Compliance Database'!$H614))),OR(Query!$B$6="All",ISNUMBER(SEARCH(Query!$B$6,'Compliance Database'!$I614))),OR(Query!$B$7="All",'Compliance Database'!$F614=Query!$B$7),OR(Query!$B$8="All",'Compliance Database'!$J614=Query!$B$8),OR(Query!$B$9="",ISNUMBER(SEARCH(Query!$B$9,'Compliance Database'!$D614&amp;" "&amp;'Compliance Database'!$K614&amp;" "&amp;'Compliance Database'!$L614&amp;" "&amp;'Compliance Database'!$M614&amp;" "&amp;'Compliance Database'!$N614&amp;" "&amp;'Compliance Database'!$O614))),OR(Query!$B$10&lt;&gt;"Yes",'Compliance Database'!$F614&lt;&gt;"None")),1,0)</f>
        <v/>
      </c>
      <c r="B614">
        <f>IF($A614=1,SUM($A$2:$A614),"")</f>
        <v/>
      </c>
      <c r="C614">
        <f>IF($A614=1,SUM($A$2:$A614),0)</f>
        <v/>
      </c>
    </row>
    <row r="615">
      <c r="A615">
        <f>IF(AND(OR(Query!$B$4="All",'Compliance Database'!$A615=Query!$B$4),OR(Query!$B$5="All",ISNUMBER(SEARCH(Query!$B$5,'Compliance Database'!$H615))),OR(Query!$B$6="All",ISNUMBER(SEARCH(Query!$B$6,'Compliance Database'!$I615))),OR(Query!$B$7="All",'Compliance Database'!$F615=Query!$B$7),OR(Query!$B$8="All",'Compliance Database'!$J615=Query!$B$8),OR(Query!$B$9="",ISNUMBER(SEARCH(Query!$B$9,'Compliance Database'!$D615&amp;" "&amp;'Compliance Database'!$K615&amp;" "&amp;'Compliance Database'!$L615&amp;" "&amp;'Compliance Database'!$M615&amp;" "&amp;'Compliance Database'!$N615&amp;" "&amp;'Compliance Database'!$O615))),OR(Query!$B$10&lt;&gt;"Yes",'Compliance Database'!$F615&lt;&gt;"None")),1,0)</f>
        <v/>
      </c>
      <c r="B615">
        <f>IF($A615=1,SUM($A$2:$A615),"")</f>
        <v/>
      </c>
      <c r="C615">
        <f>IF($A615=1,SUM($A$2:$A615),0)</f>
        <v/>
      </c>
    </row>
    <row r="616">
      <c r="A616">
        <f>IF(AND(OR(Query!$B$4="All",'Compliance Database'!$A616=Query!$B$4),OR(Query!$B$5="All",ISNUMBER(SEARCH(Query!$B$5,'Compliance Database'!$H616))),OR(Query!$B$6="All",ISNUMBER(SEARCH(Query!$B$6,'Compliance Database'!$I616))),OR(Query!$B$7="All",'Compliance Database'!$F616=Query!$B$7),OR(Query!$B$8="All",'Compliance Database'!$J616=Query!$B$8),OR(Query!$B$9="",ISNUMBER(SEARCH(Query!$B$9,'Compliance Database'!$D616&amp;" "&amp;'Compliance Database'!$K616&amp;" "&amp;'Compliance Database'!$L616&amp;" "&amp;'Compliance Database'!$M616&amp;" "&amp;'Compliance Database'!$N616&amp;" "&amp;'Compliance Database'!$O616))),OR(Query!$B$10&lt;&gt;"Yes",'Compliance Database'!$F616&lt;&gt;"None")),1,0)</f>
        <v/>
      </c>
      <c r="B616">
        <f>IF($A616=1,SUM($A$2:$A616),"")</f>
        <v/>
      </c>
      <c r="C616">
        <f>IF($A616=1,SUM($A$2:$A616),0)</f>
        <v/>
      </c>
    </row>
    <row r="617">
      <c r="A617">
        <f>IF(AND(OR(Query!$B$4="All",'Compliance Database'!$A617=Query!$B$4),OR(Query!$B$5="All",ISNUMBER(SEARCH(Query!$B$5,'Compliance Database'!$H617))),OR(Query!$B$6="All",ISNUMBER(SEARCH(Query!$B$6,'Compliance Database'!$I617))),OR(Query!$B$7="All",'Compliance Database'!$F617=Query!$B$7),OR(Query!$B$8="All",'Compliance Database'!$J617=Query!$B$8),OR(Query!$B$9="",ISNUMBER(SEARCH(Query!$B$9,'Compliance Database'!$D617&amp;" "&amp;'Compliance Database'!$K617&amp;" "&amp;'Compliance Database'!$L617&amp;" "&amp;'Compliance Database'!$M617&amp;" "&amp;'Compliance Database'!$N617&amp;" "&amp;'Compliance Database'!$O617))),OR(Query!$B$10&lt;&gt;"Yes",'Compliance Database'!$F617&lt;&gt;"None")),1,0)</f>
        <v/>
      </c>
      <c r="B617">
        <f>IF($A617=1,SUM($A$2:$A617),"")</f>
        <v/>
      </c>
      <c r="C617">
        <f>IF($A617=1,SUM($A$2:$A617),0)</f>
        <v/>
      </c>
    </row>
    <row r="618">
      <c r="A618">
        <f>IF(AND(OR(Query!$B$4="All",'Compliance Database'!$A618=Query!$B$4),OR(Query!$B$5="All",ISNUMBER(SEARCH(Query!$B$5,'Compliance Database'!$H618))),OR(Query!$B$6="All",ISNUMBER(SEARCH(Query!$B$6,'Compliance Database'!$I618))),OR(Query!$B$7="All",'Compliance Database'!$F618=Query!$B$7),OR(Query!$B$8="All",'Compliance Database'!$J618=Query!$B$8),OR(Query!$B$9="",ISNUMBER(SEARCH(Query!$B$9,'Compliance Database'!$D618&amp;" "&amp;'Compliance Database'!$K618&amp;" "&amp;'Compliance Database'!$L618&amp;" "&amp;'Compliance Database'!$M618&amp;" "&amp;'Compliance Database'!$N618&amp;" "&amp;'Compliance Database'!$O618))),OR(Query!$B$10&lt;&gt;"Yes",'Compliance Database'!$F618&lt;&gt;"None")),1,0)</f>
        <v/>
      </c>
      <c r="B618">
        <f>IF($A618=1,SUM($A$2:$A618),"")</f>
        <v/>
      </c>
      <c r="C618">
        <f>IF($A618=1,SUM($A$2:$A618),0)</f>
        <v/>
      </c>
    </row>
    <row r="619">
      <c r="A619">
        <f>IF(AND(OR(Query!$B$4="All",'Compliance Database'!$A619=Query!$B$4),OR(Query!$B$5="All",ISNUMBER(SEARCH(Query!$B$5,'Compliance Database'!$H619))),OR(Query!$B$6="All",ISNUMBER(SEARCH(Query!$B$6,'Compliance Database'!$I619))),OR(Query!$B$7="All",'Compliance Database'!$F619=Query!$B$7),OR(Query!$B$8="All",'Compliance Database'!$J619=Query!$B$8),OR(Query!$B$9="",ISNUMBER(SEARCH(Query!$B$9,'Compliance Database'!$D619&amp;" "&amp;'Compliance Database'!$K619&amp;" "&amp;'Compliance Database'!$L619&amp;" "&amp;'Compliance Database'!$M619&amp;" "&amp;'Compliance Database'!$N619&amp;" "&amp;'Compliance Database'!$O619))),OR(Query!$B$10&lt;&gt;"Yes",'Compliance Database'!$F619&lt;&gt;"None")),1,0)</f>
        <v/>
      </c>
      <c r="B619">
        <f>IF($A619=1,SUM($A$2:$A619),"")</f>
        <v/>
      </c>
      <c r="C619">
        <f>IF($A619=1,SUM($A$2:$A619),0)</f>
        <v/>
      </c>
    </row>
    <row r="620">
      <c r="A620">
        <f>IF(AND(OR(Query!$B$4="All",'Compliance Database'!$A620=Query!$B$4),OR(Query!$B$5="All",ISNUMBER(SEARCH(Query!$B$5,'Compliance Database'!$H620))),OR(Query!$B$6="All",ISNUMBER(SEARCH(Query!$B$6,'Compliance Database'!$I620))),OR(Query!$B$7="All",'Compliance Database'!$F620=Query!$B$7),OR(Query!$B$8="All",'Compliance Database'!$J620=Query!$B$8),OR(Query!$B$9="",ISNUMBER(SEARCH(Query!$B$9,'Compliance Database'!$D620&amp;" "&amp;'Compliance Database'!$K620&amp;" "&amp;'Compliance Database'!$L620&amp;" "&amp;'Compliance Database'!$M620&amp;" "&amp;'Compliance Database'!$N620&amp;" "&amp;'Compliance Database'!$O620))),OR(Query!$B$10&lt;&gt;"Yes",'Compliance Database'!$F620&lt;&gt;"None")),1,0)</f>
        <v/>
      </c>
      <c r="B620">
        <f>IF($A620=1,SUM($A$2:$A620),"")</f>
        <v/>
      </c>
      <c r="C620">
        <f>IF($A620=1,SUM($A$2:$A620),0)</f>
        <v/>
      </c>
    </row>
    <row r="621">
      <c r="A621">
        <f>IF(AND(OR(Query!$B$4="All",'Compliance Database'!$A621=Query!$B$4),OR(Query!$B$5="All",ISNUMBER(SEARCH(Query!$B$5,'Compliance Database'!$H621))),OR(Query!$B$6="All",ISNUMBER(SEARCH(Query!$B$6,'Compliance Database'!$I621))),OR(Query!$B$7="All",'Compliance Database'!$F621=Query!$B$7),OR(Query!$B$8="All",'Compliance Database'!$J621=Query!$B$8),OR(Query!$B$9="",ISNUMBER(SEARCH(Query!$B$9,'Compliance Database'!$D621&amp;" "&amp;'Compliance Database'!$K621&amp;" "&amp;'Compliance Database'!$L621&amp;" "&amp;'Compliance Database'!$M621&amp;" "&amp;'Compliance Database'!$N621&amp;" "&amp;'Compliance Database'!$O621))),OR(Query!$B$10&lt;&gt;"Yes",'Compliance Database'!$F621&lt;&gt;"None")),1,0)</f>
        <v/>
      </c>
      <c r="B621">
        <f>IF($A621=1,SUM($A$2:$A621),"")</f>
        <v/>
      </c>
      <c r="C621">
        <f>IF($A621=1,SUM($A$2:$A621),0)</f>
        <v/>
      </c>
    </row>
    <row r="622">
      <c r="A622">
        <f>IF(AND(OR(Query!$B$4="All",'Compliance Database'!$A622=Query!$B$4),OR(Query!$B$5="All",ISNUMBER(SEARCH(Query!$B$5,'Compliance Database'!$H622))),OR(Query!$B$6="All",ISNUMBER(SEARCH(Query!$B$6,'Compliance Database'!$I622))),OR(Query!$B$7="All",'Compliance Database'!$F622=Query!$B$7),OR(Query!$B$8="All",'Compliance Database'!$J622=Query!$B$8),OR(Query!$B$9="",ISNUMBER(SEARCH(Query!$B$9,'Compliance Database'!$D622&amp;" "&amp;'Compliance Database'!$K622&amp;" "&amp;'Compliance Database'!$L622&amp;" "&amp;'Compliance Database'!$M622&amp;" "&amp;'Compliance Database'!$N622&amp;" "&amp;'Compliance Database'!$O622))),OR(Query!$B$10&lt;&gt;"Yes",'Compliance Database'!$F622&lt;&gt;"None")),1,0)</f>
        <v/>
      </c>
      <c r="B622">
        <f>IF($A622=1,SUM($A$2:$A622),"")</f>
        <v/>
      </c>
      <c r="C622">
        <f>IF($A622=1,SUM($A$2:$A622),0)</f>
        <v/>
      </c>
    </row>
    <row r="623">
      <c r="A623">
        <f>IF(AND(OR(Query!$B$4="All",'Compliance Database'!$A623=Query!$B$4),OR(Query!$B$5="All",ISNUMBER(SEARCH(Query!$B$5,'Compliance Database'!$H623))),OR(Query!$B$6="All",ISNUMBER(SEARCH(Query!$B$6,'Compliance Database'!$I623))),OR(Query!$B$7="All",'Compliance Database'!$F623=Query!$B$7),OR(Query!$B$8="All",'Compliance Database'!$J623=Query!$B$8),OR(Query!$B$9="",ISNUMBER(SEARCH(Query!$B$9,'Compliance Database'!$D623&amp;" "&amp;'Compliance Database'!$K623&amp;" "&amp;'Compliance Database'!$L623&amp;" "&amp;'Compliance Database'!$M623&amp;" "&amp;'Compliance Database'!$N623&amp;" "&amp;'Compliance Database'!$O623))),OR(Query!$B$10&lt;&gt;"Yes",'Compliance Database'!$F623&lt;&gt;"None")),1,0)</f>
        <v/>
      </c>
      <c r="B623">
        <f>IF($A623=1,SUM($A$2:$A623),"")</f>
        <v/>
      </c>
      <c r="C623">
        <f>IF($A623=1,SUM($A$2:$A623),0)</f>
        <v/>
      </c>
    </row>
    <row r="624">
      <c r="A624">
        <f>IF(AND(OR(Query!$B$4="All",'Compliance Database'!$A624=Query!$B$4),OR(Query!$B$5="All",ISNUMBER(SEARCH(Query!$B$5,'Compliance Database'!$H624))),OR(Query!$B$6="All",ISNUMBER(SEARCH(Query!$B$6,'Compliance Database'!$I624))),OR(Query!$B$7="All",'Compliance Database'!$F624=Query!$B$7),OR(Query!$B$8="All",'Compliance Database'!$J624=Query!$B$8),OR(Query!$B$9="",ISNUMBER(SEARCH(Query!$B$9,'Compliance Database'!$D624&amp;" "&amp;'Compliance Database'!$K624&amp;" "&amp;'Compliance Database'!$L624&amp;" "&amp;'Compliance Database'!$M624&amp;" "&amp;'Compliance Database'!$N624&amp;" "&amp;'Compliance Database'!$O624))),OR(Query!$B$10&lt;&gt;"Yes",'Compliance Database'!$F624&lt;&gt;"None")),1,0)</f>
        <v/>
      </c>
      <c r="B624">
        <f>IF($A624=1,SUM($A$2:$A624),"")</f>
        <v/>
      </c>
      <c r="C624">
        <f>IF($A624=1,SUM($A$2:$A624),0)</f>
        <v/>
      </c>
    </row>
    <row r="625">
      <c r="A625">
        <f>IF(AND(OR(Query!$B$4="All",'Compliance Database'!$A625=Query!$B$4),OR(Query!$B$5="All",ISNUMBER(SEARCH(Query!$B$5,'Compliance Database'!$H625))),OR(Query!$B$6="All",ISNUMBER(SEARCH(Query!$B$6,'Compliance Database'!$I625))),OR(Query!$B$7="All",'Compliance Database'!$F625=Query!$B$7),OR(Query!$B$8="All",'Compliance Database'!$J625=Query!$B$8),OR(Query!$B$9="",ISNUMBER(SEARCH(Query!$B$9,'Compliance Database'!$D625&amp;" "&amp;'Compliance Database'!$K625&amp;" "&amp;'Compliance Database'!$L625&amp;" "&amp;'Compliance Database'!$M625&amp;" "&amp;'Compliance Database'!$N625&amp;" "&amp;'Compliance Database'!$O625))),OR(Query!$B$10&lt;&gt;"Yes",'Compliance Database'!$F625&lt;&gt;"None")),1,0)</f>
        <v/>
      </c>
      <c r="B625">
        <f>IF($A625=1,SUM($A$2:$A625),"")</f>
        <v/>
      </c>
      <c r="C625">
        <f>IF($A625=1,SUM($A$2:$A625),0)</f>
        <v/>
      </c>
    </row>
    <row r="626">
      <c r="A626">
        <f>IF(AND(OR(Query!$B$4="All",'Compliance Database'!$A626=Query!$B$4),OR(Query!$B$5="All",ISNUMBER(SEARCH(Query!$B$5,'Compliance Database'!$H626))),OR(Query!$B$6="All",ISNUMBER(SEARCH(Query!$B$6,'Compliance Database'!$I626))),OR(Query!$B$7="All",'Compliance Database'!$F626=Query!$B$7),OR(Query!$B$8="All",'Compliance Database'!$J626=Query!$B$8),OR(Query!$B$9="",ISNUMBER(SEARCH(Query!$B$9,'Compliance Database'!$D626&amp;" "&amp;'Compliance Database'!$K626&amp;" "&amp;'Compliance Database'!$L626&amp;" "&amp;'Compliance Database'!$M626&amp;" "&amp;'Compliance Database'!$N626&amp;" "&amp;'Compliance Database'!$O626))),OR(Query!$B$10&lt;&gt;"Yes",'Compliance Database'!$F626&lt;&gt;"None")),1,0)</f>
        <v/>
      </c>
      <c r="B626">
        <f>IF($A626=1,SUM($A$2:$A626),"")</f>
        <v/>
      </c>
      <c r="C626">
        <f>IF($A626=1,SUM($A$2:$A626),0)</f>
        <v/>
      </c>
    </row>
    <row r="627">
      <c r="A627">
        <f>IF(AND(OR(Query!$B$4="All",'Compliance Database'!$A627=Query!$B$4),OR(Query!$B$5="All",ISNUMBER(SEARCH(Query!$B$5,'Compliance Database'!$H627))),OR(Query!$B$6="All",ISNUMBER(SEARCH(Query!$B$6,'Compliance Database'!$I627))),OR(Query!$B$7="All",'Compliance Database'!$F627=Query!$B$7),OR(Query!$B$8="All",'Compliance Database'!$J627=Query!$B$8),OR(Query!$B$9="",ISNUMBER(SEARCH(Query!$B$9,'Compliance Database'!$D627&amp;" "&amp;'Compliance Database'!$K627&amp;" "&amp;'Compliance Database'!$L627&amp;" "&amp;'Compliance Database'!$M627&amp;" "&amp;'Compliance Database'!$N627&amp;" "&amp;'Compliance Database'!$O627))),OR(Query!$B$10&lt;&gt;"Yes",'Compliance Database'!$F627&lt;&gt;"None")),1,0)</f>
        <v/>
      </c>
      <c r="B627">
        <f>IF($A627=1,SUM($A$2:$A627),"")</f>
        <v/>
      </c>
      <c r="C627">
        <f>IF($A627=1,SUM($A$2:$A627),0)</f>
        <v/>
      </c>
    </row>
    <row r="628">
      <c r="A628">
        <f>IF(AND(OR(Query!$B$4="All",'Compliance Database'!$A628=Query!$B$4),OR(Query!$B$5="All",ISNUMBER(SEARCH(Query!$B$5,'Compliance Database'!$H628))),OR(Query!$B$6="All",ISNUMBER(SEARCH(Query!$B$6,'Compliance Database'!$I628))),OR(Query!$B$7="All",'Compliance Database'!$F628=Query!$B$7),OR(Query!$B$8="All",'Compliance Database'!$J628=Query!$B$8),OR(Query!$B$9="",ISNUMBER(SEARCH(Query!$B$9,'Compliance Database'!$D628&amp;" "&amp;'Compliance Database'!$K628&amp;" "&amp;'Compliance Database'!$L628&amp;" "&amp;'Compliance Database'!$M628&amp;" "&amp;'Compliance Database'!$N628&amp;" "&amp;'Compliance Database'!$O628))),OR(Query!$B$10&lt;&gt;"Yes",'Compliance Database'!$F628&lt;&gt;"None")),1,0)</f>
        <v/>
      </c>
      <c r="B628">
        <f>IF($A628=1,SUM($A$2:$A628),"")</f>
        <v/>
      </c>
      <c r="C628">
        <f>IF($A628=1,SUM($A$2:$A628),0)</f>
        <v/>
      </c>
    </row>
    <row r="629">
      <c r="A629">
        <f>IF(AND(OR(Query!$B$4="All",'Compliance Database'!$A629=Query!$B$4),OR(Query!$B$5="All",ISNUMBER(SEARCH(Query!$B$5,'Compliance Database'!$H629))),OR(Query!$B$6="All",ISNUMBER(SEARCH(Query!$B$6,'Compliance Database'!$I629))),OR(Query!$B$7="All",'Compliance Database'!$F629=Query!$B$7),OR(Query!$B$8="All",'Compliance Database'!$J629=Query!$B$8),OR(Query!$B$9="",ISNUMBER(SEARCH(Query!$B$9,'Compliance Database'!$D629&amp;" "&amp;'Compliance Database'!$K629&amp;" "&amp;'Compliance Database'!$L629&amp;" "&amp;'Compliance Database'!$M629&amp;" "&amp;'Compliance Database'!$N629&amp;" "&amp;'Compliance Database'!$O629))),OR(Query!$B$10&lt;&gt;"Yes",'Compliance Database'!$F629&lt;&gt;"None")),1,0)</f>
        <v/>
      </c>
      <c r="B629">
        <f>IF($A629=1,SUM($A$2:$A629),"")</f>
        <v/>
      </c>
      <c r="C629">
        <f>IF($A629=1,SUM($A$2:$A629),0)</f>
        <v/>
      </c>
    </row>
    <row r="630">
      <c r="A630">
        <f>IF(AND(OR(Query!$B$4="All",'Compliance Database'!$A630=Query!$B$4),OR(Query!$B$5="All",ISNUMBER(SEARCH(Query!$B$5,'Compliance Database'!$H630))),OR(Query!$B$6="All",ISNUMBER(SEARCH(Query!$B$6,'Compliance Database'!$I630))),OR(Query!$B$7="All",'Compliance Database'!$F630=Query!$B$7),OR(Query!$B$8="All",'Compliance Database'!$J630=Query!$B$8),OR(Query!$B$9="",ISNUMBER(SEARCH(Query!$B$9,'Compliance Database'!$D630&amp;" "&amp;'Compliance Database'!$K630&amp;" "&amp;'Compliance Database'!$L630&amp;" "&amp;'Compliance Database'!$M630&amp;" "&amp;'Compliance Database'!$N630&amp;" "&amp;'Compliance Database'!$O630))),OR(Query!$B$10&lt;&gt;"Yes",'Compliance Database'!$F630&lt;&gt;"None")),1,0)</f>
        <v/>
      </c>
      <c r="B630">
        <f>IF($A630=1,SUM($A$2:$A630),"")</f>
        <v/>
      </c>
      <c r="C630">
        <f>IF($A630=1,SUM($A$2:$A630),0)</f>
        <v/>
      </c>
    </row>
    <row r="631">
      <c r="A631">
        <f>IF(AND(OR(Query!$B$4="All",'Compliance Database'!$A631=Query!$B$4),OR(Query!$B$5="All",ISNUMBER(SEARCH(Query!$B$5,'Compliance Database'!$H631))),OR(Query!$B$6="All",ISNUMBER(SEARCH(Query!$B$6,'Compliance Database'!$I631))),OR(Query!$B$7="All",'Compliance Database'!$F631=Query!$B$7),OR(Query!$B$8="All",'Compliance Database'!$J631=Query!$B$8),OR(Query!$B$9="",ISNUMBER(SEARCH(Query!$B$9,'Compliance Database'!$D631&amp;" "&amp;'Compliance Database'!$K631&amp;" "&amp;'Compliance Database'!$L631&amp;" "&amp;'Compliance Database'!$M631&amp;" "&amp;'Compliance Database'!$N631&amp;" "&amp;'Compliance Database'!$O631))),OR(Query!$B$10&lt;&gt;"Yes",'Compliance Database'!$F631&lt;&gt;"None")),1,0)</f>
        <v/>
      </c>
      <c r="B631">
        <f>IF($A631=1,SUM($A$2:$A631),"")</f>
        <v/>
      </c>
      <c r="C631">
        <f>IF($A631=1,SUM($A$2:$A631),0)</f>
        <v/>
      </c>
    </row>
    <row r="632">
      <c r="A632">
        <f>IF(AND(OR(Query!$B$4="All",'Compliance Database'!$A632=Query!$B$4),OR(Query!$B$5="All",ISNUMBER(SEARCH(Query!$B$5,'Compliance Database'!$H632))),OR(Query!$B$6="All",ISNUMBER(SEARCH(Query!$B$6,'Compliance Database'!$I632))),OR(Query!$B$7="All",'Compliance Database'!$F632=Query!$B$7),OR(Query!$B$8="All",'Compliance Database'!$J632=Query!$B$8),OR(Query!$B$9="",ISNUMBER(SEARCH(Query!$B$9,'Compliance Database'!$D632&amp;" "&amp;'Compliance Database'!$K632&amp;" "&amp;'Compliance Database'!$L632&amp;" "&amp;'Compliance Database'!$M632&amp;" "&amp;'Compliance Database'!$N632&amp;" "&amp;'Compliance Database'!$O632))),OR(Query!$B$10&lt;&gt;"Yes",'Compliance Database'!$F632&lt;&gt;"None")),1,0)</f>
        <v/>
      </c>
      <c r="B632">
        <f>IF($A632=1,SUM($A$2:$A632),"")</f>
        <v/>
      </c>
      <c r="C632">
        <f>IF($A632=1,SUM($A$2:$A632),0)</f>
        <v/>
      </c>
    </row>
    <row r="633">
      <c r="A633">
        <f>IF(AND(OR(Query!$B$4="All",'Compliance Database'!$A633=Query!$B$4),OR(Query!$B$5="All",ISNUMBER(SEARCH(Query!$B$5,'Compliance Database'!$H633))),OR(Query!$B$6="All",ISNUMBER(SEARCH(Query!$B$6,'Compliance Database'!$I633))),OR(Query!$B$7="All",'Compliance Database'!$F633=Query!$B$7),OR(Query!$B$8="All",'Compliance Database'!$J633=Query!$B$8),OR(Query!$B$9="",ISNUMBER(SEARCH(Query!$B$9,'Compliance Database'!$D633&amp;" "&amp;'Compliance Database'!$K633&amp;" "&amp;'Compliance Database'!$L633&amp;" "&amp;'Compliance Database'!$M633&amp;" "&amp;'Compliance Database'!$N633&amp;" "&amp;'Compliance Database'!$O633))),OR(Query!$B$10&lt;&gt;"Yes",'Compliance Database'!$F633&lt;&gt;"None")),1,0)</f>
        <v/>
      </c>
      <c r="B633">
        <f>IF($A633=1,SUM($A$2:$A633),"")</f>
        <v/>
      </c>
      <c r="C633">
        <f>IF($A633=1,SUM($A$2:$A633),0)</f>
        <v/>
      </c>
    </row>
    <row r="634">
      <c r="A634">
        <f>IF(AND(OR(Query!$B$4="All",'Compliance Database'!$A634=Query!$B$4),OR(Query!$B$5="All",ISNUMBER(SEARCH(Query!$B$5,'Compliance Database'!$H634))),OR(Query!$B$6="All",ISNUMBER(SEARCH(Query!$B$6,'Compliance Database'!$I634))),OR(Query!$B$7="All",'Compliance Database'!$F634=Query!$B$7),OR(Query!$B$8="All",'Compliance Database'!$J634=Query!$B$8),OR(Query!$B$9="",ISNUMBER(SEARCH(Query!$B$9,'Compliance Database'!$D634&amp;" "&amp;'Compliance Database'!$K634&amp;" "&amp;'Compliance Database'!$L634&amp;" "&amp;'Compliance Database'!$M634&amp;" "&amp;'Compliance Database'!$N634&amp;" "&amp;'Compliance Database'!$O634))),OR(Query!$B$10&lt;&gt;"Yes",'Compliance Database'!$F634&lt;&gt;"None")),1,0)</f>
        <v/>
      </c>
      <c r="B634">
        <f>IF($A634=1,SUM($A$2:$A634),"")</f>
        <v/>
      </c>
      <c r="C634">
        <f>IF($A634=1,SUM($A$2:$A634),0)</f>
        <v/>
      </c>
    </row>
    <row r="635">
      <c r="A635">
        <f>IF(AND(OR(Query!$B$4="All",'Compliance Database'!$A635=Query!$B$4),OR(Query!$B$5="All",ISNUMBER(SEARCH(Query!$B$5,'Compliance Database'!$H635))),OR(Query!$B$6="All",ISNUMBER(SEARCH(Query!$B$6,'Compliance Database'!$I635))),OR(Query!$B$7="All",'Compliance Database'!$F635=Query!$B$7),OR(Query!$B$8="All",'Compliance Database'!$J635=Query!$B$8),OR(Query!$B$9="",ISNUMBER(SEARCH(Query!$B$9,'Compliance Database'!$D635&amp;" "&amp;'Compliance Database'!$K635&amp;" "&amp;'Compliance Database'!$L635&amp;" "&amp;'Compliance Database'!$M635&amp;" "&amp;'Compliance Database'!$N635&amp;" "&amp;'Compliance Database'!$O635))),OR(Query!$B$10&lt;&gt;"Yes",'Compliance Database'!$F635&lt;&gt;"None")),1,0)</f>
        <v/>
      </c>
      <c r="B635">
        <f>IF($A635=1,SUM($A$2:$A635),"")</f>
        <v/>
      </c>
      <c r="C635">
        <f>IF($A635=1,SUM($A$2:$A635),0)</f>
        <v/>
      </c>
    </row>
    <row r="636">
      <c r="A636">
        <f>IF(AND(OR(Query!$B$4="All",'Compliance Database'!$A636=Query!$B$4),OR(Query!$B$5="All",ISNUMBER(SEARCH(Query!$B$5,'Compliance Database'!$H636))),OR(Query!$B$6="All",ISNUMBER(SEARCH(Query!$B$6,'Compliance Database'!$I636))),OR(Query!$B$7="All",'Compliance Database'!$F636=Query!$B$7),OR(Query!$B$8="All",'Compliance Database'!$J636=Query!$B$8),OR(Query!$B$9="",ISNUMBER(SEARCH(Query!$B$9,'Compliance Database'!$D636&amp;" "&amp;'Compliance Database'!$K636&amp;" "&amp;'Compliance Database'!$L636&amp;" "&amp;'Compliance Database'!$M636&amp;" "&amp;'Compliance Database'!$N636&amp;" "&amp;'Compliance Database'!$O636))),OR(Query!$B$10&lt;&gt;"Yes",'Compliance Database'!$F636&lt;&gt;"None")),1,0)</f>
        <v/>
      </c>
      <c r="B636">
        <f>IF($A636=1,SUM($A$2:$A636),"")</f>
        <v/>
      </c>
      <c r="C636">
        <f>IF($A636=1,SUM($A$2:$A636),0)</f>
        <v/>
      </c>
    </row>
    <row r="637">
      <c r="A637">
        <f>IF(AND(OR(Query!$B$4="All",'Compliance Database'!$A637=Query!$B$4),OR(Query!$B$5="All",ISNUMBER(SEARCH(Query!$B$5,'Compliance Database'!$H637))),OR(Query!$B$6="All",ISNUMBER(SEARCH(Query!$B$6,'Compliance Database'!$I637))),OR(Query!$B$7="All",'Compliance Database'!$F637=Query!$B$7),OR(Query!$B$8="All",'Compliance Database'!$J637=Query!$B$8),OR(Query!$B$9="",ISNUMBER(SEARCH(Query!$B$9,'Compliance Database'!$D637&amp;" "&amp;'Compliance Database'!$K637&amp;" "&amp;'Compliance Database'!$L637&amp;" "&amp;'Compliance Database'!$M637&amp;" "&amp;'Compliance Database'!$N637&amp;" "&amp;'Compliance Database'!$O637))),OR(Query!$B$10&lt;&gt;"Yes",'Compliance Database'!$F637&lt;&gt;"None")),1,0)</f>
        <v/>
      </c>
      <c r="B637">
        <f>IF($A637=1,SUM($A$2:$A637),"")</f>
        <v/>
      </c>
      <c r="C637">
        <f>IF($A637=1,SUM($A$2:$A637),0)</f>
        <v/>
      </c>
    </row>
    <row r="638">
      <c r="A638">
        <f>IF(AND(OR(Query!$B$4="All",'Compliance Database'!$A638=Query!$B$4),OR(Query!$B$5="All",ISNUMBER(SEARCH(Query!$B$5,'Compliance Database'!$H638))),OR(Query!$B$6="All",ISNUMBER(SEARCH(Query!$B$6,'Compliance Database'!$I638))),OR(Query!$B$7="All",'Compliance Database'!$F638=Query!$B$7),OR(Query!$B$8="All",'Compliance Database'!$J638=Query!$B$8),OR(Query!$B$9="",ISNUMBER(SEARCH(Query!$B$9,'Compliance Database'!$D638&amp;" "&amp;'Compliance Database'!$K638&amp;" "&amp;'Compliance Database'!$L638&amp;" "&amp;'Compliance Database'!$M638&amp;" "&amp;'Compliance Database'!$N638&amp;" "&amp;'Compliance Database'!$O638))),OR(Query!$B$10&lt;&gt;"Yes",'Compliance Database'!$F638&lt;&gt;"None")),1,0)</f>
        <v/>
      </c>
      <c r="B638">
        <f>IF($A638=1,SUM($A$2:$A638),"")</f>
        <v/>
      </c>
      <c r="C638">
        <f>IF($A638=1,SUM($A$2:$A638),0)</f>
        <v/>
      </c>
    </row>
    <row r="639">
      <c r="A639">
        <f>IF(AND(OR(Query!$B$4="All",'Compliance Database'!$A639=Query!$B$4),OR(Query!$B$5="All",ISNUMBER(SEARCH(Query!$B$5,'Compliance Database'!$H639))),OR(Query!$B$6="All",ISNUMBER(SEARCH(Query!$B$6,'Compliance Database'!$I639))),OR(Query!$B$7="All",'Compliance Database'!$F639=Query!$B$7),OR(Query!$B$8="All",'Compliance Database'!$J639=Query!$B$8),OR(Query!$B$9="",ISNUMBER(SEARCH(Query!$B$9,'Compliance Database'!$D639&amp;" "&amp;'Compliance Database'!$K639&amp;" "&amp;'Compliance Database'!$L639&amp;" "&amp;'Compliance Database'!$M639&amp;" "&amp;'Compliance Database'!$N639&amp;" "&amp;'Compliance Database'!$O639))),OR(Query!$B$10&lt;&gt;"Yes",'Compliance Database'!$F639&lt;&gt;"None")),1,0)</f>
        <v/>
      </c>
      <c r="B639">
        <f>IF($A639=1,SUM($A$2:$A639),"")</f>
        <v/>
      </c>
      <c r="C639">
        <f>IF($A639=1,SUM($A$2:$A639),0)</f>
        <v/>
      </c>
    </row>
    <row r="640">
      <c r="A640">
        <f>IF(AND(OR(Query!$B$4="All",'Compliance Database'!$A640=Query!$B$4),OR(Query!$B$5="All",ISNUMBER(SEARCH(Query!$B$5,'Compliance Database'!$H640))),OR(Query!$B$6="All",ISNUMBER(SEARCH(Query!$B$6,'Compliance Database'!$I640))),OR(Query!$B$7="All",'Compliance Database'!$F640=Query!$B$7),OR(Query!$B$8="All",'Compliance Database'!$J640=Query!$B$8),OR(Query!$B$9="",ISNUMBER(SEARCH(Query!$B$9,'Compliance Database'!$D640&amp;" "&amp;'Compliance Database'!$K640&amp;" "&amp;'Compliance Database'!$L640&amp;" "&amp;'Compliance Database'!$M640&amp;" "&amp;'Compliance Database'!$N640&amp;" "&amp;'Compliance Database'!$O640))),OR(Query!$B$10&lt;&gt;"Yes",'Compliance Database'!$F640&lt;&gt;"None")),1,0)</f>
        <v/>
      </c>
      <c r="B640">
        <f>IF($A640=1,SUM($A$2:$A640),"")</f>
        <v/>
      </c>
      <c r="C640">
        <f>IF($A640=1,SUM($A$2:$A640),0)</f>
        <v/>
      </c>
    </row>
    <row r="641">
      <c r="A641">
        <f>IF(AND(OR(Query!$B$4="All",'Compliance Database'!$A641=Query!$B$4),OR(Query!$B$5="All",ISNUMBER(SEARCH(Query!$B$5,'Compliance Database'!$H641))),OR(Query!$B$6="All",ISNUMBER(SEARCH(Query!$B$6,'Compliance Database'!$I641))),OR(Query!$B$7="All",'Compliance Database'!$F641=Query!$B$7),OR(Query!$B$8="All",'Compliance Database'!$J641=Query!$B$8),OR(Query!$B$9="",ISNUMBER(SEARCH(Query!$B$9,'Compliance Database'!$D641&amp;" "&amp;'Compliance Database'!$K641&amp;" "&amp;'Compliance Database'!$L641&amp;" "&amp;'Compliance Database'!$M641&amp;" "&amp;'Compliance Database'!$N641&amp;" "&amp;'Compliance Database'!$O641))),OR(Query!$B$10&lt;&gt;"Yes",'Compliance Database'!$F641&lt;&gt;"None")),1,0)</f>
        <v/>
      </c>
      <c r="B641">
        <f>IF($A641=1,SUM($A$2:$A641),"")</f>
        <v/>
      </c>
      <c r="C641">
        <f>IF($A641=1,SUM($A$2:$A641),0)</f>
        <v/>
      </c>
    </row>
    <row r="642">
      <c r="A642">
        <f>IF(AND(OR(Query!$B$4="All",'Compliance Database'!$A642=Query!$B$4),OR(Query!$B$5="All",ISNUMBER(SEARCH(Query!$B$5,'Compliance Database'!$H642))),OR(Query!$B$6="All",ISNUMBER(SEARCH(Query!$B$6,'Compliance Database'!$I642))),OR(Query!$B$7="All",'Compliance Database'!$F642=Query!$B$7),OR(Query!$B$8="All",'Compliance Database'!$J642=Query!$B$8),OR(Query!$B$9="",ISNUMBER(SEARCH(Query!$B$9,'Compliance Database'!$D642&amp;" "&amp;'Compliance Database'!$K642&amp;" "&amp;'Compliance Database'!$L642&amp;" "&amp;'Compliance Database'!$M642&amp;" "&amp;'Compliance Database'!$N642&amp;" "&amp;'Compliance Database'!$O642))),OR(Query!$B$10&lt;&gt;"Yes",'Compliance Database'!$F642&lt;&gt;"None")),1,0)</f>
        <v/>
      </c>
      <c r="B642">
        <f>IF($A642=1,SUM($A$2:$A642),"")</f>
        <v/>
      </c>
      <c r="C642">
        <f>IF($A642=1,SUM($A$2:$A642),0)</f>
        <v/>
      </c>
    </row>
    <row r="643">
      <c r="A643">
        <f>IF(AND(OR(Query!$B$4="All",'Compliance Database'!$A643=Query!$B$4),OR(Query!$B$5="All",ISNUMBER(SEARCH(Query!$B$5,'Compliance Database'!$H643))),OR(Query!$B$6="All",ISNUMBER(SEARCH(Query!$B$6,'Compliance Database'!$I643))),OR(Query!$B$7="All",'Compliance Database'!$F643=Query!$B$7),OR(Query!$B$8="All",'Compliance Database'!$J643=Query!$B$8),OR(Query!$B$9="",ISNUMBER(SEARCH(Query!$B$9,'Compliance Database'!$D643&amp;" "&amp;'Compliance Database'!$K643&amp;" "&amp;'Compliance Database'!$L643&amp;" "&amp;'Compliance Database'!$M643&amp;" "&amp;'Compliance Database'!$N643&amp;" "&amp;'Compliance Database'!$O643))),OR(Query!$B$10&lt;&gt;"Yes",'Compliance Database'!$F643&lt;&gt;"None")),1,0)</f>
        <v/>
      </c>
      <c r="B643">
        <f>IF($A643=1,SUM($A$2:$A643),"")</f>
        <v/>
      </c>
      <c r="C643">
        <f>IF($A643=1,SUM($A$2:$A643),0)</f>
        <v/>
      </c>
    </row>
    <row r="644">
      <c r="A644">
        <f>IF(AND(OR(Query!$B$4="All",'Compliance Database'!$A644=Query!$B$4),OR(Query!$B$5="All",ISNUMBER(SEARCH(Query!$B$5,'Compliance Database'!$H644))),OR(Query!$B$6="All",ISNUMBER(SEARCH(Query!$B$6,'Compliance Database'!$I644))),OR(Query!$B$7="All",'Compliance Database'!$F644=Query!$B$7),OR(Query!$B$8="All",'Compliance Database'!$J644=Query!$B$8),OR(Query!$B$9="",ISNUMBER(SEARCH(Query!$B$9,'Compliance Database'!$D644&amp;" "&amp;'Compliance Database'!$K644&amp;" "&amp;'Compliance Database'!$L644&amp;" "&amp;'Compliance Database'!$M644&amp;" "&amp;'Compliance Database'!$N644&amp;" "&amp;'Compliance Database'!$O644))),OR(Query!$B$10&lt;&gt;"Yes",'Compliance Database'!$F644&lt;&gt;"None")),1,0)</f>
        <v/>
      </c>
      <c r="B644">
        <f>IF($A644=1,SUM($A$2:$A644),"")</f>
        <v/>
      </c>
      <c r="C644">
        <f>IF($A644=1,SUM($A$2:$A644),0)</f>
        <v/>
      </c>
    </row>
    <row r="645">
      <c r="A645">
        <f>IF(AND(OR(Query!$B$4="All",'Compliance Database'!$A645=Query!$B$4),OR(Query!$B$5="All",ISNUMBER(SEARCH(Query!$B$5,'Compliance Database'!$H645))),OR(Query!$B$6="All",ISNUMBER(SEARCH(Query!$B$6,'Compliance Database'!$I645))),OR(Query!$B$7="All",'Compliance Database'!$F645=Query!$B$7),OR(Query!$B$8="All",'Compliance Database'!$J645=Query!$B$8),OR(Query!$B$9="",ISNUMBER(SEARCH(Query!$B$9,'Compliance Database'!$D645&amp;" "&amp;'Compliance Database'!$K645&amp;" "&amp;'Compliance Database'!$L645&amp;" "&amp;'Compliance Database'!$M645&amp;" "&amp;'Compliance Database'!$N645&amp;" "&amp;'Compliance Database'!$O645))),OR(Query!$B$10&lt;&gt;"Yes",'Compliance Database'!$F645&lt;&gt;"None")),1,0)</f>
        <v/>
      </c>
      <c r="B645">
        <f>IF($A645=1,SUM($A$2:$A645),"")</f>
        <v/>
      </c>
      <c r="C645">
        <f>IF($A645=1,SUM($A$2:$A645),0)</f>
        <v/>
      </c>
    </row>
    <row r="646">
      <c r="A646">
        <f>IF(AND(OR(Query!$B$4="All",'Compliance Database'!$A646=Query!$B$4),OR(Query!$B$5="All",ISNUMBER(SEARCH(Query!$B$5,'Compliance Database'!$H646))),OR(Query!$B$6="All",ISNUMBER(SEARCH(Query!$B$6,'Compliance Database'!$I646))),OR(Query!$B$7="All",'Compliance Database'!$F646=Query!$B$7),OR(Query!$B$8="All",'Compliance Database'!$J646=Query!$B$8),OR(Query!$B$9="",ISNUMBER(SEARCH(Query!$B$9,'Compliance Database'!$D646&amp;" "&amp;'Compliance Database'!$K646&amp;" "&amp;'Compliance Database'!$L646&amp;" "&amp;'Compliance Database'!$M646&amp;" "&amp;'Compliance Database'!$N646&amp;" "&amp;'Compliance Database'!$O646))),OR(Query!$B$10&lt;&gt;"Yes",'Compliance Database'!$F646&lt;&gt;"None")),1,0)</f>
        <v/>
      </c>
      <c r="B646">
        <f>IF($A646=1,SUM($A$2:$A646),"")</f>
        <v/>
      </c>
      <c r="C646">
        <f>IF($A646=1,SUM($A$2:$A646),0)</f>
        <v/>
      </c>
    </row>
    <row r="647">
      <c r="A647">
        <f>IF(AND(OR(Query!$B$4="All",'Compliance Database'!$A647=Query!$B$4),OR(Query!$B$5="All",ISNUMBER(SEARCH(Query!$B$5,'Compliance Database'!$H647))),OR(Query!$B$6="All",ISNUMBER(SEARCH(Query!$B$6,'Compliance Database'!$I647))),OR(Query!$B$7="All",'Compliance Database'!$F647=Query!$B$7),OR(Query!$B$8="All",'Compliance Database'!$J647=Query!$B$8),OR(Query!$B$9="",ISNUMBER(SEARCH(Query!$B$9,'Compliance Database'!$D647&amp;" "&amp;'Compliance Database'!$K647&amp;" "&amp;'Compliance Database'!$L647&amp;" "&amp;'Compliance Database'!$M647&amp;" "&amp;'Compliance Database'!$N647&amp;" "&amp;'Compliance Database'!$O647))),OR(Query!$B$10&lt;&gt;"Yes",'Compliance Database'!$F647&lt;&gt;"None")),1,0)</f>
        <v/>
      </c>
      <c r="B647">
        <f>IF($A647=1,SUM($A$2:$A647),"")</f>
        <v/>
      </c>
      <c r="C647">
        <f>IF($A647=1,SUM($A$2:$A647),0)</f>
        <v/>
      </c>
    </row>
    <row r="648">
      <c r="A648">
        <f>IF(AND(OR(Query!$B$4="All",'Compliance Database'!$A648=Query!$B$4),OR(Query!$B$5="All",ISNUMBER(SEARCH(Query!$B$5,'Compliance Database'!$H648))),OR(Query!$B$6="All",ISNUMBER(SEARCH(Query!$B$6,'Compliance Database'!$I648))),OR(Query!$B$7="All",'Compliance Database'!$F648=Query!$B$7),OR(Query!$B$8="All",'Compliance Database'!$J648=Query!$B$8),OR(Query!$B$9="",ISNUMBER(SEARCH(Query!$B$9,'Compliance Database'!$D648&amp;" "&amp;'Compliance Database'!$K648&amp;" "&amp;'Compliance Database'!$L648&amp;" "&amp;'Compliance Database'!$M648&amp;" "&amp;'Compliance Database'!$N648&amp;" "&amp;'Compliance Database'!$O648))),OR(Query!$B$10&lt;&gt;"Yes",'Compliance Database'!$F648&lt;&gt;"None")),1,0)</f>
        <v/>
      </c>
      <c r="B648">
        <f>IF($A648=1,SUM($A$2:$A648),"")</f>
        <v/>
      </c>
      <c r="C648">
        <f>IF($A648=1,SUM($A$2:$A648),0)</f>
        <v/>
      </c>
    </row>
    <row r="649">
      <c r="A649">
        <f>IF(AND(OR(Query!$B$4="All",'Compliance Database'!$A649=Query!$B$4),OR(Query!$B$5="All",ISNUMBER(SEARCH(Query!$B$5,'Compliance Database'!$H649))),OR(Query!$B$6="All",ISNUMBER(SEARCH(Query!$B$6,'Compliance Database'!$I649))),OR(Query!$B$7="All",'Compliance Database'!$F649=Query!$B$7),OR(Query!$B$8="All",'Compliance Database'!$J649=Query!$B$8),OR(Query!$B$9="",ISNUMBER(SEARCH(Query!$B$9,'Compliance Database'!$D649&amp;" "&amp;'Compliance Database'!$K649&amp;" "&amp;'Compliance Database'!$L649&amp;" "&amp;'Compliance Database'!$M649&amp;" "&amp;'Compliance Database'!$N649&amp;" "&amp;'Compliance Database'!$O649))),OR(Query!$B$10&lt;&gt;"Yes",'Compliance Database'!$F649&lt;&gt;"None")),1,0)</f>
        <v/>
      </c>
      <c r="B649">
        <f>IF($A649=1,SUM($A$2:$A649),"")</f>
        <v/>
      </c>
      <c r="C649">
        <f>IF($A649=1,SUM($A$2:$A649),0)</f>
        <v/>
      </c>
    </row>
    <row r="650">
      <c r="A650">
        <f>IF(AND(OR(Query!$B$4="All",'Compliance Database'!$A650=Query!$B$4),OR(Query!$B$5="All",ISNUMBER(SEARCH(Query!$B$5,'Compliance Database'!$H650))),OR(Query!$B$6="All",ISNUMBER(SEARCH(Query!$B$6,'Compliance Database'!$I650))),OR(Query!$B$7="All",'Compliance Database'!$F650=Query!$B$7),OR(Query!$B$8="All",'Compliance Database'!$J650=Query!$B$8),OR(Query!$B$9="",ISNUMBER(SEARCH(Query!$B$9,'Compliance Database'!$D650&amp;" "&amp;'Compliance Database'!$K650&amp;" "&amp;'Compliance Database'!$L650&amp;" "&amp;'Compliance Database'!$M650&amp;" "&amp;'Compliance Database'!$N650&amp;" "&amp;'Compliance Database'!$O650))),OR(Query!$B$10&lt;&gt;"Yes",'Compliance Database'!$F650&lt;&gt;"None")),1,0)</f>
        <v/>
      </c>
      <c r="B650">
        <f>IF($A650=1,SUM($A$2:$A650),"")</f>
        <v/>
      </c>
      <c r="C650">
        <f>IF($A650=1,SUM($A$2:$A650),0)</f>
        <v/>
      </c>
    </row>
    <row r="651">
      <c r="A651">
        <f>IF(AND(OR(Query!$B$4="All",'Compliance Database'!$A651=Query!$B$4),OR(Query!$B$5="All",ISNUMBER(SEARCH(Query!$B$5,'Compliance Database'!$H651))),OR(Query!$B$6="All",ISNUMBER(SEARCH(Query!$B$6,'Compliance Database'!$I651))),OR(Query!$B$7="All",'Compliance Database'!$F651=Query!$B$7),OR(Query!$B$8="All",'Compliance Database'!$J651=Query!$B$8),OR(Query!$B$9="",ISNUMBER(SEARCH(Query!$B$9,'Compliance Database'!$D651&amp;" "&amp;'Compliance Database'!$K651&amp;" "&amp;'Compliance Database'!$L651&amp;" "&amp;'Compliance Database'!$M651&amp;" "&amp;'Compliance Database'!$N651&amp;" "&amp;'Compliance Database'!$O651))),OR(Query!$B$10&lt;&gt;"Yes",'Compliance Database'!$F651&lt;&gt;"None")),1,0)</f>
        <v/>
      </c>
      <c r="B651">
        <f>IF($A651=1,SUM($A$2:$A651),"")</f>
        <v/>
      </c>
      <c r="C651">
        <f>IF($A651=1,SUM($A$2:$A651),0)</f>
        <v/>
      </c>
    </row>
    <row r="652">
      <c r="A652">
        <f>IF(AND(OR(Query!$B$4="All",'Compliance Database'!$A652=Query!$B$4),OR(Query!$B$5="All",ISNUMBER(SEARCH(Query!$B$5,'Compliance Database'!$H652))),OR(Query!$B$6="All",ISNUMBER(SEARCH(Query!$B$6,'Compliance Database'!$I652))),OR(Query!$B$7="All",'Compliance Database'!$F652=Query!$B$7),OR(Query!$B$8="All",'Compliance Database'!$J652=Query!$B$8),OR(Query!$B$9="",ISNUMBER(SEARCH(Query!$B$9,'Compliance Database'!$D652&amp;" "&amp;'Compliance Database'!$K652&amp;" "&amp;'Compliance Database'!$L652&amp;" "&amp;'Compliance Database'!$M652&amp;" "&amp;'Compliance Database'!$N652&amp;" "&amp;'Compliance Database'!$O652))),OR(Query!$B$10&lt;&gt;"Yes",'Compliance Database'!$F652&lt;&gt;"None")),1,0)</f>
        <v/>
      </c>
      <c r="B652">
        <f>IF($A652=1,SUM($A$2:$A652),"")</f>
        <v/>
      </c>
      <c r="C652">
        <f>IF($A652=1,SUM($A$2:$A652),0)</f>
        <v/>
      </c>
    </row>
    <row r="653">
      <c r="A653">
        <f>IF(AND(OR(Query!$B$4="All",'Compliance Database'!$A653=Query!$B$4),OR(Query!$B$5="All",ISNUMBER(SEARCH(Query!$B$5,'Compliance Database'!$H653))),OR(Query!$B$6="All",ISNUMBER(SEARCH(Query!$B$6,'Compliance Database'!$I653))),OR(Query!$B$7="All",'Compliance Database'!$F653=Query!$B$7),OR(Query!$B$8="All",'Compliance Database'!$J653=Query!$B$8),OR(Query!$B$9="",ISNUMBER(SEARCH(Query!$B$9,'Compliance Database'!$D653&amp;" "&amp;'Compliance Database'!$K653&amp;" "&amp;'Compliance Database'!$L653&amp;" "&amp;'Compliance Database'!$M653&amp;" "&amp;'Compliance Database'!$N653&amp;" "&amp;'Compliance Database'!$O653))),OR(Query!$B$10&lt;&gt;"Yes",'Compliance Database'!$F653&lt;&gt;"None")),1,0)</f>
        <v/>
      </c>
      <c r="B653">
        <f>IF($A653=1,SUM($A$2:$A653),"")</f>
        <v/>
      </c>
      <c r="C653">
        <f>IF($A653=1,SUM($A$2:$A653),0)</f>
        <v/>
      </c>
    </row>
    <row r="654">
      <c r="A654">
        <f>IF(AND(OR(Query!$B$4="All",'Compliance Database'!$A654=Query!$B$4),OR(Query!$B$5="All",ISNUMBER(SEARCH(Query!$B$5,'Compliance Database'!$H654))),OR(Query!$B$6="All",ISNUMBER(SEARCH(Query!$B$6,'Compliance Database'!$I654))),OR(Query!$B$7="All",'Compliance Database'!$F654=Query!$B$7),OR(Query!$B$8="All",'Compliance Database'!$J654=Query!$B$8),OR(Query!$B$9="",ISNUMBER(SEARCH(Query!$B$9,'Compliance Database'!$D654&amp;" "&amp;'Compliance Database'!$K654&amp;" "&amp;'Compliance Database'!$L654&amp;" "&amp;'Compliance Database'!$M654&amp;" "&amp;'Compliance Database'!$N654&amp;" "&amp;'Compliance Database'!$O654))),OR(Query!$B$10&lt;&gt;"Yes",'Compliance Database'!$F654&lt;&gt;"None")),1,0)</f>
        <v/>
      </c>
      <c r="B654">
        <f>IF($A654=1,SUM($A$2:$A654),"")</f>
        <v/>
      </c>
      <c r="C654">
        <f>IF($A654=1,SUM($A$2:$A654),0)</f>
        <v/>
      </c>
    </row>
    <row r="655">
      <c r="A655">
        <f>IF(AND(OR(Query!$B$4="All",'Compliance Database'!$A655=Query!$B$4),OR(Query!$B$5="All",ISNUMBER(SEARCH(Query!$B$5,'Compliance Database'!$H655))),OR(Query!$B$6="All",ISNUMBER(SEARCH(Query!$B$6,'Compliance Database'!$I655))),OR(Query!$B$7="All",'Compliance Database'!$F655=Query!$B$7),OR(Query!$B$8="All",'Compliance Database'!$J655=Query!$B$8),OR(Query!$B$9="",ISNUMBER(SEARCH(Query!$B$9,'Compliance Database'!$D655&amp;" "&amp;'Compliance Database'!$K655&amp;" "&amp;'Compliance Database'!$L655&amp;" "&amp;'Compliance Database'!$M655&amp;" "&amp;'Compliance Database'!$N655&amp;" "&amp;'Compliance Database'!$O655))),OR(Query!$B$10&lt;&gt;"Yes",'Compliance Database'!$F655&lt;&gt;"None")),1,0)</f>
        <v/>
      </c>
      <c r="B655">
        <f>IF($A655=1,SUM($A$2:$A655),"")</f>
        <v/>
      </c>
      <c r="C655">
        <f>IF($A655=1,SUM($A$2:$A655),0)</f>
        <v/>
      </c>
    </row>
    <row r="656">
      <c r="A656">
        <f>IF(AND(OR(Query!$B$4="All",'Compliance Database'!$A656=Query!$B$4),OR(Query!$B$5="All",ISNUMBER(SEARCH(Query!$B$5,'Compliance Database'!$H656))),OR(Query!$B$6="All",ISNUMBER(SEARCH(Query!$B$6,'Compliance Database'!$I656))),OR(Query!$B$7="All",'Compliance Database'!$F656=Query!$B$7),OR(Query!$B$8="All",'Compliance Database'!$J656=Query!$B$8),OR(Query!$B$9="",ISNUMBER(SEARCH(Query!$B$9,'Compliance Database'!$D656&amp;" "&amp;'Compliance Database'!$K656&amp;" "&amp;'Compliance Database'!$L656&amp;" "&amp;'Compliance Database'!$M656&amp;" "&amp;'Compliance Database'!$N656&amp;" "&amp;'Compliance Database'!$O656))),OR(Query!$B$10&lt;&gt;"Yes",'Compliance Database'!$F656&lt;&gt;"None")),1,0)</f>
        <v/>
      </c>
      <c r="B656">
        <f>IF($A656=1,SUM($A$2:$A656),"")</f>
        <v/>
      </c>
      <c r="C656">
        <f>IF($A656=1,SUM($A$2:$A656),0)</f>
        <v/>
      </c>
    </row>
    <row r="657">
      <c r="A657">
        <f>IF(AND(OR(Query!$B$4="All",'Compliance Database'!$A657=Query!$B$4),OR(Query!$B$5="All",ISNUMBER(SEARCH(Query!$B$5,'Compliance Database'!$H657))),OR(Query!$B$6="All",ISNUMBER(SEARCH(Query!$B$6,'Compliance Database'!$I657))),OR(Query!$B$7="All",'Compliance Database'!$F657=Query!$B$7),OR(Query!$B$8="All",'Compliance Database'!$J657=Query!$B$8),OR(Query!$B$9="",ISNUMBER(SEARCH(Query!$B$9,'Compliance Database'!$D657&amp;" "&amp;'Compliance Database'!$K657&amp;" "&amp;'Compliance Database'!$L657&amp;" "&amp;'Compliance Database'!$M657&amp;" "&amp;'Compliance Database'!$N657&amp;" "&amp;'Compliance Database'!$O657))),OR(Query!$B$10&lt;&gt;"Yes",'Compliance Database'!$F657&lt;&gt;"None")),1,0)</f>
        <v/>
      </c>
      <c r="B657">
        <f>IF($A657=1,SUM($A$2:$A657),"")</f>
        <v/>
      </c>
      <c r="C657">
        <f>IF($A657=1,SUM($A$2:$A657),0)</f>
        <v/>
      </c>
    </row>
    <row r="658">
      <c r="A658">
        <f>IF(AND(OR(Query!$B$4="All",'Compliance Database'!$A658=Query!$B$4),OR(Query!$B$5="All",ISNUMBER(SEARCH(Query!$B$5,'Compliance Database'!$H658))),OR(Query!$B$6="All",ISNUMBER(SEARCH(Query!$B$6,'Compliance Database'!$I658))),OR(Query!$B$7="All",'Compliance Database'!$F658=Query!$B$7),OR(Query!$B$8="All",'Compliance Database'!$J658=Query!$B$8),OR(Query!$B$9="",ISNUMBER(SEARCH(Query!$B$9,'Compliance Database'!$D658&amp;" "&amp;'Compliance Database'!$K658&amp;" "&amp;'Compliance Database'!$L658&amp;" "&amp;'Compliance Database'!$M658&amp;" "&amp;'Compliance Database'!$N658&amp;" "&amp;'Compliance Database'!$O658))),OR(Query!$B$10&lt;&gt;"Yes",'Compliance Database'!$F658&lt;&gt;"None")),1,0)</f>
        <v/>
      </c>
      <c r="B658">
        <f>IF($A658=1,SUM($A$2:$A658),"")</f>
        <v/>
      </c>
      <c r="C658">
        <f>IF($A658=1,SUM($A$2:$A658),0)</f>
        <v/>
      </c>
    </row>
    <row r="659">
      <c r="A659">
        <f>IF(AND(OR(Query!$B$4="All",'Compliance Database'!$A659=Query!$B$4),OR(Query!$B$5="All",ISNUMBER(SEARCH(Query!$B$5,'Compliance Database'!$H659))),OR(Query!$B$6="All",ISNUMBER(SEARCH(Query!$B$6,'Compliance Database'!$I659))),OR(Query!$B$7="All",'Compliance Database'!$F659=Query!$B$7),OR(Query!$B$8="All",'Compliance Database'!$J659=Query!$B$8),OR(Query!$B$9="",ISNUMBER(SEARCH(Query!$B$9,'Compliance Database'!$D659&amp;" "&amp;'Compliance Database'!$K659&amp;" "&amp;'Compliance Database'!$L659&amp;" "&amp;'Compliance Database'!$M659&amp;" "&amp;'Compliance Database'!$N659&amp;" "&amp;'Compliance Database'!$O659))),OR(Query!$B$10&lt;&gt;"Yes",'Compliance Database'!$F659&lt;&gt;"None")),1,0)</f>
        <v/>
      </c>
      <c r="B659">
        <f>IF($A659=1,SUM($A$2:$A659),"")</f>
        <v/>
      </c>
      <c r="C659">
        <f>IF($A659=1,SUM($A$2:$A659),0)</f>
        <v/>
      </c>
    </row>
    <row r="660">
      <c r="A660">
        <f>IF(AND(OR(Query!$B$4="All",'Compliance Database'!$A660=Query!$B$4),OR(Query!$B$5="All",ISNUMBER(SEARCH(Query!$B$5,'Compliance Database'!$H660))),OR(Query!$B$6="All",ISNUMBER(SEARCH(Query!$B$6,'Compliance Database'!$I660))),OR(Query!$B$7="All",'Compliance Database'!$F660=Query!$B$7),OR(Query!$B$8="All",'Compliance Database'!$J660=Query!$B$8),OR(Query!$B$9="",ISNUMBER(SEARCH(Query!$B$9,'Compliance Database'!$D660&amp;" "&amp;'Compliance Database'!$K660&amp;" "&amp;'Compliance Database'!$L660&amp;" "&amp;'Compliance Database'!$M660&amp;" "&amp;'Compliance Database'!$N660&amp;" "&amp;'Compliance Database'!$O660))),OR(Query!$B$10&lt;&gt;"Yes",'Compliance Database'!$F660&lt;&gt;"None")),1,0)</f>
        <v/>
      </c>
      <c r="B660">
        <f>IF($A660=1,SUM($A$2:$A660),"")</f>
        <v/>
      </c>
      <c r="C660">
        <f>IF($A660=1,SUM($A$2:$A660),0)</f>
        <v/>
      </c>
    </row>
    <row r="661">
      <c r="A661">
        <f>IF(AND(OR(Query!$B$4="All",'Compliance Database'!$A661=Query!$B$4),OR(Query!$B$5="All",ISNUMBER(SEARCH(Query!$B$5,'Compliance Database'!$H661))),OR(Query!$B$6="All",ISNUMBER(SEARCH(Query!$B$6,'Compliance Database'!$I661))),OR(Query!$B$7="All",'Compliance Database'!$F661=Query!$B$7),OR(Query!$B$8="All",'Compliance Database'!$J661=Query!$B$8),OR(Query!$B$9="",ISNUMBER(SEARCH(Query!$B$9,'Compliance Database'!$D661&amp;" "&amp;'Compliance Database'!$K661&amp;" "&amp;'Compliance Database'!$L661&amp;" "&amp;'Compliance Database'!$M661&amp;" "&amp;'Compliance Database'!$N661&amp;" "&amp;'Compliance Database'!$O661))),OR(Query!$B$10&lt;&gt;"Yes",'Compliance Database'!$F661&lt;&gt;"None")),1,0)</f>
        <v/>
      </c>
      <c r="B661">
        <f>IF($A661=1,SUM($A$2:$A661),"")</f>
        <v/>
      </c>
      <c r="C661">
        <f>IF($A661=1,SUM($A$2:$A661),0)</f>
        <v/>
      </c>
    </row>
    <row r="662">
      <c r="A662">
        <f>IF(AND(OR(Query!$B$4="All",'Compliance Database'!$A662=Query!$B$4),OR(Query!$B$5="All",ISNUMBER(SEARCH(Query!$B$5,'Compliance Database'!$H662))),OR(Query!$B$6="All",ISNUMBER(SEARCH(Query!$B$6,'Compliance Database'!$I662))),OR(Query!$B$7="All",'Compliance Database'!$F662=Query!$B$7),OR(Query!$B$8="All",'Compliance Database'!$J662=Query!$B$8),OR(Query!$B$9="",ISNUMBER(SEARCH(Query!$B$9,'Compliance Database'!$D662&amp;" "&amp;'Compliance Database'!$K662&amp;" "&amp;'Compliance Database'!$L662&amp;" "&amp;'Compliance Database'!$M662&amp;" "&amp;'Compliance Database'!$N662&amp;" "&amp;'Compliance Database'!$O662))),OR(Query!$B$10&lt;&gt;"Yes",'Compliance Database'!$F662&lt;&gt;"None")),1,0)</f>
        <v/>
      </c>
      <c r="B662">
        <f>IF($A662=1,SUM($A$2:$A662),"")</f>
        <v/>
      </c>
      <c r="C662">
        <f>IF($A662=1,SUM($A$2:$A662),0)</f>
        <v/>
      </c>
    </row>
    <row r="663">
      <c r="A663">
        <f>IF(AND(OR(Query!$B$4="All",'Compliance Database'!$A663=Query!$B$4),OR(Query!$B$5="All",ISNUMBER(SEARCH(Query!$B$5,'Compliance Database'!$H663))),OR(Query!$B$6="All",ISNUMBER(SEARCH(Query!$B$6,'Compliance Database'!$I663))),OR(Query!$B$7="All",'Compliance Database'!$F663=Query!$B$7),OR(Query!$B$8="All",'Compliance Database'!$J663=Query!$B$8),OR(Query!$B$9="",ISNUMBER(SEARCH(Query!$B$9,'Compliance Database'!$D663&amp;" "&amp;'Compliance Database'!$K663&amp;" "&amp;'Compliance Database'!$L663&amp;" "&amp;'Compliance Database'!$M663&amp;" "&amp;'Compliance Database'!$N663&amp;" "&amp;'Compliance Database'!$O663))),OR(Query!$B$10&lt;&gt;"Yes",'Compliance Database'!$F663&lt;&gt;"None")),1,0)</f>
        <v/>
      </c>
      <c r="B663">
        <f>IF($A663=1,SUM($A$2:$A663),"")</f>
        <v/>
      </c>
      <c r="C663">
        <f>IF($A663=1,SUM($A$2:$A663),0)</f>
        <v/>
      </c>
    </row>
    <row r="664">
      <c r="A664">
        <f>IF(AND(OR(Query!$B$4="All",'Compliance Database'!$A664=Query!$B$4),OR(Query!$B$5="All",ISNUMBER(SEARCH(Query!$B$5,'Compliance Database'!$H664))),OR(Query!$B$6="All",ISNUMBER(SEARCH(Query!$B$6,'Compliance Database'!$I664))),OR(Query!$B$7="All",'Compliance Database'!$F664=Query!$B$7),OR(Query!$B$8="All",'Compliance Database'!$J664=Query!$B$8),OR(Query!$B$9="",ISNUMBER(SEARCH(Query!$B$9,'Compliance Database'!$D664&amp;" "&amp;'Compliance Database'!$K664&amp;" "&amp;'Compliance Database'!$L664&amp;" "&amp;'Compliance Database'!$M664&amp;" "&amp;'Compliance Database'!$N664&amp;" "&amp;'Compliance Database'!$O664))),OR(Query!$B$10&lt;&gt;"Yes",'Compliance Database'!$F664&lt;&gt;"None")),1,0)</f>
        <v/>
      </c>
      <c r="B664">
        <f>IF($A664=1,SUM($A$2:$A664),"")</f>
        <v/>
      </c>
      <c r="C664">
        <f>IF($A664=1,SUM($A$2:$A664),0)</f>
        <v/>
      </c>
    </row>
    <row r="665">
      <c r="A665">
        <f>IF(AND(OR(Query!$B$4="All",'Compliance Database'!$A665=Query!$B$4),OR(Query!$B$5="All",ISNUMBER(SEARCH(Query!$B$5,'Compliance Database'!$H665))),OR(Query!$B$6="All",ISNUMBER(SEARCH(Query!$B$6,'Compliance Database'!$I665))),OR(Query!$B$7="All",'Compliance Database'!$F665=Query!$B$7),OR(Query!$B$8="All",'Compliance Database'!$J665=Query!$B$8),OR(Query!$B$9="",ISNUMBER(SEARCH(Query!$B$9,'Compliance Database'!$D665&amp;" "&amp;'Compliance Database'!$K665&amp;" "&amp;'Compliance Database'!$L665&amp;" "&amp;'Compliance Database'!$M665&amp;" "&amp;'Compliance Database'!$N665&amp;" "&amp;'Compliance Database'!$O665))),OR(Query!$B$10&lt;&gt;"Yes",'Compliance Database'!$F665&lt;&gt;"None")),1,0)</f>
        <v/>
      </c>
      <c r="B665">
        <f>IF($A665=1,SUM($A$2:$A665),"")</f>
        <v/>
      </c>
      <c r="C665">
        <f>IF($A665=1,SUM($A$2:$A665),0)</f>
        <v/>
      </c>
    </row>
    <row r="666">
      <c r="A666">
        <f>IF(AND(OR(Query!$B$4="All",'Compliance Database'!$A666=Query!$B$4),OR(Query!$B$5="All",ISNUMBER(SEARCH(Query!$B$5,'Compliance Database'!$H666))),OR(Query!$B$6="All",ISNUMBER(SEARCH(Query!$B$6,'Compliance Database'!$I666))),OR(Query!$B$7="All",'Compliance Database'!$F666=Query!$B$7),OR(Query!$B$8="All",'Compliance Database'!$J666=Query!$B$8),OR(Query!$B$9="",ISNUMBER(SEARCH(Query!$B$9,'Compliance Database'!$D666&amp;" "&amp;'Compliance Database'!$K666&amp;" "&amp;'Compliance Database'!$L666&amp;" "&amp;'Compliance Database'!$M666&amp;" "&amp;'Compliance Database'!$N666&amp;" "&amp;'Compliance Database'!$O666))),OR(Query!$B$10&lt;&gt;"Yes",'Compliance Database'!$F666&lt;&gt;"None")),1,0)</f>
        <v/>
      </c>
      <c r="B666">
        <f>IF($A666=1,SUM($A$2:$A666),"")</f>
        <v/>
      </c>
      <c r="C666">
        <f>IF($A666=1,SUM($A$2:$A666),0)</f>
        <v/>
      </c>
    </row>
    <row r="667">
      <c r="A667">
        <f>IF(AND(OR(Query!$B$4="All",'Compliance Database'!$A667=Query!$B$4),OR(Query!$B$5="All",ISNUMBER(SEARCH(Query!$B$5,'Compliance Database'!$H667))),OR(Query!$B$6="All",ISNUMBER(SEARCH(Query!$B$6,'Compliance Database'!$I667))),OR(Query!$B$7="All",'Compliance Database'!$F667=Query!$B$7),OR(Query!$B$8="All",'Compliance Database'!$J667=Query!$B$8),OR(Query!$B$9="",ISNUMBER(SEARCH(Query!$B$9,'Compliance Database'!$D667&amp;" "&amp;'Compliance Database'!$K667&amp;" "&amp;'Compliance Database'!$L667&amp;" "&amp;'Compliance Database'!$M667&amp;" "&amp;'Compliance Database'!$N667&amp;" "&amp;'Compliance Database'!$O667))),OR(Query!$B$10&lt;&gt;"Yes",'Compliance Database'!$F667&lt;&gt;"None")),1,0)</f>
        <v/>
      </c>
      <c r="B667">
        <f>IF($A667=1,SUM($A$2:$A667),"")</f>
        <v/>
      </c>
      <c r="C667">
        <f>IF($A667=1,SUM($A$2:$A667),0)</f>
        <v/>
      </c>
    </row>
    <row r="668">
      <c r="A668">
        <f>IF(AND(OR(Query!$B$4="All",'Compliance Database'!$A668=Query!$B$4),OR(Query!$B$5="All",ISNUMBER(SEARCH(Query!$B$5,'Compliance Database'!$H668))),OR(Query!$B$6="All",ISNUMBER(SEARCH(Query!$B$6,'Compliance Database'!$I668))),OR(Query!$B$7="All",'Compliance Database'!$F668=Query!$B$7),OR(Query!$B$8="All",'Compliance Database'!$J668=Query!$B$8),OR(Query!$B$9="",ISNUMBER(SEARCH(Query!$B$9,'Compliance Database'!$D668&amp;" "&amp;'Compliance Database'!$K668&amp;" "&amp;'Compliance Database'!$L668&amp;" "&amp;'Compliance Database'!$M668&amp;" "&amp;'Compliance Database'!$N668&amp;" "&amp;'Compliance Database'!$O668))),OR(Query!$B$10&lt;&gt;"Yes",'Compliance Database'!$F668&lt;&gt;"None")),1,0)</f>
        <v/>
      </c>
      <c r="B668">
        <f>IF($A668=1,SUM($A$2:$A668),"")</f>
        <v/>
      </c>
      <c r="C668">
        <f>IF($A668=1,SUM($A$2:$A668),0)</f>
        <v/>
      </c>
    </row>
    <row r="669">
      <c r="A669">
        <f>IF(AND(OR(Query!$B$4="All",'Compliance Database'!$A669=Query!$B$4),OR(Query!$B$5="All",ISNUMBER(SEARCH(Query!$B$5,'Compliance Database'!$H669))),OR(Query!$B$6="All",ISNUMBER(SEARCH(Query!$B$6,'Compliance Database'!$I669))),OR(Query!$B$7="All",'Compliance Database'!$F669=Query!$B$7),OR(Query!$B$8="All",'Compliance Database'!$J669=Query!$B$8),OR(Query!$B$9="",ISNUMBER(SEARCH(Query!$B$9,'Compliance Database'!$D669&amp;" "&amp;'Compliance Database'!$K669&amp;" "&amp;'Compliance Database'!$L669&amp;" "&amp;'Compliance Database'!$M669&amp;" "&amp;'Compliance Database'!$N669&amp;" "&amp;'Compliance Database'!$O669))),OR(Query!$B$10&lt;&gt;"Yes",'Compliance Database'!$F669&lt;&gt;"None")),1,0)</f>
        <v/>
      </c>
      <c r="B669">
        <f>IF($A669=1,SUM($A$2:$A669),"")</f>
        <v/>
      </c>
      <c r="C669">
        <f>IF($A669=1,SUM($A$2:$A669),0)</f>
        <v/>
      </c>
    </row>
    <row r="670">
      <c r="A670">
        <f>IF(AND(OR(Query!$B$4="All",'Compliance Database'!$A670=Query!$B$4),OR(Query!$B$5="All",ISNUMBER(SEARCH(Query!$B$5,'Compliance Database'!$H670))),OR(Query!$B$6="All",ISNUMBER(SEARCH(Query!$B$6,'Compliance Database'!$I670))),OR(Query!$B$7="All",'Compliance Database'!$F670=Query!$B$7),OR(Query!$B$8="All",'Compliance Database'!$J670=Query!$B$8),OR(Query!$B$9="",ISNUMBER(SEARCH(Query!$B$9,'Compliance Database'!$D670&amp;" "&amp;'Compliance Database'!$K670&amp;" "&amp;'Compliance Database'!$L670&amp;" "&amp;'Compliance Database'!$M670&amp;" "&amp;'Compliance Database'!$N670&amp;" "&amp;'Compliance Database'!$O670))),OR(Query!$B$10&lt;&gt;"Yes",'Compliance Database'!$F670&lt;&gt;"None")),1,0)</f>
        <v/>
      </c>
      <c r="B670">
        <f>IF($A670=1,SUM($A$2:$A670),"")</f>
        <v/>
      </c>
      <c r="C670">
        <f>IF($A670=1,SUM($A$2:$A670),0)</f>
        <v/>
      </c>
    </row>
    <row r="671">
      <c r="A671">
        <f>IF(AND(OR(Query!$B$4="All",'Compliance Database'!$A671=Query!$B$4),OR(Query!$B$5="All",ISNUMBER(SEARCH(Query!$B$5,'Compliance Database'!$H671))),OR(Query!$B$6="All",ISNUMBER(SEARCH(Query!$B$6,'Compliance Database'!$I671))),OR(Query!$B$7="All",'Compliance Database'!$F671=Query!$B$7),OR(Query!$B$8="All",'Compliance Database'!$J671=Query!$B$8),OR(Query!$B$9="",ISNUMBER(SEARCH(Query!$B$9,'Compliance Database'!$D671&amp;" "&amp;'Compliance Database'!$K671&amp;" "&amp;'Compliance Database'!$L671&amp;" "&amp;'Compliance Database'!$M671&amp;" "&amp;'Compliance Database'!$N671&amp;" "&amp;'Compliance Database'!$O671))),OR(Query!$B$10&lt;&gt;"Yes",'Compliance Database'!$F671&lt;&gt;"None")),1,0)</f>
        <v/>
      </c>
      <c r="B671">
        <f>IF($A671=1,SUM($A$2:$A671),"")</f>
        <v/>
      </c>
      <c r="C671">
        <f>IF($A671=1,SUM($A$2:$A671),0)</f>
        <v/>
      </c>
    </row>
    <row r="672">
      <c r="A672">
        <f>IF(AND(OR(Query!$B$4="All",'Compliance Database'!$A672=Query!$B$4),OR(Query!$B$5="All",ISNUMBER(SEARCH(Query!$B$5,'Compliance Database'!$H672))),OR(Query!$B$6="All",ISNUMBER(SEARCH(Query!$B$6,'Compliance Database'!$I672))),OR(Query!$B$7="All",'Compliance Database'!$F672=Query!$B$7),OR(Query!$B$8="All",'Compliance Database'!$J672=Query!$B$8),OR(Query!$B$9="",ISNUMBER(SEARCH(Query!$B$9,'Compliance Database'!$D672&amp;" "&amp;'Compliance Database'!$K672&amp;" "&amp;'Compliance Database'!$L672&amp;" "&amp;'Compliance Database'!$M672&amp;" "&amp;'Compliance Database'!$N672&amp;" "&amp;'Compliance Database'!$O672))),OR(Query!$B$10&lt;&gt;"Yes",'Compliance Database'!$F672&lt;&gt;"None")),1,0)</f>
        <v/>
      </c>
      <c r="B672">
        <f>IF($A672=1,SUM($A$2:$A672),"")</f>
        <v/>
      </c>
      <c r="C672">
        <f>IF($A672=1,SUM($A$2:$A672),0)</f>
        <v/>
      </c>
    </row>
    <row r="673">
      <c r="A673">
        <f>IF(AND(OR(Query!$B$4="All",'Compliance Database'!$A673=Query!$B$4),OR(Query!$B$5="All",ISNUMBER(SEARCH(Query!$B$5,'Compliance Database'!$H673))),OR(Query!$B$6="All",ISNUMBER(SEARCH(Query!$B$6,'Compliance Database'!$I673))),OR(Query!$B$7="All",'Compliance Database'!$F673=Query!$B$7),OR(Query!$B$8="All",'Compliance Database'!$J673=Query!$B$8),OR(Query!$B$9="",ISNUMBER(SEARCH(Query!$B$9,'Compliance Database'!$D673&amp;" "&amp;'Compliance Database'!$K673&amp;" "&amp;'Compliance Database'!$L673&amp;" "&amp;'Compliance Database'!$M673&amp;" "&amp;'Compliance Database'!$N673&amp;" "&amp;'Compliance Database'!$O673))),OR(Query!$B$10&lt;&gt;"Yes",'Compliance Database'!$F673&lt;&gt;"None")),1,0)</f>
        <v/>
      </c>
      <c r="B673">
        <f>IF($A673=1,SUM($A$2:$A673),"")</f>
        <v/>
      </c>
      <c r="C673">
        <f>IF($A673=1,SUM($A$2:$A673),0)</f>
        <v/>
      </c>
    </row>
    <row r="674">
      <c r="A674">
        <f>IF(AND(OR(Query!$B$4="All",'Compliance Database'!$A674=Query!$B$4),OR(Query!$B$5="All",ISNUMBER(SEARCH(Query!$B$5,'Compliance Database'!$H674))),OR(Query!$B$6="All",ISNUMBER(SEARCH(Query!$B$6,'Compliance Database'!$I674))),OR(Query!$B$7="All",'Compliance Database'!$F674=Query!$B$7),OR(Query!$B$8="All",'Compliance Database'!$J674=Query!$B$8),OR(Query!$B$9="",ISNUMBER(SEARCH(Query!$B$9,'Compliance Database'!$D674&amp;" "&amp;'Compliance Database'!$K674&amp;" "&amp;'Compliance Database'!$L674&amp;" "&amp;'Compliance Database'!$M674&amp;" "&amp;'Compliance Database'!$N674&amp;" "&amp;'Compliance Database'!$O674))),OR(Query!$B$10&lt;&gt;"Yes",'Compliance Database'!$F674&lt;&gt;"None")),1,0)</f>
        <v/>
      </c>
      <c r="B674">
        <f>IF($A674=1,SUM($A$2:$A674),"")</f>
        <v/>
      </c>
      <c r="C674">
        <f>IF($A674=1,SUM($A$2:$A674),0)</f>
        <v/>
      </c>
    </row>
    <row r="675">
      <c r="A675">
        <f>IF(AND(OR(Query!$B$4="All",'Compliance Database'!$A675=Query!$B$4),OR(Query!$B$5="All",ISNUMBER(SEARCH(Query!$B$5,'Compliance Database'!$H675))),OR(Query!$B$6="All",ISNUMBER(SEARCH(Query!$B$6,'Compliance Database'!$I675))),OR(Query!$B$7="All",'Compliance Database'!$F675=Query!$B$7),OR(Query!$B$8="All",'Compliance Database'!$J675=Query!$B$8),OR(Query!$B$9="",ISNUMBER(SEARCH(Query!$B$9,'Compliance Database'!$D675&amp;" "&amp;'Compliance Database'!$K675&amp;" "&amp;'Compliance Database'!$L675&amp;" "&amp;'Compliance Database'!$M675&amp;" "&amp;'Compliance Database'!$N675&amp;" "&amp;'Compliance Database'!$O675))),OR(Query!$B$10&lt;&gt;"Yes",'Compliance Database'!$F675&lt;&gt;"None")),1,0)</f>
        <v/>
      </c>
      <c r="B675">
        <f>IF($A675=1,SUM($A$2:$A675),"")</f>
        <v/>
      </c>
      <c r="C675">
        <f>IF($A675=1,SUM($A$2:$A675),0)</f>
        <v/>
      </c>
    </row>
    <row r="676">
      <c r="A676">
        <f>IF(AND(OR(Query!$B$4="All",'Compliance Database'!$A676=Query!$B$4),OR(Query!$B$5="All",ISNUMBER(SEARCH(Query!$B$5,'Compliance Database'!$H676))),OR(Query!$B$6="All",ISNUMBER(SEARCH(Query!$B$6,'Compliance Database'!$I676))),OR(Query!$B$7="All",'Compliance Database'!$F676=Query!$B$7),OR(Query!$B$8="All",'Compliance Database'!$J676=Query!$B$8),OR(Query!$B$9="",ISNUMBER(SEARCH(Query!$B$9,'Compliance Database'!$D676&amp;" "&amp;'Compliance Database'!$K676&amp;" "&amp;'Compliance Database'!$L676&amp;" "&amp;'Compliance Database'!$M676&amp;" "&amp;'Compliance Database'!$N676&amp;" "&amp;'Compliance Database'!$O676))),OR(Query!$B$10&lt;&gt;"Yes",'Compliance Database'!$F676&lt;&gt;"None")),1,0)</f>
        <v/>
      </c>
      <c r="B676">
        <f>IF($A676=1,SUM($A$2:$A676),"")</f>
        <v/>
      </c>
      <c r="C676">
        <f>IF($A676=1,SUM($A$2:$A676),0)</f>
        <v/>
      </c>
    </row>
    <row r="677">
      <c r="A677">
        <f>IF(AND(OR(Query!$B$4="All",'Compliance Database'!$A677=Query!$B$4),OR(Query!$B$5="All",ISNUMBER(SEARCH(Query!$B$5,'Compliance Database'!$H677))),OR(Query!$B$6="All",ISNUMBER(SEARCH(Query!$B$6,'Compliance Database'!$I677))),OR(Query!$B$7="All",'Compliance Database'!$F677=Query!$B$7),OR(Query!$B$8="All",'Compliance Database'!$J677=Query!$B$8),OR(Query!$B$9="",ISNUMBER(SEARCH(Query!$B$9,'Compliance Database'!$D677&amp;" "&amp;'Compliance Database'!$K677&amp;" "&amp;'Compliance Database'!$L677&amp;" "&amp;'Compliance Database'!$M677&amp;" "&amp;'Compliance Database'!$N677&amp;" "&amp;'Compliance Database'!$O677))),OR(Query!$B$10&lt;&gt;"Yes",'Compliance Database'!$F677&lt;&gt;"None")),1,0)</f>
        <v/>
      </c>
      <c r="B677">
        <f>IF($A677=1,SUM($A$2:$A677),"")</f>
        <v/>
      </c>
      <c r="C677">
        <f>IF($A677=1,SUM($A$2:$A677),0)</f>
        <v/>
      </c>
    </row>
    <row r="678">
      <c r="A678">
        <f>IF(AND(OR(Query!$B$4="All",'Compliance Database'!$A678=Query!$B$4),OR(Query!$B$5="All",ISNUMBER(SEARCH(Query!$B$5,'Compliance Database'!$H678))),OR(Query!$B$6="All",ISNUMBER(SEARCH(Query!$B$6,'Compliance Database'!$I678))),OR(Query!$B$7="All",'Compliance Database'!$F678=Query!$B$7),OR(Query!$B$8="All",'Compliance Database'!$J678=Query!$B$8),OR(Query!$B$9="",ISNUMBER(SEARCH(Query!$B$9,'Compliance Database'!$D678&amp;" "&amp;'Compliance Database'!$K678&amp;" "&amp;'Compliance Database'!$L678&amp;" "&amp;'Compliance Database'!$M678&amp;" "&amp;'Compliance Database'!$N678&amp;" "&amp;'Compliance Database'!$O678))),OR(Query!$B$10&lt;&gt;"Yes",'Compliance Database'!$F678&lt;&gt;"None")),1,0)</f>
        <v/>
      </c>
      <c r="B678">
        <f>IF($A678=1,SUM($A$2:$A678),"")</f>
        <v/>
      </c>
      <c r="C678">
        <f>IF($A678=1,SUM($A$2:$A678),0)</f>
        <v/>
      </c>
    </row>
    <row r="679">
      <c r="A679">
        <f>IF(AND(OR(Query!$B$4="All",'Compliance Database'!$A679=Query!$B$4),OR(Query!$B$5="All",ISNUMBER(SEARCH(Query!$B$5,'Compliance Database'!$H679))),OR(Query!$B$6="All",ISNUMBER(SEARCH(Query!$B$6,'Compliance Database'!$I679))),OR(Query!$B$7="All",'Compliance Database'!$F679=Query!$B$7),OR(Query!$B$8="All",'Compliance Database'!$J679=Query!$B$8),OR(Query!$B$9="",ISNUMBER(SEARCH(Query!$B$9,'Compliance Database'!$D679&amp;" "&amp;'Compliance Database'!$K679&amp;" "&amp;'Compliance Database'!$L679&amp;" "&amp;'Compliance Database'!$M679&amp;" "&amp;'Compliance Database'!$N679&amp;" "&amp;'Compliance Database'!$O679))),OR(Query!$B$10&lt;&gt;"Yes",'Compliance Database'!$F679&lt;&gt;"None")),1,0)</f>
        <v/>
      </c>
      <c r="B679">
        <f>IF($A679=1,SUM($A$2:$A679),"")</f>
        <v/>
      </c>
      <c r="C679">
        <f>IF($A679=1,SUM($A$2:$A679),0)</f>
        <v/>
      </c>
    </row>
    <row r="680">
      <c r="A680">
        <f>IF(AND(OR(Query!$B$4="All",'Compliance Database'!$A680=Query!$B$4),OR(Query!$B$5="All",ISNUMBER(SEARCH(Query!$B$5,'Compliance Database'!$H680))),OR(Query!$B$6="All",ISNUMBER(SEARCH(Query!$B$6,'Compliance Database'!$I680))),OR(Query!$B$7="All",'Compliance Database'!$F680=Query!$B$7),OR(Query!$B$8="All",'Compliance Database'!$J680=Query!$B$8),OR(Query!$B$9="",ISNUMBER(SEARCH(Query!$B$9,'Compliance Database'!$D680&amp;" "&amp;'Compliance Database'!$K680&amp;" "&amp;'Compliance Database'!$L680&amp;" "&amp;'Compliance Database'!$M680&amp;" "&amp;'Compliance Database'!$N680&amp;" "&amp;'Compliance Database'!$O680))),OR(Query!$B$10&lt;&gt;"Yes",'Compliance Database'!$F680&lt;&gt;"None")),1,0)</f>
        <v/>
      </c>
      <c r="B680">
        <f>IF($A680=1,SUM($A$2:$A680),"")</f>
        <v/>
      </c>
      <c r="C680">
        <f>IF($A680=1,SUM($A$2:$A680),0)</f>
        <v/>
      </c>
    </row>
    <row r="681">
      <c r="A681">
        <f>IF(AND(OR(Query!$B$4="All",'Compliance Database'!$A681=Query!$B$4),OR(Query!$B$5="All",ISNUMBER(SEARCH(Query!$B$5,'Compliance Database'!$H681))),OR(Query!$B$6="All",ISNUMBER(SEARCH(Query!$B$6,'Compliance Database'!$I681))),OR(Query!$B$7="All",'Compliance Database'!$F681=Query!$B$7),OR(Query!$B$8="All",'Compliance Database'!$J681=Query!$B$8),OR(Query!$B$9="",ISNUMBER(SEARCH(Query!$B$9,'Compliance Database'!$D681&amp;" "&amp;'Compliance Database'!$K681&amp;" "&amp;'Compliance Database'!$L681&amp;" "&amp;'Compliance Database'!$M681&amp;" "&amp;'Compliance Database'!$N681&amp;" "&amp;'Compliance Database'!$O681))),OR(Query!$B$10&lt;&gt;"Yes",'Compliance Database'!$F681&lt;&gt;"None")),1,0)</f>
        <v/>
      </c>
      <c r="B681">
        <f>IF($A681=1,SUM($A$2:$A681),"")</f>
        <v/>
      </c>
      <c r="C681">
        <f>IF($A681=1,SUM($A$2:$A681),0)</f>
        <v/>
      </c>
    </row>
    <row r="682">
      <c r="A682">
        <f>IF(AND(OR(Query!$B$4="All",'Compliance Database'!$A682=Query!$B$4),OR(Query!$B$5="All",ISNUMBER(SEARCH(Query!$B$5,'Compliance Database'!$H682))),OR(Query!$B$6="All",ISNUMBER(SEARCH(Query!$B$6,'Compliance Database'!$I682))),OR(Query!$B$7="All",'Compliance Database'!$F682=Query!$B$7),OR(Query!$B$8="All",'Compliance Database'!$J682=Query!$B$8),OR(Query!$B$9="",ISNUMBER(SEARCH(Query!$B$9,'Compliance Database'!$D682&amp;" "&amp;'Compliance Database'!$K682&amp;" "&amp;'Compliance Database'!$L682&amp;" "&amp;'Compliance Database'!$M682&amp;" "&amp;'Compliance Database'!$N682&amp;" "&amp;'Compliance Database'!$O682))),OR(Query!$B$10&lt;&gt;"Yes",'Compliance Database'!$F682&lt;&gt;"None")),1,0)</f>
        <v/>
      </c>
      <c r="B682">
        <f>IF($A682=1,SUM($A$2:$A682),"")</f>
        <v/>
      </c>
      <c r="C682">
        <f>IF($A682=1,SUM($A$2:$A682),0)</f>
        <v/>
      </c>
    </row>
    <row r="683">
      <c r="A683">
        <f>IF(AND(OR(Query!$B$4="All",'Compliance Database'!$A683=Query!$B$4),OR(Query!$B$5="All",ISNUMBER(SEARCH(Query!$B$5,'Compliance Database'!$H683))),OR(Query!$B$6="All",ISNUMBER(SEARCH(Query!$B$6,'Compliance Database'!$I683))),OR(Query!$B$7="All",'Compliance Database'!$F683=Query!$B$7),OR(Query!$B$8="All",'Compliance Database'!$J683=Query!$B$8),OR(Query!$B$9="",ISNUMBER(SEARCH(Query!$B$9,'Compliance Database'!$D683&amp;" "&amp;'Compliance Database'!$K683&amp;" "&amp;'Compliance Database'!$L683&amp;" "&amp;'Compliance Database'!$M683&amp;" "&amp;'Compliance Database'!$N683&amp;" "&amp;'Compliance Database'!$O683))),OR(Query!$B$10&lt;&gt;"Yes",'Compliance Database'!$F683&lt;&gt;"None")),1,0)</f>
        <v/>
      </c>
      <c r="B683">
        <f>IF($A683=1,SUM($A$2:$A683),"")</f>
        <v/>
      </c>
      <c r="C683">
        <f>IF($A683=1,SUM($A$2:$A683),0)</f>
        <v/>
      </c>
    </row>
    <row r="684">
      <c r="A684">
        <f>IF(AND(OR(Query!$B$4="All",'Compliance Database'!$A684=Query!$B$4),OR(Query!$B$5="All",ISNUMBER(SEARCH(Query!$B$5,'Compliance Database'!$H684))),OR(Query!$B$6="All",ISNUMBER(SEARCH(Query!$B$6,'Compliance Database'!$I684))),OR(Query!$B$7="All",'Compliance Database'!$F684=Query!$B$7),OR(Query!$B$8="All",'Compliance Database'!$J684=Query!$B$8),OR(Query!$B$9="",ISNUMBER(SEARCH(Query!$B$9,'Compliance Database'!$D684&amp;" "&amp;'Compliance Database'!$K684&amp;" "&amp;'Compliance Database'!$L684&amp;" "&amp;'Compliance Database'!$M684&amp;" "&amp;'Compliance Database'!$N684&amp;" "&amp;'Compliance Database'!$O684))),OR(Query!$B$10&lt;&gt;"Yes",'Compliance Database'!$F684&lt;&gt;"None")),1,0)</f>
        <v/>
      </c>
      <c r="B684">
        <f>IF($A684=1,SUM($A$2:$A684),"")</f>
        <v/>
      </c>
      <c r="C684">
        <f>IF($A684=1,SUM($A$2:$A684),0)</f>
        <v/>
      </c>
    </row>
    <row r="685">
      <c r="A685">
        <f>IF(AND(OR(Query!$B$4="All",'Compliance Database'!$A685=Query!$B$4),OR(Query!$B$5="All",ISNUMBER(SEARCH(Query!$B$5,'Compliance Database'!$H685))),OR(Query!$B$6="All",ISNUMBER(SEARCH(Query!$B$6,'Compliance Database'!$I685))),OR(Query!$B$7="All",'Compliance Database'!$F685=Query!$B$7),OR(Query!$B$8="All",'Compliance Database'!$J685=Query!$B$8),OR(Query!$B$9="",ISNUMBER(SEARCH(Query!$B$9,'Compliance Database'!$D685&amp;" "&amp;'Compliance Database'!$K685&amp;" "&amp;'Compliance Database'!$L685&amp;" "&amp;'Compliance Database'!$M685&amp;" "&amp;'Compliance Database'!$N685&amp;" "&amp;'Compliance Database'!$O685))),OR(Query!$B$10&lt;&gt;"Yes",'Compliance Database'!$F685&lt;&gt;"None")),1,0)</f>
        <v/>
      </c>
      <c r="B685">
        <f>IF($A685=1,SUM($A$2:$A685),"")</f>
        <v/>
      </c>
      <c r="C685">
        <f>IF($A685=1,SUM($A$2:$A685),0)</f>
        <v/>
      </c>
    </row>
    <row r="686">
      <c r="A686">
        <f>IF(AND(OR(Query!$B$4="All",'Compliance Database'!$A686=Query!$B$4),OR(Query!$B$5="All",ISNUMBER(SEARCH(Query!$B$5,'Compliance Database'!$H686))),OR(Query!$B$6="All",ISNUMBER(SEARCH(Query!$B$6,'Compliance Database'!$I686))),OR(Query!$B$7="All",'Compliance Database'!$F686=Query!$B$7),OR(Query!$B$8="All",'Compliance Database'!$J686=Query!$B$8),OR(Query!$B$9="",ISNUMBER(SEARCH(Query!$B$9,'Compliance Database'!$D686&amp;" "&amp;'Compliance Database'!$K686&amp;" "&amp;'Compliance Database'!$L686&amp;" "&amp;'Compliance Database'!$M686&amp;" "&amp;'Compliance Database'!$N686&amp;" "&amp;'Compliance Database'!$O686))),OR(Query!$B$10&lt;&gt;"Yes",'Compliance Database'!$F686&lt;&gt;"None")),1,0)</f>
        <v/>
      </c>
      <c r="B686">
        <f>IF($A686=1,SUM($A$2:$A686),"")</f>
        <v/>
      </c>
      <c r="C686">
        <f>IF($A686=1,SUM($A$2:$A686),0)</f>
        <v/>
      </c>
    </row>
    <row r="687">
      <c r="A687">
        <f>IF(AND(OR(Query!$B$4="All",'Compliance Database'!$A687=Query!$B$4),OR(Query!$B$5="All",ISNUMBER(SEARCH(Query!$B$5,'Compliance Database'!$H687))),OR(Query!$B$6="All",ISNUMBER(SEARCH(Query!$B$6,'Compliance Database'!$I687))),OR(Query!$B$7="All",'Compliance Database'!$F687=Query!$B$7),OR(Query!$B$8="All",'Compliance Database'!$J687=Query!$B$8),OR(Query!$B$9="",ISNUMBER(SEARCH(Query!$B$9,'Compliance Database'!$D687&amp;" "&amp;'Compliance Database'!$K687&amp;" "&amp;'Compliance Database'!$L687&amp;" "&amp;'Compliance Database'!$M687&amp;" "&amp;'Compliance Database'!$N687&amp;" "&amp;'Compliance Database'!$O687))),OR(Query!$B$10&lt;&gt;"Yes",'Compliance Database'!$F687&lt;&gt;"None")),1,0)</f>
        <v/>
      </c>
      <c r="B687">
        <f>IF($A687=1,SUM($A$2:$A687),"")</f>
        <v/>
      </c>
      <c r="C687">
        <f>IF($A687=1,SUM($A$2:$A687),0)</f>
        <v/>
      </c>
    </row>
    <row r="688">
      <c r="A688">
        <f>IF(AND(OR(Query!$B$4="All",'Compliance Database'!$A688=Query!$B$4),OR(Query!$B$5="All",ISNUMBER(SEARCH(Query!$B$5,'Compliance Database'!$H688))),OR(Query!$B$6="All",ISNUMBER(SEARCH(Query!$B$6,'Compliance Database'!$I688))),OR(Query!$B$7="All",'Compliance Database'!$F688=Query!$B$7),OR(Query!$B$8="All",'Compliance Database'!$J688=Query!$B$8),OR(Query!$B$9="",ISNUMBER(SEARCH(Query!$B$9,'Compliance Database'!$D688&amp;" "&amp;'Compliance Database'!$K688&amp;" "&amp;'Compliance Database'!$L688&amp;" "&amp;'Compliance Database'!$M688&amp;" "&amp;'Compliance Database'!$N688&amp;" "&amp;'Compliance Database'!$O688))),OR(Query!$B$10&lt;&gt;"Yes",'Compliance Database'!$F688&lt;&gt;"None")),1,0)</f>
        <v/>
      </c>
      <c r="B688">
        <f>IF($A688=1,SUM($A$2:$A688),"")</f>
        <v/>
      </c>
      <c r="C688">
        <f>IF($A688=1,SUM($A$2:$A688),0)</f>
        <v/>
      </c>
    </row>
    <row r="689">
      <c r="A689">
        <f>IF(AND(OR(Query!$B$4="All",'Compliance Database'!$A689=Query!$B$4),OR(Query!$B$5="All",ISNUMBER(SEARCH(Query!$B$5,'Compliance Database'!$H689))),OR(Query!$B$6="All",ISNUMBER(SEARCH(Query!$B$6,'Compliance Database'!$I689))),OR(Query!$B$7="All",'Compliance Database'!$F689=Query!$B$7),OR(Query!$B$8="All",'Compliance Database'!$J689=Query!$B$8),OR(Query!$B$9="",ISNUMBER(SEARCH(Query!$B$9,'Compliance Database'!$D689&amp;" "&amp;'Compliance Database'!$K689&amp;" "&amp;'Compliance Database'!$L689&amp;" "&amp;'Compliance Database'!$M689&amp;" "&amp;'Compliance Database'!$N689&amp;" "&amp;'Compliance Database'!$O689))),OR(Query!$B$10&lt;&gt;"Yes",'Compliance Database'!$F689&lt;&gt;"None")),1,0)</f>
        <v/>
      </c>
      <c r="B689">
        <f>IF($A689=1,SUM($A$2:$A689),"")</f>
        <v/>
      </c>
      <c r="C689">
        <f>IF($A689=1,SUM($A$2:$A689),0)</f>
        <v/>
      </c>
    </row>
    <row r="690">
      <c r="A690">
        <f>IF(AND(OR(Query!$B$4="All",'Compliance Database'!$A690=Query!$B$4),OR(Query!$B$5="All",ISNUMBER(SEARCH(Query!$B$5,'Compliance Database'!$H690))),OR(Query!$B$6="All",ISNUMBER(SEARCH(Query!$B$6,'Compliance Database'!$I690))),OR(Query!$B$7="All",'Compliance Database'!$F690=Query!$B$7),OR(Query!$B$8="All",'Compliance Database'!$J690=Query!$B$8),OR(Query!$B$9="",ISNUMBER(SEARCH(Query!$B$9,'Compliance Database'!$D690&amp;" "&amp;'Compliance Database'!$K690&amp;" "&amp;'Compliance Database'!$L690&amp;" "&amp;'Compliance Database'!$M690&amp;" "&amp;'Compliance Database'!$N690&amp;" "&amp;'Compliance Database'!$O690))),OR(Query!$B$10&lt;&gt;"Yes",'Compliance Database'!$F690&lt;&gt;"None")),1,0)</f>
        <v/>
      </c>
      <c r="B690">
        <f>IF($A690=1,SUM($A$2:$A690),"")</f>
        <v/>
      </c>
      <c r="C690">
        <f>IF($A690=1,SUM($A$2:$A690),0)</f>
        <v/>
      </c>
    </row>
    <row r="691">
      <c r="A691">
        <f>IF(AND(OR(Query!$B$4="All",'Compliance Database'!$A691=Query!$B$4),OR(Query!$B$5="All",ISNUMBER(SEARCH(Query!$B$5,'Compliance Database'!$H691))),OR(Query!$B$6="All",ISNUMBER(SEARCH(Query!$B$6,'Compliance Database'!$I691))),OR(Query!$B$7="All",'Compliance Database'!$F691=Query!$B$7),OR(Query!$B$8="All",'Compliance Database'!$J691=Query!$B$8),OR(Query!$B$9="",ISNUMBER(SEARCH(Query!$B$9,'Compliance Database'!$D691&amp;" "&amp;'Compliance Database'!$K691&amp;" "&amp;'Compliance Database'!$L691&amp;" "&amp;'Compliance Database'!$M691&amp;" "&amp;'Compliance Database'!$N691&amp;" "&amp;'Compliance Database'!$O691))),OR(Query!$B$10&lt;&gt;"Yes",'Compliance Database'!$F691&lt;&gt;"None")),1,0)</f>
        <v/>
      </c>
      <c r="B691">
        <f>IF($A691=1,SUM($A$2:$A691),"")</f>
        <v/>
      </c>
      <c r="C691">
        <f>IF($A691=1,SUM($A$2:$A691),0)</f>
        <v/>
      </c>
    </row>
    <row r="692">
      <c r="A692">
        <f>IF(AND(OR(Query!$B$4="All",'Compliance Database'!$A692=Query!$B$4),OR(Query!$B$5="All",ISNUMBER(SEARCH(Query!$B$5,'Compliance Database'!$H692))),OR(Query!$B$6="All",ISNUMBER(SEARCH(Query!$B$6,'Compliance Database'!$I692))),OR(Query!$B$7="All",'Compliance Database'!$F692=Query!$B$7),OR(Query!$B$8="All",'Compliance Database'!$J692=Query!$B$8),OR(Query!$B$9="",ISNUMBER(SEARCH(Query!$B$9,'Compliance Database'!$D692&amp;" "&amp;'Compliance Database'!$K692&amp;" "&amp;'Compliance Database'!$L692&amp;" "&amp;'Compliance Database'!$M692&amp;" "&amp;'Compliance Database'!$N692&amp;" "&amp;'Compliance Database'!$O692))),OR(Query!$B$10&lt;&gt;"Yes",'Compliance Database'!$F692&lt;&gt;"None")),1,0)</f>
        <v/>
      </c>
      <c r="B692">
        <f>IF($A692=1,SUM($A$2:$A692),"")</f>
        <v/>
      </c>
      <c r="C692">
        <f>IF($A692=1,SUM($A$2:$A692),0)</f>
        <v/>
      </c>
    </row>
    <row r="693">
      <c r="A693">
        <f>IF(AND(OR(Query!$B$4="All",'Compliance Database'!$A693=Query!$B$4),OR(Query!$B$5="All",ISNUMBER(SEARCH(Query!$B$5,'Compliance Database'!$H693))),OR(Query!$B$6="All",ISNUMBER(SEARCH(Query!$B$6,'Compliance Database'!$I693))),OR(Query!$B$7="All",'Compliance Database'!$F693=Query!$B$7),OR(Query!$B$8="All",'Compliance Database'!$J693=Query!$B$8),OR(Query!$B$9="",ISNUMBER(SEARCH(Query!$B$9,'Compliance Database'!$D693&amp;" "&amp;'Compliance Database'!$K693&amp;" "&amp;'Compliance Database'!$L693&amp;" "&amp;'Compliance Database'!$M693&amp;" "&amp;'Compliance Database'!$N693&amp;" "&amp;'Compliance Database'!$O693))),OR(Query!$B$10&lt;&gt;"Yes",'Compliance Database'!$F693&lt;&gt;"None")),1,0)</f>
        <v/>
      </c>
      <c r="B693">
        <f>IF($A693=1,SUM($A$2:$A693),"")</f>
        <v/>
      </c>
      <c r="C693">
        <f>IF($A693=1,SUM($A$2:$A693),0)</f>
        <v/>
      </c>
    </row>
    <row r="694">
      <c r="A694">
        <f>IF(AND(OR(Query!$B$4="All",'Compliance Database'!$A694=Query!$B$4),OR(Query!$B$5="All",ISNUMBER(SEARCH(Query!$B$5,'Compliance Database'!$H694))),OR(Query!$B$6="All",ISNUMBER(SEARCH(Query!$B$6,'Compliance Database'!$I694))),OR(Query!$B$7="All",'Compliance Database'!$F694=Query!$B$7),OR(Query!$B$8="All",'Compliance Database'!$J694=Query!$B$8),OR(Query!$B$9="",ISNUMBER(SEARCH(Query!$B$9,'Compliance Database'!$D694&amp;" "&amp;'Compliance Database'!$K694&amp;" "&amp;'Compliance Database'!$L694&amp;" "&amp;'Compliance Database'!$M694&amp;" "&amp;'Compliance Database'!$N694&amp;" "&amp;'Compliance Database'!$O694))),OR(Query!$B$10&lt;&gt;"Yes",'Compliance Database'!$F694&lt;&gt;"None")),1,0)</f>
        <v/>
      </c>
      <c r="B694">
        <f>IF($A694=1,SUM($A$2:$A694),"")</f>
        <v/>
      </c>
      <c r="C694">
        <f>IF($A694=1,SUM($A$2:$A694),0)</f>
        <v/>
      </c>
    </row>
    <row r="695">
      <c r="A695">
        <f>IF(AND(OR(Query!$B$4="All",'Compliance Database'!$A695=Query!$B$4),OR(Query!$B$5="All",ISNUMBER(SEARCH(Query!$B$5,'Compliance Database'!$H695))),OR(Query!$B$6="All",ISNUMBER(SEARCH(Query!$B$6,'Compliance Database'!$I695))),OR(Query!$B$7="All",'Compliance Database'!$F695=Query!$B$7),OR(Query!$B$8="All",'Compliance Database'!$J695=Query!$B$8),OR(Query!$B$9="",ISNUMBER(SEARCH(Query!$B$9,'Compliance Database'!$D695&amp;" "&amp;'Compliance Database'!$K695&amp;" "&amp;'Compliance Database'!$L695&amp;" "&amp;'Compliance Database'!$M695&amp;" "&amp;'Compliance Database'!$N695&amp;" "&amp;'Compliance Database'!$O695))),OR(Query!$B$10&lt;&gt;"Yes",'Compliance Database'!$F695&lt;&gt;"None")),1,0)</f>
        <v/>
      </c>
      <c r="B695">
        <f>IF($A695=1,SUM($A$2:$A695),"")</f>
        <v/>
      </c>
      <c r="C695">
        <f>IF($A695=1,SUM($A$2:$A695),0)</f>
        <v/>
      </c>
    </row>
    <row r="696">
      <c r="A696">
        <f>IF(AND(OR(Query!$B$4="All",'Compliance Database'!$A696=Query!$B$4),OR(Query!$B$5="All",ISNUMBER(SEARCH(Query!$B$5,'Compliance Database'!$H696))),OR(Query!$B$6="All",ISNUMBER(SEARCH(Query!$B$6,'Compliance Database'!$I696))),OR(Query!$B$7="All",'Compliance Database'!$F696=Query!$B$7),OR(Query!$B$8="All",'Compliance Database'!$J696=Query!$B$8),OR(Query!$B$9="",ISNUMBER(SEARCH(Query!$B$9,'Compliance Database'!$D696&amp;" "&amp;'Compliance Database'!$K696&amp;" "&amp;'Compliance Database'!$L696&amp;" "&amp;'Compliance Database'!$M696&amp;" "&amp;'Compliance Database'!$N696&amp;" "&amp;'Compliance Database'!$O696))),OR(Query!$B$10&lt;&gt;"Yes",'Compliance Database'!$F696&lt;&gt;"None")),1,0)</f>
        <v/>
      </c>
      <c r="B696">
        <f>IF($A696=1,SUM($A$2:$A696),"")</f>
        <v/>
      </c>
      <c r="C696">
        <f>IF($A696=1,SUM($A$2:$A696),0)</f>
        <v/>
      </c>
    </row>
    <row r="697">
      <c r="A697">
        <f>IF(AND(OR(Query!$B$4="All",'Compliance Database'!$A697=Query!$B$4),OR(Query!$B$5="All",ISNUMBER(SEARCH(Query!$B$5,'Compliance Database'!$H697))),OR(Query!$B$6="All",ISNUMBER(SEARCH(Query!$B$6,'Compliance Database'!$I697))),OR(Query!$B$7="All",'Compliance Database'!$F697=Query!$B$7),OR(Query!$B$8="All",'Compliance Database'!$J697=Query!$B$8),OR(Query!$B$9="",ISNUMBER(SEARCH(Query!$B$9,'Compliance Database'!$D697&amp;" "&amp;'Compliance Database'!$K697&amp;" "&amp;'Compliance Database'!$L697&amp;" "&amp;'Compliance Database'!$M697&amp;" "&amp;'Compliance Database'!$N697&amp;" "&amp;'Compliance Database'!$O697))),OR(Query!$B$10&lt;&gt;"Yes",'Compliance Database'!$F697&lt;&gt;"None")),1,0)</f>
        <v/>
      </c>
      <c r="B697">
        <f>IF($A697=1,SUM($A$2:$A697),"")</f>
        <v/>
      </c>
      <c r="C697">
        <f>IF($A697=1,SUM($A$2:$A697),0)</f>
        <v/>
      </c>
    </row>
    <row r="698">
      <c r="A698">
        <f>IF(AND(OR(Query!$B$4="All",'Compliance Database'!$A698=Query!$B$4),OR(Query!$B$5="All",ISNUMBER(SEARCH(Query!$B$5,'Compliance Database'!$H698))),OR(Query!$B$6="All",ISNUMBER(SEARCH(Query!$B$6,'Compliance Database'!$I698))),OR(Query!$B$7="All",'Compliance Database'!$F698=Query!$B$7),OR(Query!$B$8="All",'Compliance Database'!$J698=Query!$B$8),OR(Query!$B$9="",ISNUMBER(SEARCH(Query!$B$9,'Compliance Database'!$D698&amp;" "&amp;'Compliance Database'!$K698&amp;" "&amp;'Compliance Database'!$L698&amp;" "&amp;'Compliance Database'!$M698&amp;" "&amp;'Compliance Database'!$N698&amp;" "&amp;'Compliance Database'!$O698))),OR(Query!$B$10&lt;&gt;"Yes",'Compliance Database'!$F698&lt;&gt;"None")),1,0)</f>
        <v/>
      </c>
      <c r="B698">
        <f>IF($A698=1,SUM($A$2:$A698),"")</f>
        <v/>
      </c>
      <c r="C698">
        <f>IF($A698=1,SUM($A$2:$A698),0)</f>
        <v/>
      </c>
    </row>
    <row r="699">
      <c r="A699">
        <f>IF(AND(OR(Query!$B$4="All",'Compliance Database'!$A699=Query!$B$4),OR(Query!$B$5="All",ISNUMBER(SEARCH(Query!$B$5,'Compliance Database'!$H699))),OR(Query!$B$6="All",ISNUMBER(SEARCH(Query!$B$6,'Compliance Database'!$I699))),OR(Query!$B$7="All",'Compliance Database'!$F699=Query!$B$7),OR(Query!$B$8="All",'Compliance Database'!$J699=Query!$B$8),OR(Query!$B$9="",ISNUMBER(SEARCH(Query!$B$9,'Compliance Database'!$D699&amp;" "&amp;'Compliance Database'!$K699&amp;" "&amp;'Compliance Database'!$L699&amp;" "&amp;'Compliance Database'!$M699&amp;" "&amp;'Compliance Database'!$N699&amp;" "&amp;'Compliance Database'!$O699))),OR(Query!$B$10&lt;&gt;"Yes",'Compliance Database'!$F699&lt;&gt;"None")),1,0)</f>
        <v/>
      </c>
      <c r="B699">
        <f>IF($A699=1,SUM($A$2:$A699),"")</f>
        <v/>
      </c>
      <c r="C699">
        <f>IF($A699=1,SUM($A$2:$A699),0)</f>
        <v/>
      </c>
    </row>
    <row r="700">
      <c r="A700">
        <f>IF(AND(OR(Query!$B$4="All",'Compliance Database'!$A700=Query!$B$4),OR(Query!$B$5="All",ISNUMBER(SEARCH(Query!$B$5,'Compliance Database'!$H700))),OR(Query!$B$6="All",ISNUMBER(SEARCH(Query!$B$6,'Compliance Database'!$I700))),OR(Query!$B$7="All",'Compliance Database'!$F700=Query!$B$7),OR(Query!$B$8="All",'Compliance Database'!$J700=Query!$B$8),OR(Query!$B$9="",ISNUMBER(SEARCH(Query!$B$9,'Compliance Database'!$D700&amp;" "&amp;'Compliance Database'!$K700&amp;" "&amp;'Compliance Database'!$L700&amp;" "&amp;'Compliance Database'!$M700&amp;" "&amp;'Compliance Database'!$N700&amp;" "&amp;'Compliance Database'!$O700))),OR(Query!$B$10&lt;&gt;"Yes",'Compliance Database'!$F700&lt;&gt;"None")),1,0)</f>
        <v/>
      </c>
      <c r="B700">
        <f>IF($A700=1,SUM($A$2:$A700),"")</f>
        <v/>
      </c>
      <c r="C700">
        <f>IF($A700=1,SUM($A$2:$A700),0)</f>
        <v/>
      </c>
    </row>
    <row r="701">
      <c r="A701">
        <f>IF(AND(OR(Query!$B$4="All",'Compliance Database'!$A701=Query!$B$4),OR(Query!$B$5="All",ISNUMBER(SEARCH(Query!$B$5,'Compliance Database'!$H701))),OR(Query!$B$6="All",ISNUMBER(SEARCH(Query!$B$6,'Compliance Database'!$I701))),OR(Query!$B$7="All",'Compliance Database'!$F701=Query!$B$7),OR(Query!$B$8="All",'Compliance Database'!$J701=Query!$B$8),OR(Query!$B$9="",ISNUMBER(SEARCH(Query!$B$9,'Compliance Database'!$D701&amp;" "&amp;'Compliance Database'!$K701&amp;" "&amp;'Compliance Database'!$L701&amp;" "&amp;'Compliance Database'!$M701&amp;" "&amp;'Compliance Database'!$N701&amp;" "&amp;'Compliance Database'!$O701))),OR(Query!$B$10&lt;&gt;"Yes",'Compliance Database'!$F701&lt;&gt;"None")),1,0)</f>
        <v/>
      </c>
      <c r="B701">
        <f>IF($A701=1,SUM($A$2:$A701),"")</f>
        <v/>
      </c>
      <c r="C701">
        <f>IF($A701=1,SUM($A$2:$A701),0)</f>
        <v/>
      </c>
    </row>
    <row r="702">
      <c r="A702">
        <f>IF(AND(OR(Query!$B$4="All",'Compliance Database'!$A702=Query!$B$4),OR(Query!$B$5="All",ISNUMBER(SEARCH(Query!$B$5,'Compliance Database'!$H702))),OR(Query!$B$6="All",ISNUMBER(SEARCH(Query!$B$6,'Compliance Database'!$I702))),OR(Query!$B$7="All",'Compliance Database'!$F702=Query!$B$7),OR(Query!$B$8="All",'Compliance Database'!$J702=Query!$B$8),OR(Query!$B$9="",ISNUMBER(SEARCH(Query!$B$9,'Compliance Database'!$D702&amp;" "&amp;'Compliance Database'!$K702&amp;" "&amp;'Compliance Database'!$L702&amp;" "&amp;'Compliance Database'!$M702&amp;" "&amp;'Compliance Database'!$N702&amp;" "&amp;'Compliance Database'!$O702))),OR(Query!$B$10&lt;&gt;"Yes",'Compliance Database'!$F702&lt;&gt;"None")),1,0)</f>
        <v/>
      </c>
      <c r="B702">
        <f>IF($A702=1,SUM($A$2:$A702),"")</f>
        <v/>
      </c>
      <c r="C702">
        <f>IF($A702=1,SUM($A$2:$A702),0)</f>
        <v/>
      </c>
    </row>
    <row r="703">
      <c r="A703">
        <f>IF(AND(OR(Query!$B$4="All",'Compliance Database'!$A703=Query!$B$4),OR(Query!$B$5="All",ISNUMBER(SEARCH(Query!$B$5,'Compliance Database'!$H703))),OR(Query!$B$6="All",ISNUMBER(SEARCH(Query!$B$6,'Compliance Database'!$I703))),OR(Query!$B$7="All",'Compliance Database'!$F703=Query!$B$7),OR(Query!$B$8="All",'Compliance Database'!$J703=Query!$B$8),OR(Query!$B$9="",ISNUMBER(SEARCH(Query!$B$9,'Compliance Database'!$D703&amp;" "&amp;'Compliance Database'!$K703&amp;" "&amp;'Compliance Database'!$L703&amp;" "&amp;'Compliance Database'!$M703&amp;" "&amp;'Compliance Database'!$N703&amp;" "&amp;'Compliance Database'!$O703))),OR(Query!$B$10&lt;&gt;"Yes",'Compliance Database'!$F703&lt;&gt;"None")),1,0)</f>
        <v/>
      </c>
      <c r="B703">
        <f>IF($A703=1,SUM($A$2:$A703),"")</f>
        <v/>
      </c>
      <c r="C703">
        <f>IF($A703=1,SUM($A$2:$A703),0)</f>
        <v/>
      </c>
    </row>
    <row r="704">
      <c r="A704">
        <f>IF(AND(OR(Query!$B$4="All",'Compliance Database'!$A704=Query!$B$4),OR(Query!$B$5="All",ISNUMBER(SEARCH(Query!$B$5,'Compliance Database'!$H704))),OR(Query!$B$6="All",ISNUMBER(SEARCH(Query!$B$6,'Compliance Database'!$I704))),OR(Query!$B$7="All",'Compliance Database'!$F704=Query!$B$7),OR(Query!$B$8="All",'Compliance Database'!$J704=Query!$B$8),OR(Query!$B$9="",ISNUMBER(SEARCH(Query!$B$9,'Compliance Database'!$D704&amp;" "&amp;'Compliance Database'!$K704&amp;" "&amp;'Compliance Database'!$L704&amp;" "&amp;'Compliance Database'!$M704&amp;" "&amp;'Compliance Database'!$N704&amp;" "&amp;'Compliance Database'!$O704))),OR(Query!$B$10&lt;&gt;"Yes",'Compliance Database'!$F704&lt;&gt;"None")),1,0)</f>
        <v/>
      </c>
      <c r="B704">
        <f>IF($A704=1,SUM($A$2:$A704),"")</f>
        <v/>
      </c>
      <c r="C704">
        <f>IF($A704=1,SUM($A$2:$A704),0)</f>
        <v/>
      </c>
    </row>
    <row r="705">
      <c r="A705">
        <f>IF(AND(OR(Query!$B$4="All",'Compliance Database'!$A705=Query!$B$4),OR(Query!$B$5="All",ISNUMBER(SEARCH(Query!$B$5,'Compliance Database'!$H705))),OR(Query!$B$6="All",ISNUMBER(SEARCH(Query!$B$6,'Compliance Database'!$I705))),OR(Query!$B$7="All",'Compliance Database'!$F705=Query!$B$7),OR(Query!$B$8="All",'Compliance Database'!$J705=Query!$B$8),OR(Query!$B$9="",ISNUMBER(SEARCH(Query!$B$9,'Compliance Database'!$D705&amp;" "&amp;'Compliance Database'!$K705&amp;" "&amp;'Compliance Database'!$L705&amp;" "&amp;'Compliance Database'!$M705&amp;" "&amp;'Compliance Database'!$N705&amp;" "&amp;'Compliance Database'!$O705))),OR(Query!$B$10&lt;&gt;"Yes",'Compliance Database'!$F705&lt;&gt;"None")),1,0)</f>
        <v/>
      </c>
      <c r="B705">
        <f>IF($A705=1,SUM($A$2:$A705),"")</f>
        <v/>
      </c>
      <c r="C705">
        <f>IF($A705=1,SUM($A$2:$A705),0)</f>
        <v/>
      </c>
    </row>
    <row r="706">
      <c r="A706">
        <f>IF(AND(OR(Query!$B$4="All",'Compliance Database'!$A706=Query!$B$4),OR(Query!$B$5="All",ISNUMBER(SEARCH(Query!$B$5,'Compliance Database'!$H706))),OR(Query!$B$6="All",ISNUMBER(SEARCH(Query!$B$6,'Compliance Database'!$I706))),OR(Query!$B$7="All",'Compliance Database'!$F706=Query!$B$7),OR(Query!$B$8="All",'Compliance Database'!$J706=Query!$B$8),OR(Query!$B$9="",ISNUMBER(SEARCH(Query!$B$9,'Compliance Database'!$D706&amp;" "&amp;'Compliance Database'!$K706&amp;" "&amp;'Compliance Database'!$L706&amp;" "&amp;'Compliance Database'!$M706&amp;" "&amp;'Compliance Database'!$N706&amp;" "&amp;'Compliance Database'!$O706))),OR(Query!$B$10&lt;&gt;"Yes",'Compliance Database'!$F706&lt;&gt;"None")),1,0)</f>
        <v/>
      </c>
      <c r="B706">
        <f>IF($A706=1,SUM($A$2:$A706),"")</f>
        <v/>
      </c>
      <c r="C706">
        <f>IF($A706=1,SUM($A$2:$A706),0)</f>
        <v/>
      </c>
    </row>
    <row r="707">
      <c r="A707">
        <f>IF(AND(OR(Query!$B$4="All",'Compliance Database'!$A707=Query!$B$4),OR(Query!$B$5="All",ISNUMBER(SEARCH(Query!$B$5,'Compliance Database'!$H707))),OR(Query!$B$6="All",ISNUMBER(SEARCH(Query!$B$6,'Compliance Database'!$I707))),OR(Query!$B$7="All",'Compliance Database'!$F707=Query!$B$7),OR(Query!$B$8="All",'Compliance Database'!$J707=Query!$B$8),OR(Query!$B$9="",ISNUMBER(SEARCH(Query!$B$9,'Compliance Database'!$D707&amp;" "&amp;'Compliance Database'!$K707&amp;" "&amp;'Compliance Database'!$L707&amp;" "&amp;'Compliance Database'!$M707&amp;" "&amp;'Compliance Database'!$N707&amp;" "&amp;'Compliance Database'!$O707))),OR(Query!$B$10&lt;&gt;"Yes",'Compliance Database'!$F707&lt;&gt;"None")),1,0)</f>
        <v/>
      </c>
      <c r="B707">
        <f>IF($A707=1,SUM($A$2:$A707),"")</f>
        <v/>
      </c>
      <c r="C707">
        <f>IF($A707=1,SUM($A$2:$A707),0)</f>
        <v/>
      </c>
    </row>
    <row r="708">
      <c r="A708">
        <f>IF(AND(OR(Query!$B$4="All",'Compliance Database'!$A708=Query!$B$4),OR(Query!$B$5="All",ISNUMBER(SEARCH(Query!$B$5,'Compliance Database'!$H708))),OR(Query!$B$6="All",ISNUMBER(SEARCH(Query!$B$6,'Compliance Database'!$I708))),OR(Query!$B$7="All",'Compliance Database'!$F708=Query!$B$7),OR(Query!$B$8="All",'Compliance Database'!$J708=Query!$B$8),OR(Query!$B$9="",ISNUMBER(SEARCH(Query!$B$9,'Compliance Database'!$D708&amp;" "&amp;'Compliance Database'!$K708&amp;" "&amp;'Compliance Database'!$L708&amp;" "&amp;'Compliance Database'!$M708&amp;" "&amp;'Compliance Database'!$N708&amp;" "&amp;'Compliance Database'!$O708))),OR(Query!$B$10&lt;&gt;"Yes",'Compliance Database'!$F708&lt;&gt;"None")),1,0)</f>
        <v/>
      </c>
      <c r="B708">
        <f>IF($A708=1,SUM($A$2:$A708),"")</f>
        <v/>
      </c>
      <c r="C708">
        <f>IF($A708=1,SUM($A$2:$A708),0)</f>
        <v/>
      </c>
    </row>
    <row r="709">
      <c r="A709">
        <f>IF(AND(OR(Query!$B$4="All",'Compliance Database'!$A709=Query!$B$4),OR(Query!$B$5="All",ISNUMBER(SEARCH(Query!$B$5,'Compliance Database'!$H709))),OR(Query!$B$6="All",ISNUMBER(SEARCH(Query!$B$6,'Compliance Database'!$I709))),OR(Query!$B$7="All",'Compliance Database'!$F709=Query!$B$7),OR(Query!$B$8="All",'Compliance Database'!$J709=Query!$B$8),OR(Query!$B$9="",ISNUMBER(SEARCH(Query!$B$9,'Compliance Database'!$D709&amp;" "&amp;'Compliance Database'!$K709&amp;" "&amp;'Compliance Database'!$L709&amp;" "&amp;'Compliance Database'!$M709&amp;" "&amp;'Compliance Database'!$N709&amp;" "&amp;'Compliance Database'!$O709))),OR(Query!$B$10&lt;&gt;"Yes",'Compliance Database'!$F709&lt;&gt;"None")),1,0)</f>
        <v/>
      </c>
      <c r="B709">
        <f>IF($A709=1,SUM($A$2:$A709),"")</f>
        <v/>
      </c>
      <c r="C709">
        <f>IF($A709=1,SUM($A$2:$A709),0)</f>
        <v/>
      </c>
    </row>
    <row r="710">
      <c r="A710">
        <f>IF(AND(OR(Query!$B$4="All",'Compliance Database'!$A710=Query!$B$4),OR(Query!$B$5="All",ISNUMBER(SEARCH(Query!$B$5,'Compliance Database'!$H710))),OR(Query!$B$6="All",ISNUMBER(SEARCH(Query!$B$6,'Compliance Database'!$I710))),OR(Query!$B$7="All",'Compliance Database'!$F710=Query!$B$7),OR(Query!$B$8="All",'Compliance Database'!$J710=Query!$B$8),OR(Query!$B$9="",ISNUMBER(SEARCH(Query!$B$9,'Compliance Database'!$D710&amp;" "&amp;'Compliance Database'!$K710&amp;" "&amp;'Compliance Database'!$L710&amp;" "&amp;'Compliance Database'!$M710&amp;" "&amp;'Compliance Database'!$N710&amp;" "&amp;'Compliance Database'!$O710))),OR(Query!$B$10&lt;&gt;"Yes",'Compliance Database'!$F710&lt;&gt;"None")),1,0)</f>
        <v/>
      </c>
      <c r="B710">
        <f>IF($A710=1,SUM($A$2:$A710),"")</f>
        <v/>
      </c>
      <c r="C710">
        <f>IF($A710=1,SUM($A$2:$A710),0)</f>
        <v/>
      </c>
    </row>
    <row r="711">
      <c r="A711">
        <f>IF(AND(OR(Query!$B$4="All",'Compliance Database'!$A711=Query!$B$4),OR(Query!$B$5="All",ISNUMBER(SEARCH(Query!$B$5,'Compliance Database'!$H711))),OR(Query!$B$6="All",ISNUMBER(SEARCH(Query!$B$6,'Compliance Database'!$I711))),OR(Query!$B$7="All",'Compliance Database'!$F711=Query!$B$7),OR(Query!$B$8="All",'Compliance Database'!$J711=Query!$B$8),OR(Query!$B$9="",ISNUMBER(SEARCH(Query!$B$9,'Compliance Database'!$D711&amp;" "&amp;'Compliance Database'!$K711&amp;" "&amp;'Compliance Database'!$L711&amp;" "&amp;'Compliance Database'!$M711&amp;" "&amp;'Compliance Database'!$N711&amp;" "&amp;'Compliance Database'!$O711))),OR(Query!$B$10&lt;&gt;"Yes",'Compliance Database'!$F711&lt;&gt;"None")),1,0)</f>
        <v/>
      </c>
      <c r="B711">
        <f>IF($A711=1,SUM($A$2:$A711),"")</f>
        <v/>
      </c>
      <c r="C711">
        <f>IF($A711=1,SUM($A$2:$A711),0)</f>
        <v/>
      </c>
    </row>
    <row r="712">
      <c r="A712">
        <f>IF(AND(OR(Query!$B$4="All",'Compliance Database'!$A712=Query!$B$4),OR(Query!$B$5="All",ISNUMBER(SEARCH(Query!$B$5,'Compliance Database'!$H712))),OR(Query!$B$6="All",ISNUMBER(SEARCH(Query!$B$6,'Compliance Database'!$I712))),OR(Query!$B$7="All",'Compliance Database'!$F712=Query!$B$7),OR(Query!$B$8="All",'Compliance Database'!$J712=Query!$B$8),OR(Query!$B$9="",ISNUMBER(SEARCH(Query!$B$9,'Compliance Database'!$D712&amp;" "&amp;'Compliance Database'!$K712&amp;" "&amp;'Compliance Database'!$L712&amp;" "&amp;'Compliance Database'!$M712&amp;" "&amp;'Compliance Database'!$N712&amp;" "&amp;'Compliance Database'!$O712))),OR(Query!$B$10&lt;&gt;"Yes",'Compliance Database'!$F712&lt;&gt;"None")),1,0)</f>
        <v/>
      </c>
      <c r="B712">
        <f>IF($A712=1,SUM($A$2:$A712),"")</f>
        <v/>
      </c>
      <c r="C712">
        <f>IF($A712=1,SUM($A$2:$A712),0)</f>
        <v/>
      </c>
    </row>
    <row r="713">
      <c r="A713">
        <f>IF(AND(OR(Query!$B$4="All",'Compliance Database'!$A713=Query!$B$4),OR(Query!$B$5="All",ISNUMBER(SEARCH(Query!$B$5,'Compliance Database'!$H713))),OR(Query!$B$6="All",ISNUMBER(SEARCH(Query!$B$6,'Compliance Database'!$I713))),OR(Query!$B$7="All",'Compliance Database'!$F713=Query!$B$7),OR(Query!$B$8="All",'Compliance Database'!$J713=Query!$B$8),OR(Query!$B$9="",ISNUMBER(SEARCH(Query!$B$9,'Compliance Database'!$D713&amp;" "&amp;'Compliance Database'!$K713&amp;" "&amp;'Compliance Database'!$L713&amp;" "&amp;'Compliance Database'!$M713&amp;" "&amp;'Compliance Database'!$N713&amp;" "&amp;'Compliance Database'!$O713))),OR(Query!$B$10&lt;&gt;"Yes",'Compliance Database'!$F713&lt;&gt;"None")),1,0)</f>
        <v/>
      </c>
      <c r="B713">
        <f>IF($A713=1,SUM($A$2:$A713),"")</f>
        <v/>
      </c>
      <c r="C713">
        <f>IF($A713=1,SUM($A$2:$A713),0)</f>
        <v/>
      </c>
    </row>
    <row r="714">
      <c r="A714">
        <f>IF(AND(OR(Query!$B$4="All",'Compliance Database'!$A714=Query!$B$4),OR(Query!$B$5="All",ISNUMBER(SEARCH(Query!$B$5,'Compliance Database'!$H714))),OR(Query!$B$6="All",ISNUMBER(SEARCH(Query!$B$6,'Compliance Database'!$I714))),OR(Query!$B$7="All",'Compliance Database'!$F714=Query!$B$7),OR(Query!$B$8="All",'Compliance Database'!$J714=Query!$B$8),OR(Query!$B$9="",ISNUMBER(SEARCH(Query!$B$9,'Compliance Database'!$D714&amp;" "&amp;'Compliance Database'!$K714&amp;" "&amp;'Compliance Database'!$L714&amp;" "&amp;'Compliance Database'!$M714&amp;" "&amp;'Compliance Database'!$N714&amp;" "&amp;'Compliance Database'!$O714))),OR(Query!$B$10&lt;&gt;"Yes",'Compliance Database'!$F714&lt;&gt;"None")),1,0)</f>
        <v/>
      </c>
      <c r="B714">
        <f>IF($A714=1,SUM($A$2:$A714),"")</f>
        <v/>
      </c>
      <c r="C714">
        <f>IF($A714=1,SUM($A$2:$A714),0)</f>
        <v/>
      </c>
    </row>
    <row r="715">
      <c r="A715">
        <f>IF(AND(OR(Query!$B$4="All",'Compliance Database'!$A715=Query!$B$4),OR(Query!$B$5="All",ISNUMBER(SEARCH(Query!$B$5,'Compliance Database'!$H715))),OR(Query!$B$6="All",ISNUMBER(SEARCH(Query!$B$6,'Compliance Database'!$I715))),OR(Query!$B$7="All",'Compliance Database'!$F715=Query!$B$7),OR(Query!$B$8="All",'Compliance Database'!$J715=Query!$B$8),OR(Query!$B$9="",ISNUMBER(SEARCH(Query!$B$9,'Compliance Database'!$D715&amp;" "&amp;'Compliance Database'!$K715&amp;" "&amp;'Compliance Database'!$L715&amp;" "&amp;'Compliance Database'!$M715&amp;" "&amp;'Compliance Database'!$N715&amp;" "&amp;'Compliance Database'!$O715))),OR(Query!$B$10&lt;&gt;"Yes",'Compliance Database'!$F715&lt;&gt;"None")),1,0)</f>
        <v/>
      </c>
      <c r="B715">
        <f>IF($A715=1,SUM($A$2:$A715),"")</f>
        <v/>
      </c>
      <c r="C715">
        <f>IF($A715=1,SUM($A$2:$A715),0)</f>
        <v/>
      </c>
    </row>
    <row r="716">
      <c r="A716">
        <f>IF(AND(OR(Query!$B$4="All",'Compliance Database'!$A716=Query!$B$4),OR(Query!$B$5="All",ISNUMBER(SEARCH(Query!$B$5,'Compliance Database'!$H716))),OR(Query!$B$6="All",ISNUMBER(SEARCH(Query!$B$6,'Compliance Database'!$I716))),OR(Query!$B$7="All",'Compliance Database'!$F716=Query!$B$7),OR(Query!$B$8="All",'Compliance Database'!$J716=Query!$B$8),OR(Query!$B$9="",ISNUMBER(SEARCH(Query!$B$9,'Compliance Database'!$D716&amp;" "&amp;'Compliance Database'!$K716&amp;" "&amp;'Compliance Database'!$L716&amp;" "&amp;'Compliance Database'!$M716&amp;" "&amp;'Compliance Database'!$N716&amp;" "&amp;'Compliance Database'!$O716))),OR(Query!$B$10&lt;&gt;"Yes",'Compliance Database'!$F716&lt;&gt;"None")),1,0)</f>
        <v/>
      </c>
      <c r="B716">
        <f>IF($A716=1,SUM($A$2:$A716),"")</f>
        <v/>
      </c>
      <c r="C716">
        <f>IF($A716=1,SUM($A$2:$A716),0)</f>
        <v/>
      </c>
    </row>
    <row r="717">
      <c r="A717">
        <f>IF(AND(OR(Query!$B$4="All",'Compliance Database'!$A717=Query!$B$4),OR(Query!$B$5="All",ISNUMBER(SEARCH(Query!$B$5,'Compliance Database'!$H717))),OR(Query!$B$6="All",ISNUMBER(SEARCH(Query!$B$6,'Compliance Database'!$I717))),OR(Query!$B$7="All",'Compliance Database'!$F717=Query!$B$7),OR(Query!$B$8="All",'Compliance Database'!$J717=Query!$B$8),OR(Query!$B$9="",ISNUMBER(SEARCH(Query!$B$9,'Compliance Database'!$D717&amp;" "&amp;'Compliance Database'!$K717&amp;" "&amp;'Compliance Database'!$L717&amp;" "&amp;'Compliance Database'!$M717&amp;" "&amp;'Compliance Database'!$N717&amp;" "&amp;'Compliance Database'!$O717))),OR(Query!$B$10&lt;&gt;"Yes",'Compliance Database'!$F717&lt;&gt;"None")),1,0)</f>
        <v/>
      </c>
      <c r="B717">
        <f>IF($A717=1,SUM($A$2:$A717),"")</f>
        <v/>
      </c>
      <c r="C717">
        <f>IF($A717=1,SUM($A$2:$A717),0)</f>
        <v/>
      </c>
    </row>
    <row r="718">
      <c r="A718">
        <f>IF(AND(OR(Query!$B$4="All",'Compliance Database'!$A718=Query!$B$4),OR(Query!$B$5="All",ISNUMBER(SEARCH(Query!$B$5,'Compliance Database'!$H718))),OR(Query!$B$6="All",ISNUMBER(SEARCH(Query!$B$6,'Compliance Database'!$I718))),OR(Query!$B$7="All",'Compliance Database'!$F718=Query!$B$7),OR(Query!$B$8="All",'Compliance Database'!$J718=Query!$B$8),OR(Query!$B$9="",ISNUMBER(SEARCH(Query!$B$9,'Compliance Database'!$D718&amp;" "&amp;'Compliance Database'!$K718&amp;" "&amp;'Compliance Database'!$L718&amp;" "&amp;'Compliance Database'!$M718&amp;" "&amp;'Compliance Database'!$N718&amp;" "&amp;'Compliance Database'!$O718))),OR(Query!$B$10&lt;&gt;"Yes",'Compliance Database'!$F718&lt;&gt;"None")),1,0)</f>
        <v/>
      </c>
      <c r="B718">
        <f>IF($A718=1,SUM($A$2:$A718),"")</f>
        <v/>
      </c>
      <c r="C718">
        <f>IF($A718=1,SUM($A$2:$A718),0)</f>
        <v/>
      </c>
    </row>
    <row r="719">
      <c r="A719">
        <f>IF(AND(OR(Query!$B$4="All",'Compliance Database'!$A719=Query!$B$4),OR(Query!$B$5="All",ISNUMBER(SEARCH(Query!$B$5,'Compliance Database'!$H719))),OR(Query!$B$6="All",ISNUMBER(SEARCH(Query!$B$6,'Compliance Database'!$I719))),OR(Query!$B$7="All",'Compliance Database'!$F719=Query!$B$7),OR(Query!$B$8="All",'Compliance Database'!$J719=Query!$B$8),OR(Query!$B$9="",ISNUMBER(SEARCH(Query!$B$9,'Compliance Database'!$D719&amp;" "&amp;'Compliance Database'!$K719&amp;" "&amp;'Compliance Database'!$L719&amp;" "&amp;'Compliance Database'!$M719&amp;" "&amp;'Compliance Database'!$N719&amp;" "&amp;'Compliance Database'!$O719))),OR(Query!$B$10&lt;&gt;"Yes",'Compliance Database'!$F719&lt;&gt;"None")),1,0)</f>
        <v/>
      </c>
      <c r="B719">
        <f>IF($A719=1,SUM($A$2:$A719),"")</f>
        <v/>
      </c>
      <c r="C719">
        <f>IF($A719=1,SUM($A$2:$A719),0)</f>
        <v/>
      </c>
    </row>
    <row r="720">
      <c r="A720">
        <f>IF(AND(OR(Query!$B$4="All",'Compliance Database'!$A720=Query!$B$4),OR(Query!$B$5="All",ISNUMBER(SEARCH(Query!$B$5,'Compliance Database'!$H720))),OR(Query!$B$6="All",ISNUMBER(SEARCH(Query!$B$6,'Compliance Database'!$I720))),OR(Query!$B$7="All",'Compliance Database'!$F720=Query!$B$7),OR(Query!$B$8="All",'Compliance Database'!$J720=Query!$B$8),OR(Query!$B$9="",ISNUMBER(SEARCH(Query!$B$9,'Compliance Database'!$D720&amp;" "&amp;'Compliance Database'!$K720&amp;" "&amp;'Compliance Database'!$L720&amp;" "&amp;'Compliance Database'!$M720&amp;" "&amp;'Compliance Database'!$N720&amp;" "&amp;'Compliance Database'!$O720))),OR(Query!$B$10&lt;&gt;"Yes",'Compliance Database'!$F720&lt;&gt;"None")),1,0)</f>
        <v/>
      </c>
      <c r="B720">
        <f>IF($A720=1,SUM($A$2:$A720),"")</f>
        <v/>
      </c>
      <c r="C720">
        <f>IF($A720=1,SUM($A$2:$A720),0)</f>
        <v/>
      </c>
    </row>
    <row r="721">
      <c r="A721">
        <f>IF(AND(OR(Query!$B$4="All",'Compliance Database'!$A721=Query!$B$4),OR(Query!$B$5="All",ISNUMBER(SEARCH(Query!$B$5,'Compliance Database'!$H721))),OR(Query!$B$6="All",ISNUMBER(SEARCH(Query!$B$6,'Compliance Database'!$I721))),OR(Query!$B$7="All",'Compliance Database'!$F721=Query!$B$7),OR(Query!$B$8="All",'Compliance Database'!$J721=Query!$B$8),OR(Query!$B$9="",ISNUMBER(SEARCH(Query!$B$9,'Compliance Database'!$D721&amp;" "&amp;'Compliance Database'!$K721&amp;" "&amp;'Compliance Database'!$L721&amp;" "&amp;'Compliance Database'!$M721&amp;" "&amp;'Compliance Database'!$N721&amp;" "&amp;'Compliance Database'!$O721))),OR(Query!$B$10&lt;&gt;"Yes",'Compliance Database'!$F721&lt;&gt;"None")),1,0)</f>
        <v/>
      </c>
      <c r="B721">
        <f>IF($A721=1,SUM($A$2:$A721),"")</f>
        <v/>
      </c>
      <c r="C721">
        <f>IF($A721=1,SUM($A$2:$A721),0)</f>
        <v/>
      </c>
    </row>
    <row r="722">
      <c r="A722">
        <f>IF(AND(OR(Query!$B$4="All",'Compliance Database'!$A722=Query!$B$4),OR(Query!$B$5="All",ISNUMBER(SEARCH(Query!$B$5,'Compliance Database'!$H722))),OR(Query!$B$6="All",ISNUMBER(SEARCH(Query!$B$6,'Compliance Database'!$I722))),OR(Query!$B$7="All",'Compliance Database'!$F722=Query!$B$7),OR(Query!$B$8="All",'Compliance Database'!$J722=Query!$B$8),OR(Query!$B$9="",ISNUMBER(SEARCH(Query!$B$9,'Compliance Database'!$D722&amp;" "&amp;'Compliance Database'!$K722&amp;" "&amp;'Compliance Database'!$L722&amp;" "&amp;'Compliance Database'!$M722&amp;" "&amp;'Compliance Database'!$N722&amp;" "&amp;'Compliance Database'!$O722))),OR(Query!$B$10&lt;&gt;"Yes",'Compliance Database'!$F722&lt;&gt;"None")),1,0)</f>
        <v/>
      </c>
      <c r="B722">
        <f>IF($A722=1,SUM($A$2:$A722),"")</f>
        <v/>
      </c>
      <c r="C722">
        <f>IF($A722=1,SUM($A$2:$A722),0)</f>
        <v/>
      </c>
    </row>
    <row r="723">
      <c r="A723">
        <f>IF(AND(OR(Query!$B$4="All",'Compliance Database'!$A723=Query!$B$4),OR(Query!$B$5="All",ISNUMBER(SEARCH(Query!$B$5,'Compliance Database'!$H723))),OR(Query!$B$6="All",ISNUMBER(SEARCH(Query!$B$6,'Compliance Database'!$I723))),OR(Query!$B$7="All",'Compliance Database'!$F723=Query!$B$7),OR(Query!$B$8="All",'Compliance Database'!$J723=Query!$B$8),OR(Query!$B$9="",ISNUMBER(SEARCH(Query!$B$9,'Compliance Database'!$D723&amp;" "&amp;'Compliance Database'!$K723&amp;" "&amp;'Compliance Database'!$L723&amp;" "&amp;'Compliance Database'!$M723&amp;" "&amp;'Compliance Database'!$N723&amp;" "&amp;'Compliance Database'!$O723))),OR(Query!$B$10&lt;&gt;"Yes",'Compliance Database'!$F723&lt;&gt;"None")),1,0)</f>
        <v/>
      </c>
      <c r="B723">
        <f>IF($A723=1,SUM($A$2:$A723),"")</f>
        <v/>
      </c>
      <c r="C723">
        <f>IF($A723=1,SUM($A$2:$A723),0)</f>
        <v/>
      </c>
    </row>
    <row r="724">
      <c r="A724">
        <f>IF(AND(OR(Query!$B$4="All",'Compliance Database'!$A724=Query!$B$4),OR(Query!$B$5="All",ISNUMBER(SEARCH(Query!$B$5,'Compliance Database'!$H724))),OR(Query!$B$6="All",ISNUMBER(SEARCH(Query!$B$6,'Compliance Database'!$I724))),OR(Query!$B$7="All",'Compliance Database'!$F724=Query!$B$7),OR(Query!$B$8="All",'Compliance Database'!$J724=Query!$B$8),OR(Query!$B$9="",ISNUMBER(SEARCH(Query!$B$9,'Compliance Database'!$D724&amp;" "&amp;'Compliance Database'!$K724&amp;" "&amp;'Compliance Database'!$L724&amp;" "&amp;'Compliance Database'!$M724&amp;" "&amp;'Compliance Database'!$N724&amp;" "&amp;'Compliance Database'!$O724))),OR(Query!$B$10&lt;&gt;"Yes",'Compliance Database'!$F724&lt;&gt;"None")),1,0)</f>
        <v/>
      </c>
      <c r="B724">
        <f>IF($A724=1,SUM($A$2:$A724),"")</f>
        <v/>
      </c>
      <c r="C724">
        <f>IF($A724=1,SUM($A$2:$A724),0)</f>
        <v/>
      </c>
    </row>
    <row r="725">
      <c r="A725">
        <f>IF(AND(OR(Query!$B$4="All",'Compliance Database'!$A725=Query!$B$4),OR(Query!$B$5="All",ISNUMBER(SEARCH(Query!$B$5,'Compliance Database'!$H725))),OR(Query!$B$6="All",ISNUMBER(SEARCH(Query!$B$6,'Compliance Database'!$I725))),OR(Query!$B$7="All",'Compliance Database'!$F725=Query!$B$7),OR(Query!$B$8="All",'Compliance Database'!$J725=Query!$B$8),OR(Query!$B$9="",ISNUMBER(SEARCH(Query!$B$9,'Compliance Database'!$D725&amp;" "&amp;'Compliance Database'!$K725&amp;" "&amp;'Compliance Database'!$L725&amp;" "&amp;'Compliance Database'!$M725&amp;" "&amp;'Compliance Database'!$N725&amp;" "&amp;'Compliance Database'!$O725))),OR(Query!$B$10&lt;&gt;"Yes",'Compliance Database'!$F725&lt;&gt;"None")),1,0)</f>
        <v/>
      </c>
      <c r="B725">
        <f>IF($A725=1,SUM($A$2:$A725),"")</f>
        <v/>
      </c>
      <c r="C725">
        <f>IF($A725=1,SUM($A$2:$A725),0)</f>
        <v/>
      </c>
    </row>
    <row r="726">
      <c r="A726">
        <f>IF(AND(OR(Query!$B$4="All",'Compliance Database'!$A726=Query!$B$4),OR(Query!$B$5="All",ISNUMBER(SEARCH(Query!$B$5,'Compliance Database'!$H726))),OR(Query!$B$6="All",ISNUMBER(SEARCH(Query!$B$6,'Compliance Database'!$I726))),OR(Query!$B$7="All",'Compliance Database'!$F726=Query!$B$7),OR(Query!$B$8="All",'Compliance Database'!$J726=Query!$B$8),OR(Query!$B$9="",ISNUMBER(SEARCH(Query!$B$9,'Compliance Database'!$D726&amp;" "&amp;'Compliance Database'!$K726&amp;" "&amp;'Compliance Database'!$L726&amp;" "&amp;'Compliance Database'!$M726&amp;" "&amp;'Compliance Database'!$N726&amp;" "&amp;'Compliance Database'!$O726))),OR(Query!$B$10&lt;&gt;"Yes",'Compliance Database'!$F726&lt;&gt;"None")),1,0)</f>
        <v/>
      </c>
      <c r="B726">
        <f>IF($A726=1,SUM($A$2:$A726),"")</f>
        <v/>
      </c>
      <c r="C726">
        <f>IF($A726=1,SUM($A$2:$A726),0)</f>
        <v/>
      </c>
    </row>
    <row r="727">
      <c r="A727">
        <f>IF(AND(OR(Query!$B$4="All",'Compliance Database'!$A727=Query!$B$4),OR(Query!$B$5="All",ISNUMBER(SEARCH(Query!$B$5,'Compliance Database'!$H727))),OR(Query!$B$6="All",ISNUMBER(SEARCH(Query!$B$6,'Compliance Database'!$I727))),OR(Query!$B$7="All",'Compliance Database'!$F727=Query!$B$7),OR(Query!$B$8="All",'Compliance Database'!$J727=Query!$B$8),OR(Query!$B$9="",ISNUMBER(SEARCH(Query!$B$9,'Compliance Database'!$D727&amp;" "&amp;'Compliance Database'!$K727&amp;" "&amp;'Compliance Database'!$L727&amp;" "&amp;'Compliance Database'!$M727&amp;" "&amp;'Compliance Database'!$N727&amp;" "&amp;'Compliance Database'!$O727))),OR(Query!$B$10&lt;&gt;"Yes",'Compliance Database'!$F727&lt;&gt;"None")),1,0)</f>
        <v/>
      </c>
      <c r="B727">
        <f>IF($A727=1,SUM($A$2:$A727),"")</f>
        <v/>
      </c>
      <c r="C727">
        <f>IF($A727=1,SUM($A$2:$A727),0)</f>
        <v/>
      </c>
    </row>
    <row r="728">
      <c r="A728">
        <f>IF(AND(OR(Query!$B$4="All",'Compliance Database'!$A728=Query!$B$4),OR(Query!$B$5="All",ISNUMBER(SEARCH(Query!$B$5,'Compliance Database'!$H728))),OR(Query!$B$6="All",ISNUMBER(SEARCH(Query!$B$6,'Compliance Database'!$I728))),OR(Query!$B$7="All",'Compliance Database'!$F728=Query!$B$7),OR(Query!$B$8="All",'Compliance Database'!$J728=Query!$B$8),OR(Query!$B$9="",ISNUMBER(SEARCH(Query!$B$9,'Compliance Database'!$D728&amp;" "&amp;'Compliance Database'!$K728&amp;" "&amp;'Compliance Database'!$L728&amp;" "&amp;'Compliance Database'!$M728&amp;" "&amp;'Compliance Database'!$N728&amp;" "&amp;'Compliance Database'!$O728))),OR(Query!$B$10&lt;&gt;"Yes",'Compliance Database'!$F728&lt;&gt;"None")),1,0)</f>
        <v/>
      </c>
      <c r="B728">
        <f>IF($A728=1,SUM($A$2:$A728),"")</f>
        <v/>
      </c>
      <c r="C728">
        <f>IF($A728=1,SUM($A$2:$A728),0)</f>
        <v/>
      </c>
    </row>
    <row r="729">
      <c r="A729">
        <f>IF(AND(OR(Query!$B$4="All",'Compliance Database'!$A729=Query!$B$4),OR(Query!$B$5="All",ISNUMBER(SEARCH(Query!$B$5,'Compliance Database'!$H729))),OR(Query!$B$6="All",ISNUMBER(SEARCH(Query!$B$6,'Compliance Database'!$I729))),OR(Query!$B$7="All",'Compliance Database'!$F729=Query!$B$7),OR(Query!$B$8="All",'Compliance Database'!$J729=Query!$B$8),OR(Query!$B$9="",ISNUMBER(SEARCH(Query!$B$9,'Compliance Database'!$D729&amp;" "&amp;'Compliance Database'!$K729&amp;" "&amp;'Compliance Database'!$L729&amp;" "&amp;'Compliance Database'!$M729&amp;" "&amp;'Compliance Database'!$N729&amp;" "&amp;'Compliance Database'!$O729))),OR(Query!$B$10&lt;&gt;"Yes",'Compliance Database'!$F729&lt;&gt;"None")),1,0)</f>
        <v/>
      </c>
      <c r="B729">
        <f>IF($A729=1,SUM($A$2:$A729),"")</f>
        <v/>
      </c>
      <c r="C729">
        <f>IF($A729=1,SUM($A$2:$A729),0)</f>
        <v/>
      </c>
    </row>
    <row r="730">
      <c r="A730">
        <f>IF(AND(OR(Query!$B$4="All",'Compliance Database'!$A730=Query!$B$4),OR(Query!$B$5="All",ISNUMBER(SEARCH(Query!$B$5,'Compliance Database'!$H730))),OR(Query!$B$6="All",ISNUMBER(SEARCH(Query!$B$6,'Compliance Database'!$I730))),OR(Query!$B$7="All",'Compliance Database'!$F730=Query!$B$7),OR(Query!$B$8="All",'Compliance Database'!$J730=Query!$B$8),OR(Query!$B$9="",ISNUMBER(SEARCH(Query!$B$9,'Compliance Database'!$D730&amp;" "&amp;'Compliance Database'!$K730&amp;" "&amp;'Compliance Database'!$L730&amp;" "&amp;'Compliance Database'!$M730&amp;" "&amp;'Compliance Database'!$N730&amp;" "&amp;'Compliance Database'!$O730))),OR(Query!$B$10&lt;&gt;"Yes",'Compliance Database'!$F730&lt;&gt;"None")),1,0)</f>
        <v/>
      </c>
      <c r="B730">
        <f>IF($A730=1,SUM($A$2:$A730),"")</f>
        <v/>
      </c>
      <c r="C730">
        <f>IF($A730=1,SUM($A$2:$A730),0)</f>
        <v/>
      </c>
    </row>
    <row r="731">
      <c r="A731">
        <f>IF(AND(OR(Query!$B$4="All",'Compliance Database'!$A731=Query!$B$4),OR(Query!$B$5="All",ISNUMBER(SEARCH(Query!$B$5,'Compliance Database'!$H731))),OR(Query!$B$6="All",ISNUMBER(SEARCH(Query!$B$6,'Compliance Database'!$I731))),OR(Query!$B$7="All",'Compliance Database'!$F731=Query!$B$7),OR(Query!$B$8="All",'Compliance Database'!$J731=Query!$B$8),OR(Query!$B$9="",ISNUMBER(SEARCH(Query!$B$9,'Compliance Database'!$D731&amp;" "&amp;'Compliance Database'!$K731&amp;" "&amp;'Compliance Database'!$L731&amp;" "&amp;'Compliance Database'!$M731&amp;" "&amp;'Compliance Database'!$N731&amp;" "&amp;'Compliance Database'!$O731))),OR(Query!$B$10&lt;&gt;"Yes",'Compliance Database'!$F731&lt;&gt;"None")),1,0)</f>
        <v/>
      </c>
      <c r="B731">
        <f>IF($A731=1,SUM($A$2:$A731),"")</f>
        <v/>
      </c>
      <c r="C731">
        <f>IF($A731=1,SUM($A$2:$A731),0)</f>
        <v/>
      </c>
    </row>
    <row r="732">
      <c r="A732">
        <f>IF(AND(OR(Query!$B$4="All",'Compliance Database'!$A732=Query!$B$4),OR(Query!$B$5="All",ISNUMBER(SEARCH(Query!$B$5,'Compliance Database'!$H732))),OR(Query!$B$6="All",ISNUMBER(SEARCH(Query!$B$6,'Compliance Database'!$I732))),OR(Query!$B$7="All",'Compliance Database'!$F732=Query!$B$7),OR(Query!$B$8="All",'Compliance Database'!$J732=Query!$B$8),OR(Query!$B$9="",ISNUMBER(SEARCH(Query!$B$9,'Compliance Database'!$D732&amp;" "&amp;'Compliance Database'!$K732&amp;" "&amp;'Compliance Database'!$L732&amp;" "&amp;'Compliance Database'!$M732&amp;" "&amp;'Compliance Database'!$N732&amp;" "&amp;'Compliance Database'!$O732))),OR(Query!$B$10&lt;&gt;"Yes",'Compliance Database'!$F732&lt;&gt;"None")),1,0)</f>
        <v/>
      </c>
      <c r="B732">
        <f>IF($A732=1,SUM($A$2:$A732),"")</f>
        <v/>
      </c>
      <c r="C732">
        <f>IF($A732=1,SUM($A$2:$A732),0)</f>
        <v/>
      </c>
    </row>
    <row r="733">
      <c r="A733">
        <f>IF(AND(OR(Query!$B$4="All",'Compliance Database'!$A733=Query!$B$4),OR(Query!$B$5="All",ISNUMBER(SEARCH(Query!$B$5,'Compliance Database'!$H733))),OR(Query!$B$6="All",ISNUMBER(SEARCH(Query!$B$6,'Compliance Database'!$I733))),OR(Query!$B$7="All",'Compliance Database'!$F733=Query!$B$7),OR(Query!$B$8="All",'Compliance Database'!$J733=Query!$B$8),OR(Query!$B$9="",ISNUMBER(SEARCH(Query!$B$9,'Compliance Database'!$D733&amp;" "&amp;'Compliance Database'!$K733&amp;" "&amp;'Compliance Database'!$L733&amp;" "&amp;'Compliance Database'!$M733&amp;" "&amp;'Compliance Database'!$N733&amp;" "&amp;'Compliance Database'!$O733))),OR(Query!$B$10&lt;&gt;"Yes",'Compliance Database'!$F733&lt;&gt;"None")),1,0)</f>
        <v/>
      </c>
      <c r="B733">
        <f>IF($A733=1,SUM($A$2:$A733),"")</f>
        <v/>
      </c>
      <c r="C733">
        <f>IF($A733=1,SUM($A$2:$A733),0)</f>
        <v/>
      </c>
    </row>
    <row r="734">
      <c r="A734">
        <f>IF(AND(OR(Query!$B$4="All",'Compliance Database'!$A734=Query!$B$4),OR(Query!$B$5="All",ISNUMBER(SEARCH(Query!$B$5,'Compliance Database'!$H734))),OR(Query!$B$6="All",ISNUMBER(SEARCH(Query!$B$6,'Compliance Database'!$I734))),OR(Query!$B$7="All",'Compliance Database'!$F734=Query!$B$7),OR(Query!$B$8="All",'Compliance Database'!$J734=Query!$B$8),OR(Query!$B$9="",ISNUMBER(SEARCH(Query!$B$9,'Compliance Database'!$D734&amp;" "&amp;'Compliance Database'!$K734&amp;" "&amp;'Compliance Database'!$L734&amp;" "&amp;'Compliance Database'!$M734&amp;" "&amp;'Compliance Database'!$N734&amp;" "&amp;'Compliance Database'!$O734))),OR(Query!$B$10&lt;&gt;"Yes",'Compliance Database'!$F734&lt;&gt;"None")),1,0)</f>
        <v/>
      </c>
      <c r="B734">
        <f>IF($A734=1,SUM($A$2:$A734),"")</f>
        <v/>
      </c>
      <c r="C734">
        <f>IF($A734=1,SUM($A$2:$A734),0)</f>
        <v/>
      </c>
    </row>
    <row r="735">
      <c r="A735">
        <f>IF(AND(OR(Query!$B$4="All",'Compliance Database'!$A735=Query!$B$4),OR(Query!$B$5="All",ISNUMBER(SEARCH(Query!$B$5,'Compliance Database'!$H735))),OR(Query!$B$6="All",ISNUMBER(SEARCH(Query!$B$6,'Compliance Database'!$I735))),OR(Query!$B$7="All",'Compliance Database'!$F735=Query!$B$7),OR(Query!$B$8="All",'Compliance Database'!$J735=Query!$B$8),OR(Query!$B$9="",ISNUMBER(SEARCH(Query!$B$9,'Compliance Database'!$D735&amp;" "&amp;'Compliance Database'!$K735&amp;" "&amp;'Compliance Database'!$L735&amp;" "&amp;'Compliance Database'!$M735&amp;" "&amp;'Compliance Database'!$N735&amp;" "&amp;'Compliance Database'!$O735))),OR(Query!$B$10&lt;&gt;"Yes",'Compliance Database'!$F735&lt;&gt;"None")),1,0)</f>
        <v/>
      </c>
      <c r="B735">
        <f>IF($A735=1,SUM($A$2:$A735),"")</f>
        <v/>
      </c>
      <c r="C735">
        <f>IF($A735=1,SUM($A$2:$A735),0)</f>
        <v/>
      </c>
    </row>
    <row r="736">
      <c r="A736">
        <f>IF(AND(OR(Query!$B$4="All",'Compliance Database'!$A736=Query!$B$4),OR(Query!$B$5="All",ISNUMBER(SEARCH(Query!$B$5,'Compliance Database'!$H736))),OR(Query!$B$6="All",ISNUMBER(SEARCH(Query!$B$6,'Compliance Database'!$I736))),OR(Query!$B$7="All",'Compliance Database'!$F736=Query!$B$7),OR(Query!$B$8="All",'Compliance Database'!$J736=Query!$B$8),OR(Query!$B$9="",ISNUMBER(SEARCH(Query!$B$9,'Compliance Database'!$D736&amp;" "&amp;'Compliance Database'!$K736&amp;" "&amp;'Compliance Database'!$L736&amp;" "&amp;'Compliance Database'!$M736&amp;" "&amp;'Compliance Database'!$N736&amp;" "&amp;'Compliance Database'!$O736))),OR(Query!$B$10&lt;&gt;"Yes",'Compliance Database'!$F736&lt;&gt;"None")),1,0)</f>
        <v/>
      </c>
      <c r="B736">
        <f>IF($A736=1,SUM($A$2:$A736),"")</f>
        <v/>
      </c>
      <c r="C736">
        <f>IF($A736=1,SUM($A$2:$A736),0)</f>
        <v/>
      </c>
    </row>
    <row r="737">
      <c r="A737">
        <f>IF(AND(OR(Query!$B$4="All",'Compliance Database'!$A737=Query!$B$4),OR(Query!$B$5="All",ISNUMBER(SEARCH(Query!$B$5,'Compliance Database'!$H737))),OR(Query!$B$6="All",ISNUMBER(SEARCH(Query!$B$6,'Compliance Database'!$I737))),OR(Query!$B$7="All",'Compliance Database'!$F737=Query!$B$7),OR(Query!$B$8="All",'Compliance Database'!$J737=Query!$B$8),OR(Query!$B$9="",ISNUMBER(SEARCH(Query!$B$9,'Compliance Database'!$D737&amp;" "&amp;'Compliance Database'!$K737&amp;" "&amp;'Compliance Database'!$L737&amp;" "&amp;'Compliance Database'!$M737&amp;" "&amp;'Compliance Database'!$N737&amp;" "&amp;'Compliance Database'!$O737))),OR(Query!$B$10&lt;&gt;"Yes",'Compliance Database'!$F737&lt;&gt;"None")),1,0)</f>
        <v/>
      </c>
      <c r="B737">
        <f>IF($A737=1,SUM($A$2:$A737),"")</f>
        <v/>
      </c>
      <c r="C737">
        <f>IF($A737=1,SUM($A$2:$A737),0)</f>
        <v/>
      </c>
    </row>
    <row r="738">
      <c r="A738">
        <f>IF(AND(OR(Query!$B$4="All",'Compliance Database'!$A738=Query!$B$4),OR(Query!$B$5="All",ISNUMBER(SEARCH(Query!$B$5,'Compliance Database'!$H738))),OR(Query!$B$6="All",ISNUMBER(SEARCH(Query!$B$6,'Compliance Database'!$I738))),OR(Query!$B$7="All",'Compliance Database'!$F738=Query!$B$7),OR(Query!$B$8="All",'Compliance Database'!$J738=Query!$B$8),OR(Query!$B$9="",ISNUMBER(SEARCH(Query!$B$9,'Compliance Database'!$D738&amp;" "&amp;'Compliance Database'!$K738&amp;" "&amp;'Compliance Database'!$L738&amp;" "&amp;'Compliance Database'!$M738&amp;" "&amp;'Compliance Database'!$N738&amp;" "&amp;'Compliance Database'!$O738))),OR(Query!$B$10&lt;&gt;"Yes",'Compliance Database'!$F738&lt;&gt;"None")),1,0)</f>
        <v/>
      </c>
      <c r="B738">
        <f>IF($A738=1,SUM($A$2:$A738),"")</f>
        <v/>
      </c>
      <c r="C738">
        <f>IF($A738=1,SUM($A$2:$A738),0)</f>
        <v/>
      </c>
    </row>
    <row r="739">
      <c r="A739">
        <f>IF(AND(OR(Query!$B$4="All",'Compliance Database'!$A739=Query!$B$4),OR(Query!$B$5="All",ISNUMBER(SEARCH(Query!$B$5,'Compliance Database'!$H739))),OR(Query!$B$6="All",ISNUMBER(SEARCH(Query!$B$6,'Compliance Database'!$I739))),OR(Query!$B$7="All",'Compliance Database'!$F739=Query!$B$7),OR(Query!$B$8="All",'Compliance Database'!$J739=Query!$B$8),OR(Query!$B$9="",ISNUMBER(SEARCH(Query!$B$9,'Compliance Database'!$D739&amp;" "&amp;'Compliance Database'!$K739&amp;" "&amp;'Compliance Database'!$L739&amp;" "&amp;'Compliance Database'!$M739&amp;" "&amp;'Compliance Database'!$N739&amp;" "&amp;'Compliance Database'!$O739))),OR(Query!$B$10&lt;&gt;"Yes",'Compliance Database'!$F739&lt;&gt;"None")),1,0)</f>
        <v/>
      </c>
      <c r="B739">
        <f>IF($A739=1,SUM($A$2:$A739),"")</f>
        <v/>
      </c>
      <c r="C739">
        <f>IF($A739=1,SUM($A$2:$A739),0)</f>
        <v/>
      </c>
    </row>
    <row r="740">
      <c r="A740">
        <f>IF(AND(OR(Query!$B$4="All",'Compliance Database'!$A740=Query!$B$4),OR(Query!$B$5="All",ISNUMBER(SEARCH(Query!$B$5,'Compliance Database'!$H740))),OR(Query!$B$6="All",ISNUMBER(SEARCH(Query!$B$6,'Compliance Database'!$I740))),OR(Query!$B$7="All",'Compliance Database'!$F740=Query!$B$7),OR(Query!$B$8="All",'Compliance Database'!$J740=Query!$B$8),OR(Query!$B$9="",ISNUMBER(SEARCH(Query!$B$9,'Compliance Database'!$D740&amp;" "&amp;'Compliance Database'!$K740&amp;" "&amp;'Compliance Database'!$L740&amp;" "&amp;'Compliance Database'!$M740&amp;" "&amp;'Compliance Database'!$N740&amp;" "&amp;'Compliance Database'!$O740))),OR(Query!$B$10&lt;&gt;"Yes",'Compliance Database'!$F740&lt;&gt;"None")),1,0)</f>
        <v/>
      </c>
      <c r="B740">
        <f>IF($A740=1,SUM($A$2:$A740),"")</f>
        <v/>
      </c>
      <c r="C740">
        <f>IF($A740=1,SUM($A$2:$A740),0)</f>
        <v/>
      </c>
    </row>
    <row r="741">
      <c r="A741">
        <f>IF(AND(OR(Query!$B$4="All",'Compliance Database'!$A741=Query!$B$4),OR(Query!$B$5="All",ISNUMBER(SEARCH(Query!$B$5,'Compliance Database'!$H741))),OR(Query!$B$6="All",ISNUMBER(SEARCH(Query!$B$6,'Compliance Database'!$I741))),OR(Query!$B$7="All",'Compliance Database'!$F741=Query!$B$7),OR(Query!$B$8="All",'Compliance Database'!$J741=Query!$B$8),OR(Query!$B$9="",ISNUMBER(SEARCH(Query!$B$9,'Compliance Database'!$D741&amp;" "&amp;'Compliance Database'!$K741&amp;" "&amp;'Compliance Database'!$L741&amp;" "&amp;'Compliance Database'!$M741&amp;" "&amp;'Compliance Database'!$N741&amp;" "&amp;'Compliance Database'!$O741))),OR(Query!$B$10&lt;&gt;"Yes",'Compliance Database'!$F741&lt;&gt;"None")),1,0)</f>
        <v/>
      </c>
      <c r="B741">
        <f>IF($A741=1,SUM($A$2:$A741),"")</f>
        <v/>
      </c>
      <c r="C741">
        <f>IF($A741=1,SUM($A$2:$A741),0)</f>
        <v/>
      </c>
    </row>
    <row r="742">
      <c r="A742">
        <f>IF(AND(OR(Query!$B$4="All",'Compliance Database'!$A742=Query!$B$4),OR(Query!$B$5="All",ISNUMBER(SEARCH(Query!$B$5,'Compliance Database'!$H742))),OR(Query!$B$6="All",ISNUMBER(SEARCH(Query!$B$6,'Compliance Database'!$I742))),OR(Query!$B$7="All",'Compliance Database'!$F742=Query!$B$7),OR(Query!$B$8="All",'Compliance Database'!$J742=Query!$B$8),OR(Query!$B$9="",ISNUMBER(SEARCH(Query!$B$9,'Compliance Database'!$D742&amp;" "&amp;'Compliance Database'!$K742&amp;" "&amp;'Compliance Database'!$L742&amp;" "&amp;'Compliance Database'!$M742&amp;" "&amp;'Compliance Database'!$N742&amp;" "&amp;'Compliance Database'!$O742))),OR(Query!$B$10&lt;&gt;"Yes",'Compliance Database'!$F742&lt;&gt;"None")),1,0)</f>
        <v/>
      </c>
      <c r="B742">
        <f>IF($A742=1,SUM($A$2:$A742),"")</f>
        <v/>
      </c>
      <c r="C742">
        <f>IF($A742=1,SUM($A$2:$A742),0)</f>
        <v/>
      </c>
    </row>
    <row r="743">
      <c r="A743">
        <f>IF(AND(OR(Query!$B$4="All",'Compliance Database'!$A743=Query!$B$4),OR(Query!$B$5="All",ISNUMBER(SEARCH(Query!$B$5,'Compliance Database'!$H743))),OR(Query!$B$6="All",ISNUMBER(SEARCH(Query!$B$6,'Compliance Database'!$I743))),OR(Query!$B$7="All",'Compliance Database'!$F743=Query!$B$7),OR(Query!$B$8="All",'Compliance Database'!$J743=Query!$B$8),OR(Query!$B$9="",ISNUMBER(SEARCH(Query!$B$9,'Compliance Database'!$D743&amp;" "&amp;'Compliance Database'!$K743&amp;" "&amp;'Compliance Database'!$L743&amp;" "&amp;'Compliance Database'!$M743&amp;" "&amp;'Compliance Database'!$N743&amp;" "&amp;'Compliance Database'!$O743))),OR(Query!$B$10&lt;&gt;"Yes",'Compliance Database'!$F743&lt;&gt;"None")),1,0)</f>
        <v/>
      </c>
      <c r="B743">
        <f>IF($A743=1,SUM($A$2:$A743),"")</f>
        <v/>
      </c>
      <c r="C743">
        <f>IF($A743=1,SUM($A$2:$A743),0)</f>
        <v/>
      </c>
    </row>
    <row r="744">
      <c r="A744">
        <f>IF(AND(OR(Query!$B$4="All",'Compliance Database'!$A744=Query!$B$4),OR(Query!$B$5="All",ISNUMBER(SEARCH(Query!$B$5,'Compliance Database'!$H744))),OR(Query!$B$6="All",ISNUMBER(SEARCH(Query!$B$6,'Compliance Database'!$I744))),OR(Query!$B$7="All",'Compliance Database'!$F744=Query!$B$7),OR(Query!$B$8="All",'Compliance Database'!$J744=Query!$B$8),OR(Query!$B$9="",ISNUMBER(SEARCH(Query!$B$9,'Compliance Database'!$D744&amp;" "&amp;'Compliance Database'!$K744&amp;" "&amp;'Compliance Database'!$L744&amp;" "&amp;'Compliance Database'!$M744&amp;" "&amp;'Compliance Database'!$N744&amp;" "&amp;'Compliance Database'!$O744))),OR(Query!$B$10&lt;&gt;"Yes",'Compliance Database'!$F744&lt;&gt;"None")),1,0)</f>
        <v/>
      </c>
      <c r="B744">
        <f>IF($A744=1,SUM($A$2:$A744),"")</f>
        <v/>
      </c>
      <c r="C744">
        <f>IF($A744=1,SUM($A$2:$A744),0)</f>
        <v/>
      </c>
    </row>
    <row r="745">
      <c r="A745">
        <f>IF(AND(OR(Query!$B$4="All",'Compliance Database'!$A745=Query!$B$4),OR(Query!$B$5="All",ISNUMBER(SEARCH(Query!$B$5,'Compliance Database'!$H745))),OR(Query!$B$6="All",ISNUMBER(SEARCH(Query!$B$6,'Compliance Database'!$I745))),OR(Query!$B$7="All",'Compliance Database'!$F745=Query!$B$7),OR(Query!$B$8="All",'Compliance Database'!$J745=Query!$B$8),OR(Query!$B$9="",ISNUMBER(SEARCH(Query!$B$9,'Compliance Database'!$D745&amp;" "&amp;'Compliance Database'!$K745&amp;" "&amp;'Compliance Database'!$L745&amp;" "&amp;'Compliance Database'!$M745&amp;" "&amp;'Compliance Database'!$N745&amp;" "&amp;'Compliance Database'!$O745))),OR(Query!$B$10&lt;&gt;"Yes",'Compliance Database'!$F745&lt;&gt;"None")),1,0)</f>
        <v/>
      </c>
      <c r="B745">
        <f>IF($A745=1,SUM($A$2:$A745),"")</f>
        <v/>
      </c>
      <c r="C745">
        <f>IF($A745=1,SUM($A$2:$A745),0)</f>
        <v/>
      </c>
    </row>
    <row r="746">
      <c r="A746">
        <f>IF(AND(OR(Query!$B$4="All",'Compliance Database'!$A746=Query!$B$4),OR(Query!$B$5="All",ISNUMBER(SEARCH(Query!$B$5,'Compliance Database'!$H746))),OR(Query!$B$6="All",ISNUMBER(SEARCH(Query!$B$6,'Compliance Database'!$I746))),OR(Query!$B$7="All",'Compliance Database'!$F746=Query!$B$7),OR(Query!$B$8="All",'Compliance Database'!$J746=Query!$B$8),OR(Query!$B$9="",ISNUMBER(SEARCH(Query!$B$9,'Compliance Database'!$D746&amp;" "&amp;'Compliance Database'!$K746&amp;" "&amp;'Compliance Database'!$L746&amp;" "&amp;'Compliance Database'!$M746&amp;" "&amp;'Compliance Database'!$N746&amp;" "&amp;'Compliance Database'!$O746))),OR(Query!$B$10&lt;&gt;"Yes",'Compliance Database'!$F746&lt;&gt;"None")),1,0)</f>
        <v/>
      </c>
      <c r="B746">
        <f>IF($A746=1,SUM($A$2:$A746),"")</f>
        <v/>
      </c>
      <c r="C746">
        <f>IF($A746=1,SUM($A$2:$A746),0)</f>
        <v/>
      </c>
    </row>
    <row r="747">
      <c r="A747">
        <f>IF(AND(OR(Query!$B$4="All",'Compliance Database'!$A747=Query!$B$4),OR(Query!$B$5="All",ISNUMBER(SEARCH(Query!$B$5,'Compliance Database'!$H747))),OR(Query!$B$6="All",ISNUMBER(SEARCH(Query!$B$6,'Compliance Database'!$I747))),OR(Query!$B$7="All",'Compliance Database'!$F747=Query!$B$7),OR(Query!$B$8="All",'Compliance Database'!$J747=Query!$B$8),OR(Query!$B$9="",ISNUMBER(SEARCH(Query!$B$9,'Compliance Database'!$D747&amp;" "&amp;'Compliance Database'!$K747&amp;" "&amp;'Compliance Database'!$L747&amp;" "&amp;'Compliance Database'!$M747&amp;" "&amp;'Compliance Database'!$N747&amp;" "&amp;'Compliance Database'!$O747))),OR(Query!$B$10&lt;&gt;"Yes",'Compliance Database'!$F747&lt;&gt;"None")),1,0)</f>
        <v/>
      </c>
      <c r="B747">
        <f>IF($A747=1,SUM($A$2:$A747),"")</f>
        <v/>
      </c>
      <c r="C747">
        <f>IF($A747=1,SUM($A$2:$A747),0)</f>
        <v/>
      </c>
    </row>
    <row r="748">
      <c r="A748">
        <f>IF(AND(OR(Query!$B$4="All",'Compliance Database'!$A748=Query!$B$4),OR(Query!$B$5="All",ISNUMBER(SEARCH(Query!$B$5,'Compliance Database'!$H748))),OR(Query!$B$6="All",ISNUMBER(SEARCH(Query!$B$6,'Compliance Database'!$I748))),OR(Query!$B$7="All",'Compliance Database'!$F748=Query!$B$7),OR(Query!$B$8="All",'Compliance Database'!$J748=Query!$B$8),OR(Query!$B$9="",ISNUMBER(SEARCH(Query!$B$9,'Compliance Database'!$D748&amp;" "&amp;'Compliance Database'!$K748&amp;" "&amp;'Compliance Database'!$L748&amp;" "&amp;'Compliance Database'!$M748&amp;" "&amp;'Compliance Database'!$N748&amp;" "&amp;'Compliance Database'!$O748))),OR(Query!$B$10&lt;&gt;"Yes",'Compliance Database'!$F748&lt;&gt;"None")),1,0)</f>
        <v/>
      </c>
      <c r="B748">
        <f>IF($A748=1,SUM($A$2:$A748),"")</f>
        <v/>
      </c>
      <c r="C748">
        <f>IF($A748=1,SUM($A$2:$A748),0)</f>
        <v/>
      </c>
    </row>
    <row r="749">
      <c r="A749">
        <f>IF(AND(OR(Query!$B$4="All",'Compliance Database'!$A749=Query!$B$4),OR(Query!$B$5="All",ISNUMBER(SEARCH(Query!$B$5,'Compliance Database'!$H749))),OR(Query!$B$6="All",ISNUMBER(SEARCH(Query!$B$6,'Compliance Database'!$I749))),OR(Query!$B$7="All",'Compliance Database'!$F749=Query!$B$7),OR(Query!$B$8="All",'Compliance Database'!$J749=Query!$B$8),OR(Query!$B$9="",ISNUMBER(SEARCH(Query!$B$9,'Compliance Database'!$D749&amp;" "&amp;'Compliance Database'!$K749&amp;" "&amp;'Compliance Database'!$L749&amp;" "&amp;'Compliance Database'!$M749&amp;" "&amp;'Compliance Database'!$N749&amp;" "&amp;'Compliance Database'!$O749))),OR(Query!$B$10&lt;&gt;"Yes",'Compliance Database'!$F749&lt;&gt;"None")),1,0)</f>
        <v/>
      </c>
      <c r="B749">
        <f>IF($A749=1,SUM($A$2:$A749),"")</f>
        <v/>
      </c>
      <c r="C749">
        <f>IF($A749=1,SUM($A$2:$A749),0)</f>
        <v/>
      </c>
    </row>
    <row r="750">
      <c r="A750">
        <f>IF(AND(OR(Query!$B$4="All",'Compliance Database'!$A750=Query!$B$4),OR(Query!$B$5="All",ISNUMBER(SEARCH(Query!$B$5,'Compliance Database'!$H750))),OR(Query!$B$6="All",ISNUMBER(SEARCH(Query!$B$6,'Compliance Database'!$I750))),OR(Query!$B$7="All",'Compliance Database'!$F750=Query!$B$7),OR(Query!$B$8="All",'Compliance Database'!$J750=Query!$B$8),OR(Query!$B$9="",ISNUMBER(SEARCH(Query!$B$9,'Compliance Database'!$D750&amp;" "&amp;'Compliance Database'!$K750&amp;" "&amp;'Compliance Database'!$L750&amp;" "&amp;'Compliance Database'!$M750&amp;" "&amp;'Compliance Database'!$N750&amp;" "&amp;'Compliance Database'!$O750))),OR(Query!$B$10&lt;&gt;"Yes",'Compliance Database'!$F750&lt;&gt;"None")),1,0)</f>
        <v/>
      </c>
      <c r="B750">
        <f>IF($A750=1,SUM($A$2:$A750),"")</f>
        <v/>
      </c>
      <c r="C750">
        <f>IF($A750=1,SUM($A$2:$A750),0)</f>
        <v/>
      </c>
    </row>
    <row r="751">
      <c r="A751">
        <f>IF(AND(OR(Query!$B$4="All",'Compliance Database'!$A751=Query!$B$4),OR(Query!$B$5="All",ISNUMBER(SEARCH(Query!$B$5,'Compliance Database'!$H751))),OR(Query!$B$6="All",ISNUMBER(SEARCH(Query!$B$6,'Compliance Database'!$I751))),OR(Query!$B$7="All",'Compliance Database'!$F751=Query!$B$7),OR(Query!$B$8="All",'Compliance Database'!$J751=Query!$B$8),OR(Query!$B$9="",ISNUMBER(SEARCH(Query!$B$9,'Compliance Database'!$D751&amp;" "&amp;'Compliance Database'!$K751&amp;" "&amp;'Compliance Database'!$L751&amp;" "&amp;'Compliance Database'!$M751&amp;" "&amp;'Compliance Database'!$N751&amp;" "&amp;'Compliance Database'!$O751))),OR(Query!$B$10&lt;&gt;"Yes",'Compliance Database'!$F751&lt;&gt;"None")),1,0)</f>
        <v/>
      </c>
      <c r="B751">
        <f>IF($A751=1,SUM($A$2:$A751),"")</f>
        <v/>
      </c>
      <c r="C751">
        <f>IF($A751=1,SUM($A$2:$A751),0)</f>
        <v/>
      </c>
    </row>
    <row r="752">
      <c r="A752">
        <f>IF(AND(OR(Query!$B$4="All",'Compliance Database'!$A752=Query!$B$4),OR(Query!$B$5="All",ISNUMBER(SEARCH(Query!$B$5,'Compliance Database'!$H752))),OR(Query!$B$6="All",ISNUMBER(SEARCH(Query!$B$6,'Compliance Database'!$I752))),OR(Query!$B$7="All",'Compliance Database'!$F752=Query!$B$7),OR(Query!$B$8="All",'Compliance Database'!$J752=Query!$B$8),OR(Query!$B$9="",ISNUMBER(SEARCH(Query!$B$9,'Compliance Database'!$D752&amp;" "&amp;'Compliance Database'!$K752&amp;" "&amp;'Compliance Database'!$L752&amp;" "&amp;'Compliance Database'!$M752&amp;" "&amp;'Compliance Database'!$N752&amp;" "&amp;'Compliance Database'!$O752))),OR(Query!$B$10&lt;&gt;"Yes",'Compliance Database'!$F752&lt;&gt;"None")),1,0)</f>
        <v/>
      </c>
      <c r="B752">
        <f>IF($A752=1,SUM($A$2:$A752),"")</f>
        <v/>
      </c>
      <c r="C752">
        <f>IF($A752=1,SUM($A$2:$A752),0)</f>
        <v/>
      </c>
    </row>
    <row r="753">
      <c r="A753">
        <f>IF(AND(OR(Query!$B$4="All",'Compliance Database'!$A753=Query!$B$4),OR(Query!$B$5="All",ISNUMBER(SEARCH(Query!$B$5,'Compliance Database'!$H753))),OR(Query!$B$6="All",ISNUMBER(SEARCH(Query!$B$6,'Compliance Database'!$I753))),OR(Query!$B$7="All",'Compliance Database'!$F753=Query!$B$7),OR(Query!$B$8="All",'Compliance Database'!$J753=Query!$B$8),OR(Query!$B$9="",ISNUMBER(SEARCH(Query!$B$9,'Compliance Database'!$D753&amp;" "&amp;'Compliance Database'!$K753&amp;" "&amp;'Compliance Database'!$L753&amp;" "&amp;'Compliance Database'!$M753&amp;" "&amp;'Compliance Database'!$N753&amp;" "&amp;'Compliance Database'!$O753))),OR(Query!$B$10&lt;&gt;"Yes",'Compliance Database'!$F753&lt;&gt;"None")),1,0)</f>
        <v/>
      </c>
      <c r="B753">
        <f>IF($A753=1,SUM($A$2:$A753),"")</f>
        <v/>
      </c>
      <c r="C753">
        <f>IF($A753=1,SUM($A$2:$A753),0)</f>
        <v/>
      </c>
    </row>
    <row r="754">
      <c r="A754">
        <f>IF(AND(OR(Query!$B$4="All",'Compliance Database'!$A754=Query!$B$4),OR(Query!$B$5="All",ISNUMBER(SEARCH(Query!$B$5,'Compliance Database'!$H754))),OR(Query!$B$6="All",ISNUMBER(SEARCH(Query!$B$6,'Compliance Database'!$I754))),OR(Query!$B$7="All",'Compliance Database'!$F754=Query!$B$7),OR(Query!$B$8="All",'Compliance Database'!$J754=Query!$B$8),OR(Query!$B$9="",ISNUMBER(SEARCH(Query!$B$9,'Compliance Database'!$D754&amp;" "&amp;'Compliance Database'!$K754&amp;" "&amp;'Compliance Database'!$L754&amp;" "&amp;'Compliance Database'!$M754&amp;" "&amp;'Compliance Database'!$N754&amp;" "&amp;'Compliance Database'!$O754))),OR(Query!$B$10&lt;&gt;"Yes",'Compliance Database'!$F754&lt;&gt;"None")),1,0)</f>
        <v/>
      </c>
      <c r="B754">
        <f>IF($A754=1,SUM($A$2:$A754),"")</f>
        <v/>
      </c>
      <c r="C754">
        <f>IF($A754=1,SUM($A$2:$A754),0)</f>
        <v/>
      </c>
    </row>
    <row r="755">
      <c r="A755">
        <f>IF(AND(OR(Query!$B$4="All",'Compliance Database'!$A755=Query!$B$4),OR(Query!$B$5="All",ISNUMBER(SEARCH(Query!$B$5,'Compliance Database'!$H755))),OR(Query!$B$6="All",ISNUMBER(SEARCH(Query!$B$6,'Compliance Database'!$I755))),OR(Query!$B$7="All",'Compliance Database'!$F755=Query!$B$7),OR(Query!$B$8="All",'Compliance Database'!$J755=Query!$B$8),OR(Query!$B$9="",ISNUMBER(SEARCH(Query!$B$9,'Compliance Database'!$D755&amp;" "&amp;'Compliance Database'!$K755&amp;" "&amp;'Compliance Database'!$L755&amp;" "&amp;'Compliance Database'!$M755&amp;" "&amp;'Compliance Database'!$N755&amp;" "&amp;'Compliance Database'!$O755))),OR(Query!$B$10&lt;&gt;"Yes",'Compliance Database'!$F755&lt;&gt;"None")),1,0)</f>
        <v/>
      </c>
      <c r="B755">
        <f>IF($A755=1,SUM($A$2:$A755),"")</f>
        <v/>
      </c>
      <c r="C755">
        <f>IF($A755=1,SUM($A$2:$A755),0)</f>
        <v/>
      </c>
    </row>
    <row r="756">
      <c r="A756">
        <f>IF(AND(OR(Query!$B$4="All",'Compliance Database'!$A756=Query!$B$4),OR(Query!$B$5="All",ISNUMBER(SEARCH(Query!$B$5,'Compliance Database'!$H756))),OR(Query!$B$6="All",ISNUMBER(SEARCH(Query!$B$6,'Compliance Database'!$I756))),OR(Query!$B$7="All",'Compliance Database'!$F756=Query!$B$7),OR(Query!$B$8="All",'Compliance Database'!$J756=Query!$B$8),OR(Query!$B$9="",ISNUMBER(SEARCH(Query!$B$9,'Compliance Database'!$D756&amp;" "&amp;'Compliance Database'!$K756&amp;" "&amp;'Compliance Database'!$L756&amp;" "&amp;'Compliance Database'!$M756&amp;" "&amp;'Compliance Database'!$N756&amp;" "&amp;'Compliance Database'!$O756))),OR(Query!$B$10&lt;&gt;"Yes",'Compliance Database'!$F756&lt;&gt;"None")),1,0)</f>
        <v/>
      </c>
      <c r="B756">
        <f>IF($A756=1,SUM($A$2:$A756),"")</f>
        <v/>
      </c>
      <c r="C756">
        <f>IF($A756=1,SUM($A$2:$A756),0)</f>
        <v/>
      </c>
    </row>
    <row r="757">
      <c r="A757">
        <f>IF(AND(OR(Query!$B$4="All",'Compliance Database'!$A757=Query!$B$4),OR(Query!$B$5="All",ISNUMBER(SEARCH(Query!$B$5,'Compliance Database'!$H757))),OR(Query!$B$6="All",ISNUMBER(SEARCH(Query!$B$6,'Compliance Database'!$I757))),OR(Query!$B$7="All",'Compliance Database'!$F757=Query!$B$7),OR(Query!$B$8="All",'Compliance Database'!$J757=Query!$B$8),OR(Query!$B$9="",ISNUMBER(SEARCH(Query!$B$9,'Compliance Database'!$D757&amp;" "&amp;'Compliance Database'!$K757&amp;" "&amp;'Compliance Database'!$L757&amp;" "&amp;'Compliance Database'!$M757&amp;" "&amp;'Compliance Database'!$N757&amp;" "&amp;'Compliance Database'!$O757))),OR(Query!$B$10&lt;&gt;"Yes",'Compliance Database'!$F757&lt;&gt;"None")),1,0)</f>
        <v/>
      </c>
      <c r="B757">
        <f>IF($A757=1,SUM($A$2:$A757),"")</f>
        <v/>
      </c>
      <c r="C757">
        <f>IF($A757=1,SUM($A$2:$A757),0)</f>
        <v/>
      </c>
    </row>
    <row r="758">
      <c r="A758">
        <f>IF(AND(OR(Query!$B$4="All",'Compliance Database'!$A758=Query!$B$4),OR(Query!$B$5="All",ISNUMBER(SEARCH(Query!$B$5,'Compliance Database'!$H758))),OR(Query!$B$6="All",ISNUMBER(SEARCH(Query!$B$6,'Compliance Database'!$I758))),OR(Query!$B$7="All",'Compliance Database'!$F758=Query!$B$7),OR(Query!$B$8="All",'Compliance Database'!$J758=Query!$B$8),OR(Query!$B$9="",ISNUMBER(SEARCH(Query!$B$9,'Compliance Database'!$D758&amp;" "&amp;'Compliance Database'!$K758&amp;" "&amp;'Compliance Database'!$L758&amp;" "&amp;'Compliance Database'!$M758&amp;" "&amp;'Compliance Database'!$N758&amp;" "&amp;'Compliance Database'!$O758))),OR(Query!$B$10&lt;&gt;"Yes",'Compliance Database'!$F758&lt;&gt;"None")),1,0)</f>
        <v/>
      </c>
      <c r="B758">
        <f>IF($A758=1,SUM($A$2:$A758),"")</f>
        <v/>
      </c>
      <c r="C758">
        <f>IF($A758=1,SUM($A$2:$A758),0)</f>
        <v/>
      </c>
    </row>
    <row r="759">
      <c r="A759">
        <f>IF(AND(OR(Query!$B$4="All",'Compliance Database'!$A759=Query!$B$4),OR(Query!$B$5="All",ISNUMBER(SEARCH(Query!$B$5,'Compliance Database'!$H759))),OR(Query!$B$6="All",ISNUMBER(SEARCH(Query!$B$6,'Compliance Database'!$I759))),OR(Query!$B$7="All",'Compliance Database'!$F759=Query!$B$7),OR(Query!$B$8="All",'Compliance Database'!$J759=Query!$B$8),OR(Query!$B$9="",ISNUMBER(SEARCH(Query!$B$9,'Compliance Database'!$D759&amp;" "&amp;'Compliance Database'!$K759&amp;" "&amp;'Compliance Database'!$L759&amp;" "&amp;'Compliance Database'!$M759&amp;" "&amp;'Compliance Database'!$N759&amp;" "&amp;'Compliance Database'!$O759))),OR(Query!$B$10&lt;&gt;"Yes",'Compliance Database'!$F759&lt;&gt;"None")),1,0)</f>
        <v/>
      </c>
      <c r="B759">
        <f>IF($A759=1,SUM($A$2:$A759),"")</f>
        <v/>
      </c>
      <c r="C759">
        <f>IF($A759=1,SUM($A$2:$A759),0)</f>
        <v/>
      </c>
    </row>
    <row r="760">
      <c r="A760">
        <f>IF(AND(OR(Query!$B$4="All",'Compliance Database'!$A760=Query!$B$4),OR(Query!$B$5="All",ISNUMBER(SEARCH(Query!$B$5,'Compliance Database'!$H760))),OR(Query!$B$6="All",ISNUMBER(SEARCH(Query!$B$6,'Compliance Database'!$I760))),OR(Query!$B$7="All",'Compliance Database'!$F760=Query!$B$7),OR(Query!$B$8="All",'Compliance Database'!$J760=Query!$B$8),OR(Query!$B$9="",ISNUMBER(SEARCH(Query!$B$9,'Compliance Database'!$D760&amp;" "&amp;'Compliance Database'!$K760&amp;" "&amp;'Compliance Database'!$L760&amp;" "&amp;'Compliance Database'!$M760&amp;" "&amp;'Compliance Database'!$N760&amp;" "&amp;'Compliance Database'!$O760))),OR(Query!$B$10&lt;&gt;"Yes",'Compliance Database'!$F760&lt;&gt;"None")),1,0)</f>
        <v/>
      </c>
      <c r="B760">
        <f>IF($A760=1,SUM($A$2:$A760),"")</f>
        <v/>
      </c>
      <c r="C760">
        <f>IF($A760=1,SUM($A$2:$A760),0)</f>
        <v/>
      </c>
    </row>
    <row r="761">
      <c r="A761">
        <f>IF(AND(OR(Query!$B$4="All",'Compliance Database'!$A761=Query!$B$4),OR(Query!$B$5="All",ISNUMBER(SEARCH(Query!$B$5,'Compliance Database'!$H761))),OR(Query!$B$6="All",ISNUMBER(SEARCH(Query!$B$6,'Compliance Database'!$I761))),OR(Query!$B$7="All",'Compliance Database'!$F761=Query!$B$7),OR(Query!$B$8="All",'Compliance Database'!$J761=Query!$B$8),OR(Query!$B$9="",ISNUMBER(SEARCH(Query!$B$9,'Compliance Database'!$D761&amp;" "&amp;'Compliance Database'!$K761&amp;" "&amp;'Compliance Database'!$L761&amp;" "&amp;'Compliance Database'!$M761&amp;" "&amp;'Compliance Database'!$N761&amp;" "&amp;'Compliance Database'!$O761))),OR(Query!$B$10&lt;&gt;"Yes",'Compliance Database'!$F761&lt;&gt;"None")),1,0)</f>
        <v/>
      </c>
      <c r="B761">
        <f>IF($A761=1,SUM($A$2:$A761),"")</f>
        <v/>
      </c>
      <c r="C761">
        <f>IF($A761=1,SUM($A$2:$A761),0)</f>
        <v/>
      </c>
    </row>
    <row r="762">
      <c r="A762">
        <f>IF(AND(OR(Query!$B$4="All",'Compliance Database'!$A762=Query!$B$4),OR(Query!$B$5="All",ISNUMBER(SEARCH(Query!$B$5,'Compliance Database'!$H762))),OR(Query!$B$6="All",ISNUMBER(SEARCH(Query!$B$6,'Compliance Database'!$I762))),OR(Query!$B$7="All",'Compliance Database'!$F762=Query!$B$7),OR(Query!$B$8="All",'Compliance Database'!$J762=Query!$B$8),OR(Query!$B$9="",ISNUMBER(SEARCH(Query!$B$9,'Compliance Database'!$D762&amp;" "&amp;'Compliance Database'!$K762&amp;" "&amp;'Compliance Database'!$L762&amp;" "&amp;'Compliance Database'!$M762&amp;" "&amp;'Compliance Database'!$N762&amp;" "&amp;'Compliance Database'!$O762))),OR(Query!$B$10&lt;&gt;"Yes",'Compliance Database'!$F762&lt;&gt;"None")),1,0)</f>
        <v/>
      </c>
      <c r="B762">
        <f>IF($A762=1,SUM($A$2:$A762),"")</f>
        <v/>
      </c>
      <c r="C762">
        <f>IF($A762=1,SUM($A$2:$A762),0)</f>
        <v/>
      </c>
    </row>
    <row r="763">
      <c r="A763">
        <f>IF(AND(OR(Query!$B$4="All",'Compliance Database'!$A763=Query!$B$4),OR(Query!$B$5="All",ISNUMBER(SEARCH(Query!$B$5,'Compliance Database'!$H763))),OR(Query!$B$6="All",ISNUMBER(SEARCH(Query!$B$6,'Compliance Database'!$I763))),OR(Query!$B$7="All",'Compliance Database'!$F763=Query!$B$7),OR(Query!$B$8="All",'Compliance Database'!$J763=Query!$B$8),OR(Query!$B$9="",ISNUMBER(SEARCH(Query!$B$9,'Compliance Database'!$D763&amp;" "&amp;'Compliance Database'!$K763&amp;" "&amp;'Compliance Database'!$L763&amp;" "&amp;'Compliance Database'!$M763&amp;" "&amp;'Compliance Database'!$N763&amp;" "&amp;'Compliance Database'!$O763))),OR(Query!$B$10&lt;&gt;"Yes",'Compliance Database'!$F763&lt;&gt;"None")),1,0)</f>
        <v/>
      </c>
      <c r="B763">
        <f>IF($A763=1,SUM($A$2:$A763),"")</f>
        <v/>
      </c>
      <c r="C763">
        <f>IF($A763=1,SUM($A$2:$A763),0)</f>
        <v/>
      </c>
    </row>
    <row r="764">
      <c r="A764">
        <f>IF(AND(OR(Query!$B$4="All",'Compliance Database'!$A764=Query!$B$4),OR(Query!$B$5="All",ISNUMBER(SEARCH(Query!$B$5,'Compliance Database'!$H764))),OR(Query!$B$6="All",ISNUMBER(SEARCH(Query!$B$6,'Compliance Database'!$I764))),OR(Query!$B$7="All",'Compliance Database'!$F764=Query!$B$7),OR(Query!$B$8="All",'Compliance Database'!$J764=Query!$B$8),OR(Query!$B$9="",ISNUMBER(SEARCH(Query!$B$9,'Compliance Database'!$D764&amp;" "&amp;'Compliance Database'!$K764&amp;" "&amp;'Compliance Database'!$L764&amp;" "&amp;'Compliance Database'!$M764&amp;" "&amp;'Compliance Database'!$N764&amp;" "&amp;'Compliance Database'!$O764))),OR(Query!$B$10&lt;&gt;"Yes",'Compliance Database'!$F764&lt;&gt;"None")),1,0)</f>
        <v/>
      </c>
      <c r="B764">
        <f>IF($A764=1,SUM($A$2:$A764),"")</f>
        <v/>
      </c>
      <c r="C764">
        <f>IF($A764=1,SUM($A$2:$A764),0)</f>
        <v/>
      </c>
    </row>
    <row r="765">
      <c r="A765">
        <f>IF(AND(OR(Query!$B$4="All",'Compliance Database'!$A765=Query!$B$4),OR(Query!$B$5="All",ISNUMBER(SEARCH(Query!$B$5,'Compliance Database'!$H765))),OR(Query!$B$6="All",ISNUMBER(SEARCH(Query!$B$6,'Compliance Database'!$I765))),OR(Query!$B$7="All",'Compliance Database'!$F765=Query!$B$7),OR(Query!$B$8="All",'Compliance Database'!$J765=Query!$B$8),OR(Query!$B$9="",ISNUMBER(SEARCH(Query!$B$9,'Compliance Database'!$D765&amp;" "&amp;'Compliance Database'!$K765&amp;" "&amp;'Compliance Database'!$L765&amp;" "&amp;'Compliance Database'!$M765&amp;" "&amp;'Compliance Database'!$N765&amp;" "&amp;'Compliance Database'!$O765))),OR(Query!$B$10&lt;&gt;"Yes",'Compliance Database'!$F765&lt;&gt;"None")),1,0)</f>
        <v/>
      </c>
      <c r="B765">
        <f>IF($A765=1,SUM($A$2:$A765),"")</f>
        <v/>
      </c>
      <c r="C765">
        <f>IF($A765=1,SUM($A$2:$A765),0)</f>
        <v/>
      </c>
    </row>
    <row r="766">
      <c r="A766">
        <f>IF(AND(OR(Query!$B$4="All",'Compliance Database'!$A766=Query!$B$4),OR(Query!$B$5="All",ISNUMBER(SEARCH(Query!$B$5,'Compliance Database'!$H766))),OR(Query!$B$6="All",ISNUMBER(SEARCH(Query!$B$6,'Compliance Database'!$I766))),OR(Query!$B$7="All",'Compliance Database'!$F766=Query!$B$7),OR(Query!$B$8="All",'Compliance Database'!$J766=Query!$B$8),OR(Query!$B$9="",ISNUMBER(SEARCH(Query!$B$9,'Compliance Database'!$D766&amp;" "&amp;'Compliance Database'!$K766&amp;" "&amp;'Compliance Database'!$L766&amp;" "&amp;'Compliance Database'!$M766&amp;" "&amp;'Compliance Database'!$N766&amp;" "&amp;'Compliance Database'!$O766))),OR(Query!$B$10&lt;&gt;"Yes",'Compliance Database'!$F766&lt;&gt;"None")),1,0)</f>
        <v/>
      </c>
      <c r="B766">
        <f>IF($A766=1,SUM($A$2:$A766),"")</f>
        <v/>
      </c>
      <c r="C766">
        <f>IF($A766=1,SUM($A$2:$A766),0)</f>
        <v/>
      </c>
    </row>
    <row r="767">
      <c r="A767">
        <f>IF(AND(OR(Query!$B$4="All",'Compliance Database'!$A767=Query!$B$4),OR(Query!$B$5="All",ISNUMBER(SEARCH(Query!$B$5,'Compliance Database'!$H767))),OR(Query!$B$6="All",ISNUMBER(SEARCH(Query!$B$6,'Compliance Database'!$I767))),OR(Query!$B$7="All",'Compliance Database'!$F767=Query!$B$7),OR(Query!$B$8="All",'Compliance Database'!$J767=Query!$B$8),OR(Query!$B$9="",ISNUMBER(SEARCH(Query!$B$9,'Compliance Database'!$D767&amp;" "&amp;'Compliance Database'!$K767&amp;" "&amp;'Compliance Database'!$L767&amp;" "&amp;'Compliance Database'!$M767&amp;" "&amp;'Compliance Database'!$N767&amp;" "&amp;'Compliance Database'!$O767))),OR(Query!$B$10&lt;&gt;"Yes",'Compliance Database'!$F767&lt;&gt;"None")),1,0)</f>
        <v/>
      </c>
      <c r="B767">
        <f>IF($A767=1,SUM($A$2:$A767),"")</f>
        <v/>
      </c>
      <c r="C767">
        <f>IF($A767=1,SUM($A$2:$A767),0)</f>
        <v/>
      </c>
    </row>
    <row r="768">
      <c r="A768">
        <f>IF(AND(OR(Query!$B$4="All",'Compliance Database'!$A768=Query!$B$4),OR(Query!$B$5="All",ISNUMBER(SEARCH(Query!$B$5,'Compliance Database'!$H768))),OR(Query!$B$6="All",ISNUMBER(SEARCH(Query!$B$6,'Compliance Database'!$I768))),OR(Query!$B$7="All",'Compliance Database'!$F768=Query!$B$7),OR(Query!$B$8="All",'Compliance Database'!$J768=Query!$B$8),OR(Query!$B$9="",ISNUMBER(SEARCH(Query!$B$9,'Compliance Database'!$D768&amp;" "&amp;'Compliance Database'!$K768&amp;" "&amp;'Compliance Database'!$L768&amp;" "&amp;'Compliance Database'!$M768&amp;" "&amp;'Compliance Database'!$N768&amp;" "&amp;'Compliance Database'!$O768))),OR(Query!$B$10&lt;&gt;"Yes",'Compliance Database'!$F768&lt;&gt;"None")),1,0)</f>
        <v/>
      </c>
      <c r="B768">
        <f>IF($A768=1,SUM($A$2:$A768),"")</f>
        <v/>
      </c>
      <c r="C768">
        <f>IF($A768=1,SUM($A$2:$A768),0)</f>
        <v/>
      </c>
    </row>
    <row r="769">
      <c r="A769">
        <f>IF(AND(OR(Query!$B$4="All",'Compliance Database'!$A769=Query!$B$4),OR(Query!$B$5="All",ISNUMBER(SEARCH(Query!$B$5,'Compliance Database'!$H769))),OR(Query!$B$6="All",ISNUMBER(SEARCH(Query!$B$6,'Compliance Database'!$I769))),OR(Query!$B$7="All",'Compliance Database'!$F769=Query!$B$7),OR(Query!$B$8="All",'Compliance Database'!$J769=Query!$B$8),OR(Query!$B$9="",ISNUMBER(SEARCH(Query!$B$9,'Compliance Database'!$D769&amp;" "&amp;'Compliance Database'!$K769&amp;" "&amp;'Compliance Database'!$L769&amp;" "&amp;'Compliance Database'!$M769&amp;" "&amp;'Compliance Database'!$N769&amp;" "&amp;'Compliance Database'!$O769))),OR(Query!$B$10&lt;&gt;"Yes",'Compliance Database'!$F769&lt;&gt;"None")),1,0)</f>
        <v/>
      </c>
      <c r="B769">
        <f>IF($A769=1,SUM($A$2:$A769),"")</f>
        <v/>
      </c>
      <c r="C769">
        <f>IF($A769=1,SUM($A$2:$A769),0)</f>
        <v/>
      </c>
    </row>
    <row r="770">
      <c r="A770">
        <f>IF(AND(OR(Query!$B$4="All",'Compliance Database'!$A770=Query!$B$4),OR(Query!$B$5="All",ISNUMBER(SEARCH(Query!$B$5,'Compliance Database'!$H770))),OR(Query!$B$6="All",ISNUMBER(SEARCH(Query!$B$6,'Compliance Database'!$I770))),OR(Query!$B$7="All",'Compliance Database'!$F770=Query!$B$7),OR(Query!$B$8="All",'Compliance Database'!$J770=Query!$B$8),OR(Query!$B$9="",ISNUMBER(SEARCH(Query!$B$9,'Compliance Database'!$D770&amp;" "&amp;'Compliance Database'!$K770&amp;" "&amp;'Compliance Database'!$L770&amp;" "&amp;'Compliance Database'!$M770&amp;" "&amp;'Compliance Database'!$N770&amp;" "&amp;'Compliance Database'!$O770))),OR(Query!$B$10&lt;&gt;"Yes",'Compliance Database'!$F770&lt;&gt;"None")),1,0)</f>
        <v/>
      </c>
      <c r="B770">
        <f>IF($A770=1,SUM($A$2:$A770),"")</f>
        <v/>
      </c>
      <c r="C770">
        <f>IF($A770=1,SUM($A$2:$A770),0)</f>
        <v/>
      </c>
    </row>
    <row r="771">
      <c r="A771">
        <f>IF(AND(OR(Query!$B$4="All",'Compliance Database'!$A771=Query!$B$4),OR(Query!$B$5="All",ISNUMBER(SEARCH(Query!$B$5,'Compliance Database'!$H771))),OR(Query!$B$6="All",ISNUMBER(SEARCH(Query!$B$6,'Compliance Database'!$I771))),OR(Query!$B$7="All",'Compliance Database'!$F771=Query!$B$7),OR(Query!$B$8="All",'Compliance Database'!$J771=Query!$B$8),OR(Query!$B$9="",ISNUMBER(SEARCH(Query!$B$9,'Compliance Database'!$D771&amp;" "&amp;'Compliance Database'!$K771&amp;" "&amp;'Compliance Database'!$L771&amp;" "&amp;'Compliance Database'!$M771&amp;" "&amp;'Compliance Database'!$N771&amp;" "&amp;'Compliance Database'!$O771))),OR(Query!$B$10&lt;&gt;"Yes",'Compliance Database'!$F771&lt;&gt;"None")),1,0)</f>
        <v/>
      </c>
      <c r="B771">
        <f>IF($A771=1,SUM($A$2:$A771),"")</f>
        <v/>
      </c>
      <c r="C771">
        <f>IF($A771=1,SUM($A$2:$A771),0)</f>
        <v/>
      </c>
    </row>
    <row r="772">
      <c r="A772">
        <f>IF(AND(OR(Query!$B$4="All",'Compliance Database'!$A772=Query!$B$4),OR(Query!$B$5="All",ISNUMBER(SEARCH(Query!$B$5,'Compliance Database'!$H772))),OR(Query!$B$6="All",ISNUMBER(SEARCH(Query!$B$6,'Compliance Database'!$I772))),OR(Query!$B$7="All",'Compliance Database'!$F772=Query!$B$7),OR(Query!$B$8="All",'Compliance Database'!$J772=Query!$B$8),OR(Query!$B$9="",ISNUMBER(SEARCH(Query!$B$9,'Compliance Database'!$D772&amp;" "&amp;'Compliance Database'!$K772&amp;" "&amp;'Compliance Database'!$L772&amp;" "&amp;'Compliance Database'!$M772&amp;" "&amp;'Compliance Database'!$N772&amp;" "&amp;'Compliance Database'!$O772))),OR(Query!$B$10&lt;&gt;"Yes",'Compliance Database'!$F772&lt;&gt;"None")),1,0)</f>
        <v/>
      </c>
      <c r="B772">
        <f>IF($A772=1,SUM($A$2:$A772),"")</f>
        <v/>
      </c>
      <c r="C772">
        <f>IF($A772=1,SUM($A$2:$A772),0)</f>
        <v/>
      </c>
    </row>
    <row r="773">
      <c r="A773">
        <f>IF(AND(OR(Query!$B$4="All",'Compliance Database'!$A773=Query!$B$4),OR(Query!$B$5="All",ISNUMBER(SEARCH(Query!$B$5,'Compliance Database'!$H773))),OR(Query!$B$6="All",ISNUMBER(SEARCH(Query!$B$6,'Compliance Database'!$I773))),OR(Query!$B$7="All",'Compliance Database'!$F773=Query!$B$7),OR(Query!$B$8="All",'Compliance Database'!$J773=Query!$B$8),OR(Query!$B$9="",ISNUMBER(SEARCH(Query!$B$9,'Compliance Database'!$D773&amp;" "&amp;'Compliance Database'!$K773&amp;" "&amp;'Compliance Database'!$L773&amp;" "&amp;'Compliance Database'!$M773&amp;" "&amp;'Compliance Database'!$N773&amp;" "&amp;'Compliance Database'!$O773))),OR(Query!$B$10&lt;&gt;"Yes",'Compliance Database'!$F773&lt;&gt;"None")),1,0)</f>
        <v/>
      </c>
      <c r="B773">
        <f>IF($A773=1,SUM($A$2:$A773),"")</f>
        <v/>
      </c>
      <c r="C773">
        <f>IF($A773=1,SUM($A$2:$A773),0)</f>
        <v/>
      </c>
    </row>
    <row r="774">
      <c r="A774">
        <f>IF(AND(OR(Query!$B$4="All",'Compliance Database'!$A774=Query!$B$4),OR(Query!$B$5="All",ISNUMBER(SEARCH(Query!$B$5,'Compliance Database'!$H774))),OR(Query!$B$6="All",ISNUMBER(SEARCH(Query!$B$6,'Compliance Database'!$I774))),OR(Query!$B$7="All",'Compliance Database'!$F774=Query!$B$7),OR(Query!$B$8="All",'Compliance Database'!$J774=Query!$B$8),OR(Query!$B$9="",ISNUMBER(SEARCH(Query!$B$9,'Compliance Database'!$D774&amp;" "&amp;'Compliance Database'!$K774&amp;" "&amp;'Compliance Database'!$L774&amp;" "&amp;'Compliance Database'!$M774&amp;" "&amp;'Compliance Database'!$N774&amp;" "&amp;'Compliance Database'!$O774))),OR(Query!$B$10&lt;&gt;"Yes",'Compliance Database'!$F774&lt;&gt;"None")),1,0)</f>
        <v/>
      </c>
      <c r="B774">
        <f>IF($A774=1,SUM($A$2:$A774),"")</f>
        <v/>
      </c>
      <c r="C774">
        <f>IF($A774=1,SUM($A$2:$A774),0)</f>
        <v/>
      </c>
    </row>
    <row r="775">
      <c r="A775">
        <f>IF(AND(OR(Query!$B$4="All",'Compliance Database'!$A775=Query!$B$4),OR(Query!$B$5="All",ISNUMBER(SEARCH(Query!$B$5,'Compliance Database'!$H775))),OR(Query!$B$6="All",ISNUMBER(SEARCH(Query!$B$6,'Compliance Database'!$I775))),OR(Query!$B$7="All",'Compliance Database'!$F775=Query!$B$7),OR(Query!$B$8="All",'Compliance Database'!$J775=Query!$B$8),OR(Query!$B$9="",ISNUMBER(SEARCH(Query!$B$9,'Compliance Database'!$D775&amp;" "&amp;'Compliance Database'!$K775&amp;" "&amp;'Compliance Database'!$L775&amp;" "&amp;'Compliance Database'!$M775&amp;" "&amp;'Compliance Database'!$N775&amp;" "&amp;'Compliance Database'!$O775))),OR(Query!$B$10&lt;&gt;"Yes",'Compliance Database'!$F775&lt;&gt;"None")),1,0)</f>
        <v/>
      </c>
      <c r="B775">
        <f>IF($A775=1,SUM($A$2:$A775),"")</f>
        <v/>
      </c>
      <c r="C775">
        <f>IF($A775=1,SUM($A$2:$A775),0)</f>
        <v/>
      </c>
    </row>
    <row r="776">
      <c r="A776">
        <f>IF(AND(OR(Query!$B$4="All",'Compliance Database'!$A776=Query!$B$4),OR(Query!$B$5="All",ISNUMBER(SEARCH(Query!$B$5,'Compliance Database'!$H776))),OR(Query!$B$6="All",ISNUMBER(SEARCH(Query!$B$6,'Compliance Database'!$I776))),OR(Query!$B$7="All",'Compliance Database'!$F776=Query!$B$7),OR(Query!$B$8="All",'Compliance Database'!$J776=Query!$B$8),OR(Query!$B$9="",ISNUMBER(SEARCH(Query!$B$9,'Compliance Database'!$D776&amp;" "&amp;'Compliance Database'!$K776&amp;" "&amp;'Compliance Database'!$L776&amp;" "&amp;'Compliance Database'!$M776&amp;" "&amp;'Compliance Database'!$N776&amp;" "&amp;'Compliance Database'!$O776))),OR(Query!$B$10&lt;&gt;"Yes",'Compliance Database'!$F776&lt;&gt;"None")),1,0)</f>
        <v/>
      </c>
      <c r="B776">
        <f>IF($A776=1,SUM($A$2:$A776),"")</f>
        <v/>
      </c>
      <c r="C776">
        <f>IF($A776=1,SUM($A$2:$A776),0)</f>
        <v/>
      </c>
    </row>
    <row r="777">
      <c r="A777">
        <f>IF(AND(OR(Query!$B$4="All",'Compliance Database'!$A777=Query!$B$4),OR(Query!$B$5="All",ISNUMBER(SEARCH(Query!$B$5,'Compliance Database'!$H777))),OR(Query!$B$6="All",ISNUMBER(SEARCH(Query!$B$6,'Compliance Database'!$I777))),OR(Query!$B$7="All",'Compliance Database'!$F777=Query!$B$7),OR(Query!$B$8="All",'Compliance Database'!$J777=Query!$B$8),OR(Query!$B$9="",ISNUMBER(SEARCH(Query!$B$9,'Compliance Database'!$D777&amp;" "&amp;'Compliance Database'!$K777&amp;" "&amp;'Compliance Database'!$L777&amp;" "&amp;'Compliance Database'!$M777&amp;" "&amp;'Compliance Database'!$N777&amp;" "&amp;'Compliance Database'!$O777))),OR(Query!$B$10&lt;&gt;"Yes",'Compliance Database'!$F777&lt;&gt;"None")),1,0)</f>
        <v/>
      </c>
      <c r="B777">
        <f>IF($A777=1,SUM($A$2:$A777),"")</f>
        <v/>
      </c>
      <c r="C777">
        <f>IF($A777=1,SUM($A$2:$A777),0)</f>
        <v/>
      </c>
    </row>
    <row r="778">
      <c r="A778">
        <f>IF(AND(OR(Query!$B$4="All",'Compliance Database'!$A778=Query!$B$4),OR(Query!$B$5="All",ISNUMBER(SEARCH(Query!$B$5,'Compliance Database'!$H778))),OR(Query!$B$6="All",ISNUMBER(SEARCH(Query!$B$6,'Compliance Database'!$I778))),OR(Query!$B$7="All",'Compliance Database'!$F778=Query!$B$7),OR(Query!$B$8="All",'Compliance Database'!$J778=Query!$B$8),OR(Query!$B$9="",ISNUMBER(SEARCH(Query!$B$9,'Compliance Database'!$D778&amp;" "&amp;'Compliance Database'!$K778&amp;" "&amp;'Compliance Database'!$L778&amp;" "&amp;'Compliance Database'!$M778&amp;" "&amp;'Compliance Database'!$N778&amp;" "&amp;'Compliance Database'!$O778))),OR(Query!$B$10&lt;&gt;"Yes",'Compliance Database'!$F778&lt;&gt;"None")),1,0)</f>
        <v/>
      </c>
      <c r="B778">
        <f>IF($A778=1,SUM($A$2:$A778),"")</f>
        <v/>
      </c>
      <c r="C778">
        <f>IF($A778=1,SUM($A$2:$A778),0)</f>
        <v/>
      </c>
    </row>
    <row r="779">
      <c r="A779">
        <f>IF(AND(OR(Query!$B$4="All",'Compliance Database'!$A779=Query!$B$4),OR(Query!$B$5="All",ISNUMBER(SEARCH(Query!$B$5,'Compliance Database'!$H779))),OR(Query!$B$6="All",ISNUMBER(SEARCH(Query!$B$6,'Compliance Database'!$I779))),OR(Query!$B$7="All",'Compliance Database'!$F779=Query!$B$7),OR(Query!$B$8="All",'Compliance Database'!$J779=Query!$B$8),OR(Query!$B$9="",ISNUMBER(SEARCH(Query!$B$9,'Compliance Database'!$D779&amp;" "&amp;'Compliance Database'!$K779&amp;" "&amp;'Compliance Database'!$L779&amp;" "&amp;'Compliance Database'!$M779&amp;" "&amp;'Compliance Database'!$N779&amp;" "&amp;'Compliance Database'!$O779))),OR(Query!$B$10&lt;&gt;"Yes",'Compliance Database'!$F779&lt;&gt;"None")),1,0)</f>
        <v/>
      </c>
      <c r="B779">
        <f>IF($A779=1,SUM($A$2:$A779),"")</f>
        <v/>
      </c>
      <c r="C779">
        <f>IF($A779=1,SUM($A$2:$A779),0)</f>
        <v/>
      </c>
    </row>
    <row r="780">
      <c r="A780">
        <f>IF(AND(OR(Query!$B$4="All",'Compliance Database'!$A780=Query!$B$4),OR(Query!$B$5="All",ISNUMBER(SEARCH(Query!$B$5,'Compliance Database'!$H780))),OR(Query!$B$6="All",ISNUMBER(SEARCH(Query!$B$6,'Compliance Database'!$I780))),OR(Query!$B$7="All",'Compliance Database'!$F780=Query!$B$7),OR(Query!$B$8="All",'Compliance Database'!$J780=Query!$B$8),OR(Query!$B$9="",ISNUMBER(SEARCH(Query!$B$9,'Compliance Database'!$D780&amp;" "&amp;'Compliance Database'!$K780&amp;" "&amp;'Compliance Database'!$L780&amp;" "&amp;'Compliance Database'!$M780&amp;" "&amp;'Compliance Database'!$N780&amp;" "&amp;'Compliance Database'!$O780))),OR(Query!$B$10&lt;&gt;"Yes",'Compliance Database'!$F780&lt;&gt;"None")),1,0)</f>
        <v/>
      </c>
      <c r="B780">
        <f>IF($A780=1,SUM($A$2:$A780),"")</f>
        <v/>
      </c>
      <c r="C780">
        <f>IF($A780=1,SUM($A$2:$A780),0)</f>
        <v/>
      </c>
    </row>
    <row r="781">
      <c r="A781">
        <f>IF(AND(OR(Query!$B$4="All",'Compliance Database'!$A781=Query!$B$4),OR(Query!$B$5="All",ISNUMBER(SEARCH(Query!$B$5,'Compliance Database'!$H781))),OR(Query!$B$6="All",ISNUMBER(SEARCH(Query!$B$6,'Compliance Database'!$I781))),OR(Query!$B$7="All",'Compliance Database'!$F781=Query!$B$7),OR(Query!$B$8="All",'Compliance Database'!$J781=Query!$B$8),OR(Query!$B$9="",ISNUMBER(SEARCH(Query!$B$9,'Compliance Database'!$D781&amp;" "&amp;'Compliance Database'!$K781&amp;" "&amp;'Compliance Database'!$L781&amp;" "&amp;'Compliance Database'!$M781&amp;" "&amp;'Compliance Database'!$N781&amp;" "&amp;'Compliance Database'!$O781))),OR(Query!$B$10&lt;&gt;"Yes",'Compliance Database'!$F781&lt;&gt;"None")),1,0)</f>
        <v/>
      </c>
      <c r="B781">
        <f>IF($A781=1,SUM($A$2:$A781),"")</f>
        <v/>
      </c>
      <c r="C781">
        <f>IF($A781=1,SUM($A$2:$A781),0)</f>
        <v/>
      </c>
    </row>
    <row r="782">
      <c r="A782">
        <f>IF(AND(OR(Query!$B$4="All",'Compliance Database'!$A782=Query!$B$4),OR(Query!$B$5="All",ISNUMBER(SEARCH(Query!$B$5,'Compliance Database'!$H782))),OR(Query!$B$6="All",ISNUMBER(SEARCH(Query!$B$6,'Compliance Database'!$I782))),OR(Query!$B$7="All",'Compliance Database'!$F782=Query!$B$7),OR(Query!$B$8="All",'Compliance Database'!$J782=Query!$B$8),OR(Query!$B$9="",ISNUMBER(SEARCH(Query!$B$9,'Compliance Database'!$D782&amp;" "&amp;'Compliance Database'!$K782&amp;" "&amp;'Compliance Database'!$L782&amp;" "&amp;'Compliance Database'!$M782&amp;" "&amp;'Compliance Database'!$N782&amp;" "&amp;'Compliance Database'!$O782))),OR(Query!$B$10&lt;&gt;"Yes",'Compliance Database'!$F782&lt;&gt;"None")),1,0)</f>
        <v/>
      </c>
      <c r="B782">
        <f>IF($A782=1,SUM($A$2:$A782),"")</f>
        <v/>
      </c>
      <c r="C782">
        <f>IF($A782=1,SUM($A$2:$A782),0)</f>
        <v/>
      </c>
    </row>
    <row r="783">
      <c r="A783">
        <f>IF(AND(OR(Query!$B$4="All",'Compliance Database'!$A783=Query!$B$4),OR(Query!$B$5="All",ISNUMBER(SEARCH(Query!$B$5,'Compliance Database'!$H783))),OR(Query!$B$6="All",ISNUMBER(SEARCH(Query!$B$6,'Compliance Database'!$I783))),OR(Query!$B$7="All",'Compliance Database'!$F783=Query!$B$7),OR(Query!$B$8="All",'Compliance Database'!$J783=Query!$B$8),OR(Query!$B$9="",ISNUMBER(SEARCH(Query!$B$9,'Compliance Database'!$D783&amp;" "&amp;'Compliance Database'!$K783&amp;" "&amp;'Compliance Database'!$L783&amp;" "&amp;'Compliance Database'!$M783&amp;" "&amp;'Compliance Database'!$N783&amp;" "&amp;'Compliance Database'!$O783))),OR(Query!$B$10&lt;&gt;"Yes",'Compliance Database'!$F783&lt;&gt;"None")),1,0)</f>
        <v/>
      </c>
      <c r="B783">
        <f>IF($A783=1,SUM($A$2:$A783),"")</f>
        <v/>
      </c>
      <c r="C783">
        <f>IF($A783=1,SUM($A$2:$A783),0)</f>
        <v/>
      </c>
    </row>
    <row r="784">
      <c r="A784">
        <f>IF(AND(OR(Query!$B$4="All",'Compliance Database'!$A784=Query!$B$4),OR(Query!$B$5="All",ISNUMBER(SEARCH(Query!$B$5,'Compliance Database'!$H784))),OR(Query!$B$6="All",ISNUMBER(SEARCH(Query!$B$6,'Compliance Database'!$I784))),OR(Query!$B$7="All",'Compliance Database'!$F784=Query!$B$7),OR(Query!$B$8="All",'Compliance Database'!$J784=Query!$B$8),OR(Query!$B$9="",ISNUMBER(SEARCH(Query!$B$9,'Compliance Database'!$D784&amp;" "&amp;'Compliance Database'!$K784&amp;" "&amp;'Compliance Database'!$L784&amp;" "&amp;'Compliance Database'!$M784&amp;" "&amp;'Compliance Database'!$N784&amp;" "&amp;'Compliance Database'!$O784))),OR(Query!$B$10&lt;&gt;"Yes",'Compliance Database'!$F784&lt;&gt;"None")),1,0)</f>
        <v/>
      </c>
      <c r="B784">
        <f>IF($A784=1,SUM($A$2:$A784),"")</f>
        <v/>
      </c>
      <c r="C784">
        <f>IF($A784=1,SUM($A$2:$A784),0)</f>
        <v/>
      </c>
    </row>
    <row r="785">
      <c r="A785">
        <f>IF(AND(OR(Query!$B$4="All",'Compliance Database'!$A785=Query!$B$4),OR(Query!$B$5="All",ISNUMBER(SEARCH(Query!$B$5,'Compliance Database'!$H785))),OR(Query!$B$6="All",ISNUMBER(SEARCH(Query!$B$6,'Compliance Database'!$I785))),OR(Query!$B$7="All",'Compliance Database'!$F785=Query!$B$7),OR(Query!$B$8="All",'Compliance Database'!$J785=Query!$B$8),OR(Query!$B$9="",ISNUMBER(SEARCH(Query!$B$9,'Compliance Database'!$D785&amp;" "&amp;'Compliance Database'!$K785&amp;" "&amp;'Compliance Database'!$L785&amp;" "&amp;'Compliance Database'!$M785&amp;" "&amp;'Compliance Database'!$N785&amp;" "&amp;'Compliance Database'!$O785))),OR(Query!$B$10&lt;&gt;"Yes",'Compliance Database'!$F785&lt;&gt;"None")),1,0)</f>
        <v/>
      </c>
      <c r="B785">
        <f>IF($A785=1,SUM($A$2:$A785),"")</f>
        <v/>
      </c>
      <c r="C785">
        <f>IF($A785=1,SUM($A$2:$A785),0)</f>
        <v/>
      </c>
    </row>
    <row r="786">
      <c r="A786">
        <f>IF(AND(OR(Query!$B$4="All",'Compliance Database'!$A786=Query!$B$4),OR(Query!$B$5="All",ISNUMBER(SEARCH(Query!$B$5,'Compliance Database'!$H786))),OR(Query!$B$6="All",ISNUMBER(SEARCH(Query!$B$6,'Compliance Database'!$I786))),OR(Query!$B$7="All",'Compliance Database'!$F786=Query!$B$7),OR(Query!$B$8="All",'Compliance Database'!$J786=Query!$B$8),OR(Query!$B$9="",ISNUMBER(SEARCH(Query!$B$9,'Compliance Database'!$D786&amp;" "&amp;'Compliance Database'!$K786&amp;" "&amp;'Compliance Database'!$L786&amp;" "&amp;'Compliance Database'!$M786&amp;" "&amp;'Compliance Database'!$N786&amp;" "&amp;'Compliance Database'!$O786))),OR(Query!$B$10&lt;&gt;"Yes",'Compliance Database'!$F786&lt;&gt;"None")),1,0)</f>
        <v/>
      </c>
      <c r="B786">
        <f>IF($A786=1,SUM($A$2:$A786),"")</f>
        <v/>
      </c>
      <c r="C786">
        <f>IF($A786=1,SUM($A$2:$A786),0)</f>
        <v/>
      </c>
    </row>
    <row r="787">
      <c r="A787">
        <f>IF(AND(OR(Query!$B$4="All",'Compliance Database'!$A787=Query!$B$4),OR(Query!$B$5="All",ISNUMBER(SEARCH(Query!$B$5,'Compliance Database'!$H787))),OR(Query!$B$6="All",ISNUMBER(SEARCH(Query!$B$6,'Compliance Database'!$I787))),OR(Query!$B$7="All",'Compliance Database'!$F787=Query!$B$7),OR(Query!$B$8="All",'Compliance Database'!$J787=Query!$B$8),OR(Query!$B$9="",ISNUMBER(SEARCH(Query!$B$9,'Compliance Database'!$D787&amp;" "&amp;'Compliance Database'!$K787&amp;" "&amp;'Compliance Database'!$L787&amp;" "&amp;'Compliance Database'!$M787&amp;" "&amp;'Compliance Database'!$N787&amp;" "&amp;'Compliance Database'!$O787))),OR(Query!$B$10&lt;&gt;"Yes",'Compliance Database'!$F787&lt;&gt;"None")),1,0)</f>
        <v/>
      </c>
      <c r="B787">
        <f>IF($A787=1,SUM($A$2:$A787),"")</f>
        <v/>
      </c>
      <c r="C787">
        <f>IF($A787=1,SUM($A$2:$A787),0)</f>
        <v/>
      </c>
    </row>
    <row r="788">
      <c r="A788">
        <f>IF(AND(OR(Query!$B$4="All",'Compliance Database'!$A788=Query!$B$4),OR(Query!$B$5="All",ISNUMBER(SEARCH(Query!$B$5,'Compliance Database'!$H788))),OR(Query!$B$6="All",ISNUMBER(SEARCH(Query!$B$6,'Compliance Database'!$I788))),OR(Query!$B$7="All",'Compliance Database'!$F788=Query!$B$7),OR(Query!$B$8="All",'Compliance Database'!$J788=Query!$B$8),OR(Query!$B$9="",ISNUMBER(SEARCH(Query!$B$9,'Compliance Database'!$D788&amp;" "&amp;'Compliance Database'!$K788&amp;" "&amp;'Compliance Database'!$L788&amp;" "&amp;'Compliance Database'!$M788&amp;" "&amp;'Compliance Database'!$N788&amp;" "&amp;'Compliance Database'!$O788))),OR(Query!$B$10&lt;&gt;"Yes",'Compliance Database'!$F788&lt;&gt;"None")),1,0)</f>
        <v/>
      </c>
      <c r="B788">
        <f>IF($A788=1,SUM($A$2:$A788),"")</f>
        <v/>
      </c>
      <c r="C788">
        <f>IF($A788=1,SUM($A$2:$A788),0)</f>
        <v/>
      </c>
    </row>
    <row r="789">
      <c r="A789">
        <f>IF(AND(OR(Query!$B$4="All",'Compliance Database'!$A789=Query!$B$4),OR(Query!$B$5="All",ISNUMBER(SEARCH(Query!$B$5,'Compliance Database'!$H789))),OR(Query!$B$6="All",ISNUMBER(SEARCH(Query!$B$6,'Compliance Database'!$I789))),OR(Query!$B$7="All",'Compliance Database'!$F789=Query!$B$7),OR(Query!$B$8="All",'Compliance Database'!$J789=Query!$B$8),OR(Query!$B$9="",ISNUMBER(SEARCH(Query!$B$9,'Compliance Database'!$D789&amp;" "&amp;'Compliance Database'!$K789&amp;" "&amp;'Compliance Database'!$L789&amp;" "&amp;'Compliance Database'!$M789&amp;" "&amp;'Compliance Database'!$N789&amp;" "&amp;'Compliance Database'!$O789))),OR(Query!$B$10&lt;&gt;"Yes",'Compliance Database'!$F789&lt;&gt;"None")),1,0)</f>
        <v/>
      </c>
      <c r="B789">
        <f>IF($A789=1,SUM($A$2:$A789),"")</f>
        <v/>
      </c>
      <c r="C789">
        <f>IF($A789=1,SUM($A$2:$A789),0)</f>
        <v/>
      </c>
    </row>
    <row r="790">
      <c r="A790">
        <f>IF(AND(OR(Query!$B$4="All",'Compliance Database'!$A790=Query!$B$4),OR(Query!$B$5="All",ISNUMBER(SEARCH(Query!$B$5,'Compliance Database'!$H790))),OR(Query!$B$6="All",ISNUMBER(SEARCH(Query!$B$6,'Compliance Database'!$I790))),OR(Query!$B$7="All",'Compliance Database'!$F790=Query!$B$7),OR(Query!$B$8="All",'Compliance Database'!$J790=Query!$B$8),OR(Query!$B$9="",ISNUMBER(SEARCH(Query!$B$9,'Compliance Database'!$D790&amp;" "&amp;'Compliance Database'!$K790&amp;" "&amp;'Compliance Database'!$L790&amp;" "&amp;'Compliance Database'!$M790&amp;" "&amp;'Compliance Database'!$N790&amp;" "&amp;'Compliance Database'!$O790))),OR(Query!$B$10&lt;&gt;"Yes",'Compliance Database'!$F790&lt;&gt;"None")),1,0)</f>
        <v/>
      </c>
      <c r="B790">
        <f>IF($A790=1,SUM($A$2:$A790),"")</f>
        <v/>
      </c>
      <c r="C790">
        <f>IF($A790=1,SUM($A$2:$A790),0)</f>
        <v/>
      </c>
    </row>
    <row r="791">
      <c r="A791">
        <f>IF(AND(OR(Query!$B$4="All",'Compliance Database'!$A791=Query!$B$4),OR(Query!$B$5="All",ISNUMBER(SEARCH(Query!$B$5,'Compliance Database'!$H791))),OR(Query!$B$6="All",ISNUMBER(SEARCH(Query!$B$6,'Compliance Database'!$I791))),OR(Query!$B$7="All",'Compliance Database'!$F791=Query!$B$7),OR(Query!$B$8="All",'Compliance Database'!$J791=Query!$B$8),OR(Query!$B$9="",ISNUMBER(SEARCH(Query!$B$9,'Compliance Database'!$D791&amp;" "&amp;'Compliance Database'!$K791&amp;" "&amp;'Compliance Database'!$L791&amp;" "&amp;'Compliance Database'!$M791&amp;" "&amp;'Compliance Database'!$N791&amp;" "&amp;'Compliance Database'!$O791))),OR(Query!$B$10&lt;&gt;"Yes",'Compliance Database'!$F791&lt;&gt;"None")),1,0)</f>
        <v/>
      </c>
      <c r="B791">
        <f>IF($A791=1,SUM($A$2:$A791),"")</f>
        <v/>
      </c>
      <c r="C791">
        <f>IF($A791=1,SUM($A$2:$A791),0)</f>
        <v/>
      </c>
    </row>
    <row r="792">
      <c r="A792">
        <f>IF(AND(OR(Query!$B$4="All",'Compliance Database'!$A792=Query!$B$4),OR(Query!$B$5="All",ISNUMBER(SEARCH(Query!$B$5,'Compliance Database'!$H792))),OR(Query!$B$6="All",ISNUMBER(SEARCH(Query!$B$6,'Compliance Database'!$I792))),OR(Query!$B$7="All",'Compliance Database'!$F792=Query!$B$7),OR(Query!$B$8="All",'Compliance Database'!$J792=Query!$B$8),OR(Query!$B$9="",ISNUMBER(SEARCH(Query!$B$9,'Compliance Database'!$D792&amp;" "&amp;'Compliance Database'!$K792&amp;" "&amp;'Compliance Database'!$L792&amp;" "&amp;'Compliance Database'!$M792&amp;" "&amp;'Compliance Database'!$N792&amp;" "&amp;'Compliance Database'!$O792))),OR(Query!$B$10&lt;&gt;"Yes",'Compliance Database'!$F792&lt;&gt;"None")),1,0)</f>
        <v/>
      </c>
      <c r="B792">
        <f>IF($A792=1,SUM($A$2:$A792),"")</f>
        <v/>
      </c>
      <c r="C792">
        <f>IF($A792=1,SUM($A$2:$A792),0)</f>
        <v/>
      </c>
    </row>
    <row r="793">
      <c r="A793">
        <f>IF(AND(OR(Query!$B$4="All",'Compliance Database'!$A793=Query!$B$4),OR(Query!$B$5="All",ISNUMBER(SEARCH(Query!$B$5,'Compliance Database'!$H793))),OR(Query!$B$6="All",ISNUMBER(SEARCH(Query!$B$6,'Compliance Database'!$I793))),OR(Query!$B$7="All",'Compliance Database'!$F793=Query!$B$7),OR(Query!$B$8="All",'Compliance Database'!$J793=Query!$B$8),OR(Query!$B$9="",ISNUMBER(SEARCH(Query!$B$9,'Compliance Database'!$D793&amp;" "&amp;'Compliance Database'!$K793&amp;" "&amp;'Compliance Database'!$L793&amp;" "&amp;'Compliance Database'!$M793&amp;" "&amp;'Compliance Database'!$N793&amp;" "&amp;'Compliance Database'!$O793))),OR(Query!$B$10&lt;&gt;"Yes",'Compliance Database'!$F793&lt;&gt;"None")),1,0)</f>
        <v/>
      </c>
      <c r="B793">
        <f>IF($A793=1,SUM($A$2:$A793),"")</f>
        <v/>
      </c>
      <c r="C793">
        <f>IF($A793=1,SUM($A$2:$A793),0)</f>
        <v/>
      </c>
    </row>
    <row r="794">
      <c r="A794">
        <f>IF(AND(OR(Query!$B$4="All",'Compliance Database'!$A794=Query!$B$4),OR(Query!$B$5="All",ISNUMBER(SEARCH(Query!$B$5,'Compliance Database'!$H794))),OR(Query!$B$6="All",ISNUMBER(SEARCH(Query!$B$6,'Compliance Database'!$I794))),OR(Query!$B$7="All",'Compliance Database'!$F794=Query!$B$7),OR(Query!$B$8="All",'Compliance Database'!$J794=Query!$B$8),OR(Query!$B$9="",ISNUMBER(SEARCH(Query!$B$9,'Compliance Database'!$D794&amp;" "&amp;'Compliance Database'!$K794&amp;" "&amp;'Compliance Database'!$L794&amp;" "&amp;'Compliance Database'!$M794&amp;" "&amp;'Compliance Database'!$N794&amp;" "&amp;'Compliance Database'!$O794))),OR(Query!$B$10&lt;&gt;"Yes",'Compliance Database'!$F794&lt;&gt;"None")),1,0)</f>
        <v/>
      </c>
      <c r="B794">
        <f>IF($A794=1,SUM($A$2:$A794),"")</f>
        <v/>
      </c>
      <c r="C794">
        <f>IF($A794=1,SUM($A$2:$A794),0)</f>
        <v/>
      </c>
    </row>
    <row r="795">
      <c r="A795">
        <f>IF(AND(OR(Query!$B$4="All",'Compliance Database'!$A795=Query!$B$4),OR(Query!$B$5="All",ISNUMBER(SEARCH(Query!$B$5,'Compliance Database'!$H795))),OR(Query!$B$6="All",ISNUMBER(SEARCH(Query!$B$6,'Compliance Database'!$I795))),OR(Query!$B$7="All",'Compliance Database'!$F795=Query!$B$7),OR(Query!$B$8="All",'Compliance Database'!$J795=Query!$B$8),OR(Query!$B$9="",ISNUMBER(SEARCH(Query!$B$9,'Compliance Database'!$D795&amp;" "&amp;'Compliance Database'!$K795&amp;" "&amp;'Compliance Database'!$L795&amp;" "&amp;'Compliance Database'!$M795&amp;" "&amp;'Compliance Database'!$N795&amp;" "&amp;'Compliance Database'!$O795))),OR(Query!$B$10&lt;&gt;"Yes",'Compliance Database'!$F795&lt;&gt;"None")),1,0)</f>
        <v/>
      </c>
      <c r="B795">
        <f>IF($A795=1,SUM($A$2:$A795),"")</f>
        <v/>
      </c>
      <c r="C795">
        <f>IF($A795=1,SUM($A$2:$A795),0)</f>
        <v/>
      </c>
    </row>
    <row r="796">
      <c r="A796">
        <f>IF(AND(OR(Query!$B$4="All",'Compliance Database'!$A796=Query!$B$4),OR(Query!$B$5="All",ISNUMBER(SEARCH(Query!$B$5,'Compliance Database'!$H796))),OR(Query!$B$6="All",ISNUMBER(SEARCH(Query!$B$6,'Compliance Database'!$I796))),OR(Query!$B$7="All",'Compliance Database'!$F796=Query!$B$7),OR(Query!$B$8="All",'Compliance Database'!$J796=Query!$B$8),OR(Query!$B$9="",ISNUMBER(SEARCH(Query!$B$9,'Compliance Database'!$D796&amp;" "&amp;'Compliance Database'!$K796&amp;" "&amp;'Compliance Database'!$L796&amp;" "&amp;'Compliance Database'!$M796&amp;" "&amp;'Compliance Database'!$N796&amp;" "&amp;'Compliance Database'!$O796))),OR(Query!$B$10&lt;&gt;"Yes",'Compliance Database'!$F796&lt;&gt;"None")),1,0)</f>
        <v/>
      </c>
      <c r="B796">
        <f>IF($A796=1,SUM($A$2:$A796),"")</f>
        <v/>
      </c>
      <c r="C796">
        <f>IF($A796=1,SUM($A$2:$A796),0)</f>
        <v/>
      </c>
    </row>
    <row r="797">
      <c r="A797">
        <f>IF(AND(OR(Query!$B$4="All",'Compliance Database'!$A797=Query!$B$4),OR(Query!$B$5="All",ISNUMBER(SEARCH(Query!$B$5,'Compliance Database'!$H797))),OR(Query!$B$6="All",ISNUMBER(SEARCH(Query!$B$6,'Compliance Database'!$I797))),OR(Query!$B$7="All",'Compliance Database'!$F797=Query!$B$7),OR(Query!$B$8="All",'Compliance Database'!$J797=Query!$B$8),OR(Query!$B$9="",ISNUMBER(SEARCH(Query!$B$9,'Compliance Database'!$D797&amp;" "&amp;'Compliance Database'!$K797&amp;" "&amp;'Compliance Database'!$L797&amp;" "&amp;'Compliance Database'!$M797&amp;" "&amp;'Compliance Database'!$N797&amp;" "&amp;'Compliance Database'!$O797))),OR(Query!$B$10&lt;&gt;"Yes",'Compliance Database'!$F797&lt;&gt;"None")),1,0)</f>
        <v/>
      </c>
      <c r="B797">
        <f>IF($A797=1,SUM($A$2:$A797),"")</f>
        <v/>
      </c>
      <c r="C797">
        <f>IF($A797=1,SUM($A$2:$A797),0)</f>
        <v/>
      </c>
    </row>
    <row r="798">
      <c r="A798">
        <f>IF(AND(OR(Query!$B$4="All",'Compliance Database'!$A798=Query!$B$4),OR(Query!$B$5="All",ISNUMBER(SEARCH(Query!$B$5,'Compliance Database'!$H798))),OR(Query!$B$6="All",ISNUMBER(SEARCH(Query!$B$6,'Compliance Database'!$I798))),OR(Query!$B$7="All",'Compliance Database'!$F798=Query!$B$7),OR(Query!$B$8="All",'Compliance Database'!$J798=Query!$B$8),OR(Query!$B$9="",ISNUMBER(SEARCH(Query!$B$9,'Compliance Database'!$D798&amp;" "&amp;'Compliance Database'!$K798&amp;" "&amp;'Compliance Database'!$L798&amp;" "&amp;'Compliance Database'!$M798&amp;" "&amp;'Compliance Database'!$N798&amp;" "&amp;'Compliance Database'!$O798))),OR(Query!$B$10&lt;&gt;"Yes",'Compliance Database'!$F798&lt;&gt;"None")),1,0)</f>
        <v/>
      </c>
      <c r="B798">
        <f>IF($A798=1,SUM($A$2:$A798),"")</f>
        <v/>
      </c>
      <c r="C798">
        <f>IF($A798=1,SUM($A$2:$A798),0)</f>
        <v/>
      </c>
    </row>
    <row r="799">
      <c r="A799">
        <f>IF(AND(OR(Query!$B$4="All",'Compliance Database'!$A799=Query!$B$4),OR(Query!$B$5="All",ISNUMBER(SEARCH(Query!$B$5,'Compliance Database'!$H799))),OR(Query!$B$6="All",ISNUMBER(SEARCH(Query!$B$6,'Compliance Database'!$I799))),OR(Query!$B$7="All",'Compliance Database'!$F799=Query!$B$7),OR(Query!$B$8="All",'Compliance Database'!$J799=Query!$B$8),OR(Query!$B$9="",ISNUMBER(SEARCH(Query!$B$9,'Compliance Database'!$D799&amp;" "&amp;'Compliance Database'!$K799&amp;" "&amp;'Compliance Database'!$L799&amp;" "&amp;'Compliance Database'!$M799&amp;" "&amp;'Compliance Database'!$N799&amp;" "&amp;'Compliance Database'!$O799))),OR(Query!$B$10&lt;&gt;"Yes",'Compliance Database'!$F799&lt;&gt;"None")),1,0)</f>
        <v/>
      </c>
      <c r="B799">
        <f>IF($A799=1,SUM($A$2:$A799),"")</f>
        <v/>
      </c>
      <c r="C799">
        <f>IF($A799=1,SUM($A$2:$A799),0)</f>
        <v/>
      </c>
    </row>
    <row r="800">
      <c r="A800">
        <f>IF(AND(OR(Query!$B$4="All",'Compliance Database'!$A800=Query!$B$4),OR(Query!$B$5="All",ISNUMBER(SEARCH(Query!$B$5,'Compliance Database'!$H800))),OR(Query!$B$6="All",ISNUMBER(SEARCH(Query!$B$6,'Compliance Database'!$I800))),OR(Query!$B$7="All",'Compliance Database'!$F800=Query!$B$7),OR(Query!$B$8="All",'Compliance Database'!$J800=Query!$B$8),OR(Query!$B$9="",ISNUMBER(SEARCH(Query!$B$9,'Compliance Database'!$D800&amp;" "&amp;'Compliance Database'!$K800&amp;" "&amp;'Compliance Database'!$L800&amp;" "&amp;'Compliance Database'!$M800&amp;" "&amp;'Compliance Database'!$N800&amp;" "&amp;'Compliance Database'!$O800))),OR(Query!$B$10&lt;&gt;"Yes",'Compliance Database'!$F800&lt;&gt;"None")),1,0)</f>
        <v/>
      </c>
      <c r="B800">
        <f>IF($A800=1,SUM($A$2:$A800),"")</f>
        <v/>
      </c>
      <c r="C800">
        <f>IF($A800=1,SUM($A$2:$A800),0)</f>
        <v/>
      </c>
    </row>
    <row r="801">
      <c r="A801">
        <f>IF(AND(OR(Query!$B$4="All",'Compliance Database'!$A801=Query!$B$4),OR(Query!$B$5="All",ISNUMBER(SEARCH(Query!$B$5,'Compliance Database'!$H801))),OR(Query!$B$6="All",ISNUMBER(SEARCH(Query!$B$6,'Compliance Database'!$I801))),OR(Query!$B$7="All",'Compliance Database'!$F801=Query!$B$7),OR(Query!$B$8="All",'Compliance Database'!$J801=Query!$B$8),OR(Query!$B$9="",ISNUMBER(SEARCH(Query!$B$9,'Compliance Database'!$D801&amp;" "&amp;'Compliance Database'!$K801&amp;" "&amp;'Compliance Database'!$L801&amp;" "&amp;'Compliance Database'!$M801&amp;" "&amp;'Compliance Database'!$N801&amp;" "&amp;'Compliance Database'!$O801))),OR(Query!$B$10&lt;&gt;"Yes",'Compliance Database'!$F801&lt;&gt;"None")),1,0)</f>
        <v/>
      </c>
      <c r="B801">
        <f>IF($A801=1,SUM($A$2:$A801),"")</f>
        <v/>
      </c>
      <c r="C801">
        <f>IF($A801=1,SUM($A$2:$A801),0)</f>
        <v/>
      </c>
    </row>
    <row r="802">
      <c r="A802">
        <f>IF(AND(OR(Query!$B$4="All",'Compliance Database'!$A802=Query!$B$4),OR(Query!$B$5="All",ISNUMBER(SEARCH(Query!$B$5,'Compliance Database'!$H802))),OR(Query!$B$6="All",ISNUMBER(SEARCH(Query!$B$6,'Compliance Database'!$I802))),OR(Query!$B$7="All",'Compliance Database'!$F802=Query!$B$7),OR(Query!$B$8="All",'Compliance Database'!$J802=Query!$B$8),OR(Query!$B$9="",ISNUMBER(SEARCH(Query!$B$9,'Compliance Database'!$D802&amp;" "&amp;'Compliance Database'!$K802&amp;" "&amp;'Compliance Database'!$L802&amp;" "&amp;'Compliance Database'!$M802&amp;" "&amp;'Compliance Database'!$N802&amp;" "&amp;'Compliance Database'!$O802))),OR(Query!$B$10&lt;&gt;"Yes",'Compliance Database'!$F802&lt;&gt;"None")),1,0)</f>
        <v/>
      </c>
      <c r="B802">
        <f>IF($A802=1,SUM($A$2:$A802),"")</f>
        <v/>
      </c>
      <c r="C802">
        <f>IF($A802=1,SUM($A$2:$A802),0)</f>
        <v/>
      </c>
    </row>
    <row r="803">
      <c r="A803">
        <f>IF(AND(OR(Query!$B$4="All",'Compliance Database'!$A803=Query!$B$4),OR(Query!$B$5="All",ISNUMBER(SEARCH(Query!$B$5,'Compliance Database'!$H803))),OR(Query!$B$6="All",ISNUMBER(SEARCH(Query!$B$6,'Compliance Database'!$I803))),OR(Query!$B$7="All",'Compliance Database'!$F803=Query!$B$7),OR(Query!$B$8="All",'Compliance Database'!$J803=Query!$B$8),OR(Query!$B$9="",ISNUMBER(SEARCH(Query!$B$9,'Compliance Database'!$D803&amp;" "&amp;'Compliance Database'!$K803&amp;" "&amp;'Compliance Database'!$L803&amp;" "&amp;'Compliance Database'!$M803&amp;" "&amp;'Compliance Database'!$N803&amp;" "&amp;'Compliance Database'!$O803))),OR(Query!$B$10&lt;&gt;"Yes",'Compliance Database'!$F803&lt;&gt;"None")),1,0)</f>
        <v/>
      </c>
      <c r="B803">
        <f>IF($A803=1,SUM($A$2:$A803),"")</f>
        <v/>
      </c>
      <c r="C803">
        <f>IF($A803=1,SUM($A$2:$A803),0)</f>
        <v/>
      </c>
    </row>
    <row r="804">
      <c r="A804">
        <f>IF(AND(OR(Query!$B$4="All",'Compliance Database'!$A804=Query!$B$4),OR(Query!$B$5="All",ISNUMBER(SEARCH(Query!$B$5,'Compliance Database'!$H804))),OR(Query!$B$6="All",ISNUMBER(SEARCH(Query!$B$6,'Compliance Database'!$I804))),OR(Query!$B$7="All",'Compliance Database'!$F804=Query!$B$7),OR(Query!$B$8="All",'Compliance Database'!$J804=Query!$B$8),OR(Query!$B$9="",ISNUMBER(SEARCH(Query!$B$9,'Compliance Database'!$D804&amp;" "&amp;'Compliance Database'!$K804&amp;" "&amp;'Compliance Database'!$L804&amp;" "&amp;'Compliance Database'!$M804&amp;" "&amp;'Compliance Database'!$N804&amp;" "&amp;'Compliance Database'!$O804))),OR(Query!$B$10&lt;&gt;"Yes",'Compliance Database'!$F804&lt;&gt;"None")),1,0)</f>
        <v/>
      </c>
      <c r="B804">
        <f>IF($A804=1,SUM($A$2:$A804),"")</f>
        <v/>
      </c>
      <c r="C804">
        <f>IF($A804=1,SUM($A$2:$A804),0)</f>
        <v/>
      </c>
    </row>
    <row r="805">
      <c r="A805">
        <f>IF(AND(OR(Query!$B$4="All",'Compliance Database'!$A805=Query!$B$4),OR(Query!$B$5="All",ISNUMBER(SEARCH(Query!$B$5,'Compliance Database'!$H805))),OR(Query!$B$6="All",ISNUMBER(SEARCH(Query!$B$6,'Compliance Database'!$I805))),OR(Query!$B$7="All",'Compliance Database'!$F805=Query!$B$7),OR(Query!$B$8="All",'Compliance Database'!$J805=Query!$B$8),OR(Query!$B$9="",ISNUMBER(SEARCH(Query!$B$9,'Compliance Database'!$D805&amp;" "&amp;'Compliance Database'!$K805&amp;" "&amp;'Compliance Database'!$L805&amp;" "&amp;'Compliance Database'!$M805&amp;" "&amp;'Compliance Database'!$N805&amp;" "&amp;'Compliance Database'!$O805))),OR(Query!$B$10&lt;&gt;"Yes",'Compliance Database'!$F805&lt;&gt;"None")),1,0)</f>
        <v/>
      </c>
      <c r="B805">
        <f>IF($A805=1,SUM($A$2:$A805),"")</f>
        <v/>
      </c>
      <c r="C805">
        <f>IF($A805=1,SUM($A$2:$A805),0)</f>
        <v/>
      </c>
    </row>
    <row r="806">
      <c r="A806">
        <f>IF(AND(OR(Query!$B$4="All",'Compliance Database'!$A806=Query!$B$4),OR(Query!$B$5="All",ISNUMBER(SEARCH(Query!$B$5,'Compliance Database'!$H806))),OR(Query!$B$6="All",ISNUMBER(SEARCH(Query!$B$6,'Compliance Database'!$I806))),OR(Query!$B$7="All",'Compliance Database'!$F806=Query!$B$7),OR(Query!$B$8="All",'Compliance Database'!$J806=Query!$B$8),OR(Query!$B$9="",ISNUMBER(SEARCH(Query!$B$9,'Compliance Database'!$D806&amp;" "&amp;'Compliance Database'!$K806&amp;" "&amp;'Compliance Database'!$L806&amp;" "&amp;'Compliance Database'!$M806&amp;" "&amp;'Compliance Database'!$N806&amp;" "&amp;'Compliance Database'!$O806))),OR(Query!$B$10&lt;&gt;"Yes",'Compliance Database'!$F806&lt;&gt;"None")),1,0)</f>
        <v/>
      </c>
      <c r="B806">
        <f>IF($A806=1,SUM($A$2:$A806),"")</f>
        <v/>
      </c>
      <c r="C806">
        <f>IF($A806=1,SUM($A$2:$A806),0)</f>
        <v/>
      </c>
    </row>
    <row r="807">
      <c r="A807">
        <f>IF(AND(OR(Query!$B$4="All",'Compliance Database'!$A807=Query!$B$4),OR(Query!$B$5="All",ISNUMBER(SEARCH(Query!$B$5,'Compliance Database'!$H807))),OR(Query!$B$6="All",ISNUMBER(SEARCH(Query!$B$6,'Compliance Database'!$I807))),OR(Query!$B$7="All",'Compliance Database'!$F807=Query!$B$7),OR(Query!$B$8="All",'Compliance Database'!$J807=Query!$B$8),OR(Query!$B$9="",ISNUMBER(SEARCH(Query!$B$9,'Compliance Database'!$D807&amp;" "&amp;'Compliance Database'!$K807&amp;" "&amp;'Compliance Database'!$L807&amp;" "&amp;'Compliance Database'!$M807&amp;" "&amp;'Compliance Database'!$N807&amp;" "&amp;'Compliance Database'!$O807))),OR(Query!$B$10&lt;&gt;"Yes",'Compliance Database'!$F807&lt;&gt;"None")),1,0)</f>
        <v/>
      </c>
      <c r="B807">
        <f>IF($A807=1,SUM($A$2:$A807),"")</f>
        <v/>
      </c>
      <c r="C807">
        <f>IF($A807=1,SUM($A$2:$A807),0)</f>
        <v/>
      </c>
    </row>
    <row r="808">
      <c r="A808">
        <f>IF(AND(OR(Query!$B$4="All",'Compliance Database'!$A808=Query!$B$4),OR(Query!$B$5="All",ISNUMBER(SEARCH(Query!$B$5,'Compliance Database'!$H808))),OR(Query!$B$6="All",ISNUMBER(SEARCH(Query!$B$6,'Compliance Database'!$I808))),OR(Query!$B$7="All",'Compliance Database'!$F808=Query!$B$7),OR(Query!$B$8="All",'Compliance Database'!$J808=Query!$B$8),OR(Query!$B$9="",ISNUMBER(SEARCH(Query!$B$9,'Compliance Database'!$D808&amp;" "&amp;'Compliance Database'!$K808&amp;" "&amp;'Compliance Database'!$L808&amp;" "&amp;'Compliance Database'!$M808&amp;" "&amp;'Compliance Database'!$N808&amp;" "&amp;'Compliance Database'!$O808))),OR(Query!$B$10&lt;&gt;"Yes",'Compliance Database'!$F808&lt;&gt;"None")),1,0)</f>
        <v/>
      </c>
      <c r="B808">
        <f>IF($A808=1,SUM($A$2:$A808),"")</f>
        <v/>
      </c>
      <c r="C808">
        <f>IF($A808=1,SUM($A$2:$A808),0)</f>
        <v/>
      </c>
    </row>
    <row r="809">
      <c r="A809">
        <f>IF(AND(OR(Query!$B$4="All",'Compliance Database'!$A809=Query!$B$4),OR(Query!$B$5="All",ISNUMBER(SEARCH(Query!$B$5,'Compliance Database'!$H809))),OR(Query!$B$6="All",ISNUMBER(SEARCH(Query!$B$6,'Compliance Database'!$I809))),OR(Query!$B$7="All",'Compliance Database'!$F809=Query!$B$7),OR(Query!$B$8="All",'Compliance Database'!$J809=Query!$B$8),OR(Query!$B$9="",ISNUMBER(SEARCH(Query!$B$9,'Compliance Database'!$D809&amp;" "&amp;'Compliance Database'!$K809&amp;" "&amp;'Compliance Database'!$L809&amp;" "&amp;'Compliance Database'!$M809&amp;" "&amp;'Compliance Database'!$N809&amp;" "&amp;'Compliance Database'!$O809))),OR(Query!$B$10&lt;&gt;"Yes",'Compliance Database'!$F809&lt;&gt;"None")),1,0)</f>
        <v/>
      </c>
      <c r="B809">
        <f>IF($A809=1,SUM($A$2:$A809),"")</f>
        <v/>
      </c>
      <c r="C809">
        <f>IF($A809=1,SUM($A$2:$A809),0)</f>
        <v/>
      </c>
    </row>
    <row r="810">
      <c r="A810">
        <f>IF(AND(OR(Query!$B$4="All",'Compliance Database'!$A810=Query!$B$4),OR(Query!$B$5="All",ISNUMBER(SEARCH(Query!$B$5,'Compliance Database'!$H810))),OR(Query!$B$6="All",ISNUMBER(SEARCH(Query!$B$6,'Compliance Database'!$I810))),OR(Query!$B$7="All",'Compliance Database'!$F810=Query!$B$7),OR(Query!$B$8="All",'Compliance Database'!$J810=Query!$B$8),OR(Query!$B$9="",ISNUMBER(SEARCH(Query!$B$9,'Compliance Database'!$D810&amp;" "&amp;'Compliance Database'!$K810&amp;" "&amp;'Compliance Database'!$L810&amp;" "&amp;'Compliance Database'!$M810&amp;" "&amp;'Compliance Database'!$N810&amp;" "&amp;'Compliance Database'!$O810))),OR(Query!$B$10&lt;&gt;"Yes",'Compliance Database'!$F810&lt;&gt;"None")),1,0)</f>
        <v/>
      </c>
      <c r="B810">
        <f>IF($A810=1,SUM($A$2:$A810),"")</f>
        <v/>
      </c>
      <c r="C810">
        <f>IF($A810=1,SUM($A$2:$A810),0)</f>
        <v/>
      </c>
    </row>
    <row r="811">
      <c r="A811">
        <f>IF(AND(OR(Query!$B$4="All",'Compliance Database'!$A811=Query!$B$4),OR(Query!$B$5="All",ISNUMBER(SEARCH(Query!$B$5,'Compliance Database'!$H811))),OR(Query!$B$6="All",ISNUMBER(SEARCH(Query!$B$6,'Compliance Database'!$I811))),OR(Query!$B$7="All",'Compliance Database'!$F811=Query!$B$7),OR(Query!$B$8="All",'Compliance Database'!$J811=Query!$B$8),OR(Query!$B$9="",ISNUMBER(SEARCH(Query!$B$9,'Compliance Database'!$D811&amp;" "&amp;'Compliance Database'!$K811&amp;" "&amp;'Compliance Database'!$L811&amp;" "&amp;'Compliance Database'!$M811&amp;" "&amp;'Compliance Database'!$N811&amp;" "&amp;'Compliance Database'!$O811))),OR(Query!$B$10&lt;&gt;"Yes",'Compliance Database'!$F811&lt;&gt;"None")),1,0)</f>
        <v/>
      </c>
      <c r="B811">
        <f>IF($A811=1,SUM($A$2:$A811),"")</f>
        <v/>
      </c>
      <c r="C811">
        <f>IF($A811=1,SUM($A$2:$A811),0)</f>
        <v/>
      </c>
    </row>
    <row r="812">
      <c r="A812">
        <f>IF(AND(OR(Query!$B$4="All",'Compliance Database'!$A812=Query!$B$4),OR(Query!$B$5="All",ISNUMBER(SEARCH(Query!$B$5,'Compliance Database'!$H812))),OR(Query!$B$6="All",ISNUMBER(SEARCH(Query!$B$6,'Compliance Database'!$I812))),OR(Query!$B$7="All",'Compliance Database'!$F812=Query!$B$7),OR(Query!$B$8="All",'Compliance Database'!$J812=Query!$B$8),OR(Query!$B$9="",ISNUMBER(SEARCH(Query!$B$9,'Compliance Database'!$D812&amp;" "&amp;'Compliance Database'!$K812&amp;" "&amp;'Compliance Database'!$L812&amp;" "&amp;'Compliance Database'!$M812&amp;" "&amp;'Compliance Database'!$N812&amp;" "&amp;'Compliance Database'!$O812))),OR(Query!$B$10&lt;&gt;"Yes",'Compliance Database'!$F812&lt;&gt;"None")),1,0)</f>
        <v/>
      </c>
      <c r="B812">
        <f>IF($A812=1,SUM($A$2:$A812),"")</f>
        <v/>
      </c>
      <c r="C812">
        <f>IF($A812=1,SUM($A$2:$A812),0)</f>
        <v/>
      </c>
    </row>
    <row r="813">
      <c r="A813">
        <f>IF(AND(OR(Query!$B$4="All",'Compliance Database'!$A813=Query!$B$4),OR(Query!$B$5="All",ISNUMBER(SEARCH(Query!$B$5,'Compliance Database'!$H813))),OR(Query!$B$6="All",ISNUMBER(SEARCH(Query!$B$6,'Compliance Database'!$I813))),OR(Query!$B$7="All",'Compliance Database'!$F813=Query!$B$7),OR(Query!$B$8="All",'Compliance Database'!$J813=Query!$B$8),OR(Query!$B$9="",ISNUMBER(SEARCH(Query!$B$9,'Compliance Database'!$D813&amp;" "&amp;'Compliance Database'!$K813&amp;" "&amp;'Compliance Database'!$L813&amp;" "&amp;'Compliance Database'!$M813&amp;" "&amp;'Compliance Database'!$N813&amp;" "&amp;'Compliance Database'!$O813))),OR(Query!$B$10&lt;&gt;"Yes",'Compliance Database'!$F813&lt;&gt;"None")),1,0)</f>
        <v/>
      </c>
      <c r="B813">
        <f>IF($A813=1,SUM($A$2:$A813),"")</f>
        <v/>
      </c>
      <c r="C813">
        <f>IF($A813=1,SUM($A$2:$A813),0)</f>
        <v/>
      </c>
    </row>
    <row r="814">
      <c r="A814">
        <f>IF(AND(OR(Query!$B$4="All",'Compliance Database'!$A814=Query!$B$4),OR(Query!$B$5="All",ISNUMBER(SEARCH(Query!$B$5,'Compliance Database'!$H814))),OR(Query!$B$6="All",ISNUMBER(SEARCH(Query!$B$6,'Compliance Database'!$I814))),OR(Query!$B$7="All",'Compliance Database'!$F814=Query!$B$7),OR(Query!$B$8="All",'Compliance Database'!$J814=Query!$B$8),OR(Query!$B$9="",ISNUMBER(SEARCH(Query!$B$9,'Compliance Database'!$D814&amp;" "&amp;'Compliance Database'!$K814&amp;" "&amp;'Compliance Database'!$L814&amp;" "&amp;'Compliance Database'!$M814&amp;" "&amp;'Compliance Database'!$N814&amp;" "&amp;'Compliance Database'!$O814))),OR(Query!$B$10&lt;&gt;"Yes",'Compliance Database'!$F814&lt;&gt;"None")),1,0)</f>
        <v/>
      </c>
      <c r="B814">
        <f>IF($A814=1,SUM($A$2:$A814),"")</f>
        <v/>
      </c>
      <c r="C814">
        <f>IF($A814=1,SUM($A$2:$A814),0)</f>
        <v/>
      </c>
    </row>
    <row r="815">
      <c r="A815">
        <f>IF(AND(OR(Query!$B$4="All",'Compliance Database'!$A815=Query!$B$4),OR(Query!$B$5="All",ISNUMBER(SEARCH(Query!$B$5,'Compliance Database'!$H815))),OR(Query!$B$6="All",ISNUMBER(SEARCH(Query!$B$6,'Compliance Database'!$I815))),OR(Query!$B$7="All",'Compliance Database'!$F815=Query!$B$7),OR(Query!$B$8="All",'Compliance Database'!$J815=Query!$B$8),OR(Query!$B$9="",ISNUMBER(SEARCH(Query!$B$9,'Compliance Database'!$D815&amp;" "&amp;'Compliance Database'!$K815&amp;" "&amp;'Compliance Database'!$L815&amp;" "&amp;'Compliance Database'!$M815&amp;" "&amp;'Compliance Database'!$N815&amp;" "&amp;'Compliance Database'!$O815))),OR(Query!$B$10&lt;&gt;"Yes",'Compliance Database'!$F815&lt;&gt;"None")),1,0)</f>
        <v/>
      </c>
      <c r="B815">
        <f>IF($A815=1,SUM($A$2:$A815),"")</f>
        <v/>
      </c>
      <c r="C815">
        <f>IF($A815=1,SUM($A$2:$A815),0)</f>
        <v/>
      </c>
    </row>
    <row r="816">
      <c r="A816">
        <f>IF(AND(OR(Query!$B$4="All",'Compliance Database'!$A816=Query!$B$4),OR(Query!$B$5="All",ISNUMBER(SEARCH(Query!$B$5,'Compliance Database'!$H816))),OR(Query!$B$6="All",ISNUMBER(SEARCH(Query!$B$6,'Compliance Database'!$I816))),OR(Query!$B$7="All",'Compliance Database'!$F816=Query!$B$7),OR(Query!$B$8="All",'Compliance Database'!$J816=Query!$B$8),OR(Query!$B$9="",ISNUMBER(SEARCH(Query!$B$9,'Compliance Database'!$D816&amp;" "&amp;'Compliance Database'!$K816&amp;" "&amp;'Compliance Database'!$L816&amp;" "&amp;'Compliance Database'!$M816&amp;" "&amp;'Compliance Database'!$N816&amp;" "&amp;'Compliance Database'!$O816))),OR(Query!$B$10&lt;&gt;"Yes",'Compliance Database'!$F816&lt;&gt;"None")),1,0)</f>
        <v/>
      </c>
      <c r="B816">
        <f>IF($A816=1,SUM($A$2:$A816),"")</f>
        <v/>
      </c>
      <c r="C816">
        <f>IF($A816=1,SUM($A$2:$A816),0)</f>
        <v/>
      </c>
    </row>
    <row r="817">
      <c r="A817">
        <f>IF(AND(OR(Query!$B$4="All",'Compliance Database'!$A817=Query!$B$4),OR(Query!$B$5="All",ISNUMBER(SEARCH(Query!$B$5,'Compliance Database'!$H817))),OR(Query!$B$6="All",ISNUMBER(SEARCH(Query!$B$6,'Compliance Database'!$I817))),OR(Query!$B$7="All",'Compliance Database'!$F817=Query!$B$7),OR(Query!$B$8="All",'Compliance Database'!$J817=Query!$B$8),OR(Query!$B$9="",ISNUMBER(SEARCH(Query!$B$9,'Compliance Database'!$D817&amp;" "&amp;'Compliance Database'!$K817&amp;" "&amp;'Compliance Database'!$L817&amp;" "&amp;'Compliance Database'!$M817&amp;" "&amp;'Compliance Database'!$N817&amp;" "&amp;'Compliance Database'!$O817))),OR(Query!$B$10&lt;&gt;"Yes",'Compliance Database'!$F817&lt;&gt;"None")),1,0)</f>
        <v/>
      </c>
      <c r="B817">
        <f>IF($A817=1,SUM($A$2:$A817),"")</f>
        <v/>
      </c>
      <c r="C817">
        <f>IF($A817=1,SUM($A$2:$A817),0)</f>
        <v/>
      </c>
    </row>
    <row r="818">
      <c r="A818">
        <f>IF(AND(OR(Query!$B$4="All",'Compliance Database'!$A818=Query!$B$4),OR(Query!$B$5="All",ISNUMBER(SEARCH(Query!$B$5,'Compliance Database'!$H818))),OR(Query!$B$6="All",ISNUMBER(SEARCH(Query!$B$6,'Compliance Database'!$I818))),OR(Query!$B$7="All",'Compliance Database'!$F818=Query!$B$7),OR(Query!$B$8="All",'Compliance Database'!$J818=Query!$B$8),OR(Query!$B$9="",ISNUMBER(SEARCH(Query!$B$9,'Compliance Database'!$D818&amp;" "&amp;'Compliance Database'!$K818&amp;" "&amp;'Compliance Database'!$L818&amp;" "&amp;'Compliance Database'!$M818&amp;" "&amp;'Compliance Database'!$N818&amp;" "&amp;'Compliance Database'!$O818))),OR(Query!$B$10&lt;&gt;"Yes",'Compliance Database'!$F818&lt;&gt;"None")),1,0)</f>
        <v/>
      </c>
      <c r="B818">
        <f>IF($A818=1,SUM($A$2:$A818),"")</f>
        <v/>
      </c>
      <c r="C818">
        <f>IF($A818=1,SUM($A$2:$A818),0)</f>
        <v/>
      </c>
    </row>
    <row r="819">
      <c r="A819">
        <f>IF(AND(OR(Query!$B$4="All",'Compliance Database'!$A819=Query!$B$4),OR(Query!$B$5="All",ISNUMBER(SEARCH(Query!$B$5,'Compliance Database'!$H819))),OR(Query!$B$6="All",ISNUMBER(SEARCH(Query!$B$6,'Compliance Database'!$I819))),OR(Query!$B$7="All",'Compliance Database'!$F819=Query!$B$7),OR(Query!$B$8="All",'Compliance Database'!$J819=Query!$B$8),OR(Query!$B$9="",ISNUMBER(SEARCH(Query!$B$9,'Compliance Database'!$D819&amp;" "&amp;'Compliance Database'!$K819&amp;" "&amp;'Compliance Database'!$L819&amp;" "&amp;'Compliance Database'!$M819&amp;" "&amp;'Compliance Database'!$N819&amp;" "&amp;'Compliance Database'!$O819))),OR(Query!$B$10&lt;&gt;"Yes",'Compliance Database'!$F819&lt;&gt;"None")),1,0)</f>
        <v/>
      </c>
      <c r="B819">
        <f>IF($A819=1,SUM($A$2:$A819),"")</f>
        <v/>
      </c>
      <c r="C819">
        <f>IF($A819=1,SUM($A$2:$A819),0)</f>
        <v/>
      </c>
    </row>
    <row r="820">
      <c r="A820">
        <f>IF(AND(OR(Query!$B$4="All",'Compliance Database'!$A820=Query!$B$4),OR(Query!$B$5="All",ISNUMBER(SEARCH(Query!$B$5,'Compliance Database'!$H820))),OR(Query!$B$6="All",ISNUMBER(SEARCH(Query!$B$6,'Compliance Database'!$I820))),OR(Query!$B$7="All",'Compliance Database'!$F820=Query!$B$7),OR(Query!$B$8="All",'Compliance Database'!$J820=Query!$B$8),OR(Query!$B$9="",ISNUMBER(SEARCH(Query!$B$9,'Compliance Database'!$D820&amp;" "&amp;'Compliance Database'!$K820&amp;" "&amp;'Compliance Database'!$L820&amp;" "&amp;'Compliance Database'!$M820&amp;" "&amp;'Compliance Database'!$N820&amp;" "&amp;'Compliance Database'!$O820))),OR(Query!$B$10&lt;&gt;"Yes",'Compliance Database'!$F820&lt;&gt;"None")),1,0)</f>
        <v/>
      </c>
      <c r="B820">
        <f>IF($A820=1,SUM($A$2:$A820),"")</f>
        <v/>
      </c>
      <c r="C820">
        <f>IF($A820=1,SUM($A$2:$A820),0)</f>
        <v/>
      </c>
    </row>
    <row r="821">
      <c r="A821">
        <f>IF(AND(OR(Query!$B$4="All",'Compliance Database'!$A821=Query!$B$4),OR(Query!$B$5="All",ISNUMBER(SEARCH(Query!$B$5,'Compliance Database'!$H821))),OR(Query!$B$6="All",ISNUMBER(SEARCH(Query!$B$6,'Compliance Database'!$I821))),OR(Query!$B$7="All",'Compliance Database'!$F821=Query!$B$7),OR(Query!$B$8="All",'Compliance Database'!$J821=Query!$B$8),OR(Query!$B$9="",ISNUMBER(SEARCH(Query!$B$9,'Compliance Database'!$D821&amp;" "&amp;'Compliance Database'!$K821&amp;" "&amp;'Compliance Database'!$L821&amp;" "&amp;'Compliance Database'!$M821&amp;" "&amp;'Compliance Database'!$N821&amp;" "&amp;'Compliance Database'!$O821))),OR(Query!$B$10&lt;&gt;"Yes",'Compliance Database'!$F821&lt;&gt;"None")),1,0)</f>
        <v/>
      </c>
      <c r="B821">
        <f>IF($A821=1,SUM($A$2:$A821),"")</f>
        <v/>
      </c>
      <c r="C821">
        <f>IF($A821=1,SUM($A$2:$A821),0)</f>
        <v/>
      </c>
    </row>
    <row r="822">
      <c r="A822">
        <f>IF(AND(OR(Query!$B$4="All",'Compliance Database'!$A822=Query!$B$4),OR(Query!$B$5="All",ISNUMBER(SEARCH(Query!$B$5,'Compliance Database'!$H822))),OR(Query!$B$6="All",ISNUMBER(SEARCH(Query!$B$6,'Compliance Database'!$I822))),OR(Query!$B$7="All",'Compliance Database'!$F822=Query!$B$7),OR(Query!$B$8="All",'Compliance Database'!$J822=Query!$B$8),OR(Query!$B$9="",ISNUMBER(SEARCH(Query!$B$9,'Compliance Database'!$D822&amp;" "&amp;'Compliance Database'!$K822&amp;" "&amp;'Compliance Database'!$L822&amp;" "&amp;'Compliance Database'!$M822&amp;" "&amp;'Compliance Database'!$N822&amp;" "&amp;'Compliance Database'!$O822))),OR(Query!$B$10&lt;&gt;"Yes",'Compliance Database'!$F822&lt;&gt;"None")),1,0)</f>
        <v/>
      </c>
      <c r="B822">
        <f>IF($A822=1,SUM($A$2:$A822),"")</f>
        <v/>
      </c>
      <c r="C822">
        <f>IF($A822=1,SUM($A$2:$A822),0)</f>
        <v/>
      </c>
    </row>
    <row r="823">
      <c r="A823">
        <f>IF(AND(OR(Query!$B$4="All",'Compliance Database'!$A823=Query!$B$4),OR(Query!$B$5="All",ISNUMBER(SEARCH(Query!$B$5,'Compliance Database'!$H823))),OR(Query!$B$6="All",ISNUMBER(SEARCH(Query!$B$6,'Compliance Database'!$I823))),OR(Query!$B$7="All",'Compliance Database'!$F823=Query!$B$7),OR(Query!$B$8="All",'Compliance Database'!$J823=Query!$B$8),OR(Query!$B$9="",ISNUMBER(SEARCH(Query!$B$9,'Compliance Database'!$D823&amp;" "&amp;'Compliance Database'!$K823&amp;" "&amp;'Compliance Database'!$L823&amp;" "&amp;'Compliance Database'!$M823&amp;" "&amp;'Compliance Database'!$N823&amp;" "&amp;'Compliance Database'!$O823))),OR(Query!$B$10&lt;&gt;"Yes",'Compliance Database'!$F823&lt;&gt;"None")),1,0)</f>
        <v/>
      </c>
      <c r="B823">
        <f>IF($A823=1,SUM($A$2:$A823),"")</f>
        <v/>
      </c>
      <c r="C823">
        <f>IF($A823=1,SUM($A$2:$A823),0)</f>
        <v/>
      </c>
    </row>
    <row r="824">
      <c r="A824">
        <f>IF(AND(OR(Query!$B$4="All",'Compliance Database'!$A824=Query!$B$4),OR(Query!$B$5="All",ISNUMBER(SEARCH(Query!$B$5,'Compliance Database'!$H824))),OR(Query!$B$6="All",ISNUMBER(SEARCH(Query!$B$6,'Compliance Database'!$I824))),OR(Query!$B$7="All",'Compliance Database'!$F824=Query!$B$7),OR(Query!$B$8="All",'Compliance Database'!$J824=Query!$B$8),OR(Query!$B$9="",ISNUMBER(SEARCH(Query!$B$9,'Compliance Database'!$D824&amp;" "&amp;'Compliance Database'!$K824&amp;" "&amp;'Compliance Database'!$L824&amp;" "&amp;'Compliance Database'!$M824&amp;" "&amp;'Compliance Database'!$N824&amp;" "&amp;'Compliance Database'!$O824))),OR(Query!$B$10&lt;&gt;"Yes",'Compliance Database'!$F824&lt;&gt;"None")),1,0)</f>
        <v/>
      </c>
      <c r="B824">
        <f>IF($A824=1,SUM($A$2:$A824),"")</f>
        <v/>
      </c>
      <c r="C824">
        <f>IF($A824=1,SUM($A$2:$A824),0)</f>
        <v/>
      </c>
    </row>
    <row r="825">
      <c r="A825">
        <f>IF(AND(OR(Query!$B$4="All",'Compliance Database'!$A825=Query!$B$4),OR(Query!$B$5="All",ISNUMBER(SEARCH(Query!$B$5,'Compliance Database'!$H825))),OR(Query!$B$6="All",ISNUMBER(SEARCH(Query!$B$6,'Compliance Database'!$I825))),OR(Query!$B$7="All",'Compliance Database'!$F825=Query!$B$7),OR(Query!$B$8="All",'Compliance Database'!$J825=Query!$B$8),OR(Query!$B$9="",ISNUMBER(SEARCH(Query!$B$9,'Compliance Database'!$D825&amp;" "&amp;'Compliance Database'!$K825&amp;" "&amp;'Compliance Database'!$L825&amp;" "&amp;'Compliance Database'!$M825&amp;" "&amp;'Compliance Database'!$N825&amp;" "&amp;'Compliance Database'!$O825))),OR(Query!$B$10&lt;&gt;"Yes",'Compliance Database'!$F825&lt;&gt;"None")),1,0)</f>
        <v/>
      </c>
      <c r="B825">
        <f>IF($A825=1,SUM($A$2:$A825),"")</f>
        <v/>
      </c>
      <c r="C825">
        <f>IF($A825=1,SUM($A$2:$A825),0)</f>
        <v/>
      </c>
    </row>
    <row r="826">
      <c r="A826">
        <f>IF(AND(OR(Query!$B$4="All",'Compliance Database'!$A826=Query!$B$4),OR(Query!$B$5="All",ISNUMBER(SEARCH(Query!$B$5,'Compliance Database'!$H826))),OR(Query!$B$6="All",ISNUMBER(SEARCH(Query!$B$6,'Compliance Database'!$I826))),OR(Query!$B$7="All",'Compliance Database'!$F826=Query!$B$7),OR(Query!$B$8="All",'Compliance Database'!$J826=Query!$B$8),OR(Query!$B$9="",ISNUMBER(SEARCH(Query!$B$9,'Compliance Database'!$D826&amp;" "&amp;'Compliance Database'!$K826&amp;" "&amp;'Compliance Database'!$L826&amp;" "&amp;'Compliance Database'!$M826&amp;" "&amp;'Compliance Database'!$N826&amp;" "&amp;'Compliance Database'!$O826))),OR(Query!$B$10&lt;&gt;"Yes",'Compliance Database'!$F826&lt;&gt;"None")),1,0)</f>
        <v/>
      </c>
      <c r="B826">
        <f>IF($A826=1,SUM($A$2:$A826),"")</f>
        <v/>
      </c>
      <c r="C826">
        <f>IF($A826=1,SUM($A$2:$A826),0)</f>
        <v/>
      </c>
    </row>
    <row r="827">
      <c r="A827">
        <f>IF(AND(OR(Query!$B$4="All",'Compliance Database'!$A827=Query!$B$4),OR(Query!$B$5="All",ISNUMBER(SEARCH(Query!$B$5,'Compliance Database'!$H827))),OR(Query!$B$6="All",ISNUMBER(SEARCH(Query!$B$6,'Compliance Database'!$I827))),OR(Query!$B$7="All",'Compliance Database'!$F827=Query!$B$7),OR(Query!$B$8="All",'Compliance Database'!$J827=Query!$B$8),OR(Query!$B$9="",ISNUMBER(SEARCH(Query!$B$9,'Compliance Database'!$D827&amp;" "&amp;'Compliance Database'!$K827&amp;" "&amp;'Compliance Database'!$L827&amp;" "&amp;'Compliance Database'!$M827&amp;" "&amp;'Compliance Database'!$N827&amp;" "&amp;'Compliance Database'!$O827))),OR(Query!$B$10&lt;&gt;"Yes",'Compliance Database'!$F827&lt;&gt;"None")),1,0)</f>
        <v/>
      </c>
      <c r="B827">
        <f>IF($A827=1,SUM($A$2:$A827),"")</f>
        <v/>
      </c>
      <c r="C827">
        <f>IF($A827=1,SUM($A$2:$A827),0)</f>
        <v/>
      </c>
    </row>
    <row r="828">
      <c r="A828">
        <f>IF(AND(OR(Query!$B$4="All",'Compliance Database'!$A828=Query!$B$4),OR(Query!$B$5="All",ISNUMBER(SEARCH(Query!$B$5,'Compliance Database'!$H828))),OR(Query!$B$6="All",ISNUMBER(SEARCH(Query!$B$6,'Compliance Database'!$I828))),OR(Query!$B$7="All",'Compliance Database'!$F828=Query!$B$7),OR(Query!$B$8="All",'Compliance Database'!$J828=Query!$B$8),OR(Query!$B$9="",ISNUMBER(SEARCH(Query!$B$9,'Compliance Database'!$D828&amp;" "&amp;'Compliance Database'!$K828&amp;" "&amp;'Compliance Database'!$L828&amp;" "&amp;'Compliance Database'!$M828&amp;" "&amp;'Compliance Database'!$N828&amp;" "&amp;'Compliance Database'!$O828))),OR(Query!$B$10&lt;&gt;"Yes",'Compliance Database'!$F828&lt;&gt;"None")),1,0)</f>
        <v/>
      </c>
      <c r="B828">
        <f>IF($A828=1,SUM($A$2:$A828),"")</f>
        <v/>
      </c>
      <c r="C828">
        <f>IF($A828=1,SUM($A$2:$A828),0)</f>
        <v/>
      </c>
    </row>
    <row r="829">
      <c r="A829">
        <f>IF(AND(OR(Query!$B$4="All",'Compliance Database'!$A829=Query!$B$4),OR(Query!$B$5="All",ISNUMBER(SEARCH(Query!$B$5,'Compliance Database'!$H829))),OR(Query!$B$6="All",ISNUMBER(SEARCH(Query!$B$6,'Compliance Database'!$I829))),OR(Query!$B$7="All",'Compliance Database'!$F829=Query!$B$7),OR(Query!$B$8="All",'Compliance Database'!$J829=Query!$B$8),OR(Query!$B$9="",ISNUMBER(SEARCH(Query!$B$9,'Compliance Database'!$D829&amp;" "&amp;'Compliance Database'!$K829&amp;" "&amp;'Compliance Database'!$L829&amp;" "&amp;'Compliance Database'!$M829&amp;" "&amp;'Compliance Database'!$N829&amp;" "&amp;'Compliance Database'!$O829))),OR(Query!$B$10&lt;&gt;"Yes",'Compliance Database'!$F829&lt;&gt;"None")),1,0)</f>
        <v/>
      </c>
      <c r="B829">
        <f>IF($A829=1,SUM($A$2:$A829),"")</f>
        <v/>
      </c>
      <c r="C829">
        <f>IF($A829=1,SUM($A$2:$A829),0)</f>
        <v/>
      </c>
    </row>
    <row r="830">
      <c r="A830">
        <f>IF(AND(OR(Query!$B$4="All",'Compliance Database'!$A830=Query!$B$4),OR(Query!$B$5="All",ISNUMBER(SEARCH(Query!$B$5,'Compliance Database'!$H830))),OR(Query!$B$6="All",ISNUMBER(SEARCH(Query!$B$6,'Compliance Database'!$I830))),OR(Query!$B$7="All",'Compliance Database'!$F830=Query!$B$7),OR(Query!$B$8="All",'Compliance Database'!$J830=Query!$B$8),OR(Query!$B$9="",ISNUMBER(SEARCH(Query!$B$9,'Compliance Database'!$D830&amp;" "&amp;'Compliance Database'!$K830&amp;" "&amp;'Compliance Database'!$L830&amp;" "&amp;'Compliance Database'!$M830&amp;" "&amp;'Compliance Database'!$N830&amp;" "&amp;'Compliance Database'!$O830))),OR(Query!$B$10&lt;&gt;"Yes",'Compliance Database'!$F830&lt;&gt;"None")),1,0)</f>
        <v/>
      </c>
      <c r="B830">
        <f>IF($A830=1,SUM($A$2:$A830),"")</f>
        <v/>
      </c>
      <c r="C830">
        <f>IF($A830=1,SUM($A$2:$A830),0)</f>
        <v/>
      </c>
    </row>
    <row r="831">
      <c r="A831">
        <f>IF(AND(OR(Query!$B$4="All",'Compliance Database'!$A831=Query!$B$4),OR(Query!$B$5="All",ISNUMBER(SEARCH(Query!$B$5,'Compliance Database'!$H831))),OR(Query!$B$6="All",ISNUMBER(SEARCH(Query!$B$6,'Compliance Database'!$I831))),OR(Query!$B$7="All",'Compliance Database'!$F831=Query!$B$7),OR(Query!$B$8="All",'Compliance Database'!$J831=Query!$B$8),OR(Query!$B$9="",ISNUMBER(SEARCH(Query!$B$9,'Compliance Database'!$D831&amp;" "&amp;'Compliance Database'!$K831&amp;" "&amp;'Compliance Database'!$L831&amp;" "&amp;'Compliance Database'!$M831&amp;" "&amp;'Compliance Database'!$N831&amp;" "&amp;'Compliance Database'!$O831))),OR(Query!$B$10&lt;&gt;"Yes",'Compliance Database'!$F831&lt;&gt;"None")),1,0)</f>
        <v/>
      </c>
      <c r="B831">
        <f>IF($A831=1,SUM($A$2:$A831),"")</f>
        <v/>
      </c>
      <c r="C831">
        <f>IF($A831=1,SUM($A$2:$A831),0)</f>
        <v/>
      </c>
    </row>
    <row r="832">
      <c r="A832">
        <f>IF(AND(OR(Query!$B$4="All",'Compliance Database'!$A832=Query!$B$4),OR(Query!$B$5="All",ISNUMBER(SEARCH(Query!$B$5,'Compliance Database'!$H832))),OR(Query!$B$6="All",ISNUMBER(SEARCH(Query!$B$6,'Compliance Database'!$I832))),OR(Query!$B$7="All",'Compliance Database'!$F832=Query!$B$7),OR(Query!$B$8="All",'Compliance Database'!$J832=Query!$B$8),OR(Query!$B$9="",ISNUMBER(SEARCH(Query!$B$9,'Compliance Database'!$D832&amp;" "&amp;'Compliance Database'!$K832&amp;" "&amp;'Compliance Database'!$L832&amp;" "&amp;'Compliance Database'!$M832&amp;" "&amp;'Compliance Database'!$N832&amp;" "&amp;'Compliance Database'!$O832))),OR(Query!$B$10&lt;&gt;"Yes",'Compliance Database'!$F832&lt;&gt;"None")),1,0)</f>
        <v/>
      </c>
      <c r="B832">
        <f>IF($A832=1,SUM($A$2:$A832),"")</f>
        <v/>
      </c>
      <c r="C832">
        <f>IF($A832=1,SUM($A$2:$A832),0)</f>
        <v/>
      </c>
    </row>
    <row r="833">
      <c r="A833">
        <f>IF(AND(OR(Query!$B$4="All",'Compliance Database'!$A833=Query!$B$4),OR(Query!$B$5="All",ISNUMBER(SEARCH(Query!$B$5,'Compliance Database'!$H833))),OR(Query!$B$6="All",ISNUMBER(SEARCH(Query!$B$6,'Compliance Database'!$I833))),OR(Query!$B$7="All",'Compliance Database'!$F833=Query!$B$7),OR(Query!$B$8="All",'Compliance Database'!$J833=Query!$B$8),OR(Query!$B$9="",ISNUMBER(SEARCH(Query!$B$9,'Compliance Database'!$D833&amp;" "&amp;'Compliance Database'!$K833&amp;" "&amp;'Compliance Database'!$L833&amp;" "&amp;'Compliance Database'!$M833&amp;" "&amp;'Compliance Database'!$N833&amp;" "&amp;'Compliance Database'!$O833))),OR(Query!$B$10&lt;&gt;"Yes",'Compliance Database'!$F833&lt;&gt;"None")),1,0)</f>
        <v/>
      </c>
      <c r="B833">
        <f>IF($A833=1,SUM($A$2:$A833),"")</f>
        <v/>
      </c>
      <c r="C833">
        <f>IF($A833=1,SUM($A$2:$A833),0)</f>
        <v/>
      </c>
    </row>
    <row r="834">
      <c r="A834">
        <f>IF(AND(OR(Query!$B$4="All",'Compliance Database'!$A834=Query!$B$4),OR(Query!$B$5="All",ISNUMBER(SEARCH(Query!$B$5,'Compliance Database'!$H834))),OR(Query!$B$6="All",ISNUMBER(SEARCH(Query!$B$6,'Compliance Database'!$I834))),OR(Query!$B$7="All",'Compliance Database'!$F834=Query!$B$7),OR(Query!$B$8="All",'Compliance Database'!$J834=Query!$B$8),OR(Query!$B$9="",ISNUMBER(SEARCH(Query!$B$9,'Compliance Database'!$D834&amp;" "&amp;'Compliance Database'!$K834&amp;" "&amp;'Compliance Database'!$L834&amp;" "&amp;'Compliance Database'!$M834&amp;" "&amp;'Compliance Database'!$N834&amp;" "&amp;'Compliance Database'!$O834))),OR(Query!$B$10&lt;&gt;"Yes",'Compliance Database'!$F834&lt;&gt;"None")),1,0)</f>
        <v/>
      </c>
      <c r="B834">
        <f>IF($A834=1,SUM($A$2:$A834),"")</f>
        <v/>
      </c>
      <c r="C834">
        <f>IF($A834=1,SUM($A$2:$A834),0)</f>
        <v/>
      </c>
    </row>
    <row r="835">
      <c r="A835">
        <f>IF(AND(OR(Query!$B$4="All",'Compliance Database'!$A835=Query!$B$4),OR(Query!$B$5="All",ISNUMBER(SEARCH(Query!$B$5,'Compliance Database'!$H835))),OR(Query!$B$6="All",ISNUMBER(SEARCH(Query!$B$6,'Compliance Database'!$I835))),OR(Query!$B$7="All",'Compliance Database'!$F835=Query!$B$7),OR(Query!$B$8="All",'Compliance Database'!$J835=Query!$B$8),OR(Query!$B$9="",ISNUMBER(SEARCH(Query!$B$9,'Compliance Database'!$D835&amp;" "&amp;'Compliance Database'!$K835&amp;" "&amp;'Compliance Database'!$L835&amp;" "&amp;'Compliance Database'!$M835&amp;" "&amp;'Compliance Database'!$N835&amp;" "&amp;'Compliance Database'!$O835))),OR(Query!$B$10&lt;&gt;"Yes",'Compliance Database'!$F835&lt;&gt;"None")),1,0)</f>
        <v/>
      </c>
      <c r="B835">
        <f>IF($A835=1,SUM($A$2:$A835),"")</f>
        <v/>
      </c>
      <c r="C835">
        <f>IF($A835=1,SUM($A$2:$A835),0)</f>
        <v/>
      </c>
    </row>
    <row r="836">
      <c r="A836">
        <f>IF(AND(OR(Query!$B$4="All",'Compliance Database'!$A836=Query!$B$4),OR(Query!$B$5="All",ISNUMBER(SEARCH(Query!$B$5,'Compliance Database'!$H836))),OR(Query!$B$6="All",ISNUMBER(SEARCH(Query!$B$6,'Compliance Database'!$I836))),OR(Query!$B$7="All",'Compliance Database'!$F836=Query!$B$7),OR(Query!$B$8="All",'Compliance Database'!$J836=Query!$B$8),OR(Query!$B$9="",ISNUMBER(SEARCH(Query!$B$9,'Compliance Database'!$D836&amp;" "&amp;'Compliance Database'!$K836&amp;" "&amp;'Compliance Database'!$L836&amp;" "&amp;'Compliance Database'!$M836&amp;" "&amp;'Compliance Database'!$N836&amp;" "&amp;'Compliance Database'!$O836))),OR(Query!$B$10&lt;&gt;"Yes",'Compliance Database'!$F836&lt;&gt;"None")),1,0)</f>
        <v/>
      </c>
      <c r="B836">
        <f>IF($A836=1,SUM($A$2:$A836),"")</f>
        <v/>
      </c>
      <c r="C836">
        <f>IF($A836=1,SUM($A$2:$A836),0)</f>
        <v/>
      </c>
    </row>
    <row r="837">
      <c r="A837">
        <f>IF(AND(OR(Query!$B$4="All",'Compliance Database'!$A837=Query!$B$4),OR(Query!$B$5="All",ISNUMBER(SEARCH(Query!$B$5,'Compliance Database'!$H837))),OR(Query!$B$6="All",ISNUMBER(SEARCH(Query!$B$6,'Compliance Database'!$I837))),OR(Query!$B$7="All",'Compliance Database'!$F837=Query!$B$7),OR(Query!$B$8="All",'Compliance Database'!$J837=Query!$B$8),OR(Query!$B$9="",ISNUMBER(SEARCH(Query!$B$9,'Compliance Database'!$D837&amp;" "&amp;'Compliance Database'!$K837&amp;" "&amp;'Compliance Database'!$L837&amp;" "&amp;'Compliance Database'!$M837&amp;" "&amp;'Compliance Database'!$N837&amp;" "&amp;'Compliance Database'!$O837))),OR(Query!$B$10&lt;&gt;"Yes",'Compliance Database'!$F837&lt;&gt;"None")),1,0)</f>
        <v/>
      </c>
      <c r="B837">
        <f>IF($A837=1,SUM($A$2:$A837),"")</f>
        <v/>
      </c>
      <c r="C837">
        <f>IF($A837=1,SUM($A$2:$A837),0)</f>
        <v/>
      </c>
    </row>
    <row r="838">
      <c r="A838">
        <f>IF(AND(OR(Query!$B$4="All",'Compliance Database'!$A838=Query!$B$4),OR(Query!$B$5="All",ISNUMBER(SEARCH(Query!$B$5,'Compliance Database'!$H838))),OR(Query!$B$6="All",ISNUMBER(SEARCH(Query!$B$6,'Compliance Database'!$I838))),OR(Query!$B$7="All",'Compliance Database'!$F838=Query!$B$7),OR(Query!$B$8="All",'Compliance Database'!$J838=Query!$B$8),OR(Query!$B$9="",ISNUMBER(SEARCH(Query!$B$9,'Compliance Database'!$D838&amp;" "&amp;'Compliance Database'!$K838&amp;" "&amp;'Compliance Database'!$L838&amp;" "&amp;'Compliance Database'!$M838&amp;" "&amp;'Compliance Database'!$N838&amp;" "&amp;'Compliance Database'!$O838))),OR(Query!$B$10&lt;&gt;"Yes",'Compliance Database'!$F838&lt;&gt;"None")),1,0)</f>
        <v/>
      </c>
      <c r="B838">
        <f>IF($A838=1,SUM($A$2:$A838),"")</f>
        <v/>
      </c>
      <c r="C838">
        <f>IF($A838=1,SUM($A$2:$A838),0)</f>
        <v/>
      </c>
    </row>
    <row r="839">
      <c r="A839">
        <f>IF(AND(OR(Query!$B$4="All",'Compliance Database'!$A839=Query!$B$4),OR(Query!$B$5="All",ISNUMBER(SEARCH(Query!$B$5,'Compliance Database'!$H839))),OR(Query!$B$6="All",ISNUMBER(SEARCH(Query!$B$6,'Compliance Database'!$I839))),OR(Query!$B$7="All",'Compliance Database'!$F839=Query!$B$7),OR(Query!$B$8="All",'Compliance Database'!$J839=Query!$B$8),OR(Query!$B$9="",ISNUMBER(SEARCH(Query!$B$9,'Compliance Database'!$D839&amp;" "&amp;'Compliance Database'!$K839&amp;" "&amp;'Compliance Database'!$L839&amp;" "&amp;'Compliance Database'!$M839&amp;" "&amp;'Compliance Database'!$N839&amp;" "&amp;'Compliance Database'!$O839))),OR(Query!$B$10&lt;&gt;"Yes",'Compliance Database'!$F839&lt;&gt;"None")),1,0)</f>
        <v/>
      </c>
      <c r="B839">
        <f>IF($A839=1,SUM($A$2:$A839),"")</f>
        <v/>
      </c>
      <c r="C839">
        <f>IF($A839=1,SUM($A$2:$A839),0)</f>
        <v/>
      </c>
    </row>
    <row r="840">
      <c r="A840">
        <f>IF(AND(OR(Query!$B$4="All",'Compliance Database'!$A840=Query!$B$4),OR(Query!$B$5="All",ISNUMBER(SEARCH(Query!$B$5,'Compliance Database'!$H840))),OR(Query!$B$6="All",ISNUMBER(SEARCH(Query!$B$6,'Compliance Database'!$I840))),OR(Query!$B$7="All",'Compliance Database'!$F840=Query!$B$7),OR(Query!$B$8="All",'Compliance Database'!$J840=Query!$B$8),OR(Query!$B$9="",ISNUMBER(SEARCH(Query!$B$9,'Compliance Database'!$D840&amp;" "&amp;'Compliance Database'!$K840&amp;" "&amp;'Compliance Database'!$L840&amp;" "&amp;'Compliance Database'!$M840&amp;" "&amp;'Compliance Database'!$N840&amp;" "&amp;'Compliance Database'!$O840))),OR(Query!$B$10&lt;&gt;"Yes",'Compliance Database'!$F840&lt;&gt;"None")),1,0)</f>
        <v/>
      </c>
      <c r="B840">
        <f>IF($A840=1,SUM($A$2:$A840),"")</f>
        <v/>
      </c>
      <c r="C840">
        <f>IF($A840=1,SUM($A$2:$A840),0)</f>
        <v/>
      </c>
    </row>
    <row r="841">
      <c r="A841">
        <f>IF(AND(OR(Query!$B$4="All",'Compliance Database'!$A841=Query!$B$4),OR(Query!$B$5="All",ISNUMBER(SEARCH(Query!$B$5,'Compliance Database'!$H841))),OR(Query!$B$6="All",ISNUMBER(SEARCH(Query!$B$6,'Compliance Database'!$I841))),OR(Query!$B$7="All",'Compliance Database'!$F841=Query!$B$7),OR(Query!$B$8="All",'Compliance Database'!$J841=Query!$B$8),OR(Query!$B$9="",ISNUMBER(SEARCH(Query!$B$9,'Compliance Database'!$D841&amp;" "&amp;'Compliance Database'!$K841&amp;" "&amp;'Compliance Database'!$L841&amp;" "&amp;'Compliance Database'!$M841&amp;" "&amp;'Compliance Database'!$N841&amp;" "&amp;'Compliance Database'!$O841))),OR(Query!$B$10&lt;&gt;"Yes",'Compliance Database'!$F841&lt;&gt;"None")),1,0)</f>
        <v/>
      </c>
      <c r="B841">
        <f>IF($A841=1,SUM($A$2:$A841),"")</f>
        <v/>
      </c>
      <c r="C841">
        <f>IF($A841=1,SUM($A$2:$A841),0)</f>
        <v/>
      </c>
    </row>
    <row r="842">
      <c r="A842">
        <f>IF(AND(OR(Query!$B$4="All",'Compliance Database'!$A842=Query!$B$4),OR(Query!$B$5="All",ISNUMBER(SEARCH(Query!$B$5,'Compliance Database'!$H842))),OR(Query!$B$6="All",ISNUMBER(SEARCH(Query!$B$6,'Compliance Database'!$I842))),OR(Query!$B$7="All",'Compliance Database'!$F842=Query!$B$7),OR(Query!$B$8="All",'Compliance Database'!$J842=Query!$B$8),OR(Query!$B$9="",ISNUMBER(SEARCH(Query!$B$9,'Compliance Database'!$D842&amp;" "&amp;'Compliance Database'!$K842&amp;" "&amp;'Compliance Database'!$L842&amp;" "&amp;'Compliance Database'!$M842&amp;" "&amp;'Compliance Database'!$N842&amp;" "&amp;'Compliance Database'!$O842))),OR(Query!$B$10&lt;&gt;"Yes",'Compliance Database'!$F842&lt;&gt;"None")),1,0)</f>
        <v/>
      </c>
      <c r="B842">
        <f>IF($A842=1,SUM($A$2:$A842),"")</f>
        <v/>
      </c>
      <c r="C842">
        <f>IF($A842=1,SUM($A$2:$A842),0)</f>
        <v/>
      </c>
    </row>
    <row r="843">
      <c r="A843">
        <f>IF(AND(OR(Query!$B$4="All",'Compliance Database'!$A843=Query!$B$4),OR(Query!$B$5="All",ISNUMBER(SEARCH(Query!$B$5,'Compliance Database'!$H843))),OR(Query!$B$6="All",ISNUMBER(SEARCH(Query!$B$6,'Compliance Database'!$I843))),OR(Query!$B$7="All",'Compliance Database'!$F843=Query!$B$7),OR(Query!$B$8="All",'Compliance Database'!$J843=Query!$B$8),OR(Query!$B$9="",ISNUMBER(SEARCH(Query!$B$9,'Compliance Database'!$D843&amp;" "&amp;'Compliance Database'!$K843&amp;" "&amp;'Compliance Database'!$L843&amp;" "&amp;'Compliance Database'!$M843&amp;" "&amp;'Compliance Database'!$N843&amp;" "&amp;'Compliance Database'!$O843))),OR(Query!$B$10&lt;&gt;"Yes",'Compliance Database'!$F843&lt;&gt;"None")),1,0)</f>
        <v/>
      </c>
      <c r="B843">
        <f>IF($A843=1,SUM($A$2:$A843),"")</f>
        <v/>
      </c>
      <c r="C843">
        <f>IF($A843=1,SUM($A$2:$A843),0)</f>
        <v/>
      </c>
    </row>
    <row r="844">
      <c r="A844">
        <f>IF(AND(OR(Query!$B$4="All",'Compliance Database'!$A844=Query!$B$4),OR(Query!$B$5="All",ISNUMBER(SEARCH(Query!$B$5,'Compliance Database'!$H844))),OR(Query!$B$6="All",ISNUMBER(SEARCH(Query!$B$6,'Compliance Database'!$I844))),OR(Query!$B$7="All",'Compliance Database'!$F844=Query!$B$7),OR(Query!$B$8="All",'Compliance Database'!$J844=Query!$B$8),OR(Query!$B$9="",ISNUMBER(SEARCH(Query!$B$9,'Compliance Database'!$D844&amp;" "&amp;'Compliance Database'!$K844&amp;" "&amp;'Compliance Database'!$L844&amp;" "&amp;'Compliance Database'!$M844&amp;" "&amp;'Compliance Database'!$N844&amp;" "&amp;'Compliance Database'!$O844))),OR(Query!$B$10&lt;&gt;"Yes",'Compliance Database'!$F844&lt;&gt;"None")),1,0)</f>
        <v/>
      </c>
      <c r="B844">
        <f>IF($A844=1,SUM($A$2:$A844),"")</f>
        <v/>
      </c>
      <c r="C844">
        <f>IF($A844=1,SUM($A$2:$A844),0)</f>
        <v/>
      </c>
    </row>
    <row r="845">
      <c r="A845">
        <f>IF(AND(OR(Query!$B$4="All",'Compliance Database'!$A845=Query!$B$4),OR(Query!$B$5="All",ISNUMBER(SEARCH(Query!$B$5,'Compliance Database'!$H845))),OR(Query!$B$6="All",ISNUMBER(SEARCH(Query!$B$6,'Compliance Database'!$I845))),OR(Query!$B$7="All",'Compliance Database'!$F845=Query!$B$7),OR(Query!$B$8="All",'Compliance Database'!$J845=Query!$B$8),OR(Query!$B$9="",ISNUMBER(SEARCH(Query!$B$9,'Compliance Database'!$D845&amp;" "&amp;'Compliance Database'!$K845&amp;" "&amp;'Compliance Database'!$L845&amp;" "&amp;'Compliance Database'!$M845&amp;" "&amp;'Compliance Database'!$N845&amp;" "&amp;'Compliance Database'!$O845))),OR(Query!$B$10&lt;&gt;"Yes",'Compliance Database'!$F845&lt;&gt;"None")),1,0)</f>
        <v/>
      </c>
      <c r="B845">
        <f>IF($A845=1,SUM($A$2:$A845),"")</f>
        <v/>
      </c>
      <c r="C845">
        <f>IF($A845=1,SUM($A$2:$A845),0)</f>
        <v/>
      </c>
    </row>
    <row r="846">
      <c r="A846">
        <f>IF(AND(OR(Query!$B$4="All",'Compliance Database'!$A846=Query!$B$4),OR(Query!$B$5="All",ISNUMBER(SEARCH(Query!$B$5,'Compliance Database'!$H846))),OR(Query!$B$6="All",ISNUMBER(SEARCH(Query!$B$6,'Compliance Database'!$I846))),OR(Query!$B$7="All",'Compliance Database'!$F846=Query!$B$7),OR(Query!$B$8="All",'Compliance Database'!$J846=Query!$B$8),OR(Query!$B$9="",ISNUMBER(SEARCH(Query!$B$9,'Compliance Database'!$D846&amp;" "&amp;'Compliance Database'!$K846&amp;" "&amp;'Compliance Database'!$L846&amp;" "&amp;'Compliance Database'!$M846&amp;" "&amp;'Compliance Database'!$N846&amp;" "&amp;'Compliance Database'!$O846))),OR(Query!$B$10&lt;&gt;"Yes",'Compliance Database'!$F846&lt;&gt;"None")),1,0)</f>
        <v/>
      </c>
      <c r="B846">
        <f>IF($A846=1,SUM($A$2:$A846),"")</f>
        <v/>
      </c>
      <c r="C846">
        <f>IF($A846=1,SUM($A$2:$A846),0)</f>
        <v/>
      </c>
    </row>
    <row r="847">
      <c r="A847">
        <f>IF(AND(OR(Query!$B$4="All",'Compliance Database'!$A847=Query!$B$4),OR(Query!$B$5="All",ISNUMBER(SEARCH(Query!$B$5,'Compliance Database'!$H847))),OR(Query!$B$6="All",ISNUMBER(SEARCH(Query!$B$6,'Compliance Database'!$I847))),OR(Query!$B$7="All",'Compliance Database'!$F847=Query!$B$7),OR(Query!$B$8="All",'Compliance Database'!$J847=Query!$B$8),OR(Query!$B$9="",ISNUMBER(SEARCH(Query!$B$9,'Compliance Database'!$D847&amp;" "&amp;'Compliance Database'!$K847&amp;" "&amp;'Compliance Database'!$L847&amp;" "&amp;'Compliance Database'!$M847&amp;" "&amp;'Compliance Database'!$N847&amp;" "&amp;'Compliance Database'!$O847))),OR(Query!$B$10&lt;&gt;"Yes",'Compliance Database'!$F847&lt;&gt;"None")),1,0)</f>
        <v/>
      </c>
      <c r="B847">
        <f>IF($A847=1,SUM($A$2:$A847),"")</f>
        <v/>
      </c>
      <c r="C847">
        <f>IF($A847=1,SUM($A$2:$A847),0)</f>
        <v/>
      </c>
    </row>
    <row r="848">
      <c r="A848">
        <f>IF(AND(OR(Query!$B$4="All",'Compliance Database'!$A848=Query!$B$4),OR(Query!$B$5="All",ISNUMBER(SEARCH(Query!$B$5,'Compliance Database'!$H848))),OR(Query!$B$6="All",ISNUMBER(SEARCH(Query!$B$6,'Compliance Database'!$I848))),OR(Query!$B$7="All",'Compliance Database'!$F848=Query!$B$7),OR(Query!$B$8="All",'Compliance Database'!$J848=Query!$B$8),OR(Query!$B$9="",ISNUMBER(SEARCH(Query!$B$9,'Compliance Database'!$D848&amp;" "&amp;'Compliance Database'!$K848&amp;" "&amp;'Compliance Database'!$L848&amp;" "&amp;'Compliance Database'!$M848&amp;" "&amp;'Compliance Database'!$N848&amp;" "&amp;'Compliance Database'!$O848))),OR(Query!$B$10&lt;&gt;"Yes",'Compliance Database'!$F848&lt;&gt;"None")),1,0)</f>
        <v/>
      </c>
      <c r="B848">
        <f>IF($A848=1,SUM($A$2:$A848),"")</f>
        <v/>
      </c>
      <c r="C848">
        <f>IF($A848=1,SUM($A$2:$A848),0)</f>
        <v/>
      </c>
    </row>
    <row r="849">
      <c r="A849">
        <f>IF(AND(OR(Query!$B$4="All",'Compliance Database'!$A849=Query!$B$4),OR(Query!$B$5="All",ISNUMBER(SEARCH(Query!$B$5,'Compliance Database'!$H849))),OR(Query!$B$6="All",ISNUMBER(SEARCH(Query!$B$6,'Compliance Database'!$I849))),OR(Query!$B$7="All",'Compliance Database'!$F849=Query!$B$7),OR(Query!$B$8="All",'Compliance Database'!$J849=Query!$B$8),OR(Query!$B$9="",ISNUMBER(SEARCH(Query!$B$9,'Compliance Database'!$D849&amp;" "&amp;'Compliance Database'!$K849&amp;" "&amp;'Compliance Database'!$L849&amp;" "&amp;'Compliance Database'!$M849&amp;" "&amp;'Compliance Database'!$N849&amp;" "&amp;'Compliance Database'!$O849))),OR(Query!$B$10&lt;&gt;"Yes",'Compliance Database'!$F849&lt;&gt;"None")),1,0)</f>
        <v/>
      </c>
      <c r="B849">
        <f>IF($A849=1,SUM($A$2:$A849),"")</f>
        <v/>
      </c>
      <c r="C849">
        <f>IF($A849=1,SUM($A$2:$A849),0)</f>
        <v/>
      </c>
    </row>
    <row r="850">
      <c r="A850">
        <f>IF(AND(OR(Query!$B$4="All",'Compliance Database'!$A850=Query!$B$4),OR(Query!$B$5="All",ISNUMBER(SEARCH(Query!$B$5,'Compliance Database'!$H850))),OR(Query!$B$6="All",ISNUMBER(SEARCH(Query!$B$6,'Compliance Database'!$I850))),OR(Query!$B$7="All",'Compliance Database'!$F850=Query!$B$7),OR(Query!$B$8="All",'Compliance Database'!$J850=Query!$B$8),OR(Query!$B$9="",ISNUMBER(SEARCH(Query!$B$9,'Compliance Database'!$D850&amp;" "&amp;'Compliance Database'!$K850&amp;" "&amp;'Compliance Database'!$L850&amp;" "&amp;'Compliance Database'!$M850&amp;" "&amp;'Compliance Database'!$N850&amp;" "&amp;'Compliance Database'!$O850))),OR(Query!$B$10&lt;&gt;"Yes",'Compliance Database'!$F850&lt;&gt;"None")),1,0)</f>
        <v/>
      </c>
      <c r="B850">
        <f>IF($A850=1,SUM($A$2:$A850),"")</f>
        <v/>
      </c>
      <c r="C850">
        <f>IF($A850=1,SUM($A$2:$A850),0)</f>
        <v/>
      </c>
    </row>
    <row r="851">
      <c r="A851">
        <f>IF(AND(OR(Query!$B$4="All",'Compliance Database'!$A851=Query!$B$4),OR(Query!$B$5="All",ISNUMBER(SEARCH(Query!$B$5,'Compliance Database'!$H851))),OR(Query!$B$6="All",ISNUMBER(SEARCH(Query!$B$6,'Compliance Database'!$I851))),OR(Query!$B$7="All",'Compliance Database'!$F851=Query!$B$7),OR(Query!$B$8="All",'Compliance Database'!$J851=Query!$B$8),OR(Query!$B$9="",ISNUMBER(SEARCH(Query!$B$9,'Compliance Database'!$D851&amp;" "&amp;'Compliance Database'!$K851&amp;" "&amp;'Compliance Database'!$L851&amp;" "&amp;'Compliance Database'!$M851&amp;" "&amp;'Compliance Database'!$N851&amp;" "&amp;'Compliance Database'!$O851))),OR(Query!$B$10&lt;&gt;"Yes",'Compliance Database'!$F851&lt;&gt;"None")),1,0)</f>
        <v/>
      </c>
      <c r="B851">
        <f>IF($A851=1,SUM($A$2:$A851),"")</f>
        <v/>
      </c>
      <c r="C851">
        <f>IF($A851=1,SUM($A$2:$A851),0)</f>
        <v/>
      </c>
    </row>
    <row r="852">
      <c r="A852">
        <f>IF(AND(OR(Query!$B$4="All",'Compliance Database'!$A852=Query!$B$4),OR(Query!$B$5="All",ISNUMBER(SEARCH(Query!$B$5,'Compliance Database'!$H852))),OR(Query!$B$6="All",ISNUMBER(SEARCH(Query!$B$6,'Compliance Database'!$I852))),OR(Query!$B$7="All",'Compliance Database'!$F852=Query!$B$7),OR(Query!$B$8="All",'Compliance Database'!$J852=Query!$B$8),OR(Query!$B$9="",ISNUMBER(SEARCH(Query!$B$9,'Compliance Database'!$D852&amp;" "&amp;'Compliance Database'!$K852&amp;" "&amp;'Compliance Database'!$L852&amp;" "&amp;'Compliance Database'!$M852&amp;" "&amp;'Compliance Database'!$N852&amp;" "&amp;'Compliance Database'!$O852))),OR(Query!$B$10&lt;&gt;"Yes",'Compliance Database'!$F852&lt;&gt;"None")),1,0)</f>
        <v/>
      </c>
      <c r="B852">
        <f>IF($A852=1,SUM($A$2:$A852),"")</f>
        <v/>
      </c>
      <c r="C852">
        <f>IF($A852=1,SUM($A$2:$A852),0)</f>
        <v/>
      </c>
    </row>
    <row r="853">
      <c r="A853">
        <f>IF(AND(OR(Query!$B$4="All",'Compliance Database'!$A853=Query!$B$4),OR(Query!$B$5="All",ISNUMBER(SEARCH(Query!$B$5,'Compliance Database'!$H853))),OR(Query!$B$6="All",ISNUMBER(SEARCH(Query!$B$6,'Compliance Database'!$I853))),OR(Query!$B$7="All",'Compliance Database'!$F853=Query!$B$7),OR(Query!$B$8="All",'Compliance Database'!$J853=Query!$B$8),OR(Query!$B$9="",ISNUMBER(SEARCH(Query!$B$9,'Compliance Database'!$D853&amp;" "&amp;'Compliance Database'!$K853&amp;" "&amp;'Compliance Database'!$L853&amp;" "&amp;'Compliance Database'!$M853&amp;" "&amp;'Compliance Database'!$N853&amp;" "&amp;'Compliance Database'!$O853))),OR(Query!$B$10&lt;&gt;"Yes",'Compliance Database'!$F853&lt;&gt;"None")),1,0)</f>
        <v/>
      </c>
      <c r="B853">
        <f>IF($A853=1,SUM($A$2:$A853),"")</f>
        <v/>
      </c>
      <c r="C853">
        <f>IF($A853=1,SUM($A$2:$A853),0)</f>
        <v/>
      </c>
    </row>
    <row r="854">
      <c r="A854">
        <f>IF(AND(OR(Query!$B$4="All",'Compliance Database'!$A854=Query!$B$4),OR(Query!$B$5="All",ISNUMBER(SEARCH(Query!$B$5,'Compliance Database'!$H854))),OR(Query!$B$6="All",ISNUMBER(SEARCH(Query!$B$6,'Compliance Database'!$I854))),OR(Query!$B$7="All",'Compliance Database'!$F854=Query!$B$7),OR(Query!$B$8="All",'Compliance Database'!$J854=Query!$B$8),OR(Query!$B$9="",ISNUMBER(SEARCH(Query!$B$9,'Compliance Database'!$D854&amp;" "&amp;'Compliance Database'!$K854&amp;" "&amp;'Compliance Database'!$L854&amp;" "&amp;'Compliance Database'!$M854&amp;" "&amp;'Compliance Database'!$N854&amp;" "&amp;'Compliance Database'!$O854))),OR(Query!$B$10&lt;&gt;"Yes",'Compliance Database'!$F854&lt;&gt;"None")),1,0)</f>
        <v/>
      </c>
      <c r="B854">
        <f>IF($A854=1,SUM($A$2:$A854),"")</f>
        <v/>
      </c>
      <c r="C854">
        <f>IF($A854=1,SUM($A$2:$A854),0)</f>
        <v/>
      </c>
    </row>
    <row r="855">
      <c r="A855">
        <f>IF(AND(OR(Query!$B$4="All",'Compliance Database'!$A855=Query!$B$4),OR(Query!$B$5="All",ISNUMBER(SEARCH(Query!$B$5,'Compliance Database'!$H855))),OR(Query!$B$6="All",ISNUMBER(SEARCH(Query!$B$6,'Compliance Database'!$I855))),OR(Query!$B$7="All",'Compliance Database'!$F855=Query!$B$7),OR(Query!$B$8="All",'Compliance Database'!$J855=Query!$B$8),OR(Query!$B$9="",ISNUMBER(SEARCH(Query!$B$9,'Compliance Database'!$D855&amp;" "&amp;'Compliance Database'!$K855&amp;" "&amp;'Compliance Database'!$L855&amp;" "&amp;'Compliance Database'!$M855&amp;" "&amp;'Compliance Database'!$N855&amp;" "&amp;'Compliance Database'!$O855))),OR(Query!$B$10&lt;&gt;"Yes",'Compliance Database'!$F855&lt;&gt;"None")),1,0)</f>
        <v/>
      </c>
      <c r="B855">
        <f>IF($A855=1,SUM($A$2:$A855),"")</f>
        <v/>
      </c>
      <c r="C855">
        <f>IF($A855=1,SUM($A$2:$A855),0)</f>
        <v/>
      </c>
    </row>
    <row r="856">
      <c r="A856">
        <f>IF(AND(OR(Query!$B$4="All",'Compliance Database'!$A856=Query!$B$4),OR(Query!$B$5="All",ISNUMBER(SEARCH(Query!$B$5,'Compliance Database'!$H856))),OR(Query!$B$6="All",ISNUMBER(SEARCH(Query!$B$6,'Compliance Database'!$I856))),OR(Query!$B$7="All",'Compliance Database'!$F856=Query!$B$7),OR(Query!$B$8="All",'Compliance Database'!$J856=Query!$B$8),OR(Query!$B$9="",ISNUMBER(SEARCH(Query!$B$9,'Compliance Database'!$D856&amp;" "&amp;'Compliance Database'!$K856&amp;" "&amp;'Compliance Database'!$L856&amp;" "&amp;'Compliance Database'!$M856&amp;" "&amp;'Compliance Database'!$N856&amp;" "&amp;'Compliance Database'!$O856))),OR(Query!$B$10&lt;&gt;"Yes",'Compliance Database'!$F856&lt;&gt;"None")),1,0)</f>
        <v/>
      </c>
      <c r="B856">
        <f>IF($A856=1,SUM($A$2:$A856),"")</f>
        <v/>
      </c>
      <c r="C856">
        <f>IF($A856=1,SUM($A$2:$A856),0)</f>
        <v/>
      </c>
    </row>
    <row r="857">
      <c r="A857">
        <f>IF(AND(OR(Query!$B$4="All",'Compliance Database'!$A857=Query!$B$4),OR(Query!$B$5="All",ISNUMBER(SEARCH(Query!$B$5,'Compliance Database'!$H857))),OR(Query!$B$6="All",ISNUMBER(SEARCH(Query!$B$6,'Compliance Database'!$I857))),OR(Query!$B$7="All",'Compliance Database'!$F857=Query!$B$7),OR(Query!$B$8="All",'Compliance Database'!$J857=Query!$B$8),OR(Query!$B$9="",ISNUMBER(SEARCH(Query!$B$9,'Compliance Database'!$D857&amp;" "&amp;'Compliance Database'!$K857&amp;" "&amp;'Compliance Database'!$L857&amp;" "&amp;'Compliance Database'!$M857&amp;" "&amp;'Compliance Database'!$N857&amp;" "&amp;'Compliance Database'!$O857))),OR(Query!$B$10&lt;&gt;"Yes",'Compliance Database'!$F857&lt;&gt;"None")),1,0)</f>
        <v/>
      </c>
      <c r="B857">
        <f>IF($A857=1,SUM($A$2:$A857),"")</f>
        <v/>
      </c>
      <c r="C857">
        <f>IF($A857=1,SUM($A$2:$A857),0)</f>
        <v/>
      </c>
    </row>
    <row r="858">
      <c r="A858">
        <f>IF(AND(OR(Query!$B$4="All",'Compliance Database'!$A858=Query!$B$4),OR(Query!$B$5="All",ISNUMBER(SEARCH(Query!$B$5,'Compliance Database'!$H858))),OR(Query!$B$6="All",ISNUMBER(SEARCH(Query!$B$6,'Compliance Database'!$I858))),OR(Query!$B$7="All",'Compliance Database'!$F858=Query!$B$7),OR(Query!$B$8="All",'Compliance Database'!$J858=Query!$B$8),OR(Query!$B$9="",ISNUMBER(SEARCH(Query!$B$9,'Compliance Database'!$D858&amp;" "&amp;'Compliance Database'!$K858&amp;" "&amp;'Compliance Database'!$L858&amp;" "&amp;'Compliance Database'!$M858&amp;" "&amp;'Compliance Database'!$N858&amp;" "&amp;'Compliance Database'!$O858))),OR(Query!$B$10&lt;&gt;"Yes",'Compliance Database'!$F858&lt;&gt;"None")),1,0)</f>
        <v/>
      </c>
      <c r="B858">
        <f>IF($A858=1,SUM($A$2:$A858),"")</f>
        <v/>
      </c>
      <c r="C858">
        <f>IF($A858=1,SUM($A$2:$A858),0)</f>
        <v/>
      </c>
    </row>
    <row r="859">
      <c r="A859">
        <f>IF(AND(OR(Query!$B$4="All",'Compliance Database'!$A859=Query!$B$4),OR(Query!$B$5="All",ISNUMBER(SEARCH(Query!$B$5,'Compliance Database'!$H859))),OR(Query!$B$6="All",ISNUMBER(SEARCH(Query!$B$6,'Compliance Database'!$I859))),OR(Query!$B$7="All",'Compliance Database'!$F859=Query!$B$7),OR(Query!$B$8="All",'Compliance Database'!$J859=Query!$B$8),OR(Query!$B$9="",ISNUMBER(SEARCH(Query!$B$9,'Compliance Database'!$D859&amp;" "&amp;'Compliance Database'!$K859&amp;" "&amp;'Compliance Database'!$L859&amp;" "&amp;'Compliance Database'!$M859&amp;" "&amp;'Compliance Database'!$N859&amp;" "&amp;'Compliance Database'!$O859))),OR(Query!$B$10&lt;&gt;"Yes",'Compliance Database'!$F859&lt;&gt;"None")),1,0)</f>
        <v/>
      </c>
      <c r="B859">
        <f>IF($A859=1,SUM($A$2:$A859),"")</f>
        <v/>
      </c>
      <c r="C859">
        <f>IF($A859=1,SUM($A$2:$A859),0)</f>
        <v/>
      </c>
    </row>
    <row r="860">
      <c r="A860">
        <f>IF(AND(OR(Query!$B$4="All",'Compliance Database'!$A860=Query!$B$4),OR(Query!$B$5="All",ISNUMBER(SEARCH(Query!$B$5,'Compliance Database'!$H860))),OR(Query!$B$6="All",ISNUMBER(SEARCH(Query!$B$6,'Compliance Database'!$I860))),OR(Query!$B$7="All",'Compliance Database'!$F860=Query!$B$7),OR(Query!$B$8="All",'Compliance Database'!$J860=Query!$B$8),OR(Query!$B$9="",ISNUMBER(SEARCH(Query!$B$9,'Compliance Database'!$D860&amp;" "&amp;'Compliance Database'!$K860&amp;" "&amp;'Compliance Database'!$L860&amp;" "&amp;'Compliance Database'!$M860&amp;" "&amp;'Compliance Database'!$N860&amp;" "&amp;'Compliance Database'!$O860))),OR(Query!$B$10&lt;&gt;"Yes",'Compliance Database'!$F860&lt;&gt;"None")),1,0)</f>
        <v/>
      </c>
      <c r="B860">
        <f>IF($A860=1,SUM($A$2:$A860),"")</f>
        <v/>
      </c>
      <c r="C860">
        <f>IF($A860=1,SUM($A$2:$A860),0)</f>
        <v/>
      </c>
    </row>
    <row r="861">
      <c r="A861">
        <f>IF(AND(OR(Query!$B$4="All",'Compliance Database'!$A861=Query!$B$4),OR(Query!$B$5="All",ISNUMBER(SEARCH(Query!$B$5,'Compliance Database'!$H861))),OR(Query!$B$6="All",ISNUMBER(SEARCH(Query!$B$6,'Compliance Database'!$I861))),OR(Query!$B$7="All",'Compliance Database'!$F861=Query!$B$7),OR(Query!$B$8="All",'Compliance Database'!$J861=Query!$B$8),OR(Query!$B$9="",ISNUMBER(SEARCH(Query!$B$9,'Compliance Database'!$D861&amp;" "&amp;'Compliance Database'!$K861&amp;" "&amp;'Compliance Database'!$L861&amp;" "&amp;'Compliance Database'!$M861&amp;" "&amp;'Compliance Database'!$N861&amp;" "&amp;'Compliance Database'!$O861))),OR(Query!$B$10&lt;&gt;"Yes",'Compliance Database'!$F861&lt;&gt;"None")),1,0)</f>
        <v/>
      </c>
      <c r="B861">
        <f>IF($A861=1,SUM($A$2:$A861),"")</f>
        <v/>
      </c>
      <c r="C861">
        <f>IF($A861=1,SUM($A$2:$A861),0)</f>
        <v/>
      </c>
    </row>
    <row r="862">
      <c r="A862">
        <f>IF(AND(OR(Query!$B$4="All",'Compliance Database'!$A862=Query!$B$4),OR(Query!$B$5="All",ISNUMBER(SEARCH(Query!$B$5,'Compliance Database'!$H862))),OR(Query!$B$6="All",ISNUMBER(SEARCH(Query!$B$6,'Compliance Database'!$I862))),OR(Query!$B$7="All",'Compliance Database'!$F862=Query!$B$7),OR(Query!$B$8="All",'Compliance Database'!$J862=Query!$B$8),OR(Query!$B$9="",ISNUMBER(SEARCH(Query!$B$9,'Compliance Database'!$D862&amp;" "&amp;'Compliance Database'!$K862&amp;" "&amp;'Compliance Database'!$L862&amp;" "&amp;'Compliance Database'!$M862&amp;" "&amp;'Compliance Database'!$N862&amp;" "&amp;'Compliance Database'!$O862))),OR(Query!$B$10&lt;&gt;"Yes",'Compliance Database'!$F862&lt;&gt;"None")),1,0)</f>
        <v/>
      </c>
      <c r="B862">
        <f>IF($A862=1,SUM($A$2:$A862),"")</f>
        <v/>
      </c>
      <c r="C862">
        <f>IF($A862=1,SUM($A$2:$A862),0)</f>
        <v/>
      </c>
    </row>
    <row r="863">
      <c r="A863">
        <f>IF(AND(OR(Query!$B$4="All",'Compliance Database'!$A863=Query!$B$4),OR(Query!$B$5="All",ISNUMBER(SEARCH(Query!$B$5,'Compliance Database'!$H863))),OR(Query!$B$6="All",ISNUMBER(SEARCH(Query!$B$6,'Compliance Database'!$I863))),OR(Query!$B$7="All",'Compliance Database'!$F863=Query!$B$7),OR(Query!$B$8="All",'Compliance Database'!$J863=Query!$B$8),OR(Query!$B$9="",ISNUMBER(SEARCH(Query!$B$9,'Compliance Database'!$D863&amp;" "&amp;'Compliance Database'!$K863&amp;" "&amp;'Compliance Database'!$L863&amp;" "&amp;'Compliance Database'!$M863&amp;" "&amp;'Compliance Database'!$N863&amp;" "&amp;'Compliance Database'!$O863))),OR(Query!$B$10&lt;&gt;"Yes",'Compliance Database'!$F863&lt;&gt;"None")),1,0)</f>
        <v/>
      </c>
      <c r="B863">
        <f>IF($A863=1,SUM($A$2:$A863),"")</f>
        <v/>
      </c>
      <c r="C863">
        <f>IF($A863=1,SUM($A$2:$A863),0)</f>
        <v/>
      </c>
    </row>
    <row r="864">
      <c r="A864">
        <f>IF(AND(OR(Query!$B$4="All",'Compliance Database'!$A864=Query!$B$4),OR(Query!$B$5="All",ISNUMBER(SEARCH(Query!$B$5,'Compliance Database'!$H864))),OR(Query!$B$6="All",ISNUMBER(SEARCH(Query!$B$6,'Compliance Database'!$I864))),OR(Query!$B$7="All",'Compliance Database'!$F864=Query!$B$7),OR(Query!$B$8="All",'Compliance Database'!$J864=Query!$B$8),OR(Query!$B$9="",ISNUMBER(SEARCH(Query!$B$9,'Compliance Database'!$D864&amp;" "&amp;'Compliance Database'!$K864&amp;" "&amp;'Compliance Database'!$L864&amp;" "&amp;'Compliance Database'!$M864&amp;" "&amp;'Compliance Database'!$N864&amp;" "&amp;'Compliance Database'!$O864))),OR(Query!$B$10&lt;&gt;"Yes",'Compliance Database'!$F864&lt;&gt;"None")),1,0)</f>
        <v/>
      </c>
      <c r="B864">
        <f>IF($A864=1,SUM($A$2:$A864),"")</f>
        <v/>
      </c>
      <c r="C864">
        <f>IF($A864=1,SUM($A$2:$A864),0)</f>
        <v/>
      </c>
    </row>
    <row r="865">
      <c r="A865">
        <f>IF(AND(OR(Query!$B$4="All",'Compliance Database'!$A865=Query!$B$4),OR(Query!$B$5="All",ISNUMBER(SEARCH(Query!$B$5,'Compliance Database'!$H865))),OR(Query!$B$6="All",ISNUMBER(SEARCH(Query!$B$6,'Compliance Database'!$I865))),OR(Query!$B$7="All",'Compliance Database'!$F865=Query!$B$7),OR(Query!$B$8="All",'Compliance Database'!$J865=Query!$B$8),OR(Query!$B$9="",ISNUMBER(SEARCH(Query!$B$9,'Compliance Database'!$D865&amp;" "&amp;'Compliance Database'!$K865&amp;" "&amp;'Compliance Database'!$L865&amp;" "&amp;'Compliance Database'!$M865&amp;" "&amp;'Compliance Database'!$N865&amp;" "&amp;'Compliance Database'!$O865))),OR(Query!$B$10&lt;&gt;"Yes",'Compliance Database'!$F865&lt;&gt;"None")),1,0)</f>
        <v/>
      </c>
      <c r="B865">
        <f>IF($A865=1,SUM($A$2:$A865),"")</f>
        <v/>
      </c>
      <c r="C865">
        <f>IF($A865=1,SUM($A$2:$A865),0)</f>
        <v/>
      </c>
    </row>
    <row r="866">
      <c r="A866">
        <f>IF(AND(OR(Query!$B$4="All",'Compliance Database'!$A866=Query!$B$4),OR(Query!$B$5="All",ISNUMBER(SEARCH(Query!$B$5,'Compliance Database'!$H866))),OR(Query!$B$6="All",ISNUMBER(SEARCH(Query!$B$6,'Compliance Database'!$I866))),OR(Query!$B$7="All",'Compliance Database'!$F866=Query!$B$7),OR(Query!$B$8="All",'Compliance Database'!$J866=Query!$B$8),OR(Query!$B$9="",ISNUMBER(SEARCH(Query!$B$9,'Compliance Database'!$D866&amp;" "&amp;'Compliance Database'!$K866&amp;" "&amp;'Compliance Database'!$L866&amp;" "&amp;'Compliance Database'!$M866&amp;" "&amp;'Compliance Database'!$N866&amp;" "&amp;'Compliance Database'!$O866))),OR(Query!$B$10&lt;&gt;"Yes",'Compliance Database'!$F866&lt;&gt;"None")),1,0)</f>
        <v/>
      </c>
      <c r="B866">
        <f>IF($A866=1,SUM($A$2:$A866),"")</f>
        <v/>
      </c>
      <c r="C866">
        <f>IF($A866=1,SUM($A$2:$A866),0)</f>
        <v/>
      </c>
    </row>
    <row r="867">
      <c r="A867">
        <f>IF(AND(OR(Query!$B$4="All",'Compliance Database'!$A867=Query!$B$4),OR(Query!$B$5="All",ISNUMBER(SEARCH(Query!$B$5,'Compliance Database'!$H867))),OR(Query!$B$6="All",ISNUMBER(SEARCH(Query!$B$6,'Compliance Database'!$I867))),OR(Query!$B$7="All",'Compliance Database'!$F867=Query!$B$7),OR(Query!$B$8="All",'Compliance Database'!$J867=Query!$B$8),OR(Query!$B$9="",ISNUMBER(SEARCH(Query!$B$9,'Compliance Database'!$D867&amp;" "&amp;'Compliance Database'!$K867&amp;" "&amp;'Compliance Database'!$L867&amp;" "&amp;'Compliance Database'!$M867&amp;" "&amp;'Compliance Database'!$N867&amp;" "&amp;'Compliance Database'!$O867))),OR(Query!$B$10&lt;&gt;"Yes",'Compliance Database'!$F867&lt;&gt;"None")),1,0)</f>
        <v/>
      </c>
      <c r="B867">
        <f>IF($A867=1,SUM($A$2:$A867),"")</f>
        <v/>
      </c>
      <c r="C867">
        <f>IF($A867=1,SUM($A$2:$A867),0)</f>
        <v/>
      </c>
    </row>
    <row r="868">
      <c r="A868">
        <f>IF(AND(OR(Query!$B$4="All",'Compliance Database'!$A868=Query!$B$4),OR(Query!$B$5="All",ISNUMBER(SEARCH(Query!$B$5,'Compliance Database'!$H868))),OR(Query!$B$6="All",ISNUMBER(SEARCH(Query!$B$6,'Compliance Database'!$I868))),OR(Query!$B$7="All",'Compliance Database'!$F868=Query!$B$7),OR(Query!$B$8="All",'Compliance Database'!$J868=Query!$B$8),OR(Query!$B$9="",ISNUMBER(SEARCH(Query!$B$9,'Compliance Database'!$D868&amp;" "&amp;'Compliance Database'!$K868&amp;" "&amp;'Compliance Database'!$L868&amp;" "&amp;'Compliance Database'!$M868&amp;" "&amp;'Compliance Database'!$N868&amp;" "&amp;'Compliance Database'!$O868))),OR(Query!$B$10&lt;&gt;"Yes",'Compliance Database'!$F868&lt;&gt;"None")),1,0)</f>
        <v/>
      </c>
      <c r="B868">
        <f>IF($A868=1,SUM($A$2:$A868),"")</f>
        <v/>
      </c>
      <c r="C868">
        <f>IF($A868=1,SUM($A$2:$A868),0)</f>
        <v/>
      </c>
    </row>
    <row r="869">
      <c r="A869">
        <f>IF(AND(OR(Query!$B$4="All",'Compliance Database'!$A869=Query!$B$4),OR(Query!$B$5="All",ISNUMBER(SEARCH(Query!$B$5,'Compliance Database'!$H869))),OR(Query!$B$6="All",ISNUMBER(SEARCH(Query!$B$6,'Compliance Database'!$I869))),OR(Query!$B$7="All",'Compliance Database'!$F869=Query!$B$7),OR(Query!$B$8="All",'Compliance Database'!$J869=Query!$B$8),OR(Query!$B$9="",ISNUMBER(SEARCH(Query!$B$9,'Compliance Database'!$D869&amp;" "&amp;'Compliance Database'!$K869&amp;" "&amp;'Compliance Database'!$L869&amp;" "&amp;'Compliance Database'!$M869&amp;" "&amp;'Compliance Database'!$N869&amp;" "&amp;'Compliance Database'!$O869))),OR(Query!$B$10&lt;&gt;"Yes",'Compliance Database'!$F869&lt;&gt;"None")),1,0)</f>
        <v/>
      </c>
      <c r="B869">
        <f>IF($A869=1,SUM($A$2:$A869),"")</f>
        <v/>
      </c>
      <c r="C869">
        <f>IF($A869=1,SUM($A$2:$A869),0)</f>
        <v/>
      </c>
    </row>
    <row r="870">
      <c r="A870">
        <f>IF(AND(OR(Query!$B$4="All",'Compliance Database'!$A870=Query!$B$4),OR(Query!$B$5="All",ISNUMBER(SEARCH(Query!$B$5,'Compliance Database'!$H870))),OR(Query!$B$6="All",ISNUMBER(SEARCH(Query!$B$6,'Compliance Database'!$I870))),OR(Query!$B$7="All",'Compliance Database'!$F870=Query!$B$7),OR(Query!$B$8="All",'Compliance Database'!$J870=Query!$B$8),OR(Query!$B$9="",ISNUMBER(SEARCH(Query!$B$9,'Compliance Database'!$D870&amp;" "&amp;'Compliance Database'!$K870&amp;" "&amp;'Compliance Database'!$L870&amp;" "&amp;'Compliance Database'!$M870&amp;" "&amp;'Compliance Database'!$N870&amp;" "&amp;'Compliance Database'!$O870))),OR(Query!$B$10&lt;&gt;"Yes",'Compliance Database'!$F870&lt;&gt;"None")),1,0)</f>
        <v/>
      </c>
      <c r="B870">
        <f>IF($A870=1,SUM($A$2:$A870),"")</f>
        <v/>
      </c>
      <c r="C870">
        <f>IF($A870=1,SUM($A$2:$A870),0)</f>
        <v/>
      </c>
    </row>
    <row r="871">
      <c r="A871">
        <f>IF(AND(OR(Query!$B$4="All",'Compliance Database'!$A871=Query!$B$4),OR(Query!$B$5="All",ISNUMBER(SEARCH(Query!$B$5,'Compliance Database'!$H871))),OR(Query!$B$6="All",ISNUMBER(SEARCH(Query!$B$6,'Compliance Database'!$I871))),OR(Query!$B$7="All",'Compliance Database'!$F871=Query!$B$7),OR(Query!$B$8="All",'Compliance Database'!$J871=Query!$B$8),OR(Query!$B$9="",ISNUMBER(SEARCH(Query!$B$9,'Compliance Database'!$D871&amp;" "&amp;'Compliance Database'!$K871&amp;" "&amp;'Compliance Database'!$L871&amp;" "&amp;'Compliance Database'!$M871&amp;" "&amp;'Compliance Database'!$N871&amp;" "&amp;'Compliance Database'!$O871))),OR(Query!$B$10&lt;&gt;"Yes",'Compliance Database'!$F871&lt;&gt;"None")),1,0)</f>
        <v/>
      </c>
      <c r="B871">
        <f>IF($A871=1,SUM($A$2:$A871),"")</f>
        <v/>
      </c>
      <c r="C871">
        <f>IF($A871=1,SUM($A$2:$A871),0)</f>
        <v/>
      </c>
    </row>
    <row r="872">
      <c r="A872">
        <f>IF(AND(OR(Query!$B$4="All",'Compliance Database'!$A872=Query!$B$4),OR(Query!$B$5="All",ISNUMBER(SEARCH(Query!$B$5,'Compliance Database'!$H872))),OR(Query!$B$6="All",ISNUMBER(SEARCH(Query!$B$6,'Compliance Database'!$I872))),OR(Query!$B$7="All",'Compliance Database'!$F872=Query!$B$7),OR(Query!$B$8="All",'Compliance Database'!$J872=Query!$B$8),OR(Query!$B$9="",ISNUMBER(SEARCH(Query!$B$9,'Compliance Database'!$D872&amp;" "&amp;'Compliance Database'!$K872&amp;" "&amp;'Compliance Database'!$L872&amp;" "&amp;'Compliance Database'!$M872&amp;" "&amp;'Compliance Database'!$N872&amp;" "&amp;'Compliance Database'!$O872))),OR(Query!$B$10&lt;&gt;"Yes",'Compliance Database'!$F872&lt;&gt;"None")),1,0)</f>
        <v/>
      </c>
      <c r="B872">
        <f>IF($A872=1,SUM($A$2:$A872),"")</f>
        <v/>
      </c>
      <c r="C872">
        <f>IF($A872=1,SUM($A$2:$A872),0)</f>
        <v/>
      </c>
    </row>
    <row r="873">
      <c r="A873">
        <f>IF(AND(OR(Query!$B$4="All",'Compliance Database'!$A873=Query!$B$4),OR(Query!$B$5="All",ISNUMBER(SEARCH(Query!$B$5,'Compliance Database'!$H873))),OR(Query!$B$6="All",ISNUMBER(SEARCH(Query!$B$6,'Compliance Database'!$I873))),OR(Query!$B$7="All",'Compliance Database'!$F873=Query!$B$7),OR(Query!$B$8="All",'Compliance Database'!$J873=Query!$B$8),OR(Query!$B$9="",ISNUMBER(SEARCH(Query!$B$9,'Compliance Database'!$D873&amp;" "&amp;'Compliance Database'!$K873&amp;" "&amp;'Compliance Database'!$L873&amp;" "&amp;'Compliance Database'!$M873&amp;" "&amp;'Compliance Database'!$N873&amp;" "&amp;'Compliance Database'!$O873))),OR(Query!$B$10&lt;&gt;"Yes",'Compliance Database'!$F873&lt;&gt;"None")),1,0)</f>
        <v/>
      </c>
      <c r="B873">
        <f>IF($A873=1,SUM($A$2:$A873),"")</f>
        <v/>
      </c>
      <c r="C873">
        <f>IF($A873=1,SUM($A$2:$A873),0)</f>
        <v/>
      </c>
    </row>
    <row r="874">
      <c r="A874">
        <f>IF(AND(OR(Query!$B$4="All",'Compliance Database'!$A874=Query!$B$4),OR(Query!$B$5="All",ISNUMBER(SEARCH(Query!$B$5,'Compliance Database'!$H874))),OR(Query!$B$6="All",ISNUMBER(SEARCH(Query!$B$6,'Compliance Database'!$I874))),OR(Query!$B$7="All",'Compliance Database'!$F874=Query!$B$7),OR(Query!$B$8="All",'Compliance Database'!$J874=Query!$B$8),OR(Query!$B$9="",ISNUMBER(SEARCH(Query!$B$9,'Compliance Database'!$D874&amp;" "&amp;'Compliance Database'!$K874&amp;" "&amp;'Compliance Database'!$L874&amp;" "&amp;'Compliance Database'!$M874&amp;" "&amp;'Compliance Database'!$N874&amp;" "&amp;'Compliance Database'!$O874))),OR(Query!$B$10&lt;&gt;"Yes",'Compliance Database'!$F874&lt;&gt;"None")),1,0)</f>
        <v/>
      </c>
      <c r="B874">
        <f>IF($A874=1,SUM($A$2:$A874),"")</f>
        <v/>
      </c>
      <c r="C874">
        <f>IF($A874=1,SUM($A$2:$A874),0)</f>
        <v/>
      </c>
    </row>
    <row r="875">
      <c r="A875">
        <f>IF(AND(OR(Query!$B$4="All",'Compliance Database'!$A875=Query!$B$4),OR(Query!$B$5="All",ISNUMBER(SEARCH(Query!$B$5,'Compliance Database'!$H875))),OR(Query!$B$6="All",ISNUMBER(SEARCH(Query!$B$6,'Compliance Database'!$I875))),OR(Query!$B$7="All",'Compliance Database'!$F875=Query!$B$7),OR(Query!$B$8="All",'Compliance Database'!$J875=Query!$B$8),OR(Query!$B$9="",ISNUMBER(SEARCH(Query!$B$9,'Compliance Database'!$D875&amp;" "&amp;'Compliance Database'!$K875&amp;" "&amp;'Compliance Database'!$L875&amp;" "&amp;'Compliance Database'!$M875&amp;" "&amp;'Compliance Database'!$N875&amp;" "&amp;'Compliance Database'!$O875))),OR(Query!$B$10&lt;&gt;"Yes",'Compliance Database'!$F875&lt;&gt;"None")),1,0)</f>
        <v/>
      </c>
      <c r="B875">
        <f>IF($A875=1,SUM($A$2:$A875),"")</f>
        <v/>
      </c>
      <c r="C875">
        <f>IF($A875=1,SUM($A$2:$A875),0)</f>
        <v/>
      </c>
    </row>
    <row r="876">
      <c r="A876">
        <f>IF(AND(OR(Query!$B$4="All",'Compliance Database'!$A876=Query!$B$4),OR(Query!$B$5="All",ISNUMBER(SEARCH(Query!$B$5,'Compliance Database'!$H876))),OR(Query!$B$6="All",ISNUMBER(SEARCH(Query!$B$6,'Compliance Database'!$I876))),OR(Query!$B$7="All",'Compliance Database'!$F876=Query!$B$7),OR(Query!$B$8="All",'Compliance Database'!$J876=Query!$B$8),OR(Query!$B$9="",ISNUMBER(SEARCH(Query!$B$9,'Compliance Database'!$D876&amp;" "&amp;'Compliance Database'!$K876&amp;" "&amp;'Compliance Database'!$L876&amp;" "&amp;'Compliance Database'!$M876&amp;" "&amp;'Compliance Database'!$N876&amp;" "&amp;'Compliance Database'!$O876))),OR(Query!$B$10&lt;&gt;"Yes",'Compliance Database'!$F876&lt;&gt;"None")),1,0)</f>
        <v/>
      </c>
      <c r="B876">
        <f>IF($A876=1,SUM($A$2:$A876),"")</f>
        <v/>
      </c>
      <c r="C876">
        <f>IF($A876=1,SUM($A$2:$A876),0)</f>
        <v/>
      </c>
    </row>
    <row r="877">
      <c r="A877">
        <f>IF(AND(OR(Query!$B$4="All",'Compliance Database'!$A877=Query!$B$4),OR(Query!$B$5="All",ISNUMBER(SEARCH(Query!$B$5,'Compliance Database'!$H877))),OR(Query!$B$6="All",ISNUMBER(SEARCH(Query!$B$6,'Compliance Database'!$I877))),OR(Query!$B$7="All",'Compliance Database'!$F877=Query!$B$7),OR(Query!$B$8="All",'Compliance Database'!$J877=Query!$B$8),OR(Query!$B$9="",ISNUMBER(SEARCH(Query!$B$9,'Compliance Database'!$D877&amp;" "&amp;'Compliance Database'!$K877&amp;" "&amp;'Compliance Database'!$L877&amp;" "&amp;'Compliance Database'!$M877&amp;" "&amp;'Compliance Database'!$N877&amp;" "&amp;'Compliance Database'!$O877))),OR(Query!$B$10&lt;&gt;"Yes",'Compliance Database'!$F877&lt;&gt;"None")),1,0)</f>
        <v/>
      </c>
      <c r="B877">
        <f>IF($A877=1,SUM($A$2:$A877),"")</f>
        <v/>
      </c>
      <c r="C877">
        <f>IF($A877=1,SUM($A$2:$A877),0)</f>
        <v/>
      </c>
    </row>
    <row r="878">
      <c r="A878">
        <f>IF(AND(OR(Query!$B$4="All",'Compliance Database'!$A878=Query!$B$4),OR(Query!$B$5="All",ISNUMBER(SEARCH(Query!$B$5,'Compliance Database'!$H878))),OR(Query!$B$6="All",ISNUMBER(SEARCH(Query!$B$6,'Compliance Database'!$I878))),OR(Query!$B$7="All",'Compliance Database'!$F878=Query!$B$7),OR(Query!$B$8="All",'Compliance Database'!$J878=Query!$B$8),OR(Query!$B$9="",ISNUMBER(SEARCH(Query!$B$9,'Compliance Database'!$D878&amp;" "&amp;'Compliance Database'!$K878&amp;" "&amp;'Compliance Database'!$L878&amp;" "&amp;'Compliance Database'!$M878&amp;" "&amp;'Compliance Database'!$N878&amp;" "&amp;'Compliance Database'!$O878))),OR(Query!$B$10&lt;&gt;"Yes",'Compliance Database'!$F878&lt;&gt;"None")),1,0)</f>
        <v/>
      </c>
      <c r="B878">
        <f>IF($A878=1,SUM($A$2:$A878),"")</f>
        <v/>
      </c>
      <c r="C878">
        <f>IF($A878=1,SUM($A$2:$A878),0)</f>
        <v/>
      </c>
    </row>
    <row r="879">
      <c r="A879">
        <f>IF(AND(OR(Query!$B$4="All",'Compliance Database'!$A879=Query!$B$4),OR(Query!$B$5="All",ISNUMBER(SEARCH(Query!$B$5,'Compliance Database'!$H879))),OR(Query!$B$6="All",ISNUMBER(SEARCH(Query!$B$6,'Compliance Database'!$I879))),OR(Query!$B$7="All",'Compliance Database'!$F879=Query!$B$7),OR(Query!$B$8="All",'Compliance Database'!$J879=Query!$B$8),OR(Query!$B$9="",ISNUMBER(SEARCH(Query!$B$9,'Compliance Database'!$D879&amp;" "&amp;'Compliance Database'!$K879&amp;" "&amp;'Compliance Database'!$L879&amp;" "&amp;'Compliance Database'!$M879&amp;" "&amp;'Compliance Database'!$N879&amp;" "&amp;'Compliance Database'!$O879))),OR(Query!$B$10&lt;&gt;"Yes",'Compliance Database'!$F879&lt;&gt;"None")),1,0)</f>
        <v/>
      </c>
      <c r="B879">
        <f>IF($A879=1,SUM($A$2:$A879),"")</f>
        <v/>
      </c>
      <c r="C879">
        <f>IF($A879=1,SUM($A$2:$A879),0)</f>
        <v/>
      </c>
    </row>
    <row r="880">
      <c r="A880">
        <f>IF(AND(OR(Query!$B$4="All",'Compliance Database'!$A880=Query!$B$4),OR(Query!$B$5="All",ISNUMBER(SEARCH(Query!$B$5,'Compliance Database'!$H880))),OR(Query!$B$6="All",ISNUMBER(SEARCH(Query!$B$6,'Compliance Database'!$I880))),OR(Query!$B$7="All",'Compliance Database'!$F880=Query!$B$7),OR(Query!$B$8="All",'Compliance Database'!$J880=Query!$B$8),OR(Query!$B$9="",ISNUMBER(SEARCH(Query!$B$9,'Compliance Database'!$D880&amp;" "&amp;'Compliance Database'!$K880&amp;" "&amp;'Compliance Database'!$L880&amp;" "&amp;'Compliance Database'!$M880&amp;" "&amp;'Compliance Database'!$N880&amp;" "&amp;'Compliance Database'!$O880))),OR(Query!$B$10&lt;&gt;"Yes",'Compliance Database'!$F880&lt;&gt;"None")),1,0)</f>
        <v/>
      </c>
      <c r="B880">
        <f>IF($A880=1,SUM($A$2:$A880),"")</f>
        <v/>
      </c>
      <c r="C880">
        <f>IF($A880=1,SUM($A$2:$A880),0)</f>
        <v/>
      </c>
    </row>
    <row r="881">
      <c r="A881">
        <f>IF(AND(OR(Query!$B$4="All",'Compliance Database'!$A881=Query!$B$4),OR(Query!$B$5="All",ISNUMBER(SEARCH(Query!$B$5,'Compliance Database'!$H881))),OR(Query!$B$6="All",ISNUMBER(SEARCH(Query!$B$6,'Compliance Database'!$I881))),OR(Query!$B$7="All",'Compliance Database'!$F881=Query!$B$7),OR(Query!$B$8="All",'Compliance Database'!$J881=Query!$B$8),OR(Query!$B$9="",ISNUMBER(SEARCH(Query!$B$9,'Compliance Database'!$D881&amp;" "&amp;'Compliance Database'!$K881&amp;" "&amp;'Compliance Database'!$L881&amp;" "&amp;'Compliance Database'!$M881&amp;" "&amp;'Compliance Database'!$N881&amp;" "&amp;'Compliance Database'!$O881))),OR(Query!$B$10&lt;&gt;"Yes",'Compliance Database'!$F881&lt;&gt;"None")),1,0)</f>
        <v/>
      </c>
      <c r="B881">
        <f>IF($A881=1,SUM($A$2:$A881),"")</f>
        <v/>
      </c>
      <c r="C881">
        <f>IF($A881=1,SUM($A$2:$A881),0)</f>
        <v/>
      </c>
    </row>
    <row r="882">
      <c r="A882">
        <f>IF(AND(OR(Query!$B$4="All",'Compliance Database'!$A882=Query!$B$4),OR(Query!$B$5="All",ISNUMBER(SEARCH(Query!$B$5,'Compliance Database'!$H882))),OR(Query!$B$6="All",ISNUMBER(SEARCH(Query!$B$6,'Compliance Database'!$I882))),OR(Query!$B$7="All",'Compliance Database'!$F882=Query!$B$7),OR(Query!$B$8="All",'Compliance Database'!$J882=Query!$B$8),OR(Query!$B$9="",ISNUMBER(SEARCH(Query!$B$9,'Compliance Database'!$D882&amp;" "&amp;'Compliance Database'!$K882&amp;" "&amp;'Compliance Database'!$L882&amp;" "&amp;'Compliance Database'!$M882&amp;" "&amp;'Compliance Database'!$N882&amp;" "&amp;'Compliance Database'!$O882))),OR(Query!$B$10&lt;&gt;"Yes",'Compliance Database'!$F882&lt;&gt;"None")),1,0)</f>
        <v/>
      </c>
      <c r="B882">
        <f>IF($A882=1,SUM($A$2:$A882),"")</f>
        <v/>
      </c>
      <c r="C882">
        <f>IF($A882=1,SUM($A$2:$A882),0)</f>
        <v/>
      </c>
    </row>
    <row r="883">
      <c r="A883">
        <f>IF(AND(OR(Query!$B$4="All",'Compliance Database'!$A883=Query!$B$4),OR(Query!$B$5="All",ISNUMBER(SEARCH(Query!$B$5,'Compliance Database'!$H883))),OR(Query!$B$6="All",ISNUMBER(SEARCH(Query!$B$6,'Compliance Database'!$I883))),OR(Query!$B$7="All",'Compliance Database'!$F883=Query!$B$7),OR(Query!$B$8="All",'Compliance Database'!$J883=Query!$B$8),OR(Query!$B$9="",ISNUMBER(SEARCH(Query!$B$9,'Compliance Database'!$D883&amp;" "&amp;'Compliance Database'!$K883&amp;" "&amp;'Compliance Database'!$L883&amp;" "&amp;'Compliance Database'!$M883&amp;" "&amp;'Compliance Database'!$N883&amp;" "&amp;'Compliance Database'!$O883))),OR(Query!$B$10&lt;&gt;"Yes",'Compliance Database'!$F883&lt;&gt;"None")),1,0)</f>
        <v/>
      </c>
      <c r="B883">
        <f>IF($A883=1,SUM($A$2:$A883),"")</f>
        <v/>
      </c>
      <c r="C883">
        <f>IF($A883=1,SUM($A$2:$A883),0)</f>
        <v/>
      </c>
    </row>
    <row r="884">
      <c r="A884">
        <f>IF(AND(OR(Query!$B$4="All",'Compliance Database'!$A884=Query!$B$4),OR(Query!$B$5="All",ISNUMBER(SEARCH(Query!$B$5,'Compliance Database'!$H884))),OR(Query!$B$6="All",ISNUMBER(SEARCH(Query!$B$6,'Compliance Database'!$I884))),OR(Query!$B$7="All",'Compliance Database'!$F884=Query!$B$7),OR(Query!$B$8="All",'Compliance Database'!$J884=Query!$B$8),OR(Query!$B$9="",ISNUMBER(SEARCH(Query!$B$9,'Compliance Database'!$D884&amp;" "&amp;'Compliance Database'!$K884&amp;" "&amp;'Compliance Database'!$L884&amp;" "&amp;'Compliance Database'!$M884&amp;" "&amp;'Compliance Database'!$N884&amp;" "&amp;'Compliance Database'!$O884))),OR(Query!$B$10&lt;&gt;"Yes",'Compliance Database'!$F884&lt;&gt;"None")),1,0)</f>
        <v/>
      </c>
      <c r="B884">
        <f>IF($A884=1,SUM($A$2:$A884),"")</f>
        <v/>
      </c>
      <c r="C884">
        <f>IF($A884=1,SUM($A$2:$A884),0)</f>
        <v/>
      </c>
    </row>
    <row r="885">
      <c r="A885">
        <f>IF(AND(OR(Query!$B$4="All",'Compliance Database'!$A885=Query!$B$4),OR(Query!$B$5="All",ISNUMBER(SEARCH(Query!$B$5,'Compliance Database'!$H885))),OR(Query!$B$6="All",ISNUMBER(SEARCH(Query!$B$6,'Compliance Database'!$I885))),OR(Query!$B$7="All",'Compliance Database'!$F885=Query!$B$7),OR(Query!$B$8="All",'Compliance Database'!$J885=Query!$B$8),OR(Query!$B$9="",ISNUMBER(SEARCH(Query!$B$9,'Compliance Database'!$D885&amp;" "&amp;'Compliance Database'!$K885&amp;" "&amp;'Compliance Database'!$L885&amp;" "&amp;'Compliance Database'!$M885&amp;" "&amp;'Compliance Database'!$N885&amp;" "&amp;'Compliance Database'!$O885))),OR(Query!$B$10&lt;&gt;"Yes",'Compliance Database'!$F885&lt;&gt;"None")),1,0)</f>
        <v/>
      </c>
      <c r="B885">
        <f>IF($A885=1,SUM($A$2:$A885),"")</f>
        <v/>
      </c>
      <c r="C885">
        <f>IF($A885=1,SUM($A$2:$A885),0)</f>
        <v/>
      </c>
    </row>
    <row r="886">
      <c r="A886">
        <f>IF(AND(OR(Query!$B$4="All",'Compliance Database'!$A886=Query!$B$4),OR(Query!$B$5="All",ISNUMBER(SEARCH(Query!$B$5,'Compliance Database'!$H886))),OR(Query!$B$6="All",ISNUMBER(SEARCH(Query!$B$6,'Compliance Database'!$I886))),OR(Query!$B$7="All",'Compliance Database'!$F886=Query!$B$7),OR(Query!$B$8="All",'Compliance Database'!$J886=Query!$B$8),OR(Query!$B$9="",ISNUMBER(SEARCH(Query!$B$9,'Compliance Database'!$D886&amp;" "&amp;'Compliance Database'!$K886&amp;" "&amp;'Compliance Database'!$L886&amp;" "&amp;'Compliance Database'!$M886&amp;" "&amp;'Compliance Database'!$N886&amp;" "&amp;'Compliance Database'!$O886))),OR(Query!$B$10&lt;&gt;"Yes",'Compliance Database'!$F886&lt;&gt;"None")),1,0)</f>
        <v/>
      </c>
      <c r="B886">
        <f>IF($A886=1,SUM($A$2:$A886),"")</f>
        <v/>
      </c>
      <c r="C886">
        <f>IF($A886=1,SUM($A$2:$A886),0)</f>
        <v/>
      </c>
    </row>
    <row r="887">
      <c r="A887">
        <f>IF(AND(OR(Query!$B$4="All",'Compliance Database'!$A887=Query!$B$4),OR(Query!$B$5="All",ISNUMBER(SEARCH(Query!$B$5,'Compliance Database'!$H887))),OR(Query!$B$6="All",ISNUMBER(SEARCH(Query!$B$6,'Compliance Database'!$I887))),OR(Query!$B$7="All",'Compliance Database'!$F887=Query!$B$7),OR(Query!$B$8="All",'Compliance Database'!$J887=Query!$B$8),OR(Query!$B$9="",ISNUMBER(SEARCH(Query!$B$9,'Compliance Database'!$D887&amp;" "&amp;'Compliance Database'!$K887&amp;" "&amp;'Compliance Database'!$L887&amp;" "&amp;'Compliance Database'!$M887&amp;" "&amp;'Compliance Database'!$N887&amp;" "&amp;'Compliance Database'!$O887))),OR(Query!$B$10&lt;&gt;"Yes",'Compliance Database'!$F887&lt;&gt;"None")),1,0)</f>
        <v/>
      </c>
      <c r="B887">
        <f>IF($A887=1,SUM($A$2:$A887),"")</f>
        <v/>
      </c>
      <c r="C887">
        <f>IF($A887=1,SUM($A$2:$A887),0)</f>
        <v/>
      </c>
    </row>
    <row r="888">
      <c r="A888">
        <f>IF(AND(OR(Query!$B$4="All",'Compliance Database'!$A888=Query!$B$4),OR(Query!$B$5="All",ISNUMBER(SEARCH(Query!$B$5,'Compliance Database'!$H888))),OR(Query!$B$6="All",ISNUMBER(SEARCH(Query!$B$6,'Compliance Database'!$I888))),OR(Query!$B$7="All",'Compliance Database'!$F888=Query!$B$7),OR(Query!$B$8="All",'Compliance Database'!$J888=Query!$B$8),OR(Query!$B$9="",ISNUMBER(SEARCH(Query!$B$9,'Compliance Database'!$D888&amp;" "&amp;'Compliance Database'!$K888&amp;" "&amp;'Compliance Database'!$L888&amp;" "&amp;'Compliance Database'!$M888&amp;" "&amp;'Compliance Database'!$N888&amp;" "&amp;'Compliance Database'!$O888))),OR(Query!$B$10&lt;&gt;"Yes",'Compliance Database'!$F888&lt;&gt;"None")),1,0)</f>
        <v/>
      </c>
      <c r="B888">
        <f>IF($A888=1,SUM($A$2:$A888),"")</f>
        <v/>
      </c>
      <c r="C888">
        <f>IF($A888=1,SUM($A$2:$A888),0)</f>
        <v/>
      </c>
    </row>
    <row r="889">
      <c r="A889">
        <f>IF(AND(OR(Query!$B$4="All",'Compliance Database'!$A889=Query!$B$4),OR(Query!$B$5="All",ISNUMBER(SEARCH(Query!$B$5,'Compliance Database'!$H889))),OR(Query!$B$6="All",ISNUMBER(SEARCH(Query!$B$6,'Compliance Database'!$I889))),OR(Query!$B$7="All",'Compliance Database'!$F889=Query!$B$7),OR(Query!$B$8="All",'Compliance Database'!$J889=Query!$B$8),OR(Query!$B$9="",ISNUMBER(SEARCH(Query!$B$9,'Compliance Database'!$D889&amp;" "&amp;'Compliance Database'!$K889&amp;" "&amp;'Compliance Database'!$L889&amp;" "&amp;'Compliance Database'!$M889&amp;" "&amp;'Compliance Database'!$N889&amp;" "&amp;'Compliance Database'!$O889))),OR(Query!$B$10&lt;&gt;"Yes",'Compliance Database'!$F889&lt;&gt;"None")),1,0)</f>
        <v/>
      </c>
      <c r="B889">
        <f>IF($A889=1,SUM($A$2:$A889),"")</f>
        <v/>
      </c>
      <c r="C889">
        <f>IF($A889=1,SUM($A$2:$A889),0)</f>
        <v/>
      </c>
    </row>
    <row r="890">
      <c r="A890">
        <f>IF(AND(OR(Query!$B$4="All",'Compliance Database'!$A890=Query!$B$4),OR(Query!$B$5="All",ISNUMBER(SEARCH(Query!$B$5,'Compliance Database'!$H890))),OR(Query!$B$6="All",ISNUMBER(SEARCH(Query!$B$6,'Compliance Database'!$I890))),OR(Query!$B$7="All",'Compliance Database'!$F890=Query!$B$7),OR(Query!$B$8="All",'Compliance Database'!$J890=Query!$B$8),OR(Query!$B$9="",ISNUMBER(SEARCH(Query!$B$9,'Compliance Database'!$D890&amp;" "&amp;'Compliance Database'!$K890&amp;" "&amp;'Compliance Database'!$L890&amp;" "&amp;'Compliance Database'!$M890&amp;" "&amp;'Compliance Database'!$N890&amp;" "&amp;'Compliance Database'!$O890))),OR(Query!$B$10&lt;&gt;"Yes",'Compliance Database'!$F890&lt;&gt;"None")),1,0)</f>
        <v/>
      </c>
      <c r="B890">
        <f>IF($A890=1,SUM($A$2:$A890),"")</f>
        <v/>
      </c>
      <c r="C890">
        <f>IF($A890=1,SUM($A$2:$A890),0)</f>
        <v/>
      </c>
    </row>
    <row r="891">
      <c r="A891">
        <f>IF(AND(OR(Query!$B$4="All",'Compliance Database'!$A891=Query!$B$4),OR(Query!$B$5="All",ISNUMBER(SEARCH(Query!$B$5,'Compliance Database'!$H891))),OR(Query!$B$6="All",ISNUMBER(SEARCH(Query!$B$6,'Compliance Database'!$I891))),OR(Query!$B$7="All",'Compliance Database'!$F891=Query!$B$7),OR(Query!$B$8="All",'Compliance Database'!$J891=Query!$B$8),OR(Query!$B$9="",ISNUMBER(SEARCH(Query!$B$9,'Compliance Database'!$D891&amp;" "&amp;'Compliance Database'!$K891&amp;" "&amp;'Compliance Database'!$L891&amp;" "&amp;'Compliance Database'!$M891&amp;" "&amp;'Compliance Database'!$N891&amp;" "&amp;'Compliance Database'!$O891))),OR(Query!$B$10&lt;&gt;"Yes",'Compliance Database'!$F891&lt;&gt;"None")),1,0)</f>
        <v/>
      </c>
      <c r="B891">
        <f>IF($A891=1,SUM($A$2:$A891),"")</f>
        <v/>
      </c>
      <c r="C891">
        <f>IF($A891=1,SUM($A$2:$A891),0)</f>
        <v/>
      </c>
    </row>
    <row r="892">
      <c r="A892">
        <f>IF(AND(OR(Query!$B$4="All",'Compliance Database'!$A892=Query!$B$4),OR(Query!$B$5="All",ISNUMBER(SEARCH(Query!$B$5,'Compliance Database'!$H892))),OR(Query!$B$6="All",ISNUMBER(SEARCH(Query!$B$6,'Compliance Database'!$I892))),OR(Query!$B$7="All",'Compliance Database'!$F892=Query!$B$7),OR(Query!$B$8="All",'Compliance Database'!$J892=Query!$B$8),OR(Query!$B$9="",ISNUMBER(SEARCH(Query!$B$9,'Compliance Database'!$D892&amp;" "&amp;'Compliance Database'!$K892&amp;" "&amp;'Compliance Database'!$L892&amp;" "&amp;'Compliance Database'!$M892&amp;" "&amp;'Compliance Database'!$N892&amp;" "&amp;'Compliance Database'!$O892))),OR(Query!$B$10&lt;&gt;"Yes",'Compliance Database'!$F892&lt;&gt;"None")),1,0)</f>
        <v/>
      </c>
      <c r="B892">
        <f>IF($A892=1,SUM($A$2:$A892),"")</f>
        <v/>
      </c>
      <c r="C892">
        <f>IF($A892=1,SUM($A$2:$A892),0)</f>
        <v/>
      </c>
    </row>
    <row r="893">
      <c r="A893">
        <f>IF(AND(OR(Query!$B$4="All",'Compliance Database'!$A893=Query!$B$4),OR(Query!$B$5="All",ISNUMBER(SEARCH(Query!$B$5,'Compliance Database'!$H893))),OR(Query!$B$6="All",ISNUMBER(SEARCH(Query!$B$6,'Compliance Database'!$I893))),OR(Query!$B$7="All",'Compliance Database'!$F893=Query!$B$7),OR(Query!$B$8="All",'Compliance Database'!$J893=Query!$B$8),OR(Query!$B$9="",ISNUMBER(SEARCH(Query!$B$9,'Compliance Database'!$D893&amp;" "&amp;'Compliance Database'!$K893&amp;" "&amp;'Compliance Database'!$L893&amp;" "&amp;'Compliance Database'!$M893&amp;" "&amp;'Compliance Database'!$N893&amp;" "&amp;'Compliance Database'!$O893))),OR(Query!$B$10&lt;&gt;"Yes",'Compliance Database'!$F893&lt;&gt;"None")),1,0)</f>
        <v/>
      </c>
      <c r="B893">
        <f>IF($A893=1,SUM($A$2:$A893),"")</f>
        <v/>
      </c>
      <c r="C893">
        <f>IF($A893=1,SUM($A$2:$A893),0)</f>
        <v/>
      </c>
    </row>
    <row r="894">
      <c r="A894">
        <f>IF(AND(OR(Query!$B$4="All",'Compliance Database'!$A894=Query!$B$4),OR(Query!$B$5="All",ISNUMBER(SEARCH(Query!$B$5,'Compliance Database'!$H894))),OR(Query!$B$6="All",ISNUMBER(SEARCH(Query!$B$6,'Compliance Database'!$I894))),OR(Query!$B$7="All",'Compliance Database'!$F894=Query!$B$7),OR(Query!$B$8="All",'Compliance Database'!$J894=Query!$B$8),OR(Query!$B$9="",ISNUMBER(SEARCH(Query!$B$9,'Compliance Database'!$D894&amp;" "&amp;'Compliance Database'!$K894&amp;" "&amp;'Compliance Database'!$L894&amp;" "&amp;'Compliance Database'!$M894&amp;" "&amp;'Compliance Database'!$N894&amp;" "&amp;'Compliance Database'!$O894))),OR(Query!$B$10&lt;&gt;"Yes",'Compliance Database'!$F894&lt;&gt;"None")),1,0)</f>
        <v/>
      </c>
      <c r="B894">
        <f>IF($A894=1,SUM($A$2:$A894),"")</f>
        <v/>
      </c>
      <c r="C894">
        <f>IF($A894=1,SUM($A$2:$A894),0)</f>
        <v/>
      </c>
    </row>
    <row r="895">
      <c r="A895">
        <f>IF(AND(OR(Query!$B$4="All",'Compliance Database'!$A895=Query!$B$4),OR(Query!$B$5="All",ISNUMBER(SEARCH(Query!$B$5,'Compliance Database'!$H895))),OR(Query!$B$6="All",ISNUMBER(SEARCH(Query!$B$6,'Compliance Database'!$I895))),OR(Query!$B$7="All",'Compliance Database'!$F895=Query!$B$7),OR(Query!$B$8="All",'Compliance Database'!$J895=Query!$B$8),OR(Query!$B$9="",ISNUMBER(SEARCH(Query!$B$9,'Compliance Database'!$D895&amp;" "&amp;'Compliance Database'!$K895&amp;" "&amp;'Compliance Database'!$L895&amp;" "&amp;'Compliance Database'!$M895&amp;" "&amp;'Compliance Database'!$N895&amp;" "&amp;'Compliance Database'!$O895))),OR(Query!$B$10&lt;&gt;"Yes",'Compliance Database'!$F895&lt;&gt;"None")),1,0)</f>
        <v/>
      </c>
      <c r="B895">
        <f>IF($A895=1,SUM($A$2:$A895),"")</f>
        <v/>
      </c>
      <c r="C895">
        <f>IF($A895=1,SUM($A$2:$A895),0)</f>
        <v/>
      </c>
    </row>
    <row r="896">
      <c r="A896">
        <f>IF(AND(OR(Query!$B$4="All",'Compliance Database'!$A896=Query!$B$4),OR(Query!$B$5="All",ISNUMBER(SEARCH(Query!$B$5,'Compliance Database'!$H896))),OR(Query!$B$6="All",ISNUMBER(SEARCH(Query!$B$6,'Compliance Database'!$I896))),OR(Query!$B$7="All",'Compliance Database'!$F896=Query!$B$7),OR(Query!$B$8="All",'Compliance Database'!$J896=Query!$B$8),OR(Query!$B$9="",ISNUMBER(SEARCH(Query!$B$9,'Compliance Database'!$D896&amp;" "&amp;'Compliance Database'!$K896&amp;" "&amp;'Compliance Database'!$L896&amp;" "&amp;'Compliance Database'!$M896&amp;" "&amp;'Compliance Database'!$N896&amp;" "&amp;'Compliance Database'!$O896))),OR(Query!$B$10&lt;&gt;"Yes",'Compliance Database'!$F896&lt;&gt;"None")),1,0)</f>
        <v/>
      </c>
      <c r="B896">
        <f>IF($A896=1,SUM($A$2:$A896),"")</f>
        <v/>
      </c>
      <c r="C896">
        <f>IF($A896=1,SUM($A$2:$A896),0)</f>
        <v/>
      </c>
    </row>
    <row r="897">
      <c r="A897">
        <f>IF(AND(OR(Query!$B$4="All",'Compliance Database'!$A897=Query!$B$4),OR(Query!$B$5="All",ISNUMBER(SEARCH(Query!$B$5,'Compliance Database'!$H897))),OR(Query!$B$6="All",ISNUMBER(SEARCH(Query!$B$6,'Compliance Database'!$I897))),OR(Query!$B$7="All",'Compliance Database'!$F897=Query!$B$7),OR(Query!$B$8="All",'Compliance Database'!$J897=Query!$B$8),OR(Query!$B$9="",ISNUMBER(SEARCH(Query!$B$9,'Compliance Database'!$D897&amp;" "&amp;'Compliance Database'!$K897&amp;" "&amp;'Compliance Database'!$L897&amp;" "&amp;'Compliance Database'!$M897&amp;" "&amp;'Compliance Database'!$N897&amp;" "&amp;'Compliance Database'!$O897))),OR(Query!$B$10&lt;&gt;"Yes",'Compliance Database'!$F897&lt;&gt;"None")),1,0)</f>
        <v/>
      </c>
      <c r="B897">
        <f>IF($A897=1,SUM($A$2:$A897),"")</f>
        <v/>
      </c>
      <c r="C897">
        <f>IF($A897=1,SUM($A$2:$A897),0)</f>
        <v/>
      </c>
    </row>
    <row r="898">
      <c r="A898">
        <f>IF(AND(OR(Query!$B$4="All",'Compliance Database'!$A898=Query!$B$4),OR(Query!$B$5="All",ISNUMBER(SEARCH(Query!$B$5,'Compliance Database'!$H898))),OR(Query!$B$6="All",ISNUMBER(SEARCH(Query!$B$6,'Compliance Database'!$I898))),OR(Query!$B$7="All",'Compliance Database'!$F898=Query!$B$7),OR(Query!$B$8="All",'Compliance Database'!$J898=Query!$B$8),OR(Query!$B$9="",ISNUMBER(SEARCH(Query!$B$9,'Compliance Database'!$D898&amp;" "&amp;'Compliance Database'!$K898&amp;" "&amp;'Compliance Database'!$L898&amp;" "&amp;'Compliance Database'!$M898&amp;" "&amp;'Compliance Database'!$N898&amp;" "&amp;'Compliance Database'!$O898))),OR(Query!$B$10&lt;&gt;"Yes",'Compliance Database'!$F898&lt;&gt;"None")),1,0)</f>
        <v/>
      </c>
      <c r="B898">
        <f>IF($A898=1,SUM($A$2:$A898),"")</f>
        <v/>
      </c>
      <c r="C898">
        <f>IF($A898=1,SUM($A$2:$A898),0)</f>
        <v/>
      </c>
    </row>
    <row r="899">
      <c r="A899">
        <f>IF(AND(OR(Query!$B$4="All",'Compliance Database'!$A899=Query!$B$4),OR(Query!$B$5="All",ISNUMBER(SEARCH(Query!$B$5,'Compliance Database'!$H899))),OR(Query!$B$6="All",ISNUMBER(SEARCH(Query!$B$6,'Compliance Database'!$I899))),OR(Query!$B$7="All",'Compliance Database'!$F899=Query!$B$7),OR(Query!$B$8="All",'Compliance Database'!$J899=Query!$B$8),OR(Query!$B$9="",ISNUMBER(SEARCH(Query!$B$9,'Compliance Database'!$D899&amp;" "&amp;'Compliance Database'!$K899&amp;" "&amp;'Compliance Database'!$L899&amp;" "&amp;'Compliance Database'!$M899&amp;" "&amp;'Compliance Database'!$N899&amp;" "&amp;'Compliance Database'!$O899))),OR(Query!$B$10&lt;&gt;"Yes",'Compliance Database'!$F899&lt;&gt;"None")),1,0)</f>
        <v/>
      </c>
      <c r="B899">
        <f>IF($A899=1,SUM($A$2:$A899),"")</f>
        <v/>
      </c>
      <c r="C899">
        <f>IF($A899=1,SUM($A$2:$A899),0)</f>
        <v/>
      </c>
    </row>
    <row r="900">
      <c r="A900">
        <f>IF(AND(OR(Query!$B$4="All",'Compliance Database'!$A900=Query!$B$4),OR(Query!$B$5="All",ISNUMBER(SEARCH(Query!$B$5,'Compliance Database'!$H900))),OR(Query!$B$6="All",ISNUMBER(SEARCH(Query!$B$6,'Compliance Database'!$I900))),OR(Query!$B$7="All",'Compliance Database'!$F900=Query!$B$7),OR(Query!$B$8="All",'Compliance Database'!$J900=Query!$B$8),OR(Query!$B$9="",ISNUMBER(SEARCH(Query!$B$9,'Compliance Database'!$D900&amp;" "&amp;'Compliance Database'!$K900&amp;" "&amp;'Compliance Database'!$L900&amp;" "&amp;'Compliance Database'!$M900&amp;" "&amp;'Compliance Database'!$N900&amp;" "&amp;'Compliance Database'!$O900))),OR(Query!$B$10&lt;&gt;"Yes",'Compliance Database'!$F900&lt;&gt;"None")),1,0)</f>
        <v/>
      </c>
      <c r="B900">
        <f>IF($A900=1,SUM($A$2:$A900),"")</f>
        <v/>
      </c>
      <c r="C900">
        <f>IF($A900=1,SUM($A$2:$A900),0)</f>
        <v/>
      </c>
    </row>
    <row r="901">
      <c r="A901">
        <f>IF(AND(OR(Query!$B$4="All",'Compliance Database'!$A901=Query!$B$4),OR(Query!$B$5="All",ISNUMBER(SEARCH(Query!$B$5,'Compliance Database'!$H901))),OR(Query!$B$6="All",ISNUMBER(SEARCH(Query!$B$6,'Compliance Database'!$I901))),OR(Query!$B$7="All",'Compliance Database'!$F901=Query!$B$7),OR(Query!$B$8="All",'Compliance Database'!$J901=Query!$B$8),OR(Query!$B$9="",ISNUMBER(SEARCH(Query!$B$9,'Compliance Database'!$D901&amp;" "&amp;'Compliance Database'!$K901&amp;" "&amp;'Compliance Database'!$L901&amp;" "&amp;'Compliance Database'!$M901&amp;" "&amp;'Compliance Database'!$N901&amp;" "&amp;'Compliance Database'!$O901))),OR(Query!$B$10&lt;&gt;"Yes",'Compliance Database'!$F901&lt;&gt;"None")),1,0)</f>
        <v/>
      </c>
      <c r="B901">
        <f>IF($A901=1,SUM($A$2:$A901),"")</f>
        <v/>
      </c>
      <c r="C901">
        <f>IF($A901=1,SUM($A$2:$A901),0)</f>
        <v/>
      </c>
    </row>
    <row r="902">
      <c r="A902">
        <f>IF(AND(OR(Query!$B$4="All",'Compliance Database'!$A902=Query!$B$4),OR(Query!$B$5="All",ISNUMBER(SEARCH(Query!$B$5,'Compliance Database'!$H902))),OR(Query!$B$6="All",ISNUMBER(SEARCH(Query!$B$6,'Compliance Database'!$I902))),OR(Query!$B$7="All",'Compliance Database'!$F902=Query!$B$7),OR(Query!$B$8="All",'Compliance Database'!$J902=Query!$B$8),OR(Query!$B$9="",ISNUMBER(SEARCH(Query!$B$9,'Compliance Database'!$D902&amp;" "&amp;'Compliance Database'!$K902&amp;" "&amp;'Compliance Database'!$L902&amp;" "&amp;'Compliance Database'!$M902&amp;" "&amp;'Compliance Database'!$N902&amp;" "&amp;'Compliance Database'!$O902))),OR(Query!$B$10&lt;&gt;"Yes",'Compliance Database'!$F902&lt;&gt;"None")),1,0)</f>
        <v/>
      </c>
      <c r="B902">
        <f>IF($A902=1,SUM($A$2:$A902),"")</f>
        <v/>
      </c>
      <c r="C902">
        <f>IF($A902=1,SUM($A$2:$A902),0)</f>
        <v/>
      </c>
    </row>
    <row r="903">
      <c r="A903">
        <f>IF(AND(OR(Query!$B$4="All",'Compliance Database'!$A903=Query!$B$4),OR(Query!$B$5="All",ISNUMBER(SEARCH(Query!$B$5,'Compliance Database'!$H903))),OR(Query!$B$6="All",ISNUMBER(SEARCH(Query!$B$6,'Compliance Database'!$I903))),OR(Query!$B$7="All",'Compliance Database'!$F903=Query!$B$7),OR(Query!$B$8="All",'Compliance Database'!$J903=Query!$B$8),OR(Query!$B$9="",ISNUMBER(SEARCH(Query!$B$9,'Compliance Database'!$D903&amp;" "&amp;'Compliance Database'!$K903&amp;" "&amp;'Compliance Database'!$L903&amp;" "&amp;'Compliance Database'!$M903&amp;" "&amp;'Compliance Database'!$N903&amp;" "&amp;'Compliance Database'!$O903))),OR(Query!$B$10&lt;&gt;"Yes",'Compliance Database'!$F903&lt;&gt;"None")),1,0)</f>
        <v/>
      </c>
      <c r="B903">
        <f>IF($A903=1,SUM($A$2:$A903),"")</f>
        <v/>
      </c>
      <c r="C903">
        <f>IF($A903=1,SUM($A$2:$A903),0)</f>
        <v/>
      </c>
    </row>
    <row r="904">
      <c r="A904">
        <f>IF(AND(OR(Query!$B$4="All",'Compliance Database'!$A904=Query!$B$4),OR(Query!$B$5="All",ISNUMBER(SEARCH(Query!$B$5,'Compliance Database'!$H904))),OR(Query!$B$6="All",ISNUMBER(SEARCH(Query!$B$6,'Compliance Database'!$I904))),OR(Query!$B$7="All",'Compliance Database'!$F904=Query!$B$7),OR(Query!$B$8="All",'Compliance Database'!$J904=Query!$B$8),OR(Query!$B$9="",ISNUMBER(SEARCH(Query!$B$9,'Compliance Database'!$D904&amp;" "&amp;'Compliance Database'!$K904&amp;" "&amp;'Compliance Database'!$L904&amp;" "&amp;'Compliance Database'!$M904&amp;" "&amp;'Compliance Database'!$N904&amp;" "&amp;'Compliance Database'!$O904))),OR(Query!$B$10&lt;&gt;"Yes",'Compliance Database'!$F904&lt;&gt;"None")),1,0)</f>
        <v/>
      </c>
      <c r="B904">
        <f>IF($A904=1,SUM($A$2:$A904),"")</f>
        <v/>
      </c>
      <c r="C904">
        <f>IF($A904=1,SUM($A$2:$A904),0)</f>
        <v/>
      </c>
    </row>
    <row r="905">
      <c r="A905">
        <f>IF(AND(OR(Query!$B$4="All",'Compliance Database'!$A905=Query!$B$4),OR(Query!$B$5="All",ISNUMBER(SEARCH(Query!$B$5,'Compliance Database'!$H905))),OR(Query!$B$6="All",ISNUMBER(SEARCH(Query!$B$6,'Compliance Database'!$I905))),OR(Query!$B$7="All",'Compliance Database'!$F905=Query!$B$7),OR(Query!$B$8="All",'Compliance Database'!$J905=Query!$B$8),OR(Query!$B$9="",ISNUMBER(SEARCH(Query!$B$9,'Compliance Database'!$D905&amp;" "&amp;'Compliance Database'!$K905&amp;" "&amp;'Compliance Database'!$L905&amp;" "&amp;'Compliance Database'!$M905&amp;" "&amp;'Compliance Database'!$N905&amp;" "&amp;'Compliance Database'!$O905))),OR(Query!$B$10&lt;&gt;"Yes",'Compliance Database'!$F905&lt;&gt;"None")),1,0)</f>
        <v/>
      </c>
      <c r="B905">
        <f>IF($A905=1,SUM($A$2:$A905),"")</f>
        <v/>
      </c>
      <c r="C905">
        <f>IF($A905=1,SUM($A$2:$A905),0)</f>
        <v/>
      </c>
    </row>
    <row r="906">
      <c r="A906">
        <f>IF(AND(OR(Query!$B$4="All",'Compliance Database'!$A906=Query!$B$4),OR(Query!$B$5="All",ISNUMBER(SEARCH(Query!$B$5,'Compliance Database'!$H906))),OR(Query!$B$6="All",ISNUMBER(SEARCH(Query!$B$6,'Compliance Database'!$I906))),OR(Query!$B$7="All",'Compliance Database'!$F906=Query!$B$7),OR(Query!$B$8="All",'Compliance Database'!$J906=Query!$B$8),OR(Query!$B$9="",ISNUMBER(SEARCH(Query!$B$9,'Compliance Database'!$D906&amp;" "&amp;'Compliance Database'!$K906&amp;" "&amp;'Compliance Database'!$L906&amp;" "&amp;'Compliance Database'!$M906&amp;" "&amp;'Compliance Database'!$N906&amp;" "&amp;'Compliance Database'!$O906))),OR(Query!$B$10&lt;&gt;"Yes",'Compliance Database'!$F906&lt;&gt;"None")),1,0)</f>
        <v/>
      </c>
      <c r="B906">
        <f>IF($A906=1,SUM($A$2:$A906),"")</f>
        <v/>
      </c>
      <c r="C906">
        <f>IF($A906=1,SUM($A$2:$A906),0)</f>
        <v/>
      </c>
    </row>
    <row r="907">
      <c r="A907">
        <f>IF(AND(OR(Query!$B$4="All",'Compliance Database'!$A907=Query!$B$4),OR(Query!$B$5="All",ISNUMBER(SEARCH(Query!$B$5,'Compliance Database'!$H907))),OR(Query!$B$6="All",ISNUMBER(SEARCH(Query!$B$6,'Compliance Database'!$I907))),OR(Query!$B$7="All",'Compliance Database'!$F907=Query!$B$7),OR(Query!$B$8="All",'Compliance Database'!$J907=Query!$B$8),OR(Query!$B$9="",ISNUMBER(SEARCH(Query!$B$9,'Compliance Database'!$D907&amp;" "&amp;'Compliance Database'!$K907&amp;" "&amp;'Compliance Database'!$L907&amp;" "&amp;'Compliance Database'!$M907&amp;" "&amp;'Compliance Database'!$N907&amp;" "&amp;'Compliance Database'!$O907))),OR(Query!$B$10&lt;&gt;"Yes",'Compliance Database'!$F907&lt;&gt;"None")),1,0)</f>
        <v/>
      </c>
      <c r="B907">
        <f>IF($A907=1,SUM($A$2:$A907),"")</f>
        <v/>
      </c>
      <c r="C907">
        <f>IF($A907=1,SUM($A$2:$A907),0)</f>
        <v/>
      </c>
    </row>
    <row r="908">
      <c r="A908">
        <f>IF(AND(OR(Query!$B$4="All",'Compliance Database'!$A908=Query!$B$4),OR(Query!$B$5="All",ISNUMBER(SEARCH(Query!$B$5,'Compliance Database'!$H908))),OR(Query!$B$6="All",ISNUMBER(SEARCH(Query!$B$6,'Compliance Database'!$I908))),OR(Query!$B$7="All",'Compliance Database'!$F908=Query!$B$7),OR(Query!$B$8="All",'Compliance Database'!$J908=Query!$B$8),OR(Query!$B$9="",ISNUMBER(SEARCH(Query!$B$9,'Compliance Database'!$D908&amp;" "&amp;'Compliance Database'!$K908&amp;" "&amp;'Compliance Database'!$L908&amp;" "&amp;'Compliance Database'!$M908&amp;" "&amp;'Compliance Database'!$N908&amp;" "&amp;'Compliance Database'!$O908))),OR(Query!$B$10&lt;&gt;"Yes",'Compliance Database'!$F908&lt;&gt;"None")),1,0)</f>
        <v/>
      </c>
      <c r="B908">
        <f>IF($A908=1,SUM($A$2:$A908),"")</f>
        <v/>
      </c>
      <c r="C908">
        <f>IF($A908=1,SUM($A$2:$A908),0)</f>
        <v/>
      </c>
    </row>
    <row r="909">
      <c r="A909">
        <f>IF(AND(OR(Query!$B$4="All",'Compliance Database'!$A909=Query!$B$4),OR(Query!$B$5="All",ISNUMBER(SEARCH(Query!$B$5,'Compliance Database'!$H909))),OR(Query!$B$6="All",ISNUMBER(SEARCH(Query!$B$6,'Compliance Database'!$I909))),OR(Query!$B$7="All",'Compliance Database'!$F909=Query!$B$7),OR(Query!$B$8="All",'Compliance Database'!$J909=Query!$B$8),OR(Query!$B$9="",ISNUMBER(SEARCH(Query!$B$9,'Compliance Database'!$D909&amp;" "&amp;'Compliance Database'!$K909&amp;" "&amp;'Compliance Database'!$L909&amp;" "&amp;'Compliance Database'!$M909&amp;" "&amp;'Compliance Database'!$N909&amp;" "&amp;'Compliance Database'!$O909))),OR(Query!$B$10&lt;&gt;"Yes",'Compliance Database'!$F909&lt;&gt;"None")),1,0)</f>
        <v/>
      </c>
      <c r="B909">
        <f>IF($A909=1,SUM($A$2:$A909),"")</f>
        <v/>
      </c>
      <c r="C909">
        <f>IF($A909=1,SUM($A$2:$A909),0)</f>
        <v/>
      </c>
    </row>
    <row r="910">
      <c r="A910">
        <f>IF(AND(OR(Query!$B$4="All",'Compliance Database'!$A910=Query!$B$4),OR(Query!$B$5="All",ISNUMBER(SEARCH(Query!$B$5,'Compliance Database'!$H910))),OR(Query!$B$6="All",ISNUMBER(SEARCH(Query!$B$6,'Compliance Database'!$I910))),OR(Query!$B$7="All",'Compliance Database'!$F910=Query!$B$7),OR(Query!$B$8="All",'Compliance Database'!$J910=Query!$B$8),OR(Query!$B$9="",ISNUMBER(SEARCH(Query!$B$9,'Compliance Database'!$D910&amp;" "&amp;'Compliance Database'!$K910&amp;" "&amp;'Compliance Database'!$L910&amp;" "&amp;'Compliance Database'!$M910&amp;" "&amp;'Compliance Database'!$N910&amp;" "&amp;'Compliance Database'!$O910))),OR(Query!$B$10&lt;&gt;"Yes",'Compliance Database'!$F910&lt;&gt;"None")),1,0)</f>
        <v/>
      </c>
      <c r="B910">
        <f>IF($A910=1,SUM($A$2:$A910),"")</f>
        <v/>
      </c>
      <c r="C910">
        <f>IF($A910=1,SUM($A$2:$A910),0)</f>
        <v/>
      </c>
    </row>
    <row r="911">
      <c r="A911">
        <f>IF(AND(OR(Query!$B$4="All",'Compliance Database'!$A911=Query!$B$4),OR(Query!$B$5="All",ISNUMBER(SEARCH(Query!$B$5,'Compliance Database'!$H911))),OR(Query!$B$6="All",ISNUMBER(SEARCH(Query!$B$6,'Compliance Database'!$I911))),OR(Query!$B$7="All",'Compliance Database'!$F911=Query!$B$7),OR(Query!$B$8="All",'Compliance Database'!$J911=Query!$B$8),OR(Query!$B$9="",ISNUMBER(SEARCH(Query!$B$9,'Compliance Database'!$D911&amp;" "&amp;'Compliance Database'!$K911&amp;" "&amp;'Compliance Database'!$L911&amp;" "&amp;'Compliance Database'!$M911&amp;" "&amp;'Compliance Database'!$N911&amp;" "&amp;'Compliance Database'!$O911))),OR(Query!$B$10&lt;&gt;"Yes",'Compliance Database'!$F911&lt;&gt;"None")),1,0)</f>
        <v/>
      </c>
      <c r="B911">
        <f>IF($A911=1,SUM($A$2:$A911),"")</f>
        <v/>
      </c>
      <c r="C911">
        <f>IF($A911=1,SUM($A$2:$A911),0)</f>
        <v/>
      </c>
    </row>
    <row r="912">
      <c r="A912">
        <f>IF(AND(OR(Query!$B$4="All",'Compliance Database'!$A912=Query!$B$4),OR(Query!$B$5="All",ISNUMBER(SEARCH(Query!$B$5,'Compliance Database'!$H912))),OR(Query!$B$6="All",ISNUMBER(SEARCH(Query!$B$6,'Compliance Database'!$I912))),OR(Query!$B$7="All",'Compliance Database'!$F912=Query!$B$7),OR(Query!$B$8="All",'Compliance Database'!$J912=Query!$B$8),OR(Query!$B$9="",ISNUMBER(SEARCH(Query!$B$9,'Compliance Database'!$D912&amp;" "&amp;'Compliance Database'!$K912&amp;" "&amp;'Compliance Database'!$L912&amp;" "&amp;'Compliance Database'!$M912&amp;" "&amp;'Compliance Database'!$N912&amp;" "&amp;'Compliance Database'!$O912))),OR(Query!$B$10&lt;&gt;"Yes",'Compliance Database'!$F912&lt;&gt;"None")),1,0)</f>
        <v/>
      </c>
      <c r="B912">
        <f>IF($A912=1,SUM($A$2:$A912),"")</f>
        <v/>
      </c>
      <c r="C912">
        <f>IF($A912=1,SUM($A$2:$A912),0)</f>
        <v/>
      </c>
    </row>
    <row r="913">
      <c r="A913">
        <f>IF(AND(OR(Query!$B$4="All",'Compliance Database'!$A913=Query!$B$4),OR(Query!$B$5="All",ISNUMBER(SEARCH(Query!$B$5,'Compliance Database'!$H913))),OR(Query!$B$6="All",ISNUMBER(SEARCH(Query!$B$6,'Compliance Database'!$I913))),OR(Query!$B$7="All",'Compliance Database'!$F913=Query!$B$7),OR(Query!$B$8="All",'Compliance Database'!$J913=Query!$B$8),OR(Query!$B$9="",ISNUMBER(SEARCH(Query!$B$9,'Compliance Database'!$D913&amp;" "&amp;'Compliance Database'!$K913&amp;" "&amp;'Compliance Database'!$L913&amp;" "&amp;'Compliance Database'!$M913&amp;" "&amp;'Compliance Database'!$N913&amp;" "&amp;'Compliance Database'!$O913))),OR(Query!$B$10&lt;&gt;"Yes",'Compliance Database'!$F913&lt;&gt;"None")),1,0)</f>
        <v/>
      </c>
      <c r="B913">
        <f>IF($A913=1,SUM($A$2:$A913),"")</f>
        <v/>
      </c>
      <c r="C913">
        <f>IF($A913=1,SUM($A$2:$A913),0)</f>
        <v/>
      </c>
    </row>
    <row r="914">
      <c r="A914">
        <f>IF(AND(OR(Query!$B$4="All",'Compliance Database'!$A914=Query!$B$4),OR(Query!$B$5="All",ISNUMBER(SEARCH(Query!$B$5,'Compliance Database'!$H914))),OR(Query!$B$6="All",ISNUMBER(SEARCH(Query!$B$6,'Compliance Database'!$I914))),OR(Query!$B$7="All",'Compliance Database'!$F914=Query!$B$7),OR(Query!$B$8="All",'Compliance Database'!$J914=Query!$B$8),OR(Query!$B$9="",ISNUMBER(SEARCH(Query!$B$9,'Compliance Database'!$D914&amp;" "&amp;'Compliance Database'!$K914&amp;" "&amp;'Compliance Database'!$L914&amp;" "&amp;'Compliance Database'!$M914&amp;" "&amp;'Compliance Database'!$N914&amp;" "&amp;'Compliance Database'!$O914))),OR(Query!$B$10&lt;&gt;"Yes",'Compliance Database'!$F914&lt;&gt;"None")),1,0)</f>
        <v/>
      </c>
      <c r="B914">
        <f>IF($A914=1,SUM($A$2:$A914),"")</f>
        <v/>
      </c>
      <c r="C914">
        <f>IF($A914=1,SUM($A$2:$A914),0)</f>
        <v/>
      </c>
    </row>
    <row r="915">
      <c r="A915">
        <f>IF(AND(OR(Query!$B$4="All",'Compliance Database'!$A915=Query!$B$4),OR(Query!$B$5="All",ISNUMBER(SEARCH(Query!$B$5,'Compliance Database'!$H915))),OR(Query!$B$6="All",ISNUMBER(SEARCH(Query!$B$6,'Compliance Database'!$I915))),OR(Query!$B$7="All",'Compliance Database'!$F915=Query!$B$7),OR(Query!$B$8="All",'Compliance Database'!$J915=Query!$B$8),OR(Query!$B$9="",ISNUMBER(SEARCH(Query!$B$9,'Compliance Database'!$D915&amp;" "&amp;'Compliance Database'!$K915&amp;" "&amp;'Compliance Database'!$L915&amp;" "&amp;'Compliance Database'!$M915&amp;" "&amp;'Compliance Database'!$N915&amp;" "&amp;'Compliance Database'!$O915))),OR(Query!$B$10&lt;&gt;"Yes",'Compliance Database'!$F915&lt;&gt;"None")),1,0)</f>
        <v/>
      </c>
      <c r="B915">
        <f>IF($A915=1,SUM($A$2:$A915),"")</f>
        <v/>
      </c>
      <c r="C915">
        <f>IF($A915=1,SUM($A$2:$A915),0)</f>
        <v/>
      </c>
    </row>
    <row r="916">
      <c r="A916">
        <f>IF(AND(OR(Query!$B$4="All",'Compliance Database'!$A916=Query!$B$4),OR(Query!$B$5="All",ISNUMBER(SEARCH(Query!$B$5,'Compliance Database'!$H916))),OR(Query!$B$6="All",ISNUMBER(SEARCH(Query!$B$6,'Compliance Database'!$I916))),OR(Query!$B$7="All",'Compliance Database'!$F916=Query!$B$7),OR(Query!$B$8="All",'Compliance Database'!$J916=Query!$B$8),OR(Query!$B$9="",ISNUMBER(SEARCH(Query!$B$9,'Compliance Database'!$D916&amp;" "&amp;'Compliance Database'!$K916&amp;" "&amp;'Compliance Database'!$L916&amp;" "&amp;'Compliance Database'!$M916&amp;" "&amp;'Compliance Database'!$N916&amp;" "&amp;'Compliance Database'!$O916))),OR(Query!$B$10&lt;&gt;"Yes",'Compliance Database'!$F916&lt;&gt;"None")),1,0)</f>
        <v/>
      </c>
      <c r="B916">
        <f>IF($A916=1,SUM($A$2:$A916),"")</f>
        <v/>
      </c>
      <c r="C916">
        <f>IF($A916=1,SUM($A$2:$A916),0)</f>
        <v/>
      </c>
    </row>
    <row r="917">
      <c r="A917">
        <f>IF(AND(OR(Query!$B$4="All",'Compliance Database'!$A917=Query!$B$4),OR(Query!$B$5="All",ISNUMBER(SEARCH(Query!$B$5,'Compliance Database'!$H917))),OR(Query!$B$6="All",ISNUMBER(SEARCH(Query!$B$6,'Compliance Database'!$I917))),OR(Query!$B$7="All",'Compliance Database'!$F917=Query!$B$7),OR(Query!$B$8="All",'Compliance Database'!$J917=Query!$B$8),OR(Query!$B$9="",ISNUMBER(SEARCH(Query!$B$9,'Compliance Database'!$D917&amp;" "&amp;'Compliance Database'!$K917&amp;" "&amp;'Compliance Database'!$L917&amp;" "&amp;'Compliance Database'!$M917&amp;" "&amp;'Compliance Database'!$N917&amp;" "&amp;'Compliance Database'!$O917))),OR(Query!$B$10&lt;&gt;"Yes",'Compliance Database'!$F917&lt;&gt;"None")),1,0)</f>
        <v/>
      </c>
      <c r="B917">
        <f>IF($A917=1,SUM($A$2:$A917),"")</f>
        <v/>
      </c>
      <c r="C917">
        <f>IF($A917=1,SUM($A$2:$A917),0)</f>
        <v/>
      </c>
    </row>
    <row r="918">
      <c r="A918">
        <f>IF(AND(OR(Query!$B$4="All",'Compliance Database'!$A918=Query!$B$4),OR(Query!$B$5="All",ISNUMBER(SEARCH(Query!$B$5,'Compliance Database'!$H918))),OR(Query!$B$6="All",ISNUMBER(SEARCH(Query!$B$6,'Compliance Database'!$I918))),OR(Query!$B$7="All",'Compliance Database'!$F918=Query!$B$7),OR(Query!$B$8="All",'Compliance Database'!$J918=Query!$B$8),OR(Query!$B$9="",ISNUMBER(SEARCH(Query!$B$9,'Compliance Database'!$D918&amp;" "&amp;'Compliance Database'!$K918&amp;" "&amp;'Compliance Database'!$L918&amp;" "&amp;'Compliance Database'!$M918&amp;" "&amp;'Compliance Database'!$N918&amp;" "&amp;'Compliance Database'!$O918))),OR(Query!$B$10&lt;&gt;"Yes",'Compliance Database'!$F918&lt;&gt;"None")),1,0)</f>
        <v/>
      </c>
      <c r="B918">
        <f>IF($A918=1,SUM($A$2:$A918),"")</f>
        <v/>
      </c>
      <c r="C918">
        <f>IF($A918=1,SUM($A$2:$A918),0)</f>
        <v/>
      </c>
    </row>
    <row r="919">
      <c r="A919">
        <f>IF(AND(OR(Query!$B$4="All",'Compliance Database'!$A919=Query!$B$4),OR(Query!$B$5="All",ISNUMBER(SEARCH(Query!$B$5,'Compliance Database'!$H919))),OR(Query!$B$6="All",ISNUMBER(SEARCH(Query!$B$6,'Compliance Database'!$I919))),OR(Query!$B$7="All",'Compliance Database'!$F919=Query!$B$7),OR(Query!$B$8="All",'Compliance Database'!$J919=Query!$B$8),OR(Query!$B$9="",ISNUMBER(SEARCH(Query!$B$9,'Compliance Database'!$D919&amp;" "&amp;'Compliance Database'!$K919&amp;" "&amp;'Compliance Database'!$L919&amp;" "&amp;'Compliance Database'!$M919&amp;" "&amp;'Compliance Database'!$N919&amp;" "&amp;'Compliance Database'!$O919))),OR(Query!$B$10&lt;&gt;"Yes",'Compliance Database'!$F919&lt;&gt;"None")),1,0)</f>
        <v/>
      </c>
      <c r="B919">
        <f>IF($A919=1,SUM($A$2:$A919),"")</f>
        <v/>
      </c>
      <c r="C919">
        <f>IF($A919=1,SUM($A$2:$A919),0)</f>
        <v/>
      </c>
    </row>
    <row r="920">
      <c r="A920">
        <f>IF(AND(OR(Query!$B$4="All",'Compliance Database'!$A920=Query!$B$4),OR(Query!$B$5="All",ISNUMBER(SEARCH(Query!$B$5,'Compliance Database'!$H920))),OR(Query!$B$6="All",ISNUMBER(SEARCH(Query!$B$6,'Compliance Database'!$I920))),OR(Query!$B$7="All",'Compliance Database'!$F920=Query!$B$7),OR(Query!$B$8="All",'Compliance Database'!$J920=Query!$B$8),OR(Query!$B$9="",ISNUMBER(SEARCH(Query!$B$9,'Compliance Database'!$D920&amp;" "&amp;'Compliance Database'!$K920&amp;" "&amp;'Compliance Database'!$L920&amp;" "&amp;'Compliance Database'!$M920&amp;" "&amp;'Compliance Database'!$N920&amp;" "&amp;'Compliance Database'!$O920))),OR(Query!$B$10&lt;&gt;"Yes",'Compliance Database'!$F920&lt;&gt;"None")),1,0)</f>
        <v/>
      </c>
      <c r="B920">
        <f>IF($A920=1,SUM($A$2:$A920),"")</f>
        <v/>
      </c>
      <c r="C920">
        <f>IF($A920=1,SUM($A$2:$A920),0)</f>
        <v/>
      </c>
    </row>
    <row r="921">
      <c r="A921">
        <f>IF(AND(OR(Query!$B$4="All",'Compliance Database'!$A921=Query!$B$4),OR(Query!$B$5="All",ISNUMBER(SEARCH(Query!$B$5,'Compliance Database'!$H921))),OR(Query!$B$6="All",ISNUMBER(SEARCH(Query!$B$6,'Compliance Database'!$I921))),OR(Query!$B$7="All",'Compliance Database'!$F921=Query!$B$7),OR(Query!$B$8="All",'Compliance Database'!$J921=Query!$B$8),OR(Query!$B$9="",ISNUMBER(SEARCH(Query!$B$9,'Compliance Database'!$D921&amp;" "&amp;'Compliance Database'!$K921&amp;" "&amp;'Compliance Database'!$L921&amp;" "&amp;'Compliance Database'!$M921&amp;" "&amp;'Compliance Database'!$N921&amp;" "&amp;'Compliance Database'!$O921))),OR(Query!$B$10&lt;&gt;"Yes",'Compliance Database'!$F921&lt;&gt;"None")),1,0)</f>
        <v/>
      </c>
      <c r="B921">
        <f>IF($A921=1,SUM($A$2:$A921),"")</f>
        <v/>
      </c>
      <c r="C921">
        <f>IF($A921=1,SUM($A$2:$A921),0)</f>
        <v/>
      </c>
    </row>
    <row r="922">
      <c r="A922">
        <f>IF(AND(OR(Query!$B$4="All",'Compliance Database'!$A922=Query!$B$4),OR(Query!$B$5="All",ISNUMBER(SEARCH(Query!$B$5,'Compliance Database'!$H922))),OR(Query!$B$6="All",ISNUMBER(SEARCH(Query!$B$6,'Compliance Database'!$I922))),OR(Query!$B$7="All",'Compliance Database'!$F922=Query!$B$7),OR(Query!$B$8="All",'Compliance Database'!$J922=Query!$B$8),OR(Query!$B$9="",ISNUMBER(SEARCH(Query!$B$9,'Compliance Database'!$D922&amp;" "&amp;'Compliance Database'!$K922&amp;" "&amp;'Compliance Database'!$L922&amp;" "&amp;'Compliance Database'!$M922&amp;" "&amp;'Compliance Database'!$N922&amp;" "&amp;'Compliance Database'!$O922))),OR(Query!$B$10&lt;&gt;"Yes",'Compliance Database'!$F922&lt;&gt;"None")),1,0)</f>
        <v/>
      </c>
      <c r="B922">
        <f>IF($A922=1,SUM($A$2:$A922),"")</f>
        <v/>
      </c>
      <c r="C922">
        <f>IF($A922=1,SUM($A$2:$A922),0)</f>
        <v/>
      </c>
    </row>
    <row r="923">
      <c r="A923">
        <f>IF(AND(OR(Query!$B$4="All",'Compliance Database'!$A923=Query!$B$4),OR(Query!$B$5="All",ISNUMBER(SEARCH(Query!$B$5,'Compliance Database'!$H923))),OR(Query!$B$6="All",ISNUMBER(SEARCH(Query!$B$6,'Compliance Database'!$I923))),OR(Query!$B$7="All",'Compliance Database'!$F923=Query!$B$7),OR(Query!$B$8="All",'Compliance Database'!$J923=Query!$B$8),OR(Query!$B$9="",ISNUMBER(SEARCH(Query!$B$9,'Compliance Database'!$D923&amp;" "&amp;'Compliance Database'!$K923&amp;" "&amp;'Compliance Database'!$L923&amp;" "&amp;'Compliance Database'!$M923&amp;" "&amp;'Compliance Database'!$N923&amp;" "&amp;'Compliance Database'!$O923))),OR(Query!$B$10&lt;&gt;"Yes",'Compliance Database'!$F923&lt;&gt;"None")),1,0)</f>
        <v/>
      </c>
      <c r="B923">
        <f>IF($A923=1,SUM($A$2:$A923),"")</f>
        <v/>
      </c>
      <c r="C923">
        <f>IF($A923=1,SUM($A$2:$A923),0)</f>
        <v/>
      </c>
    </row>
    <row r="924">
      <c r="A924">
        <f>IF(AND(OR(Query!$B$4="All",'Compliance Database'!$A924=Query!$B$4),OR(Query!$B$5="All",ISNUMBER(SEARCH(Query!$B$5,'Compliance Database'!$H924))),OR(Query!$B$6="All",ISNUMBER(SEARCH(Query!$B$6,'Compliance Database'!$I924))),OR(Query!$B$7="All",'Compliance Database'!$F924=Query!$B$7),OR(Query!$B$8="All",'Compliance Database'!$J924=Query!$B$8),OR(Query!$B$9="",ISNUMBER(SEARCH(Query!$B$9,'Compliance Database'!$D924&amp;" "&amp;'Compliance Database'!$K924&amp;" "&amp;'Compliance Database'!$L924&amp;" "&amp;'Compliance Database'!$M924&amp;" "&amp;'Compliance Database'!$N924&amp;" "&amp;'Compliance Database'!$O924))),OR(Query!$B$10&lt;&gt;"Yes",'Compliance Database'!$F924&lt;&gt;"None")),1,0)</f>
        <v/>
      </c>
      <c r="B924">
        <f>IF($A924=1,SUM($A$2:$A924),"")</f>
        <v/>
      </c>
      <c r="C924">
        <f>IF($A924=1,SUM($A$2:$A924),0)</f>
        <v/>
      </c>
    </row>
    <row r="925">
      <c r="A925">
        <f>IF(AND(OR(Query!$B$4="All",'Compliance Database'!$A925=Query!$B$4),OR(Query!$B$5="All",ISNUMBER(SEARCH(Query!$B$5,'Compliance Database'!$H925))),OR(Query!$B$6="All",ISNUMBER(SEARCH(Query!$B$6,'Compliance Database'!$I925))),OR(Query!$B$7="All",'Compliance Database'!$F925=Query!$B$7),OR(Query!$B$8="All",'Compliance Database'!$J925=Query!$B$8),OR(Query!$B$9="",ISNUMBER(SEARCH(Query!$B$9,'Compliance Database'!$D925&amp;" "&amp;'Compliance Database'!$K925&amp;" "&amp;'Compliance Database'!$L925&amp;" "&amp;'Compliance Database'!$M925&amp;" "&amp;'Compliance Database'!$N925&amp;" "&amp;'Compliance Database'!$O925))),OR(Query!$B$10&lt;&gt;"Yes",'Compliance Database'!$F925&lt;&gt;"None")),1,0)</f>
        <v/>
      </c>
      <c r="B925">
        <f>IF($A925=1,SUM($A$2:$A925),"")</f>
        <v/>
      </c>
      <c r="C925">
        <f>IF($A925=1,SUM($A$2:$A925),0)</f>
        <v/>
      </c>
    </row>
    <row r="926">
      <c r="A926">
        <f>IF(AND(OR(Query!$B$4="All",'Compliance Database'!$A926=Query!$B$4),OR(Query!$B$5="All",ISNUMBER(SEARCH(Query!$B$5,'Compliance Database'!$H926))),OR(Query!$B$6="All",ISNUMBER(SEARCH(Query!$B$6,'Compliance Database'!$I926))),OR(Query!$B$7="All",'Compliance Database'!$F926=Query!$B$7),OR(Query!$B$8="All",'Compliance Database'!$J926=Query!$B$8),OR(Query!$B$9="",ISNUMBER(SEARCH(Query!$B$9,'Compliance Database'!$D926&amp;" "&amp;'Compliance Database'!$K926&amp;" "&amp;'Compliance Database'!$L926&amp;" "&amp;'Compliance Database'!$M926&amp;" "&amp;'Compliance Database'!$N926&amp;" "&amp;'Compliance Database'!$O926))),OR(Query!$B$10&lt;&gt;"Yes",'Compliance Database'!$F926&lt;&gt;"None")),1,0)</f>
        <v/>
      </c>
      <c r="B926">
        <f>IF($A926=1,SUM($A$2:$A926),"")</f>
        <v/>
      </c>
      <c r="C926">
        <f>IF($A926=1,SUM($A$2:$A926),0)</f>
        <v/>
      </c>
    </row>
    <row r="927">
      <c r="A927">
        <f>IF(AND(OR(Query!$B$4="All",'Compliance Database'!$A927=Query!$B$4),OR(Query!$B$5="All",ISNUMBER(SEARCH(Query!$B$5,'Compliance Database'!$H927))),OR(Query!$B$6="All",ISNUMBER(SEARCH(Query!$B$6,'Compliance Database'!$I927))),OR(Query!$B$7="All",'Compliance Database'!$F927=Query!$B$7),OR(Query!$B$8="All",'Compliance Database'!$J927=Query!$B$8),OR(Query!$B$9="",ISNUMBER(SEARCH(Query!$B$9,'Compliance Database'!$D927&amp;" "&amp;'Compliance Database'!$K927&amp;" "&amp;'Compliance Database'!$L927&amp;" "&amp;'Compliance Database'!$M927&amp;" "&amp;'Compliance Database'!$N927&amp;" "&amp;'Compliance Database'!$O927))),OR(Query!$B$10&lt;&gt;"Yes",'Compliance Database'!$F927&lt;&gt;"None")),1,0)</f>
        <v/>
      </c>
      <c r="B927">
        <f>IF($A927=1,SUM($A$2:$A927),"")</f>
        <v/>
      </c>
      <c r="C927">
        <f>IF($A927=1,SUM($A$2:$A927),0)</f>
        <v/>
      </c>
    </row>
    <row r="928">
      <c r="A928">
        <f>IF(AND(OR(Query!$B$4="All",'Compliance Database'!$A928=Query!$B$4),OR(Query!$B$5="All",ISNUMBER(SEARCH(Query!$B$5,'Compliance Database'!$H928))),OR(Query!$B$6="All",ISNUMBER(SEARCH(Query!$B$6,'Compliance Database'!$I928))),OR(Query!$B$7="All",'Compliance Database'!$F928=Query!$B$7),OR(Query!$B$8="All",'Compliance Database'!$J928=Query!$B$8),OR(Query!$B$9="",ISNUMBER(SEARCH(Query!$B$9,'Compliance Database'!$D928&amp;" "&amp;'Compliance Database'!$K928&amp;" "&amp;'Compliance Database'!$L928&amp;" "&amp;'Compliance Database'!$M928&amp;" "&amp;'Compliance Database'!$N928&amp;" "&amp;'Compliance Database'!$O928))),OR(Query!$B$10&lt;&gt;"Yes",'Compliance Database'!$F928&lt;&gt;"None")),1,0)</f>
        <v/>
      </c>
      <c r="B928">
        <f>IF($A928=1,SUM($A$2:$A928),"")</f>
        <v/>
      </c>
      <c r="C928">
        <f>IF($A928=1,SUM($A$2:$A928),0)</f>
        <v/>
      </c>
    </row>
    <row r="929">
      <c r="A929">
        <f>IF(AND(OR(Query!$B$4="All",'Compliance Database'!$A929=Query!$B$4),OR(Query!$B$5="All",ISNUMBER(SEARCH(Query!$B$5,'Compliance Database'!$H929))),OR(Query!$B$6="All",ISNUMBER(SEARCH(Query!$B$6,'Compliance Database'!$I929))),OR(Query!$B$7="All",'Compliance Database'!$F929=Query!$B$7),OR(Query!$B$8="All",'Compliance Database'!$J929=Query!$B$8),OR(Query!$B$9="",ISNUMBER(SEARCH(Query!$B$9,'Compliance Database'!$D929&amp;" "&amp;'Compliance Database'!$K929&amp;" "&amp;'Compliance Database'!$L929&amp;" "&amp;'Compliance Database'!$M929&amp;" "&amp;'Compliance Database'!$N929&amp;" "&amp;'Compliance Database'!$O929))),OR(Query!$B$10&lt;&gt;"Yes",'Compliance Database'!$F929&lt;&gt;"None")),1,0)</f>
        <v/>
      </c>
      <c r="B929">
        <f>IF($A929=1,SUM($A$2:$A929),"")</f>
        <v/>
      </c>
      <c r="C929">
        <f>IF($A929=1,SUM($A$2:$A929),0)</f>
        <v/>
      </c>
    </row>
    <row r="930">
      <c r="A930">
        <f>IF(AND(OR(Query!$B$4="All",'Compliance Database'!$A930=Query!$B$4),OR(Query!$B$5="All",ISNUMBER(SEARCH(Query!$B$5,'Compliance Database'!$H930))),OR(Query!$B$6="All",ISNUMBER(SEARCH(Query!$B$6,'Compliance Database'!$I930))),OR(Query!$B$7="All",'Compliance Database'!$F930=Query!$B$7),OR(Query!$B$8="All",'Compliance Database'!$J930=Query!$B$8),OR(Query!$B$9="",ISNUMBER(SEARCH(Query!$B$9,'Compliance Database'!$D930&amp;" "&amp;'Compliance Database'!$K930&amp;" "&amp;'Compliance Database'!$L930&amp;" "&amp;'Compliance Database'!$M930&amp;" "&amp;'Compliance Database'!$N930&amp;" "&amp;'Compliance Database'!$O930))),OR(Query!$B$10&lt;&gt;"Yes",'Compliance Database'!$F930&lt;&gt;"None")),1,0)</f>
        <v/>
      </c>
      <c r="B930">
        <f>IF($A930=1,SUM($A$2:$A930),"")</f>
        <v/>
      </c>
      <c r="C930">
        <f>IF($A930=1,SUM($A$2:$A930),0)</f>
        <v/>
      </c>
    </row>
    <row r="931">
      <c r="A931">
        <f>IF(AND(OR(Query!$B$4="All",'Compliance Database'!$A931=Query!$B$4),OR(Query!$B$5="All",ISNUMBER(SEARCH(Query!$B$5,'Compliance Database'!$H931))),OR(Query!$B$6="All",ISNUMBER(SEARCH(Query!$B$6,'Compliance Database'!$I931))),OR(Query!$B$7="All",'Compliance Database'!$F931=Query!$B$7),OR(Query!$B$8="All",'Compliance Database'!$J931=Query!$B$8),OR(Query!$B$9="",ISNUMBER(SEARCH(Query!$B$9,'Compliance Database'!$D931&amp;" "&amp;'Compliance Database'!$K931&amp;" "&amp;'Compliance Database'!$L931&amp;" "&amp;'Compliance Database'!$M931&amp;" "&amp;'Compliance Database'!$N931&amp;" "&amp;'Compliance Database'!$O931))),OR(Query!$B$10&lt;&gt;"Yes",'Compliance Database'!$F931&lt;&gt;"None")),1,0)</f>
        <v/>
      </c>
      <c r="B931">
        <f>IF($A931=1,SUM($A$2:$A931),"")</f>
        <v/>
      </c>
      <c r="C931">
        <f>IF($A931=1,SUM($A$2:$A931),0)</f>
        <v/>
      </c>
    </row>
    <row r="932">
      <c r="A932">
        <f>IF(AND(OR(Query!$B$4="All",'Compliance Database'!$A932=Query!$B$4),OR(Query!$B$5="All",ISNUMBER(SEARCH(Query!$B$5,'Compliance Database'!$H932))),OR(Query!$B$6="All",ISNUMBER(SEARCH(Query!$B$6,'Compliance Database'!$I932))),OR(Query!$B$7="All",'Compliance Database'!$F932=Query!$B$7),OR(Query!$B$8="All",'Compliance Database'!$J932=Query!$B$8),OR(Query!$B$9="",ISNUMBER(SEARCH(Query!$B$9,'Compliance Database'!$D932&amp;" "&amp;'Compliance Database'!$K932&amp;" "&amp;'Compliance Database'!$L932&amp;" "&amp;'Compliance Database'!$M932&amp;" "&amp;'Compliance Database'!$N932&amp;" "&amp;'Compliance Database'!$O932))),OR(Query!$B$10&lt;&gt;"Yes",'Compliance Database'!$F932&lt;&gt;"None")),1,0)</f>
        <v/>
      </c>
      <c r="B932">
        <f>IF($A932=1,SUM($A$2:$A932),"")</f>
        <v/>
      </c>
      <c r="C932">
        <f>IF($A932=1,SUM($A$2:$A932),0)</f>
        <v/>
      </c>
    </row>
    <row r="933">
      <c r="A933">
        <f>IF(AND(OR(Query!$B$4="All",'Compliance Database'!$A933=Query!$B$4),OR(Query!$B$5="All",ISNUMBER(SEARCH(Query!$B$5,'Compliance Database'!$H933))),OR(Query!$B$6="All",ISNUMBER(SEARCH(Query!$B$6,'Compliance Database'!$I933))),OR(Query!$B$7="All",'Compliance Database'!$F933=Query!$B$7),OR(Query!$B$8="All",'Compliance Database'!$J933=Query!$B$8),OR(Query!$B$9="",ISNUMBER(SEARCH(Query!$B$9,'Compliance Database'!$D933&amp;" "&amp;'Compliance Database'!$K933&amp;" "&amp;'Compliance Database'!$L933&amp;" "&amp;'Compliance Database'!$M933&amp;" "&amp;'Compliance Database'!$N933&amp;" "&amp;'Compliance Database'!$O933))),OR(Query!$B$10&lt;&gt;"Yes",'Compliance Database'!$F933&lt;&gt;"None")),1,0)</f>
        <v/>
      </c>
      <c r="B933">
        <f>IF($A933=1,SUM($A$2:$A933),"")</f>
        <v/>
      </c>
      <c r="C933">
        <f>IF($A933=1,SUM($A$2:$A933),0)</f>
        <v/>
      </c>
    </row>
    <row r="934">
      <c r="A934">
        <f>IF(AND(OR(Query!$B$4="All",'Compliance Database'!$A934=Query!$B$4),OR(Query!$B$5="All",ISNUMBER(SEARCH(Query!$B$5,'Compliance Database'!$H934))),OR(Query!$B$6="All",ISNUMBER(SEARCH(Query!$B$6,'Compliance Database'!$I934))),OR(Query!$B$7="All",'Compliance Database'!$F934=Query!$B$7),OR(Query!$B$8="All",'Compliance Database'!$J934=Query!$B$8),OR(Query!$B$9="",ISNUMBER(SEARCH(Query!$B$9,'Compliance Database'!$D934&amp;" "&amp;'Compliance Database'!$K934&amp;" "&amp;'Compliance Database'!$L934&amp;" "&amp;'Compliance Database'!$M934&amp;" "&amp;'Compliance Database'!$N934&amp;" "&amp;'Compliance Database'!$O934))),OR(Query!$B$10&lt;&gt;"Yes",'Compliance Database'!$F934&lt;&gt;"None")),1,0)</f>
        <v/>
      </c>
      <c r="B934">
        <f>IF($A934=1,SUM($A$2:$A934),"")</f>
        <v/>
      </c>
      <c r="C934">
        <f>IF($A934=1,SUM($A$2:$A934),0)</f>
        <v/>
      </c>
    </row>
    <row r="935">
      <c r="A935">
        <f>IF(AND(OR(Query!$B$4="All",'Compliance Database'!$A935=Query!$B$4),OR(Query!$B$5="All",ISNUMBER(SEARCH(Query!$B$5,'Compliance Database'!$H935))),OR(Query!$B$6="All",ISNUMBER(SEARCH(Query!$B$6,'Compliance Database'!$I935))),OR(Query!$B$7="All",'Compliance Database'!$F935=Query!$B$7),OR(Query!$B$8="All",'Compliance Database'!$J935=Query!$B$8),OR(Query!$B$9="",ISNUMBER(SEARCH(Query!$B$9,'Compliance Database'!$D935&amp;" "&amp;'Compliance Database'!$K935&amp;" "&amp;'Compliance Database'!$L935&amp;" "&amp;'Compliance Database'!$M935&amp;" "&amp;'Compliance Database'!$N935&amp;" "&amp;'Compliance Database'!$O935))),OR(Query!$B$10&lt;&gt;"Yes",'Compliance Database'!$F935&lt;&gt;"None")),1,0)</f>
        <v/>
      </c>
      <c r="B935">
        <f>IF($A935=1,SUM($A$2:$A935),"")</f>
        <v/>
      </c>
      <c r="C935">
        <f>IF($A935=1,SUM($A$2:$A935),0)</f>
        <v/>
      </c>
    </row>
    <row r="936">
      <c r="A936">
        <f>IF(AND(OR(Query!$B$4="All",'Compliance Database'!$A936=Query!$B$4),OR(Query!$B$5="All",ISNUMBER(SEARCH(Query!$B$5,'Compliance Database'!$H936))),OR(Query!$B$6="All",ISNUMBER(SEARCH(Query!$B$6,'Compliance Database'!$I936))),OR(Query!$B$7="All",'Compliance Database'!$F936=Query!$B$7),OR(Query!$B$8="All",'Compliance Database'!$J936=Query!$B$8),OR(Query!$B$9="",ISNUMBER(SEARCH(Query!$B$9,'Compliance Database'!$D936&amp;" "&amp;'Compliance Database'!$K936&amp;" "&amp;'Compliance Database'!$L936&amp;" "&amp;'Compliance Database'!$M936&amp;" "&amp;'Compliance Database'!$N936&amp;" "&amp;'Compliance Database'!$O936))),OR(Query!$B$10&lt;&gt;"Yes",'Compliance Database'!$F936&lt;&gt;"None")),1,0)</f>
        <v/>
      </c>
      <c r="B936">
        <f>IF($A936=1,SUM($A$2:$A936),"")</f>
        <v/>
      </c>
      <c r="C936">
        <f>IF($A936=1,SUM($A$2:$A936),0)</f>
        <v/>
      </c>
    </row>
    <row r="937">
      <c r="A937">
        <f>IF(AND(OR(Query!$B$4="All",'Compliance Database'!$A937=Query!$B$4),OR(Query!$B$5="All",ISNUMBER(SEARCH(Query!$B$5,'Compliance Database'!$H937))),OR(Query!$B$6="All",ISNUMBER(SEARCH(Query!$B$6,'Compliance Database'!$I937))),OR(Query!$B$7="All",'Compliance Database'!$F937=Query!$B$7),OR(Query!$B$8="All",'Compliance Database'!$J937=Query!$B$8),OR(Query!$B$9="",ISNUMBER(SEARCH(Query!$B$9,'Compliance Database'!$D937&amp;" "&amp;'Compliance Database'!$K937&amp;" "&amp;'Compliance Database'!$L937&amp;" "&amp;'Compliance Database'!$M937&amp;" "&amp;'Compliance Database'!$N937&amp;" "&amp;'Compliance Database'!$O937))),OR(Query!$B$10&lt;&gt;"Yes",'Compliance Database'!$F937&lt;&gt;"None")),1,0)</f>
        <v/>
      </c>
      <c r="B937">
        <f>IF($A937=1,SUM($A$2:$A937),"")</f>
        <v/>
      </c>
      <c r="C937">
        <f>IF($A937=1,SUM($A$2:$A937),0)</f>
        <v/>
      </c>
    </row>
    <row r="938">
      <c r="A938">
        <f>IF(AND(OR(Query!$B$4="All",'Compliance Database'!$A938=Query!$B$4),OR(Query!$B$5="All",ISNUMBER(SEARCH(Query!$B$5,'Compliance Database'!$H938))),OR(Query!$B$6="All",ISNUMBER(SEARCH(Query!$B$6,'Compliance Database'!$I938))),OR(Query!$B$7="All",'Compliance Database'!$F938=Query!$B$7),OR(Query!$B$8="All",'Compliance Database'!$J938=Query!$B$8),OR(Query!$B$9="",ISNUMBER(SEARCH(Query!$B$9,'Compliance Database'!$D938&amp;" "&amp;'Compliance Database'!$K938&amp;" "&amp;'Compliance Database'!$L938&amp;" "&amp;'Compliance Database'!$M938&amp;" "&amp;'Compliance Database'!$N938&amp;" "&amp;'Compliance Database'!$O938))),OR(Query!$B$10&lt;&gt;"Yes",'Compliance Database'!$F938&lt;&gt;"None")),1,0)</f>
        <v/>
      </c>
      <c r="B938">
        <f>IF($A938=1,SUM($A$2:$A938),"")</f>
        <v/>
      </c>
      <c r="C938">
        <f>IF($A938=1,SUM($A$2:$A938),0)</f>
        <v/>
      </c>
    </row>
    <row r="939">
      <c r="A939">
        <f>IF(AND(OR(Query!$B$4="All",'Compliance Database'!$A939=Query!$B$4),OR(Query!$B$5="All",ISNUMBER(SEARCH(Query!$B$5,'Compliance Database'!$H939))),OR(Query!$B$6="All",ISNUMBER(SEARCH(Query!$B$6,'Compliance Database'!$I939))),OR(Query!$B$7="All",'Compliance Database'!$F939=Query!$B$7),OR(Query!$B$8="All",'Compliance Database'!$J939=Query!$B$8),OR(Query!$B$9="",ISNUMBER(SEARCH(Query!$B$9,'Compliance Database'!$D939&amp;" "&amp;'Compliance Database'!$K939&amp;" "&amp;'Compliance Database'!$L939&amp;" "&amp;'Compliance Database'!$M939&amp;" "&amp;'Compliance Database'!$N939&amp;" "&amp;'Compliance Database'!$O939))),OR(Query!$B$10&lt;&gt;"Yes",'Compliance Database'!$F939&lt;&gt;"None")),1,0)</f>
        <v/>
      </c>
      <c r="B939">
        <f>IF($A939=1,SUM($A$2:$A939),"")</f>
        <v/>
      </c>
      <c r="C939">
        <f>IF($A939=1,SUM($A$2:$A939),0)</f>
        <v/>
      </c>
    </row>
    <row r="940">
      <c r="A940">
        <f>IF(AND(OR(Query!$B$4="All",'Compliance Database'!$A940=Query!$B$4),OR(Query!$B$5="All",ISNUMBER(SEARCH(Query!$B$5,'Compliance Database'!$H940))),OR(Query!$B$6="All",ISNUMBER(SEARCH(Query!$B$6,'Compliance Database'!$I940))),OR(Query!$B$7="All",'Compliance Database'!$F940=Query!$B$7),OR(Query!$B$8="All",'Compliance Database'!$J940=Query!$B$8),OR(Query!$B$9="",ISNUMBER(SEARCH(Query!$B$9,'Compliance Database'!$D940&amp;" "&amp;'Compliance Database'!$K940&amp;" "&amp;'Compliance Database'!$L940&amp;" "&amp;'Compliance Database'!$M940&amp;" "&amp;'Compliance Database'!$N940&amp;" "&amp;'Compliance Database'!$O940))),OR(Query!$B$10&lt;&gt;"Yes",'Compliance Database'!$F940&lt;&gt;"None")),1,0)</f>
        <v/>
      </c>
      <c r="B940">
        <f>IF($A940=1,SUM($A$2:$A940),"")</f>
        <v/>
      </c>
      <c r="C940">
        <f>IF($A940=1,SUM($A$2:$A940),0)</f>
        <v/>
      </c>
    </row>
    <row r="941">
      <c r="A941">
        <f>IF(AND(OR(Query!$B$4="All",'Compliance Database'!$A941=Query!$B$4),OR(Query!$B$5="All",ISNUMBER(SEARCH(Query!$B$5,'Compliance Database'!$H941))),OR(Query!$B$6="All",ISNUMBER(SEARCH(Query!$B$6,'Compliance Database'!$I941))),OR(Query!$B$7="All",'Compliance Database'!$F941=Query!$B$7),OR(Query!$B$8="All",'Compliance Database'!$J941=Query!$B$8),OR(Query!$B$9="",ISNUMBER(SEARCH(Query!$B$9,'Compliance Database'!$D941&amp;" "&amp;'Compliance Database'!$K941&amp;" "&amp;'Compliance Database'!$L941&amp;" "&amp;'Compliance Database'!$M941&amp;" "&amp;'Compliance Database'!$N941&amp;" "&amp;'Compliance Database'!$O941))),OR(Query!$B$10&lt;&gt;"Yes",'Compliance Database'!$F941&lt;&gt;"None")),1,0)</f>
        <v/>
      </c>
      <c r="B941">
        <f>IF($A941=1,SUM($A$2:$A941),"")</f>
        <v/>
      </c>
      <c r="C941">
        <f>IF($A941=1,SUM($A$2:$A941),0)</f>
        <v/>
      </c>
    </row>
    <row r="942">
      <c r="A942">
        <f>IF(AND(OR(Query!$B$4="All",'Compliance Database'!$A942=Query!$B$4),OR(Query!$B$5="All",ISNUMBER(SEARCH(Query!$B$5,'Compliance Database'!$H942))),OR(Query!$B$6="All",ISNUMBER(SEARCH(Query!$B$6,'Compliance Database'!$I942))),OR(Query!$B$7="All",'Compliance Database'!$F942=Query!$B$7),OR(Query!$B$8="All",'Compliance Database'!$J942=Query!$B$8),OR(Query!$B$9="",ISNUMBER(SEARCH(Query!$B$9,'Compliance Database'!$D942&amp;" "&amp;'Compliance Database'!$K942&amp;" "&amp;'Compliance Database'!$L942&amp;" "&amp;'Compliance Database'!$M942&amp;" "&amp;'Compliance Database'!$N942&amp;" "&amp;'Compliance Database'!$O942))),OR(Query!$B$10&lt;&gt;"Yes",'Compliance Database'!$F942&lt;&gt;"None")),1,0)</f>
        <v/>
      </c>
      <c r="B942">
        <f>IF($A942=1,SUM($A$2:$A942),"")</f>
        <v/>
      </c>
      <c r="C942">
        <f>IF($A942=1,SUM($A$2:$A942),0)</f>
        <v/>
      </c>
    </row>
    <row r="943">
      <c r="A943">
        <f>IF(AND(OR(Query!$B$4="All",'Compliance Database'!$A943=Query!$B$4),OR(Query!$B$5="All",ISNUMBER(SEARCH(Query!$B$5,'Compliance Database'!$H943))),OR(Query!$B$6="All",ISNUMBER(SEARCH(Query!$B$6,'Compliance Database'!$I943))),OR(Query!$B$7="All",'Compliance Database'!$F943=Query!$B$7),OR(Query!$B$8="All",'Compliance Database'!$J943=Query!$B$8),OR(Query!$B$9="",ISNUMBER(SEARCH(Query!$B$9,'Compliance Database'!$D943&amp;" "&amp;'Compliance Database'!$K943&amp;" "&amp;'Compliance Database'!$L943&amp;" "&amp;'Compliance Database'!$M943&amp;" "&amp;'Compliance Database'!$N943&amp;" "&amp;'Compliance Database'!$O943))),OR(Query!$B$10&lt;&gt;"Yes",'Compliance Database'!$F943&lt;&gt;"None")),1,0)</f>
        <v/>
      </c>
      <c r="B943">
        <f>IF($A943=1,SUM($A$2:$A943),"")</f>
        <v/>
      </c>
      <c r="C943">
        <f>IF($A943=1,SUM($A$2:$A943),0)</f>
        <v/>
      </c>
    </row>
    <row r="944">
      <c r="A944">
        <f>IF(AND(OR(Query!$B$4="All",'Compliance Database'!$A944=Query!$B$4),OR(Query!$B$5="All",ISNUMBER(SEARCH(Query!$B$5,'Compliance Database'!$H944))),OR(Query!$B$6="All",ISNUMBER(SEARCH(Query!$B$6,'Compliance Database'!$I944))),OR(Query!$B$7="All",'Compliance Database'!$F944=Query!$B$7),OR(Query!$B$8="All",'Compliance Database'!$J944=Query!$B$8),OR(Query!$B$9="",ISNUMBER(SEARCH(Query!$B$9,'Compliance Database'!$D944&amp;" "&amp;'Compliance Database'!$K944&amp;" "&amp;'Compliance Database'!$L944&amp;" "&amp;'Compliance Database'!$M944&amp;" "&amp;'Compliance Database'!$N944&amp;" "&amp;'Compliance Database'!$O944))),OR(Query!$B$10&lt;&gt;"Yes",'Compliance Database'!$F944&lt;&gt;"None")),1,0)</f>
        <v/>
      </c>
      <c r="B944">
        <f>IF($A944=1,SUM($A$2:$A944),"")</f>
        <v/>
      </c>
      <c r="C944">
        <f>IF($A944=1,SUM($A$2:$A944),0)</f>
        <v/>
      </c>
    </row>
    <row r="945">
      <c r="A945">
        <f>IF(AND(OR(Query!$B$4="All",'Compliance Database'!$A945=Query!$B$4),OR(Query!$B$5="All",ISNUMBER(SEARCH(Query!$B$5,'Compliance Database'!$H945))),OR(Query!$B$6="All",ISNUMBER(SEARCH(Query!$B$6,'Compliance Database'!$I945))),OR(Query!$B$7="All",'Compliance Database'!$F945=Query!$B$7),OR(Query!$B$8="All",'Compliance Database'!$J945=Query!$B$8),OR(Query!$B$9="",ISNUMBER(SEARCH(Query!$B$9,'Compliance Database'!$D945&amp;" "&amp;'Compliance Database'!$K945&amp;" "&amp;'Compliance Database'!$L945&amp;" "&amp;'Compliance Database'!$M945&amp;" "&amp;'Compliance Database'!$N945&amp;" "&amp;'Compliance Database'!$O945))),OR(Query!$B$10&lt;&gt;"Yes",'Compliance Database'!$F945&lt;&gt;"None")),1,0)</f>
        <v/>
      </c>
      <c r="B945">
        <f>IF($A945=1,SUM($A$2:$A945),"")</f>
        <v/>
      </c>
      <c r="C945">
        <f>IF($A945=1,SUM($A$2:$A945),0)</f>
        <v/>
      </c>
    </row>
    <row r="946">
      <c r="A946">
        <f>IF(AND(OR(Query!$B$4="All",'Compliance Database'!$A946=Query!$B$4),OR(Query!$B$5="All",ISNUMBER(SEARCH(Query!$B$5,'Compliance Database'!$H946))),OR(Query!$B$6="All",ISNUMBER(SEARCH(Query!$B$6,'Compliance Database'!$I946))),OR(Query!$B$7="All",'Compliance Database'!$F946=Query!$B$7),OR(Query!$B$8="All",'Compliance Database'!$J946=Query!$B$8),OR(Query!$B$9="",ISNUMBER(SEARCH(Query!$B$9,'Compliance Database'!$D946&amp;" "&amp;'Compliance Database'!$K946&amp;" "&amp;'Compliance Database'!$L946&amp;" "&amp;'Compliance Database'!$M946&amp;" "&amp;'Compliance Database'!$N946&amp;" "&amp;'Compliance Database'!$O946))),OR(Query!$B$10&lt;&gt;"Yes",'Compliance Database'!$F946&lt;&gt;"None")),1,0)</f>
        <v/>
      </c>
      <c r="B946">
        <f>IF($A946=1,SUM($A$2:$A946),"")</f>
        <v/>
      </c>
      <c r="C946">
        <f>IF($A946=1,SUM($A$2:$A946),0)</f>
        <v/>
      </c>
    </row>
    <row r="947">
      <c r="A947">
        <f>IF(AND(OR(Query!$B$4="All",'Compliance Database'!$A947=Query!$B$4),OR(Query!$B$5="All",ISNUMBER(SEARCH(Query!$B$5,'Compliance Database'!$H947))),OR(Query!$B$6="All",ISNUMBER(SEARCH(Query!$B$6,'Compliance Database'!$I947))),OR(Query!$B$7="All",'Compliance Database'!$F947=Query!$B$7),OR(Query!$B$8="All",'Compliance Database'!$J947=Query!$B$8),OR(Query!$B$9="",ISNUMBER(SEARCH(Query!$B$9,'Compliance Database'!$D947&amp;" "&amp;'Compliance Database'!$K947&amp;" "&amp;'Compliance Database'!$L947&amp;" "&amp;'Compliance Database'!$M947&amp;" "&amp;'Compliance Database'!$N947&amp;" "&amp;'Compliance Database'!$O947))),OR(Query!$B$10&lt;&gt;"Yes",'Compliance Database'!$F947&lt;&gt;"None")),1,0)</f>
        <v/>
      </c>
      <c r="B947">
        <f>IF($A947=1,SUM($A$2:$A947),"")</f>
        <v/>
      </c>
      <c r="C947">
        <f>IF($A947=1,SUM($A$2:$A947),0)</f>
        <v/>
      </c>
    </row>
    <row r="948">
      <c r="A948">
        <f>IF(AND(OR(Query!$B$4="All",'Compliance Database'!$A948=Query!$B$4),OR(Query!$B$5="All",ISNUMBER(SEARCH(Query!$B$5,'Compliance Database'!$H948))),OR(Query!$B$6="All",ISNUMBER(SEARCH(Query!$B$6,'Compliance Database'!$I948))),OR(Query!$B$7="All",'Compliance Database'!$F948=Query!$B$7),OR(Query!$B$8="All",'Compliance Database'!$J948=Query!$B$8),OR(Query!$B$9="",ISNUMBER(SEARCH(Query!$B$9,'Compliance Database'!$D948&amp;" "&amp;'Compliance Database'!$K948&amp;" "&amp;'Compliance Database'!$L948&amp;" "&amp;'Compliance Database'!$M948&amp;" "&amp;'Compliance Database'!$N948&amp;" "&amp;'Compliance Database'!$O948))),OR(Query!$B$10&lt;&gt;"Yes",'Compliance Database'!$F948&lt;&gt;"None")),1,0)</f>
        <v/>
      </c>
      <c r="B948">
        <f>IF($A948=1,SUM($A$2:$A948),"")</f>
        <v/>
      </c>
      <c r="C948">
        <f>IF($A948=1,SUM($A$2:$A948),0)</f>
        <v/>
      </c>
    </row>
    <row r="949">
      <c r="A949">
        <f>IF(AND(OR(Query!$B$4="All",'Compliance Database'!$A949=Query!$B$4),OR(Query!$B$5="All",ISNUMBER(SEARCH(Query!$B$5,'Compliance Database'!$H949))),OR(Query!$B$6="All",ISNUMBER(SEARCH(Query!$B$6,'Compliance Database'!$I949))),OR(Query!$B$7="All",'Compliance Database'!$F949=Query!$B$7),OR(Query!$B$8="All",'Compliance Database'!$J949=Query!$B$8),OR(Query!$B$9="",ISNUMBER(SEARCH(Query!$B$9,'Compliance Database'!$D949&amp;" "&amp;'Compliance Database'!$K949&amp;" "&amp;'Compliance Database'!$L949&amp;" "&amp;'Compliance Database'!$M949&amp;" "&amp;'Compliance Database'!$N949&amp;" "&amp;'Compliance Database'!$O949))),OR(Query!$B$10&lt;&gt;"Yes",'Compliance Database'!$F949&lt;&gt;"None")),1,0)</f>
        <v/>
      </c>
      <c r="B949">
        <f>IF($A949=1,SUM($A$2:$A949),"")</f>
        <v/>
      </c>
      <c r="C949">
        <f>IF($A949=1,SUM($A$2:$A949),0)</f>
        <v/>
      </c>
    </row>
    <row r="950">
      <c r="A950">
        <f>IF(AND(OR(Query!$B$4="All",'Compliance Database'!$A950=Query!$B$4),OR(Query!$B$5="All",ISNUMBER(SEARCH(Query!$B$5,'Compliance Database'!$H950))),OR(Query!$B$6="All",ISNUMBER(SEARCH(Query!$B$6,'Compliance Database'!$I950))),OR(Query!$B$7="All",'Compliance Database'!$F950=Query!$B$7),OR(Query!$B$8="All",'Compliance Database'!$J950=Query!$B$8),OR(Query!$B$9="",ISNUMBER(SEARCH(Query!$B$9,'Compliance Database'!$D950&amp;" "&amp;'Compliance Database'!$K950&amp;" "&amp;'Compliance Database'!$L950&amp;" "&amp;'Compliance Database'!$M950&amp;" "&amp;'Compliance Database'!$N950&amp;" "&amp;'Compliance Database'!$O950))),OR(Query!$B$10&lt;&gt;"Yes",'Compliance Database'!$F950&lt;&gt;"None")),1,0)</f>
        <v/>
      </c>
      <c r="B950">
        <f>IF($A950=1,SUM($A$2:$A950),"")</f>
        <v/>
      </c>
      <c r="C950">
        <f>IF($A950=1,SUM($A$2:$A950),0)</f>
        <v/>
      </c>
    </row>
    <row r="951">
      <c r="A951">
        <f>IF(AND(OR(Query!$B$4="All",'Compliance Database'!$A951=Query!$B$4),OR(Query!$B$5="All",ISNUMBER(SEARCH(Query!$B$5,'Compliance Database'!$H951))),OR(Query!$B$6="All",ISNUMBER(SEARCH(Query!$B$6,'Compliance Database'!$I951))),OR(Query!$B$7="All",'Compliance Database'!$F951=Query!$B$7),OR(Query!$B$8="All",'Compliance Database'!$J951=Query!$B$8),OR(Query!$B$9="",ISNUMBER(SEARCH(Query!$B$9,'Compliance Database'!$D951&amp;" "&amp;'Compliance Database'!$K951&amp;" "&amp;'Compliance Database'!$L951&amp;" "&amp;'Compliance Database'!$M951&amp;" "&amp;'Compliance Database'!$N951&amp;" "&amp;'Compliance Database'!$O951))),OR(Query!$B$10&lt;&gt;"Yes",'Compliance Database'!$F951&lt;&gt;"None")),1,0)</f>
        <v/>
      </c>
      <c r="B951">
        <f>IF($A951=1,SUM($A$2:$A951),"")</f>
        <v/>
      </c>
      <c r="C951">
        <f>IF($A951=1,SUM($A$2:$A951),0)</f>
        <v/>
      </c>
    </row>
    <row r="952">
      <c r="A952">
        <f>IF(AND(OR(Query!$B$4="All",'Compliance Database'!$A952=Query!$B$4),OR(Query!$B$5="All",ISNUMBER(SEARCH(Query!$B$5,'Compliance Database'!$H952))),OR(Query!$B$6="All",ISNUMBER(SEARCH(Query!$B$6,'Compliance Database'!$I952))),OR(Query!$B$7="All",'Compliance Database'!$F952=Query!$B$7),OR(Query!$B$8="All",'Compliance Database'!$J952=Query!$B$8),OR(Query!$B$9="",ISNUMBER(SEARCH(Query!$B$9,'Compliance Database'!$D952&amp;" "&amp;'Compliance Database'!$K952&amp;" "&amp;'Compliance Database'!$L952&amp;" "&amp;'Compliance Database'!$M952&amp;" "&amp;'Compliance Database'!$N952&amp;" "&amp;'Compliance Database'!$O952))),OR(Query!$B$10&lt;&gt;"Yes",'Compliance Database'!$F952&lt;&gt;"None")),1,0)</f>
        <v/>
      </c>
      <c r="B952">
        <f>IF($A952=1,SUM($A$2:$A952),"")</f>
        <v/>
      </c>
      <c r="C952">
        <f>IF($A952=1,SUM($A$2:$A952),0)</f>
        <v/>
      </c>
    </row>
    <row r="953">
      <c r="A953">
        <f>IF(AND(OR(Query!$B$4="All",'Compliance Database'!$A953=Query!$B$4),OR(Query!$B$5="All",ISNUMBER(SEARCH(Query!$B$5,'Compliance Database'!$H953))),OR(Query!$B$6="All",ISNUMBER(SEARCH(Query!$B$6,'Compliance Database'!$I953))),OR(Query!$B$7="All",'Compliance Database'!$F953=Query!$B$7),OR(Query!$B$8="All",'Compliance Database'!$J953=Query!$B$8),OR(Query!$B$9="",ISNUMBER(SEARCH(Query!$B$9,'Compliance Database'!$D953&amp;" "&amp;'Compliance Database'!$K953&amp;" "&amp;'Compliance Database'!$L953&amp;" "&amp;'Compliance Database'!$M953&amp;" "&amp;'Compliance Database'!$N953&amp;" "&amp;'Compliance Database'!$O953))),OR(Query!$B$10&lt;&gt;"Yes",'Compliance Database'!$F953&lt;&gt;"None")),1,0)</f>
        <v/>
      </c>
      <c r="B953">
        <f>IF($A953=1,SUM($A$2:$A953),"")</f>
        <v/>
      </c>
      <c r="C953">
        <f>IF($A953=1,SUM($A$2:$A953),0)</f>
        <v/>
      </c>
    </row>
    <row r="954">
      <c r="A954">
        <f>IF(AND(OR(Query!$B$4="All",'Compliance Database'!$A954=Query!$B$4),OR(Query!$B$5="All",ISNUMBER(SEARCH(Query!$B$5,'Compliance Database'!$H954))),OR(Query!$B$6="All",ISNUMBER(SEARCH(Query!$B$6,'Compliance Database'!$I954))),OR(Query!$B$7="All",'Compliance Database'!$F954=Query!$B$7),OR(Query!$B$8="All",'Compliance Database'!$J954=Query!$B$8),OR(Query!$B$9="",ISNUMBER(SEARCH(Query!$B$9,'Compliance Database'!$D954&amp;" "&amp;'Compliance Database'!$K954&amp;" "&amp;'Compliance Database'!$L954&amp;" "&amp;'Compliance Database'!$M954&amp;" "&amp;'Compliance Database'!$N954&amp;" "&amp;'Compliance Database'!$O954))),OR(Query!$B$10&lt;&gt;"Yes",'Compliance Database'!$F954&lt;&gt;"None")),1,0)</f>
        <v/>
      </c>
      <c r="B954">
        <f>IF($A954=1,SUM($A$2:$A954),"")</f>
        <v/>
      </c>
      <c r="C954">
        <f>IF($A954=1,SUM($A$2:$A954),0)</f>
        <v/>
      </c>
    </row>
    <row r="955">
      <c r="A955">
        <f>IF(AND(OR(Query!$B$4="All",'Compliance Database'!$A955=Query!$B$4),OR(Query!$B$5="All",ISNUMBER(SEARCH(Query!$B$5,'Compliance Database'!$H955))),OR(Query!$B$6="All",ISNUMBER(SEARCH(Query!$B$6,'Compliance Database'!$I955))),OR(Query!$B$7="All",'Compliance Database'!$F955=Query!$B$7),OR(Query!$B$8="All",'Compliance Database'!$J955=Query!$B$8),OR(Query!$B$9="",ISNUMBER(SEARCH(Query!$B$9,'Compliance Database'!$D955&amp;" "&amp;'Compliance Database'!$K955&amp;" "&amp;'Compliance Database'!$L955&amp;" "&amp;'Compliance Database'!$M955&amp;" "&amp;'Compliance Database'!$N955&amp;" "&amp;'Compliance Database'!$O955))),OR(Query!$B$10&lt;&gt;"Yes",'Compliance Database'!$F955&lt;&gt;"None")),1,0)</f>
        <v/>
      </c>
      <c r="B955">
        <f>IF($A955=1,SUM($A$2:$A955),"")</f>
        <v/>
      </c>
      <c r="C955">
        <f>IF($A955=1,SUM($A$2:$A955),0)</f>
        <v/>
      </c>
    </row>
    <row r="956">
      <c r="A956">
        <f>IF(AND(OR(Query!$B$4="All",'Compliance Database'!$A956=Query!$B$4),OR(Query!$B$5="All",ISNUMBER(SEARCH(Query!$B$5,'Compliance Database'!$H956))),OR(Query!$B$6="All",ISNUMBER(SEARCH(Query!$B$6,'Compliance Database'!$I956))),OR(Query!$B$7="All",'Compliance Database'!$F956=Query!$B$7),OR(Query!$B$8="All",'Compliance Database'!$J956=Query!$B$8),OR(Query!$B$9="",ISNUMBER(SEARCH(Query!$B$9,'Compliance Database'!$D956&amp;" "&amp;'Compliance Database'!$K956&amp;" "&amp;'Compliance Database'!$L956&amp;" "&amp;'Compliance Database'!$M956&amp;" "&amp;'Compliance Database'!$N956&amp;" "&amp;'Compliance Database'!$O956))),OR(Query!$B$10&lt;&gt;"Yes",'Compliance Database'!$F956&lt;&gt;"None")),1,0)</f>
        <v/>
      </c>
      <c r="B956">
        <f>IF($A956=1,SUM($A$2:$A956),"")</f>
        <v/>
      </c>
      <c r="C956">
        <f>IF($A956=1,SUM($A$2:$A956),0)</f>
        <v/>
      </c>
    </row>
    <row r="957">
      <c r="A957">
        <f>IF(AND(OR(Query!$B$4="All",'Compliance Database'!$A957=Query!$B$4),OR(Query!$B$5="All",ISNUMBER(SEARCH(Query!$B$5,'Compliance Database'!$H957))),OR(Query!$B$6="All",ISNUMBER(SEARCH(Query!$B$6,'Compliance Database'!$I957))),OR(Query!$B$7="All",'Compliance Database'!$F957=Query!$B$7),OR(Query!$B$8="All",'Compliance Database'!$J957=Query!$B$8),OR(Query!$B$9="",ISNUMBER(SEARCH(Query!$B$9,'Compliance Database'!$D957&amp;" "&amp;'Compliance Database'!$K957&amp;" "&amp;'Compliance Database'!$L957&amp;" "&amp;'Compliance Database'!$M957&amp;" "&amp;'Compliance Database'!$N957&amp;" "&amp;'Compliance Database'!$O957))),OR(Query!$B$10&lt;&gt;"Yes",'Compliance Database'!$F957&lt;&gt;"None")),1,0)</f>
        <v/>
      </c>
      <c r="B957">
        <f>IF($A957=1,SUM($A$2:$A957),"")</f>
        <v/>
      </c>
      <c r="C957">
        <f>IF($A957=1,SUM($A$2:$A957),0)</f>
        <v/>
      </c>
    </row>
    <row r="958">
      <c r="A958">
        <f>IF(AND(OR(Query!$B$4="All",'Compliance Database'!$A958=Query!$B$4),OR(Query!$B$5="All",ISNUMBER(SEARCH(Query!$B$5,'Compliance Database'!$H958))),OR(Query!$B$6="All",ISNUMBER(SEARCH(Query!$B$6,'Compliance Database'!$I958))),OR(Query!$B$7="All",'Compliance Database'!$F958=Query!$B$7),OR(Query!$B$8="All",'Compliance Database'!$J958=Query!$B$8),OR(Query!$B$9="",ISNUMBER(SEARCH(Query!$B$9,'Compliance Database'!$D958&amp;" "&amp;'Compliance Database'!$K958&amp;" "&amp;'Compliance Database'!$L958&amp;" "&amp;'Compliance Database'!$M958&amp;" "&amp;'Compliance Database'!$N958&amp;" "&amp;'Compliance Database'!$O958))),OR(Query!$B$10&lt;&gt;"Yes",'Compliance Database'!$F958&lt;&gt;"None")),1,0)</f>
        <v/>
      </c>
      <c r="B958">
        <f>IF($A958=1,SUM($A$2:$A958),"")</f>
        <v/>
      </c>
      <c r="C958">
        <f>IF($A958=1,SUM($A$2:$A958),0)</f>
        <v/>
      </c>
    </row>
    <row r="959">
      <c r="A959">
        <f>IF(AND(OR(Query!$B$4="All",'Compliance Database'!$A959=Query!$B$4),OR(Query!$B$5="All",ISNUMBER(SEARCH(Query!$B$5,'Compliance Database'!$H959))),OR(Query!$B$6="All",ISNUMBER(SEARCH(Query!$B$6,'Compliance Database'!$I959))),OR(Query!$B$7="All",'Compliance Database'!$F959=Query!$B$7),OR(Query!$B$8="All",'Compliance Database'!$J959=Query!$B$8),OR(Query!$B$9="",ISNUMBER(SEARCH(Query!$B$9,'Compliance Database'!$D959&amp;" "&amp;'Compliance Database'!$K959&amp;" "&amp;'Compliance Database'!$L959&amp;" "&amp;'Compliance Database'!$M959&amp;" "&amp;'Compliance Database'!$N959&amp;" "&amp;'Compliance Database'!$O959))),OR(Query!$B$10&lt;&gt;"Yes",'Compliance Database'!$F959&lt;&gt;"None")),1,0)</f>
        <v/>
      </c>
      <c r="B959">
        <f>IF($A959=1,SUM($A$2:$A959),"")</f>
        <v/>
      </c>
      <c r="C959">
        <f>IF($A959=1,SUM($A$2:$A959),0)</f>
        <v/>
      </c>
    </row>
    <row r="960">
      <c r="A960">
        <f>IF(AND(OR(Query!$B$4="All",'Compliance Database'!$A960=Query!$B$4),OR(Query!$B$5="All",ISNUMBER(SEARCH(Query!$B$5,'Compliance Database'!$H960))),OR(Query!$B$6="All",ISNUMBER(SEARCH(Query!$B$6,'Compliance Database'!$I960))),OR(Query!$B$7="All",'Compliance Database'!$F960=Query!$B$7),OR(Query!$B$8="All",'Compliance Database'!$J960=Query!$B$8),OR(Query!$B$9="",ISNUMBER(SEARCH(Query!$B$9,'Compliance Database'!$D960&amp;" "&amp;'Compliance Database'!$K960&amp;" "&amp;'Compliance Database'!$L960&amp;" "&amp;'Compliance Database'!$M960&amp;" "&amp;'Compliance Database'!$N960&amp;" "&amp;'Compliance Database'!$O960))),OR(Query!$B$10&lt;&gt;"Yes",'Compliance Database'!$F960&lt;&gt;"None")),1,0)</f>
        <v/>
      </c>
      <c r="B960">
        <f>IF($A960=1,SUM($A$2:$A960),"")</f>
        <v/>
      </c>
      <c r="C960">
        <f>IF($A960=1,SUM($A$2:$A960),0)</f>
        <v/>
      </c>
    </row>
    <row r="961">
      <c r="A961">
        <f>IF(AND(OR(Query!$B$4="All",'Compliance Database'!$A961=Query!$B$4),OR(Query!$B$5="All",ISNUMBER(SEARCH(Query!$B$5,'Compliance Database'!$H961))),OR(Query!$B$6="All",ISNUMBER(SEARCH(Query!$B$6,'Compliance Database'!$I961))),OR(Query!$B$7="All",'Compliance Database'!$F961=Query!$B$7),OR(Query!$B$8="All",'Compliance Database'!$J961=Query!$B$8),OR(Query!$B$9="",ISNUMBER(SEARCH(Query!$B$9,'Compliance Database'!$D961&amp;" "&amp;'Compliance Database'!$K961&amp;" "&amp;'Compliance Database'!$L961&amp;" "&amp;'Compliance Database'!$M961&amp;" "&amp;'Compliance Database'!$N961&amp;" "&amp;'Compliance Database'!$O961))),OR(Query!$B$10&lt;&gt;"Yes",'Compliance Database'!$F961&lt;&gt;"None")),1,0)</f>
        <v/>
      </c>
      <c r="B961">
        <f>IF($A961=1,SUM($A$2:$A961),"")</f>
        <v/>
      </c>
      <c r="C961">
        <f>IF($A961=1,SUM($A$2:$A961),0)</f>
        <v/>
      </c>
    </row>
    <row r="962">
      <c r="A962">
        <f>IF(AND(OR(Query!$B$4="All",'Compliance Database'!$A962=Query!$B$4),OR(Query!$B$5="All",ISNUMBER(SEARCH(Query!$B$5,'Compliance Database'!$H962))),OR(Query!$B$6="All",ISNUMBER(SEARCH(Query!$B$6,'Compliance Database'!$I962))),OR(Query!$B$7="All",'Compliance Database'!$F962=Query!$B$7),OR(Query!$B$8="All",'Compliance Database'!$J962=Query!$B$8),OR(Query!$B$9="",ISNUMBER(SEARCH(Query!$B$9,'Compliance Database'!$D962&amp;" "&amp;'Compliance Database'!$K962&amp;" "&amp;'Compliance Database'!$L962&amp;" "&amp;'Compliance Database'!$M962&amp;" "&amp;'Compliance Database'!$N962&amp;" "&amp;'Compliance Database'!$O962))),OR(Query!$B$10&lt;&gt;"Yes",'Compliance Database'!$F962&lt;&gt;"None")),1,0)</f>
        <v/>
      </c>
      <c r="B962">
        <f>IF($A962=1,SUM($A$2:$A962),"")</f>
        <v/>
      </c>
      <c r="C962">
        <f>IF($A962=1,SUM($A$2:$A962),0)</f>
        <v/>
      </c>
    </row>
    <row r="963">
      <c r="A963">
        <f>IF(AND(OR(Query!$B$4="All",'Compliance Database'!$A963=Query!$B$4),OR(Query!$B$5="All",ISNUMBER(SEARCH(Query!$B$5,'Compliance Database'!$H963))),OR(Query!$B$6="All",ISNUMBER(SEARCH(Query!$B$6,'Compliance Database'!$I963))),OR(Query!$B$7="All",'Compliance Database'!$F963=Query!$B$7),OR(Query!$B$8="All",'Compliance Database'!$J963=Query!$B$8),OR(Query!$B$9="",ISNUMBER(SEARCH(Query!$B$9,'Compliance Database'!$D963&amp;" "&amp;'Compliance Database'!$K963&amp;" "&amp;'Compliance Database'!$L963&amp;" "&amp;'Compliance Database'!$M963&amp;" "&amp;'Compliance Database'!$N963&amp;" "&amp;'Compliance Database'!$O963))),OR(Query!$B$10&lt;&gt;"Yes",'Compliance Database'!$F963&lt;&gt;"None")),1,0)</f>
        <v/>
      </c>
      <c r="B963">
        <f>IF($A963=1,SUM($A$2:$A963),"")</f>
        <v/>
      </c>
      <c r="C963">
        <f>IF($A963=1,SUM($A$2:$A963),0)</f>
        <v/>
      </c>
    </row>
    <row r="964">
      <c r="A964">
        <f>IF(AND(OR(Query!$B$4="All",'Compliance Database'!$A964=Query!$B$4),OR(Query!$B$5="All",ISNUMBER(SEARCH(Query!$B$5,'Compliance Database'!$H964))),OR(Query!$B$6="All",ISNUMBER(SEARCH(Query!$B$6,'Compliance Database'!$I964))),OR(Query!$B$7="All",'Compliance Database'!$F964=Query!$B$7),OR(Query!$B$8="All",'Compliance Database'!$J964=Query!$B$8),OR(Query!$B$9="",ISNUMBER(SEARCH(Query!$B$9,'Compliance Database'!$D964&amp;" "&amp;'Compliance Database'!$K964&amp;" "&amp;'Compliance Database'!$L964&amp;" "&amp;'Compliance Database'!$M964&amp;" "&amp;'Compliance Database'!$N964&amp;" "&amp;'Compliance Database'!$O964))),OR(Query!$B$10&lt;&gt;"Yes",'Compliance Database'!$F964&lt;&gt;"None")),1,0)</f>
        <v/>
      </c>
      <c r="B964">
        <f>IF($A964=1,SUM($A$2:$A964),"")</f>
        <v/>
      </c>
      <c r="C964">
        <f>IF($A964=1,SUM($A$2:$A964),0)</f>
        <v/>
      </c>
    </row>
    <row r="965">
      <c r="A965">
        <f>IF(AND(OR(Query!$B$4="All",'Compliance Database'!$A965=Query!$B$4),OR(Query!$B$5="All",ISNUMBER(SEARCH(Query!$B$5,'Compliance Database'!$H965))),OR(Query!$B$6="All",ISNUMBER(SEARCH(Query!$B$6,'Compliance Database'!$I965))),OR(Query!$B$7="All",'Compliance Database'!$F965=Query!$B$7),OR(Query!$B$8="All",'Compliance Database'!$J965=Query!$B$8),OR(Query!$B$9="",ISNUMBER(SEARCH(Query!$B$9,'Compliance Database'!$D965&amp;" "&amp;'Compliance Database'!$K965&amp;" "&amp;'Compliance Database'!$L965&amp;" "&amp;'Compliance Database'!$M965&amp;" "&amp;'Compliance Database'!$N965&amp;" "&amp;'Compliance Database'!$O965))),OR(Query!$B$10&lt;&gt;"Yes",'Compliance Database'!$F965&lt;&gt;"None")),1,0)</f>
        <v/>
      </c>
      <c r="B965">
        <f>IF($A965=1,SUM($A$2:$A965),"")</f>
        <v/>
      </c>
      <c r="C965">
        <f>IF($A965=1,SUM($A$2:$A965),0)</f>
        <v/>
      </c>
    </row>
    <row r="966">
      <c r="A966">
        <f>IF(AND(OR(Query!$B$4="All",'Compliance Database'!$A966=Query!$B$4),OR(Query!$B$5="All",ISNUMBER(SEARCH(Query!$B$5,'Compliance Database'!$H966))),OR(Query!$B$6="All",ISNUMBER(SEARCH(Query!$B$6,'Compliance Database'!$I966))),OR(Query!$B$7="All",'Compliance Database'!$F966=Query!$B$7),OR(Query!$B$8="All",'Compliance Database'!$J966=Query!$B$8),OR(Query!$B$9="",ISNUMBER(SEARCH(Query!$B$9,'Compliance Database'!$D966&amp;" "&amp;'Compliance Database'!$K966&amp;" "&amp;'Compliance Database'!$L966&amp;" "&amp;'Compliance Database'!$M966&amp;" "&amp;'Compliance Database'!$N966&amp;" "&amp;'Compliance Database'!$O966))),OR(Query!$B$10&lt;&gt;"Yes",'Compliance Database'!$F966&lt;&gt;"None")),1,0)</f>
        <v/>
      </c>
      <c r="B966">
        <f>IF($A966=1,SUM($A$2:$A966),"")</f>
        <v/>
      </c>
      <c r="C966">
        <f>IF($A966=1,SUM($A$2:$A966),0)</f>
        <v/>
      </c>
    </row>
    <row r="967">
      <c r="A967">
        <f>IF(AND(OR(Query!$B$4="All",'Compliance Database'!$A967=Query!$B$4),OR(Query!$B$5="All",ISNUMBER(SEARCH(Query!$B$5,'Compliance Database'!$H967))),OR(Query!$B$6="All",ISNUMBER(SEARCH(Query!$B$6,'Compliance Database'!$I967))),OR(Query!$B$7="All",'Compliance Database'!$F967=Query!$B$7),OR(Query!$B$8="All",'Compliance Database'!$J967=Query!$B$8),OR(Query!$B$9="",ISNUMBER(SEARCH(Query!$B$9,'Compliance Database'!$D967&amp;" "&amp;'Compliance Database'!$K967&amp;" "&amp;'Compliance Database'!$L967&amp;" "&amp;'Compliance Database'!$M967&amp;" "&amp;'Compliance Database'!$N967&amp;" "&amp;'Compliance Database'!$O967))),OR(Query!$B$10&lt;&gt;"Yes",'Compliance Database'!$F967&lt;&gt;"None")),1,0)</f>
        <v/>
      </c>
      <c r="B967">
        <f>IF($A967=1,SUM($A$2:$A967),"")</f>
        <v/>
      </c>
      <c r="C967">
        <f>IF($A967=1,SUM($A$2:$A967),0)</f>
        <v/>
      </c>
    </row>
    <row r="968">
      <c r="A968">
        <f>IF(AND(OR(Query!$B$4="All",'Compliance Database'!$A968=Query!$B$4),OR(Query!$B$5="All",ISNUMBER(SEARCH(Query!$B$5,'Compliance Database'!$H968))),OR(Query!$B$6="All",ISNUMBER(SEARCH(Query!$B$6,'Compliance Database'!$I968))),OR(Query!$B$7="All",'Compliance Database'!$F968=Query!$B$7),OR(Query!$B$8="All",'Compliance Database'!$J968=Query!$B$8),OR(Query!$B$9="",ISNUMBER(SEARCH(Query!$B$9,'Compliance Database'!$D968&amp;" "&amp;'Compliance Database'!$K968&amp;" "&amp;'Compliance Database'!$L968&amp;" "&amp;'Compliance Database'!$M968&amp;" "&amp;'Compliance Database'!$N968&amp;" "&amp;'Compliance Database'!$O968))),OR(Query!$B$10&lt;&gt;"Yes",'Compliance Database'!$F968&lt;&gt;"None")),1,0)</f>
        <v/>
      </c>
      <c r="B968">
        <f>IF($A968=1,SUM($A$2:$A968),"")</f>
        <v/>
      </c>
      <c r="C968">
        <f>IF($A968=1,SUM($A$2:$A968),0)</f>
        <v/>
      </c>
    </row>
    <row r="969">
      <c r="A969">
        <f>IF(AND(OR(Query!$B$4="All",'Compliance Database'!$A969=Query!$B$4),OR(Query!$B$5="All",ISNUMBER(SEARCH(Query!$B$5,'Compliance Database'!$H969))),OR(Query!$B$6="All",ISNUMBER(SEARCH(Query!$B$6,'Compliance Database'!$I969))),OR(Query!$B$7="All",'Compliance Database'!$F969=Query!$B$7),OR(Query!$B$8="All",'Compliance Database'!$J969=Query!$B$8),OR(Query!$B$9="",ISNUMBER(SEARCH(Query!$B$9,'Compliance Database'!$D969&amp;" "&amp;'Compliance Database'!$K969&amp;" "&amp;'Compliance Database'!$L969&amp;" "&amp;'Compliance Database'!$M969&amp;" "&amp;'Compliance Database'!$N969&amp;" "&amp;'Compliance Database'!$O969))),OR(Query!$B$10&lt;&gt;"Yes",'Compliance Database'!$F969&lt;&gt;"None")),1,0)</f>
        <v/>
      </c>
      <c r="B969">
        <f>IF($A969=1,SUM($A$2:$A969),"")</f>
        <v/>
      </c>
      <c r="C969">
        <f>IF($A969=1,SUM($A$2:$A969),0)</f>
        <v/>
      </c>
    </row>
    <row r="970">
      <c r="A970">
        <f>IF(AND(OR(Query!$B$4="All",'Compliance Database'!$A970=Query!$B$4),OR(Query!$B$5="All",ISNUMBER(SEARCH(Query!$B$5,'Compliance Database'!$H970))),OR(Query!$B$6="All",ISNUMBER(SEARCH(Query!$B$6,'Compliance Database'!$I970))),OR(Query!$B$7="All",'Compliance Database'!$F970=Query!$B$7),OR(Query!$B$8="All",'Compliance Database'!$J970=Query!$B$8),OR(Query!$B$9="",ISNUMBER(SEARCH(Query!$B$9,'Compliance Database'!$D970&amp;" "&amp;'Compliance Database'!$K970&amp;" "&amp;'Compliance Database'!$L970&amp;" "&amp;'Compliance Database'!$M970&amp;" "&amp;'Compliance Database'!$N970&amp;" "&amp;'Compliance Database'!$O970))),OR(Query!$B$10&lt;&gt;"Yes",'Compliance Database'!$F970&lt;&gt;"None")),1,0)</f>
        <v/>
      </c>
      <c r="B970">
        <f>IF($A970=1,SUM($A$2:$A970),"")</f>
        <v/>
      </c>
      <c r="C970">
        <f>IF($A970=1,SUM($A$2:$A970),0)</f>
        <v/>
      </c>
    </row>
    <row r="971">
      <c r="A971">
        <f>IF(AND(OR(Query!$B$4="All",'Compliance Database'!$A971=Query!$B$4),OR(Query!$B$5="All",ISNUMBER(SEARCH(Query!$B$5,'Compliance Database'!$H971))),OR(Query!$B$6="All",ISNUMBER(SEARCH(Query!$B$6,'Compliance Database'!$I971))),OR(Query!$B$7="All",'Compliance Database'!$F971=Query!$B$7),OR(Query!$B$8="All",'Compliance Database'!$J971=Query!$B$8),OR(Query!$B$9="",ISNUMBER(SEARCH(Query!$B$9,'Compliance Database'!$D971&amp;" "&amp;'Compliance Database'!$K971&amp;" "&amp;'Compliance Database'!$L971&amp;" "&amp;'Compliance Database'!$M971&amp;" "&amp;'Compliance Database'!$N971&amp;" "&amp;'Compliance Database'!$O971))),OR(Query!$B$10&lt;&gt;"Yes",'Compliance Database'!$F971&lt;&gt;"None")),1,0)</f>
        <v/>
      </c>
      <c r="B971">
        <f>IF($A971=1,SUM($A$2:$A971),"")</f>
        <v/>
      </c>
      <c r="C971">
        <f>IF($A971=1,SUM($A$2:$A971),0)</f>
        <v/>
      </c>
    </row>
    <row r="972">
      <c r="A972">
        <f>IF(AND(OR(Query!$B$4="All",'Compliance Database'!$A972=Query!$B$4),OR(Query!$B$5="All",ISNUMBER(SEARCH(Query!$B$5,'Compliance Database'!$H972))),OR(Query!$B$6="All",ISNUMBER(SEARCH(Query!$B$6,'Compliance Database'!$I972))),OR(Query!$B$7="All",'Compliance Database'!$F972=Query!$B$7),OR(Query!$B$8="All",'Compliance Database'!$J972=Query!$B$8),OR(Query!$B$9="",ISNUMBER(SEARCH(Query!$B$9,'Compliance Database'!$D972&amp;" "&amp;'Compliance Database'!$K972&amp;" "&amp;'Compliance Database'!$L972&amp;" "&amp;'Compliance Database'!$M972&amp;" "&amp;'Compliance Database'!$N972&amp;" "&amp;'Compliance Database'!$O972))),OR(Query!$B$10&lt;&gt;"Yes",'Compliance Database'!$F972&lt;&gt;"None")),1,0)</f>
        <v/>
      </c>
      <c r="B972">
        <f>IF($A972=1,SUM($A$2:$A972),"")</f>
        <v/>
      </c>
      <c r="C972">
        <f>IF($A972=1,SUM($A$2:$A972),0)</f>
        <v/>
      </c>
    </row>
    <row r="973">
      <c r="A973">
        <f>IF(AND(OR(Query!$B$4="All",'Compliance Database'!$A973=Query!$B$4),OR(Query!$B$5="All",ISNUMBER(SEARCH(Query!$B$5,'Compliance Database'!$H973))),OR(Query!$B$6="All",ISNUMBER(SEARCH(Query!$B$6,'Compliance Database'!$I973))),OR(Query!$B$7="All",'Compliance Database'!$F973=Query!$B$7),OR(Query!$B$8="All",'Compliance Database'!$J973=Query!$B$8),OR(Query!$B$9="",ISNUMBER(SEARCH(Query!$B$9,'Compliance Database'!$D973&amp;" "&amp;'Compliance Database'!$K973&amp;" "&amp;'Compliance Database'!$L973&amp;" "&amp;'Compliance Database'!$M973&amp;" "&amp;'Compliance Database'!$N973&amp;" "&amp;'Compliance Database'!$O973))),OR(Query!$B$10&lt;&gt;"Yes",'Compliance Database'!$F973&lt;&gt;"None")),1,0)</f>
        <v/>
      </c>
      <c r="B973">
        <f>IF($A973=1,SUM($A$2:$A973),"")</f>
        <v/>
      </c>
      <c r="C973">
        <f>IF($A973=1,SUM($A$2:$A973),0)</f>
        <v/>
      </c>
    </row>
    <row r="974">
      <c r="A974">
        <f>IF(AND(OR(Query!$B$4="All",'Compliance Database'!$A974=Query!$B$4),OR(Query!$B$5="All",ISNUMBER(SEARCH(Query!$B$5,'Compliance Database'!$H974))),OR(Query!$B$6="All",ISNUMBER(SEARCH(Query!$B$6,'Compliance Database'!$I974))),OR(Query!$B$7="All",'Compliance Database'!$F974=Query!$B$7),OR(Query!$B$8="All",'Compliance Database'!$J974=Query!$B$8),OR(Query!$B$9="",ISNUMBER(SEARCH(Query!$B$9,'Compliance Database'!$D974&amp;" "&amp;'Compliance Database'!$K974&amp;" "&amp;'Compliance Database'!$L974&amp;" "&amp;'Compliance Database'!$M974&amp;" "&amp;'Compliance Database'!$N974&amp;" "&amp;'Compliance Database'!$O974))),OR(Query!$B$10&lt;&gt;"Yes",'Compliance Database'!$F974&lt;&gt;"None")),1,0)</f>
        <v/>
      </c>
      <c r="B974">
        <f>IF($A974=1,SUM($A$2:$A974),"")</f>
        <v/>
      </c>
      <c r="C974">
        <f>IF($A974=1,SUM($A$2:$A974),0)</f>
        <v/>
      </c>
    </row>
    <row r="975">
      <c r="A975">
        <f>IF(AND(OR(Query!$B$4="All",'Compliance Database'!$A975=Query!$B$4),OR(Query!$B$5="All",ISNUMBER(SEARCH(Query!$B$5,'Compliance Database'!$H975))),OR(Query!$B$6="All",ISNUMBER(SEARCH(Query!$B$6,'Compliance Database'!$I975))),OR(Query!$B$7="All",'Compliance Database'!$F975=Query!$B$7),OR(Query!$B$8="All",'Compliance Database'!$J975=Query!$B$8),OR(Query!$B$9="",ISNUMBER(SEARCH(Query!$B$9,'Compliance Database'!$D975&amp;" "&amp;'Compliance Database'!$K975&amp;" "&amp;'Compliance Database'!$L975&amp;" "&amp;'Compliance Database'!$M975&amp;" "&amp;'Compliance Database'!$N975&amp;" "&amp;'Compliance Database'!$O975))),OR(Query!$B$10&lt;&gt;"Yes",'Compliance Database'!$F975&lt;&gt;"None")),1,0)</f>
        <v/>
      </c>
      <c r="B975">
        <f>IF($A975=1,SUM($A$2:$A975),"")</f>
        <v/>
      </c>
      <c r="C975">
        <f>IF($A975=1,SUM($A$2:$A975),0)</f>
        <v/>
      </c>
    </row>
    <row r="976">
      <c r="A976">
        <f>IF(AND(OR(Query!$B$4="All",'Compliance Database'!$A976=Query!$B$4),OR(Query!$B$5="All",ISNUMBER(SEARCH(Query!$B$5,'Compliance Database'!$H976))),OR(Query!$B$6="All",ISNUMBER(SEARCH(Query!$B$6,'Compliance Database'!$I976))),OR(Query!$B$7="All",'Compliance Database'!$F976=Query!$B$7),OR(Query!$B$8="All",'Compliance Database'!$J976=Query!$B$8),OR(Query!$B$9="",ISNUMBER(SEARCH(Query!$B$9,'Compliance Database'!$D976&amp;" "&amp;'Compliance Database'!$K976&amp;" "&amp;'Compliance Database'!$L976&amp;" "&amp;'Compliance Database'!$M976&amp;" "&amp;'Compliance Database'!$N976&amp;" "&amp;'Compliance Database'!$O976))),OR(Query!$B$10&lt;&gt;"Yes",'Compliance Database'!$F976&lt;&gt;"None")),1,0)</f>
        <v/>
      </c>
      <c r="B976">
        <f>IF($A976=1,SUM($A$2:$A976),"")</f>
        <v/>
      </c>
      <c r="C976">
        <f>IF($A976=1,SUM($A$2:$A976),0)</f>
        <v/>
      </c>
    </row>
    <row r="977">
      <c r="A977">
        <f>IF(AND(OR(Query!$B$4="All",'Compliance Database'!$A977=Query!$B$4),OR(Query!$B$5="All",ISNUMBER(SEARCH(Query!$B$5,'Compliance Database'!$H977))),OR(Query!$B$6="All",ISNUMBER(SEARCH(Query!$B$6,'Compliance Database'!$I977))),OR(Query!$B$7="All",'Compliance Database'!$F977=Query!$B$7),OR(Query!$B$8="All",'Compliance Database'!$J977=Query!$B$8),OR(Query!$B$9="",ISNUMBER(SEARCH(Query!$B$9,'Compliance Database'!$D977&amp;" "&amp;'Compliance Database'!$K977&amp;" "&amp;'Compliance Database'!$L977&amp;" "&amp;'Compliance Database'!$M977&amp;" "&amp;'Compliance Database'!$N977&amp;" "&amp;'Compliance Database'!$O977))),OR(Query!$B$10&lt;&gt;"Yes",'Compliance Database'!$F977&lt;&gt;"None")),1,0)</f>
        <v/>
      </c>
      <c r="B977">
        <f>IF($A977=1,SUM($A$2:$A977),"")</f>
        <v/>
      </c>
      <c r="C977">
        <f>IF($A977=1,SUM($A$2:$A977),0)</f>
        <v/>
      </c>
    </row>
    <row r="978">
      <c r="A978">
        <f>IF(AND(OR(Query!$B$4="All",'Compliance Database'!$A978=Query!$B$4),OR(Query!$B$5="All",ISNUMBER(SEARCH(Query!$B$5,'Compliance Database'!$H978))),OR(Query!$B$6="All",ISNUMBER(SEARCH(Query!$B$6,'Compliance Database'!$I978))),OR(Query!$B$7="All",'Compliance Database'!$F978=Query!$B$7),OR(Query!$B$8="All",'Compliance Database'!$J978=Query!$B$8),OR(Query!$B$9="",ISNUMBER(SEARCH(Query!$B$9,'Compliance Database'!$D978&amp;" "&amp;'Compliance Database'!$K978&amp;" "&amp;'Compliance Database'!$L978&amp;" "&amp;'Compliance Database'!$M978&amp;" "&amp;'Compliance Database'!$N978&amp;" "&amp;'Compliance Database'!$O978))),OR(Query!$B$10&lt;&gt;"Yes",'Compliance Database'!$F978&lt;&gt;"None")),1,0)</f>
        <v/>
      </c>
      <c r="B978">
        <f>IF($A978=1,SUM($A$2:$A978),"")</f>
        <v/>
      </c>
      <c r="C978">
        <f>IF($A978=1,SUM($A$2:$A978),0)</f>
        <v/>
      </c>
    </row>
    <row r="979">
      <c r="A979">
        <f>IF(AND(OR(Query!$B$4="All",'Compliance Database'!$A979=Query!$B$4),OR(Query!$B$5="All",ISNUMBER(SEARCH(Query!$B$5,'Compliance Database'!$H979))),OR(Query!$B$6="All",ISNUMBER(SEARCH(Query!$B$6,'Compliance Database'!$I979))),OR(Query!$B$7="All",'Compliance Database'!$F979=Query!$B$7),OR(Query!$B$8="All",'Compliance Database'!$J979=Query!$B$8),OR(Query!$B$9="",ISNUMBER(SEARCH(Query!$B$9,'Compliance Database'!$D979&amp;" "&amp;'Compliance Database'!$K979&amp;" "&amp;'Compliance Database'!$L979&amp;" "&amp;'Compliance Database'!$M979&amp;" "&amp;'Compliance Database'!$N979&amp;" "&amp;'Compliance Database'!$O979))),OR(Query!$B$10&lt;&gt;"Yes",'Compliance Database'!$F979&lt;&gt;"None")),1,0)</f>
        <v/>
      </c>
      <c r="B979">
        <f>IF($A979=1,SUM($A$2:$A979),"")</f>
        <v/>
      </c>
      <c r="C979">
        <f>IF($A979=1,SUM($A$2:$A979),0)</f>
        <v/>
      </c>
    </row>
    <row r="980">
      <c r="A980">
        <f>IF(AND(OR(Query!$B$4="All",'Compliance Database'!$A980=Query!$B$4),OR(Query!$B$5="All",ISNUMBER(SEARCH(Query!$B$5,'Compliance Database'!$H980))),OR(Query!$B$6="All",ISNUMBER(SEARCH(Query!$B$6,'Compliance Database'!$I980))),OR(Query!$B$7="All",'Compliance Database'!$F980=Query!$B$7),OR(Query!$B$8="All",'Compliance Database'!$J980=Query!$B$8),OR(Query!$B$9="",ISNUMBER(SEARCH(Query!$B$9,'Compliance Database'!$D980&amp;" "&amp;'Compliance Database'!$K980&amp;" "&amp;'Compliance Database'!$L980&amp;" "&amp;'Compliance Database'!$M980&amp;" "&amp;'Compliance Database'!$N980&amp;" "&amp;'Compliance Database'!$O980))),OR(Query!$B$10&lt;&gt;"Yes",'Compliance Database'!$F980&lt;&gt;"None")),1,0)</f>
        <v/>
      </c>
      <c r="B980">
        <f>IF($A980=1,SUM($A$2:$A980),"")</f>
        <v/>
      </c>
      <c r="C980">
        <f>IF($A980=1,SUM($A$2:$A980),0)</f>
        <v/>
      </c>
    </row>
    <row r="981">
      <c r="A981">
        <f>IF(AND(OR(Query!$B$4="All",'Compliance Database'!$A981=Query!$B$4),OR(Query!$B$5="All",ISNUMBER(SEARCH(Query!$B$5,'Compliance Database'!$H981))),OR(Query!$B$6="All",ISNUMBER(SEARCH(Query!$B$6,'Compliance Database'!$I981))),OR(Query!$B$7="All",'Compliance Database'!$F981=Query!$B$7),OR(Query!$B$8="All",'Compliance Database'!$J981=Query!$B$8),OR(Query!$B$9="",ISNUMBER(SEARCH(Query!$B$9,'Compliance Database'!$D981&amp;" "&amp;'Compliance Database'!$K981&amp;" "&amp;'Compliance Database'!$L981&amp;" "&amp;'Compliance Database'!$M981&amp;" "&amp;'Compliance Database'!$N981&amp;" "&amp;'Compliance Database'!$O981))),OR(Query!$B$10&lt;&gt;"Yes",'Compliance Database'!$F981&lt;&gt;"None")),1,0)</f>
        <v/>
      </c>
      <c r="B981">
        <f>IF($A981=1,SUM($A$2:$A981),"")</f>
        <v/>
      </c>
      <c r="C981">
        <f>IF($A981=1,SUM($A$2:$A981),0)</f>
        <v/>
      </c>
    </row>
    <row r="982">
      <c r="A982">
        <f>IF(AND(OR(Query!$B$4="All",'Compliance Database'!$A982=Query!$B$4),OR(Query!$B$5="All",ISNUMBER(SEARCH(Query!$B$5,'Compliance Database'!$H982))),OR(Query!$B$6="All",ISNUMBER(SEARCH(Query!$B$6,'Compliance Database'!$I982))),OR(Query!$B$7="All",'Compliance Database'!$F982=Query!$B$7),OR(Query!$B$8="All",'Compliance Database'!$J982=Query!$B$8),OR(Query!$B$9="",ISNUMBER(SEARCH(Query!$B$9,'Compliance Database'!$D982&amp;" "&amp;'Compliance Database'!$K982&amp;" "&amp;'Compliance Database'!$L982&amp;" "&amp;'Compliance Database'!$M982&amp;" "&amp;'Compliance Database'!$N982&amp;" "&amp;'Compliance Database'!$O982))),OR(Query!$B$10&lt;&gt;"Yes",'Compliance Database'!$F982&lt;&gt;"None")),1,0)</f>
        <v/>
      </c>
      <c r="B982">
        <f>IF($A982=1,SUM($A$2:$A982),"")</f>
        <v/>
      </c>
      <c r="C982">
        <f>IF($A982=1,SUM($A$2:$A982),0)</f>
        <v/>
      </c>
    </row>
    <row r="983">
      <c r="A983">
        <f>IF(AND(OR(Query!$B$4="All",'Compliance Database'!$A983=Query!$B$4),OR(Query!$B$5="All",ISNUMBER(SEARCH(Query!$B$5,'Compliance Database'!$H983))),OR(Query!$B$6="All",ISNUMBER(SEARCH(Query!$B$6,'Compliance Database'!$I983))),OR(Query!$B$7="All",'Compliance Database'!$F983=Query!$B$7),OR(Query!$B$8="All",'Compliance Database'!$J983=Query!$B$8),OR(Query!$B$9="",ISNUMBER(SEARCH(Query!$B$9,'Compliance Database'!$D983&amp;" "&amp;'Compliance Database'!$K983&amp;" "&amp;'Compliance Database'!$L983&amp;" "&amp;'Compliance Database'!$M983&amp;" "&amp;'Compliance Database'!$N983&amp;" "&amp;'Compliance Database'!$O983))),OR(Query!$B$10&lt;&gt;"Yes",'Compliance Database'!$F983&lt;&gt;"None")),1,0)</f>
        <v/>
      </c>
      <c r="B983">
        <f>IF($A983=1,SUM($A$2:$A983),"")</f>
        <v/>
      </c>
      <c r="C983">
        <f>IF($A983=1,SUM($A$2:$A983),0)</f>
        <v/>
      </c>
    </row>
    <row r="984">
      <c r="A984">
        <f>IF(AND(OR(Query!$B$4="All",'Compliance Database'!$A984=Query!$B$4),OR(Query!$B$5="All",ISNUMBER(SEARCH(Query!$B$5,'Compliance Database'!$H984))),OR(Query!$B$6="All",ISNUMBER(SEARCH(Query!$B$6,'Compliance Database'!$I984))),OR(Query!$B$7="All",'Compliance Database'!$F984=Query!$B$7),OR(Query!$B$8="All",'Compliance Database'!$J984=Query!$B$8),OR(Query!$B$9="",ISNUMBER(SEARCH(Query!$B$9,'Compliance Database'!$D984&amp;" "&amp;'Compliance Database'!$K984&amp;" "&amp;'Compliance Database'!$L984&amp;" "&amp;'Compliance Database'!$M984&amp;" "&amp;'Compliance Database'!$N984&amp;" "&amp;'Compliance Database'!$O984))),OR(Query!$B$10&lt;&gt;"Yes",'Compliance Database'!$F984&lt;&gt;"None")),1,0)</f>
        <v/>
      </c>
      <c r="B984">
        <f>IF($A984=1,SUM($A$2:$A984),"")</f>
        <v/>
      </c>
      <c r="C984">
        <f>IF($A984=1,SUM($A$2:$A984),0)</f>
        <v/>
      </c>
    </row>
    <row r="985">
      <c r="A985">
        <f>IF(AND(OR(Query!$B$4="All",'Compliance Database'!$A985=Query!$B$4),OR(Query!$B$5="All",ISNUMBER(SEARCH(Query!$B$5,'Compliance Database'!$H985))),OR(Query!$B$6="All",ISNUMBER(SEARCH(Query!$B$6,'Compliance Database'!$I985))),OR(Query!$B$7="All",'Compliance Database'!$F985=Query!$B$7),OR(Query!$B$8="All",'Compliance Database'!$J985=Query!$B$8),OR(Query!$B$9="",ISNUMBER(SEARCH(Query!$B$9,'Compliance Database'!$D985&amp;" "&amp;'Compliance Database'!$K985&amp;" "&amp;'Compliance Database'!$L985&amp;" "&amp;'Compliance Database'!$M985&amp;" "&amp;'Compliance Database'!$N985&amp;" "&amp;'Compliance Database'!$O985))),OR(Query!$B$10&lt;&gt;"Yes",'Compliance Database'!$F985&lt;&gt;"None")),1,0)</f>
        <v/>
      </c>
      <c r="B985">
        <f>IF($A985=1,SUM($A$2:$A985),"")</f>
        <v/>
      </c>
      <c r="C985">
        <f>IF($A985=1,SUM($A$2:$A985),0)</f>
        <v/>
      </c>
    </row>
    <row r="986">
      <c r="A986">
        <f>IF(AND(OR(Query!$B$4="All",'Compliance Database'!$A986=Query!$B$4),OR(Query!$B$5="All",ISNUMBER(SEARCH(Query!$B$5,'Compliance Database'!$H986))),OR(Query!$B$6="All",ISNUMBER(SEARCH(Query!$B$6,'Compliance Database'!$I986))),OR(Query!$B$7="All",'Compliance Database'!$F986=Query!$B$7),OR(Query!$B$8="All",'Compliance Database'!$J986=Query!$B$8),OR(Query!$B$9="",ISNUMBER(SEARCH(Query!$B$9,'Compliance Database'!$D986&amp;" "&amp;'Compliance Database'!$K986&amp;" "&amp;'Compliance Database'!$L986&amp;" "&amp;'Compliance Database'!$M986&amp;" "&amp;'Compliance Database'!$N986&amp;" "&amp;'Compliance Database'!$O986))),OR(Query!$B$10&lt;&gt;"Yes",'Compliance Database'!$F986&lt;&gt;"None")),1,0)</f>
        <v/>
      </c>
      <c r="B986">
        <f>IF($A986=1,SUM($A$2:$A986),"")</f>
        <v/>
      </c>
      <c r="C986">
        <f>IF($A986=1,SUM($A$2:$A986),0)</f>
        <v/>
      </c>
    </row>
    <row r="987">
      <c r="A987">
        <f>IF(AND(OR(Query!$B$4="All",'Compliance Database'!$A987=Query!$B$4),OR(Query!$B$5="All",ISNUMBER(SEARCH(Query!$B$5,'Compliance Database'!$H987))),OR(Query!$B$6="All",ISNUMBER(SEARCH(Query!$B$6,'Compliance Database'!$I987))),OR(Query!$B$7="All",'Compliance Database'!$F987=Query!$B$7),OR(Query!$B$8="All",'Compliance Database'!$J987=Query!$B$8),OR(Query!$B$9="",ISNUMBER(SEARCH(Query!$B$9,'Compliance Database'!$D987&amp;" "&amp;'Compliance Database'!$K987&amp;" "&amp;'Compliance Database'!$L987&amp;" "&amp;'Compliance Database'!$M987&amp;" "&amp;'Compliance Database'!$N987&amp;" "&amp;'Compliance Database'!$O987))),OR(Query!$B$10&lt;&gt;"Yes",'Compliance Database'!$F987&lt;&gt;"None")),1,0)</f>
        <v/>
      </c>
      <c r="B987">
        <f>IF($A987=1,SUM($A$2:$A987),"")</f>
        <v/>
      </c>
      <c r="C987">
        <f>IF($A987=1,SUM($A$2:$A987),0)</f>
        <v/>
      </c>
    </row>
    <row r="988">
      <c r="A988">
        <f>IF(AND(OR(Query!$B$4="All",'Compliance Database'!$A988=Query!$B$4),OR(Query!$B$5="All",ISNUMBER(SEARCH(Query!$B$5,'Compliance Database'!$H988))),OR(Query!$B$6="All",ISNUMBER(SEARCH(Query!$B$6,'Compliance Database'!$I988))),OR(Query!$B$7="All",'Compliance Database'!$F988=Query!$B$7),OR(Query!$B$8="All",'Compliance Database'!$J988=Query!$B$8),OR(Query!$B$9="",ISNUMBER(SEARCH(Query!$B$9,'Compliance Database'!$D988&amp;" "&amp;'Compliance Database'!$K988&amp;" "&amp;'Compliance Database'!$L988&amp;" "&amp;'Compliance Database'!$M988&amp;" "&amp;'Compliance Database'!$N988&amp;" "&amp;'Compliance Database'!$O988))),OR(Query!$B$10&lt;&gt;"Yes",'Compliance Database'!$F988&lt;&gt;"None")),1,0)</f>
        <v/>
      </c>
      <c r="B988">
        <f>IF($A988=1,SUM($A$2:$A988),"")</f>
        <v/>
      </c>
      <c r="C988">
        <f>IF($A988=1,SUM($A$2:$A988),0)</f>
        <v/>
      </c>
    </row>
    <row r="989">
      <c r="A989">
        <f>IF(AND(OR(Query!$B$4="All",'Compliance Database'!$A989=Query!$B$4),OR(Query!$B$5="All",ISNUMBER(SEARCH(Query!$B$5,'Compliance Database'!$H989))),OR(Query!$B$6="All",ISNUMBER(SEARCH(Query!$B$6,'Compliance Database'!$I989))),OR(Query!$B$7="All",'Compliance Database'!$F989=Query!$B$7),OR(Query!$B$8="All",'Compliance Database'!$J989=Query!$B$8),OR(Query!$B$9="",ISNUMBER(SEARCH(Query!$B$9,'Compliance Database'!$D989&amp;" "&amp;'Compliance Database'!$K989&amp;" "&amp;'Compliance Database'!$L989&amp;" "&amp;'Compliance Database'!$M989&amp;" "&amp;'Compliance Database'!$N989&amp;" "&amp;'Compliance Database'!$O989))),OR(Query!$B$10&lt;&gt;"Yes",'Compliance Database'!$F989&lt;&gt;"None")),1,0)</f>
        <v/>
      </c>
      <c r="B989">
        <f>IF($A989=1,SUM($A$2:$A989),"")</f>
        <v/>
      </c>
      <c r="C989">
        <f>IF($A989=1,SUM($A$2:$A989),0)</f>
        <v/>
      </c>
    </row>
    <row r="990">
      <c r="A990">
        <f>IF(AND(OR(Query!$B$4="All",'Compliance Database'!$A990=Query!$B$4),OR(Query!$B$5="All",ISNUMBER(SEARCH(Query!$B$5,'Compliance Database'!$H990))),OR(Query!$B$6="All",ISNUMBER(SEARCH(Query!$B$6,'Compliance Database'!$I990))),OR(Query!$B$7="All",'Compliance Database'!$F990=Query!$B$7),OR(Query!$B$8="All",'Compliance Database'!$J990=Query!$B$8),OR(Query!$B$9="",ISNUMBER(SEARCH(Query!$B$9,'Compliance Database'!$D990&amp;" "&amp;'Compliance Database'!$K990&amp;" "&amp;'Compliance Database'!$L990&amp;" "&amp;'Compliance Database'!$M990&amp;" "&amp;'Compliance Database'!$N990&amp;" "&amp;'Compliance Database'!$O990))),OR(Query!$B$10&lt;&gt;"Yes",'Compliance Database'!$F990&lt;&gt;"None")),1,0)</f>
        <v/>
      </c>
      <c r="B990">
        <f>IF($A990=1,SUM($A$2:$A990),"")</f>
        <v/>
      </c>
      <c r="C990">
        <f>IF($A990=1,SUM($A$2:$A990),0)</f>
        <v/>
      </c>
    </row>
    <row r="991">
      <c r="A991">
        <f>IF(AND(OR(Query!$B$4="All",'Compliance Database'!$A991=Query!$B$4),OR(Query!$B$5="All",ISNUMBER(SEARCH(Query!$B$5,'Compliance Database'!$H991))),OR(Query!$B$6="All",ISNUMBER(SEARCH(Query!$B$6,'Compliance Database'!$I991))),OR(Query!$B$7="All",'Compliance Database'!$F991=Query!$B$7),OR(Query!$B$8="All",'Compliance Database'!$J991=Query!$B$8),OR(Query!$B$9="",ISNUMBER(SEARCH(Query!$B$9,'Compliance Database'!$D991&amp;" "&amp;'Compliance Database'!$K991&amp;" "&amp;'Compliance Database'!$L991&amp;" "&amp;'Compliance Database'!$M991&amp;" "&amp;'Compliance Database'!$N991&amp;" "&amp;'Compliance Database'!$O991))),OR(Query!$B$10&lt;&gt;"Yes",'Compliance Database'!$F991&lt;&gt;"None")),1,0)</f>
        <v/>
      </c>
      <c r="B991">
        <f>IF($A991=1,SUM($A$2:$A991),"")</f>
        <v/>
      </c>
      <c r="C991">
        <f>IF($A991=1,SUM($A$2:$A991),0)</f>
        <v/>
      </c>
    </row>
    <row r="992">
      <c r="A992">
        <f>IF(AND(OR(Query!$B$4="All",'Compliance Database'!$A992=Query!$B$4),OR(Query!$B$5="All",ISNUMBER(SEARCH(Query!$B$5,'Compliance Database'!$H992))),OR(Query!$B$6="All",ISNUMBER(SEARCH(Query!$B$6,'Compliance Database'!$I992))),OR(Query!$B$7="All",'Compliance Database'!$F992=Query!$B$7),OR(Query!$B$8="All",'Compliance Database'!$J992=Query!$B$8),OR(Query!$B$9="",ISNUMBER(SEARCH(Query!$B$9,'Compliance Database'!$D992&amp;" "&amp;'Compliance Database'!$K992&amp;" "&amp;'Compliance Database'!$L992&amp;" "&amp;'Compliance Database'!$M992&amp;" "&amp;'Compliance Database'!$N992&amp;" "&amp;'Compliance Database'!$O992))),OR(Query!$B$10&lt;&gt;"Yes",'Compliance Database'!$F992&lt;&gt;"None")),1,0)</f>
        <v/>
      </c>
      <c r="B992">
        <f>IF($A992=1,SUM($A$2:$A992),"")</f>
        <v/>
      </c>
      <c r="C992">
        <f>IF($A992=1,SUM($A$2:$A992),0)</f>
        <v/>
      </c>
    </row>
    <row r="993">
      <c r="A993">
        <f>IF(AND(OR(Query!$B$4="All",'Compliance Database'!$A993=Query!$B$4),OR(Query!$B$5="All",ISNUMBER(SEARCH(Query!$B$5,'Compliance Database'!$H993))),OR(Query!$B$6="All",ISNUMBER(SEARCH(Query!$B$6,'Compliance Database'!$I993))),OR(Query!$B$7="All",'Compliance Database'!$F993=Query!$B$7),OR(Query!$B$8="All",'Compliance Database'!$J993=Query!$B$8),OR(Query!$B$9="",ISNUMBER(SEARCH(Query!$B$9,'Compliance Database'!$D993&amp;" "&amp;'Compliance Database'!$K993&amp;" "&amp;'Compliance Database'!$L993&amp;" "&amp;'Compliance Database'!$M993&amp;" "&amp;'Compliance Database'!$N993&amp;" "&amp;'Compliance Database'!$O993))),OR(Query!$B$10&lt;&gt;"Yes",'Compliance Database'!$F993&lt;&gt;"None")),1,0)</f>
        <v/>
      </c>
      <c r="B993">
        <f>IF($A993=1,SUM($A$2:$A993),"")</f>
        <v/>
      </c>
      <c r="C993">
        <f>IF($A993=1,SUM($A$2:$A993),0)</f>
        <v/>
      </c>
    </row>
    <row r="994">
      <c r="A994">
        <f>IF(AND(OR(Query!$B$4="All",'Compliance Database'!$A994=Query!$B$4),OR(Query!$B$5="All",ISNUMBER(SEARCH(Query!$B$5,'Compliance Database'!$H994))),OR(Query!$B$6="All",ISNUMBER(SEARCH(Query!$B$6,'Compliance Database'!$I994))),OR(Query!$B$7="All",'Compliance Database'!$F994=Query!$B$7),OR(Query!$B$8="All",'Compliance Database'!$J994=Query!$B$8),OR(Query!$B$9="",ISNUMBER(SEARCH(Query!$B$9,'Compliance Database'!$D994&amp;" "&amp;'Compliance Database'!$K994&amp;" "&amp;'Compliance Database'!$L994&amp;" "&amp;'Compliance Database'!$M994&amp;" "&amp;'Compliance Database'!$N994&amp;" "&amp;'Compliance Database'!$O994))),OR(Query!$B$10&lt;&gt;"Yes",'Compliance Database'!$F994&lt;&gt;"None")),1,0)</f>
        <v/>
      </c>
      <c r="B994">
        <f>IF($A994=1,SUM($A$2:$A994),"")</f>
        <v/>
      </c>
      <c r="C994">
        <f>IF($A994=1,SUM($A$2:$A994),0)</f>
        <v/>
      </c>
    </row>
    <row r="995">
      <c r="A995">
        <f>IF(AND(OR(Query!$B$4="All",'Compliance Database'!$A995=Query!$B$4),OR(Query!$B$5="All",ISNUMBER(SEARCH(Query!$B$5,'Compliance Database'!$H995))),OR(Query!$B$6="All",ISNUMBER(SEARCH(Query!$B$6,'Compliance Database'!$I995))),OR(Query!$B$7="All",'Compliance Database'!$F995=Query!$B$7),OR(Query!$B$8="All",'Compliance Database'!$J995=Query!$B$8),OR(Query!$B$9="",ISNUMBER(SEARCH(Query!$B$9,'Compliance Database'!$D995&amp;" "&amp;'Compliance Database'!$K995&amp;" "&amp;'Compliance Database'!$L995&amp;" "&amp;'Compliance Database'!$M995&amp;" "&amp;'Compliance Database'!$N995&amp;" "&amp;'Compliance Database'!$O995))),OR(Query!$B$10&lt;&gt;"Yes",'Compliance Database'!$F995&lt;&gt;"None")),1,0)</f>
        <v/>
      </c>
      <c r="B995">
        <f>IF($A995=1,SUM($A$2:$A995),"")</f>
        <v/>
      </c>
      <c r="C995">
        <f>IF($A995=1,SUM($A$2:$A995),0)</f>
        <v/>
      </c>
    </row>
    <row r="996">
      <c r="A996">
        <f>IF(AND(OR(Query!$B$4="All",'Compliance Database'!$A996=Query!$B$4),OR(Query!$B$5="All",ISNUMBER(SEARCH(Query!$B$5,'Compliance Database'!$H996))),OR(Query!$B$6="All",ISNUMBER(SEARCH(Query!$B$6,'Compliance Database'!$I996))),OR(Query!$B$7="All",'Compliance Database'!$F996=Query!$B$7),OR(Query!$B$8="All",'Compliance Database'!$J996=Query!$B$8),OR(Query!$B$9="",ISNUMBER(SEARCH(Query!$B$9,'Compliance Database'!$D996&amp;" "&amp;'Compliance Database'!$K996&amp;" "&amp;'Compliance Database'!$L996&amp;" "&amp;'Compliance Database'!$M996&amp;" "&amp;'Compliance Database'!$N996&amp;" "&amp;'Compliance Database'!$O996))),OR(Query!$B$10&lt;&gt;"Yes",'Compliance Database'!$F996&lt;&gt;"None")),1,0)</f>
        <v/>
      </c>
      <c r="B996">
        <f>IF($A996=1,SUM($A$2:$A996),"")</f>
        <v/>
      </c>
      <c r="C996">
        <f>IF($A996=1,SUM($A$2:$A996),0)</f>
        <v/>
      </c>
    </row>
    <row r="997">
      <c r="A997">
        <f>IF(AND(OR(Query!$B$4="All",'Compliance Database'!$A997=Query!$B$4),OR(Query!$B$5="All",ISNUMBER(SEARCH(Query!$B$5,'Compliance Database'!$H997))),OR(Query!$B$6="All",ISNUMBER(SEARCH(Query!$B$6,'Compliance Database'!$I997))),OR(Query!$B$7="All",'Compliance Database'!$F997=Query!$B$7),OR(Query!$B$8="All",'Compliance Database'!$J997=Query!$B$8),OR(Query!$B$9="",ISNUMBER(SEARCH(Query!$B$9,'Compliance Database'!$D997&amp;" "&amp;'Compliance Database'!$K997&amp;" "&amp;'Compliance Database'!$L997&amp;" "&amp;'Compliance Database'!$M997&amp;" "&amp;'Compliance Database'!$N997&amp;" "&amp;'Compliance Database'!$O997))),OR(Query!$B$10&lt;&gt;"Yes",'Compliance Database'!$F997&lt;&gt;"None")),1,0)</f>
        <v/>
      </c>
      <c r="B997">
        <f>IF($A997=1,SUM($A$2:$A997),"")</f>
        <v/>
      </c>
      <c r="C997">
        <f>IF($A997=1,SUM($A$2:$A997),0)</f>
        <v/>
      </c>
    </row>
    <row r="998">
      <c r="A998">
        <f>IF(AND(OR(Query!$B$4="All",'Compliance Database'!$A998=Query!$B$4),OR(Query!$B$5="All",ISNUMBER(SEARCH(Query!$B$5,'Compliance Database'!$H998))),OR(Query!$B$6="All",ISNUMBER(SEARCH(Query!$B$6,'Compliance Database'!$I998))),OR(Query!$B$7="All",'Compliance Database'!$F998=Query!$B$7),OR(Query!$B$8="All",'Compliance Database'!$J998=Query!$B$8),OR(Query!$B$9="",ISNUMBER(SEARCH(Query!$B$9,'Compliance Database'!$D998&amp;" "&amp;'Compliance Database'!$K998&amp;" "&amp;'Compliance Database'!$L998&amp;" "&amp;'Compliance Database'!$M998&amp;" "&amp;'Compliance Database'!$N998&amp;" "&amp;'Compliance Database'!$O998))),OR(Query!$B$10&lt;&gt;"Yes",'Compliance Database'!$F998&lt;&gt;"None")),1,0)</f>
        <v/>
      </c>
      <c r="B998">
        <f>IF($A998=1,SUM($A$2:$A998),"")</f>
        <v/>
      </c>
      <c r="C998">
        <f>IF($A998=1,SUM($A$2:$A998),0)</f>
        <v/>
      </c>
    </row>
    <row r="999">
      <c r="A999">
        <f>IF(AND(OR(Query!$B$4="All",'Compliance Database'!$A999=Query!$B$4),OR(Query!$B$5="All",ISNUMBER(SEARCH(Query!$B$5,'Compliance Database'!$H999))),OR(Query!$B$6="All",ISNUMBER(SEARCH(Query!$B$6,'Compliance Database'!$I999))),OR(Query!$B$7="All",'Compliance Database'!$F999=Query!$B$7),OR(Query!$B$8="All",'Compliance Database'!$J999=Query!$B$8),OR(Query!$B$9="",ISNUMBER(SEARCH(Query!$B$9,'Compliance Database'!$D999&amp;" "&amp;'Compliance Database'!$K999&amp;" "&amp;'Compliance Database'!$L999&amp;" "&amp;'Compliance Database'!$M999&amp;" "&amp;'Compliance Database'!$N999&amp;" "&amp;'Compliance Database'!$O999))),OR(Query!$B$10&lt;&gt;"Yes",'Compliance Database'!$F999&lt;&gt;"None")),1,0)</f>
        <v/>
      </c>
      <c r="B999">
        <f>IF($A999=1,SUM($A$2:$A999),"")</f>
        <v/>
      </c>
      <c r="C999">
        <f>IF($A999=1,SUM($A$2:$A999),0)</f>
        <v/>
      </c>
    </row>
    <row r="1000">
      <c r="A1000">
        <f>IF(AND(OR(Query!$B$4="All",'Compliance Database'!$A1000=Query!$B$4),OR(Query!$B$5="All",ISNUMBER(SEARCH(Query!$B$5,'Compliance Database'!$H1000))),OR(Query!$B$6="All",ISNUMBER(SEARCH(Query!$B$6,'Compliance Database'!$I1000))),OR(Query!$B$7="All",'Compliance Database'!$F1000=Query!$B$7),OR(Query!$B$8="All",'Compliance Database'!$J1000=Query!$B$8),OR(Query!$B$9="",ISNUMBER(SEARCH(Query!$B$9,'Compliance Database'!$D1000&amp;" "&amp;'Compliance Database'!$K1000&amp;" "&amp;'Compliance Database'!$L1000&amp;" "&amp;'Compliance Database'!$M1000&amp;" "&amp;'Compliance Database'!$N1000&amp;" "&amp;'Compliance Database'!$O1000))),OR(Query!$B$10&lt;&gt;"Yes",'Compliance Database'!$F1000&lt;&gt;"None")),1,0)</f>
        <v/>
      </c>
      <c r="B1000">
        <f>IF($A1000=1,SUM($A$2:$A1000),"")</f>
        <v/>
      </c>
      <c r="C1000">
        <f>IF($A1000=1,SUM($A$2:$A1000),0)</f>
        <v/>
      </c>
    </row>
    <row r="1001">
      <c r="A1001">
        <f>IF(AND(OR(Query!$B$4="All",'Compliance Database'!$A1001=Query!$B$4),OR(Query!$B$5="All",ISNUMBER(SEARCH(Query!$B$5,'Compliance Database'!$H1001))),OR(Query!$B$6="All",ISNUMBER(SEARCH(Query!$B$6,'Compliance Database'!$I1001))),OR(Query!$B$7="All",'Compliance Database'!$F1001=Query!$B$7),OR(Query!$B$8="All",'Compliance Database'!$J1001=Query!$B$8),OR(Query!$B$9="",ISNUMBER(SEARCH(Query!$B$9,'Compliance Database'!$D1001&amp;" "&amp;'Compliance Database'!$K1001&amp;" "&amp;'Compliance Database'!$L1001&amp;" "&amp;'Compliance Database'!$M1001&amp;" "&amp;'Compliance Database'!$N1001&amp;" "&amp;'Compliance Database'!$O1001))),OR(Query!$B$10&lt;&gt;"Yes",'Compliance Database'!$F1001&lt;&gt;"None")),1,0)</f>
        <v/>
      </c>
      <c r="B1001">
        <f>IF($A1001=1,SUM($A$2:$A1001),"")</f>
        <v/>
      </c>
      <c r="C1001">
        <f>IF($A1001=1,SUM($A$2:$A1001),0)</f>
        <v/>
      </c>
    </row>
    <row r="1002">
      <c r="A1002">
        <f>IF(AND(OR(Query!$B$4="All",'Compliance Database'!$A1002=Query!$B$4),OR(Query!$B$5="All",ISNUMBER(SEARCH(Query!$B$5,'Compliance Database'!$H1002))),OR(Query!$B$6="All",ISNUMBER(SEARCH(Query!$B$6,'Compliance Database'!$I1002))),OR(Query!$B$7="All",'Compliance Database'!$F1002=Query!$B$7),OR(Query!$B$8="All",'Compliance Database'!$J1002=Query!$B$8),OR(Query!$B$9="",ISNUMBER(SEARCH(Query!$B$9,'Compliance Database'!$D1002&amp;" "&amp;'Compliance Database'!$K1002&amp;" "&amp;'Compliance Database'!$L1002&amp;" "&amp;'Compliance Database'!$M1002&amp;" "&amp;'Compliance Database'!$N1002&amp;" "&amp;'Compliance Database'!$O1002))),OR(Query!$B$10&lt;&gt;"Yes",'Compliance Database'!$F1002&lt;&gt;"None")),1,0)</f>
        <v/>
      </c>
      <c r="B1002">
        <f>IF($A1002=1,SUM($A$2:$A1002),"")</f>
        <v/>
      </c>
      <c r="C1002">
        <f>IF($A1002=1,SUM($A$2:$A1002),0)</f>
        <v/>
      </c>
    </row>
    <row r="1003">
      <c r="A1003">
        <f>IF(AND(OR(Query!$B$4="All",'Compliance Database'!$A1003=Query!$B$4),OR(Query!$B$5="All",ISNUMBER(SEARCH(Query!$B$5,'Compliance Database'!$H1003))),OR(Query!$B$6="All",ISNUMBER(SEARCH(Query!$B$6,'Compliance Database'!$I1003))),OR(Query!$B$7="All",'Compliance Database'!$F1003=Query!$B$7),OR(Query!$B$8="All",'Compliance Database'!$J1003=Query!$B$8),OR(Query!$B$9="",ISNUMBER(SEARCH(Query!$B$9,'Compliance Database'!$D1003&amp;" "&amp;'Compliance Database'!$K1003&amp;" "&amp;'Compliance Database'!$L1003&amp;" "&amp;'Compliance Database'!$M1003&amp;" "&amp;'Compliance Database'!$N1003&amp;" "&amp;'Compliance Database'!$O1003))),OR(Query!$B$10&lt;&gt;"Yes",'Compliance Database'!$F1003&lt;&gt;"None")),1,0)</f>
        <v/>
      </c>
      <c r="B1003">
        <f>IF($A1003=1,SUM($A$2:$A1003),"")</f>
        <v/>
      </c>
      <c r="C1003">
        <f>IF($A1003=1,SUM($A$2:$A1003),0)</f>
        <v/>
      </c>
    </row>
    <row r="1004">
      <c r="A1004">
        <f>IF(AND(OR(Query!$B$4="All",'Compliance Database'!$A1004=Query!$B$4),OR(Query!$B$5="All",ISNUMBER(SEARCH(Query!$B$5,'Compliance Database'!$H1004))),OR(Query!$B$6="All",ISNUMBER(SEARCH(Query!$B$6,'Compliance Database'!$I1004))),OR(Query!$B$7="All",'Compliance Database'!$F1004=Query!$B$7),OR(Query!$B$8="All",'Compliance Database'!$J1004=Query!$B$8),OR(Query!$B$9="",ISNUMBER(SEARCH(Query!$B$9,'Compliance Database'!$D1004&amp;" "&amp;'Compliance Database'!$K1004&amp;" "&amp;'Compliance Database'!$L1004&amp;" "&amp;'Compliance Database'!$M1004&amp;" "&amp;'Compliance Database'!$N1004&amp;" "&amp;'Compliance Database'!$O1004))),OR(Query!$B$10&lt;&gt;"Yes",'Compliance Database'!$F1004&lt;&gt;"None")),1,0)</f>
        <v/>
      </c>
      <c r="B1004">
        <f>IF($A1004=1,SUM($A$2:$A1004),"")</f>
        <v/>
      </c>
      <c r="C1004">
        <f>IF($A1004=1,SUM($A$2:$A1004),0)</f>
        <v/>
      </c>
    </row>
    <row r="1005">
      <c r="A1005">
        <f>IF(AND(OR(Query!$B$4="All",'Compliance Database'!$A1005=Query!$B$4),OR(Query!$B$5="All",ISNUMBER(SEARCH(Query!$B$5,'Compliance Database'!$H1005))),OR(Query!$B$6="All",ISNUMBER(SEARCH(Query!$B$6,'Compliance Database'!$I1005))),OR(Query!$B$7="All",'Compliance Database'!$F1005=Query!$B$7),OR(Query!$B$8="All",'Compliance Database'!$J1005=Query!$B$8),OR(Query!$B$9="",ISNUMBER(SEARCH(Query!$B$9,'Compliance Database'!$D1005&amp;" "&amp;'Compliance Database'!$K1005&amp;" "&amp;'Compliance Database'!$L1005&amp;" "&amp;'Compliance Database'!$M1005&amp;" "&amp;'Compliance Database'!$N1005&amp;" "&amp;'Compliance Database'!$O1005))),OR(Query!$B$10&lt;&gt;"Yes",'Compliance Database'!$F1005&lt;&gt;"None")),1,0)</f>
        <v/>
      </c>
      <c r="B1005">
        <f>IF($A1005=1,SUM($A$2:$A1005),"")</f>
        <v/>
      </c>
      <c r="C1005">
        <f>IF($A1005=1,SUM($A$2:$A1005),0)</f>
        <v/>
      </c>
    </row>
    <row r="1006">
      <c r="A1006">
        <f>IF(AND(OR(Query!$B$4="All",'Compliance Database'!$A1006=Query!$B$4),OR(Query!$B$5="All",ISNUMBER(SEARCH(Query!$B$5,'Compliance Database'!$H1006))),OR(Query!$B$6="All",ISNUMBER(SEARCH(Query!$B$6,'Compliance Database'!$I1006))),OR(Query!$B$7="All",'Compliance Database'!$F1006=Query!$B$7),OR(Query!$B$8="All",'Compliance Database'!$J1006=Query!$B$8),OR(Query!$B$9="",ISNUMBER(SEARCH(Query!$B$9,'Compliance Database'!$D1006&amp;" "&amp;'Compliance Database'!$K1006&amp;" "&amp;'Compliance Database'!$L1006&amp;" "&amp;'Compliance Database'!$M1006&amp;" "&amp;'Compliance Database'!$N1006&amp;" "&amp;'Compliance Database'!$O1006))),OR(Query!$B$10&lt;&gt;"Yes",'Compliance Database'!$F1006&lt;&gt;"None")),1,0)</f>
        <v/>
      </c>
      <c r="B1006">
        <f>IF($A1006=1,SUM($A$2:$A1006),"")</f>
        <v/>
      </c>
      <c r="C1006">
        <f>IF($A1006=1,SUM($A$2:$A1006),0)</f>
        <v/>
      </c>
    </row>
    <row r="1007">
      <c r="A1007">
        <f>IF(AND(OR(Query!$B$4="All",'Compliance Database'!$A1007=Query!$B$4),OR(Query!$B$5="All",ISNUMBER(SEARCH(Query!$B$5,'Compliance Database'!$H1007))),OR(Query!$B$6="All",ISNUMBER(SEARCH(Query!$B$6,'Compliance Database'!$I1007))),OR(Query!$B$7="All",'Compliance Database'!$F1007=Query!$B$7),OR(Query!$B$8="All",'Compliance Database'!$J1007=Query!$B$8),OR(Query!$B$9="",ISNUMBER(SEARCH(Query!$B$9,'Compliance Database'!$D1007&amp;" "&amp;'Compliance Database'!$K1007&amp;" "&amp;'Compliance Database'!$L1007&amp;" "&amp;'Compliance Database'!$M1007&amp;" "&amp;'Compliance Database'!$N1007&amp;" "&amp;'Compliance Database'!$O1007))),OR(Query!$B$10&lt;&gt;"Yes",'Compliance Database'!$F1007&lt;&gt;"None")),1,0)</f>
        <v/>
      </c>
      <c r="B1007">
        <f>IF($A1007=1,SUM($A$2:$A1007),"")</f>
        <v/>
      </c>
      <c r="C1007">
        <f>IF($A1007=1,SUM($A$2:$A1007),0)</f>
        <v/>
      </c>
    </row>
    <row r="1008">
      <c r="A1008">
        <f>IF(AND(OR(Query!$B$4="All",'Compliance Database'!$A1008=Query!$B$4),OR(Query!$B$5="All",ISNUMBER(SEARCH(Query!$B$5,'Compliance Database'!$H1008))),OR(Query!$B$6="All",ISNUMBER(SEARCH(Query!$B$6,'Compliance Database'!$I1008))),OR(Query!$B$7="All",'Compliance Database'!$F1008=Query!$B$7),OR(Query!$B$8="All",'Compliance Database'!$J1008=Query!$B$8),OR(Query!$B$9="",ISNUMBER(SEARCH(Query!$B$9,'Compliance Database'!$D1008&amp;" "&amp;'Compliance Database'!$K1008&amp;" "&amp;'Compliance Database'!$L1008&amp;" "&amp;'Compliance Database'!$M1008&amp;" "&amp;'Compliance Database'!$N1008&amp;" "&amp;'Compliance Database'!$O1008))),OR(Query!$B$10&lt;&gt;"Yes",'Compliance Database'!$F1008&lt;&gt;"None")),1,0)</f>
        <v/>
      </c>
      <c r="B1008">
        <f>IF($A1008=1,SUM($A$2:$A1008),"")</f>
        <v/>
      </c>
      <c r="C1008">
        <f>IF($A1008=1,SUM($A$2:$A1008),0)</f>
        <v/>
      </c>
    </row>
    <row r="1009">
      <c r="A1009">
        <f>IF(AND(OR(Query!$B$4="All",'Compliance Database'!$A1009=Query!$B$4),OR(Query!$B$5="All",ISNUMBER(SEARCH(Query!$B$5,'Compliance Database'!$H1009))),OR(Query!$B$6="All",ISNUMBER(SEARCH(Query!$B$6,'Compliance Database'!$I1009))),OR(Query!$B$7="All",'Compliance Database'!$F1009=Query!$B$7),OR(Query!$B$8="All",'Compliance Database'!$J1009=Query!$B$8),OR(Query!$B$9="",ISNUMBER(SEARCH(Query!$B$9,'Compliance Database'!$D1009&amp;" "&amp;'Compliance Database'!$K1009&amp;" "&amp;'Compliance Database'!$L1009&amp;" "&amp;'Compliance Database'!$M1009&amp;" "&amp;'Compliance Database'!$N1009&amp;" "&amp;'Compliance Database'!$O1009))),OR(Query!$B$10&lt;&gt;"Yes",'Compliance Database'!$F1009&lt;&gt;"None")),1,0)</f>
        <v/>
      </c>
      <c r="B1009">
        <f>IF($A1009=1,SUM($A$2:$A1009),"")</f>
        <v/>
      </c>
      <c r="C1009">
        <f>IF($A1009=1,SUM($A$2:$A1009),0)</f>
        <v/>
      </c>
    </row>
    <row r="1010">
      <c r="A1010">
        <f>IF(AND(OR(Query!$B$4="All",'Compliance Database'!$A1010=Query!$B$4),OR(Query!$B$5="All",ISNUMBER(SEARCH(Query!$B$5,'Compliance Database'!$H1010))),OR(Query!$B$6="All",ISNUMBER(SEARCH(Query!$B$6,'Compliance Database'!$I1010))),OR(Query!$B$7="All",'Compliance Database'!$F1010=Query!$B$7),OR(Query!$B$8="All",'Compliance Database'!$J1010=Query!$B$8),OR(Query!$B$9="",ISNUMBER(SEARCH(Query!$B$9,'Compliance Database'!$D1010&amp;" "&amp;'Compliance Database'!$K1010&amp;" "&amp;'Compliance Database'!$L1010&amp;" "&amp;'Compliance Database'!$M1010&amp;" "&amp;'Compliance Database'!$N1010&amp;" "&amp;'Compliance Database'!$O1010))),OR(Query!$B$10&lt;&gt;"Yes",'Compliance Database'!$F1010&lt;&gt;"None")),1,0)</f>
        <v/>
      </c>
      <c r="B1010">
        <f>IF($A1010=1,SUM($A$2:$A1010),"")</f>
        <v/>
      </c>
      <c r="C1010">
        <f>IF($A1010=1,SUM($A$2:$A1010),0)</f>
        <v/>
      </c>
    </row>
    <row r="1011">
      <c r="A1011">
        <f>IF(AND(OR(Query!$B$4="All",'Compliance Database'!$A1011=Query!$B$4),OR(Query!$B$5="All",ISNUMBER(SEARCH(Query!$B$5,'Compliance Database'!$H1011))),OR(Query!$B$6="All",ISNUMBER(SEARCH(Query!$B$6,'Compliance Database'!$I1011))),OR(Query!$B$7="All",'Compliance Database'!$F1011=Query!$B$7),OR(Query!$B$8="All",'Compliance Database'!$J1011=Query!$B$8),OR(Query!$B$9="",ISNUMBER(SEARCH(Query!$B$9,'Compliance Database'!$D1011&amp;" "&amp;'Compliance Database'!$K1011&amp;" "&amp;'Compliance Database'!$L1011&amp;" "&amp;'Compliance Database'!$M1011&amp;" "&amp;'Compliance Database'!$N1011&amp;" "&amp;'Compliance Database'!$O1011))),OR(Query!$B$10&lt;&gt;"Yes",'Compliance Database'!$F1011&lt;&gt;"None")),1,0)</f>
        <v/>
      </c>
      <c r="B1011">
        <f>IF($A1011=1,SUM($A$2:$A1011),"")</f>
        <v/>
      </c>
      <c r="C1011">
        <f>IF($A1011=1,SUM($A$2:$A1011),0)</f>
        <v/>
      </c>
    </row>
    <row r="1012">
      <c r="A1012">
        <f>IF(AND(OR(Query!$B$4="All",'Compliance Database'!$A1012=Query!$B$4),OR(Query!$B$5="All",ISNUMBER(SEARCH(Query!$B$5,'Compliance Database'!$H1012))),OR(Query!$B$6="All",ISNUMBER(SEARCH(Query!$B$6,'Compliance Database'!$I1012))),OR(Query!$B$7="All",'Compliance Database'!$F1012=Query!$B$7),OR(Query!$B$8="All",'Compliance Database'!$J1012=Query!$B$8),OR(Query!$B$9="",ISNUMBER(SEARCH(Query!$B$9,'Compliance Database'!$D1012&amp;" "&amp;'Compliance Database'!$K1012&amp;" "&amp;'Compliance Database'!$L1012&amp;" "&amp;'Compliance Database'!$M1012&amp;" "&amp;'Compliance Database'!$N1012&amp;" "&amp;'Compliance Database'!$O1012))),OR(Query!$B$10&lt;&gt;"Yes",'Compliance Database'!$F1012&lt;&gt;"None")),1,0)</f>
        <v/>
      </c>
      <c r="B1012">
        <f>IF($A1012=1,SUM($A$2:$A1012),"")</f>
        <v/>
      </c>
      <c r="C1012">
        <f>IF($A1012=1,SUM($A$2:$A1012),0)</f>
        <v/>
      </c>
    </row>
    <row r="1013">
      <c r="A1013">
        <f>IF(AND(OR(Query!$B$4="All",'Compliance Database'!$A1013=Query!$B$4),OR(Query!$B$5="All",ISNUMBER(SEARCH(Query!$B$5,'Compliance Database'!$H1013))),OR(Query!$B$6="All",ISNUMBER(SEARCH(Query!$B$6,'Compliance Database'!$I1013))),OR(Query!$B$7="All",'Compliance Database'!$F1013=Query!$B$7),OR(Query!$B$8="All",'Compliance Database'!$J1013=Query!$B$8),OR(Query!$B$9="",ISNUMBER(SEARCH(Query!$B$9,'Compliance Database'!$D1013&amp;" "&amp;'Compliance Database'!$K1013&amp;" "&amp;'Compliance Database'!$L1013&amp;" "&amp;'Compliance Database'!$M1013&amp;" "&amp;'Compliance Database'!$N1013&amp;" "&amp;'Compliance Database'!$O1013))),OR(Query!$B$10&lt;&gt;"Yes",'Compliance Database'!$F1013&lt;&gt;"None")),1,0)</f>
        <v/>
      </c>
      <c r="B1013">
        <f>IF($A1013=1,SUM($A$2:$A1013),"")</f>
        <v/>
      </c>
      <c r="C1013">
        <f>IF($A1013=1,SUM($A$2:$A1013),0)</f>
        <v/>
      </c>
    </row>
    <row r="1014">
      <c r="A1014">
        <f>IF(AND(OR(Query!$B$4="All",'Compliance Database'!$A1014=Query!$B$4),OR(Query!$B$5="All",ISNUMBER(SEARCH(Query!$B$5,'Compliance Database'!$H1014))),OR(Query!$B$6="All",ISNUMBER(SEARCH(Query!$B$6,'Compliance Database'!$I1014))),OR(Query!$B$7="All",'Compliance Database'!$F1014=Query!$B$7),OR(Query!$B$8="All",'Compliance Database'!$J1014=Query!$B$8),OR(Query!$B$9="",ISNUMBER(SEARCH(Query!$B$9,'Compliance Database'!$D1014&amp;" "&amp;'Compliance Database'!$K1014&amp;" "&amp;'Compliance Database'!$L1014&amp;" "&amp;'Compliance Database'!$M1014&amp;" "&amp;'Compliance Database'!$N1014&amp;" "&amp;'Compliance Database'!$O1014))),OR(Query!$B$10&lt;&gt;"Yes",'Compliance Database'!$F1014&lt;&gt;"None")),1,0)</f>
        <v/>
      </c>
      <c r="B1014">
        <f>IF($A1014=1,SUM($A$2:$A1014),"")</f>
        <v/>
      </c>
      <c r="C1014">
        <f>IF($A1014=1,SUM($A$2:$A1014),0)</f>
        <v/>
      </c>
    </row>
    <row r="1015">
      <c r="A1015">
        <f>IF(AND(OR(Query!$B$4="All",'Compliance Database'!$A1015=Query!$B$4),OR(Query!$B$5="All",ISNUMBER(SEARCH(Query!$B$5,'Compliance Database'!$H1015))),OR(Query!$B$6="All",ISNUMBER(SEARCH(Query!$B$6,'Compliance Database'!$I1015))),OR(Query!$B$7="All",'Compliance Database'!$F1015=Query!$B$7),OR(Query!$B$8="All",'Compliance Database'!$J1015=Query!$B$8),OR(Query!$B$9="",ISNUMBER(SEARCH(Query!$B$9,'Compliance Database'!$D1015&amp;" "&amp;'Compliance Database'!$K1015&amp;" "&amp;'Compliance Database'!$L1015&amp;" "&amp;'Compliance Database'!$M1015&amp;" "&amp;'Compliance Database'!$N1015&amp;" "&amp;'Compliance Database'!$O1015))),OR(Query!$B$10&lt;&gt;"Yes",'Compliance Database'!$F1015&lt;&gt;"None")),1,0)</f>
        <v/>
      </c>
      <c r="B1015">
        <f>IF($A1015=1,SUM($A$2:$A1015),"")</f>
        <v/>
      </c>
      <c r="C1015">
        <f>IF($A1015=1,SUM($A$2:$A1015),0)</f>
        <v/>
      </c>
    </row>
    <row r="1016">
      <c r="A1016">
        <f>IF(AND(OR(Query!$B$4="All",'Compliance Database'!$A1016=Query!$B$4),OR(Query!$B$5="All",ISNUMBER(SEARCH(Query!$B$5,'Compliance Database'!$H1016))),OR(Query!$B$6="All",ISNUMBER(SEARCH(Query!$B$6,'Compliance Database'!$I1016))),OR(Query!$B$7="All",'Compliance Database'!$F1016=Query!$B$7),OR(Query!$B$8="All",'Compliance Database'!$J1016=Query!$B$8),OR(Query!$B$9="",ISNUMBER(SEARCH(Query!$B$9,'Compliance Database'!$D1016&amp;" "&amp;'Compliance Database'!$K1016&amp;" "&amp;'Compliance Database'!$L1016&amp;" "&amp;'Compliance Database'!$M1016&amp;" "&amp;'Compliance Database'!$N1016&amp;" "&amp;'Compliance Database'!$O1016))),OR(Query!$B$10&lt;&gt;"Yes",'Compliance Database'!$F1016&lt;&gt;"None")),1,0)</f>
        <v/>
      </c>
      <c r="B1016">
        <f>IF($A1016=1,SUM($A$2:$A1016),"")</f>
        <v/>
      </c>
      <c r="C1016">
        <f>IF($A1016=1,SUM($A$2:$A1016),0)</f>
        <v/>
      </c>
    </row>
    <row r="1017">
      <c r="A1017">
        <f>IF(AND(OR(Query!$B$4="All",'Compliance Database'!$A1017=Query!$B$4),OR(Query!$B$5="All",ISNUMBER(SEARCH(Query!$B$5,'Compliance Database'!$H1017))),OR(Query!$B$6="All",ISNUMBER(SEARCH(Query!$B$6,'Compliance Database'!$I1017))),OR(Query!$B$7="All",'Compliance Database'!$F1017=Query!$B$7),OR(Query!$B$8="All",'Compliance Database'!$J1017=Query!$B$8),OR(Query!$B$9="",ISNUMBER(SEARCH(Query!$B$9,'Compliance Database'!$D1017&amp;" "&amp;'Compliance Database'!$K1017&amp;" "&amp;'Compliance Database'!$L1017&amp;" "&amp;'Compliance Database'!$M1017&amp;" "&amp;'Compliance Database'!$N1017&amp;" "&amp;'Compliance Database'!$O1017))),OR(Query!$B$10&lt;&gt;"Yes",'Compliance Database'!$F1017&lt;&gt;"None")),1,0)</f>
        <v/>
      </c>
      <c r="B1017">
        <f>IF($A1017=1,SUM($A$2:$A1017),"")</f>
        <v/>
      </c>
      <c r="C1017">
        <f>IF($A1017=1,SUM($A$2:$A1017),0)</f>
        <v/>
      </c>
    </row>
    <row r="1018">
      <c r="A1018">
        <f>IF(AND(OR(Query!$B$4="All",'Compliance Database'!$A1018=Query!$B$4),OR(Query!$B$5="All",ISNUMBER(SEARCH(Query!$B$5,'Compliance Database'!$H1018))),OR(Query!$B$6="All",ISNUMBER(SEARCH(Query!$B$6,'Compliance Database'!$I1018))),OR(Query!$B$7="All",'Compliance Database'!$F1018=Query!$B$7),OR(Query!$B$8="All",'Compliance Database'!$J1018=Query!$B$8),OR(Query!$B$9="",ISNUMBER(SEARCH(Query!$B$9,'Compliance Database'!$D1018&amp;" "&amp;'Compliance Database'!$K1018&amp;" "&amp;'Compliance Database'!$L1018&amp;" "&amp;'Compliance Database'!$M1018&amp;" "&amp;'Compliance Database'!$N1018&amp;" "&amp;'Compliance Database'!$O1018))),OR(Query!$B$10&lt;&gt;"Yes",'Compliance Database'!$F1018&lt;&gt;"None")),1,0)</f>
        <v/>
      </c>
      <c r="B1018">
        <f>IF($A1018=1,SUM($A$2:$A1018),"")</f>
        <v/>
      </c>
      <c r="C1018">
        <f>IF($A1018=1,SUM($A$2:$A1018),0)</f>
        <v/>
      </c>
    </row>
    <row r="1019">
      <c r="A1019">
        <f>IF(AND(OR(Query!$B$4="All",'Compliance Database'!$A1019=Query!$B$4),OR(Query!$B$5="All",ISNUMBER(SEARCH(Query!$B$5,'Compliance Database'!$H1019))),OR(Query!$B$6="All",ISNUMBER(SEARCH(Query!$B$6,'Compliance Database'!$I1019))),OR(Query!$B$7="All",'Compliance Database'!$F1019=Query!$B$7),OR(Query!$B$8="All",'Compliance Database'!$J1019=Query!$B$8),OR(Query!$B$9="",ISNUMBER(SEARCH(Query!$B$9,'Compliance Database'!$D1019&amp;" "&amp;'Compliance Database'!$K1019&amp;" "&amp;'Compliance Database'!$L1019&amp;" "&amp;'Compliance Database'!$M1019&amp;" "&amp;'Compliance Database'!$N1019&amp;" "&amp;'Compliance Database'!$O1019))),OR(Query!$B$10&lt;&gt;"Yes",'Compliance Database'!$F1019&lt;&gt;"None")),1,0)</f>
        <v/>
      </c>
      <c r="B1019">
        <f>IF($A1019=1,SUM($A$2:$A1019),"")</f>
        <v/>
      </c>
      <c r="C1019">
        <f>IF($A1019=1,SUM($A$2:$A1019),0)</f>
        <v/>
      </c>
    </row>
    <row r="1020">
      <c r="A1020">
        <f>IF(AND(OR(Query!$B$4="All",'Compliance Database'!$A1020=Query!$B$4),OR(Query!$B$5="All",ISNUMBER(SEARCH(Query!$B$5,'Compliance Database'!$H1020))),OR(Query!$B$6="All",ISNUMBER(SEARCH(Query!$B$6,'Compliance Database'!$I1020))),OR(Query!$B$7="All",'Compliance Database'!$F1020=Query!$B$7),OR(Query!$B$8="All",'Compliance Database'!$J1020=Query!$B$8),OR(Query!$B$9="",ISNUMBER(SEARCH(Query!$B$9,'Compliance Database'!$D1020&amp;" "&amp;'Compliance Database'!$K1020&amp;" "&amp;'Compliance Database'!$L1020&amp;" "&amp;'Compliance Database'!$M1020&amp;" "&amp;'Compliance Database'!$N1020&amp;" "&amp;'Compliance Database'!$O1020))),OR(Query!$B$10&lt;&gt;"Yes",'Compliance Database'!$F1020&lt;&gt;"None")),1,0)</f>
        <v/>
      </c>
      <c r="B1020">
        <f>IF($A1020=1,SUM($A$2:$A1020),"")</f>
        <v/>
      </c>
      <c r="C1020">
        <f>IF($A1020=1,SUM($A$2:$A1020),0)</f>
        <v/>
      </c>
    </row>
    <row r="1021">
      <c r="A1021">
        <f>IF(AND(OR(Query!$B$4="All",'Compliance Database'!$A1021=Query!$B$4),OR(Query!$B$5="All",ISNUMBER(SEARCH(Query!$B$5,'Compliance Database'!$H1021))),OR(Query!$B$6="All",ISNUMBER(SEARCH(Query!$B$6,'Compliance Database'!$I1021))),OR(Query!$B$7="All",'Compliance Database'!$F1021=Query!$B$7),OR(Query!$B$8="All",'Compliance Database'!$J1021=Query!$B$8),OR(Query!$B$9="",ISNUMBER(SEARCH(Query!$B$9,'Compliance Database'!$D1021&amp;" "&amp;'Compliance Database'!$K1021&amp;" "&amp;'Compliance Database'!$L1021&amp;" "&amp;'Compliance Database'!$M1021&amp;" "&amp;'Compliance Database'!$N1021&amp;" "&amp;'Compliance Database'!$O1021))),OR(Query!$B$10&lt;&gt;"Yes",'Compliance Database'!$F1021&lt;&gt;"None")),1,0)</f>
        <v/>
      </c>
      <c r="B1021">
        <f>IF($A1021=1,SUM($A$2:$A1021),"")</f>
        <v/>
      </c>
      <c r="C1021">
        <f>IF($A1021=1,SUM($A$2:$A1021),0)</f>
        <v/>
      </c>
    </row>
    <row r="1022">
      <c r="A1022">
        <f>IF(AND(OR(Query!$B$4="All",'Compliance Database'!$A1022=Query!$B$4),OR(Query!$B$5="All",ISNUMBER(SEARCH(Query!$B$5,'Compliance Database'!$H1022))),OR(Query!$B$6="All",ISNUMBER(SEARCH(Query!$B$6,'Compliance Database'!$I1022))),OR(Query!$B$7="All",'Compliance Database'!$F1022=Query!$B$7),OR(Query!$B$8="All",'Compliance Database'!$J1022=Query!$B$8),OR(Query!$B$9="",ISNUMBER(SEARCH(Query!$B$9,'Compliance Database'!$D1022&amp;" "&amp;'Compliance Database'!$K1022&amp;" "&amp;'Compliance Database'!$L1022&amp;" "&amp;'Compliance Database'!$M1022&amp;" "&amp;'Compliance Database'!$N1022&amp;" "&amp;'Compliance Database'!$O1022))),OR(Query!$B$10&lt;&gt;"Yes",'Compliance Database'!$F1022&lt;&gt;"None")),1,0)</f>
        <v/>
      </c>
      <c r="B1022">
        <f>IF($A1022=1,SUM($A$2:$A1022),"")</f>
        <v/>
      </c>
      <c r="C1022">
        <f>IF($A1022=1,SUM($A$2:$A1022),0)</f>
        <v/>
      </c>
    </row>
    <row r="1023">
      <c r="A1023">
        <f>IF(AND(OR(Query!$B$4="All",'Compliance Database'!$A1023=Query!$B$4),OR(Query!$B$5="All",ISNUMBER(SEARCH(Query!$B$5,'Compliance Database'!$H1023))),OR(Query!$B$6="All",ISNUMBER(SEARCH(Query!$B$6,'Compliance Database'!$I1023))),OR(Query!$B$7="All",'Compliance Database'!$F1023=Query!$B$7),OR(Query!$B$8="All",'Compliance Database'!$J1023=Query!$B$8),OR(Query!$B$9="",ISNUMBER(SEARCH(Query!$B$9,'Compliance Database'!$D1023&amp;" "&amp;'Compliance Database'!$K1023&amp;" "&amp;'Compliance Database'!$L1023&amp;" "&amp;'Compliance Database'!$M1023&amp;" "&amp;'Compliance Database'!$N1023&amp;" "&amp;'Compliance Database'!$O1023))),OR(Query!$B$10&lt;&gt;"Yes",'Compliance Database'!$F1023&lt;&gt;"None")),1,0)</f>
        <v/>
      </c>
      <c r="B1023">
        <f>IF($A1023=1,SUM($A$2:$A1023),"")</f>
        <v/>
      </c>
      <c r="C1023">
        <f>IF($A1023=1,SUM($A$2:$A1023),0)</f>
        <v/>
      </c>
    </row>
    <row r="1024">
      <c r="A1024">
        <f>IF(AND(OR(Query!$B$4="All",'Compliance Database'!$A1024=Query!$B$4),OR(Query!$B$5="All",ISNUMBER(SEARCH(Query!$B$5,'Compliance Database'!$H1024))),OR(Query!$B$6="All",ISNUMBER(SEARCH(Query!$B$6,'Compliance Database'!$I1024))),OR(Query!$B$7="All",'Compliance Database'!$F1024=Query!$B$7),OR(Query!$B$8="All",'Compliance Database'!$J1024=Query!$B$8),OR(Query!$B$9="",ISNUMBER(SEARCH(Query!$B$9,'Compliance Database'!$D1024&amp;" "&amp;'Compliance Database'!$K1024&amp;" "&amp;'Compliance Database'!$L1024&amp;" "&amp;'Compliance Database'!$M1024&amp;" "&amp;'Compliance Database'!$N1024&amp;" "&amp;'Compliance Database'!$O1024))),OR(Query!$B$10&lt;&gt;"Yes",'Compliance Database'!$F1024&lt;&gt;"None")),1,0)</f>
        <v/>
      </c>
      <c r="B1024">
        <f>IF($A1024=1,SUM($A$2:$A1024),"")</f>
        <v/>
      </c>
      <c r="C1024">
        <f>IF($A1024=1,SUM($A$2:$A1024),0)</f>
        <v/>
      </c>
    </row>
    <row r="1025">
      <c r="A1025">
        <f>IF(AND(OR(Query!$B$4="All",'Compliance Database'!$A1025=Query!$B$4),OR(Query!$B$5="All",ISNUMBER(SEARCH(Query!$B$5,'Compliance Database'!$H1025))),OR(Query!$B$6="All",ISNUMBER(SEARCH(Query!$B$6,'Compliance Database'!$I1025))),OR(Query!$B$7="All",'Compliance Database'!$F1025=Query!$B$7),OR(Query!$B$8="All",'Compliance Database'!$J1025=Query!$B$8),OR(Query!$B$9="",ISNUMBER(SEARCH(Query!$B$9,'Compliance Database'!$D1025&amp;" "&amp;'Compliance Database'!$K1025&amp;" "&amp;'Compliance Database'!$L1025&amp;" "&amp;'Compliance Database'!$M1025&amp;" "&amp;'Compliance Database'!$N1025&amp;" "&amp;'Compliance Database'!$O1025))),OR(Query!$B$10&lt;&gt;"Yes",'Compliance Database'!$F1025&lt;&gt;"None")),1,0)</f>
        <v/>
      </c>
      <c r="B1025">
        <f>IF($A1025=1,SUM($A$2:$A1025),"")</f>
        <v/>
      </c>
      <c r="C1025">
        <f>IF($A1025=1,SUM($A$2:$A1025),0)</f>
        <v/>
      </c>
    </row>
    <row r="1026">
      <c r="A1026">
        <f>IF(AND(OR(Query!$B$4="All",'Compliance Database'!$A1026=Query!$B$4),OR(Query!$B$5="All",ISNUMBER(SEARCH(Query!$B$5,'Compliance Database'!$H1026))),OR(Query!$B$6="All",ISNUMBER(SEARCH(Query!$B$6,'Compliance Database'!$I1026))),OR(Query!$B$7="All",'Compliance Database'!$F1026=Query!$B$7),OR(Query!$B$8="All",'Compliance Database'!$J1026=Query!$B$8),OR(Query!$B$9="",ISNUMBER(SEARCH(Query!$B$9,'Compliance Database'!$D1026&amp;" "&amp;'Compliance Database'!$K1026&amp;" "&amp;'Compliance Database'!$L1026&amp;" "&amp;'Compliance Database'!$M1026&amp;" "&amp;'Compliance Database'!$N1026&amp;" "&amp;'Compliance Database'!$O1026))),OR(Query!$B$10&lt;&gt;"Yes",'Compliance Database'!$F1026&lt;&gt;"None")),1,0)</f>
        <v/>
      </c>
      <c r="B1026">
        <f>IF($A1026=1,SUM($A$2:$A1026),"")</f>
        <v/>
      </c>
      <c r="C1026">
        <f>IF($A1026=1,SUM($A$2:$A1026),0)</f>
        <v/>
      </c>
    </row>
    <row r="1027">
      <c r="A1027">
        <f>IF(AND(OR(Query!$B$4="All",'Compliance Database'!$A1027=Query!$B$4),OR(Query!$B$5="All",ISNUMBER(SEARCH(Query!$B$5,'Compliance Database'!$H1027))),OR(Query!$B$6="All",ISNUMBER(SEARCH(Query!$B$6,'Compliance Database'!$I1027))),OR(Query!$B$7="All",'Compliance Database'!$F1027=Query!$B$7),OR(Query!$B$8="All",'Compliance Database'!$J1027=Query!$B$8),OR(Query!$B$9="",ISNUMBER(SEARCH(Query!$B$9,'Compliance Database'!$D1027&amp;" "&amp;'Compliance Database'!$K1027&amp;" "&amp;'Compliance Database'!$L1027&amp;" "&amp;'Compliance Database'!$M1027&amp;" "&amp;'Compliance Database'!$N1027&amp;" "&amp;'Compliance Database'!$O1027))),OR(Query!$B$10&lt;&gt;"Yes",'Compliance Database'!$F1027&lt;&gt;"None")),1,0)</f>
        <v/>
      </c>
      <c r="B1027">
        <f>IF($A1027=1,SUM($A$2:$A1027),"")</f>
        <v/>
      </c>
      <c r="C1027">
        <f>IF($A1027=1,SUM($A$2:$A1027),0)</f>
        <v/>
      </c>
    </row>
    <row r="1028">
      <c r="A1028">
        <f>IF(AND(OR(Query!$B$4="All",'Compliance Database'!$A1028=Query!$B$4),OR(Query!$B$5="All",ISNUMBER(SEARCH(Query!$B$5,'Compliance Database'!$H1028))),OR(Query!$B$6="All",ISNUMBER(SEARCH(Query!$B$6,'Compliance Database'!$I1028))),OR(Query!$B$7="All",'Compliance Database'!$F1028=Query!$B$7),OR(Query!$B$8="All",'Compliance Database'!$J1028=Query!$B$8),OR(Query!$B$9="",ISNUMBER(SEARCH(Query!$B$9,'Compliance Database'!$D1028&amp;" "&amp;'Compliance Database'!$K1028&amp;" "&amp;'Compliance Database'!$L1028&amp;" "&amp;'Compliance Database'!$M1028&amp;" "&amp;'Compliance Database'!$N1028&amp;" "&amp;'Compliance Database'!$O1028))),OR(Query!$B$10&lt;&gt;"Yes",'Compliance Database'!$F1028&lt;&gt;"None")),1,0)</f>
        <v/>
      </c>
      <c r="B1028">
        <f>IF($A1028=1,SUM($A$2:$A1028),"")</f>
        <v/>
      </c>
      <c r="C1028">
        <f>IF($A1028=1,SUM($A$2:$A1028),0)</f>
        <v/>
      </c>
    </row>
    <row r="1029">
      <c r="A1029">
        <f>IF(AND(OR(Query!$B$4="All",'Compliance Database'!$A1029=Query!$B$4),OR(Query!$B$5="All",ISNUMBER(SEARCH(Query!$B$5,'Compliance Database'!$H1029))),OR(Query!$B$6="All",ISNUMBER(SEARCH(Query!$B$6,'Compliance Database'!$I1029))),OR(Query!$B$7="All",'Compliance Database'!$F1029=Query!$B$7),OR(Query!$B$8="All",'Compliance Database'!$J1029=Query!$B$8),OR(Query!$B$9="",ISNUMBER(SEARCH(Query!$B$9,'Compliance Database'!$D1029&amp;" "&amp;'Compliance Database'!$K1029&amp;" "&amp;'Compliance Database'!$L1029&amp;" "&amp;'Compliance Database'!$M1029&amp;" "&amp;'Compliance Database'!$N1029&amp;" "&amp;'Compliance Database'!$O1029))),OR(Query!$B$10&lt;&gt;"Yes",'Compliance Database'!$F1029&lt;&gt;"None")),1,0)</f>
        <v/>
      </c>
      <c r="B1029">
        <f>IF($A1029=1,SUM($A$2:$A1029),"")</f>
        <v/>
      </c>
      <c r="C1029">
        <f>IF($A1029=1,SUM($A$2:$A1029),0)</f>
        <v/>
      </c>
    </row>
    <row r="1030">
      <c r="A1030">
        <f>IF(AND(OR(Query!$B$4="All",'Compliance Database'!$A1030=Query!$B$4),OR(Query!$B$5="All",ISNUMBER(SEARCH(Query!$B$5,'Compliance Database'!$H1030))),OR(Query!$B$6="All",ISNUMBER(SEARCH(Query!$B$6,'Compliance Database'!$I1030))),OR(Query!$B$7="All",'Compliance Database'!$F1030=Query!$B$7),OR(Query!$B$8="All",'Compliance Database'!$J1030=Query!$B$8),OR(Query!$B$9="",ISNUMBER(SEARCH(Query!$B$9,'Compliance Database'!$D1030&amp;" "&amp;'Compliance Database'!$K1030&amp;" "&amp;'Compliance Database'!$L1030&amp;" "&amp;'Compliance Database'!$M1030&amp;" "&amp;'Compliance Database'!$N1030&amp;" "&amp;'Compliance Database'!$O1030))),OR(Query!$B$10&lt;&gt;"Yes",'Compliance Database'!$F1030&lt;&gt;"None")),1,0)</f>
        <v/>
      </c>
      <c r="B1030">
        <f>IF($A1030=1,SUM($A$2:$A1030),"")</f>
        <v/>
      </c>
      <c r="C1030">
        <f>IF($A1030=1,SUM($A$2:$A1030),0)</f>
        <v/>
      </c>
    </row>
    <row r="1031">
      <c r="A1031">
        <f>IF(AND(OR(Query!$B$4="All",'Compliance Database'!$A1031=Query!$B$4),OR(Query!$B$5="All",ISNUMBER(SEARCH(Query!$B$5,'Compliance Database'!$H1031))),OR(Query!$B$6="All",ISNUMBER(SEARCH(Query!$B$6,'Compliance Database'!$I1031))),OR(Query!$B$7="All",'Compliance Database'!$F1031=Query!$B$7),OR(Query!$B$8="All",'Compliance Database'!$J1031=Query!$B$8),OR(Query!$B$9="",ISNUMBER(SEARCH(Query!$B$9,'Compliance Database'!$D1031&amp;" "&amp;'Compliance Database'!$K1031&amp;" "&amp;'Compliance Database'!$L1031&amp;" "&amp;'Compliance Database'!$M1031&amp;" "&amp;'Compliance Database'!$N1031&amp;" "&amp;'Compliance Database'!$O1031))),OR(Query!$B$10&lt;&gt;"Yes",'Compliance Database'!$F1031&lt;&gt;"None")),1,0)</f>
        <v/>
      </c>
      <c r="B1031">
        <f>IF($A1031=1,SUM($A$2:$A1031),"")</f>
        <v/>
      </c>
      <c r="C1031">
        <f>IF($A1031=1,SUM($A$2:$A1031),0)</f>
        <v/>
      </c>
    </row>
    <row r="1032">
      <c r="A1032">
        <f>IF(AND(OR(Query!$B$4="All",'Compliance Database'!$A1032=Query!$B$4),OR(Query!$B$5="All",ISNUMBER(SEARCH(Query!$B$5,'Compliance Database'!$H1032))),OR(Query!$B$6="All",ISNUMBER(SEARCH(Query!$B$6,'Compliance Database'!$I1032))),OR(Query!$B$7="All",'Compliance Database'!$F1032=Query!$B$7),OR(Query!$B$8="All",'Compliance Database'!$J1032=Query!$B$8),OR(Query!$B$9="",ISNUMBER(SEARCH(Query!$B$9,'Compliance Database'!$D1032&amp;" "&amp;'Compliance Database'!$K1032&amp;" "&amp;'Compliance Database'!$L1032&amp;" "&amp;'Compliance Database'!$M1032&amp;" "&amp;'Compliance Database'!$N1032&amp;" "&amp;'Compliance Database'!$O1032))),OR(Query!$B$10&lt;&gt;"Yes",'Compliance Database'!$F1032&lt;&gt;"None")),1,0)</f>
        <v/>
      </c>
      <c r="B1032">
        <f>IF($A1032=1,SUM($A$2:$A1032),"")</f>
        <v/>
      </c>
      <c r="C1032">
        <f>IF($A1032=1,SUM($A$2:$A1032),0)</f>
        <v/>
      </c>
    </row>
    <row r="1033">
      <c r="A1033">
        <f>IF(AND(OR(Query!$B$4="All",'Compliance Database'!$A1033=Query!$B$4),OR(Query!$B$5="All",ISNUMBER(SEARCH(Query!$B$5,'Compliance Database'!$H1033))),OR(Query!$B$6="All",ISNUMBER(SEARCH(Query!$B$6,'Compliance Database'!$I1033))),OR(Query!$B$7="All",'Compliance Database'!$F1033=Query!$B$7),OR(Query!$B$8="All",'Compliance Database'!$J1033=Query!$B$8),OR(Query!$B$9="",ISNUMBER(SEARCH(Query!$B$9,'Compliance Database'!$D1033&amp;" "&amp;'Compliance Database'!$K1033&amp;" "&amp;'Compliance Database'!$L1033&amp;" "&amp;'Compliance Database'!$M1033&amp;" "&amp;'Compliance Database'!$N1033&amp;" "&amp;'Compliance Database'!$O1033))),OR(Query!$B$10&lt;&gt;"Yes",'Compliance Database'!$F1033&lt;&gt;"None")),1,0)</f>
        <v/>
      </c>
      <c r="B1033">
        <f>IF($A1033=1,SUM($A$2:$A1033),"")</f>
        <v/>
      </c>
      <c r="C1033">
        <f>IF($A1033=1,SUM($A$2:$A1033),0)</f>
        <v/>
      </c>
    </row>
    <row r="1034">
      <c r="A1034">
        <f>IF(AND(OR(Query!$B$4="All",'Compliance Database'!$A1034=Query!$B$4),OR(Query!$B$5="All",ISNUMBER(SEARCH(Query!$B$5,'Compliance Database'!$H1034))),OR(Query!$B$6="All",ISNUMBER(SEARCH(Query!$B$6,'Compliance Database'!$I1034))),OR(Query!$B$7="All",'Compliance Database'!$F1034=Query!$B$7),OR(Query!$B$8="All",'Compliance Database'!$J1034=Query!$B$8),OR(Query!$B$9="",ISNUMBER(SEARCH(Query!$B$9,'Compliance Database'!$D1034&amp;" "&amp;'Compliance Database'!$K1034&amp;" "&amp;'Compliance Database'!$L1034&amp;" "&amp;'Compliance Database'!$M1034&amp;" "&amp;'Compliance Database'!$N1034&amp;" "&amp;'Compliance Database'!$O1034))),OR(Query!$B$10&lt;&gt;"Yes",'Compliance Database'!$F1034&lt;&gt;"None")),1,0)</f>
        <v/>
      </c>
      <c r="B1034">
        <f>IF($A1034=1,SUM($A$2:$A1034),"")</f>
        <v/>
      </c>
      <c r="C1034">
        <f>IF($A1034=1,SUM($A$2:$A1034),0)</f>
        <v/>
      </c>
    </row>
    <row r="1035">
      <c r="A1035">
        <f>IF(AND(OR(Query!$B$4="All",'Compliance Database'!$A1035=Query!$B$4),OR(Query!$B$5="All",ISNUMBER(SEARCH(Query!$B$5,'Compliance Database'!$H1035))),OR(Query!$B$6="All",ISNUMBER(SEARCH(Query!$B$6,'Compliance Database'!$I1035))),OR(Query!$B$7="All",'Compliance Database'!$F1035=Query!$B$7),OR(Query!$B$8="All",'Compliance Database'!$J1035=Query!$B$8),OR(Query!$B$9="",ISNUMBER(SEARCH(Query!$B$9,'Compliance Database'!$D1035&amp;" "&amp;'Compliance Database'!$K1035&amp;" "&amp;'Compliance Database'!$L1035&amp;" "&amp;'Compliance Database'!$M1035&amp;" "&amp;'Compliance Database'!$N1035&amp;" "&amp;'Compliance Database'!$O1035))),OR(Query!$B$10&lt;&gt;"Yes",'Compliance Database'!$F1035&lt;&gt;"None")),1,0)</f>
        <v/>
      </c>
      <c r="B1035">
        <f>IF($A1035=1,SUM($A$2:$A1035),"")</f>
        <v/>
      </c>
      <c r="C1035">
        <f>IF($A1035=1,SUM($A$2:$A1035),0)</f>
        <v/>
      </c>
    </row>
    <row r="1036">
      <c r="A1036">
        <f>IF(AND(OR(Query!$B$4="All",'Compliance Database'!$A1036=Query!$B$4),OR(Query!$B$5="All",ISNUMBER(SEARCH(Query!$B$5,'Compliance Database'!$H1036))),OR(Query!$B$6="All",ISNUMBER(SEARCH(Query!$B$6,'Compliance Database'!$I1036))),OR(Query!$B$7="All",'Compliance Database'!$F1036=Query!$B$7),OR(Query!$B$8="All",'Compliance Database'!$J1036=Query!$B$8),OR(Query!$B$9="",ISNUMBER(SEARCH(Query!$B$9,'Compliance Database'!$D1036&amp;" "&amp;'Compliance Database'!$K1036&amp;" "&amp;'Compliance Database'!$L1036&amp;" "&amp;'Compliance Database'!$M1036&amp;" "&amp;'Compliance Database'!$N1036&amp;" "&amp;'Compliance Database'!$O1036))),OR(Query!$B$10&lt;&gt;"Yes",'Compliance Database'!$F1036&lt;&gt;"None")),1,0)</f>
        <v/>
      </c>
      <c r="B1036">
        <f>IF($A1036=1,SUM($A$2:$A1036),"")</f>
        <v/>
      </c>
      <c r="C1036">
        <f>IF($A1036=1,SUM($A$2:$A1036),0)</f>
        <v/>
      </c>
    </row>
    <row r="1037">
      <c r="A1037">
        <f>IF(AND(OR(Query!$B$4="All",'Compliance Database'!$A1037=Query!$B$4),OR(Query!$B$5="All",ISNUMBER(SEARCH(Query!$B$5,'Compliance Database'!$H1037))),OR(Query!$B$6="All",ISNUMBER(SEARCH(Query!$B$6,'Compliance Database'!$I1037))),OR(Query!$B$7="All",'Compliance Database'!$F1037=Query!$B$7),OR(Query!$B$8="All",'Compliance Database'!$J1037=Query!$B$8),OR(Query!$B$9="",ISNUMBER(SEARCH(Query!$B$9,'Compliance Database'!$D1037&amp;" "&amp;'Compliance Database'!$K1037&amp;" "&amp;'Compliance Database'!$L1037&amp;" "&amp;'Compliance Database'!$M1037&amp;" "&amp;'Compliance Database'!$N1037&amp;" "&amp;'Compliance Database'!$O1037))),OR(Query!$B$10&lt;&gt;"Yes",'Compliance Database'!$F1037&lt;&gt;"None")),1,0)</f>
        <v/>
      </c>
      <c r="B1037">
        <f>IF($A1037=1,SUM($A$2:$A1037),"")</f>
        <v/>
      </c>
      <c r="C1037">
        <f>IF($A1037=1,SUM($A$2:$A1037),0)</f>
        <v/>
      </c>
    </row>
    <row r="1038">
      <c r="A1038">
        <f>IF(AND(OR(Query!$B$4="All",'Compliance Database'!$A1038=Query!$B$4),OR(Query!$B$5="All",ISNUMBER(SEARCH(Query!$B$5,'Compliance Database'!$H1038))),OR(Query!$B$6="All",ISNUMBER(SEARCH(Query!$B$6,'Compliance Database'!$I1038))),OR(Query!$B$7="All",'Compliance Database'!$F1038=Query!$B$7),OR(Query!$B$8="All",'Compliance Database'!$J1038=Query!$B$8),OR(Query!$B$9="",ISNUMBER(SEARCH(Query!$B$9,'Compliance Database'!$D1038&amp;" "&amp;'Compliance Database'!$K1038&amp;" "&amp;'Compliance Database'!$L1038&amp;" "&amp;'Compliance Database'!$M1038&amp;" "&amp;'Compliance Database'!$N1038&amp;" "&amp;'Compliance Database'!$O1038))),OR(Query!$B$10&lt;&gt;"Yes",'Compliance Database'!$F1038&lt;&gt;"None")),1,0)</f>
        <v/>
      </c>
      <c r="B1038">
        <f>IF($A1038=1,SUM($A$2:$A1038),"")</f>
        <v/>
      </c>
      <c r="C1038">
        <f>IF($A1038=1,SUM($A$2:$A1038),0)</f>
        <v/>
      </c>
    </row>
    <row r="1039">
      <c r="A1039">
        <f>IF(AND(OR(Query!$B$4="All",'Compliance Database'!$A1039=Query!$B$4),OR(Query!$B$5="All",ISNUMBER(SEARCH(Query!$B$5,'Compliance Database'!$H1039))),OR(Query!$B$6="All",ISNUMBER(SEARCH(Query!$B$6,'Compliance Database'!$I1039))),OR(Query!$B$7="All",'Compliance Database'!$F1039=Query!$B$7),OR(Query!$B$8="All",'Compliance Database'!$J1039=Query!$B$8),OR(Query!$B$9="",ISNUMBER(SEARCH(Query!$B$9,'Compliance Database'!$D1039&amp;" "&amp;'Compliance Database'!$K1039&amp;" "&amp;'Compliance Database'!$L1039&amp;" "&amp;'Compliance Database'!$M1039&amp;" "&amp;'Compliance Database'!$N1039&amp;" "&amp;'Compliance Database'!$O1039))),OR(Query!$B$10&lt;&gt;"Yes",'Compliance Database'!$F1039&lt;&gt;"None")),1,0)</f>
        <v/>
      </c>
      <c r="B1039">
        <f>IF($A1039=1,SUM($A$2:$A1039),"")</f>
        <v/>
      </c>
      <c r="C1039">
        <f>IF($A1039=1,SUM($A$2:$A1039),0)</f>
        <v/>
      </c>
    </row>
    <row r="1040">
      <c r="A1040">
        <f>IF(AND(OR(Query!$B$4="All",'Compliance Database'!$A1040=Query!$B$4),OR(Query!$B$5="All",ISNUMBER(SEARCH(Query!$B$5,'Compliance Database'!$H1040))),OR(Query!$B$6="All",ISNUMBER(SEARCH(Query!$B$6,'Compliance Database'!$I1040))),OR(Query!$B$7="All",'Compliance Database'!$F1040=Query!$B$7),OR(Query!$B$8="All",'Compliance Database'!$J1040=Query!$B$8),OR(Query!$B$9="",ISNUMBER(SEARCH(Query!$B$9,'Compliance Database'!$D1040&amp;" "&amp;'Compliance Database'!$K1040&amp;" "&amp;'Compliance Database'!$L1040&amp;" "&amp;'Compliance Database'!$M1040&amp;" "&amp;'Compliance Database'!$N1040&amp;" "&amp;'Compliance Database'!$O1040))),OR(Query!$B$10&lt;&gt;"Yes",'Compliance Database'!$F1040&lt;&gt;"None")),1,0)</f>
        <v/>
      </c>
      <c r="B1040">
        <f>IF($A1040=1,SUM($A$2:$A1040),"")</f>
        <v/>
      </c>
      <c r="C1040">
        <f>IF($A1040=1,SUM($A$2:$A1040),0)</f>
        <v/>
      </c>
    </row>
    <row r="1041">
      <c r="A1041">
        <f>IF(AND(OR(Query!$B$4="All",'Compliance Database'!$A1041=Query!$B$4),OR(Query!$B$5="All",ISNUMBER(SEARCH(Query!$B$5,'Compliance Database'!$H1041))),OR(Query!$B$6="All",ISNUMBER(SEARCH(Query!$B$6,'Compliance Database'!$I1041))),OR(Query!$B$7="All",'Compliance Database'!$F1041=Query!$B$7),OR(Query!$B$8="All",'Compliance Database'!$J1041=Query!$B$8),OR(Query!$B$9="",ISNUMBER(SEARCH(Query!$B$9,'Compliance Database'!$D1041&amp;" "&amp;'Compliance Database'!$K1041&amp;" "&amp;'Compliance Database'!$L1041&amp;" "&amp;'Compliance Database'!$M1041&amp;" "&amp;'Compliance Database'!$N1041&amp;" "&amp;'Compliance Database'!$O1041))),OR(Query!$B$10&lt;&gt;"Yes",'Compliance Database'!$F1041&lt;&gt;"None")),1,0)</f>
        <v/>
      </c>
      <c r="B1041">
        <f>IF($A1041=1,SUM($A$2:$A1041),"")</f>
        <v/>
      </c>
      <c r="C1041">
        <f>IF($A1041=1,SUM($A$2:$A1041),0)</f>
        <v/>
      </c>
    </row>
    <row r="1042">
      <c r="A1042">
        <f>IF(AND(OR(Query!$B$4="All",'Compliance Database'!$A1042=Query!$B$4),OR(Query!$B$5="All",ISNUMBER(SEARCH(Query!$B$5,'Compliance Database'!$H1042))),OR(Query!$B$6="All",ISNUMBER(SEARCH(Query!$B$6,'Compliance Database'!$I1042))),OR(Query!$B$7="All",'Compliance Database'!$F1042=Query!$B$7),OR(Query!$B$8="All",'Compliance Database'!$J1042=Query!$B$8),OR(Query!$B$9="",ISNUMBER(SEARCH(Query!$B$9,'Compliance Database'!$D1042&amp;" "&amp;'Compliance Database'!$K1042&amp;" "&amp;'Compliance Database'!$L1042&amp;" "&amp;'Compliance Database'!$M1042&amp;" "&amp;'Compliance Database'!$N1042&amp;" "&amp;'Compliance Database'!$O1042))),OR(Query!$B$10&lt;&gt;"Yes",'Compliance Database'!$F1042&lt;&gt;"None")),1,0)</f>
        <v/>
      </c>
      <c r="B1042">
        <f>IF($A1042=1,SUM($A$2:$A1042),"")</f>
        <v/>
      </c>
      <c r="C1042">
        <f>IF($A1042=1,SUM($A$2:$A1042),0)</f>
        <v/>
      </c>
    </row>
    <row r="1043">
      <c r="A1043">
        <f>IF(AND(OR(Query!$B$4="All",'Compliance Database'!$A1043=Query!$B$4),OR(Query!$B$5="All",ISNUMBER(SEARCH(Query!$B$5,'Compliance Database'!$H1043))),OR(Query!$B$6="All",ISNUMBER(SEARCH(Query!$B$6,'Compliance Database'!$I1043))),OR(Query!$B$7="All",'Compliance Database'!$F1043=Query!$B$7),OR(Query!$B$8="All",'Compliance Database'!$J1043=Query!$B$8),OR(Query!$B$9="",ISNUMBER(SEARCH(Query!$B$9,'Compliance Database'!$D1043&amp;" "&amp;'Compliance Database'!$K1043&amp;" "&amp;'Compliance Database'!$L1043&amp;" "&amp;'Compliance Database'!$M1043&amp;" "&amp;'Compliance Database'!$N1043&amp;" "&amp;'Compliance Database'!$O1043))),OR(Query!$B$10&lt;&gt;"Yes",'Compliance Database'!$F1043&lt;&gt;"None")),1,0)</f>
        <v/>
      </c>
      <c r="B1043">
        <f>IF($A1043=1,SUM($A$2:$A1043),"")</f>
        <v/>
      </c>
      <c r="C1043">
        <f>IF($A1043=1,SUM($A$2:$A1043),0)</f>
        <v/>
      </c>
    </row>
    <row r="1044">
      <c r="A1044">
        <f>IF(AND(OR(Query!$B$4="All",'Compliance Database'!$A1044=Query!$B$4),OR(Query!$B$5="All",ISNUMBER(SEARCH(Query!$B$5,'Compliance Database'!$H1044))),OR(Query!$B$6="All",ISNUMBER(SEARCH(Query!$B$6,'Compliance Database'!$I1044))),OR(Query!$B$7="All",'Compliance Database'!$F1044=Query!$B$7),OR(Query!$B$8="All",'Compliance Database'!$J1044=Query!$B$8),OR(Query!$B$9="",ISNUMBER(SEARCH(Query!$B$9,'Compliance Database'!$D1044&amp;" "&amp;'Compliance Database'!$K1044&amp;" "&amp;'Compliance Database'!$L1044&amp;" "&amp;'Compliance Database'!$M1044&amp;" "&amp;'Compliance Database'!$N1044&amp;" "&amp;'Compliance Database'!$O1044))),OR(Query!$B$10&lt;&gt;"Yes",'Compliance Database'!$F1044&lt;&gt;"None")),1,0)</f>
        <v/>
      </c>
      <c r="B1044">
        <f>IF($A1044=1,SUM($A$2:$A1044),"")</f>
        <v/>
      </c>
      <c r="C1044">
        <f>IF($A1044=1,SUM($A$2:$A1044),0)</f>
        <v/>
      </c>
    </row>
    <row r="1045">
      <c r="A1045">
        <f>IF(AND(OR(Query!$B$4="All",'Compliance Database'!$A1045=Query!$B$4),OR(Query!$B$5="All",ISNUMBER(SEARCH(Query!$B$5,'Compliance Database'!$H1045))),OR(Query!$B$6="All",ISNUMBER(SEARCH(Query!$B$6,'Compliance Database'!$I1045))),OR(Query!$B$7="All",'Compliance Database'!$F1045=Query!$B$7),OR(Query!$B$8="All",'Compliance Database'!$J1045=Query!$B$8),OR(Query!$B$9="",ISNUMBER(SEARCH(Query!$B$9,'Compliance Database'!$D1045&amp;" "&amp;'Compliance Database'!$K1045&amp;" "&amp;'Compliance Database'!$L1045&amp;" "&amp;'Compliance Database'!$M1045&amp;" "&amp;'Compliance Database'!$N1045&amp;" "&amp;'Compliance Database'!$O1045))),OR(Query!$B$10&lt;&gt;"Yes",'Compliance Database'!$F1045&lt;&gt;"None")),1,0)</f>
        <v/>
      </c>
      <c r="B1045">
        <f>IF($A1045=1,SUM($A$2:$A1045),"")</f>
        <v/>
      </c>
      <c r="C1045">
        <f>IF($A1045=1,SUM($A$2:$A1045),0)</f>
        <v/>
      </c>
    </row>
    <row r="1046">
      <c r="A1046">
        <f>IF(AND(OR(Query!$B$4="All",'Compliance Database'!$A1046=Query!$B$4),OR(Query!$B$5="All",ISNUMBER(SEARCH(Query!$B$5,'Compliance Database'!$H1046))),OR(Query!$B$6="All",ISNUMBER(SEARCH(Query!$B$6,'Compliance Database'!$I1046))),OR(Query!$B$7="All",'Compliance Database'!$F1046=Query!$B$7),OR(Query!$B$8="All",'Compliance Database'!$J1046=Query!$B$8),OR(Query!$B$9="",ISNUMBER(SEARCH(Query!$B$9,'Compliance Database'!$D1046&amp;" "&amp;'Compliance Database'!$K1046&amp;" "&amp;'Compliance Database'!$L1046&amp;" "&amp;'Compliance Database'!$M1046&amp;" "&amp;'Compliance Database'!$N1046&amp;" "&amp;'Compliance Database'!$O1046))),OR(Query!$B$10&lt;&gt;"Yes",'Compliance Database'!$F1046&lt;&gt;"None")),1,0)</f>
        <v/>
      </c>
      <c r="B1046">
        <f>IF($A1046=1,SUM($A$2:$A1046),"")</f>
        <v/>
      </c>
      <c r="C1046">
        <f>IF($A1046=1,SUM($A$2:$A1046),0)</f>
        <v/>
      </c>
    </row>
    <row r="1047">
      <c r="A1047">
        <f>IF(AND(OR(Query!$B$4="All",'Compliance Database'!$A1047=Query!$B$4),OR(Query!$B$5="All",ISNUMBER(SEARCH(Query!$B$5,'Compliance Database'!$H1047))),OR(Query!$B$6="All",ISNUMBER(SEARCH(Query!$B$6,'Compliance Database'!$I1047))),OR(Query!$B$7="All",'Compliance Database'!$F1047=Query!$B$7),OR(Query!$B$8="All",'Compliance Database'!$J1047=Query!$B$8),OR(Query!$B$9="",ISNUMBER(SEARCH(Query!$B$9,'Compliance Database'!$D1047&amp;" "&amp;'Compliance Database'!$K1047&amp;" "&amp;'Compliance Database'!$L1047&amp;" "&amp;'Compliance Database'!$M1047&amp;" "&amp;'Compliance Database'!$N1047&amp;" "&amp;'Compliance Database'!$O1047))),OR(Query!$B$10&lt;&gt;"Yes",'Compliance Database'!$F1047&lt;&gt;"None")),1,0)</f>
        <v/>
      </c>
      <c r="B1047">
        <f>IF($A1047=1,SUM($A$2:$A1047),"")</f>
        <v/>
      </c>
      <c r="C1047">
        <f>IF($A1047=1,SUM($A$2:$A1047),0)</f>
        <v/>
      </c>
    </row>
    <row r="1048">
      <c r="A1048">
        <f>IF(AND(OR(Query!$B$4="All",'Compliance Database'!$A1048=Query!$B$4),OR(Query!$B$5="All",ISNUMBER(SEARCH(Query!$B$5,'Compliance Database'!$H1048))),OR(Query!$B$6="All",ISNUMBER(SEARCH(Query!$B$6,'Compliance Database'!$I1048))),OR(Query!$B$7="All",'Compliance Database'!$F1048=Query!$B$7),OR(Query!$B$8="All",'Compliance Database'!$J1048=Query!$B$8),OR(Query!$B$9="",ISNUMBER(SEARCH(Query!$B$9,'Compliance Database'!$D1048&amp;" "&amp;'Compliance Database'!$K1048&amp;" "&amp;'Compliance Database'!$L1048&amp;" "&amp;'Compliance Database'!$M1048&amp;" "&amp;'Compliance Database'!$N1048&amp;" "&amp;'Compliance Database'!$O1048))),OR(Query!$B$10&lt;&gt;"Yes",'Compliance Database'!$F1048&lt;&gt;"None")),1,0)</f>
        <v/>
      </c>
      <c r="B1048">
        <f>IF($A1048=1,SUM($A$2:$A1048),"")</f>
        <v/>
      </c>
      <c r="C1048">
        <f>IF($A1048=1,SUM($A$2:$A1048),0)</f>
        <v/>
      </c>
    </row>
    <row r="1049">
      <c r="A1049">
        <f>IF(AND(OR(Query!$B$4="All",'Compliance Database'!$A1049=Query!$B$4),OR(Query!$B$5="All",ISNUMBER(SEARCH(Query!$B$5,'Compliance Database'!$H1049))),OR(Query!$B$6="All",ISNUMBER(SEARCH(Query!$B$6,'Compliance Database'!$I1049))),OR(Query!$B$7="All",'Compliance Database'!$F1049=Query!$B$7),OR(Query!$B$8="All",'Compliance Database'!$J1049=Query!$B$8),OR(Query!$B$9="",ISNUMBER(SEARCH(Query!$B$9,'Compliance Database'!$D1049&amp;" "&amp;'Compliance Database'!$K1049&amp;" "&amp;'Compliance Database'!$L1049&amp;" "&amp;'Compliance Database'!$M1049&amp;" "&amp;'Compliance Database'!$N1049&amp;" "&amp;'Compliance Database'!$O1049))),OR(Query!$B$10&lt;&gt;"Yes",'Compliance Database'!$F1049&lt;&gt;"None")),1,0)</f>
        <v/>
      </c>
      <c r="B1049">
        <f>IF($A1049=1,SUM($A$2:$A1049),"")</f>
        <v/>
      </c>
      <c r="C1049">
        <f>IF($A1049=1,SUM($A$2:$A1049),0)</f>
        <v/>
      </c>
    </row>
    <row r="1050">
      <c r="A1050">
        <f>IF(AND(OR(Query!$B$4="All",'Compliance Database'!$A1050=Query!$B$4),OR(Query!$B$5="All",ISNUMBER(SEARCH(Query!$B$5,'Compliance Database'!$H1050))),OR(Query!$B$6="All",ISNUMBER(SEARCH(Query!$B$6,'Compliance Database'!$I1050))),OR(Query!$B$7="All",'Compliance Database'!$F1050=Query!$B$7),OR(Query!$B$8="All",'Compliance Database'!$J1050=Query!$B$8),OR(Query!$B$9="",ISNUMBER(SEARCH(Query!$B$9,'Compliance Database'!$D1050&amp;" "&amp;'Compliance Database'!$K1050&amp;" "&amp;'Compliance Database'!$L1050&amp;" "&amp;'Compliance Database'!$M1050&amp;" "&amp;'Compliance Database'!$N1050&amp;" "&amp;'Compliance Database'!$O1050))),OR(Query!$B$10&lt;&gt;"Yes",'Compliance Database'!$F1050&lt;&gt;"None")),1,0)</f>
        <v/>
      </c>
      <c r="B1050">
        <f>IF($A1050=1,SUM($A$2:$A1050),"")</f>
        <v/>
      </c>
      <c r="C1050">
        <f>IF($A1050=1,SUM($A$2:$A1050),0)</f>
        <v/>
      </c>
    </row>
    <row r="1051">
      <c r="A1051">
        <f>IF(AND(OR(Query!$B$4="All",'Compliance Database'!$A1051=Query!$B$4),OR(Query!$B$5="All",ISNUMBER(SEARCH(Query!$B$5,'Compliance Database'!$H1051))),OR(Query!$B$6="All",ISNUMBER(SEARCH(Query!$B$6,'Compliance Database'!$I1051))),OR(Query!$B$7="All",'Compliance Database'!$F1051=Query!$B$7),OR(Query!$B$8="All",'Compliance Database'!$J1051=Query!$B$8),OR(Query!$B$9="",ISNUMBER(SEARCH(Query!$B$9,'Compliance Database'!$D1051&amp;" "&amp;'Compliance Database'!$K1051&amp;" "&amp;'Compliance Database'!$L1051&amp;" "&amp;'Compliance Database'!$M1051&amp;" "&amp;'Compliance Database'!$N1051&amp;" "&amp;'Compliance Database'!$O1051))),OR(Query!$B$10&lt;&gt;"Yes",'Compliance Database'!$F1051&lt;&gt;"None")),1,0)</f>
        <v/>
      </c>
      <c r="B1051">
        <f>IF($A1051=1,SUM($A$2:$A1051),"")</f>
        <v/>
      </c>
      <c r="C1051">
        <f>IF($A1051=1,SUM($A$2:$A1051),0)</f>
        <v/>
      </c>
    </row>
    <row r="1052">
      <c r="A1052">
        <f>IF(AND(OR(Query!$B$4="All",'Compliance Database'!$A1052=Query!$B$4),OR(Query!$B$5="All",ISNUMBER(SEARCH(Query!$B$5,'Compliance Database'!$H1052))),OR(Query!$B$6="All",ISNUMBER(SEARCH(Query!$B$6,'Compliance Database'!$I1052))),OR(Query!$B$7="All",'Compliance Database'!$F1052=Query!$B$7),OR(Query!$B$8="All",'Compliance Database'!$J1052=Query!$B$8),OR(Query!$B$9="",ISNUMBER(SEARCH(Query!$B$9,'Compliance Database'!$D1052&amp;" "&amp;'Compliance Database'!$K1052&amp;" "&amp;'Compliance Database'!$L1052&amp;" "&amp;'Compliance Database'!$M1052&amp;" "&amp;'Compliance Database'!$N1052&amp;" "&amp;'Compliance Database'!$O1052))),OR(Query!$B$10&lt;&gt;"Yes",'Compliance Database'!$F1052&lt;&gt;"None")),1,0)</f>
        <v/>
      </c>
      <c r="B1052">
        <f>IF($A1052=1,SUM($A$2:$A1052),"")</f>
        <v/>
      </c>
      <c r="C1052">
        <f>IF($A1052=1,SUM($A$2:$A1052),0)</f>
        <v/>
      </c>
    </row>
    <row r="1053">
      <c r="A1053">
        <f>IF(AND(OR(Query!$B$4="All",'Compliance Database'!$A1053=Query!$B$4),OR(Query!$B$5="All",ISNUMBER(SEARCH(Query!$B$5,'Compliance Database'!$H1053))),OR(Query!$B$6="All",ISNUMBER(SEARCH(Query!$B$6,'Compliance Database'!$I1053))),OR(Query!$B$7="All",'Compliance Database'!$F1053=Query!$B$7),OR(Query!$B$8="All",'Compliance Database'!$J1053=Query!$B$8),OR(Query!$B$9="",ISNUMBER(SEARCH(Query!$B$9,'Compliance Database'!$D1053&amp;" "&amp;'Compliance Database'!$K1053&amp;" "&amp;'Compliance Database'!$L1053&amp;" "&amp;'Compliance Database'!$M1053&amp;" "&amp;'Compliance Database'!$N1053&amp;" "&amp;'Compliance Database'!$O1053))),OR(Query!$B$10&lt;&gt;"Yes",'Compliance Database'!$F1053&lt;&gt;"None")),1,0)</f>
        <v/>
      </c>
      <c r="B1053">
        <f>IF($A1053=1,SUM($A$2:$A1053),"")</f>
        <v/>
      </c>
      <c r="C1053">
        <f>IF($A1053=1,SUM($A$2:$A1053),0)</f>
        <v/>
      </c>
    </row>
    <row r="1054">
      <c r="A1054">
        <f>IF(AND(OR(Query!$B$4="All",'Compliance Database'!$A1054=Query!$B$4),OR(Query!$B$5="All",ISNUMBER(SEARCH(Query!$B$5,'Compliance Database'!$H1054))),OR(Query!$B$6="All",ISNUMBER(SEARCH(Query!$B$6,'Compliance Database'!$I1054))),OR(Query!$B$7="All",'Compliance Database'!$F1054=Query!$B$7),OR(Query!$B$8="All",'Compliance Database'!$J1054=Query!$B$8),OR(Query!$B$9="",ISNUMBER(SEARCH(Query!$B$9,'Compliance Database'!$D1054&amp;" "&amp;'Compliance Database'!$K1054&amp;" "&amp;'Compliance Database'!$L1054&amp;" "&amp;'Compliance Database'!$M1054&amp;" "&amp;'Compliance Database'!$N1054&amp;" "&amp;'Compliance Database'!$O1054))),OR(Query!$B$10&lt;&gt;"Yes",'Compliance Database'!$F1054&lt;&gt;"None")),1,0)</f>
        <v/>
      </c>
      <c r="B1054">
        <f>IF($A1054=1,SUM($A$2:$A1054),"")</f>
        <v/>
      </c>
      <c r="C1054">
        <f>IF($A1054=1,SUM($A$2:$A1054),0)</f>
        <v/>
      </c>
    </row>
    <row r="1055">
      <c r="A1055">
        <f>IF(AND(OR(Query!$B$4="All",'Compliance Database'!$A1055=Query!$B$4),OR(Query!$B$5="All",ISNUMBER(SEARCH(Query!$B$5,'Compliance Database'!$H1055))),OR(Query!$B$6="All",ISNUMBER(SEARCH(Query!$B$6,'Compliance Database'!$I1055))),OR(Query!$B$7="All",'Compliance Database'!$F1055=Query!$B$7),OR(Query!$B$8="All",'Compliance Database'!$J1055=Query!$B$8),OR(Query!$B$9="",ISNUMBER(SEARCH(Query!$B$9,'Compliance Database'!$D1055&amp;" "&amp;'Compliance Database'!$K1055&amp;" "&amp;'Compliance Database'!$L1055&amp;" "&amp;'Compliance Database'!$M1055&amp;" "&amp;'Compliance Database'!$N1055&amp;" "&amp;'Compliance Database'!$O1055))),OR(Query!$B$10&lt;&gt;"Yes",'Compliance Database'!$F1055&lt;&gt;"None")),1,0)</f>
        <v/>
      </c>
      <c r="B1055">
        <f>IF($A1055=1,SUM($A$2:$A1055),"")</f>
        <v/>
      </c>
      <c r="C1055">
        <f>IF($A1055=1,SUM($A$2:$A1055),0)</f>
        <v/>
      </c>
    </row>
    <row r="1056">
      <c r="A1056">
        <f>IF(AND(OR(Query!$B$4="All",'Compliance Database'!$A1056=Query!$B$4),OR(Query!$B$5="All",ISNUMBER(SEARCH(Query!$B$5,'Compliance Database'!$H1056))),OR(Query!$B$6="All",ISNUMBER(SEARCH(Query!$B$6,'Compliance Database'!$I1056))),OR(Query!$B$7="All",'Compliance Database'!$F1056=Query!$B$7),OR(Query!$B$8="All",'Compliance Database'!$J1056=Query!$B$8),OR(Query!$B$9="",ISNUMBER(SEARCH(Query!$B$9,'Compliance Database'!$D1056&amp;" "&amp;'Compliance Database'!$K1056&amp;" "&amp;'Compliance Database'!$L1056&amp;" "&amp;'Compliance Database'!$M1056&amp;" "&amp;'Compliance Database'!$N1056&amp;" "&amp;'Compliance Database'!$O1056))),OR(Query!$B$10&lt;&gt;"Yes",'Compliance Database'!$F1056&lt;&gt;"None")),1,0)</f>
        <v/>
      </c>
      <c r="B1056">
        <f>IF($A1056=1,SUM($A$2:$A1056),"")</f>
        <v/>
      </c>
      <c r="C1056">
        <f>IF($A1056=1,SUM($A$2:$A1056),0)</f>
        <v/>
      </c>
    </row>
    <row r="1057">
      <c r="A1057">
        <f>IF(AND(OR(Query!$B$4="All",'Compliance Database'!$A1057=Query!$B$4),OR(Query!$B$5="All",ISNUMBER(SEARCH(Query!$B$5,'Compliance Database'!$H1057))),OR(Query!$B$6="All",ISNUMBER(SEARCH(Query!$B$6,'Compliance Database'!$I1057))),OR(Query!$B$7="All",'Compliance Database'!$F1057=Query!$B$7),OR(Query!$B$8="All",'Compliance Database'!$J1057=Query!$B$8),OR(Query!$B$9="",ISNUMBER(SEARCH(Query!$B$9,'Compliance Database'!$D1057&amp;" "&amp;'Compliance Database'!$K1057&amp;" "&amp;'Compliance Database'!$L1057&amp;" "&amp;'Compliance Database'!$M1057&amp;" "&amp;'Compliance Database'!$N1057&amp;" "&amp;'Compliance Database'!$O1057))),OR(Query!$B$10&lt;&gt;"Yes",'Compliance Database'!$F1057&lt;&gt;"None")),1,0)</f>
        <v/>
      </c>
      <c r="B1057">
        <f>IF($A1057=1,SUM($A$2:$A1057),"")</f>
        <v/>
      </c>
      <c r="C1057">
        <f>IF($A1057=1,SUM($A$2:$A1057),0)</f>
        <v/>
      </c>
    </row>
    <row r="1058">
      <c r="A1058">
        <f>IF(AND(OR(Query!$B$4="All",'Compliance Database'!$A1058=Query!$B$4),OR(Query!$B$5="All",ISNUMBER(SEARCH(Query!$B$5,'Compliance Database'!$H1058))),OR(Query!$B$6="All",ISNUMBER(SEARCH(Query!$B$6,'Compliance Database'!$I1058))),OR(Query!$B$7="All",'Compliance Database'!$F1058=Query!$B$7),OR(Query!$B$8="All",'Compliance Database'!$J1058=Query!$B$8),OR(Query!$B$9="",ISNUMBER(SEARCH(Query!$B$9,'Compliance Database'!$D1058&amp;" "&amp;'Compliance Database'!$K1058&amp;" "&amp;'Compliance Database'!$L1058&amp;" "&amp;'Compliance Database'!$M1058&amp;" "&amp;'Compliance Database'!$N1058&amp;" "&amp;'Compliance Database'!$O1058))),OR(Query!$B$10&lt;&gt;"Yes",'Compliance Database'!$F1058&lt;&gt;"None")),1,0)</f>
        <v/>
      </c>
      <c r="B1058">
        <f>IF($A1058=1,SUM($A$2:$A1058),"")</f>
        <v/>
      </c>
      <c r="C1058">
        <f>IF($A1058=1,SUM($A$2:$A1058),0)</f>
        <v/>
      </c>
    </row>
    <row r="1059">
      <c r="A1059">
        <f>IF(AND(OR(Query!$B$4="All",'Compliance Database'!$A1059=Query!$B$4),OR(Query!$B$5="All",ISNUMBER(SEARCH(Query!$B$5,'Compliance Database'!$H1059))),OR(Query!$B$6="All",ISNUMBER(SEARCH(Query!$B$6,'Compliance Database'!$I1059))),OR(Query!$B$7="All",'Compliance Database'!$F1059=Query!$B$7),OR(Query!$B$8="All",'Compliance Database'!$J1059=Query!$B$8),OR(Query!$B$9="",ISNUMBER(SEARCH(Query!$B$9,'Compliance Database'!$D1059&amp;" "&amp;'Compliance Database'!$K1059&amp;" "&amp;'Compliance Database'!$L1059&amp;" "&amp;'Compliance Database'!$M1059&amp;" "&amp;'Compliance Database'!$N1059&amp;" "&amp;'Compliance Database'!$O1059))),OR(Query!$B$10&lt;&gt;"Yes",'Compliance Database'!$F1059&lt;&gt;"None")),1,0)</f>
        <v/>
      </c>
      <c r="B1059">
        <f>IF($A1059=1,SUM($A$2:$A1059),"")</f>
        <v/>
      </c>
      <c r="C1059">
        <f>IF($A1059=1,SUM($A$2:$A1059),0)</f>
        <v/>
      </c>
    </row>
    <row r="1060">
      <c r="A1060">
        <f>IF(AND(OR(Query!$B$4="All",'Compliance Database'!$A1060=Query!$B$4),OR(Query!$B$5="All",ISNUMBER(SEARCH(Query!$B$5,'Compliance Database'!$H1060))),OR(Query!$B$6="All",ISNUMBER(SEARCH(Query!$B$6,'Compliance Database'!$I1060))),OR(Query!$B$7="All",'Compliance Database'!$F1060=Query!$B$7),OR(Query!$B$8="All",'Compliance Database'!$J1060=Query!$B$8),OR(Query!$B$9="",ISNUMBER(SEARCH(Query!$B$9,'Compliance Database'!$D1060&amp;" "&amp;'Compliance Database'!$K1060&amp;" "&amp;'Compliance Database'!$L1060&amp;" "&amp;'Compliance Database'!$M1060&amp;" "&amp;'Compliance Database'!$N1060&amp;" "&amp;'Compliance Database'!$O1060))),OR(Query!$B$10&lt;&gt;"Yes",'Compliance Database'!$F1060&lt;&gt;"None")),1,0)</f>
        <v/>
      </c>
      <c r="B1060">
        <f>IF($A1060=1,SUM($A$2:$A1060),"")</f>
        <v/>
      </c>
      <c r="C1060">
        <f>IF($A1060=1,SUM($A$2:$A1060),0)</f>
        <v/>
      </c>
    </row>
    <row r="1061">
      <c r="A1061">
        <f>IF(AND(OR(Query!$B$4="All",'Compliance Database'!$A1061=Query!$B$4),OR(Query!$B$5="All",ISNUMBER(SEARCH(Query!$B$5,'Compliance Database'!$H1061))),OR(Query!$B$6="All",ISNUMBER(SEARCH(Query!$B$6,'Compliance Database'!$I1061))),OR(Query!$B$7="All",'Compliance Database'!$F1061=Query!$B$7),OR(Query!$B$8="All",'Compliance Database'!$J1061=Query!$B$8),OR(Query!$B$9="",ISNUMBER(SEARCH(Query!$B$9,'Compliance Database'!$D1061&amp;" "&amp;'Compliance Database'!$K1061&amp;" "&amp;'Compliance Database'!$L1061&amp;" "&amp;'Compliance Database'!$M1061&amp;" "&amp;'Compliance Database'!$N1061&amp;" "&amp;'Compliance Database'!$O1061))),OR(Query!$B$10&lt;&gt;"Yes",'Compliance Database'!$F1061&lt;&gt;"None")),1,0)</f>
        <v/>
      </c>
      <c r="B1061">
        <f>IF($A1061=1,SUM($A$2:$A1061),"")</f>
        <v/>
      </c>
      <c r="C1061">
        <f>IF($A1061=1,SUM($A$2:$A1061),0)</f>
        <v/>
      </c>
    </row>
    <row r="1062">
      <c r="A1062">
        <f>IF(AND(OR(Query!$B$4="All",'Compliance Database'!$A1062=Query!$B$4),OR(Query!$B$5="All",ISNUMBER(SEARCH(Query!$B$5,'Compliance Database'!$H1062))),OR(Query!$B$6="All",ISNUMBER(SEARCH(Query!$B$6,'Compliance Database'!$I1062))),OR(Query!$B$7="All",'Compliance Database'!$F1062=Query!$B$7),OR(Query!$B$8="All",'Compliance Database'!$J1062=Query!$B$8),OR(Query!$B$9="",ISNUMBER(SEARCH(Query!$B$9,'Compliance Database'!$D1062&amp;" "&amp;'Compliance Database'!$K1062&amp;" "&amp;'Compliance Database'!$L1062&amp;" "&amp;'Compliance Database'!$M1062&amp;" "&amp;'Compliance Database'!$N1062&amp;" "&amp;'Compliance Database'!$O1062))),OR(Query!$B$10&lt;&gt;"Yes",'Compliance Database'!$F1062&lt;&gt;"None")),1,0)</f>
        <v/>
      </c>
      <c r="B1062">
        <f>IF($A1062=1,SUM($A$2:$A1062),"")</f>
        <v/>
      </c>
      <c r="C1062">
        <f>IF($A1062=1,SUM($A$2:$A1062),0)</f>
        <v/>
      </c>
    </row>
    <row r="1063">
      <c r="A1063">
        <f>IF(AND(OR(Query!$B$4="All",'Compliance Database'!$A1063=Query!$B$4),OR(Query!$B$5="All",ISNUMBER(SEARCH(Query!$B$5,'Compliance Database'!$H1063))),OR(Query!$B$6="All",ISNUMBER(SEARCH(Query!$B$6,'Compliance Database'!$I1063))),OR(Query!$B$7="All",'Compliance Database'!$F1063=Query!$B$7),OR(Query!$B$8="All",'Compliance Database'!$J1063=Query!$B$8),OR(Query!$B$9="",ISNUMBER(SEARCH(Query!$B$9,'Compliance Database'!$D1063&amp;" "&amp;'Compliance Database'!$K1063&amp;" "&amp;'Compliance Database'!$L1063&amp;" "&amp;'Compliance Database'!$M1063&amp;" "&amp;'Compliance Database'!$N1063&amp;" "&amp;'Compliance Database'!$O1063))),OR(Query!$B$10&lt;&gt;"Yes",'Compliance Database'!$F1063&lt;&gt;"None")),1,0)</f>
        <v/>
      </c>
      <c r="B1063">
        <f>IF($A1063=1,SUM($A$2:$A1063),"")</f>
        <v/>
      </c>
      <c r="C1063">
        <f>IF($A1063=1,SUM($A$2:$A1063),0)</f>
        <v/>
      </c>
    </row>
    <row r="1064">
      <c r="A1064">
        <f>IF(AND(OR(Query!$B$4="All",'Compliance Database'!$A1064=Query!$B$4),OR(Query!$B$5="All",ISNUMBER(SEARCH(Query!$B$5,'Compliance Database'!$H1064))),OR(Query!$B$6="All",ISNUMBER(SEARCH(Query!$B$6,'Compliance Database'!$I1064))),OR(Query!$B$7="All",'Compliance Database'!$F1064=Query!$B$7),OR(Query!$B$8="All",'Compliance Database'!$J1064=Query!$B$8),OR(Query!$B$9="",ISNUMBER(SEARCH(Query!$B$9,'Compliance Database'!$D1064&amp;" "&amp;'Compliance Database'!$K1064&amp;" "&amp;'Compliance Database'!$L1064&amp;" "&amp;'Compliance Database'!$M1064&amp;" "&amp;'Compliance Database'!$N1064&amp;" "&amp;'Compliance Database'!$O1064))),OR(Query!$B$10&lt;&gt;"Yes",'Compliance Database'!$F1064&lt;&gt;"None")),1,0)</f>
        <v/>
      </c>
      <c r="B1064">
        <f>IF($A1064=1,SUM($A$2:$A1064),"")</f>
        <v/>
      </c>
      <c r="C1064">
        <f>IF($A1064=1,SUM($A$2:$A1064),0)</f>
        <v/>
      </c>
    </row>
    <row r="1065">
      <c r="A1065">
        <f>IF(AND(OR(Query!$B$4="All",'Compliance Database'!$A1065=Query!$B$4),OR(Query!$B$5="All",ISNUMBER(SEARCH(Query!$B$5,'Compliance Database'!$H1065))),OR(Query!$B$6="All",ISNUMBER(SEARCH(Query!$B$6,'Compliance Database'!$I1065))),OR(Query!$B$7="All",'Compliance Database'!$F1065=Query!$B$7),OR(Query!$B$8="All",'Compliance Database'!$J1065=Query!$B$8),OR(Query!$B$9="",ISNUMBER(SEARCH(Query!$B$9,'Compliance Database'!$D1065&amp;" "&amp;'Compliance Database'!$K1065&amp;" "&amp;'Compliance Database'!$L1065&amp;" "&amp;'Compliance Database'!$M1065&amp;" "&amp;'Compliance Database'!$N1065&amp;" "&amp;'Compliance Database'!$O1065))),OR(Query!$B$10&lt;&gt;"Yes",'Compliance Database'!$F1065&lt;&gt;"None")),1,0)</f>
        <v/>
      </c>
      <c r="B1065">
        <f>IF($A1065=1,SUM($A$2:$A1065),"")</f>
        <v/>
      </c>
      <c r="C1065">
        <f>IF($A1065=1,SUM($A$2:$A1065),0)</f>
        <v/>
      </c>
    </row>
    <row r="1066">
      <c r="A1066">
        <f>IF(AND(OR(Query!$B$4="All",'Compliance Database'!$A1066=Query!$B$4),OR(Query!$B$5="All",ISNUMBER(SEARCH(Query!$B$5,'Compliance Database'!$H1066))),OR(Query!$B$6="All",ISNUMBER(SEARCH(Query!$B$6,'Compliance Database'!$I1066))),OR(Query!$B$7="All",'Compliance Database'!$F1066=Query!$B$7),OR(Query!$B$8="All",'Compliance Database'!$J1066=Query!$B$8),OR(Query!$B$9="",ISNUMBER(SEARCH(Query!$B$9,'Compliance Database'!$D1066&amp;" "&amp;'Compliance Database'!$K1066&amp;" "&amp;'Compliance Database'!$L1066&amp;" "&amp;'Compliance Database'!$M1066&amp;" "&amp;'Compliance Database'!$N1066&amp;" "&amp;'Compliance Database'!$O1066))),OR(Query!$B$10&lt;&gt;"Yes",'Compliance Database'!$F1066&lt;&gt;"None")),1,0)</f>
        <v/>
      </c>
      <c r="B1066">
        <f>IF($A1066=1,SUM($A$2:$A1066),"")</f>
        <v/>
      </c>
      <c r="C1066">
        <f>IF($A1066=1,SUM($A$2:$A1066),0)</f>
        <v/>
      </c>
    </row>
    <row r="1067">
      <c r="A1067">
        <f>IF(AND(OR(Query!$B$4="All",'Compliance Database'!$A1067=Query!$B$4),OR(Query!$B$5="All",ISNUMBER(SEARCH(Query!$B$5,'Compliance Database'!$H1067))),OR(Query!$B$6="All",ISNUMBER(SEARCH(Query!$B$6,'Compliance Database'!$I1067))),OR(Query!$B$7="All",'Compliance Database'!$F1067=Query!$B$7),OR(Query!$B$8="All",'Compliance Database'!$J1067=Query!$B$8),OR(Query!$B$9="",ISNUMBER(SEARCH(Query!$B$9,'Compliance Database'!$D1067&amp;" "&amp;'Compliance Database'!$K1067&amp;" "&amp;'Compliance Database'!$L1067&amp;" "&amp;'Compliance Database'!$M1067&amp;" "&amp;'Compliance Database'!$N1067&amp;" "&amp;'Compliance Database'!$O1067))),OR(Query!$B$10&lt;&gt;"Yes",'Compliance Database'!$F1067&lt;&gt;"None")),1,0)</f>
        <v/>
      </c>
      <c r="B1067">
        <f>IF($A1067=1,SUM($A$2:$A1067),"")</f>
        <v/>
      </c>
      <c r="C1067">
        <f>IF($A1067=1,SUM($A$2:$A1067),0)</f>
        <v/>
      </c>
    </row>
    <row r="1068">
      <c r="A1068">
        <f>IF(AND(OR(Query!$B$4="All",'Compliance Database'!$A1068=Query!$B$4),OR(Query!$B$5="All",ISNUMBER(SEARCH(Query!$B$5,'Compliance Database'!$H1068))),OR(Query!$B$6="All",ISNUMBER(SEARCH(Query!$B$6,'Compliance Database'!$I1068))),OR(Query!$B$7="All",'Compliance Database'!$F1068=Query!$B$7),OR(Query!$B$8="All",'Compliance Database'!$J1068=Query!$B$8),OR(Query!$B$9="",ISNUMBER(SEARCH(Query!$B$9,'Compliance Database'!$D1068&amp;" "&amp;'Compliance Database'!$K1068&amp;" "&amp;'Compliance Database'!$L1068&amp;" "&amp;'Compliance Database'!$M1068&amp;" "&amp;'Compliance Database'!$N1068&amp;" "&amp;'Compliance Database'!$O1068))),OR(Query!$B$10&lt;&gt;"Yes",'Compliance Database'!$F1068&lt;&gt;"None")),1,0)</f>
        <v/>
      </c>
      <c r="B1068">
        <f>IF($A1068=1,SUM($A$2:$A1068),"")</f>
        <v/>
      </c>
      <c r="C1068">
        <f>IF($A1068=1,SUM($A$2:$A1068),0)</f>
        <v/>
      </c>
    </row>
    <row r="1069">
      <c r="A1069">
        <f>IF(AND(OR(Query!$B$4="All",'Compliance Database'!$A1069=Query!$B$4),OR(Query!$B$5="All",ISNUMBER(SEARCH(Query!$B$5,'Compliance Database'!$H1069))),OR(Query!$B$6="All",ISNUMBER(SEARCH(Query!$B$6,'Compliance Database'!$I1069))),OR(Query!$B$7="All",'Compliance Database'!$F1069=Query!$B$7),OR(Query!$B$8="All",'Compliance Database'!$J1069=Query!$B$8),OR(Query!$B$9="",ISNUMBER(SEARCH(Query!$B$9,'Compliance Database'!$D1069&amp;" "&amp;'Compliance Database'!$K1069&amp;" "&amp;'Compliance Database'!$L1069&amp;" "&amp;'Compliance Database'!$M1069&amp;" "&amp;'Compliance Database'!$N1069&amp;" "&amp;'Compliance Database'!$O1069))),OR(Query!$B$10&lt;&gt;"Yes",'Compliance Database'!$F1069&lt;&gt;"None")),1,0)</f>
        <v/>
      </c>
      <c r="B1069">
        <f>IF($A1069=1,SUM($A$2:$A1069),"")</f>
        <v/>
      </c>
      <c r="C1069">
        <f>IF($A1069=1,SUM($A$2:$A1069),0)</f>
        <v/>
      </c>
    </row>
    <row r="1070">
      <c r="A1070">
        <f>IF(AND(OR(Query!$B$4="All",'Compliance Database'!$A1070=Query!$B$4),OR(Query!$B$5="All",ISNUMBER(SEARCH(Query!$B$5,'Compliance Database'!$H1070))),OR(Query!$B$6="All",ISNUMBER(SEARCH(Query!$B$6,'Compliance Database'!$I1070))),OR(Query!$B$7="All",'Compliance Database'!$F1070=Query!$B$7),OR(Query!$B$8="All",'Compliance Database'!$J1070=Query!$B$8),OR(Query!$B$9="",ISNUMBER(SEARCH(Query!$B$9,'Compliance Database'!$D1070&amp;" "&amp;'Compliance Database'!$K1070&amp;" "&amp;'Compliance Database'!$L1070&amp;" "&amp;'Compliance Database'!$M1070&amp;" "&amp;'Compliance Database'!$N1070&amp;" "&amp;'Compliance Database'!$O1070))),OR(Query!$B$10&lt;&gt;"Yes",'Compliance Database'!$F1070&lt;&gt;"None")),1,0)</f>
        <v/>
      </c>
      <c r="B1070">
        <f>IF($A1070=1,SUM($A$2:$A1070),"")</f>
        <v/>
      </c>
      <c r="C1070">
        <f>IF($A1070=1,SUM($A$2:$A1070),0)</f>
        <v/>
      </c>
    </row>
    <row r="1071">
      <c r="A1071">
        <f>IF(AND(OR(Query!$B$4="All",'Compliance Database'!$A1071=Query!$B$4),OR(Query!$B$5="All",ISNUMBER(SEARCH(Query!$B$5,'Compliance Database'!$H1071))),OR(Query!$B$6="All",ISNUMBER(SEARCH(Query!$B$6,'Compliance Database'!$I1071))),OR(Query!$B$7="All",'Compliance Database'!$F1071=Query!$B$7),OR(Query!$B$8="All",'Compliance Database'!$J1071=Query!$B$8),OR(Query!$B$9="",ISNUMBER(SEARCH(Query!$B$9,'Compliance Database'!$D1071&amp;" "&amp;'Compliance Database'!$K1071&amp;" "&amp;'Compliance Database'!$L1071&amp;" "&amp;'Compliance Database'!$M1071&amp;" "&amp;'Compliance Database'!$N1071&amp;" "&amp;'Compliance Database'!$O1071))),OR(Query!$B$10&lt;&gt;"Yes",'Compliance Database'!$F1071&lt;&gt;"None")),1,0)</f>
        <v/>
      </c>
      <c r="B1071">
        <f>IF($A1071=1,SUM($A$2:$A1071),"")</f>
        <v/>
      </c>
      <c r="C1071">
        <f>IF($A1071=1,SUM($A$2:$A1071),0)</f>
        <v/>
      </c>
    </row>
    <row r="1072">
      <c r="A1072">
        <f>IF(AND(OR(Query!$B$4="All",'Compliance Database'!$A1072=Query!$B$4),OR(Query!$B$5="All",ISNUMBER(SEARCH(Query!$B$5,'Compliance Database'!$H1072))),OR(Query!$B$6="All",ISNUMBER(SEARCH(Query!$B$6,'Compliance Database'!$I1072))),OR(Query!$B$7="All",'Compliance Database'!$F1072=Query!$B$7),OR(Query!$B$8="All",'Compliance Database'!$J1072=Query!$B$8),OR(Query!$B$9="",ISNUMBER(SEARCH(Query!$B$9,'Compliance Database'!$D1072&amp;" "&amp;'Compliance Database'!$K1072&amp;" "&amp;'Compliance Database'!$L1072&amp;" "&amp;'Compliance Database'!$M1072&amp;" "&amp;'Compliance Database'!$N1072&amp;" "&amp;'Compliance Database'!$O1072))),OR(Query!$B$10&lt;&gt;"Yes",'Compliance Database'!$F1072&lt;&gt;"None")),1,0)</f>
        <v/>
      </c>
      <c r="B1072">
        <f>IF($A1072=1,SUM($A$2:$A1072),"")</f>
        <v/>
      </c>
      <c r="C1072">
        <f>IF($A1072=1,SUM($A$2:$A1072),0)</f>
        <v/>
      </c>
    </row>
    <row r="1073">
      <c r="A1073">
        <f>IF(AND(OR(Query!$B$4="All",'Compliance Database'!$A1073=Query!$B$4),OR(Query!$B$5="All",ISNUMBER(SEARCH(Query!$B$5,'Compliance Database'!$H1073))),OR(Query!$B$6="All",ISNUMBER(SEARCH(Query!$B$6,'Compliance Database'!$I1073))),OR(Query!$B$7="All",'Compliance Database'!$F1073=Query!$B$7),OR(Query!$B$8="All",'Compliance Database'!$J1073=Query!$B$8),OR(Query!$B$9="",ISNUMBER(SEARCH(Query!$B$9,'Compliance Database'!$D1073&amp;" "&amp;'Compliance Database'!$K1073&amp;" "&amp;'Compliance Database'!$L1073&amp;" "&amp;'Compliance Database'!$M1073&amp;" "&amp;'Compliance Database'!$N1073&amp;" "&amp;'Compliance Database'!$O1073))),OR(Query!$B$10&lt;&gt;"Yes",'Compliance Database'!$F1073&lt;&gt;"None")),1,0)</f>
        <v/>
      </c>
      <c r="B1073">
        <f>IF($A1073=1,SUM($A$2:$A1073),"")</f>
        <v/>
      </c>
      <c r="C1073">
        <f>IF($A1073=1,SUM($A$2:$A1073),0)</f>
        <v/>
      </c>
    </row>
    <row r="1074">
      <c r="A1074">
        <f>IF(AND(OR(Query!$B$4="All",'Compliance Database'!$A1074=Query!$B$4),OR(Query!$B$5="All",ISNUMBER(SEARCH(Query!$B$5,'Compliance Database'!$H1074))),OR(Query!$B$6="All",ISNUMBER(SEARCH(Query!$B$6,'Compliance Database'!$I1074))),OR(Query!$B$7="All",'Compliance Database'!$F1074=Query!$B$7),OR(Query!$B$8="All",'Compliance Database'!$J1074=Query!$B$8),OR(Query!$B$9="",ISNUMBER(SEARCH(Query!$B$9,'Compliance Database'!$D1074&amp;" "&amp;'Compliance Database'!$K1074&amp;" "&amp;'Compliance Database'!$L1074&amp;" "&amp;'Compliance Database'!$M1074&amp;" "&amp;'Compliance Database'!$N1074&amp;" "&amp;'Compliance Database'!$O1074))),OR(Query!$B$10&lt;&gt;"Yes",'Compliance Database'!$F1074&lt;&gt;"None")),1,0)</f>
        <v/>
      </c>
      <c r="B1074">
        <f>IF($A1074=1,SUM($A$2:$A1074),"")</f>
        <v/>
      </c>
      <c r="C1074">
        <f>IF($A1074=1,SUM($A$2:$A1074),0)</f>
        <v/>
      </c>
    </row>
    <row r="1075">
      <c r="A1075">
        <f>IF(AND(OR(Query!$B$4="All",'Compliance Database'!$A1075=Query!$B$4),OR(Query!$B$5="All",ISNUMBER(SEARCH(Query!$B$5,'Compliance Database'!$H1075))),OR(Query!$B$6="All",ISNUMBER(SEARCH(Query!$B$6,'Compliance Database'!$I1075))),OR(Query!$B$7="All",'Compliance Database'!$F1075=Query!$B$7),OR(Query!$B$8="All",'Compliance Database'!$J1075=Query!$B$8),OR(Query!$B$9="",ISNUMBER(SEARCH(Query!$B$9,'Compliance Database'!$D1075&amp;" "&amp;'Compliance Database'!$K1075&amp;" "&amp;'Compliance Database'!$L1075&amp;" "&amp;'Compliance Database'!$M1075&amp;" "&amp;'Compliance Database'!$N1075&amp;" "&amp;'Compliance Database'!$O1075))),OR(Query!$B$10&lt;&gt;"Yes",'Compliance Database'!$F1075&lt;&gt;"None")),1,0)</f>
        <v/>
      </c>
      <c r="B1075">
        <f>IF($A1075=1,SUM($A$2:$A1075),"")</f>
        <v/>
      </c>
      <c r="C1075">
        <f>IF($A1075=1,SUM($A$2:$A1075),0)</f>
        <v/>
      </c>
    </row>
    <row r="1076">
      <c r="A1076">
        <f>IF(AND(OR(Query!$B$4="All",'Compliance Database'!$A1076=Query!$B$4),OR(Query!$B$5="All",ISNUMBER(SEARCH(Query!$B$5,'Compliance Database'!$H1076))),OR(Query!$B$6="All",ISNUMBER(SEARCH(Query!$B$6,'Compliance Database'!$I1076))),OR(Query!$B$7="All",'Compliance Database'!$F1076=Query!$B$7),OR(Query!$B$8="All",'Compliance Database'!$J1076=Query!$B$8),OR(Query!$B$9="",ISNUMBER(SEARCH(Query!$B$9,'Compliance Database'!$D1076&amp;" "&amp;'Compliance Database'!$K1076&amp;" "&amp;'Compliance Database'!$L1076&amp;" "&amp;'Compliance Database'!$M1076&amp;" "&amp;'Compliance Database'!$N1076&amp;" "&amp;'Compliance Database'!$O1076))),OR(Query!$B$10&lt;&gt;"Yes",'Compliance Database'!$F1076&lt;&gt;"None")),1,0)</f>
        <v/>
      </c>
      <c r="B1076">
        <f>IF($A1076=1,SUM($A$2:$A1076),"")</f>
        <v/>
      </c>
      <c r="C1076">
        <f>IF($A1076=1,SUM($A$2:$A1076),0)</f>
        <v/>
      </c>
    </row>
    <row r="1077">
      <c r="A1077">
        <f>IF(AND(OR(Query!$B$4="All",'Compliance Database'!$A1077=Query!$B$4),OR(Query!$B$5="All",ISNUMBER(SEARCH(Query!$B$5,'Compliance Database'!$H1077))),OR(Query!$B$6="All",ISNUMBER(SEARCH(Query!$B$6,'Compliance Database'!$I1077))),OR(Query!$B$7="All",'Compliance Database'!$F1077=Query!$B$7),OR(Query!$B$8="All",'Compliance Database'!$J1077=Query!$B$8),OR(Query!$B$9="",ISNUMBER(SEARCH(Query!$B$9,'Compliance Database'!$D1077&amp;" "&amp;'Compliance Database'!$K1077&amp;" "&amp;'Compliance Database'!$L1077&amp;" "&amp;'Compliance Database'!$M1077&amp;" "&amp;'Compliance Database'!$N1077&amp;" "&amp;'Compliance Database'!$O1077))),OR(Query!$B$10&lt;&gt;"Yes",'Compliance Database'!$F1077&lt;&gt;"None")),1,0)</f>
        <v/>
      </c>
      <c r="B1077">
        <f>IF($A1077=1,SUM($A$2:$A1077),"")</f>
        <v/>
      </c>
      <c r="C1077">
        <f>IF($A1077=1,SUM($A$2:$A1077),0)</f>
        <v/>
      </c>
    </row>
    <row r="1078">
      <c r="A1078">
        <f>IF(AND(OR(Query!$B$4="All",'Compliance Database'!$A1078=Query!$B$4),OR(Query!$B$5="All",ISNUMBER(SEARCH(Query!$B$5,'Compliance Database'!$H1078))),OR(Query!$B$6="All",ISNUMBER(SEARCH(Query!$B$6,'Compliance Database'!$I1078))),OR(Query!$B$7="All",'Compliance Database'!$F1078=Query!$B$7),OR(Query!$B$8="All",'Compliance Database'!$J1078=Query!$B$8),OR(Query!$B$9="",ISNUMBER(SEARCH(Query!$B$9,'Compliance Database'!$D1078&amp;" "&amp;'Compliance Database'!$K1078&amp;" "&amp;'Compliance Database'!$L1078&amp;" "&amp;'Compliance Database'!$M1078&amp;" "&amp;'Compliance Database'!$N1078&amp;" "&amp;'Compliance Database'!$O1078))),OR(Query!$B$10&lt;&gt;"Yes",'Compliance Database'!$F1078&lt;&gt;"None")),1,0)</f>
        <v/>
      </c>
      <c r="B1078">
        <f>IF($A1078=1,SUM($A$2:$A1078),"")</f>
        <v/>
      </c>
      <c r="C1078">
        <f>IF($A1078=1,SUM($A$2:$A1078),0)</f>
        <v/>
      </c>
    </row>
    <row r="1079">
      <c r="A1079">
        <f>IF(AND(OR(Query!$B$4="All",'Compliance Database'!$A1079=Query!$B$4),OR(Query!$B$5="All",ISNUMBER(SEARCH(Query!$B$5,'Compliance Database'!$H1079))),OR(Query!$B$6="All",ISNUMBER(SEARCH(Query!$B$6,'Compliance Database'!$I1079))),OR(Query!$B$7="All",'Compliance Database'!$F1079=Query!$B$7),OR(Query!$B$8="All",'Compliance Database'!$J1079=Query!$B$8),OR(Query!$B$9="",ISNUMBER(SEARCH(Query!$B$9,'Compliance Database'!$D1079&amp;" "&amp;'Compliance Database'!$K1079&amp;" "&amp;'Compliance Database'!$L1079&amp;" "&amp;'Compliance Database'!$M1079&amp;" "&amp;'Compliance Database'!$N1079&amp;" "&amp;'Compliance Database'!$O1079))),OR(Query!$B$10&lt;&gt;"Yes",'Compliance Database'!$F1079&lt;&gt;"None")),1,0)</f>
        <v/>
      </c>
      <c r="B1079">
        <f>IF($A1079=1,SUM($A$2:$A1079),"")</f>
        <v/>
      </c>
      <c r="C1079">
        <f>IF($A1079=1,SUM($A$2:$A1079),0)</f>
        <v/>
      </c>
    </row>
    <row r="1080">
      <c r="A1080">
        <f>IF(AND(OR(Query!$B$4="All",'Compliance Database'!$A1080=Query!$B$4),OR(Query!$B$5="All",ISNUMBER(SEARCH(Query!$B$5,'Compliance Database'!$H1080))),OR(Query!$B$6="All",ISNUMBER(SEARCH(Query!$B$6,'Compliance Database'!$I1080))),OR(Query!$B$7="All",'Compliance Database'!$F1080=Query!$B$7),OR(Query!$B$8="All",'Compliance Database'!$J1080=Query!$B$8),OR(Query!$B$9="",ISNUMBER(SEARCH(Query!$B$9,'Compliance Database'!$D1080&amp;" "&amp;'Compliance Database'!$K1080&amp;" "&amp;'Compliance Database'!$L1080&amp;" "&amp;'Compliance Database'!$M1080&amp;" "&amp;'Compliance Database'!$N1080&amp;" "&amp;'Compliance Database'!$O1080))),OR(Query!$B$10&lt;&gt;"Yes",'Compliance Database'!$F1080&lt;&gt;"None")),1,0)</f>
        <v/>
      </c>
      <c r="B1080">
        <f>IF($A1080=1,SUM($A$2:$A1080),"")</f>
        <v/>
      </c>
      <c r="C1080">
        <f>IF($A1080=1,SUM($A$2:$A1080),0)</f>
        <v/>
      </c>
    </row>
    <row r="1081">
      <c r="A1081">
        <f>IF(AND(OR(Query!$B$4="All",'Compliance Database'!$A1081=Query!$B$4),OR(Query!$B$5="All",ISNUMBER(SEARCH(Query!$B$5,'Compliance Database'!$H1081))),OR(Query!$B$6="All",ISNUMBER(SEARCH(Query!$B$6,'Compliance Database'!$I1081))),OR(Query!$B$7="All",'Compliance Database'!$F1081=Query!$B$7),OR(Query!$B$8="All",'Compliance Database'!$J1081=Query!$B$8),OR(Query!$B$9="",ISNUMBER(SEARCH(Query!$B$9,'Compliance Database'!$D1081&amp;" "&amp;'Compliance Database'!$K1081&amp;" "&amp;'Compliance Database'!$L1081&amp;" "&amp;'Compliance Database'!$M1081&amp;" "&amp;'Compliance Database'!$N1081&amp;" "&amp;'Compliance Database'!$O1081))),OR(Query!$B$10&lt;&gt;"Yes",'Compliance Database'!$F1081&lt;&gt;"None")),1,0)</f>
        <v/>
      </c>
      <c r="B1081">
        <f>IF($A1081=1,SUM($A$2:$A1081),"")</f>
        <v/>
      </c>
      <c r="C1081">
        <f>IF($A1081=1,SUM($A$2:$A1081),0)</f>
        <v/>
      </c>
    </row>
    <row r="1082">
      <c r="A1082">
        <f>IF(AND(OR(Query!$B$4="All",'Compliance Database'!$A1082=Query!$B$4),OR(Query!$B$5="All",ISNUMBER(SEARCH(Query!$B$5,'Compliance Database'!$H1082))),OR(Query!$B$6="All",ISNUMBER(SEARCH(Query!$B$6,'Compliance Database'!$I1082))),OR(Query!$B$7="All",'Compliance Database'!$F1082=Query!$B$7),OR(Query!$B$8="All",'Compliance Database'!$J1082=Query!$B$8),OR(Query!$B$9="",ISNUMBER(SEARCH(Query!$B$9,'Compliance Database'!$D1082&amp;" "&amp;'Compliance Database'!$K1082&amp;" "&amp;'Compliance Database'!$L1082&amp;" "&amp;'Compliance Database'!$M1082&amp;" "&amp;'Compliance Database'!$N1082&amp;" "&amp;'Compliance Database'!$O1082))),OR(Query!$B$10&lt;&gt;"Yes",'Compliance Database'!$F1082&lt;&gt;"None")),1,0)</f>
        <v/>
      </c>
      <c r="B1082">
        <f>IF($A1082=1,SUM($A$2:$A1082),"")</f>
        <v/>
      </c>
      <c r="C1082">
        <f>IF($A1082=1,SUM($A$2:$A1082),0)</f>
        <v/>
      </c>
    </row>
    <row r="1083">
      <c r="A1083">
        <f>IF(AND(OR(Query!$B$4="All",'Compliance Database'!$A1083=Query!$B$4),OR(Query!$B$5="All",ISNUMBER(SEARCH(Query!$B$5,'Compliance Database'!$H1083))),OR(Query!$B$6="All",ISNUMBER(SEARCH(Query!$B$6,'Compliance Database'!$I1083))),OR(Query!$B$7="All",'Compliance Database'!$F1083=Query!$B$7),OR(Query!$B$8="All",'Compliance Database'!$J1083=Query!$B$8),OR(Query!$B$9="",ISNUMBER(SEARCH(Query!$B$9,'Compliance Database'!$D1083&amp;" "&amp;'Compliance Database'!$K1083&amp;" "&amp;'Compliance Database'!$L1083&amp;" "&amp;'Compliance Database'!$M1083&amp;" "&amp;'Compliance Database'!$N1083&amp;" "&amp;'Compliance Database'!$O1083))),OR(Query!$B$10&lt;&gt;"Yes",'Compliance Database'!$F1083&lt;&gt;"None")),1,0)</f>
        <v/>
      </c>
      <c r="B1083">
        <f>IF($A1083=1,SUM($A$2:$A1083),"")</f>
        <v/>
      </c>
      <c r="C1083">
        <f>IF($A1083=1,SUM($A$2:$A1083),0)</f>
        <v/>
      </c>
    </row>
    <row r="1084">
      <c r="A1084">
        <f>IF(AND(OR(Query!$B$4="All",'Compliance Database'!$A1084=Query!$B$4),OR(Query!$B$5="All",ISNUMBER(SEARCH(Query!$B$5,'Compliance Database'!$H1084))),OR(Query!$B$6="All",ISNUMBER(SEARCH(Query!$B$6,'Compliance Database'!$I1084))),OR(Query!$B$7="All",'Compliance Database'!$F1084=Query!$B$7),OR(Query!$B$8="All",'Compliance Database'!$J1084=Query!$B$8),OR(Query!$B$9="",ISNUMBER(SEARCH(Query!$B$9,'Compliance Database'!$D1084&amp;" "&amp;'Compliance Database'!$K1084&amp;" "&amp;'Compliance Database'!$L1084&amp;" "&amp;'Compliance Database'!$M1084&amp;" "&amp;'Compliance Database'!$N1084&amp;" "&amp;'Compliance Database'!$O1084))),OR(Query!$B$10&lt;&gt;"Yes",'Compliance Database'!$F1084&lt;&gt;"None")),1,0)</f>
        <v/>
      </c>
      <c r="B1084">
        <f>IF($A1084=1,SUM($A$2:$A1084),"")</f>
        <v/>
      </c>
      <c r="C1084">
        <f>IF($A1084=1,SUM($A$2:$A1084),0)</f>
        <v/>
      </c>
    </row>
    <row r="1085">
      <c r="A1085">
        <f>IF(AND(OR(Query!$B$4="All",'Compliance Database'!$A1085=Query!$B$4),OR(Query!$B$5="All",ISNUMBER(SEARCH(Query!$B$5,'Compliance Database'!$H1085))),OR(Query!$B$6="All",ISNUMBER(SEARCH(Query!$B$6,'Compliance Database'!$I1085))),OR(Query!$B$7="All",'Compliance Database'!$F1085=Query!$B$7),OR(Query!$B$8="All",'Compliance Database'!$J1085=Query!$B$8),OR(Query!$B$9="",ISNUMBER(SEARCH(Query!$B$9,'Compliance Database'!$D1085&amp;" "&amp;'Compliance Database'!$K1085&amp;" "&amp;'Compliance Database'!$L1085&amp;" "&amp;'Compliance Database'!$M1085&amp;" "&amp;'Compliance Database'!$N1085&amp;" "&amp;'Compliance Database'!$O1085))),OR(Query!$B$10&lt;&gt;"Yes",'Compliance Database'!$F1085&lt;&gt;"None")),1,0)</f>
        <v/>
      </c>
      <c r="B1085">
        <f>IF($A1085=1,SUM($A$2:$A1085),"")</f>
        <v/>
      </c>
      <c r="C1085">
        <f>IF($A1085=1,SUM($A$2:$A1085),0)</f>
        <v/>
      </c>
    </row>
    <row r="1086">
      <c r="A1086">
        <f>IF(AND(OR(Query!$B$4="All",'Compliance Database'!$A1086=Query!$B$4),OR(Query!$B$5="All",ISNUMBER(SEARCH(Query!$B$5,'Compliance Database'!$H1086))),OR(Query!$B$6="All",ISNUMBER(SEARCH(Query!$B$6,'Compliance Database'!$I1086))),OR(Query!$B$7="All",'Compliance Database'!$F1086=Query!$B$7),OR(Query!$B$8="All",'Compliance Database'!$J1086=Query!$B$8),OR(Query!$B$9="",ISNUMBER(SEARCH(Query!$B$9,'Compliance Database'!$D1086&amp;" "&amp;'Compliance Database'!$K1086&amp;" "&amp;'Compliance Database'!$L1086&amp;" "&amp;'Compliance Database'!$M1086&amp;" "&amp;'Compliance Database'!$N1086&amp;" "&amp;'Compliance Database'!$O1086))),OR(Query!$B$10&lt;&gt;"Yes",'Compliance Database'!$F1086&lt;&gt;"None")),1,0)</f>
        <v/>
      </c>
      <c r="B1086">
        <f>IF($A1086=1,SUM($A$2:$A1086),"")</f>
        <v/>
      </c>
      <c r="C1086">
        <f>IF($A1086=1,SUM($A$2:$A1086),0)</f>
        <v/>
      </c>
    </row>
    <row r="1087">
      <c r="A1087">
        <f>IF(AND(OR(Query!$B$4="All",'Compliance Database'!$A1087=Query!$B$4),OR(Query!$B$5="All",ISNUMBER(SEARCH(Query!$B$5,'Compliance Database'!$H1087))),OR(Query!$B$6="All",ISNUMBER(SEARCH(Query!$B$6,'Compliance Database'!$I1087))),OR(Query!$B$7="All",'Compliance Database'!$F1087=Query!$B$7),OR(Query!$B$8="All",'Compliance Database'!$J1087=Query!$B$8),OR(Query!$B$9="",ISNUMBER(SEARCH(Query!$B$9,'Compliance Database'!$D1087&amp;" "&amp;'Compliance Database'!$K1087&amp;" "&amp;'Compliance Database'!$L1087&amp;" "&amp;'Compliance Database'!$M1087&amp;" "&amp;'Compliance Database'!$N1087&amp;" "&amp;'Compliance Database'!$O1087))),OR(Query!$B$10&lt;&gt;"Yes",'Compliance Database'!$F1087&lt;&gt;"None")),1,0)</f>
        <v/>
      </c>
      <c r="B1087">
        <f>IF($A1087=1,SUM($A$2:$A1087),"")</f>
        <v/>
      </c>
      <c r="C1087">
        <f>IF($A1087=1,SUM($A$2:$A1087),0)</f>
        <v/>
      </c>
    </row>
    <row r="1088">
      <c r="A1088">
        <f>IF(AND(OR(Query!$B$4="All",'Compliance Database'!$A1088=Query!$B$4),OR(Query!$B$5="All",ISNUMBER(SEARCH(Query!$B$5,'Compliance Database'!$H1088))),OR(Query!$B$6="All",ISNUMBER(SEARCH(Query!$B$6,'Compliance Database'!$I1088))),OR(Query!$B$7="All",'Compliance Database'!$F1088=Query!$B$7),OR(Query!$B$8="All",'Compliance Database'!$J1088=Query!$B$8),OR(Query!$B$9="",ISNUMBER(SEARCH(Query!$B$9,'Compliance Database'!$D1088&amp;" "&amp;'Compliance Database'!$K1088&amp;" "&amp;'Compliance Database'!$L1088&amp;" "&amp;'Compliance Database'!$M1088&amp;" "&amp;'Compliance Database'!$N1088&amp;" "&amp;'Compliance Database'!$O1088))),OR(Query!$B$10&lt;&gt;"Yes",'Compliance Database'!$F1088&lt;&gt;"None")),1,0)</f>
        <v/>
      </c>
      <c r="B1088">
        <f>IF($A1088=1,SUM($A$2:$A1088),"")</f>
        <v/>
      </c>
      <c r="C1088">
        <f>IF($A1088=1,SUM($A$2:$A1088),0)</f>
        <v/>
      </c>
    </row>
    <row r="1089">
      <c r="A1089">
        <f>IF(AND(OR(Query!$B$4="All",'Compliance Database'!$A1089=Query!$B$4),OR(Query!$B$5="All",ISNUMBER(SEARCH(Query!$B$5,'Compliance Database'!$H1089))),OR(Query!$B$6="All",ISNUMBER(SEARCH(Query!$B$6,'Compliance Database'!$I1089))),OR(Query!$B$7="All",'Compliance Database'!$F1089=Query!$B$7),OR(Query!$B$8="All",'Compliance Database'!$J1089=Query!$B$8),OR(Query!$B$9="",ISNUMBER(SEARCH(Query!$B$9,'Compliance Database'!$D1089&amp;" "&amp;'Compliance Database'!$K1089&amp;" "&amp;'Compliance Database'!$L1089&amp;" "&amp;'Compliance Database'!$M1089&amp;" "&amp;'Compliance Database'!$N1089&amp;" "&amp;'Compliance Database'!$O1089))),OR(Query!$B$10&lt;&gt;"Yes",'Compliance Database'!$F1089&lt;&gt;"None")),1,0)</f>
        <v/>
      </c>
      <c r="B1089">
        <f>IF($A1089=1,SUM($A$2:$A1089),"")</f>
        <v/>
      </c>
      <c r="C1089">
        <f>IF($A1089=1,SUM($A$2:$A1089),0)</f>
        <v/>
      </c>
    </row>
    <row r="1090">
      <c r="A1090">
        <f>IF(AND(OR(Query!$B$4="All",'Compliance Database'!$A1090=Query!$B$4),OR(Query!$B$5="All",ISNUMBER(SEARCH(Query!$B$5,'Compliance Database'!$H1090))),OR(Query!$B$6="All",ISNUMBER(SEARCH(Query!$B$6,'Compliance Database'!$I1090))),OR(Query!$B$7="All",'Compliance Database'!$F1090=Query!$B$7),OR(Query!$B$8="All",'Compliance Database'!$J1090=Query!$B$8),OR(Query!$B$9="",ISNUMBER(SEARCH(Query!$B$9,'Compliance Database'!$D1090&amp;" "&amp;'Compliance Database'!$K1090&amp;" "&amp;'Compliance Database'!$L1090&amp;" "&amp;'Compliance Database'!$M1090&amp;" "&amp;'Compliance Database'!$N1090&amp;" "&amp;'Compliance Database'!$O1090))),OR(Query!$B$10&lt;&gt;"Yes",'Compliance Database'!$F1090&lt;&gt;"None")),1,0)</f>
        <v/>
      </c>
      <c r="B1090">
        <f>IF($A1090=1,SUM($A$2:$A1090),"")</f>
        <v/>
      </c>
      <c r="C1090">
        <f>IF($A1090=1,SUM($A$2:$A1090),0)</f>
        <v/>
      </c>
    </row>
    <row r="1091">
      <c r="A1091">
        <f>IF(AND(OR(Query!$B$4="All",'Compliance Database'!$A1091=Query!$B$4),OR(Query!$B$5="All",ISNUMBER(SEARCH(Query!$B$5,'Compliance Database'!$H1091))),OR(Query!$B$6="All",ISNUMBER(SEARCH(Query!$B$6,'Compliance Database'!$I1091))),OR(Query!$B$7="All",'Compliance Database'!$F1091=Query!$B$7),OR(Query!$B$8="All",'Compliance Database'!$J1091=Query!$B$8),OR(Query!$B$9="",ISNUMBER(SEARCH(Query!$B$9,'Compliance Database'!$D1091&amp;" "&amp;'Compliance Database'!$K1091&amp;" "&amp;'Compliance Database'!$L1091&amp;" "&amp;'Compliance Database'!$M1091&amp;" "&amp;'Compliance Database'!$N1091&amp;" "&amp;'Compliance Database'!$O1091))),OR(Query!$B$10&lt;&gt;"Yes",'Compliance Database'!$F1091&lt;&gt;"None")),1,0)</f>
        <v/>
      </c>
      <c r="B1091">
        <f>IF($A1091=1,SUM($A$2:$A1091),"")</f>
        <v/>
      </c>
      <c r="C1091">
        <f>IF($A1091=1,SUM($A$2:$A1091),0)</f>
        <v/>
      </c>
    </row>
    <row r="1092">
      <c r="A1092">
        <f>IF(AND(OR(Query!$B$4="All",'Compliance Database'!$A1092=Query!$B$4),OR(Query!$B$5="All",ISNUMBER(SEARCH(Query!$B$5,'Compliance Database'!$H1092))),OR(Query!$B$6="All",ISNUMBER(SEARCH(Query!$B$6,'Compliance Database'!$I1092))),OR(Query!$B$7="All",'Compliance Database'!$F1092=Query!$B$7),OR(Query!$B$8="All",'Compliance Database'!$J1092=Query!$B$8),OR(Query!$B$9="",ISNUMBER(SEARCH(Query!$B$9,'Compliance Database'!$D1092&amp;" "&amp;'Compliance Database'!$K1092&amp;" "&amp;'Compliance Database'!$L1092&amp;" "&amp;'Compliance Database'!$M1092&amp;" "&amp;'Compliance Database'!$N1092&amp;" "&amp;'Compliance Database'!$O1092))),OR(Query!$B$10&lt;&gt;"Yes",'Compliance Database'!$F1092&lt;&gt;"None")),1,0)</f>
        <v/>
      </c>
      <c r="B1092">
        <f>IF($A1092=1,SUM($A$2:$A1092),"")</f>
        <v/>
      </c>
      <c r="C1092">
        <f>IF($A1092=1,SUM($A$2:$A1092),0)</f>
        <v/>
      </c>
    </row>
    <row r="1093">
      <c r="A1093">
        <f>IF(AND(OR(Query!$B$4="All",'Compliance Database'!$A1093=Query!$B$4),OR(Query!$B$5="All",ISNUMBER(SEARCH(Query!$B$5,'Compliance Database'!$H1093))),OR(Query!$B$6="All",ISNUMBER(SEARCH(Query!$B$6,'Compliance Database'!$I1093))),OR(Query!$B$7="All",'Compliance Database'!$F1093=Query!$B$7),OR(Query!$B$8="All",'Compliance Database'!$J1093=Query!$B$8),OR(Query!$B$9="",ISNUMBER(SEARCH(Query!$B$9,'Compliance Database'!$D1093&amp;" "&amp;'Compliance Database'!$K1093&amp;" "&amp;'Compliance Database'!$L1093&amp;" "&amp;'Compliance Database'!$M1093&amp;" "&amp;'Compliance Database'!$N1093&amp;" "&amp;'Compliance Database'!$O1093))),OR(Query!$B$10&lt;&gt;"Yes",'Compliance Database'!$F1093&lt;&gt;"None")),1,0)</f>
        <v/>
      </c>
      <c r="B1093">
        <f>IF($A1093=1,SUM($A$2:$A1093),"")</f>
        <v/>
      </c>
      <c r="C1093">
        <f>IF($A1093=1,SUM($A$2:$A1093),0)</f>
        <v/>
      </c>
    </row>
    <row r="1094">
      <c r="A1094">
        <f>IF(AND(OR(Query!$B$4="All",'Compliance Database'!$A1094=Query!$B$4),OR(Query!$B$5="All",ISNUMBER(SEARCH(Query!$B$5,'Compliance Database'!$H1094))),OR(Query!$B$6="All",ISNUMBER(SEARCH(Query!$B$6,'Compliance Database'!$I1094))),OR(Query!$B$7="All",'Compliance Database'!$F1094=Query!$B$7),OR(Query!$B$8="All",'Compliance Database'!$J1094=Query!$B$8),OR(Query!$B$9="",ISNUMBER(SEARCH(Query!$B$9,'Compliance Database'!$D1094&amp;" "&amp;'Compliance Database'!$K1094&amp;" "&amp;'Compliance Database'!$L1094&amp;" "&amp;'Compliance Database'!$M1094&amp;" "&amp;'Compliance Database'!$N1094&amp;" "&amp;'Compliance Database'!$O1094))),OR(Query!$B$10&lt;&gt;"Yes",'Compliance Database'!$F1094&lt;&gt;"None")),1,0)</f>
        <v/>
      </c>
      <c r="B1094">
        <f>IF($A1094=1,SUM($A$2:$A1094),"")</f>
        <v/>
      </c>
      <c r="C1094">
        <f>IF($A1094=1,SUM($A$2:$A1094),0)</f>
        <v/>
      </c>
    </row>
    <row r="1095">
      <c r="A1095">
        <f>IF(AND(OR(Query!$B$4="All",'Compliance Database'!$A1095=Query!$B$4),OR(Query!$B$5="All",ISNUMBER(SEARCH(Query!$B$5,'Compliance Database'!$H1095))),OR(Query!$B$6="All",ISNUMBER(SEARCH(Query!$B$6,'Compliance Database'!$I1095))),OR(Query!$B$7="All",'Compliance Database'!$F1095=Query!$B$7),OR(Query!$B$8="All",'Compliance Database'!$J1095=Query!$B$8),OR(Query!$B$9="",ISNUMBER(SEARCH(Query!$B$9,'Compliance Database'!$D1095&amp;" "&amp;'Compliance Database'!$K1095&amp;" "&amp;'Compliance Database'!$L1095&amp;" "&amp;'Compliance Database'!$M1095&amp;" "&amp;'Compliance Database'!$N1095&amp;" "&amp;'Compliance Database'!$O1095))),OR(Query!$B$10&lt;&gt;"Yes",'Compliance Database'!$F1095&lt;&gt;"None")),1,0)</f>
        <v/>
      </c>
      <c r="B1095">
        <f>IF($A1095=1,SUM($A$2:$A1095),"")</f>
        <v/>
      </c>
      <c r="C1095">
        <f>IF($A1095=1,SUM($A$2:$A1095),0)</f>
        <v/>
      </c>
    </row>
    <row r="1096">
      <c r="A1096">
        <f>IF(AND(OR(Query!$B$4="All",'Compliance Database'!$A1096=Query!$B$4),OR(Query!$B$5="All",ISNUMBER(SEARCH(Query!$B$5,'Compliance Database'!$H1096))),OR(Query!$B$6="All",ISNUMBER(SEARCH(Query!$B$6,'Compliance Database'!$I1096))),OR(Query!$B$7="All",'Compliance Database'!$F1096=Query!$B$7),OR(Query!$B$8="All",'Compliance Database'!$J1096=Query!$B$8),OR(Query!$B$9="",ISNUMBER(SEARCH(Query!$B$9,'Compliance Database'!$D1096&amp;" "&amp;'Compliance Database'!$K1096&amp;" "&amp;'Compliance Database'!$L1096&amp;" "&amp;'Compliance Database'!$M1096&amp;" "&amp;'Compliance Database'!$N1096&amp;" "&amp;'Compliance Database'!$O1096))),OR(Query!$B$10&lt;&gt;"Yes",'Compliance Database'!$F1096&lt;&gt;"None")),1,0)</f>
        <v/>
      </c>
      <c r="B1096">
        <f>IF($A1096=1,SUM($A$2:$A1096),"")</f>
        <v/>
      </c>
      <c r="C1096">
        <f>IF($A1096=1,SUM($A$2:$A1096),0)</f>
        <v/>
      </c>
    </row>
    <row r="1097">
      <c r="A1097">
        <f>IF(AND(OR(Query!$B$4="All",'Compliance Database'!$A1097=Query!$B$4),OR(Query!$B$5="All",ISNUMBER(SEARCH(Query!$B$5,'Compliance Database'!$H1097))),OR(Query!$B$6="All",ISNUMBER(SEARCH(Query!$B$6,'Compliance Database'!$I1097))),OR(Query!$B$7="All",'Compliance Database'!$F1097=Query!$B$7),OR(Query!$B$8="All",'Compliance Database'!$J1097=Query!$B$8),OR(Query!$B$9="",ISNUMBER(SEARCH(Query!$B$9,'Compliance Database'!$D1097&amp;" "&amp;'Compliance Database'!$K1097&amp;" "&amp;'Compliance Database'!$L1097&amp;" "&amp;'Compliance Database'!$M1097&amp;" "&amp;'Compliance Database'!$N1097&amp;" "&amp;'Compliance Database'!$O1097))),OR(Query!$B$10&lt;&gt;"Yes",'Compliance Database'!$F1097&lt;&gt;"None")),1,0)</f>
        <v/>
      </c>
      <c r="B1097">
        <f>IF($A1097=1,SUM($A$2:$A1097),"")</f>
        <v/>
      </c>
      <c r="C1097">
        <f>IF($A1097=1,SUM($A$2:$A1097),0)</f>
        <v/>
      </c>
    </row>
    <row r="1098">
      <c r="A1098">
        <f>IF(AND(OR(Query!$B$4="All",'Compliance Database'!$A1098=Query!$B$4),OR(Query!$B$5="All",ISNUMBER(SEARCH(Query!$B$5,'Compliance Database'!$H1098))),OR(Query!$B$6="All",ISNUMBER(SEARCH(Query!$B$6,'Compliance Database'!$I1098))),OR(Query!$B$7="All",'Compliance Database'!$F1098=Query!$B$7),OR(Query!$B$8="All",'Compliance Database'!$J1098=Query!$B$8),OR(Query!$B$9="",ISNUMBER(SEARCH(Query!$B$9,'Compliance Database'!$D1098&amp;" "&amp;'Compliance Database'!$K1098&amp;" "&amp;'Compliance Database'!$L1098&amp;" "&amp;'Compliance Database'!$M1098&amp;" "&amp;'Compliance Database'!$N1098&amp;" "&amp;'Compliance Database'!$O1098))),OR(Query!$B$10&lt;&gt;"Yes",'Compliance Database'!$F1098&lt;&gt;"None")),1,0)</f>
        <v/>
      </c>
      <c r="B1098">
        <f>IF($A1098=1,SUM($A$2:$A1098),"")</f>
        <v/>
      </c>
      <c r="C1098">
        <f>IF($A1098=1,SUM($A$2:$A1098),0)</f>
        <v/>
      </c>
    </row>
    <row r="1099">
      <c r="A1099">
        <f>IF(AND(OR(Query!$B$4="All",'Compliance Database'!$A1099=Query!$B$4),OR(Query!$B$5="All",ISNUMBER(SEARCH(Query!$B$5,'Compliance Database'!$H1099))),OR(Query!$B$6="All",ISNUMBER(SEARCH(Query!$B$6,'Compliance Database'!$I1099))),OR(Query!$B$7="All",'Compliance Database'!$F1099=Query!$B$7),OR(Query!$B$8="All",'Compliance Database'!$J1099=Query!$B$8),OR(Query!$B$9="",ISNUMBER(SEARCH(Query!$B$9,'Compliance Database'!$D1099&amp;" "&amp;'Compliance Database'!$K1099&amp;" "&amp;'Compliance Database'!$L1099&amp;" "&amp;'Compliance Database'!$M1099&amp;" "&amp;'Compliance Database'!$N1099&amp;" "&amp;'Compliance Database'!$O1099))),OR(Query!$B$10&lt;&gt;"Yes",'Compliance Database'!$F1099&lt;&gt;"None")),1,0)</f>
        <v/>
      </c>
      <c r="B1099">
        <f>IF($A1099=1,SUM($A$2:$A1099),"")</f>
        <v/>
      </c>
      <c r="C1099">
        <f>IF($A1099=1,SUM($A$2:$A1099),0)</f>
        <v/>
      </c>
    </row>
    <row r="1100">
      <c r="A1100">
        <f>IF(AND(OR(Query!$B$4="All",'Compliance Database'!$A1100=Query!$B$4),OR(Query!$B$5="All",ISNUMBER(SEARCH(Query!$B$5,'Compliance Database'!$H1100))),OR(Query!$B$6="All",ISNUMBER(SEARCH(Query!$B$6,'Compliance Database'!$I1100))),OR(Query!$B$7="All",'Compliance Database'!$F1100=Query!$B$7),OR(Query!$B$8="All",'Compliance Database'!$J1100=Query!$B$8),OR(Query!$B$9="",ISNUMBER(SEARCH(Query!$B$9,'Compliance Database'!$D1100&amp;" "&amp;'Compliance Database'!$K1100&amp;" "&amp;'Compliance Database'!$L1100&amp;" "&amp;'Compliance Database'!$M1100&amp;" "&amp;'Compliance Database'!$N1100&amp;" "&amp;'Compliance Database'!$O1100))),OR(Query!$B$10&lt;&gt;"Yes",'Compliance Database'!$F1100&lt;&gt;"None")),1,0)</f>
        <v/>
      </c>
      <c r="B1100">
        <f>IF($A1100=1,SUM($A$2:$A1100),"")</f>
        <v/>
      </c>
      <c r="C1100">
        <f>IF($A1100=1,SUM($A$2:$A1100),0)</f>
        <v/>
      </c>
    </row>
    <row r="1101">
      <c r="A1101">
        <f>IF(AND(OR(Query!$B$4="All",'Compliance Database'!$A1101=Query!$B$4),OR(Query!$B$5="All",ISNUMBER(SEARCH(Query!$B$5,'Compliance Database'!$H1101))),OR(Query!$B$6="All",ISNUMBER(SEARCH(Query!$B$6,'Compliance Database'!$I1101))),OR(Query!$B$7="All",'Compliance Database'!$F1101=Query!$B$7),OR(Query!$B$8="All",'Compliance Database'!$J1101=Query!$B$8),OR(Query!$B$9="",ISNUMBER(SEARCH(Query!$B$9,'Compliance Database'!$D1101&amp;" "&amp;'Compliance Database'!$K1101&amp;" "&amp;'Compliance Database'!$L1101&amp;" "&amp;'Compliance Database'!$M1101&amp;" "&amp;'Compliance Database'!$N1101&amp;" "&amp;'Compliance Database'!$O1101))),OR(Query!$B$10&lt;&gt;"Yes",'Compliance Database'!$F1101&lt;&gt;"None")),1,0)</f>
        <v/>
      </c>
      <c r="B1101">
        <f>IF($A1101=1,SUM($A$2:$A1101),"")</f>
        <v/>
      </c>
      <c r="C1101">
        <f>IF($A1101=1,SUM($A$2:$A1101),0)</f>
        <v/>
      </c>
    </row>
    <row r="1102">
      <c r="A1102">
        <f>IF(AND(OR(Query!$B$4="All",'Compliance Database'!$A1102=Query!$B$4),OR(Query!$B$5="All",ISNUMBER(SEARCH(Query!$B$5,'Compliance Database'!$H1102))),OR(Query!$B$6="All",ISNUMBER(SEARCH(Query!$B$6,'Compliance Database'!$I1102))),OR(Query!$B$7="All",'Compliance Database'!$F1102=Query!$B$7),OR(Query!$B$8="All",'Compliance Database'!$J1102=Query!$B$8),OR(Query!$B$9="",ISNUMBER(SEARCH(Query!$B$9,'Compliance Database'!$D1102&amp;" "&amp;'Compliance Database'!$K1102&amp;" "&amp;'Compliance Database'!$L1102&amp;" "&amp;'Compliance Database'!$M1102&amp;" "&amp;'Compliance Database'!$N1102&amp;" "&amp;'Compliance Database'!$O1102))),OR(Query!$B$10&lt;&gt;"Yes",'Compliance Database'!$F1102&lt;&gt;"None")),1,0)</f>
        <v/>
      </c>
      <c r="B1102">
        <f>IF($A1102=1,SUM($A$2:$A1102),"")</f>
        <v/>
      </c>
      <c r="C1102">
        <f>IF($A1102=1,SUM($A$2:$A1102),0)</f>
        <v/>
      </c>
    </row>
    <row r="1103">
      <c r="A1103">
        <f>IF(AND(OR(Query!$B$4="All",'Compliance Database'!$A1103=Query!$B$4),OR(Query!$B$5="All",ISNUMBER(SEARCH(Query!$B$5,'Compliance Database'!$H1103))),OR(Query!$B$6="All",ISNUMBER(SEARCH(Query!$B$6,'Compliance Database'!$I1103))),OR(Query!$B$7="All",'Compliance Database'!$F1103=Query!$B$7),OR(Query!$B$8="All",'Compliance Database'!$J1103=Query!$B$8),OR(Query!$B$9="",ISNUMBER(SEARCH(Query!$B$9,'Compliance Database'!$D1103&amp;" "&amp;'Compliance Database'!$K1103&amp;" "&amp;'Compliance Database'!$L1103&amp;" "&amp;'Compliance Database'!$M1103&amp;" "&amp;'Compliance Database'!$N1103&amp;" "&amp;'Compliance Database'!$O1103))),OR(Query!$B$10&lt;&gt;"Yes",'Compliance Database'!$F1103&lt;&gt;"None")),1,0)</f>
        <v/>
      </c>
      <c r="B1103">
        <f>IF($A1103=1,SUM($A$2:$A1103),"")</f>
        <v/>
      </c>
      <c r="C1103">
        <f>IF($A1103=1,SUM($A$2:$A1103),0)</f>
        <v/>
      </c>
    </row>
    <row r="1104">
      <c r="A1104">
        <f>IF(AND(OR(Query!$B$4="All",'Compliance Database'!$A1104=Query!$B$4),OR(Query!$B$5="All",ISNUMBER(SEARCH(Query!$B$5,'Compliance Database'!$H1104))),OR(Query!$B$6="All",ISNUMBER(SEARCH(Query!$B$6,'Compliance Database'!$I1104))),OR(Query!$B$7="All",'Compliance Database'!$F1104=Query!$B$7),OR(Query!$B$8="All",'Compliance Database'!$J1104=Query!$B$8),OR(Query!$B$9="",ISNUMBER(SEARCH(Query!$B$9,'Compliance Database'!$D1104&amp;" "&amp;'Compliance Database'!$K1104&amp;" "&amp;'Compliance Database'!$L1104&amp;" "&amp;'Compliance Database'!$M1104&amp;" "&amp;'Compliance Database'!$N1104&amp;" "&amp;'Compliance Database'!$O1104))),OR(Query!$B$10&lt;&gt;"Yes",'Compliance Database'!$F1104&lt;&gt;"None")),1,0)</f>
        <v/>
      </c>
      <c r="B1104">
        <f>IF($A1104=1,SUM($A$2:$A1104),"")</f>
        <v/>
      </c>
      <c r="C1104">
        <f>IF($A1104=1,SUM($A$2:$A1104),0)</f>
        <v/>
      </c>
    </row>
    <row r="1105">
      <c r="A1105">
        <f>IF(AND(OR(Query!$B$4="All",'Compliance Database'!$A1105=Query!$B$4),OR(Query!$B$5="All",ISNUMBER(SEARCH(Query!$B$5,'Compliance Database'!$H1105))),OR(Query!$B$6="All",ISNUMBER(SEARCH(Query!$B$6,'Compliance Database'!$I1105))),OR(Query!$B$7="All",'Compliance Database'!$F1105=Query!$B$7),OR(Query!$B$8="All",'Compliance Database'!$J1105=Query!$B$8),OR(Query!$B$9="",ISNUMBER(SEARCH(Query!$B$9,'Compliance Database'!$D1105&amp;" "&amp;'Compliance Database'!$K1105&amp;" "&amp;'Compliance Database'!$L1105&amp;" "&amp;'Compliance Database'!$M1105&amp;" "&amp;'Compliance Database'!$N1105&amp;" "&amp;'Compliance Database'!$O1105))),OR(Query!$B$10&lt;&gt;"Yes",'Compliance Database'!$F1105&lt;&gt;"None")),1,0)</f>
        <v/>
      </c>
      <c r="B1105">
        <f>IF($A1105=1,SUM($A$2:$A1105),"")</f>
        <v/>
      </c>
      <c r="C1105">
        <f>IF($A1105=1,SUM($A$2:$A1105),0)</f>
        <v/>
      </c>
    </row>
    <row r="1106">
      <c r="A1106">
        <f>IF(AND(OR(Query!$B$4="All",'Compliance Database'!$A1106=Query!$B$4),OR(Query!$B$5="All",ISNUMBER(SEARCH(Query!$B$5,'Compliance Database'!$H1106))),OR(Query!$B$6="All",ISNUMBER(SEARCH(Query!$B$6,'Compliance Database'!$I1106))),OR(Query!$B$7="All",'Compliance Database'!$F1106=Query!$B$7),OR(Query!$B$8="All",'Compliance Database'!$J1106=Query!$B$8),OR(Query!$B$9="",ISNUMBER(SEARCH(Query!$B$9,'Compliance Database'!$D1106&amp;" "&amp;'Compliance Database'!$K1106&amp;" "&amp;'Compliance Database'!$L1106&amp;" "&amp;'Compliance Database'!$M1106&amp;" "&amp;'Compliance Database'!$N1106&amp;" "&amp;'Compliance Database'!$O1106))),OR(Query!$B$10&lt;&gt;"Yes",'Compliance Database'!$F1106&lt;&gt;"None")),1,0)</f>
        <v/>
      </c>
      <c r="B1106">
        <f>IF($A1106=1,SUM($A$2:$A1106),"")</f>
        <v/>
      </c>
      <c r="C1106">
        <f>IF($A1106=1,SUM($A$2:$A1106),0)</f>
        <v/>
      </c>
    </row>
    <row r="1107">
      <c r="A1107">
        <f>IF(AND(OR(Query!$B$4="All",'Compliance Database'!$A1107=Query!$B$4),OR(Query!$B$5="All",ISNUMBER(SEARCH(Query!$B$5,'Compliance Database'!$H1107))),OR(Query!$B$6="All",ISNUMBER(SEARCH(Query!$B$6,'Compliance Database'!$I1107))),OR(Query!$B$7="All",'Compliance Database'!$F1107=Query!$B$7),OR(Query!$B$8="All",'Compliance Database'!$J1107=Query!$B$8),OR(Query!$B$9="",ISNUMBER(SEARCH(Query!$B$9,'Compliance Database'!$D1107&amp;" "&amp;'Compliance Database'!$K1107&amp;" "&amp;'Compliance Database'!$L1107&amp;" "&amp;'Compliance Database'!$M1107&amp;" "&amp;'Compliance Database'!$N1107&amp;" "&amp;'Compliance Database'!$O1107))),OR(Query!$B$10&lt;&gt;"Yes",'Compliance Database'!$F1107&lt;&gt;"None")),1,0)</f>
        <v/>
      </c>
      <c r="B1107">
        <f>IF($A1107=1,SUM($A$2:$A1107),"")</f>
        <v/>
      </c>
      <c r="C1107">
        <f>IF($A1107=1,SUM($A$2:$A1107),0)</f>
        <v/>
      </c>
    </row>
    <row r="1108">
      <c r="A1108">
        <f>IF(AND(OR(Query!$B$4="All",'Compliance Database'!$A1108=Query!$B$4),OR(Query!$B$5="All",ISNUMBER(SEARCH(Query!$B$5,'Compliance Database'!$H1108))),OR(Query!$B$6="All",ISNUMBER(SEARCH(Query!$B$6,'Compliance Database'!$I1108))),OR(Query!$B$7="All",'Compliance Database'!$F1108=Query!$B$7),OR(Query!$B$8="All",'Compliance Database'!$J1108=Query!$B$8),OR(Query!$B$9="",ISNUMBER(SEARCH(Query!$B$9,'Compliance Database'!$D1108&amp;" "&amp;'Compliance Database'!$K1108&amp;" "&amp;'Compliance Database'!$L1108&amp;" "&amp;'Compliance Database'!$M1108&amp;" "&amp;'Compliance Database'!$N1108&amp;" "&amp;'Compliance Database'!$O1108))),OR(Query!$B$10&lt;&gt;"Yes",'Compliance Database'!$F1108&lt;&gt;"None")),1,0)</f>
        <v/>
      </c>
      <c r="B1108">
        <f>IF($A1108=1,SUM($A$2:$A1108),"")</f>
        <v/>
      </c>
      <c r="C1108">
        <f>IF($A1108=1,SUM($A$2:$A1108),0)</f>
        <v/>
      </c>
    </row>
    <row r="1109">
      <c r="A1109">
        <f>IF(AND(OR(Query!$B$4="All",'Compliance Database'!$A1109=Query!$B$4),OR(Query!$B$5="All",ISNUMBER(SEARCH(Query!$B$5,'Compliance Database'!$H1109))),OR(Query!$B$6="All",ISNUMBER(SEARCH(Query!$B$6,'Compliance Database'!$I1109))),OR(Query!$B$7="All",'Compliance Database'!$F1109=Query!$B$7),OR(Query!$B$8="All",'Compliance Database'!$J1109=Query!$B$8),OR(Query!$B$9="",ISNUMBER(SEARCH(Query!$B$9,'Compliance Database'!$D1109&amp;" "&amp;'Compliance Database'!$K1109&amp;" "&amp;'Compliance Database'!$L1109&amp;" "&amp;'Compliance Database'!$M1109&amp;" "&amp;'Compliance Database'!$N1109&amp;" "&amp;'Compliance Database'!$O1109))),OR(Query!$B$10&lt;&gt;"Yes",'Compliance Database'!$F1109&lt;&gt;"None")),1,0)</f>
        <v/>
      </c>
      <c r="B1109">
        <f>IF($A1109=1,SUM($A$2:$A1109),"")</f>
        <v/>
      </c>
      <c r="C1109">
        <f>IF($A1109=1,SUM($A$2:$A1109),0)</f>
        <v/>
      </c>
    </row>
    <row r="1110">
      <c r="A1110">
        <f>IF(AND(OR(Query!$B$4="All",'Compliance Database'!$A1110=Query!$B$4),OR(Query!$B$5="All",ISNUMBER(SEARCH(Query!$B$5,'Compliance Database'!$H1110))),OR(Query!$B$6="All",ISNUMBER(SEARCH(Query!$B$6,'Compliance Database'!$I1110))),OR(Query!$B$7="All",'Compliance Database'!$F1110=Query!$B$7),OR(Query!$B$8="All",'Compliance Database'!$J1110=Query!$B$8),OR(Query!$B$9="",ISNUMBER(SEARCH(Query!$B$9,'Compliance Database'!$D1110&amp;" "&amp;'Compliance Database'!$K1110&amp;" "&amp;'Compliance Database'!$L1110&amp;" "&amp;'Compliance Database'!$M1110&amp;" "&amp;'Compliance Database'!$N1110&amp;" "&amp;'Compliance Database'!$O1110))),OR(Query!$B$10&lt;&gt;"Yes",'Compliance Database'!$F1110&lt;&gt;"None")),1,0)</f>
        <v/>
      </c>
      <c r="B1110">
        <f>IF($A1110=1,SUM($A$2:$A1110),"")</f>
        <v/>
      </c>
      <c r="C1110">
        <f>IF($A1110=1,SUM($A$2:$A1110),0)</f>
        <v/>
      </c>
    </row>
    <row r="1111">
      <c r="A1111">
        <f>IF(AND(OR(Query!$B$4="All",'Compliance Database'!$A1111=Query!$B$4),OR(Query!$B$5="All",ISNUMBER(SEARCH(Query!$B$5,'Compliance Database'!$H1111))),OR(Query!$B$6="All",ISNUMBER(SEARCH(Query!$B$6,'Compliance Database'!$I1111))),OR(Query!$B$7="All",'Compliance Database'!$F1111=Query!$B$7),OR(Query!$B$8="All",'Compliance Database'!$J1111=Query!$B$8),OR(Query!$B$9="",ISNUMBER(SEARCH(Query!$B$9,'Compliance Database'!$D1111&amp;" "&amp;'Compliance Database'!$K1111&amp;" "&amp;'Compliance Database'!$L1111&amp;" "&amp;'Compliance Database'!$M1111&amp;" "&amp;'Compliance Database'!$N1111&amp;" "&amp;'Compliance Database'!$O1111))),OR(Query!$B$10&lt;&gt;"Yes",'Compliance Database'!$F1111&lt;&gt;"None")),1,0)</f>
        <v/>
      </c>
      <c r="B1111">
        <f>IF($A1111=1,SUM($A$2:$A1111),"")</f>
        <v/>
      </c>
      <c r="C1111">
        <f>IF($A1111=1,SUM($A$2:$A1111),0)</f>
        <v/>
      </c>
    </row>
    <row r="1112">
      <c r="A1112">
        <f>IF(AND(OR(Query!$B$4="All",'Compliance Database'!$A1112=Query!$B$4),OR(Query!$B$5="All",ISNUMBER(SEARCH(Query!$B$5,'Compliance Database'!$H1112))),OR(Query!$B$6="All",ISNUMBER(SEARCH(Query!$B$6,'Compliance Database'!$I1112))),OR(Query!$B$7="All",'Compliance Database'!$F1112=Query!$B$7),OR(Query!$B$8="All",'Compliance Database'!$J1112=Query!$B$8),OR(Query!$B$9="",ISNUMBER(SEARCH(Query!$B$9,'Compliance Database'!$D1112&amp;" "&amp;'Compliance Database'!$K1112&amp;" "&amp;'Compliance Database'!$L1112&amp;" "&amp;'Compliance Database'!$M1112&amp;" "&amp;'Compliance Database'!$N1112&amp;" "&amp;'Compliance Database'!$O1112))),OR(Query!$B$10&lt;&gt;"Yes",'Compliance Database'!$F1112&lt;&gt;"None")),1,0)</f>
        <v/>
      </c>
      <c r="B1112">
        <f>IF($A1112=1,SUM($A$2:$A1112),"")</f>
        <v/>
      </c>
      <c r="C1112">
        <f>IF($A1112=1,SUM($A$2:$A1112),0)</f>
        <v/>
      </c>
    </row>
    <row r="1113">
      <c r="A1113">
        <f>IF(AND(OR(Query!$B$4="All",'Compliance Database'!$A1113=Query!$B$4),OR(Query!$B$5="All",ISNUMBER(SEARCH(Query!$B$5,'Compliance Database'!$H1113))),OR(Query!$B$6="All",ISNUMBER(SEARCH(Query!$B$6,'Compliance Database'!$I1113))),OR(Query!$B$7="All",'Compliance Database'!$F1113=Query!$B$7),OR(Query!$B$8="All",'Compliance Database'!$J1113=Query!$B$8),OR(Query!$B$9="",ISNUMBER(SEARCH(Query!$B$9,'Compliance Database'!$D1113&amp;" "&amp;'Compliance Database'!$K1113&amp;" "&amp;'Compliance Database'!$L1113&amp;" "&amp;'Compliance Database'!$M1113&amp;" "&amp;'Compliance Database'!$N1113&amp;" "&amp;'Compliance Database'!$O1113))),OR(Query!$B$10&lt;&gt;"Yes",'Compliance Database'!$F1113&lt;&gt;"None")),1,0)</f>
        <v/>
      </c>
      <c r="B1113">
        <f>IF($A1113=1,SUM($A$2:$A1113),"")</f>
        <v/>
      </c>
      <c r="C1113">
        <f>IF($A1113=1,SUM($A$2:$A1113),0)</f>
        <v/>
      </c>
    </row>
    <row r="1114">
      <c r="A1114">
        <f>IF(AND(OR(Query!$B$4="All",'Compliance Database'!$A1114=Query!$B$4),OR(Query!$B$5="All",ISNUMBER(SEARCH(Query!$B$5,'Compliance Database'!$H1114))),OR(Query!$B$6="All",ISNUMBER(SEARCH(Query!$B$6,'Compliance Database'!$I1114))),OR(Query!$B$7="All",'Compliance Database'!$F1114=Query!$B$7),OR(Query!$B$8="All",'Compliance Database'!$J1114=Query!$B$8),OR(Query!$B$9="",ISNUMBER(SEARCH(Query!$B$9,'Compliance Database'!$D1114&amp;" "&amp;'Compliance Database'!$K1114&amp;" "&amp;'Compliance Database'!$L1114&amp;" "&amp;'Compliance Database'!$M1114&amp;" "&amp;'Compliance Database'!$N1114&amp;" "&amp;'Compliance Database'!$O1114))),OR(Query!$B$10&lt;&gt;"Yes",'Compliance Database'!$F1114&lt;&gt;"None")),1,0)</f>
        <v/>
      </c>
      <c r="B1114">
        <f>IF($A1114=1,SUM($A$2:$A1114),"")</f>
        <v/>
      </c>
      <c r="C1114">
        <f>IF($A1114=1,SUM($A$2:$A1114),0)</f>
        <v/>
      </c>
    </row>
    <row r="1115">
      <c r="A1115">
        <f>IF(AND(OR(Query!$B$4="All",'Compliance Database'!$A1115=Query!$B$4),OR(Query!$B$5="All",ISNUMBER(SEARCH(Query!$B$5,'Compliance Database'!$H1115))),OR(Query!$B$6="All",ISNUMBER(SEARCH(Query!$B$6,'Compliance Database'!$I1115))),OR(Query!$B$7="All",'Compliance Database'!$F1115=Query!$B$7),OR(Query!$B$8="All",'Compliance Database'!$J1115=Query!$B$8),OR(Query!$B$9="",ISNUMBER(SEARCH(Query!$B$9,'Compliance Database'!$D1115&amp;" "&amp;'Compliance Database'!$K1115&amp;" "&amp;'Compliance Database'!$L1115&amp;" "&amp;'Compliance Database'!$M1115&amp;" "&amp;'Compliance Database'!$N1115&amp;" "&amp;'Compliance Database'!$O1115))),OR(Query!$B$10&lt;&gt;"Yes",'Compliance Database'!$F1115&lt;&gt;"None")),1,0)</f>
        <v/>
      </c>
      <c r="B1115">
        <f>IF($A1115=1,SUM($A$2:$A1115),"")</f>
        <v/>
      </c>
      <c r="C1115">
        <f>IF($A1115=1,SUM($A$2:$A1115),0)</f>
        <v/>
      </c>
    </row>
    <row r="1116">
      <c r="A1116">
        <f>IF(AND(OR(Query!$B$4="All",'Compliance Database'!$A1116=Query!$B$4),OR(Query!$B$5="All",ISNUMBER(SEARCH(Query!$B$5,'Compliance Database'!$H1116))),OR(Query!$B$6="All",ISNUMBER(SEARCH(Query!$B$6,'Compliance Database'!$I1116))),OR(Query!$B$7="All",'Compliance Database'!$F1116=Query!$B$7),OR(Query!$B$8="All",'Compliance Database'!$J1116=Query!$B$8),OR(Query!$B$9="",ISNUMBER(SEARCH(Query!$B$9,'Compliance Database'!$D1116&amp;" "&amp;'Compliance Database'!$K1116&amp;" "&amp;'Compliance Database'!$L1116&amp;" "&amp;'Compliance Database'!$M1116&amp;" "&amp;'Compliance Database'!$N1116&amp;" "&amp;'Compliance Database'!$O1116))),OR(Query!$B$10&lt;&gt;"Yes",'Compliance Database'!$F1116&lt;&gt;"None")),1,0)</f>
        <v/>
      </c>
      <c r="B1116">
        <f>IF($A1116=1,SUM($A$2:$A1116),"")</f>
        <v/>
      </c>
      <c r="C1116">
        <f>IF($A1116=1,SUM($A$2:$A1116),0)</f>
        <v/>
      </c>
    </row>
    <row r="1117">
      <c r="A1117">
        <f>IF(AND(OR(Query!$B$4="All",'Compliance Database'!$A1117=Query!$B$4),OR(Query!$B$5="All",ISNUMBER(SEARCH(Query!$B$5,'Compliance Database'!$H1117))),OR(Query!$B$6="All",ISNUMBER(SEARCH(Query!$B$6,'Compliance Database'!$I1117))),OR(Query!$B$7="All",'Compliance Database'!$F1117=Query!$B$7),OR(Query!$B$8="All",'Compliance Database'!$J1117=Query!$B$8),OR(Query!$B$9="",ISNUMBER(SEARCH(Query!$B$9,'Compliance Database'!$D1117&amp;" "&amp;'Compliance Database'!$K1117&amp;" "&amp;'Compliance Database'!$L1117&amp;" "&amp;'Compliance Database'!$M1117&amp;" "&amp;'Compliance Database'!$N1117&amp;" "&amp;'Compliance Database'!$O1117))),OR(Query!$B$10&lt;&gt;"Yes",'Compliance Database'!$F1117&lt;&gt;"None")),1,0)</f>
        <v/>
      </c>
      <c r="B1117">
        <f>IF($A1117=1,SUM($A$2:$A1117),"")</f>
        <v/>
      </c>
      <c r="C1117">
        <f>IF($A1117=1,SUM($A$2:$A1117),0)</f>
        <v/>
      </c>
    </row>
    <row r="1118">
      <c r="A1118">
        <f>IF(AND(OR(Query!$B$4="All",'Compliance Database'!$A1118=Query!$B$4),OR(Query!$B$5="All",ISNUMBER(SEARCH(Query!$B$5,'Compliance Database'!$H1118))),OR(Query!$B$6="All",ISNUMBER(SEARCH(Query!$B$6,'Compliance Database'!$I1118))),OR(Query!$B$7="All",'Compliance Database'!$F1118=Query!$B$7),OR(Query!$B$8="All",'Compliance Database'!$J1118=Query!$B$8),OR(Query!$B$9="",ISNUMBER(SEARCH(Query!$B$9,'Compliance Database'!$D1118&amp;" "&amp;'Compliance Database'!$K1118&amp;" "&amp;'Compliance Database'!$L1118&amp;" "&amp;'Compliance Database'!$M1118&amp;" "&amp;'Compliance Database'!$N1118&amp;" "&amp;'Compliance Database'!$O1118))),OR(Query!$B$10&lt;&gt;"Yes",'Compliance Database'!$F1118&lt;&gt;"None")),1,0)</f>
        <v/>
      </c>
      <c r="B1118">
        <f>IF($A1118=1,SUM($A$2:$A1118),"")</f>
        <v/>
      </c>
      <c r="C1118">
        <f>IF($A1118=1,SUM($A$2:$A1118),0)</f>
        <v/>
      </c>
    </row>
    <row r="1119">
      <c r="A1119">
        <f>IF(AND(OR(Query!$B$4="All",'Compliance Database'!$A1119=Query!$B$4),OR(Query!$B$5="All",ISNUMBER(SEARCH(Query!$B$5,'Compliance Database'!$H1119))),OR(Query!$B$6="All",ISNUMBER(SEARCH(Query!$B$6,'Compliance Database'!$I1119))),OR(Query!$B$7="All",'Compliance Database'!$F1119=Query!$B$7),OR(Query!$B$8="All",'Compliance Database'!$J1119=Query!$B$8),OR(Query!$B$9="",ISNUMBER(SEARCH(Query!$B$9,'Compliance Database'!$D1119&amp;" "&amp;'Compliance Database'!$K1119&amp;" "&amp;'Compliance Database'!$L1119&amp;" "&amp;'Compliance Database'!$M1119&amp;" "&amp;'Compliance Database'!$N1119&amp;" "&amp;'Compliance Database'!$O1119))),OR(Query!$B$10&lt;&gt;"Yes",'Compliance Database'!$F1119&lt;&gt;"None")),1,0)</f>
        <v/>
      </c>
      <c r="B1119">
        <f>IF($A1119=1,SUM($A$2:$A1119),"")</f>
        <v/>
      </c>
      <c r="C1119">
        <f>IF($A1119=1,SUM($A$2:$A1119),0)</f>
        <v/>
      </c>
    </row>
    <row r="1120">
      <c r="A1120">
        <f>IF(AND(OR(Query!$B$4="All",'Compliance Database'!$A1120=Query!$B$4),OR(Query!$B$5="All",ISNUMBER(SEARCH(Query!$B$5,'Compliance Database'!$H1120))),OR(Query!$B$6="All",ISNUMBER(SEARCH(Query!$B$6,'Compliance Database'!$I1120))),OR(Query!$B$7="All",'Compliance Database'!$F1120=Query!$B$7),OR(Query!$B$8="All",'Compliance Database'!$J1120=Query!$B$8),OR(Query!$B$9="",ISNUMBER(SEARCH(Query!$B$9,'Compliance Database'!$D1120&amp;" "&amp;'Compliance Database'!$K1120&amp;" "&amp;'Compliance Database'!$L1120&amp;" "&amp;'Compliance Database'!$M1120&amp;" "&amp;'Compliance Database'!$N1120&amp;" "&amp;'Compliance Database'!$O1120))),OR(Query!$B$10&lt;&gt;"Yes",'Compliance Database'!$F1120&lt;&gt;"None")),1,0)</f>
        <v/>
      </c>
      <c r="B1120">
        <f>IF($A1120=1,SUM($A$2:$A1120),"")</f>
        <v/>
      </c>
      <c r="C1120">
        <f>IF($A1120=1,SUM($A$2:$A1120),0)</f>
        <v/>
      </c>
    </row>
    <row r="1121">
      <c r="A1121">
        <f>IF(AND(OR(Query!$B$4="All",'Compliance Database'!$A1121=Query!$B$4),OR(Query!$B$5="All",ISNUMBER(SEARCH(Query!$B$5,'Compliance Database'!$H1121))),OR(Query!$B$6="All",ISNUMBER(SEARCH(Query!$B$6,'Compliance Database'!$I1121))),OR(Query!$B$7="All",'Compliance Database'!$F1121=Query!$B$7),OR(Query!$B$8="All",'Compliance Database'!$J1121=Query!$B$8),OR(Query!$B$9="",ISNUMBER(SEARCH(Query!$B$9,'Compliance Database'!$D1121&amp;" "&amp;'Compliance Database'!$K1121&amp;" "&amp;'Compliance Database'!$L1121&amp;" "&amp;'Compliance Database'!$M1121&amp;" "&amp;'Compliance Database'!$N1121&amp;" "&amp;'Compliance Database'!$O1121))),OR(Query!$B$10&lt;&gt;"Yes",'Compliance Database'!$F1121&lt;&gt;"None")),1,0)</f>
        <v/>
      </c>
      <c r="B1121">
        <f>IF($A1121=1,SUM($A$2:$A1121),"")</f>
        <v/>
      </c>
      <c r="C1121">
        <f>IF($A1121=1,SUM($A$2:$A1121),0)</f>
        <v/>
      </c>
    </row>
    <row r="1122">
      <c r="A1122">
        <f>IF(AND(OR(Query!$B$4="All",'Compliance Database'!$A1122=Query!$B$4),OR(Query!$B$5="All",ISNUMBER(SEARCH(Query!$B$5,'Compliance Database'!$H1122))),OR(Query!$B$6="All",ISNUMBER(SEARCH(Query!$B$6,'Compliance Database'!$I1122))),OR(Query!$B$7="All",'Compliance Database'!$F1122=Query!$B$7),OR(Query!$B$8="All",'Compliance Database'!$J1122=Query!$B$8),OR(Query!$B$9="",ISNUMBER(SEARCH(Query!$B$9,'Compliance Database'!$D1122&amp;" "&amp;'Compliance Database'!$K1122&amp;" "&amp;'Compliance Database'!$L1122&amp;" "&amp;'Compliance Database'!$M1122&amp;" "&amp;'Compliance Database'!$N1122&amp;" "&amp;'Compliance Database'!$O1122))),OR(Query!$B$10&lt;&gt;"Yes",'Compliance Database'!$F1122&lt;&gt;"None")),1,0)</f>
        <v/>
      </c>
      <c r="B1122">
        <f>IF($A1122=1,SUM($A$2:$A1122),"")</f>
        <v/>
      </c>
      <c r="C1122">
        <f>IF($A1122=1,SUM($A$2:$A1122),0)</f>
        <v/>
      </c>
    </row>
    <row r="1123">
      <c r="A1123">
        <f>IF(AND(OR(Query!$B$4="All",'Compliance Database'!$A1123=Query!$B$4),OR(Query!$B$5="All",ISNUMBER(SEARCH(Query!$B$5,'Compliance Database'!$H1123))),OR(Query!$B$6="All",ISNUMBER(SEARCH(Query!$B$6,'Compliance Database'!$I1123))),OR(Query!$B$7="All",'Compliance Database'!$F1123=Query!$B$7),OR(Query!$B$8="All",'Compliance Database'!$J1123=Query!$B$8),OR(Query!$B$9="",ISNUMBER(SEARCH(Query!$B$9,'Compliance Database'!$D1123&amp;" "&amp;'Compliance Database'!$K1123&amp;" "&amp;'Compliance Database'!$L1123&amp;" "&amp;'Compliance Database'!$M1123&amp;" "&amp;'Compliance Database'!$N1123&amp;" "&amp;'Compliance Database'!$O1123))),OR(Query!$B$10&lt;&gt;"Yes",'Compliance Database'!$F1123&lt;&gt;"None")),1,0)</f>
        <v/>
      </c>
      <c r="B1123">
        <f>IF($A1123=1,SUM($A$2:$A1123),"")</f>
        <v/>
      </c>
      <c r="C1123">
        <f>IF($A1123=1,SUM($A$2:$A1123),0)</f>
        <v/>
      </c>
    </row>
    <row r="1124">
      <c r="A1124">
        <f>IF(AND(OR(Query!$B$4="All",'Compliance Database'!$A1124=Query!$B$4),OR(Query!$B$5="All",ISNUMBER(SEARCH(Query!$B$5,'Compliance Database'!$H1124))),OR(Query!$B$6="All",ISNUMBER(SEARCH(Query!$B$6,'Compliance Database'!$I1124))),OR(Query!$B$7="All",'Compliance Database'!$F1124=Query!$B$7),OR(Query!$B$8="All",'Compliance Database'!$J1124=Query!$B$8),OR(Query!$B$9="",ISNUMBER(SEARCH(Query!$B$9,'Compliance Database'!$D1124&amp;" "&amp;'Compliance Database'!$K1124&amp;" "&amp;'Compliance Database'!$L1124&amp;" "&amp;'Compliance Database'!$M1124&amp;" "&amp;'Compliance Database'!$N1124&amp;" "&amp;'Compliance Database'!$O1124))),OR(Query!$B$10&lt;&gt;"Yes",'Compliance Database'!$F1124&lt;&gt;"None")),1,0)</f>
        <v/>
      </c>
      <c r="B1124">
        <f>IF($A1124=1,SUM($A$2:$A1124),"")</f>
        <v/>
      </c>
      <c r="C1124">
        <f>IF($A1124=1,SUM($A$2:$A1124),0)</f>
        <v/>
      </c>
    </row>
    <row r="1125">
      <c r="A1125">
        <f>IF(AND(OR(Query!$B$4="All",'Compliance Database'!$A1125=Query!$B$4),OR(Query!$B$5="All",ISNUMBER(SEARCH(Query!$B$5,'Compliance Database'!$H1125))),OR(Query!$B$6="All",ISNUMBER(SEARCH(Query!$B$6,'Compliance Database'!$I1125))),OR(Query!$B$7="All",'Compliance Database'!$F1125=Query!$B$7),OR(Query!$B$8="All",'Compliance Database'!$J1125=Query!$B$8),OR(Query!$B$9="",ISNUMBER(SEARCH(Query!$B$9,'Compliance Database'!$D1125&amp;" "&amp;'Compliance Database'!$K1125&amp;" "&amp;'Compliance Database'!$L1125&amp;" "&amp;'Compliance Database'!$M1125&amp;" "&amp;'Compliance Database'!$N1125&amp;" "&amp;'Compliance Database'!$O1125))),OR(Query!$B$10&lt;&gt;"Yes",'Compliance Database'!$F1125&lt;&gt;"None")),1,0)</f>
        <v/>
      </c>
      <c r="B1125">
        <f>IF($A1125=1,SUM($A$2:$A1125),"")</f>
        <v/>
      </c>
      <c r="C1125">
        <f>IF($A1125=1,SUM($A$2:$A1125),0)</f>
        <v/>
      </c>
    </row>
    <row r="1126">
      <c r="A1126">
        <f>IF(AND(OR(Query!$B$4="All",'Compliance Database'!$A1126=Query!$B$4),OR(Query!$B$5="All",ISNUMBER(SEARCH(Query!$B$5,'Compliance Database'!$H1126))),OR(Query!$B$6="All",ISNUMBER(SEARCH(Query!$B$6,'Compliance Database'!$I1126))),OR(Query!$B$7="All",'Compliance Database'!$F1126=Query!$B$7),OR(Query!$B$8="All",'Compliance Database'!$J1126=Query!$B$8),OR(Query!$B$9="",ISNUMBER(SEARCH(Query!$B$9,'Compliance Database'!$D1126&amp;" "&amp;'Compliance Database'!$K1126&amp;" "&amp;'Compliance Database'!$L1126&amp;" "&amp;'Compliance Database'!$M1126&amp;" "&amp;'Compliance Database'!$N1126&amp;" "&amp;'Compliance Database'!$O1126))),OR(Query!$B$10&lt;&gt;"Yes",'Compliance Database'!$F1126&lt;&gt;"None")),1,0)</f>
        <v/>
      </c>
      <c r="B1126">
        <f>IF($A1126=1,SUM($A$2:$A1126),"")</f>
        <v/>
      </c>
      <c r="C1126">
        <f>IF($A1126=1,SUM($A$2:$A1126),0)</f>
        <v/>
      </c>
    </row>
    <row r="1127">
      <c r="A1127">
        <f>IF(AND(OR(Query!$B$4="All",'Compliance Database'!$A1127=Query!$B$4),OR(Query!$B$5="All",ISNUMBER(SEARCH(Query!$B$5,'Compliance Database'!$H1127))),OR(Query!$B$6="All",ISNUMBER(SEARCH(Query!$B$6,'Compliance Database'!$I1127))),OR(Query!$B$7="All",'Compliance Database'!$F1127=Query!$B$7),OR(Query!$B$8="All",'Compliance Database'!$J1127=Query!$B$8),OR(Query!$B$9="",ISNUMBER(SEARCH(Query!$B$9,'Compliance Database'!$D1127&amp;" "&amp;'Compliance Database'!$K1127&amp;" "&amp;'Compliance Database'!$L1127&amp;" "&amp;'Compliance Database'!$M1127&amp;" "&amp;'Compliance Database'!$N1127&amp;" "&amp;'Compliance Database'!$O1127))),OR(Query!$B$10&lt;&gt;"Yes",'Compliance Database'!$F1127&lt;&gt;"None")),1,0)</f>
        <v/>
      </c>
      <c r="B1127">
        <f>IF($A1127=1,SUM($A$2:$A1127),"")</f>
        <v/>
      </c>
      <c r="C1127">
        <f>IF($A1127=1,SUM($A$2:$A1127),0)</f>
        <v/>
      </c>
    </row>
    <row r="1128">
      <c r="A1128">
        <f>IF(AND(OR(Query!$B$4="All",'Compliance Database'!$A1128=Query!$B$4),OR(Query!$B$5="All",ISNUMBER(SEARCH(Query!$B$5,'Compliance Database'!$H1128))),OR(Query!$B$6="All",ISNUMBER(SEARCH(Query!$B$6,'Compliance Database'!$I1128))),OR(Query!$B$7="All",'Compliance Database'!$F1128=Query!$B$7),OR(Query!$B$8="All",'Compliance Database'!$J1128=Query!$B$8),OR(Query!$B$9="",ISNUMBER(SEARCH(Query!$B$9,'Compliance Database'!$D1128&amp;" "&amp;'Compliance Database'!$K1128&amp;" "&amp;'Compliance Database'!$L1128&amp;" "&amp;'Compliance Database'!$M1128&amp;" "&amp;'Compliance Database'!$N1128&amp;" "&amp;'Compliance Database'!$O1128))),OR(Query!$B$10&lt;&gt;"Yes",'Compliance Database'!$F1128&lt;&gt;"None")),1,0)</f>
        <v/>
      </c>
      <c r="B1128">
        <f>IF($A1128=1,SUM($A$2:$A1128),"")</f>
        <v/>
      </c>
      <c r="C1128">
        <f>IF($A1128=1,SUM($A$2:$A1128),0)</f>
        <v/>
      </c>
    </row>
    <row r="1129">
      <c r="A1129">
        <f>IF(AND(OR(Query!$B$4="All",'Compliance Database'!$A1129=Query!$B$4),OR(Query!$B$5="All",ISNUMBER(SEARCH(Query!$B$5,'Compliance Database'!$H1129))),OR(Query!$B$6="All",ISNUMBER(SEARCH(Query!$B$6,'Compliance Database'!$I1129))),OR(Query!$B$7="All",'Compliance Database'!$F1129=Query!$B$7),OR(Query!$B$8="All",'Compliance Database'!$J1129=Query!$B$8),OR(Query!$B$9="",ISNUMBER(SEARCH(Query!$B$9,'Compliance Database'!$D1129&amp;" "&amp;'Compliance Database'!$K1129&amp;" "&amp;'Compliance Database'!$L1129&amp;" "&amp;'Compliance Database'!$M1129&amp;" "&amp;'Compliance Database'!$N1129&amp;" "&amp;'Compliance Database'!$O1129))),OR(Query!$B$10&lt;&gt;"Yes",'Compliance Database'!$F1129&lt;&gt;"None")),1,0)</f>
        <v/>
      </c>
      <c r="B1129">
        <f>IF($A1129=1,SUM($A$2:$A1129),"")</f>
        <v/>
      </c>
      <c r="C1129">
        <f>IF($A1129=1,SUM($A$2:$A1129),0)</f>
        <v/>
      </c>
    </row>
    <row r="1130">
      <c r="A1130">
        <f>IF(AND(OR(Query!$B$4="All",'Compliance Database'!$A1130=Query!$B$4),OR(Query!$B$5="All",ISNUMBER(SEARCH(Query!$B$5,'Compliance Database'!$H1130))),OR(Query!$B$6="All",ISNUMBER(SEARCH(Query!$B$6,'Compliance Database'!$I1130))),OR(Query!$B$7="All",'Compliance Database'!$F1130=Query!$B$7),OR(Query!$B$8="All",'Compliance Database'!$J1130=Query!$B$8),OR(Query!$B$9="",ISNUMBER(SEARCH(Query!$B$9,'Compliance Database'!$D1130&amp;" "&amp;'Compliance Database'!$K1130&amp;" "&amp;'Compliance Database'!$L1130&amp;" "&amp;'Compliance Database'!$M1130&amp;" "&amp;'Compliance Database'!$N1130&amp;" "&amp;'Compliance Database'!$O1130))),OR(Query!$B$10&lt;&gt;"Yes",'Compliance Database'!$F1130&lt;&gt;"None")),1,0)</f>
        <v/>
      </c>
      <c r="B1130">
        <f>IF($A1130=1,SUM($A$2:$A1130),"")</f>
        <v/>
      </c>
      <c r="C1130">
        <f>IF($A1130=1,SUM($A$2:$A1130),0)</f>
        <v/>
      </c>
    </row>
    <row r="1131">
      <c r="A1131">
        <f>IF(AND(OR(Query!$B$4="All",'Compliance Database'!$A1131=Query!$B$4),OR(Query!$B$5="All",ISNUMBER(SEARCH(Query!$B$5,'Compliance Database'!$H1131))),OR(Query!$B$6="All",ISNUMBER(SEARCH(Query!$B$6,'Compliance Database'!$I1131))),OR(Query!$B$7="All",'Compliance Database'!$F1131=Query!$B$7),OR(Query!$B$8="All",'Compliance Database'!$J1131=Query!$B$8),OR(Query!$B$9="",ISNUMBER(SEARCH(Query!$B$9,'Compliance Database'!$D1131&amp;" "&amp;'Compliance Database'!$K1131&amp;" "&amp;'Compliance Database'!$L1131&amp;" "&amp;'Compliance Database'!$M1131&amp;" "&amp;'Compliance Database'!$N1131&amp;" "&amp;'Compliance Database'!$O1131))),OR(Query!$B$10&lt;&gt;"Yes",'Compliance Database'!$F1131&lt;&gt;"None")),1,0)</f>
        <v/>
      </c>
      <c r="B1131">
        <f>IF($A1131=1,SUM($A$2:$A1131),"")</f>
        <v/>
      </c>
      <c r="C1131">
        <f>IF($A1131=1,SUM($A$2:$A1131),0)</f>
        <v/>
      </c>
    </row>
    <row r="1132">
      <c r="A1132">
        <f>IF(AND(OR(Query!$B$4="All",'Compliance Database'!$A1132=Query!$B$4),OR(Query!$B$5="All",ISNUMBER(SEARCH(Query!$B$5,'Compliance Database'!$H1132))),OR(Query!$B$6="All",ISNUMBER(SEARCH(Query!$B$6,'Compliance Database'!$I1132))),OR(Query!$B$7="All",'Compliance Database'!$F1132=Query!$B$7),OR(Query!$B$8="All",'Compliance Database'!$J1132=Query!$B$8),OR(Query!$B$9="",ISNUMBER(SEARCH(Query!$B$9,'Compliance Database'!$D1132&amp;" "&amp;'Compliance Database'!$K1132&amp;" "&amp;'Compliance Database'!$L1132&amp;" "&amp;'Compliance Database'!$M1132&amp;" "&amp;'Compliance Database'!$N1132&amp;" "&amp;'Compliance Database'!$O1132))),OR(Query!$B$10&lt;&gt;"Yes",'Compliance Database'!$F1132&lt;&gt;"None")),1,0)</f>
        <v/>
      </c>
      <c r="B1132">
        <f>IF($A1132=1,SUM($A$2:$A1132),"")</f>
        <v/>
      </c>
      <c r="C1132">
        <f>IF($A1132=1,SUM($A$2:$A1132),0)</f>
        <v/>
      </c>
    </row>
    <row r="1133">
      <c r="A1133">
        <f>IF(AND(OR(Query!$B$4="All",'Compliance Database'!$A1133=Query!$B$4),OR(Query!$B$5="All",ISNUMBER(SEARCH(Query!$B$5,'Compliance Database'!$H1133))),OR(Query!$B$6="All",ISNUMBER(SEARCH(Query!$B$6,'Compliance Database'!$I1133))),OR(Query!$B$7="All",'Compliance Database'!$F1133=Query!$B$7),OR(Query!$B$8="All",'Compliance Database'!$J1133=Query!$B$8),OR(Query!$B$9="",ISNUMBER(SEARCH(Query!$B$9,'Compliance Database'!$D1133&amp;" "&amp;'Compliance Database'!$K1133&amp;" "&amp;'Compliance Database'!$L1133&amp;" "&amp;'Compliance Database'!$M1133&amp;" "&amp;'Compliance Database'!$N1133&amp;" "&amp;'Compliance Database'!$O1133))),OR(Query!$B$10&lt;&gt;"Yes",'Compliance Database'!$F1133&lt;&gt;"None")),1,0)</f>
        <v/>
      </c>
      <c r="B1133">
        <f>IF($A1133=1,SUM($A$2:$A1133),"")</f>
        <v/>
      </c>
      <c r="C1133">
        <f>IF($A1133=1,SUM($A$2:$A1133),0)</f>
        <v/>
      </c>
    </row>
    <row r="1134">
      <c r="A1134">
        <f>IF(AND(OR(Query!$B$4="All",'Compliance Database'!$A1134=Query!$B$4),OR(Query!$B$5="All",ISNUMBER(SEARCH(Query!$B$5,'Compliance Database'!$H1134))),OR(Query!$B$6="All",ISNUMBER(SEARCH(Query!$B$6,'Compliance Database'!$I1134))),OR(Query!$B$7="All",'Compliance Database'!$F1134=Query!$B$7),OR(Query!$B$8="All",'Compliance Database'!$J1134=Query!$B$8),OR(Query!$B$9="",ISNUMBER(SEARCH(Query!$B$9,'Compliance Database'!$D1134&amp;" "&amp;'Compliance Database'!$K1134&amp;" "&amp;'Compliance Database'!$L1134&amp;" "&amp;'Compliance Database'!$M1134&amp;" "&amp;'Compliance Database'!$N1134&amp;" "&amp;'Compliance Database'!$O1134))),OR(Query!$B$10&lt;&gt;"Yes",'Compliance Database'!$F1134&lt;&gt;"None")),1,0)</f>
        <v/>
      </c>
      <c r="B1134">
        <f>IF($A1134=1,SUM($A$2:$A1134),"")</f>
        <v/>
      </c>
      <c r="C1134">
        <f>IF($A1134=1,SUM($A$2:$A1134),0)</f>
        <v/>
      </c>
    </row>
    <row r="1135">
      <c r="A1135">
        <f>IF(AND(OR(Query!$B$4="All",'Compliance Database'!$A1135=Query!$B$4),OR(Query!$B$5="All",ISNUMBER(SEARCH(Query!$B$5,'Compliance Database'!$H1135))),OR(Query!$B$6="All",ISNUMBER(SEARCH(Query!$B$6,'Compliance Database'!$I1135))),OR(Query!$B$7="All",'Compliance Database'!$F1135=Query!$B$7),OR(Query!$B$8="All",'Compliance Database'!$J1135=Query!$B$8),OR(Query!$B$9="",ISNUMBER(SEARCH(Query!$B$9,'Compliance Database'!$D1135&amp;" "&amp;'Compliance Database'!$K1135&amp;" "&amp;'Compliance Database'!$L1135&amp;" "&amp;'Compliance Database'!$M1135&amp;" "&amp;'Compliance Database'!$N1135&amp;" "&amp;'Compliance Database'!$O1135))),OR(Query!$B$10&lt;&gt;"Yes",'Compliance Database'!$F1135&lt;&gt;"None")),1,0)</f>
        <v/>
      </c>
      <c r="B1135">
        <f>IF($A1135=1,SUM($A$2:$A1135),"")</f>
        <v/>
      </c>
      <c r="C1135">
        <f>IF($A1135=1,SUM($A$2:$A1135),0)</f>
        <v/>
      </c>
    </row>
    <row r="1136">
      <c r="A1136">
        <f>IF(AND(OR(Query!$B$4="All",'Compliance Database'!$A1136=Query!$B$4),OR(Query!$B$5="All",ISNUMBER(SEARCH(Query!$B$5,'Compliance Database'!$H1136))),OR(Query!$B$6="All",ISNUMBER(SEARCH(Query!$B$6,'Compliance Database'!$I1136))),OR(Query!$B$7="All",'Compliance Database'!$F1136=Query!$B$7),OR(Query!$B$8="All",'Compliance Database'!$J1136=Query!$B$8),OR(Query!$B$9="",ISNUMBER(SEARCH(Query!$B$9,'Compliance Database'!$D1136&amp;" "&amp;'Compliance Database'!$K1136&amp;" "&amp;'Compliance Database'!$L1136&amp;" "&amp;'Compliance Database'!$M1136&amp;" "&amp;'Compliance Database'!$N1136&amp;" "&amp;'Compliance Database'!$O1136))),OR(Query!$B$10&lt;&gt;"Yes",'Compliance Database'!$F1136&lt;&gt;"None")),1,0)</f>
        <v/>
      </c>
      <c r="B1136">
        <f>IF($A1136=1,SUM($A$2:$A1136),"")</f>
        <v/>
      </c>
      <c r="C1136">
        <f>IF($A1136=1,SUM($A$2:$A1136),0)</f>
        <v/>
      </c>
    </row>
    <row r="1137">
      <c r="A1137">
        <f>IF(AND(OR(Query!$B$4="All",'Compliance Database'!$A1137=Query!$B$4),OR(Query!$B$5="All",ISNUMBER(SEARCH(Query!$B$5,'Compliance Database'!$H1137))),OR(Query!$B$6="All",ISNUMBER(SEARCH(Query!$B$6,'Compliance Database'!$I1137))),OR(Query!$B$7="All",'Compliance Database'!$F1137=Query!$B$7),OR(Query!$B$8="All",'Compliance Database'!$J1137=Query!$B$8),OR(Query!$B$9="",ISNUMBER(SEARCH(Query!$B$9,'Compliance Database'!$D1137&amp;" "&amp;'Compliance Database'!$K1137&amp;" "&amp;'Compliance Database'!$L1137&amp;" "&amp;'Compliance Database'!$M1137&amp;" "&amp;'Compliance Database'!$N1137&amp;" "&amp;'Compliance Database'!$O1137))),OR(Query!$B$10&lt;&gt;"Yes",'Compliance Database'!$F1137&lt;&gt;"None")),1,0)</f>
        <v/>
      </c>
      <c r="B1137">
        <f>IF($A1137=1,SUM($A$2:$A1137),"")</f>
        <v/>
      </c>
      <c r="C1137">
        <f>IF($A1137=1,SUM($A$2:$A1137),0)</f>
        <v/>
      </c>
    </row>
    <row r="1138">
      <c r="A1138">
        <f>IF(AND(OR(Query!$B$4="All",'Compliance Database'!$A1138=Query!$B$4),OR(Query!$B$5="All",ISNUMBER(SEARCH(Query!$B$5,'Compliance Database'!$H1138))),OR(Query!$B$6="All",ISNUMBER(SEARCH(Query!$B$6,'Compliance Database'!$I1138))),OR(Query!$B$7="All",'Compliance Database'!$F1138=Query!$B$7),OR(Query!$B$8="All",'Compliance Database'!$J1138=Query!$B$8),OR(Query!$B$9="",ISNUMBER(SEARCH(Query!$B$9,'Compliance Database'!$D1138&amp;" "&amp;'Compliance Database'!$K1138&amp;" "&amp;'Compliance Database'!$L1138&amp;" "&amp;'Compliance Database'!$M1138&amp;" "&amp;'Compliance Database'!$N1138&amp;" "&amp;'Compliance Database'!$O1138))),OR(Query!$B$10&lt;&gt;"Yes",'Compliance Database'!$F1138&lt;&gt;"None")),1,0)</f>
        <v/>
      </c>
      <c r="B1138">
        <f>IF($A1138=1,SUM($A$2:$A1138),"")</f>
        <v/>
      </c>
      <c r="C1138">
        <f>IF($A1138=1,SUM($A$2:$A1138),0)</f>
        <v/>
      </c>
    </row>
    <row r="1139">
      <c r="A1139">
        <f>IF(AND(OR(Query!$B$4="All",'Compliance Database'!$A1139=Query!$B$4),OR(Query!$B$5="All",ISNUMBER(SEARCH(Query!$B$5,'Compliance Database'!$H1139))),OR(Query!$B$6="All",ISNUMBER(SEARCH(Query!$B$6,'Compliance Database'!$I1139))),OR(Query!$B$7="All",'Compliance Database'!$F1139=Query!$B$7),OR(Query!$B$8="All",'Compliance Database'!$J1139=Query!$B$8),OR(Query!$B$9="",ISNUMBER(SEARCH(Query!$B$9,'Compliance Database'!$D1139&amp;" "&amp;'Compliance Database'!$K1139&amp;" "&amp;'Compliance Database'!$L1139&amp;" "&amp;'Compliance Database'!$M1139&amp;" "&amp;'Compliance Database'!$N1139&amp;" "&amp;'Compliance Database'!$O1139))),OR(Query!$B$10&lt;&gt;"Yes",'Compliance Database'!$F1139&lt;&gt;"None")),1,0)</f>
        <v/>
      </c>
      <c r="B1139">
        <f>IF($A1139=1,SUM($A$2:$A1139),"")</f>
        <v/>
      </c>
      <c r="C1139">
        <f>IF($A1139=1,SUM($A$2:$A1139),0)</f>
        <v/>
      </c>
    </row>
    <row r="1140">
      <c r="A1140">
        <f>IF(AND(OR(Query!$B$4="All",'Compliance Database'!$A1140=Query!$B$4),OR(Query!$B$5="All",ISNUMBER(SEARCH(Query!$B$5,'Compliance Database'!$H1140))),OR(Query!$B$6="All",ISNUMBER(SEARCH(Query!$B$6,'Compliance Database'!$I1140))),OR(Query!$B$7="All",'Compliance Database'!$F1140=Query!$B$7),OR(Query!$B$8="All",'Compliance Database'!$J1140=Query!$B$8),OR(Query!$B$9="",ISNUMBER(SEARCH(Query!$B$9,'Compliance Database'!$D1140&amp;" "&amp;'Compliance Database'!$K1140&amp;" "&amp;'Compliance Database'!$L1140&amp;" "&amp;'Compliance Database'!$M1140&amp;" "&amp;'Compliance Database'!$N1140&amp;" "&amp;'Compliance Database'!$O1140))),OR(Query!$B$10&lt;&gt;"Yes",'Compliance Database'!$F1140&lt;&gt;"None")),1,0)</f>
        <v/>
      </c>
      <c r="B1140">
        <f>IF($A1140=1,SUM($A$2:$A1140),"")</f>
        <v/>
      </c>
      <c r="C1140">
        <f>IF($A1140=1,SUM($A$2:$A1140),0)</f>
        <v/>
      </c>
    </row>
    <row r="1141">
      <c r="A1141">
        <f>IF(AND(OR(Query!$B$4="All",'Compliance Database'!$A1141=Query!$B$4),OR(Query!$B$5="All",ISNUMBER(SEARCH(Query!$B$5,'Compliance Database'!$H1141))),OR(Query!$B$6="All",ISNUMBER(SEARCH(Query!$B$6,'Compliance Database'!$I1141))),OR(Query!$B$7="All",'Compliance Database'!$F1141=Query!$B$7),OR(Query!$B$8="All",'Compliance Database'!$J1141=Query!$B$8),OR(Query!$B$9="",ISNUMBER(SEARCH(Query!$B$9,'Compliance Database'!$D1141&amp;" "&amp;'Compliance Database'!$K1141&amp;" "&amp;'Compliance Database'!$L1141&amp;" "&amp;'Compliance Database'!$M1141&amp;" "&amp;'Compliance Database'!$N1141&amp;" "&amp;'Compliance Database'!$O1141))),OR(Query!$B$10&lt;&gt;"Yes",'Compliance Database'!$F1141&lt;&gt;"None")),1,0)</f>
        <v/>
      </c>
      <c r="B1141">
        <f>IF($A1141=1,SUM($A$2:$A1141),"")</f>
        <v/>
      </c>
      <c r="C1141">
        <f>IF($A1141=1,SUM($A$2:$A1141),0)</f>
        <v/>
      </c>
    </row>
    <row r="1142">
      <c r="A1142">
        <f>IF(AND(OR(Query!$B$4="All",'Compliance Database'!$A1142=Query!$B$4),OR(Query!$B$5="All",ISNUMBER(SEARCH(Query!$B$5,'Compliance Database'!$H1142))),OR(Query!$B$6="All",ISNUMBER(SEARCH(Query!$B$6,'Compliance Database'!$I1142))),OR(Query!$B$7="All",'Compliance Database'!$F1142=Query!$B$7),OR(Query!$B$8="All",'Compliance Database'!$J1142=Query!$B$8),OR(Query!$B$9="",ISNUMBER(SEARCH(Query!$B$9,'Compliance Database'!$D1142&amp;" "&amp;'Compliance Database'!$K1142&amp;" "&amp;'Compliance Database'!$L1142&amp;" "&amp;'Compliance Database'!$M1142&amp;" "&amp;'Compliance Database'!$N1142&amp;" "&amp;'Compliance Database'!$O1142))),OR(Query!$B$10&lt;&gt;"Yes",'Compliance Database'!$F1142&lt;&gt;"None")),1,0)</f>
        <v/>
      </c>
      <c r="B1142">
        <f>IF($A1142=1,SUM($A$2:$A1142),"")</f>
        <v/>
      </c>
      <c r="C1142">
        <f>IF($A1142=1,SUM($A$2:$A1142),0)</f>
        <v/>
      </c>
    </row>
    <row r="1143">
      <c r="A1143">
        <f>IF(AND(OR(Query!$B$4="All",'Compliance Database'!$A1143=Query!$B$4),OR(Query!$B$5="All",ISNUMBER(SEARCH(Query!$B$5,'Compliance Database'!$H1143))),OR(Query!$B$6="All",ISNUMBER(SEARCH(Query!$B$6,'Compliance Database'!$I1143))),OR(Query!$B$7="All",'Compliance Database'!$F1143=Query!$B$7),OR(Query!$B$8="All",'Compliance Database'!$J1143=Query!$B$8),OR(Query!$B$9="",ISNUMBER(SEARCH(Query!$B$9,'Compliance Database'!$D1143&amp;" "&amp;'Compliance Database'!$K1143&amp;" "&amp;'Compliance Database'!$L1143&amp;" "&amp;'Compliance Database'!$M1143&amp;" "&amp;'Compliance Database'!$N1143&amp;" "&amp;'Compliance Database'!$O1143))),OR(Query!$B$10&lt;&gt;"Yes",'Compliance Database'!$F1143&lt;&gt;"None")),1,0)</f>
        <v/>
      </c>
      <c r="B1143">
        <f>IF($A1143=1,SUM($A$2:$A1143),"")</f>
        <v/>
      </c>
      <c r="C1143">
        <f>IF($A1143=1,SUM($A$2:$A1143),0)</f>
        <v/>
      </c>
    </row>
    <row r="1144">
      <c r="A1144">
        <f>IF(AND(OR(Query!$B$4="All",'Compliance Database'!$A1144=Query!$B$4),OR(Query!$B$5="All",ISNUMBER(SEARCH(Query!$B$5,'Compliance Database'!$H1144))),OR(Query!$B$6="All",ISNUMBER(SEARCH(Query!$B$6,'Compliance Database'!$I1144))),OR(Query!$B$7="All",'Compliance Database'!$F1144=Query!$B$7),OR(Query!$B$8="All",'Compliance Database'!$J1144=Query!$B$8),OR(Query!$B$9="",ISNUMBER(SEARCH(Query!$B$9,'Compliance Database'!$D1144&amp;" "&amp;'Compliance Database'!$K1144&amp;" "&amp;'Compliance Database'!$L1144&amp;" "&amp;'Compliance Database'!$M1144&amp;" "&amp;'Compliance Database'!$N1144&amp;" "&amp;'Compliance Database'!$O1144))),OR(Query!$B$10&lt;&gt;"Yes",'Compliance Database'!$F1144&lt;&gt;"None")),1,0)</f>
        <v/>
      </c>
      <c r="B1144">
        <f>IF($A1144=1,SUM($A$2:$A1144),"")</f>
        <v/>
      </c>
      <c r="C1144">
        <f>IF($A1144=1,SUM($A$2:$A1144),0)</f>
        <v/>
      </c>
    </row>
    <row r="1145">
      <c r="A1145">
        <f>IF(AND(OR(Query!$B$4="All",'Compliance Database'!$A1145=Query!$B$4),OR(Query!$B$5="All",ISNUMBER(SEARCH(Query!$B$5,'Compliance Database'!$H1145))),OR(Query!$B$6="All",ISNUMBER(SEARCH(Query!$B$6,'Compliance Database'!$I1145))),OR(Query!$B$7="All",'Compliance Database'!$F1145=Query!$B$7),OR(Query!$B$8="All",'Compliance Database'!$J1145=Query!$B$8),OR(Query!$B$9="",ISNUMBER(SEARCH(Query!$B$9,'Compliance Database'!$D1145&amp;" "&amp;'Compliance Database'!$K1145&amp;" "&amp;'Compliance Database'!$L1145&amp;" "&amp;'Compliance Database'!$M1145&amp;" "&amp;'Compliance Database'!$N1145&amp;" "&amp;'Compliance Database'!$O1145))),OR(Query!$B$10&lt;&gt;"Yes",'Compliance Database'!$F1145&lt;&gt;"None")),1,0)</f>
        <v/>
      </c>
      <c r="B1145">
        <f>IF($A1145=1,SUM($A$2:$A1145),"")</f>
        <v/>
      </c>
      <c r="C1145">
        <f>IF($A1145=1,SUM($A$2:$A1145),0)</f>
        <v/>
      </c>
    </row>
    <row r="1146">
      <c r="A1146">
        <f>IF(AND(OR(Query!$B$4="All",'Compliance Database'!$A1146=Query!$B$4),OR(Query!$B$5="All",ISNUMBER(SEARCH(Query!$B$5,'Compliance Database'!$H1146))),OR(Query!$B$6="All",ISNUMBER(SEARCH(Query!$B$6,'Compliance Database'!$I1146))),OR(Query!$B$7="All",'Compliance Database'!$F1146=Query!$B$7),OR(Query!$B$8="All",'Compliance Database'!$J1146=Query!$B$8),OR(Query!$B$9="",ISNUMBER(SEARCH(Query!$B$9,'Compliance Database'!$D1146&amp;" "&amp;'Compliance Database'!$K1146&amp;" "&amp;'Compliance Database'!$L1146&amp;" "&amp;'Compliance Database'!$M1146&amp;" "&amp;'Compliance Database'!$N1146&amp;" "&amp;'Compliance Database'!$O1146))),OR(Query!$B$10&lt;&gt;"Yes",'Compliance Database'!$F1146&lt;&gt;"None")),1,0)</f>
        <v/>
      </c>
      <c r="B1146">
        <f>IF($A1146=1,SUM($A$2:$A1146),"")</f>
        <v/>
      </c>
      <c r="C1146">
        <f>IF($A1146=1,SUM($A$2:$A1146),0)</f>
        <v/>
      </c>
    </row>
    <row r="1147">
      <c r="A1147">
        <f>IF(AND(OR(Query!$B$4="All",'Compliance Database'!$A1147=Query!$B$4),OR(Query!$B$5="All",ISNUMBER(SEARCH(Query!$B$5,'Compliance Database'!$H1147))),OR(Query!$B$6="All",ISNUMBER(SEARCH(Query!$B$6,'Compliance Database'!$I1147))),OR(Query!$B$7="All",'Compliance Database'!$F1147=Query!$B$7),OR(Query!$B$8="All",'Compliance Database'!$J1147=Query!$B$8),OR(Query!$B$9="",ISNUMBER(SEARCH(Query!$B$9,'Compliance Database'!$D1147&amp;" "&amp;'Compliance Database'!$K1147&amp;" "&amp;'Compliance Database'!$L1147&amp;" "&amp;'Compliance Database'!$M1147&amp;" "&amp;'Compliance Database'!$N1147&amp;" "&amp;'Compliance Database'!$O1147))),OR(Query!$B$10&lt;&gt;"Yes",'Compliance Database'!$F1147&lt;&gt;"None")),1,0)</f>
        <v/>
      </c>
      <c r="B1147">
        <f>IF($A1147=1,SUM($A$2:$A1147),"")</f>
        <v/>
      </c>
      <c r="C1147">
        <f>IF($A1147=1,SUM($A$2:$A1147),0)</f>
        <v/>
      </c>
    </row>
    <row r="1148">
      <c r="A1148">
        <f>IF(AND(OR(Query!$B$4="All",'Compliance Database'!$A1148=Query!$B$4),OR(Query!$B$5="All",ISNUMBER(SEARCH(Query!$B$5,'Compliance Database'!$H1148))),OR(Query!$B$6="All",ISNUMBER(SEARCH(Query!$B$6,'Compliance Database'!$I1148))),OR(Query!$B$7="All",'Compliance Database'!$F1148=Query!$B$7),OR(Query!$B$8="All",'Compliance Database'!$J1148=Query!$B$8),OR(Query!$B$9="",ISNUMBER(SEARCH(Query!$B$9,'Compliance Database'!$D1148&amp;" "&amp;'Compliance Database'!$K1148&amp;" "&amp;'Compliance Database'!$L1148&amp;" "&amp;'Compliance Database'!$M1148&amp;" "&amp;'Compliance Database'!$N1148&amp;" "&amp;'Compliance Database'!$O1148))),OR(Query!$B$10&lt;&gt;"Yes",'Compliance Database'!$F1148&lt;&gt;"None")),1,0)</f>
        <v/>
      </c>
      <c r="B1148">
        <f>IF($A1148=1,SUM($A$2:$A1148),"")</f>
        <v/>
      </c>
      <c r="C1148">
        <f>IF($A1148=1,SUM($A$2:$A1148),0)</f>
        <v/>
      </c>
    </row>
    <row r="1149">
      <c r="A1149">
        <f>IF(AND(OR(Query!$B$4="All",'Compliance Database'!$A1149=Query!$B$4),OR(Query!$B$5="All",ISNUMBER(SEARCH(Query!$B$5,'Compliance Database'!$H1149))),OR(Query!$B$6="All",ISNUMBER(SEARCH(Query!$B$6,'Compliance Database'!$I1149))),OR(Query!$B$7="All",'Compliance Database'!$F1149=Query!$B$7),OR(Query!$B$8="All",'Compliance Database'!$J1149=Query!$B$8),OR(Query!$B$9="",ISNUMBER(SEARCH(Query!$B$9,'Compliance Database'!$D1149&amp;" "&amp;'Compliance Database'!$K1149&amp;" "&amp;'Compliance Database'!$L1149&amp;" "&amp;'Compliance Database'!$M1149&amp;" "&amp;'Compliance Database'!$N1149&amp;" "&amp;'Compliance Database'!$O1149))),OR(Query!$B$10&lt;&gt;"Yes",'Compliance Database'!$F1149&lt;&gt;"None")),1,0)</f>
        <v/>
      </c>
      <c r="B1149">
        <f>IF($A1149=1,SUM($A$2:$A1149),"")</f>
        <v/>
      </c>
      <c r="C1149">
        <f>IF($A1149=1,SUM($A$2:$A1149),0)</f>
        <v/>
      </c>
    </row>
    <row r="1150">
      <c r="A1150">
        <f>IF(AND(OR(Query!$B$4="All",'Compliance Database'!$A1150=Query!$B$4),OR(Query!$B$5="All",ISNUMBER(SEARCH(Query!$B$5,'Compliance Database'!$H1150))),OR(Query!$B$6="All",ISNUMBER(SEARCH(Query!$B$6,'Compliance Database'!$I1150))),OR(Query!$B$7="All",'Compliance Database'!$F1150=Query!$B$7),OR(Query!$B$8="All",'Compliance Database'!$J1150=Query!$B$8),OR(Query!$B$9="",ISNUMBER(SEARCH(Query!$B$9,'Compliance Database'!$D1150&amp;" "&amp;'Compliance Database'!$K1150&amp;" "&amp;'Compliance Database'!$L1150&amp;" "&amp;'Compliance Database'!$M1150&amp;" "&amp;'Compliance Database'!$N1150&amp;" "&amp;'Compliance Database'!$O1150))),OR(Query!$B$10&lt;&gt;"Yes",'Compliance Database'!$F1150&lt;&gt;"None")),1,0)</f>
        <v/>
      </c>
      <c r="B1150">
        <f>IF($A1150=1,SUM($A$2:$A1150),"")</f>
        <v/>
      </c>
      <c r="C1150">
        <f>IF($A1150=1,SUM($A$2:$A1150),0)</f>
        <v/>
      </c>
    </row>
    <row r="1151">
      <c r="A1151">
        <f>IF(AND(OR(Query!$B$4="All",'Compliance Database'!$A1151=Query!$B$4),OR(Query!$B$5="All",ISNUMBER(SEARCH(Query!$B$5,'Compliance Database'!$H1151))),OR(Query!$B$6="All",ISNUMBER(SEARCH(Query!$B$6,'Compliance Database'!$I1151))),OR(Query!$B$7="All",'Compliance Database'!$F1151=Query!$B$7),OR(Query!$B$8="All",'Compliance Database'!$J1151=Query!$B$8),OR(Query!$B$9="",ISNUMBER(SEARCH(Query!$B$9,'Compliance Database'!$D1151&amp;" "&amp;'Compliance Database'!$K1151&amp;" "&amp;'Compliance Database'!$L1151&amp;" "&amp;'Compliance Database'!$M1151&amp;" "&amp;'Compliance Database'!$N1151&amp;" "&amp;'Compliance Database'!$O1151))),OR(Query!$B$10&lt;&gt;"Yes",'Compliance Database'!$F1151&lt;&gt;"None")),1,0)</f>
        <v/>
      </c>
      <c r="B1151">
        <f>IF($A1151=1,SUM($A$2:$A1151),"")</f>
        <v/>
      </c>
      <c r="C1151">
        <f>IF($A1151=1,SUM($A$2:$A1151),0)</f>
        <v/>
      </c>
    </row>
    <row r="1152">
      <c r="A1152">
        <f>IF(AND(OR(Query!$B$4="All",'Compliance Database'!$A1152=Query!$B$4),OR(Query!$B$5="All",ISNUMBER(SEARCH(Query!$B$5,'Compliance Database'!$H1152))),OR(Query!$B$6="All",ISNUMBER(SEARCH(Query!$B$6,'Compliance Database'!$I1152))),OR(Query!$B$7="All",'Compliance Database'!$F1152=Query!$B$7),OR(Query!$B$8="All",'Compliance Database'!$J1152=Query!$B$8),OR(Query!$B$9="",ISNUMBER(SEARCH(Query!$B$9,'Compliance Database'!$D1152&amp;" "&amp;'Compliance Database'!$K1152&amp;" "&amp;'Compliance Database'!$L1152&amp;" "&amp;'Compliance Database'!$M1152&amp;" "&amp;'Compliance Database'!$N1152&amp;" "&amp;'Compliance Database'!$O1152))),OR(Query!$B$10&lt;&gt;"Yes",'Compliance Database'!$F1152&lt;&gt;"None")),1,0)</f>
        <v/>
      </c>
      <c r="B1152">
        <f>IF($A1152=1,SUM($A$2:$A1152),"")</f>
        <v/>
      </c>
      <c r="C1152">
        <f>IF($A1152=1,SUM($A$2:$A1152),0)</f>
        <v/>
      </c>
    </row>
    <row r="1153">
      <c r="A1153">
        <f>IF(AND(OR(Query!$B$4="All",'Compliance Database'!$A1153=Query!$B$4),OR(Query!$B$5="All",ISNUMBER(SEARCH(Query!$B$5,'Compliance Database'!$H1153))),OR(Query!$B$6="All",ISNUMBER(SEARCH(Query!$B$6,'Compliance Database'!$I1153))),OR(Query!$B$7="All",'Compliance Database'!$F1153=Query!$B$7),OR(Query!$B$8="All",'Compliance Database'!$J1153=Query!$B$8),OR(Query!$B$9="",ISNUMBER(SEARCH(Query!$B$9,'Compliance Database'!$D1153&amp;" "&amp;'Compliance Database'!$K1153&amp;" "&amp;'Compliance Database'!$L1153&amp;" "&amp;'Compliance Database'!$M1153&amp;" "&amp;'Compliance Database'!$N1153&amp;" "&amp;'Compliance Database'!$O1153))),OR(Query!$B$10&lt;&gt;"Yes",'Compliance Database'!$F1153&lt;&gt;"None")),1,0)</f>
        <v/>
      </c>
      <c r="B1153">
        <f>IF($A1153=1,SUM($A$2:$A1153),"")</f>
        <v/>
      </c>
      <c r="C1153">
        <f>IF($A1153=1,SUM($A$2:$A1153),0)</f>
        <v/>
      </c>
    </row>
    <row r="1154">
      <c r="A1154">
        <f>IF(AND(OR(Query!$B$4="All",'Compliance Database'!$A1154=Query!$B$4),OR(Query!$B$5="All",ISNUMBER(SEARCH(Query!$B$5,'Compliance Database'!$H1154))),OR(Query!$B$6="All",ISNUMBER(SEARCH(Query!$B$6,'Compliance Database'!$I1154))),OR(Query!$B$7="All",'Compliance Database'!$F1154=Query!$B$7),OR(Query!$B$8="All",'Compliance Database'!$J1154=Query!$B$8),OR(Query!$B$9="",ISNUMBER(SEARCH(Query!$B$9,'Compliance Database'!$D1154&amp;" "&amp;'Compliance Database'!$K1154&amp;" "&amp;'Compliance Database'!$L1154&amp;" "&amp;'Compliance Database'!$M1154&amp;" "&amp;'Compliance Database'!$N1154&amp;" "&amp;'Compliance Database'!$O1154))),OR(Query!$B$10&lt;&gt;"Yes",'Compliance Database'!$F1154&lt;&gt;"None")),1,0)</f>
        <v/>
      </c>
      <c r="B1154">
        <f>IF($A1154=1,SUM($A$2:$A1154),"")</f>
        <v/>
      </c>
      <c r="C1154">
        <f>IF($A1154=1,SUM($A$2:$A1154),0)</f>
        <v/>
      </c>
    </row>
    <row r="1155">
      <c r="A1155">
        <f>IF(AND(OR(Query!$B$4="All",'Compliance Database'!$A1155=Query!$B$4),OR(Query!$B$5="All",ISNUMBER(SEARCH(Query!$B$5,'Compliance Database'!$H1155))),OR(Query!$B$6="All",ISNUMBER(SEARCH(Query!$B$6,'Compliance Database'!$I1155))),OR(Query!$B$7="All",'Compliance Database'!$F1155=Query!$B$7),OR(Query!$B$8="All",'Compliance Database'!$J1155=Query!$B$8),OR(Query!$B$9="",ISNUMBER(SEARCH(Query!$B$9,'Compliance Database'!$D1155&amp;" "&amp;'Compliance Database'!$K1155&amp;" "&amp;'Compliance Database'!$L1155&amp;" "&amp;'Compliance Database'!$M1155&amp;" "&amp;'Compliance Database'!$N1155&amp;" "&amp;'Compliance Database'!$O1155))),OR(Query!$B$10&lt;&gt;"Yes",'Compliance Database'!$F1155&lt;&gt;"None")),1,0)</f>
        <v/>
      </c>
      <c r="B1155">
        <f>IF($A1155=1,SUM($A$2:$A1155),"")</f>
        <v/>
      </c>
      <c r="C1155">
        <f>IF($A1155=1,SUM($A$2:$A1155),0)</f>
        <v/>
      </c>
    </row>
    <row r="1156">
      <c r="A1156">
        <f>IF(AND(OR(Query!$B$4="All",'Compliance Database'!$A1156=Query!$B$4),OR(Query!$B$5="All",ISNUMBER(SEARCH(Query!$B$5,'Compliance Database'!$H1156))),OR(Query!$B$6="All",ISNUMBER(SEARCH(Query!$B$6,'Compliance Database'!$I1156))),OR(Query!$B$7="All",'Compliance Database'!$F1156=Query!$B$7),OR(Query!$B$8="All",'Compliance Database'!$J1156=Query!$B$8),OR(Query!$B$9="",ISNUMBER(SEARCH(Query!$B$9,'Compliance Database'!$D1156&amp;" "&amp;'Compliance Database'!$K1156&amp;" "&amp;'Compliance Database'!$L1156&amp;" "&amp;'Compliance Database'!$M1156&amp;" "&amp;'Compliance Database'!$N1156&amp;" "&amp;'Compliance Database'!$O1156))),OR(Query!$B$10&lt;&gt;"Yes",'Compliance Database'!$F1156&lt;&gt;"None")),1,0)</f>
        <v/>
      </c>
      <c r="B1156">
        <f>IF($A1156=1,SUM($A$2:$A1156),"")</f>
        <v/>
      </c>
      <c r="C1156">
        <f>IF($A1156=1,SUM($A$2:$A1156),0)</f>
        <v/>
      </c>
    </row>
    <row r="1157">
      <c r="A1157">
        <f>IF(AND(OR(Query!$B$4="All",'Compliance Database'!$A1157=Query!$B$4),OR(Query!$B$5="All",ISNUMBER(SEARCH(Query!$B$5,'Compliance Database'!$H1157))),OR(Query!$B$6="All",ISNUMBER(SEARCH(Query!$B$6,'Compliance Database'!$I1157))),OR(Query!$B$7="All",'Compliance Database'!$F1157=Query!$B$7),OR(Query!$B$8="All",'Compliance Database'!$J1157=Query!$B$8),OR(Query!$B$9="",ISNUMBER(SEARCH(Query!$B$9,'Compliance Database'!$D1157&amp;" "&amp;'Compliance Database'!$K1157&amp;" "&amp;'Compliance Database'!$L1157&amp;" "&amp;'Compliance Database'!$M1157&amp;" "&amp;'Compliance Database'!$N1157&amp;" "&amp;'Compliance Database'!$O1157))),OR(Query!$B$10&lt;&gt;"Yes",'Compliance Database'!$F1157&lt;&gt;"None")),1,0)</f>
        <v/>
      </c>
      <c r="B1157">
        <f>IF($A1157=1,SUM($A$2:$A1157),"")</f>
        <v/>
      </c>
      <c r="C1157">
        <f>IF($A1157=1,SUM($A$2:$A1157),0)</f>
        <v/>
      </c>
    </row>
    <row r="1158">
      <c r="A1158">
        <f>IF(AND(OR(Query!$B$4="All",'Compliance Database'!$A1158=Query!$B$4),OR(Query!$B$5="All",ISNUMBER(SEARCH(Query!$B$5,'Compliance Database'!$H1158))),OR(Query!$B$6="All",ISNUMBER(SEARCH(Query!$B$6,'Compliance Database'!$I1158))),OR(Query!$B$7="All",'Compliance Database'!$F1158=Query!$B$7),OR(Query!$B$8="All",'Compliance Database'!$J1158=Query!$B$8),OR(Query!$B$9="",ISNUMBER(SEARCH(Query!$B$9,'Compliance Database'!$D1158&amp;" "&amp;'Compliance Database'!$K1158&amp;" "&amp;'Compliance Database'!$L1158&amp;" "&amp;'Compliance Database'!$M1158&amp;" "&amp;'Compliance Database'!$N1158&amp;" "&amp;'Compliance Database'!$O1158))),OR(Query!$B$10&lt;&gt;"Yes",'Compliance Database'!$F1158&lt;&gt;"None")),1,0)</f>
        <v/>
      </c>
      <c r="B1158">
        <f>IF($A1158=1,SUM($A$2:$A1158),"")</f>
        <v/>
      </c>
      <c r="C1158">
        <f>IF($A1158=1,SUM($A$2:$A1158),0)</f>
        <v/>
      </c>
    </row>
    <row r="1159">
      <c r="A1159">
        <f>IF(AND(OR(Query!$B$4="All",'Compliance Database'!$A1159=Query!$B$4),OR(Query!$B$5="All",ISNUMBER(SEARCH(Query!$B$5,'Compliance Database'!$H1159))),OR(Query!$B$6="All",ISNUMBER(SEARCH(Query!$B$6,'Compliance Database'!$I1159))),OR(Query!$B$7="All",'Compliance Database'!$F1159=Query!$B$7),OR(Query!$B$8="All",'Compliance Database'!$J1159=Query!$B$8),OR(Query!$B$9="",ISNUMBER(SEARCH(Query!$B$9,'Compliance Database'!$D1159&amp;" "&amp;'Compliance Database'!$K1159&amp;" "&amp;'Compliance Database'!$L1159&amp;" "&amp;'Compliance Database'!$M1159&amp;" "&amp;'Compliance Database'!$N1159&amp;" "&amp;'Compliance Database'!$O1159))),OR(Query!$B$10&lt;&gt;"Yes",'Compliance Database'!$F1159&lt;&gt;"None")),1,0)</f>
        <v/>
      </c>
      <c r="B1159">
        <f>IF($A1159=1,SUM($A$2:$A1159),"")</f>
        <v/>
      </c>
      <c r="C1159">
        <f>IF($A1159=1,SUM($A$2:$A1159),0)</f>
        <v/>
      </c>
    </row>
    <row r="1160">
      <c r="A1160">
        <f>IF(AND(OR(Query!$B$4="All",'Compliance Database'!$A1160=Query!$B$4),OR(Query!$B$5="All",ISNUMBER(SEARCH(Query!$B$5,'Compliance Database'!$H1160))),OR(Query!$B$6="All",ISNUMBER(SEARCH(Query!$B$6,'Compliance Database'!$I1160))),OR(Query!$B$7="All",'Compliance Database'!$F1160=Query!$B$7),OR(Query!$B$8="All",'Compliance Database'!$J1160=Query!$B$8),OR(Query!$B$9="",ISNUMBER(SEARCH(Query!$B$9,'Compliance Database'!$D1160&amp;" "&amp;'Compliance Database'!$K1160&amp;" "&amp;'Compliance Database'!$L1160&amp;" "&amp;'Compliance Database'!$M1160&amp;" "&amp;'Compliance Database'!$N1160&amp;" "&amp;'Compliance Database'!$O1160))),OR(Query!$B$10&lt;&gt;"Yes",'Compliance Database'!$F1160&lt;&gt;"None")),1,0)</f>
        <v/>
      </c>
      <c r="B1160">
        <f>IF($A1160=1,SUM($A$2:$A1160),"")</f>
        <v/>
      </c>
      <c r="C1160">
        <f>IF($A1160=1,SUM($A$2:$A1160),0)</f>
        <v/>
      </c>
    </row>
    <row r="1161">
      <c r="A1161">
        <f>IF(AND(OR(Query!$B$4="All",'Compliance Database'!$A1161=Query!$B$4),OR(Query!$B$5="All",ISNUMBER(SEARCH(Query!$B$5,'Compliance Database'!$H1161))),OR(Query!$B$6="All",ISNUMBER(SEARCH(Query!$B$6,'Compliance Database'!$I1161))),OR(Query!$B$7="All",'Compliance Database'!$F1161=Query!$B$7),OR(Query!$B$8="All",'Compliance Database'!$J1161=Query!$B$8),OR(Query!$B$9="",ISNUMBER(SEARCH(Query!$B$9,'Compliance Database'!$D1161&amp;" "&amp;'Compliance Database'!$K1161&amp;" "&amp;'Compliance Database'!$L1161&amp;" "&amp;'Compliance Database'!$M1161&amp;" "&amp;'Compliance Database'!$N1161&amp;" "&amp;'Compliance Database'!$O1161))),OR(Query!$B$10&lt;&gt;"Yes",'Compliance Database'!$F1161&lt;&gt;"None")),1,0)</f>
        <v/>
      </c>
      <c r="B1161">
        <f>IF($A1161=1,SUM($A$2:$A1161),"")</f>
        <v/>
      </c>
      <c r="C1161">
        <f>IF($A1161=1,SUM($A$2:$A1161),0)</f>
        <v/>
      </c>
    </row>
    <row r="1162">
      <c r="A1162">
        <f>IF(AND(OR(Query!$B$4="All",'Compliance Database'!$A1162=Query!$B$4),OR(Query!$B$5="All",ISNUMBER(SEARCH(Query!$B$5,'Compliance Database'!$H1162))),OR(Query!$B$6="All",ISNUMBER(SEARCH(Query!$B$6,'Compliance Database'!$I1162))),OR(Query!$B$7="All",'Compliance Database'!$F1162=Query!$B$7),OR(Query!$B$8="All",'Compliance Database'!$J1162=Query!$B$8),OR(Query!$B$9="",ISNUMBER(SEARCH(Query!$B$9,'Compliance Database'!$D1162&amp;" "&amp;'Compliance Database'!$K1162&amp;" "&amp;'Compliance Database'!$L1162&amp;" "&amp;'Compliance Database'!$M1162&amp;" "&amp;'Compliance Database'!$N1162&amp;" "&amp;'Compliance Database'!$O1162))),OR(Query!$B$10&lt;&gt;"Yes",'Compliance Database'!$F1162&lt;&gt;"None")),1,0)</f>
        <v/>
      </c>
      <c r="B1162">
        <f>IF($A1162=1,SUM($A$2:$A1162),"")</f>
        <v/>
      </c>
      <c r="C1162">
        <f>IF($A1162=1,SUM($A$2:$A1162),0)</f>
        <v/>
      </c>
    </row>
    <row r="1163">
      <c r="A1163">
        <f>IF(AND(OR(Query!$B$4="All",'Compliance Database'!$A1163=Query!$B$4),OR(Query!$B$5="All",ISNUMBER(SEARCH(Query!$B$5,'Compliance Database'!$H1163))),OR(Query!$B$6="All",ISNUMBER(SEARCH(Query!$B$6,'Compliance Database'!$I1163))),OR(Query!$B$7="All",'Compliance Database'!$F1163=Query!$B$7),OR(Query!$B$8="All",'Compliance Database'!$J1163=Query!$B$8),OR(Query!$B$9="",ISNUMBER(SEARCH(Query!$B$9,'Compliance Database'!$D1163&amp;" "&amp;'Compliance Database'!$K1163&amp;" "&amp;'Compliance Database'!$L1163&amp;" "&amp;'Compliance Database'!$M1163&amp;" "&amp;'Compliance Database'!$N1163&amp;" "&amp;'Compliance Database'!$O1163))),OR(Query!$B$10&lt;&gt;"Yes",'Compliance Database'!$F1163&lt;&gt;"None")),1,0)</f>
        <v/>
      </c>
      <c r="B1163">
        <f>IF($A1163=1,SUM($A$2:$A1163),"")</f>
        <v/>
      </c>
      <c r="C1163">
        <f>IF($A1163=1,SUM($A$2:$A1163),0)</f>
        <v/>
      </c>
    </row>
    <row r="1164">
      <c r="A1164">
        <f>IF(AND(OR(Query!$B$4="All",'Compliance Database'!$A1164=Query!$B$4),OR(Query!$B$5="All",ISNUMBER(SEARCH(Query!$B$5,'Compliance Database'!$H1164))),OR(Query!$B$6="All",ISNUMBER(SEARCH(Query!$B$6,'Compliance Database'!$I1164))),OR(Query!$B$7="All",'Compliance Database'!$F1164=Query!$B$7),OR(Query!$B$8="All",'Compliance Database'!$J1164=Query!$B$8),OR(Query!$B$9="",ISNUMBER(SEARCH(Query!$B$9,'Compliance Database'!$D1164&amp;" "&amp;'Compliance Database'!$K1164&amp;" "&amp;'Compliance Database'!$L1164&amp;" "&amp;'Compliance Database'!$M1164&amp;" "&amp;'Compliance Database'!$N1164&amp;" "&amp;'Compliance Database'!$O1164))),OR(Query!$B$10&lt;&gt;"Yes",'Compliance Database'!$F1164&lt;&gt;"None")),1,0)</f>
        <v/>
      </c>
      <c r="B1164">
        <f>IF($A1164=1,SUM($A$2:$A1164),"")</f>
        <v/>
      </c>
      <c r="C1164">
        <f>IF($A1164=1,SUM($A$2:$A1164),0)</f>
        <v/>
      </c>
    </row>
    <row r="1165">
      <c r="A1165">
        <f>IF(AND(OR(Query!$B$4="All",'Compliance Database'!$A1165=Query!$B$4),OR(Query!$B$5="All",ISNUMBER(SEARCH(Query!$B$5,'Compliance Database'!$H1165))),OR(Query!$B$6="All",ISNUMBER(SEARCH(Query!$B$6,'Compliance Database'!$I1165))),OR(Query!$B$7="All",'Compliance Database'!$F1165=Query!$B$7),OR(Query!$B$8="All",'Compliance Database'!$J1165=Query!$B$8),OR(Query!$B$9="",ISNUMBER(SEARCH(Query!$B$9,'Compliance Database'!$D1165&amp;" "&amp;'Compliance Database'!$K1165&amp;" "&amp;'Compliance Database'!$L1165&amp;" "&amp;'Compliance Database'!$M1165&amp;" "&amp;'Compliance Database'!$N1165&amp;" "&amp;'Compliance Database'!$O1165))),OR(Query!$B$10&lt;&gt;"Yes",'Compliance Database'!$F1165&lt;&gt;"None")),1,0)</f>
        <v/>
      </c>
      <c r="B1165">
        <f>IF($A1165=1,SUM($A$2:$A1165),"")</f>
        <v/>
      </c>
      <c r="C1165">
        <f>IF($A1165=1,SUM($A$2:$A1165),0)</f>
        <v/>
      </c>
    </row>
    <row r="1166">
      <c r="A1166">
        <f>IF(AND(OR(Query!$B$4="All",'Compliance Database'!$A1166=Query!$B$4),OR(Query!$B$5="All",ISNUMBER(SEARCH(Query!$B$5,'Compliance Database'!$H1166))),OR(Query!$B$6="All",ISNUMBER(SEARCH(Query!$B$6,'Compliance Database'!$I1166))),OR(Query!$B$7="All",'Compliance Database'!$F1166=Query!$B$7),OR(Query!$B$8="All",'Compliance Database'!$J1166=Query!$B$8),OR(Query!$B$9="",ISNUMBER(SEARCH(Query!$B$9,'Compliance Database'!$D1166&amp;" "&amp;'Compliance Database'!$K1166&amp;" "&amp;'Compliance Database'!$L1166&amp;" "&amp;'Compliance Database'!$M1166&amp;" "&amp;'Compliance Database'!$N1166&amp;" "&amp;'Compliance Database'!$O1166))),OR(Query!$B$10&lt;&gt;"Yes",'Compliance Database'!$F1166&lt;&gt;"None")),1,0)</f>
        <v/>
      </c>
      <c r="B1166">
        <f>IF($A1166=1,SUM($A$2:$A1166),"")</f>
        <v/>
      </c>
      <c r="C1166">
        <f>IF($A1166=1,SUM($A$2:$A1166),0)</f>
        <v/>
      </c>
    </row>
    <row r="1167">
      <c r="A1167">
        <f>IF(AND(OR(Query!$B$4="All",'Compliance Database'!$A1167=Query!$B$4),OR(Query!$B$5="All",ISNUMBER(SEARCH(Query!$B$5,'Compliance Database'!$H1167))),OR(Query!$B$6="All",ISNUMBER(SEARCH(Query!$B$6,'Compliance Database'!$I1167))),OR(Query!$B$7="All",'Compliance Database'!$F1167=Query!$B$7),OR(Query!$B$8="All",'Compliance Database'!$J1167=Query!$B$8),OR(Query!$B$9="",ISNUMBER(SEARCH(Query!$B$9,'Compliance Database'!$D1167&amp;" "&amp;'Compliance Database'!$K1167&amp;" "&amp;'Compliance Database'!$L1167&amp;" "&amp;'Compliance Database'!$M1167&amp;" "&amp;'Compliance Database'!$N1167&amp;" "&amp;'Compliance Database'!$O1167))),OR(Query!$B$10&lt;&gt;"Yes",'Compliance Database'!$F1167&lt;&gt;"None")),1,0)</f>
        <v/>
      </c>
      <c r="B1167">
        <f>IF($A1167=1,SUM($A$2:$A1167),"")</f>
        <v/>
      </c>
      <c r="C1167">
        <f>IF($A1167=1,SUM($A$2:$A1167),0)</f>
        <v/>
      </c>
    </row>
    <row r="1168">
      <c r="A1168">
        <f>IF(AND(OR(Query!$B$4="All",'Compliance Database'!$A1168=Query!$B$4),OR(Query!$B$5="All",ISNUMBER(SEARCH(Query!$B$5,'Compliance Database'!$H1168))),OR(Query!$B$6="All",ISNUMBER(SEARCH(Query!$B$6,'Compliance Database'!$I1168))),OR(Query!$B$7="All",'Compliance Database'!$F1168=Query!$B$7),OR(Query!$B$8="All",'Compliance Database'!$J1168=Query!$B$8),OR(Query!$B$9="",ISNUMBER(SEARCH(Query!$B$9,'Compliance Database'!$D1168&amp;" "&amp;'Compliance Database'!$K1168&amp;" "&amp;'Compliance Database'!$L1168&amp;" "&amp;'Compliance Database'!$M1168&amp;" "&amp;'Compliance Database'!$N1168&amp;" "&amp;'Compliance Database'!$O1168))),OR(Query!$B$10&lt;&gt;"Yes",'Compliance Database'!$F1168&lt;&gt;"None")),1,0)</f>
        <v/>
      </c>
      <c r="B1168">
        <f>IF($A1168=1,SUM($A$2:$A1168),"")</f>
        <v/>
      </c>
      <c r="C1168">
        <f>IF($A1168=1,SUM($A$2:$A1168),0)</f>
        <v/>
      </c>
    </row>
    <row r="1169">
      <c r="A1169">
        <f>IF(AND(OR(Query!$B$4="All",'Compliance Database'!$A1169=Query!$B$4),OR(Query!$B$5="All",ISNUMBER(SEARCH(Query!$B$5,'Compliance Database'!$H1169))),OR(Query!$B$6="All",ISNUMBER(SEARCH(Query!$B$6,'Compliance Database'!$I1169))),OR(Query!$B$7="All",'Compliance Database'!$F1169=Query!$B$7),OR(Query!$B$8="All",'Compliance Database'!$J1169=Query!$B$8),OR(Query!$B$9="",ISNUMBER(SEARCH(Query!$B$9,'Compliance Database'!$D1169&amp;" "&amp;'Compliance Database'!$K1169&amp;" "&amp;'Compliance Database'!$L1169&amp;" "&amp;'Compliance Database'!$M1169&amp;" "&amp;'Compliance Database'!$N1169&amp;" "&amp;'Compliance Database'!$O1169))),OR(Query!$B$10&lt;&gt;"Yes",'Compliance Database'!$F1169&lt;&gt;"None")),1,0)</f>
        <v/>
      </c>
      <c r="B1169">
        <f>IF($A1169=1,SUM($A$2:$A1169),"")</f>
        <v/>
      </c>
      <c r="C1169">
        <f>IF($A1169=1,SUM($A$2:$A1169),0)</f>
        <v/>
      </c>
    </row>
    <row r="1170">
      <c r="A1170">
        <f>IF(AND(OR(Query!$B$4="All",'Compliance Database'!$A1170=Query!$B$4),OR(Query!$B$5="All",ISNUMBER(SEARCH(Query!$B$5,'Compliance Database'!$H1170))),OR(Query!$B$6="All",ISNUMBER(SEARCH(Query!$B$6,'Compliance Database'!$I1170))),OR(Query!$B$7="All",'Compliance Database'!$F1170=Query!$B$7),OR(Query!$B$8="All",'Compliance Database'!$J1170=Query!$B$8),OR(Query!$B$9="",ISNUMBER(SEARCH(Query!$B$9,'Compliance Database'!$D1170&amp;" "&amp;'Compliance Database'!$K1170&amp;" "&amp;'Compliance Database'!$L1170&amp;" "&amp;'Compliance Database'!$M1170&amp;" "&amp;'Compliance Database'!$N1170&amp;" "&amp;'Compliance Database'!$O1170))),OR(Query!$B$10&lt;&gt;"Yes",'Compliance Database'!$F1170&lt;&gt;"None")),1,0)</f>
        <v/>
      </c>
      <c r="B1170">
        <f>IF($A1170=1,SUM($A$2:$A1170),"")</f>
        <v/>
      </c>
      <c r="C1170">
        <f>IF($A1170=1,SUM($A$2:$A1170),0)</f>
        <v/>
      </c>
    </row>
    <row r="1171">
      <c r="A1171">
        <f>IF(AND(OR(Query!$B$4="All",'Compliance Database'!$A1171=Query!$B$4),OR(Query!$B$5="All",ISNUMBER(SEARCH(Query!$B$5,'Compliance Database'!$H1171))),OR(Query!$B$6="All",ISNUMBER(SEARCH(Query!$B$6,'Compliance Database'!$I1171))),OR(Query!$B$7="All",'Compliance Database'!$F1171=Query!$B$7),OR(Query!$B$8="All",'Compliance Database'!$J1171=Query!$B$8),OR(Query!$B$9="",ISNUMBER(SEARCH(Query!$B$9,'Compliance Database'!$D1171&amp;" "&amp;'Compliance Database'!$K1171&amp;" "&amp;'Compliance Database'!$L1171&amp;" "&amp;'Compliance Database'!$M1171&amp;" "&amp;'Compliance Database'!$N1171&amp;" "&amp;'Compliance Database'!$O1171))),OR(Query!$B$10&lt;&gt;"Yes",'Compliance Database'!$F1171&lt;&gt;"None")),1,0)</f>
        <v/>
      </c>
      <c r="B1171">
        <f>IF($A1171=1,SUM($A$2:$A1171),"")</f>
        <v/>
      </c>
      <c r="C1171">
        <f>IF($A1171=1,SUM($A$2:$A1171),0)</f>
        <v/>
      </c>
    </row>
    <row r="1172">
      <c r="A1172">
        <f>IF(AND(OR(Query!$B$4="All",'Compliance Database'!$A1172=Query!$B$4),OR(Query!$B$5="All",ISNUMBER(SEARCH(Query!$B$5,'Compliance Database'!$H1172))),OR(Query!$B$6="All",ISNUMBER(SEARCH(Query!$B$6,'Compliance Database'!$I1172))),OR(Query!$B$7="All",'Compliance Database'!$F1172=Query!$B$7),OR(Query!$B$8="All",'Compliance Database'!$J1172=Query!$B$8),OR(Query!$B$9="",ISNUMBER(SEARCH(Query!$B$9,'Compliance Database'!$D1172&amp;" "&amp;'Compliance Database'!$K1172&amp;" "&amp;'Compliance Database'!$L1172&amp;" "&amp;'Compliance Database'!$M1172&amp;" "&amp;'Compliance Database'!$N1172&amp;" "&amp;'Compliance Database'!$O1172))),OR(Query!$B$10&lt;&gt;"Yes",'Compliance Database'!$F1172&lt;&gt;"None")),1,0)</f>
        <v/>
      </c>
      <c r="B1172">
        <f>IF($A1172=1,SUM($A$2:$A1172),"")</f>
        <v/>
      </c>
      <c r="C1172">
        <f>IF($A1172=1,SUM($A$2:$A1172),0)</f>
        <v/>
      </c>
    </row>
    <row r="1173">
      <c r="A1173">
        <f>IF(AND(OR(Query!$B$4="All",'Compliance Database'!$A1173=Query!$B$4),OR(Query!$B$5="All",ISNUMBER(SEARCH(Query!$B$5,'Compliance Database'!$H1173))),OR(Query!$B$6="All",ISNUMBER(SEARCH(Query!$B$6,'Compliance Database'!$I1173))),OR(Query!$B$7="All",'Compliance Database'!$F1173=Query!$B$7),OR(Query!$B$8="All",'Compliance Database'!$J1173=Query!$B$8),OR(Query!$B$9="",ISNUMBER(SEARCH(Query!$B$9,'Compliance Database'!$D1173&amp;" "&amp;'Compliance Database'!$K1173&amp;" "&amp;'Compliance Database'!$L1173&amp;" "&amp;'Compliance Database'!$M1173&amp;" "&amp;'Compliance Database'!$N1173&amp;" "&amp;'Compliance Database'!$O1173))),OR(Query!$B$10&lt;&gt;"Yes",'Compliance Database'!$F1173&lt;&gt;"None")),1,0)</f>
        <v/>
      </c>
      <c r="B1173">
        <f>IF($A1173=1,SUM($A$2:$A1173),"")</f>
        <v/>
      </c>
      <c r="C1173">
        <f>IF($A1173=1,SUM($A$2:$A1173),0)</f>
        <v/>
      </c>
    </row>
    <row r="1174">
      <c r="A1174">
        <f>IF(AND(OR(Query!$B$4="All",'Compliance Database'!$A1174=Query!$B$4),OR(Query!$B$5="All",ISNUMBER(SEARCH(Query!$B$5,'Compliance Database'!$H1174))),OR(Query!$B$6="All",ISNUMBER(SEARCH(Query!$B$6,'Compliance Database'!$I1174))),OR(Query!$B$7="All",'Compliance Database'!$F1174=Query!$B$7),OR(Query!$B$8="All",'Compliance Database'!$J1174=Query!$B$8),OR(Query!$B$9="",ISNUMBER(SEARCH(Query!$B$9,'Compliance Database'!$D1174&amp;" "&amp;'Compliance Database'!$K1174&amp;" "&amp;'Compliance Database'!$L1174&amp;" "&amp;'Compliance Database'!$M1174&amp;" "&amp;'Compliance Database'!$N1174&amp;" "&amp;'Compliance Database'!$O1174))),OR(Query!$B$10&lt;&gt;"Yes",'Compliance Database'!$F1174&lt;&gt;"None")),1,0)</f>
        <v/>
      </c>
      <c r="B1174">
        <f>IF($A1174=1,SUM($A$2:$A1174),"")</f>
        <v/>
      </c>
      <c r="C1174">
        <f>IF($A1174=1,SUM($A$2:$A1174),0)</f>
        <v/>
      </c>
    </row>
    <row r="1175">
      <c r="A1175">
        <f>IF(AND(OR(Query!$B$4="All",'Compliance Database'!$A1175=Query!$B$4),OR(Query!$B$5="All",ISNUMBER(SEARCH(Query!$B$5,'Compliance Database'!$H1175))),OR(Query!$B$6="All",ISNUMBER(SEARCH(Query!$B$6,'Compliance Database'!$I1175))),OR(Query!$B$7="All",'Compliance Database'!$F1175=Query!$B$7),OR(Query!$B$8="All",'Compliance Database'!$J1175=Query!$B$8),OR(Query!$B$9="",ISNUMBER(SEARCH(Query!$B$9,'Compliance Database'!$D1175&amp;" "&amp;'Compliance Database'!$K1175&amp;" "&amp;'Compliance Database'!$L1175&amp;" "&amp;'Compliance Database'!$M1175&amp;" "&amp;'Compliance Database'!$N1175&amp;" "&amp;'Compliance Database'!$O1175))),OR(Query!$B$10&lt;&gt;"Yes",'Compliance Database'!$F1175&lt;&gt;"None")),1,0)</f>
        <v/>
      </c>
      <c r="B1175">
        <f>IF($A1175=1,SUM($A$2:$A1175),"")</f>
        <v/>
      </c>
      <c r="C1175">
        <f>IF($A1175=1,SUM($A$2:$A1175),0)</f>
        <v/>
      </c>
    </row>
    <row r="1176">
      <c r="A1176">
        <f>IF(AND(OR(Query!$B$4="All",'Compliance Database'!$A1176=Query!$B$4),OR(Query!$B$5="All",ISNUMBER(SEARCH(Query!$B$5,'Compliance Database'!$H1176))),OR(Query!$B$6="All",ISNUMBER(SEARCH(Query!$B$6,'Compliance Database'!$I1176))),OR(Query!$B$7="All",'Compliance Database'!$F1176=Query!$B$7),OR(Query!$B$8="All",'Compliance Database'!$J1176=Query!$B$8),OR(Query!$B$9="",ISNUMBER(SEARCH(Query!$B$9,'Compliance Database'!$D1176&amp;" "&amp;'Compliance Database'!$K1176&amp;" "&amp;'Compliance Database'!$L1176&amp;" "&amp;'Compliance Database'!$M1176&amp;" "&amp;'Compliance Database'!$N1176&amp;" "&amp;'Compliance Database'!$O1176))),OR(Query!$B$10&lt;&gt;"Yes",'Compliance Database'!$F1176&lt;&gt;"None")),1,0)</f>
        <v/>
      </c>
      <c r="B1176">
        <f>IF($A1176=1,SUM($A$2:$A1176),"")</f>
        <v/>
      </c>
      <c r="C1176">
        <f>IF($A1176=1,SUM($A$2:$A1176),0)</f>
        <v/>
      </c>
    </row>
    <row r="1177">
      <c r="A1177">
        <f>IF(AND(OR(Query!$B$4="All",'Compliance Database'!$A1177=Query!$B$4),OR(Query!$B$5="All",ISNUMBER(SEARCH(Query!$B$5,'Compliance Database'!$H1177))),OR(Query!$B$6="All",ISNUMBER(SEARCH(Query!$B$6,'Compliance Database'!$I1177))),OR(Query!$B$7="All",'Compliance Database'!$F1177=Query!$B$7),OR(Query!$B$8="All",'Compliance Database'!$J1177=Query!$B$8),OR(Query!$B$9="",ISNUMBER(SEARCH(Query!$B$9,'Compliance Database'!$D1177&amp;" "&amp;'Compliance Database'!$K1177&amp;" "&amp;'Compliance Database'!$L1177&amp;" "&amp;'Compliance Database'!$M1177&amp;" "&amp;'Compliance Database'!$N1177&amp;" "&amp;'Compliance Database'!$O1177))),OR(Query!$B$10&lt;&gt;"Yes",'Compliance Database'!$F1177&lt;&gt;"None")),1,0)</f>
        <v/>
      </c>
      <c r="B1177">
        <f>IF($A1177=1,SUM($A$2:$A1177),"")</f>
        <v/>
      </c>
      <c r="C1177">
        <f>IF($A1177=1,SUM($A$2:$A1177),0)</f>
        <v/>
      </c>
    </row>
    <row r="1178">
      <c r="A1178">
        <f>IF(AND(OR(Query!$B$4="All",'Compliance Database'!$A1178=Query!$B$4),OR(Query!$B$5="All",ISNUMBER(SEARCH(Query!$B$5,'Compliance Database'!$H1178))),OR(Query!$B$6="All",ISNUMBER(SEARCH(Query!$B$6,'Compliance Database'!$I1178))),OR(Query!$B$7="All",'Compliance Database'!$F1178=Query!$B$7),OR(Query!$B$8="All",'Compliance Database'!$J1178=Query!$B$8),OR(Query!$B$9="",ISNUMBER(SEARCH(Query!$B$9,'Compliance Database'!$D1178&amp;" "&amp;'Compliance Database'!$K1178&amp;" "&amp;'Compliance Database'!$L1178&amp;" "&amp;'Compliance Database'!$M1178&amp;" "&amp;'Compliance Database'!$N1178&amp;" "&amp;'Compliance Database'!$O1178))),OR(Query!$B$10&lt;&gt;"Yes",'Compliance Database'!$F1178&lt;&gt;"None")),1,0)</f>
        <v/>
      </c>
      <c r="B1178">
        <f>IF($A1178=1,SUM($A$2:$A1178),"")</f>
        <v/>
      </c>
      <c r="C1178">
        <f>IF($A1178=1,SUM($A$2:$A1178),0)</f>
        <v/>
      </c>
    </row>
    <row r="1179">
      <c r="A1179">
        <f>IF(AND(OR(Query!$B$4="All",'Compliance Database'!$A1179=Query!$B$4),OR(Query!$B$5="All",ISNUMBER(SEARCH(Query!$B$5,'Compliance Database'!$H1179))),OR(Query!$B$6="All",ISNUMBER(SEARCH(Query!$B$6,'Compliance Database'!$I1179))),OR(Query!$B$7="All",'Compliance Database'!$F1179=Query!$B$7),OR(Query!$B$8="All",'Compliance Database'!$J1179=Query!$B$8),OR(Query!$B$9="",ISNUMBER(SEARCH(Query!$B$9,'Compliance Database'!$D1179&amp;" "&amp;'Compliance Database'!$K1179&amp;" "&amp;'Compliance Database'!$L1179&amp;" "&amp;'Compliance Database'!$M1179&amp;" "&amp;'Compliance Database'!$N1179&amp;" "&amp;'Compliance Database'!$O1179))),OR(Query!$B$10&lt;&gt;"Yes",'Compliance Database'!$F1179&lt;&gt;"None")),1,0)</f>
        <v/>
      </c>
      <c r="B1179">
        <f>IF($A1179=1,SUM($A$2:$A1179),"")</f>
        <v/>
      </c>
      <c r="C1179">
        <f>IF($A1179=1,SUM($A$2:$A1179),0)</f>
        <v/>
      </c>
    </row>
    <row r="1180">
      <c r="A1180">
        <f>IF(AND(OR(Query!$B$4="All",'Compliance Database'!$A1180=Query!$B$4),OR(Query!$B$5="All",ISNUMBER(SEARCH(Query!$B$5,'Compliance Database'!$H1180))),OR(Query!$B$6="All",ISNUMBER(SEARCH(Query!$B$6,'Compliance Database'!$I1180))),OR(Query!$B$7="All",'Compliance Database'!$F1180=Query!$B$7),OR(Query!$B$8="All",'Compliance Database'!$J1180=Query!$B$8),OR(Query!$B$9="",ISNUMBER(SEARCH(Query!$B$9,'Compliance Database'!$D1180&amp;" "&amp;'Compliance Database'!$K1180&amp;" "&amp;'Compliance Database'!$L1180&amp;" "&amp;'Compliance Database'!$M1180&amp;" "&amp;'Compliance Database'!$N1180&amp;" "&amp;'Compliance Database'!$O1180))),OR(Query!$B$10&lt;&gt;"Yes",'Compliance Database'!$F1180&lt;&gt;"None")),1,0)</f>
        <v/>
      </c>
      <c r="B1180">
        <f>IF($A1180=1,SUM($A$2:$A1180),"")</f>
        <v/>
      </c>
      <c r="C1180">
        <f>IF($A1180=1,SUM($A$2:$A1180),0)</f>
        <v/>
      </c>
    </row>
    <row r="1181">
      <c r="A1181">
        <f>IF(AND(OR(Query!$B$4="All",'Compliance Database'!$A1181=Query!$B$4),OR(Query!$B$5="All",ISNUMBER(SEARCH(Query!$B$5,'Compliance Database'!$H1181))),OR(Query!$B$6="All",ISNUMBER(SEARCH(Query!$B$6,'Compliance Database'!$I1181))),OR(Query!$B$7="All",'Compliance Database'!$F1181=Query!$B$7),OR(Query!$B$8="All",'Compliance Database'!$J1181=Query!$B$8),OR(Query!$B$9="",ISNUMBER(SEARCH(Query!$B$9,'Compliance Database'!$D1181&amp;" "&amp;'Compliance Database'!$K1181&amp;" "&amp;'Compliance Database'!$L1181&amp;" "&amp;'Compliance Database'!$M1181&amp;" "&amp;'Compliance Database'!$N1181&amp;" "&amp;'Compliance Database'!$O1181))),OR(Query!$B$10&lt;&gt;"Yes",'Compliance Database'!$F1181&lt;&gt;"None")),1,0)</f>
        <v/>
      </c>
      <c r="B1181">
        <f>IF($A1181=1,SUM($A$2:$A1181),"")</f>
        <v/>
      </c>
      <c r="C1181">
        <f>IF($A1181=1,SUM($A$2:$A1181),0)</f>
        <v/>
      </c>
    </row>
    <row r="1182">
      <c r="A1182">
        <f>IF(AND(OR(Query!$B$4="All",'Compliance Database'!$A1182=Query!$B$4),OR(Query!$B$5="All",ISNUMBER(SEARCH(Query!$B$5,'Compliance Database'!$H1182))),OR(Query!$B$6="All",ISNUMBER(SEARCH(Query!$B$6,'Compliance Database'!$I1182))),OR(Query!$B$7="All",'Compliance Database'!$F1182=Query!$B$7),OR(Query!$B$8="All",'Compliance Database'!$J1182=Query!$B$8),OR(Query!$B$9="",ISNUMBER(SEARCH(Query!$B$9,'Compliance Database'!$D1182&amp;" "&amp;'Compliance Database'!$K1182&amp;" "&amp;'Compliance Database'!$L1182&amp;" "&amp;'Compliance Database'!$M1182&amp;" "&amp;'Compliance Database'!$N1182&amp;" "&amp;'Compliance Database'!$O1182))),OR(Query!$B$10&lt;&gt;"Yes",'Compliance Database'!$F1182&lt;&gt;"None")),1,0)</f>
        <v/>
      </c>
      <c r="B1182">
        <f>IF($A1182=1,SUM($A$2:$A1182),"")</f>
        <v/>
      </c>
      <c r="C1182">
        <f>IF($A1182=1,SUM($A$2:$A1182),0)</f>
        <v/>
      </c>
    </row>
    <row r="1183">
      <c r="A1183">
        <f>IF(AND(OR(Query!$B$4="All",'Compliance Database'!$A1183=Query!$B$4),OR(Query!$B$5="All",ISNUMBER(SEARCH(Query!$B$5,'Compliance Database'!$H1183))),OR(Query!$B$6="All",ISNUMBER(SEARCH(Query!$B$6,'Compliance Database'!$I1183))),OR(Query!$B$7="All",'Compliance Database'!$F1183=Query!$B$7),OR(Query!$B$8="All",'Compliance Database'!$J1183=Query!$B$8),OR(Query!$B$9="",ISNUMBER(SEARCH(Query!$B$9,'Compliance Database'!$D1183&amp;" "&amp;'Compliance Database'!$K1183&amp;" "&amp;'Compliance Database'!$L1183&amp;" "&amp;'Compliance Database'!$M1183&amp;" "&amp;'Compliance Database'!$N1183&amp;" "&amp;'Compliance Database'!$O1183))),OR(Query!$B$10&lt;&gt;"Yes",'Compliance Database'!$F1183&lt;&gt;"None")),1,0)</f>
        <v/>
      </c>
      <c r="B1183">
        <f>IF($A1183=1,SUM($A$2:$A1183),"")</f>
        <v/>
      </c>
      <c r="C1183">
        <f>IF($A1183=1,SUM($A$2:$A1183),0)</f>
        <v/>
      </c>
    </row>
    <row r="1184">
      <c r="A1184">
        <f>IF(AND(OR(Query!$B$4="All",'Compliance Database'!$A1184=Query!$B$4),OR(Query!$B$5="All",ISNUMBER(SEARCH(Query!$B$5,'Compliance Database'!$H1184))),OR(Query!$B$6="All",ISNUMBER(SEARCH(Query!$B$6,'Compliance Database'!$I1184))),OR(Query!$B$7="All",'Compliance Database'!$F1184=Query!$B$7),OR(Query!$B$8="All",'Compliance Database'!$J1184=Query!$B$8),OR(Query!$B$9="",ISNUMBER(SEARCH(Query!$B$9,'Compliance Database'!$D1184&amp;" "&amp;'Compliance Database'!$K1184&amp;" "&amp;'Compliance Database'!$L1184&amp;" "&amp;'Compliance Database'!$M1184&amp;" "&amp;'Compliance Database'!$N1184&amp;" "&amp;'Compliance Database'!$O1184))),OR(Query!$B$10&lt;&gt;"Yes",'Compliance Database'!$F1184&lt;&gt;"None")),1,0)</f>
        <v/>
      </c>
      <c r="B1184">
        <f>IF($A1184=1,SUM($A$2:$A1184),"")</f>
        <v/>
      </c>
      <c r="C1184">
        <f>IF($A1184=1,SUM($A$2:$A1184),0)</f>
        <v/>
      </c>
    </row>
    <row r="1185">
      <c r="A1185">
        <f>IF(AND(OR(Query!$B$4="All",'Compliance Database'!$A1185=Query!$B$4),OR(Query!$B$5="All",ISNUMBER(SEARCH(Query!$B$5,'Compliance Database'!$H1185))),OR(Query!$B$6="All",ISNUMBER(SEARCH(Query!$B$6,'Compliance Database'!$I1185))),OR(Query!$B$7="All",'Compliance Database'!$F1185=Query!$B$7),OR(Query!$B$8="All",'Compliance Database'!$J1185=Query!$B$8),OR(Query!$B$9="",ISNUMBER(SEARCH(Query!$B$9,'Compliance Database'!$D1185&amp;" "&amp;'Compliance Database'!$K1185&amp;" "&amp;'Compliance Database'!$L1185&amp;" "&amp;'Compliance Database'!$M1185&amp;" "&amp;'Compliance Database'!$N1185&amp;" "&amp;'Compliance Database'!$O1185))),OR(Query!$B$10&lt;&gt;"Yes",'Compliance Database'!$F1185&lt;&gt;"None")),1,0)</f>
        <v/>
      </c>
      <c r="B1185">
        <f>IF($A1185=1,SUM($A$2:$A1185),"")</f>
        <v/>
      </c>
      <c r="C1185">
        <f>IF($A1185=1,SUM($A$2:$A1185),0)</f>
        <v/>
      </c>
    </row>
    <row r="1186">
      <c r="A1186">
        <f>IF(AND(OR(Query!$B$4="All",'Compliance Database'!$A1186=Query!$B$4),OR(Query!$B$5="All",ISNUMBER(SEARCH(Query!$B$5,'Compliance Database'!$H1186))),OR(Query!$B$6="All",ISNUMBER(SEARCH(Query!$B$6,'Compliance Database'!$I1186))),OR(Query!$B$7="All",'Compliance Database'!$F1186=Query!$B$7),OR(Query!$B$8="All",'Compliance Database'!$J1186=Query!$B$8),OR(Query!$B$9="",ISNUMBER(SEARCH(Query!$B$9,'Compliance Database'!$D1186&amp;" "&amp;'Compliance Database'!$K1186&amp;" "&amp;'Compliance Database'!$L1186&amp;" "&amp;'Compliance Database'!$M1186&amp;" "&amp;'Compliance Database'!$N1186&amp;" "&amp;'Compliance Database'!$O1186))),OR(Query!$B$10&lt;&gt;"Yes",'Compliance Database'!$F1186&lt;&gt;"None")),1,0)</f>
        <v/>
      </c>
      <c r="B1186">
        <f>IF($A1186=1,SUM($A$2:$A1186),"")</f>
        <v/>
      </c>
      <c r="C1186">
        <f>IF($A1186=1,SUM($A$2:$A1186),0)</f>
        <v/>
      </c>
    </row>
    <row r="1187">
      <c r="A1187">
        <f>IF(AND(OR(Query!$B$4="All",'Compliance Database'!$A1187=Query!$B$4),OR(Query!$B$5="All",ISNUMBER(SEARCH(Query!$B$5,'Compliance Database'!$H1187))),OR(Query!$B$6="All",ISNUMBER(SEARCH(Query!$B$6,'Compliance Database'!$I1187))),OR(Query!$B$7="All",'Compliance Database'!$F1187=Query!$B$7),OR(Query!$B$8="All",'Compliance Database'!$J1187=Query!$B$8),OR(Query!$B$9="",ISNUMBER(SEARCH(Query!$B$9,'Compliance Database'!$D1187&amp;" "&amp;'Compliance Database'!$K1187&amp;" "&amp;'Compliance Database'!$L1187&amp;" "&amp;'Compliance Database'!$M1187&amp;" "&amp;'Compliance Database'!$N1187&amp;" "&amp;'Compliance Database'!$O1187))),OR(Query!$B$10&lt;&gt;"Yes",'Compliance Database'!$F1187&lt;&gt;"None")),1,0)</f>
        <v/>
      </c>
      <c r="B1187">
        <f>IF($A1187=1,SUM($A$2:$A1187),"")</f>
        <v/>
      </c>
      <c r="C1187">
        <f>IF($A1187=1,SUM($A$2:$A1187),0)</f>
        <v/>
      </c>
    </row>
    <row r="1188">
      <c r="A1188">
        <f>IF(AND(OR(Query!$B$4="All",'Compliance Database'!$A1188=Query!$B$4),OR(Query!$B$5="All",ISNUMBER(SEARCH(Query!$B$5,'Compliance Database'!$H1188))),OR(Query!$B$6="All",ISNUMBER(SEARCH(Query!$B$6,'Compliance Database'!$I1188))),OR(Query!$B$7="All",'Compliance Database'!$F1188=Query!$B$7),OR(Query!$B$8="All",'Compliance Database'!$J1188=Query!$B$8),OR(Query!$B$9="",ISNUMBER(SEARCH(Query!$B$9,'Compliance Database'!$D1188&amp;" "&amp;'Compliance Database'!$K1188&amp;" "&amp;'Compliance Database'!$L1188&amp;" "&amp;'Compliance Database'!$M1188&amp;" "&amp;'Compliance Database'!$N1188&amp;" "&amp;'Compliance Database'!$O1188))),OR(Query!$B$10&lt;&gt;"Yes",'Compliance Database'!$F1188&lt;&gt;"None")),1,0)</f>
        <v/>
      </c>
      <c r="B1188">
        <f>IF($A1188=1,SUM($A$2:$A1188),"")</f>
        <v/>
      </c>
      <c r="C1188">
        <f>IF($A1188=1,SUM($A$2:$A1188),0)</f>
        <v/>
      </c>
    </row>
    <row r="1189">
      <c r="A1189">
        <f>IF(AND(OR(Query!$B$4="All",'Compliance Database'!$A1189=Query!$B$4),OR(Query!$B$5="All",ISNUMBER(SEARCH(Query!$B$5,'Compliance Database'!$H1189))),OR(Query!$B$6="All",ISNUMBER(SEARCH(Query!$B$6,'Compliance Database'!$I1189))),OR(Query!$B$7="All",'Compliance Database'!$F1189=Query!$B$7),OR(Query!$B$8="All",'Compliance Database'!$J1189=Query!$B$8),OR(Query!$B$9="",ISNUMBER(SEARCH(Query!$B$9,'Compliance Database'!$D1189&amp;" "&amp;'Compliance Database'!$K1189&amp;" "&amp;'Compliance Database'!$L1189&amp;" "&amp;'Compliance Database'!$M1189&amp;" "&amp;'Compliance Database'!$N1189&amp;" "&amp;'Compliance Database'!$O1189))),OR(Query!$B$10&lt;&gt;"Yes",'Compliance Database'!$F1189&lt;&gt;"None")),1,0)</f>
        <v/>
      </c>
      <c r="B1189">
        <f>IF($A1189=1,SUM($A$2:$A1189),"")</f>
        <v/>
      </c>
      <c r="C1189">
        <f>IF($A1189=1,SUM($A$2:$A1189),0)</f>
        <v/>
      </c>
    </row>
    <row r="1190">
      <c r="A1190">
        <f>IF(AND(OR(Query!$B$4="All",'Compliance Database'!$A1190=Query!$B$4),OR(Query!$B$5="All",ISNUMBER(SEARCH(Query!$B$5,'Compliance Database'!$H1190))),OR(Query!$B$6="All",ISNUMBER(SEARCH(Query!$B$6,'Compliance Database'!$I1190))),OR(Query!$B$7="All",'Compliance Database'!$F1190=Query!$B$7),OR(Query!$B$8="All",'Compliance Database'!$J1190=Query!$B$8),OR(Query!$B$9="",ISNUMBER(SEARCH(Query!$B$9,'Compliance Database'!$D1190&amp;" "&amp;'Compliance Database'!$K1190&amp;" "&amp;'Compliance Database'!$L1190&amp;" "&amp;'Compliance Database'!$M1190&amp;" "&amp;'Compliance Database'!$N1190&amp;" "&amp;'Compliance Database'!$O1190))),OR(Query!$B$10&lt;&gt;"Yes",'Compliance Database'!$F1190&lt;&gt;"None")),1,0)</f>
        <v/>
      </c>
      <c r="B1190">
        <f>IF($A1190=1,SUM($A$2:$A1190),"")</f>
        <v/>
      </c>
      <c r="C1190">
        <f>IF($A1190=1,SUM($A$2:$A1190),0)</f>
        <v/>
      </c>
    </row>
    <row r="1191">
      <c r="A1191">
        <f>IF(AND(OR(Query!$B$4="All",'Compliance Database'!$A1191=Query!$B$4),OR(Query!$B$5="All",ISNUMBER(SEARCH(Query!$B$5,'Compliance Database'!$H1191))),OR(Query!$B$6="All",ISNUMBER(SEARCH(Query!$B$6,'Compliance Database'!$I1191))),OR(Query!$B$7="All",'Compliance Database'!$F1191=Query!$B$7),OR(Query!$B$8="All",'Compliance Database'!$J1191=Query!$B$8),OR(Query!$B$9="",ISNUMBER(SEARCH(Query!$B$9,'Compliance Database'!$D1191&amp;" "&amp;'Compliance Database'!$K1191&amp;" "&amp;'Compliance Database'!$L1191&amp;" "&amp;'Compliance Database'!$M1191&amp;" "&amp;'Compliance Database'!$N1191&amp;" "&amp;'Compliance Database'!$O1191))),OR(Query!$B$10&lt;&gt;"Yes",'Compliance Database'!$F1191&lt;&gt;"None")),1,0)</f>
        <v/>
      </c>
      <c r="B1191">
        <f>IF($A1191=1,SUM($A$2:$A1191),"")</f>
        <v/>
      </c>
      <c r="C1191">
        <f>IF($A1191=1,SUM($A$2:$A1191),0)</f>
        <v/>
      </c>
    </row>
    <row r="1192">
      <c r="A1192">
        <f>IF(AND(OR(Query!$B$4="All",'Compliance Database'!$A1192=Query!$B$4),OR(Query!$B$5="All",ISNUMBER(SEARCH(Query!$B$5,'Compliance Database'!$H1192))),OR(Query!$B$6="All",ISNUMBER(SEARCH(Query!$B$6,'Compliance Database'!$I1192))),OR(Query!$B$7="All",'Compliance Database'!$F1192=Query!$B$7),OR(Query!$B$8="All",'Compliance Database'!$J1192=Query!$B$8),OR(Query!$B$9="",ISNUMBER(SEARCH(Query!$B$9,'Compliance Database'!$D1192&amp;" "&amp;'Compliance Database'!$K1192&amp;" "&amp;'Compliance Database'!$L1192&amp;" "&amp;'Compliance Database'!$M1192&amp;" "&amp;'Compliance Database'!$N1192&amp;" "&amp;'Compliance Database'!$O1192))),OR(Query!$B$10&lt;&gt;"Yes",'Compliance Database'!$F1192&lt;&gt;"None")),1,0)</f>
        <v/>
      </c>
      <c r="B1192">
        <f>IF($A1192=1,SUM($A$2:$A1192),"")</f>
        <v/>
      </c>
      <c r="C1192">
        <f>IF($A1192=1,SUM($A$2:$A1192),0)</f>
        <v/>
      </c>
    </row>
    <row r="1193">
      <c r="A1193">
        <f>IF(AND(OR(Query!$B$4="All",'Compliance Database'!$A1193=Query!$B$4),OR(Query!$B$5="All",ISNUMBER(SEARCH(Query!$B$5,'Compliance Database'!$H1193))),OR(Query!$B$6="All",ISNUMBER(SEARCH(Query!$B$6,'Compliance Database'!$I1193))),OR(Query!$B$7="All",'Compliance Database'!$F1193=Query!$B$7),OR(Query!$B$8="All",'Compliance Database'!$J1193=Query!$B$8),OR(Query!$B$9="",ISNUMBER(SEARCH(Query!$B$9,'Compliance Database'!$D1193&amp;" "&amp;'Compliance Database'!$K1193&amp;" "&amp;'Compliance Database'!$L1193&amp;" "&amp;'Compliance Database'!$M1193&amp;" "&amp;'Compliance Database'!$N1193&amp;" "&amp;'Compliance Database'!$O1193))),OR(Query!$B$10&lt;&gt;"Yes",'Compliance Database'!$F1193&lt;&gt;"None")),1,0)</f>
        <v/>
      </c>
      <c r="B1193">
        <f>IF($A1193=1,SUM($A$2:$A1193),"")</f>
        <v/>
      </c>
      <c r="C1193">
        <f>IF($A1193=1,SUM($A$2:$A1193),0)</f>
        <v/>
      </c>
    </row>
    <row r="1194">
      <c r="A1194">
        <f>IF(AND(OR(Query!$B$4="All",'Compliance Database'!$A1194=Query!$B$4),OR(Query!$B$5="All",ISNUMBER(SEARCH(Query!$B$5,'Compliance Database'!$H1194))),OR(Query!$B$6="All",ISNUMBER(SEARCH(Query!$B$6,'Compliance Database'!$I1194))),OR(Query!$B$7="All",'Compliance Database'!$F1194=Query!$B$7),OR(Query!$B$8="All",'Compliance Database'!$J1194=Query!$B$8),OR(Query!$B$9="",ISNUMBER(SEARCH(Query!$B$9,'Compliance Database'!$D1194&amp;" "&amp;'Compliance Database'!$K1194&amp;" "&amp;'Compliance Database'!$L1194&amp;" "&amp;'Compliance Database'!$M1194&amp;" "&amp;'Compliance Database'!$N1194&amp;" "&amp;'Compliance Database'!$O1194))),OR(Query!$B$10&lt;&gt;"Yes",'Compliance Database'!$F1194&lt;&gt;"None")),1,0)</f>
        <v/>
      </c>
      <c r="B1194">
        <f>IF($A1194=1,SUM($A$2:$A1194),"")</f>
        <v/>
      </c>
      <c r="C1194">
        <f>IF($A1194=1,SUM($A$2:$A1194),0)</f>
        <v/>
      </c>
    </row>
    <row r="1195">
      <c r="A1195">
        <f>IF(AND(OR(Query!$B$4="All",'Compliance Database'!$A1195=Query!$B$4),OR(Query!$B$5="All",ISNUMBER(SEARCH(Query!$B$5,'Compliance Database'!$H1195))),OR(Query!$B$6="All",ISNUMBER(SEARCH(Query!$B$6,'Compliance Database'!$I1195))),OR(Query!$B$7="All",'Compliance Database'!$F1195=Query!$B$7),OR(Query!$B$8="All",'Compliance Database'!$J1195=Query!$B$8),OR(Query!$B$9="",ISNUMBER(SEARCH(Query!$B$9,'Compliance Database'!$D1195&amp;" "&amp;'Compliance Database'!$K1195&amp;" "&amp;'Compliance Database'!$L1195&amp;" "&amp;'Compliance Database'!$M1195&amp;" "&amp;'Compliance Database'!$N1195&amp;" "&amp;'Compliance Database'!$O1195))),OR(Query!$B$10&lt;&gt;"Yes",'Compliance Database'!$F1195&lt;&gt;"None")),1,0)</f>
        <v/>
      </c>
      <c r="B1195">
        <f>IF($A1195=1,SUM($A$2:$A1195),"")</f>
        <v/>
      </c>
      <c r="C1195">
        <f>IF($A1195=1,SUM($A$2:$A1195),0)</f>
        <v/>
      </c>
    </row>
    <row r="1196">
      <c r="A1196">
        <f>IF(AND(OR(Query!$B$4="All",'Compliance Database'!$A1196=Query!$B$4),OR(Query!$B$5="All",ISNUMBER(SEARCH(Query!$B$5,'Compliance Database'!$H1196))),OR(Query!$B$6="All",ISNUMBER(SEARCH(Query!$B$6,'Compliance Database'!$I1196))),OR(Query!$B$7="All",'Compliance Database'!$F1196=Query!$B$7),OR(Query!$B$8="All",'Compliance Database'!$J1196=Query!$B$8),OR(Query!$B$9="",ISNUMBER(SEARCH(Query!$B$9,'Compliance Database'!$D1196&amp;" "&amp;'Compliance Database'!$K1196&amp;" "&amp;'Compliance Database'!$L1196&amp;" "&amp;'Compliance Database'!$M1196&amp;" "&amp;'Compliance Database'!$N1196&amp;" "&amp;'Compliance Database'!$O1196))),OR(Query!$B$10&lt;&gt;"Yes",'Compliance Database'!$F1196&lt;&gt;"None")),1,0)</f>
        <v/>
      </c>
      <c r="B1196">
        <f>IF($A1196=1,SUM($A$2:$A1196),"")</f>
        <v/>
      </c>
      <c r="C1196">
        <f>IF($A1196=1,SUM($A$2:$A1196),0)</f>
        <v/>
      </c>
    </row>
    <row r="1197">
      <c r="A1197">
        <f>IF(AND(OR(Query!$B$4="All",'Compliance Database'!$A1197=Query!$B$4),OR(Query!$B$5="All",ISNUMBER(SEARCH(Query!$B$5,'Compliance Database'!$H1197))),OR(Query!$B$6="All",ISNUMBER(SEARCH(Query!$B$6,'Compliance Database'!$I1197))),OR(Query!$B$7="All",'Compliance Database'!$F1197=Query!$B$7),OR(Query!$B$8="All",'Compliance Database'!$J1197=Query!$B$8),OR(Query!$B$9="",ISNUMBER(SEARCH(Query!$B$9,'Compliance Database'!$D1197&amp;" "&amp;'Compliance Database'!$K1197&amp;" "&amp;'Compliance Database'!$L1197&amp;" "&amp;'Compliance Database'!$M1197&amp;" "&amp;'Compliance Database'!$N1197&amp;" "&amp;'Compliance Database'!$O1197))),OR(Query!$B$10&lt;&gt;"Yes",'Compliance Database'!$F1197&lt;&gt;"None")),1,0)</f>
        <v/>
      </c>
      <c r="B1197">
        <f>IF($A1197=1,SUM($A$2:$A1197),"")</f>
        <v/>
      </c>
      <c r="C1197">
        <f>IF($A1197=1,SUM($A$2:$A1197),0)</f>
        <v/>
      </c>
    </row>
    <row r="1198">
      <c r="A1198">
        <f>IF(AND(OR(Query!$B$4="All",'Compliance Database'!$A1198=Query!$B$4),OR(Query!$B$5="All",ISNUMBER(SEARCH(Query!$B$5,'Compliance Database'!$H1198))),OR(Query!$B$6="All",ISNUMBER(SEARCH(Query!$B$6,'Compliance Database'!$I1198))),OR(Query!$B$7="All",'Compliance Database'!$F1198=Query!$B$7),OR(Query!$B$8="All",'Compliance Database'!$J1198=Query!$B$8),OR(Query!$B$9="",ISNUMBER(SEARCH(Query!$B$9,'Compliance Database'!$D1198&amp;" "&amp;'Compliance Database'!$K1198&amp;" "&amp;'Compliance Database'!$L1198&amp;" "&amp;'Compliance Database'!$M1198&amp;" "&amp;'Compliance Database'!$N1198&amp;" "&amp;'Compliance Database'!$O1198))),OR(Query!$B$10&lt;&gt;"Yes",'Compliance Database'!$F1198&lt;&gt;"None")),1,0)</f>
        <v/>
      </c>
      <c r="B1198">
        <f>IF($A1198=1,SUM($A$2:$A1198),"")</f>
        <v/>
      </c>
      <c r="C1198">
        <f>IF($A1198=1,SUM($A$2:$A1198),0)</f>
        <v/>
      </c>
    </row>
    <row r="1199">
      <c r="A1199">
        <f>IF(AND(OR(Query!$B$4="All",'Compliance Database'!$A1199=Query!$B$4),OR(Query!$B$5="All",ISNUMBER(SEARCH(Query!$B$5,'Compliance Database'!$H1199))),OR(Query!$B$6="All",ISNUMBER(SEARCH(Query!$B$6,'Compliance Database'!$I1199))),OR(Query!$B$7="All",'Compliance Database'!$F1199=Query!$B$7),OR(Query!$B$8="All",'Compliance Database'!$J1199=Query!$B$8),OR(Query!$B$9="",ISNUMBER(SEARCH(Query!$B$9,'Compliance Database'!$D1199&amp;" "&amp;'Compliance Database'!$K1199&amp;" "&amp;'Compliance Database'!$L1199&amp;" "&amp;'Compliance Database'!$M1199&amp;" "&amp;'Compliance Database'!$N1199&amp;" "&amp;'Compliance Database'!$O1199))),OR(Query!$B$10&lt;&gt;"Yes",'Compliance Database'!$F1199&lt;&gt;"None")),1,0)</f>
        <v/>
      </c>
      <c r="B1199">
        <f>IF($A1199=1,SUM($A$2:$A1199),"")</f>
        <v/>
      </c>
      <c r="C1199">
        <f>IF($A1199=1,SUM($A$2:$A1199),0)</f>
        <v/>
      </c>
    </row>
    <row r="1200">
      <c r="A1200">
        <f>IF(AND(OR(Query!$B$4="All",'Compliance Database'!$A1200=Query!$B$4),OR(Query!$B$5="All",ISNUMBER(SEARCH(Query!$B$5,'Compliance Database'!$H1200))),OR(Query!$B$6="All",ISNUMBER(SEARCH(Query!$B$6,'Compliance Database'!$I1200))),OR(Query!$B$7="All",'Compliance Database'!$F1200=Query!$B$7),OR(Query!$B$8="All",'Compliance Database'!$J1200=Query!$B$8),OR(Query!$B$9="",ISNUMBER(SEARCH(Query!$B$9,'Compliance Database'!$D1200&amp;" "&amp;'Compliance Database'!$K1200&amp;" "&amp;'Compliance Database'!$L1200&amp;" "&amp;'Compliance Database'!$M1200&amp;" "&amp;'Compliance Database'!$N1200&amp;" "&amp;'Compliance Database'!$O1200))),OR(Query!$B$10&lt;&gt;"Yes",'Compliance Database'!$F1200&lt;&gt;"None")),1,0)</f>
        <v/>
      </c>
      <c r="B1200">
        <f>IF($A1200=1,SUM($A$2:$A1200),"")</f>
        <v/>
      </c>
      <c r="C1200">
        <f>IF($A1200=1,SUM($A$2:$A1200),0)</f>
        <v/>
      </c>
    </row>
    <row r="1201">
      <c r="A1201">
        <f>IF(AND(OR(Query!$B$4="All",'Compliance Database'!$A1201=Query!$B$4),OR(Query!$B$5="All",ISNUMBER(SEARCH(Query!$B$5,'Compliance Database'!$H1201))),OR(Query!$B$6="All",ISNUMBER(SEARCH(Query!$B$6,'Compliance Database'!$I1201))),OR(Query!$B$7="All",'Compliance Database'!$F1201=Query!$B$7),OR(Query!$B$8="All",'Compliance Database'!$J1201=Query!$B$8),OR(Query!$B$9="",ISNUMBER(SEARCH(Query!$B$9,'Compliance Database'!$D1201&amp;" "&amp;'Compliance Database'!$K1201&amp;" "&amp;'Compliance Database'!$L1201&amp;" "&amp;'Compliance Database'!$M1201&amp;" "&amp;'Compliance Database'!$N1201&amp;" "&amp;'Compliance Database'!$O1201))),OR(Query!$B$10&lt;&gt;"Yes",'Compliance Database'!$F1201&lt;&gt;"None")),1,0)</f>
        <v/>
      </c>
      <c r="B1201">
        <f>IF($A1201=1,SUM($A$2:$A1201),"")</f>
        <v/>
      </c>
      <c r="C1201">
        <f>IF($A1201=1,SUM($A$2:$A1201),0)</f>
        <v/>
      </c>
    </row>
    <row r="1202">
      <c r="A1202">
        <f>IF(AND(OR(Query!$B$4="All",'Compliance Database'!$A1202=Query!$B$4),OR(Query!$B$5="All",ISNUMBER(SEARCH(Query!$B$5,'Compliance Database'!$H1202))),OR(Query!$B$6="All",ISNUMBER(SEARCH(Query!$B$6,'Compliance Database'!$I1202))),OR(Query!$B$7="All",'Compliance Database'!$F1202=Query!$B$7),OR(Query!$B$8="All",'Compliance Database'!$J1202=Query!$B$8),OR(Query!$B$9="",ISNUMBER(SEARCH(Query!$B$9,'Compliance Database'!$D1202&amp;" "&amp;'Compliance Database'!$K1202&amp;" "&amp;'Compliance Database'!$L1202&amp;" "&amp;'Compliance Database'!$M1202&amp;" "&amp;'Compliance Database'!$N1202&amp;" "&amp;'Compliance Database'!$O1202))),OR(Query!$B$10&lt;&gt;"Yes",'Compliance Database'!$F1202&lt;&gt;"None")),1,0)</f>
        <v/>
      </c>
      <c r="B1202">
        <f>IF($A1202=1,SUM($A$2:$A1202),"")</f>
        <v/>
      </c>
      <c r="C1202">
        <f>IF($A1202=1,SUM($A$2:$A1202),0)</f>
        <v/>
      </c>
    </row>
    <row r="1203">
      <c r="A1203">
        <f>IF(AND(OR(Query!$B$4="All",'Compliance Database'!$A1203=Query!$B$4),OR(Query!$B$5="All",ISNUMBER(SEARCH(Query!$B$5,'Compliance Database'!$H1203))),OR(Query!$B$6="All",ISNUMBER(SEARCH(Query!$B$6,'Compliance Database'!$I1203))),OR(Query!$B$7="All",'Compliance Database'!$F1203=Query!$B$7),OR(Query!$B$8="All",'Compliance Database'!$J1203=Query!$B$8),OR(Query!$B$9="",ISNUMBER(SEARCH(Query!$B$9,'Compliance Database'!$D1203&amp;" "&amp;'Compliance Database'!$K1203&amp;" "&amp;'Compliance Database'!$L1203&amp;" "&amp;'Compliance Database'!$M1203&amp;" "&amp;'Compliance Database'!$N1203&amp;" "&amp;'Compliance Database'!$O1203))),OR(Query!$B$10&lt;&gt;"Yes",'Compliance Database'!$F1203&lt;&gt;"None")),1,0)</f>
        <v/>
      </c>
      <c r="B1203">
        <f>IF($A1203=1,SUM($A$2:$A1203),"")</f>
        <v/>
      </c>
      <c r="C1203">
        <f>IF($A1203=1,SUM($A$2:$A1203),0)</f>
        <v/>
      </c>
    </row>
    <row r="1204">
      <c r="A1204">
        <f>IF(AND(OR(Query!$B$4="All",'Compliance Database'!$A1204=Query!$B$4),OR(Query!$B$5="All",ISNUMBER(SEARCH(Query!$B$5,'Compliance Database'!$H1204))),OR(Query!$B$6="All",ISNUMBER(SEARCH(Query!$B$6,'Compliance Database'!$I1204))),OR(Query!$B$7="All",'Compliance Database'!$F1204=Query!$B$7),OR(Query!$B$8="All",'Compliance Database'!$J1204=Query!$B$8),OR(Query!$B$9="",ISNUMBER(SEARCH(Query!$B$9,'Compliance Database'!$D1204&amp;" "&amp;'Compliance Database'!$K1204&amp;" "&amp;'Compliance Database'!$L1204&amp;" "&amp;'Compliance Database'!$M1204&amp;" "&amp;'Compliance Database'!$N1204&amp;" "&amp;'Compliance Database'!$O1204))),OR(Query!$B$10&lt;&gt;"Yes",'Compliance Database'!$F1204&lt;&gt;"None")),1,0)</f>
        <v/>
      </c>
      <c r="B1204">
        <f>IF($A1204=1,SUM($A$2:$A1204),"")</f>
        <v/>
      </c>
      <c r="C1204">
        <f>IF($A1204=1,SUM($A$2:$A1204),0)</f>
        <v/>
      </c>
    </row>
    <row r="1205">
      <c r="A1205">
        <f>IF(AND(OR(Query!$B$4="All",'Compliance Database'!$A1205=Query!$B$4),OR(Query!$B$5="All",ISNUMBER(SEARCH(Query!$B$5,'Compliance Database'!$H1205))),OR(Query!$B$6="All",ISNUMBER(SEARCH(Query!$B$6,'Compliance Database'!$I1205))),OR(Query!$B$7="All",'Compliance Database'!$F1205=Query!$B$7),OR(Query!$B$8="All",'Compliance Database'!$J1205=Query!$B$8),OR(Query!$B$9="",ISNUMBER(SEARCH(Query!$B$9,'Compliance Database'!$D1205&amp;" "&amp;'Compliance Database'!$K1205&amp;" "&amp;'Compliance Database'!$L1205&amp;" "&amp;'Compliance Database'!$M1205&amp;" "&amp;'Compliance Database'!$N1205&amp;" "&amp;'Compliance Database'!$O1205))),OR(Query!$B$10&lt;&gt;"Yes",'Compliance Database'!$F1205&lt;&gt;"None")),1,0)</f>
        <v/>
      </c>
      <c r="B1205">
        <f>IF($A1205=1,SUM($A$2:$A1205),"")</f>
        <v/>
      </c>
      <c r="C1205">
        <f>IF($A1205=1,SUM($A$2:$A1205),0)</f>
        <v/>
      </c>
    </row>
    <row r="1206">
      <c r="A1206">
        <f>IF(AND(OR(Query!$B$4="All",'Compliance Database'!$A1206=Query!$B$4),OR(Query!$B$5="All",ISNUMBER(SEARCH(Query!$B$5,'Compliance Database'!$H1206))),OR(Query!$B$6="All",ISNUMBER(SEARCH(Query!$B$6,'Compliance Database'!$I1206))),OR(Query!$B$7="All",'Compliance Database'!$F1206=Query!$B$7),OR(Query!$B$8="All",'Compliance Database'!$J1206=Query!$B$8),OR(Query!$B$9="",ISNUMBER(SEARCH(Query!$B$9,'Compliance Database'!$D1206&amp;" "&amp;'Compliance Database'!$K1206&amp;" "&amp;'Compliance Database'!$L1206&amp;" "&amp;'Compliance Database'!$M1206&amp;" "&amp;'Compliance Database'!$N1206&amp;" "&amp;'Compliance Database'!$O1206))),OR(Query!$B$10&lt;&gt;"Yes",'Compliance Database'!$F1206&lt;&gt;"None")),1,0)</f>
        <v/>
      </c>
      <c r="B1206">
        <f>IF($A1206=1,SUM($A$2:$A1206),"")</f>
        <v/>
      </c>
      <c r="C1206">
        <f>IF($A1206=1,SUM($A$2:$A1206),0)</f>
        <v/>
      </c>
    </row>
    <row r="1207">
      <c r="A1207">
        <f>IF(AND(OR(Query!$B$4="All",'Compliance Database'!$A1207=Query!$B$4),OR(Query!$B$5="All",ISNUMBER(SEARCH(Query!$B$5,'Compliance Database'!$H1207))),OR(Query!$B$6="All",ISNUMBER(SEARCH(Query!$B$6,'Compliance Database'!$I1207))),OR(Query!$B$7="All",'Compliance Database'!$F1207=Query!$B$7),OR(Query!$B$8="All",'Compliance Database'!$J1207=Query!$B$8),OR(Query!$B$9="",ISNUMBER(SEARCH(Query!$B$9,'Compliance Database'!$D1207&amp;" "&amp;'Compliance Database'!$K1207&amp;" "&amp;'Compliance Database'!$L1207&amp;" "&amp;'Compliance Database'!$M1207&amp;" "&amp;'Compliance Database'!$N1207&amp;" "&amp;'Compliance Database'!$O1207))),OR(Query!$B$10&lt;&gt;"Yes",'Compliance Database'!$F1207&lt;&gt;"None")),1,0)</f>
        <v/>
      </c>
      <c r="B1207">
        <f>IF($A1207=1,SUM($A$2:$A1207),"")</f>
        <v/>
      </c>
      <c r="C1207">
        <f>IF($A1207=1,SUM($A$2:$A1207),0)</f>
        <v/>
      </c>
    </row>
    <row r="1208">
      <c r="A1208">
        <f>IF(AND(OR(Query!$B$4="All",'Compliance Database'!$A1208=Query!$B$4),OR(Query!$B$5="All",ISNUMBER(SEARCH(Query!$B$5,'Compliance Database'!$H1208))),OR(Query!$B$6="All",ISNUMBER(SEARCH(Query!$B$6,'Compliance Database'!$I1208))),OR(Query!$B$7="All",'Compliance Database'!$F1208=Query!$B$7),OR(Query!$B$8="All",'Compliance Database'!$J1208=Query!$B$8),OR(Query!$B$9="",ISNUMBER(SEARCH(Query!$B$9,'Compliance Database'!$D1208&amp;" "&amp;'Compliance Database'!$K1208&amp;" "&amp;'Compliance Database'!$L1208&amp;" "&amp;'Compliance Database'!$M1208&amp;" "&amp;'Compliance Database'!$N1208&amp;" "&amp;'Compliance Database'!$O1208))),OR(Query!$B$10&lt;&gt;"Yes",'Compliance Database'!$F1208&lt;&gt;"None")),1,0)</f>
        <v/>
      </c>
      <c r="B1208">
        <f>IF($A1208=1,SUM($A$2:$A1208),"")</f>
        <v/>
      </c>
      <c r="C1208">
        <f>IF($A1208=1,SUM($A$2:$A1208),0)</f>
        <v/>
      </c>
    </row>
    <row r="1209">
      <c r="A1209">
        <f>IF(AND(OR(Query!$B$4="All",'Compliance Database'!$A1209=Query!$B$4),OR(Query!$B$5="All",ISNUMBER(SEARCH(Query!$B$5,'Compliance Database'!$H1209))),OR(Query!$B$6="All",ISNUMBER(SEARCH(Query!$B$6,'Compliance Database'!$I1209))),OR(Query!$B$7="All",'Compliance Database'!$F1209=Query!$B$7),OR(Query!$B$8="All",'Compliance Database'!$J1209=Query!$B$8),OR(Query!$B$9="",ISNUMBER(SEARCH(Query!$B$9,'Compliance Database'!$D1209&amp;" "&amp;'Compliance Database'!$K1209&amp;" "&amp;'Compliance Database'!$L1209&amp;" "&amp;'Compliance Database'!$M1209&amp;" "&amp;'Compliance Database'!$N1209&amp;" "&amp;'Compliance Database'!$O1209))),OR(Query!$B$10&lt;&gt;"Yes",'Compliance Database'!$F1209&lt;&gt;"None")),1,0)</f>
        <v/>
      </c>
      <c r="B1209">
        <f>IF($A1209=1,SUM($A$2:$A1209),"")</f>
        <v/>
      </c>
      <c r="C1209">
        <f>IF($A1209=1,SUM($A$2:$A1209),0)</f>
        <v/>
      </c>
    </row>
    <row r="1210">
      <c r="A1210">
        <f>IF(AND(OR(Query!$B$4="All",'Compliance Database'!$A1210=Query!$B$4),OR(Query!$B$5="All",ISNUMBER(SEARCH(Query!$B$5,'Compliance Database'!$H1210))),OR(Query!$B$6="All",ISNUMBER(SEARCH(Query!$B$6,'Compliance Database'!$I1210))),OR(Query!$B$7="All",'Compliance Database'!$F1210=Query!$B$7),OR(Query!$B$8="All",'Compliance Database'!$J1210=Query!$B$8),OR(Query!$B$9="",ISNUMBER(SEARCH(Query!$B$9,'Compliance Database'!$D1210&amp;" "&amp;'Compliance Database'!$K1210&amp;" "&amp;'Compliance Database'!$L1210&amp;" "&amp;'Compliance Database'!$M1210&amp;" "&amp;'Compliance Database'!$N1210&amp;" "&amp;'Compliance Database'!$O1210))),OR(Query!$B$10&lt;&gt;"Yes",'Compliance Database'!$F1210&lt;&gt;"None")),1,0)</f>
        <v/>
      </c>
      <c r="B1210">
        <f>IF($A1210=1,SUM($A$2:$A1210),"")</f>
        <v/>
      </c>
      <c r="C1210">
        <f>IF($A1210=1,SUM($A$2:$A1210),0)</f>
        <v/>
      </c>
    </row>
    <row r="1211">
      <c r="A1211">
        <f>IF(AND(OR(Query!$B$4="All",'Compliance Database'!$A1211=Query!$B$4),OR(Query!$B$5="All",ISNUMBER(SEARCH(Query!$B$5,'Compliance Database'!$H1211))),OR(Query!$B$6="All",ISNUMBER(SEARCH(Query!$B$6,'Compliance Database'!$I1211))),OR(Query!$B$7="All",'Compliance Database'!$F1211=Query!$B$7),OR(Query!$B$8="All",'Compliance Database'!$J1211=Query!$B$8),OR(Query!$B$9="",ISNUMBER(SEARCH(Query!$B$9,'Compliance Database'!$D1211&amp;" "&amp;'Compliance Database'!$K1211&amp;" "&amp;'Compliance Database'!$L1211&amp;" "&amp;'Compliance Database'!$M1211&amp;" "&amp;'Compliance Database'!$N1211&amp;" "&amp;'Compliance Database'!$O1211))),OR(Query!$B$10&lt;&gt;"Yes",'Compliance Database'!$F1211&lt;&gt;"None")),1,0)</f>
        <v/>
      </c>
      <c r="B1211">
        <f>IF($A1211=1,SUM($A$2:$A1211),"")</f>
        <v/>
      </c>
      <c r="C1211">
        <f>IF($A1211=1,SUM($A$2:$A1211),0)</f>
        <v/>
      </c>
    </row>
    <row r="1212">
      <c r="A1212">
        <f>IF(AND(OR(Query!$B$4="All",'Compliance Database'!$A1212=Query!$B$4),OR(Query!$B$5="All",ISNUMBER(SEARCH(Query!$B$5,'Compliance Database'!$H1212))),OR(Query!$B$6="All",ISNUMBER(SEARCH(Query!$B$6,'Compliance Database'!$I1212))),OR(Query!$B$7="All",'Compliance Database'!$F1212=Query!$B$7),OR(Query!$B$8="All",'Compliance Database'!$J1212=Query!$B$8),OR(Query!$B$9="",ISNUMBER(SEARCH(Query!$B$9,'Compliance Database'!$D1212&amp;" "&amp;'Compliance Database'!$K1212&amp;" "&amp;'Compliance Database'!$L1212&amp;" "&amp;'Compliance Database'!$M1212&amp;" "&amp;'Compliance Database'!$N1212&amp;" "&amp;'Compliance Database'!$O1212))),OR(Query!$B$10&lt;&gt;"Yes",'Compliance Database'!$F1212&lt;&gt;"None")),1,0)</f>
        <v/>
      </c>
      <c r="B1212">
        <f>IF($A1212=1,SUM($A$2:$A1212),"")</f>
        <v/>
      </c>
      <c r="C1212">
        <f>IF($A1212=1,SUM($A$2:$A1212),0)</f>
        <v/>
      </c>
    </row>
    <row r="1213">
      <c r="A1213">
        <f>IF(AND(OR(Query!$B$4="All",'Compliance Database'!$A1213=Query!$B$4),OR(Query!$B$5="All",ISNUMBER(SEARCH(Query!$B$5,'Compliance Database'!$H1213))),OR(Query!$B$6="All",ISNUMBER(SEARCH(Query!$B$6,'Compliance Database'!$I1213))),OR(Query!$B$7="All",'Compliance Database'!$F1213=Query!$B$7),OR(Query!$B$8="All",'Compliance Database'!$J1213=Query!$B$8),OR(Query!$B$9="",ISNUMBER(SEARCH(Query!$B$9,'Compliance Database'!$D1213&amp;" "&amp;'Compliance Database'!$K1213&amp;" "&amp;'Compliance Database'!$L1213&amp;" "&amp;'Compliance Database'!$M1213&amp;" "&amp;'Compliance Database'!$N1213&amp;" "&amp;'Compliance Database'!$O1213))),OR(Query!$B$10&lt;&gt;"Yes",'Compliance Database'!$F1213&lt;&gt;"None")),1,0)</f>
        <v/>
      </c>
      <c r="B1213">
        <f>IF($A1213=1,SUM($A$2:$A1213),"")</f>
        <v/>
      </c>
      <c r="C1213">
        <f>IF($A1213=1,SUM($A$2:$A1213),0)</f>
        <v/>
      </c>
    </row>
    <row r="1214">
      <c r="A1214">
        <f>IF(AND(OR(Query!$B$4="All",'Compliance Database'!$A1214=Query!$B$4),OR(Query!$B$5="All",ISNUMBER(SEARCH(Query!$B$5,'Compliance Database'!$H1214))),OR(Query!$B$6="All",ISNUMBER(SEARCH(Query!$B$6,'Compliance Database'!$I1214))),OR(Query!$B$7="All",'Compliance Database'!$F1214=Query!$B$7),OR(Query!$B$8="All",'Compliance Database'!$J1214=Query!$B$8),OR(Query!$B$9="",ISNUMBER(SEARCH(Query!$B$9,'Compliance Database'!$D1214&amp;" "&amp;'Compliance Database'!$K1214&amp;" "&amp;'Compliance Database'!$L1214&amp;" "&amp;'Compliance Database'!$M1214&amp;" "&amp;'Compliance Database'!$N1214&amp;" "&amp;'Compliance Database'!$O1214))),OR(Query!$B$10&lt;&gt;"Yes",'Compliance Database'!$F1214&lt;&gt;"None")),1,0)</f>
        <v/>
      </c>
      <c r="B1214">
        <f>IF($A1214=1,SUM($A$2:$A1214),"")</f>
        <v/>
      </c>
      <c r="C1214">
        <f>IF($A1214=1,SUM($A$2:$A1214),0)</f>
        <v/>
      </c>
    </row>
    <row r="1215">
      <c r="A1215">
        <f>IF(AND(OR(Query!$B$4="All",'Compliance Database'!$A1215=Query!$B$4),OR(Query!$B$5="All",ISNUMBER(SEARCH(Query!$B$5,'Compliance Database'!$H1215))),OR(Query!$B$6="All",ISNUMBER(SEARCH(Query!$B$6,'Compliance Database'!$I1215))),OR(Query!$B$7="All",'Compliance Database'!$F1215=Query!$B$7),OR(Query!$B$8="All",'Compliance Database'!$J1215=Query!$B$8),OR(Query!$B$9="",ISNUMBER(SEARCH(Query!$B$9,'Compliance Database'!$D1215&amp;" "&amp;'Compliance Database'!$K1215&amp;" "&amp;'Compliance Database'!$L1215&amp;" "&amp;'Compliance Database'!$M1215&amp;" "&amp;'Compliance Database'!$N1215&amp;" "&amp;'Compliance Database'!$O1215))),OR(Query!$B$10&lt;&gt;"Yes",'Compliance Database'!$F1215&lt;&gt;"None")),1,0)</f>
        <v/>
      </c>
      <c r="B1215">
        <f>IF($A1215=1,SUM($A$2:$A1215),"")</f>
        <v/>
      </c>
      <c r="C1215">
        <f>IF($A1215=1,SUM($A$2:$A1215),0)</f>
        <v/>
      </c>
    </row>
    <row r="1216">
      <c r="A1216">
        <f>IF(AND(OR(Query!$B$4="All",'Compliance Database'!$A1216=Query!$B$4),OR(Query!$B$5="All",ISNUMBER(SEARCH(Query!$B$5,'Compliance Database'!$H1216))),OR(Query!$B$6="All",ISNUMBER(SEARCH(Query!$B$6,'Compliance Database'!$I1216))),OR(Query!$B$7="All",'Compliance Database'!$F1216=Query!$B$7),OR(Query!$B$8="All",'Compliance Database'!$J1216=Query!$B$8),OR(Query!$B$9="",ISNUMBER(SEARCH(Query!$B$9,'Compliance Database'!$D1216&amp;" "&amp;'Compliance Database'!$K1216&amp;" "&amp;'Compliance Database'!$L1216&amp;" "&amp;'Compliance Database'!$M1216&amp;" "&amp;'Compliance Database'!$N1216&amp;" "&amp;'Compliance Database'!$O1216))),OR(Query!$B$10&lt;&gt;"Yes",'Compliance Database'!$F1216&lt;&gt;"None")),1,0)</f>
        <v/>
      </c>
      <c r="B1216">
        <f>IF($A1216=1,SUM($A$2:$A1216),"")</f>
        <v/>
      </c>
      <c r="C1216">
        <f>IF($A1216=1,SUM($A$2:$A1216),0)</f>
        <v/>
      </c>
    </row>
    <row r="1217">
      <c r="A1217">
        <f>IF(AND(OR(Query!$B$4="All",'Compliance Database'!$A1217=Query!$B$4),OR(Query!$B$5="All",ISNUMBER(SEARCH(Query!$B$5,'Compliance Database'!$H1217))),OR(Query!$B$6="All",ISNUMBER(SEARCH(Query!$B$6,'Compliance Database'!$I1217))),OR(Query!$B$7="All",'Compliance Database'!$F1217=Query!$B$7),OR(Query!$B$8="All",'Compliance Database'!$J1217=Query!$B$8),OR(Query!$B$9="",ISNUMBER(SEARCH(Query!$B$9,'Compliance Database'!$D1217&amp;" "&amp;'Compliance Database'!$K1217&amp;" "&amp;'Compliance Database'!$L1217&amp;" "&amp;'Compliance Database'!$M1217&amp;" "&amp;'Compliance Database'!$N1217&amp;" "&amp;'Compliance Database'!$O1217))),OR(Query!$B$10&lt;&gt;"Yes",'Compliance Database'!$F1217&lt;&gt;"None")),1,0)</f>
        <v/>
      </c>
      <c r="B1217">
        <f>IF($A1217=1,SUM($A$2:$A1217),"")</f>
        <v/>
      </c>
      <c r="C1217">
        <f>IF($A1217=1,SUM($A$2:$A1217),0)</f>
        <v/>
      </c>
    </row>
    <row r="1218">
      <c r="A1218">
        <f>IF(AND(OR(Query!$B$4="All",'Compliance Database'!$A1218=Query!$B$4),OR(Query!$B$5="All",ISNUMBER(SEARCH(Query!$B$5,'Compliance Database'!$H1218))),OR(Query!$B$6="All",ISNUMBER(SEARCH(Query!$B$6,'Compliance Database'!$I1218))),OR(Query!$B$7="All",'Compliance Database'!$F1218=Query!$B$7),OR(Query!$B$8="All",'Compliance Database'!$J1218=Query!$B$8),OR(Query!$B$9="",ISNUMBER(SEARCH(Query!$B$9,'Compliance Database'!$D1218&amp;" "&amp;'Compliance Database'!$K1218&amp;" "&amp;'Compliance Database'!$L1218&amp;" "&amp;'Compliance Database'!$M1218&amp;" "&amp;'Compliance Database'!$N1218&amp;" "&amp;'Compliance Database'!$O1218))),OR(Query!$B$10&lt;&gt;"Yes",'Compliance Database'!$F1218&lt;&gt;"None")),1,0)</f>
        <v/>
      </c>
      <c r="B1218">
        <f>IF($A1218=1,SUM($A$2:$A1218),"")</f>
        <v/>
      </c>
      <c r="C1218">
        <f>IF($A1218=1,SUM($A$2:$A1218),0)</f>
        <v/>
      </c>
    </row>
    <row r="1219">
      <c r="A1219">
        <f>IF(AND(OR(Query!$B$4="All",'Compliance Database'!$A1219=Query!$B$4),OR(Query!$B$5="All",ISNUMBER(SEARCH(Query!$B$5,'Compliance Database'!$H1219))),OR(Query!$B$6="All",ISNUMBER(SEARCH(Query!$B$6,'Compliance Database'!$I1219))),OR(Query!$B$7="All",'Compliance Database'!$F1219=Query!$B$7),OR(Query!$B$8="All",'Compliance Database'!$J1219=Query!$B$8),OR(Query!$B$9="",ISNUMBER(SEARCH(Query!$B$9,'Compliance Database'!$D1219&amp;" "&amp;'Compliance Database'!$K1219&amp;" "&amp;'Compliance Database'!$L1219&amp;" "&amp;'Compliance Database'!$M1219&amp;" "&amp;'Compliance Database'!$N1219&amp;" "&amp;'Compliance Database'!$O1219))),OR(Query!$B$10&lt;&gt;"Yes",'Compliance Database'!$F1219&lt;&gt;"None")),1,0)</f>
        <v/>
      </c>
      <c r="B1219">
        <f>IF($A1219=1,SUM($A$2:$A1219),"")</f>
        <v/>
      </c>
      <c r="C1219">
        <f>IF($A1219=1,SUM($A$2:$A1219),0)</f>
        <v/>
      </c>
    </row>
    <row r="1220">
      <c r="A1220">
        <f>IF(AND(OR(Query!$B$4="All",'Compliance Database'!$A1220=Query!$B$4),OR(Query!$B$5="All",ISNUMBER(SEARCH(Query!$B$5,'Compliance Database'!$H1220))),OR(Query!$B$6="All",ISNUMBER(SEARCH(Query!$B$6,'Compliance Database'!$I1220))),OR(Query!$B$7="All",'Compliance Database'!$F1220=Query!$B$7),OR(Query!$B$8="All",'Compliance Database'!$J1220=Query!$B$8),OR(Query!$B$9="",ISNUMBER(SEARCH(Query!$B$9,'Compliance Database'!$D1220&amp;" "&amp;'Compliance Database'!$K1220&amp;" "&amp;'Compliance Database'!$L1220&amp;" "&amp;'Compliance Database'!$M1220&amp;" "&amp;'Compliance Database'!$N1220&amp;" "&amp;'Compliance Database'!$O1220))),OR(Query!$B$10&lt;&gt;"Yes",'Compliance Database'!$F1220&lt;&gt;"None")),1,0)</f>
        <v/>
      </c>
      <c r="B1220">
        <f>IF($A1220=1,SUM($A$2:$A1220),"")</f>
        <v/>
      </c>
      <c r="C1220">
        <f>IF($A1220=1,SUM($A$2:$A1220),0)</f>
        <v/>
      </c>
    </row>
    <row r="1221">
      <c r="A1221">
        <f>IF(AND(OR(Query!$B$4="All",'Compliance Database'!$A1221=Query!$B$4),OR(Query!$B$5="All",ISNUMBER(SEARCH(Query!$B$5,'Compliance Database'!$H1221))),OR(Query!$B$6="All",ISNUMBER(SEARCH(Query!$B$6,'Compliance Database'!$I1221))),OR(Query!$B$7="All",'Compliance Database'!$F1221=Query!$B$7),OR(Query!$B$8="All",'Compliance Database'!$J1221=Query!$B$8),OR(Query!$B$9="",ISNUMBER(SEARCH(Query!$B$9,'Compliance Database'!$D1221&amp;" "&amp;'Compliance Database'!$K1221&amp;" "&amp;'Compliance Database'!$L1221&amp;" "&amp;'Compliance Database'!$M1221&amp;" "&amp;'Compliance Database'!$N1221&amp;" "&amp;'Compliance Database'!$O1221))),OR(Query!$B$10&lt;&gt;"Yes",'Compliance Database'!$F1221&lt;&gt;"None")),1,0)</f>
        <v/>
      </c>
      <c r="B1221">
        <f>IF($A1221=1,SUM($A$2:$A1221),"")</f>
        <v/>
      </c>
      <c r="C1221">
        <f>IF($A1221=1,SUM($A$2:$A1221),0)</f>
        <v/>
      </c>
    </row>
    <row r="1222">
      <c r="A1222">
        <f>IF(AND(OR(Query!$B$4="All",'Compliance Database'!$A1222=Query!$B$4),OR(Query!$B$5="All",ISNUMBER(SEARCH(Query!$B$5,'Compliance Database'!$H1222))),OR(Query!$B$6="All",ISNUMBER(SEARCH(Query!$B$6,'Compliance Database'!$I1222))),OR(Query!$B$7="All",'Compliance Database'!$F1222=Query!$B$7),OR(Query!$B$8="All",'Compliance Database'!$J1222=Query!$B$8),OR(Query!$B$9="",ISNUMBER(SEARCH(Query!$B$9,'Compliance Database'!$D1222&amp;" "&amp;'Compliance Database'!$K1222&amp;" "&amp;'Compliance Database'!$L1222&amp;" "&amp;'Compliance Database'!$M1222&amp;" "&amp;'Compliance Database'!$N1222&amp;" "&amp;'Compliance Database'!$O1222))),OR(Query!$B$10&lt;&gt;"Yes",'Compliance Database'!$F1222&lt;&gt;"None")),1,0)</f>
        <v/>
      </c>
      <c r="B1222">
        <f>IF($A1222=1,SUM($A$2:$A1222),"")</f>
        <v/>
      </c>
      <c r="C1222">
        <f>IF($A1222=1,SUM($A$2:$A1222),0)</f>
        <v/>
      </c>
    </row>
    <row r="1223">
      <c r="A1223">
        <f>IF(AND(OR(Query!$B$4="All",'Compliance Database'!$A1223=Query!$B$4),OR(Query!$B$5="All",ISNUMBER(SEARCH(Query!$B$5,'Compliance Database'!$H1223))),OR(Query!$B$6="All",ISNUMBER(SEARCH(Query!$B$6,'Compliance Database'!$I1223))),OR(Query!$B$7="All",'Compliance Database'!$F1223=Query!$B$7),OR(Query!$B$8="All",'Compliance Database'!$J1223=Query!$B$8),OR(Query!$B$9="",ISNUMBER(SEARCH(Query!$B$9,'Compliance Database'!$D1223&amp;" "&amp;'Compliance Database'!$K1223&amp;" "&amp;'Compliance Database'!$L1223&amp;" "&amp;'Compliance Database'!$M1223&amp;" "&amp;'Compliance Database'!$N1223&amp;" "&amp;'Compliance Database'!$O1223))),OR(Query!$B$10&lt;&gt;"Yes",'Compliance Database'!$F1223&lt;&gt;"None")),1,0)</f>
        <v/>
      </c>
      <c r="B1223">
        <f>IF($A1223=1,SUM($A$2:$A1223),"")</f>
        <v/>
      </c>
      <c r="C1223">
        <f>IF($A1223=1,SUM($A$2:$A1223),0)</f>
        <v/>
      </c>
    </row>
    <row r="1224">
      <c r="A1224">
        <f>IF(AND(OR(Query!$B$4="All",'Compliance Database'!$A1224=Query!$B$4),OR(Query!$B$5="All",ISNUMBER(SEARCH(Query!$B$5,'Compliance Database'!$H1224))),OR(Query!$B$6="All",ISNUMBER(SEARCH(Query!$B$6,'Compliance Database'!$I1224))),OR(Query!$B$7="All",'Compliance Database'!$F1224=Query!$B$7),OR(Query!$B$8="All",'Compliance Database'!$J1224=Query!$B$8),OR(Query!$B$9="",ISNUMBER(SEARCH(Query!$B$9,'Compliance Database'!$D1224&amp;" "&amp;'Compliance Database'!$K1224&amp;" "&amp;'Compliance Database'!$L1224&amp;" "&amp;'Compliance Database'!$M1224&amp;" "&amp;'Compliance Database'!$N1224&amp;" "&amp;'Compliance Database'!$O1224))),OR(Query!$B$10&lt;&gt;"Yes",'Compliance Database'!$F1224&lt;&gt;"None")),1,0)</f>
        <v/>
      </c>
      <c r="B1224">
        <f>IF($A1224=1,SUM($A$2:$A1224),"")</f>
        <v/>
      </c>
      <c r="C1224">
        <f>IF($A1224=1,SUM($A$2:$A1224),0)</f>
        <v/>
      </c>
    </row>
    <row r="1225">
      <c r="A1225">
        <f>IF(AND(OR(Query!$B$4="All",'Compliance Database'!$A1225=Query!$B$4),OR(Query!$B$5="All",ISNUMBER(SEARCH(Query!$B$5,'Compliance Database'!$H1225))),OR(Query!$B$6="All",ISNUMBER(SEARCH(Query!$B$6,'Compliance Database'!$I1225))),OR(Query!$B$7="All",'Compliance Database'!$F1225=Query!$B$7),OR(Query!$B$8="All",'Compliance Database'!$J1225=Query!$B$8),OR(Query!$B$9="",ISNUMBER(SEARCH(Query!$B$9,'Compliance Database'!$D1225&amp;" "&amp;'Compliance Database'!$K1225&amp;" "&amp;'Compliance Database'!$L1225&amp;" "&amp;'Compliance Database'!$M1225&amp;" "&amp;'Compliance Database'!$N1225&amp;" "&amp;'Compliance Database'!$O1225))),OR(Query!$B$10&lt;&gt;"Yes",'Compliance Database'!$F1225&lt;&gt;"None")),1,0)</f>
        <v/>
      </c>
      <c r="B1225">
        <f>IF($A1225=1,SUM($A$2:$A1225),"")</f>
        <v/>
      </c>
      <c r="C1225">
        <f>IF($A1225=1,SUM($A$2:$A1225),0)</f>
        <v/>
      </c>
    </row>
    <row r="1226">
      <c r="A1226">
        <f>IF(AND(OR(Query!$B$4="All",'Compliance Database'!$A1226=Query!$B$4),OR(Query!$B$5="All",ISNUMBER(SEARCH(Query!$B$5,'Compliance Database'!$H1226))),OR(Query!$B$6="All",ISNUMBER(SEARCH(Query!$B$6,'Compliance Database'!$I1226))),OR(Query!$B$7="All",'Compliance Database'!$F1226=Query!$B$7),OR(Query!$B$8="All",'Compliance Database'!$J1226=Query!$B$8),OR(Query!$B$9="",ISNUMBER(SEARCH(Query!$B$9,'Compliance Database'!$D1226&amp;" "&amp;'Compliance Database'!$K1226&amp;" "&amp;'Compliance Database'!$L1226&amp;" "&amp;'Compliance Database'!$M1226&amp;" "&amp;'Compliance Database'!$N1226&amp;" "&amp;'Compliance Database'!$O1226))),OR(Query!$B$10&lt;&gt;"Yes",'Compliance Database'!$F1226&lt;&gt;"None")),1,0)</f>
        <v/>
      </c>
      <c r="B1226">
        <f>IF($A1226=1,SUM($A$2:$A1226),"")</f>
        <v/>
      </c>
      <c r="C1226">
        <f>IF($A1226=1,SUM($A$2:$A1226),0)</f>
        <v/>
      </c>
    </row>
    <row r="1227">
      <c r="A1227">
        <f>IF(AND(OR(Query!$B$4="All",'Compliance Database'!$A1227=Query!$B$4),OR(Query!$B$5="All",ISNUMBER(SEARCH(Query!$B$5,'Compliance Database'!$H1227))),OR(Query!$B$6="All",ISNUMBER(SEARCH(Query!$B$6,'Compliance Database'!$I1227))),OR(Query!$B$7="All",'Compliance Database'!$F1227=Query!$B$7),OR(Query!$B$8="All",'Compliance Database'!$J1227=Query!$B$8),OR(Query!$B$9="",ISNUMBER(SEARCH(Query!$B$9,'Compliance Database'!$D1227&amp;" "&amp;'Compliance Database'!$K1227&amp;" "&amp;'Compliance Database'!$L1227&amp;" "&amp;'Compliance Database'!$M1227&amp;" "&amp;'Compliance Database'!$N1227&amp;" "&amp;'Compliance Database'!$O1227))),OR(Query!$B$10&lt;&gt;"Yes",'Compliance Database'!$F1227&lt;&gt;"None")),1,0)</f>
        <v/>
      </c>
      <c r="B1227">
        <f>IF($A1227=1,SUM($A$2:$A1227),"")</f>
        <v/>
      </c>
      <c r="C1227">
        <f>IF($A1227=1,SUM($A$2:$A1227),0)</f>
        <v/>
      </c>
    </row>
    <row r="1228">
      <c r="A1228">
        <f>IF(AND(OR(Query!$B$4="All",'Compliance Database'!$A1228=Query!$B$4),OR(Query!$B$5="All",ISNUMBER(SEARCH(Query!$B$5,'Compliance Database'!$H1228))),OR(Query!$B$6="All",ISNUMBER(SEARCH(Query!$B$6,'Compliance Database'!$I1228))),OR(Query!$B$7="All",'Compliance Database'!$F1228=Query!$B$7),OR(Query!$B$8="All",'Compliance Database'!$J1228=Query!$B$8),OR(Query!$B$9="",ISNUMBER(SEARCH(Query!$B$9,'Compliance Database'!$D1228&amp;" "&amp;'Compliance Database'!$K1228&amp;" "&amp;'Compliance Database'!$L1228&amp;" "&amp;'Compliance Database'!$M1228&amp;" "&amp;'Compliance Database'!$N1228&amp;" "&amp;'Compliance Database'!$O1228))),OR(Query!$B$10&lt;&gt;"Yes",'Compliance Database'!$F1228&lt;&gt;"None")),1,0)</f>
        <v/>
      </c>
      <c r="B1228">
        <f>IF($A1228=1,SUM($A$2:$A1228),"")</f>
        <v/>
      </c>
      <c r="C1228">
        <f>IF($A1228=1,SUM($A$2:$A1228),0)</f>
        <v/>
      </c>
    </row>
    <row r="1229">
      <c r="A1229">
        <f>IF(AND(OR(Query!$B$4="All",'Compliance Database'!$A1229=Query!$B$4),OR(Query!$B$5="All",ISNUMBER(SEARCH(Query!$B$5,'Compliance Database'!$H1229))),OR(Query!$B$6="All",ISNUMBER(SEARCH(Query!$B$6,'Compliance Database'!$I1229))),OR(Query!$B$7="All",'Compliance Database'!$F1229=Query!$B$7),OR(Query!$B$8="All",'Compliance Database'!$J1229=Query!$B$8),OR(Query!$B$9="",ISNUMBER(SEARCH(Query!$B$9,'Compliance Database'!$D1229&amp;" "&amp;'Compliance Database'!$K1229&amp;" "&amp;'Compliance Database'!$L1229&amp;" "&amp;'Compliance Database'!$M1229&amp;" "&amp;'Compliance Database'!$N1229&amp;" "&amp;'Compliance Database'!$O1229))),OR(Query!$B$10&lt;&gt;"Yes",'Compliance Database'!$F1229&lt;&gt;"None")),1,0)</f>
        <v/>
      </c>
      <c r="B1229">
        <f>IF($A1229=1,SUM($A$2:$A1229),"")</f>
        <v/>
      </c>
      <c r="C1229">
        <f>IF($A1229=1,SUM($A$2:$A1229),0)</f>
        <v/>
      </c>
    </row>
    <row r="1230">
      <c r="A1230">
        <f>IF(AND(OR(Query!$B$4="All",'Compliance Database'!$A1230=Query!$B$4),OR(Query!$B$5="All",ISNUMBER(SEARCH(Query!$B$5,'Compliance Database'!$H1230))),OR(Query!$B$6="All",ISNUMBER(SEARCH(Query!$B$6,'Compliance Database'!$I1230))),OR(Query!$B$7="All",'Compliance Database'!$F1230=Query!$B$7),OR(Query!$B$8="All",'Compliance Database'!$J1230=Query!$B$8),OR(Query!$B$9="",ISNUMBER(SEARCH(Query!$B$9,'Compliance Database'!$D1230&amp;" "&amp;'Compliance Database'!$K1230&amp;" "&amp;'Compliance Database'!$L1230&amp;" "&amp;'Compliance Database'!$M1230&amp;" "&amp;'Compliance Database'!$N1230&amp;" "&amp;'Compliance Database'!$O1230))),OR(Query!$B$10&lt;&gt;"Yes",'Compliance Database'!$F1230&lt;&gt;"None")),1,0)</f>
        <v/>
      </c>
      <c r="B1230">
        <f>IF($A1230=1,SUM($A$2:$A1230),"")</f>
        <v/>
      </c>
      <c r="C1230">
        <f>IF($A1230=1,SUM($A$2:$A1230),0)</f>
        <v/>
      </c>
    </row>
    <row r="1231">
      <c r="A1231">
        <f>IF(AND(OR(Query!$B$4="All",'Compliance Database'!$A1231=Query!$B$4),OR(Query!$B$5="All",ISNUMBER(SEARCH(Query!$B$5,'Compliance Database'!$H1231))),OR(Query!$B$6="All",ISNUMBER(SEARCH(Query!$B$6,'Compliance Database'!$I1231))),OR(Query!$B$7="All",'Compliance Database'!$F1231=Query!$B$7),OR(Query!$B$8="All",'Compliance Database'!$J1231=Query!$B$8),OR(Query!$B$9="",ISNUMBER(SEARCH(Query!$B$9,'Compliance Database'!$D1231&amp;" "&amp;'Compliance Database'!$K1231&amp;" "&amp;'Compliance Database'!$L1231&amp;" "&amp;'Compliance Database'!$M1231&amp;" "&amp;'Compliance Database'!$N1231&amp;" "&amp;'Compliance Database'!$O1231))),OR(Query!$B$10&lt;&gt;"Yes",'Compliance Database'!$F1231&lt;&gt;"None")),1,0)</f>
        <v/>
      </c>
      <c r="B1231">
        <f>IF($A1231=1,SUM($A$2:$A1231),"")</f>
        <v/>
      </c>
      <c r="C1231">
        <f>IF($A1231=1,SUM($A$2:$A1231),0)</f>
        <v/>
      </c>
    </row>
    <row r="1232">
      <c r="A1232">
        <f>IF(AND(OR(Query!$B$4="All",'Compliance Database'!$A1232=Query!$B$4),OR(Query!$B$5="All",ISNUMBER(SEARCH(Query!$B$5,'Compliance Database'!$H1232))),OR(Query!$B$6="All",ISNUMBER(SEARCH(Query!$B$6,'Compliance Database'!$I1232))),OR(Query!$B$7="All",'Compliance Database'!$F1232=Query!$B$7),OR(Query!$B$8="All",'Compliance Database'!$J1232=Query!$B$8),OR(Query!$B$9="",ISNUMBER(SEARCH(Query!$B$9,'Compliance Database'!$D1232&amp;" "&amp;'Compliance Database'!$K1232&amp;" "&amp;'Compliance Database'!$L1232&amp;" "&amp;'Compliance Database'!$M1232&amp;" "&amp;'Compliance Database'!$N1232&amp;" "&amp;'Compliance Database'!$O1232))),OR(Query!$B$10&lt;&gt;"Yes",'Compliance Database'!$F1232&lt;&gt;"None")),1,0)</f>
        <v/>
      </c>
      <c r="B1232">
        <f>IF($A1232=1,SUM($A$2:$A1232),"")</f>
        <v/>
      </c>
      <c r="C1232">
        <f>IF($A1232=1,SUM($A$2:$A1232),0)</f>
        <v/>
      </c>
    </row>
    <row r="1233">
      <c r="A1233">
        <f>IF(AND(OR(Query!$B$4="All",'Compliance Database'!$A1233=Query!$B$4),OR(Query!$B$5="All",ISNUMBER(SEARCH(Query!$B$5,'Compliance Database'!$H1233))),OR(Query!$B$6="All",ISNUMBER(SEARCH(Query!$B$6,'Compliance Database'!$I1233))),OR(Query!$B$7="All",'Compliance Database'!$F1233=Query!$B$7),OR(Query!$B$8="All",'Compliance Database'!$J1233=Query!$B$8),OR(Query!$B$9="",ISNUMBER(SEARCH(Query!$B$9,'Compliance Database'!$D1233&amp;" "&amp;'Compliance Database'!$K1233&amp;" "&amp;'Compliance Database'!$L1233&amp;" "&amp;'Compliance Database'!$M1233&amp;" "&amp;'Compliance Database'!$N1233&amp;" "&amp;'Compliance Database'!$O1233))),OR(Query!$B$10&lt;&gt;"Yes",'Compliance Database'!$F1233&lt;&gt;"None")),1,0)</f>
        <v/>
      </c>
      <c r="B1233">
        <f>IF($A1233=1,SUM($A$2:$A1233),"")</f>
        <v/>
      </c>
      <c r="C1233">
        <f>IF($A1233=1,SUM($A$2:$A1233),0)</f>
        <v/>
      </c>
    </row>
    <row r="1234">
      <c r="A1234">
        <f>IF(AND(OR(Query!$B$4="All",'Compliance Database'!$A1234=Query!$B$4),OR(Query!$B$5="All",ISNUMBER(SEARCH(Query!$B$5,'Compliance Database'!$H1234))),OR(Query!$B$6="All",ISNUMBER(SEARCH(Query!$B$6,'Compliance Database'!$I1234))),OR(Query!$B$7="All",'Compliance Database'!$F1234=Query!$B$7),OR(Query!$B$8="All",'Compliance Database'!$J1234=Query!$B$8),OR(Query!$B$9="",ISNUMBER(SEARCH(Query!$B$9,'Compliance Database'!$D1234&amp;" "&amp;'Compliance Database'!$K1234&amp;" "&amp;'Compliance Database'!$L1234&amp;" "&amp;'Compliance Database'!$M1234&amp;" "&amp;'Compliance Database'!$N1234&amp;" "&amp;'Compliance Database'!$O1234))),OR(Query!$B$10&lt;&gt;"Yes",'Compliance Database'!$F1234&lt;&gt;"None")),1,0)</f>
        <v/>
      </c>
      <c r="B1234">
        <f>IF($A1234=1,SUM($A$2:$A1234),"")</f>
        <v/>
      </c>
      <c r="C1234">
        <f>IF($A1234=1,SUM($A$2:$A1234),0)</f>
        <v/>
      </c>
    </row>
    <row r="1235">
      <c r="A1235">
        <f>IF(AND(OR(Query!$B$4="All",'Compliance Database'!$A1235=Query!$B$4),OR(Query!$B$5="All",ISNUMBER(SEARCH(Query!$B$5,'Compliance Database'!$H1235))),OR(Query!$B$6="All",ISNUMBER(SEARCH(Query!$B$6,'Compliance Database'!$I1235))),OR(Query!$B$7="All",'Compliance Database'!$F1235=Query!$B$7),OR(Query!$B$8="All",'Compliance Database'!$J1235=Query!$B$8),OR(Query!$B$9="",ISNUMBER(SEARCH(Query!$B$9,'Compliance Database'!$D1235&amp;" "&amp;'Compliance Database'!$K1235&amp;" "&amp;'Compliance Database'!$L1235&amp;" "&amp;'Compliance Database'!$M1235&amp;" "&amp;'Compliance Database'!$N1235&amp;" "&amp;'Compliance Database'!$O1235))),OR(Query!$B$10&lt;&gt;"Yes",'Compliance Database'!$F1235&lt;&gt;"None")),1,0)</f>
        <v/>
      </c>
      <c r="B1235">
        <f>IF($A1235=1,SUM($A$2:$A1235),"")</f>
        <v/>
      </c>
      <c r="C1235">
        <f>IF($A1235=1,SUM($A$2:$A1235),0)</f>
        <v/>
      </c>
    </row>
    <row r="1236">
      <c r="A1236">
        <f>IF(AND(OR(Query!$B$4="All",'Compliance Database'!$A1236=Query!$B$4),OR(Query!$B$5="All",ISNUMBER(SEARCH(Query!$B$5,'Compliance Database'!$H1236))),OR(Query!$B$6="All",ISNUMBER(SEARCH(Query!$B$6,'Compliance Database'!$I1236))),OR(Query!$B$7="All",'Compliance Database'!$F1236=Query!$B$7),OR(Query!$B$8="All",'Compliance Database'!$J1236=Query!$B$8),OR(Query!$B$9="",ISNUMBER(SEARCH(Query!$B$9,'Compliance Database'!$D1236&amp;" "&amp;'Compliance Database'!$K1236&amp;" "&amp;'Compliance Database'!$L1236&amp;" "&amp;'Compliance Database'!$M1236&amp;" "&amp;'Compliance Database'!$N1236&amp;" "&amp;'Compliance Database'!$O1236))),OR(Query!$B$10&lt;&gt;"Yes",'Compliance Database'!$F1236&lt;&gt;"None")),1,0)</f>
        <v/>
      </c>
      <c r="B1236">
        <f>IF($A1236=1,SUM($A$2:$A1236),"")</f>
        <v/>
      </c>
      <c r="C1236">
        <f>IF($A1236=1,SUM($A$2:$A1236),0)</f>
        <v/>
      </c>
    </row>
    <row r="1237">
      <c r="A1237">
        <f>IF(AND(OR(Query!$B$4="All",'Compliance Database'!$A1237=Query!$B$4),OR(Query!$B$5="All",ISNUMBER(SEARCH(Query!$B$5,'Compliance Database'!$H1237))),OR(Query!$B$6="All",ISNUMBER(SEARCH(Query!$B$6,'Compliance Database'!$I1237))),OR(Query!$B$7="All",'Compliance Database'!$F1237=Query!$B$7),OR(Query!$B$8="All",'Compliance Database'!$J1237=Query!$B$8),OR(Query!$B$9="",ISNUMBER(SEARCH(Query!$B$9,'Compliance Database'!$D1237&amp;" "&amp;'Compliance Database'!$K1237&amp;" "&amp;'Compliance Database'!$L1237&amp;" "&amp;'Compliance Database'!$M1237&amp;" "&amp;'Compliance Database'!$N1237&amp;" "&amp;'Compliance Database'!$O1237))),OR(Query!$B$10&lt;&gt;"Yes",'Compliance Database'!$F1237&lt;&gt;"None")),1,0)</f>
        <v/>
      </c>
      <c r="B1237">
        <f>IF($A1237=1,SUM($A$2:$A1237),"")</f>
        <v/>
      </c>
      <c r="C1237">
        <f>IF($A1237=1,SUM($A$2:$A1237),0)</f>
        <v/>
      </c>
    </row>
    <row r="1238">
      <c r="A1238">
        <f>IF(AND(OR(Query!$B$4="All",'Compliance Database'!$A1238=Query!$B$4),OR(Query!$B$5="All",ISNUMBER(SEARCH(Query!$B$5,'Compliance Database'!$H1238))),OR(Query!$B$6="All",ISNUMBER(SEARCH(Query!$B$6,'Compliance Database'!$I1238))),OR(Query!$B$7="All",'Compliance Database'!$F1238=Query!$B$7),OR(Query!$B$8="All",'Compliance Database'!$J1238=Query!$B$8),OR(Query!$B$9="",ISNUMBER(SEARCH(Query!$B$9,'Compliance Database'!$D1238&amp;" "&amp;'Compliance Database'!$K1238&amp;" "&amp;'Compliance Database'!$L1238&amp;" "&amp;'Compliance Database'!$M1238&amp;" "&amp;'Compliance Database'!$N1238&amp;" "&amp;'Compliance Database'!$O1238))),OR(Query!$B$10&lt;&gt;"Yes",'Compliance Database'!$F1238&lt;&gt;"None")),1,0)</f>
        <v/>
      </c>
      <c r="B1238">
        <f>IF($A1238=1,SUM($A$2:$A1238),"")</f>
        <v/>
      </c>
      <c r="C1238">
        <f>IF($A1238=1,SUM($A$2:$A1238),0)</f>
        <v/>
      </c>
    </row>
    <row r="1239">
      <c r="A1239">
        <f>IF(AND(OR(Query!$B$4="All",'Compliance Database'!$A1239=Query!$B$4),OR(Query!$B$5="All",ISNUMBER(SEARCH(Query!$B$5,'Compliance Database'!$H1239))),OR(Query!$B$6="All",ISNUMBER(SEARCH(Query!$B$6,'Compliance Database'!$I1239))),OR(Query!$B$7="All",'Compliance Database'!$F1239=Query!$B$7),OR(Query!$B$8="All",'Compliance Database'!$J1239=Query!$B$8),OR(Query!$B$9="",ISNUMBER(SEARCH(Query!$B$9,'Compliance Database'!$D1239&amp;" "&amp;'Compliance Database'!$K1239&amp;" "&amp;'Compliance Database'!$L1239&amp;" "&amp;'Compliance Database'!$M1239&amp;" "&amp;'Compliance Database'!$N1239&amp;" "&amp;'Compliance Database'!$O1239))),OR(Query!$B$10&lt;&gt;"Yes",'Compliance Database'!$F1239&lt;&gt;"None")),1,0)</f>
        <v/>
      </c>
      <c r="B1239">
        <f>IF($A1239=1,SUM($A$2:$A1239),"")</f>
        <v/>
      </c>
      <c r="C1239">
        <f>IF($A1239=1,SUM($A$2:$A1239),0)</f>
        <v/>
      </c>
    </row>
    <row r="1240">
      <c r="A1240">
        <f>IF(AND(OR(Query!$B$4="All",'Compliance Database'!$A1240=Query!$B$4),OR(Query!$B$5="All",ISNUMBER(SEARCH(Query!$B$5,'Compliance Database'!$H1240))),OR(Query!$B$6="All",ISNUMBER(SEARCH(Query!$B$6,'Compliance Database'!$I1240))),OR(Query!$B$7="All",'Compliance Database'!$F1240=Query!$B$7),OR(Query!$B$8="All",'Compliance Database'!$J1240=Query!$B$8),OR(Query!$B$9="",ISNUMBER(SEARCH(Query!$B$9,'Compliance Database'!$D1240&amp;" "&amp;'Compliance Database'!$K1240&amp;" "&amp;'Compliance Database'!$L1240&amp;" "&amp;'Compliance Database'!$M1240&amp;" "&amp;'Compliance Database'!$N1240&amp;" "&amp;'Compliance Database'!$O1240))),OR(Query!$B$10&lt;&gt;"Yes",'Compliance Database'!$F1240&lt;&gt;"None")),1,0)</f>
        <v/>
      </c>
      <c r="B1240">
        <f>IF($A1240=1,SUM($A$2:$A1240),"")</f>
        <v/>
      </c>
      <c r="C1240">
        <f>IF($A1240=1,SUM($A$2:$A1240),0)</f>
        <v/>
      </c>
    </row>
    <row r="1241">
      <c r="A1241">
        <f>IF(AND(OR(Query!$B$4="All",'Compliance Database'!$A1241=Query!$B$4),OR(Query!$B$5="All",ISNUMBER(SEARCH(Query!$B$5,'Compliance Database'!$H1241))),OR(Query!$B$6="All",ISNUMBER(SEARCH(Query!$B$6,'Compliance Database'!$I1241))),OR(Query!$B$7="All",'Compliance Database'!$F1241=Query!$B$7),OR(Query!$B$8="All",'Compliance Database'!$J1241=Query!$B$8),OR(Query!$B$9="",ISNUMBER(SEARCH(Query!$B$9,'Compliance Database'!$D1241&amp;" "&amp;'Compliance Database'!$K1241&amp;" "&amp;'Compliance Database'!$L1241&amp;" "&amp;'Compliance Database'!$M1241&amp;" "&amp;'Compliance Database'!$N1241&amp;" "&amp;'Compliance Database'!$O1241))),OR(Query!$B$10&lt;&gt;"Yes",'Compliance Database'!$F1241&lt;&gt;"None")),1,0)</f>
        <v/>
      </c>
      <c r="B1241">
        <f>IF($A1241=1,SUM($A$2:$A1241),"")</f>
        <v/>
      </c>
      <c r="C1241">
        <f>IF($A1241=1,SUM($A$2:$A1241),0)</f>
        <v/>
      </c>
    </row>
    <row r="1242">
      <c r="A1242">
        <f>IF(AND(OR(Query!$B$4="All",'Compliance Database'!$A1242=Query!$B$4),OR(Query!$B$5="All",ISNUMBER(SEARCH(Query!$B$5,'Compliance Database'!$H1242))),OR(Query!$B$6="All",ISNUMBER(SEARCH(Query!$B$6,'Compliance Database'!$I1242))),OR(Query!$B$7="All",'Compliance Database'!$F1242=Query!$B$7),OR(Query!$B$8="All",'Compliance Database'!$J1242=Query!$B$8),OR(Query!$B$9="",ISNUMBER(SEARCH(Query!$B$9,'Compliance Database'!$D1242&amp;" "&amp;'Compliance Database'!$K1242&amp;" "&amp;'Compliance Database'!$L1242&amp;" "&amp;'Compliance Database'!$M1242&amp;" "&amp;'Compliance Database'!$N1242&amp;" "&amp;'Compliance Database'!$O1242))),OR(Query!$B$10&lt;&gt;"Yes",'Compliance Database'!$F1242&lt;&gt;"None")),1,0)</f>
        <v/>
      </c>
      <c r="B1242">
        <f>IF($A1242=1,SUM($A$2:$A1242),"")</f>
        <v/>
      </c>
      <c r="C1242">
        <f>IF($A1242=1,SUM($A$2:$A1242),0)</f>
        <v/>
      </c>
    </row>
    <row r="1243">
      <c r="A1243">
        <f>IF(AND(OR(Query!$B$4="All",'Compliance Database'!$A1243=Query!$B$4),OR(Query!$B$5="All",ISNUMBER(SEARCH(Query!$B$5,'Compliance Database'!$H1243))),OR(Query!$B$6="All",ISNUMBER(SEARCH(Query!$B$6,'Compliance Database'!$I1243))),OR(Query!$B$7="All",'Compliance Database'!$F1243=Query!$B$7),OR(Query!$B$8="All",'Compliance Database'!$J1243=Query!$B$8),OR(Query!$B$9="",ISNUMBER(SEARCH(Query!$B$9,'Compliance Database'!$D1243&amp;" "&amp;'Compliance Database'!$K1243&amp;" "&amp;'Compliance Database'!$L1243&amp;" "&amp;'Compliance Database'!$M1243&amp;" "&amp;'Compliance Database'!$N1243&amp;" "&amp;'Compliance Database'!$O1243))),OR(Query!$B$10&lt;&gt;"Yes",'Compliance Database'!$F1243&lt;&gt;"None")),1,0)</f>
        <v/>
      </c>
      <c r="B1243">
        <f>IF($A1243=1,SUM($A$2:$A1243),"")</f>
        <v/>
      </c>
      <c r="C1243">
        <f>IF($A1243=1,SUM($A$2:$A1243),0)</f>
        <v/>
      </c>
    </row>
    <row r="1244">
      <c r="A1244">
        <f>IF(AND(OR(Query!$B$4="All",'Compliance Database'!$A1244=Query!$B$4),OR(Query!$B$5="All",ISNUMBER(SEARCH(Query!$B$5,'Compliance Database'!$H1244))),OR(Query!$B$6="All",ISNUMBER(SEARCH(Query!$B$6,'Compliance Database'!$I1244))),OR(Query!$B$7="All",'Compliance Database'!$F1244=Query!$B$7),OR(Query!$B$8="All",'Compliance Database'!$J1244=Query!$B$8),OR(Query!$B$9="",ISNUMBER(SEARCH(Query!$B$9,'Compliance Database'!$D1244&amp;" "&amp;'Compliance Database'!$K1244&amp;" "&amp;'Compliance Database'!$L1244&amp;" "&amp;'Compliance Database'!$M1244&amp;" "&amp;'Compliance Database'!$N1244&amp;" "&amp;'Compliance Database'!$O1244))),OR(Query!$B$10&lt;&gt;"Yes",'Compliance Database'!$F1244&lt;&gt;"None")),1,0)</f>
        <v/>
      </c>
      <c r="B1244">
        <f>IF($A1244=1,SUM($A$2:$A1244),"")</f>
        <v/>
      </c>
      <c r="C1244">
        <f>IF($A1244=1,SUM($A$2:$A1244),0)</f>
        <v/>
      </c>
    </row>
    <row r="1245">
      <c r="A1245">
        <f>IF(AND(OR(Query!$B$4="All",'Compliance Database'!$A1245=Query!$B$4),OR(Query!$B$5="All",ISNUMBER(SEARCH(Query!$B$5,'Compliance Database'!$H1245))),OR(Query!$B$6="All",ISNUMBER(SEARCH(Query!$B$6,'Compliance Database'!$I1245))),OR(Query!$B$7="All",'Compliance Database'!$F1245=Query!$B$7),OR(Query!$B$8="All",'Compliance Database'!$J1245=Query!$B$8),OR(Query!$B$9="",ISNUMBER(SEARCH(Query!$B$9,'Compliance Database'!$D1245&amp;" "&amp;'Compliance Database'!$K1245&amp;" "&amp;'Compliance Database'!$L1245&amp;" "&amp;'Compliance Database'!$M1245&amp;" "&amp;'Compliance Database'!$N1245&amp;" "&amp;'Compliance Database'!$O1245))),OR(Query!$B$10&lt;&gt;"Yes",'Compliance Database'!$F1245&lt;&gt;"None")),1,0)</f>
        <v/>
      </c>
      <c r="B1245">
        <f>IF($A1245=1,SUM($A$2:$A1245),"")</f>
        <v/>
      </c>
      <c r="C1245">
        <f>IF($A1245=1,SUM($A$2:$A1245),0)</f>
        <v/>
      </c>
    </row>
    <row r="1246">
      <c r="A1246">
        <f>IF(AND(OR(Query!$B$4="All",'Compliance Database'!$A1246=Query!$B$4),OR(Query!$B$5="All",ISNUMBER(SEARCH(Query!$B$5,'Compliance Database'!$H1246))),OR(Query!$B$6="All",ISNUMBER(SEARCH(Query!$B$6,'Compliance Database'!$I1246))),OR(Query!$B$7="All",'Compliance Database'!$F1246=Query!$B$7),OR(Query!$B$8="All",'Compliance Database'!$J1246=Query!$B$8),OR(Query!$B$9="",ISNUMBER(SEARCH(Query!$B$9,'Compliance Database'!$D1246&amp;" "&amp;'Compliance Database'!$K1246&amp;" "&amp;'Compliance Database'!$L1246&amp;" "&amp;'Compliance Database'!$M1246&amp;" "&amp;'Compliance Database'!$N1246&amp;" "&amp;'Compliance Database'!$O1246))),OR(Query!$B$10&lt;&gt;"Yes",'Compliance Database'!$F1246&lt;&gt;"None")),1,0)</f>
        <v/>
      </c>
      <c r="B1246">
        <f>IF($A1246=1,SUM($A$2:$A1246),"")</f>
        <v/>
      </c>
      <c r="C1246">
        <f>IF($A1246=1,SUM($A$2:$A1246),0)</f>
        <v/>
      </c>
    </row>
    <row r="1247">
      <c r="A1247">
        <f>IF(AND(OR(Query!$B$4="All",'Compliance Database'!$A1247=Query!$B$4),OR(Query!$B$5="All",ISNUMBER(SEARCH(Query!$B$5,'Compliance Database'!$H1247))),OR(Query!$B$6="All",ISNUMBER(SEARCH(Query!$B$6,'Compliance Database'!$I1247))),OR(Query!$B$7="All",'Compliance Database'!$F1247=Query!$B$7),OR(Query!$B$8="All",'Compliance Database'!$J1247=Query!$B$8),OR(Query!$B$9="",ISNUMBER(SEARCH(Query!$B$9,'Compliance Database'!$D1247&amp;" "&amp;'Compliance Database'!$K1247&amp;" "&amp;'Compliance Database'!$L1247&amp;" "&amp;'Compliance Database'!$M1247&amp;" "&amp;'Compliance Database'!$N1247&amp;" "&amp;'Compliance Database'!$O1247))),OR(Query!$B$10&lt;&gt;"Yes",'Compliance Database'!$F1247&lt;&gt;"None")),1,0)</f>
        <v/>
      </c>
      <c r="B1247">
        <f>IF($A1247=1,SUM($A$2:$A1247),"")</f>
        <v/>
      </c>
      <c r="C1247">
        <f>IF($A1247=1,SUM($A$2:$A1247),0)</f>
        <v/>
      </c>
    </row>
    <row r="1248">
      <c r="A1248">
        <f>IF(AND(OR(Query!$B$4="All",'Compliance Database'!$A1248=Query!$B$4),OR(Query!$B$5="All",ISNUMBER(SEARCH(Query!$B$5,'Compliance Database'!$H1248))),OR(Query!$B$6="All",ISNUMBER(SEARCH(Query!$B$6,'Compliance Database'!$I1248))),OR(Query!$B$7="All",'Compliance Database'!$F1248=Query!$B$7),OR(Query!$B$8="All",'Compliance Database'!$J1248=Query!$B$8),OR(Query!$B$9="",ISNUMBER(SEARCH(Query!$B$9,'Compliance Database'!$D1248&amp;" "&amp;'Compliance Database'!$K1248&amp;" "&amp;'Compliance Database'!$L1248&amp;" "&amp;'Compliance Database'!$M1248&amp;" "&amp;'Compliance Database'!$N1248&amp;" "&amp;'Compliance Database'!$O1248))),OR(Query!$B$10&lt;&gt;"Yes",'Compliance Database'!$F1248&lt;&gt;"None")),1,0)</f>
        <v/>
      </c>
      <c r="B1248">
        <f>IF($A1248=1,SUM($A$2:$A1248),"")</f>
        <v/>
      </c>
      <c r="C1248">
        <f>IF($A1248=1,SUM($A$2:$A1248),0)</f>
        <v/>
      </c>
    </row>
    <row r="1249">
      <c r="A1249">
        <f>IF(AND(OR(Query!$B$4="All",'Compliance Database'!$A1249=Query!$B$4),OR(Query!$B$5="All",ISNUMBER(SEARCH(Query!$B$5,'Compliance Database'!$H1249))),OR(Query!$B$6="All",ISNUMBER(SEARCH(Query!$B$6,'Compliance Database'!$I1249))),OR(Query!$B$7="All",'Compliance Database'!$F1249=Query!$B$7),OR(Query!$B$8="All",'Compliance Database'!$J1249=Query!$B$8),OR(Query!$B$9="",ISNUMBER(SEARCH(Query!$B$9,'Compliance Database'!$D1249&amp;" "&amp;'Compliance Database'!$K1249&amp;" "&amp;'Compliance Database'!$L1249&amp;" "&amp;'Compliance Database'!$M1249&amp;" "&amp;'Compliance Database'!$N1249&amp;" "&amp;'Compliance Database'!$O1249))),OR(Query!$B$10&lt;&gt;"Yes",'Compliance Database'!$F1249&lt;&gt;"None")),1,0)</f>
        <v/>
      </c>
      <c r="B1249">
        <f>IF($A1249=1,SUM($A$2:$A1249),"")</f>
        <v/>
      </c>
      <c r="C1249">
        <f>IF($A1249=1,SUM($A$2:$A1249),0)</f>
        <v/>
      </c>
    </row>
    <row r="1250">
      <c r="A1250">
        <f>IF(AND(OR(Query!$B$4="All",'Compliance Database'!$A1250=Query!$B$4),OR(Query!$B$5="All",ISNUMBER(SEARCH(Query!$B$5,'Compliance Database'!$H1250))),OR(Query!$B$6="All",ISNUMBER(SEARCH(Query!$B$6,'Compliance Database'!$I1250))),OR(Query!$B$7="All",'Compliance Database'!$F1250=Query!$B$7),OR(Query!$B$8="All",'Compliance Database'!$J1250=Query!$B$8),OR(Query!$B$9="",ISNUMBER(SEARCH(Query!$B$9,'Compliance Database'!$D1250&amp;" "&amp;'Compliance Database'!$K1250&amp;" "&amp;'Compliance Database'!$L1250&amp;" "&amp;'Compliance Database'!$M1250&amp;" "&amp;'Compliance Database'!$N1250&amp;" "&amp;'Compliance Database'!$O1250))),OR(Query!$B$10&lt;&gt;"Yes",'Compliance Database'!$F1250&lt;&gt;"None")),1,0)</f>
        <v/>
      </c>
      <c r="B1250">
        <f>IF($A1250=1,SUM($A$2:$A1250),"")</f>
        <v/>
      </c>
      <c r="C1250">
        <f>IF($A1250=1,SUM($A$2:$A1250),0)</f>
        <v/>
      </c>
    </row>
    <row r="1251">
      <c r="A1251">
        <f>IF(AND(OR(Query!$B$4="All",'Compliance Database'!$A1251=Query!$B$4),OR(Query!$B$5="All",ISNUMBER(SEARCH(Query!$B$5,'Compliance Database'!$H1251))),OR(Query!$B$6="All",ISNUMBER(SEARCH(Query!$B$6,'Compliance Database'!$I1251))),OR(Query!$B$7="All",'Compliance Database'!$F1251=Query!$B$7),OR(Query!$B$8="All",'Compliance Database'!$J1251=Query!$B$8),OR(Query!$B$9="",ISNUMBER(SEARCH(Query!$B$9,'Compliance Database'!$D1251&amp;" "&amp;'Compliance Database'!$K1251&amp;" "&amp;'Compliance Database'!$L1251&amp;" "&amp;'Compliance Database'!$M1251&amp;" "&amp;'Compliance Database'!$N1251&amp;" "&amp;'Compliance Database'!$O1251))),OR(Query!$B$10&lt;&gt;"Yes",'Compliance Database'!$F1251&lt;&gt;"None")),1,0)</f>
        <v/>
      </c>
      <c r="B1251">
        <f>IF($A1251=1,SUM($A$2:$A1251),"")</f>
        <v/>
      </c>
      <c r="C1251">
        <f>IF($A1251=1,SUM($A$2:$A1251),0)</f>
        <v/>
      </c>
    </row>
    <row r="1252">
      <c r="A1252">
        <f>IF(AND(OR(Query!$B$4="All",'Compliance Database'!$A1252=Query!$B$4),OR(Query!$B$5="All",ISNUMBER(SEARCH(Query!$B$5,'Compliance Database'!$H1252))),OR(Query!$B$6="All",ISNUMBER(SEARCH(Query!$B$6,'Compliance Database'!$I1252))),OR(Query!$B$7="All",'Compliance Database'!$F1252=Query!$B$7),OR(Query!$B$8="All",'Compliance Database'!$J1252=Query!$B$8),OR(Query!$B$9="",ISNUMBER(SEARCH(Query!$B$9,'Compliance Database'!$D1252&amp;" "&amp;'Compliance Database'!$K1252&amp;" "&amp;'Compliance Database'!$L1252&amp;" "&amp;'Compliance Database'!$M1252&amp;" "&amp;'Compliance Database'!$N1252&amp;" "&amp;'Compliance Database'!$O1252))),OR(Query!$B$10&lt;&gt;"Yes",'Compliance Database'!$F1252&lt;&gt;"None")),1,0)</f>
        <v/>
      </c>
      <c r="B1252">
        <f>IF($A1252=1,SUM($A$2:$A1252),"")</f>
        <v/>
      </c>
      <c r="C1252">
        <f>IF($A1252=1,SUM($A$2:$A1252),0)</f>
        <v/>
      </c>
    </row>
    <row r="1253">
      <c r="A1253">
        <f>IF(AND(OR(Query!$B$4="All",'Compliance Database'!$A1253=Query!$B$4),OR(Query!$B$5="All",ISNUMBER(SEARCH(Query!$B$5,'Compliance Database'!$H1253))),OR(Query!$B$6="All",ISNUMBER(SEARCH(Query!$B$6,'Compliance Database'!$I1253))),OR(Query!$B$7="All",'Compliance Database'!$F1253=Query!$B$7),OR(Query!$B$8="All",'Compliance Database'!$J1253=Query!$B$8),OR(Query!$B$9="",ISNUMBER(SEARCH(Query!$B$9,'Compliance Database'!$D1253&amp;" "&amp;'Compliance Database'!$K1253&amp;" "&amp;'Compliance Database'!$L1253&amp;" "&amp;'Compliance Database'!$M1253&amp;" "&amp;'Compliance Database'!$N1253&amp;" "&amp;'Compliance Database'!$O1253))),OR(Query!$B$10&lt;&gt;"Yes",'Compliance Database'!$F1253&lt;&gt;"None")),1,0)</f>
        <v/>
      </c>
      <c r="B1253">
        <f>IF($A1253=1,SUM($A$2:$A1253),"")</f>
        <v/>
      </c>
      <c r="C1253">
        <f>IF($A1253=1,SUM($A$2:$A1253),0)</f>
        <v/>
      </c>
    </row>
    <row r="1254">
      <c r="A1254">
        <f>IF(AND(OR(Query!$B$4="All",'Compliance Database'!$A1254=Query!$B$4),OR(Query!$B$5="All",ISNUMBER(SEARCH(Query!$B$5,'Compliance Database'!$H1254))),OR(Query!$B$6="All",ISNUMBER(SEARCH(Query!$B$6,'Compliance Database'!$I1254))),OR(Query!$B$7="All",'Compliance Database'!$F1254=Query!$B$7),OR(Query!$B$8="All",'Compliance Database'!$J1254=Query!$B$8),OR(Query!$B$9="",ISNUMBER(SEARCH(Query!$B$9,'Compliance Database'!$D1254&amp;" "&amp;'Compliance Database'!$K1254&amp;" "&amp;'Compliance Database'!$L1254&amp;" "&amp;'Compliance Database'!$M1254&amp;" "&amp;'Compliance Database'!$N1254&amp;" "&amp;'Compliance Database'!$O1254))),OR(Query!$B$10&lt;&gt;"Yes",'Compliance Database'!$F1254&lt;&gt;"None")),1,0)</f>
        <v/>
      </c>
      <c r="B1254">
        <f>IF($A1254=1,SUM($A$2:$A1254),"")</f>
        <v/>
      </c>
      <c r="C1254">
        <f>IF($A1254=1,SUM($A$2:$A1254),0)</f>
        <v/>
      </c>
    </row>
    <row r="1255">
      <c r="A1255">
        <f>IF(AND(OR(Query!$B$4="All",'Compliance Database'!$A1255=Query!$B$4),OR(Query!$B$5="All",ISNUMBER(SEARCH(Query!$B$5,'Compliance Database'!$H1255))),OR(Query!$B$6="All",ISNUMBER(SEARCH(Query!$B$6,'Compliance Database'!$I1255))),OR(Query!$B$7="All",'Compliance Database'!$F1255=Query!$B$7),OR(Query!$B$8="All",'Compliance Database'!$J1255=Query!$B$8),OR(Query!$B$9="",ISNUMBER(SEARCH(Query!$B$9,'Compliance Database'!$D1255&amp;" "&amp;'Compliance Database'!$K1255&amp;" "&amp;'Compliance Database'!$L1255&amp;" "&amp;'Compliance Database'!$M1255&amp;" "&amp;'Compliance Database'!$N1255&amp;" "&amp;'Compliance Database'!$O1255))),OR(Query!$B$10&lt;&gt;"Yes",'Compliance Database'!$F1255&lt;&gt;"None")),1,0)</f>
        <v/>
      </c>
      <c r="B1255">
        <f>IF($A1255=1,SUM($A$2:$A1255),"")</f>
        <v/>
      </c>
      <c r="C1255">
        <f>IF($A1255=1,SUM($A$2:$A1255),0)</f>
        <v/>
      </c>
    </row>
    <row r="1256">
      <c r="A1256">
        <f>IF(AND(OR(Query!$B$4="All",'Compliance Database'!$A1256=Query!$B$4),OR(Query!$B$5="All",ISNUMBER(SEARCH(Query!$B$5,'Compliance Database'!$H1256))),OR(Query!$B$6="All",ISNUMBER(SEARCH(Query!$B$6,'Compliance Database'!$I1256))),OR(Query!$B$7="All",'Compliance Database'!$F1256=Query!$B$7),OR(Query!$B$8="All",'Compliance Database'!$J1256=Query!$B$8),OR(Query!$B$9="",ISNUMBER(SEARCH(Query!$B$9,'Compliance Database'!$D1256&amp;" "&amp;'Compliance Database'!$K1256&amp;" "&amp;'Compliance Database'!$L1256&amp;" "&amp;'Compliance Database'!$M1256&amp;" "&amp;'Compliance Database'!$N1256&amp;" "&amp;'Compliance Database'!$O1256))),OR(Query!$B$10&lt;&gt;"Yes",'Compliance Database'!$F1256&lt;&gt;"None")),1,0)</f>
        <v/>
      </c>
      <c r="B1256">
        <f>IF($A1256=1,SUM($A$2:$A1256),"")</f>
        <v/>
      </c>
      <c r="C1256">
        <f>IF($A1256=1,SUM($A$2:$A1256),0)</f>
        <v/>
      </c>
    </row>
    <row r="1257">
      <c r="A1257">
        <f>IF(AND(OR(Query!$B$4="All",'Compliance Database'!$A1257=Query!$B$4),OR(Query!$B$5="All",ISNUMBER(SEARCH(Query!$B$5,'Compliance Database'!$H1257))),OR(Query!$B$6="All",ISNUMBER(SEARCH(Query!$B$6,'Compliance Database'!$I1257))),OR(Query!$B$7="All",'Compliance Database'!$F1257=Query!$B$7),OR(Query!$B$8="All",'Compliance Database'!$J1257=Query!$B$8),OR(Query!$B$9="",ISNUMBER(SEARCH(Query!$B$9,'Compliance Database'!$D1257&amp;" "&amp;'Compliance Database'!$K1257&amp;" "&amp;'Compliance Database'!$L1257&amp;" "&amp;'Compliance Database'!$M1257&amp;" "&amp;'Compliance Database'!$N1257&amp;" "&amp;'Compliance Database'!$O1257))),OR(Query!$B$10&lt;&gt;"Yes",'Compliance Database'!$F1257&lt;&gt;"None")),1,0)</f>
        <v/>
      </c>
      <c r="B1257">
        <f>IF($A1257=1,SUM($A$2:$A1257),"")</f>
        <v/>
      </c>
      <c r="C1257">
        <f>IF($A1257=1,SUM($A$2:$A1257),0)</f>
        <v/>
      </c>
    </row>
    <row r="1258">
      <c r="A1258">
        <f>IF(AND(OR(Query!$B$4="All",'Compliance Database'!$A1258=Query!$B$4),OR(Query!$B$5="All",ISNUMBER(SEARCH(Query!$B$5,'Compliance Database'!$H1258))),OR(Query!$B$6="All",ISNUMBER(SEARCH(Query!$B$6,'Compliance Database'!$I1258))),OR(Query!$B$7="All",'Compliance Database'!$F1258=Query!$B$7),OR(Query!$B$8="All",'Compliance Database'!$J1258=Query!$B$8),OR(Query!$B$9="",ISNUMBER(SEARCH(Query!$B$9,'Compliance Database'!$D1258&amp;" "&amp;'Compliance Database'!$K1258&amp;" "&amp;'Compliance Database'!$L1258&amp;" "&amp;'Compliance Database'!$M1258&amp;" "&amp;'Compliance Database'!$N1258&amp;" "&amp;'Compliance Database'!$O1258))),OR(Query!$B$10&lt;&gt;"Yes",'Compliance Database'!$F1258&lt;&gt;"None")),1,0)</f>
        <v/>
      </c>
      <c r="B1258">
        <f>IF($A1258=1,SUM($A$2:$A1258),"")</f>
        <v/>
      </c>
      <c r="C1258">
        <f>IF($A1258=1,SUM($A$2:$A1258),0)</f>
        <v/>
      </c>
    </row>
    <row r="1259">
      <c r="A1259">
        <f>IF(AND(OR(Query!$B$4="All",'Compliance Database'!$A1259=Query!$B$4),OR(Query!$B$5="All",ISNUMBER(SEARCH(Query!$B$5,'Compliance Database'!$H1259))),OR(Query!$B$6="All",ISNUMBER(SEARCH(Query!$B$6,'Compliance Database'!$I1259))),OR(Query!$B$7="All",'Compliance Database'!$F1259=Query!$B$7),OR(Query!$B$8="All",'Compliance Database'!$J1259=Query!$B$8),OR(Query!$B$9="",ISNUMBER(SEARCH(Query!$B$9,'Compliance Database'!$D1259&amp;" "&amp;'Compliance Database'!$K1259&amp;" "&amp;'Compliance Database'!$L1259&amp;" "&amp;'Compliance Database'!$M1259&amp;" "&amp;'Compliance Database'!$N1259&amp;" "&amp;'Compliance Database'!$O1259))),OR(Query!$B$10&lt;&gt;"Yes",'Compliance Database'!$F1259&lt;&gt;"None")),1,0)</f>
        <v/>
      </c>
      <c r="B1259">
        <f>IF($A1259=1,SUM($A$2:$A1259),"")</f>
        <v/>
      </c>
      <c r="C1259">
        <f>IF($A1259=1,SUM($A$2:$A1259),0)</f>
        <v/>
      </c>
    </row>
    <row r="1260">
      <c r="A1260">
        <f>IF(AND(OR(Query!$B$4="All",'Compliance Database'!$A1260=Query!$B$4),OR(Query!$B$5="All",ISNUMBER(SEARCH(Query!$B$5,'Compliance Database'!$H1260))),OR(Query!$B$6="All",ISNUMBER(SEARCH(Query!$B$6,'Compliance Database'!$I1260))),OR(Query!$B$7="All",'Compliance Database'!$F1260=Query!$B$7),OR(Query!$B$8="All",'Compliance Database'!$J1260=Query!$B$8),OR(Query!$B$9="",ISNUMBER(SEARCH(Query!$B$9,'Compliance Database'!$D1260&amp;" "&amp;'Compliance Database'!$K1260&amp;" "&amp;'Compliance Database'!$L1260&amp;" "&amp;'Compliance Database'!$M1260&amp;" "&amp;'Compliance Database'!$N1260&amp;" "&amp;'Compliance Database'!$O1260))),OR(Query!$B$10&lt;&gt;"Yes",'Compliance Database'!$F1260&lt;&gt;"None")),1,0)</f>
        <v/>
      </c>
      <c r="B1260">
        <f>IF($A1260=1,SUM($A$2:$A1260),"")</f>
        <v/>
      </c>
      <c r="C1260">
        <f>IF($A1260=1,SUM($A$2:$A1260),0)</f>
        <v/>
      </c>
    </row>
    <row r="1261">
      <c r="A1261">
        <f>IF(AND(OR(Query!$B$4="All",'Compliance Database'!$A1261=Query!$B$4),OR(Query!$B$5="All",ISNUMBER(SEARCH(Query!$B$5,'Compliance Database'!$H1261))),OR(Query!$B$6="All",ISNUMBER(SEARCH(Query!$B$6,'Compliance Database'!$I1261))),OR(Query!$B$7="All",'Compliance Database'!$F1261=Query!$B$7),OR(Query!$B$8="All",'Compliance Database'!$J1261=Query!$B$8),OR(Query!$B$9="",ISNUMBER(SEARCH(Query!$B$9,'Compliance Database'!$D1261&amp;" "&amp;'Compliance Database'!$K1261&amp;" "&amp;'Compliance Database'!$L1261&amp;" "&amp;'Compliance Database'!$M1261&amp;" "&amp;'Compliance Database'!$N1261&amp;" "&amp;'Compliance Database'!$O1261))),OR(Query!$B$10&lt;&gt;"Yes",'Compliance Database'!$F1261&lt;&gt;"None")),1,0)</f>
        <v/>
      </c>
      <c r="B1261">
        <f>IF($A1261=1,SUM($A$2:$A1261),"")</f>
        <v/>
      </c>
      <c r="C1261">
        <f>IF($A1261=1,SUM($A$2:$A1261),0)</f>
        <v/>
      </c>
    </row>
    <row r="1262">
      <c r="A1262">
        <f>IF(AND(OR(Query!$B$4="All",'Compliance Database'!$A1262=Query!$B$4),OR(Query!$B$5="All",ISNUMBER(SEARCH(Query!$B$5,'Compliance Database'!$H1262))),OR(Query!$B$6="All",ISNUMBER(SEARCH(Query!$B$6,'Compliance Database'!$I1262))),OR(Query!$B$7="All",'Compliance Database'!$F1262=Query!$B$7),OR(Query!$B$8="All",'Compliance Database'!$J1262=Query!$B$8),OR(Query!$B$9="",ISNUMBER(SEARCH(Query!$B$9,'Compliance Database'!$D1262&amp;" "&amp;'Compliance Database'!$K1262&amp;" "&amp;'Compliance Database'!$L1262&amp;" "&amp;'Compliance Database'!$M1262&amp;" "&amp;'Compliance Database'!$N1262&amp;" "&amp;'Compliance Database'!$O1262))),OR(Query!$B$10&lt;&gt;"Yes",'Compliance Database'!$F1262&lt;&gt;"None")),1,0)</f>
        <v/>
      </c>
      <c r="B1262">
        <f>IF($A1262=1,SUM($A$2:$A1262),"")</f>
        <v/>
      </c>
      <c r="C1262">
        <f>IF($A1262=1,SUM($A$2:$A1262),0)</f>
        <v/>
      </c>
    </row>
    <row r="1263">
      <c r="A1263">
        <f>IF(AND(OR(Query!$B$4="All",'Compliance Database'!$A1263=Query!$B$4),OR(Query!$B$5="All",ISNUMBER(SEARCH(Query!$B$5,'Compliance Database'!$H1263))),OR(Query!$B$6="All",ISNUMBER(SEARCH(Query!$B$6,'Compliance Database'!$I1263))),OR(Query!$B$7="All",'Compliance Database'!$F1263=Query!$B$7),OR(Query!$B$8="All",'Compliance Database'!$J1263=Query!$B$8),OR(Query!$B$9="",ISNUMBER(SEARCH(Query!$B$9,'Compliance Database'!$D1263&amp;" "&amp;'Compliance Database'!$K1263&amp;" "&amp;'Compliance Database'!$L1263&amp;" "&amp;'Compliance Database'!$M1263&amp;" "&amp;'Compliance Database'!$N1263&amp;" "&amp;'Compliance Database'!$O1263))),OR(Query!$B$10&lt;&gt;"Yes",'Compliance Database'!$F1263&lt;&gt;"None")),1,0)</f>
        <v/>
      </c>
      <c r="B1263">
        <f>IF($A1263=1,SUM($A$2:$A1263),"")</f>
        <v/>
      </c>
      <c r="C1263">
        <f>IF($A1263=1,SUM($A$2:$A1263),0)</f>
        <v/>
      </c>
    </row>
    <row r="1264">
      <c r="A1264">
        <f>IF(AND(OR(Query!$B$4="All",'Compliance Database'!$A1264=Query!$B$4),OR(Query!$B$5="All",ISNUMBER(SEARCH(Query!$B$5,'Compliance Database'!$H1264))),OR(Query!$B$6="All",ISNUMBER(SEARCH(Query!$B$6,'Compliance Database'!$I1264))),OR(Query!$B$7="All",'Compliance Database'!$F1264=Query!$B$7),OR(Query!$B$8="All",'Compliance Database'!$J1264=Query!$B$8),OR(Query!$B$9="",ISNUMBER(SEARCH(Query!$B$9,'Compliance Database'!$D1264&amp;" "&amp;'Compliance Database'!$K1264&amp;" "&amp;'Compliance Database'!$L1264&amp;" "&amp;'Compliance Database'!$M1264&amp;" "&amp;'Compliance Database'!$N1264&amp;" "&amp;'Compliance Database'!$O1264))),OR(Query!$B$10&lt;&gt;"Yes",'Compliance Database'!$F1264&lt;&gt;"None")),1,0)</f>
        <v/>
      </c>
      <c r="B1264">
        <f>IF($A1264=1,SUM($A$2:$A1264),"")</f>
        <v/>
      </c>
      <c r="C1264">
        <f>IF($A1264=1,SUM($A$2:$A1264),0)</f>
        <v/>
      </c>
    </row>
    <row r="1265">
      <c r="A1265">
        <f>IF(AND(OR(Query!$B$4="All",'Compliance Database'!$A1265=Query!$B$4),OR(Query!$B$5="All",ISNUMBER(SEARCH(Query!$B$5,'Compliance Database'!$H1265))),OR(Query!$B$6="All",ISNUMBER(SEARCH(Query!$B$6,'Compliance Database'!$I1265))),OR(Query!$B$7="All",'Compliance Database'!$F1265=Query!$B$7),OR(Query!$B$8="All",'Compliance Database'!$J1265=Query!$B$8),OR(Query!$B$9="",ISNUMBER(SEARCH(Query!$B$9,'Compliance Database'!$D1265&amp;" "&amp;'Compliance Database'!$K1265&amp;" "&amp;'Compliance Database'!$L1265&amp;" "&amp;'Compliance Database'!$M1265&amp;" "&amp;'Compliance Database'!$N1265&amp;" "&amp;'Compliance Database'!$O1265))),OR(Query!$B$10&lt;&gt;"Yes",'Compliance Database'!$F1265&lt;&gt;"None")),1,0)</f>
        <v/>
      </c>
      <c r="B1265">
        <f>IF($A1265=1,SUM($A$2:$A1265),"")</f>
        <v/>
      </c>
      <c r="C1265">
        <f>IF($A1265=1,SUM($A$2:$A1265),0)</f>
        <v/>
      </c>
    </row>
    <row r="1266">
      <c r="A1266">
        <f>IF(AND(OR(Query!$B$4="All",'Compliance Database'!$A1266=Query!$B$4),OR(Query!$B$5="All",ISNUMBER(SEARCH(Query!$B$5,'Compliance Database'!$H1266))),OR(Query!$B$6="All",ISNUMBER(SEARCH(Query!$B$6,'Compliance Database'!$I1266))),OR(Query!$B$7="All",'Compliance Database'!$F1266=Query!$B$7),OR(Query!$B$8="All",'Compliance Database'!$J1266=Query!$B$8),OR(Query!$B$9="",ISNUMBER(SEARCH(Query!$B$9,'Compliance Database'!$D1266&amp;" "&amp;'Compliance Database'!$K1266&amp;" "&amp;'Compliance Database'!$L1266&amp;" "&amp;'Compliance Database'!$M1266&amp;" "&amp;'Compliance Database'!$N1266&amp;" "&amp;'Compliance Database'!$O1266))),OR(Query!$B$10&lt;&gt;"Yes",'Compliance Database'!$F1266&lt;&gt;"None")),1,0)</f>
        <v/>
      </c>
      <c r="B1266">
        <f>IF($A1266=1,SUM($A$2:$A1266),"")</f>
        <v/>
      </c>
      <c r="C1266">
        <f>IF($A1266=1,SUM($A$2:$A1266),0)</f>
        <v/>
      </c>
    </row>
    <row r="1267">
      <c r="A1267">
        <f>IF(AND(OR(Query!$B$4="All",'Compliance Database'!$A1267=Query!$B$4),OR(Query!$B$5="All",ISNUMBER(SEARCH(Query!$B$5,'Compliance Database'!$H1267))),OR(Query!$B$6="All",ISNUMBER(SEARCH(Query!$B$6,'Compliance Database'!$I1267))),OR(Query!$B$7="All",'Compliance Database'!$F1267=Query!$B$7),OR(Query!$B$8="All",'Compliance Database'!$J1267=Query!$B$8),OR(Query!$B$9="",ISNUMBER(SEARCH(Query!$B$9,'Compliance Database'!$D1267&amp;" "&amp;'Compliance Database'!$K1267&amp;" "&amp;'Compliance Database'!$L1267&amp;" "&amp;'Compliance Database'!$M1267&amp;" "&amp;'Compliance Database'!$N1267&amp;" "&amp;'Compliance Database'!$O1267))),OR(Query!$B$10&lt;&gt;"Yes",'Compliance Database'!$F1267&lt;&gt;"None")),1,0)</f>
        <v/>
      </c>
      <c r="B1267">
        <f>IF($A1267=1,SUM($A$2:$A1267),"")</f>
        <v/>
      </c>
      <c r="C1267">
        <f>IF($A1267=1,SUM($A$2:$A1267),0)</f>
        <v/>
      </c>
    </row>
    <row r="1268">
      <c r="A1268">
        <f>IF(AND(OR(Query!$B$4="All",'Compliance Database'!$A1268=Query!$B$4),OR(Query!$B$5="All",ISNUMBER(SEARCH(Query!$B$5,'Compliance Database'!$H1268))),OR(Query!$B$6="All",ISNUMBER(SEARCH(Query!$B$6,'Compliance Database'!$I1268))),OR(Query!$B$7="All",'Compliance Database'!$F1268=Query!$B$7),OR(Query!$B$8="All",'Compliance Database'!$J1268=Query!$B$8),OR(Query!$B$9="",ISNUMBER(SEARCH(Query!$B$9,'Compliance Database'!$D1268&amp;" "&amp;'Compliance Database'!$K1268&amp;" "&amp;'Compliance Database'!$L1268&amp;" "&amp;'Compliance Database'!$M1268&amp;" "&amp;'Compliance Database'!$N1268&amp;" "&amp;'Compliance Database'!$O1268))),OR(Query!$B$10&lt;&gt;"Yes",'Compliance Database'!$F1268&lt;&gt;"None")),1,0)</f>
        <v/>
      </c>
      <c r="B1268">
        <f>IF($A1268=1,SUM($A$2:$A1268),"")</f>
        <v/>
      </c>
      <c r="C1268">
        <f>IF($A1268=1,SUM($A$2:$A1268),0)</f>
        <v/>
      </c>
    </row>
    <row r="1269">
      <c r="A1269">
        <f>IF(AND(OR(Query!$B$4="All",'Compliance Database'!$A1269=Query!$B$4),OR(Query!$B$5="All",ISNUMBER(SEARCH(Query!$B$5,'Compliance Database'!$H1269))),OR(Query!$B$6="All",ISNUMBER(SEARCH(Query!$B$6,'Compliance Database'!$I1269))),OR(Query!$B$7="All",'Compliance Database'!$F1269=Query!$B$7),OR(Query!$B$8="All",'Compliance Database'!$J1269=Query!$B$8),OR(Query!$B$9="",ISNUMBER(SEARCH(Query!$B$9,'Compliance Database'!$D1269&amp;" "&amp;'Compliance Database'!$K1269&amp;" "&amp;'Compliance Database'!$L1269&amp;" "&amp;'Compliance Database'!$M1269&amp;" "&amp;'Compliance Database'!$N1269&amp;" "&amp;'Compliance Database'!$O1269))),OR(Query!$B$10&lt;&gt;"Yes",'Compliance Database'!$F1269&lt;&gt;"None")),1,0)</f>
        <v/>
      </c>
      <c r="B1269">
        <f>IF($A1269=1,SUM($A$2:$A1269),"")</f>
        <v/>
      </c>
      <c r="C1269">
        <f>IF($A1269=1,SUM($A$2:$A1269),0)</f>
        <v/>
      </c>
    </row>
    <row r="1270">
      <c r="A1270">
        <f>IF(AND(OR(Query!$B$4="All",'Compliance Database'!$A1270=Query!$B$4),OR(Query!$B$5="All",ISNUMBER(SEARCH(Query!$B$5,'Compliance Database'!$H1270))),OR(Query!$B$6="All",ISNUMBER(SEARCH(Query!$B$6,'Compliance Database'!$I1270))),OR(Query!$B$7="All",'Compliance Database'!$F1270=Query!$B$7),OR(Query!$B$8="All",'Compliance Database'!$J1270=Query!$B$8),OR(Query!$B$9="",ISNUMBER(SEARCH(Query!$B$9,'Compliance Database'!$D1270&amp;" "&amp;'Compliance Database'!$K1270&amp;" "&amp;'Compliance Database'!$L1270&amp;" "&amp;'Compliance Database'!$M1270&amp;" "&amp;'Compliance Database'!$N1270&amp;" "&amp;'Compliance Database'!$O1270))),OR(Query!$B$10&lt;&gt;"Yes",'Compliance Database'!$F1270&lt;&gt;"None")),1,0)</f>
        <v/>
      </c>
      <c r="B1270">
        <f>IF($A1270=1,SUM($A$2:$A1270),"")</f>
        <v/>
      </c>
      <c r="C1270">
        <f>IF($A1270=1,SUM($A$2:$A1270),0)</f>
        <v/>
      </c>
    </row>
    <row r="1271">
      <c r="A1271">
        <f>IF(AND(OR(Query!$B$4="All",'Compliance Database'!$A1271=Query!$B$4),OR(Query!$B$5="All",ISNUMBER(SEARCH(Query!$B$5,'Compliance Database'!$H1271))),OR(Query!$B$6="All",ISNUMBER(SEARCH(Query!$B$6,'Compliance Database'!$I1271))),OR(Query!$B$7="All",'Compliance Database'!$F1271=Query!$B$7),OR(Query!$B$8="All",'Compliance Database'!$J1271=Query!$B$8),OR(Query!$B$9="",ISNUMBER(SEARCH(Query!$B$9,'Compliance Database'!$D1271&amp;" "&amp;'Compliance Database'!$K1271&amp;" "&amp;'Compliance Database'!$L1271&amp;" "&amp;'Compliance Database'!$M1271&amp;" "&amp;'Compliance Database'!$N1271&amp;" "&amp;'Compliance Database'!$O1271))),OR(Query!$B$10&lt;&gt;"Yes",'Compliance Database'!$F1271&lt;&gt;"None")),1,0)</f>
        <v/>
      </c>
      <c r="B1271">
        <f>IF($A1271=1,SUM($A$2:$A1271),"")</f>
        <v/>
      </c>
      <c r="C1271">
        <f>IF($A1271=1,SUM($A$2:$A1271),0)</f>
        <v/>
      </c>
    </row>
    <row r="1272">
      <c r="A1272">
        <f>IF(AND(OR(Query!$B$4="All",'Compliance Database'!$A1272=Query!$B$4),OR(Query!$B$5="All",ISNUMBER(SEARCH(Query!$B$5,'Compliance Database'!$H1272))),OR(Query!$B$6="All",ISNUMBER(SEARCH(Query!$B$6,'Compliance Database'!$I1272))),OR(Query!$B$7="All",'Compliance Database'!$F1272=Query!$B$7),OR(Query!$B$8="All",'Compliance Database'!$J1272=Query!$B$8),OR(Query!$B$9="",ISNUMBER(SEARCH(Query!$B$9,'Compliance Database'!$D1272&amp;" "&amp;'Compliance Database'!$K1272&amp;" "&amp;'Compliance Database'!$L1272&amp;" "&amp;'Compliance Database'!$M1272&amp;" "&amp;'Compliance Database'!$N1272&amp;" "&amp;'Compliance Database'!$O1272))),OR(Query!$B$10&lt;&gt;"Yes",'Compliance Database'!$F1272&lt;&gt;"None")),1,0)</f>
        <v/>
      </c>
      <c r="B1272">
        <f>IF($A1272=1,SUM($A$2:$A1272),"")</f>
        <v/>
      </c>
      <c r="C1272">
        <f>IF($A1272=1,SUM($A$2:$A1272),0)</f>
        <v/>
      </c>
    </row>
    <row r="1273">
      <c r="A1273">
        <f>IF(AND(OR(Query!$B$4="All",'Compliance Database'!$A1273=Query!$B$4),OR(Query!$B$5="All",ISNUMBER(SEARCH(Query!$B$5,'Compliance Database'!$H1273))),OR(Query!$B$6="All",ISNUMBER(SEARCH(Query!$B$6,'Compliance Database'!$I1273))),OR(Query!$B$7="All",'Compliance Database'!$F1273=Query!$B$7),OR(Query!$B$8="All",'Compliance Database'!$J1273=Query!$B$8),OR(Query!$B$9="",ISNUMBER(SEARCH(Query!$B$9,'Compliance Database'!$D1273&amp;" "&amp;'Compliance Database'!$K1273&amp;" "&amp;'Compliance Database'!$L1273&amp;" "&amp;'Compliance Database'!$M1273&amp;" "&amp;'Compliance Database'!$N1273&amp;" "&amp;'Compliance Database'!$O1273))),OR(Query!$B$10&lt;&gt;"Yes",'Compliance Database'!$F1273&lt;&gt;"None")),1,0)</f>
        <v/>
      </c>
      <c r="B1273">
        <f>IF($A1273=1,SUM($A$2:$A1273),"")</f>
        <v/>
      </c>
      <c r="C1273">
        <f>IF($A1273=1,SUM($A$2:$A1273),0)</f>
        <v/>
      </c>
    </row>
    <row r="1274">
      <c r="A1274">
        <f>IF(AND(OR(Query!$B$4="All",'Compliance Database'!$A1274=Query!$B$4),OR(Query!$B$5="All",ISNUMBER(SEARCH(Query!$B$5,'Compliance Database'!$H1274))),OR(Query!$B$6="All",ISNUMBER(SEARCH(Query!$B$6,'Compliance Database'!$I1274))),OR(Query!$B$7="All",'Compliance Database'!$F1274=Query!$B$7),OR(Query!$B$8="All",'Compliance Database'!$J1274=Query!$B$8),OR(Query!$B$9="",ISNUMBER(SEARCH(Query!$B$9,'Compliance Database'!$D1274&amp;" "&amp;'Compliance Database'!$K1274&amp;" "&amp;'Compliance Database'!$L1274&amp;" "&amp;'Compliance Database'!$M1274&amp;" "&amp;'Compliance Database'!$N1274&amp;" "&amp;'Compliance Database'!$O1274))),OR(Query!$B$10&lt;&gt;"Yes",'Compliance Database'!$F1274&lt;&gt;"None")),1,0)</f>
        <v/>
      </c>
      <c r="B1274">
        <f>IF($A1274=1,SUM($A$2:$A1274),"")</f>
        <v/>
      </c>
      <c r="C1274">
        <f>IF($A1274=1,SUM($A$2:$A1274),0)</f>
        <v/>
      </c>
    </row>
    <row r="1275">
      <c r="A1275">
        <f>IF(AND(OR(Query!$B$4="All",'Compliance Database'!$A1275=Query!$B$4),OR(Query!$B$5="All",ISNUMBER(SEARCH(Query!$B$5,'Compliance Database'!$H1275))),OR(Query!$B$6="All",ISNUMBER(SEARCH(Query!$B$6,'Compliance Database'!$I1275))),OR(Query!$B$7="All",'Compliance Database'!$F1275=Query!$B$7),OR(Query!$B$8="All",'Compliance Database'!$J1275=Query!$B$8),OR(Query!$B$9="",ISNUMBER(SEARCH(Query!$B$9,'Compliance Database'!$D1275&amp;" "&amp;'Compliance Database'!$K1275&amp;" "&amp;'Compliance Database'!$L1275&amp;" "&amp;'Compliance Database'!$M1275&amp;" "&amp;'Compliance Database'!$N1275&amp;" "&amp;'Compliance Database'!$O1275))),OR(Query!$B$10&lt;&gt;"Yes",'Compliance Database'!$F1275&lt;&gt;"None")),1,0)</f>
        <v/>
      </c>
      <c r="B1275">
        <f>IF($A1275=1,SUM($A$2:$A1275),"")</f>
        <v/>
      </c>
      <c r="C1275">
        <f>IF($A1275=1,SUM($A$2:$A1275),0)</f>
        <v/>
      </c>
    </row>
    <row r="1276">
      <c r="A1276">
        <f>IF(AND(OR(Query!$B$4="All",'Compliance Database'!$A1276=Query!$B$4),OR(Query!$B$5="All",ISNUMBER(SEARCH(Query!$B$5,'Compliance Database'!$H1276))),OR(Query!$B$6="All",ISNUMBER(SEARCH(Query!$B$6,'Compliance Database'!$I1276))),OR(Query!$B$7="All",'Compliance Database'!$F1276=Query!$B$7),OR(Query!$B$8="All",'Compliance Database'!$J1276=Query!$B$8),OR(Query!$B$9="",ISNUMBER(SEARCH(Query!$B$9,'Compliance Database'!$D1276&amp;" "&amp;'Compliance Database'!$K1276&amp;" "&amp;'Compliance Database'!$L1276&amp;" "&amp;'Compliance Database'!$M1276&amp;" "&amp;'Compliance Database'!$N1276&amp;" "&amp;'Compliance Database'!$O1276))),OR(Query!$B$10&lt;&gt;"Yes",'Compliance Database'!$F1276&lt;&gt;"None")),1,0)</f>
        <v/>
      </c>
      <c r="B1276">
        <f>IF($A1276=1,SUM($A$2:$A1276),"")</f>
        <v/>
      </c>
      <c r="C1276">
        <f>IF($A1276=1,SUM($A$2:$A1276),0)</f>
        <v/>
      </c>
    </row>
    <row r="1277">
      <c r="A1277">
        <f>IF(AND(OR(Query!$B$4="All",'Compliance Database'!$A1277=Query!$B$4),OR(Query!$B$5="All",ISNUMBER(SEARCH(Query!$B$5,'Compliance Database'!$H1277))),OR(Query!$B$6="All",ISNUMBER(SEARCH(Query!$B$6,'Compliance Database'!$I1277))),OR(Query!$B$7="All",'Compliance Database'!$F1277=Query!$B$7),OR(Query!$B$8="All",'Compliance Database'!$J1277=Query!$B$8),OR(Query!$B$9="",ISNUMBER(SEARCH(Query!$B$9,'Compliance Database'!$D1277&amp;" "&amp;'Compliance Database'!$K1277&amp;" "&amp;'Compliance Database'!$L1277&amp;" "&amp;'Compliance Database'!$M1277&amp;" "&amp;'Compliance Database'!$N1277&amp;" "&amp;'Compliance Database'!$O1277))),OR(Query!$B$10&lt;&gt;"Yes",'Compliance Database'!$F1277&lt;&gt;"None")),1,0)</f>
        <v/>
      </c>
      <c r="B1277">
        <f>IF($A1277=1,SUM($A$2:$A1277),"")</f>
        <v/>
      </c>
      <c r="C1277">
        <f>IF($A1277=1,SUM($A$2:$A1277),0)</f>
        <v/>
      </c>
    </row>
    <row r="1278">
      <c r="A1278">
        <f>IF(AND(OR(Query!$B$4="All",'Compliance Database'!$A1278=Query!$B$4),OR(Query!$B$5="All",ISNUMBER(SEARCH(Query!$B$5,'Compliance Database'!$H1278))),OR(Query!$B$6="All",ISNUMBER(SEARCH(Query!$B$6,'Compliance Database'!$I1278))),OR(Query!$B$7="All",'Compliance Database'!$F1278=Query!$B$7),OR(Query!$B$8="All",'Compliance Database'!$J1278=Query!$B$8),OR(Query!$B$9="",ISNUMBER(SEARCH(Query!$B$9,'Compliance Database'!$D1278&amp;" "&amp;'Compliance Database'!$K1278&amp;" "&amp;'Compliance Database'!$L1278&amp;" "&amp;'Compliance Database'!$M1278&amp;" "&amp;'Compliance Database'!$N1278&amp;" "&amp;'Compliance Database'!$O1278))),OR(Query!$B$10&lt;&gt;"Yes",'Compliance Database'!$F1278&lt;&gt;"None")),1,0)</f>
        <v/>
      </c>
      <c r="B1278">
        <f>IF($A1278=1,SUM($A$2:$A1278),"")</f>
        <v/>
      </c>
      <c r="C1278">
        <f>IF($A1278=1,SUM($A$2:$A1278),0)</f>
        <v/>
      </c>
    </row>
    <row r="1279">
      <c r="A1279">
        <f>IF(AND(OR(Query!$B$4="All",'Compliance Database'!$A1279=Query!$B$4),OR(Query!$B$5="All",ISNUMBER(SEARCH(Query!$B$5,'Compliance Database'!$H1279))),OR(Query!$B$6="All",ISNUMBER(SEARCH(Query!$B$6,'Compliance Database'!$I1279))),OR(Query!$B$7="All",'Compliance Database'!$F1279=Query!$B$7),OR(Query!$B$8="All",'Compliance Database'!$J1279=Query!$B$8),OR(Query!$B$9="",ISNUMBER(SEARCH(Query!$B$9,'Compliance Database'!$D1279&amp;" "&amp;'Compliance Database'!$K1279&amp;" "&amp;'Compliance Database'!$L1279&amp;" "&amp;'Compliance Database'!$M1279&amp;" "&amp;'Compliance Database'!$N1279&amp;" "&amp;'Compliance Database'!$O1279))),OR(Query!$B$10&lt;&gt;"Yes",'Compliance Database'!$F1279&lt;&gt;"None")),1,0)</f>
        <v/>
      </c>
      <c r="B1279">
        <f>IF($A1279=1,SUM($A$2:$A1279),"")</f>
        <v/>
      </c>
      <c r="C1279">
        <f>IF($A1279=1,SUM($A$2:$A1279),0)</f>
        <v/>
      </c>
    </row>
    <row r="1280">
      <c r="A1280">
        <f>IF(AND(OR(Query!$B$4="All",'Compliance Database'!$A1280=Query!$B$4),OR(Query!$B$5="All",ISNUMBER(SEARCH(Query!$B$5,'Compliance Database'!$H1280))),OR(Query!$B$6="All",ISNUMBER(SEARCH(Query!$B$6,'Compliance Database'!$I1280))),OR(Query!$B$7="All",'Compliance Database'!$F1280=Query!$B$7),OR(Query!$B$8="All",'Compliance Database'!$J1280=Query!$B$8),OR(Query!$B$9="",ISNUMBER(SEARCH(Query!$B$9,'Compliance Database'!$D1280&amp;" "&amp;'Compliance Database'!$K1280&amp;" "&amp;'Compliance Database'!$L1280&amp;" "&amp;'Compliance Database'!$M1280&amp;" "&amp;'Compliance Database'!$N1280&amp;" "&amp;'Compliance Database'!$O1280))),OR(Query!$B$10&lt;&gt;"Yes",'Compliance Database'!$F1280&lt;&gt;"None")),1,0)</f>
        <v/>
      </c>
      <c r="B1280">
        <f>IF($A1280=1,SUM($A$2:$A1280),"")</f>
        <v/>
      </c>
      <c r="C1280">
        <f>IF($A1280=1,SUM($A$2:$A1280),0)</f>
        <v/>
      </c>
    </row>
    <row r="1281">
      <c r="A1281">
        <f>IF(AND(OR(Query!$B$4="All",'Compliance Database'!$A1281=Query!$B$4),OR(Query!$B$5="All",ISNUMBER(SEARCH(Query!$B$5,'Compliance Database'!$H1281))),OR(Query!$B$6="All",ISNUMBER(SEARCH(Query!$B$6,'Compliance Database'!$I1281))),OR(Query!$B$7="All",'Compliance Database'!$F1281=Query!$B$7),OR(Query!$B$8="All",'Compliance Database'!$J1281=Query!$B$8),OR(Query!$B$9="",ISNUMBER(SEARCH(Query!$B$9,'Compliance Database'!$D1281&amp;" "&amp;'Compliance Database'!$K1281&amp;" "&amp;'Compliance Database'!$L1281&amp;" "&amp;'Compliance Database'!$M1281&amp;" "&amp;'Compliance Database'!$N1281&amp;" "&amp;'Compliance Database'!$O1281))),OR(Query!$B$10&lt;&gt;"Yes",'Compliance Database'!$F1281&lt;&gt;"None")),1,0)</f>
        <v/>
      </c>
      <c r="B1281">
        <f>IF($A1281=1,SUM($A$2:$A1281),"")</f>
        <v/>
      </c>
      <c r="C1281">
        <f>IF($A1281=1,SUM($A$2:$A1281),0)</f>
        <v/>
      </c>
    </row>
    <row r="1282">
      <c r="A1282">
        <f>IF(AND(OR(Query!$B$4="All",'Compliance Database'!$A1282=Query!$B$4),OR(Query!$B$5="All",ISNUMBER(SEARCH(Query!$B$5,'Compliance Database'!$H1282))),OR(Query!$B$6="All",ISNUMBER(SEARCH(Query!$B$6,'Compliance Database'!$I1282))),OR(Query!$B$7="All",'Compliance Database'!$F1282=Query!$B$7),OR(Query!$B$8="All",'Compliance Database'!$J1282=Query!$B$8),OR(Query!$B$9="",ISNUMBER(SEARCH(Query!$B$9,'Compliance Database'!$D1282&amp;" "&amp;'Compliance Database'!$K1282&amp;" "&amp;'Compliance Database'!$L1282&amp;" "&amp;'Compliance Database'!$M1282&amp;" "&amp;'Compliance Database'!$N1282&amp;" "&amp;'Compliance Database'!$O1282))),OR(Query!$B$10&lt;&gt;"Yes",'Compliance Database'!$F1282&lt;&gt;"None")),1,0)</f>
        <v/>
      </c>
      <c r="B1282">
        <f>IF($A1282=1,SUM($A$2:$A1282),"")</f>
        <v/>
      </c>
      <c r="C1282">
        <f>IF($A1282=1,SUM($A$2:$A1282),0)</f>
        <v/>
      </c>
    </row>
    <row r="1283">
      <c r="A1283">
        <f>IF(AND(OR(Query!$B$4="All",'Compliance Database'!$A1283=Query!$B$4),OR(Query!$B$5="All",ISNUMBER(SEARCH(Query!$B$5,'Compliance Database'!$H1283))),OR(Query!$B$6="All",ISNUMBER(SEARCH(Query!$B$6,'Compliance Database'!$I1283))),OR(Query!$B$7="All",'Compliance Database'!$F1283=Query!$B$7),OR(Query!$B$8="All",'Compliance Database'!$J1283=Query!$B$8),OR(Query!$B$9="",ISNUMBER(SEARCH(Query!$B$9,'Compliance Database'!$D1283&amp;" "&amp;'Compliance Database'!$K1283&amp;" "&amp;'Compliance Database'!$L1283&amp;" "&amp;'Compliance Database'!$M1283&amp;" "&amp;'Compliance Database'!$N1283&amp;" "&amp;'Compliance Database'!$O1283))),OR(Query!$B$10&lt;&gt;"Yes",'Compliance Database'!$F1283&lt;&gt;"None")),1,0)</f>
        <v/>
      </c>
      <c r="B1283">
        <f>IF($A1283=1,SUM($A$2:$A1283),"")</f>
        <v/>
      </c>
      <c r="C1283">
        <f>IF($A1283=1,SUM($A$2:$A1283),0)</f>
        <v/>
      </c>
    </row>
    <row r="1284">
      <c r="A1284">
        <f>IF(AND(OR(Query!$B$4="All",'Compliance Database'!$A1284=Query!$B$4),OR(Query!$B$5="All",ISNUMBER(SEARCH(Query!$B$5,'Compliance Database'!$H1284))),OR(Query!$B$6="All",ISNUMBER(SEARCH(Query!$B$6,'Compliance Database'!$I1284))),OR(Query!$B$7="All",'Compliance Database'!$F1284=Query!$B$7),OR(Query!$B$8="All",'Compliance Database'!$J1284=Query!$B$8),OR(Query!$B$9="",ISNUMBER(SEARCH(Query!$B$9,'Compliance Database'!$D1284&amp;" "&amp;'Compliance Database'!$K1284&amp;" "&amp;'Compliance Database'!$L1284&amp;" "&amp;'Compliance Database'!$M1284&amp;" "&amp;'Compliance Database'!$N1284&amp;" "&amp;'Compliance Database'!$O1284))),OR(Query!$B$10&lt;&gt;"Yes",'Compliance Database'!$F1284&lt;&gt;"None")),1,0)</f>
        <v/>
      </c>
      <c r="B1284">
        <f>IF($A1284=1,SUM($A$2:$A1284),"")</f>
        <v/>
      </c>
      <c r="C1284">
        <f>IF($A1284=1,SUM($A$2:$A1284),0)</f>
        <v/>
      </c>
    </row>
    <row r="1285">
      <c r="A1285">
        <f>IF(AND(OR(Query!$B$4="All",'Compliance Database'!$A1285=Query!$B$4),OR(Query!$B$5="All",ISNUMBER(SEARCH(Query!$B$5,'Compliance Database'!$H1285))),OR(Query!$B$6="All",ISNUMBER(SEARCH(Query!$B$6,'Compliance Database'!$I1285))),OR(Query!$B$7="All",'Compliance Database'!$F1285=Query!$B$7),OR(Query!$B$8="All",'Compliance Database'!$J1285=Query!$B$8),OR(Query!$B$9="",ISNUMBER(SEARCH(Query!$B$9,'Compliance Database'!$D1285&amp;" "&amp;'Compliance Database'!$K1285&amp;" "&amp;'Compliance Database'!$L1285&amp;" "&amp;'Compliance Database'!$M1285&amp;" "&amp;'Compliance Database'!$N1285&amp;" "&amp;'Compliance Database'!$O1285))),OR(Query!$B$10&lt;&gt;"Yes",'Compliance Database'!$F1285&lt;&gt;"None")),1,0)</f>
        <v/>
      </c>
      <c r="B1285">
        <f>IF($A1285=1,SUM($A$2:$A1285),"")</f>
        <v/>
      </c>
      <c r="C1285">
        <f>IF($A1285=1,SUM($A$2:$A1285),0)</f>
        <v/>
      </c>
    </row>
    <row r="1286">
      <c r="A1286">
        <f>IF(AND(OR(Query!$B$4="All",'Compliance Database'!$A1286=Query!$B$4),OR(Query!$B$5="All",ISNUMBER(SEARCH(Query!$B$5,'Compliance Database'!$H1286))),OR(Query!$B$6="All",ISNUMBER(SEARCH(Query!$B$6,'Compliance Database'!$I1286))),OR(Query!$B$7="All",'Compliance Database'!$F1286=Query!$B$7),OR(Query!$B$8="All",'Compliance Database'!$J1286=Query!$B$8),OR(Query!$B$9="",ISNUMBER(SEARCH(Query!$B$9,'Compliance Database'!$D1286&amp;" "&amp;'Compliance Database'!$K1286&amp;" "&amp;'Compliance Database'!$L1286&amp;" "&amp;'Compliance Database'!$M1286&amp;" "&amp;'Compliance Database'!$N1286&amp;" "&amp;'Compliance Database'!$O1286))),OR(Query!$B$10&lt;&gt;"Yes",'Compliance Database'!$F1286&lt;&gt;"None")),1,0)</f>
        <v/>
      </c>
      <c r="B1286">
        <f>IF($A1286=1,SUM($A$2:$A1286),"")</f>
        <v/>
      </c>
      <c r="C1286">
        <f>IF($A1286=1,SUM($A$2:$A1286),0)</f>
        <v/>
      </c>
    </row>
    <row r="1287">
      <c r="A1287">
        <f>IF(AND(OR(Query!$B$4="All",'Compliance Database'!$A1287=Query!$B$4),OR(Query!$B$5="All",ISNUMBER(SEARCH(Query!$B$5,'Compliance Database'!$H1287))),OR(Query!$B$6="All",ISNUMBER(SEARCH(Query!$B$6,'Compliance Database'!$I1287))),OR(Query!$B$7="All",'Compliance Database'!$F1287=Query!$B$7),OR(Query!$B$8="All",'Compliance Database'!$J1287=Query!$B$8),OR(Query!$B$9="",ISNUMBER(SEARCH(Query!$B$9,'Compliance Database'!$D1287&amp;" "&amp;'Compliance Database'!$K1287&amp;" "&amp;'Compliance Database'!$L1287&amp;" "&amp;'Compliance Database'!$M1287&amp;" "&amp;'Compliance Database'!$N1287&amp;" "&amp;'Compliance Database'!$O1287))),OR(Query!$B$10&lt;&gt;"Yes",'Compliance Database'!$F1287&lt;&gt;"None")),1,0)</f>
        <v/>
      </c>
      <c r="B1287">
        <f>IF($A1287=1,SUM($A$2:$A1287),"")</f>
        <v/>
      </c>
      <c r="C1287">
        <f>IF($A1287=1,SUM($A$2:$A1287),0)</f>
        <v/>
      </c>
    </row>
    <row r="1288">
      <c r="A1288">
        <f>IF(AND(OR(Query!$B$4="All",'Compliance Database'!$A1288=Query!$B$4),OR(Query!$B$5="All",ISNUMBER(SEARCH(Query!$B$5,'Compliance Database'!$H1288))),OR(Query!$B$6="All",ISNUMBER(SEARCH(Query!$B$6,'Compliance Database'!$I1288))),OR(Query!$B$7="All",'Compliance Database'!$F1288=Query!$B$7),OR(Query!$B$8="All",'Compliance Database'!$J1288=Query!$B$8),OR(Query!$B$9="",ISNUMBER(SEARCH(Query!$B$9,'Compliance Database'!$D1288&amp;" "&amp;'Compliance Database'!$K1288&amp;" "&amp;'Compliance Database'!$L1288&amp;" "&amp;'Compliance Database'!$M1288&amp;" "&amp;'Compliance Database'!$N1288&amp;" "&amp;'Compliance Database'!$O1288))),OR(Query!$B$10&lt;&gt;"Yes",'Compliance Database'!$F1288&lt;&gt;"None")),1,0)</f>
        <v/>
      </c>
      <c r="B1288">
        <f>IF($A1288=1,SUM($A$2:$A1288),"")</f>
        <v/>
      </c>
      <c r="C1288">
        <f>IF($A1288=1,SUM($A$2:$A1288),0)</f>
        <v/>
      </c>
    </row>
    <row r="1289">
      <c r="A1289">
        <f>IF(AND(OR(Query!$B$4="All",'Compliance Database'!$A1289=Query!$B$4),OR(Query!$B$5="All",ISNUMBER(SEARCH(Query!$B$5,'Compliance Database'!$H1289))),OR(Query!$B$6="All",ISNUMBER(SEARCH(Query!$B$6,'Compliance Database'!$I1289))),OR(Query!$B$7="All",'Compliance Database'!$F1289=Query!$B$7),OR(Query!$B$8="All",'Compliance Database'!$J1289=Query!$B$8),OR(Query!$B$9="",ISNUMBER(SEARCH(Query!$B$9,'Compliance Database'!$D1289&amp;" "&amp;'Compliance Database'!$K1289&amp;" "&amp;'Compliance Database'!$L1289&amp;" "&amp;'Compliance Database'!$M1289&amp;" "&amp;'Compliance Database'!$N1289&amp;" "&amp;'Compliance Database'!$O1289))),OR(Query!$B$10&lt;&gt;"Yes",'Compliance Database'!$F1289&lt;&gt;"None")),1,0)</f>
        <v/>
      </c>
      <c r="B1289">
        <f>IF($A1289=1,SUM($A$2:$A1289),"")</f>
        <v/>
      </c>
      <c r="C1289">
        <f>IF($A1289=1,SUM($A$2:$A1289),0)</f>
        <v/>
      </c>
    </row>
    <row r="1290">
      <c r="A1290">
        <f>IF(AND(OR(Query!$B$4="All",'Compliance Database'!$A1290=Query!$B$4),OR(Query!$B$5="All",ISNUMBER(SEARCH(Query!$B$5,'Compliance Database'!$H1290))),OR(Query!$B$6="All",ISNUMBER(SEARCH(Query!$B$6,'Compliance Database'!$I1290))),OR(Query!$B$7="All",'Compliance Database'!$F1290=Query!$B$7),OR(Query!$B$8="All",'Compliance Database'!$J1290=Query!$B$8),OR(Query!$B$9="",ISNUMBER(SEARCH(Query!$B$9,'Compliance Database'!$D1290&amp;" "&amp;'Compliance Database'!$K1290&amp;" "&amp;'Compliance Database'!$L1290&amp;" "&amp;'Compliance Database'!$M1290&amp;" "&amp;'Compliance Database'!$N1290&amp;" "&amp;'Compliance Database'!$O1290))),OR(Query!$B$10&lt;&gt;"Yes",'Compliance Database'!$F1290&lt;&gt;"None")),1,0)</f>
        <v/>
      </c>
      <c r="B1290">
        <f>IF($A1290=1,SUM($A$2:$A1290),"")</f>
        <v/>
      </c>
      <c r="C1290">
        <f>IF($A1290=1,SUM($A$2:$A1290),0)</f>
        <v/>
      </c>
    </row>
    <row r="1291">
      <c r="A1291">
        <f>IF(AND(OR(Query!$B$4="All",'Compliance Database'!$A1291=Query!$B$4),OR(Query!$B$5="All",ISNUMBER(SEARCH(Query!$B$5,'Compliance Database'!$H1291))),OR(Query!$B$6="All",ISNUMBER(SEARCH(Query!$B$6,'Compliance Database'!$I1291))),OR(Query!$B$7="All",'Compliance Database'!$F1291=Query!$B$7),OR(Query!$B$8="All",'Compliance Database'!$J1291=Query!$B$8),OR(Query!$B$9="",ISNUMBER(SEARCH(Query!$B$9,'Compliance Database'!$D1291&amp;" "&amp;'Compliance Database'!$K1291&amp;" "&amp;'Compliance Database'!$L1291&amp;" "&amp;'Compliance Database'!$M1291&amp;" "&amp;'Compliance Database'!$N1291&amp;" "&amp;'Compliance Database'!$O1291))),OR(Query!$B$10&lt;&gt;"Yes",'Compliance Database'!$F1291&lt;&gt;"None")),1,0)</f>
        <v/>
      </c>
      <c r="B1291">
        <f>IF($A1291=1,SUM($A$2:$A1291),"")</f>
        <v/>
      </c>
      <c r="C1291">
        <f>IF($A1291=1,SUM($A$2:$A1291),0)</f>
        <v/>
      </c>
    </row>
    <row r="1292">
      <c r="A1292">
        <f>IF(AND(OR(Query!$B$4="All",'Compliance Database'!$A1292=Query!$B$4),OR(Query!$B$5="All",ISNUMBER(SEARCH(Query!$B$5,'Compliance Database'!$H1292))),OR(Query!$B$6="All",ISNUMBER(SEARCH(Query!$B$6,'Compliance Database'!$I1292))),OR(Query!$B$7="All",'Compliance Database'!$F1292=Query!$B$7),OR(Query!$B$8="All",'Compliance Database'!$J1292=Query!$B$8),OR(Query!$B$9="",ISNUMBER(SEARCH(Query!$B$9,'Compliance Database'!$D1292&amp;" "&amp;'Compliance Database'!$K1292&amp;" "&amp;'Compliance Database'!$L1292&amp;" "&amp;'Compliance Database'!$M1292&amp;" "&amp;'Compliance Database'!$N1292&amp;" "&amp;'Compliance Database'!$O1292))),OR(Query!$B$10&lt;&gt;"Yes",'Compliance Database'!$F1292&lt;&gt;"None")),1,0)</f>
        <v/>
      </c>
      <c r="B1292">
        <f>IF($A1292=1,SUM($A$2:$A1292),"")</f>
        <v/>
      </c>
      <c r="C1292">
        <f>IF($A1292=1,SUM($A$2:$A1292),0)</f>
        <v/>
      </c>
    </row>
    <row r="1293">
      <c r="A1293">
        <f>IF(AND(OR(Query!$B$4="All",'Compliance Database'!$A1293=Query!$B$4),OR(Query!$B$5="All",ISNUMBER(SEARCH(Query!$B$5,'Compliance Database'!$H1293))),OR(Query!$B$6="All",ISNUMBER(SEARCH(Query!$B$6,'Compliance Database'!$I1293))),OR(Query!$B$7="All",'Compliance Database'!$F1293=Query!$B$7),OR(Query!$B$8="All",'Compliance Database'!$J1293=Query!$B$8),OR(Query!$B$9="",ISNUMBER(SEARCH(Query!$B$9,'Compliance Database'!$D1293&amp;" "&amp;'Compliance Database'!$K1293&amp;" "&amp;'Compliance Database'!$L1293&amp;" "&amp;'Compliance Database'!$M1293&amp;" "&amp;'Compliance Database'!$N1293&amp;" "&amp;'Compliance Database'!$O1293))),OR(Query!$B$10&lt;&gt;"Yes",'Compliance Database'!$F1293&lt;&gt;"None")),1,0)</f>
        <v/>
      </c>
      <c r="B1293">
        <f>IF($A1293=1,SUM($A$2:$A1293),"")</f>
        <v/>
      </c>
      <c r="C1293">
        <f>IF($A1293=1,SUM($A$2:$A1293),0)</f>
        <v/>
      </c>
    </row>
    <row r="1294">
      <c r="A1294">
        <f>IF(AND(OR(Query!$B$4="All",'Compliance Database'!$A1294=Query!$B$4),OR(Query!$B$5="All",ISNUMBER(SEARCH(Query!$B$5,'Compliance Database'!$H1294))),OR(Query!$B$6="All",ISNUMBER(SEARCH(Query!$B$6,'Compliance Database'!$I1294))),OR(Query!$B$7="All",'Compliance Database'!$F1294=Query!$B$7),OR(Query!$B$8="All",'Compliance Database'!$J1294=Query!$B$8),OR(Query!$B$9="",ISNUMBER(SEARCH(Query!$B$9,'Compliance Database'!$D1294&amp;" "&amp;'Compliance Database'!$K1294&amp;" "&amp;'Compliance Database'!$L1294&amp;" "&amp;'Compliance Database'!$M1294&amp;" "&amp;'Compliance Database'!$N1294&amp;" "&amp;'Compliance Database'!$O1294))),OR(Query!$B$10&lt;&gt;"Yes",'Compliance Database'!$F1294&lt;&gt;"None")),1,0)</f>
        <v/>
      </c>
      <c r="B1294">
        <f>IF($A1294=1,SUM($A$2:$A1294),"")</f>
        <v/>
      </c>
      <c r="C1294">
        <f>IF($A1294=1,SUM($A$2:$A1294),0)</f>
        <v/>
      </c>
    </row>
    <row r="1295">
      <c r="A1295">
        <f>IF(AND(OR(Query!$B$4="All",'Compliance Database'!$A1295=Query!$B$4),OR(Query!$B$5="All",ISNUMBER(SEARCH(Query!$B$5,'Compliance Database'!$H1295))),OR(Query!$B$6="All",ISNUMBER(SEARCH(Query!$B$6,'Compliance Database'!$I1295))),OR(Query!$B$7="All",'Compliance Database'!$F1295=Query!$B$7),OR(Query!$B$8="All",'Compliance Database'!$J1295=Query!$B$8),OR(Query!$B$9="",ISNUMBER(SEARCH(Query!$B$9,'Compliance Database'!$D1295&amp;" "&amp;'Compliance Database'!$K1295&amp;" "&amp;'Compliance Database'!$L1295&amp;" "&amp;'Compliance Database'!$M1295&amp;" "&amp;'Compliance Database'!$N1295&amp;" "&amp;'Compliance Database'!$O1295))),OR(Query!$B$10&lt;&gt;"Yes",'Compliance Database'!$F1295&lt;&gt;"None")),1,0)</f>
        <v/>
      </c>
      <c r="B1295">
        <f>IF($A1295=1,SUM($A$2:$A1295),"")</f>
        <v/>
      </c>
      <c r="C1295">
        <f>IF($A1295=1,SUM($A$2:$A1295),0)</f>
        <v/>
      </c>
    </row>
    <row r="1296">
      <c r="A1296">
        <f>IF(AND(OR(Query!$B$4="All",'Compliance Database'!$A1296=Query!$B$4),OR(Query!$B$5="All",ISNUMBER(SEARCH(Query!$B$5,'Compliance Database'!$H1296))),OR(Query!$B$6="All",ISNUMBER(SEARCH(Query!$B$6,'Compliance Database'!$I1296))),OR(Query!$B$7="All",'Compliance Database'!$F1296=Query!$B$7),OR(Query!$B$8="All",'Compliance Database'!$J1296=Query!$B$8),OR(Query!$B$9="",ISNUMBER(SEARCH(Query!$B$9,'Compliance Database'!$D1296&amp;" "&amp;'Compliance Database'!$K1296&amp;" "&amp;'Compliance Database'!$L1296&amp;" "&amp;'Compliance Database'!$M1296&amp;" "&amp;'Compliance Database'!$N1296&amp;" "&amp;'Compliance Database'!$O1296))),OR(Query!$B$10&lt;&gt;"Yes",'Compliance Database'!$F1296&lt;&gt;"None")),1,0)</f>
        <v/>
      </c>
      <c r="B1296">
        <f>IF($A1296=1,SUM($A$2:$A1296),"")</f>
        <v/>
      </c>
      <c r="C1296">
        <f>IF($A1296=1,SUM($A$2:$A1296),0)</f>
        <v/>
      </c>
    </row>
    <row r="1297">
      <c r="A1297">
        <f>IF(AND(OR(Query!$B$4="All",'Compliance Database'!$A1297=Query!$B$4),OR(Query!$B$5="All",ISNUMBER(SEARCH(Query!$B$5,'Compliance Database'!$H1297))),OR(Query!$B$6="All",ISNUMBER(SEARCH(Query!$B$6,'Compliance Database'!$I1297))),OR(Query!$B$7="All",'Compliance Database'!$F1297=Query!$B$7),OR(Query!$B$8="All",'Compliance Database'!$J1297=Query!$B$8),OR(Query!$B$9="",ISNUMBER(SEARCH(Query!$B$9,'Compliance Database'!$D1297&amp;" "&amp;'Compliance Database'!$K1297&amp;" "&amp;'Compliance Database'!$L1297&amp;" "&amp;'Compliance Database'!$M1297&amp;" "&amp;'Compliance Database'!$N1297&amp;" "&amp;'Compliance Database'!$O1297))),OR(Query!$B$10&lt;&gt;"Yes",'Compliance Database'!$F1297&lt;&gt;"None")),1,0)</f>
        <v/>
      </c>
      <c r="B1297">
        <f>IF($A1297=1,SUM($A$2:$A1297),"")</f>
        <v/>
      </c>
      <c r="C1297">
        <f>IF($A1297=1,SUM($A$2:$A1297),0)</f>
        <v/>
      </c>
    </row>
    <row r="1298">
      <c r="A1298">
        <f>IF(AND(OR(Query!$B$4="All",'Compliance Database'!$A1298=Query!$B$4),OR(Query!$B$5="All",ISNUMBER(SEARCH(Query!$B$5,'Compliance Database'!$H1298))),OR(Query!$B$6="All",ISNUMBER(SEARCH(Query!$B$6,'Compliance Database'!$I1298))),OR(Query!$B$7="All",'Compliance Database'!$F1298=Query!$B$7),OR(Query!$B$8="All",'Compliance Database'!$J1298=Query!$B$8),OR(Query!$B$9="",ISNUMBER(SEARCH(Query!$B$9,'Compliance Database'!$D1298&amp;" "&amp;'Compliance Database'!$K1298&amp;" "&amp;'Compliance Database'!$L1298&amp;" "&amp;'Compliance Database'!$M1298&amp;" "&amp;'Compliance Database'!$N1298&amp;" "&amp;'Compliance Database'!$O1298))),OR(Query!$B$10&lt;&gt;"Yes",'Compliance Database'!$F1298&lt;&gt;"None")),1,0)</f>
        <v/>
      </c>
      <c r="B1298">
        <f>IF($A1298=1,SUM($A$2:$A1298),"")</f>
        <v/>
      </c>
      <c r="C1298">
        <f>IF($A1298=1,SUM($A$2:$A1298),0)</f>
        <v/>
      </c>
    </row>
    <row r="1299">
      <c r="A1299">
        <f>IF(AND(OR(Query!$B$4="All",'Compliance Database'!$A1299=Query!$B$4),OR(Query!$B$5="All",ISNUMBER(SEARCH(Query!$B$5,'Compliance Database'!$H1299))),OR(Query!$B$6="All",ISNUMBER(SEARCH(Query!$B$6,'Compliance Database'!$I1299))),OR(Query!$B$7="All",'Compliance Database'!$F1299=Query!$B$7),OR(Query!$B$8="All",'Compliance Database'!$J1299=Query!$B$8),OR(Query!$B$9="",ISNUMBER(SEARCH(Query!$B$9,'Compliance Database'!$D1299&amp;" "&amp;'Compliance Database'!$K1299&amp;" "&amp;'Compliance Database'!$L1299&amp;" "&amp;'Compliance Database'!$M1299&amp;" "&amp;'Compliance Database'!$N1299&amp;" "&amp;'Compliance Database'!$O1299))),OR(Query!$B$10&lt;&gt;"Yes",'Compliance Database'!$F1299&lt;&gt;"None")),1,0)</f>
        <v/>
      </c>
      <c r="B1299">
        <f>IF($A1299=1,SUM($A$2:$A1299),"")</f>
        <v/>
      </c>
      <c r="C1299">
        <f>IF($A1299=1,SUM($A$2:$A1299),0)</f>
        <v/>
      </c>
    </row>
    <row r="1300">
      <c r="A1300">
        <f>IF(AND(OR(Query!$B$4="All",'Compliance Database'!$A1300=Query!$B$4),OR(Query!$B$5="All",ISNUMBER(SEARCH(Query!$B$5,'Compliance Database'!$H1300))),OR(Query!$B$6="All",ISNUMBER(SEARCH(Query!$B$6,'Compliance Database'!$I1300))),OR(Query!$B$7="All",'Compliance Database'!$F1300=Query!$B$7),OR(Query!$B$8="All",'Compliance Database'!$J1300=Query!$B$8),OR(Query!$B$9="",ISNUMBER(SEARCH(Query!$B$9,'Compliance Database'!$D1300&amp;" "&amp;'Compliance Database'!$K1300&amp;" "&amp;'Compliance Database'!$L1300&amp;" "&amp;'Compliance Database'!$M1300&amp;" "&amp;'Compliance Database'!$N1300&amp;" "&amp;'Compliance Database'!$O1300))),OR(Query!$B$10&lt;&gt;"Yes",'Compliance Database'!$F1300&lt;&gt;"None")),1,0)</f>
        <v/>
      </c>
      <c r="B1300">
        <f>IF($A1300=1,SUM($A$2:$A1300),"")</f>
        <v/>
      </c>
      <c r="C1300">
        <f>IF($A1300=1,SUM($A$2:$A1300),0)</f>
        <v/>
      </c>
    </row>
    <row r="1301">
      <c r="A1301">
        <f>IF(AND(OR(Query!$B$4="All",'Compliance Database'!$A1301=Query!$B$4),OR(Query!$B$5="All",ISNUMBER(SEARCH(Query!$B$5,'Compliance Database'!$H1301))),OR(Query!$B$6="All",ISNUMBER(SEARCH(Query!$B$6,'Compliance Database'!$I1301))),OR(Query!$B$7="All",'Compliance Database'!$F1301=Query!$B$7),OR(Query!$B$8="All",'Compliance Database'!$J1301=Query!$B$8),OR(Query!$B$9="",ISNUMBER(SEARCH(Query!$B$9,'Compliance Database'!$D1301&amp;" "&amp;'Compliance Database'!$K1301&amp;" "&amp;'Compliance Database'!$L1301&amp;" "&amp;'Compliance Database'!$M1301&amp;" "&amp;'Compliance Database'!$N1301&amp;" "&amp;'Compliance Database'!$O1301))),OR(Query!$B$10&lt;&gt;"Yes",'Compliance Database'!$F1301&lt;&gt;"None")),1,0)</f>
        <v/>
      </c>
      <c r="B1301">
        <f>IF($A1301=1,SUM($A$2:$A1301),"")</f>
        <v/>
      </c>
      <c r="C1301">
        <f>IF($A1301=1,SUM($A$2:$A1301),0)</f>
        <v/>
      </c>
    </row>
    <row r="1302">
      <c r="A1302">
        <f>IF(AND(OR(Query!$B$4="All",'Compliance Database'!$A1302=Query!$B$4),OR(Query!$B$5="All",ISNUMBER(SEARCH(Query!$B$5,'Compliance Database'!$H1302))),OR(Query!$B$6="All",ISNUMBER(SEARCH(Query!$B$6,'Compliance Database'!$I1302))),OR(Query!$B$7="All",'Compliance Database'!$F1302=Query!$B$7),OR(Query!$B$8="All",'Compliance Database'!$J1302=Query!$B$8),OR(Query!$B$9="",ISNUMBER(SEARCH(Query!$B$9,'Compliance Database'!$D1302&amp;" "&amp;'Compliance Database'!$K1302&amp;" "&amp;'Compliance Database'!$L1302&amp;" "&amp;'Compliance Database'!$M1302&amp;" "&amp;'Compliance Database'!$N1302&amp;" "&amp;'Compliance Database'!$O1302))),OR(Query!$B$10&lt;&gt;"Yes",'Compliance Database'!$F1302&lt;&gt;"None")),1,0)</f>
        <v/>
      </c>
      <c r="B1302">
        <f>IF($A1302=1,SUM($A$2:$A1302),"")</f>
        <v/>
      </c>
      <c r="C1302">
        <f>IF($A1302=1,SUM($A$2:$A1302),0)</f>
        <v/>
      </c>
    </row>
    <row r="1303">
      <c r="A1303">
        <f>IF(AND(OR(Query!$B$4="All",'Compliance Database'!$A1303=Query!$B$4),OR(Query!$B$5="All",ISNUMBER(SEARCH(Query!$B$5,'Compliance Database'!$H1303))),OR(Query!$B$6="All",ISNUMBER(SEARCH(Query!$B$6,'Compliance Database'!$I1303))),OR(Query!$B$7="All",'Compliance Database'!$F1303=Query!$B$7),OR(Query!$B$8="All",'Compliance Database'!$J1303=Query!$B$8),OR(Query!$B$9="",ISNUMBER(SEARCH(Query!$B$9,'Compliance Database'!$D1303&amp;" "&amp;'Compliance Database'!$K1303&amp;" "&amp;'Compliance Database'!$L1303&amp;" "&amp;'Compliance Database'!$M1303&amp;" "&amp;'Compliance Database'!$N1303&amp;" "&amp;'Compliance Database'!$O1303))),OR(Query!$B$10&lt;&gt;"Yes",'Compliance Database'!$F1303&lt;&gt;"None")),1,0)</f>
        <v/>
      </c>
      <c r="B1303">
        <f>IF($A1303=1,SUM($A$2:$A1303),"")</f>
        <v/>
      </c>
      <c r="C1303">
        <f>IF($A1303=1,SUM($A$2:$A1303),0)</f>
        <v/>
      </c>
    </row>
    <row r="1304">
      <c r="A1304">
        <f>IF(AND(OR(Query!$B$4="All",'Compliance Database'!$A1304=Query!$B$4),OR(Query!$B$5="All",ISNUMBER(SEARCH(Query!$B$5,'Compliance Database'!$H1304))),OR(Query!$B$6="All",ISNUMBER(SEARCH(Query!$B$6,'Compliance Database'!$I1304))),OR(Query!$B$7="All",'Compliance Database'!$F1304=Query!$B$7),OR(Query!$B$8="All",'Compliance Database'!$J1304=Query!$B$8),OR(Query!$B$9="",ISNUMBER(SEARCH(Query!$B$9,'Compliance Database'!$D1304&amp;" "&amp;'Compliance Database'!$K1304&amp;" "&amp;'Compliance Database'!$L1304&amp;" "&amp;'Compliance Database'!$M1304&amp;" "&amp;'Compliance Database'!$N1304&amp;" "&amp;'Compliance Database'!$O1304))),OR(Query!$B$10&lt;&gt;"Yes",'Compliance Database'!$F1304&lt;&gt;"None")),1,0)</f>
        <v/>
      </c>
      <c r="B1304">
        <f>IF($A1304=1,SUM($A$2:$A1304),"")</f>
        <v/>
      </c>
      <c r="C1304">
        <f>IF($A1304=1,SUM($A$2:$A1304),0)</f>
        <v/>
      </c>
    </row>
    <row r="1305">
      <c r="A1305">
        <f>IF(AND(OR(Query!$B$4="All",'Compliance Database'!$A1305=Query!$B$4),OR(Query!$B$5="All",ISNUMBER(SEARCH(Query!$B$5,'Compliance Database'!$H1305))),OR(Query!$B$6="All",ISNUMBER(SEARCH(Query!$B$6,'Compliance Database'!$I1305))),OR(Query!$B$7="All",'Compliance Database'!$F1305=Query!$B$7),OR(Query!$B$8="All",'Compliance Database'!$J1305=Query!$B$8),OR(Query!$B$9="",ISNUMBER(SEARCH(Query!$B$9,'Compliance Database'!$D1305&amp;" "&amp;'Compliance Database'!$K1305&amp;" "&amp;'Compliance Database'!$L1305&amp;" "&amp;'Compliance Database'!$M1305&amp;" "&amp;'Compliance Database'!$N1305&amp;" "&amp;'Compliance Database'!$O1305))),OR(Query!$B$10&lt;&gt;"Yes",'Compliance Database'!$F1305&lt;&gt;"None")),1,0)</f>
        <v/>
      </c>
      <c r="B1305">
        <f>IF($A1305=1,SUM($A$2:$A1305),"")</f>
        <v/>
      </c>
      <c r="C1305">
        <f>IF($A1305=1,SUM($A$2:$A1305),0)</f>
        <v/>
      </c>
    </row>
    <row r="1306">
      <c r="A1306">
        <f>IF(AND(OR(Query!$B$4="All",'Compliance Database'!$A1306=Query!$B$4),OR(Query!$B$5="All",ISNUMBER(SEARCH(Query!$B$5,'Compliance Database'!$H1306))),OR(Query!$B$6="All",ISNUMBER(SEARCH(Query!$B$6,'Compliance Database'!$I1306))),OR(Query!$B$7="All",'Compliance Database'!$F1306=Query!$B$7),OR(Query!$B$8="All",'Compliance Database'!$J1306=Query!$B$8),OR(Query!$B$9="",ISNUMBER(SEARCH(Query!$B$9,'Compliance Database'!$D1306&amp;" "&amp;'Compliance Database'!$K1306&amp;" "&amp;'Compliance Database'!$L1306&amp;" "&amp;'Compliance Database'!$M1306&amp;" "&amp;'Compliance Database'!$N1306&amp;" "&amp;'Compliance Database'!$O1306))),OR(Query!$B$10&lt;&gt;"Yes",'Compliance Database'!$F1306&lt;&gt;"None")),1,0)</f>
        <v/>
      </c>
      <c r="B1306">
        <f>IF($A1306=1,SUM($A$2:$A1306),"")</f>
        <v/>
      </c>
      <c r="C1306">
        <f>IF($A1306=1,SUM($A$2:$A1306),0)</f>
        <v/>
      </c>
    </row>
    <row r="1307">
      <c r="A1307">
        <f>IF(AND(OR(Query!$B$4="All",'Compliance Database'!$A1307=Query!$B$4),OR(Query!$B$5="All",ISNUMBER(SEARCH(Query!$B$5,'Compliance Database'!$H1307))),OR(Query!$B$6="All",ISNUMBER(SEARCH(Query!$B$6,'Compliance Database'!$I1307))),OR(Query!$B$7="All",'Compliance Database'!$F1307=Query!$B$7),OR(Query!$B$8="All",'Compliance Database'!$J1307=Query!$B$8),OR(Query!$B$9="",ISNUMBER(SEARCH(Query!$B$9,'Compliance Database'!$D1307&amp;" "&amp;'Compliance Database'!$K1307&amp;" "&amp;'Compliance Database'!$L1307&amp;" "&amp;'Compliance Database'!$M1307&amp;" "&amp;'Compliance Database'!$N1307&amp;" "&amp;'Compliance Database'!$O1307))),OR(Query!$B$10&lt;&gt;"Yes",'Compliance Database'!$F1307&lt;&gt;"None")),1,0)</f>
        <v/>
      </c>
      <c r="B1307">
        <f>IF($A1307=1,SUM($A$2:$A1307),"")</f>
        <v/>
      </c>
      <c r="C1307">
        <f>IF($A1307=1,SUM($A$2:$A1307),0)</f>
        <v/>
      </c>
    </row>
    <row r="1308">
      <c r="A1308">
        <f>IF(AND(OR(Query!$B$4="All",'Compliance Database'!$A1308=Query!$B$4),OR(Query!$B$5="All",ISNUMBER(SEARCH(Query!$B$5,'Compliance Database'!$H1308))),OR(Query!$B$6="All",ISNUMBER(SEARCH(Query!$B$6,'Compliance Database'!$I1308))),OR(Query!$B$7="All",'Compliance Database'!$F1308=Query!$B$7),OR(Query!$B$8="All",'Compliance Database'!$J1308=Query!$B$8),OR(Query!$B$9="",ISNUMBER(SEARCH(Query!$B$9,'Compliance Database'!$D1308&amp;" "&amp;'Compliance Database'!$K1308&amp;" "&amp;'Compliance Database'!$L1308&amp;" "&amp;'Compliance Database'!$M1308&amp;" "&amp;'Compliance Database'!$N1308&amp;" "&amp;'Compliance Database'!$O1308))),OR(Query!$B$10&lt;&gt;"Yes",'Compliance Database'!$F1308&lt;&gt;"None")),1,0)</f>
        <v/>
      </c>
      <c r="B1308">
        <f>IF($A1308=1,SUM($A$2:$A1308),"")</f>
        <v/>
      </c>
      <c r="C1308">
        <f>IF($A1308=1,SUM($A$2:$A1308),0)</f>
        <v/>
      </c>
    </row>
    <row r="1309">
      <c r="A1309">
        <f>IF(AND(OR(Query!$B$4="All",'Compliance Database'!$A1309=Query!$B$4),OR(Query!$B$5="All",ISNUMBER(SEARCH(Query!$B$5,'Compliance Database'!$H1309))),OR(Query!$B$6="All",ISNUMBER(SEARCH(Query!$B$6,'Compliance Database'!$I1309))),OR(Query!$B$7="All",'Compliance Database'!$F1309=Query!$B$7),OR(Query!$B$8="All",'Compliance Database'!$J1309=Query!$B$8),OR(Query!$B$9="",ISNUMBER(SEARCH(Query!$B$9,'Compliance Database'!$D1309&amp;" "&amp;'Compliance Database'!$K1309&amp;" "&amp;'Compliance Database'!$L1309&amp;" "&amp;'Compliance Database'!$M1309&amp;" "&amp;'Compliance Database'!$N1309&amp;" "&amp;'Compliance Database'!$O1309))),OR(Query!$B$10&lt;&gt;"Yes",'Compliance Database'!$F1309&lt;&gt;"None")),1,0)</f>
        <v/>
      </c>
      <c r="B1309">
        <f>IF($A1309=1,SUM($A$2:$A1309),"")</f>
        <v/>
      </c>
      <c r="C1309">
        <f>IF($A1309=1,SUM($A$2:$A1309),0)</f>
        <v/>
      </c>
    </row>
    <row r="1310">
      <c r="A1310">
        <f>IF(AND(OR(Query!$B$4="All",'Compliance Database'!$A1310=Query!$B$4),OR(Query!$B$5="All",ISNUMBER(SEARCH(Query!$B$5,'Compliance Database'!$H1310))),OR(Query!$B$6="All",ISNUMBER(SEARCH(Query!$B$6,'Compliance Database'!$I1310))),OR(Query!$B$7="All",'Compliance Database'!$F1310=Query!$B$7),OR(Query!$B$8="All",'Compliance Database'!$J1310=Query!$B$8),OR(Query!$B$9="",ISNUMBER(SEARCH(Query!$B$9,'Compliance Database'!$D1310&amp;" "&amp;'Compliance Database'!$K1310&amp;" "&amp;'Compliance Database'!$L1310&amp;" "&amp;'Compliance Database'!$M1310&amp;" "&amp;'Compliance Database'!$N1310&amp;" "&amp;'Compliance Database'!$O1310))),OR(Query!$B$10&lt;&gt;"Yes",'Compliance Database'!$F1310&lt;&gt;"None")),1,0)</f>
        <v/>
      </c>
      <c r="B1310">
        <f>IF($A1310=1,SUM($A$2:$A1310),"")</f>
        <v/>
      </c>
      <c r="C1310">
        <f>IF($A1310=1,SUM($A$2:$A1310),0)</f>
        <v/>
      </c>
    </row>
    <row r="1311">
      <c r="A1311">
        <f>IF(AND(OR(Query!$B$4="All",'Compliance Database'!$A1311=Query!$B$4),OR(Query!$B$5="All",ISNUMBER(SEARCH(Query!$B$5,'Compliance Database'!$H1311))),OR(Query!$B$6="All",ISNUMBER(SEARCH(Query!$B$6,'Compliance Database'!$I1311))),OR(Query!$B$7="All",'Compliance Database'!$F1311=Query!$B$7),OR(Query!$B$8="All",'Compliance Database'!$J1311=Query!$B$8),OR(Query!$B$9="",ISNUMBER(SEARCH(Query!$B$9,'Compliance Database'!$D1311&amp;" "&amp;'Compliance Database'!$K1311&amp;" "&amp;'Compliance Database'!$L1311&amp;" "&amp;'Compliance Database'!$M1311&amp;" "&amp;'Compliance Database'!$N1311&amp;" "&amp;'Compliance Database'!$O1311))),OR(Query!$B$10&lt;&gt;"Yes",'Compliance Database'!$F1311&lt;&gt;"None")),1,0)</f>
        <v/>
      </c>
      <c r="B1311">
        <f>IF($A1311=1,SUM($A$2:$A1311),"")</f>
        <v/>
      </c>
      <c r="C1311">
        <f>IF($A1311=1,SUM($A$2:$A1311),0)</f>
        <v/>
      </c>
    </row>
    <row r="1312">
      <c r="A1312">
        <f>IF(AND(OR(Query!$B$4="All",'Compliance Database'!$A1312=Query!$B$4),OR(Query!$B$5="All",ISNUMBER(SEARCH(Query!$B$5,'Compliance Database'!$H1312))),OR(Query!$B$6="All",ISNUMBER(SEARCH(Query!$B$6,'Compliance Database'!$I1312))),OR(Query!$B$7="All",'Compliance Database'!$F1312=Query!$B$7),OR(Query!$B$8="All",'Compliance Database'!$J1312=Query!$B$8),OR(Query!$B$9="",ISNUMBER(SEARCH(Query!$B$9,'Compliance Database'!$D1312&amp;" "&amp;'Compliance Database'!$K1312&amp;" "&amp;'Compliance Database'!$L1312&amp;" "&amp;'Compliance Database'!$M1312&amp;" "&amp;'Compliance Database'!$N1312&amp;" "&amp;'Compliance Database'!$O1312))),OR(Query!$B$10&lt;&gt;"Yes",'Compliance Database'!$F1312&lt;&gt;"None")),1,0)</f>
        <v/>
      </c>
      <c r="B1312">
        <f>IF($A1312=1,SUM($A$2:$A1312),"")</f>
        <v/>
      </c>
      <c r="C1312">
        <f>IF($A1312=1,SUM($A$2:$A1312),0)</f>
        <v/>
      </c>
    </row>
    <row r="1313">
      <c r="A1313">
        <f>IF(AND(OR(Query!$B$4="All",'Compliance Database'!$A1313=Query!$B$4),OR(Query!$B$5="All",ISNUMBER(SEARCH(Query!$B$5,'Compliance Database'!$H1313))),OR(Query!$B$6="All",ISNUMBER(SEARCH(Query!$B$6,'Compliance Database'!$I1313))),OR(Query!$B$7="All",'Compliance Database'!$F1313=Query!$B$7),OR(Query!$B$8="All",'Compliance Database'!$J1313=Query!$B$8),OR(Query!$B$9="",ISNUMBER(SEARCH(Query!$B$9,'Compliance Database'!$D1313&amp;" "&amp;'Compliance Database'!$K1313&amp;" "&amp;'Compliance Database'!$L1313&amp;" "&amp;'Compliance Database'!$M1313&amp;" "&amp;'Compliance Database'!$N1313&amp;" "&amp;'Compliance Database'!$O1313))),OR(Query!$B$10&lt;&gt;"Yes",'Compliance Database'!$F1313&lt;&gt;"None")),1,0)</f>
        <v/>
      </c>
      <c r="B1313">
        <f>IF($A1313=1,SUM($A$2:$A1313),"")</f>
        <v/>
      </c>
      <c r="C1313">
        <f>IF($A1313=1,SUM($A$2:$A1313),0)</f>
        <v/>
      </c>
    </row>
    <row r="1314">
      <c r="A1314">
        <f>IF(AND(OR(Query!$B$4="All",'Compliance Database'!$A1314=Query!$B$4),OR(Query!$B$5="All",ISNUMBER(SEARCH(Query!$B$5,'Compliance Database'!$H1314))),OR(Query!$B$6="All",ISNUMBER(SEARCH(Query!$B$6,'Compliance Database'!$I1314))),OR(Query!$B$7="All",'Compliance Database'!$F1314=Query!$B$7),OR(Query!$B$8="All",'Compliance Database'!$J1314=Query!$B$8),OR(Query!$B$9="",ISNUMBER(SEARCH(Query!$B$9,'Compliance Database'!$D1314&amp;" "&amp;'Compliance Database'!$K1314&amp;" "&amp;'Compliance Database'!$L1314&amp;" "&amp;'Compliance Database'!$M1314&amp;" "&amp;'Compliance Database'!$N1314&amp;" "&amp;'Compliance Database'!$O1314))),OR(Query!$B$10&lt;&gt;"Yes",'Compliance Database'!$F1314&lt;&gt;"None")),1,0)</f>
        <v/>
      </c>
      <c r="B1314">
        <f>IF($A1314=1,SUM($A$2:$A1314),"")</f>
        <v/>
      </c>
      <c r="C1314">
        <f>IF($A1314=1,SUM($A$2:$A1314),0)</f>
        <v/>
      </c>
    </row>
    <row r="1315">
      <c r="A1315">
        <f>IF(AND(OR(Query!$B$4="All",'Compliance Database'!$A1315=Query!$B$4),OR(Query!$B$5="All",ISNUMBER(SEARCH(Query!$B$5,'Compliance Database'!$H1315))),OR(Query!$B$6="All",ISNUMBER(SEARCH(Query!$B$6,'Compliance Database'!$I1315))),OR(Query!$B$7="All",'Compliance Database'!$F1315=Query!$B$7),OR(Query!$B$8="All",'Compliance Database'!$J1315=Query!$B$8),OR(Query!$B$9="",ISNUMBER(SEARCH(Query!$B$9,'Compliance Database'!$D1315&amp;" "&amp;'Compliance Database'!$K1315&amp;" "&amp;'Compliance Database'!$L1315&amp;" "&amp;'Compliance Database'!$M1315&amp;" "&amp;'Compliance Database'!$N1315&amp;" "&amp;'Compliance Database'!$O1315))),OR(Query!$B$10&lt;&gt;"Yes",'Compliance Database'!$F1315&lt;&gt;"None")),1,0)</f>
        <v/>
      </c>
      <c r="B1315">
        <f>IF($A1315=1,SUM($A$2:$A1315),"")</f>
        <v/>
      </c>
      <c r="C1315">
        <f>IF($A1315=1,SUM($A$2:$A1315),0)</f>
        <v/>
      </c>
    </row>
    <row r="1316">
      <c r="A1316">
        <f>IF(AND(OR(Query!$B$4="All",'Compliance Database'!$A1316=Query!$B$4),OR(Query!$B$5="All",ISNUMBER(SEARCH(Query!$B$5,'Compliance Database'!$H1316))),OR(Query!$B$6="All",ISNUMBER(SEARCH(Query!$B$6,'Compliance Database'!$I1316))),OR(Query!$B$7="All",'Compliance Database'!$F1316=Query!$B$7),OR(Query!$B$8="All",'Compliance Database'!$J1316=Query!$B$8),OR(Query!$B$9="",ISNUMBER(SEARCH(Query!$B$9,'Compliance Database'!$D1316&amp;" "&amp;'Compliance Database'!$K1316&amp;" "&amp;'Compliance Database'!$L1316&amp;" "&amp;'Compliance Database'!$M1316&amp;" "&amp;'Compliance Database'!$N1316&amp;" "&amp;'Compliance Database'!$O1316))),OR(Query!$B$10&lt;&gt;"Yes",'Compliance Database'!$F1316&lt;&gt;"None")),1,0)</f>
        <v/>
      </c>
      <c r="B1316">
        <f>IF($A1316=1,SUM($A$2:$A1316),"")</f>
        <v/>
      </c>
      <c r="C1316">
        <f>IF($A1316=1,SUM($A$2:$A1316),0)</f>
        <v/>
      </c>
    </row>
    <row r="1317">
      <c r="A1317">
        <f>IF(AND(OR(Query!$B$4="All",'Compliance Database'!$A1317=Query!$B$4),OR(Query!$B$5="All",ISNUMBER(SEARCH(Query!$B$5,'Compliance Database'!$H1317))),OR(Query!$B$6="All",ISNUMBER(SEARCH(Query!$B$6,'Compliance Database'!$I1317))),OR(Query!$B$7="All",'Compliance Database'!$F1317=Query!$B$7),OR(Query!$B$8="All",'Compliance Database'!$J1317=Query!$B$8),OR(Query!$B$9="",ISNUMBER(SEARCH(Query!$B$9,'Compliance Database'!$D1317&amp;" "&amp;'Compliance Database'!$K1317&amp;" "&amp;'Compliance Database'!$L1317&amp;" "&amp;'Compliance Database'!$M1317&amp;" "&amp;'Compliance Database'!$N1317&amp;" "&amp;'Compliance Database'!$O1317))),OR(Query!$B$10&lt;&gt;"Yes",'Compliance Database'!$F1317&lt;&gt;"None")),1,0)</f>
        <v/>
      </c>
      <c r="B1317">
        <f>IF($A1317=1,SUM($A$2:$A1317),"")</f>
        <v/>
      </c>
      <c r="C1317">
        <f>IF($A1317=1,SUM($A$2:$A1317),0)</f>
        <v/>
      </c>
    </row>
    <row r="1318">
      <c r="A1318">
        <f>IF(AND(OR(Query!$B$4="All",'Compliance Database'!$A1318=Query!$B$4),OR(Query!$B$5="All",ISNUMBER(SEARCH(Query!$B$5,'Compliance Database'!$H1318))),OR(Query!$B$6="All",ISNUMBER(SEARCH(Query!$B$6,'Compliance Database'!$I1318))),OR(Query!$B$7="All",'Compliance Database'!$F1318=Query!$B$7),OR(Query!$B$8="All",'Compliance Database'!$J1318=Query!$B$8),OR(Query!$B$9="",ISNUMBER(SEARCH(Query!$B$9,'Compliance Database'!$D1318&amp;" "&amp;'Compliance Database'!$K1318&amp;" "&amp;'Compliance Database'!$L1318&amp;" "&amp;'Compliance Database'!$M1318&amp;" "&amp;'Compliance Database'!$N1318&amp;" "&amp;'Compliance Database'!$O1318))),OR(Query!$B$10&lt;&gt;"Yes",'Compliance Database'!$F1318&lt;&gt;"None")),1,0)</f>
        <v/>
      </c>
      <c r="B1318">
        <f>IF($A1318=1,SUM($A$2:$A1318),"")</f>
        <v/>
      </c>
      <c r="C1318">
        <f>IF($A1318=1,SUM($A$2:$A1318),0)</f>
        <v/>
      </c>
    </row>
    <row r="1319">
      <c r="A1319">
        <f>IF(AND(OR(Query!$B$4="All",'Compliance Database'!$A1319=Query!$B$4),OR(Query!$B$5="All",ISNUMBER(SEARCH(Query!$B$5,'Compliance Database'!$H1319))),OR(Query!$B$6="All",ISNUMBER(SEARCH(Query!$B$6,'Compliance Database'!$I1319))),OR(Query!$B$7="All",'Compliance Database'!$F1319=Query!$B$7),OR(Query!$B$8="All",'Compliance Database'!$J1319=Query!$B$8),OR(Query!$B$9="",ISNUMBER(SEARCH(Query!$B$9,'Compliance Database'!$D1319&amp;" "&amp;'Compliance Database'!$K1319&amp;" "&amp;'Compliance Database'!$L1319&amp;" "&amp;'Compliance Database'!$M1319&amp;" "&amp;'Compliance Database'!$N1319&amp;" "&amp;'Compliance Database'!$O1319))),OR(Query!$B$10&lt;&gt;"Yes",'Compliance Database'!$F1319&lt;&gt;"None")),1,0)</f>
        <v/>
      </c>
      <c r="B1319">
        <f>IF($A1319=1,SUM($A$2:$A1319),"")</f>
        <v/>
      </c>
      <c r="C1319">
        <f>IF($A1319=1,SUM($A$2:$A1319),0)</f>
        <v/>
      </c>
    </row>
    <row r="1320">
      <c r="A1320">
        <f>IF(AND(OR(Query!$B$4="All",'Compliance Database'!$A1320=Query!$B$4),OR(Query!$B$5="All",ISNUMBER(SEARCH(Query!$B$5,'Compliance Database'!$H1320))),OR(Query!$B$6="All",ISNUMBER(SEARCH(Query!$B$6,'Compliance Database'!$I1320))),OR(Query!$B$7="All",'Compliance Database'!$F1320=Query!$B$7),OR(Query!$B$8="All",'Compliance Database'!$J1320=Query!$B$8),OR(Query!$B$9="",ISNUMBER(SEARCH(Query!$B$9,'Compliance Database'!$D1320&amp;" "&amp;'Compliance Database'!$K1320&amp;" "&amp;'Compliance Database'!$L1320&amp;" "&amp;'Compliance Database'!$M1320&amp;" "&amp;'Compliance Database'!$N1320&amp;" "&amp;'Compliance Database'!$O1320))),OR(Query!$B$10&lt;&gt;"Yes",'Compliance Database'!$F1320&lt;&gt;"None")),1,0)</f>
        <v/>
      </c>
      <c r="B1320">
        <f>IF($A1320=1,SUM($A$2:$A1320),"")</f>
        <v/>
      </c>
      <c r="C1320">
        <f>IF($A1320=1,SUM($A$2:$A1320),0)</f>
        <v/>
      </c>
    </row>
    <row r="1321">
      <c r="A1321">
        <f>IF(AND(OR(Query!$B$4="All",'Compliance Database'!$A1321=Query!$B$4),OR(Query!$B$5="All",ISNUMBER(SEARCH(Query!$B$5,'Compliance Database'!$H1321))),OR(Query!$B$6="All",ISNUMBER(SEARCH(Query!$B$6,'Compliance Database'!$I1321))),OR(Query!$B$7="All",'Compliance Database'!$F1321=Query!$B$7),OR(Query!$B$8="All",'Compliance Database'!$J1321=Query!$B$8),OR(Query!$B$9="",ISNUMBER(SEARCH(Query!$B$9,'Compliance Database'!$D1321&amp;" "&amp;'Compliance Database'!$K1321&amp;" "&amp;'Compliance Database'!$L1321&amp;" "&amp;'Compliance Database'!$M1321&amp;" "&amp;'Compliance Database'!$N1321&amp;" "&amp;'Compliance Database'!$O1321))),OR(Query!$B$10&lt;&gt;"Yes",'Compliance Database'!$F1321&lt;&gt;"None")),1,0)</f>
        <v/>
      </c>
      <c r="B1321">
        <f>IF($A1321=1,SUM($A$2:$A1321),"")</f>
        <v/>
      </c>
      <c r="C1321">
        <f>IF($A1321=1,SUM($A$2:$A1321),0)</f>
        <v/>
      </c>
    </row>
    <row r="1322">
      <c r="A1322">
        <f>IF(AND(OR(Query!$B$4="All",'Compliance Database'!$A1322=Query!$B$4),OR(Query!$B$5="All",ISNUMBER(SEARCH(Query!$B$5,'Compliance Database'!$H1322))),OR(Query!$B$6="All",ISNUMBER(SEARCH(Query!$B$6,'Compliance Database'!$I1322))),OR(Query!$B$7="All",'Compliance Database'!$F1322=Query!$B$7),OR(Query!$B$8="All",'Compliance Database'!$J1322=Query!$B$8),OR(Query!$B$9="",ISNUMBER(SEARCH(Query!$B$9,'Compliance Database'!$D1322&amp;" "&amp;'Compliance Database'!$K1322&amp;" "&amp;'Compliance Database'!$L1322&amp;" "&amp;'Compliance Database'!$M1322&amp;" "&amp;'Compliance Database'!$N1322&amp;" "&amp;'Compliance Database'!$O1322))),OR(Query!$B$10&lt;&gt;"Yes",'Compliance Database'!$F1322&lt;&gt;"None")),1,0)</f>
        <v/>
      </c>
      <c r="B1322">
        <f>IF($A1322=1,SUM($A$2:$A1322),"")</f>
        <v/>
      </c>
      <c r="C1322">
        <f>IF($A1322=1,SUM($A$2:$A1322),0)</f>
        <v/>
      </c>
    </row>
    <row r="1323">
      <c r="A1323">
        <f>IF(AND(OR(Query!$B$4="All",'Compliance Database'!$A1323=Query!$B$4),OR(Query!$B$5="All",ISNUMBER(SEARCH(Query!$B$5,'Compliance Database'!$H1323))),OR(Query!$B$6="All",ISNUMBER(SEARCH(Query!$B$6,'Compliance Database'!$I1323))),OR(Query!$B$7="All",'Compliance Database'!$F1323=Query!$B$7),OR(Query!$B$8="All",'Compliance Database'!$J1323=Query!$B$8),OR(Query!$B$9="",ISNUMBER(SEARCH(Query!$B$9,'Compliance Database'!$D1323&amp;" "&amp;'Compliance Database'!$K1323&amp;" "&amp;'Compliance Database'!$L1323&amp;" "&amp;'Compliance Database'!$M1323&amp;" "&amp;'Compliance Database'!$N1323&amp;" "&amp;'Compliance Database'!$O1323))),OR(Query!$B$10&lt;&gt;"Yes",'Compliance Database'!$F1323&lt;&gt;"None")),1,0)</f>
        <v/>
      </c>
      <c r="B1323">
        <f>IF($A1323=1,SUM($A$2:$A1323),"")</f>
        <v/>
      </c>
      <c r="C1323">
        <f>IF($A1323=1,SUM($A$2:$A1323),0)</f>
        <v/>
      </c>
    </row>
    <row r="1324">
      <c r="A1324">
        <f>IF(AND(OR(Query!$B$4="All",'Compliance Database'!$A1324=Query!$B$4),OR(Query!$B$5="All",ISNUMBER(SEARCH(Query!$B$5,'Compliance Database'!$H1324))),OR(Query!$B$6="All",ISNUMBER(SEARCH(Query!$B$6,'Compliance Database'!$I1324))),OR(Query!$B$7="All",'Compliance Database'!$F1324=Query!$B$7),OR(Query!$B$8="All",'Compliance Database'!$J1324=Query!$B$8),OR(Query!$B$9="",ISNUMBER(SEARCH(Query!$B$9,'Compliance Database'!$D1324&amp;" "&amp;'Compliance Database'!$K1324&amp;" "&amp;'Compliance Database'!$L1324&amp;" "&amp;'Compliance Database'!$M1324&amp;" "&amp;'Compliance Database'!$N1324&amp;" "&amp;'Compliance Database'!$O1324))),OR(Query!$B$10&lt;&gt;"Yes",'Compliance Database'!$F1324&lt;&gt;"None")),1,0)</f>
        <v/>
      </c>
      <c r="B1324">
        <f>IF($A1324=1,SUM($A$2:$A1324),"")</f>
        <v/>
      </c>
      <c r="C1324">
        <f>IF($A1324=1,SUM($A$2:$A1324),0)</f>
        <v/>
      </c>
    </row>
    <row r="1325">
      <c r="A1325">
        <f>IF(AND(OR(Query!$B$4="All",'Compliance Database'!$A1325=Query!$B$4),OR(Query!$B$5="All",ISNUMBER(SEARCH(Query!$B$5,'Compliance Database'!$H1325))),OR(Query!$B$6="All",ISNUMBER(SEARCH(Query!$B$6,'Compliance Database'!$I1325))),OR(Query!$B$7="All",'Compliance Database'!$F1325=Query!$B$7),OR(Query!$B$8="All",'Compliance Database'!$J1325=Query!$B$8),OR(Query!$B$9="",ISNUMBER(SEARCH(Query!$B$9,'Compliance Database'!$D1325&amp;" "&amp;'Compliance Database'!$K1325&amp;" "&amp;'Compliance Database'!$L1325&amp;" "&amp;'Compliance Database'!$M1325&amp;" "&amp;'Compliance Database'!$N1325&amp;" "&amp;'Compliance Database'!$O1325))),OR(Query!$B$10&lt;&gt;"Yes",'Compliance Database'!$F1325&lt;&gt;"None")),1,0)</f>
        <v/>
      </c>
      <c r="B1325">
        <f>IF($A1325=1,SUM($A$2:$A1325),"")</f>
        <v/>
      </c>
      <c r="C1325">
        <f>IF($A1325=1,SUM($A$2:$A1325),0)</f>
        <v/>
      </c>
    </row>
    <row r="1326">
      <c r="A1326">
        <f>IF(AND(OR(Query!$B$4="All",'Compliance Database'!$A1326=Query!$B$4),OR(Query!$B$5="All",ISNUMBER(SEARCH(Query!$B$5,'Compliance Database'!$H1326))),OR(Query!$B$6="All",ISNUMBER(SEARCH(Query!$B$6,'Compliance Database'!$I1326))),OR(Query!$B$7="All",'Compliance Database'!$F1326=Query!$B$7),OR(Query!$B$8="All",'Compliance Database'!$J1326=Query!$B$8),OR(Query!$B$9="",ISNUMBER(SEARCH(Query!$B$9,'Compliance Database'!$D1326&amp;" "&amp;'Compliance Database'!$K1326&amp;" "&amp;'Compliance Database'!$L1326&amp;" "&amp;'Compliance Database'!$M1326&amp;" "&amp;'Compliance Database'!$N1326&amp;" "&amp;'Compliance Database'!$O1326))),OR(Query!$B$10&lt;&gt;"Yes",'Compliance Database'!$F1326&lt;&gt;"None")),1,0)</f>
        <v/>
      </c>
      <c r="B1326">
        <f>IF($A1326=1,SUM($A$2:$A1326),"")</f>
        <v/>
      </c>
      <c r="C1326">
        <f>IF($A1326=1,SUM($A$2:$A1326),0)</f>
        <v/>
      </c>
    </row>
    <row r="1327">
      <c r="A1327">
        <f>IF(AND(OR(Query!$B$4="All",'Compliance Database'!$A1327=Query!$B$4),OR(Query!$B$5="All",ISNUMBER(SEARCH(Query!$B$5,'Compliance Database'!$H1327))),OR(Query!$B$6="All",ISNUMBER(SEARCH(Query!$B$6,'Compliance Database'!$I1327))),OR(Query!$B$7="All",'Compliance Database'!$F1327=Query!$B$7),OR(Query!$B$8="All",'Compliance Database'!$J1327=Query!$B$8),OR(Query!$B$9="",ISNUMBER(SEARCH(Query!$B$9,'Compliance Database'!$D1327&amp;" "&amp;'Compliance Database'!$K1327&amp;" "&amp;'Compliance Database'!$L1327&amp;" "&amp;'Compliance Database'!$M1327&amp;" "&amp;'Compliance Database'!$N1327&amp;" "&amp;'Compliance Database'!$O1327))),OR(Query!$B$10&lt;&gt;"Yes",'Compliance Database'!$F1327&lt;&gt;"None")),1,0)</f>
        <v/>
      </c>
      <c r="B1327">
        <f>IF($A1327=1,SUM($A$2:$A1327),"")</f>
        <v/>
      </c>
      <c r="C1327">
        <f>IF($A1327=1,SUM($A$2:$A1327),0)</f>
        <v/>
      </c>
    </row>
    <row r="1328">
      <c r="A1328">
        <f>IF(AND(OR(Query!$B$4="All",'Compliance Database'!$A1328=Query!$B$4),OR(Query!$B$5="All",ISNUMBER(SEARCH(Query!$B$5,'Compliance Database'!$H1328))),OR(Query!$B$6="All",ISNUMBER(SEARCH(Query!$B$6,'Compliance Database'!$I1328))),OR(Query!$B$7="All",'Compliance Database'!$F1328=Query!$B$7),OR(Query!$B$8="All",'Compliance Database'!$J1328=Query!$B$8),OR(Query!$B$9="",ISNUMBER(SEARCH(Query!$B$9,'Compliance Database'!$D1328&amp;" "&amp;'Compliance Database'!$K1328&amp;" "&amp;'Compliance Database'!$L1328&amp;" "&amp;'Compliance Database'!$M1328&amp;" "&amp;'Compliance Database'!$N1328&amp;" "&amp;'Compliance Database'!$O1328))),OR(Query!$B$10&lt;&gt;"Yes",'Compliance Database'!$F1328&lt;&gt;"None")),1,0)</f>
        <v/>
      </c>
      <c r="B1328">
        <f>IF($A1328=1,SUM($A$2:$A1328),"")</f>
        <v/>
      </c>
      <c r="C1328">
        <f>IF($A1328=1,SUM($A$2:$A1328),0)</f>
        <v/>
      </c>
    </row>
    <row r="1329">
      <c r="A1329">
        <f>IF(AND(OR(Query!$B$4="All",'Compliance Database'!$A1329=Query!$B$4),OR(Query!$B$5="All",ISNUMBER(SEARCH(Query!$B$5,'Compliance Database'!$H1329))),OR(Query!$B$6="All",ISNUMBER(SEARCH(Query!$B$6,'Compliance Database'!$I1329))),OR(Query!$B$7="All",'Compliance Database'!$F1329=Query!$B$7),OR(Query!$B$8="All",'Compliance Database'!$J1329=Query!$B$8),OR(Query!$B$9="",ISNUMBER(SEARCH(Query!$B$9,'Compliance Database'!$D1329&amp;" "&amp;'Compliance Database'!$K1329&amp;" "&amp;'Compliance Database'!$L1329&amp;" "&amp;'Compliance Database'!$M1329&amp;" "&amp;'Compliance Database'!$N1329&amp;" "&amp;'Compliance Database'!$O1329))),OR(Query!$B$10&lt;&gt;"Yes",'Compliance Database'!$F1329&lt;&gt;"None")),1,0)</f>
        <v/>
      </c>
      <c r="B1329">
        <f>IF($A1329=1,SUM($A$2:$A1329),"")</f>
        <v/>
      </c>
      <c r="C1329">
        <f>IF($A1329=1,SUM($A$2:$A1329),0)</f>
        <v/>
      </c>
    </row>
    <row r="1330">
      <c r="A1330">
        <f>IF(AND(OR(Query!$B$4="All",'Compliance Database'!$A1330=Query!$B$4),OR(Query!$B$5="All",ISNUMBER(SEARCH(Query!$B$5,'Compliance Database'!$H1330))),OR(Query!$B$6="All",ISNUMBER(SEARCH(Query!$B$6,'Compliance Database'!$I1330))),OR(Query!$B$7="All",'Compliance Database'!$F1330=Query!$B$7),OR(Query!$B$8="All",'Compliance Database'!$J1330=Query!$B$8),OR(Query!$B$9="",ISNUMBER(SEARCH(Query!$B$9,'Compliance Database'!$D1330&amp;" "&amp;'Compliance Database'!$K1330&amp;" "&amp;'Compliance Database'!$L1330&amp;" "&amp;'Compliance Database'!$M1330&amp;" "&amp;'Compliance Database'!$N1330&amp;" "&amp;'Compliance Database'!$O1330))),OR(Query!$B$10&lt;&gt;"Yes",'Compliance Database'!$F1330&lt;&gt;"None")),1,0)</f>
        <v/>
      </c>
      <c r="B1330">
        <f>IF($A1330=1,SUM($A$2:$A1330),"")</f>
        <v/>
      </c>
      <c r="C1330">
        <f>IF($A1330=1,SUM($A$2:$A1330),0)</f>
        <v/>
      </c>
    </row>
    <row r="1331">
      <c r="A1331">
        <f>IF(AND(OR(Query!$B$4="All",'Compliance Database'!$A1331=Query!$B$4),OR(Query!$B$5="All",ISNUMBER(SEARCH(Query!$B$5,'Compliance Database'!$H1331))),OR(Query!$B$6="All",ISNUMBER(SEARCH(Query!$B$6,'Compliance Database'!$I1331))),OR(Query!$B$7="All",'Compliance Database'!$F1331=Query!$B$7),OR(Query!$B$8="All",'Compliance Database'!$J1331=Query!$B$8),OR(Query!$B$9="",ISNUMBER(SEARCH(Query!$B$9,'Compliance Database'!$D1331&amp;" "&amp;'Compliance Database'!$K1331&amp;" "&amp;'Compliance Database'!$L1331&amp;" "&amp;'Compliance Database'!$M1331&amp;" "&amp;'Compliance Database'!$N1331&amp;" "&amp;'Compliance Database'!$O1331))),OR(Query!$B$10&lt;&gt;"Yes",'Compliance Database'!$F1331&lt;&gt;"None")),1,0)</f>
        <v/>
      </c>
      <c r="B1331">
        <f>IF($A1331=1,SUM($A$2:$A1331),"")</f>
        <v/>
      </c>
      <c r="C1331">
        <f>IF($A1331=1,SUM($A$2:$A1331),0)</f>
        <v/>
      </c>
    </row>
    <row r="1332">
      <c r="A1332">
        <f>IF(AND(OR(Query!$B$4="All",'Compliance Database'!$A1332=Query!$B$4),OR(Query!$B$5="All",ISNUMBER(SEARCH(Query!$B$5,'Compliance Database'!$H1332))),OR(Query!$B$6="All",ISNUMBER(SEARCH(Query!$B$6,'Compliance Database'!$I1332))),OR(Query!$B$7="All",'Compliance Database'!$F1332=Query!$B$7),OR(Query!$B$8="All",'Compliance Database'!$J1332=Query!$B$8),OR(Query!$B$9="",ISNUMBER(SEARCH(Query!$B$9,'Compliance Database'!$D1332&amp;" "&amp;'Compliance Database'!$K1332&amp;" "&amp;'Compliance Database'!$L1332&amp;" "&amp;'Compliance Database'!$M1332&amp;" "&amp;'Compliance Database'!$N1332&amp;" "&amp;'Compliance Database'!$O1332))),OR(Query!$B$10&lt;&gt;"Yes",'Compliance Database'!$F1332&lt;&gt;"None")),1,0)</f>
        <v/>
      </c>
      <c r="B1332">
        <f>IF($A1332=1,SUM($A$2:$A1332),"")</f>
        <v/>
      </c>
      <c r="C1332">
        <f>IF($A1332=1,SUM($A$2:$A1332),0)</f>
        <v/>
      </c>
    </row>
    <row r="1333">
      <c r="A1333">
        <f>IF(AND(OR(Query!$B$4="All",'Compliance Database'!$A1333=Query!$B$4),OR(Query!$B$5="All",ISNUMBER(SEARCH(Query!$B$5,'Compliance Database'!$H1333))),OR(Query!$B$6="All",ISNUMBER(SEARCH(Query!$B$6,'Compliance Database'!$I1333))),OR(Query!$B$7="All",'Compliance Database'!$F1333=Query!$B$7),OR(Query!$B$8="All",'Compliance Database'!$J1333=Query!$B$8),OR(Query!$B$9="",ISNUMBER(SEARCH(Query!$B$9,'Compliance Database'!$D1333&amp;" "&amp;'Compliance Database'!$K1333&amp;" "&amp;'Compliance Database'!$L1333&amp;" "&amp;'Compliance Database'!$M1333&amp;" "&amp;'Compliance Database'!$N1333&amp;" "&amp;'Compliance Database'!$O1333))),OR(Query!$B$10&lt;&gt;"Yes",'Compliance Database'!$F1333&lt;&gt;"None")),1,0)</f>
        <v/>
      </c>
      <c r="B1333">
        <f>IF($A1333=1,SUM($A$2:$A1333),"")</f>
        <v/>
      </c>
      <c r="C1333">
        <f>IF($A1333=1,SUM($A$2:$A1333),0)</f>
        <v/>
      </c>
    </row>
    <row r="1334">
      <c r="A1334">
        <f>IF(AND(OR(Query!$B$4="All",'Compliance Database'!$A1334=Query!$B$4),OR(Query!$B$5="All",ISNUMBER(SEARCH(Query!$B$5,'Compliance Database'!$H1334))),OR(Query!$B$6="All",ISNUMBER(SEARCH(Query!$B$6,'Compliance Database'!$I1334))),OR(Query!$B$7="All",'Compliance Database'!$F1334=Query!$B$7),OR(Query!$B$8="All",'Compliance Database'!$J1334=Query!$B$8),OR(Query!$B$9="",ISNUMBER(SEARCH(Query!$B$9,'Compliance Database'!$D1334&amp;" "&amp;'Compliance Database'!$K1334&amp;" "&amp;'Compliance Database'!$L1334&amp;" "&amp;'Compliance Database'!$M1334&amp;" "&amp;'Compliance Database'!$N1334&amp;" "&amp;'Compliance Database'!$O1334))),OR(Query!$B$10&lt;&gt;"Yes",'Compliance Database'!$F1334&lt;&gt;"None")),1,0)</f>
        <v/>
      </c>
      <c r="B1334">
        <f>IF($A1334=1,SUM($A$2:$A1334),"")</f>
        <v/>
      </c>
      <c r="C1334">
        <f>IF($A1334=1,SUM($A$2:$A1334),0)</f>
        <v/>
      </c>
    </row>
    <row r="1335">
      <c r="A1335">
        <f>IF(AND(OR(Query!$B$4="All",'Compliance Database'!$A1335=Query!$B$4),OR(Query!$B$5="All",ISNUMBER(SEARCH(Query!$B$5,'Compliance Database'!$H1335))),OR(Query!$B$6="All",ISNUMBER(SEARCH(Query!$B$6,'Compliance Database'!$I1335))),OR(Query!$B$7="All",'Compliance Database'!$F1335=Query!$B$7),OR(Query!$B$8="All",'Compliance Database'!$J1335=Query!$B$8),OR(Query!$B$9="",ISNUMBER(SEARCH(Query!$B$9,'Compliance Database'!$D1335&amp;" "&amp;'Compliance Database'!$K1335&amp;" "&amp;'Compliance Database'!$L1335&amp;" "&amp;'Compliance Database'!$M1335&amp;" "&amp;'Compliance Database'!$N1335&amp;" "&amp;'Compliance Database'!$O1335))),OR(Query!$B$10&lt;&gt;"Yes",'Compliance Database'!$F1335&lt;&gt;"None")),1,0)</f>
        <v/>
      </c>
      <c r="B1335">
        <f>IF($A1335=1,SUM($A$2:$A1335),"")</f>
        <v/>
      </c>
      <c r="C1335">
        <f>IF($A1335=1,SUM($A$2:$A1335),0)</f>
        <v/>
      </c>
    </row>
    <row r="1336">
      <c r="A1336">
        <f>IF(AND(OR(Query!$B$4="All",'Compliance Database'!$A1336=Query!$B$4),OR(Query!$B$5="All",ISNUMBER(SEARCH(Query!$B$5,'Compliance Database'!$H1336))),OR(Query!$B$6="All",ISNUMBER(SEARCH(Query!$B$6,'Compliance Database'!$I1336))),OR(Query!$B$7="All",'Compliance Database'!$F1336=Query!$B$7),OR(Query!$B$8="All",'Compliance Database'!$J1336=Query!$B$8),OR(Query!$B$9="",ISNUMBER(SEARCH(Query!$B$9,'Compliance Database'!$D1336&amp;" "&amp;'Compliance Database'!$K1336&amp;" "&amp;'Compliance Database'!$L1336&amp;" "&amp;'Compliance Database'!$M1336&amp;" "&amp;'Compliance Database'!$N1336&amp;" "&amp;'Compliance Database'!$O1336))),OR(Query!$B$10&lt;&gt;"Yes",'Compliance Database'!$F1336&lt;&gt;"None")),1,0)</f>
        <v/>
      </c>
      <c r="B1336">
        <f>IF($A1336=1,SUM($A$2:$A1336),"")</f>
        <v/>
      </c>
      <c r="C1336">
        <f>IF($A1336=1,SUM($A$2:$A1336),0)</f>
        <v/>
      </c>
    </row>
    <row r="1337">
      <c r="A1337">
        <f>IF(AND(OR(Query!$B$4="All",'Compliance Database'!$A1337=Query!$B$4),OR(Query!$B$5="All",ISNUMBER(SEARCH(Query!$B$5,'Compliance Database'!$H1337))),OR(Query!$B$6="All",ISNUMBER(SEARCH(Query!$B$6,'Compliance Database'!$I1337))),OR(Query!$B$7="All",'Compliance Database'!$F1337=Query!$B$7),OR(Query!$B$8="All",'Compliance Database'!$J1337=Query!$B$8),OR(Query!$B$9="",ISNUMBER(SEARCH(Query!$B$9,'Compliance Database'!$D1337&amp;" "&amp;'Compliance Database'!$K1337&amp;" "&amp;'Compliance Database'!$L1337&amp;" "&amp;'Compliance Database'!$M1337&amp;" "&amp;'Compliance Database'!$N1337&amp;" "&amp;'Compliance Database'!$O1337))),OR(Query!$B$10&lt;&gt;"Yes",'Compliance Database'!$F1337&lt;&gt;"None")),1,0)</f>
        <v/>
      </c>
      <c r="B1337">
        <f>IF($A1337=1,SUM($A$2:$A1337),"")</f>
        <v/>
      </c>
      <c r="C1337">
        <f>IF($A1337=1,SUM($A$2:$A1337),0)</f>
        <v/>
      </c>
    </row>
    <row r="1338">
      <c r="A1338">
        <f>IF(AND(OR(Query!$B$4="All",'Compliance Database'!$A1338=Query!$B$4),OR(Query!$B$5="All",ISNUMBER(SEARCH(Query!$B$5,'Compliance Database'!$H1338))),OR(Query!$B$6="All",ISNUMBER(SEARCH(Query!$B$6,'Compliance Database'!$I1338))),OR(Query!$B$7="All",'Compliance Database'!$F1338=Query!$B$7),OR(Query!$B$8="All",'Compliance Database'!$J1338=Query!$B$8),OR(Query!$B$9="",ISNUMBER(SEARCH(Query!$B$9,'Compliance Database'!$D1338&amp;" "&amp;'Compliance Database'!$K1338&amp;" "&amp;'Compliance Database'!$L1338&amp;" "&amp;'Compliance Database'!$M1338&amp;" "&amp;'Compliance Database'!$N1338&amp;" "&amp;'Compliance Database'!$O1338))),OR(Query!$B$10&lt;&gt;"Yes",'Compliance Database'!$F1338&lt;&gt;"None")),1,0)</f>
        <v/>
      </c>
      <c r="B1338">
        <f>IF($A1338=1,SUM($A$2:$A1338),"")</f>
        <v/>
      </c>
      <c r="C1338">
        <f>IF($A1338=1,SUM($A$2:$A1338),0)</f>
        <v/>
      </c>
    </row>
    <row r="1339">
      <c r="A1339">
        <f>IF(AND(OR(Query!$B$4="All",'Compliance Database'!$A1339=Query!$B$4),OR(Query!$B$5="All",ISNUMBER(SEARCH(Query!$B$5,'Compliance Database'!$H1339))),OR(Query!$B$6="All",ISNUMBER(SEARCH(Query!$B$6,'Compliance Database'!$I1339))),OR(Query!$B$7="All",'Compliance Database'!$F1339=Query!$B$7),OR(Query!$B$8="All",'Compliance Database'!$J1339=Query!$B$8),OR(Query!$B$9="",ISNUMBER(SEARCH(Query!$B$9,'Compliance Database'!$D1339&amp;" "&amp;'Compliance Database'!$K1339&amp;" "&amp;'Compliance Database'!$L1339&amp;" "&amp;'Compliance Database'!$M1339&amp;" "&amp;'Compliance Database'!$N1339&amp;" "&amp;'Compliance Database'!$O1339))),OR(Query!$B$10&lt;&gt;"Yes",'Compliance Database'!$F1339&lt;&gt;"None")),1,0)</f>
        <v/>
      </c>
      <c r="B1339">
        <f>IF($A1339=1,SUM($A$2:$A1339),"")</f>
        <v/>
      </c>
      <c r="C1339">
        <f>IF($A1339=1,SUM($A$2:$A1339),0)</f>
        <v/>
      </c>
    </row>
    <row r="1340">
      <c r="A1340">
        <f>IF(AND(OR(Query!$B$4="All",'Compliance Database'!$A1340=Query!$B$4),OR(Query!$B$5="All",ISNUMBER(SEARCH(Query!$B$5,'Compliance Database'!$H1340))),OR(Query!$B$6="All",ISNUMBER(SEARCH(Query!$B$6,'Compliance Database'!$I1340))),OR(Query!$B$7="All",'Compliance Database'!$F1340=Query!$B$7),OR(Query!$B$8="All",'Compliance Database'!$J1340=Query!$B$8),OR(Query!$B$9="",ISNUMBER(SEARCH(Query!$B$9,'Compliance Database'!$D1340&amp;" "&amp;'Compliance Database'!$K1340&amp;" "&amp;'Compliance Database'!$L1340&amp;" "&amp;'Compliance Database'!$M1340&amp;" "&amp;'Compliance Database'!$N1340&amp;" "&amp;'Compliance Database'!$O1340))),OR(Query!$B$10&lt;&gt;"Yes",'Compliance Database'!$F1340&lt;&gt;"None")),1,0)</f>
        <v/>
      </c>
      <c r="B1340">
        <f>IF($A1340=1,SUM($A$2:$A1340),"")</f>
        <v/>
      </c>
      <c r="C1340">
        <f>IF($A1340=1,SUM($A$2:$A1340),0)</f>
        <v/>
      </c>
    </row>
    <row r="1341">
      <c r="A1341">
        <f>IF(AND(OR(Query!$B$4="All",'Compliance Database'!$A1341=Query!$B$4),OR(Query!$B$5="All",ISNUMBER(SEARCH(Query!$B$5,'Compliance Database'!$H1341))),OR(Query!$B$6="All",ISNUMBER(SEARCH(Query!$B$6,'Compliance Database'!$I1341))),OR(Query!$B$7="All",'Compliance Database'!$F1341=Query!$B$7),OR(Query!$B$8="All",'Compliance Database'!$J1341=Query!$B$8),OR(Query!$B$9="",ISNUMBER(SEARCH(Query!$B$9,'Compliance Database'!$D1341&amp;" "&amp;'Compliance Database'!$K1341&amp;" "&amp;'Compliance Database'!$L1341&amp;" "&amp;'Compliance Database'!$M1341&amp;" "&amp;'Compliance Database'!$N1341&amp;" "&amp;'Compliance Database'!$O1341))),OR(Query!$B$10&lt;&gt;"Yes",'Compliance Database'!$F1341&lt;&gt;"None")),1,0)</f>
        <v/>
      </c>
      <c r="B1341">
        <f>IF($A1341=1,SUM($A$2:$A1341),"")</f>
        <v/>
      </c>
      <c r="C1341">
        <f>IF($A1341=1,SUM($A$2:$A1341),0)</f>
        <v/>
      </c>
    </row>
    <row r="1342">
      <c r="A1342">
        <f>IF(AND(OR(Query!$B$4="All",'Compliance Database'!$A1342=Query!$B$4),OR(Query!$B$5="All",ISNUMBER(SEARCH(Query!$B$5,'Compliance Database'!$H1342))),OR(Query!$B$6="All",ISNUMBER(SEARCH(Query!$B$6,'Compliance Database'!$I1342))),OR(Query!$B$7="All",'Compliance Database'!$F1342=Query!$B$7),OR(Query!$B$8="All",'Compliance Database'!$J1342=Query!$B$8),OR(Query!$B$9="",ISNUMBER(SEARCH(Query!$B$9,'Compliance Database'!$D1342&amp;" "&amp;'Compliance Database'!$K1342&amp;" "&amp;'Compliance Database'!$L1342&amp;" "&amp;'Compliance Database'!$M1342&amp;" "&amp;'Compliance Database'!$N1342&amp;" "&amp;'Compliance Database'!$O1342))),OR(Query!$B$10&lt;&gt;"Yes",'Compliance Database'!$F1342&lt;&gt;"None")),1,0)</f>
        <v/>
      </c>
      <c r="B1342">
        <f>IF($A1342=1,SUM($A$2:$A1342),"")</f>
        <v/>
      </c>
      <c r="C1342">
        <f>IF($A1342=1,SUM($A$2:$A1342),0)</f>
        <v/>
      </c>
    </row>
    <row r="1343">
      <c r="A1343">
        <f>IF(AND(OR(Query!$B$4="All",'Compliance Database'!$A1343=Query!$B$4),OR(Query!$B$5="All",ISNUMBER(SEARCH(Query!$B$5,'Compliance Database'!$H1343))),OR(Query!$B$6="All",ISNUMBER(SEARCH(Query!$B$6,'Compliance Database'!$I1343))),OR(Query!$B$7="All",'Compliance Database'!$F1343=Query!$B$7),OR(Query!$B$8="All",'Compliance Database'!$J1343=Query!$B$8),OR(Query!$B$9="",ISNUMBER(SEARCH(Query!$B$9,'Compliance Database'!$D1343&amp;" "&amp;'Compliance Database'!$K1343&amp;" "&amp;'Compliance Database'!$L1343&amp;" "&amp;'Compliance Database'!$M1343&amp;" "&amp;'Compliance Database'!$N1343&amp;" "&amp;'Compliance Database'!$O1343))),OR(Query!$B$10&lt;&gt;"Yes",'Compliance Database'!$F1343&lt;&gt;"None")),1,0)</f>
        <v/>
      </c>
      <c r="B1343">
        <f>IF($A1343=1,SUM($A$2:$A1343),"")</f>
        <v/>
      </c>
      <c r="C1343">
        <f>IF($A1343=1,SUM($A$2:$A1343),0)</f>
        <v/>
      </c>
    </row>
    <row r="1344">
      <c r="A1344">
        <f>IF(AND(OR(Query!$B$4="All",'Compliance Database'!$A1344=Query!$B$4),OR(Query!$B$5="All",ISNUMBER(SEARCH(Query!$B$5,'Compliance Database'!$H1344))),OR(Query!$B$6="All",ISNUMBER(SEARCH(Query!$B$6,'Compliance Database'!$I1344))),OR(Query!$B$7="All",'Compliance Database'!$F1344=Query!$B$7),OR(Query!$B$8="All",'Compliance Database'!$J1344=Query!$B$8),OR(Query!$B$9="",ISNUMBER(SEARCH(Query!$B$9,'Compliance Database'!$D1344&amp;" "&amp;'Compliance Database'!$K1344&amp;" "&amp;'Compliance Database'!$L1344&amp;" "&amp;'Compliance Database'!$M1344&amp;" "&amp;'Compliance Database'!$N1344&amp;" "&amp;'Compliance Database'!$O1344))),OR(Query!$B$10&lt;&gt;"Yes",'Compliance Database'!$F1344&lt;&gt;"None")),1,0)</f>
        <v/>
      </c>
      <c r="B1344">
        <f>IF($A1344=1,SUM($A$2:$A1344),"")</f>
        <v/>
      </c>
      <c r="C1344">
        <f>IF($A1344=1,SUM($A$2:$A1344),0)</f>
        <v/>
      </c>
    </row>
    <row r="1345">
      <c r="A1345">
        <f>IF(AND(OR(Query!$B$4="All",'Compliance Database'!$A1345=Query!$B$4),OR(Query!$B$5="All",ISNUMBER(SEARCH(Query!$B$5,'Compliance Database'!$H1345))),OR(Query!$B$6="All",ISNUMBER(SEARCH(Query!$B$6,'Compliance Database'!$I1345))),OR(Query!$B$7="All",'Compliance Database'!$F1345=Query!$B$7),OR(Query!$B$8="All",'Compliance Database'!$J1345=Query!$B$8),OR(Query!$B$9="",ISNUMBER(SEARCH(Query!$B$9,'Compliance Database'!$D1345&amp;" "&amp;'Compliance Database'!$K1345&amp;" "&amp;'Compliance Database'!$L1345&amp;" "&amp;'Compliance Database'!$M1345&amp;" "&amp;'Compliance Database'!$N1345&amp;" "&amp;'Compliance Database'!$O1345))),OR(Query!$B$10&lt;&gt;"Yes",'Compliance Database'!$F1345&lt;&gt;"None")),1,0)</f>
        <v/>
      </c>
      <c r="B1345">
        <f>IF($A1345=1,SUM($A$2:$A1345),"")</f>
        <v/>
      </c>
      <c r="C1345">
        <f>IF($A1345=1,SUM($A$2:$A1345),0)</f>
        <v/>
      </c>
    </row>
    <row r="1346">
      <c r="A1346">
        <f>IF(AND(OR(Query!$B$4="All",'Compliance Database'!$A1346=Query!$B$4),OR(Query!$B$5="All",ISNUMBER(SEARCH(Query!$B$5,'Compliance Database'!$H1346))),OR(Query!$B$6="All",ISNUMBER(SEARCH(Query!$B$6,'Compliance Database'!$I1346))),OR(Query!$B$7="All",'Compliance Database'!$F1346=Query!$B$7),OR(Query!$B$8="All",'Compliance Database'!$J1346=Query!$B$8),OR(Query!$B$9="",ISNUMBER(SEARCH(Query!$B$9,'Compliance Database'!$D1346&amp;" "&amp;'Compliance Database'!$K1346&amp;" "&amp;'Compliance Database'!$L1346&amp;" "&amp;'Compliance Database'!$M1346&amp;" "&amp;'Compliance Database'!$N1346&amp;" "&amp;'Compliance Database'!$O1346))),OR(Query!$B$10&lt;&gt;"Yes",'Compliance Database'!$F1346&lt;&gt;"None")),1,0)</f>
        <v/>
      </c>
      <c r="B1346">
        <f>IF($A1346=1,SUM($A$2:$A1346),"")</f>
        <v/>
      </c>
      <c r="C1346">
        <f>IF($A1346=1,SUM($A$2:$A1346),0)</f>
        <v/>
      </c>
    </row>
    <row r="1347">
      <c r="A1347">
        <f>IF(AND(OR(Query!$B$4="All",'Compliance Database'!$A1347=Query!$B$4),OR(Query!$B$5="All",ISNUMBER(SEARCH(Query!$B$5,'Compliance Database'!$H1347))),OR(Query!$B$6="All",ISNUMBER(SEARCH(Query!$B$6,'Compliance Database'!$I1347))),OR(Query!$B$7="All",'Compliance Database'!$F1347=Query!$B$7),OR(Query!$B$8="All",'Compliance Database'!$J1347=Query!$B$8),OR(Query!$B$9="",ISNUMBER(SEARCH(Query!$B$9,'Compliance Database'!$D1347&amp;" "&amp;'Compliance Database'!$K1347&amp;" "&amp;'Compliance Database'!$L1347&amp;" "&amp;'Compliance Database'!$M1347&amp;" "&amp;'Compliance Database'!$N1347&amp;" "&amp;'Compliance Database'!$O1347))),OR(Query!$B$10&lt;&gt;"Yes",'Compliance Database'!$F1347&lt;&gt;"None")),1,0)</f>
        <v/>
      </c>
      <c r="B1347">
        <f>IF($A1347=1,SUM($A$2:$A1347),"")</f>
        <v/>
      </c>
      <c r="C1347">
        <f>IF($A1347=1,SUM($A$2:$A1347),0)</f>
        <v/>
      </c>
    </row>
    <row r="1348">
      <c r="A1348">
        <f>IF(AND(OR(Query!$B$4="All",'Compliance Database'!$A1348=Query!$B$4),OR(Query!$B$5="All",ISNUMBER(SEARCH(Query!$B$5,'Compliance Database'!$H1348))),OR(Query!$B$6="All",ISNUMBER(SEARCH(Query!$B$6,'Compliance Database'!$I1348))),OR(Query!$B$7="All",'Compliance Database'!$F1348=Query!$B$7),OR(Query!$B$8="All",'Compliance Database'!$J1348=Query!$B$8),OR(Query!$B$9="",ISNUMBER(SEARCH(Query!$B$9,'Compliance Database'!$D1348&amp;" "&amp;'Compliance Database'!$K1348&amp;" "&amp;'Compliance Database'!$L1348&amp;" "&amp;'Compliance Database'!$M1348&amp;" "&amp;'Compliance Database'!$N1348&amp;" "&amp;'Compliance Database'!$O1348))),OR(Query!$B$10&lt;&gt;"Yes",'Compliance Database'!$F1348&lt;&gt;"None")),1,0)</f>
        <v/>
      </c>
      <c r="B1348">
        <f>IF($A1348=1,SUM($A$2:$A1348),"")</f>
        <v/>
      </c>
      <c r="C1348">
        <f>IF($A1348=1,SUM($A$2:$A1348),0)</f>
        <v/>
      </c>
    </row>
    <row r="1349">
      <c r="A1349">
        <f>IF(AND(OR(Query!$B$4="All",'Compliance Database'!$A1349=Query!$B$4),OR(Query!$B$5="All",ISNUMBER(SEARCH(Query!$B$5,'Compliance Database'!$H1349))),OR(Query!$B$6="All",ISNUMBER(SEARCH(Query!$B$6,'Compliance Database'!$I1349))),OR(Query!$B$7="All",'Compliance Database'!$F1349=Query!$B$7),OR(Query!$B$8="All",'Compliance Database'!$J1349=Query!$B$8),OR(Query!$B$9="",ISNUMBER(SEARCH(Query!$B$9,'Compliance Database'!$D1349&amp;" "&amp;'Compliance Database'!$K1349&amp;" "&amp;'Compliance Database'!$L1349&amp;" "&amp;'Compliance Database'!$M1349&amp;" "&amp;'Compliance Database'!$N1349&amp;" "&amp;'Compliance Database'!$O1349))),OR(Query!$B$10&lt;&gt;"Yes",'Compliance Database'!$F1349&lt;&gt;"None")),1,0)</f>
        <v/>
      </c>
      <c r="B1349">
        <f>IF($A1349=1,SUM($A$2:$A1349),"")</f>
        <v/>
      </c>
      <c r="C1349">
        <f>IF($A1349=1,SUM($A$2:$A1349),0)</f>
        <v/>
      </c>
    </row>
    <row r="1350">
      <c r="A1350">
        <f>IF(AND(OR(Query!$B$4="All",'Compliance Database'!$A1350=Query!$B$4),OR(Query!$B$5="All",ISNUMBER(SEARCH(Query!$B$5,'Compliance Database'!$H1350))),OR(Query!$B$6="All",ISNUMBER(SEARCH(Query!$B$6,'Compliance Database'!$I1350))),OR(Query!$B$7="All",'Compliance Database'!$F1350=Query!$B$7),OR(Query!$B$8="All",'Compliance Database'!$J1350=Query!$B$8),OR(Query!$B$9="",ISNUMBER(SEARCH(Query!$B$9,'Compliance Database'!$D1350&amp;" "&amp;'Compliance Database'!$K1350&amp;" "&amp;'Compliance Database'!$L1350&amp;" "&amp;'Compliance Database'!$M1350&amp;" "&amp;'Compliance Database'!$N1350&amp;" "&amp;'Compliance Database'!$O1350))),OR(Query!$B$10&lt;&gt;"Yes",'Compliance Database'!$F1350&lt;&gt;"None")),1,0)</f>
        <v/>
      </c>
      <c r="B1350">
        <f>IF($A1350=1,SUM($A$2:$A1350),"")</f>
        <v/>
      </c>
      <c r="C1350">
        <f>IF($A1350=1,SUM($A$2:$A1350),0)</f>
        <v/>
      </c>
    </row>
    <row r="1351">
      <c r="A1351">
        <f>IF(AND(OR(Query!$B$4="All",'Compliance Database'!$A1351=Query!$B$4),OR(Query!$B$5="All",ISNUMBER(SEARCH(Query!$B$5,'Compliance Database'!$H1351))),OR(Query!$B$6="All",ISNUMBER(SEARCH(Query!$B$6,'Compliance Database'!$I1351))),OR(Query!$B$7="All",'Compliance Database'!$F1351=Query!$B$7),OR(Query!$B$8="All",'Compliance Database'!$J1351=Query!$B$8),OR(Query!$B$9="",ISNUMBER(SEARCH(Query!$B$9,'Compliance Database'!$D1351&amp;" "&amp;'Compliance Database'!$K1351&amp;" "&amp;'Compliance Database'!$L1351&amp;" "&amp;'Compliance Database'!$M1351&amp;" "&amp;'Compliance Database'!$N1351&amp;" "&amp;'Compliance Database'!$O1351))),OR(Query!$B$10&lt;&gt;"Yes",'Compliance Database'!$F1351&lt;&gt;"None")),1,0)</f>
        <v/>
      </c>
      <c r="B1351">
        <f>IF($A1351=1,SUM($A$2:$A1351),"")</f>
        <v/>
      </c>
      <c r="C1351">
        <f>IF($A1351=1,SUM($A$2:$A1351),0)</f>
        <v/>
      </c>
    </row>
    <row r="1352">
      <c r="A1352">
        <f>IF(AND(OR(Query!$B$4="All",'Compliance Database'!$A1352=Query!$B$4),OR(Query!$B$5="All",ISNUMBER(SEARCH(Query!$B$5,'Compliance Database'!$H1352))),OR(Query!$B$6="All",ISNUMBER(SEARCH(Query!$B$6,'Compliance Database'!$I1352))),OR(Query!$B$7="All",'Compliance Database'!$F1352=Query!$B$7),OR(Query!$B$8="All",'Compliance Database'!$J1352=Query!$B$8),OR(Query!$B$9="",ISNUMBER(SEARCH(Query!$B$9,'Compliance Database'!$D1352&amp;" "&amp;'Compliance Database'!$K1352&amp;" "&amp;'Compliance Database'!$L1352&amp;" "&amp;'Compliance Database'!$M1352&amp;" "&amp;'Compliance Database'!$N1352&amp;" "&amp;'Compliance Database'!$O1352))),OR(Query!$B$10&lt;&gt;"Yes",'Compliance Database'!$F1352&lt;&gt;"None")),1,0)</f>
        <v/>
      </c>
      <c r="B1352">
        <f>IF($A1352=1,SUM($A$2:$A1352),"")</f>
        <v/>
      </c>
      <c r="C1352">
        <f>IF($A1352=1,SUM($A$2:$A1352),0)</f>
        <v/>
      </c>
    </row>
    <row r="1353">
      <c r="A1353">
        <f>IF(AND(OR(Query!$B$4="All",'Compliance Database'!$A1353=Query!$B$4),OR(Query!$B$5="All",ISNUMBER(SEARCH(Query!$B$5,'Compliance Database'!$H1353))),OR(Query!$B$6="All",ISNUMBER(SEARCH(Query!$B$6,'Compliance Database'!$I1353))),OR(Query!$B$7="All",'Compliance Database'!$F1353=Query!$B$7),OR(Query!$B$8="All",'Compliance Database'!$J1353=Query!$B$8),OR(Query!$B$9="",ISNUMBER(SEARCH(Query!$B$9,'Compliance Database'!$D1353&amp;" "&amp;'Compliance Database'!$K1353&amp;" "&amp;'Compliance Database'!$L1353&amp;" "&amp;'Compliance Database'!$M1353&amp;" "&amp;'Compliance Database'!$N1353&amp;" "&amp;'Compliance Database'!$O1353))),OR(Query!$B$10&lt;&gt;"Yes",'Compliance Database'!$F1353&lt;&gt;"None")),1,0)</f>
        <v/>
      </c>
      <c r="B1353">
        <f>IF($A1353=1,SUM($A$2:$A1353),"")</f>
        <v/>
      </c>
      <c r="C1353">
        <f>IF($A1353=1,SUM($A$2:$A1353),0)</f>
        <v/>
      </c>
    </row>
    <row r="1354">
      <c r="A1354">
        <f>IF(AND(OR(Query!$B$4="All",'Compliance Database'!$A1354=Query!$B$4),OR(Query!$B$5="All",ISNUMBER(SEARCH(Query!$B$5,'Compliance Database'!$H1354))),OR(Query!$B$6="All",ISNUMBER(SEARCH(Query!$B$6,'Compliance Database'!$I1354))),OR(Query!$B$7="All",'Compliance Database'!$F1354=Query!$B$7),OR(Query!$B$8="All",'Compliance Database'!$J1354=Query!$B$8),OR(Query!$B$9="",ISNUMBER(SEARCH(Query!$B$9,'Compliance Database'!$D1354&amp;" "&amp;'Compliance Database'!$K1354&amp;" "&amp;'Compliance Database'!$L1354&amp;" "&amp;'Compliance Database'!$M1354&amp;" "&amp;'Compliance Database'!$N1354&amp;" "&amp;'Compliance Database'!$O1354))),OR(Query!$B$10&lt;&gt;"Yes",'Compliance Database'!$F1354&lt;&gt;"None")),1,0)</f>
        <v/>
      </c>
      <c r="B1354">
        <f>IF($A1354=1,SUM($A$2:$A1354),"")</f>
        <v/>
      </c>
      <c r="C1354">
        <f>IF($A1354=1,SUM($A$2:$A1354),0)</f>
        <v/>
      </c>
    </row>
    <row r="1355">
      <c r="A1355">
        <f>IF(AND(OR(Query!$B$4="All",'Compliance Database'!$A1355=Query!$B$4),OR(Query!$B$5="All",ISNUMBER(SEARCH(Query!$B$5,'Compliance Database'!$H1355))),OR(Query!$B$6="All",ISNUMBER(SEARCH(Query!$B$6,'Compliance Database'!$I1355))),OR(Query!$B$7="All",'Compliance Database'!$F1355=Query!$B$7),OR(Query!$B$8="All",'Compliance Database'!$J1355=Query!$B$8),OR(Query!$B$9="",ISNUMBER(SEARCH(Query!$B$9,'Compliance Database'!$D1355&amp;" "&amp;'Compliance Database'!$K1355&amp;" "&amp;'Compliance Database'!$L1355&amp;" "&amp;'Compliance Database'!$M1355&amp;" "&amp;'Compliance Database'!$N1355&amp;" "&amp;'Compliance Database'!$O1355))),OR(Query!$B$10&lt;&gt;"Yes",'Compliance Database'!$F1355&lt;&gt;"None")),1,0)</f>
        <v/>
      </c>
      <c r="B1355">
        <f>IF($A1355=1,SUM($A$2:$A1355),"")</f>
        <v/>
      </c>
      <c r="C1355">
        <f>IF($A1355=1,SUM($A$2:$A1355),0)</f>
        <v/>
      </c>
    </row>
    <row r="1356">
      <c r="A1356">
        <f>IF(AND(OR(Query!$B$4="All",'Compliance Database'!$A1356=Query!$B$4),OR(Query!$B$5="All",ISNUMBER(SEARCH(Query!$B$5,'Compliance Database'!$H1356))),OR(Query!$B$6="All",ISNUMBER(SEARCH(Query!$B$6,'Compliance Database'!$I1356))),OR(Query!$B$7="All",'Compliance Database'!$F1356=Query!$B$7),OR(Query!$B$8="All",'Compliance Database'!$J1356=Query!$B$8),OR(Query!$B$9="",ISNUMBER(SEARCH(Query!$B$9,'Compliance Database'!$D1356&amp;" "&amp;'Compliance Database'!$K1356&amp;" "&amp;'Compliance Database'!$L1356&amp;" "&amp;'Compliance Database'!$M1356&amp;" "&amp;'Compliance Database'!$N1356&amp;" "&amp;'Compliance Database'!$O1356))),OR(Query!$B$10&lt;&gt;"Yes",'Compliance Database'!$F1356&lt;&gt;"None")),1,0)</f>
        <v/>
      </c>
      <c r="B1356">
        <f>IF($A1356=1,SUM($A$2:$A1356),"")</f>
        <v/>
      </c>
      <c r="C1356">
        <f>IF($A1356=1,SUM($A$2:$A1356),0)</f>
        <v/>
      </c>
    </row>
    <row r="1357">
      <c r="A1357">
        <f>IF(AND(OR(Query!$B$4="All",'Compliance Database'!$A1357=Query!$B$4),OR(Query!$B$5="All",ISNUMBER(SEARCH(Query!$B$5,'Compliance Database'!$H1357))),OR(Query!$B$6="All",ISNUMBER(SEARCH(Query!$B$6,'Compliance Database'!$I1357))),OR(Query!$B$7="All",'Compliance Database'!$F1357=Query!$B$7),OR(Query!$B$8="All",'Compliance Database'!$J1357=Query!$B$8),OR(Query!$B$9="",ISNUMBER(SEARCH(Query!$B$9,'Compliance Database'!$D1357&amp;" "&amp;'Compliance Database'!$K1357&amp;" "&amp;'Compliance Database'!$L1357&amp;" "&amp;'Compliance Database'!$M1357&amp;" "&amp;'Compliance Database'!$N1357&amp;" "&amp;'Compliance Database'!$O1357))),OR(Query!$B$10&lt;&gt;"Yes",'Compliance Database'!$F1357&lt;&gt;"None")),1,0)</f>
        <v/>
      </c>
      <c r="B1357">
        <f>IF($A1357=1,SUM($A$2:$A1357),"")</f>
        <v/>
      </c>
      <c r="C1357">
        <f>IF($A1357=1,SUM($A$2:$A1357),0)</f>
        <v/>
      </c>
    </row>
    <row r="1358">
      <c r="A1358">
        <f>IF(AND(OR(Query!$B$4="All",'Compliance Database'!$A1358=Query!$B$4),OR(Query!$B$5="All",ISNUMBER(SEARCH(Query!$B$5,'Compliance Database'!$H1358))),OR(Query!$B$6="All",ISNUMBER(SEARCH(Query!$B$6,'Compliance Database'!$I1358))),OR(Query!$B$7="All",'Compliance Database'!$F1358=Query!$B$7),OR(Query!$B$8="All",'Compliance Database'!$J1358=Query!$B$8),OR(Query!$B$9="",ISNUMBER(SEARCH(Query!$B$9,'Compliance Database'!$D1358&amp;" "&amp;'Compliance Database'!$K1358&amp;" "&amp;'Compliance Database'!$L1358&amp;" "&amp;'Compliance Database'!$M1358&amp;" "&amp;'Compliance Database'!$N1358&amp;" "&amp;'Compliance Database'!$O1358))),OR(Query!$B$10&lt;&gt;"Yes",'Compliance Database'!$F1358&lt;&gt;"None")),1,0)</f>
        <v/>
      </c>
      <c r="B1358">
        <f>IF($A1358=1,SUM($A$2:$A1358),"")</f>
        <v/>
      </c>
      <c r="C1358">
        <f>IF($A1358=1,SUM($A$2:$A1358),0)</f>
        <v/>
      </c>
    </row>
    <row r="1359">
      <c r="A1359">
        <f>IF(AND(OR(Query!$B$4="All",'Compliance Database'!$A1359=Query!$B$4),OR(Query!$B$5="All",ISNUMBER(SEARCH(Query!$B$5,'Compliance Database'!$H1359))),OR(Query!$B$6="All",ISNUMBER(SEARCH(Query!$B$6,'Compliance Database'!$I1359))),OR(Query!$B$7="All",'Compliance Database'!$F1359=Query!$B$7),OR(Query!$B$8="All",'Compliance Database'!$J1359=Query!$B$8),OR(Query!$B$9="",ISNUMBER(SEARCH(Query!$B$9,'Compliance Database'!$D1359&amp;" "&amp;'Compliance Database'!$K1359&amp;" "&amp;'Compliance Database'!$L1359&amp;" "&amp;'Compliance Database'!$M1359&amp;" "&amp;'Compliance Database'!$N1359&amp;" "&amp;'Compliance Database'!$O1359))),OR(Query!$B$10&lt;&gt;"Yes",'Compliance Database'!$F1359&lt;&gt;"None")),1,0)</f>
        <v/>
      </c>
      <c r="B1359">
        <f>IF($A1359=1,SUM($A$2:$A1359),"")</f>
        <v/>
      </c>
      <c r="C1359">
        <f>IF($A1359=1,SUM($A$2:$A1359),0)</f>
        <v/>
      </c>
    </row>
    <row r="1360">
      <c r="A1360">
        <f>IF(AND(OR(Query!$B$4="All",'Compliance Database'!$A1360=Query!$B$4),OR(Query!$B$5="All",ISNUMBER(SEARCH(Query!$B$5,'Compliance Database'!$H1360))),OR(Query!$B$6="All",ISNUMBER(SEARCH(Query!$B$6,'Compliance Database'!$I1360))),OR(Query!$B$7="All",'Compliance Database'!$F1360=Query!$B$7),OR(Query!$B$8="All",'Compliance Database'!$J1360=Query!$B$8),OR(Query!$B$9="",ISNUMBER(SEARCH(Query!$B$9,'Compliance Database'!$D1360&amp;" "&amp;'Compliance Database'!$K1360&amp;" "&amp;'Compliance Database'!$L1360&amp;" "&amp;'Compliance Database'!$M1360&amp;" "&amp;'Compliance Database'!$N1360&amp;" "&amp;'Compliance Database'!$O1360))),OR(Query!$B$10&lt;&gt;"Yes",'Compliance Database'!$F1360&lt;&gt;"None")),1,0)</f>
        <v/>
      </c>
      <c r="B1360">
        <f>IF($A1360=1,SUM($A$2:$A1360),"")</f>
        <v/>
      </c>
      <c r="C1360">
        <f>IF($A1360=1,SUM($A$2:$A1360),0)</f>
        <v/>
      </c>
    </row>
    <row r="1361">
      <c r="A1361">
        <f>IF(AND(OR(Query!$B$4="All",'Compliance Database'!$A1361=Query!$B$4),OR(Query!$B$5="All",ISNUMBER(SEARCH(Query!$B$5,'Compliance Database'!$H1361))),OR(Query!$B$6="All",ISNUMBER(SEARCH(Query!$B$6,'Compliance Database'!$I1361))),OR(Query!$B$7="All",'Compliance Database'!$F1361=Query!$B$7),OR(Query!$B$8="All",'Compliance Database'!$J1361=Query!$B$8),OR(Query!$B$9="",ISNUMBER(SEARCH(Query!$B$9,'Compliance Database'!$D1361&amp;" "&amp;'Compliance Database'!$K1361&amp;" "&amp;'Compliance Database'!$L1361&amp;" "&amp;'Compliance Database'!$M1361&amp;" "&amp;'Compliance Database'!$N1361&amp;" "&amp;'Compliance Database'!$O1361))),OR(Query!$B$10&lt;&gt;"Yes",'Compliance Database'!$F1361&lt;&gt;"None")),1,0)</f>
        <v/>
      </c>
      <c r="B1361">
        <f>IF($A1361=1,SUM($A$2:$A1361),"")</f>
        <v/>
      </c>
      <c r="C1361">
        <f>IF($A1361=1,SUM($A$2:$A1361),0)</f>
        <v/>
      </c>
    </row>
    <row r="1362">
      <c r="A1362">
        <f>IF(AND(OR(Query!$B$4="All",'Compliance Database'!$A1362=Query!$B$4),OR(Query!$B$5="All",ISNUMBER(SEARCH(Query!$B$5,'Compliance Database'!$H1362))),OR(Query!$B$6="All",ISNUMBER(SEARCH(Query!$B$6,'Compliance Database'!$I1362))),OR(Query!$B$7="All",'Compliance Database'!$F1362=Query!$B$7),OR(Query!$B$8="All",'Compliance Database'!$J1362=Query!$B$8),OR(Query!$B$9="",ISNUMBER(SEARCH(Query!$B$9,'Compliance Database'!$D1362&amp;" "&amp;'Compliance Database'!$K1362&amp;" "&amp;'Compliance Database'!$L1362&amp;" "&amp;'Compliance Database'!$M1362&amp;" "&amp;'Compliance Database'!$N1362&amp;" "&amp;'Compliance Database'!$O1362))),OR(Query!$B$10&lt;&gt;"Yes",'Compliance Database'!$F1362&lt;&gt;"None")),1,0)</f>
        <v/>
      </c>
      <c r="B1362">
        <f>IF($A1362=1,SUM($A$2:$A1362),"")</f>
        <v/>
      </c>
      <c r="C1362">
        <f>IF($A1362=1,SUM($A$2:$A1362),0)</f>
        <v/>
      </c>
    </row>
    <row r="1363">
      <c r="A1363">
        <f>IF(AND(OR(Query!$B$4="All",'Compliance Database'!$A1363=Query!$B$4),OR(Query!$B$5="All",ISNUMBER(SEARCH(Query!$B$5,'Compliance Database'!$H1363))),OR(Query!$B$6="All",ISNUMBER(SEARCH(Query!$B$6,'Compliance Database'!$I1363))),OR(Query!$B$7="All",'Compliance Database'!$F1363=Query!$B$7),OR(Query!$B$8="All",'Compliance Database'!$J1363=Query!$B$8),OR(Query!$B$9="",ISNUMBER(SEARCH(Query!$B$9,'Compliance Database'!$D1363&amp;" "&amp;'Compliance Database'!$K1363&amp;" "&amp;'Compliance Database'!$L1363&amp;" "&amp;'Compliance Database'!$M1363&amp;" "&amp;'Compliance Database'!$N1363&amp;" "&amp;'Compliance Database'!$O1363))),OR(Query!$B$10&lt;&gt;"Yes",'Compliance Database'!$F1363&lt;&gt;"None")),1,0)</f>
        <v/>
      </c>
      <c r="B1363">
        <f>IF($A1363=1,SUM($A$2:$A1363),"")</f>
        <v/>
      </c>
      <c r="C1363">
        <f>IF($A1363=1,SUM($A$2:$A1363),0)</f>
        <v/>
      </c>
    </row>
    <row r="1364">
      <c r="A1364">
        <f>IF(AND(OR(Query!$B$4="All",'Compliance Database'!$A1364=Query!$B$4),OR(Query!$B$5="All",ISNUMBER(SEARCH(Query!$B$5,'Compliance Database'!$H1364))),OR(Query!$B$6="All",ISNUMBER(SEARCH(Query!$B$6,'Compliance Database'!$I1364))),OR(Query!$B$7="All",'Compliance Database'!$F1364=Query!$B$7),OR(Query!$B$8="All",'Compliance Database'!$J1364=Query!$B$8),OR(Query!$B$9="",ISNUMBER(SEARCH(Query!$B$9,'Compliance Database'!$D1364&amp;" "&amp;'Compliance Database'!$K1364&amp;" "&amp;'Compliance Database'!$L1364&amp;" "&amp;'Compliance Database'!$M1364&amp;" "&amp;'Compliance Database'!$N1364&amp;" "&amp;'Compliance Database'!$O1364))),OR(Query!$B$10&lt;&gt;"Yes",'Compliance Database'!$F1364&lt;&gt;"None")),1,0)</f>
        <v/>
      </c>
      <c r="B1364">
        <f>IF($A1364=1,SUM($A$2:$A1364),"")</f>
        <v/>
      </c>
      <c r="C1364">
        <f>IF($A1364=1,SUM($A$2:$A1364),0)</f>
        <v/>
      </c>
    </row>
    <row r="1365">
      <c r="A1365">
        <f>IF(AND(OR(Query!$B$4="All",'Compliance Database'!$A1365=Query!$B$4),OR(Query!$B$5="All",ISNUMBER(SEARCH(Query!$B$5,'Compliance Database'!$H1365))),OR(Query!$B$6="All",ISNUMBER(SEARCH(Query!$B$6,'Compliance Database'!$I1365))),OR(Query!$B$7="All",'Compliance Database'!$F1365=Query!$B$7),OR(Query!$B$8="All",'Compliance Database'!$J1365=Query!$B$8),OR(Query!$B$9="",ISNUMBER(SEARCH(Query!$B$9,'Compliance Database'!$D1365&amp;" "&amp;'Compliance Database'!$K1365&amp;" "&amp;'Compliance Database'!$L1365&amp;" "&amp;'Compliance Database'!$M1365&amp;" "&amp;'Compliance Database'!$N1365&amp;" "&amp;'Compliance Database'!$O1365))),OR(Query!$B$10&lt;&gt;"Yes",'Compliance Database'!$F1365&lt;&gt;"None")),1,0)</f>
        <v/>
      </c>
      <c r="B1365">
        <f>IF($A1365=1,SUM($A$2:$A1365),"")</f>
        <v/>
      </c>
      <c r="C1365">
        <f>IF($A1365=1,SUM($A$2:$A1365),0)</f>
        <v/>
      </c>
    </row>
    <row r="1366">
      <c r="A1366">
        <f>IF(AND(OR(Query!$B$4="All",'Compliance Database'!$A1366=Query!$B$4),OR(Query!$B$5="All",ISNUMBER(SEARCH(Query!$B$5,'Compliance Database'!$H1366))),OR(Query!$B$6="All",ISNUMBER(SEARCH(Query!$B$6,'Compliance Database'!$I1366))),OR(Query!$B$7="All",'Compliance Database'!$F1366=Query!$B$7),OR(Query!$B$8="All",'Compliance Database'!$J1366=Query!$B$8),OR(Query!$B$9="",ISNUMBER(SEARCH(Query!$B$9,'Compliance Database'!$D1366&amp;" "&amp;'Compliance Database'!$K1366&amp;" "&amp;'Compliance Database'!$L1366&amp;" "&amp;'Compliance Database'!$M1366&amp;" "&amp;'Compliance Database'!$N1366&amp;" "&amp;'Compliance Database'!$O1366))),OR(Query!$B$10&lt;&gt;"Yes",'Compliance Database'!$F1366&lt;&gt;"None")),1,0)</f>
        <v/>
      </c>
      <c r="B1366">
        <f>IF($A1366=1,SUM($A$2:$A1366),"")</f>
        <v/>
      </c>
      <c r="C1366">
        <f>IF($A1366=1,SUM($A$2:$A1366),0)</f>
        <v/>
      </c>
    </row>
    <row r="1367">
      <c r="A1367">
        <f>IF(AND(OR(Query!$B$4="All",'Compliance Database'!$A1367=Query!$B$4),OR(Query!$B$5="All",ISNUMBER(SEARCH(Query!$B$5,'Compliance Database'!$H1367))),OR(Query!$B$6="All",ISNUMBER(SEARCH(Query!$B$6,'Compliance Database'!$I1367))),OR(Query!$B$7="All",'Compliance Database'!$F1367=Query!$B$7),OR(Query!$B$8="All",'Compliance Database'!$J1367=Query!$B$8),OR(Query!$B$9="",ISNUMBER(SEARCH(Query!$B$9,'Compliance Database'!$D1367&amp;" "&amp;'Compliance Database'!$K1367&amp;" "&amp;'Compliance Database'!$L1367&amp;" "&amp;'Compliance Database'!$M1367&amp;" "&amp;'Compliance Database'!$N1367&amp;" "&amp;'Compliance Database'!$O1367))),OR(Query!$B$10&lt;&gt;"Yes",'Compliance Database'!$F1367&lt;&gt;"None")),1,0)</f>
        <v/>
      </c>
      <c r="B1367">
        <f>IF($A1367=1,SUM($A$2:$A1367),"")</f>
        <v/>
      </c>
      <c r="C1367">
        <f>IF($A1367=1,SUM($A$2:$A1367),0)</f>
        <v/>
      </c>
    </row>
    <row r="1368">
      <c r="A1368">
        <f>IF(AND(OR(Query!$B$4="All",'Compliance Database'!$A1368=Query!$B$4),OR(Query!$B$5="All",ISNUMBER(SEARCH(Query!$B$5,'Compliance Database'!$H1368))),OR(Query!$B$6="All",ISNUMBER(SEARCH(Query!$B$6,'Compliance Database'!$I1368))),OR(Query!$B$7="All",'Compliance Database'!$F1368=Query!$B$7),OR(Query!$B$8="All",'Compliance Database'!$J1368=Query!$B$8),OR(Query!$B$9="",ISNUMBER(SEARCH(Query!$B$9,'Compliance Database'!$D1368&amp;" "&amp;'Compliance Database'!$K1368&amp;" "&amp;'Compliance Database'!$L1368&amp;" "&amp;'Compliance Database'!$M1368&amp;" "&amp;'Compliance Database'!$N1368&amp;" "&amp;'Compliance Database'!$O1368))),OR(Query!$B$10&lt;&gt;"Yes",'Compliance Database'!$F1368&lt;&gt;"None")),1,0)</f>
        <v/>
      </c>
      <c r="B1368">
        <f>IF($A1368=1,SUM($A$2:$A1368),"")</f>
        <v/>
      </c>
      <c r="C1368">
        <f>IF($A1368=1,SUM($A$2:$A1368),0)</f>
        <v/>
      </c>
    </row>
    <row r="1369">
      <c r="A1369">
        <f>IF(AND(OR(Query!$B$4="All",'Compliance Database'!$A1369=Query!$B$4),OR(Query!$B$5="All",ISNUMBER(SEARCH(Query!$B$5,'Compliance Database'!$H1369))),OR(Query!$B$6="All",ISNUMBER(SEARCH(Query!$B$6,'Compliance Database'!$I1369))),OR(Query!$B$7="All",'Compliance Database'!$F1369=Query!$B$7),OR(Query!$B$8="All",'Compliance Database'!$J1369=Query!$B$8),OR(Query!$B$9="",ISNUMBER(SEARCH(Query!$B$9,'Compliance Database'!$D1369&amp;" "&amp;'Compliance Database'!$K1369&amp;" "&amp;'Compliance Database'!$L1369&amp;" "&amp;'Compliance Database'!$M1369&amp;" "&amp;'Compliance Database'!$N1369&amp;" "&amp;'Compliance Database'!$O1369))),OR(Query!$B$10&lt;&gt;"Yes",'Compliance Database'!$F1369&lt;&gt;"None")),1,0)</f>
        <v/>
      </c>
      <c r="B1369">
        <f>IF($A1369=1,SUM($A$2:$A1369),"")</f>
        <v/>
      </c>
      <c r="C1369">
        <f>IF($A1369=1,SUM($A$2:$A1369),0)</f>
        <v/>
      </c>
    </row>
    <row r="1370">
      <c r="A1370">
        <f>IF(AND(OR(Query!$B$4="All",'Compliance Database'!$A1370=Query!$B$4),OR(Query!$B$5="All",ISNUMBER(SEARCH(Query!$B$5,'Compliance Database'!$H1370))),OR(Query!$B$6="All",ISNUMBER(SEARCH(Query!$B$6,'Compliance Database'!$I1370))),OR(Query!$B$7="All",'Compliance Database'!$F1370=Query!$B$7),OR(Query!$B$8="All",'Compliance Database'!$J1370=Query!$B$8),OR(Query!$B$9="",ISNUMBER(SEARCH(Query!$B$9,'Compliance Database'!$D1370&amp;" "&amp;'Compliance Database'!$K1370&amp;" "&amp;'Compliance Database'!$L1370&amp;" "&amp;'Compliance Database'!$M1370&amp;" "&amp;'Compliance Database'!$N1370&amp;" "&amp;'Compliance Database'!$O1370))),OR(Query!$B$10&lt;&gt;"Yes",'Compliance Database'!$F1370&lt;&gt;"None")),1,0)</f>
        <v/>
      </c>
      <c r="B1370">
        <f>IF($A1370=1,SUM($A$2:$A1370),"")</f>
        <v/>
      </c>
      <c r="C1370">
        <f>IF($A1370=1,SUM($A$2:$A1370),0)</f>
        <v/>
      </c>
    </row>
    <row r="1371">
      <c r="A1371">
        <f>IF(AND(OR(Query!$B$4="All",'Compliance Database'!$A1371=Query!$B$4),OR(Query!$B$5="All",ISNUMBER(SEARCH(Query!$B$5,'Compliance Database'!$H1371))),OR(Query!$B$6="All",ISNUMBER(SEARCH(Query!$B$6,'Compliance Database'!$I1371))),OR(Query!$B$7="All",'Compliance Database'!$F1371=Query!$B$7),OR(Query!$B$8="All",'Compliance Database'!$J1371=Query!$B$8),OR(Query!$B$9="",ISNUMBER(SEARCH(Query!$B$9,'Compliance Database'!$D1371&amp;" "&amp;'Compliance Database'!$K1371&amp;" "&amp;'Compliance Database'!$L1371&amp;" "&amp;'Compliance Database'!$M1371&amp;" "&amp;'Compliance Database'!$N1371&amp;" "&amp;'Compliance Database'!$O1371))),OR(Query!$B$10&lt;&gt;"Yes",'Compliance Database'!$F1371&lt;&gt;"None")),1,0)</f>
        <v/>
      </c>
      <c r="B1371">
        <f>IF($A1371=1,SUM($A$2:$A1371),"")</f>
        <v/>
      </c>
      <c r="C1371">
        <f>IF($A1371=1,SUM($A$2:$A1371),0)</f>
        <v/>
      </c>
    </row>
    <row r="1372">
      <c r="A1372">
        <f>IF(AND(OR(Query!$B$4="All",'Compliance Database'!$A1372=Query!$B$4),OR(Query!$B$5="All",ISNUMBER(SEARCH(Query!$B$5,'Compliance Database'!$H1372))),OR(Query!$B$6="All",ISNUMBER(SEARCH(Query!$B$6,'Compliance Database'!$I1372))),OR(Query!$B$7="All",'Compliance Database'!$F1372=Query!$B$7),OR(Query!$B$8="All",'Compliance Database'!$J1372=Query!$B$8),OR(Query!$B$9="",ISNUMBER(SEARCH(Query!$B$9,'Compliance Database'!$D1372&amp;" "&amp;'Compliance Database'!$K1372&amp;" "&amp;'Compliance Database'!$L1372&amp;" "&amp;'Compliance Database'!$M1372&amp;" "&amp;'Compliance Database'!$N1372&amp;" "&amp;'Compliance Database'!$O1372))),OR(Query!$B$10&lt;&gt;"Yes",'Compliance Database'!$F1372&lt;&gt;"None")),1,0)</f>
        <v/>
      </c>
      <c r="B1372">
        <f>IF($A1372=1,SUM($A$2:$A1372),"")</f>
        <v/>
      </c>
      <c r="C1372">
        <f>IF($A1372=1,SUM($A$2:$A1372),0)</f>
        <v/>
      </c>
    </row>
    <row r="1373">
      <c r="A1373">
        <f>IF(AND(OR(Query!$B$4="All",'Compliance Database'!$A1373=Query!$B$4),OR(Query!$B$5="All",ISNUMBER(SEARCH(Query!$B$5,'Compliance Database'!$H1373))),OR(Query!$B$6="All",ISNUMBER(SEARCH(Query!$B$6,'Compliance Database'!$I1373))),OR(Query!$B$7="All",'Compliance Database'!$F1373=Query!$B$7),OR(Query!$B$8="All",'Compliance Database'!$J1373=Query!$B$8),OR(Query!$B$9="",ISNUMBER(SEARCH(Query!$B$9,'Compliance Database'!$D1373&amp;" "&amp;'Compliance Database'!$K1373&amp;" "&amp;'Compliance Database'!$L1373&amp;" "&amp;'Compliance Database'!$M1373&amp;" "&amp;'Compliance Database'!$N1373&amp;" "&amp;'Compliance Database'!$O1373))),OR(Query!$B$10&lt;&gt;"Yes",'Compliance Database'!$F1373&lt;&gt;"None")),1,0)</f>
        <v/>
      </c>
      <c r="B1373">
        <f>IF($A1373=1,SUM($A$2:$A1373),"")</f>
        <v/>
      </c>
      <c r="C1373">
        <f>IF($A1373=1,SUM($A$2:$A1373),0)</f>
        <v/>
      </c>
    </row>
    <row r="1374">
      <c r="A1374">
        <f>IF(AND(OR(Query!$B$4="All",'Compliance Database'!$A1374=Query!$B$4),OR(Query!$B$5="All",ISNUMBER(SEARCH(Query!$B$5,'Compliance Database'!$H1374))),OR(Query!$B$6="All",ISNUMBER(SEARCH(Query!$B$6,'Compliance Database'!$I1374))),OR(Query!$B$7="All",'Compliance Database'!$F1374=Query!$B$7),OR(Query!$B$8="All",'Compliance Database'!$J1374=Query!$B$8),OR(Query!$B$9="",ISNUMBER(SEARCH(Query!$B$9,'Compliance Database'!$D1374&amp;" "&amp;'Compliance Database'!$K1374&amp;" "&amp;'Compliance Database'!$L1374&amp;" "&amp;'Compliance Database'!$M1374&amp;" "&amp;'Compliance Database'!$N1374&amp;" "&amp;'Compliance Database'!$O1374))),OR(Query!$B$10&lt;&gt;"Yes",'Compliance Database'!$F1374&lt;&gt;"None")),1,0)</f>
        <v/>
      </c>
      <c r="B1374">
        <f>IF($A1374=1,SUM($A$2:$A1374),"")</f>
        <v/>
      </c>
      <c r="C1374">
        <f>IF($A1374=1,SUM($A$2:$A1374),0)</f>
        <v/>
      </c>
    </row>
    <row r="1375">
      <c r="A1375">
        <f>IF(AND(OR(Query!$B$4="All",'Compliance Database'!$A1375=Query!$B$4),OR(Query!$B$5="All",ISNUMBER(SEARCH(Query!$B$5,'Compliance Database'!$H1375))),OR(Query!$B$6="All",ISNUMBER(SEARCH(Query!$B$6,'Compliance Database'!$I1375))),OR(Query!$B$7="All",'Compliance Database'!$F1375=Query!$B$7),OR(Query!$B$8="All",'Compliance Database'!$J1375=Query!$B$8),OR(Query!$B$9="",ISNUMBER(SEARCH(Query!$B$9,'Compliance Database'!$D1375&amp;" "&amp;'Compliance Database'!$K1375&amp;" "&amp;'Compliance Database'!$L1375&amp;" "&amp;'Compliance Database'!$M1375&amp;" "&amp;'Compliance Database'!$N1375&amp;" "&amp;'Compliance Database'!$O1375))),OR(Query!$B$10&lt;&gt;"Yes",'Compliance Database'!$F1375&lt;&gt;"None")),1,0)</f>
        <v/>
      </c>
      <c r="B1375">
        <f>IF($A1375=1,SUM($A$2:$A1375),"")</f>
        <v/>
      </c>
      <c r="C1375">
        <f>IF($A1375=1,SUM($A$2:$A1375),0)</f>
        <v/>
      </c>
    </row>
    <row r="1376">
      <c r="A1376">
        <f>IF(AND(OR(Query!$B$4="All",'Compliance Database'!$A1376=Query!$B$4),OR(Query!$B$5="All",ISNUMBER(SEARCH(Query!$B$5,'Compliance Database'!$H1376))),OR(Query!$B$6="All",ISNUMBER(SEARCH(Query!$B$6,'Compliance Database'!$I1376))),OR(Query!$B$7="All",'Compliance Database'!$F1376=Query!$B$7),OR(Query!$B$8="All",'Compliance Database'!$J1376=Query!$B$8),OR(Query!$B$9="",ISNUMBER(SEARCH(Query!$B$9,'Compliance Database'!$D1376&amp;" "&amp;'Compliance Database'!$K1376&amp;" "&amp;'Compliance Database'!$L1376&amp;" "&amp;'Compliance Database'!$M1376&amp;" "&amp;'Compliance Database'!$N1376&amp;" "&amp;'Compliance Database'!$O1376))),OR(Query!$B$10&lt;&gt;"Yes",'Compliance Database'!$F1376&lt;&gt;"None")),1,0)</f>
        <v/>
      </c>
      <c r="B1376">
        <f>IF($A1376=1,SUM($A$2:$A1376),"")</f>
        <v/>
      </c>
      <c r="C1376">
        <f>IF($A1376=1,SUM($A$2:$A1376),0)</f>
        <v/>
      </c>
    </row>
    <row r="1377">
      <c r="A1377">
        <f>IF(AND(OR(Query!$B$4="All",'Compliance Database'!$A1377=Query!$B$4),OR(Query!$B$5="All",ISNUMBER(SEARCH(Query!$B$5,'Compliance Database'!$H1377))),OR(Query!$B$6="All",ISNUMBER(SEARCH(Query!$B$6,'Compliance Database'!$I1377))),OR(Query!$B$7="All",'Compliance Database'!$F1377=Query!$B$7),OR(Query!$B$8="All",'Compliance Database'!$J1377=Query!$B$8),OR(Query!$B$9="",ISNUMBER(SEARCH(Query!$B$9,'Compliance Database'!$D1377&amp;" "&amp;'Compliance Database'!$K1377&amp;" "&amp;'Compliance Database'!$L1377&amp;" "&amp;'Compliance Database'!$M1377&amp;" "&amp;'Compliance Database'!$N1377&amp;" "&amp;'Compliance Database'!$O1377))),OR(Query!$B$10&lt;&gt;"Yes",'Compliance Database'!$F1377&lt;&gt;"None")),1,0)</f>
        <v/>
      </c>
      <c r="B1377">
        <f>IF($A1377=1,SUM($A$2:$A1377),"")</f>
        <v/>
      </c>
      <c r="C1377">
        <f>IF($A1377=1,SUM($A$2:$A1377),0)</f>
        <v/>
      </c>
    </row>
    <row r="1378">
      <c r="A1378">
        <f>IF(AND(OR(Query!$B$4="All",'Compliance Database'!$A1378=Query!$B$4),OR(Query!$B$5="All",ISNUMBER(SEARCH(Query!$B$5,'Compliance Database'!$H1378))),OR(Query!$B$6="All",ISNUMBER(SEARCH(Query!$B$6,'Compliance Database'!$I1378))),OR(Query!$B$7="All",'Compliance Database'!$F1378=Query!$B$7),OR(Query!$B$8="All",'Compliance Database'!$J1378=Query!$B$8),OR(Query!$B$9="",ISNUMBER(SEARCH(Query!$B$9,'Compliance Database'!$D1378&amp;" "&amp;'Compliance Database'!$K1378&amp;" "&amp;'Compliance Database'!$L1378&amp;" "&amp;'Compliance Database'!$M1378&amp;" "&amp;'Compliance Database'!$N1378&amp;" "&amp;'Compliance Database'!$O1378))),OR(Query!$B$10&lt;&gt;"Yes",'Compliance Database'!$F1378&lt;&gt;"None")),1,0)</f>
        <v/>
      </c>
      <c r="B1378">
        <f>IF($A1378=1,SUM($A$2:$A1378),"")</f>
        <v/>
      </c>
      <c r="C1378">
        <f>IF($A1378=1,SUM($A$2:$A1378),0)</f>
        <v/>
      </c>
    </row>
    <row r="1379">
      <c r="A1379">
        <f>IF(AND(OR(Query!$B$4="All",'Compliance Database'!$A1379=Query!$B$4),OR(Query!$B$5="All",ISNUMBER(SEARCH(Query!$B$5,'Compliance Database'!$H1379))),OR(Query!$B$6="All",ISNUMBER(SEARCH(Query!$B$6,'Compliance Database'!$I1379))),OR(Query!$B$7="All",'Compliance Database'!$F1379=Query!$B$7),OR(Query!$B$8="All",'Compliance Database'!$J1379=Query!$B$8),OR(Query!$B$9="",ISNUMBER(SEARCH(Query!$B$9,'Compliance Database'!$D1379&amp;" "&amp;'Compliance Database'!$K1379&amp;" "&amp;'Compliance Database'!$L1379&amp;" "&amp;'Compliance Database'!$M1379&amp;" "&amp;'Compliance Database'!$N1379&amp;" "&amp;'Compliance Database'!$O1379))),OR(Query!$B$10&lt;&gt;"Yes",'Compliance Database'!$F1379&lt;&gt;"None")),1,0)</f>
        <v/>
      </c>
      <c r="B1379">
        <f>IF($A1379=1,SUM($A$2:$A1379),"")</f>
        <v/>
      </c>
      <c r="C1379">
        <f>IF($A1379=1,SUM($A$2:$A1379),0)</f>
        <v/>
      </c>
    </row>
    <row r="1380">
      <c r="A1380">
        <f>IF(AND(OR(Query!$B$4="All",'Compliance Database'!$A1380=Query!$B$4),OR(Query!$B$5="All",ISNUMBER(SEARCH(Query!$B$5,'Compliance Database'!$H1380))),OR(Query!$B$6="All",ISNUMBER(SEARCH(Query!$B$6,'Compliance Database'!$I1380))),OR(Query!$B$7="All",'Compliance Database'!$F1380=Query!$B$7),OR(Query!$B$8="All",'Compliance Database'!$J1380=Query!$B$8),OR(Query!$B$9="",ISNUMBER(SEARCH(Query!$B$9,'Compliance Database'!$D1380&amp;" "&amp;'Compliance Database'!$K1380&amp;" "&amp;'Compliance Database'!$L1380&amp;" "&amp;'Compliance Database'!$M1380&amp;" "&amp;'Compliance Database'!$N1380&amp;" "&amp;'Compliance Database'!$O1380))),OR(Query!$B$10&lt;&gt;"Yes",'Compliance Database'!$F1380&lt;&gt;"None")),1,0)</f>
        <v/>
      </c>
      <c r="B1380">
        <f>IF($A1380=1,SUM($A$2:$A1380),"")</f>
        <v/>
      </c>
      <c r="C1380">
        <f>IF($A1380=1,SUM($A$2:$A1380),0)</f>
        <v/>
      </c>
    </row>
    <row r="1381">
      <c r="A1381">
        <f>IF(AND(OR(Query!$B$4="All",'Compliance Database'!$A1381=Query!$B$4),OR(Query!$B$5="All",ISNUMBER(SEARCH(Query!$B$5,'Compliance Database'!$H1381))),OR(Query!$B$6="All",ISNUMBER(SEARCH(Query!$B$6,'Compliance Database'!$I1381))),OR(Query!$B$7="All",'Compliance Database'!$F1381=Query!$B$7),OR(Query!$B$8="All",'Compliance Database'!$J1381=Query!$B$8),OR(Query!$B$9="",ISNUMBER(SEARCH(Query!$B$9,'Compliance Database'!$D1381&amp;" "&amp;'Compliance Database'!$K1381&amp;" "&amp;'Compliance Database'!$L1381&amp;" "&amp;'Compliance Database'!$M1381&amp;" "&amp;'Compliance Database'!$N1381&amp;" "&amp;'Compliance Database'!$O1381))),OR(Query!$B$10&lt;&gt;"Yes",'Compliance Database'!$F1381&lt;&gt;"None")),1,0)</f>
        <v/>
      </c>
      <c r="B1381">
        <f>IF($A1381=1,SUM($A$2:$A1381),"")</f>
        <v/>
      </c>
      <c r="C1381">
        <f>IF($A1381=1,SUM($A$2:$A1381),0)</f>
        <v/>
      </c>
    </row>
    <row r="1382">
      <c r="A1382">
        <f>IF(AND(OR(Query!$B$4="All",'Compliance Database'!$A1382=Query!$B$4),OR(Query!$B$5="All",ISNUMBER(SEARCH(Query!$B$5,'Compliance Database'!$H1382))),OR(Query!$B$6="All",ISNUMBER(SEARCH(Query!$B$6,'Compliance Database'!$I1382))),OR(Query!$B$7="All",'Compliance Database'!$F1382=Query!$B$7),OR(Query!$B$8="All",'Compliance Database'!$J1382=Query!$B$8),OR(Query!$B$9="",ISNUMBER(SEARCH(Query!$B$9,'Compliance Database'!$D1382&amp;" "&amp;'Compliance Database'!$K1382&amp;" "&amp;'Compliance Database'!$L1382&amp;" "&amp;'Compliance Database'!$M1382&amp;" "&amp;'Compliance Database'!$N1382&amp;" "&amp;'Compliance Database'!$O1382))),OR(Query!$B$10&lt;&gt;"Yes",'Compliance Database'!$F1382&lt;&gt;"None")),1,0)</f>
        <v/>
      </c>
      <c r="B1382">
        <f>IF($A1382=1,SUM($A$2:$A1382),"")</f>
        <v/>
      </c>
      <c r="C1382">
        <f>IF($A1382=1,SUM($A$2:$A1382),0)</f>
        <v/>
      </c>
    </row>
    <row r="1383">
      <c r="A1383">
        <f>IF(AND(OR(Query!$B$4="All",'Compliance Database'!$A1383=Query!$B$4),OR(Query!$B$5="All",ISNUMBER(SEARCH(Query!$B$5,'Compliance Database'!$H1383))),OR(Query!$B$6="All",ISNUMBER(SEARCH(Query!$B$6,'Compliance Database'!$I1383))),OR(Query!$B$7="All",'Compliance Database'!$F1383=Query!$B$7),OR(Query!$B$8="All",'Compliance Database'!$J1383=Query!$B$8),OR(Query!$B$9="",ISNUMBER(SEARCH(Query!$B$9,'Compliance Database'!$D1383&amp;" "&amp;'Compliance Database'!$K1383&amp;" "&amp;'Compliance Database'!$L1383&amp;" "&amp;'Compliance Database'!$M1383&amp;" "&amp;'Compliance Database'!$N1383&amp;" "&amp;'Compliance Database'!$O1383))),OR(Query!$B$10&lt;&gt;"Yes",'Compliance Database'!$F1383&lt;&gt;"None")),1,0)</f>
        <v/>
      </c>
      <c r="B1383">
        <f>IF($A1383=1,SUM($A$2:$A1383),"")</f>
        <v/>
      </c>
      <c r="C1383">
        <f>IF($A1383=1,SUM($A$2:$A1383),0)</f>
        <v/>
      </c>
    </row>
    <row r="1384">
      <c r="A1384">
        <f>IF(AND(OR(Query!$B$4="All",'Compliance Database'!$A1384=Query!$B$4),OR(Query!$B$5="All",ISNUMBER(SEARCH(Query!$B$5,'Compliance Database'!$H1384))),OR(Query!$B$6="All",ISNUMBER(SEARCH(Query!$B$6,'Compliance Database'!$I1384))),OR(Query!$B$7="All",'Compliance Database'!$F1384=Query!$B$7),OR(Query!$B$8="All",'Compliance Database'!$J1384=Query!$B$8),OR(Query!$B$9="",ISNUMBER(SEARCH(Query!$B$9,'Compliance Database'!$D1384&amp;" "&amp;'Compliance Database'!$K1384&amp;" "&amp;'Compliance Database'!$L1384&amp;" "&amp;'Compliance Database'!$M1384&amp;" "&amp;'Compliance Database'!$N1384&amp;" "&amp;'Compliance Database'!$O1384))),OR(Query!$B$10&lt;&gt;"Yes",'Compliance Database'!$F1384&lt;&gt;"None")),1,0)</f>
        <v/>
      </c>
      <c r="B1384">
        <f>IF($A1384=1,SUM($A$2:$A1384),"")</f>
        <v/>
      </c>
      <c r="C1384">
        <f>IF($A1384=1,SUM($A$2:$A1384),0)</f>
        <v/>
      </c>
    </row>
    <row r="1385">
      <c r="A1385">
        <f>IF(AND(OR(Query!$B$4="All",'Compliance Database'!$A1385=Query!$B$4),OR(Query!$B$5="All",ISNUMBER(SEARCH(Query!$B$5,'Compliance Database'!$H1385))),OR(Query!$B$6="All",ISNUMBER(SEARCH(Query!$B$6,'Compliance Database'!$I1385))),OR(Query!$B$7="All",'Compliance Database'!$F1385=Query!$B$7),OR(Query!$B$8="All",'Compliance Database'!$J1385=Query!$B$8),OR(Query!$B$9="",ISNUMBER(SEARCH(Query!$B$9,'Compliance Database'!$D1385&amp;" "&amp;'Compliance Database'!$K1385&amp;" "&amp;'Compliance Database'!$L1385&amp;" "&amp;'Compliance Database'!$M1385&amp;" "&amp;'Compliance Database'!$N1385&amp;" "&amp;'Compliance Database'!$O1385))),OR(Query!$B$10&lt;&gt;"Yes",'Compliance Database'!$F1385&lt;&gt;"None")),1,0)</f>
        <v/>
      </c>
      <c r="B1385">
        <f>IF($A1385=1,SUM($A$2:$A1385),"")</f>
        <v/>
      </c>
      <c r="C1385">
        <f>IF($A1385=1,SUM($A$2:$A1385),0)</f>
        <v/>
      </c>
    </row>
    <row r="1386">
      <c r="A1386">
        <f>IF(AND(OR(Query!$B$4="All",'Compliance Database'!$A1386=Query!$B$4),OR(Query!$B$5="All",ISNUMBER(SEARCH(Query!$B$5,'Compliance Database'!$H1386))),OR(Query!$B$6="All",ISNUMBER(SEARCH(Query!$B$6,'Compliance Database'!$I1386))),OR(Query!$B$7="All",'Compliance Database'!$F1386=Query!$B$7),OR(Query!$B$8="All",'Compliance Database'!$J1386=Query!$B$8),OR(Query!$B$9="",ISNUMBER(SEARCH(Query!$B$9,'Compliance Database'!$D1386&amp;" "&amp;'Compliance Database'!$K1386&amp;" "&amp;'Compliance Database'!$L1386&amp;" "&amp;'Compliance Database'!$M1386&amp;" "&amp;'Compliance Database'!$N1386&amp;" "&amp;'Compliance Database'!$O1386))),OR(Query!$B$10&lt;&gt;"Yes",'Compliance Database'!$F1386&lt;&gt;"None")),1,0)</f>
        <v/>
      </c>
      <c r="B1386">
        <f>IF($A1386=1,SUM($A$2:$A1386),"")</f>
        <v/>
      </c>
      <c r="C1386">
        <f>IF($A1386=1,SUM($A$2:$A1386),0)</f>
        <v/>
      </c>
    </row>
    <row r="1387">
      <c r="A1387">
        <f>IF(AND(OR(Query!$B$4="All",'Compliance Database'!$A1387=Query!$B$4),OR(Query!$B$5="All",ISNUMBER(SEARCH(Query!$B$5,'Compliance Database'!$H1387))),OR(Query!$B$6="All",ISNUMBER(SEARCH(Query!$B$6,'Compliance Database'!$I1387))),OR(Query!$B$7="All",'Compliance Database'!$F1387=Query!$B$7),OR(Query!$B$8="All",'Compliance Database'!$J1387=Query!$B$8),OR(Query!$B$9="",ISNUMBER(SEARCH(Query!$B$9,'Compliance Database'!$D1387&amp;" "&amp;'Compliance Database'!$K1387&amp;" "&amp;'Compliance Database'!$L1387&amp;" "&amp;'Compliance Database'!$M1387&amp;" "&amp;'Compliance Database'!$N1387&amp;" "&amp;'Compliance Database'!$O1387))),OR(Query!$B$10&lt;&gt;"Yes",'Compliance Database'!$F1387&lt;&gt;"None")),1,0)</f>
        <v/>
      </c>
      <c r="B1387">
        <f>IF($A1387=1,SUM($A$2:$A1387),"")</f>
        <v/>
      </c>
      <c r="C1387">
        <f>IF($A1387=1,SUM($A$2:$A1387),0)</f>
        <v/>
      </c>
    </row>
    <row r="1388">
      <c r="A1388">
        <f>IF(AND(OR(Query!$B$4="All",'Compliance Database'!$A1388=Query!$B$4),OR(Query!$B$5="All",ISNUMBER(SEARCH(Query!$B$5,'Compliance Database'!$H1388))),OR(Query!$B$6="All",ISNUMBER(SEARCH(Query!$B$6,'Compliance Database'!$I1388))),OR(Query!$B$7="All",'Compliance Database'!$F1388=Query!$B$7),OR(Query!$B$8="All",'Compliance Database'!$J1388=Query!$B$8),OR(Query!$B$9="",ISNUMBER(SEARCH(Query!$B$9,'Compliance Database'!$D1388&amp;" "&amp;'Compliance Database'!$K1388&amp;" "&amp;'Compliance Database'!$L1388&amp;" "&amp;'Compliance Database'!$M1388&amp;" "&amp;'Compliance Database'!$N1388&amp;" "&amp;'Compliance Database'!$O1388))),OR(Query!$B$10&lt;&gt;"Yes",'Compliance Database'!$F1388&lt;&gt;"None")),1,0)</f>
        <v/>
      </c>
      <c r="B1388">
        <f>IF($A1388=1,SUM($A$2:$A1388),"")</f>
        <v/>
      </c>
      <c r="C1388">
        <f>IF($A1388=1,SUM($A$2:$A1388),0)</f>
        <v/>
      </c>
    </row>
    <row r="1389">
      <c r="A1389">
        <f>IF(AND(OR(Query!$B$4="All",'Compliance Database'!$A1389=Query!$B$4),OR(Query!$B$5="All",ISNUMBER(SEARCH(Query!$B$5,'Compliance Database'!$H1389))),OR(Query!$B$6="All",ISNUMBER(SEARCH(Query!$B$6,'Compliance Database'!$I1389))),OR(Query!$B$7="All",'Compliance Database'!$F1389=Query!$B$7),OR(Query!$B$8="All",'Compliance Database'!$J1389=Query!$B$8),OR(Query!$B$9="",ISNUMBER(SEARCH(Query!$B$9,'Compliance Database'!$D1389&amp;" "&amp;'Compliance Database'!$K1389&amp;" "&amp;'Compliance Database'!$L1389&amp;" "&amp;'Compliance Database'!$M1389&amp;" "&amp;'Compliance Database'!$N1389&amp;" "&amp;'Compliance Database'!$O1389))),OR(Query!$B$10&lt;&gt;"Yes",'Compliance Database'!$F1389&lt;&gt;"None")),1,0)</f>
        <v/>
      </c>
      <c r="B1389">
        <f>IF($A1389=1,SUM($A$2:$A1389),"")</f>
        <v/>
      </c>
      <c r="C1389">
        <f>IF($A1389=1,SUM($A$2:$A1389),0)</f>
        <v/>
      </c>
    </row>
    <row r="1390">
      <c r="A1390">
        <f>IF(AND(OR(Query!$B$4="All",'Compliance Database'!$A1390=Query!$B$4),OR(Query!$B$5="All",ISNUMBER(SEARCH(Query!$B$5,'Compliance Database'!$H1390))),OR(Query!$B$6="All",ISNUMBER(SEARCH(Query!$B$6,'Compliance Database'!$I1390))),OR(Query!$B$7="All",'Compliance Database'!$F1390=Query!$B$7),OR(Query!$B$8="All",'Compliance Database'!$J1390=Query!$B$8),OR(Query!$B$9="",ISNUMBER(SEARCH(Query!$B$9,'Compliance Database'!$D1390&amp;" "&amp;'Compliance Database'!$K1390&amp;" "&amp;'Compliance Database'!$L1390&amp;" "&amp;'Compliance Database'!$M1390&amp;" "&amp;'Compliance Database'!$N1390&amp;" "&amp;'Compliance Database'!$O1390))),OR(Query!$B$10&lt;&gt;"Yes",'Compliance Database'!$F1390&lt;&gt;"None")),1,0)</f>
        <v/>
      </c>
      <c r="B1390">
        <f>IF($A1390=1,SUM($A$2:$A1390),"")</f>
        <v/>
      </c>
      <c r="C1390">
        <f>IF($A1390=1,SUM($A$2:$A1390),0)</f>
        <v/>
      </c>
    </row>
    <row r="1391">
      <c r="A1391">
        <f>IF(AND(OR(Query!$B$4="All",'Compliance Database'!$A1391=Query!$B$4),OR(Query!$B$5="All",ISNUMBER(SEARCH(Query!$B$5,'Compliance Database'!$H1391))),OR(Query!$B$6="All",ISNUMBER(SEARCH(Query!$B$6,'Compliance Database'!$I1391))),OR(Query!$B$7="All",'Compliance Database'!$F1391=Query!$B$7),OR(Query!$B$8="All",'Compliance Database'!$J1391=Query!$B$8),OR(Query!$B$9="",ISNUMBER(SEARCH(Query!$B$9,'Compliance Database'!$D1391&amp;" "&amp;'Compliance Database'!$K1391&amp;" "&amp;'Compliance Database'!$L1391&amp;" "&amp;'Compliance Database'!$M1391&amp;" "&amp;'Compliance Database'!$N1391&amp;" "&amp;'Compliance Database'!$O1391))),OR(Query!$B$10&lt;&gt;"Yes",'Compliance Database'!$F1391&lt;&gt;"None")),1,0)</f>
        <v/>
      </c>
      <c r="B1391">
        <f>IF($A1391=1,SUM($A$2:$A1391),"")</f>
        <v/>
      </c>
      <c r="C1391">
        <f>IF($A1391=1,SUM($A$2:$A1391),0)</f>
        <v/>
      </c>
    </row>
    <row r="1392">
      <c r="A1392">
        <f>IF(AND(OR(Query!$B$4="All",'Compliance Database'!$A1392=Query!$B$4),OR(Query!$B$5="All",ISNUMBER(SEARCH(Query!$B$5,'Compliance Database'!$H1392))),OR(Query!$B$6="All",ISNUMBER(SEARCH(Query!$B$6,'Compliance Database'!$I1392))),OR(Query!$B$7="All",'Compliance Database'!$F1392=Query!$B$7),OR(Query!$B$8="All",'Compliance Database'!$J1392=Query!$B$8),OR(Query!$B$9="",ISNUMBER(SEARCH(Query!$B$9,'Compliance Database'!$D1392&amp;" "&amp;'Compliance Database'!$K1392&amp;" "&amp;'Compliance Database'!$L1392&amp;" "&amp;'Compliance Database'!$M1392&amp;" "&amp;'Compliance Database'!$N1392&amp;" "&amp;'Compliance Database'!$O1392))),OR(Query!$B$10&lt;&gt;"Yes",'Compliance Database'!$F1392&lt;&gt;"None")),1,0)</f>
        <v/>
      </c>
      <c r="B1392">
        <f>IF($A1392=1,SUM($A$2:$A1392),"")</f>
        <v/>
      </c>
      <c r="C1392">
        <f>IF($A1392=1,SUM($A$2:$A1392),0)</f>
        <v/>
      </c>
    </row>
    <row r="1393">
      <c r="A1393">
        <f>IF(AND(OR(Query!$B$4="All",'Compliance Database'!$A1393=Query!$B$4),OR(Query!$B$5="All",ISNUMBER(SEARCH(Query!$B$5,'Compliance Database'!$H1393))),OR(Query!$B$6="All",ISNUMBER(SEARCH(Query!$B$6,'Compliance Database'!$I1393))),OR(Query!$B$7="All",'Compliance Database'!$F1393=Query!$B$7),OR(Query!$B$8="All",'Compliance Database'!$J1393=Query!$B$8),OR(Query!$B$9="",ISNUMBER(SEARCH(Query!$B$9,'Compliance Database'!$D1393&amp;" "&amp;'Compliance Database'!$K1393&amp;" "&amp;'Compliance Database'!$L1393&amp;" "&amp;'Compliance Database'!$M1393&amp;" "&amp;'Compliance Database'!$N1393&amp;" "&amp;'Compliance Database'!$O1393))),OR(Query!$B$10&lt;&gt;"Yes",'Compliance Database'!$F1393&lt;&gt;"None")),1,0)</f>
        <v/>
      </c>
      <c r="B1393">
        <f>IF($A1393=1,SUM($A$2:$A1393),"")</f>
        <v/>
      </c>
      <c r="C1393">
        <f>IF($A1393=1,SUM($A$2:$A1393),0)</f>
        <v/>
      </c>
    </row>
    <row r="1394">
      <c r="A1394">
        <f>IF(AND(OR(Query!$B$4="All",'Compliance Database'!$A1394=Query!$B$4),OR(Query!$B$5="All",ISNUMBER(SEARCH(Query!$B$5,'Compliance Database'!$H1394))),OR(Query!$B$6="All",ISNUMBER(SEARCH(Query!$B$6,'Compliance Database'!$I1394))),OR(Query!$B$7="All",'Compliance Database'!$F1394=Query!$B$7),OR(Query!$B$8="All",'Compliance Database'!$J1394=Query!$B$8),OR(Query!$B$9="",ISNUMBER(SEARCH(Query!$B$9,'Compliance Database'!$D1394&amp;" "&amp;'Compliance Database'!$K1394&amp;" "&amp;'Compliance Database'!$L1394&amp;" "&amp;'Compliance Database'!$M1394&amp;" "&amp;'Compliance Database'!$N1394&amp;" "&amp;'Compliance Database'!$O1394))),OR(Query!$B$10&lt;&gt;"Yes",'Compliance Database'!$F1394&lt;&gt;"None")),1,0)</f>
        <v/>
      </c>
      <c r="B1394">
        <f>IF($A1394=1,SUM($A$2:$A1394),"")</f>
        <v/>
      </c>
      <c r="C1394">
        <f>IF($A1394=1,SUM($A$2:$A1394),0)</f>
        <v/>
      </c>
    </row>
    <row r="1395">
      <c r="A1395">
        <f>IF(AND(OR(Query!$B$4="All",'Compliance Database'!$A1395=Query!$B$4),OR(Query!$B$5="All",ISNUMBER(SEARCH(Query!$B$5,'Compliance Database'!$H1395))),OR(Query!$B$6="All",ISNUMBER(SEARCH(Query!$B$6,'Compliance Database'!$I1395))),OR(Query!$B$7="All",'Compliance Database'!$F1395=Query!$B$7),OR(Query!$B$8="All",'Compliance Database'!$J1395=Query!$B$8),OR(Query!$B$9="",ISNUMBER(SEARCH(Query!$B$9,'Compliance Database'!$D1395&amp;" "&amp;'Compliance Database'!$K1395&amp;" "&amp;'Compliance Database'!$L1395&amp;" "&amp;'Compliance Database'!$M1395&amp;" "&amp;'Compliance Database'!$N1395&amp;" "&amp;'Compliance Database'!$O1395))),OR(Query!$B$10&lt;&gt;"Yes",'Compliance Database'!$F1395&lt;&gt;"None")),1,0)</f>
        <v/>
      </c>
      <c r="B1395">
        <f>IF($A1395=1,SUM($A$2:$A1395),"")</f>
        <v/>
      </c>
      <c r="C1395">
        <f>IF($A1395=1,SUM($A$2:$A1395),0)</f>
        <v/>
      </c>
    </row>
    <row r="1396">
      <c r="A1396">
        <f>IF(AND(OR(Query!$B$4="All",'Compliance Database'!$A1396=Query!$B$4),OR(Query!$B$5="All",ISNUMBER(SEARCH(Query!$B$5,'Compliance Database'!$H1396))),OR(Query!$B$6="All",ISNUMBER(SEARCH(Query!$B$6,'Compliance Database'!$I1396))),OR(Query!$B$7="All",'Compliance Database'!$F1396=Query!$B$7),OR(Query!$B$8="All",'Compliance Database'!$J1396=Query!$B$8),OR(Query!$B$9="",ISNUMBER(SEARCH(Query!$B$9,'Compliance Database'!$D1396&amp;" "&amp;'Compliance Database'!$K1396&amp;" "&amp;'Compliance Database'!$L1396&amp;" "&amp;'Compliance Database'!$M1396&amp;" "&amp;'Compliance Database'!$N1396&amp;" "&amp;'Compliance Database'!$O1396))),OR(Query!$B$10&lt;&gt;"Yes",'Compliance Database'!$F1396&lt;&gt;"None")),1,0)</f>
        <v/>
      </c>
      <c r="B1396">
        <f>IF($A1396=1,SUM($A$2:$A1396),"")</f>
        <v/>
      </c>
      <c r="C1396">
        <f>IF($A1396=1,SUM($A$2:$A1396),0)</f>
        <v/>
      </c>
    </row>
    <row r="1397">
      <c r="A1397">
        <f>IF(AND(OR(Query!$B$4="All",'Compliance Database'!$A1397=Query!$B$4),OR(Query!$B$5="All",ISNUMBER(SEARCH(Query!$B$5,'Compliance Database'!$H1397))),OR(Query!$B$6="All",ISNUMBER(SEARCH(Query!$B$6,'Compliance Database'!$I1397))),OR(Query!$B$7="All",'Compliance Database'!$F1397=Query!$B$7),OR(Query!$B$8="All",'Compliance Database'!$J1397=Query!$B$8),OR(Query!$B$9="",ISNUMBER(SEARCH(Query!$B$9,'Compliance Database'!$D1397&amp;" "&amp;'Compliance Database'!$K1397&amp;" "&amp;'Compliance Database'!$L1397&amp;" "&amp;'Compliance Database'!$M1397&amp;" "&amp;'Compliance Database'!$N1397&amp;" "&amp;'Compliance Database'!$O1397))),OR(Query!$B$10&lt;&gt;"Yes",'Compliance Database'!$F1397&lt;&gt;"None")),1,0)</f>
        <v/>
      </c>
      <c r="B1397">
        <f>IF($A1397=1,SUM($A$2:$A1397),"")</f>
        <v/>
      </c>
      <c r="C1397">
        <f>IF($A1397=1,SUM($A$2:$A1397),0)</f>
        <v/>
      </c>
    </row>
    <row r="1398">
      <c r="A1398">
        <f>IF(AND(OR(Query!$B$4="All",'Compliance Database'!$A1398=Query!$B$4),OR(Query!$B$5="All",ISNUMBER(SEARCH(Query!$B$5,'Compliance Database'!$H1398))),OR(Query!$B$6="All",ISNUMBER(SEARCH(Query!$B$6,'Compliance Database'!$I1398))),OR(Query!$B$7="All",'Compliance Database'!$F1398=Query!$B$7),OR(Query!$B$8="All",'Compliance Database'!$J1398=Query!$B$8),OR(Query!$B$9="",ISNUMBER(SEARCH(Query!$B$9,'Compliance Database'!$D1398&amp;" "&amp;'Compliance Database'!$K1398&amp;" "&amp;'Compliance Database'!$L1398&amp;" "&amp;'Compliance Database'!$M1398&amp;" "&amp;'Compliance Database'!$N1398&amp;" "&amp;'Compliance Database'!$O1398))),OR(Query!$B$10&lt;&gt;"Yes",'Compliance Database'!$F1398&lt;&gt;"None")),1,0)</f>
        <v/>
      </c>
      <c r="B1398">
        <f>IF($A1398=1,SUM($A$2:$A1398),"")</f>
        <v/>
      </c>
      <c r="C1398">
        <f>IF($A1398=1,SUM($A$2:$A1398),0)</f>
        <v/>
      </c>
    </row>
    <row r="1399">
      <c r="A1399">
        <f>IF(AND(OR(Query!$B$4="All",'Compliance Database'!$A1399=Query!$B$4),OR(Query!$B$5="All",ISNUMBER(SEARCH(Query!$B$5,'Compliance Database'!$H1399))),OR(Query!$B$6="All",ISNUMBER(SEARCH(Query!$B$6,'Compliance Database'!$I1399))),OR(Query!$B$7="All",'Compliance Database'!$F1399=Query!$B$7),OR(Query!$B$8="All",'Compliance Database'!$J1399=Query!$B$8),OR(Query!$B$9="",ISNUMBER(SEARCH(Query!$B$9,'Compliance Database'!$D1399&amp;" "&amp;'Compliance Database'!$K1399&amp;" "&amp;'Compliance Database'!$L1399&amp;" "&amp;'Compliance Database'!$M1399&amp;" "&amp;'Compliance Database'!$N1399&amp;" "&amp;'Compliance Database'!$O1399))),OR(Query!$B$10&lt;&gt;"Yes",'Compliance Database'!$F1399&lt;&gt;"None")),1,0)</f>
        <v/>
      </c>
      <c r="B1399">
        <f>IF($A1399=1,SUM($A$2:$A1399),"")</f>
        <v/>
      </c>
      <c r="C1399">
        <f>IF($A1399=1,SUM($A$2:$A1399),0)</f>
        <v/>
      </c>
    </row>
    <row r="1400">
      <c r="A1400">
        <f>IF(AND(OR(Query!$B$4="All",'Compliance Database'!$A1400=Query!$B$4),OR(Query!$B$5="All",ISNUMBER(SEARCH(Query!$B$5,'Compliance Database'!$H1400))),OR(Query!$B$6="All",ISNUMBER(SEARCH(Query!$B$6,'Compliance Database'!$I1400))),OR(Query!$B$7="All",'Compliance Database'!$F1400=Query!$B$7),OR(Query!$B$8="All",'Compliance Database'!$J1400=Query!$B$8),OR(Query!$B$9="",ISNUMBER(SEARCH(Query!$B$9,'Compliance Database'!$D1400&amp;" "&amp;'Compliance Database'!$K1400&amp;" "&amp;'Compliance Database'!$L1400&amp;" "&amp;'Compliance Database'!$M1400&amp;" "&amp;'Compliance Database'!$N1400&amp;" "&amp;'Compliance Database'!$O1400))),OR(Query!$B$10&lt;&gt;"Yes",'Compliance Database'!$F1400&lt;&gt;"None")),1,0)</f>
        <v/>
      </c>
      <c r="B1400">
        <f>IF($A1400=1,SUM($A$2:$A1400),"")</f>
        <v/>
      </c>
      <c r="C1400">
        <f>IF($A1400=1,SUM($A$2:$A1400),0)</f>
        <v/>
      </c>
    </row>
    <row r="1401">
      <c r="A1401">
        <f>IF(AND(OR(Query!$B$4="All",'Compliance Database'!$A1401=Query!$B$4),OR(Query!$B$5="All",ISNUMBER(SEARCH(Query!$B$5,'Compliance Database'!$H1401))),OR(Query!$B$6="All",ISNUMBER(SEARCH(Query!$B$6,'Compliance Database'!$I1401))),OR(Query!$B$7="All",'Compliance Database'!$F1401=Query!$B$7),OR(Query!$B$8="All",'Compliance Database'!$J1401=Query!$B$8),OR(Query!$B$9="",ISNUMBER(SEARCH(Query!$B$9,'Compliance Database'!$D1401&amp;" "&amp;'Compliance Database'!$K1401&amp;" "&amp;'Compliance Database'!$L1401&amp;" "&amp;'Compliance Database'!$M1401&amp;" "&amp;'Compliance Database'!$N1401&amp;" "&amp;'Compliance Database'!$O1401))),OR(Query!$B$10&lt;&gt;"Yes",'Compliance Database'!$F1401&lt;&gt;"None")),1,0)</f>
        <v/>
      </c>
      <c r="B1401">
        <f>IF($A1401=1,SUM($A$2:$A1401),"")</f>
        <v/>
      </c>
      <c r="C1401">
        <f>IF($A1401=1,SUM($A$2:$A1401),0)</f>
        <v/>
      </c>
    </row>
    <row r="1402">
      <c r="A1402">
        <f>IF(AND(OR(Query!$B$4="All",'Compliance Database'!$A1402=Query!$B$4),OR(Query!$B$5="All",ISNUMBER(SEARCH(Query!$B$5,'Compliance Database'!$H1402))),OR(Query!$B$6="All",ISNUMBER(SEARCH(Query!$B$6,'Compliance Database'!$I1402))),OR(Query!$B$7="All",'Compliance Database'!$F1402=Query!$B$7),OR(Query!$B$8="All",'Compliance Database'!$J1402=Query!$B$8),OR(Query!$B$9="",ISNUMBER(SEARCH(Query!$B$9,'Compliance Database'!$D1402&amp;" "&amp;'Compliance Database'!$K1402&amp;" "&amp;'Compliance Database'!$L1402&amp;" "&amp;'Compliance Database'!$M1402&amp;" "&amp;'Compliance Database'!$N1402&amp;" "&amp;'Compliance Database'!$O1402))),OR(Query!$B$10&lt;&gt;"Yes",'Compliance Database'!$F1402&lt;&gt;"None")),1,0)</f>
        <v/>
      </c>
      <c r="B1402">
        <f>IF($A1402=1,SUM($A$2:$A1402),"")</f>
        <v/>
      </c>
      <c r="C1402">
        <f>IF($A1402=1,SUM($A$2:$A1402),0)</f>
        <v/>
      </c>
    </row>
    <row r="1403">
      <c r="A1403">
        <f>IF(AND(OR(Query!$B$4="All",'Compliance Database'!$A1403=Query!$B$4),OR(Query!$B$5="All",ISNUMBER(SEARCH(Query!$B$5,'Compliance Database'!$H1403))),OR(Query!$B$6="All",ISNUMBER(SEARCH(Query!$B$6,'Compliance Database'!$I1403))),OR(Query!$B$7="All",'Compliance Database'!$F1403=Query!$B$7),OR(Query!$B$8="All",'Compliance Database'!$J1403=Query!$B$8),OR(Query!$B$9="",ISNUMBER(SEARCH(Query!$B$9,'Compliance Database'!$D1403&amp;" "&amp;'Compliance Database'!$K1403&amp;" "&amp;'Compliance Database'!$L1403&amp;" "&amp;'Compliance Database'!$M1403&amp;" "&amp;'Compliance Database'!$N1403&amp;" "&amp;'Compliance Database'!$O1403))),OR(Query!$B$10&lt;&gt;"Yes",'Compliance Database'!$F1403&lt;&gt;"None")),1,0)</f>
        <v/>
      </c>
      <c r="B1403">
        <f>IF($A1403=1,SUM($A$2:$A1403),"")</f>
        <v/>
      </c>
      <c r="C1403">
        <f>IF($A1403=1,SUM($A$2:$A1403),0)</f>
        <v/>
      </c>
    </row>
    <row r="1404">
      <c r="A1404">
        <f>IF(AND(OR(Query!$B$4="All",'Compliance Database'!$A1404=Query!$B$4),OR(Query!$B$5="All",ISNUMBER(SEARCH(Query!$B$5,'Compliance Database'!$H1404))),OR(Query!$B$6="All",ISNUMBER(SEARCH(Query!$B$6,'Compliance Database'!$I1404))),OR(Query!$B$7="All",'Compliance Database'!$F1404=Query!$B$7),OR(Query!$B$8="All",'Compliance Database'!$J1404=Query!$B$8),OR(Query!$B$9="",ISNUMBER(SEARCH(Query!$B$9,'Compliance Database'!$D1404&amp;" "&amp;'Compliance Database'!$K1404&amp;" "&amp;'Compliance Database'!$L1404&amp;" "&amp;'Compliance Database'!$M1404&amp;" "&amp;'Compliance Database'!$N1404&amp;" "&amp;'Compliance Database'!$O1404))),OR(Query!$B$10&lt;&gt;"Yes",'Compliance Database'!$F1404&lt;&gt;"None")),1,0)</f>
        <v/>
      </c>
      <c r="B1404">
        <f>IF($A1404=1,SUM($A$2:$A1404),"")</f>
        <v/>
      </c>
      <c r="C1404">
        <f>IF($A1404=1,SUM($A$2:$A1404),0)</f>
        <v/>
      </c>
    </row>
    <row r="1405">
      <c r="A1405">
        <f>IF(AND(OR(Query!$B$4="All",'Compliance Database'!$A1405=Query!$B$4),OR(Query!$B$5="All",ISNUMBER(SEARCH(Query!$B$5,'Compliance Database'!$H1405))),OR(Query!$B$6="All",ISNUMBER(SEARCH(Query!$B$6,'Compliance Database'!$I1405))),OR(Query!$B$7="All",'Compliance Database'!$F1405=Query!$B$7),OR(Query!$B$8="All",'Compliance Database'!$J1405=Query!$B$8),OR(Query!$B$9="",ISNUMBER(SEARCH(Query!$B$9,'Compliance Database'!$D1405&amp;" "&amp;'Compliance Database'!$K1405&amp;" "&amp;'Compliance Database'!$L1405&amp;" "&amp;'Compliance Database'!$M1405&amp;" "&amp;'Compliance Database'!$N1405&amp;" "&amp;'Compliance Database'!$O1405))),OR(Query!$B$10&lt;&gt;"Yes",'Compliance Database'!$F1405&lt;&gt;"None")),1,0)</f>
        <v/>
      </c>
      <c r="B1405">
        <f>IF($A1405=1,SUM($A$2:$A1405),"")</f>
        <v/>
      </c>
      <c r="C1405">
        <f>IF($A1405=1,SUM($A$2:$A1405),0)</f>
        <v/>
      </c>
    </row>
    <row r="1406">
      <c r="A1406">
        <f>IF(AND(OR(Query!$B$4="All",'Compliance Database'!$A1406=Query!$B$4),OR(Query!$B$5="All",ISNUMBER(SEARCH(Query!$B$5,'Compliance Database'!$H1406))),OR(Query!$B$6="All",ISNUMBER(SEARCH(Query!$B$6,'Compliance Database'!$I1406))),OR(Query!$B$7="All",'Compliance Database'!$F1406=Query!$B$7),OR(Query!$B$8="All",'Compliance Database'!$J1406=Query!$B$8),OR(Query!$B$9="",ISNUMBER(SEARCH(Query!$B$9,'Compliance Database'!$D1406&amp;" "&amp;'Compliance Database'!$K1406&amp;" "&amp;'Compliance Database'!$L1406&amp;" "&amp;'Compliance Database'!$M1406&amp;" "&amp;'Compliance Database'!$N1406&amp;" "&amp;'Compliance Database'!$O1406))),OR(Query!$B$10&lt;&gt;"Yes",'Compliance Database'!$F1406&lt;&gt;"None")),1,0)</f>
        <v/>
      </c>
      <c r="B1406">
        <f>IF($A1406=1,SUM($A$2:$A1406),"")</f>
        <v/>
      </c>
      <c r="C1406">
        <f>IF($A1406=1,SUM($A$2:$A1406),0)</f>
        <v/>
      </c>
    </row>
    <row r="1407">
      <c r="A1407">
        <f>IF(AND(OR(Query!$B$4="All",'Compliance Database'!$A1407=Query!$B$4),OR(Query!$B$5="All",ISNUMBER(SEARCH(Query!$B$5,'Compliance Database'!$H1407))),OR(Query!$B$6="All",ISNUMBER(SEARCH(Query!$B$6,'Compliance Database'!$I1407))),OR(Query!$B$7="All",'Compliance Database'!$F1407=Query!$B$7),OR(Query!$B$8="All",'Compliance Database'!$J1407=Query!$B$8),OR(Query!$B$9="",ISNUMBER(SEARCH(Query!$B$9,'Compliance Database'!$D1407&amp;" "&amp;'Compliance Database'!$K1407&amp;" "&amp;'Compliance Database'!$L1407&amp;" "&amp;'Compliance Database'!$M1407&amp;" "&amp;'Compliance Database'!$N1407&amp;" "&amp;'Compliance Database'!$O1407))),OR(Query!$B$10&lt;&gt;"Yes",'Compliance Database'!$F1407&lt;&gt;"None")),1,0)</f>
        <v/>
      </c>
      <c r="B1407">
        <f>IF($A1407=1,SUM($A$2:$A1407),"")</f>
        <v/>
      </c>
      <c r="C1407">
        <f>IF($A1407=1,SUM($A$2:$A1407),0)</f>
        <v/>
      </c>
    </row>
    <row r="1408">
      <c r="A1408">
        <f>IF(AND(OR(Query!$B$4="All",'Compliance Database'!$A1408=Query!$B$4),OR(Query!$B$5="All",ISNUMBER(SEARCH(Query!$B$5,'Compliance Database'!$H1408))),OR(Query!$B$6="All",ISNUMBER(SEARCH(Query!$B$6,'Compliance Database'!$I1408))),OR(Query!$B$7="All",'Compliance Database'!$F1408=Query!$B$7),OR(Query!$B$8="All",'Compliance Database'!$J1408=Query!$B$8),OR(Query!$B$9="",ISNUMBER(SEARCH(Query!$B$9,'Compliance Database'!$D1408&amp;" "&amp;'Compliance Database'!$K1408&amp;" "&amp;'Compliance Database'!$L1408&amp;" "&amp;'Compliance Database'!$M1408&amp;" "&amp;'Compliance Database'!$N1408&amp;" "&amp;'Compliance Database'!$O1408))),OR(Query!$B$10&lt;&gt;"Yes",'Compliance Database'!$F1408&lt;&gt;"None")),1,0)</f>
        <v/>
      </c>
      <c r="B1408">
        <f>IF($A1408=1,SUM($A$2:$A1408),"")</f>
        <v/>
      </c>
      <c r="C1408">
        <f>IF($A1408=1,SUM($A$2:$A1408),0)</f>
        <v/>
      </c>
    </row>
    <row r="1409">
      <c r="A1409">
        <f>IF(AND(OR(Query!$B$4="All",'Compliance Database'!$A1409=Query!$B$4),OR(Query!$B$5="All",ISNUMBER(SEARCH(Query!$B$5,'Compliance Database'!$H1409))),OR(Query!$B$6="All",ISNUMBER(SEARCH(Query!$B$6,'Compliance Database'!$I1409))),OR(Query!$B$7="All",'Compliance Database'!$F1409=Query!$B$7),OR(Query!$B$8="All",'Compliance Database'!$J1409=Query!$B$8),OR(Query!$B$9="",ISNUMBER(SEARCH(Query!$B$9,'Compliance Database'!$D1409&amp;" "&amp;'Compliance Database'!$K1409&amp;" "&amp;'Compliance Database'!$L1409&amp;" "&amp;'Compliance Database'!$M1409&amp;" "&amp;'Compliance Database'!$N1409&amp;" "&amp;'Compliance Database'!$O1409))),OR(Query!$B$10&lt;&gt;"Yes",'Compliance Database'!$F1409&lt;&gt;"None")),1,0)</f>
        <v/>
      </c>
      <c r="B1409">
        <f>IF($A1409=1,SUM($A$2:$A1409),"")</f>
        <v/>
      </c>
      <c r="C1409">
        <f>IF($A1409=1,SUM($A$2:$A1409),0)</f>
        <v/>
      </c>
    </row>
    <row r="1410">
      <c r="A1410">
        <f>IF(AND(OR(Query!$B$4="All",'Compliance Database'!$A1410=Query!$B$4),OR(Query!$B$5="All",ISNUMBER(SEARCH(Query!$B$5,'Compliance Database'!$H1410))),OR(Query!$B$6="All",ISNUMBER(SEARCH(Query!$B$6,'Compliance Database'!$I1410))),OR(Query!$B$7="All",'Compliance Database'!$F1410=Query!$B$7),OR(Query!$B$8="All",'Compliance Database'!$J1410=Query!$B$8),OR(Query!$B$9="",ISNUMBER(SEARCH(Query!$B$9,'Compliance Database'!$D1410&amp;" "&amp;'Compliance Database'!$K1410&amp;" "&amp;'Compliance Database'!$L1410&amp;" "&amp;'Compliance Database'!$M1410&amp;" "&amp;'Compliance Database'!$N1410&amp;" "&amp;'Compliance Database'!$O1410))),OR(Query!$B$10&lt;&gt;"Yes",'Compliance Database'!$F1410&lt;&gt;"None")),1,0)</f>
        <v/>
      </c>
      <c r="B1410">
        <f>IF($A1410=1,SUM($A$2:$A1410),"")</f>
        <v/>
      </c>
      <c r="C1410">
        <f>IF($A1410=1,SUM($A$2:$A1410),0)</f>
        <v/>
      </c>
    </row>
    <row r="1411">
      <c r="A1411">
        <f>IF(AND(OR(Query!$B$4="All",'Compliance Database'!$A1411=Query!$B$4),OR(Query!$B$5="All",ISNUMBER(SEARCH(Query!$B$5,'Compliance Database'!$H1411))),OR(Query!$B$6="All",ISNUMBER(SEARCH(Query!$B$6,'Compliance Database'!$I1411))),OR(Query!$B$7="All",'Compliance Database'!$F1411=Query!$B$7),OR(Query!$B$8="All",'Compliance Database'!$J1411=Query!$B$8),OR(Query!$B$9="",ISNUMBER(SEARCH(Query!$B$9,'Compliance Database'!$D1411&amp;" "&amp;'Compliance Database'!$K1411&amp;" "&amp;'Compliance Database'!$L1411&amp;" "&amp;'Compliance Database'!$M1411&amp;" "&amp;'Compliance Database'!$N1411&amp;" "&amp;'Compliance Database'!$O1411))),OR(Query!$B$10&lt;&gt;"Yes",'Compliance Database'!$F1411&lt;&gt;"None")),1,0)</f>
        <v/>
      </c>
      <c r="B1411">
        <f>IF($A1411=1,SUM($A$2:$A1411),"")</f>
        <v/>
      </c>
      <c r="C1411">
        <f>IF($A1411=1,SUM($A$2:$A1411),0)</f>
        <v/>
      </c>
    </row>
    <row r="1412">
      <c r="A1412">
        <f>IF(AND(OR(Query!$B$4="All",'Compliance Database'!$A1412=Query!$B$4),OR(Query!$B$5="All",ISNUMBER(SEARCH(Query!$B$5,'Compliance Database'!$H1412))),OR(Query!$B$6="All",ISNUMBER(SEARCH(Query!$B$6,'Compliance Database'!$I1412))),OR(Query!$B$7="All",'Compliance Database'!$F1412=Query!$B$7),OR(Query!$B$8="All",'Compliance Database'!$J1412=Query!$B$8),OR(Query!$B$9="",ISNUMBER(SEARCH(Query!$B$9,'Compliance Database'!$D1412&amp;" "&amp;'Compliance Database'!$K1412&amp;" "&amp;'Compliance Database'!$L1412&amp;" "&amp;'Compliance Database'!$M1412&amp;" "&amp;'Compliance Database'!$N1412&amp;" "&amp;'Compliance Database'!$O1412))),OR(Query!$B$10&lt;&gt;"Yes",'Compliance Database'!$F1412&lt;&gt;"None")),1,0)</f>
        <v/>
      </c>
      <c r="B1412">
        <f>IF($A1412=1,SUM($A$2:$A1412),"")</f>
        <v/>
      </c>
      <c r="C1412">
        <f>IF($A1412=1,SUM($A$2:$A1412),0)</f>
        <v/>
      </c>
    </row>
    <row r="1413">
      <c r="A1413">
        <f>IF(AND(OR(Query!$B$4="All",'Compliance Database'!$A1413=Query!$B$4),OR(Query!$B$5="All",ISNUMBER(SEARCH(Query!$B$5,'Compliance Database'!$H1413))),OR(Query!$B$6="All",ISNUMBER(SEARCH(Query!$B$6,'Compliance Database'!$I1413))),OR(Query!$B$7="All",'Compliance Database'!$F1413=Query!$B$7),OR(Query!$B$8="All",'Compliance Database'!$J1413=Query!$B$8),OR(Query!$B$9="",ISNUMBER(SEARCH(Query!$B$9,'Compliance Database'!$D1413&amp;" "&amp;'Compliance Database'!$K1413&amp;" "&amp;'Compliance Database'!$L1413&amp;" "&amp;'Compliance Database'!$M1413&amp;" "&amp;'Compliance Database'!$N1413&amp;" "&amp;'Compliance Database'!$O1413))),OR(Query!$B$10&lt;&gt;"Yes",'Compliance Database'!$F1413&lt;&gt;"None")),1,0)</f>
        <v/>
      </c>
      <c r="B1413">
        <f>IF($A1413=1,SUM($A$2:$A1413),"")</f>
        <v/>
      </c>
      <c r="C1413">
        <f>IF($A1413=1,SUM($A$2:$A1413),0)</f>
        <v/>
      </c>
    </row>
    <row r="1414">
      <c r="A1414">
        <f>IF(AND(OR(Query!$B$4="All",'Compliance Database'!$A1414=Query!$B$4),OR(Query!$B$5="All",ISNUMBER(SEARCH(Query!$B$5,'Compliance Database'!$H1414))),OR(Query!$B$6="All",ISNUMBER(SEARCH(Query!$B$6,'Compliance Database'!$I1414))),OR(Query!$B$7="All",'Compliance Database'!$F1414=Query!$B$7),OR(Query!$B$8="All",'Compliance Database'!$J1414=Query!$B$8),OR(Query!$B$9="",ISNUMBER(SEARCH(Query!$B$9,'Compliance Database'!$D1414&amp;" "&amp;'Compliance Database'!$K1414&amp;" "&amp;'Compliance Database'!$L1414&amp;" "&amp;'Compliance Database'!$M1414&amp;" "&amp;'Compliance Database'!$N1414&amp;" "&amp;'Compliance Database'!$O1414))),OR(Query!$B$10&lt;&gt;"Yes",'Compliance Database'!$F1414&lt;&gt;"None")),1,0)</f>
        <v/>
      </c>
      <c r="B1414">
        <f>IF($A1414=1,SUM($A$2:$A1414),"")</f>
        <v/>
      </c>
      <c r="C1414">
        <f>IF($A1414=1,SUM($A$2:$A1414),0)</f>
        <v/>
      </c>
    </row>
    <row r="1415">
      <c r="A1415">
        <f>IF(AND(OR(Query!$B$4="All",'Compliance Database'!$A1415=Query!$B$4),OR(Query!$B$5="All",ISNUMBER(SEARCH(Query!$B$5,'Compliance Database'!$H1415))),OR(Query!$B$6="All",ISNUMBER(SEARCH(Query!$B$6,'Compliance Database'!$I1415))),OR(Query!$B$7="All",'Compliance Database'!$F1415=Query!$B$7),OR(Query!$B$8="All",'Compliance Database'!$J1415=Query!$B$8),OR(Query!$B$9="",ISNUMBER(SEARCH(Query!$B$9,'Compliance Database'!$D1415&amp;" "&amp;'Compliance Database'!$K1415&amp;" "&amp;'Compliance Database'!$L1415&amp;" "&amp;'Compliance Database'!$M1415&amp;" "&amp;'Compliance Database'!$N1415&amp;" "&amp;'Compliance Database'!$O1415))),OR(Query!$B$10&lt;&gt;"Yes",'Compliance Database'!$F1415&lt;&gt;"None")),1,0)</f>
        <v/>
      </c>
      <c r="B1415">
        <f>IF($A1415=1,SUM($A$2:$A1415),"")</f>
        <v/>
      </c>
      <c r="C1415">
        <f>IF($A1415=1,SUM($A$2:$A1415),0)</f>
        <v/>
      </c>
    </row>
    <row r="1416">
      <c r="A1416">
        <f>IF(AND(OR(Query!$B$4="All",'Compliance Database'!$A1416=Query!$B$4),OR(Query!$B$5="All",ISNUMBER(SEARCH(Query!$B$5,'Compliance Database'!$H1416))),OR(Query!$B$6="All",ISNUMBER(SEARCH(Query!$B$6,'Compliance Database'!$I1416))),OR(Query!$B$7="All",'Compliance Database'!$F1416=Query!$B$7),OR(Query!$B$8="All",'Compliance Database'!$J1416=Query!$B$8),OR(Query!$B$9="",ISNUMBER(SEARCH(Query!$B$9,'Compliance Database'!$D1416&amp;" "&amp;'Compliance Database'!$K1416&amp;" "&amp;'Compliance Database'!$L1416&amp;" "&amp;'Compliance Database'!$M1416&amp;" "&amp;'Compliance Database'!$N1416&amp;" "&amp;'Compliance Database'!$O1416))),OR(Query!$B$10&lt;&gt;"Yes",'Compliance Database'!$F1416&lt;&gt;"None")),1,0)</f>
        <v/>
      </c>
      <c r="B1416">
        <f>IF($A1416=1,SUM($A$2:$A1416),"")</f>
        <v/>
      </c>
      <c r="C1416">
        <f>IF($A1416=1,SUM($A$2:$A1416),0)</f>
        <v/>
      </c>
    </row>
    <row r="1417">
      <c r="A1417">
        <f>IF(AND(OR(Query!$B$4="All",'Compliance Database'!$A1417=Query!$B$4),OR(Query!$B$5="All",ISNUMBER(SEARCH(Query!$B$5,'Compliance Database'!$H1417))),OR(Query!$B$6="All",ISNUMBER(SEARCH(Query!$B$6,'Compliance Database'!$I1417))),OR(Query!$B$7="All",'Compliance Database'!$F1417=Query!$B$7),OR(Query!$B$8="All",'Compliance Database'!$J1417=Query!$B$8),OR(Query!$B$9="",ISNUMBER(SEARCH(Query!$B$9,'Compliance Database'!$D1417&amp;" "&amp;'Compliance Database'!$K1417&amp;" "&amp;'Compliance Database'!$L1417&amp;" "&amp;'Compliance Database'!$M1417&amp;" "&amp;'Compliance Database'!$N1417&amp;" "&amp;'Compliance Database'!$O1417))),OR(Query!$B$10&lt;&gt;"Yes",'Compliance Database'!$F1417&lt;&gt;"None")),1,0)</f>
        <v/>
      </c>
      <c r="B1417">
        <f>IF($A1417=1,SUM($A$2:$A1417),"")</f>
        <v/>
      </c>
      <c r="C1417">
        <f>IF($A1417=1,SUM($A$2:$A1417),0)</f>
        <v/>
      </c>
    </row>
    <row r="1418">
      <c r="A1418">
        <f>IF(AND(OR(Query!$B$4="All",'Compliance Database'!$A1418=Query!$B$4),OR(Query!$B$5="All",ISNUMBER(SEARCH(Query!$B$5,'Compliance Database'!$H1418))),OR(Query!$B$6="All",ISNUMBER(SEARCH(Query!$B$6,'Compliance Database'!$I1418))),OR(Query!$B$7="All",'Compliance Database'!$F1418=Query!$B$7),OR(Query!$B$8="All",'Compliance Database'!$J1418=Query!$B$8),OR(Query!$B$9="",ISNUMBER(SEARCH(Query!$B$9,'Compliance Database'!$D1418&amp;" "&amp;'Compliance Database'!$K1418&amp;" "&amp;'Compliance Database'!$L1418&amp;" "&amp;'Compliance Database'!$M1418&amp;" "&amp;'Compliance Database'!$N1418&amp;" "&amp;'Compliance Database'!$O1418))),OR(Query!$B$10&lt;&gt;"Yes",'Compliance Database'!$F1418&lt;&gt;"None")),1,0)</f>
        <v/>
      </c>
      <c r="B1418">
        <f>IF($A1418=1,SUM($A$2:$A1418),"")</f>
        <v/>
      </c>
      <c r="C1418">
        <f>IF($A1418=1,SUM($A$2:$A1418),0)</f>
        <v/>
      </c>
    </row>
    <row r="1419">
      <c r="A1419">
        <f>IF(AND(OR(Query!$B$4="All",'Compliance Database'!$A1419=Query!$B$4),OR(Query!$B$5="All",ISNUMBER(SEARCH(Query!$B$5,'Compliance Database'!$H1419))),OR(Query!$B$6="All",ISNUMBER(SEARCH(Query!$B$6,'Compliance Database'!$I1419))),OR(Query!$B$7="All",'Compliance Database'!$F1419=Query!$B$7),OR(Query!$B$8="All",'Compliance Database'!$J1419=Query!$B$8),OR(Query!$B$9="",ISNUMBER(SEARCH(Query!$B$9,'Compliance Database'!$D1419&amp;" "&amp;'Compliance Database'!$K1419&amp;" "&amp;'Compliance Database'!$L1419&amp;" "&amp;'Compliance Database'!$M1419&amp;" "&amp;'Compliance Database'!$N1419&amp;" "&amp;'Compliance Database'!$O1419))),OR(Query!$B$10&lt;&gt;"Yes",'Compliance Database'!$F1419&lt;&gt;"None")),1,0)</f>
        <v/>
      </c>
      <c r="B1419">
        <f>IF($A1419=1,SUM($A$2:$A1419),"")</f>
        <v/>
      </c>
      <c r="C1419">
        <f>IF($A1419=1,SUM($A$2:$A1419),0)</f>
        <v/>
      </c>
    </row>
    <row r="1420">
      <c r="A1420">
        <f>IF(AND(OR(Query!$B$4="All",'Compliance Database'!$A1420=Query!$B$4),OR(Query!$B$5="All",ISNUMBER(SEARCH(Query!$B$5,'Compliance Database'!$H1420))),OR(Query!$B$6="All",ISNUMBER(SEARCH(Query!$B$6,'Compliance Database'!$I1420))),OR(Query!$B$7="All",'Compliance Database'!$F1420=Query!$B$7),OR(Query!$B$8="All",'Compliance Database'!$J1420=Query!$B$8),OR(Query!$B$9="",ISNUMBER(SEARCH(Query!$B$9,'Compliance Database'!$D1420&amp;" "&amp;'Compliance Database'!$K1420&amp;" "&amp;'Compliance Database'!$L1420&amp;" "&amp;'Compliance Database'!$M1420&amp;" "&amp;'Compliance Database'!$N1420&amp;" "&amp;'Compliance Database'!$O1420))),OR(Query!$B$10&lt;&gt;"Yes",'Compliance Database'!$F1420&lt;&gt;"None")),1,0)</f>
        <v/>
      </c>
      <c r="B1420">
        <f>IF($A1420=1,SUM($A$2:$A1420),"")</f>
        <v/>
      </c>
      <c r="C1420">
        <f>IF($A1420=1,SUM($A$2:$A1420),0)</f>
        <v/>
      </c>
    </row>
    <row r="1421">
      <c r="A1421">
        <f>IF(AND(OR(Query!$B$4="All",'Compliance Database'!$A1421=Query!$B$4),OR(Query!$B$5="All",ISNUMBER(SEARCH(Query!$B$5,'Compliance Database'!$H1421))),OR(Query!$B$6="All",ISNUMBER(SEARCH(Query!$B$6,'Compliance Database'!$I1421))),OR(Query!$B$7="All",'Compliance Database'!$F1421=Query!$B$7),OR(Query!$B$8="All",'Compliance Database'!$J1421=Query!$B$8),OR(Query!$B$9="",ISNUMBER(SEARCH(Query!$B$9,'Compliance Database'!$D1421&amp;" "&amp;'Compliance Database'!$K1421&amp;" "&amp;'Compliance Database'!$L1421&amp;" "&amp;'Compliance Database'!$M1421&amp;" "&amp;'Compliance Database'!$N1421&amp;" "&amp;'Compliance Database'!$O1421))),OR(Query!$B$10&lt;&gt;"Yes",'Compliance Database'!$F1421&lt;&gt;"None")),1,0)</f>
        <v/>
      </c>
      <c r="B1421">
        <f>IF($A1421=1,SUM($A$2:$A1421),"")</f>
        <v/>
      </c>
      <c r="C1421">
        <f>IF($A1421=1,SUM($A$2:$A1421),0)</f>
        <v/>
      </c>
    </row>
    <row r="1422">
      <c r="A1422">
        <f>IF(AND(OR(Query!$B$4="All",'Compliance Database'!$A1422=Query!$B$4),OR(Query!$B$5="All",ISNUMBER(SEARCH(Query!$B$5,'Compliance Database'!$H1422))),OR(Query!$B$6="All",ISNUMBER(SEARCH(Query!$B$6,'Compliance Database'!$I1422))),OR(Query!$B$7="All",'Compliance Database'!$F1422=Query!$B$7),OR(Query!$B$8="All",'Compliance Database'!$J1422=Query!$B$8),OR(Query!$B$9="",ISNUMBER(SEARCH(Query!$B$9,'Compliance Database'!$D1422&amp;" "&amp;'Compliance Database'!$K1422&amp;" "&amp;'Compliance Database'!$L1422&amp;" "&amp;'Compliance Database'!$M1422&amp;" "&amp;'Compliance Database'!$N1422&amp;" "&amp;'Compliance Database'!$O1422))),OR(Query!$B$10&lt;&gt;"Yes",'Compliance Database'!$F1422&lt;&gt;"None")),1,0)</f>
        <v/>
      </c>
      <c r="B1422">
        <f>IF($A1422=1,SUM($A$2:$A1422),"")</f>
        <v/>
      </c>
      <c r="C1422">
        <f>IF($A1422=1,SUM($A$2:$A1422),0)</f>
        <v/>
      </c>
    </row>
    <row r="1423">
      <c r="A1423">
        <f>IF(AND(OR(Query!$B$4="All",'Compliance Database'!$A1423=Query!$B$4),OR(Query!$B$5="All",ISNUMBER(SEARCH(Query!$B$5,'Compliance Database'!$H1423))),OR(Query!$B$6="All",ISNUMBER(SEARCH(Query!$B$6,'Compliance Database'!$I1423))),OR(Query!$B$7="All",'Compliance Database'!$F1423=Query!$B$7),OR(Query!$B$8="All",'Compliance Database'!$J1423=Query!$B$8),OR(Query!$B$9="",ISNUMBER(SEARCH(Query!$B$9,'Compliance Database'!$D1423&amp;" "&amp;'Compliance Database'!$K1423&amp;" "&amp;'Compliance Database'!$L1423&amp;" "&amp;'Compliance Database'!$M1423&amp;" "&amp;'Compliance Database'!$N1423&amp;" "&amp;'Compliance Database'!$O1423))),OR(Query!$B$10&lt;&gt;"Yes",'Compliance Database'!$F1423&lt;&gt;"None")),1,0)</f>
        <v/>
      </c>
      <c r="B1423">
        <f>IF($A1423=1,SUM($A$2:$A1423),"")</f>
        <v/>
      </c>
      <c r="C1423">
        <f>IF($A1423=1,SUM($A$2:$A1423),0)</f>
        <v/>
      </c>
    </row>
    <row r="1424">
      <c r="A1424">
        <f>IF(AND(OR(Query!$B$4="All",'Compliance Database'!$A1424=Query!$B$4),OR(Query!$B$5="All",ISNUMBER(SEARCH(Query!$B$5,'Compliance Database'!$H1424))),OR(Query!$B$6="All",ISNUMBER(SEARCH(Query!$B$6,'Compliance Database'!$I1424))),OR(Query!$B$7="All",'Compliance Database'!$F1424=Query!$B$7),OR(Query!$B$8="All",'Compliance Database'!$J1424=Query!$B$8),OR(Query!$B$9="",ISNUMBER(SEARCH(Query!$B$9,'Compliance Database'!$D1424&amp;" "&amp;'Compliance Database'!$K1424&amp;" "&amp;'Compliance Database'!$L1424&amp;" "&amp;'Compliance Database'!$M1424&amp;" "&amp;'Compliance Database'!$N1424&amp;" "&amp;'Compliance Database'!$O1424))),OR(Query!$B$10&lt;&gt;"Yes",'Compliance Database'!$F1424&lt;&gt;"None")),1,0)</f>
        <v/>
      </c>
      <c r="B1424">
        <f>IF($A1424=1,SUM($A$2:$A1424),"")</f>
        <v/>
      </c>
      <c r="C1424">
        <f>IF($A1424=1,SUM($A$2:$A1424),0)</f>
        <v/>
      </c>
    </row>
    <row r="1425">
      <c r="A1425">
        <f>IF(AND(OR(Query!$B$4="All",'Compliance Database'!$A1425=Query!$B$4),OR(Query!$B$5="All",ISNUMBER(SEARCH(Query!$B$5,'Compliance Database'!$H1425))),OR(Query!$B$6="All",ISNUMBER(SEARCH(Query!$B$6,'Compliance Database'!$I1425))),OR(Query!$B$7="All",'Compliance Database'!$F1425=Query!$B$7),OR(Query!$B$8="All",'Compliance Database'!$J1425=Query!$B$8),OR(Query!$B$9="",ISNUMBER(SEARCH(Query!$B$9,'Compliance Database'!$D1425&amp;" "&amp;'Compliance Database'!$K1425&amp;" "&amp;'Compliance Database'!$L1425&amp;" "&amp;'Compliance Database'!$M1425&amp;" "&amp;'Compliance Database'!$N1425&amp;" "&amp;'Compliance Database'!$O1425))),OR(Query!$B$10&lt;&gt;"Yes",'Compliance Database'!$F1425&lt;&gt;"None")),1,0)</f>
        <v/>
      </c>
      <c r="B1425">
        <f>IF($A1425=1,SUM($A$2:$A1425),"")</f>
        <v/>
      </c>
      <c r="C1425">
        <f>IF($A1425=1,SUM($A$2:$A1425),0)</f>
        <v/>
      </c>
    </row>
    <row r="1426">
      <c r="A1426">
        <f>IF(AND(OR(Query!$B$4="All",'Compliance Database'!$A1426=Query!$B$4),OR(Query!$B$5="All",ISNUMBER(SEARCH(Query!$B$5,'Compliance Database'!$H1426))),OR(Query!$B$6="All",ISNUMBER(SEARCH(Query!$B$6,'Compliance Database'!$I1426))),OR(Query!$B$7="All",'Compliance Database'!$F1426=Query!$B$7),OR(Query!$B$8="All",'Compliance Database'!$J1426=Query!$B$8),OR(Query!$B$9="",ISNUMBER(SEARCH(Query!$B$9,'Compliance Database'!$D1426&amp;" "&amp;'Compliance Database'!$K1426&amp;" "&amp;'Compliance Database'!$L1426&amp;" "&amp;'Compliance Database'!$M1426&amp;" "&amp;'Compliance Database'!$N1426&amp;" "&amp;'Compliance Database'!$O1426))),OR(Query!$B$10&lt;&gt;"Yes",'Compliance Database'!$F1426&lt;&gt;"None")),1,0)</f>
        <v/>
      </c>
      <c r="B1426">
        <f>IF($A1426=1,SUM($A$2:$A1426),"")</f>
        <v/>
      </c>
      <c r="C1426">
        <f>IF($A1426=1,SUM($A$2:$A1426),0)</f>
        <v/>
      </c>
    </row>
    <row r="1427">
      <c r="A1427">
        <f>IF(AND(OR(Query!$B$4="All",'Compliance Database'!$A1427=Query!$B$4),OR(Query!$B$5="All",ISNUMBER(SEARCH(Query!$B$5,'Compliance Database'!$H1427))),OR(Query!$B$6="All",ISNUMBER(SEARCH(Query!$B$6,'Compliance Database'!$I1427))),OR(Query!$B$7="All",'Compliance Database'!$F1427=Query!$B$7),OR(Query!$B$8="All",'Compliance Database'!$J1427=Query!$B$8),OR(Query!$B$9="",ISNUMBER(SEARCH(Query!$B$9,'Compliance Database'!$D1427&amp;" "&amp;'Compliance Database'!$K1427&amp;" "&amp;'Compliance Database'!$L1427&amp;" "&amp;'Compliance Database'!$M1427&amp;" "&amp;'Compliance Database'!$N1427&amp;" "&amp;'Compliance Database'!$O1427))),OR(Query!$B$10&lt;&gt;"Yes",'Compliance Database'!$F1427&lt;&gt;"None")),1,0)</f>
        <v/>
      </c>
      <c r="B1427">
        <f>IF($A1427=1,SUM($A$2:$A1427),"")</f>
        <v/>
      </c>
      <c r="C1427">
        <f>IF($A1427=1,SUM($A$2:$A1427),0)</f>
        <v/>
      </c>
    </row>
    <row r="1428">
      <c r="A1428">
        <f>IF(AND(OR(Query!$B$4="All",'Compliance Database'!$A1428=Query!$B$4),OR(Query!$B$5="All",ISNUMBER(SEARCH(Query!$B$5,'Compliance Database'!$H1428))),OR(Query!$B$6="All",ISNUMBER(SEARCH(Query!$B$6,'Compliance Database'!$I1428))),OR(Query!$B$7="All",'Compliance Database'!$F1428=Query!$B$7),OR(Query!$B$8="All",'Compliance Database'!$J1428=Query!$B$8),OR(Query!$B$9="",ISNUMBER(SEARCH(Query!$B$9,'Compliance Database'!$D1428&amp;" "&amp;'Compliance Database'!$K1428&amp;" "&amp;'Compliance Database'!$L1428&amp;" "&amp;'Compliance Database'!$M1428&amp;" "&amp;'Compliance Database'!$N1428&amp;" "&amp;'Compliance Database'!$O1428))),OR(Query!$B$10&lt;&gt;"Yes",'Compliance Database'!$F1428&lt;&gt;"None")),1,0)</f>
        <v/>
      </c>
      <c r="B1428">
        <f>IF($A1428=1,SUM($A$2:$A1428),"")</f>
        <v/>
      </c>
      <c r="C1428">
        <f>IF($A1428=1,SUM($A$2:$A1428),0)</f>
        <v/>
      </c>
    </row>
    <row r="1429">
      <c r="A1429">
        <f>IF(AND(OR(Query!$B$4="All",'Compliance Database'!$A1429=Query!$B$4),OR(Query!$B$5="All",ISNUMBER(SEARCH(Query!$B$5,'Compliance Database'!$H1429))),OR(Query!$B$6="All",ISNUMBER(SEARCH(Query!$B$6,'Compliance Database'!$I1429))),OR(Query!$B$7="All",'Compliance Database'!$F1429=Query!$B$7),OR(Query!$B$8="All",'Compliance Database'!$J1429=Query!$B$8),OR(Query!$B$9="",ISNUMBER(SEARCH(Query!$B$9,'Compliance Database'!$D1429&amp;" "&amp;'Compliance Database'!$K1429&amp;" "&amp;'Compliance Database'!$L1429&amp;" "&amp;'Compliance Database'!$M1429&amp;" "&amp;'Compliance Database'!$N1429&amp;" "&amp;'Compliance Database'!$O1429))),OR(Query!$B$10&lt;&gt;"Yes",'Compliance Database'!$F1429&lt;&gt;"None")),1,0)</f>
        <v/>
      </c>
      <c r="B1429">
        <f>IF($A1429=1,SUM($A$2:$A1429),"")</f>
        <v/>
      </c>
      <c r="C1429">
        <f>IF($A1429=1,SUM($A$2:$A1429),0)</f>
        <v/>
      </c>
    </row>
    <row r="1430">
      <c r="A1430">
        <f>IF(AND(OR(Query!$B$4="All",'Compliance Database'!$A1430=Query!$B$4),OR(Query!$B$5="All",ISNUMBER(SEARCH(Query!$B$5,'Compliance Database'!$H1430))),OR(Query!$B$6="All",ISNUMBER(SEARCH(Query!$B$6,'Compliance Database'!$I1430))),OR(Query!$B$7="All",'Compliance Database'!$F1430=Query!$B$7),OR(Query!$B$8="All",'Compliance Database'!$J1430=Query!$B$8),OR(Query!$B$9="",ISNUMBER(SEARCH(Query!$B$9,'Compliance Database'!$D1430&amp;" "&amp;'Compliance Database'!$K1430&amp;" "&amp;'Compliance Database'!$L1430&amp;" "&amp;'Compliance Database'!$M1430&amp;" "&amp;'Compliance Database'!$N1430&amp;" "&amp;'Compliance Database'!$O1430))),OR(Query!$B$10&lt;&gt;"Yes",'Compliance Database'!$F1430&lt;&gt;"None")),1,0)</f>
        <v/>
      </c>
      <c r="B1430">
        <f>IF($A1430=1,SUM($A$2:$A1430),"")</f>
        <v/>
      </c>
      <c r="C1430">
        <f>IF($A1430=1,SUM($A$2:$A1430),0)</f>
        <v/>
      </c>
    </row>
    <row r="1431">
      <c r="A1431">
        <f>IF(AND(OR(Query!$B$4="All",'Compliance Database'!$A1431=Query!$B$4),OR(Query!$B$5="All",ISNUMBER(SEARCH(Query!$B$5,'Compliance Database'!$H1431))),OR(Query!$B$6="All",ISNUMBER(SEARCH(Query!$B$6,'Compliance Database'!$I1431))),OR(Query!$B$7="All",'Compliance Database'!$F1431=Query!$B$7),OR(Query!$B$8="All",'Compliance Database'!$J1431=Query!$B$8),OR(Query!$B$9="",ISNUMBER(SEARCH(Query!$B$9,'Compliance Database'!$D1431&amp;" "&amp;'Compliance Database'!$K1431&amp;" "&amp;'Compliance Database'!$L1431&amp;" "&amp;'Compliance Database'!$M1431&amp;" "&amp;'Compliance Database'!$N1431&amp;" "&amp;'Compliance Database'!$O1431))),OR(Query!$B$10&lt;&gt;"Yes",'Compliance Database'!$F1431&lt;&gt;"None")),1,0)</f>
        <v/>
      </c>
      <c r="B1431">
        <f>IF($A1431=1,SUM($A$2:$A1431),"")</f>
        <v/>
      </c>
      <c r="C1431">
        <f>IF($A1431=1,SUM($A$2:$A1431),0)</f>
        <v/>
      </c>
    </row>
    <row r="1432">
      <c r="A1432">
        <f>IF(AND(OR(Query!$B$4="All",'Compliance Database'!$A1432=Query!$B$4),OR(Query!$B$5="All",ISNUMBER(SEARCH(Query!$B$5,'Compliance Database'!$H1432))),OR(Query!$B$6="All",ISNUMBER(SEARCH(Query!$B$6,'Compliance Database'!$I1432))),OR(Query!$B$7="All",'Compliance Database'!$F1432=Query!$B$7),OR(Query!$B$8="All",'Compliance Database'!$J1432=Query!$B$8),OR(Query!$B$9="",ISNUMBER(SEARCH(Query!$B$9,'Compliance Database'!$D1432&amp;" "&amp;'Compliance Database'!$K1432&amp;" "&amp;'Compliance Database'!$L1432&amp;" "&amp;'Compliance Database'!$M1432&amp;" "&amp;'Compliance Database'!$N1432&amp;" "&amp;'Compliance Database'!$O1432))),OR(Query!$B$10&lt;&gt;"Yes",'Compliance Database'!$F1432&lt;&gt;"None")),1,0)</f>
        <v/>
      </c>
      <c r="B1432">
        <f>IF($A1432=1,SUM($A$2:$A1432),"")</f>
        <v/>
      </c>
      <c r="C1432">
        <f>IF($A1432=1,SUM($A$2:$A1432),0)</f>
        <v/>
      </c>
    </row>
    <row r="1433">
      <c r="A1433">
        <f>IF(AND(OR(Query!$B$4="All",'Compliance Database'!$A1433=Query!$B$4),OR(Query!$B$5="All",ISNUMBER(SEARCH(Query!$B$5,'Compliance Database'!$H1433))),OR(Query!$B$6="All",ISNUMBER(SEARCH(Query!$B$6,'Compliance Database'!$I1433))),OR(Query!$B$7="All",'Compliance Database'!$F1433=Query!$B$7),OR(Query!$B$8="All",'Compliance Database'!$J1433=Query!$B$8),OR(Query!$B$9="",ISNUMBER(SEARCH(Query!$B$9,'Compliance Database'!$D1433&amp;" "&amp;'Compliance Database'!$K1433&amp;" "&amp;'Compliance Database'!$L1433&amp;" "&amp;'Compliance Database'!$M1433&amp;" "&amp;'Compliance Database'!$N1433&amp;" "&amp;'Compliance Database'!$O1433))),OR(Query!$B$10&lt;&gt;"Yes",'Compliance Database'!$F1433&lt;&gt;"None")),1,0)</f>
        <v/>
      </c>
      <c r="B1433">
        <f>IF($A1433=1,SUM($A$2:$A1433),"")</f>
        <v/>
      </c>
      <c r="C1433">
        <f>IF($A1433=1,SUM($A$2:$A1433),0)</f>
        <v/>
      </c>
    </row>
    <row r="1434">
      <c r="A1434">
        <f>IF(AND(OR(Query!$B$4="All",'Compliance Database'!$A1434=Query!$B$4),OR(Query!$B$5="All",ISNUMBER(SEARCH(Query!$B$5,'Compliance Database'!$H1434))),OR(Query!$B$6="All",ISNUMBER(SEARCH(Query!$B$6,'Compliance Database'!$I1434))),OR(Query!$B$7="All",'Compliance Database'!$F1434=Query!$B$7),OR(Query!$B$8="All",'Compliance Database'!$J1434=Query!$B$8),OR(Query!$B$9="",ISNUMBER(SEARCH(Query!$B$9,'Compliance Database'!$D1434&amp;" "&amp;'Compliance Database'!$K1434&amp;" "&amp;'Compliance Database'!$L1434&amp;" "&amp;'Compliance Database'!$M1434&amp;" "&amp;'Compliance Database'!$N1434&amp;" "&amp;'Compliance Database'!$O1434))),OR(Query!$B$10&lt;&gt;"Yes",'Compliance Database'!$F1434&lt;&gt;"None")),1,0)</f>
        <v/>
      </c>
      <c r="B1434">
        <f>IF($A1434=1,SUM($A$2:$A1434),"")</f>
        <v/>
      </c>
      <c r="C1434">
        <f>IF($A1434=1,SUM($A$2:$A1434),0)</f>
        <v/>
      </c>
    </row>
    <row r="1435">
      <c r="A1435">
        <f>IF(AND(OR(Query!$B$4="All",'Compliance Database'!$A1435=Query!$B$4),OR(Query!$B$5="All",ISNUMBER(SEARCH(Query!$B$5,'Compliance Database'!$H1435))),OR(Query!$B$6="All",ISNUMBER(SEARCH(Query!$B$6,'Compliance Database'!$I1435))),OR(Query!$B$7="All",'Compliance Database'!$F1435=Query!$B$7),OR(Query!$B$8="All",'Compliance Database'!$J1435=Query!$B$8),OR(Query!$B$9="",ISNUMBER(SEARCH(Query!$B$9,'Compliance Database'!$D1435&amp;" "&amp;'Compliance Database'!$K1435&amp;" "&amp;'Compliance Database'!$L1435&amp;" "&amp;'Compliance Database'!$M1435&amp;" "&amp;'Compliance Database'!$N1435&amp;" "&amp;'Compliance Database'!$O1435))),OR(Query!$B$10&lt;&gt;"Yes",'Compliance Database'!$F1435&lt;&gt;"None")),1,0)</f>
        <v/>
      </c>
      <c r="B1435">
        <f>IF($A1435=1,SUM($A$2:$A1435),"")</f>
        <v/>
      </c>
      <c r="C1435">
        <f>IF($A1435=1,SUM($A$2:$A1435),0)</f>
        <v/>
      </c>
    </row>
    <row r="1436">
      <c r="A1436">
        <f>IF(AND(OR(Query!$B$4="All",'Compliance Database'!$A1436=Query!$B$4),OR(Query!$B$5="All",ISNUMBER(SEARCH(Query!$B$5,'Compliance Database'!$H1436))),OR(Query!$B$6="All",ISNUMBER(SEARCH(Query!$B$6,'Compliance Database'!$I1436))),OR(Query!$B$7="All",'Compliance Database'!$F1436=Query!$B$7),OR(Query!$B$8="All",'Compliance Database'!$J1436=Query!$B$8),OR(Query!$B$9="",ISNUMBER(SEARCH(Query!$B$9,'Compliance Database'!$D1436&amp;" "&amp;'Compliance Database'!$K1436&amp;" "&amp;'Compliance Database'!$L1436&amp;" "&amp;'Compliance Database'!$M1436&amp;" "&amp;'Compliance Database'!$N1436&amp;" "&amp;'Compliance Database'!$O1436))),OR(Query!$B$10&lt;&gt;"Yes",'Compliance Database'!$F1436&lt;&gt;"None")),1,0)</f>
        <v/>
      </c>
      <c r="B1436">
        <f>IF($A1436=1,SUM($A$2:$A1436),"")</f>
        <v/>
      </c>
      <c r="C1436">
        <f>IF($A1436=1,SUM($A$2:$A1436),0)</f>
        <v/>
      </c>
    </row>
    <row r="1437">
      <c r="A1437">
        <f>IF(AND(OR(Query!$B$4="All",'Compliance Database'!$A1437=Query!$B$4),OR(Query!$B$5="All",ISNUMBER(SEARCH(Query!$B$5,'Compliance Database'!$H1437))),OR(Query!$B$6="All",ISNUMBER(SEARCH(Query!$B$6,'Compliance Database'!$I1437))),OR(Query!$B$7="All",'Compliance Database'!$F1437=Query!$B$7),OR(Query!$B$8="All",'Compliance Database'!$J1437=Query!$B$8),OR(Query!$B$9="",ISNUMBER(SEARCH(Query!$B$9,'Compliance Database'!$D1437&amp;" "&amp;'Compliance Database'!$K1437&amp;" "&amp;'Compliance Database'!$L1437&amp;" "&amp;'Compliance Database'!$M1437&amp;" "&amp;'Compliance Database'!$N1437&amp;" "&amp;'Compliance Database'!$O1437))),OR(Query!$B$10&lt;&gt;"Yes",'Compliance Database'!$F1437&lt;&gt;"None")),1,0)</f>
        <v/>
      </c>
      <c r="B1437">
        <f>IF($A1437=1,SUM($A$2:$A1437),"")</f>
        <v/>
      </c>
      <c r="C1437">
        <f>IF($A1437=1,SUM($A$2:$A1437),0)</f>
        <v/>
      </c>
    </row>
    <row r="1438">
      <c r="A1438">
        <f>IF(AND(OR(Query!$B$4="All",'Compliance Database'!$A1438=Query!$B$4),OR(Query!$B$5="All",ISNUMBER(SEARCH(Query!$B$5,'Compliance Database'!$H1438))),OR(Query!$B$6="All",ISNUMBER(SEARCH(Query!$B$6,'Compliance Database'!$I1438))),OR(Query!$B$7="All",'Compliance Database'!$F1438=Query!$B$7),OR(Query!$B$8="All",'Compliance Database'!$J1438=Query!$B$8),OR(Query!$B$9="",ISNUMBER(SEARCH(Query!$B$9,'Compliance Database'!$D1438&amp;" "&amp;'Compliance Database'!$K1438&amp;" "&amp;'Compliance Database'!$L1438&amp;" "&amp;'Compliance Database'!$M1438&amp;" "&amp;'Compliance Database'!$N1438&amp;" "&amp;'Compliance Database'!$O1438))),OR(Query!$B$10&lt;&gt;"Yes",'Compliance Database'!$F1438&lt;&gt;"None")),1,0)</f>
        <v/>
      </c>
      <c r="B1438">
        <f>IF($A1438=1,SUM($A$2:$A1438),"")</f>
        <v/>
      </c>
      <c r="C1438">
        <f>IF($A1438=1,SUM($A$2:$A1438),0)</f>
        <v/>
      </c>
    </row>
    <row r="1439">
      <c r="A1439">
        <f>IF(AND(OR(Query!$B$4="All",'Compliance Database'!$A1439=Query!$B$4),OR(Query!$B$5="All",ISNUMBER(SEARCH(Query!$B$5,'Compliance Database'!$H1439))),OR(Query!$B$6="All",ISNUMBER(SEARCH(Query!$B$6,'Compliance Database'!$I1439))),OR(Query!$B$7="All",'Compliance Database'!$F1439=Query!$B$7),OR(Query!$B$8="All",'Compliance Database'!$J1439=Query!$B$8),OR(Query!$B$9="",ISNUMBER(SEARCH(Query!$B$9,'Compliance Database'!$D1439&amp;" "&amp;'Compliance Database'!$K1439&amp;" "&amp;'Compliance Database'!$L1439&amp;" "&amp;'Compliance Database'!$M1439&amp;" "&amp;'Compliance Database'!$N1439&amp;" "&amp;'Compliance Database'!$O1439))),OR(Query!$B$10&lt;&gt;"Yes",'Compliance Database'!$F1439&lt;&gt;"None")),1,0)</f>
        <v/>
      </c>
      <c r="B1439">
        <f>IF($A1439=1,SUM($A$2:$A1439),"")</f>
        <v/>
      </c>
      <c r="C1439">
        <f>IF($A1439=1,SUM($A$2:$A1439),0)</f>
        <v/>
      </c>
    </row>
    <row r="1440">
      <c r="A1440">
        <f>IF(AND(OR(Query!$B$4="All",'Compliance Database'!$A1440=Query!$B$4),OR(Query!$B$5="All",ISNUMBER(SEARCH(Query!$B$5,'Compliance Database'!$H1440))),OR(Query!$B$6="All",ISNUMBER(SEARCH(Query!$B$6,'Compliance Database'!$I1440))),OR(Query!$B$7="All",'Compliance Database'!$F1440=Query!$B$7),OR(Query!$B$8="All",'Compliance Database'!$J1440=Query!$B$8),OR(Query!$B$9="",ISNUMBER(SEARCH(Query!$B$9,'Compliance Database'!$D1440&amp;" "&amp;'Compliance Database'!$K1440&amp;" "&amp;'Compliance Database'!$L1440&amp;" "&amp;'Compliance Database'!$M1440&amp;" "&amp;'Compliance Database'!$N1440&amp;" "&amp;'Compliance Database'!$O1440))),OR(Query!$B$10&lt;&gt;"Yes",'Compliance Database'!$F1440&lt;&gt;"None")),1,0)</f>
        <v/>
      </c>
      <c r="B1440">
        <f>IF($A1440=1,SUM($A$2:$A1440),"")</f>
        <v/>
      </c>
      <c r="C1440">
        <f>IF($A1440=1,SUM($A$2:$A1440),0)</f>
        <v/>
      </c>
    </row>
    <row r="1441">
      <c r="A1441">
        <f>IF(AND(OR(Query!$B$4="All",'Compliance Database'!$A1441=Query!$B$4),OR(Query!$B$5="All",ISNUMBER(SEARCH(Query!$B$5,'Compliance Database'!$H1441))),OR(Query!$B$6="All",ISNUMBER(SEARCH(Query!$B$6,'Compliance Database'!$I1441))),OR(Query!$B$7="All",'Compliance Database'!$F1441=Query!$B$7),OR(Query!$B$8="All",'Compliance Database'!$J1441=Query!$B$8),OR(Query!$B$9="",ISNUMBER(SEARCH(Query!$B$9,'Compliance Database'!$D1441&amp;" "&amp;'Compliance Database'!$K1441&amp;" "&amp;'Compliance Database'!$L1441&amp;" "&amp;'Compliance Database'!$M1441&amp;" "&amp;'Compliance Database'!$N1441&amp;" "&amp;'Compliance Database'!$O1441))),OR(Query!$B$10&lt;&gt;"Yes",'Compliance Database'!$F1441&lt;&gt;"None")),1,0)</f>
        <v/>
      </c>
      <c r="B1441">
        <f>IF($A1441=1,SUM($A$2:$A1441),"")</f>
        <v/>
      </c>
      <c r="C1441">
        <f>IF($A1441=1,SUM($A$2:$A1441),0)</f>
        <v/>
      </c>
    </row>
    <row r="1442">
      <c r="A1442">
        <f>IF(AND(OR(Query!$B$4="All",'Compliance Database'!$A1442=Query!$B$4),OR(Query!$B$5="All",ISNUMBER(SEARCH(Query!$B$5,'Compliance Database'!$H1442))),OR(Query!$B$6="All",ISNUMBER(SEARCH(Query!$B$6,'Compliance Database'!$I1442))),OR(Query!$B$7="All",'Compliance Database'!$F1442=Query!$B$7),OR(Query!$B$8="All",'Compliance Database'!$J1442=Query!$B$8),OR(Query!$B$9="",ISNUMBER(SEARCH(Query!$B$9,'Compliance Database'!$D1442&amp;" "&amp;'Compliance Database'!$K1442&amp;" "&amp;'Compliance Database'!$L1442&amp;" "&amp;'Compliance Database'!$M1442&amp;" "&amp;'Compliance Database'!$N1442&amp;" "&amp;'Compliance Database'!$O1442))),OR(Query!$B$10&lt;&gt;"Yes",'Compliance Database'!$F1442&lt;&gt;"None")),1,0)</f>
        <v/>
      </c>
      <c r="B1442">
        <f>IF($A1442=1,SUM($A$2:$A1442),"")</f>
        <v/>
      </c>
      <c r="C1442">
        <f>IF($A1442=1,SUM($A$2:$A1442),0)</f>
        <v/>
      </c>
    </row>
    <row r="1443">
      <c r="A1443">
        <f>IF(AND(OR(Query!$B$4="All",'Compliance Database'!$A1443=Query!$B$4),OR(Query!$B$5="All",ISNUMBER(SEARCH(Query!$B$5,'Compliance Database'!$H1443))),OR(Query!$B$6="All",ISNUMBER(SEARCH(Query!$B$6,'Compliance Database'!$I1443))),OR(Query!$B$7="All",'Compliance Database'!$F1443=Query!$B$7),OR(Query!$B$8="All",'Compliance Database'!$J1443=Query!$B$8),OR(Query!$B$9="",ISNUMBER(SEARCH(Query!$B$9,'Compliance Database'!$D1443&amp;" "&amp;'Compliance Database'!$K1443&amp;" "&amp;'Compliance Database'!$L1443&amp;" "&amp;'Compliance Database'!$M1443&amp;" "&amp;'Compliance Database'!$N1443&amp;" "&amp;'Compliance Database'!$O1443))),OR(Query!$B$10&lt;&gt;"Yes",'Compliance Database'!$F1443&lt;&gt;"None")),1,0)</f>
        <v/>
      </c>
      <c r="B1443">
        <f>IF($A1443=1,SUM($A$2:$A1443),"")</f>
        <v/>
      </c>
      <c r="C1443">
        <f>IF($A1443=1,SUM($A$2:$A1443),0)</f>
        <v/>
      </c>
    </row>
    <row r="1444">
      <c r="A1444">
        <f>IF(AND(OR(Query!$B$4="All",'Compliance Database'!$A1444=Query!$B$4),OR(Query!$B$5="All",ISNUMBER(SEARCH(Query!$B$5,'Compliance Database'!$H1444))),OR(Query!$B$6="All",ISNUMBER(SEARCH(Query!$B$6,'Compliance Database'!$I1444))),OR(Query!$B$7="All",'Compliance Database'!$F1444=Query!$B$7),OR(Query!$B$8="All",'Compliance Database'!$J1444=Query!$B$8),OR(Query!$B$9="",ISNUMBER(SEARCH(Query!$B$9,'Compliance Database'!$D1444&amp;" "&amp;'Compliance Database'!$K1444&amp;" "&amp;'Compliance Database'!$L1444&amp;" "&amp;'Compliance Database'!$M1444&amp;" "&amp;'Compliance Database'!$N1444&amp;" "&amp;'Compliance Database'!$O1444))),OR(Query!$B$10&lt;&gt;"Yes",'Compliance Database'!$F1444&lt;&gt;"None")),1,0)</f>
        <v/>
      </c>
      <c r="B1444">
        <f>IF($A1444=1,SUM($A$2:$A1444),"")</f>
        <v/>
      </c>
      <c r="C1444">
        <f>IF($A1444=1,SUM($A$2:$A1444),0)</f>
        <v/>
      </c>
    </row>
    <row r="1445">
      <c r="A1445">
        <f>IF(AND(OR(Query!$B$4="All",'Compliance Database'!$A1445=Query!$B$4),OR(Query!$B$5="All",ISNUMBER(SEARCH(Query!$B$5,'Compliance Database'!$H1445))),OR(Query!$B$6="All",ISNUMBER(SEARCH(Query!$B$6,'Compliance Database'!$I1445))),OR(Query!$B$7="All",'Compliance Database'!$F1445=Query!$B$7),OR(Query!$B$8="All",'Compliance Database'!$J1445=Query!$B$8),OR(Query!$B$9="",ISNUMBER(SEARCH(Query!$B$9,'Compliance Database'!$D1445&amp;" "&amp;'Compliance Database'!$K1445&amp;" "&amp;'Compliance Database'!$L1445&amp;" "&amp;'Compliance Database'!$M1445&amp;" "&amp;'Compliance Database'!$N1445&amp;" "&amp;'Compliance Database'!$O1445))),OR(Query!$B$10&lt;&gt;"Yes",'Compliance Database'!$F1445&lt;&gt;"None")),1,0)</f>
        <v/>
      </c>
      <c r="B1445">
        <f>IF($A1445=1,SUM($A$2:$A1445),"")</f>
        <v/>
      </c>
      <c r="C1445">
        <f>IF($A1445=1,SUM($A$2:$A1445),0)</f>
        <v/>
      </c>
    </row>
    <row r="1446">
      <c r="A1446">
        <f>IF(AND(OR(Query!$B$4="All",'Compliance Database'!$A1446=Query!$B$4),OR(Query!$B$5="All",ISNUMBER(SEARCH(Query!$B$5,'Compliance Database'!$H1446))),OR(Query!$B$6="All",ISNUMBER(SEARCH(Query!$B$6,'Compliance Database'!$I1446))),OR(Query!$B$7="All",'Compliance Database'!$F1446=Query!$B$7),OR(Query!$B$8="All",'Compliance Database'!$J1446=Query!$B$8),OR(Query!$B$9="",ISNUMBER(SEARCH(Query!$B$9,'Compliance Database'!$D1446&amp;" "&amp;'Compliance Database'!$K1446&amp;" "&amp;'Compliance Database'!$L1446&amp;" "&amp;'Compliance Database'!$M1446&amp;" "&amp;'Compliance Database'!$N1446&amp;" "&amp;'Compliance Database'!$O1446))),OR(Query!$B$10&lt;&gt;"Yes",'Compliance Database'!$F1446&lt;&gt;"None")),1,0)</f>
        <v/>
      </c>
      <c r="B1446">
        <f>IF($A1446=1,SUM($A$2:$A1446),"")</f>
        <v/>
      </c>
      <c r="C1446">
        <f>IF($A1446=1,SUM($A$2:$A1446),0)</f>
        <v/>
      </c>
    </row>
    <row r="1447">
      <c r="A1447">
        <f>IF(AND(OR(Query!$B$4="All",'Compliance Database'!$A1447=Query!$B$4),OR(Query!$B$5="All",ISNUMBER(SEARCH(Query!$B$5,'Compliance Database'!$H1447))),OR(Query!$B$6="All",ISNUMBER(SEARCH(Query!$B$6,'Compliance Database'!$I1447))),OR(Query!$B$7="All",'Compliance Database'!$F1447=Query!$B$7),OR(Query!$B$8="All",'Compliance Database'!$J1447=Query!$B$8),OR(Query!$B$9="",ISNUMBER(SEARCH(Query!$B$9,'Compliance Database'!$D1447&amp;" "&amp;'Compliance Database'!$K1447&amp;" "&amp;'Compliance Database'!$L1447&amp;" "&amp;'Compliance Database'!$M1447&amp;" "&amp;'Compliance Database'!$N1447&amp;" "&amp;'Compliance Database'!$O1447))),OR(Query!$B$10&lt;&gt;"Yes",'Compliance Database'!$F1447&lt;&gt;"None")),1,0)</f>
        <v/>
      </c>
      <c r="B1447">
        <f>IF($A1447=1,SUM($A$2:$A1447),"")</f>
        <v/>
      </c>
      <c r="C1447">
        <f>IF($A1447=1,SUM($A$2:$A1447),0)</f>
        <v/>
      </c>
    </row>
    <row r="1448">
      <c r="A1448">
        <f>IF(AND(OR(Query!$B$4="All",'Compliance Database'!$A1448=Query!$B$4),OR(Query!$B$5="All",ISNUMBER(SEARCH(Query!$B$5,'Compliance Database'!$H1448))),OR(Query!$B$6="All",ISNUMBER(SEARCH(Query!$B$6,'Compliance Database'!$I1448))),OR(Query!$B$7="All",'Compliance Database'!$F1448=Query!$B$7),OR(Query!$B$8="All",'Compliance Database'!$J1448=Query!$B$8),OR(Query!$B$9="",ISNUMBER(SEARCH(Query!$B$9,'Compliance Database'!$D1448&amp;" "&amp;'Compliance Database'!$K1448&amp;" "&amp;'Compliance Database'!$L1448&amp;" "&amp;'Compliance Database'!$M1448&amp;" "&amp;'Compliance Database'!$N1448&amp;" "&amp;'Compliance Database'!$O1448))),OR(Query!$B$10&lt;&gt;"Yes",'Compliance Database'!$F1448&lt;&gt;"None")),1,0)</f>
        <v/>
      </c>
      <c r="B1448">
        <f>IF($A1448=1,SUM($A$2:$A1448),"")</f>
        <v/>
      </c>
      <c r="C1448">
        <f>IF($A1448=1,SUM($A$2:$A1448),0)</f>
        <v/>
      </c>
    </row>
    <row r="1449">
      <c r="A1449">
        <f>IF(AND(OR(Query!$B$4="All",'Compliance Database'!$A1449=Query!$B$4),OR(Query!$B$5="All",ISNUMBER(SEARCH(Query!$B$5,'Compliance Database'!$H1449))),OR(Query!$B$6="All",ISNUMBER(SEARCH(Query!$B$6,'Compliance Database'!$I1449))),OR(Query!$B$7="All",'Compliance Database'!$F1449=Query!$B$7),OR(Query!$B$8="All",'Compliance Database'!$J1449=Query!$B$8),OR(Query!$B$9="",ISNUMBER(SEARCH(Query!$B$9,'Compliance Database'!$D1449&amp;" "&amp;'Compliance Database'!$K1449&amp;" "&amp;'Compliance Database'!$L1449&amp;" "&amp;'Compliance Database'!$M1449&amp;" "&amp;'Compliance Database'!$N1449&amp;" "&amp;'Compliance Database'!$O1449))),OR(Query!$B$10&lt;&gt;"Yes",'Compliance Database'!$F1449&lt;&gt;"None")),1,0)</f>
        <v/>
      </c>
      <c r="B1449">
        <f>IF($A1449=1,SUM($A$2:$A1449),"")</f>
        <v/>
      </c>
      <c r="C1449">
        <f>IF($A1449=1,SUM($A$2:$A1449),0)</f>
        <v/>
      </c>
    </row>
    <row r="1450">
      <c r="A1450">
        <f>IF(AND(OR(Query!$B$4="All",'Compliance Database'!$A1450=Query!$B$4),OR(Query!$B$5="All",ISNUMBER(SEARCH(Query!$B$5,'Compliance Database'!$H1450))),OR(Query!$B$6="All",ISNUMBER(SEARCH(Query!$B$6,'Compliance Database'!$I1450))),OR(Query!$B$7="All",'Compliance Database'!$F1450=Query!$B$7),OR(Query!$B$8="All",'Compliance Database'!$J1450=Query!$B$8),OR(Query!$B$9="",ISNUMBER(SEARCH(Query!$B$9,'Compliance Database'!$D1450&amp;" "&amp;'Compliance Database'!$K1450&amp;" "&amp;'Compliance Database'!$L1450&amp;" "&amp;'Compliance Database'!$M1450&amp;" "&amp;'Compliance Database'!$N1450&amp;" "&amp;'Compliance Database'!$O1450))),OR(Query!$B$10&lt;&gt;"Yes",'Compliance Database'!$F1450&lt;&gt;"None")),1,0)</f>
        <v/>
      </c>
      <c r="B1450">
        <f>IF($A1450=1,SUM($A$2:$A1450),"")</f>
        <v/>
      </c>
      <c r="C1450">
        <f>IF($A1450=1,SUM($A$2:$A1450),0)</f>
        <v/>
      </c>
    </row>
    <row r="1451">
      <c r="A1451">
        <f>IF(AND(OR(Query!$B$4="All",'Compliance Database'!$A1451=Query!$B$4),OR(Query!$B$5="All",ISNUMBER(SEARCH(Query!$B$5,'Compliance Database'!$H1451))),OR(Query!$B$6="All",ISNUMBER(SEARCH(Query!$B$6,'Compliance Database'!$I1451))),OR(Query!$B$7="All",'Compliance Database'!$F1451=Query!$B$7),OR(Query!$B$8="All",'Compliance Database'!$J1451=Query!$B$8),OR(Query!$B$9="",ISNUMBER(SEARCH(Query!$B$9,'Compliance Database'!$D1451&amp;" "&amp;'Compliance Database'!$K1451&amp;" "&amp;'Compliance Database'!$L1451&amp;" "&amp;'Compliance Database'!$M1451&amp;" "&amp;'Compliance Database'!$N1451&amp;" "&amp;'Compliance Database'!$O1451))),OR(Query!$B$10&lt;&gt;"Yes",'Compliance Database'!$F1451&lt;&gt;"None")),1,0)</f>
        <v/>
      </c>
      <c r="B1451">
        <f>IF($A1451=1,SUM($A$2:$A1451),"")</f>
        <v/>
      </c>
      <c r="C1451">
        <f>IF($A1451=1,SUM($A$2:$A1451),0)</f>
        <v/>
      </c>
    </row>
    <row r="1452">
      <c r="A1452">
        <f>IF(AND(OR(Query!$B$4="All",'Compliance Database'!$A1452=Query!$B$4),OR(Query!$B$5="All",ISNUMBER(SEARCH(Query!$B$5,'Compliance Database'!$H1452))),OR(Query!$B$6="All",ISNUMBER(SEARCH(Query!$B$6,'Compliance Database'!$I1452))),OR(Query!$B$7="All",'Compliance Database'!$F1452=Query!$B$7),OR(Query!$B$8="All",'Compliance Database'!$J1452=Query!$B$8),OR(Query!$B$9="",ISNUMBER(SEARCH(Query!$B$9,'Compliance Database'!$D1452&amp;" "&amp;'Compliance Database'!$K1452&amp;" "&amp;'Compliance Database'!$L1452&amp;" "&amp;'Compliance Database'!$M1452&amp;" "&amp;'Compliance Database'!$N1452&amp;" "&amp;'Compliance Database'!$O1452))),OR(Query!$B$10&lt;&gt;"Yes",'Compliance Database'!$F1452&lt;&gt;"None")),1,0)</f>
        <v/>
      </c>
      <c r="B1452">
        <f>IF($A1452=1,SUM($A$2:$A1452),"")</f>
        <v/>
      </c>
      <c r="C1452">
        <f>IF($A1452=1,SUM($A$2:$A1452),0)</f>
        <v/>
      </c>
    </row>
    <row r="1453">
      <c r="A1453">
        <f>IF(AND(OR(Query!$B$4="All",'Compliance Database'!$A1453=Query!$B$4),OR(Query!$B$5="All",ISNUMBER(SEARCH(Query!$B$5,'Compliance Database'!$H1453))),OR(Query!$B$6="All",ISNUMBER(SEARCH(Query!$B$6,'Compliance Database'!$I1453))),OR(Query!$B$7="All",'Compliance Database'!$F1453=Query!$B$7),OR(Query!$B$8="All",'Compliance Database'!$J1453=Query!$B$8),OR(Query!$B$9="",ISNUMBER(SEARCH(Query!$B$9,'Compliance Database'!$D1453&amp;" "&amp;'Compliance Database'!$K1453&amp;" "&amp;'Compliance Database'!$L1453&amp;" "&amp;'Compliance Database'!$M1453&amp;" "&amp;'Compliance Database'!$N1453&amp;" "&amp;'Compliance Database'!$O1453))),OR(Query!$B$10&lt;&gt;"Yes",'Compliance Database'!$F1453&lt;&gt;"None")),1,0)</f>
        <v/>
      </c>
      <c r="B1453">
        <f>IF($A1453=1,SUM($A$2:$A1453),"")</f>
        <v/>
      </c>
      <c r="C1453">
        <f>IF($A1453=1,SUM($A$2:$A1453),0)</f>
        <v/>
      </c>
    </row>
    <row r="1454">
      <c r="A1454">
        <f>IF(AND(OR(Query!$B$4="All",'Compliance Database'!$A1454=Query!$B$4),OR(Query!$B$5="All",ISNUMBER(SEARCH(Query!$B$5,'Compliance Database'!$H1454))),OR(Query!$B$6="All",ISNUMBER(SEARCH(Query!$B$6,'Compliance Database'!$I1454))),OR(Query!$B$7="All",'Compliance Database'!$F1454=Query!$B$7),OR(Query!$B$8="All",'Compliance Database'!$J1454=Query!$B$8),OR(Query!$B$9="",ISNUMBER(SEARCH(Query!$B$9,'Compliance Database'!$D1454&amp;" "&amp;'Compliance Database'!$K1454&amp;" "&amp;'Compliance Database'!$L1454&amp;" "&amp;'Compliance Database'!$M1454&amp;" "&amp;'Compliance Database'!$N1454&amp;" "&amp;'Compliance Database'!$O1454))),OR(Query!$B$10&lt;&gt;"Yes",'Compliance Database'!$F1454&lt;&gt;"None")),1,0)</f>
        <v/>
      </c>
      <c r="B1454">
        <f>IF($A1454=1,SUM($A$2:$A1454),"")</f>
        <v/>
      </c>
      <c r="C1454">
        <f>IF($A1454=1,SUM($A$2:$A1454),0)</f>
        <v/>
      </c>
    </row>
    <row r="1455">
      <c r="A1455">
        <f>IF(AND(OR(Query!$B$4="All",'Compliance Database'!$A1455=Query!$B$4),OR(Query!$B$5="All",ISNUMBER(SEARCH(Query!$B$5,'Compliance Database'!$H1455))),OR(Query!$B$6="All",ISNUMBER(SEARCH(Query!$B$6,'Compliance Database'!$I1455))),OR(Query!$B$7="All",'Compliance Database'!$F1455=Query!$B$7),OR(Query!$B$8="All",'Compliance Database'!$J1455=Query!$B$8),OR(Query!$B$9="",ISNUMBER(SEARCH(Query!$B$9,'Compliance Database'!$D1455&amp;" "&amp;'Compliance Database'!$K1455&amp;" "&amp;'Compliance Database'!$L1455&amp;" "&amp;'Compliance Database'!$M1455&amp;" "&amp;'Compliance Database'!$N1455&amp;" "&amp;'Compliance Database'!$O1455))),OR(Query!$B$10&lt;&gt;"Yes",'Compliance Database'!$F1455&lt;&gt;"None")),1,0)</f>
        <v/>
      </c>
      <c r="B1455">
        <f>IF($A1455=1,SUM($A$2:$A1455),"")</f>
        <v/>
      </c>
      <c r="C1455">
        <f>IF($A1455=1,SUM($A$2:$A1455),0)</f>
        <v/>
      </c>
    </row>
    <row r="1456">
      <c r="A1456">
        <f>IF(AND(OR(Query!$B$4="All",'Compliance Database'!$A1456=Query!$B$4),OR(Query!$B$5="All",ISNUMBER(SEARCH(Query!$B$5,'Compliance Database'!$H1456))),OR(Query!$B$6="All",ISNUMBER(SEARCH(Query!$B$6,'Compliance Database'!$I1456))),OR(Query!$B$7="All",'Compliance Database'!$F1456=Query!$B$7),OR(Query!$B$8="All",'Compliance Database'!$J1456=Query!$B$8),OR(Query!$B$9="",ISNUMBER(SEARCH(Query!$B$9,'Compliance Database'!$D1456&amp;" "&amp;'Compliance Database'!$K1456&amp;" "&amp;'Compliance Database'!$L1456&amp;" "&amp;'Compliance Database'!$M1456&amp;" "&amp;'Compliance Database'!$N1456&amp;" "&amp;'Compliance Database'!$O1456))),OR(Query!$B$10&lt;&gt;"Yes",'Compliance Database'!$F1456&lt;&gt;"None")),1,0)</f>
        <v/>
      </c>
      <c r="B1456">
        <f>IF($A1456=1,SUM($A$2:$A1456),"")</f>
        <v/>
      </c>
      <c r="C1456">
        <f>IF($A1456=1,SUM($A$2:$A1456),0)</f>
        <v/>
      </c>
    </row>
    <row r="1457">
      <c r="A1457">
        <f>IF(AND(OR(Query!$B$4="All",'Compliance Database'!$A1457=Query!$B$4),OR(Query!$B$5="All",ISNUMBER(SEARCH(Query!$B$5,'Compliance Database'!$H1457))),OR(Query!$B$6="All",ISNUMBER(SEARCH(Query!$B$6,'Compliance Database'!$I1457))),OR(Query!$B$7="All",'Compliance Database'!$F1457=Query!$B$7),OR(Query!$B$8="All",'Compliance Database'!$J1457=Query!$B$8),OR(Query!$B$9="",ISNUMBER(SEARCH(Query!$B$9,'Compliance Database'!$D1457&amp;" "&amp;'Compliance Database'!$K1457&amp;" "&amp;'Compliance Database'!$L1457&amp;" "&amp;'Compliance Database'!$M1457&amp;" "&amp;'Compliance Database'!$N1457&amp;" "&amp;'Compliance Database'!$O1457))),OR(Query!$B$10&lt;&gt;"Yes",'Compliance Database'!$F1457&lt;&gt;"None")),1,0)</f>
        <v/>
      </c>
      <c r="B1457">
        <f>IF($A1457=1,SUM($A$2:$A1457),"")</f>
        <v/>
      </c>
      <c r="C1457">
        <f>IF($A1457=1,SUM($A$2:$A1457),0)</f>
        <v/>
      </c>
    </row>
    <row r="1458">
      <c r="A1458">
        <f>IF(AND(OR(Query!$B$4="All",'Compliance Database'!$A1458=Query!$B$4),OR(Query!$B$5="All",ISNUMBER(SEARCH(Query!$B$5,'Compliance Database'!$H1458))),OR(Query!$B$6="All",ISNUMBER(SEARCH(Query!$B$6,'Compliance Database'!$I1458))),OR(Query!$B$7="All",'Compliance Database'!$F1458=Query!$B$7),OR(Query!$B$8="All",'Compliance Database'!$J1458=Query!$B$8),OR(Query!$B$9="",ISNUMBER(SEARCH(Query!$B$9,'Compliance Database'!$D1458&amp;" "&amp;'Compliance Database'!$K1458&amp;" "&amp;'Compliance Database'!$L1458&amp;" "&amp;'Compliance Database'!$M1458&amp;" "&amp;'Compliance Database'!$N1458&amp;" "&amp;'Compliance Database'!$O1458))),OR(Query!$B$10&lt;&gt;"Yes",'Compliance Database'!$F1458&lt;&gt;"None")),1,0)</f>
        <v/>
      </c>
      <c r="B1458">
        <f>IF($A1458=1,SUM($A$2:$A1458),"")</f>
        <v/>
      </c>
      <c r="C1458">
        <f>IF($A1458=1,SUM($A$2:$A1458),0)</f>
        <v/>
      </c>
    </row>
    <row r="1459">
      <c r="A1459">
        <f>IF(AND(OR(Query!$B$4="All",'Compliance Database'!$A1459=Query!$B$4),OR(Query!$B$5="All",ISNUMBER(SEARCH(Query!$B$5,'Compliance Database'!$H1459))),OR(Query!$B$6="All",ISNUMBER(SEARCH(Query!$B$6,'Compliance Database'!$I1459))),OR(Query!$B$7="All",'Compliance Database'!$F1459=Query!$B$7),OR(Query!$B$8="All",'Compliance Database'!$J1459=Query!$B$8),OR(Query!$B$9="",ISNUMBER(SEARCH(Query!$B$9,'Compliance Database'!$D1459&amp;" "&amp;'Compliance Database'!$K1459&amp;" "&amp;'Compliance Database'!$L1459&amp;" "&amp;'Compliance Database'!$M1459&amp;" "&amp;'Compliance Database'!$N1459&amp;" "&amp;'Compliance Database'!$O1459))),OR(Query!$B$10&lt;&gt;"Yes",'Compliance Database'!$F1459&lt;&gt;"None")),1,0)</f>
        <v/>
      </c>
      <c r="B1459">
        <f>IF($A1459=1,SUM($A$2:$A1459),"")</f>
        <v/>
      </c>
      <c r="C1459">
        <f>IF($A1459=1,SUM($A$2:$A1459),0)</f>
        <v/>
      </c>
    </row>
    <row r="1460">
      <c r="A1460">
        <f>IF(AND(OR(Query!$B$4="All",'Compliance Database'!$A1460=Query!$B$4),OR(Query!$B$5="All",ISNUMBER(SEARCH(Query!$B$5,'Compliance Database'!$H1460))),OR(Query!$B$6="All",ISNUMBER(SEARCH(Query!$B$6,'Compliance Database'!$I1460))),OR(Query!$B$7="All",'Compliance Database'!$F1460=Query!$B$7),OR(Query!$B$8="All",'Compliance Database'!$J1460=Query!$B$8),OR(Query!$B$9="",ISNUMBER(SEARCH(Query!$B$9,'Compliance Database'!$D1460&amp;" "&amp;'Compliance Database'!$K1460&amp;" "&amp;'Compliance Database'!$L1460&amp;" "&amp;'Compliance Database'!$M1460&amp;" "&amp;'Compliance Database'!$N1460&amp;" "&amp;'Compliance Database'!$O1460))),OR(Query!$B$10&lt;&gt;"Yes",'Compliance Database'!$F1460&lt;&gt;"None")),1,0)</f>
        <v/>
      </c>
      <c r="B1460">
        <f>IF($A1460=1,SUM($A$2:$A1460),"")</f>
        <v/>
      </c>
      <c r="C1460">
        <f>IF($A1460=1,SUM($A$2:$A1460),0)</f>
        <v/>
      </c>
    </row>
    <row r="1461">
      <c r="A1461">
        <f>IF(AND(OR(Query!$B$4="All",'Compliance Database'!$A1461=Query!$B$4),OR(Query!$B$5="All",ISNUMBER(SEARCH(Query!$B$5,'Compliance Database'!$H1461))),OR(Query!$B$6="All",ISNUMBER(SEARCH(Query!$B$6,'Compliance Database'!$I1461))),OR(Query!$B$7="All",'Compliance Database'!$F1461=Query!$B$7),OR(Query!$B$8="All",'Compliance Database'!$J1461=Query!$B$8),OR(Query!$B$9="",ISNUMBER(SEARCH(Query!$B$9,'Compliance Database'!$D1461&amp;" "&amp;'Compliance Database'!$K1461&amp;" "&amp;'Compliance Database'!$L1461&amp;" "&amp;'Compliance Database'!$M1461&amp;" "&amp;'Compliance Database'!$N1461&amp;" "&amp;'Compliance Database'!$O1461))),OR(Query!$B$10&lt;&gt;"Yes",'Compliance Database'!$F1461&lt;&gt;"None")),1,0)</f>
        <v/>
      </c>
      <c r="B1461">
        <f>IF($A1461=1,SUM($A$2:$A1461),"")</f>
        <v/>
      </c>
      <c r="C1461">
        <f>IF($A1461=1,SUM($A$2:$A1461),0)</f>
        <v/>
      </c>
    </row>
    <row r="1462">
      <c r="A1462">
        <f>IF(AND(OR(Query!$B$4="All",'Compliance Database'!$A1462=Query!$B$4),OR(Query!$B$5="All",ISNUMBER(SEARCH(Query!$B$5,'Compliance Database'!$H1462))),OR(Query!$B$6="All",ISNUMBER(SEARCH(Query!$B$6,'Compliance Database'!$I1462))),OR(Query!$B$7="All",'Compliance Database'!$F1462=Query!$B$7),OR(Query!$B$8="All",'Compliance Database'!$J1462=Query!$B$8),OR(Query!$B$9="",ISNUMBER(SEARCH(Query!$B$9,'Compliance Database'!$D1462&amp;" "&amp;'Compliance Database'!$K1462&amp;" "&amp;'Compliance Database'!$L1462&amp;" "&amp;'Compliance Database'!$M1462&amp;" "&amp;'Compliance Database'!$N1462&amp;" "&amp;'Compliance Database'!$O1462))),OR(Query!$B$10&lt;&gt;"Yes",'Compliance Database'!$F1462&lt;&gt;"None")),1,0)</f>
        <v/>
      </c>
      <c r="B1462">
        <f>IF($A1462=1,SUM($A$2:$A1462),"")</f>
        <v/>
      </c>
      <c r="C1462">
        <f>IF($A1462=1,SUM($A$2:$A1462),0)</f>
        <v/>
      </c>
    </row>
    <row r="1463">
      <c r="A1463">
        <f>IF(AND(OR(Query!$B$4="All",'Compliance Database'!$A1463=Query!$B$4),OR(Query!$B$5="All",ISNUMBER(SEARCH(Query!$B$5,'Compliance Database'!$H1463))),OR(Query!$B$6="All",ISNUMBER(SEARCH(Query!$B$6,'Compliance Database'!$I1463))),OR(Query!$B$7="All",'Compliance Database'!$F1463=Query!$B$7),OR(Query!$B$8="All",'Compliance Database'!$J1463=Query!$B$8),OR(Query!$B$9="",ISNUMBER(SEARCH(Query!$B$9,'Compliance Database'!$D1463&amp;" "&amp;'Compliance Database'!$K1463&amp;" "&amp;'Compliance Database'!$L1463&amp;" "&amp;'Compliance Database'!$M1463&amp;" "&amp;'Compliance Database'!$N1463&amp;" "&amp;'Compliance Database'!$O1463))),OR(Query!$B$10&lt;&gt;"Yes",'Compliance Database'!$F1463&lt;&gt;"None")),1,0)</f>
        <v/>
      </c>
      <c r="B1463">
        <f>IF($A1463=1,SUM($A$2:$A1463),"")</f>
        <v/>
      </c>
      <c r="C1463">
        <f>IF($A1463=1,SUM($A$2:$A1463),0)</f>
        <v/>
      </c>
    </row>
    <row r="1464">
      <c r="A1464">
        <f>IF(AND(OR(Query!$B$4="All",'Compliance Database'!$A1464=Query!$B$4),OR(Query!$B$5="All",ISNUMBER(SEARCH(Query!$B$5,'Compliance Database'!$H1464))),OR(Query!$B$6="All",ISNUMBER(SEARCH(Query!$B$6,'Compliance Database'!$I1464))),OR(Query!$B$7="All",'Compliance Database'!$F1464=Query!$B$7),OR(Query!$B$8="All",'Compliance Database'!$J1464=Query!$B$8),OR(Query!$B$9="",ISNUMBER(SEARCH(Query!$B$9,'Compliance Database'!$D1464&amp;" "&amp;'Compliance Database'!$K1464&amp;" "&amp;'Compliance Database'!$L1464&amp;" "&amp;'Compliance Database'!$M1464&amp;" "&amp;'Compliance Database'!$N1464&amp;" "&amp;'Compliance Database'!$O1464))),OR(Query!$B$10&lt;&gt;"Yes",'Compliance Database'!$F1464&lt;&gt;"None")),1,0)</f>
        <v/>
      </c>
      <c r="B1464">
        <f>IF($A1464=1,SUM($A$2:$A1464),"")</f>
        <v/>
      </c>
      <c r="C1464">
        <f>IF($A1464=1,SUM($A$2:$A1464),0)</f>
        <v/>
      </c>
    </row>
    <row r="1465">
      <c r="A1465">
        <f>IF(AND(OR(Query!$B$4="All",'Compliance Database'!$A1465=Query!$B$4),OR(Query!$B$5="All",ISNUMBER(SEARCH(Query!$B$5,'Compliance Database'!$H1465))),OR(Query!$B$6="All",ISNUMBER(SEARCH(Query!$B$6,'Compliance Database'!$I1465))),OR(Query!$B$7="All",'Compliance Database'!$F1465=Query!$B$7),OR(Query!$B$8="All",'Compliance Database'!$J1465=Query!$B$8),OR(Query!$B$9="",ISNUMBER(SEARCH(Query!$B$9,'Compliance Database'!$D1465&amp;" "&amp;'Compliance Database'!$K1465&amp;" "&amp;'Compliance Database'!$L1465&amp;" "&amp;'Compliance Database'!$M1465&amp;" "&amp;'Compliance Database'!$N1465&amp;" "&amp;'Compliance Database'!$O1465))),OR(Query!$B$10&lt;&gt;"Yes",'Compliance Database'!$F1465&lt;&gt;"None")),1,0)</f>
        <v/>
      </c>
      <c r="B1465">
        <f>IF($A1465=1,SUM($A$2:$A1465),"")</f>
        <v/>
      </c>
      <c r="C1465">
        <f>IF($A1465=1,SUM($A$2:$A1465),0)</f>
        <v/>
      </c>
    </row>
    <row r="1466">
      <c r="A1466">
        <f>IF(AND(OR(Query!$B$4="All",'Compliance Database'!$A1466=Query!$B$4),OR(Query!$B$5="All",ISNUMBER(SEARCH(Query!$B$5,'Compliance Database'!$H1466))),OR(Query!$B$6="All",ISNUMBER(SEARCH(Query!$B$6,'Compliance Database'!$I1466))),OR(Query!$B$7="All",'Compliance Database'!$F1466=Query!$B$7),OR(Query!$B$8="All",'Compliance Database'!$J1466=Query!$B$8),OR(Query!$B$9="",ISNUMBER(SEARCH(Query!$B$9,'Compliance Database'!$D1466&amp;" "&amp;'Compliance Database'!$K1466&amp;" "&amp;'Compliance Database'!$L1466&amp;" "&amp;'Compliance Database'!$M1466&amp;" "&amp;'Compliance Database'!$N1466&amp;" "&amp;'Compliance Database'!$O1466))),OR(Query!$B$10&lt;&gt;"Yes",'Compliance Database'!$F1466&lt;&gt;"None")),1,0)</f>
        <v/>
      </c>
      <c r="B1466">
        <f>IF($A1466=1,SUM($A$2:$A1466),"")</f>
        <v/>
      </c>
      <c r="C1466">
        <f>IF($A1466=1,SUM($A$2:$A1466),0)</f>
        <v/>
      </c>
    </row>
    <row r="1467">
      <c r="A1467">
        <f>IF(AND(OR(Query!$B$4="All",'Compliance Database'!$A1467=Query!$B$4),OR(Query!$B$5="All",ISNUMBER(SEARCH(Query!$B$5,'Compliance Database'!$H1467))),OR(Query!$B$6="All",ISNUMBER(SEARCH(Query!$B$6,'Compliance Database'!$I1467))),OR(Query!$B$7="All",'Compliance Database'!$F1467=Query!$B$7),OR(Query!$B$8="All",'Compliance Database'!$J1467=Query!$B$8),OR(Query!$B$9="",ISNUMBER(SEARCH(Query!$B$9,'Compliance Database'!$D1467&amp;" "&amp;'Compliance Database'!$K1467&amp;" "&amp;'Compliance Database'!$L1467&amp;" "&amp;'Compliance Database'!$M1467&amp;" "&amp;'Compliance Database'!$N1467&amp;" "&amp;'Compliance Database'!$O1467))),OR(Query!$B$10&lt;&gt;"Yes",'Compliance Database'!$F1467&lt;&gt;"None")),1,0)</f>
        <v/>
      </c>
      <c r="B1467">
        <f>IF($A1467=1,SUM($A$2:$A1467),"")</f>
        <v/>
      </c>
      <c r="C1467">
        <f>IF($A1467=1,SUM($A$2:$A1467),0)</f>
        <v/>
      </c>
    </row>
    <row r="1468">
      <c r="A1468">
        <f>IF(AND(OR(Query!$B$4="All",'Compliance Database'!$A1468=Query!$B$4),OR(Query!$B$5="All",ISNUMBER(SEARCH(Query!$B$5,'Compliance Database'!$H1468))),OR(Query!$B$6="All",ISNUMBER(SEARCH(Query!$B$6,'Compliance Database'!$I1468))),OR(Query!$B$7="All",'Compliance Database'!$F1468=Query!$B$7),OR(Query!$B$8="All",'Compliance Database'!$J1468=Query!$B$8),OR(Query!$B$9="",ISNUMBER(SEARCH(Query!$B$9,'Compliance Database'!$D1468&amp;" "&amp;'Compliance Database'!$K1468&amp;" "&amp;'Compliance Database'!$L1468&amp;" "&amp;'Compliance Database'!$M1468&amp;" "&amp;'Compliance Database'!$N1468&amp;" "&amp;'Compliance Database'!$O1468))),OR(Query!$B$10&lt;&gt;"Yes",'Compliance Database'!$F1468&lt;&gt;"None")),1,0)</f>
        <v/>
      </c>
      <c r="B1468">
        <f>IF($A1468=1,SUM($A$2:$A1468),"")</f>
        <v/>
      </c>
      <c r="C1468">
        <f>IF($A1468=1,SUM($A$2:$A1468),0)</f>
        <v/>
      </c>
    </row>
    <row r="1469">
      <c r="A1469">
        <f>IF(AND(OR(Query!$B$4="All",'Compliance Database'!$A1469=Query!$B$4),OR(Query!$B$5="All",ISNUMBER(SEARCH(Query!$B$5,'Compliance Database'!$H1469))),OR(Query!$B$6="All",ISNUMBER(SEARCH(Query!$B$6,'Compliance Database'!$I1469))),OR(Query!$B$7="All",'Compliance Database'!$F1469=Query!$B$7),OR(Query!$B$8="All",'Compliance Database'!$J1469=Query!$B$8),OR(Query!$B$9="",ISNUMBER(SEARCH(Query!$B$9,'Compliance Database'!$D1469&amp;" "&amp;'Compliance Database'!$K1469&amp;" "&amp;'Compliance Database'!$L1469&amp;" "&amp;'Compliance Database'!$M1469&amp;" "&amp;'Compliance Database'!$N1469&amp;" "&amp;'Compliance Database'!$O1469))),OR(Query!$B$10&lt;&gt;"Yes",'Compliance Database'!$F1469&lt;&gt;"None")),1,0)</f>
        <v/>
      </c>
      <c r="B1469">
        <f>IF($A1469=1,SUM($A$2:$A1469),"")</f>
        <v/>
      </c>
      <c r="C1469">
        <f>IF($A1469=1,SUM($A$2:$A1469),0)</f>
        <v/>
      </c>
    </row>
    <row r="1470">
      <c r="A1470">
        <f>IF(AND(OR(Query!$B$4="All",'Compliance Database'!$A1470=Query!$B$4),OR(Query!$B$5="All",ISNUMBER(SEARCH(Query!$B$5,'Compliance Database'!$H1470))),OR(Query!$B$6="All",ISNUMBER(SEARCH(Query!$B$6,'Compliance Database'!$I1470))),OR(Query!$B$7="All",'Compliance Database'!$F1470=Query!$B$7),OR(Query!$B$8="All",'Compliance Database'!$J1470=Query!$B$8),OR(Query!$B$9="",ISNUMBER(SEARCH(Query!$B$9,'Compliance Database'!$D1470&amp;" "&amp;'Compliance Database'!$K1470&amp;" "&amp;'Compliance Database'!$L1470&amp;" "&amp;'Compliance Database'!$M1470&amp;" "&amp;'Compliance Database'!$N1470&amp;" "&amp;'Compliance Database'!$O1470))),OR(Query!$B$10&lt;&gt;"Yes",'Compliance Database'!$F1470&lt;&gt;"None")),1,0)</f>
        <v/>
      </c>
      <c r="B1470">
        <f>IF($A1470=1,SUM($A$2:$A1470),"")</f>
        <v/>
      </c>
      <c r="C1470">
        <f>IF($A1470=1,SUM($A$2:$A1470),0)</f>
        <v/>
      </c>
    </row>
    <row r="1471">
      <c r="A1471">
        <f>IF(AND(OR(Query!$B$4="All",'Compliance Database'!$A1471=Query!$B$4),OR(Query!$B$5="All",ISNUMBER(SEARCH(Query!$B$5,'Compliance Database'!$H1471))),OR(Query!$B$6="All",ISNUMBER(SEARCH(Query!$B$6,'Compliance Database'!$I1471))),OR(Query!$B$7="All",'Compliance Database'!$F1471=Query!$B$7),OR(Query!$B$8="All",'Compliance Database'!$J1471=Query!$B$8),OR(Query!$B$9="",ISNUMBER(SEARCH(Query!$B$9,'Compliance Database'!$D1471&amp;" "&amp;'Compliance Database'!$K1471&amp;" "&amp;'Compliance Database'!$L1471&amp;" "&amp;'Compliance Database'!$M1471&amp;" "&amp;'Compliance Database'!$N1471&amp;" "&amp;'Compliance Database'!$O1471))),OR(Query!$B$10&lt;&gt;"Yes",'Compliance Database'!$F1471&lt;&gt;"None")),1,0)</f>
        <v/>
      </c>
      <c r="B1471">
        <f>IF($A1471=1,SUM($A$2:$A1471),"")</f>
        <v/>
      </c>
      <c r="C1471">
        <f>IF($A1471=1,SUM($A$2:$A1471),0)</f>
        <v/>
      </c>
    </row>
    <row r="1472">
      <c r="A1472">
        <f>IF(AND(OR(Query!$B$4="All",'Compliance Database'!$A1472=Query!$B$4),OR(Query!$B$5="All",ISNUMBER(SEARCH(Query!$B$5,'Compliance Database'!$H1472))),OR(Query!$B$6="All",ISNUMBER(SEARCH(Query!$B$6,'Compliance Database'!$I1472))),OR(Query!$B$7="All",'Compliance Database'!$F1472=Query!$B$7),OR(Query!$B$8="All",'Compliance Database'!$J1472=Query!$B$8),OR(Query!$B$9="",ISNUMBER(SEARCH(Query!$B$9,'Compliance Database'!$D1472&amp;" "&amp;'Compliance Database'!$K1472&amp;" "&amp;'Compliance Database'!$L1472&amp;" "&amp;'Compliance Database'!$M1472&amp;" "&amp;'Compliance Database'!$N1472&amp;" "&amp;'Compliance Database'!$O1472))),OR(Query!$B$10&lt;&gt;"Yes",'Compliance Database'!$F1472&lt;&gt;"None")),1,0)</f>
        <v/>
      </c>
      <c r="B1472">
        <f>IF($A1472=1,SUM($A$2:$A1472),"")</f>
        <v/>
      </c>
      <c r="C1472">
        <f>IF($A1472=1,SUM($A$2:$A1472),0)</f>
        <v/>
      </c>
    </row>
    <row r="1473">
      <c r="A1473">
        <f>IF(AND(OR(Query!$B$4="All",'Compliance Database'!$A1473=Query!$B$4),OR(Query!$B$5="All",ISNUMBER(SEARCH(Query!$B$5,'Compliance Database'!$H1473))),OR(Query!$B$6="All",ISNUMBER(SEARCH(Query!$B$6,'Compliance Database'!$I1473))),OR(Query!$B$7="All",'Compliance Database'!$F1473=Query!$B$7),OR(Query!$B$8="All",'Compliance Database'!$J1473=Query!$B$8),OR(Query!$B$9="",ISNUMBER(SEARCH(Query!$B$9,'Compliance Database'!$D1473&amp;" "&amp;'Compliance Database'!$K1473&amp;" "&amp;'Compliance Database'!$L1473&amp;" "&amp;'Compliance Database'!$M1473&amp;" "&amp;'Compliance Database'!$N1473&amp;" "&amp;'Compliance Database'!$O1473))),OR(Query!$B$10&lt;&gt;"Yes",'Compliance Database'!$F1473&lt;&gt;"None")),1,0)</f>
        <v/>
      </c>
      <c r="B1473">
        <f>IF($A1473=1,SUM($A$2:$A1473),"")</f>
        <v/>
      </c>
      <c r="C1473">
        <f>IF($A1473=1,SUM($A$2:$A1473),0)</f>
        <v/>
      </c>
    </row>
    <row r="1474">
      <c r="A1474">
        <f>IF(AND(OR(Query!$B$4="All",'Compliance Database'!$A1474=Query!$B$4),OR(Query!$B$5="All",ISNUMBER(SEARCH(Query!$B$5,'Compliance Database'!$H1474))),OR(Query!$B$6="All",ISNUMBER(SEARCH(Query!$B$6,'Compliance Database'!$I1474))),OR(Query!$B$7="All",'Compliance Database'!$F1474=Query!$B$7),OR(Query!$B$8="All",'Compliance Database'!$J1474=Query!$B$8),OR(Query!$B$9="",ISNUMBER(SEARCH(Query!$B$9,'Compliance Database'!$D1474&amp;" "&amp;'Compliance Database'!$K1474&amp;" "&amp;'Compliance Database'!$L1474&amp;" "&amp;'Compliance Database'!$M1474&amp;" "&amp;'Compliance Database'!$N1474&amp;" "&amp;'Compliance Database'!$O1474))),OR(Query!$B$10&lt;&gt;"Yes",'Compliance Database'!$F1474&lt;&gt;"None")),1,0)</f>
        <v/>
      </c>
      <c r="B1474">
        <f>IF($A1474=1,SUM($A$2:$A1474),"")</f>
        <v/>
      </c>
      <c r="C1474">
        <f>IF($A1474=1,SUM($A$2:$A1474),0)</f>
        <v/>
      </c>
    </row>
    <row r="1475">
      <c r="A1475">
        <f>IF(AND(OR(Query!$B$4="All",'Compliance Database'!$A1475=Query!$B$4),OR(Query!$B$5="All",ISNUMBER(SEARCH(Query!$B$5,'Compliance Database'!$H1475))),OR(Query!$B$6="All",ISNUMBER(SEARCH(Query!$B$6,'Compliance Database'!$I1475))),OR(Query!$B$7="All",'Compliance Database'!$F1475=Query!$B$7),OR(Query!$B$8="All",'Compliance Database'!$J1475=Query!$B$8),OR(Query!$B$9="",ISNUMBER(SEARCH(Query!$B$9,'Compliance Database'!$D1475&amp;" "&amp;'Compliance Database'!$K1475&amp;" "&amp;'Compliance Database'!$L1475&amp;" "&amp;'Compliance Database'!$M1475&amp;" "&amp;'Compliance Database'!$N1475&amp;" "&amp;'Compliance Database'!$O1475))),OR(Query!$B$10&lt;&gt;"Yes",'Compliance Database'!$F1475&lt;&gt;"None")),1,0)</f>
        <v/>
      </c>
      <c r="B1475">
        <f>IF($A1475=1,SUM($A$2:$A1475),"")</f>
        <v/>
      </c>
      <c r="C1475">
        <f>IF($A1475=1,SUM($A$2:$A1475),0)</f>
        <v/>
      </c>
    </row>
    <row r="1476">
      <c r="A1476">
        <f>IF(AND(OR(Query!$B$4="All",'Compliance Database'!$A1476=Query!$B$4),OR(Query!$B$5="All",ISNUMBER(SEARCH(Query!$B$5,'Compliance Database'!$H1476))),OR(Query!$B$6="All",ISNUMBER(SEARCH(Query!$B$6,'Compliance Database'!$I1476))),OR(Query!$B$7="All",'Compliance Database'!$F1476=Query!$B$7),OR(Query!$B$8="All",'Compliance Database'!$J1476=Query!$B$8),OR(Query!$B$9="",ISNUMBER(SEARCH(Query!$B$9,'Compliance Database'!$D1476&amp;" "&amp;'Compliance Database'!$K1476&amp;" "&amp;'Compliance Database'!$L1476&amp;" "&amp;'Compliance Database'!$M1476&amp;" "&amp;'Compliance Database'!$N1476&amp;" "&amp;'Compliance Database'!$O1476))),OR(Query!$B$10&lt;&gt;"Yes",'Compliance Database'!$F1476&lt;&gt;"None")),1,0)</f>
        <v/>
      </c>
      <c r="B1476">
        <f>IF($A1476=1,SUM($A$2:$A1476),"")</f>
        <v/>
      </c>
      <c r="C1476">
        <f>IF($A1476=1,SUM($A$2:$A1476),0)</f>
        <v/>
      </c>
    </row>
    <row r="1477">
      <c r="A1477">
        <f>IF(AND(OR(Query!$B$4="All",'Compliance Database'!$A1477=Query!$B$4),OR(Query!$B$5="All",ISNUMBER(SEARCH(Query!$B$5,'Compliance Database'!$H1477))),OR(Query!$B$6="All",ISNUMBER(SEARCH(Query!$B$6,'Compliance Database'!$I1477))),OR(Query!$B$7="All",'Compliance Database'!$F1477=Query!$B$7),OR(Query!$B$8="All",'Compliance Database'!$J1477=Query!$B$8),OR(Query!$B$9="",ISNUMBER(SEARCH(Query!$B$9,'Compliance Database'!$D1477&amp;" "&amp;'Compliance Database'!$K1477&amp;" "&amp;'Compliance Database'!$L1477&amp;" "&amp;'Compliance Database'!$M1477&amp;" "&amp;'Compliance Database'!$N1477&amp;" "&amp;'Compliance Database'!$O1477))),OR(Query!$B$10&lt;&gt;"Yes",'Compliance Database'!$F1477&lt;&gt;"None")),1,0)</f>
        <v/>
      </c>
      <c r="B1477">
        <f>IF($A1477=1,SUM($A$2:$A1477),"")</f>
        <v/>
      </c>
      <c r="C1477">
        <f>IF($A1477=1,SUM($A$2:$A1477),0)</f>
        <v/>
      </c>
    </row>
    <row r="1478">
      <c r="A1478">
        <f>IF(AND(OR(Query!$B$4="All",'Compliance Database'!$A1478=Query!$B$4),OR(Query!$B$5="All",ISNUMBER(SEARCH(Query!$B$5,'Compliance Database'!$H1478))),OR(Query!$B$6="All",ISNUMBER(SEARCH(Query!$B$6,'Compliance Database'!$I1478))),OR(Query!$B$7="All",'Compliance Database'!$F1478=Query!$B$7),OR(Query!$B$8="All",'Compliance Database'!$J1478=Query!$B$8),OR(Query!$B$9="",ISNUMBER(SEARCH(Query!$B$9,'Compliance Database'!$D1478&amp;" "&amp;'Compliance Database'!$K1478&amp;" "&amp;'Compliance Database'!$L1478&amp;" "&amp;'Compliance Database'!$M1478&amp;" "&amp;'Compliance Database'!$N1478&amp;" "&amp;'Compliance Database'!$O1478))),OR(Query!$B$10&lt;&gt;"Yes",'Compliance Database'!$F1478&lt;&gt;"None")),1,0)</f>
        <v/>
      </c>
      <c r="B1478">
        <f>IF($A1478=1,SUM($A$2:$A1478),"")</f>
        <v/>
      </c>
      <c r="C1478">
        <f>IF($A1478=1,SUM($A$2:$A1478),0)</f>
        <v/>
      </c>
    </row>
    <row r="1479">
      <c r="A1479">
        <f>IF(AND(OR(Query!$B$4="All",'Compliance Database'!$A1479=Query!$B$4),OR(Query!$B$5="All",ISNUMBER(SEARCH(Query!$B$5,'Compliance Database'!$H1479))),OR(Query!$B$6="All",ISNUMBER(SEARCH(Query!$B$6,'Compliance Database'!$I1479))),OR(Query!$B$7="All",'Compliance Database'!$F1479=Query!$B$7),OR(Query!$B$8="All",'Compliance Database'!$J1479=Query!$B$8),OR(Query!$B$9="",ISNUMBER(SEARCH(Query!$B$9,'Compliance Database'!$D1479&amp;" "&amp;'Compliance Database'!$K1479&amp;" "&amp;'Compliance Database'!$L1479&amp;" "&amp;'Compliance Database'!$M1479&amp;" "&amp;'Compliance Database'!$N1479&amp;" "&amp;'Compliance Database'!$O1479))),OR(Query!$B$10&lt;&gt;"Yes",'Compliance Database'!$F1479&lt;&gt;"None")),1,0)</f>
        <v/>
      </c>
      <c r="B1479">
        <f>IF($A1479=1,SUM($A$2:$A1479),"")</f>
        <v/>
      </c>
      <c r="C1479">
        <f>IF($A1479=1,SUM($A$2:$A1479),0)</f>
        <v/>
      </c>
    </row>
    <row r="1480">
      <c r="A1480">
        <f>IF(AND(OR(Query!$B$4="All",'Compliance Database'!$A1480=Query!$B$4),OR(Query!$B$5="All",ISNUMBER(SEARCH(Query!$B$5,'Compliance Database'!$H1480))),OR(Query!$B$6="All",ISNUMBER(SEARCH(Query!$B$6,'Compliance Database'!$I1480))),OR(Query!$B$7="All",'Compliance Database'!$F1480=Query!$B$7),OR(Query!$B$8="All",'Compliance Database'!$J1480=Query!$B$8),OR(Query!$B$9="",ISNUMBER(SEARCH(Query!$B$9,'Compliance Database'!$D1480&amp;" "&amp;'Compliance Database'!$K1480&amp;" "&amp;'Compliance Database'!$L1480&amp;" "&amp;'Compliance Database'!$M1480&amp;" "&amp;'Compliance Database'!$N1480&amp;" "&amp;'Compliance Database'!$O1480))),OR(Query!$B$10&lt;&gt;"Yes",'Compliance Database'!$F1480&lt;&gt;"None")),1,0)</f>
        <v/>
      </c>
      <c r="B1480">
        <f>IF($A1480=1,SUM($A$2:$A1480),"")</f>
        <v/>
      </c>
      <c r="C1480">
        <f>IF($A1480=1,SUM($A$2:$A1480),0)</f>
        <v/>
      </c>
    </row>
    <row r="1481">
      <c r="A1481">
        <f>IF(AND(OR(Query!$B$4="All",'Compliance Database'!$A1481=Query!$B$4),OR(Query!$B$5="All",ISNUMBER(SEARCH(Query!$B$5,'Compliance Database'!$H1481))),OR(Query!$B$6="All",ISNUMBER(SEARCH(Query!$B$6,'Compliance Database'!$I1481))),OR(Query!$B$7="All",'Compliance Database'!$F1481=Query!$B$7),OR(Query!$B$8="All",'Compliance Database'!$J1481=Query!$B$8),OR(Query!$B$9="",ISNUMBER(SEARCH(Query!$B$9,'Compliance Database'!$D1481&amp;" "&amp;'Compliance Database'!$K1481&amp;" "&amp;'Compliance Database'!$L1481&amp;" "&amp;'Compliance Database'!$M1481&amp;" "&amp;'Compliance Database'!$N1481&amp;" "&amp;'Compliance Database'!$O1481))),OR(Query!$B$10&lt;&gt;"Yes",'Compliance Database'!$F1481&lt;&gt;"None")),1,0)</f>
        <v/>
      </c>
      <c r="B1481">
        <f>IF($A1481=1,SUM($A$2:$A1481),"")</f>
        <v/>
      </c>
      <c r="C1481">
        <f>IF($A1481=1,SUM($A$2:$A1481),0)</f>
        <v/>
      </c>
    </row>
    <row r="1482">
      <c r="A1482">
        <f>IF(AND(OR(Query!$B$4="All",'Compliance Database'!$A1482=Query!$B$4),OR(Query!$B$5="All",ISNUMBER(SEARCH(Query!$B$5,'Compliance Database'!$H1482))),OR(Query!$B$6="All",ISNUMBER(SEARCH(Query!$B$6,'Compliance Database'!$I1482))),OR(Query!$B$7="All",'Compliance Database'!$F1482=Query!$B$7),OR(Query!$B$8="All",'Compliance Database'!$J1482=Query!$B$8),OR(Query!$B$9="",ISNUMBER(SEARCH(Query!$B$9,'Compliance Database'!$D1482&amp;" "&amp;'Compliance Database'!$K1482&amp;" "&amp;'Compliance Database'!$L1482&amp;" "&amp;'Compliance Database'!$M1482&amp;" "&amp;'Compliance Database'!$N1482&amp;" "&amp;'Compliance Database'!$O1482))),OR(Query!$B$10&lt;&gt;"Yes",'Compliance Database'!$F1482&lt;&gt;"None")),1,0)</f>
        <v/>
      </c>
      <c r="B1482">
        <f>IF($A1482=1,SUM($A$2:$A1482),"")</f>
        <v/>
      </c>
      <c r="C1482">
        <f>IF($A1482=1,SUM($A$2:$A1482),0)</f>
        <v/>
      </c>
    </row>
    <row r="1483">
      <c r="A1483">
        <f>IF(AND(OR(Query!$B$4="All",'Compliance Database'!$A1483=Query!$B$4),OR(Query!$B$5="All",ISNUMBER(SEARCH(Query!$B$5,'Compliance Database'!$H1483))),OR(Query!$B$6="All",ISNUMBER(SEARCH(Query!$B$6,'Compliance Database'!$I1483))),OR(Query!$B$7="All",'Compliance Database'!$F1483=Query!$B$7),OR(Query!$B$8="All",'Compliance Database'!$J1483=Query!$B$8),OR(Query!$B$9="",ISNUMBER(SEARCH(Query!$B$9,'Compliance Database'!$D1483&amp;" "&amp;'Compliance Database'!$K1483&amp;" "&amp;'Compliance Database'!$L1483&amp;" "&amp;'Compliance Database'!$M1483&amp;" "&amp;'Compliance Database'!$N1483&amp;" "&amp;'Compliance Database'!$O1483))),OR(Query!$B$10&lt;&gt;"Yes",'Compliance Database'!$F1483&lt;&gt;"None")),1,0)</f>
        <v/>
      </c>
      <c r="B1483">
        <f>IF($A1483=1,SUM($A$2:$A1483),"")</f>
        <v/>
      </c>
      <c r="C1483">
        <f>IF($A1483=1,SUM($A$2:$A1483),0)</f>
        <v/>
      </c>
    </row>
    <row r="1484">
      <c r="A1484">
        <f>IF(AND(OR(Query!$B$4="All",'Compliance Database'!$A1484=Query!$B$4),OR(Query!$B$5="All",ISNUMBER(SEARCH(Query!$B$5,'Compliance Database'!$H1484))),OR(Query!$B$6="All",ISNUMBER(SEARCH(Query!$B$6,'Compliance Database'!$I1484))),OR(Query!$B$7="All",'Compliance Database'!$F1484=Query!$B$7),OR(Query!$B$8="All",'Compliance Database'!$J1484=Query!$B$8),OR(Query!$B$9="",ISNUMBER(SEARCH(Query!$B$9,'Compliance Database'!$D1484&amp;" "&amp;'Compliance Database'!$K1484&amp;" "&amp;'Compliance Database'!$L1484&amp;" "&amp;'Compliance Database'!$M1484&amp;" "&amp;'Compliance Database'!$N1484&amp;" "&amp;'Compliance Database'!$O1484))),OR(Query!$B$10&lt;&gt;"Yes",'Compliance Database'!$F1484&lt;&gt;"None")),1,0)</f>
        <v/>
      </c>
      <c r="B1484">
        <f>IF($A1484=1,SUM($A$2:$A1484),"")</f>
        <v/>
      </c>
      <c r="C1484">
        <f>IF($A1484=1,SUM($A$2:$A1484),0)</f>
        <v/>
      </c>
    </row>
    <row r="1485">
      <c r="A1485">
        <f>IF(AND(OR(Query!$B$4="All",'Compliance Database'!$A1485=Query!$B$4),OR(Query!$B$5="All",ISNUMBER(SEARCH(Query!$B$5,'Compliance Database'!$H1485))),OR(Query!$B$6="All",ISNUMBER(SEARCH(Query!$B$6,'Compliance Database'!$I1485))),OR(Query!$B$7="All",'Compliance Database'!$F1485=Query!$B$7),OR(Query!$B$8="All",'Compliance Database'!$J1485=Query!$B$8),OR(Query!$B$9="",ISNUMBER(SEARCH(Query!$B$9,'Compliance Database'!$D1485&amp;" "&amp;'Compliance Database'!$K1485&amp;" "&amp;'Compliance Database'!$L1485&amp;" "&amp;'Compliance Database'!$M1485&amp;" "&amp;'Compliance Database'!$N1485&amp;" "&amp;'Compliance Database'!$O1485))),OR(Query!$B$10&lt;&gt;"Yes",'Compliance Database'!$F1485&lt;&gt;"None")),1,0)</f>
        <v/>
      </c>
      <c r="B1485">
        <f>IF($A1485=1,SUM($A$2:$A1485),"")</f>
        <v/>
      </c>
      <c r="C1485">
        <f>IF($A1485=1,SUM($A$2:$A1485),0)</f>
        <v/>
      </c>
    </row>
    <row r="1486">
      <c r="A1486">
        <f>IF(AND(OR(Query!$B$4="All",'Compliance Database'!$A1486=Query!$B$4),OR(Query!$B$5="All",ISNUMBER(SEARCH(Query!$B$5,'Compliance Database'!$H1486))),OR(Query!$B$6="All",ISNUMBER(SEARCH(Query!$B$6,'Compliance Database'!$I1486))),OR(Query!$B$7="All",'Compliance Database'!$F1486=Query!$B$7),OR(Query!$B$8="All",'Compliance Database'!$J1486=Query!$B$8),OR(Query!$B$9="",ISNUMBER(SEARCH(Query!$B$9,'Compliance Database'!$D1486&amp;" "&amp;'Compliance Database'!$K1486&amp;" "&amp;'Compliance Database'!$L1486&amp;" "&amp;'Compliance Database'!$M1486&amp;" "&amp;'Compliance Database'!$N1486&amp;" "&amp;'Compliance Database'!$O1486))),OR(Query!$B$10&lt;&gt;"Yes",'Compliance Database'!$F1486&lt;&gt;"None")),1,0)</f>
        <v/>
      </c>
      <c r="B1486">
        <f>IF($A1486=1,SUM($A$2:$A1486),"")</f>
        <v/>
      </c>
      <c r="C1486">
        <f>IF($A1486=1,SUM($A$2:$A1486),0)</f>
        <v/>
      </c>
    </row>
    <row r="1487">
      <c r="A1487">
        <f>IF(AND(OR(Query!$B$4="All",'Compliance Database'!$A1487=Query!$B$4),OR(Query!$B$5="All",ISNUMBER(SEARCH(Query!$B$5,'Compliance Database'!$H1487))),OR(Query!$B$6="All",ISNUMBER(SEARCH(Query!$B$6,'Compliance Database'!$I1487))),OR(Query!$B$7="All",'Compliance Database'!$F1487=Query!$B$7),OR(Query!$B$8="All",'Compliance Database'!$J1487=Query!$B$8),OR(Query!$B$9="",ISNUMBER(SEARCH(Query!$B$9,'Compliance Database'!$D1487&amp;" "&amp;'Compliance Database'!$K1487&amp;" "&amp;'Compliance Database'!$L1487&amp;" "&amp;'Compliance Database'!$M1487&amp;" "&amp;'Compliance Database'!$N1487&amp;" "&amp;'Compliance Database'!$O1487))),OR(Query!$B$10&lt;&gt;"Yes",'Compliance Database'!$F1487&lt;&gt;"None")),1,0)</f>
        <v/>
      </c>
      <c r="B1487">
        <f>IF($A1487=1,SUM($A$2:$A1487),"")</f>
        <v/>
      </c>
      <c r="C1487">
        <f>IF($A1487=1,SUM($A$2:$A1487),0)</f>
        <v/>
      </c>
    </row>
    <row r="1488">
      <c r="A1488">
        <f>IF(AND(OR(Query!$B$4="All",'Compliance Database'!$A1488=Query!$B$4),OR(Query!$B$5="All",ISNUMBER(SEARCH(Query!$B$5,'Compliance Database'!$H1488))),OR(Query!$B$6="All",ISNUMBER(SEARCH(Query!$B$6,'Compliance Database'!$I1488))),OR(Query!$B$7="All",'Compliance Database'!$F1488=Query!$B$7),OR(Query!$B$8="All",'Compliance Database'!$J1488=Query!$B$8),OR(Query!$B$9="",ISNUMBER(SEARCH(Query!$B$9,'Compliance Database'!$D1488&amp;" "&amp;'Compliance Database'!$K1488&amp;" "&amp;'Compliance Database'!$L1488&amp;" "&amp;'Compliance Database'!$M1488&amp;" "&amp;'Compliance Database'!$N1488&amp;" "&amp;'Compliance Database'!$O1488))),OR(Query!$B$10&lt;&gt;"Yes",'Compliance Database'!$F1488&lt;&gt;"None")),1,0)</f>
        <v/>
      </c>
      <c r="B1488">
        <f>IF($A1488=1,SUM($A$2:$A1488),"")</f>
        <v/>
      </c>
      <c r="C1488">
        <f>IF($A1488=1,SUM($A$2:$A1488),0)</f>
        <v/>
      </c>
    </row>
    <row r="1489">
      <c r="A1489">
        <f>IF(AND(OR(Query!$B$4="All",'Compliance Database'!$A1489=Query!$B$4),OR(Query!$B$5="All",ISNUMBER(SEARCH(Query!$B$5,'Compliance Database'!$H1489))),OR(Query!$B$6="All",ISNUMBER(SEARCH(Query!$B$6,'Compliance Database'!$I1489))),OR(Query!$B$7="All",'Compliance Database'!$F1489=Query!$B$7),OR(Query!$B$8="All",'Compliance Database'!$J1489=Query!$B$8),OR(Query!$B$9="",ISNUMBER(SEARCH(Query!$B$9,'Compliance Database'!$D1489&amp;" "&amp;'Compliance Database'!$K1489&amp;" "&amp;'Compliance Database'!$L1489&amp;" "&amp;'Compliance Database'!$M1489&amp;" "&amp;'Compliance Database'!$N1489&amp;" "&amp;'Compliance Database'!$O1489))),OR(Query!$B$10&lt;&gt;"Yes",'Compliance Database'!$F1489&lt;&gt;"None")),1,0)</f>
        <v/>
      </c>
      <c r="B1489">
        <f>IF($A1489=1,SUM($A$2:$A1489),"")</f>
        <v/>
      </c>
      <c r="C1489">
        <f>IF($A1489=1,SUM($A$2:$A1489),0)</f>
        <v/>
      </c>
    </row>
    <row r="1490">
      <c r="A1490">
        <f>IF(AND(OR(Query!$B$4="All",'Compliance Database'!$A1490=Query!$B$4),OR(Query!$B$5="All",ISNUMBER(SEARCH(Query!$B$5,'Compliance Database'!$H1490))),OR(Query!$B$6="All",ISNUMBER(SEARCH(Query!$B$6,'Compliance Database'!$I1490))),OR(Query!$B$7="All",'Compliance Database'!$F1490=Query!$B$7),OR(Query!$B$8="All",'Compliance Database'!$J1490=Query!$B$8),OR(Query!$B$9="",ISNUMBER(SEARCH(Query!$B$9,'Compliance Database'!$D1490&amp;" "&amp;'Compliance Database'!$K1490&amp;" "&amp;'Compliance Database'!$L1490&amp;" "&amp;'Compliance Database'!$M1490&amp;" "&amp;'Compliance Database'!$N1490&amp;" "&amp;'Compliance Database'!$O1490))),OR(Query!$B$10&lt;&gt;"Yes",'Compliance Database'!$F1490&lt;&gt;"None")),1,0)</f>
        <v/>
      </c>
      <c r="B1490">
        <f>IF($A1490=1,SUM($A$2:$A1490),"")</f>
        <v/>
      </c>
      <c r="C1490">
        <f>IF($A1490=1,SUM($A$2:$A1490),0)</f>
        <v/>
      </c>
    </row>
    <row r="1491">
      <c r="A1491">
        <f>IF(AND(OR(Query!$B$4="All",'Compliance Database'!$A1491=Query!$B$4),OR(Query!$B$5="All",ISNUMBER(SEARCH(Query!$B$5,'Compliance Database'!$H1491))),OR(Query!$B$6="All",ISNUMBER(SEARCH(Query!$B$6,'Compliance Database'!$I1491))),OR(Query!$B$7="All",'Compliance Database'!$F1491=Query!$B$7),OR(Query!$B$8="All",'Compliance Database'!$J1491=Query!$B$8),OR(Query!$B$9="",ISNUMBER(SEARCH(Query!$B$9,'Compliance Database'!$D1491&amp;" "&amp;'Compliance Database'!$K1491&amp;" "&amp;'Compliance Database'!$L1491&amp;" "&amp;'Compliance Database'!$M1491&amp;" "&amp;'Compliance Database'!$N1491&amp;" "&amp;'Compliance Database'!$O1491))),OR(Query!$B$10&lt;&gt;"Yes",'Compliance Database'!$F1491&lt;&gt;"None")),1,0)</f>
        <v/>
      </c>
      <c r="B1491">
        <f>IF($A1491=1,SUM($A$2:$A1491),"")</f>
        <v/>
      </c>
      <c r="C1491">
        <f>IF($A1491=1,SUM($A$2:$A1491),0)</f>
        <v/>
      </c>
    </row>
    <row r="1492">
      <c r="A1492">
        <f>IF(AND(OR(Query!$B$4="All",'Compliance Database'!$A1492=Query!$B$4),OR(Query!$B$5="All",ISNUMBER(SEARCH(Query!$B$5,'Compliance Database'!$H1492))),OR(Query!$B$6="All",ISNUMBER(SEARCH(Query!$B$6,'Compliance Database'!$I1492))),OR(Query!$B$7="All",'Compliance Database'!$F1492=Query!$B$7),OR(Query!$B$8="All",'Compliance Database'!$J1492=Query!$B$8),OR(Query!$B$9="",ISNUMBER(SEARCH(Query!$B$9,'Compliance Database'!$D1492&amp;" "&amp;'Compliance Database'!$K1492&amp;" "&amp;'Compliance Database'!$L1492&amp;" "&amp;'Compliance Database'!$M1492&amp;" "&amp;'Compliance Database'!$N1492&amp;" "&amp;'Compliance Database'!$O1492))),OR(Query!$B$10&lt;&gt;"Yes",'Compliance Database'!$F1492&lt;&gt;"None")),1,0)</f>
        <v/>
      </c>
      <c r="B1492">
        <f>IF($A1492=1,SUM($A$2:$A1492),"")</f>
        <v/>
      </c>
      <c r="C1492">
        <f>IF($A1492=1,SUM($A$2:$A1492),0)</f>
        <v/>
      </c>
    </row>
    <row r="1493">
      <c r="A1493">
        <f>IF(AND(OR(Query!$B$4="All",'Compliance Database'!$A1493=Query!$B$4),OR(Query!$B$5="All",ISNUMBER(SEARCH(Query!$B$5,'Compliance Database'!$H1493))),OR(Query!$B$6="All",ISNUMBER(SEARCH(Query!$B$6,'Compliance Database'!$I1493))),OR(Query!$B$7="All",'Compliance Database'!$F1493=Query!$B$7),OR(Query!$B$8="All",'Compliance Database'!$J1493=Query!$B$8),OR(Query!$B$9="",ISNUMBER(SEARCH(Query!$B$9,'Compliance Database'!$D1493&amp;" "&amp;'Compliance Database'!$K1493&amp;" "&amp;'Compliance Database'!$L1493&amp;" "&amp;'Compliance Database'!$M1493&amp;" "&amp;'Compliance Database'!$N1493&amp;" "&amp;'Compliance Database'!$O1493))),OR(Query!$B$10&lt;&gt;"Yes",'Compliance Database'!$F1493&lt;&gt;"None")),1,0)</f>
        <v/>
      </c>
      <c r="B1493">
        <f>IF($A1493=1,SUM($A$2:$A1493),"")</f>
        <v/>
      </c>
      <c r="C1493">
        <f>IF($A1493=1,SUM($A$2:$A1493),0)</f>
        <v/>
      </c>
    </row>
    <row r="1494">
      <c r="A1494">
        <f>IF(AND(OR(Query!$B$4="All",'Compliance Database'!$A1494=Query!$B$4),OR(Query!$B$5="All",ISNUMBER(SEARCH(Query!$B$5,'Compliance Database'!$H1494))),OR(Query!$B$6="All",ISNUMBER(SEARCH(Query!$B$6,'Compliance Database'!$I1494))),OR(Query!$B$7="All",'Compliance Database'!$F1494=Query!$B$7),OR(Query!$B$8="All",'Compliance Database'!$J1494=Query!$B$8),OR(Query!$B$9="",ISNUMBER(SEARCH(Query!$B$9,'Compliance Database'!$D1494&amp;" "&amp;'Compliance Database'!$K1494&amp;" "&amp;'Compliance Database'!$L1494&amp;" "&amp;'Compliance Database'!$M1494&amp;" "&amp;'Compliance Database'!$N1494&amp;" "&amp;'Compliance Database'!$O1494))),OR(Query!$B$10&lt;&gt;"Yes",'Compliance Database'!$F1494&lt;&gt;"None")),1,0)</f>
        <v/>
      </c>
      <c r="B1494">
        <f>IF($A1494=1,SUM($A$2:$A1494),"")</f>
        <v/>
      </c>
      <c r="C1494">
        <f>IF($A1494=1,SUM($A$2:$A1494),0)</f>
        <v/>
      </c>
    </row>
    <row r="1495">
      <c r="A1495">
        <f>IF(AND(OR(Query!$B$4="All",'Compliance Database'!$A1495=Query!$B$4),OR(Query!$B$5="All",ISNUMBER(SEARCH(Query!$B$5,'Compliance Database'!$H1495))),OR(Query!$B$6="All",ISNUMBER(SEARCH(Query!$B$6,'Compliance Database'!$I1495))),OR(Query!$B$7="All",'Compliance Database'!$F1495=Query!$B$7),OR(Query!$B$8="All",'Compliance Database'!$J1495=Query!$B$8),OR(Query!$B$9="",ISNUMBER(SEARCH(Query!$B$9,'Compliance Database'!$D1495&amp;" "&amp;'Compliance Database'!$K1495&amp;" "&amp;'Compliance Database'!$L1495&amp;" "&amp;'Compliance Database'!$M1495&amp;" "&amp;'Compliance Database'!$N1495&amp;" "&amp;'Compliance Database'!$O1495))),OR(Query!$B$10&lt;&gt;"Yes",'Compliance Database'!$F1495&lt;&gt;"None")),1,0)</f>
        <v/>
      </c>
      <c r="B1495">
        <f>IF($A1495=1,SUM($A$2:$A1495),"")</f>
        <v/>
      </c>
      <c r="C1495">
        <f>IF($A1495=1,SUM($A$2:$A1495),0)</f>
        <v/>
      </c>
    </row>
    <row r="1496">
      <c r="A1496">
        <f>IF(AND(OR(Query!$B$4="All",'Compliance Database'!$A1496=Query!$B$4),OR(Query!$B$5="All",ISNUMBER(SEARCH(Query!$B$5,'Compliance Database'!$H1496))),OR(Query!$B$6="All",ISNUMBER(SEARCH(Query!$B$6,'Compliance Database'!$I1496))),OR(Query!$B$7="All",'Compliance Database'!$F1496=Query!$B$7),OR(Query!$B$8="All",'Compliance Database'!$J1496=Query!$B$8),OR(Query!$B$9="",ISNUMBER(SEARCH(Query!$B$9,'Compliance Database'!$D1496&amp;" "&amp;'Compliance Database'!$K1496&amp;" "&amp;'Compliance Database'!$L1496&amp;" "&amp;'Compliance Database'!$M1496&amp;" "&amp;'Compliance Database'!$N1496&amp;" "&amp;'Compliance Database'!$O1496))),OR(Query!$B$10&lt;&gt;"Yes",'Compliance Database'!$F1496&lt;&gt;"None")),1,0)</f>
        <v/>
      </c>
      <c r="B1496">
        <f>IF($A1496=1,SUM($A$2:$A1496),"")</f>
        <v/>
      </c>
      <c r="C1496">
        <f>IF($A1496=1,SUM($A$2:$A1496),0)</f>
        <v/>
      </c>
    </row>
    <row r="1497">
      <c r="A1497">
        <f>IF(AND(OR(Query!$B$4="All",'Compliance Database'!$A1497=Query!$B$4),OR(Query!$B$5="All",ISNUMBER(SEARCH(Query!$B$5,'Compliance Database'!$H1497))),OR(Query!$B$6="All",ISNUMBER(SEARCH(Query!$B$6,'Compliance Database'!$I1497))),OR(Query!$B$7="All",'Compliance Database'!$F1497=Query!$B$7),OR(Query!$B$8="All",'Compliance Database'!$J1497=Query!$B$8),OR(Query!$B$9="",ISNUMBER(SEARCH(Query!$B$9,'Compliance Database'!$D1497&amp;" "&amp;'Compliance Database'!$K1497&amp;" "&amp;'Compliance Database'!$L1497&amp;" "&amp;'Compliance Database'!$M1497&amp;" "&amp;'Compliance Database'!$N1497&amp;" "&amp;'Compliance Database'!$O1497))),OR(Query!$B$10&lt;&gt;"Yes",'Compliance Database'!$F1497&lt;&gt;"None")),1,0)</f>
        <v/>
      </c>
      <c r="B1497">
        <f>IF($A1497=1,SUM($A$2:$A1497),"")</f>
        <v/>
      </c>
      <c r="C1497">
        <f>IF($A1497=1,SUM($A$2:$A1497),0)</f>
        <v/>
      </c>
    </row>
    <row r="1498">
      <c r="A1498">
        <f>IF(AND(OR(Query!$B$4="All",'Compliance Database'!$A1498=Query!$B$4),OR(Query!$B$5="All",ISNUMBER(SEARCH(Query!$B$5,'Compliance Database'!$H1498))),OR(Query!$B$6="All",ISNUMBER(SEARCH(Query!$B$6,'Compliance Database'!$I1498))),OR(Query!$B$7="All",'Compliance Database'!$F1498=Query!$B$7),OR(Query!$B$8="All",'Compliance Database'!$J1498=Query!$B$8),OR(Query!$B$9="",ISNUMBER(SEARCH(Query!$B$9,'Compliance Database'!$D1498&amp;" "&amp;'Compliance Database'!$K1498&amp;" "&amp;'Compliance Database'!$L1498&amp;" "&amp;'Compliance Database'!$M1498&amp;" "&amp;'Compliance Database'!$N1498&amp;" "&amp;'Compliance Database'!$O1498))),OR(Query!$B$10&lt;&gt;"Yes",'Compliance Database'!$F1498&lt;&gt;"None")),1,0)</f>
        <v/>
      </c>
      <c r="B1498">
        <f>IF($A1498=1,SUM($A$2:$A1498),"")</f>
        <v/>
      </c>
      <c r="C1498">
        <f>IF($A1498=1,SUM($A$2:$A1498),0)</f>
        <v/>
      </c>
    </row>
    <row r="1499">
      <c r="A1499">
        <f>IF(AND(OR(Query!$B$4="All",'Compliance Database'!$A1499=Query!$B$4),OR(Query!$B$5="All",ISNUMBER(SEARCH(Query!$B$5,'Compliance Database'!$H1499))),OR(Query!$B$6="All",ISNUMBER(SEARCH(Query!$B$6,'Compliance Database'!$I1499))),OR(Query!$B$7="All",'Compliance Database'!$F1499=Query!$B$7),OR(Query!$B$8="All",'Compliance Database'!$J1499=Query!$B$8),OR(Query!$B$9="",ISNUMBER(SEARCH(Query!$B$9,'Compliance Database'!$D1499&amp;" "&amp;'Compliance Database'!$K1499&amp;" "&amp;'Compliance Database'!$L1499&amp;" "&amp;'Compliance Database'!$M1499&amp;" "&amp;'Compliance Database'!$N1499&amp;" "&amp;'Compliance Database'!$O1499))),OR(Query!$B$10&lt;&gt;"Yes",'Compliance Database'!$F1499&lt;&gt;"None")),1,0)</f>
        <v/>
      </c>
      <c r="B1499">
        <f>IF($A1499=1,SUM($A$2:$A1499),"")</f>
        <v/>
      </c>
      <c r="C1499">
        <f>IF($A1499=1,SUM($A$2:$A1499),0)</f>
        <v/>
      </c>
    </row>
    <row r="1500">
      <c r="A1500">
        <f>IF(AND(OR(Query!$B$4="All",'Compliance Database'!$A1500=Query!$B$4),OR(Query!$B$5="All",ISNUMBER(SEARCH(Query!$B$5,'Compliance Database'!$H1500))),OR(Query!$B$6="All",ISNUMBER(SEARCH(Query!$B$6,'Compliance Database'!$I1500))),OR(Query!$B$7="All",'Compliance Database'!$F1500=Query!$B$7),OR(Query!$B$8="All",'Compliance Database'!$J1500=Query!$B$8),OR(Query!$B$9="",ISNUMBER(SEARCH(Query!$B$9,'Compliance Database'!$D1500&amp;" "&amp;'Compliance Database'!$K1500&amp;" "&amp;'Compliance Database'!$L1500&amp;" "&amp;'Compliance Database'!$M1500&amp;" "&amp;'Compliance Database'!$N1500&amp;" "&amp;'Compliance Database'!$O1500))),OR(Query!$B$10&lt;&gt;"Yes",'Compliance Database'!$F1500&lt;&gt;"None")),1,0)</f>
        <v/>
      </c>
      <c r="B1500">
        <f>IF($A1500=1,SUM($A$2:$A1500),"")</f>
        <v/>
      </c>
      <c r="C1500">
        <f>IF($A1500=1,SUM($A$2:$A1500),0)</f>
        <v/>
      </c>
    </row>
    <row r="1501">
      <c r="A1501">
        <f>IF(AND(OR(Query!$B$4="All",'Compliance Database'!$A1501=Query!$B$4),OR(Query!$B$5="All",ISNUMBER(SEARCH(Query!$B$5,'Compliance Database'!$H1501))),OR(Query!$B$6="All",ISNUMBER(SEARCH(Query!$B$6,'Compliance Database'!$I1501))),OR(Query!$B$7="All",'Compliance Database'!$F1501=Query!$B$7),OR(Query!$B$8="All",'Compliance Database'!$J1501=Query!$B$8),OR(Query!$B$9="",ISNUMBER(SEARCH(Query!$B$9,'Compliance Database'!$D1501&amp;" "&amp;'Compliance Database'!$K1501&amp;" "&amp;'Compliance Database'!$L1501&amp;" "&amp;'Compliance Database'!$M1501&amp;" "&amp;'Compliance Database'!$N1501&amp;" "&amp;'Compliance Database'!$O1501))),OR(Query!$B$10&lt;&gt;"Yes",'Compliance Database'!$F1501&lt;&gt;"None")),1,0)</f>
        <v/>
      </c>
      <c r="B1501">
        <f>IF($A1501=1,SUM($A$2:$A1501),"")</f>
        <v/>
      </c>
      <c r="C1501">
        <f>IF($A1501=1,SUM($A$2:$A1501),0)</f>
        <v/>
      </c>
    </row>
    <row r="1502">
      <c r="A1502">
        <f>IF(AND(OR(Query!$B$4="All",'Compliance Database'!$A1502=Query!$B$4),OR(Query!$B$5="All",ISNUMBER(SEARCH(Query!$B$5,'Compliance Database'!$H1502))),OR(Query!$B$6="All",ISNUMBER(SEARCH(Query!$B$6,'Compliance Database'!$I1502))),OR(Query!$B$7="All",'Compliance Database'!$F1502=Query!$B$7),OR(Query!$B$8="All",'Compliance Database'!$J1502=Query!$B$8),OR(Query!$B$9="",ISNUMBER(SEARCH(Query!$B$9,'Compliance Database'!$D1502&amp;" "&amp;'Compliance Database'!$K1502&amp;" "&amp;'Compliance Database'!$L1502&amp;" "&amp;'Compliance Database'!$M1502&amp;" "&amp;'Compliance Database'!$N1502&amp;" "&amp;'Compliance Database'!$O1502))),OR(Query!$B$10&lt;&gt;"Yes",'Compliance Database'!$F1502&lt;&gt;"None")),1,0)</f>
        <v/>
      </c>
      <c r="B1502">
        <f>IF($A1502=1,SUM($A$2:$A1502),"")</f>
        <v/>
      </c>
      <c r="C1502">
        <f>IF($A1502=1,SUM($A$2:$A1502),0)</f>
        <v/>
      </c>
    </row>
    <row r="1503">
      <c r="A1503">
        <f>IF(AND(OR(Query!$B$4="All",'Compliance Database'!$A1503=Query!$B$4),OR(Query!$B$5="All",ISNUMBER(SEARCH(Query!$B$5,'Compliance Database'!$H1503))),OR(Query!$B$6="All",ISNUMBER(SEARCH(Query!$B$6,'Compliance Database'!$I1503))),OR(Query!$B$7="All",'Compliance Database'!$F1503=Query!$B$7),OR(Query!$B$8="All",'Compliance Database'!$J1503=Query!$B$8),OR(Query!$B$9="",ISNUMBER(SEARCH(Query!$B$9,'Compliance Database'!$D1503&amp;" "&amp;'Compliance Database'!$K1503&amp;" "&amp;'Compliance Database'!$L1503&amp;" "&amp;'Compliance Database'!$M1503&amp;" "&amp;'Compliance Database'!$N1503&amp;" "&amp;'Compliance Database'!$O1503))),OR(Query!$B$10&lt;&gt;"Yes",'Compliance Database'!$F1503&lt;&gt;"None")),1,0)</f>
        <v/>
      </c>
      <c r="B1503">
        <f>IF($A1503=1,SUM($A$2:$A1503),"")</f>
        <v/>
      </c>
      <c r="C1503">
        <f>IF($A1503=1,SUM($A$2:$A1503),0)</f>
        <v/>
      </c>
    </row>
    <row r="1504">
      <c r="A1504">
        <f>IF(AND(OR(Query!$B$4="All",'Compliance Database'!$A1504=Query!$B$4),OR(Query!$B$5="All",ISNUMBER(SEARCH(Query!$B$5,'Compliance Database'!$H1504))),OR(Query!$B$6="All",ISNUMBER(SEARCH(Query!$B$6,'Compliance Database'!$I1504))),OR(Query!$B$7="All",'Compliance Database'!$F1504=Query!$B$7),OR(Query!$B$8="All",'Compliance Database'!$J1504=Query!$B$8),OR(Query!$B$9="",ISNUMBER(SEARCH(Query!$B$9,'Compliance Database'!$D1504&amp;" "&amp;'Compliance Database'!$K1504&amp;" "&amp;'Compliance Database'!$L1504&amp;" "&amp;'Compliance Database'!$M1504&amp;" "&amp;'Compliance Database'!$N1504&amp;" "&amp;'Compliance Database'!$O1504))),OR(Query!$B$10&lt;&gt;"Yes",'Compliance Database'!$F1504&lt;&gt;"None")),1,0)</f>
        <v/>
      </c>
      <c r="B1504">
        <f>IF($A1504=1,SUM($A$2:$A1504),"")</f>
        <v/>
      </c>
      <c r="C1504">
        <f>IF($A1504=1,SUM($A$2:$A1504),0)</f>
        <v/>
      </c>
    </row>
    <row r="1505">
      <c r="A1505">
        <f>IF(AND(OR(Query!$B$4="All",'Compliance Database'!$A1505=Query!$B$4),OR(Query!$B$5="All",ISNUMBER(SEARCH(Query!$B$5,'Compliance Database'!$H1505))),OR(Query!$B$6="All",ISNUMBER(SEARCH(Query!$B$6,'Compliance Database'!$I1505))),OR(Query!$B$7="All",'Compliance Database'!$F1505=Query!$B$7),OR(Query!$B$8="All",'Compliance Database'!$J1505=Query!$B$8),OR(Query!$B$9="",ISNUMBER(SEARCH(Query!$B$9,'Compliance Database'!$D1505&amp;" "&amp;'Compliance Database'!$K1505&amp;" "&amp;'Compliance Database'!$L1505&amp;" "&amp;'Compliance Database'!$M1505&amp;" "&amp;'Compliance Database'!$N1505&amp;" "&amp;'Compliance Database'!$O1505))),OR(Query!$B$10&lt;&gt;"Yes",'Compliance Database'!$F1505&lt;&gt;"None")),1,0)</f>
        <v/>
      </c>
      <c r="B1505">
        <f>IF($A1505=1,SUM($A$2:$A1505),"")</f>
        <v/>
      </c>
      <c r="C1505">
        <f>IF($A1505=1,SUM($A$2:$A1505),0)</f>
        <v/>
      </c>
    </row>
    <row r="1506">
      <c r="A1506">
        <f>IF(AND(OR(Query!$B$4="All",'Compliance Database'!$A1506=Query!$B$4),OR(Query!$B$5="All",ISNUMBER(SEARCH(Query!$B$5,'Compliance Database'!$H1506))),OR(Query!$B$6="All",ISNUMBER(SEARCH(Query!$B$6,'Compliance Database'!$I1506))),OR(Query!$B$7="All",'Compliance Database'!$F1506=Query!$B$7),OR(Query!$B$8="All",'Compliance Database'!$J1506=Query!$B$8),OR(Query!$B$9="",ISNUMBER(SEARCH(Query!$B$9,'Compliance Database'!$D1506&amp;" "&amp;'Compliance Database'!$K1506&amp;" "&amp;'Compliance Database'!$L1506&amp;" "&amp;'Compliance Database'!$M1506&amp;" "&amp;'Compliance Database'!$N1506&amp;" "&amp;'Compliance Database'!$O1506))),OR(Query!$B$10&lt;&gt;"Yes",'Compliance Database'!$F1506&lt;&gt;"None")),1,0)</f>
        <v/>
      </c>
      <c r="B1506">
        <f>IF($A1506=1,SUM($A$2:$A1506),"")</f>
        <v/>
      </c>
      <c r="C1506">
        <f>IF($A1506=1,SUM($A$2:$A1506),0)</f>
        <v/>
      </c>
    </row>
    <row r="1507">
      <c r="A1507">
        <f>IF(AND(OR(Query!$B$4="All",'Compliance Database'!$A1507=Query!$B$4),OR(Query!$B$5="All",ISNUMBER(SEARCH(Query!$B$5,'Compliance Database'!$H1507))),OR(Query!$B$6="All",ISNUMBER(SEARCH(Query!$B$6,'Compliance Database'!$I1507))),OR(Query!$B$7="All",'Compliance Database'!$F1507=Query!$B$7),OR(Query!$B$8="All",'Compliance Database'!$J1507=Query!$B$8),OR(Query!$B$9="",ISNUMBER(SEARCH(Query!$B$9,'Compliance Database'!$D1507&amp;" "&amp;'Compliance Database'!$K1507&amp;" "&amp;'Compliance Database'!$L1507&amp;" "&amp;'Compliance Database'!$M1507&amp;" "&amp;'Compliance Database'!$N1507&amp;" "&amp;'Compliance Database'!$O1507))),OR(Query!$B$10&lt;&gt;"Yes",'Compliance Database'!$F1507&lt;&gt;"None")),1,0)</f>
        <v/>
      </c>
      <c r="B1507">
        <f>IF($A1507=1,SUM($A$2:$A1507),"")</f>
        <v/>
      </c>
      <c r="C1507">
        <f>IF($A1507=1,SUM($A$2:$A1507),0)</f>
        <v/>
      </c>
    </row>
    <row r="1508">
      <c r="A1508">
        <f>IF(AND(OR(Query!$B$4="All",'Compliance Database'!$A1508=Query!$B$4),OR(Query!$B$5="All",ISNUMBER(SEARCH(Query!$B$5,'Compliance Database'!$H1508))),OR(Query!$B$6="All",ISNUMBER(SEARCH(Query!$B$6,'Compliance Database'!$I1508))),OR(Query!$B$7="All",'Compliance Database'!$F1508=Query!$B$7),OR(Query!$B$8="All",'Compliance Database'!$J1508=Query!$B$8),OR(Query!$B$9="",ISNUMBER(SEARCH(Query!$B$9,'Compliance Database'!$D1508&amp;" "&amp;'Compliance Database'!$K1508&amp;" "&amp;'Compliance Database'!$L1508&amp;" "&amp;'Compliance Database'!$M1508&amp;" "&amp;'Compliance Database'!$N1508&amp;" "&amp;'Compliance Database'!$O1508))),OR(Query!$B$10&lt;&gt;"Yes",'Compliance Database'!$F1508&lt;&gt;"None")),1,0)</f>
        <v/>
      </c>
      <c r="B1508">
        <f>IF($A1508=1,SUM($A$2:$A1508),"")</f>
        <v/>
      </c>
      <c r="C1508">
        <f>IF($A1508=1,SUM($A$2:$A1508),0)</f>
        <v/>
      </c>
    </row>
    <row r="1509">
      <c r="A1509">
        <f>IF(AND(OR(Query!$B$4="All",'Compliance Database'!$A1509=Query!$B$4),OR(Query!$B$5="All",ISNUMBER(SEARCH(Query!$B$5,'Compliance Database'!$H1509))),OR(Query!$B$6="All",ISNUMBER(SEARCH(Query!$B$6,'Compliance Database'!$I1509))),OR(Query!$B$7="All",'Compliance Database'!$F1509=Query!$B$7),OR(Query!$B$8="All",'Compliance Database'!$J1509=Query!$B$8),OR(Query!$B$9="",ISNUMBER(SEARCH(Query!$B$9,'Compliance Database'!$D1509&amp;" "&amp;'Compliance Database'!$K1509&amp;" "&amp;'Compliance Database'!$L1509&amp;" "&amp;'Compliance Database'!$M1509&amp;" "&amp;'Compliance Database'!$N1509&amp;" "&amp;'Compliance Database'!$O1509))),OR(Query!$B$10&lt;&gt;"Yes",'Compliance Database'!$F1509&lt;&gt;"None")),1,0)</f>
        <v/>
      </c>
      <c r="B1509">
        <f>IF($A1509=1,SUM($A$2:$A1509),"")</f>
        <v/>
      </c>
      <c r="C1509">
        <f>IF($A1509=1,SUM($A$2:$A1509),0)</f>
        <v/>
      </c>
    </row>
    <row r="1510">
      <c r="A1510">
        <f>IF(AND(OR(Query!$B$4="All",'Compliance Database'!$A1510=Query!$B$4),OR(Query!$B$5="All",ISNUMBER(SEARCH(Query!$B$5,'Compliance Database'!$H1510))),OR(Query!$B$6="All",ISNUMBER(SEARCH(Query!$B$6,'Compliance Database'!$I1510))),OR(Query!$B$7="All",'Compliance Database'!$F1510=Query!$B$7),OR(Query!$B$8="All",'Compliance Database'!$J1510=Query!$B$8),OR(Query!$B$9="",ISNUMBER(SEARCH(Query!$B$9,'Compliance Database'!$D1510&amp;" "&amp;'Compliance Database'!$K1510&amp;" "&amp;'Compliance Database'!$L1510&amp;" "&amp;'Compliance Database'!$M1510&amp;" "&amp;'Compliance Database'!$N1510&amp;" "&amp;'Compliance Database'!$O1510))),OR(Query!$B$10&lt;&gt;"Yes",'Compliance Database'!$F1510&lt;&gt;"None")),1,0)</f>
        <v/>
      </c>
      <c r="B1510">
        <f>IF($A1510=1,SUM($A$2:$A1510),"")</f>
        <v/>
      </c>
      <c r="C1510">
        <f>IF($A1510=1,SUM($A$2:$A1510),0)</f>
        <v/>
      </c>
    </row>
    <row r="1511">
      <c r="A1511">
        <f>IF(AND(OR(Query!$B$4="All",'Compliance Database'!$A1511=Query!$B$4),OR(Query!$B$5="All",ISNUMBER(SEARCH(Query!$B$5,'Compliance Database'!$H1511))),OR(Query!$B$6="All",ISNUMBER(SEARCH(Query!$B$6,'Compliance Database'!$I1511))),OR(Query!$B$7="All",'Compliance Database'!$F1511=Query!$B$7),OR(Query!$B$8="All",'Compliance Database'!$J1511=Query!$B$8),OR(Query!$B$9="",ISNUMBER(SEARCH(Query!$B$9,'Compliance Database'!$D1511&amp;" "&amp;'Compliance Database'!$K1511&amp;" "&amp;'Compliance Database'!$L1511&amp;" "&amp;'Compliance Database'!$M1511&amp;" "&amp;'Compliance Database'!$N1511&amp;" "&amp;'Compliance Database'!$O1511))),OR(Query!$B$10&lt;&gt;"Yes",'Compliance Database'!$F1511&lt;&gt;"None")),1,0)</f>
        <v/>
      </c>
      <c r="B1511">
        <f>IF($A1511=1,SUM($A$2:$A1511),"")</f>
        <v/>
      </c>
      <c r="C1511">
        <f>IF($A1511=1,SUM($A$2:$A1511),0)</f>
        <v/>
      </c>
    </row>
    <row r="1512">
      <c r="A1512">
        <f>IF(AND(OR(Query!$B$4="All",'Compliance Database'!$A1512=Query!$B$4),OR(Query!$B$5="All",ISNUMBER(SEARCH(Query!$B$5,'Compliance Database'!$H1512))),OR(Query!$B$6="All",ISNUMBER(SEARCH(Query!$B$6,'Compliance Database'!$I1512))),OR(Query!$B$7="All",'Compliance Database'!$F1512=Query!$B$7),OR(Query!$B$8="All",'Compliance Database'!$J1512=Query!$B$8),OR(Query!$B$9="",ISNUMBER(SEARCH(Query!$B$9,'Compliance Database'!$D1512&amp;" "&amp;'Compliance Database'!$K1512&amp;" "&amp;'Compliance Database'!$L1512&amp;" "&amp;'Compliance Database'!$M1512&amp;" "&amp;'Compliance Database'!$N1512&amp;" "&amp;'Compliance Database'!$O1512))),OR(Query!$B$10&lt;&gt;"Yes",'Compliance Database'!$F1512&lt;&gt;"None")),1,0)</f>
        <v/>
      </c>
      <c r="B1512">
        <f>IF($A1512=1,SUM($A$2:$A1512),"")</f>
        <v/>
      </c>
      <c r="C1512">
        <f>IF($A1512=1,SUM($A$2:$A1512),0)</f>
        <v/>
      </c>
    </row>
    <row r="1513">
      <c r="A1513">
        <f>IF(AND(OR(Query!$B$4="All",'Compliance Database'!$A1513=Query!$B$4),OR(Query!$B$5="All",ISNUMBER(SEARCH(Query!$B$5,'Compliance Database'!$H1513))),OR(Query!$B$6="All",ISNUMBER(SEARCH(Query!$B$6,'Compliance Database'!$I1513))),OR(Query!$B$7="All",'Compliance Database'!$F1513=Query!$B$7),OR(Query!$B$8="All",'Compliance Database'!$J1513=Query!$B$8),OR(Query!$B$9="",ISNUMBER(SEARCH(Query!$B$9,'Compliance Database'!$D1513&amp;" "&amp;'Compliance Database'!$K1513&amp;" "&amp;'Compliance Database'!$L1513&amp;" "&amp;'Compliance Database'!$M1513&amp;" "&amp;'Compliance Database'!$N1513&amp;" "&amp;'Compliance Database'!$O1513))),OR(Query!$B$10&lt;&gt;"Yes",'Compliance Database'!$F1513&lt;&gt;"None")),1,0)</f>
        <v/>
      </c>
      <c r="B1513">
        <f>IF($A1513=1,SUM($A$2:$A1513),"")</f>
        <v/>
      </c>
      <c r="C1513">
        <f>IF($A1513=1,SUM($A$2:$A1513),0)</f>
        <v/>
      </c>
    </row>
    <row r="1514">
      <c r="A1514">
        <f>IF(AND(OR(Query!$B$4="All",'Compliance Database'!$A1514=Query!$B$4),OR(Query!$B$5="All",ISNUMBER(SEARCH(Query!$B$5,'Compliance Database'!$H1514))),OR(Query!$B$6="All",ISNUMBER(SEARCH(Query!$B$6,'Compliance Database'!$I1514))),OR(Query!$B$7="All",'Compliance Database'!$F1514=Query!$B$7),OR(Query!$B$8="All",'Compliance Database'!$J1514=Query!$B$8),OR(Query!$B$9="",ISNUMBER(SEARCH(Query!$B$9,'Compliance Database'!$D1514&amp;" "&amp;'Compliance Database'!$K1514&amp;" "&amp;'Compliance Database'!$L1514&amp;" "&amp;'Compliance Database'!$M1514&amp;" "&amp;'Compliance Database'!$N1514&amp;" "&amp;'Compliance Database'!$O1514))),OR(Query!$B$10&lt;&gt;"Yes",'Compliance Database'!$F1514&lt;&gt;"None")),1,0)</f>
        <v/>
      </c>
      <c r="B1514">
        <f>IF($A1514=1,SUM($A$2:$A1514),"")</f>
        <v/>
      </c>
      <c r="C1514">
        <f>IF($A1514=1,SUM($A$2:$A1514),0)</f>
        <v/>
      </c>
    </row>
    <row r="1515">
      <c r="A1515">
        <f>IF(AND(OR(Query!$B$4="All",'Compliance Database'!$A1515=Query!$B$4),OR(Query!$B$5="All",ISNUMBER(SEARCH(Query!$B$5,'Compliance Database'!$H1515))),OR(Query!$B$6="All",ISNUMBER(SEARCH(Query!$B$6,'Compliance Database'!$I1515))),OR(Query!$B$7="All",'Compliance Database'!$F1515=Query!$B$7),OR(Query!$B$8="All",'Compliance Database'!$J1515=Query!$B$8),OR(Query!$B$9="",ISNUMBER(SEARCH(Query!$B$9,'Compliance Database'!$D1515&amp;" "&amp;'Compliance Database'!$K1515&amp;" "&amp;'Compliance Database'!$L1515&amp;" "&amp;'Compliance Database'!$M1515&amp;" "&amp;'Compliance Database'!$N1515&amp;" "&amp;'Compliance Database'!$O1515))),OR(Query!$B$10&lt;&gt;"Yes",'Compliance Database'!$F1515&lt;&gt;"None")),1,0)</f>
        <v/>
      </c>
      <c r="B1515">
        <f>IF($A1515=1,SUM($A$2:$A1515),"")</f>
        <v/>
      </c>
      <c r="C1515">
        <f>IF($A1515=1,SUM($A$2:$A1515),0)</f>
        <v/>
      </c>
    </row>
    <row r="1516">
      <c r="A1516">
        <f>IF(AND(OR(Query!$B$4="All",'Compliance Database'!$A1516=Query!$B$4),OR(Query!$B$5="All",ISNUMBER(SEARCH(Query!$B$5,'Compliance Database'!$H1516))),OR(Query!$B$6="All",ISNUMBER(SEARCH(Query!$B$6,'Compliance Database'!$I1516))),OR(Query!$B$7="All",'Compliance Database'!$F1516=Query!$B$7),OR(Query!$B$8="All",'Compliance Database'!$J1516=Query!$B$8),OR(Query!$B$9="",ISNUMBER(SEARCH(Query!$B$9,'Compliance Database'!$D1516&amp;" "&amp;'Compliance Database'!$K1516&amp;" "&amp;'Compliance Database'!$L1516&amp;" "&amp;'Compliance Database'!$M1516&amp;" "&amp;'Compliance Database'!$N1516&amp;" "&amp;'Compliance Database'!$O1516))),OR(Query!$B$10&lt;&gt;"Yes",'Compliance Database'!$F1516&lt;&gt;"None")),1,0)</f>
        <v/>
      </c>
      <c r="B1516">
        <f>IF($A1516=1,SUM($A$2:$A1516),"")</f>
        <v/>
      </c>
      <c r="C1516">
        <f>IF($A1516=1,SUM($A$2:$A1516),0)</f>
        <v/>
      </c>
    </row>
    <row r="1517">
      <c r="A1517">
        <f>IF(AND(OR(Query!$B$4="All",'Compliance Database'!$A1517=Query!$B$4),OR(Query!$B$5="All",ISNUMBER(SEARCH(Query!$B$5,'Compliance Database'!$H1517))),OR(Query!$B$6="All",ISNUMBER(SEARCH(Query!$B$6,'Compliance Database'!$I1517))),OR(Query!$B$7="All",'Compliance Database'!$F1517=Query!$B$7),OR(Query!$B$8="All",'Compliance Database'!$J1517=Query!$B$8),OR(Query!$B$9="",ISNUMBER(SEARCH(Query!$B$9,'Compliance Database'!$D1517&amp;" "&amp;'Compliance Database'!$K1517&amp;" "&amp;'Compliance Database'!$L1517&amp;" "&amp;'Compliance Database'!$M1517&amp;" "&amp;'Compliance Database'!$N1517&amp;" "&amp;'Compliance Database'!$O1517))),OR(Query!$B$10&lt;&gt;"Yes",'Compliance Database'!$F1517&lt;&gt;"None")),1,0)</f>
        <v/>
      </c>
      <c r="B1517">
        <f>IF($A1517=1,SUM($A$2:$A1517),"")</f>
        <v/>
      </c>
      <c r="C1517">
        <f>IF($A1517=1,SUM($A$2:$A1517),0)</f>
        <v/>
      </c>
    </row>
    <row r="1518">
      <c r="A1518">
        <f>IF(AND(OR(Query!$B$4="All",'Compliance Database'!$A1518=Query!$B$4),OR(Query!$B$5="All",ISNUMBER(SEARCH(Query!$B$5,'Compliance Database'!$H1518))),OR(Query!$B$6="All",ISNUMBER(SEARCH(Query!$B$6,'Compliance Database'!$I1518))),OR(Query!$B$7="All",'Compliance Database'!$F1518=Query!$B$7),OR(Query!$B$8="All",'Compliance Database'!$J1518=Query!$B$8),OR(Query!$B$9="",ISNUMBER(SEARCH(Query!$B$9,'Compliance Database'!$D1518&amp;" "&amp;'Compliance Database'!$K1518&amp;" "&amp;'Compliance Database'!$L1518&amp;" "&amp;'Compliance Database'!$M1518&amp;" "&amp;'Compliance Database'!$N1518&amp;" "&amp;'Compliance Database'!$O1518))),OR(Query!$B$10&lt;&gt;"Yes",'Compliance Database'!$F1518&lt;&gt;"None")),1,0)</f>
        <v/>
      </c>
      <c r="B1518">
        <f>IF($A1518=1,SUM($A$2:$A1518),"")</f>
        <v/>
      </c>
      <c r="C1518">
        <f>IF($A1518=1,SUM($A$2:$A1518),0)</f>
        <v/>
      </c>
    </row>
    <row r="1519">
      <c r="A1519">
        <f>IF(AND(OR(Query!$B$4="All",'Compliance Database'!$A1519=Query!$B$4),OR(Query!$B$5="All",ISNUMBER(SEARCH(Query!$B$5,'Compliance Database'!$H1519))),OR(Query!$B$6="All",ISNUMBER(SEARCH(Query!$B$6,'Compliance Database'!$I1519))),OR(Query!$B$7="All",'Compliance Database'!$F1519=Query!$B$7),OR(Query!$B$8="All",'Compliance Database'!$J1519=Query!$B$8),OR(Query!$B$9="",ISNUMBER(SEARCH(Query!$B$9,'Compliance Database'!$D1519&amp;" "&amp;'Compliance Database'!$K1519&amp;" "&amp;'Compliance Database'!$L1519&amp;" "&amp;'Compliance Database'!$M1519&amp;" "&amp;'Compliance Database'!$N1519&amp;" "&amp;'Compliance Database'!$O1519))),OR(Query!$B$10&lt;&gt;"Yes",'Compliance Database'!$F1519&lt;&gt;"None")),1,0)</f>
        <v/>
      </c>
      <c r="B1519">
        <f>IF($A1519=1,SUM($A$2:$A1519),"")</f>
        <v/>
      </c>
      <c r="C1519">
        <f>IF($A1519=1,SUM($A$2:$A1519),0)</f>
        <v/>
      </c>
    </row>
    <row r="1520">
      <c r="A1520">
        <f>IF(AND(OR(Query!$B$4="All",'Compliance Database'!$A1520=Query!$B$4),OR(Query!$B$5="All",ISNUMBER(SEARCH(Query!$B$5,'Compliance Database'!$H1520))),OR(Query!$B$6="All",ISNUMBER(SEARCH(Query!$B$6,'Compliance Database'!$I1520))),OR(Query!$B$7="All",'Compliance Database'!$F1520=Query!$B$7),OR(Query!$B$8="All",'Compliance Database'!$J1520=Query!$B$8),OR(Query!$B$9="",ISNUMBER(SEARCH(Query!$B$9,'Compliance Database'!$D1520&amp;" "&amp;'Compliance Database'!$K1520&amp;" "&amp;'Compliance Database'!$L1520&amp;" "&amp;'Compliance Database'!$M1520&amp;" "&amp;'Compliance Database'!$N1520&amp;" "&amp;'Compliance Database'!$O1520))),OR(Query!$B$10&lt;&gt;"Yes",'Compliance Database'!$F1520&lt;&gt;"None")),1,0)</f>
        <v/>
      </c>
      <c r="B1520">
        <f>IF($A1520=1,SUM($A$2:$A1520),"")</f>
        <v/>
      </c>
      <c r="C1520">
        <f>IF($A1520=1,SUM($A$2:$A1520),0)</f>
        <v/>
      </c>
    </row>
    <row r="1521">
      <c r="A1521">
        <f>IF(AND(OR(Query!$B$4="All",'Compliance Database'!$A1521=Query!$B$4),OR(Query!$B$5="All",ISNUMBER(SEARCH(Query!$B$5,'Compliance Database'!$H1521))),OR(Query!$B$6="All",ISNUMBER(SEARCH(Query!$B$6,'Compliance Database'!$I1521))),OR(Query!$B$7="All",'Compliance Database'!$F1521=Query!$B$7),OR(Query!$B$8="All",'Compliance Database'!$J1521=Query!$B$8),OR(Query!$B$9="",ISNUMBER(SEARCH(Query!$B$9,'Compliance Database'!$D1521&amp;" "&amp;'Compliance Database'!$K1521&amp;" "&amp;'Compliance Database'!$L1521&amp;" "&amp;'Compliance Database'!$M1521&amp;" "&amp;'Compliance Database'!$N1521&amp;" "&amp;'Compliance Database'!$O1521))),OR(Query!$B$10&lt;&gt;"Yes",'Compliance Database'!$F1521&lt;&gt;"None")),1,0)</f>
        <v/>
      </c>
      <c r="B1521">
        <f>IF($A1521=1,SUM($A$2:$A1521),"")</f>
        <v/>
      </c>
      <c r="C1521">
        <f>IF($A1521=1,SUM($A$2:$A1521),0)</f>
        <v/>
      </c>
    </row>
    <row r="1522">
      <c r="A1522">
        <f>IF(AND(OR(Query!$B$4="All",'Compliance Database'!$A1522=Query!$B$4),OR(Query!$B$5="All",ISNUMBER(SEARCH(Query!$B$5,'Compliance Database'!$H1522))),OR(Query!$B$6="All",ISNUMBER(SEARCH(Query!$B$6,'Compliance Database'!$I1522))),OR(Query!$B$7="All",'Compliance Database'!$F1522=Query!$B$7),OR(Query!$B$8="All",'Compliance Database'!$J1522=Query!$B$8),OR(Query!$B$9="",ISNUMBER(SEARCH(Query!$B$9,'Compliance Database'!$D1522&amp;" "&amp;'Compliance Database'!$K1522&amp;" "&amp;'Compliance Database'!$L1522&amp;" "&amp;'Compliance Database'!$M1522&amp;" "&amp;'Compliance Database'!$N1522&amp;" "&amp;'Compliance Database'!$O1522))),OR(Query!$B$10&lt;&gt;"Yes",'Compliance Database'!$F1522&lt;&gt;"None")),1,0)</f>
        <v/>
      </c>
      <c r="B1522">
        <f>IF($A1522=1,SUM($A$2:$A1522),"")</f>
        <v/>
      </c>
      <c r="C1522">
        <f>IF($A1522=1,SUM($A$2:$A1522),0)</f>
        <v/>
      </c>
    </row>
    <row r="1523">
      <c r="A1523">
        <f>IF(AND(OR(Query!$B$4="All",'Compliance Database'!$A1523=Query!$B$4),OR(Query!$B$5="All",ISNUMBER(SEARCH(Query!$B$5,'Compliance Database'!$H1523))),OR(Query!$B$6="All",ISNUMBER(SEARCH(Query!$B$6,'Compliance Database'!$I1523))),OR(Query!$B$7="All",'Compliance Database'!$F1523=Query!$B$7),OR(Query!$B$8="All",'Compliance Database'!$J1523=Query!$B$8),OR(Query!$B$9="",ISNUMBER(SEARCH(Query!$B$9,'Compliance Database'!$D1523&amp;" "&amp;'Compliance Database'!$K1523&amp;" "&amp;'Compliance Database'!$L1523&amp;" "&amp;'Compliance Database'!$M1523&amp;" "&amp;'Compliance Database'!$N1523&amp;" "&amp;'Compliance Database'!$O1523))),OR(Query!$B$10&lt;&gt;"Yes",'Compliance Database'!$F1523&lt;&gt;"None")),1,0)</f>
        <v/>
      </c>
      <c r="B1523">
        <f>IF($A1523=1,SUM($A$2:$A1523),"")</f>
        <v/>
      </c>
      <c r="C1523">
        <f>IF($A1523=1,SUM($A$2:$A1523),0)</f>
        <v/>
      </c>
    </row>
    <row r="1524">
      <c r="A1524">
        <f>IF(AND(OR(Query!$B$4="All",'Compliance Database'!$A1524=Query!$B$4),OR(Query!$B$5="All",ISNUMBER(SEARCH(Query!$B$5,'Compliance Database'!$H1524))),OR(Query!$B$6="All",ISNUMBER(SEARCH(Query!$B$6,'Compliance Database'!$I1524))),OR(Query!$B$7="All",'Compliance Database'!$F1524=Query!$B$7),OR(Query!$B$8="All",'Compliance Database'!$J1524=Query!$B$8),OR(Query!$B$9="",ISNUMBER(SEARCH(Query!$B$9,'Compliance Database'!$D1524&amp;" "&amp;'Compliance Database'!$K1524&amp;" "&amp;'Compliance Database'!$L1524&amp;" "&amp;'Compliance Database'!$M1524&amp;" "&amp;'Compliance Database'!$N1524&amp;" "&amp;'Compliance Database'!$O1524))),OR(Query!$B$10&lt;&gt;"Yes",'Compliance Database'!$F1524&lt;&gt;"None")),1,0)</f>
        <v/>
      </c>
      <c r="B1524">
        <f>IF($A1524=1,SUM($A$2:$A1524),"")</f>
        <v/>
      </c>
      <c r="C1524">
        <f>IF($A1524=1,SUM($A$2:$A1524),0)</f>
        <v/>
      </c>
    </row>
    <row r="1525">
      <c r="A1525">
        <f>IF(AND(OR(Query!$B$4="All",'Compliance Database'!$A1525=Query!$B$4),OR(Query!$B$5="All",ISNUMBER(SEARCH(Query!$B$5,'Compliance Database'!$H1525))),OR(Query!$B$6="All",ISNUMBER(SEARCH(Query!$B$6,'Compliance Database'!$I1525))),OR(Query!$B$7="All",'Compliance Database'!$F1525=Query!$B$7),OR(Query!$B$8="All",'Compliance Database'!$J1525=Query!$B$8),OR(Query!$B$9="",ISNUMBER(SEARCH(Query!$B$9,'Compliance Database'!$D1525&amp;" "&amp;'Compliance Database'!$K1525&amp;" "&amp;'Compliance Database'!$L1525&amp;" "&amp;'Compliance Database'!$M1525&amp;" "&amp;'Compliance Database'!$N1525&amp;" "&amp;'Compliance Database'!$O1525))),OR(Query!$B$10&lt;&gt;"Yes",'Compliance Database'!$F1525&lt;&gt;"None")),1,0)</f>
        <v/>
      </c>
      <c r="B1525">
        <f>IF($A1525=1,SUM($A$2:$A1525),"")</f>
        <v/>
      </c>
      <c r="C1525">
        <f>IF($A1525=1,SUM($A$2:$A1525),0)</f>
        <v/>
      </c>
    </row>
    <row r="1526">
      <c r="A1526">
        <f>IF(AND(OR(Query!$B$4="All",'Compliance Database'!$A1526=Query!$B$4),OR(Query!$B$5="All",ISNUMBER(SEARCH(Query!$B$5,'Compliance Database'!$H1526))),OR(Query!$B$6="All",ISNUMBER(SEARCH(Query!$B$6,'Compliance Database'!$I1526))),OR(Query!$B$7="All",'Compliance Database'!$F1526=Query!$B$7),OR(Query!$B$8="All",'Compliance Database'!$J1526=Query!$B$8),OR(Query!$B$9="",ISNUMBER(SEARCH(Query!$B$9,'Compliance Database'!$D1526&amp;" "&amp;'Compliance Database'!$K1526&amp;" "&amp;'Compliance Database'!$L1526&amp;" "&amp;'Compliance Database'!$M1526&amp;" "&amp;'Compliance Database'!$N1526&amp;" "&amp;'Compliance Database'!$O1526))),OR(Query!$B$10&lt;&gt;"Yes",'Compliance Database'!$F1526&lt;&gt;"None")),1,0)</f>
        <v/>
      </c>
      <c r="B1526">
        <f>IF($A1526=1,SUM($A$2:$A1526),"")</f>
        <v/>
      </c>
      <c r="C1526">
        <f>IF($A1526=1,SUM($A$2:$A1526),0)</f>
        <v/>
      </c>
    </row>
    <row r="1527">
      <c r="A1527">
        <f>IF(AND(OR(Query!$B$4="All",'Compliance Database'!$A1527=Query!$B$4),OR(Query!$B$5="All",ISNUMBER(SEARCH(Query!$B$5,'Compliance Database'!$H1527))),OR(Query!$B$6="All",ISNUMBER(SEARCH(Query!$B$6,'Compliance Database'!$I1527))),OR(Query!$B$7="All",'Compliance Database'!$F1527=Query!$B$7),OR(Query!$B$8="All",'Compliance Database'!$J1527=Query!$B$8),OR(Query!$B$9="",ISNUMBER(SEARCH(Query!$B$9,'Compliance Database'!$D1527&amp;" "&amp;'Compliance Database'!$K1527&amp;" "&amp;'Compliance Database'!$L1527&amp;" "&amp;'Compliance Database'!$M1527&amp;" "&amp;'Compliance Database'!$N1527&amp;" "&amp;'Compliance Database'!$O1527))),OR(Query!$B$10&lt;&gt;"Yes",'Compliance Database'!$F1527&lt;&gt;"None")),1,0)</f>
        <v/>
      </c>
      <c r="B1527">
        <f>IF($A1527=1,SUM($A$2:$A1527),"")</f>
        <v/>
      </c>
      <c r="C1527">
        <f>IF($A1527=1,SUM($A$2:$A1527),0)</f>
        <v/>
      </c>
    </row>
    <row r="1528">
      <c r="A1528">
        <f>IF(AND(OR(Query!$B$4="All",'Compliance Database'!$A1528=Query!$B$4),OR(Query!$B$5="All",ISNUMBER(SEARCH(Query!$B$5,'Compliance Database'!$H1528))),OR(Query!$B$6="All",ISNUMBER(SEARCH(Query!$B$6,'Compliance Database'!$I1528))),OR(Query!$B$7="All",'Compliance Database'!$F1528=Query!$B$7),OR(Query!$B$8="All",'Compliance Database'!$J1528=Query!$B$8),OR(Query!$B$9="",ISNUMBER(SEARCH(Query!$B$9,'Compliance Database'!$D1528&amp;" "&amp;'Compliance Database'!$K1528&amp;" "&amp;'Compliance Database'!$L1528&amp;" "&amp;'Compliance Database'!$M1528&amp;" "&amp;'Compliance Database'!$N1528&amp;" "&amp;'Compliance Database'!$O1528))),OR(Query!$B$10&lt;&gt;"Yes",'Compliance Database'!$F1528&lt;&gt;"None")),1,0)</f>
        <v/>
      </c>
      <c r="B1528">
        <f>IF($A1528=1,SUM($A$2:$A1528),"")</f>
        <v/>
      </c>
      <c r="C1528">
        <f>IF($A1528=1,SUM($A$2:$A1528),0)</f>
        <v/>
      </c>
    </row>
    <row r="1529">
      <c r="A1529">
        <f>IF(AND(OR(Query!$B$4="All",'Compliance Database'!$A1529=Query!$B$4),OR(Query!$B$5="All",ISNUMBER(SEARCH(Query!$B$5,'Compliance Database'!$H1529))),OR(Query!$B$6="All",ISNUMBER(SEARCH(Query!$B$6,'Compliance Database'!$I1529))),OR(Query!$B$7="All",'Compliance Database'!$F1529=Query!$B$7),OR(Query!$B$8="All",'Compliance Database'!$J1529=Query!$B$8),OR(Query!$B$9="",ISNUMBER(SEARCH(Query!$B$9,'Compliance Database'!$D1529&amp;" "&amp;'Compliance Database'!$K1529&amp;" "&amp;'Compliance Database'!$L1529&amp;" "&amp;'Compliance Database'!$M1529&amp;" "&amp;'Compliance Database'!$N1529&amp;" "&amp;'Compliance Database'!$O1529))),OR(Query!$B$10&lt;&gt;"Yes",'Compliance Database'!$F1529&lt;&gt;"None")),1,0)</f>
        <v/>
      </c>
      <c r="B1529">
        <f>IF($A1529=1,SUM($A$2:$A1529),"")</f>
        <v/>
      </c>
      <c r="C1529">
        <f>IF($A1529=1,SUM($A$2:$A1529),0)</f>
        <v/>
      </c>
    </row>
    <row r="1530">
      <c r="A1530">
        <f>IF(AND(OR(Query!$B$4="All",'Compliance Database'!$A1530=Query!$B$4),OR(Query!$B$5="All",ISNUMBER(SEARCH(Query!$B$5,'Compliance Database'!$H1530))),OR(Query!$B$6="All",ISNUMBER(SEARCH(Query!$B$6,'Compliance Database'!$I1530))),OR(Query!$B$7="All",'Compliance Database'!$F1530=Query!$B$7),OR(Query!$B$8="All",'Compliance Database'!$J1530=Query!$B$8),OR(Query!$B$9="",ISNUMBER(SEARCH(Query!$B$9,'Compliance Database'!$D1530&amp;" "&amp;'Compliance Database'!$K1530&amp;" "&amp;'Compliance Database'!$L1530&amp;" "&amp;'Compliance Database'!$M1530&amp;" "&amp;'Compliance Database'!$N1530&amp;" "&amp;'Compliance Database'!$O1530))),OR(Query!$B$10&lt;&gt;"Yes",'Compliance Database'!$F1530&lt;&gt;"None")),1,0)</f>
        <v/>
      </c>
      <c r="B1530">
        <f>IF($A1530=1,SUM($A$2:$A1530),"")</f>
        <v/>
      </c>
      <c r="C1530">
        <f>IF($A1530=1,SUM($A$2:$A1530),0)</f>
        <v/>
      </c>
    </row>
    <row r="1531">
      <c r="A1531">
        <f>IF(AND(OR(Query!$B$4="All",'Compliance Database'!$A1531=Query!$B$4),OR(Query!$B$5="All",ISNUMBER(SEARCH(Query!$B$5,'Compliance Database'!$H1531))),OR(Query!$B$6="All",ISNUMBER(SEARCH(Query!$B$6,'Compliance Database'!$I1531))),OR(Query!$B$7="All",'Compliance Database'!$F1531=Query!$B$7),OR(Query!$B$8="All",'Compliance Database'!$J1531=Query!$B$8),OR(Query!$B$9="",ISNUMBER(SEARCH(Query!$B$9,'Compliance Database'!$D1531&amp;" "&amp;'Compliance Database'!$K1531&amp;" "&amp;'Compliance Database'!$L1531&amp;" "&amp;'Compliance Database'!$M1531&amp;" "&amp;'Compliance Database'!$N1531&amp;" "&amp;'Compliance Database'!$O1531))),OR(Query!$B$10&lt;&gt;"Yes",'Compliance Database'!$F1531&lt;&gt;"None")),1,0)</f>
        <v/>
      </c>
      <c r="B1531">
        <f>IF($A1531=1,SUM($A$2:$A1531),"")</f>
        <v/>
      </c>
      <c r="C1531">
        <f>IF($A1531=1,SUM($A$2:$A1531),0)</f>
        <v/>
      </c>
    </row>
    <row r="1532">
      <c r="A1532">
        <f>IF(AND(OR(Query!$B$4="All",'Compliance Database'!$A1532=Query!$B$4),OR(Query!$B$5="All",ISNUMBER(SEARCH(Query!$B$5,'Compliance Database'!$H1532))),OR(Query!$B$6="All",ISNUMBER(SEARCH(Query!$B$6,'Compliance Database'!$I1532))),OR(Query!$B$7="All",'Compliance Database'!$F1532=Query!$B$7),OR(Query!$B$8="All",'Compliance Database'!$J1532=Query!$B$8),OR(Query!$B$9="",ISNUMBER(SEARCH(Query!$B$9,'Compliance Database'!$D1532&amp;" "&amp;'Compliance Database'!$K1532&amp;" "&amp;'Compliance Database'!$L1532&amp;" "&amp;'Compliance Database'!$M1532&amp;" "&amp;'Compliance Database'!$N1532&amp;" "&amp;'Compliance Database'!$O1532))),OR(Query!$B$10&lt;&gt;"Yes",'Compliance Database'!$F1532&lt;&gt;"None")),1,0)</f>
        <v/>
      </c>
      <c r="B1532">
        <f>IF($A1532=1,SUM($A$2:$A1532),"")</f>
        <v/>
      </c>
      <c r="C1532">
        <f>IF($A1532=1,SUM($A$2:$A1532),0)</f>
        <v/>
      </c>
    </row>
    <row r="1533">
      <c r="A1533">
        <f>IF(AND(OR(Query!$B$4="All",'Compliance Database'!$A1533=Query!$B$4),OR(Query!$B$5="All",ISNUMBER(SEARCH(Query!$B$5,'Compliance Database'!$H1533))),OR(Query!$B$6="All",ISNUMBER(SEARCH(Query!$B$6,'Compliance Database'!$I1533))),OR(Query!$B$7="All",'Compliance Database'!$F1533=Query!$B$7),OR(Query!$B$8="All",'Compliance Database'!$J1533=Query!$B$8),OR(Query!$B$9="",ISNUMBER(SEARCH(Query!$B$9,'Compliance Database'!$D1533&amp;" "&amp;'Compliance Database'!$K1533&amp;" "&amp;'Compliance Database'!$L1533&amp;" "&amp;'Compliance Database'!$M1533&amp;" "&amp;'Compliance Database'!$N1533&amp;" "&amp;'Compliance Database'!$O1533))),OR(Query!$B$10&lt;&gt;"Yes",'Compliance Database'!$F1533&lt;&gt;"None")),1,0)</f>
        <v/>
      </c>
      <c r="B1533">
        <f>IF($A1533=1,SUM($A$2:$A1533),"")</f>
        <v/>
      </c>
      <c r="C1533">
        <f>IF($A1533=1,SUM($A$2:$A1533),0)</f>
        <v/>
      </c>
    </row>
    <row r="1534">
      <c r="A1534">
        <f>IF(AND(OR(Query!$B$4="All",'Compliance Database'!$A1534=Query!$B$4),OR(Query!$B$5="All",ISNUMBER(SEARCH(Query!$B$5,'Compliance Database'!$H1534))),OR(Query!$B$6="All",ISNUMBER(SEARCH(Query!$B$6,'Compliance Database'!$I1534))),OR(Query!$B$7="All",'Compliance Database'!$F1534=Query!$B$7),OR(Query!$B$8="All",'Compliance Database'!$J1534=Query!$B$8),OR(Query!$B$9="",ISNUMBER(SEARCH(Query!$B$9,'Compliance Database'!$D1534&amp;" "&amp;'Compliance Database'!$K1534&amp;" "&amp;'Compliance Database'!$L1534&amp;" "&amp;'Compliance Database'!$M1534&amp;" "&amp;'Compliance Database'!$N1534&amp;" "&amp;'Compliance Database'!$O1534))),OR(Query!$B$10&lt;&gt;"Yes",'Compliance Database'!$F1534&lt;&gt;"None")),1,0)</f>
        <v/>
      </c>
      <c r="B1534">
        <f>IF($A1534=1,SUM($A$2:$A1534),"")</f>
        <v/>
      </c>
      <c r="C1534">
        <f>IF($A1534=1,SUM($A$2:$A1534),0)</f>
        <v/>
      </c>
    </row>
    <row r="1535">
      <c r="A1535">
        <f>IF(AND(OR(Query!$B$4="All",'Compliance Database'!$A1535=Query!$B$4),OR(Query!$B$5="All",ISNUMBER(SEARCH(Query!$B$5,'Compliance Database'!$H1535))),OR(Query!$B$6="All",ISNUMBER(SEARCH(Query!$B$6,'Compliance Database'!$I1535))),OR(Query!$B$7="All",'Compliance Database'!$F1535=Query!$B$7),OR(Query!$B$8="All",'Compliance Database'!$J1535=Query!$B$8),OR(Query!$B$9="",ISNUMBER(SEARCH(Query!$B$9,'Compliance Database'!$D1535&amp;" "&amp;'Compliance Database'!$K1535&amp;" "&amp;'Compliance Database'!$L1535&amp;" "&amp;'Compliance Database'!$M1535&amp;" "&amp;'Compliance Database'!$N1535&amp;" "&amp;'Compliance Database'!$O1535))),OR(Query!$B$10&lt;&gt;"Yes",'Compliance Database'!$F1535&lt;&gt;"None")),1,0)</f>
        <v/>
      </c>
      <c r="B1535">
        <f>IF($A1535=1,SUM($A$2:$A1535),"")</f>
        <v/>
      </c>
      <c r="C1535">
        <f>IF($A1535=1,SUM($A$2:$A1535),0)</f>
        <v/>
      </c>
    </row>
    <row r="1536">
      <c r="A1536">
        <f>IF(AND(OR(Query!$B$4="All",'Compliance Database'!$A1536=Query!$B$4),OR(Query!$B$5="All",ISNUMBER(SEARCH(Query!$B$5,'Compliance Database'!$H1536))),OR(Query!$B$6="All",ISNUMBER(SEARCH(Query!$B$6,'Compliance Database'!$I1536))),OR(Query!$B$7="All",'Compliance Database'!$F1536=Query!$B$7),OR(Query!$B$8="All",'Compliance Database'!$J1536=Query!$B$8),OR(Query!$B$9="",ISNUMBER(SEARCH(Query!$B$9,'Compliance Database'!$D1536&amp;" "&amp;'Compliance Database'!$K1536&amp;" "&amp;'Compliance Database'!$L1536&amp;" "&amp;'Compliance Database'!$M1536&amp;" "&amp;'Compliance Database'!$N1536&amp;" "&amp;'Compliance Database'!$O1536))),OR(Query!$B$10&lt;&gt;"Yes",'Compliance Database'!$F1536&lt;&gt;"None")),1,0)</f>
        <v/>
      </c>
      <c r="B1536">
        <f>IF($A1536=1,SUM($A$2:$A1536),"")</f>
        <v/>
      </c>
      <c r="C1536">
        <f>IF($A1536=1,SUM($A$2:$A1536),0)</f>
        <v/>
      </c>
    </row>
    <row r="1537">
      <c r="A1537">
        <f>IF(AND(OR(Query!$B$4="All",'Compliance Database'!$A1537=Query!$B$4),OR(Query!$B$5="All",ISNUMBER(SEARCH(Query!$B$5,'Compliance Database'!$H1537))),OR(Query!$B$6="All",ISNUMBER(SEARCH(Query!$B$6,'Compliance Database'!$I1537))),OR(Query!$B$7="All",'Compliance Database'!$F1537=Query!$B$7),OR(Query!$B$8="All",'Compliance Database'!$J1537=Query!$B$8),OR(Query!$B$9="",ISNUMBER(SEARCH(Query!$B$9,'Compliance Database'!$D1537&amp;" "&amp;'Compliance Database'!$K1537&amp;" "&amp;'Compliance Database'!$L1537&amp;" "&amp;'Compliance Database'!$M1537&amp;" "&amp;'Compliance Database'!$N1537&amp;" "&amp;'Compliance Database'!$O1537))),OR(Query!$B$10&lt;&gt;"Yes",'Compliance Database'!$F1537&lt;&gt;"None")),1,0)</f>
        <v/>
      </c>
      <c r="B1537">
        <f>IF($A1537=1,SUM($A$2:$A1537),"")</f>
        <v/>
      </c>
      <c r="C1537">
        <f>IF($A1537=1,SUM($A$2:$A1537),0)</f>
        <v/>
      </c>
    </row>
    <row r="1538">
      <c r="A1538">
        <f>IF(AND(OR(Query!$B$4="All",'Compliance Database'!$A1538=Query!$B$4),OR(Query!$B$5="All",ISNUMBER(SEARCH(Query!$B$5,'Compliance Database'!$H1538))),OR(Query!$B$6="All",ISNUMBER(SEARCH(Query!$B$6,'Compliance Database'!$I1538))),OR(Query!$B$7="All",'Compliance Database'!$F1538=Query!$B$7),OR(Query!$B$8="All",'Compliance Database'!$J1538=Query!$B$8),OR(Query!$B$9="",ISNUMBER(SEARCH(Query!$B$9,'Compliance Database'!$D1538&amp;" "&amp;'Compliance Database'!$K1538&amp;" "&amp;'Compliance Database'!$L1538&amp;" "&amp;'Compliance Database'!$M1538&amp;" "&amp;'Compliance Database'!$N1538&amp;" "&amp;'Compliance Database'!$O1538))),OR(Query!$B$10&lt;&gt;"Yes",'Compliance Database'!$F1538&lt;&gt;"None")),1,0)</f>
        <v/>
      </c>
      <c r="B1538">
        <f>IF($A1538=1,SUM($A$2:$A1538),"")</f>
        <v/>
      </c>
      <c r="C1538">
        <f>IF($A1538=1,SUM($A$2:$A1538),0)</f>
        <v/>
      </c>
    </row>
    <row r="1539">
      <c r="A1539">
        <f>IF(AND(OR(Query!$B$4="All",'Compliance Database'!$A1539=Query!$B$4),OR(Query!$B$5="All",ISNUMBER(SEARCH(Query!$B$5,'Compliance Database'!$H1539))),OR(Query!$B$6="All",ISNUMBER(SEARCH(Query!$B$6,'Compliance Database'!$I1539))),OR(Query!$B$7="All",'Compliance Database'!$F1539=Query!$B$7),OR(Query!$B$8="All",'Compliance Database'!$J1539=Query!$B$8),OR(Query!$B$9="",ISNUMBER(SEARCH(Query!$B$9,'Compliance Database'!$D1539&amp;" "&amp;'Compliance Database'!$K1539&amp;" "&amp;'Compliance Database'!$L1539&amp;" "&amp;'Compliance Database'!$M1539&amp;" "&amp;'Compliance Database'!$N1539&amp;" "&amp;'Compliance Database'!$O1539))),OR(Query!$B$10&lt;&gt;"Yes",'Compliance Database'!$F1539&lt;&gt;"None")),1,0)</f>
        <v/>
      </c>
      <c r="B1539">
        <f>IF($A1539=1,SUM($A$2:$A1539),"")</f>
        <v/>
      </c>
      <c r="C1539">
        <f>IF($A1539=1,SUM($A$2:$A1539),0)</f>
        <v/>
      </c>
    </row>
    <row r="1540">
      <c r="A1540">
        <f>IF(AND(OR(Query!$B$4="All",'Compliance Database'!$A1540=Query!$B$4),OR(Query!$B$5="All",ISNUMBER(SEARCH(Query!$B$5,'Compliance Database'!$H1540))),OR(Query!$B$6="All",ISNUMBER(SEARCH(Query!$B$6,'Compliance Database'!$I1540))),OR(Query!$B$7="All",'Compliance Database'!$F1540=Query!$B$7),OR(Query!$B$8="All",'Compliance Database'!$J1540=Query!$B$8),OR(Query!$B$9="",ISNUMBER(SEARCH(Query!$B$9,'Compliance Database'!$D1540&amp;" "&amp;'Compliance Database'!$K1540&amp;" "&amp;'Compliance Database'!$L1540&amp;" "&amp;'Compliance Database'!$M1540&amp;" "&amp;'Compliance Database'!$N1540&amp;" "&amp;'Compliance Database'!$O1540))),OR(Query!$B$10&lt;&gt;"Yes",'Compliance Database'!$F1540&lt;&gt;"None")),1,0)</f>
        <v/>
      </c>
      <c r="B1540">
        <f>IF($A1540=1,SUM($A$2:$A1540),"")</f>
        <v/>
      </c>
      <c r="C1540">
        <f>IF($A1540=1,SUM($A$2:$A1540),0)</f>
        <v/>
      </c>
    </row>
    <row r="1541">
      <c r="A1541">
        <f>IF(AND(OR(Query!$B$4="All",'Compliance Database'!$A1541=Query!$B$4),OR(Query!$B$5="All",ISNUMBER(SEARCH(Query!$B$5,'Compliance Database'!$H1541))),OR(Query!$B$6="All",ISNUMBER(SEARCH(Query!$B$6,'Compliance Database'!$I1541))),OR(Query!$B$7="All",'Compliance Database'!$F1541=Query!$B$7),OR(Query!$B$8="All",'Compliance Database'!$J1541=Query!$B$8),OR(Query!$B$9="",ISNUMBER(SEARCH(Query!$B$9,'Compliance Database'!$D1541&amp;" "&amp;'Compliance Database'!$K1541&amp;" "&amp;'Compliance Database'!$L1541&amp;" "&amp;'Compliance Database'!$M1541&amp;" "&amp;'Compliance Database'!$N1541&amp;" "&amp;'Compliance Database'!$O1541))),OR(Query!$B$10&lt;&gt;"Yes",'Compliance Database'!$F1541&lt;&gt;"None")),1,0)</f>
        <v/>
      </c>
      <c r="B1541">
        <f>IF($A1541=1,SUM($A$2:$A1541),"")</f>
        <v/>
      </c>
      <c r="C1541">
        <f>IF($A1541=1,SUM($A$2:$A1541),0)</f>
        <v/>
      </c>
    </row>
    <row r="1542">
      <c r="A1542">
        <f>IF(AND(OR(Query!$B$4="All",'Compliance Database'!$A1542=Query!$B$4),OR(Query!$B$5="All",ISNUMBER(SEARCH(Query!$B$5,'Compliance Database'!$H1542))),OR(Query!$B$6="All",ISNUMBER(SEARCH(Query!$B$6,'Compliance Database'!$I1542))),OR(Query!$B$7="All",'Compliance Database'!$F1542=Query!$B$7),OR(Query!$B$8="All",'Compliance Database'!$J1542=Query!$B$8),OR(Query!$B$9="",ISNUMBER(SEARCH(Query!$B$9,'Compliance Database'!$D1542&amp;" "&amp;'Compliance Database'!$K1542&amp;" "&amp;'Compliance Database'!$L1542&amp;" "&amp;'Compliance Database'!$M1542&amp;" "&amp;'Compliance Database'!$N1542&amp;" "&amp;'Compliance Database'!$O1542))),OR(Query!$B$10&lt;&gt;"Yes",'Compliance Database'!$F1542&lt;&gt;"None")),1,0)</f>
        <v/>
      </c>
      <c r="B1542">
        <f>IF($A1542=1,SUM($A$2:$A1542),"")</f>
        <v/>
      </c>
      <c r="C1542">
        <f>IF($A1542=1,SUM($A$2:$A1542),0)</f>
        <v/>
      </c>
    </row>
    <row r="1543">
      <c r="A1543">
        <f>IF(AND(OR(Query!$B$4="All",'Compliance Database'!$A1543=Query!$B$4),OR(Query!$B$5="All",ISNUMBER(SEARCH(Query!$B$5,'Compliance Database'!$H1543))),OR(Query!$B$6="All",ISNUMBER(SEARCH(Query!$B$6,'Compliance Database'!$I1543))),OR(Query!$B$7="All",'Compliance Database'!$F1543=Query!$B$7),OR(Query!$B$8="All",'Compliance Database'!$J1543=Query!$B$8),OR(Query!$B$9="",ISNUMBER(SEARCH(Query!$B$9,'Compliance Database'!$D1543&amp;" "&amp;'Compliance Database'!$K1543&amp;" "&amp;'Compliance Database'!$L1543&amp;" "&amp;'Compliance Database'!$M1543&amp;" "&amp;'Compliance Database'!$N1543&amp;" "&amp;'Compliance Database'!$O1543))),OR(Query!$B$10&lt;&gt;"Yes",'Compliance Database'!$F1543&lt;&gt;"None")),1,0)</f>
        <v/>
      </c>
      <c r="B1543">
        <f>IF($A1543=1,SUM($A$2:$A1543),"")</f>
        <v/>
      </c>
      <c r="C1543">
        <f>IF($A1543=1,SUM($A$2:$A1543),0)</f>
        <v/>
      </c>
    </row>
    <row r="1544">
      <c r="A1544">
        <f>IF(AND(OR(Query!$B$4="All",'Compliance Database'!$A1544=Query!$B$4),OR(Query!$B$5="All",ISNUMBER(SEARCH(Query!$B$5,'Compliance Database'!$H1544))),OR(Query!$B$6="All",ISNUMBER(SEARCH(Query!$B$6,'Compliance Database'!$I1544))),OR(Query!$B$7="All",'Compliance Database'!$F1544=Query!$B$7),OR(Query!$B$8="All",'Compliance Database'!$J1544=Query!$B$8),OR(Query!$B$9="",ISNUMBER(SEARCH(Query!$B$9,'Compliance Database'!$D1544&amp;" "&amp;'Compliance Database'!$K1544&amp;" "&amp;'Compliance Database'!$L1544&amp;" "&amp;'Compliance Database'!$M1544&amp;" "&amp;'Compliance Database'!$N1544&amp;" "&amp;'Compliance Database'!$O1544))),OR(Query!$B$10&lt;&gt;"Yes",'Compliance Database'!$F1544&lt;&gt;"None")),1,0)</f>
        <v/>
      </c>
      <c r="B1544">
        <f>IF($A1544=1,SUM($A$2:$A1544),"")</f>
        <v/>
      </c>
      <c r="C1544">
        <f>IF($A1544=1,SUM($A$2:$A1544),0)</f>
        <v/>
      </c>
    </row>
    <row r="1545">
      <c r="A1545">
        <f>IF(AND(OR(Query!$B$4="All",'Compliance Database'!$A1545=Query!$B$4),OR(Query!$B$5="All",ISNUMBER(SEARCH(Query!$B$5,'Compliance Database'!$H1545))),OR(Query!$B$6="All",ISNUMBER(SEARCH(Query!$B$6,'Compliance Database'!$I1545))),OR(Query!$B$7="All",'Compliance Database'!$F1545=Query!$B$7),OR(Query!$B$8="All",'Compliance Database'!$J1545=Query!$B$8),OR(Query!$B$9="",ISNUMBER(SEARCH(Query!$B$9,'Compliance Database'!$D1545&amp;" "&amp;'Compliance Database'!$K1545&amp;" "&amp;'Compliance Database'!$L1545&amp;" "&amp;'Compliance Database'!$M1545&amp;" "&amp;'Compliance Database'!$N1545&amp;" "&amp;'Compliance Database'!$O1545))),OR(Query!$B$10&lt;&gt;"Yes",'Compliance Database'!$F1545&lt;&gt;"None")),1,0)</f>
        <v/>
      </c>
      <c r="B1545">
        <f>IF($A1545=1,SUM($A$2:$A1545),"")</f>
        <v/>
      </c>
      <c r="C1545">
        <f>IF($A1545=1,SUM($A$2:$A1545),0)</f>
        <v/>
      </c>
    </row>
    <row r="1546">
      <c r="A1546">
        <f>IF(AND(OR(Query!$B$4="All",'Compliance Database'!$A1546=Query!$B$4),OR(Query!$B$5="All",ISNUMBER(SEARCH(Query!$B$5,'Compliance Database'!$H1546))),OR(Query!$B$6="All",ISNUMBER(SEARCH(Query!$B$6,'Compliance Database'!$I1546))),OR(Query!$B$7="All",'Compliance Database'!$F1546=Query!$B$7),OR(Query!$B$8="All",'Compliance Database'!$J1546=Query!$B$8),OR(Query!$B$9="",ISNUMBER(SEARCH(Query!$B$9,'Compliance Database'!$D1546&amp;" "&amp;'Compliance Database'!$K1546&amp;" "&amp;'Compliance Database'!$L1546&amp;" "&amp;'Compliance Database'!$M1546&amp;" "&amp;'Compliance Database'!$N1546&amp;" "&amp;'Compliance Database'!$O1546))),OR(Query!$B$10&lt;&gt;"Yes",'Compliance Database'!$F1546&lt;&gt;"None")),1,0)</f>
        <v/>
      </c>
      <c r="B1546">
        <f>IF($A1546=1,SUM($A$2:$A1546),"")</f>
        <v/>
      </c>
      <c r="C1546">
        <f>IF($A1546=1,SUM($A$2:$A1546),0)</f>
        <v/>
      </c>
    </row>
    <row r="1547">
      <c r="A1547">
        <f>IF(AND(OR(Query!$B$4="All",'Compliance Database'!$A1547=Query!$B$4),OR(Query!$B$5="All",ISNUMBER(SEARCH(Query!$B$5,'Compliance Database'!$H1547))),OR(Query!$B$6="All",ISNUMBER(SEARCH(Query!$B$6,'Compliance Database'!$I1547))),OR(Query!$B$7="All",'Compliance Database'!$F1547=Query!$B$7),OR(Query!$B$8="All",'Compliance Database'!$J1547=Query!$B$8),OR(Query!$B$9="",ISNUMBER(SEARCH(Query!$B$9,'Compliance Database'!$D1547&amp;" "&amp;'Compliance Database'!$K1547&amp;" "&amp;'Compliance Database'!$L1547&amp;" "&amp;'Compliance Database'!$M1547&amp;" "&amp;'Compliance Database'!$N1547&amp;" "&amp;'Compliance Database'!$O1547))),OR(Query!$B$10&lt;&gt;"Yes",'Compliance Database'!$F1547&lt;&gt;"None")),1,0)</f>
        <v/>
      </c>
      <c r="B1547">
        <f>IF($A1547=1,SUM($A$2:$A1547),"")</f>
        <v/>
      </c>
      <c r="C1547">
        <f>IF($A1547=1,SUM($A$2:$A1547),0)</f>
        <v/>
      </c>
    </row>
    <row r="1548">
      <c r="A1548">
        <f>IF(AND(OR(Query!$B$4="All",'Compliance Database'!$A1548=Query!$B$4),OR(Query!$B$5="All",ISNUMBER(SEARCH(Query!$B$5,'Compliance Database'!$H1548))),OR(Query!$B$6="All",ISNUMBER(SEARCH(Query!$B$6,'Compliance Database'!$I1548))),OR(Query!$B$7="All",'Compliance Database'!$F1548=Query!$B$7),OR(Query!$B$8="All",'Compliance Database'!$J1548=Query!$B$8),OR(Query!$B$9="",ISNUMBER(SEARCH(Query!$B$9,'Compliance Database'!$D1548&amp;" "&amp;'Compliance Database'!$K1548&amp;" "&amp;'Compliance Database'!$L1548&amp;" "&amp;'Compliance Database'!$M1548&amp;" "&amp;'Compliance Database'!$N1548&amp;" "&amp;'Compliance Database'!$O1548))),OR(Query!$B$10&lt;&gt;"Yes",'Compliance Database'!$F1548&lt;&gt;"None")),1,0)</f>
        <v/>
      </c>
      <c r="B1548">
        <f>IF($A1548=1,SUM($A$2:$A1548),"")</f>
        <v/>
      </c>
      <c r="C1548">
        <f>IF($A1548=1,SUM($A$2:$A1548),0)</f>
        <v/>
      </c>
    </row>
    <row r="1549">
      <c r="A1549">
        <f>IF(AND(OR(Query!$B$4="All",'Compliance Database'!$A1549=Query!$B$4),OR(Query!$B$5="All",ISNUMBER(SEARCH(Query!$B$5,'Compliance Database'!$H1549))),OR(Query!$B$6="All",ISNUMBER(SEARCH(Query!$B$6,'Compliance Database'!$I1549))),OR(Query!$B$7="All",'Compliance Database'!$F1549=Query!$B$7),OR(Query!$B$8="All",'Compliance Database'!$J1549=Query!$B$8),OR(Query!$B$9="",ISNUMBER(SEARCH(Query!$B$9,'Compliance Database'!$D1549&amp;" "&amp;'Compliance Database'!$K1549&amp;" "&amp;'Compliance Database'!$L1549&amp;" "&amp;'Compliance Database'!$M1549&amp;" "&amp;'Compliance Database'!$N1549&amp;" "&amp;'Compliance Database'!$O1549))),OR(Query!$B$10&lt;&gt;"Yes",'Compliance Database'!$F1549&lt;&gt;"None")),1,0)</f>
        <v/>
      </c>
      <c r="B1549">
        <f>IF($A1549=1,SUM($A$2:$A1549),"")</f>
        <v/>
      </c>
      <c r="C1549">
        <f>IF($A1549=1,SUM($A$2:$A1549),0)</f>
        <v/>
      </c>
    </row>
    <row r="1550">
      <c r="A1550">
        <f>IF(AND(OR(Query!$B$4="All",'Compliance Database'!$A1550=Query!$B$4),OR(Query!$B$5="All",ISNUMBER(SEARCH(Query!$B$5,'Compliance Database'!$H1550))),OR(Query!$B$6="All",ISNUMBER(SEARCH(Query!$B$6,'Compliance Database'!$I1550))),OR(Query!$B$7="All",'Compliance Database'!$F1550=Query!$B$7),OR(Query!$B$8="All",'Compliance Database'!$J1550=Query!$B$8),OR(Query!$B$9="",ISNUMBER(SEARCH(Query!$B$9,'Compliance Database'!$D1550&amp;" "&amp;'Compliance Database'!$K1550&amp;" "&amp;'Compliance Database'!$L1550&amp;" "&amp;'Compliance Database'!$M1550&amp;" "&amp;'Compliance Database'!$N1550&amp;" "&amp;'Compliance Database'!$O1550))),OR(Query!$B$10&lt;&gt;"Yes",'Compliance Database'!$F1550&lt;&gt;"None")),1,0)</f>
        <v/>
      </c>
      <c r="B1550">
        <f>IF($A1550=1,SUM($A$2:$A1550),"")</f>
        <v/>
      </c>
      <c r="C1550">
        <f>IF($A1550=1,SUM($A$2:$A1550),0)</f>
        <v/>
      </c>
    </row>
    <row r="1551">
      <c r="A1551">
        <f>IF(AND(OR(Query!$B$4="All",'Compliance Database'!$A1551=Query!$B$4),OR(Query!$B$5="All",ISNUMBER(SEARCH(Query!$B$5,'Compliance Database'!$H1551))),OR(Query!$B$6="All",ISNUMBER(SEARCH(Query!$B$6,'Compliance Database'!$I1551))),OR(Query!$B$7="All",'Compliance Database'!$F1551=Query!$B$7),OR(Query!$B$8="All",'Compliance Database'!$J1551=Query!$B$8),OR(Query!$B$9="",ISNUMBER(SEARCH(Query!$B$9,'Compliance Database'!$D1551&amp;" "&amp;'Compliance Database'!$K1551&amp;" "&amp;'Compliance Database'!$L1551&amp;" "&amp;'Compliance Database'!$M1551&amp;" "&amp;'Compliance Database'!$N1551&amp;" "&amp;'Compliance Database'!$O1551))),OR(Query!$B$10&lt;&gt;"Yes",'Compliance Database'!$F1551&lt;&gt;"None")),1,0)</f>
        <v/>
      </c>
      <c r="B1551">
        <f>IF($A1551=1,SUM($A$2:$A1551),"")</f>
        <v/>
      </c>
      <c r="C1551">
        <f>IF($A1551=1,SUM($A$2:$A1551),0)</f>
        <v/>
      </c>
    </row>
    <row r="1552">
      <c r="A1552">
        <f>IF(AND(OR(Query!$B$4="All",'Compliance Database'!$A1552=Query!$B$4),OR(Query!$B$5="All",ISNUMBER(SEARCH(Query!$B$5,'Compliance Database'!$H1552))),OR(Query!$B$6="All",ISNUMBER(SEARCH(Query!$B$6,'Compliance Database'!$I1552))),OR(Query!$B$7="All",'Compliance Database'!$F1552=Query!$B$7),OR(Query!$B$8="All",'Compliance Database'!$J1552=Query!$B$8),OR(Query!$B$9="",ISNUMBER(SEARCH(Query!$B$9,'Compliance Database'!$D1552&amp;" "&amp;'Compliance Database'!$K1552&amp;" "&amp;'Compliance Database'!$L1552&amp;" "&amp;'Compliance Database'!$M1552&amp;" "&amp;'Compliance Database'!$N1552&amp;" "&amp;'Compliance Database'!$O1552))),OR(Query!$B$10&lt;&gt;"Yes",'Compliance Database'!$F1552&lt;&gt;"None")),1,0)</f>
        <v/>
      </c>
      <c r="B1552">
        <f>IF($A1552=1,SUM($A$2:$A1552),"")</f>
        <v/>
      </c>
      <c r="C1552">
        <f>IF($A1552=1,SUM($A$2:$A1552),0)</f>
        <v/>
      </c>
    </row>
    <row r="1553">
      <c r="A1553">
        <f>IF(AND(OR(Query!$B$4="All",'Compliance Database'!$A1553=Query!$B$4),OR(Query!$B$5="All",ISNUMBER(SEARCH(Query!$B$5,'Compliance Database'!$H1553))),OR(Query!$B$6="All",ISNUMBER(SEARCH(Query!$B$6,'Compliance Database'!$I1553))),OR(Query!$B$7="All",'Compliance Database'!$F1553=Query!$B$7),OR(Query!$B$8="All",'Compliance Database'!$J1553=Query!$B$8),OR(Query!$B$9="",ISNUMBER(SEARCH(Query!$B$9,'Compliance Database'!$D1553&amp;" "&amp;'Compliance Database'!$K1553&amp;" "&amp;'Compliance Database'!$L1553&amp;" "&amp;'Compliance Database'!$M1553&amp;" "&amp;'Compliance Database'!$N1553&amp;" "&amp;'Compliance Database'!$O1553))),OR(Query!$B$10&lt;&gt;"Yes",'Compliance Database'!$F1553&lt;&gt;"None")),1,0)</f>
        <v/>
      </c>
      <c r="B1553">
        <f>IF($A1553=1,SUM($A$2:$A1553),"")</f>
        <v/>
      </c>
      <c r="C1553">
        <f>IF($A1553=1,SUM($A$2:$A1553),0)</f>
        <v/>
      </c>
    </row>
    <row r="1554">
      <c r="A1554">
        <f>IF(AND(OR(Query!$B$4="All",'Compliance Database'!$A1554=Query!$B$4),OR(Query!$B$5="All",ISNUMBER(SEARCH(Query!$B$5,'Compliance Database'!$H1554))),OR(Query!$B$6="All",ISNUMBER(SEARCH(Query!$B$6,'Compliance Database'!$I1554))),OR(Query!$B$7="All",'Compliance Database'!$F1554=Query!$B$7),OR(Query!$B$8="All",'Compliance Database'!$J1554=Query!$B$8),OR(Query!$B$9="",ISNUMBER(SEARCH(Query!$B$9,'Compliance Database'!$D1554&amp;" "&amp;'Compliance Database'!$K1554&amp;" "&amp;'Compliance Database'!$L1554&amp;" "&amp;'Compliance Database'!$M1554&amp;" "&amp;'Compliance Database'!$N1554&amp;" "&amp;'Compliance Database'!$O1554))),OR(Query!$B$10&lt;&gt;"Yes",'Compliance Database'!$F1554&lt;&gt;"None")),1,0)</f>
        <v/>
      </c>
      <c r="B1554">
        <f>IF($A1554=1,SUM($A$2:$A1554),"")</f>
        <v/>
      </c>
      <c r="C1554">
        <f>IF($A1554=1,SUM($A$2:$A1554),0)</f>
        <v/>
      </c>
    </row>
    <row r="1555">
      <c r="A1555">
        <f>IF(AND(OR(Query!$B$4="All",'Compliance Database'!$A1555=Query!$B$4),OR(Query!$B$5="All",ISNUMBER(SEARCH(Query!$B$5,'Compliance Database'!$H1555))),OR(Query!$B$6="All",ISNUMBER(SEARCH(Query!$B$6,'Compliance Database'!$I1555))),OR(Query!$B$7="All",'Compliance Database'!$F1555=Query!$B$7),OR(Query!$B$8="All",'Compliance Database'!$J1555=Query!$B$8),OR(Query!$B$9="",ISNUMBER(SEARCH(Query!$B$9,'Compliance Database'!$D1555&amp;" "&amp;'Compliance Database'!$K1555&amp;" "&amp;'Compliance Database'!$L1555&amp;" "&amp;'Compliance Database'!$M1555&amp;" "&amp;'Compliance Database'!$N1555&amp;" "&amp;'Compliance Database'!$O1555))),OR(Query!$B$10&lt;&gt;"Yes",'Compliance Database'!$F1555&lt;&gt;"None")),1,0)</f>
        <v/>
      </c>
      <c r="B1555">
        <f>IF($A1555=1,SUM($A$2:$A1555),"")</f>
        <v/>
      </c>
      <c r="C1555">
        <f>IF($A1555=1,SUM($A$2:$A1555),0)</f>
        <v/>
      </c>
    </row>
    <row r="1556">
      <c r="A1556">
        <f>IF(AND(OR(Query!$B$4="All",'Compliance Database'!$A1556=Query!$B$4),OR(Query!$B$5="All",ISNUMBER(SEARCH(Query!$B$5,'Compliance Database'!$H1556))),OR(Query!$B$6="All",ISNUMBER(SEARCH(Query!$B$6,'Compliance Database'!$I1556))),OR(Query!$B$7="All",'Compliance Database'!$F1556=Query!$B$7),OR(Query!$B$8="All",'Compliance Database'!$J1556=Query!$B$8),OR(Query!$B$9="",ISNUMBER(SEARCH(Query!$B$9,'Compliance Database'!$D1556&amp;" "&amp;'Compliance Database'!$K1556&amp;" "&amp;'Compliance Database'!$L1556&amp;" "&amp;'Compliance Database'!$M1556&amp;" "&amp;'Compliance Database'!$N1556&amp;" "&amp;'Compliance Database'!$O1556))),OR(Query!$B$10&lt;&gt;"Yes",'Compliance Database'!$F1556&lt;&gt;"None")),1,0)</f>
        <v/>
      </c>
      <c r="B1556">
        <f>IF($A1556=1,SUM($A$2:$A1556),"")</f>
        <v/>
      </c>
      <c r="C1556">
        <f>IF($A1556=1,SUM($A$2:$A1556),0)</f>
        <v/>
      </c>
    </row>
    <row r="1557">
      <c r="A1557">
        <f>IF(AND(OR(Query!$B$4="All",'Compliance Database'!$A1557=Query!$B$4),OR(Query!$B$5="All",ISNUMBER(SEARCH(Query!$B$5,'Compliance Database'!$H1557))),OR(Query!$B$6="All",ISNUMBER(SEARCH(Query!$B$6,'Compliance Database'!$I1557))),OR(Query!$B$7="All",'Compliance Database'!$F1557=Query!$B$7),OR(Query!$B$8="All",'Compliance Database'!$J1557=Query!$B$8),OR(Query!$B$9="",ISNUMBER(SEARCH(Query!$B$9,'Compliance Database'!$D1557&amp;" "&amp;'Compliance Database'!$K1557&amp;" "&amp;'Compliance Database'!$L1557&amp;" "&amp;'Compliance Database'!$M1557&amp;" "&amp;'Compliance Database'!$N1557&amp;" "&amp;'Compliance Database'!$O1557))),OR(Query!$B$10&lt;&gt;"Yes",'Compliance Database'!$F1557&lt;&gt;"None")),1,0)</f>
        <v/>
      </c>
      <c r="B1557">
        <f>IF($A1557=1,SUM($A$2:$A1557),"")</f>
        <v/>
      </c>
      <c r="C1557">
        <f>IF($A1557=1,SUM($A$2:$A1557),0)</f>
        <v/>
      </c>
    </row>
    <row r="1558">
      <c r="A1558">
        <f>IF(AND(OR(Query!$B$4="All",'Compliance Database'!$A1558=Query!$B$4),OR(Query!$B$5="All",ISNUMBER(SEARCH(Query!$B$5,'Compliance Database'!$H1558))),OR(Query!$B$6="All",ISNUMBER(SEARCH(Query!$B$6,'Compliance Database'!$I1558))),OR(Query!$B$7="All",'Compliance Database'!$F1558=Query!$B$7),OR(Query!$B$8="All",'Compliance Database'!$J1558=Query!$B$8),OR(Query!$B$9="",ISNUMBER(SEARCH(Query!$B$9,'Compliance Database'!$D1558&amp;" "&amp;'Compliance Database'!$K1558&amp;" "&amp;'Compliance Database'!$L1558&amp;" "&amp;'Compliance Database'!$M1558&amp;" "&amp;'Compliance Database'!$N1558&amp;" "&amp;'Compliance Database'!$O1558))),OR(Query!$B$10&lt;&gt;"Yes",'Compliance Database'!$F1558&lt;&gt;"None")),1,0)</f>
        <v/>
      </c>
      <c r="B1558">
        <f>IF($A1558=1,SUM($A$2:$A1558),"")</f>
        <v/>
      </c>
      <c r="C1558">
        <f>IF($A1558=1,SUM($A$2:$A1558),0)</f>
        <v/>
      </c>
    </row>
    <row r="1559">
      <c r="A1559">
        <f>IF(AND(OR(Query!$B$4="All",'Compliance Database'!$A1559=Query!$B$4),OR(Query!$B$5="All",ISNUMBER(SEARCH(Query!$B$5,'Compliance Database'!$H1559))),OR(Query!$B$6="All",ISNUMBER(SEARCH(Query!$B$6,'Compliance Database'!$I1559))),OR(Query!$B$7="All",'Compliance Database'!$F1559=Query!$B$7),OR(Query!$B$8="All",'Compliance Database'!$J1559=Query!$B$8),OR(Query!$B$9="",ISNUMBER(SEARCH(Query!$B$9,'Compliance Database'!$D1559&amp;" "&amp;'Compliance Database'!$K1559&amp;" "&amp;'Compliance Database'!$L1559&amp;" "&amp;'Compliance Database'!$M1559&amp;" "&amp;'Compliance Database'!$N1559&amp;" "&amp;'Compliance Database'!$O1559))),OR(Query!$B$10&lt;&gt;"Yes",'Compliance Database'!$F1559&lt;&gt;"None")),1,0)</f>
        <v/>
      </c>
      <c r="B1559">
        <f>IF($A1559=1,SUM($A$2:$A1559),"")</f>
        <v/>
      </c>
      <c r="C1559">
        <f>IF($A1559=1,SUM($A$2:$A1559),0)</f>
        <v/>
      </c>
    </row>
    <row r="1560">
      <c r="A1560">
        <f>IF(AND(OR(Query!$B$4="All",'Compliance Database'!$A1560=Query!$B$4),OR(Query!$B$5="All",ISNUMBER(SEARCH(Query!$B$5,'Compliance Database'!$H1560))),OR(Query!$B$6="All",ISNUMBER(SEARCH(Query!$B$6,'Compliance Database'!$I1560))),OR(Query!$B$7="All",'Compliance Database'!$F1560=Query!$B$7),OR(Query!$B$8="All",'Compliance Database'!$J1560=Query!$B$8),OR(Query!$B$9="",ISNUMBER(SEARCH(Query!$B$9,'Compliance Database'!$D1560&amp;" "&amp;'Compliance Database'!$K1560&amp;" "&amp;'Compliance Database'!$L1560&amp;" "&amp;'Compliance Database'!$M1560&amp;" "&amp;'Compliance Database'!$N1560&amp;" "&amp;'Compliance Database'!$O1560))),OR(Query!$B$10&lt;&gt;"Yes",'Compliance Database'!$F1560&lt;&gt;"None")),1,0)</f>
        <v/>
      </c>
      <c r="B1560">
        <f>IF($A1560=1,SUM($A$2:$A1560),"")</f>
        <v/>
      </c>
      <c r="C1560">
        <f>IF($A1560=1,SUM($A$2:$A1560),0)</f>
        <v/>
      </c>
    </row>
    <row r="1561">
      <c r="A1561">
        <f>IF(AND(OR(Query!$B$4="All",'Compliance Database'!$A1561=Query!$B$4),OR(Query!$B$5="All",ISNUMBER(SEARCH(Query!$B$5,'Compliance Database'!$H1561))),OR(Query!$B$6="All",ISNUMBER(SEARCH(Query!$B$6,'Compliance Database'!$I1561))),OR(Query!$B$7="All",'Compliance Database'!$F1561=Query!$B$7),OR(Query!$B$8="All",'Compliance Database'!$J1561=Query!$B$8),OR(Query!$B$9="",ISNUMBER(SEARCH(Query!$B$9,'Compliance Database'!$D1561&amp;" "&amp;'Compliance Database'!$K1561&amp;" "&amp;'Compliance Database'!$L1561&amp;" "&amp;'Compliance Database'!$M1561&amp;" "&amp;'Compliance Database'!$N1561&amp;" "&amp;'Compliance Database'!$O1561))),OR(Query!$B$10&lt;&gt;"Yes",'Compliance Database'!$F1561&lt;&gt;"None")),1,0)</f>
        <v/>
      </c>
      <c r="B1561">
        <f>IF($A1561=1,SUM($A$2:$A1561),"")</f>
        <v/>
      </c>
      <c r="C1561">
        <f>IF($A1561=1,SUM($A$2:$A1561),0)</f>
        <v/>
      </c>
    </row>
    <row r="1562">
      <c r="A1562">
        <f>IF(AND(OR(Query!$B$4="All",'Compliance Database'!$A1562=Query!$B$4),OR(Query!$B$5="All",ISNUMBER(SEARCH(Query!$B$5,'Compliance Database'!$H1562))),OR(Query!$B$6="All",ISNUMBER(SEARCH(Query!$B$6,'Compliance Database'!$I1562))),OR(Query!$B$7="All",'Compliance Database'!$F1562=Query!$B$7),OR(Query!$B$8="All",'Compliance Database'!$J1562=Query!$B$8),OR(Query!$B$9="",ISNUMBER(SEARCH(Query!$B$9,'Compliance Database'!$D1562&amp;" "&amp;'Compliance Database'!$K1562&amp;" "&amp;'Compliance Database'!$L1562&amp;" "&amp;'Compliance Database'!$M1562&amp;" "&amp;'Compliance Database'!$N1562&amp;" "&amp;'Compliance Database'!$O1562))),OR(Query!$B$10&lt;&gt;"Yes",'Compliance Database'!$F1562&lt;&gt;"None")),1,0)</f>
        <v/>
      </c>
      <c r="B1562">
        <f>IF($A1562=1,SUM($A$2:$A1562),"")</f>
        <v/>
      </c>
      <c r="C1562">
        <f>IF($A1562=1,SUM($A$2:$A1562),0)</f>
        <v/>
      </c>
    </row>
    <row r="1563">
      <c r="A1563">
        <f>IF(AND(OR(Query!$B$4="All",'Compliance Database'!$A1563=Query!$B$4),OR(Query!$B$5="All",ISNUMBER(SEARCH(Query!$B$5,'Compliance Database'!$H1563))),OR(Query!$B$6="All",ISNUMBER(SEARCH(Query!$B$6,'Compliance Database'!$I1563))),OR(Query!$B$7="All",'Compliance Database'!$F1563=Query!$B$7),OR(Query!$B$8="All",'Compliance Database'!$J1563=Query!$B$8),OR(Query!$B$9="",ISNUMBER(SEARCH(Query!$B$9,'Compliance Database'!$D1563&amp;" "&amp;'Compliance Database'!$K1563&amp;" "&amp;'Compliance Database'!$L1563&amp;" "&amp;'Compliance Database'!$M1563&amp;" "&amp;'Compliance Database'!$N1563&amp;" "&amp;'Compliance Database'!$O1563))),OR(Query!$B$10&lt;&gt;"Yes",'Compliance Database'!$F1563&lt;&gt;"None")),1,0)</f>
        <v/>
      </c>
      <c r="B1563">
        <f>IF($A1563=1,SUM($A$2:$A1563),"")</f>
        <v/>
      </c>
      <c r="C1563">
        <f>IF($A1563=1,SUM($A$2:$A1563),0)</f>
        <v/>
      </c>
    </row>
    <row r="1564">
      <c r="A1564">
        <f>IF(AND(OR(Query!$B$4="All",'Compliance Database'!$A1564=Query!$B$4),OR(Query!$B$5="All",ISNUMBER(SEARCH(Query!$B$5,'Compliance Database'!$H1564))),OR(Query!$B$6="All",ISNUMBER(SEARCH(Query!$B$6,'Compliance Database'!$I1564))),OR(Query!$B$7="All",'Compliance Database'!$F1564=Query!$B$7),OR(Query!$B$8="All",'Compliance Database'!$J1564=Query!$B$8),OR(Query!$B$9="",ISNUMBER(SEARCH(Query!$B$9,'Compliance Database'!$D1564&amp;" "&amp;'Compliance Database'!$K1564&amp;" "&amp;'Compliance Database'!$L1564&amp;" "&amp;'Compliance Database'!$M1564&amp;" "&amp;'Compliance Database'!$N1564&amp;" "&amp;'Compliance Database'!$O1564))),OR(Query!$B$10&lt;&gt;"Yes",'Compliance Database'!$F1564&lt;&gt;"None")),1,0)</f>
        <v/>
      </c>
      <c r="B1564">
        <f>IF($A1564=1,SUM($A$2:$A1564),"")</f>
        <v/>
      </c>
      <c r="C1564">
        <f>IF($A1564=1,SUM($A$2:$A1564),0)</f>
        <v/>
      </c>
    </row>
    <row r="1565">
      <c r="A1565">
        <f>IF(AND(OR(Query!$B$4="All",'Compliance Database'!$A1565=Query!$B$4),OR(Query!$B$5="All",ISNUMBER(SEARCH(Query!$B$5,'Compliance Database'!$H1565))),OR(Query!$B$6="All",ISNUMBER(SEARCH(Query!$B$6,'Compliance Database'!$I1565))),OR(Query!$B$7="All",'Compliance Database'!$F1565=Query!$B$7),OR(Query!$B$8="All",'Compliance Database'!$J1565=Query!$B$8),OR(Query!$B$9="",ISNUMBER(SEARCH(Query!$B$9,'Compliance Database'!$D1565&amp;" "&amp;'Compliance Database'!$K1565&amp;" "&amp;'Compliance Database'!$L1565&amp;" "&amp;'Compliance Database'!$M1565&amp;" "&amp;'Compliance Database'!$N1565&amp;" "&amp;'Compliance Database'!$O1565))),OR(Query!$B$10&lt;&gt;"Yes",'Compliance Database'!$F1565&lt;&gt;"None")),1,0)</f>
        <v/>
      </c>
      <c r="B1565">
        <f>IF($A1565=1,SUM($A$2:$A1565),"")</f>
        <v/>
      </c>
      <c r="C1565">
        <f>IF($A1565=1,SUM($A$2:$A1565),0)</f>
        <v/>
      </c>
    </row>
    <row r="1566">
      <c r="A1566">
        <f>IF(AND(OR(Query!$B$4="All",'Compliance Database'!$A1566=Query!$B$4),OR(Query!$B$5="All",ISNUMBER(SEARCH(Query!$B$5,'Compliance Database'!$H1566))),OR(Query!$B$6="All",ISNUMBER(SEARCH(Query!$B$6,'Compliance Database'!$I1566))),OR(Query!$B$7="All",'Compliance Database'!$F1566=Query!$B$7),OR(Query!$B$8="All",'Compliance Database'!$J1566=Query!$B$8),OR(Query!$B$9="",ISNUMBER(SEARCH(Query!$B$9,'Compliance Database'!$D1566&amp;" "&amp;'Compliance Database'!$K1566&amp;" "&amp;'Compliance Database'!$L1566&amp;" "&amp;'Compliance Database'!$M1566&amp;" "&amp;'Compliance Database'!$N1566&amp;" "&amp;'Compliance Database'!$O1566))),OR(Query!$B$10&lt;&gt;"Yes",'Compliance Database'!$F1566&lt;&gt;"None")),1,0)</f>
        <v/>
      </c>
      <c r="B1566">
        <f>IF($A1566=1,SUM($A$2:$A1566),"")</f>
        <v/>
      </c>
      <c r="C1566">
        <f>IF($A1566=1,SUM($A$2:$A1566),0)</f>
        <v/>
      </c>
    </row>
    <row r="1567">
      <c r="A1567">
        <f>IF(AND(OR(Query!$B$4="All",'Compliance Database'!$A1567=Query!$B$4),OR(Query!$B$5="All",ISNUMBER(SEARCH(Query!$B$5,'Compliance Database'!$H1567))),OR(Query!$B$6="All",ISNUMBER(SEARCH(Query!$B$6,'Compliance Database'!$I1567))),OR(Query!$B$7="All",'Compliance Database'!$F1567=Query!$B$7),OR(Query!$B$8="All",'Compliance Database'!$J1567=Query!$B$8),OR(Query!$B$9="",ISNUMBER(SEARCH(Query!$B$9,'Compliance Database'!$D1567&amp;" "&amp;'Compliance Database'!$K1567&amp;" "&amp;'Compliance Database'!$L1567&amp;" "&amp;'Compliance Database'!$M1567&amp;" "&amp;'Compliance Database'!$N1567&amp;" "&amp;'Compliance Database'!$O1567))),OR(Query!$B$10&lt;&gt;"Yes",'Compliance Database'!$F1567&lt;&gt;"None")),1,0)</f>
        <v/>
      </c>
      <c r="B1567">
        <f>IF($A1567=1,SUM($A$2:$A1567),"")</f>
        <v/>
      </c>
      <c r="C1567">
        <f>IF($A1567=1,SUM($A$2:$A1567),0)</f>
        <v/>
      </c>
    </row>
    <row r="1568">
      <c r="A1568">
        <f>IF(AND(OR(Query!$B$4="All",'Compliance Database'!$A1568=Query!$B$4),OR(Query!$B$5="All",ISNUMBER(SEARCH(Query!$B$5,'Compliance Database'!$H1568))),OR(Query!$B$6="All",ISNUMBER(SEARCH(Query!$B$6,'Compliance Database'!$I1568))),OR(Query!$B$7="All",'Compliance Database'!$F1568=Query!$B$7),OR(Query!$B$8="All",'Compliance Database'!$J1568=Query!$B$8),OR(Query!$B$9="",ISNUMBER(SEARCH(Query!$B$9,'Compliance Database'!$D1568&amp;" "&amp;'Compliance Database'!$K1568&amp;" "&amp;'Compliance Database'!$L1568&amp;" "&amp;'Compliance Database'!$M1568&amp;" "&amp;'Compliance Database'!$N1568&amp;" "&amp;'Compliance Database'!$O1568))),OR(Query!$B$10&lt;&gt;"Yes",'Compliance Database'!$F1568&lt;&gt;"None")),1,0)</f>
        <v/>
      </c>
      <c r="B1568">
        <f>IF($A1568=1,SUM($A$2:$A1568),"")</f>
        <v/>
      </c>
      <c r="C1568">
        <f>IF($A1568=1,SUM($A$2:$A1568),0)</f>
        <v/>
      </c>
    </row>
    <row r="1569">
      <c r="A1569">
        <f>IF(AND(OR(Query!$B$4="All",'Compliance Database'!$A1569=Query!$B$4),OR(Query!$B$5="All",ISNUMBER(SEARCH(Query!$B$5,'Compliance Database'!$H1569))),OR(Query!$B$6="All",ISNUMBER(SEARCH(Query!$B$6,'Compliance Database'!$I1569))),OR(Query!$B$7="All",'Compliance Database'!$F1569=Query!$B$7),OR(Query!$B$8="All",'Compliance Database'!$J1569=Query!$B$8),OR(Query!$B$9="",ISNUMBER(SEARCH(Query!$B$9,'Compliance Database'!$D1569&amp;" "&amp;'Compliance Database'!$K1569&amp;" "&amp;'Compliance Database'!$L1569&amp;" "&amp;'Compliance Database'!$M1569&amp;" "&amp;'Compliance Database'!$N1569&amp;" "&amp;'Compliance Database'!$O1569))),OR(Query!$B$10&lt;&gt;"Yes",'Compliance Database'!$F1569&lt;&gt;"None")),1,0)</f>
        <v/>
      </c>
      <c r="B1569">
        <f>IF($A1569=1,SUM($A$2:$A1569),"")</f>
        <v/>
      </c>
      <c r="C1569">
        <f>IF($A1569=1,SUM($A$2:$A1569),0)</f>
        <v/>
      </c>
    </row>
    <row r="1570">
      <c r="A1570">
        <f>IF(AND(OR(Query!$B$4="All",'Compliance Database'!$A1570=Query!$B$4),OR(Query!$B$5="All",ISNUMBER(SEARCH(Query!$B$5,'Compliance Database'!$H1570))),OR(Query!$B$6="All",ISNUMBER(SEARCH(Query!$B$6,'Compliance Database'!$I1570))),OR(Query!$B$7="All",'Compliance Database'!$F1570=Query!$B$7),OR(Query!$B$8="All",'Compliance Database'!$J1570=Query!$B$8),OR(Query!$B$9="",ISNUMBER(SEARCH(Query!$B$9,'Compliance Database'!$D1570&amp;" "&amp;'Compliance Database'!$K1570&amp;" "&amp;'Compliance Database'!$L1570&amp;" "&amp;'Compliance Database'!$M1570&amp;" "&amp;'Compliance Database'!$N1570&amp;" "&amp;'Compliance Database'!$O1570))),OR(Query!$B$10&lt;&gt;"Yes",'Compliance Database'!$F1570&lt;&gt;"None")),1,0)</f>
        <v/>
      </c>
      <c r="B1570">
        <f>IF($A1570=1,SUM($A$2:$A1570),"")</f>
        <v/>
      </c>
      <c r="C1570">
        <f>IF($A1570=1,SUM($A$2:$A1570),0)</f>
        <v/>
      </c>
    </row>
    <row r="1571">
      <c r="A1571">
        <f>IF(AND(OR(Query!$B$4="All",'Compliance Database'!$A1571=Query!$B$4),OR(Query!$B$5="All",ISNUMBER(SEARCH(Query!$B$5,'Compliance Database'!$H1571))),OR(Query!$B$6="All",ISNUMBER(SEARCH(Query!$B$6,'Compliance Database'!$I1571))),OR(Query!$B$7="All",'Compliance Database'!$F1571=Query!$B$7),OR(Query!$B$8="All",'Compliance Database'!$J1571=Query!$B$8),OR(Query!$B$9="",ISNUMBER(SEARCH(Query!$B$9,'Compliance Database'!$D1571&amp;" "&amp;'Compliance Database'!$K1571&amp;" "&amp;'Compliance Database'!$L1571&amp;" "&amp;'Compliance Database'!$M1571&amp;" "&amp;'Compliance Database'!$N1571&amp;" "&amp;'Compliance Database'!$O1571))),OR(Query!$B$10&lt;&gt;"Yes",'Compliance Database'!$F1571&lt;&gt;"None")),1,0)</f>
        <v/>
      </c>
      <c r="B1571">
        <f>IF($A1571=1,SUM($A$2:$A1571),"")</f>
        <v/>
      </c>
      <c r="C1571">
        <f>IF($A1571=1,SUM($A$2:$A1571),0)</f>
        <v/>
      </c>
    </row>
    <row r="1572">
      <c r="A1572">
        <f>IF(AND(OR(Query!$B$4="All",'Compliance Database'!$A1572=Query!$B$4),OR(Query!$B$5="All",ISNUMBER(SEARCH(Query!$B$5,'Compliance Database'!$H1572))),OR(Query!$B$6="All",ISNUMBER(SEARCH(Query!$B$6,'Compliance Database'!$I1572))),OR(Query!$B$7="All",'Compliance Database'!$F1572=Query!$B$7),OR(Query!$B$8="All",'Compliance Database'!$J1572=Query!$B$8),OR(Query!$B$9="",ISNUMBER(SEARCH(Query!$B$9,'Compliance Database'!$D1572&amp;" "&amp;'Compliance Database'!$K1572&amp;" "&amp;'Compliance Database'!$L1572&amp;" "&amp;'Compliance Database'!$M1572&amp;" "&amp;'Compliance Database'!$N1572&amp;" "&amp;'Compliance Database'!$O1572))),OR(Query!$B$10&lt;&gt;"Yes",'Compliance Database'!$F1572&lt;&gt;"None")),1,0)</f>
        <v/>
      </c>
      <c r="B1572">
        <f>IF($A1572=1,SUM($A$2:$A1572),"")</f>
        <v/>
      </c>
      <c r="C1572">
        <f>IF($A1572=1,SUM($A$2:$A1572),0)</f>
        <v/>
      </c>
    </row>
    <row r="1573">
      <c r="A1573">
        <f>IF(AND(OR(Query!$B$4="All",'Compliance Database'!$A1573=Query!$B$4),OR(Query!$B$5="All",ISNUMBER(SEARCH(Query!$B$5,'Compliance Database'!$H1573))),OR(Query!$B$6="All",ISNUMBER(SEARCH(Query!$B$6,'Compliance Database'!$I1573))),OR(Query!$B$7="All",'Compliance Database'!$F1573=Query!$B$7),OR(Query!$B$8="All",'Compliance Database'!$J1573=Query!$B$8),OR(Query!$B$9="",ISNUMBER(SEARCH(Query!$B$9,'Compliance Database'!$D1573&amp;" "&amp;'Compliance Database'!$K1573&amp;" "&amp;'Compliance Database'!$L1573&amp;" "&amp;'Compliance Database'!$M1573&amp;" "&amp;'Compliance Database'!$N1573&amp;" "&amp;'Compliance Database'!$O1573))),OR(Query!$B$10&lt;&gt;"Yes",'Compliance Database'!$F1573&lt;&gt;"None")),1,0)</f>
        <v/>
      </c>
      <c r="B1573">
        <f>IF($A1573=1,SUM($A$2:$A1573),"")</f>
        <v/>
      </c>
      <c r="C1573">
        <f>IF($A1573=1,SUM($A$2:$A1573),0)</f>
        <v/>
      </c>
    </row>
    <row r="1574">
      <c r="A1574">
        <f>IF(AND(OR(Query!$B$4="All",'Compliance Database'!$A1574=Query!$B$4),OR(Query!$B$5="All",ISNUMBER(SEARCH(Query!$B$5,'Compliance Database'!$H1574))),OR(Query!$B$6="All",ISNUMBER(SEARCH(Query!$B$6,'Compliance Database'!$I1574))),OR(Query!$B$7="All",'Compliance Database'!$F1574=Query!$B$7),OR(Query!$B$8="All",'Compliance Database'!$J1574=Query!$B$8),OR(Query!$B$9="",ISNUMBER(SEARCH(Query!$B$9,'Compliance Database'!$D1574&amp;" "&amp;'Compliance Database'!$K1574&amp;" "&amp;'Compliance Database'!$L1574&amp;" "&amp;'Compliance Database'!$M1574&amp;" "&amp;'Compliance Database'!$N1574&amp;" "&amp;'Compliance Database'!$O1574))),OR(Query!$B$10&lt;&gt;"Yes",'Compliance Database'!$F1574&lt;&gt;"None")),1,0)</f>
        <v/>
      </c>
      <c r="B1574">
        <f>IF($A1574=1,SUM($A$2:$A1574),"")</f>
        <v/>
      </c>
      <c r="C1574">
        <f>IF($A1574=1,SUM($A$2:$A1574),0)</f>
        <v/>
      </c>
    </row>
    <row r="1575">
      <c r="A1575">
        <f>IF(AND(OR(Query!$B$4="All",'Compliance Database'!$A1575=Query!$B$4),OR(Query!$B$5="All",ISNUMBER(SEARCH(Query!$B$5,'Compliance Database'!$H1575))),OR(Query!$B$6="All",ISNUMBER(SEARCH(Query!$B$6,'Compliance Database'!$I1575))),OR(Query!$B$7="All",'Compliance Database'!$F1575=Query!$B$7),OR(Query!$B$8="All",'Compliance Database'!$J1575=Query!$B$8),OR(Query!$B$9="",ISNUMBER(SEARCH(Query!$B$9,'Compliance Database'!$D1575&amp;" "&amp;'Compliance Database'!$K1575&amp;" "&amp;'Compliance Database'!$L1575&amp;" "&amp;'Compliance Database'!$M1575&amp;" "&amp;'Compliance Database'!$N1575&amp;" "&amp;'Compliance Database'!$O1575))),OR(Query!$B$10&lt;&gt;"Yes",'Compliance Database'!$F1575&lt;&gt;"None")),1,0)</f>
        <v/>
      </c>
      <c r="B1575">
        <f>IF($A1575=1,SUM($A$2:$A1575),"")</f>
        <v/>
      </c>
      <c r="C1575">
        <f>IF($A1575=1,SUM($A$2:$A1575),0)</f>
        <v/>
      </c>
    </row>
    <row r="1576">
      <c r="A1576">
        <f>IF(AND(OR(Query!$B$4="All",'Compliance Database'!$A1576=Query!$B$4),OR(Query!$B$5="All",ISNUMBER(SEARCH(Query!$B$5,'Compliance Database'!$H1576))),OR(Query!$B$6="All",ISNUMBER(SEARCH(Query!$B$6,'Compliance Database'!$I1576))),OR(Query!$B$7="All",'Compliance Database'!$F1576=Query!$B$7),OR(Query!$B$8="All",'Compliance Database'!$J1576=Query!$B$8),OR(Query!$B$9="",ISNUMBER(SEARCH(Query!$B$9,'Compliance Database'!$D1576&amp;" "&amp;'Compliance Database'!$K1576&amp;" "&amp;'Compliance Database'!$L1576&amp;" "&amp;'Compliance Database'!$M1576&amp;" "&amp;'Compliance Database'!$N1576&amp;" "&amp;'Compliance Database'!$O1576))),OR(Query!$B$10&lt;&gt;"Yes",'Compliance Database'!$F1576&lt;&gt;"None")),1,0)</f>
        <v/>
      </c>
      <c r="B1576">
        <f>IF($A1576=1,SUM($A$2:$A1576),"")</f>
        <v/>
      </c>
      <c r="C1576">
        <f>IF($A1576=1,SUM($A$2:$A1576),0)</f>
        <v/>
      </c>
    </row>
    <row r="1577">
      <c r="A1577">
        <f>IF(AND(OR(Query!$B$4="All",'Compliance Database'!$A1577=Query!$B$4),OR(Query!$B$5="All",ISNUMBER(SEARCH(Query!$B$5,'Compliance Database'!$H1577))),OR(Query!$B$6="All",ISNUMBER(SEARCH(Query!$B$6,'Compliance Database'!$I1577))),OR(Query!$B$7="All",'Compliance Database'!$F1577=Query!$B$7),OR(Query!$B$8="All",'Compliance Database'!$J1577=Query!$B$8),OR(Query!$B$9="",ISNUMBER(SEARCH(Query!$B$9,'Compliance Database'!$D1577&amp;" "&amp;'Compliance Database'!$K1577&amp;" "&amp;'Compliance Database'!$L1577&amp;" "&amp;'Compliance Database'!$M1577&amp;" "&amp;'Compliance Database'!$N1577&amp;" "&amp;'Compliance Database'!$O1577))),OR(Query!$B$10&lt;&gt;"Yes",'Compliance Database'!$F1577&lt;&gt;"None")),1,0)</f>
        <v/>
      </c>
      <c r="B1577">
        <f>IF($A1577=1,SUM($A$2:$A1577),"")</f>
        <v/>
      </c>
      <c r="C1577">
        <f>IF($A1577=1,SUM($A$2:$A1577),0)</f>
        <v/>
      </c>
    </row>
    <row r="1578">
      <c r="A1578">
        <f>IF(AND(OR(Query!$B$4="All",'Compliance Database'!$A1578=Query!$B$4),OR(Query!$B$5="All",ISNUMBER(SEARCH(Query!$B$5,'Compliance Database'!$H1578))),OR(Query!$B$6="All",ISNUMBER(SEARCH(Query!$B$6,'Compliance Database'!$I1578))),OR(Query!$B$7="All",'Compliance Database'!$F1578=Query!$B$7),OR(Query!$B$8="All",'Compliance Database'!$J1578=Query!$B$8),OR(Query!$B$9="",ISNUMBER(SEARCH(Query!$B$9,'Compliance Database'!$D1578&amp;" "&amp;'Compliance Database'!$K1578&amp;" "&amp;'Compliance Database'!$L1578&amp;" "&amp;'Compliance Database'!$M1578&amp;" "&amp;'Compliance Database'!$N1578&amp;" "&amp;'Compliance Database'!$O1578))),OR(Query!$B$10&lt;&gt;"Yes",'Compliance Database'!$F1578&lt;&gt;"None")),1,0)</f>
        <v/>
      </c>
      <c r="B1578">
        <f>IF($A1578=1,SUM($A$2:$A1578),"")</f>
        <v/>
      </c>
      <c r="C1578">
        <f>IF($A1578=1,SUM($A$2:$A1578),0)</f>
        <v/>
      </c>
    </row>
    <row r="1579">
      <c r="A1579">
        <f>IF(AND(OR(Query!$B$4="All",'Compliance Database'!$A1579=Query!$B$4),OR(Query!$B$5="All",ISNUMBER(SEARCH(Query!$B$5,'Compliance Database'!$H1579))),OR(Query!$B$6="All",ISNUMBER(SEARCH(Query!$B$6,'Compliance Database'!$I1579))),OR(Query!$B$7="All",'Compliance Database'!$F1579=Query!$B$7),OR(Query!$B$8="All",'Compliance Database'!$J1579=Query!$B$8),OR(Query!$B$9="",ISNUMBER(SEARCH(Query!$B$9,'Compliance Database'!$D1579&amp;" "&amp;'Compliance Database'!$K1579&amp;" "&amp;'Compliance Database'!$L1579&amp;" "&amp;'Compliance Database'!$M1579&amp;" "&amp;'Compliance Database'!$N1579&amp;" "&amp;'Compliance Database'!$O1579))),OR(Query!$B$10&lt;&gt;"Yes",'Compliance Database'!$F1579&lt;&gt;"None")),1,0)</f>
        <v/>
      </c>
      <c r="B1579">
        <f>IF($A1579=1,SUM($A$2:$A1579),"")</f>
        <v/>
      </c>
      <c r="C1579">
        <f>IF($A1579=1,SUM($A$2:$A1579),0)</f>
        <v/>
      </c>
    </row>
    <row r="1580">
      <c r="A1580">
        <f>IF(AND(OR(Query!$B$4="All",'Compliance Database'!$A1580=Query!$B$4),OR(Query!$B$5="All",ISNUMBER(SEARCH(Query!$B$5,'Compliance Database'!$H1580))),OR(Query!$B$6="All",ISNUMBER(SEARCH(Query!$B$6,'Compliance Database'!$I1580))),OR(Query!$B$7="All",'Compliance Database'!$F1580=Query!$B$7),OR(Query!$B$8="All",'Compliance Database'!$J1580=Query!$B$8),OR(Query!$B$9="",ISNUMBER(SEARCH(Query!$B$9,'Compliance Database'!$D1580&amp;" "&amp;'Compliance Database'!$K1580&amp;" "&amp;'Compliance Database'!$L1580&amp;" "&amp;'Compliance Database'!$M1580&amp;" "&amp;'Compliance Database'!$N1580&amp;" "&amp;'Compliance Database'!$O1580))),OR(Query!$B$10&lt;&gt;"Yes",'Compliance Database'!$F1580&lt;&gt;"None")),1,0)</f>
        <v/>
      </c>
      <c r="B1580">
        <f>IF($A1580=1,SUM($A$2:$A1580),"")</f>
        <v/>
      </c>
      <c r="C1580">
        <f>IF($A1580=1,SUM($A$2:$A1580),0)</f>
        <v/>
      </c>
    </row>
    <row r="1581">
      <c r="A1581">
        <f>IF(AND(OR(Query!$B$4="All",'Compliance Database'!$A1581=Query!$B$4),OR(Query!$B$5="All",ISNUMBER(SEARCH(Query!$B$5,'Compliance Database'!$H1581))),OR(Query!$B$6="All",ISNUMBER(SEARCH(Query!$B$6,'Compliance Database'!$I1581))),OR(Query!$B$7="All",'Compliance Database'!$F1581=Query!$B$7),OR(Query!$B$8="All",'Compliance Database'!$J1581=Query!$B$8),OR(Query!$B$9="",ISNUMBER(SEARCH(Query!$B$9,'Compliance Database'!$D1581&amp;" "&amp;'Compliance Database'!$K1581&amp;" "&amp;'Compliance Database'!$L1581&amp;" "&amp;'Compliance Database'!$M1581&amp;" "&amp;'Compliance Database'!$N1581&amp;" "&amp;'Compliance Database'!$O1581))),OR(Query!$B$10&lt;&gt;"Yes",'Compliance Database'!$F1581&lt;&gt;"None")),1,0)</f>
        <v/>
      </c>
      <c r="B1581">
        <f>IF($A1581=1,SUM($A$2:$A1581),"")</f>
        <v/>
      </c>
      <c r="C1581">
        <f>IF($A1581=1,SUM($A$2:$A1581),0)</f>
        <v/>
      </c>
    </row>
    <row r="1582">
      <c r="A1582">
        <f>IF(AND(OR(Query!$B$4="All",'Compliance Database'!$A1582=Query!$B$4),OR(Query!$B$5="All",ISNUMBER(SEARCH(Query!$B$5,'Compliance Database'!$H1582))),OR(Query!$B$6="All",ISNUMBER(SEARCH(Query!$B$6,'Compliance Database'!$I1582))),OR(Query!$B$7="All",'Compliance Database'!$F1582=Query!$B$7),OR(Query!$B$8="All",'Compliance Database'!$J1582=Query!$B$8),OR(Query!$B$9="",ISNUMBER(SEARCH(Query!$B$9,'Compliance Database'!$D1582&amp;" "&amp;'Compliance Database'!$K1582&amp;" "&amp;'Compliance Database'!$L1582&amp;" "&amp;'Compliance Database'!$M1582&amp;" "&amp;'Compliance Database'!$N1582&amp;" "&amp;'Compliance Database'!$O1582))),OR(Query!$B$10&lt;&gt;"Yes",'Compliance Database'!$F1582&lt;&gt;"None")),1,0)</f>
        <v/>
      </c>
      <c r="B1582">
        <f>IF($A1582=1,SUM($A$2:$A1582),"")</f>
        <v/>
      </c>
      <c r="C1582">
        <f>IF($A1582=1,SUM($A$2:$A1582),0)</f>
        <v/>
      </c>
    </row>
    <row r="1583">
      <c r="A1583">
        <f>IF(AND(OR(Query!$B$4="All",'Compliance Database'!$A1583=Query!$B$4),OR(Query!$B$5="All",ISNUMBER(SEARCH(Query!$B$5,'Compliance Database'!$H1583))),OR(Query!$B$6="All",ISNUMBER(SEARCH(Query!$B$6,'Compliance Database'!$I1583))),OR(Query!$B$7="All",'Compliance Database'!$F1583=Query!$B$7),OR(Query!$B$8="All",'Compliance Database'!$J1583=Query!$B$8),OR(Query!$B$9="",ISNUMBER(SEARCH(Query!$B$9,'Compliance Database'!$D1583&amp;" "&amp;'Compliance Database'!$K1583&amp;" "&amp;'Compliance Database'!$L1583&amp;" "&amp;'Compliance Database'!$M1583&amp;" "&amp;'Compliance Database'!$N1583&amp;" "&amp;'Compliance Database'!$O1583))),OR(Query!$B$10&lt;&gt;"Yes",'Compliance Database'!$F1583&lt;&gt;"None")),1,0)</f>
        <v/>
      </c>
      <c r="B1583">
        <f>IF($A1583=1,SUM($A$2:$A1583),"")</f>
        <v/>
      </c>
      <c r="C1583">
        <f>IF($A1583=1,SUM($A$2:$A1583),0)</f>
        <v/>
      </c>
    </row>
    <row r="1584">
      <c r="A1584">
        <f>IF(AND(OR(Query!$B$4="All",'Compliance Database'!$A1584=Query!$B$4),OR(Query!$B$5="All",ISNUMBER(SEARCH(Query!$B$5,'Compliance Database'!$H1584))),OR(Query!$B$6="All",ISNUMBER(SEARCH(Query!$B$6,'Compliance Database'!$I1584))),OR(Query!$B$7="All",'Compliance Database'!$F1584=Query!$B$7),OR(Query!$B$8="All",'Compliance Database'!$J1584=Query!$B$8),OR(Query!$B$9="",ISNUMBER(SEARCH(Query!$B$9,'Compliance Database'!$D1584&amp;" "&amp;'Compliance Database'!$K1584&amp;" "&amp;'Compliance Database'!$L1584&amp;" "&amp;'Compliance Database'!$M1584&amp;" "&amp;'Compliance Database'!$N1584&amp;" "&amp;'Compliance Database'!$O1584))),OR(Query!$B$10&lt;&gt;"Yes",'Compliance Database'!$F1584&lt;&gt;"None")),1,0)</f>
        <v/>
      </c>
      <c r="B1584">
        <f>IF($A1584=1,SUM($A$2:$A1584),"")</f>
        <v/>
      </c>
      <c r="C1584">
        <f>IF($A1584=1,SUM($A$2:$A1584),0)</f>
        <v/>
      </c>
    </row>
    <row r="1585">
      <c r="A1585">
        <f>IF(AND(OR(Query!$B$4="All",'Compliance Database'!$A1585=Query!$B$4),OR(Query!$B$5="All",ISNUMBER(SEARCH(Query!$B$5,'Compliance Database'!$H1585))),OR(Query!$B$6="All",ISNUMBER(SEARCH(Query!$B$6,'Compliance Database'!$I1585))),OR(Query!$B$7="All",'Compliance Database'!$F1585=Query!$B$7),OR(Query!$B$8="All",'Compliance Database'!$J1585=Query!$B$8),OR(Query!$B$9="",ISNUMBER(SEARCH(Query!$B$9,'Compliance Database'!$D1585&amp;" "&amp;'Compliance Database'!$K1585&amp;" "&amp;'Compliance Database'!$L1585&amp;" "&amp;'Compliance Database'!$M1585&amp;" "&amp;'Compliance Database'!$N1585&amp;" "&amp;'Compliance Database'!$O1585))),OR(Query!$B$10&lt;&gt;"Yes",'Compliance Database'!$F1585&lt;&gt;"None")),1,0)</f>
        <v/>
      </c>
      <c r="B1585">
        <f>IF($A1585=1,SUM($A$2:$A1585),"")</f>
        <v/>
      </c>
      <c r="C1585">
        <f>IF($A1585=1,SUM($A$2:$A1585),0)</f>
        <v/>
      </c>
    </row>
    <row r="1586">
      <c r="A1586">
        <f>IF(AND(OR(Query!$B$4="All",'Compliance Database'!$A1586=Query!$B$4),OR(Query!$B$5="All",ISNUMBER(SEARCH(Query!$B$5,'Compliance Database'!$H1586))),OR(Query!$B$6="All",ISNUMBER(SEARCH(Query!$B$6,'Compliance Database'!$I1586))),OR(Query!$B$7="All",'Compliance Database'!$F1586=Query!$B$7),OR(Query!$B$8="All",'Compliance Database'!$J1586=Query!$B$8),OR(Query!$B$9="",ISNUMBER(SEARCH(Query!$B$9,'Compliance Database'!$D1586&amp;" "&amp;'Compliance Database'!$K1586&amp;" "&amp;'Compliance Database'!$L1586&amp;" "&amp;'Compliance Database'!$M1586&amp;" "&amp;'Compliance Database'!$N1586&amp;" "&amp;'Compliance Database'!$O1586))),OR(Query!$B$10&lt;&gt;"Yes",'Compliance Database'!$F1586&lt;&gt;"None")),1,0)</f>
        <v/>
      </c>
      <c r="B1586">
        <f>IF($A1586=1,SUM($A$2:$A1586),"")</f>
        <v/>
      </c>
      <c r="C1586">
        <f>IF($A1586=1,SUM($A$2:$A1586),0)</f>
        <v/>
      </c>
    </row>
    <row r="1587">
      <c r="A1587">
        <f>IF(AND(OR(Query!$B$4="All",'Compliance Database'!$A1587=Query!$B$4),OR(Query!$B$5="All",ISNUMBER(SEARCH(Query!$B$5,'Compliance Database'!$H1587))),OR(Query!$B$6="All",ISNUMBER(SEARCH(Query!$B$6,'Compliance Database'!$I1587))),OR(Query!$B$7="All",'Compliance Database'!$F1587=Query!$B$7),OR(Query!$B$8="All",'Compliance Database'!$J1587=Query!$B$8),OR(Query!$B$9="",ISNUMBER(SEARCH(Query!$B$9,'Compliance Database'!$D1587&amp;" "&amp;'Compliance Database'!$K1587&amp;" "&amp;'Compliance Database'!$L1587&amp;" "&amp;'Compliance Database'!$M1587&amp;" "&amp;'Compliance Database'!$N1587&amp;" "&amp;'Compliance Database'!$O1587))),OR(Query!$B$10&lt;&gt;"Yes",'Compliance Database'!$F1587&lt;&gt;"None")),1,0)</f>
        <v/>
      </c>
      <c r="B1587">
        <f>IF($A1587=1,SUM($A$2:$A1587),"")</f>
        <v/>
      </c>
      <c r="C1587">
        <f>IF($A1587=1,SUM($A$2:$A1587),0)</f>
        <v/>
      </c>
    </row>
    <row r="1588">
      <c r="A1588">
        <f>IF(AND(OR(Query!$B$4="All",'Compliance Database'!$A1588=Query!$B$4),OR(Query!$B$5="All",ISNUMBER(SEARCH(Query!$B$5,'Compliance Database'!$H1588))),OR(Query!$B$6="All",ISNUMBER(SEARCH(Query!$B$6,'Compliance Database'!$I1588))),OR(Query!$B$7="All",'Compliance Database'!$F1588=Query!$B$7),OR(Query!$B$8="All",'Compliance Database'!$J1588=Query!$B$8),OR(Query!$B$9="",ISNUMBER(SEARCH(Query!$B$9,'Compliance Database'!$D1588&amp;" "&amp;'Compliance Database'!$K1588&amp;" "&amp;'Compliance Database'!$L1588&amp;" "&amp;'Compliance Database'!$M1588&amp;" "&amp;'Compliance Database'!$N1588&amp;" "&amp;'Compliance Database'!$O1588))),OR(Query!$B$10&lt;&gt;"Yes",'Compliance Database'!$F1588&lt;&gt;"None")),1,0)</f>
        <v/>
      </c>
      <c r="B1588">
        <f>IF($A1588=1,SUM($A$2:$A1588),"")</f>
        <v/>
      </c>
      <c r="C1588">
        <f>IF($A1588=1,SUM($A$2:$A1588),0)</f>
        <v/>
      </c>
    </row>
    <row r="1589">
      <c r="A1589">
        <f>IF(AND(OR(Query!$B$4="All",'Compliance Database'!$A1589=Query!$B$4),OR(Query!$B$5="All",ISNUMBER(SEARCH(Query!$B$5,'Compliance Database'!$H1589))),OR(Query!$B$6="All",ISNUMBER(SEARCH(Query!$B$6,'Compliance Database'!$I1589))),OR(Query!$B$7="All",'Compliance Database'!$F1589=Query!$B$7),OR(Query!$B$8="All",'Compliance Database'!$J1589=Query!$B$8),OR(Query!$B$9="",ISNUMBER(SEARCH(Query!$B$9,'Compliance Database'!$D1589&amp;" "&amp;'Compliance Database'!$K1589&amp;" "&amp;'Compliance Database'!$L1589&amp;" "&amp;'Compliance Database'!$M1589&amp;" "&amp;'Compliance Database'!$N1589&amp;" "&amp;'Compliance Database'!$O1589))),OR(Query!$B$10&lt;&gt;"Yes",'Compliance Database'!$F1589&lt;&gt;"None")),1,0)</f>
        <v/>
      </c>
      <c r="B1589">
        <f>IF($A1589=1,SUM($A$2:$A1589),"")</f>
        <v/>
      </c>
      <c r="C1589">
        <f>IF($A1589=1,SUM($A$2:$A1589),0)</f>
        <v/>
      </c>
    </row>
    <row r="1590">
      <c r="A1590">
        <f>IF(AND(OR(Query!$B$4="All",'Compliance Database'!$A1590=Query!$B$4),OR(Query!$B$5="All",ISNUMBER(SEARCH(Query!$B$5,'Compliance Database'!$H1590))),OR(Query!$B$6="All",ISNUMBER(SEARCH(Query!$B$6,'Compliance Database'!$I1590))),OR(Query!$B$7="All",'Compliance Database'!$F1590=Query!$B$7),OR(Query!$B$8="All",'Compliance Database'!$J1590=Query!$B$8),OR(Query!$B$9="",ISNUMBER(SEARCH(Query!$B$9,'Compliance Database'!$D1590&amp;" "&amp;'Compliance Database'!$K1590&amp;" "&amp;'Compliance Database'!$L1590&amp;" "&amp;'Compliance Database'!$M1590&amp;" "&amp;'Compliance Database'!$N1590&amp;" "&amp;'Compliance Database'!$O1590))),OR(Query!$B$10&lt;&gt;"Yes",'Compliance Database'!$F1590&lt;&gt;"None")),1,0)</f>
        <v/>
      </c>
      <c r="B1590">
        <f>IF($A1590=1,SUM($A$2:$A1590),"")</f>
        <v/>
      </c>
      <c r="C1590">
        <f>IF($A1590=1,SUM($A$2:$A1590),0)</f>
        <v/>
      </c>
    </row>
    <row r="1591">
      <c r="A1591">
        <f>IF(AND(OR(Query!$B$4="All",'Compliance Database'!$A1591=Query!$B$4),OR(Query!$B$5="All",ISNUMBER(SEARCH(Query!$B$5,'Compliance Database'!$H1591))),OR(Query!$B$6="All",ISNUMBER(SEARCH(Query!$B$6,'Compliance Database'!$I1591))),OR(Query!$B$7="All",'Compliance Database'!$F1591=Query!$B$7),OR(Query!$B$8="All",'Compliance Database'!$J1591=Query!$B$8),OR(Query!$B$9="",ISNUMBER(SEARCH(Query!$B$9,'Compliance Database'!$D1591&amp;" "&amp;'Compliance Database'!$K1591&amp;" "&amp;'Compliance Database'!$L1591&amp;" "&amp;'Compliance Database'!$M1591&amp;" "&amp;'Compliance Database'!$N1591&amp;" "&amp;'Compliance Database'!$O1591))),OR(Query!$B$10&lt;&gt;"Yes",'Compliance Database'!$F1591&lt;&gt;"None")),1,0)</f>
        <v/>
      </c>
      <c r="B1591">
        <f>IF($A1591=1,SUM($A$2:$A1591),"")</f>
        <v/>
      </c>
      <c r="C1591">
        <f>IF($A1591=1,SUM($A$2:$A1591),0)</f>
        <v/>
      </c>
    </row>
    <row r="1592">
      <c r="A1592">
        <f>IF(AND(OR(Query!$B$4="All",'Compliance Database'!$A1592=Query!$B$4),OR(Query!$B$5="All",ISNUMBER(SEARCH(Query!$B$5,'Compliance Database'!$H1592))),OR(Query!$B$6="All",ISNUMBER(SEARCH(Query!$B$6,'Compliance Database'!$I1592))),OR(Query!$B$7="All",'Compliance Database'!$F1592=Query!$B$7),OR(Query!$B$8="All",'Compliance Database'!$J1592=Query!$B$8),OR(Query!$B$9="",ISNUMBER(SEARCH(Query!$B$9,'Compliance Database'!$D1592&amp;" "&amp;'Compliance Database'!$K1592&amp;" "&amp;'Compliance Database'!$L1592&amp;" "&amp;'Compliance Database'!$M1592&amp;" "&amp;'Compliance Database'!$N1592&amp;" "&amp;'Compliance Database'!$O1592))),OR(Query!$B$10&lt;&gt;"Yes",'Compliance Database'!$F1592&lt;&gt;"None")),1,0)</f>
        <v/>
      </c>
      <c r="B1592">
        <f>IF($A1592=1,SUM($A$2:$A1592),"")</f>
        <v/>
      </c>
      <c r="C1592">
        <f>IF($A1592=1,SUM($A$2:$A1592),0)</f>
        <v/>
      </c>
    </row>
    <row r="1593">
      <c r="A1593">
        <f>IF(AND(OR(Query!$B$4="All",'Compliance Database'!$A1593=Query!$B$4),OR(Query!$B$5="All",ISNUMBER(SEARCH(Query!$B$5,'Compliance Database'!$H1593))),OR(Query!$B$6="All",ISNUMBER(SEARCH(Query!$B$6,'Compliance Database'!$I1593))),OR(Query!$B$7="All",'Compliance Database'!$F1593=Query!$B$7),OR(Query!$B$8="All",'Compliance Database'!$J1593=Query!$B$8),OR(Query!$B$9="",ISNUMBER(SEARCH(Query!$B$9,'Compliance Database'!$D1593&amp;" "&amp;'Compliance Database'!$K1593&amp;" "&amp;'Compliance Database'!$L1593&amp;" "&amp;'Compliance Database'!$M1593&amp;" "&amp;'Compliance Database'!$N1593&amp;" "&amp;'Compliance Database'!$O1593))),OR(Query!$B$10&lt;&gt;"Yes",'Compliance Database'!$F1593&lt;&gt;"None")),1,0)</f>
        <v/>
      </c>
      <c r="B1593">
        <f>IF($A1593=1,SUM($A$2:$A1593),"")</f>
        <v/>
      </c>
      <c r="C1593">
        <f>IF($A1593=1,SUM($A$2:$A1593),0)</f>
        <v/>
      </c>
    </row>
    <row r="1594">
      <c r="A1594">
        <f>IF(AND(OR(Query!$B$4="All",'Compliance Database'!$A1594=Query!$B$4),OR(Query!$B$5="All",ISNUMBER(SEARCH(Query!$B$5,'Compliance Database'!$H1594))),OR(Query!$B$6="All",ISNUMBER(SEARCH(Query!$B$6,'Compliance Database'!$I1594))),OR(Query!$B$7="All",'Compliance Database'!$F1594=Query!$B$7),OR(Query!$B$8="All",'Compliance Database'!$J1594=Query!$B$8),OR(Query!$B$9="",ISNUMBER(SEARCH(Query!$B$9,'Compliance Database'!$D1594&amp;" "&amp;'Compliance Database'!$K1594&amp;" "&amp;'Compliance Database'!$L1594&amp;" "&amp;'Compliance Database'!$M1594&amp;" "&amp;'Compliance Database'!$N1594&amp;" "&amp;'Compliance Database'!$O1594))),OR(Query!$B$10&lt;&gt;"Yes",'Compliance Database'!$F1594&lt;&gt;"None")),1,0)</f>
        <v/>
      </c>
      <c r="B1594">
        <f>IF($A1594=1,SUM($A$2:$A1594),"")</f>
        <v/>
      </c>
      <c r="C1594">
        <f>IF($A1594=1,SUM($A$2:$A1594),0)</f>
        <v/>
      </c>
    </row>
    <row r="1595">
      <c r="A1595">
        <f>IF(AND(OR(Query!$B$4="All",'Compliance Database'!$A1595=Query!$B$4),OR(Query!$B$5="All",ISNUMBER(SEARCH(Query!$B$5,'Compliance Database'!$H1595))),OR(Query!$B$6="All",ISNUMBER(SEARCH(Query!$B$6,'Compliance Database'!$I1595))),OR(Query!$B$7="All",'Compliance Database'!$F1595=Query!$B$7),OR(Query!$B$8="All",'Compliance Database'!$J1595=Query!$B$8),OR(Query!$B$9="",ISNUMBER(SEARCH(Query!$B$9,'Compliance Database'!$D1595&amp;" "&amp;'Compliance Database'!$K1595&amp;" "&amp;'Compliance Database'!$L1595&amp;" "&amp;'Compliance Database'!$M1595&amp;" "&amp;'Compliance Database'!$N1595&amp;" "&amp;'Compliance Database'!$O1595))),OR(Query!$B$10&lt;&gt;"Yes",'Compliance Database'!$F1595&lt;&gt;"None")),1,0)</f>
        <v/>
      </c>
      <c r="B1595">
        <f>IF($A1595=1,SUM($A$2:$A1595),"")</f>
        <v/>
      </c>
      <c r="C1595">
        <f>IF($A1595=1,SUM($A$2:$A1595),0)</f>
        <v/>
      </c>
    </row>
    <row r="1596">
      <c r="A1596">
        <f>IF(AND(OR(Query!$B$4="All",'Compliance Database'!$A1596=Query!$B$4),OR(Query!$B$5="All",ISNUMBER(SEARCH(Query!$B$5,'Compliance Database'!$H1596))),OR(Query!$B$6="All",ISNUMBER(SEARCH(Query!$B$6,'Compliance Database'!$I1596))),OR(Query!$B$7="All",'Compliance Database'!$F1596=Query!$B$7),OR(Query!$B$8="All",'Compliance Database'!$J1596=Query!$B$8),OR(Query!$B$9="",ISNUMBER(SEARCH(Query!$B$9,'Compliance Database'!$D1596&amp;" "&amp;'Compliance Database'!$K1596&amp;" "&amp;'Compliance Database'!$L1596&amp;" "&amp;'Compliance Database'!$M1596&amp;" "&amp;'Compliance Database'!$N1596&amp;" "&amp;'Compliance Database'!$O1596))),OR(Query!$B$10&lt;&gt;"Yes",'Compliance Database'!$F1596&lt;&gt;"None")),1,0)</f>
        <v/>
      </c>
      <c r="B1596">
        <f>IF($A1596=1,SUM($A$2:$A1596),"")</f>
        <v/>
      </c>
      <c r="C1596">
        <f>IF($A1596=1,SUM($A$2:$A1596),0)</f>
        <v/>
      </c>
    </row>
    <row r="1597">
      <c r="A1597">
        <f>IF(AND(OR(Query!$B$4="All",'Compliance Database'!$A1597=Query!$B$4),OR(Query!$B$5="All",ISNUMBER(SEARCH(Query!$B$5,'Compliance Database'!$H1597))),OR(Query!$B$6="All",ISNUMBER(SEARCH(Query!$B$6,'Compliance Database'!$I1597))),OR(Query!$B$7="All",'Compliance Database'!$F1597=Query!$B$7),OR(Query!$B$8="All",'Compliance Database'!$J1597=Query!$B$8),OR(Query!$B$9="",ISNUMBER(SEARCH(Query!$B$9,'Compliance Database'!$D1597&amp;" "&amp;'Compliance Database'!$K1597&amp;" "&amp;'Compliance Database'!$L1597&amp;" "&amp;'Compliance Database'!$M1597&amp;" "&amp;'Compliance Database'!$N1597&amp;" "&amp;'Compliance Database'!$O1597))),OR(Query!$B$10&lt;&gt;"Yes",'Compliance Database'!$F1597&lt;&gt;"None")),1,0)</f>
        <v/>
      </c>
      <c r="B1597">
        <f>IF($A1597=1,SUM($A$2:$A1597),"")</f>
        <v/>
      </c>
      <c r="C1597">
        <f>IF($A1597=1,SUM($A$2:$A1597),0)</f>
        <v/>
      </c>
    </row>
    <row r="1598">
      <c r="A1598">
        <f>IF(AND(OR(Query!$B$4="All",'Compliance Database'!$A1598=Query!$B$4),OR(Query!$B$5="All",ISNUMBER(SEARCH(Query!$B$5,'Compliance Database'!$H1598))),OR(Query!$B$6="All",ISNUMBER(SEARCH(Query!$B$6,'Compliance Database'!$I1598))),OR(Query!$B$7="All",'Compliance Database'!$F1598=Query!$B$7),OR(Query!$B$8="All",'Compliance Database'!$J1598=Query!$B$8),OR(Query!$B$9="",ISNUMBER(SEARCH(Query!$B$9,'Compliance Database'!$D1598&amp;" "&amp;'Compliance Database'!$K1598&amp;" "&amp;'Compliance Database'!$L1598&amp;" "&amp;'Compliance Database'!$M1598&amp;" "&amp;'Compliance Database'!$N1598&amp;" "&amp;'Compliance Database'!$O1598))),OR(Query!$B$10&lt;&gt;"Yes",'Compliance Database'!$F1598&lt;&gt;"None")),1,0)</f>
        <v/>
      </c>
      <c r="B1598">
        <f>IF($A1598=1,SUM($A$2:$A1598),"")</f>
        <v/>
      </c>
      <c r="C1598">
        <f>IF($A1598=1,SUM($A$2:$A1598),0)</f>
        <v/>
      </c>
    </row>
    <row r="1599">
      <c r="A1599">
        <f>IF(AND(OR(Query!$B$4="All",'Compliance Database'!$A1599=Query!$B$4),OR(Query!$B$5="All",ISNUMBER(SEARCH(Query!$B$5,'Compliance Database'!$H1599))),OR(Query!$B$6="All",ISNUMBER(SEARCH(Query!$B$6,'Compliance Database'!$I1599))),OR(Query!$B$7="All",'Compliance Database'!$F1599=Query!$B$7),OR(Query!$B$8="All",'Compliance Database'!$J1599=Query!$B$8),OR(Query!$B$9="",ISNUMBER(SEARCH(Query!$B$9,'Compliance Database'!$D1599&amp;" "&amp;'Compliance Database'!$K1599&amp;" "&amp;'Compliance Database'!$L1599&amp;" "&amp;'Compliance Database'!$M1599&amp;" "&amp;'Compliance Database'!$N1599&amp;" "&amp;'Compliance Database'!$O1599))),OR(Query!$B$10&lt;&gt;"Yes",'Compliance Database'!$F1599&lt;&gt;"None")),1,0)</f>
        <v/>
      </c>
      <c r="B1599">
        <f>IF($A1599=1,SUM($A$2:$A1599),"")</f>
        <v/>
      </c>
      <c r="C1599">
        <f>IF($A1599=1,SUM($A$2:$A1599),0)</f>
        <v/>
      </c>
    </row>
    <row r="1600">
      <c r="A1600">
        <f>IF(AND(OR(Query!$B$4="All",'Compliance Database'!$A1600=Query!$B$4),OR(Query!$B$5="All",ISNUMBER(SEARCH(Query!$B$5,'Compliance Database'!$H1600))),OR(Query!$B$6="All",ISNUMBER(SEARCH(Query!$B$6,'Compliance Database'!$I1600))),OR(Query!$B$7="All",'Compliance Database'!$F1600=Query!$B$7),OR(Query!$B$8="All",'Compliance Database'!$J1600=Query!$B$8),OR(Query!$B$9="",ISNUMBER(SEARCH(Query!$B$9,'Compliance Database'!$D1600&amp;" "&amp;'Compliance Database'!$K1600&amp;" "&amp;'Compliance Database'!$L1600&amp;" "&amp;'Compliance Database'!$M1600&amp;" "&amp;'Compliance Database'!$N1600&amp;" "&amp;'Compliance Database'!$O1600))),OR(Query!$B$10&lt;&gt;"Yes",'Compliance Database'!$F1600&lt;&gt;"None")),1,0)</f>
        <v/>
      </c>
      <c r="B1600">
        <f>IF($A1600=1,SUM($A$2:$A1600),"")</f>
        <v/>
      </c>
      <c r="C1600">
        <f>IF($A1600=1,SUM($A$2:$A1600),0)</f>
        <v/>
      </c>
    </row>
    <row r="1601">
      <c r="A1601">
        <f>IF(AND(OR(Query!$B$4="All",'Compliance Database'!$A1601=Query!$B$4),OR(Query!$B$5="All",ISNUMBER(SEARCH(Query!$B$5,'Compliance Database'!$H1601))),OR(Query!$B$6="All",ISNUMBER(SEARCH(Query!$B$6,'Compliance Database'!$I1601))),OR(Query!$B$7="All",'Compliance Database'!$F1601=Query!$B$7),OR(Query!$B$8="All",'Compliance Database'!$J1601=Query!$B$8),OR(Query!$B$9="",ISNUMBER(SEARCH(Query!$B$9,'Compliance Database'!$D1601&amp;" "&amp;'Compliance Database'!$K1601&amp;" "&amp;'Compliance Database'!$L1601&amp;" "&amp;'Compliance Database'!$M1601&amp;" "&amp;'Compliance Database'!$N1601&amp;" "&amp;'Compliance Database'!$O1601))),OR(Query!$B$10&lt;&gt;"Yes",'Compliance Database'!$F1601&lt;&gt;"None")),1,0)</f>
        <v/>
      </c>
      <c r="B1601">
        <f>IF($A1601=1,SUM($A$2:$A1601),"")</f>
        <v/>
      </c>
      <c r="C1601">
        <f>IF($A1601=1,SUM($A$2:$A1601),0)</f>
        <v/>
      </c>
    </row>
    <row r="1602">
      <c r="A1602">
        <f>IF(AND(OR(Query!$B$4="All",'Compliance Database'!$A1602=Query!$B$4),OR(Query!$B$5="All",ISNUMBER(SEARCH(Query!$B$5,'Compliance Database'!$H1602))),OR(Query!$B$6="All",ISNUMBER(SEARCH(Query!$B$6,'Compliance Database'!$I1602))),OR(Query!$B$7="All",'Compliance Database'!$F1602=Query!$B$7),OR(Query!$B$8="All",'Compliance Database'!$J1602=Query!$B$8),OR(Query!$B$9="",ISNUMBER(SEARCH(Query!$B$9,'Compliance Database'!$D1602&amp;" "&amp;'Compliance Database'!$K1602&amp;" "&amp;'Compliance Database'!$L1602&amp;" "&amp;'Compliance Database'!$M1602&amp;" "&amp;'Compliance Database'!$N1602&amp;" "&amp;'Compliance Database'!$O1602))),OR(Query!$B$10&lt;&gt;"Yes",'Compliance Database'!$F1602&lt;&gt;"None")),1,0)</f>
        <v/>
      </c>
      <c r="B1602">
        <f>IF($A1602=1,SUM($A$2:$A1602),"")</f>
        <v/>
      </c>
      <c r="C1602">
        <f>IF($A1602=1,SUM($A$2:$A1602),0)</f>
        <v/>
      </c>
    </row>
    <row r="1603">
      <c r="A1603">
        <f>IF(AND(OR(Query!$B$4="All",'Compliance Database'!$A1603=Query!$B$4),OR(Query!$B$5="All",ISNUMBER(SEARCH(Query!$B$5,'Compliance Database'!$H1603))),OR(Query!$B$6="All",ISNUMBER(SEARCH(Query!$B$6,'Compliance Database'!$I1603))),OR(Query!$B$7="All",'Compliance Database'!$F1603=Query!$B$7),OR(Query!$B$8="All",'Compliance Database'!$J1603=Query!$B$8),OR(Query!$B$9="",ISNUMBER(SEARCH(Query!$B$9,'Compliance Database'!$D1603&amp;" "&amp;'Compliance Database'!$K1603&amp;" "&amp;'Compliance Database'!$L1603&amp;" "&amp;'Compliance Database'!$M1603&amp;" "&amp;'Compliance Database'!$N1603&amp;" "&amp;'Compliance Database'!$O1603))),OR(Query!$B$10&lt;&gt;"Yes",'Compliance Database'!$F1603&lt;&gt;"None")),1,0)</f>
        <v/>
      </c>
      <c r="B1603">
        <f>IF($A1603=1,SUM($A$2:$A1603),"")</f>
        <v/>
      </c>
      <c r="C1603">
        <f>IF($A1603=1,SUM($A$2:$A1603),0)</f>
        <v/>
      </c>
    </row>
    <row r="1604">
      <c r="A1604">
        <f>IF(AND(OR(Query!$B$4="All",'Compliance Database'!$A1604=Query!$B$4),OR(Query!$B$5="All",ISNUMBER(SEARCH(Query!$B$5,'Compliance Database'!$H1604))),OR(Query!$B$6="All",ISNUMBER(SEARCH(Query!$B$6,'Compliance Database'!$I1604))),OR(Query!$B$7="All",'Compliance Database'!$F1604=Query!$B$7),OR(Query!$B$8="All",'Compliance Database'!$J1604=Query!$B$8),OR(Query!$B$9="",ISNUMBER(SEARCH(Query!$B$9,'Compliance Database'!$D1604&amp;" "&amp;'Compliance Database'!$K1604&amp;" "&amp;'Compliance Database'!$L1604&amp;" "&amp;'Compliance Database'!$M1604&amp;" "&amp;'Compliance Database'!$N1604&amp;" "&amp;'Compliance Database'!$O1604))),OR(Query!$B$10&lt;&gt;"Yes",'Compliance Database'!$F1604&lt;&gt;"None")),1,0)</f>
        <v/>
      </c>
      <c r="B1604">
        <f>IF($A1604=1,SUM($A$2:$A1604),"")</f>
        <v/>
      </c>
      <c r="C1604">
        <f>IF($A1604=1,SUM($A$2:$A1604),0)</f>
        <v/>
      </c>
    </row>
    <row r="1605">
      <c r="A1605">
        <f>IF(AND(OR(Query!$B$4="All",'Compliance Database'!$A1605=Query!$B$4),OR(Query!$B$5="All",ISNUMBER(SEARCH(Query!$B$5,'Compliance Database'!$H1605))),OR(Query!$B$6="All",ISNUMBER(SEARCH(Query!$B$6,'Compliance Database'!$I1605))),OR(Query!$B$7="All",'Compliance Database'!$F1605=Query!$B$7),OR(Query!$B$8="All",'Compliance Database'!$J1605=Query!$B$8),OR(Query!$B$9="",ISNUMBER(SEARCH(Query!$B$9,'Compliance Database'!$D1605&amp;" "&amp;'Compliance Database'!$K1605&amp;" "&amp;'Compliance Database'!$L1605&amp;" "&amp;'Compliance Database'!$M1605&amp;" "&amp;'Compliance Database'!$N1605&amp;" "&amp;'Compliance Database'!$O1605))),OR(Query!$B$10&lt;&gt;"Yes",'Compliance Database'!$F1605&lt;&gt;"None")),1,0)</f>
        <v/>
      </c>
      <c r="B1605">
        <f>IF($A1605=1,SUM($A$2:$A1605),"")</f>
        <v/>
      </c>
      <c r="C1605">
        <f>IF($A1605=1,SUM($A$2:$A1605),0)</f>
        <v/>
      </c>
    </row>
    <row r="1606">
      <c r="A1606">
        <f>IF(AND(OR(Query!$B$4="All",'Compliance Database'!$A1606=Query!$B$4),OR(Query!$B$5="All",ISNUMBER(SEARCH(Query!$B$5,'Compliance Database'!$H1606))),OR(Query!$B$6="All",ISNUMBER(SEARCH(Query!$B$6,'Compliance Database'!$I1606))),OR(Query!$B$7="All",'Compliance Database'!$F1606=Query!$B$7),OR(Query!$B$8="All",'Compliance Database'!$J1606=Query!$B$8),OR(Query!$B$9="",ISNUMBER(SEARCH(Query!$B$9,'Compliance Database'!$D1606&amp;" "&amp;'Compliance Database'!$K1606&amp;" "&amp;'Compliance Database'!$L1606&amp;" "&amp;'Compliance Database'!$M1606&amp;" "&amp;'Compliance Database'!$N1606&amp;" "&amp;'Compliance Database'!$O1606))),OR(Query!$B$10&lt;&gt;"Yes",'Compliance Database'!$F1606&lt;&gt;"None")),1,0)</f>
        <v/>
      </c>
      <c r="B1606">
        <f>IF($A1606=1,SUM($A$2:$A1606),"")</f>
        <v/>
      </c>
      <c r="C1606">
        <f>IF($A1606=1,SUM($A$2:$A1606),0)</f>
        <v/>
      </c>
    </row>
    <row r="1607">
      <c r="A1607">
        <f>IF(AND(OR(Query!$B$4="All",'Compliance Database'!$A1607=Query!$B$4),OR(Query!$B$5="All",ISNUMBER(SEARCH(Query!$B$5,'Compliance Database'!$H1607))),OR(Query!$B$6="All",ISNUMBER(SEARCH(Query!$B$6,'Compliance Database'!$I1607))),OR(Query!$B$7="All",'Compliance Database'!$F1607=Query!$B$7),OR(Query!$B$8="All",'Compliance Database'!$J1607=Query!$B$8),OR(Query!$B$9="",ISNUMBER(SEARCH(Query!$B$9,'Compliance Database'!$D1607&amp;" "&amp;'Compliance Database'!$K1607&amp;" "&amp;'Compliance Database'!$L1607&amp;" "&amp;'Compliance Database'!$M1607&amp;" "&amp;'Compliance Database'!$N1607&amp;" "&amp;'Compliance Database'!$O1607))),OR(Query!$B$10&lt;&gt;"Yes",'Compliance Database'!$F1607&lt;&gt;"None")),1,0)</f>
        <v/>
      </c>
      <c r="B1607">
        <f>IF($A1607=1,SUM($A$2:$A1607),"")</f>
        <v/>
      </c>
      <c r="C1607">
        <f>IF($A1607=1,SUM($A$2:$A1607),0)</f>
        <v/>
      </c>
    </row>
    <row r="1608">
      <c r="A1608">
        <f>IF(AND(OR(Query!$B$4="All",'Compliance Database'!$A1608=Query!$B$4),OR(Query!$B$5="All",ISNUMBER(SEARCH(Query!$B$5,'Compliance Database'!$H1608))),OR(Query!$B$6="All",ISNUMBER(SEARCH(Query!$B$6,'Compliance Database'!$I1608))),OR(Query!$B$7="All",'Compliance Database'!$F1608=Query!$B$7),OR(Query!$B$8="All",'Compliance Database'!$J1608=Query!$B$8),OR(Query!$B$9="",ISNUMBER(SEARCH(Query!$B$9,'Compliance Database'!$D1608&amp;" "&amp;'Compliance Database'!$K1608&amp;" "&amp;'Compliance Database'!$L1608&amp;" "&amp;'Compliance Database'!$M1608&amp;" "&amp;'Compliance Database'!$N1608&amp;" "&amp;'Compliance Database'!$O1608))),OR(Query!$B$10&lt;&gt;"Yes",'Compliance Database'!$F1608&lt;&gt;"None")),1,0)</f>
        <v/>
      </c>
      <c r="B1608">
        <f>IF($A1608=1,SUM($A$2:$A1608),"")</f>
        <v/>
      </c>
      <c r="C1608">
        <f>IF($A1608=1,SUM($A$2:$A1608),0)</f>
        <v/>
      </c>
    </row>
    <row r="1609">
      <c r="A1609">
        <f>IF(AND(OR(Query!$B$4="All",'Compliance Database'!$A1609=Query!$B$4),OR(Query!$B$5="All",ISNUMBER(SEARCH(Query!$B$5,'Compliance Database'!$H1609))),OR(Query!$B$6="All",ISNUMBER(SEARCH(Query!$B$6,'Compliance Database'!$I1609))),OR(Query!$B$7="All",'Compliance Database'!$F1609=Query!$B$7),OR(Query!$B$8="All",'Compliance Database'!$J1609=Query!$B$8),OR(Query!$B$9="",ISNUMBER(SEARCH(Query!$B$9,'Compliance Database'!$D1609&amp;" "&amp;'Compliance Database'!$K1609&amp;" "&amp;'Compliance Database'!$L1609&amp;" "&amp;'Compliance Database'!$M1609&amp;" "&amp;'Compliance Database'!$N1609&amp;" "&amp;'Compliance Database'!$O1609))),OR(Query!$B$10&lt;&gt;"Yes",'Compliance Database'!$F1609&lt;&gt;"None")),1,0)</f>
        <v/>
      </c>
      <c r="B1609">
        <f>IF($A1609=1,SUM($A$2:$A1609),"")</f>
        <v/>
      </c>
      <c r="C1609">
        <f>IF($A1609=1,SUM($A$2:$A1609),0)</f>
        <v/>
      </c>
    </row>
    <row r="1610">
      <c r="A1610">
        <f>IF(AND(OR(Query!$B$4="All",'Compliance Database'!$A1610=Query!$B$4),OR(Query!$B$5="All",ISNUMBER(SEARCH(Query!$B$5,'Compliance Database'!$H1610))),OR(Query!$B$6="All",ISNUMBER(SEARCH(Query!$B$6,'Compliance Database'!$I1610))),OR(Query!$B$7="All",'Compliance Database'!$F1610=Query!$B$7),OR(Query!$B$8="All",'Compliance Database'!$J1610=Query!$B$8),OR(Query!$B$9="",ISNUMBER(SEARCH(Query!$B$9,'Compliance Database'!$D1610&amp;" "&amp;'Compliance Database'!$K1610&amp;" "&amp;'Compliance Database'!$L1610&amp;" "&amp;'Compliance Database'!$M1610&amp;" "&amp;'Compliance Database'!$N1610&amp;" "&amp;'Compliance Database'!$O1610))),OR(Query!$B$10&lt;&gt;"Yes",'Compliance Database'!$F1610&lt;&gt;"None")),1,0)</f>
        <v/>
      </c>
      <c r="B1610">
        <f>IF($A1610=1,SUM($A$2:$A1610),"")</f>
        <v/>
      </c>
      <c r="C1610">
        <f>IF($A1610=1,SUM($A$2:$A1610),0)</f>
        <v/>
      </c>
    </row>
    <row r="1611">
      <c r="A1611">
        <f>IF(AND(OR(Query!$B$4="All",'Compliance Database'!$A1611=Query!$B$4),OR(Query!$B$5="All",ISNUMBER(SEARCH(Query!$B$5,'Compliance Database'!$H1611))),OR(Query!$B$6="All",ISNUMBER(SEARCH(Query!$B$6,'Compliance Database'!$I1611))),OR(Query!$B$7="All",'Compliance Database'!$F1611=Query!$B$7),OR(Query!$B$8="All",'Compliance Database'!$J1611=Query!$B$8),OR(Query!$B$9="",ISNUMBER(SEARCH(Query!$B$9,'Compliance Database'!$D1611&amp;" "&amp;'Compliance Database'!$K1611&amp;" "&amp;'Compliance Database'!$L1611&amp;" "&amp;'Compliance Database'!$M1611&amp;" "&amp;'Compliance Database'!$N1611&amp;" "&amp;'Compliance Database'!$O1611))),OR(Query!$B$10&lt;&gt;"Yes",'Compliance Database'!$F1611&lt;&gt;"None")),1,0)</f>
        <v/>
      </c>
      <c r="B1611">
        <f>IF($A1611=1,SUM($A$2:$A1611),"")</f>
        <v/>
      </c>
      <c r="C1611">
        <f>IF($A1611=1,SUM($A$2:$A1611),0)</f>
        <v/>
      </c>
    </row>
    <row r="1612">
      <c r="A1612">
        <f>IF(AND(OR(Query!$B$4="All",'Compliance Database'!$A1612=Query!$B$4),OR(Query!$B$5="All",ISNUMBER(SEARCH(Query!$B$5,'Compliance Database'!$H1612))),OR(Query!$B$6="All",ISNUMBER(SEARCH(Query!$B$6,'Compliance Database'!$I1612))),OR(Query!$B$7="All",'Compliance Database'!$F1612=Query!$B$7),OR(Query!$B$8="All",'Compliance Database'!$J1612=Query!$B$8),OR(Query!$B$9="",ISNUMBER(SEARCH(Query!$B$9,'Compliance Database'!$D1612&amp;" "&amp;'Compliance Database'!$K1612&amp;" "&amp;'Compliance Database'!$L1612&amp;" "&amp;'Compliance Database'!$M1612&amp;" "&amp;'Compliance Database'!$N1612&amp;" "&amp;'Compliance Database'!$O1612))),OR(Query!$B$10&lt;&gt;"Yes",'Compliance Database'!$F1612&lt;&gt;"None")),1,0)</f>
        <v/>
      </c>
      <c r="B1612">
        <f>IF($A1612=1,SUM($A$2:$A1612),"")</f>
        <v/>
      </c>
      <c r="C1612">
        <f>IF($A1612=1,SUM($A$2:$A1612),0)</f>
        <v/>
      </c>
    </row>
    <row r="1613">
      <c r="A1613">
        <f>IF(AND(OR(Query!$B$4="All",'Compliance Database'!$A1613=Query!$B$4),OR(Query!$B$5="All",ISNUMBER(SEARCH(Query!$B$5,'Compliance Database'!$H1613))),OR(Query!$B$6="All",ISNUMBER(SEARCH(Query!$B$6,'Compliance Database'!$I1613))),OR(Query!$B$7="All",'Compliance Database'!$F1613=Query!$B$7),OR(Query!$B$8="All",'Compliance Database'!$J1613=Query!$B$8),OR(Query!$B$9="",ISNUMBER(SEARCH(Query!$B$9,'Compliance Database'!$D1613&amp;" "&amp;'Compliance Database'!$K1613&amp;" "&amp;'Compliance Database'!$L1613&amp;" "&amp;'Compliance Database'!$M1613&amp;" "&amp;'Compliance Database'!$N1613&amp;" "&amp;'Compliance Database'!$O1613))),OR(Query!$B$10&lt;&gt;"Yes",'Compliance Database'!$F1613&lt;&gt;"None")),1,0)</f>
        <v/>
      </c>
      <c r="B1613">
        <f>IF($A1613=1,SUM($A$2:$A1613),"")</f>
        <v/>
      </c>
      <c r="C1613">
        <f>IF($A1613=1,SUM($A$2:$A1613),0)</f>
        <v/>
      </c>
    </row>
    <row r="1614">
      <c r="A1614">
        <f>IF(AND(OR(Query!$B$4="All",'Compliance Database'!$A1614=Query!$B$4),OR(Query!$B$5="All",ISNUMBER(SEARCH(Query!$B$5,'Compliance Database'!$H1614))),OR(Query!$B$6="All",ISNUMBER(SEARCH(Query!$B$6,'Compliance Database'!$I1614))),OR(Query!$B$7="All",'Compliance Database'!$F1614=Query!$B$7),OR(Query!$B$8="All",'Compliance Database'!$J1614=Query!$B$8),OR(Query!$B$9="",ISNUMBER(SEARCH(Query!$B$9,'Compliance Database'!$D1614&amp;" "&amp;'Compliance Database'!$K1614&amp;" "&amp;'Compliance Database'!$L1614&amp;" "&amp;'Compliance Database'!$M1614&amp;" "&amp;'Compliance Database'!$N1614&amp;" "&amp;'Compliance Database'!$O1614))),OR(Query!$B$10&lt;&gt;"Yes",'Compliance Database'!$F1614&lt;&gt;"None")),1,0)</f>
        <v/>
      </c>
      <c r="B1614">
        <f>IF($A1614=1,SUM($A$2:$A1614),"")</f>
        <v/>
      </c>
      <c r="C1614">
        <f>IF($A1614=1,SUM($A$2:$A1614),0)</f>
        <v/>
      </c>
    </row>
    <row r="1615">
      <c r="A1615">
        <f>IF(AND(OR(Query!$B$4="All",'Compliance Database'!$A1615=Query!$B$4),OR(Query!$B$5="All",ISNUMBER(SEARCH(Query!$B$5,'Compliance Database'!$H1615))),OR(Query!$B$6="All",ISNUMBER(SEARCH(Query!$B$6,'Compliance Database'!$I1615))),OR(Query!$B$7="All",'Compliance Database'!$F1615=Query!$B$7),OR(Query!$B$8="All",'Compliance Database'!$J1615=Query!$B$8),OR(Query!$B$9="",ISNUMBER(SEARCH(Query!$B$9,'Compliance Database'!$D1615&amp;" "&amp;'Compliance Database'!$K1615&amp;" "&amp;'Compliance Database'!$L1615&amp;" "&amp;'Compliance Database'!$M1615&amp;" "&amp;'Compliance Database'!$N1615&amp;" "&amp;'Compliance Database'!$O1615))),OR(Query!$B$10&lt;&gt;"Yes",'Compliance Database'!$F1615&lt;&gt;"None")),1,0)</f>
        <v/>
      </c>
      <c r="B1615">
        <f>IF($A1615=1,SUM($A$2:$A1615),"")</f>
        <v/>
      </c>
      <c r="C1615">
        <f>IF($A1615=1,SUM($A$2:$A1615),0)</f>
        <v/>
      </c>
    </row>
    <row r="1616">
      <c r="A1616">
        <f>IF(AND(OR(Query!$B$4="All",'Compliance Database'!$A1616=Query!$B$4),OR(Query!$B$5="All",ISNUMBER(SEARCH(Query!$B$5,'Compliance Database'!$H1616))),OR(Query!$B$6="All",ISNUMBER(SEARCH(Query!$B$6,'Compliance Database'!$I1616))),OR(Query!$B$7="All",'Compliance Database'!$F1616=Query!$B$7),OR(Query!$B$8="All",'Compliance Database'!$J1616=Query!$B$8),OR(Query!$B$9="",ISNUMBER(SEARCH(Query!$B$9,'Compliance Database'!$D1616&amp;" "&amp;'Compliance Database'!$K1616&amp;" "&amp;'Compliance Database'!$L1616&amp;" "&amp;'Compliance Database'!$M1616&amp;" "&amp;'Compliance Database'!$N1616&amp;" "&amp;'Compliance Database'!$O1616))),OR(Query!$B$10&lt;&gt;"Yes",'Compliance Database'!$F1616&lt;&gt;"None")),1,0)</f>
        <v/>
      </c>
      <c r="B1616">
        <f>IF($A1616=1,SUM($A$2:$A1616),"")</f>
        <v/>
      </c>
      <c r="C1616">
        <f>IF($A1616=1,SUM($A$2:$A1616),0)</f>
        <v/>
      </c>
    </row>
    <row r="1617">
      <c r="A1617">
        <f>IF(AND(OR(Query!$B$4="All",'Compliance Database'!$A1617=Query!$B$4),OR(Query!$B$5="All",ISNUMBER(SEARCH(Query!$B$5,'Compliance Database'!$H1617))),OR(Query!$B$6="All",ISNUMBER(SEARCH(Query!$B$6,'Compliance Database'!$I1617))),OR(Query!$B$7="All",'Compliance Database'!$F1617=Query!$B$7),OR(Query!$B$8="All",'Compliance Database'!$J1617=Query!$B$8),OR(Query!$B$9="",ISNUMBER(SEARCH(Query!$B$9,'Compliance Database'!$D1617&amp;" "&amp;'Compliance Database'!$K1617&amp;" "&amp;'Compliance Database'!$L1617&amp;" "&amp;'Compliance Database'!$M1617&amp;" "&amp;'Compliance Database'!$N1617&amp;" "&amp;'Compliance Database'!$O1617))),OR(Query!$B$10&lt;&gt;"Yes",'Compliance Database'!$F1617&lt;&gt;"None")),1,0)</f>
        <v/>
      </c>
      <c r="B1617">
        <f>IF($A1617=1,SUM($A$2:$A1617),"")</f>
        <v/>
      </c>
      <c r="C1617">
        <f>IF($A1617=1,SUM($A$2:$A1617),0)</f>
        <v/>
      </c>
    </row>
    <row r="1618">
      <c r="A1618">
        <f>IF(AND(OR(Query!$B$4="All",'Compliance Database'!$A1618=Query!$B$4),OR(Query!$B$5="All",ISNUMBER(SEARCH(Query!$B$5,'Compliance Database'!$H1618))),OR(Query!$B$6="All",ISNUMBER(SEARCH(Query!$B$6,'Compliance Database'!$I1618))),OR(Query!$B$7="All",'Compliance Database'!$F1618=Query!$B$7),OR(Query!$B$8="All",'Compliance Database'!$J1618=Query!$B$8),OR(Query!$B$9="",ISNUMBER(SEARCH(Query!$B$9,'Compliance Database'!$D1618&amp;" "&amp;'Compliance Database'!$K1618&amp;" "&amp;'Compliance Database'!$L1618&amp;" "&amp;'Compliance Database'!$M1618&amp;" "&amp;'Compliance Database'!$N1618&amp;" "&amp;'Compliance Database'!$O1618))),OR(Query!$B$10&lt;&gt;"Yes",'Compliance Database'!$F1618&lt;&gt;"None")),1,0)</f>
        <v/>
      </c>
      <c r="B1618">
        <f>IF($A1618=1,SUM($A$2:$A1618),"")</f>
        <v/>
      </c>
      <c r="C1618">
        <f>IF($A1618=1,SUM($A$2:$A1618),0)</f>
        <v/>
      </c>
    </row>
    <row r="1619">
      <c r="A1619">
        <f>IF(AND(OR(Query!$B$4="All",'Compliance Database'!$A1619=Query!$B$4),OR(Query!$B$5="All",ISNUMBER(SEARCH(Query!$B$5,'Compliance Database'!$H1619))),OR(Query!$B$6="All",ISNUMBER(SEARCH(Query!$B$6,'Compliance Database'!$I1619))),OR(Query!$B$7="All",'Compliance Database'!$F1619=Query!$B$7),OR(Query!$B$8="All",'Compliance Database'!$J1619=Query!$B$8),OR(Query!$B$9="",ISNUMBER(SEARCH(Query!$B$9,'Compliance Database'!$D1619&amp;" "&amp;'Compliance Database'!$K1619&amp;" "&amp;'Compliance Database'!$L1619&amp;" "&amp;'Compliance Database'!$M1619&amp;" "&amp;'Compliance Database'!$N1619&amp;" "&amp;'Compliance Database'!$O1619))),OR(Query!$B$10&lt;&gt;"Yes",'Compliance Database'!$F1619&lt;&gt;"None")),1,0)</f>
        <v/>
      </c>
      <c r="B1619">
        <f>IF($A1619=1,SUM($A$2:$A1619),"")</f>
        <v/>
      </c>
      <c r="C1619">
        <f>IF($A1619=1,SUM($A$2:$A1619),0)</f>
        <v/>
      </c>
    </row>
    <row r="1620">
      <c r="A1620">
        <f>IF(AND(OR(Query!$B$4="All",'Compliance Database'!$A1620=Query!$B$4),OR(Query!$B$5="All",ISNUMBER(SEARCH(Query!$B$5,'Compliance Database'!$H1620))),OR(Query!$B$6="All",ISNUMBER(SEARCH(Query!$B$6,'Compliance Database'!$I1620))),OR(Query!$B$7="All",'Compliance Database'!$F1620=Query!$B$7),OR(Query!$B$8="All",'Compliance Database'!$J1620=Query!$B$8),OR(Query!$B$9="",ISNUMBER(SEARCH(Query!$B$9,'Compliance Database'!$D1620&amp;" "&amp;'Compliance Database'!$K1620&amp;" "&amp;'Compliance Database'!$L1620&amp;" "&amp;'Compliance Database'!$M1620&amp;" "&amp;'Compliance Database'!$N1620&amp;" "&amp;'Compliance Database'!$O1620))),OR(Query!$B$10&lt;&gt;"Yes",'Compliance Database'!$F1620&lt;&gt;"None")),1,0)</f>
        <v/>
      </c>
      <c r="B1620">
        <f>IF($A1620=1,SUM($A$2:$A1620),"")</f>
        <v/>
      </c>
      <c r="C1620">
        <f>IF($A1620=1,SUM($A$2:$A1620),0)</f>
        <v/>
      </c>
    </row>
    <row r="1621">
      <c r="A1621">
        <f>IF(AND(OR(Query!$B$4="All",'Compliance Database'!$A1621=Query!$B$4),OR(Query!$B$5="All",ISNUMBER(SEARCH(Query!$B$5,'Compliance Database'!$H1621))),OR(Query!$B$6="All",ISNUMBER(SEARCH(Query!$B$6,'Compliance Database'!$I1621))),OR(Query!$B$7="All",'Compliance Database'!$F1621=Query!$B$7),OR(Query!$B$8="All",'Compliance Database'!$J1621=Query!$B$8),OR(Query!$B$9="",ISNUMBER(SEARCH(Query!$B$9,'Compliance Database'!$D1621&amp;" "&amp;'Compliance Database'!$K1621&amp;" "&amp;'Compliance Database'!$L1621&amp;" "&amp;'Compliance Database'!$M1621&amp;" "&amp;'Compliance Database'!$N1621&amp;" "&amp;'Compliance Database'!$O1621))),OR(Query!$B$10&lt;&gt;"Yes",'Compliance Database'!$F1621&lt;&gt;"None")),1,0)</f>
        <v/>
      </c>
      <c r="B1621">
        <f>IF($A1621=1,SUM($A$2:$A1621),"")</f>
        <v/>
      </c>
      <c r="C1621">
        <f>IF($A1621=1,SUM($A$2:$A1621),0)</f>
        <v/>
      </c>
    </row>
    <row r="1622">
      <c r="A1622">
        <f>IF(AND(OR(Query!$B$4="All",'Compliance Database'!$A1622=Query!$B$4),OR(Query!$B$5="All",ISNUMBER(SEARCH(Query!$B$5,'Compliance Database'!$H1622))),OR(Query!$B$6="All",ISNUMBER(SEARCH(Query!$B$6,'Compliance Database'!$I1622))),OR(Query!$B$7="All",'Compliance Database'!$F1622=Query!$B$7),OR(Query!$B$8="All",'Compliance Database'!$J1622=Query!$B$8),OR(Query!$B$9="",ISNUMBER(SEARCH(Query!$B$9,'Compliance Database'!$D1622&amp;" "&amp;'Compliance Database'!$K1622&amp;" "&amp;'Compliance Database'!$L1622&amp;" "&amp;'Compliance Database'!$M1622&amp;" "&amp;'Compliance Database'!$N1622&amp;" "&amp;'Compliance Database'!$O1622))),OR(Query!$B$10&lt;&gt;"Yes",'Compliance Database'!$F1622&lt;&gt;"None")),1,0)</f>
        <v/>
      </c>
      <c r="B1622">
        <f>IF($A1622=1,SUM($A$2:$A1622),"")</f>
        <v/>
      </c>
      <c r="C1622">
        <f>IF($A1622=1,SUM($A$2:$A1622),0)</f>
        <v/>
      </c>
    </row>
    <row r="1623">
      <c r="A1623">
        <f>IF(AND(OR(Query!$B$4="All",'Compliance Database'!$A1623=Query!$B$4),OR(Query!$B$5="All",ISNUMBER(SEARCH(Query!$B$5,'Compliance Database'!$H1623))),OR(Query!$B$6="All",ISNUMBER(SEARCH(Query!$B$6,'Compliance Database'!$I1623))),OR(Query!$B$7="All",'Compliance Database'!$F1623=Query!$B$7),OR(Query!$B$8="All",'Compliance Database'!$J1623=Query!$B$8),OR(Query!$B$9="",ISNUMBER(SEARCH(Query!$B$9,'Compliance Database'!$D1623&amp;" "&amp;'Compliance Database'!$K1623&amp;" "&amp;'Compliance Database'!$L1623&amp;" "&amp;'Compliance Database'!$M1623&amp;" "&amp;'Compliance Database'!$N1623&amp;" "&amp;'Compliance Database'!$O1623))),OR(Query!$B$10&lt;&gt;"Yes",'Compliance Database'!$F1623&lt;&gt;"None")),1,0)</f>
        <v/>
      </c>
      <c r="B1623">
        <f>IF($A1623=1,SUM($A$2:$A1623),"")</f>
        <v/>
      </c>
      <c r="C1623">
        <f>IF($A1623=1,SUM($A$2:$A1623),0)</f>
        <v/>
      </c>
    </row>
    <row r="1624">
      <c r="A1624">
        <f>IF(AND(OR(Query!$B$4="All",'Compliance Database'!$A1624=Query!$B$4),OR(Query!$B$5="All",ISNUMBER(SEARCH(Query!$B$5,'Compliance Database'!$H1624))),OR(Query!$B$6="All",ISNUMBER(SEARCH(Query!$B$6,'Compliance Database'!$I1624))),OR(Query!$B$7="All",'Compliance Database'!$F1624=Query!$B$7),OR(Query!$B$8="All",'Compliance Database'!$J1624=Query!$B$8),OR(Query!$B$9="",ISNUMBER(SEARCH(Query!$B$9,'Compliance Database'!$D1624&amp;" "&amp;'Compliance Database'!$K1624&amp;" "&amp;'Compliance Database'!$L1624&amp;" "&amp;'Compliance Database'!$M1624&amp;" "&amp;'Compliance Database'!$N1624&amp;" "&amp;'Compliance Database'!$O1624))),OR(Query!$B$10&lt;&gt;"Yes",'Compliance Database'!$F1624&lt;&gt;"None")),1,0)</f>
        <v/>
      </c>
      <c r="B1624">
        <f>IF($A1624=1,SUM($A$2:$A1624),"")</f>
        <v/>
      </c>
      <c r="C1624">
        <f>IF($A1624=1,SUM($A$2:$A1624),0)</f>
        <v/>
      </c>
    </row>
    <row r="1625">
      <c r="A1625">
        <f>IF(AND(OR(Query!$B$4="All",'Compliance Database'!$A1625=Query!$B$4),OR(Query!$B$5="All",ISNUMBER(SEARCH(Query!$B$5,'Compliance Database'!$H1625))),OR(Query!$B$6="All",ISNUMBER(SEARCH(Query!$B$6,'Compliance Database'!$I1625))),OR(Query!$B$7="All",'Compliance Database'!$F1625=Query!$B$7),OR(Query!$B$8="All",'Compliance Database'!$J1625=Query!$B$8),OR(Query!$B$9="",ISNUMBER(SEARCH(Query!$B$9,'Compliance Database'!$D1625&amp;" "&amp;'Compliance Database'!$K1625&amp;" "&amp;'Compliance Database'!$L1625&amp;" "&amp;'Compliance Database'!$M1625&amp;" "&amp;'Compliance Database'!$N1625&amp;" "&amp;'Compliance Database'!$O1625))),OR(Query!$B$10&lt;&gt;"Yes",'Compliance Database'!$F1625&lt;&gt;"None")),1,0)</f>
        <v/>
      </c>
      <c r="B1625">
        <f>IF($A1625=1,SUM($A$2:$A1625),"")</f>
        <v/>
      </c>
      <c r="C1625">
        <f>IF($A1625=1,SUM($A$2:$A1625),0)</f>
        <v/>
      </c>
    </row>
    <row r="1626">
      <c r="A1626">
        <f>IF(AND(OR(Query!$B$4="All",'Compliance Database'!$A1626=Query!$B$4),OR(Query!$B$5="All",ISNUMBER(SEARCH(Query!$B$5,'Compliance Database'!$H1626))),OR(Query!$B$6="All",ISNUMBER(SEARCH(Query!$B$6,'Compliance Database'!$I1626))),OR(Query!$B$7="All",'Compliance Database'!$F1626=Query!$B$7),OR(Query!$B$8="All",'Compliance Database'!$J1626=Query!$B$8),OR(Query!$B$9="",ISNUMBER(SEARCH(Query!$B$9,'Compliance Database'!$D1626&amp;" "&amp;'Compliance Database'!$K1626&amp;" "&amp;'Compliance Database'!$L1626&amp;" "&amp;'Compliance Database'!$M1626&amp;" "&amp;'Compliance Database'!$N1626&amp;" "&amp;'Compliance Database'!$O1626))),OR(Query!$B$10&lt;&gt;"Yes",'Compliance Database'!$F1626&lt;&gt;"None")),1,0)</f>
        <v/>
      </c>
      <c r="B1626">
        <f>IF($A1626=1,SUM($A$2:$A1626),"")</f>
        <v/>
      </c>
      <c r="C1626">
        <f>IF($A1626=1,SUM($A$2:$A1626),0)</f>
        <v/>
      </c>
    </row>
    <row r="1627">
      <c r="A1627">
        <f>IF(AND(OR(Query!$B$4="All",'Compliance Database'!$A1627=Query!$B$4),OR(Query!$B$5="All",ISNUMBER(SEARCH(Query!$B$5,'Compliance Database'!$H1627))),OR(Query!$B$6="All",ISNUMBER(SEARCH(Query!$B$6,'Compliance Database'!$I1627))),OR(Query!$B$7="All",'Compliance Database'!$F1627=Query!$B$7),OR(Query!$B$8="All",'Compliance Database'!$J1627=Query!$B$8),OR(Query!$B$9="",ISNUMBER(SEARCH(Query!$B$9,'Compliance Database'!$D1627&amp;" "&amp;'Compliance Database'!$K1627&amp;" "&amp;'Compliance Database'!$L1627&amp;" "&amp;'Compliance Database'!$M1627&amp;" "&amp;'Compliance Database'!$N1627&amp;" "&amp;'Compliance Database'!$O1627))),OR(Query!$B$10&lt;&gt;"Yes",'Compliance Database'!$F1627&lt;&gt;"None")),1,0)</f>
        <v/>
      </c>
      <c r="B1627">
        <f>IF($A1627=1,SUM($A$2:$A1627),"")</f>
        <v/>
      </c>
      <c r="C1627">
        <f>IF($A1627=1,SUM($A$2:$A1627),0)</f>
        <v/>
      </c>
    </row>
    <row r="1628">
      <c r="A1628">
        <f>IF(AND(OR(Query!$B$4="All",'Compliance Database'!$A1628=Query!$B$4),OR(Query!$B$5="All",ISNUMBER(SEARCH(Query!$B$5,'Compliance Database'!$H1628))),OR(Query!$B$6="All",ISNUMBER(SEARCH(Query!$B$6,'Compliance Database'!$I1628))),OR(Query!$B$7="All",'Compliance Database'!$F1628=Query!$B$7),OR(Query!$B$8="All",'Compliance Database'!$J1628=Query!$B$8),OR(Query!$B$9="",ISNUMBER(SEARCH(Query!$B$9,'Compliance Database'!$D1628&amp;" "&amp;'Compliance Database'!$K1628&amp;" "&amp;'Compliance Database'!$L1628&amp;" "&amp;'Compliance Database'!$M1628&amp;" "&amp;'Compliance Database'!$N1628&amp;" "&amp;'Compliance Database'!$O1628))),OR(Query!$B$10&lt;&gt;"Yes",'Compliance Database'!$F1628&lt;&gt;"None")),1,0)</f>
        <v/>
      </c>
      <c r="B1628">
        <f>IF($A1628=1,SUM($A$2:$A1628),"")</f>
        <v/>
      </c>
      <c r="C1628">
        <f>IF($A1628=1,SUM($A$2:$A1628),0)</f>
        <v/>
      </c>
    </row>
    <row r="1629">
      <c r="A1629">
        <f>IF(AND(OR(Query!$B$4="All",'Compliance Database'!$A1629=Query!$B$4),OR(Query!$B$5="All",ISNUMBER(SEARCH(Query!$B$5,'Compliance Database'!$H1629))),OR(Query!$B$6="All",ISNUMBER(SEARCH(Query!$B$6,'Compliance Database'!$I1629))),OR(Query!$B$7="All",'Compliance Database'!$F1629=Query!$B$7),OR(Query!$B$8="All",'Compliance Database'!$J1629=Query!$B$8),OR(Query!$B$9="",ISNUMBER(SEARCH(Query!$B$9,'Compliance Database'!$D1629&amp;" "&amp;'Compliance Database'!$K1629&amp;" "&amp;'Compliance Database'!$L1629&amp;" "&amp;'Compliance Database'!$M1629&amp;" "&amp;'Compliance Database'!$N1629&amp;" "&amp;'Compliance Database'!$O1629))),OR(Query!$B$10&lt;&gt;"Yes",'Compliance Database'!$F1629&lt;&gt;"None")),1,0)</f>
        <v/>
      </c>
      <c r="B1629">
        <f>IF($A1629=1,SUM($A$2:$A1629),"")</f>
        <v/>
      </c>
      <c r="C1629">
        <f>IF($A1629=1,SUM($A$2:$A1629),0)</f>
        <v/>
      </c>
    </row>
    <row r="1630">
      <c r="A1630">
        <f>IF(AND(OR(Query!$B$4="All",'Compliance Database'!$A1630=Query!$B$4),OR(Query!$B$5="All",ISNUMBER(SEARCH(Query!$B$5,'Compliance Database'!$H1630))),OR(Query!$B$6="All",ISNUMBER(SEARCH(Query!$B$6,'Compliance Database'!$I1630))),OR(Query!$B$7="All",'Compliance Database'!$F1630=Query!$B$7),OR(Query!$B$8="All",'Compliance Database'!$J1630=Query!$B$8),OR(Query!$B$9="",ISNUMBER(SEARCH(Query!$B$9,'Compliance Database'!$D1630&amp;" "&amp;'Compliance Database'!$K1630&amp;" "&amp;'Compliance Database'!$L1630&amp;" "&amp;'Compliance Database'!$M1630&amp;" "&amp;'Compliance Database'!$N1630&amp;" "&amp;'Compliance Database'!$O1630))),OR(Query!$B$10&lt;&gt;"Yes",'Compliance Database'!$F1630&lt;&gt;"None")),1,0)</f>
        <v/>
      </c>
      <c r="B1630">
        <f>IF($A1630=1,SUM($A$2:$A1630),"")</f>
        <v/>
      </c>
      <c r="C1630">
        <f>IF($A1630=1,SUM($A$2:$A1630),0)</f>
        <v/>
      </c>
    </row>
    <row r="1631">
      <c r="A1631">
        <f>IF(AND(OR(Query!$B$4="All",'Compliance Database'!$A1631=Query!$B$4),OR(Query!$B$5="All",ISNUMBER(SEARCH(Query!$B$5,'Compliance Database'!$H1631))),OR(Query!$B$6="All",ISNUMBER(SEARCH(Query!$B$6,'Compliance Database'!$I1631))),OR(Query!$B$7="All",'Compliance Database'!$F1631=Query!$B$7),OR(Query!$B$8="All",'Compliance Database'!$J1631=Query!$B$8),OR(Query!$B$9="",ISNUMBER(SEARCH(Query!$B$9,'Compliance Database'!$D1631&amp;" "&amp;'Compliance Database'!$K1631&amp;" "&amp;'Compliance Database'!$L1631&amp;" "&amp;'Compliance Database'!$M1631&amp;" "&amp;'Compliance Database'!$N1631&amp;" "&amp;'Compliance Database'!$O1631))),OR(Query!$B$10&lt;&gt;"Yes",'Compliance Database'!$F1631&lt;&gt;"None")),1,0)</f>
        <v/>
      </c>
      <c r="B1631">
        <f>IF($A1631=1,SUM($A$2:$A1631),"")</f>
        <v/>
      </c>
      <c r="C1631">
        <f>IF($A1631=1,SUM($A$2:$A1631),0)</f>
        <v/>
      </c>
    </row>
    <row r="1632">
      <c r="A1632">
        <f>IF(AND(OR(Query!$B$4="All",'Compliance Database'!$A1632=Query!$B$4),OR(Query!$B$5="All",ISNUMBER(SEARCH(Query!$B$5,'Compliance Database'!$H1632))),OR(Query!$B$6="All",ISNUMBER(SEARCH(Query!$B$6,'Compliance Database'!$I1632))),OR(Query!$B$7="All",'Compliance Database'!$F1632=Query!$B$7),OR(Query!$B$8="All",'Compliance Database'!$J1632=Query!$B$8),OR(Query!$B$9="",ISNUMBER(SEARCH(Query!$B$9,'Compliance Database'!$D1632&amp;" "&amp;'Compliance Database'!$K1632&amp;" "&amp;'Compliance Database'!$L1632&amp;" "&amp;'Compliance Database'!$M1632&amp;" "&amp;'Compliance Database'!$N1632&amp;" "&amp;'Compliance Database'!$O1632))),OR(Query!$B$10&lt;&gt;"Yes",'Compliance Database'!$F1632&lt;&gt;"None")),1,0)</f>
        <v/>
      </c>
      <c r="B1632">
        <f>IF($A1632=1,SUM($A$2:$A1632),"")</f>
        <v/>
      </c>
      <c r="C1632">
        <f>IF($A1632=1,SUM($A$2:$A1632),0)</f>
        <v/>
      </c>
    </row>
    <row r="1633">
      <c r="A1633">
        <f>IF(AND(OR(Query!$B$4="All",'Compliance Database'!$A1633=Query!$B$4),OR(Query!$B$5="All",ISNUMBER(SEARCH(Query!$B$5,'Compliance Database'!$H1633))),OR(Query!$B$6="All",ISNUMBER(SEARCH(Query!$B$6,'Compliance Database'!$I1633))),OR(Query!$B$7="All",'Compliance Database'!$F1633=Query!$B$7),OR(Query!$B$8="All",'Compliance Database'!$J1633=Query!$B$8),OR(Query!$B$9="",ISNUMBER(SEARCH(Query!$B$9,'Compliance Database'!$D1633&amp;" "&amp;'Compliance Database'!$K1633&amp;" "&amp;'Compliance Database'!$L1633&amp;" "&amp;'Compliance Database'!$M1633&amp;" "&amp;'Compliance Database'!$N1633&amp;" "&amp;'Compliance Database'!$O1633))),OR(Query!$B$10&lt;&gt;"Yes",'Compliance Database'!$F1633&lt;&gt;"None")),1,0)</f>
        <v/>
      </c>
      <c r="B1633">
        <f>IF($A1633=1,SUM($A$2:$A1633),"")</f>
        <v/>
      </c>
      <c r="C1633">
        <f>IF($A1633=1,SUM($A$2:$A1633),0)</f>
        <v/>
      </c>
    </row>
    <row r="1634">
      <c r="A1634">
        <f>IF(AND(OR(Query!$B$4="All",'Compliance Database'!$A1634=Query!$B$4),OR(Query!$B$5="All",ISNUMBER(SEARCH(Query!$B$5,'Compliance Database'!$H1634))),OR(Query!$B$6="All",ISNUMBER(SEARCH(Query!$B$6,'Compliance Database'!$I1634))),OR(Query!$B$7="All",'Compliance Database'!$F1634=Query!$B$7),OR(Query!$B$8="All",'Compliance Database'!$J1634=Query!$B$8),OR(Query!$B$9="",ISNUMBER(SEARCH(Query!$B$9,'Compliance Database'!$D1634&amp;" "&amp;'Compliance Database'!$K1634&amp;" "&amp;'Compliance Database'!$L1634&amp;" "&amp;'Compliance Database'!$M1634&amp;" "&amp;'Compliance Database'!$N1634&amp;" "&amp;'Compliance Database'!$O1634))),OR(Query!$B$10&lt;&gt;"Yes",'Compliance Database'!$F1634&lt;&gt;"None")),1,0)</f>
        <v/>
      </c>
      <c r="B1634">
        <f>IF($A1634=1,SUM($A$2:$A1634),"")</f>
        <v/>
      </c>
      <c r="C1634">
        <f>IF($A1634=1,SUM($A$2:$A1634),0)</f>
        <v/>
      </c>
    </row>
    <row r="1635">
      <c r="A1635">
        <f>IF(AND(OR(Query!$B$4="All",'Compliance Database'!$A1635=Query!$B$4),OR(Query!$B$5="All",ISNUMBER(SEARCH(Query!$B$5,'Compliance Database'!$H1635))),OR(Query!$B$6="All",ISNUMBER(SEARCH(Query!$B$6,'Compliance Database'!$I1635))),OR(Query!$B$7="All",'Compliance Database'!$F1635=Query!$B$7),OR(Query!$B$8="All",'Compliance Database'!$J1635=Query!$B$8),OR(Query!$B$9="",ISNUMBER(SEARCH(Query!$B$9,'Compliance Database'!$D1635&amp;" "&amp;'Compliance Database'!$K1635&amp;" "&amp;'Compliance Database'!$L1635&amp;" "&amp;'Compliance Database'!$M1635&amp;" "&amp;'Compliance Database'!$N1635&amp;" "&amp;'Compliance Database'!$O1635))),OR(Query!$B$10&lt;&gt;"Yes",'Compliance Database'!$F1635&lt;&gt;"None")),1,0)</f>
        <v/>
      </c>
      <c r="B1635">
        <f>IF($A1635=1,SUM($A$2:$A1635),"")</f>
        <v/>
      </c>
      <c r="C1635">
        <f>IF($A1635=1,SUM($A$2:$A1635),0)</f>
        <v/>
      </c>
    </row>
    <row r="1636">
      <c r="A1636">
        <f>IF(AND(OR(Query!$B$4="All",'Compliance Database'!$A1636=Query!$B$4),OR(Query!$B$5="All",ISNUMBER(SEARCH(Query!$B$5,'Compliance Database'!$H1636))),OR(Query!$B$6="All",ISNUMBER(SEARCH(Query!$B$6,'Compliance Database'!$I1636))),OR(Query!$B$7="All",'Compliance Database'!$F1636=Query!$B$7),OR(Query!$B$8="All",'Compliance Database'!$J1636=Query!$B$8),OR(Query!$B$9="",ISNUMBER(SEARCH(Query!$B$9,'Compliance Database'!$D1636&amp;" "&amp;'Compliance Database'!$K1636&amp;" "&amp;'Compliance Database'!$L1636&amp;" "&amp;'Compliance Database'!$M1636&amp;" "&amp;'Compliance Database'!$N1636&amp;" "&amp;'Compliance Database'!$O1636))),OR(Query!$B$10&lt;&gt;"Yes",'Compliance Database'!$F1636&lt;&gt;"None")),1,0)</f>
        <v/>
      </c>
      <c r="B1636">
        <f>IF($A1636=1,SUM($A$2:$A1636),"")</f>
        <v/>
      </c>
      <c r="C1636">
        <f>IF($A1636=1,SUM($A$2:$A1636),0)</f>
        <v/>
      </c>
    </row>
    <row r="1637">
      <c r="A1637">
        <f>IF(AND(OR(Query!$B$4="All",'Compliance Database'!$A1637=Query!$B$4),OR(Query!$B$5="All",ISNUMBER(SEARCH(Query!$B$5,'Compliance Database'!$H1637))),OR(Query!$B$6="All",ISNUMBER(SEARCH(Query!$B$6,'Compliance Database'!$I1637))),OR(Query!$B$7="All",'Compliance Database'!$F1637=Query!$B$7),OR(Query!$B$8="All",'Compliance Database'!$J1637=Query!$B$8),OR(Query!$B$9="",ISNUMBER(SEARCH(Query!$B$9,'Compliance Database'!$D1637&amp;" "&amp;'Compliance Database'!$K1637&amp;" "&amp;'Compliance Database'!$L1637&amp;" "&amp;'Compliance Database'!$M1637&amp;" "&amp;'Compliance Database'!$N1637&amp;" "&amp;'Compliance Database'!$O1637))),OR(Query!$B$10&lt;&gt;"Yes",'Compliance Database'!$F1637&lt;&gt;"None")),1,0)</f>
        <v/>
      </c>
      <c r="B1637">
        <f>IF($A1637=1,SUM($A$2:$A1637),"")</f>
        <v/>
      </c>
      <c r="C1637">
        <f>IF($A1637=1,SUM($A$2:$A1637),0)</f>
        <v/>
      </c>
    </row>
    <row r="1638">
      <c r="A1638">
        <f>IF(AND(OR(Query!$B$4="All",'Compliance Database'!$A1638=Query!$B$4),OR(Query!$B$5="All",ISNUMBER(SEARCH(Query!$B$5,'Compliance Database'!$H1638))),OR(Query!$B$6="All",ISNUMBER(SEARCH(Query!$B$6,'Compliance Database'!$I1638))),OR(Query!$B$7="All",'Compliance Database'!$F1638=Query!$B$7),OR(Query!$B$8="All",'Compliance Database'!$J1638=Query!$B$8),OR(Query!$B$9="",ISNUMBER(SEARCH(Query!$B$9,'Compliance Database'!$D1638&amp;" "&amp;'Compliance Database'!$K1638&amp;" "&amp;'Compliance Database'!$L1638&amp;" "&amp;'Compliance Database'!$M1638&amp;" "&amp;'Compliance Database'!$N1638&amp;" "&amp;'Compliance Database'!$O1638))),OR(Query!$B$10&lt;&gt;"Yes",'Compliance Database'!$F1638&lt;&gt;"None")),1,0)</f>
        <v/>
      </c>
      <c r="B1638">
        <f>IF($A1638=1,SUM($A$2:$A1638),"")</f>
        <v/>
      </c>
      <c r="C1638">
        <f>IF($A1638=1,SUM($A$2:$A1638),0)</f>
        <v/>
      </c>
    </row>
    <row r="1639">
      <c r="A1639">
        <f>IF(AND(OR(Query!$B$4="All",'Compliance Database'!$A1639=Query!$B$4),OR(Query!$B$5="All",ISNUMBER(SEARCH(Query!$B$5,'Compliance Database'!$H1639))),OR(Query!$B$6="All",ISNUMBER(SEARCH(Query!$B$6,'Compliance Database'!$I1639))),OR(Query!$B$7="All",'Compliance Database'!$F1639=Query!$B$7),OR(Query!$B$8="All",'Compliance Database'!$J1639=Query!$B$8),OR(Query!$B$9="",ISNUMBER(SEARCH(Query!$B$9,'Compliance Database'!$D1639&amp;" "&amp;'Compliance Database'!$K1639&amp;" "&amp;'Compliance Database'!$L1639&amp;" "&amp;'Compliance Database'!$M1639&amp;" "&amp;'Compliance Database'!$N1639&amp;" "&amp;'Compliance Database'!$O1639))),OR(Query!$B$10&lt;&gt;"Yes",'Compliance Database'!$F1639&lt;&gt;"None")),1,0)</f>
        <v/>
      </c>
      <c r="B1639">
        <f>IF($A1639=1,SUM($A$2:$A1639),"")</f>
        <v/>
      </c>
      <c r="C1639">
        <f>IF($A1639=1,SUM($A$2:$A1639),0)</f>
        <v/>
      </c>
    </row>
    <row r="1640">
      <c r="A1640">
        <f>IF(AND(OR(Query!$B$4="All",'Compliance Database'!$A1640=Query!$B$4),OR(Query!$B$5="All",ISNUMBER(SEARCH(Query!$B$5,'Compliance Database'!$H1640))),OR(Query!$B$6="All",ISNUMBER(SEARCH(Query!$B$6,'Compliance Database'!$I1640))),OR(Query!$B$7="All",'Compliance Database'!$F1640=Query!$B$7),OR(Query!$B$8="All",'Compliance Database'!$J1640=Query!$B$8),OR(Query!$B$9="",ISNUMBER(SEARCH(Query!$B$9,'Compliance Database'!$D1640&amp;" "&amp;'Compliance Database'!$K1640&amp;" "&amp;'Compliance Database'!$L1640&amp;" "&amp;'Compliance Database'!$M1640&amp;" "&amp;'Compliance Database'!$N1640&amp;" "&amp;'Compliance Database'!$O1640))),OR(Query!$B$10&lt;&gt;"Yes",'Compliance Database'!$F1640&lt;&gt;"None")),1,0)</f>
        <v/>
      </c>
      <c r="B1640">
        <f>IF($A1640=1,SUM($A$2:$A1640),"")</f>
        <v/>
      </c>
      <c r="C1640">
        <f>IF($A1640=1,SUM($A$2:$A1640),0)</f>
        <v/>
      </c>
    </row>
    <row r="1641">
      <c r="A1641">
        <f>IF(AND(OR(Query!$B$4="All",'Compliance Database'!$A1641=Query!$B$4),OR(Query!$B$5="All",ISNUMBER(SEARCH(Query!$B$5,'Compliance Database'!$H1641))),OR(Query!$B$6="All",ISNUMBER(SEARCH(Query!$B$6,'Compliance Database'!$I1641))),OR(Query!$B$7="All",'Compliance Database'!$F1641=Query!$B$7),OR(Query!$B$8="All",'Compliance Database'!$J1641=Query!$B$8),OR(Query!$B$9="",ISNUMBER(SEARCH(Query!$B$9,'Compliance Database'!$D1641&amp;" "&amp;'Compliance Database'!$K1641&amp;" "&amp;'Compliance Database'!$L1641&amp;" "&amp;'Compliance Database'!$M1641&amp;" "&amp;'Compliance Database'!$N1641&amp;" "&amp;'Compliance Database'!$O1641))),OR(Query!$B$10&lt;&gt;"Yes",'Compliance Database'!$F1641&lt;&gt;"None")),1,0)</f>
        <v/>
      </c>
      <c r="B1641">
        <f>IF($A1641=1,SUM($A$2:$A1641),"")</f>
        <v/>
      </c>
      <c r="C1641">
        <f>IF($A1641=1,SUM($A$2:$A1641),0)</f>
        <v/>
      </c>
    </row>
    <row r="1642">
      <c r="A1642">
        <f>IF(AND(OR(Query!$B$4="All",'Compliance Database'!$A1642=Query!$B$4),OR(Query!$B$5="All",ISNUMBER(SEARCH(Query!$B$5,'Compliance Database'!$H1642))),OR(Query!$B$6="All",ISNUMBER(SEARCH(Query!$B$6,'Compliance Database'!$I1642))),OR(Query!$B$7="All",'Compliance Database'!$F1642=Query!$B$7),OR(Query!$B$8="All",'Compliance Database'!$J1642=Query!$B$8),OR(Query!$B$9="",ISNUMBER(SEARCH(Query!$B$9,'Compliance Database'!$D1642&amp;" "&amp;'Compliance Database'!$K1642&amp;" "&amp;'Compliance Database'!$L1642&amp;" "&amp;'Compliance Database'!$M1642&amp;" "&amp;'Compliance Database'!$N1642&amp;" "&amp;'Compliance Database'!$O1642))),OR(Query!$B$10&lt;&gt;"Yes",'Compliance Database'!$F1642&lt;&gt;"None")),1,0)</f>
        <v/>
      </c>
      <c r="B1642">
        <f>IF($A1642=1,SUM($A$2:$A1642),"")</f>
        <v/>
      </c>
      <c r="C1642">
        <f>IF($A1642=1,SUM($A$2:$A1642),0)</f>
        <v/>
      </c>
    </row>
    <row r="1643">
      <c r="A1643">
        <f>IF(AND(OR(Query!$B$4="All",'Compliance Database'!$A1643=Query!$B$4),OR(Query!$B$5="All",ISNUMBER(SEARCH(Query!$B$5,'Compliance Database'!$H1643))),OR(Query!$B$6="All",ISNUMBER(SEARCH(Query!$B$6,'Compliance Database'!$I1643))),OR(Query!$B$7="All",'Compliance Database'!$F1643=Query!$B$7),OR(Query!$B$8="All",'Compliance Database'!$J1643=Query!$B$8),OR(Query!$B$9="",ISNUMBER(SEARCH(Query!$B$9,'Compliance Database'!$D1643&amp;" "&amp;'Compliance Database'!$K1643&amp;" "&amp;'Compliance Database'!$L1643&amp;" "&amp;'Compliance Database'!$M1643&amp;" "&amp;'Compliance Database'!$N1643&amp;" "&amp;'Compliance Database'!$O1643))),OR(Query!$B$10&lt;&gt;"Yes",'Compliance Database'!$F1643&lt;&gt;"None")),1,0)</f>
        <v/>
      </c>
      <c r="B1643">
        <f>IF($A1643=1,SUM($A$2:$A1643),"")</f>
        <v/>
      </c>
      <c r="C1643">
        <f>IF($A1643=1,SUM($A$2:$A1643),0)</f>
        <v/>
      </c>
    </row>
    <row r="1644">
      <c r="A1644">
        <f>IF(AND(OR(Query!$B$4="All",'Compliance Database'!$A1644=Query!$B$4),OR(Query!$B$5="All",ISNUMBER(SEARCH(Query!$B$5,'Compliance Database'!$H1644))),OR(Query!$B$6="All",ISNUMBER(SEARCH(Query!$B$6,'Compliance Database'!$I1644))),OR(Query!$B$7="All",'Compliance Database'!$F1644=Query!$B$7),OR(Query!$B$8="All",'Compliance Database'!$J1644=Query!$B$8),OR(Query!$B$9="",ISNUMBER(SEARCH(Query!$B$9,'Compliance Database'!$D1644&amp;" "&amp;'Compliance Database'!$K1644&amp;" "&amp;'Compliance Database'!$L1644&amp;" "&amp;'Compliance Database'!$M1644&amp;" "&amp;'Compliance Database'!$N1644&amp;" "&amp;'Compliance Database'!$O1644))),OR(Query!$B$10&lt;&gt;"Yes",'Compliance Database'!$F1644&lt;&gt;"None")),1,0)</f>
        <v/>
      </c>
      <c r="B1644">
        <f>IF($A1644=1,SUM($A$2:$A1644),"")</f>
        <v/>
      </c>
      <c r="C1644">
        <f>IF($A1644=1,SUM($A$2:$A1644),0)</f>
        <v/>
      </c>
    </row>
    <row r="1645">
      <c r="A1645">
        <f>IF(AND(OR(Query!$B$4="All",'Compliance Database'!$A1645=Query!$B$4),OR(Query!$B$5="All",ISNUMBER(SEARCH(Query!$B$5,'Compliance Database'!$H1645))),OR(Query!$B$6="All",ISNUMBER(SEARCH(Query!$B$6,'Compliance Database'!$I1645))),OR(Query!$B$7="All",'Compliance Database'!$F1645=Query!$B$7),OR(Query!$B$8="All",'Compliance Database'!$J1645=Query!$B$8),OR(Query!$B$9="",ISNUMBER(SEARCH(Query!$B$9,'Compliance Database'!$D1645&amp;" "&amp;'Compliance Database'!$K1645&amp;" "&amp;'Compliance Database'!$L1645&amp;" "&amp;'Compliance Database'!$M1645&amp;" "&amp;'Compliance Database'!$N1645&amp;" "&amp;'Compliance Database'!$O1645))),OR(Query!$B$10&lt;&gt;"Yes",'Compliance Database'!$F1645&lt;&gt;"None")),1,0)</f>
        <v/>
      </c>
      <c r="B1645">
        <f>IF($A1645=1,SUM($A$2:$A1645),"")</f>
        <v/>
      </c>
      <c r="C1645">
        <f>IF($A1645=1,SUM($A$2:$A1645),0)</f>
        <v/>
      </c>
    </row>
    <row r="1646">
      <c r="A1646">
        <f>IF(AND(OR(Query!$B$4="All",'Compliance Database'!$A1646=Query!$B$4),OR(Query!$B$5="All",ISNUMBER(SEARCH(Query!$B$5,'Compliance Database'!$H1646))),OR(Query!$B$6="All",ISNUMBER(SEARCH(Query!$B$6,'Compliance Database'!$I1646))),OR(Query!$B$7="All",'Compliance Database'!$F1646=Query!$B$7),OR(Query!$B$8="All",'Compliance Database'!$J1646=Query!$B$8),OR(Query!$B$9="",ISNUMBER(SEARCH(Query!$B$9,'Compliance Database'!$D1646&amp;" "&amp;'Compliance Database'!$K1646&amp;" "&amp;'Compliance Database'!$L1646&amp;" "&amp;'Compliance Database'!$M1646&amp;" "&amp;'Compliance Database'!$N1646&amp;" "&amp;'Compliance Database'!$O1646))),OR(Query!$B$10&lt;&gt;"Yes",'Compliance Database'!$F1646&lt;&gt;"None")),1,0)</f>
        <v/>
      </c>
      <c r="B1646">
        <f>IF($A1646=1,SUM($A$2:$A1646),"")</f>
        <v/>
      </c>
      <c r="C1646">
        <f>IF($A1646=1,SUM($A$2:$A1646),0)</f>
        <v/>
      </c>
    </row>
    <row r="1647">
      <c r="A1647">
        <f>IF(AND(OR(Query!$B$4="All",'Compliance Database'!$A1647=Query!$B$4),OR(Query!$B$5="All",ISNUMBER(SEARCH(Query!$B$5,'Compliance Database'!$H1647))),OR(Query!$B$6="All",ISNUMBER(SEARCH(Query!$B$6,'Compliance Database'!$I1647))),OR(Query!$B$7="All",'Compliance Database'!$F1647=Query!$B$7),OR(Query!$B$8="All",'Compliance Database'!$J1647=Query!$B$8),OR(Query!$B$9="",ISNUMBER(SEARCH(Query!$B$9,'Compliance Database'!$D1647&amp;" "&amp;'Compliance Database'!$K1647&amp;" "&amp;'Compliance Database'!$L1647&amp;" "&amp;'Compliance Database'!$M1647&amp;" "&amp;'Compliance Database'!$N1647&amp;" "&amp;'Compliance Database'!$O1647))),OR(Query!$B$10&lt;&gt;"Yes",'Compliance Database'!$F1647&lt;&gt;"None")),1,0)</f>
        <v/>
      </c>
      <c r="B1647">
        <f>IF($A1647=1,SUM($A$2:$A1647),"")</f>
        <v/>
      </c>
      <c r="C1647">
        <f>IF($A1647=1,SUM($A$2:$A1647),0)</f>
        <v/>
      </c>
    </row>
    <row r="1648">
      <c r="A1648">
        <f>IF(AND(OR(Query!$B$4="All",'Compliance Database'!$A1648=Query!$B$4),OR(Query!$B$5="All",ISNUMBER(SEARCH(Query!$B$5,'Compliance Database'!$H1648))),OR(Query!$B$6="All",ISNUMBER(SEARCH(Query!$B$6,'Compliance Database'!$I1648))),OR(Query!$B$7="All",'Compliance Database'!$F1648=Query!$B$7),OR(Query!$B$8="All",'Compliance Database'!$J1648=Query!$B$8),OR(Query!$B$9="",ISNUMBER(SEARCH(Query!$B$9,'Compliance Database'!$D1648&amp;" "&amp;'Compliance Database'!$K1648&amp;" "&amp;'Compliance Database'!$L1648&amp;" "&amp;'Compliance Database'!$M1648&amp;" "&amp;'Compliance Database'!$N1648&amp;" "&amp;'Compliance Database'!$O1648))),OR(Query!$B$10&lt;&gt;"Yes",'Compliance Database'!$F1648&lt;&gt;"None")),1,0)</f>
        <v/>
      </c>
      <c r="B1648">
        <f>IF($A1648=1,SUM($A$2:$A1648),"")</f>
        <v/>
      </c>
      <c r="C1648">
        <f>IF($A1648=1,SUM($A$2:$A1648),0)</f>
        <v/>
      </c>
    </row>
    <row r="1649">
      <c r="A1649">
        <f>IF(AND(OR(Query!$B$4="All",'Compliance Database'!$A1649=Query!$B$4),OR(Query!$B$5="All",ISNUMBER(SEARCH(Query!$B$5,'Compliance Database'!$H1649))),OR(Query!$B$6="All",ISNUMBER(SEARCH(Query!$B$6,'Compliance Database'!$I1649))),OR(Query!$B$7="All",'Compliance Database'!$F1649=Query!$B$7),OR(Query!$B$8="All",'Compliance Database'!$J1649=Query!$B$8),OR(Query!$B$9="",ISNUMBER(SEARCH(Query!$B$9,'Compliance Database'!$D1649&amp;" "&amp;'Compliance Database'!$K1649&amp;" "&amp;'Compliance Database'!$L1649&amp;" "&amp;'Compliance Database'!$M1649&amp;" "&amp;'Compliance Database'!$N1649&amp;" "&amp;'Compliance Database'!$O1649))),OR(Query!$B$10&lt;&gt;"Yes",'Compliance Database'!$F1649&lt;&gt;"None")),1,0)</f>
        <v/>
      </c>
      <c r="B1649">
        <f>IF($A1649=1,SUM($A$2:$A1649),"")</f>
        <v/>
      </c>
      <c r="C1649">
        <f>IF($A1649=1,SUM($A$2:$A1649),0)</f>
        <v/>
      </c>
    </row>
    <row r="1650">
      <c r="A1650">
        <f>IF(AND(OR(Query!$B$4="All",'Compliance Database'!$A1650=Query!$B$4),OR(Query!$B$5="All",ISNUMBER(SEARCH(Query!$B$5,'Compliance Database'!$H1650))),OR(Query!$B$6="All",ISNUMBER(SEARCH(Query!$B$6,'Compliance Database'!$I1650))),OR(Query!$B$7="All",'Compliance Database'!$F1650=Query!$B$7),OR(Query!$B$8="All",'Compliance Database'!$J1650=Query!$B$8),OR(Query!$B$9="",ISNUMBER(SEARCH(Query!$B$9,'Compliance Database'!$D1650&amp;" "&amp;'Compliance Database'!$K1650&amp;" "&amp;'Compliance Database'!$L1650&amp;" "&amp;'Compliance Database'!$M1650&amp;" "&amp;'Compliance Database'!$N1650&amp;" "&amp;'Compliance Database'!$O1650))),OR(Query!$B$10&lt;&gt;"Yes",'Compliance Database'!$F1650&lt;&gt;"None")),1,0)</f>
        <v/>
      </c>
      <c r="B1650">
        <f>IF($A1650=1,SUM($A$2:$A1650),"")</f>
        <v/>
      </c>
      <c r="C1650">
        <f>IF($A1650=1,SUM($A$2:$A1650),0)</f>
        <v/>
      </c>
    </row>
    <row r="1651">
      <c r="A1651">
        <f>IF(AND(OR(Query!$B$4="All",'Compliance Database'!$A1651=Query!$B$4),OR(Query!$B$5="All",ISNUMBER(SEARCH(Query!$B$5,'Compliance Database'!$H1651))),OR(Query!$B$6="All",ISNUMBER(SEARCH(Query!$B$6,'Compliance Database'!$I1651))),OR(Query!$B$7="All",'Compliance Database'!$F1651=Query!$B$7),OR(Query!$B$8="All",'Compliance Database'!$J1651=Query!$B$8),OR(Query!$B$9="",ISNUMBER(SEARCH(Query!$B$9,'Compliance Database'!$D1651&amp;" "&amp;'Compliance Database'!$K1651&amp;" "&amp;'Compliance Database'!$L1651&amp;" "&amp;'Compliance Database'!$M1651&amp;" "&amp;'Compliance Database'!$N1651&amp;" "&amp;'Compliance Database'!$O1651))),OR(Query!$B$10&lt;&gt;"Yes",'Compliance Database'!$F1651&lt;&gt;"None")),1,0)</f>
        <v/>
      </c>
      <c r="B1651">
        <f>IF($A1651=1,SUM($A$2:$A1651),"")</f>
        <v/>
      </c>
      <c r="C1651">
        <f>IF($A1651=1,SUM($A$2:$A1651),0)</f>
        <v/>
      </c>
    </row>
    <row r="1652">
      <c r="A1652">
        <f>IF(AND(OR(Query!$B$4="All",'Compliance Database'!$A1652=Query!$B$4),OR(Query!$B$5="All",ISNUMBER(SEARCH(Query!$B$5,'Compliance Database'!$H1652))),OR(Query!$B$6="All",ISNUMBER(SEARCH(Query!$B$6,'Compliance Database'!$I1652))),OR(Query!$B$7="All",'Compliance Database'!$F1652=Query!$B$7),OR(Query!$B$8="All",'Compliance Database'!$J1652=Query!$B$8),OR(Query!$B$9="",ISNUMBER(SEARCH(Query!$B$9,'Compliance Database'!$D1652&amp;" "&amp;'Compliance Database'!$K1652&amp;" "&amp;'Compliance Database'!$L1652&amp;" "&amp;'Compliance Database'!$M1652&amp;" "&amp;'Compliance Database'!$N1652&amp;" "&amp;'Compliance Database'!$O1652))),OR(Query!$B$10&lt;&gt;"Yes",'Compliance Database'!$F1652&lt;&gt;"None")),1,0)</f>
        <v/>
      </c>
      <c r="B1652">
        <f>IF($A1652=1,SUM($A$2:$A1652),"")</f>
        <v/>
      </c>
      <c r="C1652">
        <f>IF($A1652=1,SUM($A$2:$A1652),0)</f>
        <v/>
      </c>
    </row>
    <row r="1653">
      <c r="A1653">
        <f>IF(AND(OR(Query!$B$4="All",'Compliance Database'!$A1653=Query!$B$4),OR(Query!$B$5="All",ISNUMBER(SEARCH(Query!$B$5,'Compliance Database'!$H1653))),OR(Query!$B$6="All",ISNUMBER(SEARCH(Query!$B$6,'Compliance Database'!$I1653))),OR(Query!$B$7="All",'Compliance Database'!$F1653=Query!$B$7),OR(Query!$B$8="All",'Compliance Database'!$J1653=Query!$B$8),OR(Query!$B$9="",ISNUMBER(SEARCH(Query!$B$9,'Compliance Database'!$D1653&amp;" "&amp;'Compliance Database'!$K1653&amp;" "&amp;'Compliance Database'!$L1653&amp;" "&amp;'Compliance Database'!$M1653&amp;" "&amp;'Compliance Database'!$N1653&amp;" "&amp;'Compliance Database'!$O1653))),OR(Query!$B$10&lt;&gt;"Yes",'Compliance Database'!$F1653&lt;&gt;"None")),1,0)</f>
        <v/>
      </c>
      <c r="B1653">
        <f>IF($A1653=1,SUM($A$2:$A1653),"")</f>
        <v/>
      </c>
      <c r="C1653">
        <f>IF($A1653=1,SUM($A$2:$A1653),0)</f>
        <v/>
      </c>
    </row>
    <row r="1654">
      <c r="A1654">
        <f>IF(AND(OR(Query!$B$4="All",'Compliance Database'!$A1654=Query!$B$4),OR(Query!$B$5="All",ISNUMBER(SEARCH(Query!$B$5,'Compliance Database'!$H1654))),OR(Query!$B$6="All",ISNUMBER(SEARCH(Query!$B$6,'Compliance Database'!$I1654))),OR(Query!$B$7="All",'Compliance Database'!$F1654=Query!$B$7),OR(Query!$B$8="All",'Compliance Database'!$J1654=Query!$B$8),OR(Query!$B$9="",ISNUMBER(SEARCH(Query!$B$9,'Compliance Database'!$D1654&amp;" "&amp;'Compliance Database'!$K1654&amp;" "&amp;'Compliance Database'!$L1654&amp;" "&amp;'Compliance Database'!$M1654&amp;" "&amp;'Compliance Database'!$N1654&amp;" "&amp;'Compliance Database'!$O1654))),OR(Query!$B$10&lt;&gt;"Yes",'Compliance Database'!$F1654&lt;&gt;"None")),1,0)</f>
        <v/>
      </c>
      <c r="B1654">
        <f>IF($A1654=1,SUM($A$2:$A1654),"")</f>
        <v/>
      </c>
      <c r="C1654">
        <f>IF($A1654=1,SUM($A$2:$A1654),0)</f>
        <v/>
      </c>
    </row>
    <row r="1655">
      <c r="A1655">
        <f>IF(AND(OR(Query!$B$4="All",'Compliance Database'!$A1655=Query!$B$4),OR(Query!$B$5="All",ISNUMBER(SEARCH(Query!$B$5,'Compliance Database'!$H1655))),OR(Query!$B$6="All",ISNUMBER(SEARCH(Query!$B$6,'Compliance Database'!$I1655))),OR(Query!$B$7="All",'Compliance Database'!$F1655=Query!$B$7),OR(Query!$B$8="All",'Compliance Database'!$J1655=Query!$B$8),OR(Query!$B$9="",ISNUMBER(SEARCH(Query!$B$9,'Compliance Database'!$D1655&amp;" "&amp;'Compliance Database'!$K1655&amp;" "&amp;'Compliance Database'!$L1655&amp;" "&amp;'Compliance Database'!$M1655&amp;" "&amp;'Compliance Database'!$N1655&amp;" "&amp;'Compliance Database'!$O1655))),OR(Query!$B$10&lt;&gt;"Yes",'Compliance Database'!$F1655&lt;&gt;"None")),1,0)</f>
        <v/>
      </c>
      <c r="B1655">
        <f>IF($A1655=1,SUM($A$2:$A1655),"")</f>
        <v/>
      </c>
      <c r="C1655">
        <f>IF($A1655=1,SUM($A$2:$A1655),0)</f>
        <v/>
      </c>
    </row>
    <row r="1656">
      <c r="A1656">
        <f>IF(AND(OR(Query!$B$4="All",'Compliance Database'!$A1656=Query!$B$4),OR(Query!$B$5="All",ISNUMBER(SEARCH(Query!$B$5,'Compliance Database'!$H1656))),OR(Query!$B$6="All",ISNUMBER(SEARCH(Query!$B$6,'Compliance Database'!$I1656))),OR(Query!$B$7="All",'Compliance Database'!$F1656=Query!$B$7),OR(Query!$B$8="All",'Compliance Database'!$J1656=Query!$B$8),OR(Query!$B$9="",ISNUMBER(SEARCH(Query!$B$9,'Compliance Database'!$D1656&amp;" "&amp;'Compliance Database'!$K1656&amp;" "&amp;'Compliance Database'!$L1656&amp;" "&amp;'Compliance Database'!$M1656&amp;" "&amp;'Compliance Database'!$N1656&amp;" "&amp;'Compliance Database'!$O1656))),OR(Query!$B$10&lt;&gt;"Yes",'Compliance Database'!$F1656&lt;&gt;"None")),1,0)</f>
        <v/>
      </c>
      <c r="B1656">
        <f>IF($A1656=1,SUM($A$2:$A1656),"")</f>
        <v/>
      </c>
      <c r="C1656">
        <f>IF($A1656=1,SUM($A$2:$A1656),0)</f>
        <v/>
      </c>
    </row>
    <row r="1657">
      <c r="A1657">
        <f>IF(AND(OR(Query!$B$4="All",'Compliance Database'!$A1657=Query!$B$4),OR(Query!$B$5="All",ISNUMBER(SEARCH(Query!$B$5,'Compliance Database'!$H1657))),OR(Query!$B$6="All",ISNUMBER(SEARCH(Query!$B$6,'Compliance Database'!$I1657))),OR(Query!$B$7="All",'Compliance Database'!$F1657=Query!$B$7),OR(Query!$B$8="All",'Compliance Database'!$J1657=Query!$B$8),OR(Query!$B$9="",ISNUMBER(SEARCH(Query!$B$9,'Compliance Database'!$D1657&amp;" "&amp;'Compliance Database'!$K1657&amp;" "&amp;'Compliance Database'!$L1657&amp;" "&amp;'Compliance Database'!$M1657&amp;" "&amp;'Compliance Database'!$N1657&amp;" "&amp;'Compliance Database'!$O1657))),OR(Query!$B$10&lt;&gt;"Yes",'Compliance Database'!$F1657&lt;&gt;"None")),1,0)</f>
        <v/>
      </c>
      <c r="B1657">
        <f>IF($A1657=1,SUM($A$2:$A1657),"")</f>
        <v/>
      </c>
      <c r="C1657">
        <f>IF($A1657=1,SUM($A$2:$A1657),0)</f>
        <v/>
      </c>
    </row>
    <row r="1658">
      <c r="A1658">
        <f>IF(AND(OR(Query!$B$4="All",'Compliance Database'!$A1658=Query!$B$4),OR(Query!$B$5="All",ISNUMBER(SEARCH(Query!$B$5,'Compliance Database'!$H1658))),OR(Query!$B$6="All",ISNUMBER(SEARCH(Query!$B$6,'Compliance Database'!$I1658))),OR(Query!$B$7="All",'Compliance Database'!$F1658=Query!$B$7),OR(Query!$B$8="All",'Compliance Database'!$J1658=Query!$B$8),OR(Query!$B$9="",ISNUMBER(SEARCH(Query!$B$9,'Compliance Database'!$D1658&amp;" "&amp;'Compliance Database'!$K1658&amp;" "&amp;'Compliance Database'!$L1658&amp;" "&amp;'Compliance Database'!$M1658&amp;" "&amp;'Compliance Database'!$N1658&amp;" "&amp;'Compliance Database'!$O1658))),OR(Query!$B$10&lt;&gt;"Yes",'Compliance Database'!$F1658&lt;&gt;"None")),1,0)</f>
        <v/>
      </c>
      <c r="B1658">
        <f>IF($A1658=1,SUM($A$2:$A1658),"")</f>
        <v/>
      </c>
      <c r="C1658">
        <f>IF($A1658=1,SUM($A$2:$A1658),0)</f>
        <v/>
      </c>
    </row>
    <row r="1659">
      <c r="A1659">
        <f>IF(AND(OR(Query!$B$4="All",'Compliance Database'!$A1659=Query!$B$4),OR(Query!$B$5="All",ISNUMBER(SEARCH(Query!$B$5,'Compliance Database'!$H1659))),OR(Query!$B$6="All",ISNUMBER(SEARCH(Query!$B$6,'Compliance Database'!$I1659))),OR(Query!$B$7="All",'Compliance Database'!$F1659=Query!$B$7),OR(Query!$B$8="All",'Compliance Database'!$J1659=Query!$B$8),OR(Query!$B$9="",ISNUMBER(SEARCH(Query!$B$9,'Compliance Database'!$D1659&amp;" "&amp;'Compliance Database'!$K1659&amp;" "&amp;'Compliance Database'!$L1659&amp;" "&amp;'Compliance Database'!$M1659&amp;" "&amp;'Compliance Database'!$N1659&amp;" "&amp;'Compliance Database'!$O1659))),OR(Query!$B$10&lt;&gt;"Yes",'Compliance Database'!$F1659&lt;&gt;"None")),1,0)</f>
        <v/>
      </c>
      <c r="B1659">
        <f>IF($A1659=1,SUM($A$2:$A1659),"")</f>
        <v/>
      </c>
      <c r="C1659">
        <f>IF($A1659=1,SUM($A$2:$A1659),0)</f>
        <v/>
      </c>
    </row>
    <row r="1660">
      <c r="A1660">
        <f>IF(AND(OR(Query!$B$4="All",'Compliance Database'!$A1660=Query!$B$4),OR(Query!$B$5="All",ISNUMBER(SEARCH(Query!$B$5,'Compliance Database'!$H1660))),OR(Query!$B$6="All",ISNUMBER(SEARCH(Query!$B$6,'Compliance Database'!$I1660))),OR(Query!$B$7="All",'Compliance Database'!$F1660=Query!$B$7),OR(Query!$B$8="All",'Compliance Database'!$J1660=Query!$B$8),OR(Query!$B$9="",ISNUMBER(SEARCH(Query!$B$9,'Compliance Database'!$D1660&amp;" "&amp;'Compliance Database'!$K1660&amp;" "&amp;'Compliance Database'!$L1660&amp;" "&amp;'Compliance Database'!$M1660&amp;" "&amp;'Compliance Database'!$N1660&amp;" "&amp;'Compliance Database'!$O1660))),OR(Query!$B$10&lt;&gt;"Yes",'Compliance Database'!$F1660&lt;&gt;"None")),1,0)</f>
        <v/>
      </c>
      <c r="B1660">
        <f>IF($A1660=1,SUM($A$2:$A1660),"")</f>
        <v/>
      </c>
      <c r="C1660">
        <f>IF($A1660=1,SUM($A$2:$A1660),0)</f>
        <v/>
      </c>
    </row>
    <row r="1661">
      <c r="A1661">
        <f>IF(AND(OR(Query!$B$4="All",'Compliance Database'!$A1661=Query!$B$4),OR(Query!$B$5="All",ISNUMBER(SEARCH(Query!$B$5,'Compliance Database'!$H1661))),OR(Query!$B$6="All",ISNUMBER(SEARCH(Query!$B$6,'Compliance Database'!$I1661))),OR(Query!$B$7="All",'Compliance Database'!$F1661=Query!$B$7),OR(Query!$B$8="All",'Compliance Database'!$J1661=Query!$B$8),OR(Query!$B$9="",ISNUMBER(SEARCH(Query!$B$9,'Compliance Database'!$D1661&amp;" "&amp;'Compliance Database'!$K1661&amp;" "&amp;'Compliance Database'!$L1661&amp;" "&amp;'Compliance Database'!$M1661&amp;" "&amp;'Compliance Database'!$N1661&amp;" "&amp;'Compliance Database'!$O1661))),OR(Query!$B$10&lt;&gt;"Yes",'Compliance Database'!$F1661&lt;&gt;"None")),1,0)</f>
        <v/>
      </c>
      <c r="B1661">
        <f>IF($A1661=1,SUM($A$2:$A1661),"")</f>
        <v/>
      </c>
      <c r="C1661">
        <f>IF($A1661=1,SUM($A$2:$A1661),0)</f>
        <v/>
      </c>
    </row>
    <row r="1662">
      <c r="A1662">
        <f>IF(AND(OR(Query!$B$4="All",'Compliance Database'!$A1662=Query!$B$4),OR(Query!$B$5="All",ISNUMBER(SEARCH(Query!$B$5,'Compliance Database'!$H1662))),OR(Query!$B$6="All",ISNUMBER(SEARCH(Query!$B$6,'Compliance Database'!$I1662))),OR(Query!$B$7="All",'Compliance Database'!$F1662=Query!$B$7),OR(Query!$B$8="All",'Compliance Database'!$J1662=Query!$B$8),OR(Query!$B$9="",ISNUMBER(SEARCH(Query!$B$9,'Compliance Database'!$D1662&amp;" "&amp;'Compliance Database'!$K1662&amp;" "&amp;'Compliance Database'!$L1662&amp;" "&amp;'Compliance Database'!$M1662&amp;" "&amp;'Compliance Database'!$N1662&amp;" "&amp;'Compliance Database'!$O1662))),OR(Query!$B$10&lt;&gt;"Yes",'Compliance Database'!$F1662&lt;&gt;"None")),1,0)</f>
        <v/>
      </c>
      <c r="B1662">
        <f>IF($A1662=1,SUM($A$2:$A1662),"")</f>
        <v/>
      </c>
      <c r="C1662">
        <f>IF($A1662=1,SUM($A$2:$A1662),0)</f>
        <v/>
      </c>
    </row>
    <row r="1663">
      <c r="A1663">
        <f>IF(AND(OR(Query!$B$4="All",'Compliance Database'!$A1663=Query!$B$4),OR(Query!$B$5="All",ISNUMBER(SEARCH(Query!$B$5,'Compliance Database'!$H1663))),OR(Query!$B$6="All",ISNUMBER(SEARCH(Query!$B$6,'Compliance Database'!$I1663))),OR(Query!$B$7="All",'Compliance Database'!$F1663=Query!$B$7),OR(Query!$B$8="All",'Compliance Database'!$J1663=Query!$B$8),OR(Query!$B$9="",ISNUMBER(SEARCH(Query!$B$9,'Compliance Database'!$D1663&amp;" "&amp;'Compliance Database'!$K1663&amp;" "&amp;'Compliance Database'!$L1663&amp;" "&amp;'Compliance Database'!$M1663&amp;" "&amp;'Compliance Database'!$N1663&amp;" "&amp;'Compliance Database'!$O1663))),OR(Query!$B$10&lt;&gt;"Yes",'Compliance Database'!$F1663&lt;&gt;"None")),1,0)</f>
        <v/>
      </c>
      <c r="B1663">
        <f>IF($A1663=1,SUM($A$2:$A1663),"")</f>
        <v/>
      </c>
      <c r="C1663">
        <f>IF($A1663=1,SUM($A$2:$A1663),0)</f>
        <v/>
      </c>
    </row>
    <row r="1664">
      <c r="A1664">
        <f>IF(AND(OR(Query!$B$4="All",'Compliance Database'!$A1664=Query!$B$4),OR(Query!$B$5="All",ISNUMBER(SEARCH(Query!$B$5,'Compliance Database'!$H1664))),OR(Query!$B$6="All",ISNUMBER(SEARCH(Query!$B$6,'Compliance Database'!$I1664))),OR(Query!$B$7="All",'Compliance Database'!$F1664=Query!$B$7),OR(Query!$B$8="All",'Compliance Database'!$J1664=Query!$B$8),OR(Query!$B$9="",ISNUMBER(SEARCH(Query!$B$9,'Compliance Database'!$D1664&amp;" "&amp;'Compliance Database'!$K1664&amp;" "&amp;'Compliance Database'!$L1664&amp;" "&amp;'Compliance Database'!$M1664&amp;" "&amp;'Compliance Database'!$N1664&amp;" "&amp;'Compliance Database'!$O1664))),OR(Query!$B$10&lt;&gt;"Yes",'Compliance Database'!$F1664&lt;&gt;"None")),1,0)</f>
        <v/>
      </c>
      <c r="B1664">
        <f>IF($A1664=1,SUM($A$2:$A1664),"")</f>
        <v/>
      </c>
      <c r="C1664">
        <f>IF($A1664=1,SUM($A$2:$A1664),0)</f>
        <v/>
      </c>
    </row>
    <row r="1665">
      <c r="A1665">
        <f>IF(AND(OR(Query!$B$4="All",'Compliance Database'!$A1665=Query!$B$4),OR(Query!$B$5="All",ISNUMBER(SEARCH(Query!$B$5,'Compliance Database'!$H1665))),OR(Query!$B$6="All",ISNUMBER(SEARCH(Query!$B$6,'Compliance Database'!$I1665))),OR(Query!$B$7="All",'Compliance Database'!$F1665=Query!$B$7),OR(Query!$B$8="All",'Compliance Database'!$J1665=Query!$B$8),OR(Query!$B$9="",ISNUMBER(SEARCH(Query!$B$9,'Compliance Database'!$D1665&amp;" "&amp;'Compliance Database'!$K1665&amp;" "&amp;'Compliance Database'!$L1665&amp;" "&amp;'Compliance Database'!$M1665&amp;" "&amp;'Compliance Database'!$N1665&amp;" "&amp;'Compliance Database'!$O1665))),OR(Query!$B$10&lt;&gt;"Yes",'Compliance Database'!$F1665&lt;&gt;"None")),1,0)</f>
        <v/>
      </c>
      <c r="B1665">
        <f>IF($A1665=1,SUM($A$2:$A1665),"")</f>
        <v/>
      </c>
      <c r="C1665">
        <f>IF($A1665=1,SUM($A$2:$A1665),0)</f>
        <v/>
      </c>
    </row>
    <row r="1666">
      <c r="A1666">
        <f>IF(AND(OR(Query!$B$4="All",'Compliance Database'!$A1666=Query!$B$4),OR(Query!$B$5="All",ISNUMBER(SEARCH(Query!$B$5,'Compliance Database'!$H1666))),OR(Query!$B$6="All",ISNUMBER(SEARCH(Query!$B$6,'Compliance Database'!$I1666))),OR(Query!$B$7="All",'Compliance Database'!$F1666=Query!$B$7),OR(Query!$B$8="All",'Compliance Database'!$J1666=Query!$B$8),OR(Query!$B$9="",ISNUMBER(SEARCH(Query!$B$9,'Compliance Database'!$D1666&amp;" "&amp;'Compliance Database'!$K1666&amp;" "&amp;'Compliance Database'!$L1666&amp;" "&amp;'Compliance Database'!$M1666&amp;" "&amp;'Compliance Database'!$N1666&amp;" "&amp;'Compliance Database'!$O1666))),OR(Query!$B$10&lt;&gt;"Yes",'Compliance Database'!$F1666&lt;&gt;"None")),1,0)</f>
        <v/>
      </c>
      <c r="B1666">
        <f>IF($A1666=1,SUM($A$2:$A1666),"")</f>
        <v/>
      </c>
      <c r="C1666">
        <f>IF($A1666=1,SUM($A$2:$A1666),0)</f>
        <v/>
      </c>
    </row>
    <row r="1667">
      <c r="A1667">
        <f>IF(AND(OR(Query!$B$4="All",'Compliance Database'!$A1667=Query!$B$4),OR(Query!$B$5="All",ISNUMBER(SEARCH(Query!$B$5,'Compliance Database'!$H1667))),OR(Query!$B$6="All",ISNUMBER(SEARCH(Query!$B$6,'Compliance Database'!$I1667))),OR(Query!$B$7="All",'Compliance Database'!$F1667=Query!$B$7),OR(Query!$B$8="All",'Compliance Database'!$J1667=Query!$B$8),OR(Query!$B$9="",ISNUMBER(SEARCH(Query!$B$9,'Compliance Database'!$D1667&amp;" "&amp;'Compliance Database'!$K1667&amp;" "&amp;'Compliance Database'!$L1667&amp;" "&amp;'Compliance Database'!$M1667&amp;" "&amp;'Compliance Database'!$N1667&amp;" "&amp;'Compliance Database'!$O1667))),OR(Query!$B$10&lt;&gt;"Yes",'Compliance Database'!$F1667&lt;&gt;"None")),1,0)</f>
        <v/>
      </c>
      <c r="B1667">
        <f>IF($A1667=1,SUM($A$2:$A1667),"")</f>
        <v/>
      </c>
      <c r="C1667">
        <f>IF($A1667=1,SUM($A$2:$A1667),0)</f>
        <v/>
      </c>
    </row>
    <row r="1668">
      <c r="A1668">
        <f>IF(AND(OR(Query!$B$4="All",'Compliance Database'!$A1668=Query!$B$4),OR(Query!$B$5="All",ISNUMBER(SEARCH(Query!$B$5,'Compliance Database'!$H1668))),OR(Query!$B$6="All",ISNUMBER(SEARCH(Query!$B$6,'Compliance Database'!$I1668))),OR(Query!$B$7="All",'Compliance Database'!$F1668=Query!$B$7),OR(Query!$B$8="All",'Compliance Database'!$J1668=Query!$B$8),OR(Query!$B$9="",ISNUMBER(SEARCH(Query!$B$9,'Compliance Database'!$D1668&amp;" "&amp;'Compliance Database'!$K1668&amp;" "&amp;'Compliance Database'!$L1668&amp;" "&amp;'Compliance Database'!$M1668&amp;" "&amp;'Compliance Database'!$N1668&amp;" "&amp;'Compliance Database'!$O1668))),OR(Query!$B$10&lt;&gt;"Yes",'Compliance Database'!$F1668&lt;&gt;"None")),1,0)</f>
        <v/>
      </c>
      <c r="B1668">
        <f>IF($A1668=1,SUM($A$2:$A1668),"")</f>
        <v/>
      </c>
      <c r="C1668">
        <f>IF($A1668=1,SUM($A$2:$A1668),0)</f>
        <v/>
      </c>
    </row>
    <row r="1669">
      <c r="A1669">
        <f>IF(AND(OR(Query!$B$4="All",'Compliance Database'!$A1669=Query!$B$4),OR(Query!$B$5="All",ISNUMBER(SEARCH(Query!$B$5,'Compliance Database'!$H1669))),OR(Query!$B$6="All",ISNUMBER(SEARCH(Query!$B$6,'Compliance Database'!$I1669))),OR(Query!$B$7="All",'Compliance Database'!$F1669=Query!$B$7),OR(Query!$B$8="All",'Compliance Database'!$J1669=Query!$B$8),OR(Query!$B$9="",ISNUMBER(SEARCH(Query!$B$9,'Compliance Database'!$D1669&amp;" "&amp;'Compliance Database'!$K1669&amp;" "&amp;'Compliance Database'!$L1669&amp;" "&amp;'Compliance Database'!$M1669&amp;" "&amp;'Compliance Database'!$N1669&amp;" "&amp;'Compliance Database'!$O1669))),OR(Query!$B$10&lt;&gt;"Yes",'Compliance Database'!$F1669&lt;&gt;"None")),1,0)</f>
        <v/>
      </c>
      <c r="B1669">
        <f>IF($A1669=1,SUM($A$2:$A1669),"")</f>
        <v/>
      </c>
      <c r="C1669">
        <f>IF($A1669=1,SUM($A$2:$A1669),0)</f>
        <v/>
      </c>
    </row>
    <row r="1670">
      <c r="A1670">
        <f>IF(AND(OR(Query!$B$4="All",'Compliance Database'!$A1670=Query!$B$4),OR(Query!$B$5="All",ISNUMBER(SEARCH(Query!$B$5,'Compliance Database'!$H1670))),OR(Query!$B$6="All",ISNUMBER(SEARCH(Query!$B$6,'Compliance Database'!$I1670))),OR(Query!$B$7="All",'Compliance Database'!$F1670=Query!$B$7),OR(Query!$B$8="All",'Compliance Database'!$J1670=Query!$B$8),OR(Query!$B$9="",ISNUMBER(SEARCH(Query!$B$9,'Compliance Database'!$D1670&amp;" "&amp;'Compliance Database'!$K1670&amp;" "&amp;'Compliance Database'!$L1670&amp;" "&amp;'Compliance Database'!$M1670&amp;" "&amp;'Compliance Database'!$N1670&amp;" "&amp;'Compliance Database'!$O1670))),OR(Query!$B$10&lt;&gt;"Yes",'Compliance Database'!$F1670&lt;&gt;"None")),1,0)</f>
        <v/>
      </c>
      <c r="B1670">
        <f>IF($A1670=1,SUM($A$2:$A1670),"")</f>
        <v/>
      </c>
      <c r="C1670">
        <f>IF($A1670=1,SUM($A$2:$A1670),0)</f>
        <v/>
      </c>
    </row>
    <row r="1671">
      <c r="A1671">
        <f>IF(AND(OR(Query!$B$4="All",'Compliance Database'!$A1671=Query!$B$4),OR(Query!$B$5="All",ISNUMBER(SEARCH(Query!$B$5,'Compliance Database'!$H1671))),OR(Query!$B$6="All",ISNUMBER(SEARCH(Query!$B$6,'Compliance Database'!$I1671))),OR(Query!$B$7="All",'Compliance Database'!$F1671=Query!$B$7),OR(Query!$B$8="All",'Compliance Database'!$J1671=Query!$B$8),OR(Query!$B$9="",ISNUMBER(SEARCH(Query!$B$9,'Compliance Database'!$D1671&amp;" "&amp;'Compliance Database'!$K1671&amp;" "&amp;'Compliance Database'!$L1671&amp;" "&amp;'Compliance Database'!$M1671&amp;" "&amp;'Compliance Database'!$N1671&amp;" "&amp;'Compliance Database'!$O1671))),OR(Query!$B$10&lt;&gt;"Yes",'Compliance Database'!$F1671&lt;&gt;"None")),1,0)</f>
        <v/>
      </c>
      <c r="B1671">
        <f>IF($A1671=1,SUM($A$2:$A1671),"")</f>
        <v/>
      </c>
      <c r="C1671">
        <f>IF($A1671=1,SUM($A$2:$A1671),0)</f>
        <v/>
      </c>
    </row>
    <row r="1672">
      <c r="A1672">
        <f>IF(AND(OR(Query!$B$4="All",'Compliance Database'!$A1672=Query!$B$4),OR(Query!$B$5="All",ISNUMBER(SEARCH(Query!$B$5,'Compliance Database'!$H1672))),OR(Query!$B$6="All",ISNUMBER(SEARCH(Query!$B$6,'Compliance Database'!$I1672))),OR(Query!$B$7="All",'Compliance Database'!$F1672=Query!$B$7),OR(Query!$B$8="All",'Compliance Database'!$J1672=Query!$B$8),OR(Query!$B$9="",ISNUMBER(SEARCH(Query!$B$9,'Compliance Database'!$D1672&amp;" "&amp;'Compliance Database'!$K1672&amp;" "&amp;'Compliance Database'!$L1672&amp;" "&amp;'Compliance Database'!$M1672&amp;" "&amp;'Compliance Database'!$N1672&amp;" "&amp;'Compliance Database'!$O1672))),OR(Query!$B$10&lt;&gt;"Yes",'Compliance Database'!$F1672&lt;&gt;"None")),1,0)</f>
        <v/>
      </c>
      <c r="B1672">
        <f>IF($A1672=1,SUM($A$2:$A1672),"")</f>
        <v/>
      </c>
      <c r="C1672">
        <f>IF($A1672=1,SUM($A$2:$A1672),0)</f>
        <v/>
      </c>
    </row>
    <row r="1673">
      <c r="A1673">
        <f>IF(AND(OR(Query!$B$4="All",'Compliance Database'!$A1673=Query!$B$4),OR(Query!$B$5="All",ISNUMBER(SEARCH(Query!$B$5,'Compliance Database'!$H1673))),OR(Query!$B$6="All",ISNUMBER(SEARCH(Query!$B$6,'Compliance Database'!$I1673))),OR(Query!$B$7="All",'Compliance Database'!$F1673=Query!$B$7),OR(Query!$B$8="All",'Compliance Database'!$J1673=Query!$B$8),OR(Query!$B$9="",ISNUMBER(SEARCH(Query!$B$9,'Compliance Database'!$D1673&amp;" "&amp;'Compliance Database'!$K1673&amp;" "&amp;'Compliance Database'!$L1673&amp;" "&amp;'Compliance Database'!$M1673&amp;" "&amp;'Compliance Database'!$N1673&amp;" "&amp;'Compliance Database'!$O1673))),OR(Query!$B$10&lt;&gt;"Yes",'Compliance Database'!$F1673&lt;&gt;"None")),1,0)</f>
        <v/>
      </c>
      <c r="B1673">
        <f>IF($A1673=1,SUM($A$2:$A1673),"")</f>
        <v/>
      </c>
      <c r="C1673">
        <f>IF($A1673=1,SUM($A$2:$A1673),0)</f>
        <v/>
      </c>
    </row>
    <row r="1674">
      <c r="A1674">
        <f>IF(AND(OR(Query!$B$4="All",'Compliance Database'!$A1674=Query!$B$4),OR(Query!$B$5="All",ISNUMBER(SEARCH(Query!$B$5,'Compliance Database'!$H1674))),OR(Query!$B$6="All",ISNUMBER(SEARCH(Query!$B$6,'Compliance Database'!$I1674))),OR(Query!$B$7="All",'Compliance Database'!$F1674=Query!$B$7),OR(Query!$B$8="All",'Compliance Database'!$J1674=Query!$B$8),OR(Query!$B$9="",ISNUMBER(SEARCH(Query!$B$9,'Compliance Database'!$D1674&amp;" "&amp;'Compliance Database'!$K1674&amp;" "&amp;'Compliance Database'!$L1674&amp;" "&amp;'Compliance Database'!$M1674&amp;" "&amp;'Compliance Database'!$N1674&amp;" "&amp;'Compliance Database'!$O1674))),OR(Query!$B$10&lt;&gt;"Yes",'Compliance Database'!$F1674&lt;&gt;"None")),1,0)</f>
        <v/>
      </c>
      <c r="B1674">
        <f>IF($A1674=1,SUM($A$2:$A1674),"")</f>
        <v/>
      </c>
      <c r="C1674">
        <f>IF($A1674=1,SUM($A$2:$A1674),0)</f>
        <v/>
      </c>
    </row>
    <row r="1675">
      <c r="A1675">
        <f>IF(AND(OR(Query!$B$4="All",'Compliance Database'!$A1675=Query!$B$4),OR(Query!$B$5="All",ISNUMBER(SEARCH(Query!$B$5,'Compliance Database'!$H1675))),OR(Query!$B$6="All",ISNUMBER(SEARCH(Query!$B$6,'Compliance Database'!$I1675))),OR(Query!$B$7="All",'Compliance Database'!$F1675=Query!$B$7),OR(Query!$B$8="All",'Compliance Database'!$J1675=Query!$B$8),OR(Query!$B$9="",ISNUMBER(SEARCH(Query!$B$9,'Compliance Database'!$D1675&amp;" "&amp;'Compliance Database'!$K1675&amp;" "&amp;'Compliance Database'!$L1675&amp;" "&amp;'Compliance Database'!$M1675&amp;" "&amp;'Compliance Database'!$N1675&amp;" "&amp;'Compliance Database'!$O1675))),OR(Query!$B$10&lt;&gt;"Yes",'Compliance Database'!$F1675&lt;&gt;"None")),1,0)</f>
        <v/>
      </c>
      <c r="B1675">
        <f>IF($A1675=1,SUM($A$2:$A1675),"")</f>
        <v/>
      </c>
      <c r="C1675">
        <f>IF($A1675=1,SUM($A$2:$A1675),0)</f>
        <v/>
      </c>
    </row>
    <row r="1676">
      <c r="A1676">
        <f>IF(AND(OR(Query!$B$4="All",'Compliance Database'!$A1676=Query!$B$4),OR(Query!$B$5="All",ISNUMBER(SEARCH(Query!$B$5,'Compliance Database'!$H1676))),OR(Query!$B$6="All",ISNUMBER(SEARCH(Query!$B$6,'Compliance Database'!$I1676))),OR(Query!$B$7="All",'Compliance Database'!$F1676=Query!$B$7),OR(Query!$B$8="All",'Compliance Database'!$J1676=Query!$B$8),OR(Query!$B$9="",ISNUMBER(SEARCH(Query!$B$9,'Compliance Database'!$D1676&amp;" "&amp;'Compliance Database'!$K1676&amp;" "&amp;'Compliance Database'!$L1676&amp;" "&amp;'Compliance Database'!$M1676&amp;" "&amp;'Compliance Database'!$N1676&amp;" "&amp;'Compliance Database'!$O1676))),OR(Query!$B$10&lt;&gt;"Yes",'Compliance Database'!$F1676&lt;&gt;"None")),1,0)</f>
        <v/>
      </c>
      <c r="B1676">
        <f>IF($A1676=1,SUM($A$2:$A1676),"")</f>
        <v/>
      </c>
      <c r="C1676">
        <f>IF($A1676=1,SUM($A$2:$A1676),0)</f>
        <v/>
      </c>
    </row>
    <row r="1677">
      <c r="A1677">
        <f>IF(AND(OR(Query!$B$4="All",'Compliance Database'!$A1677=Query!$B$4),OR(Query!$B$5="All",ISNUMBER(SEARCH(Query!$B$5,'Compliance Database'!$H1677))),OR(Query!$B$6="All",ISNUMBER(SEARCH(Query!$B$6,'Compliance Database'!$I1677))),OR(Query!$B$7="All",'Compliance Database'!$F1677=Query!$B$7),OR(Query!$B$8="All",'Compliance Database'!$J1677=Query!$B$8),OR(Query!$B$9="",ISNUMBER(SEARCH(Query!$B$9,'Compliance Database'!$D1677&amp;" "&amp;'Compliance Database'!$K1677&amp;" "&amp;'Compliance Database'!$L1677&amp;" "&amp;'Compliance Database'!$M1677&amp;" "&amp;'Compliance Database'!$N1677&amp;" "&amp;'Compliance Database'!$O1677))),OR(Query!$B$10&lt;&gt;"Yes",'Compliance Database'!$F1677&lt;&gt;"None")),1,0)</f>
        <v/>
      </c>
      <c r="B1677">
        <f>IF($A1677=1,SUM($A$2:$A1677),"")</f>
        <v/>
      </c>
      <c r="C1677">
        <f>IF($A1677=1,SUM($A$2:$A1677),0)</f>
        <v/>
      </c>
    </row>
    <row r="1678">
      <c r="A1678">
        <f>IF(AND(OR(Query!$B$4="All",'Compliance Database'!$A1678=Query!$B$4),OR(Query!$B$5="All",ISNUMBER(SEARCH(Query!$B$5,'Compliance Database'!$H1678))),OR(Query!$B$6="All",ISNUMBER(SEARCH(Query!$B$6,'Compliance Database'!$I1678))),OR(Query!$B$7="All",'Compliance Database'!$F1678=Query!$B$7),OR(Query!$B$8="All",'Compliance Database'!$J1678=Query!$B$8),OR(Query!$B$9="",ISNUMBER(SEARCH(Query!$B$9,'Compliance Database'!$D1678&amp;" "&amp;'Compliance Database'!$K1678&amp;" "&amp;'Compliance Database'!$L1678&amp;" "&amp;'Compliance Database'!$M1678&amp;" "&amp;'Compliance Database'!$N1678&amp;" "&amp;'Compliance Database'!$O1678))),OR(Query!$B$10&lt;&gt;"Yes",'Compliance Database'!$F1678&lt;&gt;"None")),1,0)</f>
        <v/>
      </c>
      <c r="B1678">
        <f>IF($A1678=1,SUM($A$2:$A1678),"")</f>
        <v/>
      </c>
      <c r="C1678">
        <f>IF($A1678=1,SUM($A$2:$A1678),0)</f>
        <v/>
      </c>
    </row>
    <row r="1679">
      <c r="A1679">
        <f>IF(AND(OR(Query!$B$4="All",'Compliance Database'!$A1679=Query!$B$4),OR(Query!$B$5="All",ISNUMBER(SEARCH(Query!$B$5,'Compliance Database'!$H1679))),OR(Query!$B$6="All",ISNUMBER(SEARCH(Query!$B$6,'Compliance Database'!$I1679))),OR(Query!$B$7="All",'Compliance Database'!$F1679=Query!$B$7),OR(Query!$B$8="All",'Compliance Database'!$J1679=Query!$B$8),OR(Query!$B$9="",ISNUMBER(SEARCH(Query!$B$9,'Compliance Database'!$D1679&amp;" "&amp;'Compliance Database'!$K1679&amp;" "&amp;'Compliance Database'!$L1679&amp;" "&amp;'Compliance Database'!$M1679&amp;" "&amp;'Compliance Database'!$N1679&amp;" "&amp;'Compliance Database'!$O1679))),OR(Query!$B$10&lt;&gt;"Yes",'Compliance Database'!$F1679&lt;&gt;"None")),1,0)</f>
        <v/>
      </c>
      <c r="B1679">
        <f>IF($A1679=1,SUM($A$2:$A1679),"")</f>
        <v/>
      </c>
      <c r="C1679">
        <f>IF($A1679=1,SUM($A$2:$A1679),0)</f>
        <v/>
      </c>
    </row>
    <row r="1680">
      <c r="A1680">
        <f>IF(AND(OR(Query!$B$4="All",'Compliance Database'!$A1680=Query!$B$4),OR(Query!$B$5="All",ISNUMBER(SEARCH(Query!$B$5,'Compliance Database'!$H1680))),OR(Query!$B$6="All",ISNUMBER(SEARCH(Query!$B$6,'Compliance Database'!$I1680))),OR(Query!$B$7="All",'Compliance Database'!$F1680=Query!$B$7),OR(Query!$B$8="All",'Compliance Database'!$J1680=Query!$B$8),OR(Query!$B$9="",ISNUMBER(SEARCH(Query!$B$9,'Compliance Database'!$D1680&amp;" "&amp;'Compliance Database'!$K1680&amp;" "&amp;'Compliance Database'!$L1680&amp;" "&amp;'Compliance Database'!$M1680&amp;" "&amp;'Compliance Database'!$N1680&amp;" "&amp;'Compliance Database'!$O1680))),OR(Query!$B$10&lt;&gt;"Yes",'Compliance Database'!$F1680&lt;&gt;"None")),1,0)</f>
        <v/>
      </c>
      <c r="B1680">
        <f>IF($A1680=1,SUM($A$2:$A1680),"")</f>
        <v/>
      </c>
      <c r="C1680">
        <f>IF($A1680=1,SUM($A$2:$A1680),0)</f>
        <v/>
      </c>
    </row>
    <row r="1681">
      <c r="A1681">
        <f>IF(AND(OR(Query!$B$4="All",'Compliance Database'!$A1681=Query!$B$4),OR(Query!$B$5="All",ISNUMBER(SEARCH(Query!$B$5,'Compliance Database'!$H1681))),OR(Query!$B$6="All",ISNUMBER(SEARCH(Query!$B$6,'Compliance Database'!$I1681))),OR(Query!$B$7="All",'Compliance Database'!$F1681=Query!$B$7),OR(Query!$B$8="All",'Compliance Database'!$J1681=Query!$B$8),OR(Query!$B$9="",ISNUMBER(SEARCH(Query!$B$9,'Compliance Database'!$D1681&amp;" "&amp;'Compliance Database'!$K1681&amp;" "&amp;'Compliance Database'!$L1681&amp;" "&amp;'Compliance Database'!$M1681&amp;" "&amp;'Compliance Database'!$N1681&amp;" "&amp;'Compliance Database'!$O1681))),OR(Query!$B$10&lt;&gt;"Yes",'Compliance Database'!$F1681&lt;&gt;"None")),1,0)</f>
        <v/>
      </c>
      <c r="B1681">
        <f>IF($A1681=1,SUM($A$2:$A1681),"")</f>
        <v/>
      </c>
      <c r="C1681">
        <f>IF($A1681=1,SUM($A$2:$A1681),0)</f>
        <v/>
      </c>
    </row>
    <row r="1682">
      <c r="A1682">
        <f>IF(AND(OR(Query!$B$4="All",'Compliance Database'!$A1682=Query!$B$4),OR(Query!$B$5="All",ISNUMBER(SEARCH(Query!$B$5,'Compliance Database'!$H1682))),OR(Query!$B$6="All",ISNUMBER(SEARCH(Query!$B$6,'Compliance Database'!$I1682))),OR(Query!$B$7="All",'Compliance Database'!$F1682=Query!$B$7),OR(Query!$B$8="All",'Compliance Database'!$J1682=Query!$B$8),OR(Query!$B$9="",ISNUMBER(SEARCH(Query!$B$9,'Compliance Database'!$D1682&amp;" "&amp;'Compliance Database'!$K1682&amp;" "&amp;'Compliance Database'!$L1682&amp;" "&amp;'Compliance Database'!$M1682&amp;" "&amp;'Compliance Database'!$N1682&amp;" "&amp;'Compliance Database'!$O1682))),OR(Query!$B$10&lt;&gt;"Yes",'Compliance Database'!$F1682&lt;&gt;"None")),1,0)</f>
        <v/>
      </c>
      <c r="B1682">
        <f>IF($A1682=1,SUM($A$2:$A1682),"")</f>
        <v/>
      </c>
      <c r="C1682">
        <f>IF($A1682=1,SUM($A$2:$A1682),0)</f>
        <v/>
      </c>
    </row>
    <row r="1683">
      <c r="A1683">
        <f>IF(AND(OR(Query!$B$4="All",'Compliance Database'!$A1683=Query!$B$4),OR(Query!$B$5="All",ISNUMBER(SEARCH(Query!$B$5,'Compliance Database'!$H1683))),OR(Query!$B$6="All",ISNUMBER(SEARCH(Query!$B$6,'Compliance Database'!$I1683))),OR(Query!$B$7="All",'Compliance Database'!$F1683=Query!$B$7),OR(Query!$B$8="All",'Compliance Database'!$J1683=Query!$B$8),OR(Query!$B$9="",ISNUMBER(SEARCH(Query!$B$9,'Compliance Database'!$D1683&amp;" "&amp;'Compliance Database'!$K1683&amp;" "&amp;'Compliance Database'!$L1683&amp;" "&amp;'Compliance Database'!$M1683&amp;" "&amp;'Compliance Database'!$N1683&amp;" "&amp;'Compliance Database'!$O1683))),OR(Query!$B$10&lt;&gt;"Yes",'Compliance Database'!$F1683&lt;&gt;"None")),1,0)</f>
        <v/>
      </c>
      <c r="B1683">
        <f>IF($A1683=1,SUM($A$2:$A1683),"")</f>
        <v/>
      </c>
      <c r="C1683">
        <f>IF($A1683=1,SUM($A$2:$A1683),0)</f>
        <v/>
      </c>
    </row>
    <row r="1684">
      <c r="A1684">
        <f>IF(AND(OR(Query!$B$4="All",'Compliance Database'!$A1684=Query!$B$4),OR(Query!$B$5="All",ISNUMBER(SEARCH(Query!$B$5,'Compliance Database'!$H1684))),OR(Query!$B$6="All",ISNUMBER(SEARCH(Query!$B$6,'Compliance Database'!$I1684))),OR(Query!$B$7="All",'Compliance Database'!$F1684=Query!$B$7),OR(Query!$B$8="All",'Compliance Database'!$J1684=Query!$B$8),OR(Query!$B$9="",ISNUMBER(SEARCH(Query!$B$9,'Compliance Database'!$D1684&amp;" "&amp;'Compliance Database'!$K1684&amp;" "&amp;'Compliance Database'!$L1684&amp;" "&amp;'Compliance Database'!$M1684&amp;" "&amp;'Compliance Database'!$N1684&amp;" "&amp;'Compliance Database'!$O1684))),OR(Query!$B$10&lt;&gt;"Yes",'Compliance Database'!$F1684&lt;&gt;"None")),1,0)</f>
        <v/>
      </c>
      <c r="B1684">
        <f>IF($A1684=1,SUM($A$2:$A1684),"")</f>
        <v/>
      </c>
      <c r="C1684">
        <f>IF($A1684=1,SUM($A$2:$A1684),0)</f>
        <v/>
      </c>
    </row>
    <row r="1685">
      <c r="A1685">
        <f>IF(AND(OR(Query!$B$4="All",'Compliance Database'!$A1685=Query!$B$4),OR(Query!$B$5="All",ISNUMBER(SEARCH(Query!$B$5,'Compliance Database'!$H1685))),OR(Query!$B$6="All",ISNUMBER(SEARCH(Query!$B$6,'Compliance Database'!$I1685))),OR(Query!$B$7="All",'Compliance Database'!$F1685=Query!$B$7),OR(Query!$B$8="All",'Compliance Database'!$J1685=Query!$B$8),OR(Query!$B$9="",ISNUMBER(SEARCH(Query!$B$9,'Compliance Database'!$D1685&amp;" "&amp;'Compliance Database'!$K1685&amp;" "&amp;'Compliance Database'!$L1685&amp;" "&amp;'Compliance Database'!$M1685&amp;" "&amp;'Compliance Database'!$N1685&amp;" "&amp;'Compliance Database'!$O1685))),OR(Query!$B$10&lt;&gt;"Yes",'Compliance Database'!$F1685&lt;&gt;"None")),1,0)</f>
        <v/>
      </c>
      <c r="B1685">
        <f>IF($A1685=1,SUM($A$2:$A1685),"")</f>
        <v/>
      </c>
      <c r="C1685">
        <f>IF($A1685=1,SUM($A$2:$A1685),0)</f>
        <v/>
      </c>
    </row>
    <row r="1686">
      <c r="A1686">
        <f>IF(AND(OR(Query!$B$4="All",'Compliance Database'!$A1686=Query!$B$4),OR(Query!$B$5="All",ISNUMBER(SEARCH(Query!$B$5,'Compliance Database'!$H1686))),OR(Query!$B$6="All",ISNUMBER(SEARCH(Query!$B$6,'Compliance Database'!$I1686))),OR(Query!$B$7="All",'Compliance Database'!$F1686=Query!$B$7),OR(Query!$B$8="All",'Compliance Database'!$J1686=Query!$B$8),OR(Query!$B$9="",ISNUMBER(SEARCH(Query!$B$9,'Compliance Database'!$D1686&amp;" "&amp;'Compliance Database'!$K1686&amp;" "&amp;'Compliance Database'!$L1686&amp;" "&amp;'Compliance Database'!$M1686&amp;" "&amp;'Compliance Database'!$N1686&amp;" "&amp;'Compliance Database'!$O1686))),OR(Query!$B$10&lt;&gt;"Yes",'Compliance Database'!$F1686&lt;&gt;"None")),1,0)</f>
        <v/>
      </c>
      <c r="B1686">
        <f>IF($A1686=1,SUM($A$2:$A1686),"")</f>
        <v/>
      </c>
      <c r="C1686">
        <f>IF($A1686=1,SUM($A$2:$A1686),0)</f>
        <v/>
      </c>
    </row>
    <row r="1687">
      <c r="A1687">
        <f>IF(AND(OR(Query!$B$4="All",'Compliance Database'!$A1687=Query!$B$4),OR(Query!$B$5="All",ISNUMBER(SEARCH(Query!$B$5,'Compliance Database'!$H1687))),OR(Query!$B$6="All",ISNUMBER(SEARCH(Query!$B$6,'Compliance Database'!$I1687))),OR(Query!$B$7="All",'Compliance Database'!$F1687=Query!$B$7),OR(Query!$B$8="All",'Compliance Database'!$J1687=Query!$B$8),OR(Query!$B$9="",ISNUMBER(SEARCH(Query!$B$9,'Compliance Database'!$D1687&amp;" "&amp;'Compliance Database'!$K1687&amp;" "&amp;'Compliance Database'!$L1687&amp;" "&amp;'Compliance Database'!$M1687&amp;" "&amp;'Compliance Database'!$N1687&amp;" "&amp;'Compliance Database'!$O1687))),OR(Query!$B$10&lt;&gt;"Yes",'Compliance Database'!$F1687&lt;&gt;"None")),1,0)</f>
        <v/>
      </c>
      <c r="B1687">
        <f>IF($A1687=1,SUM($A$2:$A1687),"")</f>
        <v/>
      </c>
      <c r="C1687">
        <f>IF($A1687=1,SUM($A$2:$A1687),0)</f>
        <v/>
      </c>
    </row>
    <row r="1688">
      <c r="A1688">
        <f>IF(AND(OR(Query!$B$4="All",'Compliance Database'!$A1688=Query!$B$4),OR(Query!$B$5="All",ISNUMBER(SEARCH(Query!$B$5,'Compliance Database'!$H1688))),OR(Query!$B$6="All",ISNUMBER(SEARCH(Query!$B$6,'Compliance Database'!$I1688))),OR(Query!$B$7="All",'Compliance Database'!$F1688=Query!$B$7),OR(Query!$B$8="All",'Compliance Database'!$J1688=Query!$B$8),OR(Query!$B$9="",ISNUMBER(SEARCH(Query!$B$9,'Compliance Database'!$D1688&amp;" "&amp;'Compliance Database'!$K1688&amp;" "&amp;'Compliance Database'!$L1688&amp;" "&amp;'Compliance Database'!$M1688&amp;" "&amp;'Compliance Database'!$N1688&amp;" "&amp;'Compliance Database'!$O1688))),OR(Query!$B$10&lt;&gt;"Yes",'Compliance Database'!$F1688&lt;&gt;"None")),1,0)</f>
        <v/>
      </c>
      <c r="B1688">
        <f>IF($A1688=1,SUM($A$2:$A1688),"")</f>
        <v/>
      </c>
      <c r="C1688">
        <f>IF($A1688=1,SUM($A$2:$A1688),0)</f>
        <v/>
      </c>
    </row>
    <row r="1689">
      <c r="A1689">
        <f>IF(AND(OR(Query!$B$4="All",'Compliance Database'!$A1689=Query!$B$4),OR(Query!$B$5="All",ISNUMBER(SEARCH(Query!$B$5,'Compliance Database'!$H1689))),OR(Query!$B$6="All",ISNUMBER(SEARCH(Query!$B$6,'Compliance Database'!$I1689))),OR(Query!$B$7="All",'Compliance Database'!$F1689=Query!$B$7),OR(Query!$B$8="All",'Compliance Database'!$J1689=Query!$B$8),OR(Query!$B$9="",ISNUMBER(SEARCH(Query!$B$9,'Compliance Database'!$D1689&amp;" "&amp;'Compliance Database'!$K1689&amp;" "&amp;'Compliance Database'!$L1689&amp;" "&amp;'Compliance Database'!$M1689&amp;" "&amp;'Compliance Database'!$N1689&amp;" "&amp;'Compliance Database'!$O1689))),OR(Query!$B$10&lt;&gt;"Yes",'Compliance Database'!$F1689&lt;&gt;"None")),1,0)</f>
        <v/>
      </c>
      <c r="B1689">
        <f>IF($A1689=1,SUM($A$2:$A1689),"")</f>
        <v/>
      </c>
      <c r="C1689">
        <f>IF($A1689=1,SUM($A$2:$A1689),0)</f>
        <v/>
      </c>
    </row>
    <row r="1690">
      <c r="A1690">
        <f>IF(AND(OR(Query!$B$4="All",'Compliance Database'!$A1690=Query!$B$4),OR(Query!$B$5="All",ISNUMBER(SEARCH(Query!$B$5,'Compliance Database'!$H1690))),OR(Query!$B$6="All",ISNUMBER(SEARCH(Query!$B$6,'Compliance Database'!$I1690))),OR(Query!$B$7="All",'Compliance Database'!$F1690=Query!$B$7),OR(Query!$B$8="All",'Compliance Database'!$J1690=Query!$B$8),OR(Query!$B$9="",ISNUMBER(SEARCH(Query!$B$9,'Compliance Database'!$D1690&amp;" "&amp;'Compliance Database'!$K1690&amp;" "&amp;'Compliance Database'!$L1690&amp;" "&amp;'Compliance Database'!$M1690&amp;" "&amp;'Compliance Database'!$N1690&amp;" "&amp;'Compliance Database'!$O1690))),OR(Query!$B$10&lt;&gt;"Yes",'Compliance Database'!$F1690&lt;&gt;"None")),1,0)</f>
        <v/>
      </c>
      <c r="B1690">
        <f>IF($A1690=1,SUM($A$2:$A1690),"")</f>
        <v/>
      </c>
      <c r="C1690">
        <f>IF($A1690=1,SUM($A$2:$A1690),0)</f>
        <v/>
      </c>
    </row>
    <row r="1691">
      <c r="A1691">
        <f>IF(AND(OR(Query!$B$4="All",'Compliance Database'!$A1691=Query!$B$4),OR(Query!$B$5="All",ISNUMBER(SEARCH(Query!$B$5,'Compliance Database'!$H1691))),OR(Query!$B$6="All",ISNUMBER(SEARCH(Query!$B$6,'Compliance Database'!$I1691))),OR(Query!$B$7="All",'Compliance Database'!$F1691=Query!$B$7),OR(Query!$B$8="All",'Compliance Database'!$J1691=Query!$B$8),OR(Query!$B$9="",ISNUMBER(SEARCH(Query!$B$9,'Compliance Database'!$D1691&amp;" "&amp;'Compliance Database'!$K1691&amp;" "&amp;'Compliance Database'!$L1691&amp;" "&amp;'Compliance Database'!$M1691&amp;" "&amp;'Compliance Database'!$N1691&amp;" "&amp;'Compliance Database'!$O1691))),OR(Query!$B$10&lt;&gt;"Yes",'Compliance Database'!$F1691&lt;&gt;"None")),1,0)</f>
        <v/>
      </c>
      <c r="B1691">
        <f>IF($A1691=1,SUM($A$2:$A1691),"")</f>
        <v/>
      </c>
      <c r="C1691">
        <f>IF($A1691=1,SUM($A$2:$A1691),0)</f>
        <v/>
      </c>
    </row>
    <row r="1692">
      <c r="A1692">
        <f>IF(AND(OR(Query!$B$4="All",'Compliance Database'!$A1692=Query!$B$4),OR(Query!$B$5="All",ISNUMBER(SEARCH(Query!$B$5,'Compliance Database'!$H1692))),OR(Query!$B$6="All",ISNUMBER(SEARCH(Query!$B$6,'Compliance Database'!$I1692))),OR(Query!$B$7="All",'Compliance Database'!$F1692=Query!$B$7),OR(Query!$B$8="All",'Compliance Database'!$J1692=Query!$B$8),OR(Query!$B$9="",ISNUMBER(SEARCH(Query!$B$9,'Compliance Database'!$D1692&amp;" "&amp;'Compliance Database'!$K1692&amp;" "&amp;'Compliance Database'!$L1692&amp;" "&amp;'Compliance Database'!$M1692&amp;" "&amp;'Compliance Database'!$N1692&amp;" "&amp;'Compliance Database'!$O1692))),OR(Query!$B$10&lt;&gt;"Yes",'Compliance Database'!$F1692&lt;&gt;"None")),1,0)</f>
        <v/>
      </c>
      <c r="B1692">
        <f>IF($A1692=1,SUM($A$2:$A1692),"")</f>
        <v/>
      </c>
      <c r="C1692">
        <f>IF($A1692=1,SUM($A$2:$A1692),0)</f>
        <v/>
      </c>
    </row>
    <row r="1693">
      <c r="A1693">
        <f>IF(AND(OR(Query!$B$4="All",'Compliance Database'!$A1693=Query!$B$4),OR(Query!$B$5="All",ISNUMBER(SEARCH(Query!$B$5,'Compliance Database'!$H1693))),OR(Query!$B$6="All",ISNUMBER(SEARCH(Query!$B$6,'Compliance Database'!$I1693))),OR(Query!$B$7="All",'Compliance Database'!$F1693=Query!$B$7),OR(Query!$B$8="All",'Compliance Database'!$J1693=Query!$B$8),OR(Query!$B$9="",ISNUMBER(SEARCH(Query!$B$9,'Compliance Database'!$D1693&amp;" "&amp;'Compliance Database'!$K1693&amp;" "&amp;'Compliance Database'!$L1693&amp;" "&amp;'Compliance Database'!$M1693&amp;" "&amp;'Compliance Database'!$N1693&amp;" "&amp;'Compliance Database'!$O1693))),OR(Query!$B$10&lt;&gt;"Yes",'Compliance Database'!$F1693&lt;&gt;"None")),1,0)</f>
        <v/>
      </c>
      <c r="B1693">
        <f>IF($A1693=1,SUM($A$2:$A1693),"")</f>
        <v/>
      </c>
      <c r="C1693">
        <f>IF($A1693=1,SUM($A$2:$A1693),0)</f>
        <v/>
      </c>
    </row>
    <row r="1694">
      <c r="A1694">
        <f>IF(AND(OR(Query!$B$4="All",'Compliance Database'!$A1694=Query!$B$4),OR(Query!$B$5="All",ISNUMBER(SEARCH(Query!$B$5,'Compliance Database'!$H1694))),OR(Query!$B$6="All",ISNUMBER(SEARCH(Query!$B$6,'Compliance Database'!$I1694))),OR(Query!$B$7="All",'Compliance Database'!$F1694=Query!$B$7),OR(Query!$B$8="All",'Compliance Database'!$J1694=Query!$B$8),OR(Query!$B$9="",ISNUMBER(SEARCH(Query!$B$9,'Compliance Database'!$D1694&amp;" "&amp;'Compliance Database'!$K1694&amp;" "&amp;'Compliance Database'!$L1694&amp;" "&amp;'Compliance Database'!$M1694&amp;" "&amp;'Compliance Database'!$N1694&amp;" "&amp;'Compliance Database'!$O1694))),OR(Query!$B$10&lt;&gt;"Yes",'Compliance Database'!$F1694&lt;&gt;"None")),1,0)</f>
        <v/>
      </c>
      <c r="B1694">
        <f>IF($A1694=1,SUM($A$2:$A1694),"")</f>
        <v/>
      </c>
      <c r="C1694">
        <f>IF($A1694=1,SUM($A$2:$A1694),0)</f>
        <v/>
      </c>
    </row>
    <row r="1695">
      <c r="A1695">
        <f>IF(AND(OR(Query!$B$4="All",'Compliance Database'!$A1695=Query!$B$4),OR(Query!$B$5="All",ISNUMBER(SEARCH(Query!$B$5,'Compliance Database'!$H1695))),OR(Query!$B$6="All",ISNUMBER(SEARCH(Query!$B$6,'Compliance Database'!$I1695))),OR(Query!$B$7="All",'Compliance Database'!$F1695=Query!$B$7),OR(Query!$B$8="All",'Compliance Database'!$J1695=Query!$B$8),OR(Query!$B$9="",ISNUMBER(SEARCH(Query!$B$9,'Compliance Database'!$D1695&amp;" "&amp;'Compliance Database'!$K1695&amp;" "&amp;'Compliance Database'!$L1695&amp;" "&amp;'Compliance Database'!$M1695&amp;" "&amp;'Compliance Database'!$N1695&amp;" "&amp;'Compliance Database'!$O1695))),OR(Query!$B$10&lt;&gt;"Yes",'Compliance Database'!$F1695&lt;&gt;"None")),1,0)</f>
        <v/>
      </c>
      <c r="B1695">
        <f>IF($A1695=1,SUM($A$2:$A1695),"")</f>
        <v/>
      </c>
      <c r="C1695">
        <f>IF($A1695=1,SUM($A$2:$A1695),0)</f>
        <v/>
      </c>
    </row>
    <row r="1696">
      <c r="A1696">
        <f>IF(AND(OR(Query!$B$4="All",'Compliance Database'!$A1696=Query!$B$4),OR(Query!$B$5="All",ISNUMBER(SEARCH(Query!$B$5,'Compliance Database'!$H1696))),OR(Query!$B$6="All",ISNUMBER(SEARCH(Query!$B$6,'Compliance Database'!$I1696))),OR(Query!$B$7="All",'Compliance Database'!$F1696=Query!$B$7),OR(Query!$B$8="All",'Compliance Database'!$J1696=Query!$B$8),OR(Query!$B$9="",ISNUMBER(SEARCH(Query!$B$9,'Compliance Database'!$D1696&amp;" "&amp;'Compliance Database'!$K1696&amp;" "&amp;'Compliance Database'!$L1696&amp;" "&amp;'Compliance Database'!$M1696&amp;" "&amp;'Compliance Database'!$N1696&amp;" "&amp;'Compliance Database'!$O1696))),OR(Query!$B$10&lt;&gt;"Yes",'Compliance Database'!$F1696&lt;&gt;"None")),1,0)</f>
        <v/>
      </c>
      <c r="B1696">
        <f>IF($A1696=1,SUM($A$2:$A1696),"")</f>
        <v/>
      </c>
      <c r="C1696">
        <f>IF($A1696=1,SUM($A$2:$A1696),0)</f>
        <v/>
      </c>
    </row>
    <row r="1697">
      <c r="A1697">
        <f>IF(AND(OR(Query!$B$4="All",'Compliance Database'!$A1697=Query!$B$4),OR(Query!$B$5="All",ISNUMBER(SEARCH(Query!$B$5,'Compliance Database'!$H1697))),OR(Query!$B$6="All",ISNUMBER(SEARCH(Query!$B$6,'Compliance Database'!$I1697))),OR(Query!$B$7="All",'Compliance Database'!$F1697=Query!$B$7),OR(Query!$B$8="All",'Compliance Database'!$J1697=Query!$B$8),OR(Query!$B$9="",ISNUMBER(SEARCH(Query!$B$9,'Compliance Database'!$D1697&amp;" "&amp;'Compliance Database'!$K1697&amp;" "&amp;'Compliance Database'!$L1697&amp;" "&amp;'Compliance Database'!$M1697&amp;" "&amp;'Compliance Database'!$N1697&amp;" "&amp;'Compliance Database'!$O1697))),OR(Query!$B$10&lt;&gt;"Yes",'Compliance Database'!$F1697&lt;&gt;"None")),1,0)</f>
        <v/>
      </c>
      <c r="B1697">
        <f>IF($A1697=1,SUM($A$2:$A1697),"")</f>
        <v/>
      </c>
      <c r="C1697">
        <f>IF($A1697=1,SUM($A$2:$A1697),0)</f>
        <v/>
      </c>
    </row>
    <row r="1698">
      <c r="A1698">
        <f>IF(AND(OR(Query!$B$4="All",'Compliance Database'!$A1698=Query!$B$4),OR(Query!$B$5="All",ISNUMBER(SEARCH(Query!$B$5,'Compliance Database'!$H1698))),OR(Query!$B$6="All",ISNUMBER(SEARCH(Query!$B$6,'Compliance Database'!$I1698))),OR(Query!$B$7="All",'Compliance Database'!$F1698=Query!$B$7),OR(Query!$B$8="All",'Compliance Database'!$J1698=Query!$B$8),OR(Query!$B$9="",ISNUMBER(SEARCH(Query!$B$9,'Compliance Database'!$D1698&amp;" "&amp;'Compliance Database'!$K1698&amp;" "&amp;'Compliance Database'!$L1698&amp;" "&amp;'Compliance Database'!$M1698&amp;" "&amp;'Compliance Database'!$N1698&amp;" "&amp;'Compliance Database'!$O1698))),OR(Query!$B$10&lt;&gt;"Yes",'Compliance Database'!$F1698&lt;&gt;"None")),1,0)</f>
        <v/>
      </c>
      <c r="B1698">
        <f>IF($A1698=1,SUM($A$2:$A1698),"")</f>
        <v/>
      </c>
      <c r="C1698">
        <f>IF($A1698=1,SUM($A$2:$A1698),0)</f>
        <v/>
      </c>
    </row>
    <row r="1699">
      <c r="A1699">
        <f>IF(AND(OR(Query!$B$4="All",'Compliance Database'!$A1699=Query!$B$4),OR(Query!$B$5="All",ISNUMBER(SEARCH(Query!$B$5,'Compliance Database'!$H1699))),OR(Query!$B$6="All",ISNUMBER(SEARCH(Query!$B$6,'Compliance Database'!$I1699))),OR(Query!$B$7="All",'Compliance Database'!$F1699=Query!$B$7),OR(Query!$B$8="All",'Compliance Database'!$J1699=Query!$B$8),OR(Query!$B$9="",ISNUMBER(SEARCH(Query!$B$9,'Compliance Database'!$D1699&amp;" "&amp;'Compliance Database'!$K1699&amp;" "&amp;'Compliance Database'!$L1699&amp;" "&amp;'Compliance Database'!$M1699&amp;" "&amp;'Compliance Database'!$N1699&amp;" "&amp;'Compliance Database'!$O1699))),OR(Query!$B$10&lt;&gt;"Yes",'Compliance Database'!$F1699&lt;&gt;"None")),1,0)</f>
        <v/>
      </c>
      <c r="B1699">
        <f>IF($A1699=1,SUM($A$2:$A1699),"")</f>
        <v/>
      </c>
      <c r="C1699">
        <f>IF($A1699=1,SUM($A$2:$A1699),0)</f>
        <v/>
      </c>
    </row>
    <row r="1700">
      <c r="A1700">
        <f>IF(AND(OR(Query!$B$4="All",'Compliance Database'!$A1700=Query!$B$4),OR(Query!$B$5="All",ISNUMBER(SEARCH(Query!$B$5,'Compliance Database'!$H1700))),OR(Query!$B$6="All",ISNUMBER(SEARCH(Query!$B$6,'Compliance Database'!$I1700))),OR(Query!$B$7="All",'Compliance Database'!$F1700=Query!$B$7),OR(Query!$B$8="All",'Compliance Database'!$J1700=Query!$B$8),OR(Query!$B$9="",ISNUMBER(SEARCH(Query!$B$9,'Compliance Database'!$D1700&amp;" "&amp;'Compliance Database'!$K1700&amp;" "&amp;'Compliance Database'!$L1700&amp;" "&amp;'Compliance Database'!$M1700&amp;" "&amp;'Compliance Database'!$N1700&amp;" "&amp;'Compliance Database'!$O1700))),OR(Query!$B$10&lt;&gt;"Yes",'Compliance Database'!$F1700&lt;&gt;"None")),1,0)</f>
        <v/>
      </c>
      <c r="B1700">
        <f>IF($A1700=1,SUM($A$2:$A1700),"")</f>
        <v/>
      </c>
      <c r="C1700">
        <f>IF($A1700=1,SUM($A$2:$A1700),0)</f>
        <v/>
      </c>
    </row>
    <row r="1701">
      <c r="A1701">
        <f>IF(AND(OR(Query!$B$4="All",'Compliance Database'!$A1701=Query!$B$4),OR(Query!$B$5="All",ISNUMBER(SEARCH(Query!$B$5,'Compliance Database'!$H1701))),OR(Query!$B$6="All",ISNUMBER(SEARCH(Query!$B$6,'Compliance Database'!$I1701))),OR(Query!$B$7="All",'Compliance Database'!$F1701=Query!$B$7),OR(Query!$B$8="All",'Compliance Database'!$J1701=Query!$B$8),OR(Query!$B$9="",ISNUMBER(SEARCH(Query!$B$9,'Compliance Database'!$D1701&amp;" "&amp;'Compliance Database'!$K1701&amp;" "&amp;'Compliance Database'!$L1701&amp;" "&amp;'Compliance Database'!$M1701&amp;" "&amp;'Compliance Database'!$N1701&amp;" "&amp;'Compliance Database'!$O1701))),OR(Query!$B$10&lt;&gt;"Yes",'Compliance Database'!$F1701&lt;&gt;"None")),1,0)</f>
        <v/>
      </c>
      <c r="B1701">
        <f>IF($A1701=1,SUM($A$2:$A1701),"")</f>
        <v/>
      </c>
      <c r="C1701">
        <f>IF($A1701=1,SUM($A$2:$A1701),0)</f>
        <v/>
      </c>
    </row>
    <row r="1702">
      <c r="A1702">
        <f>IF(AND(OR(Query!$B$4="All",'Compliance Database'!$A1702=Query!$B$4),OR(Query!$B$5="All",ISNUMBER(SEARCH(Query!$B$5,'Compliance Database'!$H1702))),OR(Query!$B$6="All",ISNUMBER(SEARCH(Query!$B$6,'Compliance Database'!$I1702))),OR(Query!$B$7="All",'Compliance Database'!$F1702=Query!$B$7),OR(Query!$B$8="All",'Compliance Database'!$J1702=Query!$B$8),OR(Query!$B$9="",ISNUMBER(SEARCH(Query!$B$9,'Compliance Database'!$D1702&amp;" "&amp;'Compliance Database'!$K1702&amp;" "&amp;'Compliance Database'!$L1702&amp;" "&amp;'Compliance Database'!$M1702&amp;" "&amp;'Compliance Database'!$N1702&amp;" "&amp;'Compliance Database'!$O1702))),OR(Query!$B$10&lt;&gt;"Yes",'Compliance Database'!$F1702&lt;&gt;"None")),1,0)</f>
        <v/>
      </c>
      <c r="B1702">
        <f>IF($A1702=1,SUM($A$2:$A1702),"")</f>
        <v/>
      </c>
      <c r="C1702">
        <f>IF($A1702=1,SUM($A$2:$A1702),0)</f>
        <v/>
      </c>
    </row>
    <row r="1703">
      <c r="A1703">
        <f>IF(AND(OR(Query!$B$4="All",'Compliance Database'!$A1703=Query!$B$4),OR(Query!$B$5="All",ISNUMBER(SEARCH(Query!$B$5,'Compliance Database'!$H1703))),OR(Query!$B$6="All",ISNUMBER(SEARCH(Query!$B$6,'Compliance Database'!$I1703))),OR(Query!$B$7="All",'Compliance Database'!$F1703=Query!$B$7),OR(Query!$B$8="All",'Compliance Database'!$J1703=Query!$B$8),OR(Query!$B$9="",ISNUMBER(SEARCH(Query!$B$9,'Compliance Database'!$D1703&amp;" "&amp;'Compliance Database'!$K1703&amp;" "&amp;'Compliance Database'!$L1703&amp;" "&amp;'Compliance Database'!$M1703&amp;" "&amp;'Compliance Database'!$N1703&amp;" "&amp;'Compliance Database'!$O1703))),OR(Query!$B$10&lt;&gt;"Yes",'Compliance Database'!$F1703&lt;&gt;"None")),1,0)</f>
        <v/>
      </c>
      <c r="B1703">
        <f>IF($A1703=1,SUM($A$2:$A1703),"")</f>
        <v/>
      </c>
      <c r="C1703">
        <f>IF($A1703=1,SUM($A$2:$A1703),0)</f>
        <v/>
      </c>
    </row>
    <row r="1704">
      <c r="A1704">
        <f>IF(AND(OR(Query!$B$4="All",'Compliance Database'!$A1704=Query!$B$4),OR(Query!$B$5="All",ISNUMBER(SEARCH(Query!$B$5,'Compliance Database'!$H1704))),OR(Query!$B$6="All",ISNUMBER(SEARCH(Query!$B$6,'Compliance Database'!$I1704))),OR(Query!$B$7="All",'Compliance Database'!$F1704=Query!$B$7),OR(Query!$B$8="All",'Compliance Database'!$J1704=Query!$B$8),OR(Query!$B$9="",ISNUMBER(SEARCH(Query!$B$9,'Compliance Database'!$D1704&amp;" "&amp;'Compliance Database'!$K1704&amp;" "&amp;'Compliance Database'!$L1704&amp;" "&amp;'Compliance Database'!$M1704&amp;" "&amp;'Compliance Database'!$N1704&amp;" "&amp;'Compliance Database'!$O1704))),OR(Query!$B$10&lt;&gt;"Yes",'Compliance Database'!$F1704&lt;&gt;"None")),1,0)</f>
        <v/>
      </c>
      <c r="B1704">
        <f>IF($A1704=1,SUM($A$2:$A1704),"")</f>
        <v/>
      </c>
      <c r="C1704">
        <f>IF($A1704=1,SUM($A$2:$A1704),0)</f>
        <v/>
      </c>
    </row>
    <row r="1705">
      <c r="A1705">
        <f>IF(AND(OR(Query!$B$4="All",'Compliance Database'!$A1705=Query!$B$4),OR(Query!$B$5="All",ISNUMBER(SEARCH(Query!$B$5,'Compliance Database'!$H1705))),OR(Query!$B$6="All",ISNUMBER(SEARCH(Query!$B$6,'Compliance Database'!$I1705))),OR(Query!$B$7="All",'Compliance Database'!$F1705=Query!$B$7),OR(Query!$B$8="All",'Compliance Database'!$J1705=Query!$B$8),OR(Query!$B$9="",ISNUMBER(SEARCH(Query!$B$9,'Compliance Database'!$D1705&amp;" "&amp;'Compliance Database'!$K1705&amp;" "&amp;'Compliance Database'!$L1705&amp;" "&amp;'Compliance Database'!$M1705&amp;" "&amp;'Compliance Database'!$N1705&amp;" "&amp;'Compliance Database'!$O1705))),OR(Query!$B$10&lt;&gt;"Yes",'Compliance Database'!$F1705&lt;&gt;"None")),1,0)</f>
        <v/>
      </c>
      <c r="B1705">
        <f>IF($A1705=1,SUM($A$2:$A1705),"")</f>
        <v/>
      </c>
      <c r="C1705">
        <f>IF($A1705=1,SUM($A$2:$A1705),0)</f>
        <v/>
      </c>
    </row>
    <row r="1706">
      <c r="A1706">
        <f>IF(AND(OR(Query!$B$4="All",'Compliance Database'!$A1706=Query!$B$4),OR(Query!$B$5="All",ISNUMBER(SEARCH(Query!$B$5,'Compliance Database'!$H1706))),OR(Query!$B$6="All",ISNUMBER(SEARCH(Query!$B$6,'Compliance Database'!$I1706))),OR(Query!$B$7="All",'Compliance Database'!$F1706=Query!$B$7),OR(Query!$B$8="All",'Compliance Database'!$J1706=Query!$B$8),OR(Query!$B$9="",ISNUMBER(SEARCH(Query!$B$9,'Compliance Database'!$D1706&amp;" "&amp;'Compliance Database'!$K1706&amp;" "&amp;'Compliance Database'!$L1706&amp;" "&amp;'Compliance Database'!$M1706&amp;" "&amp;'Compliance Database'!$N1706&amp;" "&amp;'Compliance Database'!$O1706))),OR(Query!$B$10&lt;&gt;"Yes",'Compliance Database'!$F1706&lt;&gt;"None")),1,0)</f>
        <v/>
      </c>
      <c r="B1706">
        <f>IF($A1706=1,SUM($A$2:$A1706),"")</f>
        <v/>
      </c>
      <c r="C1706">
        <f>IF($A1706=1,SUM($A$2:$A1706),0)</f>
        <v/>
      </c>
    </row>
    <row r="1707">
      <c r="A1707">
        <f>IF(AND(OR(Query!$B$4="All",'Compliance Database'!$A1707=Query!$B$4),OR(Query!$B$5="All",ISNUMBER(SEARCH(Query!$B$5,'Compliance Database'!$H1707))),OR(Query!$B$6="All",ISNUMBER(SEARCH(Query!$B$6,'Compliance Database'!$I1707))),OR(Query!$B$7="All",'Compliance Database'!$F1707=Query!$B$7),OR(Query!$B$8="All",'Compliance Database'!$J1707=Query!$B$8),OR(Query!$B$9="",ISNUMBER(SEARCH(Query!$B$9,'Compliance Database'!$D1707&amp;" "&amp;'Compliance Database'!$K1707&amp;" "&amp;'Compliance Database'!$L1707&amp;" "&amp;'Compliance Database'!$M1707&amp;" "&amp;'Compliance Database'!$N1707&amp;" "&amp;'Compliance Database'!$O1707))),OR(Query!$B$10&lt;&gt;"Yes",'Compliance Database'!$F1707&lt;&gt;"None")),1,0)</f>
        <v/>
      </c>
      <c r="B1707">
        <f>IF($A1707=1,SUM($A$2:$A1707),"")</f>
        <v/>
      </c>
      <c r="C1707">
        <f>IF($A1707=1,SUM($A$2:$A1707),0)</f>
        <v/>
      </c>
    </row>
    <row r="1708">
      <c r="A1708">
        <f>IF(AND(OR(Query!$B$4="All",'Compliance Database'!$A1708=Query!$B$4),OR(Query!$B$5="All",ISNUMBER(SEARCH(Query!$B$5,'Compliance Database'!$H1708))),OR(Query!$B$6="All",ISNUMBER(SEARCH(Query!$B$6,'Compliance Database'!$I1708))),OR(Query!$B$7="All",'Compliance Database'!$F1708=Query!$B$7),OR(Query!$B$8="All",'Compliance Database'!$J1708=Query!$B$8),OR(Query!$B$9="",ISNUMBER(SEARCH(Query!$B$9,'Compliance Database'!$D1708&amp;" "&amp;'Compliance Database'!$K1708&amp;" "&amp;'Compliance Database'!$L1708&amp;" "&amp;'Compliance Database'!$M1708&amp;" "&amp;'Compliance Database'!$N1708&amp;" "&amp;'Compliance Database'!$O1708))),OR(Query!$B$10&lt;&gt;"Yes",'Compliance Database'!$F1708&lt;&gt;"None")),1,0)</f>
        <v/>
      </c>
      <c r="B1708">
        <f>IF($A1708=1,SUM($A$2:$A1708),"")</f>
        <v/>
      </c>
      <c r="C1708">
        <f>IF($A1708=1,SUM($A$2:$A1708),0)</f>
        <v/>
      </c>
    </row>
    <row r="1709">
      <c r="A1709">
        <f>IF(AND(OR(Query!$B$4="All",'Compliance Database'!$A1709=Query!$B$4),OR(Query!$B$5="All",ISNUMBER(SEARCH(Query!$B$5,'Compliance Database'!$H1709))),OR(Query!$B$6="All",ISNUMBER(SEARCH(Query!$B$6,'Compliance Database'!$I1709))),OR(Query!$B$7="All",'Compliance Database'!$F1709=Query!$B$7),OR(Query!$B$8="All",'Compliance Database'!$J1709=Query!$B$8),OR(Query!$B$9="",ISNUMBER(SEARCH(Query!$B$9,'Compliance Database'!$D1709&amp;" "&amp;'Compliance Database'!$K1709&amp;" "&amp;'Compliance Database'!$L1709&amp;" "&amp;'Compliance Database'!$M1709&amp;" "&amp;'Compliance Database'!$N1709&amp;" "&amp;'Compliance Database'!$O1709))),OR(Query!$B$10&lt;&gt;"Yes",'Compliance Database'!$F1709&lt;&gt;"None")),1,0)</f>
        <v/>
      </c>
      <c r="B1709">
        <f>IF($A1709=1,SUM($A$2:$A1709),"")</f>
        <v/>
      </c>
      <c r="C1709">
        <f>IF($A1709=1,SUM($A$2:$A1709),0)</f>
        <v/>
      </c>
    </row>
    <row r="1710">
      <c r="A1710">
        <f>IF(AND(OR(Query!$B$4="All",'Compliance Database'!$A1710=Query!$B$4),OR(Query!$B$5="All",ISNUMBER(SEARCH(Query!$B$5,'Compliance Database'!$H1710))),OR(Query!$B$6="All",ISNUMBER(SEARCH(Query!$B$6,'Compliance Database'!$I1710))),OR(Query!$B$7="All",'Compliance Database'!$F1710=Query!$B$7),OR(Query!$B$8="All",'Compliance Database'!$J1710=Query!$B$8),OR(Query!$B$9="",ISNUMBER(SEARCH(Query!$B$9,'Compliance Database'!$D1710&amp;" "&amp;'Compliance Database'!$K1710&amp;" "&amp;'Compliance Database'!$L1710&amp;" "&amp;'Compliance Database'!$M1710&amp;" "&amp;'Compliance Database'!$N1710&amp;" "&amp;'Compliance Database'!$O1710))),OR(Query!$B$10&lt;&gt;"Yes",'Compliance Database'!$F1710&lt;&gt;"None")),1,0)</f>
        <v/>
      </c>
      <c r="B1710">
        <f>IF($A1710=1,SUM($A$2:$A1710),"")</f>
        <v/>
      </c>
      <c r="C1710">
        <f>IF($A1710=1,SUM($A$2:$A1710),0)</f>
        <v/>
      </c>
    </row>
    <row r="1711">
      <c r="A1711">
        <f>IF(AND(OR(Query!$B$4="All",'Compliance Database'!$A1711=Query!$B$4),OR(Query!$B$5="All",ISNUMBER(SEARCH(Query!$B$5,'Compliance Database'!$H1711))),OR(Query!$B$6="All",ISNUMBER(SEARCH(Query!$B$6,'Compliance Database'!$I1711))),OR(Query!$B$7="All",'Compliance Database'!$F1711=Query!$B$7),OR(Query!$B$8="All",'Compliance Database'!$J1711=Query!$B$8),OR(Query!$B$9="",ISNUMBER(SEARCH(Query!$B$9,'Compliance Database'!$D1711&amp;" "&amp;'Compliance Database'!$K1711&amp;" "&amp;'Compliance Database'!$L1711&amp;" "&amp;'Compliance Database'!$M1711&amp;" "&amp;'Compliance Database'!$N1711&amp;" "&amp;'Compliance Database'!$O1711))),OR(Query!$B$10&lt;&gt;"Yes",'Compliance Database'!$F1711&lt;&gt;"None")),1,0)</f>
        <v/>
      </c>
      <c r="B1711">
        <f>IF($A1711=1,SUM($A$2:$A1711),"")</f>
        <v/>
      </c>
      <c r="C1711">
        <f>IF($A1711=1,SUM($A$2:$A1711),0)</f>
        <v/>
      </c>
    </row>
    <row r="1712">
      <c r="A1712">
        <f>IF(AND(OR(Query!$B$4="All",'Compliance Database'!$A1712=Query!$B$4),OR(Query!$B$5="All",ISNUMBER(SEARCH(Query!$B$5,'Compliance Database'!$H1712))),OR(Query!$B$6="All",ISNUMBER(SEARCH(Query!$B$6,'Compliance Database'!$I1712))),OR(Query!$B$7="All",'Compliance Database'!$F1712=Query!$B$7),OR(Query!$B$8="All",'Compliance Database'!$J1712=Query!$B$8),OR(Query!$B$9="",ISNUMBER(SEARCH(Query!$B$9,'Compliance Database'!$D1712&amp;" "&amp;'Compliance Database'!$K1712&amp;" "&amp;'Compliance Database'!$L1712&amp;" "&amp;'Compliance Database'!$M1712&amp;" "&amp;'Compliance Database'!$N1712&amp;" "&amp;'Compliance Database'!$O1712))),OR(Query!$B$10&lt;&gt;"Yes",'Compliance Database'!$F1712&lt;&gt;"None")),1,0)</f>
        <v/>
      </c>
      <c r="B1712">
        <f>IF($A1712=1,SUM($A$2:$A1712),"")</f>
        <v/>
      </c>
      <c r="C1712">
        <f>IF($A1712=1,SUM($A$2:$A1712),0)</f>
        <v/>
      </c>
    </row>
    <row r="1713">
      <c r="A1713">
        <f>IF(AND(OR(Query!$B$4="All",'Compliance Database'!$A1713=Query!$B$4),OR(Query!$B$5="All",ISNUMBER(SEARCH(Query!$B$5,'Compliance Database'!$H1713))),OR(Query!$B$6="All",ISNUMBER(SEARCH(Query!$B$6,'Compliance Database'!$I1713))),OR(Query!$B$7="All",'Compliance Database'!$F1713=Query!$B$7),OR(Query!$B$8="All",'Compliance Database'!$J1713=Query!$B$8),OR(Query!$B$9="",ISNUMBER(SEARCH(Query!$B$9,'Compliance Database'!$D1713&amp;" "&amp;'Compliance Database'!$K1713&amp;" "&amp;'Compliance Database'!$L1713&amp;" "&amp;'Compliance Database'!$M1713&amp;" "&amp;'Compliance Database'!$N1713&amp;" "&amp;'Compliance Database'!$O1713))),OR(Query!$B$10&lt;&gt;"Yes",'Compliance Database'!$F1713&lt;&gt;"None")),1,0)</f>
        <v/>
      </c>
      <c r="B1713">
        <f>IF($A1713=1,SUM($A$2:$A1713),"")</f>
        <v/>
      </c>
      <c r="C1713">
        <f>IF($A1713=1,SUM($A$2:$A1713),0)</f>
        <v/>
      </c>
    </row>
    <row r="1714">
      <c r="A1714">
        <f>IF(AND(OR(Query!$B$4="All",'Compliance Database'!$A1714=Query!$B$4),OR(Query!$B$5="All",ISNUMBER(SEARCH(Query!$B$5,'Compliance Database'!$H1714))),OR(Query!$B$6="All",ISNUMBER(SEARCH(Query!$B$6,'Compliance Database'!$I1714))),OR(Query!$B$7="All",'Compliance Database'!$F1714=Query!$B$7),OR(Query!$B$8="All",'Compliance Database'!$J1714=Query!$B$8),OR(Query!$B$9="",ISNUMBER(SEARCH(Query!$B$9,'Compliance Database'!$D1714&amp;" "&amp;'Compliance Database'!$K1714&amp;" "&amp;'Compliance Database'!$L1714&amp;" "&amp;'Compliance Database'!$M1714&amp;" "&amp;'Compliance Database'!$N1714&amp;" "&amp;'Compliance Database'!$O1714))),OR(Query!$B$10&lt;&gt;"Yes",'Compliance Database'!$F1714&lt;&gt;"None")),1,0)</f>
        <v/>
      </c>
      <c r="B1714">
        <f>IF($A1714=1,SUM($A$2:$A1714),"")</f>
        <v/>
      </c>
      <c r="C1714">
        <f>IF($A1714=1,SUM($A$2:$A1714),0)</f>
        <v/>
      </c>
    </row>
    <row r="1715">
      <c r="A1715">
        <f>IF(AND(OR(Query!$B$4="All",'Compliance Database'!$A1715=Query!$B$4),OR(Query!$B$5="All",ISNUMBER(SEARCH(Query!$B$5,'Compliance Database'!$H1715))),OR(Query!$B$6="All",ISNUMBER(SEARCH(Query!$B$6,'Compliance Database'!$I1715))),OR(Query!$B$7="All",'Compliance Database'!$F1715=Query!$B$7),OR(Query!$B$8="All",'Compliance Database'!$J1715=Query!$B$8),OR(Query!$B$9="",ISNUMBER(SEARCH(Query!$B$9,'Compliance Database'!$D1715&amp;" "&amp;'Compliance Database'!$K1715&amp;" "&amp;'Compliance Database'!$L1715&amp;" "&amp;'Compliance Database'!$M1715&amp;" "&amp;'Compliance Database'!$N1715&amp;" "&amp;'Compliance Database'!$O1715))),OR(Query!$B$10&lt;&gt;"Yes",'Compliance Database'!$F1715&lt;&gt;"None")),1,0)</f>
        <v/>
      </c>
      <c r="B1715">
        <f>IF($A1715=1,SUM($A$2:$A1715),"")</f>
        <v/>
      </c>
      <c r="C1715">
        <f>IF($A1715=1,SUM($A$2:$A1715),0)</f>
        <v/>
      </c>
    </row>
    <row r="1716">
      <c r="A1716">
        <f>IF(AND(OR(Query!$B$4="All",'Compliance Database'!$A1716=Query!$B$4),OR(Query!$B$5="All",ISNUMBER(SEARCH(Query!$B$5,'Compliance Database'!$H1716))),OR(Query!$B$6="All",ISNUMBER(SEARCH(Query!$B$6,'Compliance Database'!$I1716))),OR(Query!$B$7="All",'Compliance Database'!$F1716=Query!$B$7),OR(Query!$B$8="All",'Compliance Database'!$J1716=Query!$B$8),OR(Query!$B$9="",ISNUMBER(SEARCH(Query!$B$9,'Compliance Database'!$D1716&amp;" "&amp;'Compliance Database'!$K1716&amp;" "&amp;'Compliance Database'!$L1716&amp;" "&amp;'Compliance Database'!$M1716&amp;" "&amp;'Compliance Database'!$N1716&amp;" "&amp;'Compliance Database'!$O1716))),OR(Query!$B$10&lt;&gt;"Yes",'Compliance Database'!$F1716&lt;&gt;"None")),1,0)</f>
        <v/>
      </c>
      <c r="B1716">
        <f>IF($A1716=1,SUM($A$2:$A1716),"")</f>
        <v/>
      </c>
      <c r="C1716">
        <f>IF($A1716=1,SUM($A$2:$A1716),0)</f>
        <v/>
      </c>
    </row>
    <row r="1717">
      <c r="A1717">
        <f>IF(AND(OR(Query!$B$4="All",'Compliance Database'!$A1717=Query!$B$4),OR(Query!$B$5="All",ISNUMBER(SEARCH(Query!$B$5,'Compliance Database'!$H1717))),OR(Query!$B$6="All",ISNUMBER(SEARCH(Query!$B$6,'Compliance Database'!$I1717))),OR(Query!$B$7="All",'Compliance Database'!$F1717=Query!$B$7),OR(Query!$B$8="All",'Compliance Database'!$J1717=Query!$B$8),OR(Query!$B$9="",ISNUMBER(SEARCH(Query!$B$9,'Compliance Database'!$D1717&amp;" "&amp;'Compliance Database'!$K1717&amp;" "&amp;'Compliance Database'!$L1717&amp;" "&amp;'Compliance Database'!$M1717&amp;" "&amp;'Compliance Database'!$N1717&amp;" "&amp;'Compliance Database'!$O1717))),OR(Query!$B$10&lt;&gt;"Yes",'Compliance Database'!$F1717&lt;&gt;"None")),1,0)</f>
        <v/>
      </c>
      <c r="B1717">
        <f>IF($A1717=1,SUM($A$2:$A1717),"")</f>
        <v/>
      </c>
      <c r="C1717">
        <f>IF($A1717=1,SUM($A$2:$A1717),0)</f>
        <v/>
      </c>
    </row>
    <row r="1718">
      <c r="A1718">
        <f>IF(AND(OR(Query!$B$4="All",'Compliance Database'!$A1718=Query!$B$4),OR(Query!$B$5="All",ISNUMBER(SEARCH(Query!$B$5,'Compliance Database'!$H1718))),OR(Query!$B$6="All",ISNUMBER(SEARCH(Query!$B$6,'Compliance Database'!$I1718))),OR(Query!$B$7="All",'Compliance Database'!$F1718=Query!$B$7),OR(Query!$B$8="All",'Compliance Database'!$J1718=Query!$B$8),OR(Query!$B$9="",ISNUMBER(SEARCH(Query!$B$9,'Compliance Database'!$D1718&amp;" "&amp;'Compliance Database'!$K1718&amp;" "&amp;'Compliance Database'!$L1718&amp;" "&amp;'Compliance Database'!$M1718&amp;" "&amp;'Compliance Database'!$N1718&amp;" "&amp;'Compliance Database'!$O1718))),OR(Query!$B$10&lt;&gt;"Yes",'Compliance Database'!$F1718&lt;&gt;"None")),1,0)</f>
        <v/>
      </c>
      <c r="B1718">
        <f>IF($A1718=1,SUM($A$2:$A1718),"")</f>
        <v/>
      </c>
      <c r="C1718">
        <f>IF($A1718=1,SUM($A$2:$A1718),0)</f>
        <v/>
      </c>
    </row>
    <row r="1719">
      <c r="A1719">
        <f>IF(AND(OR(Query!$B$4="All",'Compliance Database'!$A1719=Query!$B$4),OR(Query!$B$5="All",ISNUMBER(SEARCH(Query!$B$5,'Compliance Database'!$H1719))),OR(Query!$B$6="All",ISNUMBER(SEARCH(Query!$B$6,'Compliance Database'!$I1719))),OR(Query!$B$7="All",'Compliance Database'!$F1719=Query!$B$7),OR(Query!$B$8="All",'Compliance Database'!$J1719=Query!$B$8),OR(Query!$B$9="",ISNUMBER(SEARCH(Query!$B$9,'Compliance Database'!$D1719&amp;" "&amp;'Compliance Database'!$K1719&amp;" "&amp;'Compliance Database'!$L1719&amp;" "&amp;'Compliance Database'!$M1719&amp;" "&amp;'Compliance Database'!$N1719&amp;" "&amp;'Compliance Database'!$O1719))),OR(Query!$B$10&lt;&gt;"Yes",'Compliance Database'!$F1719&lt;&gt;"None")),1,0)</f>
        <v/>
      </c>
      <c r="B1719">
        <f>IF($A1719=1,SUM($A$2:$A1719),"")</f>
        <v/>
      </c>
      <c r="C1719">
        <f>IF($A1719=1,SUM($A$2:$A1719),0)</f>
        <v/>
      </c>
    </row>
    <row r="1720">
      <c r="A1720">
        <f>IF(AND(OR(Query!$B$4="All",'Compliance Database'!$A1720=Query!$B$4),OR(Query!$B$5="All",ISNUMBER(SEARCH(Query!$B$5,'Compliance Database'!$H1720))),OR(Query!$B$6="All",ISNUMBER(SEARCH(Query!$B$6,'Compliance Database'!$I1720))),OR(Query!$B$7="All",'Compliance Database'!$F1720=Query!$B$7),OR(Query!$B$8="All",'Compliance Database'!$J1720=Query!$B$8),OR(Query!$B$9="",ISNUMBER(SEARCH(Query!$B$9,'Compliance Database'!$D1720&amp;" "&amp;'Compliance Database'!$K1720&amp;" "&amp;'Compliance Database'!$L1720&amp;" "&amp;'Compliance Database'!$M1720&amp;" "&amp;'Compliance Database'!$N1720&amp;" "&amp;'Compliance Database'!$O1720))),OR(Query!$B$10&lt;&gt;"Yes",'Compliance Database'!$F1720&lt;&gt;"None")),1,0)</f>
        <v/>
      </c>
      <c r="B1720">
        <f>IF($A1720=1,SUM($A$2:$A1720),"")</f>
        <v/>
      </c>
      <c r="C1720">
        <f>IF($A1720=1,SUM($A$2:$A1720),0)</f>
        <v/>
      </c>
    </row>
    <row r="1721">
      <c r="A1721">
        <f>IF(AND(OR(Query!$B$4="All",'Compliance Database'!$A1721=Query!$B$4),OR(Query!$B$5="All",ISNUMBER(SEARCH(Query!$B$5,'Compliance Database'!$H1721))),OR(Query!$B$6="All",ISNUMBER(SEARCH(Query!$B$6,'Compliance Database'!$I1721))),OR(Query!$B$7="All",'Compliance Database'!$F1721=Query!$B$7),OR(Query!$B$8="All",'Compliance Database'!$J1721=Query!$B$8),OR(Query!$B$9="",ISNUMBER(SEARCH(Query!$B$9,'Compliance Database'!$D1721&amp;" "&amp;'Compliance Database'!$K1721&amp;" "&amp;'Compliance Database'!$L1721&amp;" "&amp;'Compliance Database'!$M1721&amp;" "&amp;'Compliance Database'!$N1721&amp;" "&amp;'Compliance Database'!$O1721))),OR(Query!$B$10&lt;&gt;"Yes",'Compliance Database'!$F1721&lt;&gt;"None")),1,0)</f>
        <v/>
      </c>
      <c r="B1721">
        <f>IF($A1721=1,SUM($A$2:$A1721),"")</f>
        <v/>
      </c>
      <c r="C1721">
        <f>IF($A1721=1,SUM($A$2:$A1721),0)</f>
        <v/>
      </c>
    </row>
    <row r="1722">
      <c r="A1722">
        <f>IF(AND(OR(Query!$B$4="All",'Compliance Database'!$A1722=Query!$B$4),OR(Query!$B$5="All",ISNUMBER(SEARCH(Query!$B$5,'Compliance Database'!$H1722))),OR(Query!$B$6="All",ISNUMBER(SEARCH(Query!$B$6,'Compliance Database'!$I1722))),OR(Query!$B$7="All",'Compliance Database'!$F1722=Query!$B$7),OR(Query!$B$8="All",'Compliance Database'!$J1722=Query!$B$8),OR(Query!$B$9="",ISNUMBER(SEARCH(Query!$B$9,'Compliance Database'!$D1722&amp;" "&amp;'Compliance Database'!$K1722&amp;" "&amp;'Compliance Database'!$L1722&amp;" "&amp;'Compliance Database'!$M1722&amp;" "&amp;'Compliance Database'!$N1722&amp;" "&amp;'Compliance Database'!$O1722))),OR(Query!$B$10&lt;&gt;"Yes",'Compliance Database'!$F1722&lt;&gt;"None")),1,0)</f>
        <v/>
      </c>
      <c r="B1722">
        <f>IF($A1722=1,SUM($A$2:$A1722),"")</f>
        <v/>
      </c>
      <c r="C1722">
        <f>IF($A1722=1,SUM($A$2:$A1722),0)</f>
        <v/>
      </c>
    </row>
    <row r="1723">
      <c r="A1723">
        <f>IF(AND(OR(Query!$B$4="All",'Compliance Database'!$A1723=Query!$B$4),OR(Query!$B$5="All",ISNUMBER(SEARCH(Query!$B$5,'Compliance Database'!$H1723))),OR(Query!$B$6="All",ISNUMBER(SEARCH(Query!$B$6,'Compliance Database'!$I1723))),OR(Query!$B$7="All",'Compliance Database'!$F1723=Query!$B$7),OR(Query!$B$8="All",'Compliance Database'!$J1723=Query!$B$8),OR(Query!$B$9="",ISNUMBER(SEARCH(Query!$B$9,'Compliance Database'!$D1723&amp;" "&amp;'Compliance Database'!$K1723&amp;" "&amp;'Compliance Database'!$L1723&amp;" "&amp;'Compliance Database'!$M1723&amp;" "&amp;'Compliance Database'!$N1723&amp;" "&amp;'Compliance Database'!$O1723))),OR(Query!$B$10&lt;&gt;"Yes",'Compliance Database'!$F1723&lt;&gt;"None")),1,0)</f>
        <v/>
      </c>
      <c r="B1723">
        <f>IF($A1723=1,SUM($A$2:$A1723),"")</f>
        <v/>
      </c>
      <c r="C1723">
        <f>IF($A1723=1,SUM($A$2:$A1723),0)</f>
        <v/>
      </c>
    </row>
    <row r="1724">
      <c r="A1724">
        <f>IF(AND(OR(Query!$B$4="All",'Compliance Database'!$A1724=Query!$B$4),OR(Query!$B$5="All",ISNUMBER(SEARCH(Query!$B$5,'Compliance Database'!$H1724))),OR(Query!$B$6="All",ISNUMBER(SEARCH(Query!$B$6,'Compliance Database'!$I1724))),OR(Query!$B$7="All",'Compliance Database'!$F1724=Query!$B$7),OR(Query!$B$8="All",'Compliance Database'!$J1724=Query!$B$8),OR(Query!$B$9="",ISNUMBER(SEARCH(Query!$B$9,'Compliance Database'!$D1724&amp;" "&amp;'Compliance Database'!$K1724&amp;" "&amp;'Compliance Database'!$L1724&amp;" "&amp;'Compliance Database'!$M1724&amp;" "&amp;'Compliance Database'!$N1724&amp;" "&amp;'Compliance Database'!$O1724))),OR(Query!$B$10&lt;&gt;"Yes",'Compliance Database'!$F1724&lt;&gt;"None")),1,0)</f>
        <v/>
      </c>
      <c r="B1724">
        <f>IF($A1724=1,SUM($A$2:$A1724),"")</f>
        <v/>
      </c>
      <c r="C1724">
        <f>IF($A1724=1,SUM($A$2:$A1724),0)</f>
        <v/>
      </c>
    </row>
    <row r="1725">
      <c r="A1725">
        <f>IF(AND(OR(Query!$B$4="All",'Compliance Database'!$A1725=Query!$B$4),OR(Query!$B$5="All",ISNUMBER(SEARCH(Query!$B$5,'Compliance Database'!$H1725))),OR(Query!$B$6="All",ISNUMBER(SEARCH(Query!$B$6,'Compliance Database'!$I1725))),OR(Query!$B$7="All",'Compliance Database'!$F1725=Query!$B$7),OR(Query!$B$8="All",'Compliance Database'!$J1725=Query!$B$8),OR(Query!$B$9="",ISNUMBER(SEARCH(Query!$B$9,'Compliance Database'!$D1725&amp;" "&amp;'Compliance Database'!$K1725&amp;" "&amp;'Compliance Database'!$L1725&amp;" "&amp;'Compliance Database'!$M1725&amp;" "&amp;'Compliance Database'!$N1725&amp;" "&amp;'Compliance Database'!$O1725))),OR(Query!$B$10&lt;&gt;"Yes",'Compliance Database'!$F1725&lt;&gt;"None")),1,0)</f>
        <v/>
      </c>
      <c r="B1725">
        <f>IF($A1725=1,SUM($A$2:$A1725),"")</f>
        <v/>
      </c>
      <c r="C1725">
        <f>IF($A1725=1,SUM($A$2:$A1725),0)</f>
        <v/>
      </c>
    </row>
    <row r="1726">
      <c r="A1726">
        <f>IF(AND(OR(Query!$B$4="All",'Compliance Database'!$A1726=Query!$B$4),OR(Query!$B$5="All",ISNUMBER(SEARCH(Query!$B$5,'Compliance Database'!$H1726))),OR(Query!$B$6="All",ISNUMBER(SEARCH(Query!$B$6,'Compliance Database'!$I1726))),OR(Query!$B$7="All",'Compliance Database'!$F1726=Query!$B$7),OR(Query!$B$8="All",'Compliance Database'!$J1726=Query!$B$8),OR(Query!$B$9="",ISNUMBER(SEARCH(Query!$B$9,'Compliance Database'!$D1726&amp;" "&amp;'Compliance Database'!$K1726&amp;" "&amp;'Compliance Database'!$L1726&amp;" "&amp;'Compliance Database'!$M1726&amp;" "&amp;'Compliance Database'!$N1726&amp;" "&amp;'Compliance Database'!$O1726))),OR(Query!$B$10&lt;&gt;"Yes",'Compliance Database'!$F1726&lt;&gt;"None")),1,0)</f>
        <v/>
      </c>
      <c r="B1726">
        <f>IF($A1726=1,SUM($A$2:$A1726),"")</f>
        <v/>
      </c>
      <c r="C1726">
        <f>IF($A1726=1,SUM($A$2:$A1726),0)</f>
        <v/>
      </c>
    </row>
    <row r="1727">
      <c r="A1727">
        <f>IF(AND(OR(Query!$B$4="All",'Compliance Database'!$A1727=Query!$B$4),OR(Query!$B$5="All",ISNUMBER(SEARCH(Query!$B$5,'Compliance Database'!$H1727))),OR(Query!$B$6="All",ISNUMBER(SEARCH(Query!$B$6,'Compliance Database'!$I1727))),OR(Query!$B$7="All",'Compliance Database'!$F1727=Query!$B$7),OR(Query!$B$8="All",'Compliance Database'!$J1727=Query!$B$8),OR(Query!$B$9="",ISNUMBER(SEARCH(Query!$B$9,'Compliance Database'!$D1727&amp;" "&amp;'Compliance Database'!$K1727&amp;" "&amp;'Compliance Database'!$L1727&amp;" "&amp;'Compliance Database'!$M1727&amp;" "&amp;'Compliance Database'!$N1727&amp;" "&amp;'Compliance Database'!$O1727))),OR(Query!$B$10&lt;&gt;"Yes",'Compliance Database'!$F1727&lt;&gt;"None")),1,0)</f>
        <v/>
      </c>
      <c r="B1727">
        <f>IF($A1727=1,SUM($A$2:$A1727),"")</f>
        <v/>
      </c>
      <c r="C1727">
        <f>IF($A1727=1,SUM($A$2:$A1727),0)</f>
        <v/>
      </c>
    </row>
    <row r="1728">
      <c r="A1728">
        <f>IF(AND(OR(Query!$B$4="All",'Compliance Database'!$A1728=Query!$B$4),OR(Query!$B$5="All",ISNUMBER(SEARCH(Query!$B$5,'Compliance Database'!$H1728))),OR(Query!$B$6="All",ISNUMBER(SEARCH(Query!$B$6,'Compliance Database'!$I1728))),OR(Query!$B$7="All",'Compliance Database'!$F1728=Query!$B$7),OR(Query!$B$8="All",'Compliance Database'!$J1728=Query!$B$8),OR(Query!$B$9="",ISNUMBER(SEARCH(Query!$B$9,'Compliance Database'!$D1728&amp;" "&amp;'Compliance Database'!$K1728&amp;" "&amp;'Compliance Database'!$L1728&amp;" "&amp;'Compliance Database'!$M1728&amp;" "&amp;'Compliance Database'!$N1728&amp;" "&amp;'Compliance Database'!$O1728))),OR(Query!$B$10&lt;&gt;"Yes",'Compliance Database'!$F1728&lt;&gt;"None")),1,0)</f>
        <v/>
      </c>
      <c r="B1728">
        <f>IF($A1728=1,SUM($A$2:$A1728),"")</f>
        <v/>
      </c>
      <c r="C1728">
        <f>IF($A1728=1,SUM($A$2:$A1728),0)</f>
        <v/>
      </c>
    </row>
    <row r="1729">
      <c r="A1729">
        <f>IF(AND(OR(Query!$B$4="All",'Compliance Database'!$A1729=Query!$B$4),OR(Query!$B$5="All",ISNUMBER(SEARCH(Query!$B$5,'Compliance Database'!$H1729))),OR(Query!$B$6="All",ISNUMBER(SEARCH(Query!$B$6,'Compliance Database'!$I1729))),OR(Query!$B$7="All",'Compliance Database'!$F1729=Query!$B$7),OR(Query!$B$8="All",'Compliance Database'!$J1729=Query!$B$8),OR(Query!$B$9="",ISNUMBER(SEARCH(Query!$B$9,'Compliance Database'!$D1729&amp;" "&amp;'Compliance Database'!$K1729&amp;" "&amp;'Compliance Database'!$L1729&amp;" "&amp;'Compliance Database'!$M1729&amp;" "&amp;'Compliance Database'!$N1729&amp;" "&amp;'Compliance Database'!$O1729))),OR(Query!$B$10&lt;&gt;"Yes",'Compliance Database'!$F1729&lt;&gt;"None")),1,0)</f>
        <v/>
      </c>
      <c r="B1729">
        <f>IF($A1729=1,SUM($A$2:$A1729),"")</f>
        <v/>
      </c>
      <c r="C1729">
        <f>IF($A1729=1,SUM($A$2:$A1729),0)</f>
        <v/>
      </c>
    </row>
    <row r="1730">
      <c r="A1730">
        <f>IF(AND(OR(Query!$B$4="All",'Compliance Database'!$A1730=Query!$B$4),OR(Query!$B$5="All",ISNUMBER(SEARCH(Query!$B$5,'Compliance Database'!$H1730))),OR(Query!$B$6="All",ISNUMBER(SEARCH(Query!$B$6,'Compliance Database'!$I1730))),OR(Query!$B$7="All",'Compliance Database'!$F1730=Query!$B$7),OR(Query!$B$8="All",'Compliance Database'!$J1730=Query!$B$8),OR(Query!$B$9="",ISNUMBER(SEARCH(Query!$B$9,'Compliance Database'!$D1730&amp;" "&amp;'Compliance Database'!$K1730&amp;" "&amp;'Compliance Database'!$L1730&amp;" "&amp;'Compliance Database'!$M1730&amp;" "&amp;'Compliance Database'!$N1730&amp;" "&amp;'Compliance Database'!$O1730))),OR(Query!$B$10&lt;&gt;"Yes",'Compliance Database'!$F1730&lt;&gt;"None")),1,0)</f>
        <v/>
      </c>
      <c r="B1730">
        <f>IF($A1730=1,SUM($A$2:$A1730),"")</f>
        <v/>
      </c>
      <c r="C1730">
        <f>IF($A1730=1,SUM($A$2:$A1730),0)</f>
        <v/>
      </c>
    </row>
    <row r="1731">
      <c r="A1731">
        <f>IF(AND(OR(Query!$B$4="All",'Compliance Database'!$A1731=Query!$B$4),OR(Query!$B$5="All",ISNUMBER(SEARCH(Query!$B$5,'Compliance Database'!$H1731))),OR(Query!$B$6="All",ISNUMBER(SEARCH(Query!$B$6,'Compliance Database'!$I1731))),OR(Query!$B$7="All",'Compliance Database'!$F1731=Query!$B$7),OR(Query!$B$8="All",'Compliance Database'!$J1731=Query!$B$8),OR(Query!$B$9="",ISNUMBER(SEARCH(Query!$B$9,'Compliance Database'!$D1731&amp;" "&amp;'Compliance Database'!$K1731&amp;" "&amp;'Compliance Database'!$L1731&amp;" "&amp;'Compliance Database'!$M1731&amp;" "&amp;'Compliance Database'!$N1731&amp;" "&amp;'Compliance Database'!$O1731))),OR(Query!$B$10&lt;&gt;"Yes",'Compliance Database'!$F1731&lt;&gt;"None")),1,0)</f>
        <v/>
      </c>
      <c r="B1731">
        <f>IF($A1731=1,SUM($A$2:$A1731),"")</f>
        <v/>
      </c>
      <c r="C1731">
        <f>IF($A1731=1,SUM($A$2:$A1731),0)</f>
        <v/>
      </c>
    </row>
    <row r="1732">
      <c r="A1732">
        <f>IF(AND(OR(Query!$B$4="All",'Compliance Database'!$A1732=Query!$B$4),OR(Query!$B$5="All",ISNUMBER(SEARCH(Query!$B$5,'Compliance Database'!$H1732))),OR(Query!$B$6="All",ISNUMBER(SEARCH(Query!$B$6,'Compliance Database'!$I1732))),OR(Query!$B$7="All",'Compliance Database'!$F1732=Query!$B$7),OR(Query!$B$8="All",'Compliance Database'!$J1732=Query!$B$8),OR(Query!$B$9="",ISNUMBER(SEARCH(Query!$B$9,'Compliance Database'!$D1732&amp;" "&amp;'Compliance Database'!$K1732&amp;" "&amp;'Compliance Database'!$L1732&amp;" "&amp;'Compliance Database'!$M1732&amp;" "&amp;'Compliance Database'!$N1732&amp;" "&amp;'Compliance Database'!$O1732))),OR(Query!$B$10&lt;&gt;"Yes",'Compliance Database'!$F1732&lt;&gt;"None")),1,0)</f>
        <v/>
      </c>
      <c r="B1732">
        <f>IF($A1732=1,SUM($A$2:$A1732),"")</f>
        <v/>
      </c>
      <c r="C1732">
        <f>IF($A1732=1,SUM($A$2:$A1732),0)</f>
        <v/>
      </c>
    </row>
    <row r="1733">
      <c r="A1733">
        <f>IF(AND(OR(Query!$B$4="All",'Compliance Database'!$A1733=Query!$B$4),OR(Query!$B$5="All",ISNUMBER(SEARCH(Query!$B$5,'Compliance Database'!$H1733))),OR(Query!$B$6="All",ISNUMBER(SEARCH(Query!$B$6,'Compliance Database'!$I1733))),OR(Query!$B$7="All",'Compliance Database'!$F1733=Query!$B$7),OR(Query!$B$8="All",'Compliance Database'!$J1733=Query!$B$8),OR(Query!$B$9="",ISNUMBER(SEARCH(Query!$B$9,'Compliance Database'!$D1733&amp;" "&amp;'Compliance Database'!$K1733&amp;" "&amp;'Compliance Database'!$L1733&amp;" "&amp;'Compliance Database'!$M1733&amp;" "&amp;'Compliance Database'!$N1733&amp;" "&amp;'Compliance Database'!$O1733))),OR(Query!$B$10&lt;&gt;"Yes",'Compliance Database'!$F1733&lt;&gt;"None")),1,0)</f>
        <v/>
      </c>
      <c r="B1733">
        <f>IF($A1733=1,SUM($A$2:$A1733),"")</f>
        <v/>
      </c>
      <c r="C1733">
        <f>IF($A1733=1,SUM($A$2:$A1733),0)</f>
        <v/>
      </c>
    </row>
    <row r="1734">
      <c r="A1734">
        <f>IF(AND(OR(Query!$B$4="All",'Compliance Database'!$A1734=Query!$B$4),OR(Query!$B$5="All",ISNUMBER(SEARCH(Query!$B$5,'Compliance Database'!$H1734))),OR(Query!$B$6="All",ISNUMBER(SEARCH(Query!$B$6,'Compliance Database'!$I1734))),OR(Query!$B$7="All",'Compliance Database'!$F1734=Query!$B$7),OR(Query!$B$8="All",'Compliance Database'!$J1734=Query!$B$8),OR(Query!$B$9="",ISNUMBER(SEARCH(Query!$B$9,'Compliance Database'!$D1734&amp;" "&amp;'Compliance Database'!$K1734&amp;" "&amp;'Compliance Database'!$L1734&amp;" "&amp;'Compliance Database'!$M1734&amp;" "&amp;'Compliance Database'!$N1734&amp;" "&amp;'Compliance Database'!$O1734))),OR(Query!$B$10&lt;&gt;"Yes",'Compliance Database'!$F1734&lt;&gt;"None")),1,0)</f>
        <v/>
      </c>
      <c r="B1734">
        <f>IF($A1734=1,SUM($A$2:$A1734),"")</f>
        <v/>
      </c>
      <c r="C1734">
        <f>IF($A1734=1,SUM($A$2:$A1734),0)</f>
        <v/>
      </c>
    </row>
    <row r="1735">
      <c r="A1735">
        <f>IF(AND(OR(Query!$B$4="All",'Compliance Database'!$A1735=Query!$B$4),OR(Query!$B$5="All",ISNUMBER(SEARCH(Query!$B$5,'Compliance Database'!$H1735))),OR(Query!$B$6="All",ISNUMBER(SEARCH(Query!$B$6,'Compliance Database'!$I1735))),OR(Query!$B$7="All",'Compliance Database'!$F1735=Query!$B$7),OR(Query!$B$8="All",'Compliance Database'!$J1735=Query!$B$8),OR(Query!$B$9="",ISNUMBER(SEARCH(Query!$B$9,'Compliance Database'!$D1735&amp;" "&amp;'Compliance Database'!$K1735&amp;" "&amp;'Compliance Database'!$L1735&amp;" "&amp;'Compliance Database'!$M1735&amp;" "&amp;'Compliance Database'!$N1735&amp;" "&amp;'Compliance Database'!$O1735))),OR(Query!$B$10&lt;&gt;"Yes",'Compliance Database'!$F1735&lt;&gt;"None")),1,0)</f>
        <v/>
      </c>
      <c r="B1735">
        <f>IF($A1735=1,SUM($A$2:$A1735),"")</f>
        <v/>
      </c>
      <c r="C1735">
        <f>IF($A1735=1,SUM($A$2:$A1735),0)</f>
        <v/>
      </c>
    </row>
    <row r="1736">
      <c r="A1736">
        <f>IF(AND(OR(Query!$B$4="All",'Compliance Database'!$A1736=Query!$B$4),OR(Query!$B$5="All",ISNUMBER(SEARCH(Query!$B$5,'Compliance Database'!$H1736))),OR(Query!$B$6="All",ISNUMBER(SEARCH(Query!$B$6,'Compliance Database'!$I1736))),OR(Query!$B$7="All",'Compliance Database'!$F1736=Query!$B$7),OR(Query!$B$8="All",'Compliance Database'!$J1736=Query!$B$8),OR(Query!$B$9="",ISNUMBER(SEARCH(Query!$B$9,'Compliance Database'!$D1736&amp;" "&amp;'Compliance Database'!$K1736&amp;" "&amp;'Compliance Database'!$L1736&amp;" "&amp;'Compliance Database'!$M1736&amp;" "&amp;'Compliance Database'!$N1736&amp;" "&amp;'Compliance Database'!$O1736))),OR(Query!$B$10&lt;&gt;"Yes",'Compliance Database'!$F1736&lt;&gt;"None")),1,0)</f>
        <v/>
      </c>
      <c r="B1736">
        <f>IF($A1736=1,SUM($A$2:$A1736),"")</f>
        <v/>
      </c>
      <c r="C1736">
        <f>IF($A1736=1,SUM($A$2:$A1736),0)</f>
        <v/>
      </c>
    </row>
    <row r="1737">
      <c r="A1737">
        <f>IF(AND(OR(Query!$B$4="All",'Compliance Database'!$A1737=Query!$B$4),OR(Query!$B$5="All",ISNUMBER(SEARCH(Query!$B$5,'Compliance Database'!$H1737))),OR(Query!$B$6="All",ISNUMBER(SEARCH(Query!$B$6,'Compliance Database'!$I1737))),OR(Query!$B$7="All",'Compliance Database'!$F1737=Query!$B$7),OR(Query!$B$8="All",'Compliance Database'!$J1737=Query!$B$8),OR(Query!$B$9="",ISNUMBER(SEARCH(Query!$B$9,'Compliance Database'!$D1737&amp;" "&amp;'Compliance Database'!$K1737&amp;" "&amp;'Compliance Database'!$L1737&amp;" "&amp;'Compliance Database'!$M1737&amp;" "&amp;'Compliance Database'!$N1737&amp;" "&amp;'Compliance Database'!$O1737))),OR(Query!$B$10&lt;&gt;"Yes",'Compliance Database'!$F1737&lt;&gt;"None")),1,0)</f>
        <v/>
      </c>
      <c r="B1737">
        <f>IF($A1737=1,SUM($A$2:$A1737),"")</f>
        <v/>
      </c>
      <c r="C1737">
        <f>IF($A1737=1,SUM($A$2:$A1737),0)</f>
        <v/>
      </c>
    </row>
    <row r="1738">
      <c r="A1738">
        <f>IF(AND(OR(Query!$B$4="All",'Compliance Database'!$A1738=Query!$B$4),OR(Query!$B$5="All",ISNUMBER(SEARCH(Query!$B$5,'Compliance Database'!$H1738))),OR(Query!$B$6="All",ISNUMBER(SEARCH(Query!$B$6,'Compliance Database'!$I1738))),OR(Query!$B$7="All",'Compliance Database'!$F1738=Query!$B$7),OR(Query!$B$8="All",'Compliance Database'!$J1738=Query!$B$8),OR(Query!$B$9="",ISNUMBER(SEARCH(Query!$B$9,'Compliance Database'!$D1738&amp;" "&amp;'Compliance Database'!$K1738&amp;" "&amp;'Compliance Database'!$L1738&amp;" "&amp;'Compliance Database'!$M1738&amp;" "&amp;'Compliance Database'!$N1738&amp;" "&amp;'Compliance Database'!$O1738))),OR(Query!$B$10&lt;&gt;"Yes",'Compliance Database'!$F1738&lt;&gt;"None")),1,0)</f>
        <v/>
      </c>
      <c r="B1738">
        <f>IF($A1738=1,SUM($A$2:$A1738),"")</f>
        <v/>
      </c>
      <c r="C1738">
        <f>IF($A1738=1,SUM($A$2:$A1738),0)</f>
        <v/>
      </c>
    </row>
    <row r="1739">
      <c r="A1739">
        <f>IF(AND(OR(Query!$B$4="All",'Compliance Database'!$A1739=Query!$B$4),OR(Query!$B$5="All",ISNUMBER(SEARCH(Query!$B$5,'Compliance Database'!$H1739))),OR(Query!$B$6="All",ISNUMBER(SEARCH(Query!$B$6,'Compliance Database'!$I1739))),OR(Query!$B$7="All",'Compliance Database'!$F1739=Query!$B$7),OR(Query!$B$8="All",'Compliance Database'!$J1739=Query!$B$8),OR(Query!$B$9="",ISNUMBER(SEARCH(Query!$B$9,'Compliance Database'!$D1739&amp;" "&amp;'Compliance Database'!$K1739&amp;" "&amp;'Compliance Database'!$L1739&amp;" "&amp;'Compliance Database'!$M1739&amp;" "&amp;'Compliance Database'!$N1739&amp;" "&amp;'Compliance Database'!$O1739))),OR(Query!$B$10&lt;&gt;"Yes",'Compliance Database'!$F1739&lt;&gt;"None")),1,0)</f>
        <v/>
      </c>
      <c r="B1739">
        <f>IF($A1739=1,SUM($A$2:$A1739),"")</f>
        <v/>
      </c>
      <c r="C1739">
        <f>IF($A1739=1,SUM($A$2:$A1739),0)</f>
        <v/>
      </c>
    </row>
    <row r="1740">
      <c r="A1740">
        <f>IF(AND(OR(Query!$B$4="All",'Compliance Database'!$A1740=Query!$B$4),OR(Query!$B$5="All",ISNUMBER(SEARCH(Query!$B$5,'Compliance Database'!$H1740))),OR(Query!$B$6="All",ISNUMBER(SEARCH(Query!$B$6,'Compliance Database'!$I1740))),OR(Query!$B$7="All",'Compliance Database'!$F1740=Query!$B$7),OR(Query!$B$8="All",'Compliance Database'!$J1740=Query!$B$8),OR(Query!$B$9="",ISNUMBER(SEARCH(Query!$B$9,'Compliance Database'!$D1740&amp;" "&amp;'Compliance Database'!$K1740&amp;" "&amp;'Compliance Database'!$L1740&amp;" "&amp;'Compliance Database'!$M1740&amp;" "&amp;'Compliance Database'!$N1740&amp;" "&amp;'Compliance Database'!$O1740))),OR(Query!$B$10&lt;&gt;"Yes",'Compliance Database'!$F1740&lt;&gt;"None")),1,0)</f>
        <v/>
      </c>
      <c r="B1740">
        <f>IF($A1740=1,SUM($A$2:$A1740),"")</f>
        <v/>
      </c>
      <c r="C1740">
        <f>IF($A1740=1,SUM($A$2:$A1740),0)</f>
        <v/>
      </c>
    </row>
    <row r="1741">
      <c r="A1741">
        <f>IF(AND(OR(Query!$B$4="All",'Compliance Database'!$A1741=Query!$B$4),OR(Query!$B$5="All",ISNUMBER(SEARCH(Query!$B$5,'Compliance Database'!$H1741))),OR(Query!$B$6="All",ISNUMBER(SEARCH(Query!$B$6,'Compliance Database'!$I1741))),OR(Query!$B$7="All",'Compliance Database'!$F1741=Query!$B$7),OR(Query!$B$8="All",'Compliance Database'!$J1741=Query!$B$8),OR(Query!$B$9="",ISNUMBER(SEARCH(Query!$B$9,'Compliance Database'!$D1741&amp;" "&amp;'Compliance Database'!$K1741&amp;" "&amp;'Compliance Database'!$L1741&amp;" "&amp;'Compliance Database'!$M1741&amp;" "&amp;'Compliance Database'!$N1741&amp;" "&amp;'Compliance Database'!$O1741))),OR(Query!$B$10&lt;&gt;"Yes",'Compliance Database'!$F1741&lt;&gt;"None")),1,0)</f>
        <v/>
      </c>
      <c r="B1741">
        <f>IF($A1741=1,SUM($A$2:$A1741),"")</f>
        <v/>
      </c>
      <c r="C1741">
        <f>IF($A1741=1,SUM($A$2:$A1741),0)</f>
        <v/>
      </c>
    </row>
    <row r="1742">
      <c r="A1742">
        <f>IF(AND(OR(Query!$B$4="All",'Compliance Database'!$A1742=Query!$B$4),OR(Query!$B$5="All",ISNUMBER(SEARCH(Query!$B$5,'Compliance Database'!$H1742))),OR(Query!$B$6="All",ISNUMBER(SEARCH(Query!$B$6,'Compliance Database'!$I1742))),OR(Query!$B$7="All",'Compliance Database'!$F1742=Query!$B$7),OR(Query!$B$8="All",'Compliance Database'!$J1742=Query!$B$8),OR(Query!$B$9="",ISNUMBER(SEARCH(Query!$B$9,'Compliance Database'!$D1742&amp;" "&amp;'Compliance Database'!$K1742&amp;" "&amp;'Compliance Database'!$L1742&amp;" "&amp;'Compliance Database'!$M1742&amp;" "&amp;'Compliance Database'!$N1742&amp;" "&amp;'Compliance Database'!$O1742))),OR(Query!$B$10&lt;&gt;"Yes",'Compliance Database'!$F1742&lt;&gt;"None")),1,0)</f>
        <v/>
      </c>
      <c r="B1742">
        <f>IF($A1742=1,SUM($A$2:$A1742),"")</f>
        <v/>
      </c>
      <c r="C1742">
        <f>IF($A1742=1,SUM($A$2:$A1742),0)</f>
        <v/>
      </c>
    </row>
    <row r="1743">
      <c r="A1743">
        <f>IF(AND(OR(Query!$B$4="All",'Compliance Database'!$A1743=Query!$B$4),OR(Query!$B$5="All",ISNUMBER(SEARCH(Query!$B$5,'Compliance Database'!$H1743))),OR(Query!$B$6="All",ISNUMBER(SEARCH(Query!$B$6,'Compliance Database'!$I1743))),OR(Query!$B$7="All",'Compliance Database'!$F1743=Query!$B$7),OR(Query!$B$8="All",'Compliance Database'!$J1743=Query!$B$8),OR(Query!$B$9="",ISNUMBER(SEARCH(Query!$B$9,'Compliance Database'!$D1743&amp;" "&amp;'Compliance Database'!$K1743&amp;" "&amp;'Compliance Database'!$L1743&amp;" "&amp;'Compliance Database'!$M1743&amp;" "&amp;'Compliance Database'!$N1743&amp;" "&amp;'Compliance Database'!$O1743))),OR(Query!$B$10&lt;&gt;"Yes",'Compliance Database'!$F1743&lt;&gt;"None")),1,0)</f>
        <v/>
      </c>
      <c r="B1743">
        <f>IF($A1743=1,SUM($A$2:$A1743),"")</f>
        <v/>
      </c>
      <c r="C1743">
        <f>IF($A1743=1,SUM($A$2:$A1743),0)</f>
        <v/>
      </c>
    </row>
    <row r="1744">
      <c r="A1744">
        <f>IF(AND(OR(Query!$B$4="All",'Compliance Database'!$A1744=Query!$B$4),OR(Query!$B$5="All",ISNUMBER(SEARCH(Query!$B$5,'Compliance Database'!$H1744))),OR(Query!$B$6="All",ISNUMBER(SEARCH(Query!$B$6,'Compliance Database'!$I1744))),OR(Query!$B$7="All",'Compliance Database'!$F1744=Query!$B$7),OR(Query!$B$8="All",'Compliance Database'!$J1744=Query!$B$8),OR(Query!$B$9="",ISNUMBER(SEARCH(Query!$B$9,'Compliance Database'!$D1744&amp;" "&amp;'Compliance Database'!$K1744&amp;" "&amp;'Compliance Database'!$L1744&amp;" "&amp;'Compliance Database'!$M1744&amp;" "&amp;'Compliance Database'!$N1744&amp;" "&amp;'Compliance Database'!$O1744))),OR(Query!$B$10&lt;&gt;"Yes",'Compliance Database'!$F1744&lt;&gt;"None")),1,0)</f>
        <v/>
      </c>
      <c r="B1744">
        <f>IF($A1744=1,SUM($A$2:$A1744),"")</f>
        <v/>
      </c>
      <c r="C1744">
        <f>IF($A1744=1,SUM($A$2:$A1744),0)</f>
        <v/>
      </c>
    </row>
    <row r="1745">
      <c r="A1745">
        <f>IF(AND(OR(Query!$B$4="All",'Compliance Database'!$A1745=Query!$B$4),OR(Query!$B$5="All",ISNUMBER(SEARCH(Query!$B$5,'Compliance Database'!$H1745))),OR(Query!$B$6="All",ISNUMBER(SEARCH(Query!$B$6,'Compliance Database'!$I1745))),OR(Query!$B$7="All",'Compliance Database'!$F1745=Query!$B$7),OR(Query!$B$8="All",'Compliance Database'!$J1745=Query!$B$8),OR(Query!$B$9="",ISNUMBER(SEARCH(Query!$B$9,'Compliance Database'!$D1745&amp;" "&amp;'Compliance Database'!$K1745&amp;" "&amp;'Compliance Database'!$L1745&amp;" "&amp;'Compliance Database'!$M1745&amp;" "&amp;'Compliance Database'!$N1745&amp;" "&amp;'Compliance Database'!$O1745))),OR(Query!$B$10&lt;&gt;"Yes",'Compliance Database'!$F1745&lt;&gt;"None")),1,0)</f>
        <v/>
      </c>
      <c r="B1745">
        <f>IF($A1745=1,SUM($A$2:$A1745),"")</f>
        <v/>
      </c>
      <c r="C1745">
        <f>IF($A1745=1,SUM($A$2:$A1745),0)</f>
        <v/>
      </c>
    </row>
    <row r="1746">
      <c r="A1746">
        <f>IF(AND(OR(Query!$B$4="All",'Compliance Database'!$A1746=Query!$B$4),OR(Query!$B$5="All",ISNUMBER(SEARCH(Query!$B$5,'Compliance Database'!$H1746))),OR(Query!$B$6="All",ISNUMBER(SEARCH(Query!$B$6,'Compliance Database'!$I1746))),OR(Query!$B$7="All",'Compliance Database'!$F1746=Query!$B$7),OR(Query!$B$8="All",'Compliance Database'!$J1746=Query!$B$8),OR(Query!$B$9="",ISNUMBER(SEARCH(Query!$B$9,'Compliance Database'!$D1746&amp;" "&amp;'Compliance Database'!$K1746&amp;" "&amp;'Compliance Database'!$L1746&amp;" "&amp;'Compliance Database'!$M1746&amp;" "&amp;'Compliance Database'!$N1746&amp;" "&amp;'Compliance Database'!$O1746))),OR(Query!$B$10&lt;&gt;"Yes",'Compliance Database'!$F1746&lt;&gt;"None")),1,0)</f>
        <v/>
      </c>
      <c r="B1746">
        <f>IF($A1746=1,SUM($A$2:$A1746),"")</f>
        <v/>
      </c>
      <c r="C1746">
        <f>IF($A1746=1,SUM($A$2:$A1746),0)</f>
        <v/>
      </c>
    </row>
    <row r="1747">
      <c r="A1747">
        <f>IF(AND(OR(Query!$B$4="All",'Compliance Database'!$A1747=Query!$B$4),OR(Query!$B$5="All",ISNUMBER(SEARCH(Query!$B$5,'Compliance Database'!$H1747))),OR(Query!$B$6="All",ISNUMBER(SEARCH(Query!$B$6,'Compliance Database'!$I1747))),OR(Query!$B$7="All",'Compliance Database'!$F1747=Query!$B$7),OR(Query!$B$8="All",'Compliance Database'!$J1747=Query!$B$8),OR(Query!$B$9="",ISNUMBER(SEARCH(Query!$B$9,'Compliance Database'!$D1747&amp;" "&amp;'Compliance Database'!$K1747&amp;" "&amp;'Compliance Database'!$L1747&amp;" "&amp;'Compliance Database'!$M1747&amp;" "&amp;'Compliance Database'!$N1747&amp;" "&amp;'Compliance Database'!$O1747))),OR(Query!$B$10&lt;&gt;"Yes",'Compliance Database'!$F1747&lt;&gt;"None")),1,0)</f>
        <v/>
      </c>
      <c r="B1747">
        <f>IF($A1747=1,SUM($A$2:$A1747),"")</f>
        <v/>
      </c>
      <c r="C1747">
        <f>IF($A1747=1,SUM($A$2:$A1747),0)</f>
        <v/>
      </c>
    </row>
    <row r="1748">
      <c r="A1748">
        <f>IF(AND(OR(Query!$B$4="All",'Compliance Database'!$A1748=Query!$B$4),OR(Query!$B$5="All",ISNUMBER(SEARCH(Query!$B$5,'Compliance Database'!$H1748))),OR(Query!$B$6="All",ISNUMBER(SEARCH(Query!$B$6,'Compliance Database'!$I1748))),OR(Query!$B$7="All",'Compliance Database'!$F1748=Query!$B$7),OR(Query!$B$8="All",'Compliance Database'!$J1748=Query!$B$8),OR(Query!$B$9="",ISNUMBER(SEARCH(Query!$B$9,'Compliance Database'!$D1748&amp;" "&amp;'Compliance Database'!$K1748&amp;" "&amp;'Compliance Database'!$L1748&amp;" "&amp;'Compliance Database'!$M1748&amp;" "&amp;'Compliance Database'!$N1748&amp;" "&amp;'Compliance Database'!$O1748))),OR(Query!$B$10&lt;&gt;"Yes",'Compliance Database'!$F1748&lt;&gt;"None")),1,0)</f>
        <v/>
      </c>
      <c r="B1748">
        <f>IF($A1748=1,SUM($A$2:$A1748),"")</f>
        <v/>
      </c>
      <c r="C1748">
        <f>IF($A1748=1,SUM($A$2:$A1748),0)</f>
        <v/>
      </c>
    </row>
    <row r="1749">
      <c r="A1749">
        <f>IF(AND(OR(Query!$B$4="All",'Compliance Database'!$A1749=Query!$B$4),OR(Query!$B$5="All",ISNUMBER(SEARCH(Query!$B$5,'Compliance Database'!$H1749))),OR(Query!$B$6="All",ISNUMBER(SEARCH(Query!$B$6,'Compliance Database'!$I1749))),OR(Query!$B$7="All",'Compliance Database'!$F1749=Query!$B$7),OR(Query!$B$8="All",'Compliance Database'!$J1749=Query!$B$8),OR(Query!$B$9="",ISNUMBER(SEARCH(Query!$B$9,'Compliance Database'!$D1749&amp;" "&amp;'Compliance Database'!$K1749&amp;" "&amp;'Compliance Database'!$L1749&amp;" "&amp;'Compliance Database'!$M1749&amp;" "&amp;'Compliance Database'!$N1749&amp;" "&amp;'Compliance Database'!$O1749))),OR(Query!$B$10&lt;&gt;"Yes",'Compliance Database'!$F1749&lt;&gt;"None")),1,0)</f>
        <v/>
      </c>
      <c r="B1749">
        <f>IF($A1749=1,SUM($A$2:$A1749),"")</f>
        <v/>
      </c>
      <c r="C1749">
        <f>IF($A1749=1,SUM($A$2:$A1749),0)</f>
        <v/>
      </c>
    </row>
    <row r="1750">
      <c r="A1750">
        <f>IF(AND(OR(Query!$B$4="All",'Compliance Database'!$A1750=Query!$B$4),OR(Query!$B$5="All",ISNUMBER(SEARCH(Query!$B$5,'Compliance Database'!$H1750))),OR(Query!$B$6="All",ISNUMBER(SEARCH(Query!$B$6,'Compliance Database'!$I1750))),OR(Query!$B$7="All",'Compliance Database'!$F1750=Query!$B$7),OR(Query!$B$8="All",'Compliance Database'!$J1750=Query!$B$8),OR(Query!$B$9="",ISNUMBER(SEARCH(Query!$B$9,'Compliance Database'!$D1750&amp;" "&amp;'Compliance Database'!$K1750&amp;" "&amp;'Compliance Database'!$L1750&amp;" "&amp;'Compliance Database'!$M1750&amp;" "&amp;'Compliance Database'!$N1750&amp;" "&amp;'Compliance Database'!$O1750))),OR(Query!$B$10&lt;&gt;"Yes",'Compliance Database'!$F1750&lt;&gt;"None")),1,0)</f>
        <v/>
      </c>
      <c r="B1750">
        <f>IF($A1750=1,SUM($A$2:$A1750),"")</f>
        <v/>
      </c>
      <c r="C1750">
        <f>IF($A1750=1,SUM($A$2:$A1750),0)</f>
        <v/>
      </c>
    </row>
    <row r="1751">
      <c r="A1751">
        <f>IF(AND(OR(Query!$B$4="All",'Compliance Database'!$A1751=Query!$B$4),OR(Query!$B$5="All",ISNUMBER(SEARCH(Query!$B$5,'Compliance Database'!$H1751))),OR(Query!$B$6="All",ISNUMBER(SEARCH(Query!$B$6,'Compliance Database'!$I1751))),OR(Query!$B$7="All",'Compliance Database'!$F1751=Query!$B$7),OR(Query!$B$8="All",'Compliance Database'!$J1751=Query!$B$8),OR(Query!$B$9="",ISNUMBER(SEARCH(Query!$B$9,'Compliance Database'!$D1751&amp;" "&amp;'Compliance Database'!$K1751&amp;" "&amp;'Compliance Database'!$L1751&amp;" "&amp;'Compliance Database'!$M1751&amp;" "&amp;'Compliance Database'!$N1751&amp;" "&amp;'Compliance Database'!$O1751))),OR(Query!$B$10&lt;&gt;"Yes",'Compliance Database'!$F1751&lt;&gt;"None")),1,0)</f>
        <v/>
      </c>
      <c r="B1751">
        <f>IF($A1751=1,SUM($A$2:$A1751),"")</f>
        <v/>
      </c>
      <c r="C1751">
        <f>IF($A1751=1,SUM($A$2:$A1751),0)</f>
        <v/>
      </c>
    </row>
    <row r="1752">
      <c r="A1752">
        <f>IF(AND(OR(Query!$B$4="All",'Compliance Database'!$A1752=Query!$B$4),OR(Query!$B$5="All",ISNUMBER(SEARCH(Query!$B$5,'Compliance Database'!$H1752))),OR(Query!$B$6="All",ISNUMBER(SEARCH(Query!$B$6,'Compliance Database'!$I1752))),OR(Query!$B$7="All",'Compliance Database'!$F1752=Query!$B$7),OR(Query!$B$8="All",'Compliance Database'!$J1752=Query!$B$8),OR(Query!$B$9="",ISNUMBER(SEARCH(Query!$B$9,'Compliance Database'!$D1752&amp;" "&amp;'Compliance Database'!$K1752&amp;" "&amp;'Compliance Database'!$L1752&amp;" "&amp;'Compliance Database'!$M1752&amp;" "&amp;'Compliance Database'!$N1752&amp;" "&amp;'Compliance Database'!$O1752))),OR(Query!$B$10&lt;&gt;"Yes",'Compliance Database'!$F1752&lt;&gt;"None")),1,0)</f>
        <v/>
      </c>
      <c r="B1752">
        <f>IF($A1752=1,SUM($A$2:$A1752),"")</f>
        <v/>
      </c>
      <c r="C1752">
        <f>IF($A1752=1,SUM($A$2:$A1752),0)</f>
        <v/>
      </c>
    </row>
    <row r="1753">
      <c r="A1753">
        <f>IF(AND(OR(Query!$B$4="All",'Compliance Database'!$A1753=Query!$B$4),OR(Query!$B$5="All",ISNUMBER(SEARCH(Query!$B$5,'Compliance Database'!$H1753))),OR(Query!$B$6="All",ISNUMBER(SEARCH(Query!$B$6,'Compliance Database'!$I1753))),OR(Query!$B$7="All",'Compliance Database'!$F1753=Query!$B$7),OR(Query!$B$8="All",'Compliance Database'!$J1753=Query!$B$8),OR(Query!$B$9="",ISNUMBER(SEARCH(Query!$B$9,'Compliance Database'!$D1753&amp;" "&amp;'Compliance Database'!$K1753&amp;" "&amp;'Compliance Database'!$L1753&amp;" "&amp;'Compliance Database'!$M1753&amp;" "&amp;'Compliance Database'!$N1753&amp;" "&amp;'Compliance Database'!$O1753))),OR(Query!$B$10&lt;&gt;"Yes",'Compliance Database'!$F1753&lt;&gt;"None")),1,0)</f>
        <v/>
      </c>
      <c r="B1753">
        <f>IF($A1753=1,SUM($A$2:$A1753),"")</f>
        <v/>
      </c>
      <c r="C1753">
        <f>IF($A1753=1,SUM($A$2:$A1753),0)</f>
        <v/>
      </c>
    </row>
    <row r="1754">
      <c r="A1754">
        <f>IF(AND(OR(Query!$B$4="All",'Compliance Database'!$A1754=Query!$B$4),OR(Query!$B$5="All",ISNUMBER(SEARCH(Query!$B$5,'Compliance Database'!$H1754))),OR(Query!$B$6="All",ISNUMBER(SEARCH(Query!$B$6,'Compliance Database'!$I1754))),OR(Query!$B$7="All",'Compliance Database'!$F1754=Query!$B$7),OR(Query!$B$8="All",'Compliance Database'!$J1754=Query!$B$8),OR(Query!$B$9="",ISNUMBER(SEARCH(Query!$B$9,'Compliance Database'!$D1754&amp;" "&amp;'Compliance Database'!$K1754&amp;" "&amp;'Compliance Database'!$L1754&amp;" "&amp;'Compliance Database'!$M1754&amp;" "&amp;'Compliance Database'!$N1754&amp;" "&amp;'Compliance Database'!$O1754))),OR(Query!$B$10&lt;&gt;"Yes",'Compliance Database'!$F1754&lt;&gt;"None")),1,0)</f>
        <v/>
      </c>
      <c r="B1754">
        <f>IF($A1754=1,SUM($A$2:$A1754),"")</f>
        <v/>
      </c>
      <c r="C1754">
        <f>IF($A1754=1,SUM($A$2:$A1754),0)</f>
        <v/>
      </c>
    </row>
    <row r="1755">
      <c r="A1755">
        <f>IF(AND(OR(Query!$B$4="All",'Compliance Database'!$A1755=Query!$B$4),OR(Query!$B$5="All",ISNUMBER(SEARCH(Query!$B$5,'Compliance Database'!$H1755))),OR(Query!$B$6="All",ISNUMBER(SEARCH(Query!$B$6,'Compliance Database'!$I1755))),OR(Query!$B$7="All",'Compliance Database'!$F1755=Query!$B$7),OR(Query!$B$8="All",'Compliance Database'!$J1755=Query!$B$8),OR(Query!$B$9="",ISNUMBER(SEARCH(Query!$B$9,'Compliance Database'!$D1755&amp;" "&amp;'Compliance Database'!$K1755&amp;" "&amp;'Compliance Database'!$L1755&amp;" "&amp;'Compliance Database'!$M1755&amp;" "&amp;'Compliance Database'!$N1755&amp;" "&amp;'Compliance Database'!$O1755))),OR(Query!$B$10&lt;&gt;"Yes",'Compliance Database'!$F1755&lt;&gt;"None")),1,0)</f>
        <v/>
      </c>
      <c r="B1755">
        <f>IF($A1755=1,SUM($A$2:$A1755),"")</f>
        <v/>
      </c>
      <c r="C1755">
        <f>IF($A1755=1,SUM($A$2:$A1755),0)</f>
        <v/>
      </c>
    </row>
    <row r="1756">
      <c r="A1756">
        <f>IF(AND(OR(Query!$B$4="All",'Compliance Database'!$A1756=Query!$B$4),OR(Query!$B$5="All",ISNUMBER(SEARCH(Query!$B$5,'Compliance Database'!$H1756))),OR(Query!$B$6="All",ISNUMBER(SEARCH(Query!$B$6,'Compliance Database'!$I1756))),OR(Query!$B$7="All",'Compliance Database'!$F1756=Query!$B$7),OR(Query!$B$8="All",'Compliance Database'!$J1756=Query!$B$8),OR(Query!$B$9="",ISNUMBER(SEARCH(Query!$B$9,'Compliance Database'!$D1756&amp;" "&amp;'Compliance Database'!$K1756&amp;" "&amp;'Compliance Database'!$L1756&amp;" "&amp;'Compliance Database'!$M1756&amp;" "&amp;'Compliance Database'!$N1756&amp;" "&amp;'Compliance Database'!$O1756))),OR(Query!$B$10&lt;&gt;"Yes",'Compliance Database'!$F1756&lt;&gt;"None")),1,0)</f>
        <v/>
      </c>
      <c r="B1756">
        <f>IF($A1756=1,SUM($A$2:$A1756),"")</f>
        <v/>
      </c>
      <c r="C1756">
        <f>IF($A1756=1,SUM($A$2:$A1756),0)</f>
        <v/>
      </c>
    </row>
    <row r="1757">
      <c r="A1757">
        <f>IF(AND(OR(Query!$B$4="All",'Compliance Database'!$A1757=Query!$B$4),OR(Query!$B$5="All",ISNUMBER(SEARCH(Query!$B$5,'Compliance Database'!$H1757))),OR(Query!$B$6="All",ISNUMBER(SEARCH(Query!$B$6,'Compliance Database'!$I1757))),OR(Query!$B$7="All",'Compliance Database'!$F1757=Query!$B$7),OR(Query!$B$8="All",'Compliance Database'!$J1757=Query!$B$8),OR(Query!$B$9="",ISNUMBER(SEARCH(Query!$B$9,'Compliance Database'!$D1757&amp;" "&amp;'Compliance Database'!$K1757&amp;" "&amp;'Compliance Database'!$L1757&amp;" "&amp;'Compliance Database'!$M1757&amp;" "&amp;'Compliance Database'!$N1757&amp;" "&amp;'Compliance Database'!$O1757))),OR(Query!$B$10&lt;&gt;"Yes",'Compliance Database'!$F1757&lt;&gt;"None")),1,0)</f>
        <v/>
      </c>
      <c r="B1757">
        <f>IF($A1757=1,SUM($A$2:$A1757),"")</f>
        <v/>
      </c>
      <c r="C1757">
        <f>IF($A1757=1,SUM($A$2:$A1757),0)</f>
        <v/>
      </c>
    </row>
    <row r="1758">
      <c r="A1758">
        <f>IF(AND(OR(Query!$B$4="All",'Compliance Database'!$A1758=Query!$B$4),OR(Query!$B$5="All",ISNUMBER(SEARCH(Query!$B$5,'Compliance Database'!$H1758))),OR(Query!$B$6="All",ISNUMBER(SEARCH(Query!$B$6,'Compliance Database'!$I1758))),OR(Query!$B$7="All",'Compliance Database'!$F1758=Query!$B$7),OR(Query!$B$8="All",'Compliance Database'!$J1758=Query!$B$8),OR(Query!$B$9="",ISNUMBER(SEARCH(Query!$B$9,'Compliance Database'!$D1758&amp;" "&amp;'Compliance Database'!$K1758&amp;" "&amp;'Compliance Database'!$L1758&amp;" "&amp;'Compliance Database'!$M1758&amp;" "&amp;'Compliance Database'!$N1758&amp;" "&amp;'Compliance Database'!$O1758))),OR(Query!$B$10&lt;&gt;"Yes",'Compliance Database'!$F1758&lt;&gt;"None")),1,0)</f>
        <v/>
      </c>
      <c r="B1758">
        <f>IF($A1758=1,SUM($A$2:$A1758),"")</f>
        <v/>
      </c>
      <c r="C1758">
        <f>IF($A1758=1,SUM($A$2:$A1758),0)</f>
        <v/>
      </c>
    </row>
    <row r="1759">
      <c r="A1759">
        <f>IF(AND(OR(Query!$B$4="All",'Compliance Database'!$A1759=Query!$B$4),OR(Query!$B$5="All",ISNUMBER(SEARCH(Query!$B$5,'Compliance Database'!$H1759))),OR(Query!$B$6="All",ISNUMBER(SEARCH(Query!$B$6,'Compliance Database'!$I1759))),OR(Query!$B$7="All",'Compliance Database'!$F1759=Query!$B$7),OR(Query!$B$8="All",'Compliance Database'!$J1759=Query!$B$8),OR(Query!$B$9="",ISNUMBER(SEARCH(Query!$B$9,'Compliance Database'!$D1759&amp;" "&amp;'Compliance Database'!$K1759&amp;" "&amp;'Compliance Database'!$L1759&amp;" "&amp;'Compliance Database'!$M1759&amp;" "&amp;'Compliance Database'!$N1759&amp;" "&amp;'Compliance Database'!$O1759))),OR(Query!$B$10&lt;&gt;"Yes",'Compliance Database'!$F1759&lt;&gt;"None")),1,0)</f>
        <v/>
      </c>
      <c r="B1759">
        <f>IF($A1759=1,SUM($A$2:$A1759),"")</f>
        <v/>
      </c>
      <c r="C1759">
        <f>IF($A1759=1,SUM($A$2:$A1759),0)</f>
        <v/>
      </c>
    </row>
    <row r="1760">
      <c r="A1760">
        <f>IF(AND(OR(Query!$B$4="All",'Compliance Database'!$A1760=Query!$B$4),OR(Query!$B$5="All",ISNUMBER(SEARCH(Query!$B$5,'Compliance Database'!$H1760))),OR(Query!$B$6="All",ISNUMBER(SEARCH(Query!$B$6,'Compliance Database'!$I1760))),OR(Query!$B$7="All",'Compliance Database'!$F1760=Query!$B$7),OR(Query!$B$8="All",'Compliance Database'!$J1760=Query!$B$8),OR(Query!$B$9="",ISNUMBER(SEARCH(Query!$B$9,'Compliance Database'!$D1760&amp;" "&amp;'Compliance Database'!$K1760&amp;" "&amp;'Compliance Database'!$L1760&amp;" "&amp;'Compliance Database'!$M1760&amp;" "&amp;'Compliance Database'!$N1760&amp;" "&amp;'Compliance Database'!$O1760))),OR(Query!$B$10&lt;&gt;"Yes",'Compliance Database'!$F1760&lt;&gt;"None")),1,0)</f>
        <v/>
      </c>
      <c r="B1760">
        <f>IF($A1760=1,SUM($A$2:$A1760),"")</f>
        <v/>
      </c>
      <c r="C1760">
        <f>IF($A1760=1,SUM($A$2:$A1760),0)</f>
        <v/>
      </c>
    </row>
    <row r="1761">
      <c r="A1761">
        <f>IF(AND(OR(Query!$B$4="All",'Compliance Database'!$A1761=Query!$B$4),OR(Query!$B$5="All",ISNUMBER(SEARCH(Query!$B$5,'Compliance Database'!$H1761))),OR(Query!$B$6="All",ISNUMBER(SEARCH(Query!$B$6,'Compliance Database'!$I1761))),OR(Query!$B$7="All",'Compliance Database'!$F1761=Query!$B$7),OR(Query!$B$8="All",'Compliance Database'!$J1761=Query!$B$8),OR(Query!$B$9="",ISNUMBER(SEARCH(Query!$B$9,'Compliance Database'!$D1761&amp;" "&amp;'Compliance Database'!$K1761&amp;" "&amp;'Compliance Database'!$L1761&amp;" "&amp;'Compliance Database'!$M1761&amp;" "&amp;'Compliance Database'!$N1761&amp;" "&amp;'Compliance Database'!$O1761))),OR(Query!$B$10&lt;&gt;"Yes",'Compliance Database'!$F1761&lt;&gt;"None")),1,0)</f>
        <v/>
      </c>
      <c r="B1761">
        <f>IF($A1761=1,SUM($A$2:$A1761),"")</f>
        <v/>
      </c>
      <c r="C1761">
        <f>IF($A1761=1,SUM($A$2:$A1761),0)</f>
        <v/>
      </c>
    </row>
    <row r="1762">
      <c r="A1762">
        <f>IF(AND(OR(Query!$B$4="All",'Compliance Database'!$A1762=Query!$B$4),OR(Query!$B$5="All",ISNUMBER(SEARCH(Query!$B$5,'Compliance Database'!$H1762))),OR(Query!$B$6="All",ISNUMBER(SEARCH(Query!$B$6,'Compliance Database'!$I1762))),OR(Query!$B$7="All",'Compliance Database'!$F1762=Query!$B$7),OR(Query!$B$8="All",'Compliance Database'!$J1762=Query!$B$8),OR(Query!$B$9="",ISNUMBER(SEARCH(Query!$B$9,'Compliance Database'!$D1762&amp;" "&amp;'Compliance Database'!$K1762&amp;" "&amp;'Compliance Database'!$L1762&amp;" "&amp;'Compliance Database'!$M1762&amp;" "&amp;'Compliance Database'!$N1762&amp;" "&amp;'Compliance Database'!$O1762))),OR(Query!$B$10&lt;&gt;"Yes",'Compliance Database'!$F1762&lt;&gt;"None")),1,0)</f>
        <v/>
      </c>
      <c r="B1762">
        <f>IF($A1762=1,SUM($A$2:$A1762),"")</f>
        <v/>
      </c>
      <c r="C1762">
        <f>IF($A1762=1,SUM($A$2:$A1762),0)</f>
        <v/>
      </c>
    </row>
    <row r="1763">
      <c r="A1763">
        <f>IF(AND(OR(Query!$B$4="All",'Compliance Database'!$A1763=Query!$B$4),OR(Query!$B$5="All",ISNUMBER(SEARCH(Query!$B$5,'Compliance Database'!$H1763))),OR(Query!$B$6="All",ISNUMBER(SEARCH(Query!$B$6,'Compliance Database'!$I1763))),OR(Query!$B$7="All",'Compliance Database'!$F1763=Query!$B$7),OR(Query!$B$8="All",'Compliance Database'!$J1763=Query!$B$8),OR(Query!$B$9="",ISNUMBER(SEARCH(Query!$B$9,'Compliance Database'!$D1763&amp;" "&amp;'Compliance Database'!$K1763&amp;" "&amp;'Compliance Database'!$L1763&amp;" "&amp;'Compliance Database'!$M1763&amp;" "&amp;'Compliance Database'!$N1763&amp;" "&amp;'Compliance Database'!$O1763))),OR(Query!$B$10&lt;&gt;"Yes",'Compliance Database'!$F1763&lt;&gt;"None")),1,0)</f>
        <v/>
      </c>
      <c r="B1763">
        <f>IF($A1763=1,SUM($A$2:$A1763),"")</f>
        <v/>
      </c>
      <c r="C1763">
        <f>IF($A1763=1,SUM($A$2:$A1763),0)</f>
        <v/>
      </c>
    </row>
    <row r="1764">
      <c r="A1764">
        <f>IF(AND(OR(Query!$B$4="All",'Compliance Database'!$A1764=Query!$B$4),OR(Query!$B$5="All",ISNUMBER(SEARCH(Query!$B$5,'Compliance Database'!$H1764))),OR(Query!$B$6="All",ISNUMBER(SEARCH(Query!$B$6,'Compliance Database'!$I1764))),OR(Query!$B$7="All",'Compliance Database'!$F1764=Query!$B$7),OR(Query!$B$8="All",'Compliance Database'!$J1764=Query!$B$8),OR(Query!$B$9="",ISNUMBER(SEARCH(Query!$B$9,'Compliance Database'!$D1764&amp;" "&amp;'Compliance Database'!$K1764&amp;" "&amp;'Compliance Database'!$L1764&amp;" "&amp;'Compliance Database'!$M1764&amp;" "&amp;'Compliance Database'!$N1764&amp;" "&amp;'Compliance Database'!$O1764))),OR(Query!$B$10&lt;&gt;"Yes",'Compliance Database'!$F1764&lt;&gt;"None")),1,0)</f>
        <v/>
      </c>
      <c r="B1764">
        <f>IF($A1764=1,SUM($A$2:$A1764),"")</f>
        <v/>
      </c>
      <c r="C1764">
        <f>IF($A1764=1,SUM($A$2:$A1764),0)</f>
        <v/>
      </c>
    </row>
    <row r="1765">
      <c r="A1765">
        <f>IF(AND(OR(Query!$B$4="All",'Compliance Database'!$A1765=Query!$B$4),OR(Query!$B$5="All",ISNUMBER(SEARCH(Query!$B$5,'Compliance Database'!$H1765))),OR(Query!$B$6="All",ISNUMBER(SEARCH(Query!$B$6,'Compliance Database'!$I1765))),OR(Query!$B$7="All",'Compliance Database'!$F1765=Query!$B$7),OR(Query!$B$8="All",'Compliance Database'!$J1765=Query!$B$8),OR(Query!$B$9="",ISNUMBER(SEARCH(Query!$B$9,'Compliance Database'!$D1765&amp;" "&amp;'Compliance Database'!$K1765&amp;" "&amp;'Compliance Database'!$L1765&amp;" "&amp;'Compliance Database'!$M1765&amp;" "&amp;'Compliance Database'!$N1765&amp;" "&amp;'Compliance Database'!$O1765))),OR(Query!$B$10&lt;&gt;"Yes",'Compliance Database'!$F1765&lt;&gt;"None")),1,0)</f>
        <v/>
      </c>
      <c r="B1765">
        <f>IF($A1765=1,SUM($A$2:$A1765),"")</f>
        <v/>
      </c>
      <c r="C1765">
        <f>IF($A1765=1,SUM($A$2:$A1765),0)</f>
        <v/>
      </c>
    </row>
    <row r="1766">
      <c r="A1766">
        <f>IF(AND(OR(Query!$B$4="All",'Compliance Database'!$A1766=Query!$B$4),OR(Query!$B$5="All",ISNUMBER(SEARCH(Query!$B$5,'Compliance Database'!$H1766))),OR(Query!$B$6="All",ISNUMBER(SEARCH(Query!$B$6,'Compliance Database'!$I1766))),OR(Query!$B$7="All",'Compliance Database'!$F1766=Query!$B$7),OR(Query!$B$8="All",'Compliance Database'!$J1766=Query!$B$8),OR(Query!$B$9="",ISNUMBER(SEARCH(Query!$B$9,'Compliance Database'!$D1766&amp;" "&amp;'Compliance Database'!$K1766&amp;" "&amp;'Compliance Database'!$L1766&amp;" "&amp;'Compliance Database'!$M1766&amp;" "&amp;'Compliance Database'!$N1766&amp;" "&amp;'Compliance Database'!$O1766))),OR(Query!$B$10&lt;&gt;"Yes",'Compliance Database'!$F1766&lt;&gt;"None")),1,0)</f>
        <v/>
      </c>
      <c r="B1766">
        <f>IF($A1766=1,SUM($A$2:$A1766),"")</f>
        <v/>
      </c>
      <c r="C1766">
        <f>IF($A1766=1,SUM($A$2:$A1766),0)</f>
        <v/>
      </c>
    </row>
    <row r="1767">
      <c r="A1767">
        <f>IF(AND(OR(Query!$B$4="All",'Compliance Database'!$A1767=Query!$B$4),OR(Query!$B$5="All",ISNUMBER(SEARCH(Query!$B$5,'Compliance Database'!$H1767))),OR(Query!$B$6="All",ISNUMBER(SEARCH(Query!$B$6,'Compliance Database'!$I1767))),OR(Query!$B$7="All",'Compliance Database'!$F1767=Query!$B$7),OR(Query!$B$8="All",'Compliance Database'!$J1767=Query!$B$8),OR(Query!$B$9="",ISNUMBER(SEARCH(Query!$B$9,'Compliance Database'!$D1767&amp;" "&amp;'Compliance Database'!$K1767&amp;" "&amp;'Compliance Database'!$L1767&amp;" "&amp;'Compliance Database'!$M1767&amp;" "&amp;'Compliance Database'!$N1767&amp;" "&amp;'Compliance Database'!$O1767))),OR(Query!$B$10&lt;&gt;"Yes",'Compliance Database'!$F1767&lt;&gt;"None")),1,0)</f>
        <v/>
      </c>
      <c r="B1767">
        <f>IF($A1767=1,SUM($A$2:$A1767),"")</f>
        <v/>
      </c>
      <c r="C1767">
        <f>IF($A1767=1,SUM($A$2:$A1767),0)</f>
        <v/>
      </c>
    </row>
    <row r="1768">
      <c r="A1768">
        <f>IF(AND(OR(Query!$B$4="All",'Compliance Database'!$A1768=Query!$B$4),OR(Query!$B$5="All",ISNUMBER(SEARCH(Query!$B$5,'Compliance Database'!$H1768))),OR(Query!$B$6="All",ISNUMBER(SEARCH(Query!$B$6,'Compliance Database'!$I1768))),OR(Query!$B$7="All",'Compliance Database'!$F1768=Query!$B$7),OR(Query!$B$8="All",'Compliance Database'!$J1768=Query!$B$8),OR(Query!$B$9="",ISNUMBER(SEARCH(Query!$B$9,'Compliance Database'!$D1768&amp;" "&amp;'Compliance Database'!$K1768&amp;" "&amp;'Compliance Database'!$L1768&amp;" "&amp;'Compliance Database'!$M1768&amp;" "&amp;'Compliance Database'!$N1768&amp;" "&amp;'Compliance Database'!$O1768))),OR(Query!$B$10&lt;&gt;"Yes",'Compliance Database'!$F1768&lt;&gt;"None")),1,0)</f>
        <v/>
      </c>
      <c r="B1768">
        <f>IF($A1768=1,SUM($A$2:$A1768),"")</f>
        <v/>
      </c>
      <c r="C1768">
        <f>IF($A1768=1,SUM($A$2:$A1768),0)</f>
        <v/>
      </c>
    </row>
    <row r="1769">
      <c r="A1769">
        <f>IF(AND(OR(Query!$B$4="All",'Compliance Database'!$A1769=Query!$B$4),OR(Query!$B$5="All",ISNUMBER(SEARCH(Query!$B$5,'Compliance Database'!$H1769))),OR(Query!$B$6="All",ISNUMBER(SEARCH(Query!$B$6,'Compliance Database'!$I1769))),OR(Query!$B$7="All",'Compliance Database'!$F1769=Query!$B$7),OR(Query!$B$8="All",'Compliance Database'!$J1769=Query!$B$8),OR(Query!$B$9="",ISNUMBER(SEARCH(Query!$B$9,'Compliance Database'!$D1769&amp;" "&amp;'Compliance Database'!$K1769&amp;" "&amp;'Compliance Database'!$L1769&amp;" "&amp;'Compliance Database'!$M1769&amp;" "&amp;'Compliance Database'!$N1769&amp;" "&amp;'Compliance Database'!$O1769))),OR(Query!$B$10&lt;&gt;"Yes",'Compliance Database'!$F1769&lt;&gt;"None")),1,0)</f>
        <v/>
      </c>
      <c r="B1769">
        <f>IF($A1769=1,SUM($A$2:$A1769),"")</f>
        <v/>
      </c>
      <c r="C1769">
        <f>IF($A1769=1,SUM($A$2:$A1769),0)</f>
        <v/>
      </c>
    </row>
    <row r="1770">
      <c r="A1770">
        <f>IF(AND(OR(Query!$B$4="All",'Compliance Database'!$A1770=Query!$B$4),OR(Query!$B$5="All",ISNUMBER(SEARCH(Query!$B$5,'Compliance Database'!$H1770))),OR(Query!$B$6="All",ISNUMBER(SEARCH(Query!$B$6,'Compliance Database'!$I1770))),OR(Query!$B$7="All",'Compliance Database'!$F1770=Query!$B$7),OR(Query!$B$8="All",'Compliance Database'!$J1770=Query!$B$8),OR(Query!$B$9="",ISNUMBER(SEARCH(Query!$B$9,'Compliance Database'!$D1770&amp;" "&amp;'Compliance Database'!$K1770&amp;" "&amp;'Compliance Database'!$L1770&amp;" "&amp;'Compliance Database'!$M1770&amp;" "&amp;'Compliance Database'!$N1770&amp;" "&amp;'Compliance Database'!$O1770))),OR(Query!$B$10&lt;&gt;"Yes",'Compliance Database'!$F1770&lt;&gt;"None")),1,0)</f>
        <v/>
      </c>
      <c r="B1770">
        <f>IF($A1770=1,SUM($A$2:$A1770),"")</f>
        <v/>
      </c>
      <c r="C1770">
        <f>IF($A1770=1,SUM($A$2:$A1770),0)</f>
        <v/>
      </c>
    </row>
    <row r="1771">
      <c r="A1771">
        <f>IF(AND(OR(Query!$B$4="All",'Compliance Database'!$A1771=Query!$B$4),OR(Query!$B$5="All",ISNUMBER(SEARCH(Query!$B$5,'Compliance Database'!$H1771))),OR(Query!$B$6="All",ISNUMBER(SEARCH(Query!$B$6,'Compliance Database'!$I1771))),OR(Query!$B$7="All",'Compliance Database'!$F1771=Query!$B$7),OR(Query!$B$8="All",'Compliance Database'!$J1771=Query!$B$8),OR(Query!$B$9="",ISNUMBER(SEARCH(Query!$B$9,'Compliance Database'!$D1771&amp;" "&amp;'Compliance Database'!$K1771&amp;" "&amp;'Compliance Database'!$L1771&amp;" "&amp;'Compliance Database'!$M1771&amp;" "&amp;'Compliance Database'!$N1771&amp;" "&amp;'Compliance Database'!$O1771))),OR(Query!$B$10&lt;&gt;"Yes",'Compliance Database'!$F1771&lt;&gt;"None")),1,0)</f>
        <v/>
      </c>
      <c r="B1771">
        <f>IF($A1771=1,SUM($A$2:$A1771),"")</f>
        <v/>
      </c>
      <c r="C1771">
        <f>IF($A1771=1,SUM($A$2:$A1771),0)</f>
        <v/>
      </c>
    </row>
    <row r="1772">
      <c r="A1772">
        <f>IF(AND(OR(Query!$B$4="All",'Compliance Database'!$A1772=Query!$B$4),OR(Query!$B$5="All",ISNUMBER(SEARCH(Query!$B$5,'Compliance Database'!$H1772))),OR(Query!$B$6="All",ISNUMBER(SEARCH(Query!$B$6,'Compliance Database'!$I1772))),OR(Query!$B$7="All",'Compliance Database'!$F1772=Query!$B$7),OR(Query!$B$8="All",'Compliance Database'!$J1772=Query!$B$8),OR(Query!$B$9="",ISNUMBER(SEARCH(Query!$B$9,'Compliance Database'!$D1772&amp;" "&amp;'Compliance Database'!$K1772&amp;" "&amp;'Compliance Database'!$L1772&amp;" "&amp;'Compliance Database'!$M1772&amp;" "&amp;'Compliance Database'!$N1772&amp;" "&amp;'Compliance Database'!$O1772))),OR(Query!$B$10&lt;&gt;"Yes",'Compliance Database'!$F1772&lt;&gt;"None")),1,0)</f>
        <v/>
      </c>
      <c r="B1772">
        <f>IF($A1772=1,SUM($A$2:$A1772),"")</f>
        <v/>
      </c>
      <c r="C1772">
        <f>IF($A1772=1,SUM($A$2:$A1772),0)</f>
        <v/>
      </c>
    </row>
    <row r="1773">
      <c r="A1773">
        <f>IF(AND(OR(Query!$B$4="All",'Compliance Database'!$A1773=Query!$B$4),OR(Query!$B$5="All",ISNUMBER(SEARCH(Query!$B$5,'Compliance Database'!$H1773))),OR(Query!$B$6="All",ISNUMBER(SEARCH(Query!$B$6,'Compliance Database'!$I1773))),OR(Query!$B$7="All",'Compliance Database'!$F1773=Query!$B$7),OR(Query!$B$8="All",'Compliance Database'!$J1773=Query!$B$8),OR(Query!$B$9="",ISNUMBER(SEARCH(Query!$B$9,'Compliance Database'!$D1773&amp;" "&amp;'Compliance Database'!$K1773&amp;" "&amp;'Compliance Database'!$L1773&amp;" "&amp;'Compliance Database'!$M1773&amp;" "&amp;'Compliance Database'!$N1773&amp;" "&amp;'Compliance Database'!$O1773))),OR(Query!$B$10&lt;&gt;"Yes",'Compliance Database'!$F1773&lt;&gt;"None")),1,0)</f>
        <v/>
      </c>
      <c r="B1773">
        <f>IF($A1773=1,SUM($A$2:$A1773),"")</f>
        <v/>
      </c>
      <c r="C1773">
        <f>IF($A1773=1,SUM($A$2:$A1773),0)</f>
        <v/>
      </c>
    </row>
    <row r="1774">
      <c r="A1774">
        <f>IF(AND(OR(Query!$B$4="All",'Compliance Database'!$A1774=Query!$B$4),OR(Query!$B$5="All",ISNUMBER(SEARCH(Query!$B$5,'Compliance Database'!$H1774))),OR(Query!$B$6="All",ISNUMBER(SEARCH(Query!$B$6,'Compliance Database'!$I1774))),OR(Query!$B$7="All",'Compliance Database'!$F1774=Query!$B$7),OR(Query!$B$8="All",'Compliance Database'!$J1774=Query!$B$8),OR(Query!$B$9="",ISNUMBER(SEARCH(Query!$B$9,'Compliance Database'!$D1774&amp;" "&amp;'Compliance Database'!$K1774&amp;" "&amp;'Compliance Database'!$L1774&amp;" "&amp;'Compliance Database'!$M1774&amp;" "&amp;'Compliance Database'!$N1774&amp;" "&amp;'Compliance Database'!$O1774))),OR(Query!$B$10&lt;&gt;"Yes",'Compliance Database'!$F1774&lt;&gt;"None")),1,0)</f>
        <v/>
      </c>
      <c r="B1774">
        <f>IF($A1774=1,SUM($A$2:$A1774),"")</f>
        <v/>
      </c>
      <c r="C1774">
        <f>IF($A1774=1,SUM($A$2:$A1774),0)</f>
        <v/>
      </c>
    </row>
    <row r="1775">
      <c r="A1775">
        <f>IF(AND(OR(Query!$B$4="All",'Compliance Database'!$A1775=Query!$B$4),OR(Query!$B$5="All",ISNUMBER(SEARCH(Query!$B$5,'Compliance Database'!$H1775))),OR(Query!$B$6="All",ISNUMBER(SEARCH(Query!$B$6,'Compliance Database'!$I1775))),OR(Query!$B$7="All",'Compliance Database'!$F1775=Query!$B$7),OR(Query!$B$8="All",'Compliance Database'!$J1775=Query!$B$8),OR(Query!$B$9="",ISNUMBER(SEARCH(Query!$B$9,'Compliance Database'!$D1775&amp;" "&amp;'Compliance Database'!$K1775&amp;" "&amp;'Compliance Database'!$L1775&amp;" "&amp;'Compliance Database'!$M1775&amp;" "&amp;'Compliance Database'!$N1775&amp;" "&amp;'Compliance Database'!$O1775))),OR(Query!$B$10&lt;&gt;"Yes",'Compliance Database'!$F1775&lt;&gt;"None")),1,0)</f>
        <v/>
      </c>
      <c r="B1775">
        <f>IF($A1775=1,SUM($A$2:$A1775),"")</f>
        <v/>
      </c>
      <c r="C1775">
        <f>IF($A1775=1,SUM($A$2:$A1775),0)</f>
        <v/>
      </c>
    </row>
    <row r="1776">
      <c r="A1776">
        <f>IF(AND(OR(Query!$B$4="All",'Compliance Database'!$A1776=Query!$B$4),OR(Query!$B$5="All",ISNUMBER(SEARCH(Query!$B$5,'Compliance Database'!$H1776))),OR(Query!$B$6="All",ISNUMBER(SEARCH(Query!$B$6,'Compliance Database'!$I1776))),OR(Query!$B$7="All",'Compliance Database'!$F1776=Query!$B$7),OR(Query!$B$8="All",'Compliance Database'!$J1776=Query!$B$8),OR(Query!$B$9="",ISNUMBER(SEARCH(Query!$B$9,'Compliance Database'!$D1776&amp;" "&amp;'Compliance Database'!$K1776&amp;" "&amp;'Compliance Database'!$L1776&amp;" "&amp;'Compliance Database'!$M1776&amp;" "&amp;'Compliance Database'!$N1776&amp;" "&amp;'Compliance Database'!$O1776))),OR(Query!$B$10&lt;&gt;"Yes",'Compliance Database'!$F1776&lt;&gt;"None")),1,0)</f>
        <v/>
      </c>
      <c r="B1776">
        <f>IF($A1776=1,SUM($A$2:$A1776),"")</f>
        <v/>
      </c>
      <c r="C1776">
        <f>IF($A1776=1,SUM($A$2:$A1776),0)</f>
        <v/>
      </c>
    </row>
    <row r="1777">
      <c r="A1777">
        <f>IF(AND(OR(Query!$B$4="All",'Compliance Database'!$A1777=Query!$B$4),OR(Query!$B$5="All",ISNUMBER(SEARCH(Query!$B$5,'Compliance Database'!$H1777))),OR(Query!$B$6="All",ISNUMBER(SEARCH(Query!$B$6,'Compliance Database'!$I1777))),OR(Query!$B$7="All",'Compliance Database'!$F1777=Query!$B$7),OR(Query!$B$8="All",'Compliance Database'!$J1777=Query!$B$8),OR(Query!$B$9="",ISNUMBER(SEARCH(Query!$B$9,'Compliance Database'!$D1777&amp;" "&amp;'Compliance Database'!$K1777&amp;" "&amp;'Compliance Database'!$L1777&amp;" "&amp;'Compliance Database'!$M1777&amp;" "&amp;'Compliance Database'!$N1777&amp;" "&amp;'Compliance Database'!$O1777))),OR(Query!$B$10&lt;&gt;"Yes",'Compliance Database'!$F1777&lt;&gt;"None")),1,0)</f>
        <v/>
      </c>
      <c r="B1777">
        <f>IF($A1777=1,SUM($A$2:$A1777),"")</f>
        <v/>
      </c>
      <c r="C1777">
        <f>IF($A1777=1,SUM($A$2:$A1777),0)</f>
        <v/>
      </c>
    </row>
    <row r="1778">
      <c r="A1778">
        <f>IF(AND(OR(Query!$B$4="All",'Compliance Database'!$A1778=Query!$B$4),OR(Query!$B$5="All",ISNUMBER(SEARCH(Query!$B$5,'Compliance Database'!$H1778))),OR(Query!$B$6="All",ISNUMBER(SEARCH(Query!$B$6,'Compliance Database'!$I1778))),OR(Query!$B$7="All",'Compliance Database'!$F1778=Query!$B$7),OR(Query!$B$8="All",'Compliance Database'!$J1778=Query!$B$8),OR(Query!$B$9="",ISNUMBER(SEARCH(Query!$B$9,'Compliance Database'!$D1778&amp;" "&amp;'Compliance Database'!$K1778&amp;" "&amp;'Compliance Database'!$L1778&amp;" "&amp;'Compliance Database'!$M1778&amp;" "&amp;'Compliance Database'!$N1778&amp;" "&amp;'Compliance Database'!$O1778))),OR(Query!$B$10&lt;&gt;"Yes",'Compliance Database'!$F1778&lt;&gt;"None")),1,0)</f>
        <v/>
      </c>
      <c r="B1778">
        <f>IF($A1778=1,SUM($A$2:$A1778),"")</f>
        <v/>
      </c>
      <c r="C1778">
        <f>IF($A1778=1,SUM($A$2:$A1778),0)</f>
        <v/>
      </c>
    </row>
    <row r="1779">
      <c r="A1779">
        <f>IF(AND(OR(Query!$B$4="All",'Compliance Database'!$A1779=Query!$B$4),OR(Query!$B$5="All",ISNUMBER(SEARCH(Query!$B$5,'Compliance Database'!$H1779))),OR(Query!$B$6="All",ISNUMBER(SEARCH(Query!$B$6,'Compliance Database'!$I1779))),OR(Query!$B$7="All",'Compliance Database'!$F1779=Query!$B$7),OR(Query!$B$8="All",'Compliance Database'!$J1779=Query!$B$8),OR(Query!$B$9="",ISNUMBER(SEARCH(Query!$B$9,'Compliance Database'!$D1779&amp;" "&amp;'Compliance Database'!$K1779&amp;" "&amp;'Compliance Database'!$L1779&amp;" "&amp;'Compliance Database'!$M1779&amp;" "&amp;'Compliance Database'!$N1779&amp;" "&amp;'Compliance Database'!$O1779))),OR(Query!$B$10&lt;&gt;"Yes",'Compliance Database'!$F1779&lt;&gt;"None")),1,0)</f>
        <v/>
      </c>
      <c r="B1779">
        <f>IF($A1779=1,SUM($A$2:$A1779),"")</f>
        <v/>
      </c>
      <c r="C1779">
        <f>IF($A1779=1,SUM($A$2:$A1779),0)</f>
        <v/>
      </c>
    </row>
    <row r="1780">
      <c r="A1780">
        <f>IF(AND(OR(Query!$B$4="All",'Compliance Database'!$A1780=Query!$B$4),OR(Query!$B$5="All",ISNUMBER(SEARCH(Query!$B$5,'Compliance Database'!$H1780))),OR(Query!$B$6="All",ISNUMBER(SEARCH(Query!$B$6,'Compliance Database'!$I1780))),OR(Query!$B$7="All",'Compliance Database'!$F1780=Query!$B$7),OR(Query!$B$8="All",'Compliance Database'!$J1780=Query!$B$8),OR(Query!$B$9="",ISNUMBER(SEARCH(Query!$B$9,'Compliance Database'!$D1780&amp;" "&amp;'Compliance Database'!$K1780&amp;" "&amp;'Compliance Database'!$L1780&amp;" "&amp;'Compliance Database'!$M1780&amp;" "&amp;'Compliance Database'!$N1780&amp;" "&amp;'Compliance Database'!$O1780))),OR(Query!$B$10&lt;&gt;"Yes",'Compliance Database'!$F1780&lt;&gt;"None")),1,0)</f>
        <v/>
      </c>
      <c r="B1780">
        <f>IF($A1780=1,SUM($A$2:$A1780),"")</f>
        <v/>
      </c>
      <c r="C1780">
        <f>IF($A1780=1,SUM($A$2:$A1780),0)</f>
        <v/>
      </c>
    </row>
    <row r="1781">
      <c r="A1781">
        <f>IF(AND(OR(Query!$B$4="All",'Compliance Database'!$A1781=Query!$B$4),OR(Query!$B$5="All",ISNUMBER(SEARCH(Query!$B$5,'Compliance Database'!$H1781))),OR(Query!$B$6="All",ISNUMBER(SEARCH(Query!$B$6,'Compliance Database'!$I1781))),OR(Query!$B$7="All",'Compliance Database'!$F1781=Query!$B$7),OR(Query!$B$8="All",'Compliance Database'!$J1781=Query!$B$8),OR(Query!$B$9="",ISNUMBER(SEARCH(Query!$B$9,'Compliance Database'!$D1781&amp;" "&amp;'Compliance Database'!$K1781&amp;" "&amp;'Compliance Database'!$L1781&amp;" "&amp;'Compliance Database'!$M1781&amp;" "&amp;'Compliance Database'!$N1781&amp;" "&amp;'Compliance Database'!$O1781))),OR(Query!$B$10&lt;&gt;"Yes",'Compliance Database'!$F1781&lt;&gt;"None")),1,0)</f>
        <v/>
      </c>
      <c r="B1781">
        <f>IF($A1781=1,SUM($A$2:$A1781),"")</f>
        <v/>
      </c>
      <c r="C1781">
        <f>IF($A1781=1,SUM($A$2:$A1781),0)</f>
        <v/>
      </c>
    </row>
    <row r="1782">
      <c r="A1782">
        <f>IF(AND(OR(Query!$B$4="All",'Compliance Database'!$A1782=Query!$B$4),OR(Query!$B$5="All",ISNUMBER(SEARCH(Query!$B$5,'Compliance Database'!$H1782))),OR(Query!$B$6="All",ISNUMBER(SEARCH(Query!$B$6,'Compliance Database'!$I1782))),OR(Query!$B$7="All",'Compliance Database'!$F1782=Query!$B$7),OR(Query!$B$8="All",'Compliance Database'!$J1782=Query!$B$8),OR(Query!$B$9="",ISNUMBER(SEARCH(Query!$B$9,'Compliance Database'!$D1782&amp;" "&amp;'Compliance Database'!$K1782&amp;" "&amp;'Compliance Database'!$L1782&amp;" "&amp;'Compliance Database'!$M1782&amp;" "&amp;'Compliance Database'!$N1782&amp;" "&amp;'Compliance Database'!$O1782))),OR(Query!$B$10&lt;&gt;"Yes",'Compliance Database'!$F1782&lt;&gt;"None")),1,0)</f>
        <v/>
      </c>
      <c r="B1782">
        <f>IF($A1782=1,SUM($A$2:$A1782),"")</f>
        <v/>
      </c>
      <c r="C1782">
        <f>IF($A1782=1,SUM($A$2:$A1782),0)</f>
        <v/>
      </c>
    </row>
    <row r="1783">
      <c r="A1783">
        <f>IF(AND(OR(Query!$B$4="All",'Compliance Database'!$A1783=Query!$B$4),OR(Query!$B$5="All",ISNUMBER(SEARCH(Query!$B$5,'Compliance Database'!$H1783))),OR(Query!$B$6="All",ISNUMBER(SEARCH(Query!$B$6,'Compliance Database'!$I1783))),OR(Query!$B$7="All",'Compliance Database'!$F1783=Query!$B$7),OR(Query!$B$8="All",'Compliance Database'!$J1783=Query!$B$8),OR(Query!$B$9="",ISNUMBER(SEARCH(Query!$B$9,'Compliance Database'!$D1783&amp;" "&amp;'Compliance Database'!$K1783&amp;" "&amp;'Compliance Database'!$L1783&amp;" "&amp;'Compliance Database'!$M1783&amp;" "&amp;'Compliance Database'!$N1783&amp;" "&amp;'Compliance Database'!$O1783))),OR(Query!$B$10&lt;&gt;"Yes",'Compliance Database'!$F1783&lt;&gt;"None")),1,0)</f>
        <v/>
      </c>
      <c r="B1783">
        <f>IF($A1783=1,SUM($A$2:$A1783),"")</f>
        <v/>
      </c>
      <c r="C1783">
        <f>IF($A1783=1,SUM($A$2:$A1783),0)</f>
        <v/>
      </c>
    </row>
    <row r="1784">
      <c r="A1784">
        <f>IF(AND(OR(Query!$B$4="All",'Compliance Database'!$A1784=Query!$B$4),OR(Query!$B$5="All",ISNUMBER(SEARCH(Query!$B$5,'Compliance Database'!$H1784))),OR(Query!$B$6="All",ISNUMBER(SEARCH(Query!$B$6,'Compliance Database'!$I1784))),OR(Query!$B$7="All",'Compliance Database'!$F1784=Query!$B$7),OR(Query!$B$8="All",'Compliance Database'!$J1784=Query!$B$8),OR(Query!$B$9="",ISNUMBER(SEARCH(Query!$B$9,'Compliance Database'!$D1784&amp;" "&amp;'Compliance Database'!$K1784&amp;" "&amp;'Compliance Database'!$L1784&amp;" "&amp;'Compliance Database'!$M1784&amp;" "&amp;'Compliance Database'!$N1784&amp;" "&amp;'Compliance Database'!$O1784))),OR(Query!$B$10&lt;&gt;"Yes",'Compliance Database'!$F1784&lt;&gt;"None")),1,0)</f>
        <v/>
      </c>
      <c r="B1784">
        <f>IF($A1784=1,SUM($A$2:$A1784),"")</f>
        <v/>
      </c>
      <c r="C1784">
        <f>IF($A1784=1,SUM($A$2:$A1784),0)</f>
        <v/>
      </c>
    </row>
    <row r="1785">
      <c r="A1785">
        <f>IF(AND(OR(Query!$B$4="All",'Compliance Database'!$A1785=Query!$B$4),OR(Query!$B$5="All",ISNUMBER(SEARCH(Query!$B$5,'Compliance Database'!$H1785))),OR(Query!$B$6="All",ISNUMBER(SEARCH(Query!$B$6,'Compliance Database'!$I1785))),OR(Query!$B$7="All",'Compliance Database'!$F1785=Query!$B$7),OR(Query!$B$8="All",'Compliance Database'!$J1785=Query!$B$8),OR(Query!$B$9="",ISNUMBER(SEARCH(Query!$B$9,'Compliance Database'!$D1785&amp;" "&amp;'Compliance Database'!$K1785&amp;" "&amp;'Compliance Database'!$L1785&amp;" "&amp;'Compliance Database'!$M1785&amp;" "&amp;'Compliance Database'!$N1785&amp;" "&amp;'Compliance Database'!$O1785))),OR(Query!$B$10&lt;&gt;"Yes",'Compliance Database'!$F1785&lt;&gt;"None")),1,0)</f>
        <v/>
      </c>
      <c r="B1785">
        <f>IF($A1785=1,SUM($A$2:$A1785),"")</f>
        <v/>
      </c>
      <c r="C1785">
        <f>IF($A1785=1,SUM($A$2:$A1785),0)</f>
        <v/>
      </c>
    </row>
    <row r="1786">
      <c r="A1786">
        <f>IF(AND(OR(Query!$B$4="All",'Compliance Database'!$A1786=Query!$B$4),OR(Query!$B$5="All",ISNUMBER(SEARCH(Query!$B$5,'Compliance Database'!$H1786))),OR(Query!$B$6="All",ISNUMBER(SEARCH(Query!$B$6,'Compliance Database'!$I1786))),OR(Query!$B$7="All",'Compliance Database'!$F1786=Query!$B$7),OR(Query!$B$8="All",'Compliance Database'!$J1786=Query!$B$8),OR(Query!$B$9="",ISNUMBER(SEARCH(Query!$B$9,'Compliance Database'!$D1786&amp;" "&amp;'Compliance Database'!$K1786&amp;" "&amp;'Compliance Database'!$L1786&amp;" "&amp;'Compliance Database'!$M1786&amp;" "&amp;'Compliance Database'!$N1786&amp;" "&amp;'Compliance Database'!$O1786))),OR(Query!$B$10&lt;&gt;"Yes",'Compliance Database'!$F1786&lt;&gt;"None")),1,0)</f>
        <v/>
      </c>
      <c r="B1786">
        <f>IF($A1786=1,SUM($A$2:$A1786),"")</f>
        <v/>
      </c>
      <c r="C1786">
        <f>IF($A1786=1,SUM($A$2:$A1786),0)</f>
        <v/>
      </c>
    </row>
    <row r="1787">
      <c r="A1787">
        <f>IF(AND(OR(Query!$B$4="All",'Compliance Database'!$A1787=Query!$B$4),OR(Query!$B$5="All",ISNUMBER(SEARCH(Query!$B$5,'Compliance Database'!$H1787))),OR(Query!$B$6="All",ISNUMBER(SEARCH(Query!$B$6,'Compliance Database'!$I1787))),OR(Query!$B$7="All",'Compliance Database'!$F1787=Query!$B$7),OR(Query!$B$8="All",'Compliance Database'!$J1787=Query!$B$8),OR(Query!$B$9="",ISNUMBER(SEARCH(Query!$B$9,'Compliance Database'!$D1787&amp;" "&amp;'Compliance Database'!$K1787&amp;" "&amp;'Compliance Database'!$L1787&amp;" "&amp;'Compliance Database'!$M1787&amp;" "&amp;'Compliance Database'!$N1787&amp;" "&amp;'Compliance Database'!$O1787))),OR(Query!$B$10&lt;&gt;"Yes",'Compliance Database'!$F1787&lt;&gt;"None")),1,0)</f>
        <v/>
      </c>
      <c r="B1787">
        <f>IF($A1787=1,SUM($A$2:$A1787),"")</f>
        <v/>
      </c>
      <c r="C1787">
        <f>IF($A1787=1,SUM($A$2:$A1787),0)</f>
        <v/>
      </c>
    </row>
    <row r="1788">
      <c r="A1788">
        <f>IF(AND(OR(Query!$B$4="All",'Compliance Database'!$A1788=Query!$B$4),OR(Query!$B$5="All",ISNUMBER(SEARCH(Query!$B$5,'Compliance Database'!$H1788))),OR(Query!$B$6="All",ISNUMBER(SEARCH(Query!$B$6,'Compliance Database'!$I1788))),OR(Query!$B$7="All",'Compliance Database'!$F1788=Query!$B$7),OR(Query!$B$8="All",'Compliance Database'!$J1788=Query!$B$8),OR(Query!$B$9="",ISNUMBER(SEARCH(Query!$B$9,'Compliance Database'!$D1788&amp;" "&amp;'Compliance Database'!$K1788&amp;" "&amp;'Compliance Database'!$L1788&amp;" "&amp;'Compliance Database'!$M1788&amp;" "&amp;'Compliance Database'!$N1788&amp;" "&amp;'Compliance Database'!$O1788))),OR(Query!$B$10&lt;&gt;"Yes",'Compliance Database'!$F1788&lt;&gt;"None")),1,0)</f>
        <v/>
      </c>
      <c r="B1788">
        <f>IF($A1788=1,SUM($A$2:$A1788),"")</f>
        <v/>
      </c>
      <c r="C1788">
        <f>IF($A1788=1,SUM($A$2:$A1788),0)</f>
        <v/>
      </c>
    </row>
    <row r="1789">
      <c r="A1789">
        <f>IF(AND(OR(Query!$B$4="All",'Compliance Database'!$A1789=Query!$B$4),OR(Query!$B$5="All",ISNUMBER(SEARCH(Query!$B$5,'Compliance Database'!$H1789))),OR(Query!$B$6="All",ISNUMBER(SEARCH(Query!$B$6,'Compliance Database'!$I1789))),OR(Query!$B$7="All",'Compliance Database'!$F1789=Query!$B$7),OR(Query!$B$8="All",'Compliance Database'!$J1789=Query!$B$8),OR(Query!$B$9="",ISNUMBER(SEARCH(Query!$B$9,'Compliance Database'!$D1789&amp;" "&amp;'Compliance Database'!$K1789&amp;" "&amp;'Compliance Database'!$L1789&amp;" "&amp;'Compliance Database'!$M1789&amp;" "&amp;'Compliance Database'!$N1789&amp;" "&amp;'Compliance Database'!$O1789))),OR(Query!$B$10&lt;&gt;"Yes",'Compliance Database'!$F1789&lt;&gt;"None")),1,0)</f>
        <v/>
      </c>
      <c r="B1789">
        <f>IF($A1789=1,SUM($A$2:$A1789),"")</f>
        <v/>
      </c>
      <c r="C1789">
        <f>IF($A1789=1,SUM($A$2:$A1789),0)</f>
        <v/>
      </c>
    </row>
    <row r="1790">
      <c r="A1790">
        <f>IF(AND(OR(Query!$B$4="All",'Compliance Database'!$A1790=Query!$B$4),OR(Query!$B$5="All",ISNUMBER(SEARCH(Query!$B$5,'Compliance Database'!$H1790))),OR(Query!$B$6="All",ISNUMBER(SEARCH(Query!$B$6,'Compliance Database'!$I1790))),OR(Query!$B$7="All",'Compliance Database'!$F1790=Query!$B$7),OR(Query!$B$8="All",'Compliance Database'!$J1790=Query!$B$8),OR(Query!$B$9="",ISNUMBER(SEARCH(Query!$B$9,'Compliance Database'!$D1790&amp;" "&amp;'Compliance Database'!$K1790&amp;" "&amp;'Compliance Database'!$L1790&amp;" "&amp;'Compliance Database'!$M1790&amp;" "&amp;'Compliance Database'!$N1790&amp;" "&amp;'Compliance Database'!$O1790))),OR(Query!$B$10&lt;&gt;"Yes",'Compliance Database'!$F1790&lt;&gt;"None")),1,0)</f>
        <v/>
      </c>
      <c r="B1790">
        <f>IF($A1790=1,SUM($A$2:$A1790),"")</f>
        <v/>
      </c>
      <c r="C1790">
        <f>IF($A1790=1,SUM($A$2:$A1790),0)</f>
        <v/>
      </c>
    </row>
    <row r="1791">
      <c r="A1791">
        <f>IF(AND(OR(Query!$B$4="All",'Compliance Database'!$A1791=Query!$B$4),OR(Query!$B$5="All",ISNUMBER(SEARCH(Query!$B$5,'Compliance Database'!$H1791))),OR(Query!$B$6="All",ISNUMBER(SEARCH(Query!$B$6,'Compliance Database'!$I1791))),OR(Query!$B$7="All",'Compliance Database'!$F1791=Query!$B$7),OR(Query!$B$8="All",'Compliance Database'!$J1791=Query!$B$8),OR(Query!$B$9="",ISNUMBER(SEARCH(Query!$B$9,'Compliance Database'!$D1791&amp;" "&amp;'Compliance Database'!$K1791&amp;" "&amp;'Compliance Database'!$L1791&amp;" "&amp;'Compliance Database'!$M1791&amp;" "&amp;'Compliance Database'!$N1791&amp;" "&amp;'Compliance Database'!$O1791))),OR(Query!$B$10&lt;&gt;"Yes",'Compliance Database'!$F1791&lt;&gt;"None")),1,0)</f>
        <v/>
      </c>
      <c r="B1791">
        <f>IF($A1791=1,SUM($A$2:$A1791),"")</f>
        <v/>
      </c>
      <c r="C1791">
        <f>IF($A1791=1,SUM($A$2:$A1791),0)</f>
        <v/>
      </c>
    </row>
    <row r="1792">
      <c r="A1792">
        <f>IF(AND(OR(Query!$B$4="All",'Compliance Database'!$A1792=Query!$B$4),OR(Query!$B$5="All",ISNUMBER(SEARCH(Query!$B$5,'Compliance Database'!$H1792))),OR(Query!$B$6="All",ISNUMBER(SEARCH(Query!$B$6,'Compliance Database'!$I1792))),OR(Query!$B$7="All",'Compliance Database'!$F1792=Query!$B$7),OR(Query!$B$8="All",'Compliance Database'!$J1792=Query!$B$8),OR(Query!$B$9="",ISNUMBER(SEARCH(Query!$B$9,'Compliance Database'!$D1792&amp;" "&amp;'Compliance Database'!$K1792&amp;" "&amp;'Compliance Database'!$L1792&amp;" "&amp;'Compliance Database'!$M1792&amp;" "&amp;'Compliance Database'!$N1792&amp;" "&amp;'Compliance Database'!$O1792))),OR(Query!$B$10&lt;&gt;"Yes",'Compliance Database'!$F1792&lt;&gt;"None")),1,0)</f>
        <v/>
      </c>
      <c r="B1792">
        <f>IF($A1792=1,SUM($A$2:$A1792),"")</f>
        <v/>
      </c>
      <c r="C1792">
        <f>IF($A1792=1,SUM($A$2:$A1792),0)</f>
        <v/>
      </c>
    </row>
    <row r="1793">
      <c r="A1793">
        <f>IF(AND(OR(Query!$B$4="All",'Compliance Database'!$A1793=Query!$B$4),OR(Query!$B$5="All",ISNUMBER(SEARCH(Query!$B$5,'Compliance Database'!$H1793))),OR(Query!$B$6="All",ISNUMBER(SEARCH(Query!$B$6,'Compliance Database'!$I1793))),OR(Query!$B$7="All",'Compliance Database'!$F1793=Query!$B$7),OR(Query!$B$8="All",'Compliance Database'!$J1793=Query!$B$8),OR(Query!$B$9="",ISNUMBER(SEARCH(Query!$B$9,'Compliance Database'!$D1793&amp;" "&amp;'Compliance Database'!$K1793&amp;" "&amp;'Compliance Database'!$L1793&amp;" "&amp;'Compliance Database'!$M1793&amp;" "&amp;'Compliance Database'!$N1793&amp;" "&amp;'Compliance Database'!$O1793))),OR(Query!$B$10&lt;&gt;"Yes",'Compliance Database'!$F1793&lt;&gt;"None")),1,0)</f>
        <v/>
      </c>
      <c r="B1793">
        <f>IF($A1793=1,SUM($A$2:$A1793),"")</f>
        <v/>
      </c>
      <c r="C1793">
        <f>IF($A1793=1,SUM($A$2:$A1793),0)</f>
        <v/>
      </c>
    </row>
    <row r="1794">
      <c r="A1794">
        <f>IF(AND(OR(Query!$B$4="All",'Compliance Database'!$A1794=Query!$B$4),OR(Query!$B$5="All",ISNUMBER(SEARCH(Query!$B$5,'Compliance Database'!$H1794))),OR(Query!$B$6="All",ISNUMBER(SEARCH(Query!$B$6,'Compliance Database'!$I1794))),OR(Query!$B$7="All",'Compliance Database'!$F1794=Query!$B$7),OR(Query!$B$8="All",'Compliance Database'!$J1794=Query!$B$8),OR(Query!$B$9="",ISNUMBER(SEARCH(Query!$B$9,'Compliance Database'!$D1794&amp;" "&amp;'Compliance Database'!$K1794&amp;" "&amp;'Compliance Database'!$L1794&amp;" "&amp;'Compliance Database'!$M1794&amp;" "&amp;'Compliance Database'!$N1794&amp;" "&amp;'Compliance Database'!$O1794))),OR(Query!$B$10&lt;&gt;"Yes",'Compliance Database'!$F1794&lt;&gt;"None")),1,0)</f>
        <v/>
      </c>
      <c r="B1794">
        <f>IF($A1794=1,SUM($A$2:$A1794),"")</f>
        <v/>
      </c>
      <c r="C1794">
        <f>IF($A1794=1,SUM($A$2:$A1794),0)</f>
        <v/>
      </c>
    </row>
    <row r="1795">
      <c r="A1795">
        <f>IF(AND(OR(Query!$B$4="All",'Compliance Database'!$A1795=Query!$B$4),OR(Query!$B$5="All",ISNUMBER(SEARCH(Query!$B$5,'Compliance Database'!$H1795))),OR(Query!$B$6="All",ISNUMBER(SEARCH(Query!$B$6,'Compliance Database'!$I1795))),OR(Query!$B$7="All",'Compliance Database'!$F1795=Query!$B$7),OR(Query!$B$8="All",'Compliance Database'!$J1795=Query!$B$8),OR(Query!$B$9="",ISNUMBER(SEARCH(Query!$B$9,'Compliance Database'!$D1795&amp;" "&amp;'Compliance Database'!$K1795&amp;" "&amp;'Compliance Database'!$L1795&amp;" "&amp;'Compliance Database'!$M1795&amp;" "&amp;'Compliance Database'!$N1795&amp;" "&amp;'Compliance Database'!$O1795))),OR(Query!$B$10&lt;&gt;"Yes",'Compliance Database'!$F1795&lt;&gt;"None")),1,0)</f>
        <v/>
      </c>
      <c r="B1795">
        <f>IF($A1795=1,SUM($A$2:$A1795),"")</f>
        <v/>
      </c>
      <c r="C1795">
        <f>IF($A1795=1,SUM($A$2:$A1795),0)</f>
        <v/>
      </c>
    </row>
    <row r="1796">
      <c r="A1796">
        <f>IF(AND(OR(Query!$B$4="All",'Compliance Database'!$A1796=Query!$B$4),OR(Query!$B$5="All",ISNUMBER(SEARCH(Query!$B$5,'Compliance Database'!$H1796))),OR(Query!$B$6="All",ISNUMBER(SEARCH(Query!$B$6,'Compliance Database'!$I1796))),OR(Query!$B$7="All",'Compliance Database'!$F1796=Query!$B$7),OR(Query!$B$8="All",'Compliance Database'!$J1796=Query!$B$8),OR(Query!$B$9="",ISNUMBER(SEARCH(Query!$B$9,'Compliance Database'!$D1796&amp;" "&amp;'Compliance Database'!$K1796&amp;" "&amp;'Compliance Database'!$L1796&amp;" "&amp;'Compliance Database'!$M1796&amp;" "&amp;'Compliance Database'!$N1796&amp;" "&amp;'Compliance Database'!$O1796))),OR(Query!$B$10&lt;&gt;"Yes",'Compliance Database'!$F1796&lt;&gt;"None")),1,0)</f>
        <v/>
      </c>
      <c r="B1796">
        <f>IF($A1796=1,SUM($A$2:$A1796),"")</f>
        <v/>
      </c>
      <c r="C1796">
        <f>IF($A1796=1,SUM($A$2:$A1796),0)</f>
        <v/>
      </c>
    </row>
    <row r="1797">
      <c r="A1797">
        <f>IF(AND(OR(Query!$B$4="All",'Compliance Database'!$A1797=Query!$B$4),OR(Query!$B$5="All",ISNUMBER(SEARCH(Query!$B$5,'Compliance Database'!$H1797))),OR(Query!$B$6="All",ISNUMBER(SEARCH(Query!$B$6,'Compliance Database'!$I1797))),OR(Query!$B$7="All",'Compliance Database'!$F1797=Query!$B$7),OR(Query!$B$8="All",'Compliance Database'!$J1797=Query!$B$8),OR(Query!$B$9="",ISNUMBER(SEARCH(Query!$B$9,'Compliance Database'!$D1797&amp;" "&amp;'Compliance Database'!$K1797&amp;" "&amp;'Compliance Database'!$L1797&amp;" "&amp;'Compliance Database'!$M1797&amp;" "&amp;'Compliance Database'!$N1797&amp;" "&amp;'Compliance Database'!$O1797))),OR(Query!$B$10&lt;&gt;"Yes",'Compliance Database'!$F1797&lt;&gt;"None")),1,0)</f>
        <v/>
      </c>
      <c r="B1797">
        <f>IF($A1797=1,SUM($A$2:$A1797),"")</f>
        <v/>
      </c>
      <c r="C1797">
        <f>IF($A1797=1,SUM($A$2:$A1797),0)</f>
        <v/>
      </c>
    </row>
    <row r="1798">
      <c r="A1798">
        <f>IF(AND(OR(Query!$B$4="All",'Compliance Database'!$A1798=Query!$B$4),OR(Query!$B$5="All",ISNUMBER(SEARCH(Query!$B$5,'Compliance Database'!$H1798))),OR(Query!$B$6="All",ISNUMBER(SEARCH(Query!$B$6,'Compliance Database'!$I1798))),OR(Query!$B$7="All",'Compliance Database'!$F1798=Query!$B$7),OR(Query!$B$8="All",'Compliance Database'!$J1798=Query!$B$8),OR(Query!$B$9="",ISNUMBER(SEARCH(Query!$B$9,'Compliance Database'!$D1798&amp;" "&amp;'Compliance Database'!$K1798&amp;" "&amp;'Compliance Database'!$L1798&amp;" "&amp;'Compliance Database'!$M1798&amp;" "&amp;'Compliance Database'!$N1798&amp;" "&amp;'Compliance Database'!$O1798))),OR(Query!$B$10&lt;&gt;"Yes",'Compliance Database'!$F1798&lt;&gt;"None")),1,0)</f>
        <v/>
      </c>
      <c r="B1798">
        <f>IF($A1798=1,SUM($A$2:$A1798),"")</f>
        <v/>
      </c>
      <c r="C1798">
        <f>IF($A1798=1,SUM($A$2:$A1798),0)</f>
        <v/>
      </c>
    </row>
    <row r="1799">
      <c r="A1799">
        <f>IF(AND(OR(Query!$B$4="All",'Compliance Database'!$A1799=Query!$B$4),OR(Query!$B$5="All",ISNUMBER(SEARCH(Query!$B$5,'Compliance Database'!$H1799))),OR(Query!$B$6="All",ISNUMBER(SEARCH(Query!$B$6,'Compliance Database'!$I1799))),OR(Query!$B$7="All",'Compliance Database'!$F1799=Query!$B$7),OR(Query!$B$8="All",'Compliance Database'!$J1799=Query!$B$8),OR(Query!$B$9="",ISNUMBER(SEARCH(Query!$B$9,'Compliance Database'!$D1799&amp;" "&amp;'Compliance Database'!$K1799&amp;" "&amp;'Compliance Database'!$L1799&amp;" "&amp;'Compliance Database'!$M1799&amp;" "&amp;'Compliance Database'!$N1799&amp;" "&amp;'Compliance Database'!$O1799))),OR(Query!$B$10&lt;&gt;"Yes",'Compliance Database'!$F1799&lt;&gt;"None")),1,0)</f>
        <v/>
      </c>
      <c r="B1799">
        <f>IF($A1799=1,SUM($A$2:$A1799),"")</f>
        <v/>
      </c>
      <c r="C1799">
        <f>IF($A1799=1,SUM($A$2:$A1799),0)</f>
        <v/>
      </c>
    </row>
    <row r="1800">
      <c r="A1800">
        <f>IF(AND(OR(Query!$B$4="All",'Compliance Database'!$A1800=Query!$B$4),OR(Query!$B$5="All",ISNUMBER(SEARCH(Query!$B$5,'Compliance Database'!$H1800))),OR(Query!$B$6="All",ISNUMBER(SEARCH(Query!$B$6,'Compliance Database'!$I1800))),OR(Query!$B$7="All",'Compliance Database'!$F1800=Query!$B$7),OR(Query!$B$8="All",'Compliance Database'!$J1800=Query!$B$8),OR(Query!$B$9="",ISNUMBER(SEARCH(Query!$B$9,'Compliance Database'!$D1800&amp;" "&amp;'Compliance Database'!$K1800&amp;" "&amp;'Compliance Database'!$L1800&amp;" "&amp;'Compliance Database'!$M1800&amp;" "&amp;'Compliance Database'!$N1800&amp;" "&amp;'Compliance Database'!$O1800))),OR(Query!$B$10&lt;&gt;"Yes",'Compliance Database'!$F1800&lt;&gt;"None")),1,0)</f>
        <v/>
      </c>
      <c r="B1800">
        <f>IF($A1800=1,SUM($A$2:$A1800),"")</f>
        <v/>
      </c>
      <c r="C1800">
        <f>IF($A1800=1,SUM($A$2:$A1800),0)</f>
        <v/>
      </c>
    </row>
    <row r="1801">
      <c r="A1801">
        <f>IF(AND(OR(Query!$B$4="All",'Compliance Database'!$A1801=Query!$B$4),OR(Query!$B$5="All",ISNUMBER(SEARCH(Query!$B$5,'Compliance Database'!$H1801))),OR(Query!$B$6="All",ISNUMBER(SEARCH(Query!$B$6,'Compliance Database'!$I1801))),OR(Query!$B$7="All",'Compliance Database'!$F1801=Query!$B$7),OR(Query!$B$8="All",'Compliance Database'!$J1801=Query!$B$8),OR(Query!$B$9="",ISNUMBER(SEARCH(Query!$B$9,'Compliance Database'!$D1801&amp;" "&amp;'Compliance Database'!$K1801&amp;" "&amp;'Compliance Database'!$L1801&amp;" "&amp;'Compliance Database'!$M1801&amp;" "&amp;'Compliance Database'!$N1801&amp;" "&amp;'Compliance Database'!$O1801))),OR(Query!$B$10&lt;&gt;"Yes",'Compliance Database'!$F1801&lt;&gt;"None")),1,0)</f>
        <v/>
      </c>
      <c r="B1801">
        <f>IF($A1801=1,SUM($A$2:$A1801),"")</f>
        <v/>
      </c>
      <c r="C1801">
        <f>IF($A1801=1,SUM($A$2:$A1801),0)</f>
        <v/>
      </c>
    </row>
    <row r="1802">
      <c r="A1802">
        <f>IF(AND(OR(Query!$B$4="All",'Compliance Database'!$A1802=Query!$B$4),OR(Query!$B$5="All",ISNUMBER(SEARCH(Query!$B$5,'Compliance Database'!$H1802))),OR(Query!$B$6="All",ISNUMBER(SEARCH(Query!$B$6,'Compliance Database'!$I1802))),OR(Query!$B$7="All",'Compliance Database'!$F1802=Query!$B$7),OR(Query!$B$8="All",'Compliance Database'!$J1802=Query!$B$8),OR(Query!$B$9="",ISNUMBER(SEARCH(Query!$B$9,'Compliance Database'!$D1802&amp;" "&amp;'Compliance Database'!$K1802&amp;" "&amp;'Compliance Database'!$L1802&amp;" "&amp;'Compliance Database'!$M1802&amp;" "&amp;'Compliance Database'!$N1802&amp;" "&amp;'Compliance Database'!$O1802))),OR(Query!$B$10&lt;&gt;"Yes",'Compliance Database'!$F1802&lt;&gt;"None")),1,0)</f>
        <v/>
      </c>
      <c r="B1802">
        <f>IF($A1802=1,SUM($A$2:$A1802),"")</f>
        <v/>
      </c>
      <c r="C1802">
        <f>IF($A1802=1,SUM($A$2:$A1802),0)</f>
        <v/>
      </c>
    </row>
    <row r="1803">
      <c r="A1803">
        <f>IF(AND(OR(Query!$B$4="All",'Compliance Database'!$A1803=Query!$B$4),OR(Query!$B$5="All",ISNUMBER(SEARCH(Query!$B$5,'Compliance Database'!$H1803))),OR(Query!$B$6="All",ISNUMBER(SEARCH(Query!$B$6,'Compliance Database'!$I1803))),OR(Query!$B$7="All",'Compliance Database'!$F1803=Query!$B$7),OR(Query!$B$8="All",'Compliance Database'!$J1803=Query!$B$8),OR(Query!$B$9="",ISNUMBER(SEARCH(Query!$B$9,'Compliance Database'!$D1803&amp;" "&amp;'Compliance Database'!$K1803&amp;" "&amp;'Compliance Database'!$L1803&amp;" "&amp;'Compliance Database'!$M1803&amp;" "&amp;'Compliance Database'!$N1803&amp;" "&amp;'Compliance Database'!$O1803))),OR(Query!$B$10&lt;&gt;"Yes",'Compliance Database'!$F1803&lt;&gt;"None")),1,0)</f>
        <v/>
      </c>
      <c r="B1803">
        <f>IF($A1803=1,SUM($A$2:$A1803),"")</f>
        <v/>
      </c>
      <c r="C1803">
        <f>IF($A1803=1,SUM($A$2:$A1803),0)</f>
        <v/>
      </c>
    </row>
    <row r="1804">
      <c r="A1804">
        <f>IF(AND(OR(Query!$B$4="All",'Compliance Database'!$A1804=Query!$B$4),OR(Query!$B$5="All",ISNUMBER(SEARCH(Query!$B$5,'Compliance Database'!$H1804))),OR(Query!$B$6="All",ISNUMBER(SEARCH(Query!$B$6,'Compliance Database'!$I1804))),OR(Query!$B$7="All",'Compliance Database'!$F1804=Query!$B$7),OR(Query!$B$8="All",'Compliance Database'!$J1804=Query!$B$8),OR(Query!$B$9="",ISNUMBER(SEARCH(Query!$B$9,'Compliance Database'!$D1804&amp;" "&amp;'Compliance Database'!$K1804&amp;" "&amp;'Compliance Database'!$L1804&amp;" "&amp;'Compliance Database'!$M1804&amp;" "&amp;'Compliance Database'!$N1804&amp;" "&amp;'Compliance Database'!$O1804))),OR(Query!$B$10&lt;&gt;"Yes",'Compliance Database'!$F1804&lt;&gt;"None")),1,0)</f>
        <v/>
      </c>
      <c r="B1804">
        <f>IF($A1804=1,SUM($A$2:$A1804),"")</f>
        <v/>
      </c>
      <c r="C1804">
        <f>IF($A1804=1,SUM($A$2:$A1804),0)</f>
        <v/>
      </c>
    </row>
    <row r="1805">
      <c r="A1805">
        <f>IF(AND(OR(Query!$B$4="All",'Compliance Database'!$A1805=Query!$B$4),OR(Query!$B$5="All",ISNUMBER(SEARCH(Query!$B$5,'Compliance Database'!$H1805))),OR(Query!$B$6="All",ISNUMBER(SEARCH(Query!$B$6,'Compliance Database'!$I1805))),OR(Query!$B$7="All",'Compliance Database'!$F1805=Query!$B$7),OR(Query!$B$8="All",'Compliance Database'!$J1805=Query!$B$8),OR(Query!$B$9="",ISNUMBER(SEARCH(Query!$B$9,'Compliance Database'!$D1805&amp;" "&amp;'Compliance Database'!$K1805&amp;" "&amp;'Compliance Database'!$L1805&amp;" "&amp;'Compliance Database'!$M1805&amp;" "&amp;'Compliance Database'!$N1805&amp;" "&amp;'Compliance Database'!$O1805))),OR(Query!$B$10&lt;&gt;"Yes",'Compliance Database'!$F1805&lt;&gt;"None")),1,0)</f>
        <v/>
      </c>
      <c r="B1805">
        <f>IF($A1805=1,SUM($A$2:$A1805),"")</f>
        <v/>
      </c>
      <c r="C1805">
        <f>IF($A1805=1,SUM($A$2:$A1805),0)</f>
        <v/>
      </c>
    </row>
    <row r="1806">
      <c r="A1806">
        <f>IF(AND(OR(Query!$B$4="All",'Compliance Database'!$A1806=Query!$B$4),OR(Query!$B$5="All",ISNUMBER(SEARCH(Query!$B$5,'Compliance Database'!$H1806))),OR(Query!$B$6="All",ISNUMBER(SEARCH(Query!$B$6,'Compliance Database'!$I1806))),OR(Query!$B$7="All",'Compliance Database'!$F1806=Query!$B$7),OR(Query!$B$8="All",'Compliance Database'!$J1806=Query!$B$8),OR(Query!$B$9="",ISNUMBER(SEARCH(Query!$B$9,'Compliance Database'!$D1806&amp;" "&amp;'Compliance Database'!$K1806&amp;" "&amp;'Compliance Database'!$L1806&amp;" "&amp;'Compliance Database'!$M1806&amp;" "&amp;'Compliance Database'!$N1806&amp;" "&amp;'Compliance Database'!$O1806))),OR(Query!$B$10&lt;&gt;"Yes",'Compliance Database'!$F1806&lt;&gt;"None")),1,0)</f>
        <v/>
      </c>
      <c r="B1806">
        <f>IF($A1806=1,SUM($A$2:$A1806),"")</f>
        <v/>
      </c>
      <c r="C1806">
        <f>IF($A1806=1,SUM($A$2:$A1806),0)</f>
        <v/>
      </c>
    </row>
    <row r="1807">
      <c r="A1807">
        <f>IF(AND(OR(Query!$B$4="All",'Compliance Database'!$A1807=Query!$B$4),OR(Query!$B$5="All",ISNUMBER(SEARCH(Query!$B$5,'Compliance Database'!$H1807))),OR(Query!$B$6="All",ISNUMBER(SEARCH(Query!$B$6,'Compliance Database'!$I1807))),OR(Query!$B$7="All",'Compliance Database'!$F1807=Query!$B$7),OR(Query!$B$8="All",'Compliance Database'!$J1807=Query!$B$8),OR(Query!$B$9="",ISNUMBER(SEARCH(Query!$B$9,'Compliance Database'!$D1807&amp;" "&amp;'Compliance Database'!$K1807&amp;" "&amp;'Compliance Database'!$L1807&amp;" "&amp;'Compliance Database'!$M1807&amp;" "&amp;'Compliance Database'!$N1807&amp;" "&amp;'Compliance Database'!$O1807))),OR(Query!$B$10&lt;&gt;"Yes",'Compliance Database'!$F1807&lt;&gt;"None")),1,0)</f>
        <v/>
      </c>
      <c r="B1807">
        <f>IF($A1807=1,SUM($A$2:$A1807),"")</f>
        <v/>
      </c>
      <c r="C1807">
        <f>IF($A1807=1,SUM($A$2:$A1807),0)</f>
        <v/>
      </c>
    </row>
    <row r="1808">
      <c r="A1808">
        <f>IF(AND(OR(Query!$B$4="All",'Compliance Database'!$A1808=Query!$B$4),OR(Query!$B$5="All",ISNUMBER(SEARCH(Query!$B$5,'Compliance Database'!$H1808))),OR(Query!$B$6="All",ISNUMBER(SEARCH(Query!$B$6,'Compliance Database'!$I1808))),OR(Query!$B$7="All",'Compliance Database'!$F1808=Query!$B$7),OR(Query!$B$8="All",'Compliance Database'!$J1808=Query!$B$8),OR(Query!$B$9="",ISNUMBER(SEARCH(Query!$B$9,'Compliance Database'!$D1808&amp;" "&amp;'Compliance Database'!$K1808&amp;" "&amp;'Compliance Database'!$L1808&amp;" "&amp;'Compliance Database'!$M1808&amp;" "&amp;'Compliance Database'!$N1808&amp;" "&amp;'Compliance Database'!$O1808))),OR(Query!$B$10&lt;&gt;"Yes",'Compliance Database'!$F1808&lt;&gt;"None")),1,0)</f>
        <v/>
      </c>
      <c r="B1808">
        <f>IF($A1808=1,SUM($A$2:$A1808),"")</f>
        <v/>
      </c>
      <c r="C1808">
        <f>IF($A1808=1,SUM($A$2:$A1808),0)</f>
        <v/>
      </c>
    </row>
    <row r="1809">
      <c r="A1809">
        <f>IF(AND(OR(Query!$B$4="All",'Compliance Database'!$A1809=Query!$B$4),OR(Query!$B$5="All",ISNUMBER(SEARCH(Query!$B$5,'Compliance Database'!$H1809))),OR(Query!$B$6="All",ISNUMBER(SEARCH(Query!$B$6,'Compliance Database'!$I1809))),OR(Query!$B$7="All",'Compliance Database'!$F1809=Query!$B$7),OR(Query!$B$8="All",'Compliance Database'!$J1809=Query!$B$8),OR(Query!$B$9="",ISNUMBER(SEARCH(Query!$B$9,'Compliance Database'!$D1809&amp;" "&amp;'Compliance Database'!$K1809&amp;" "&amp;'Compliance Database'!$L1809&amp;" "&amp;'Compliance Database'!$M1809&amp;" "&amp;'Compliance Database'!$N1809&amp;" "&amp;'Compliance Database'!$O1809))),OR(Query!$B$10&lt;&gt;"Yes",'Compliance Database'!$F1809&lt;&gt;"None")),1,0)</f>
        <v/>
      </c>
      <c r="B1809">
        <f>IF($A1809=1,SUM($A$2:$A1809),"")</f>
        <v/>
      </c>
      <c r="C1809">
        <f>IF($A1809=1,SUM($A$2:$A1809),0)</f>
        <v/>
      </c>
    </row>
    <row r="1810">
      <c r="A1810">
        <f>IF(AND(OR(Query!$B$4="All",'Compliance Database'!$A1810=Query!$B$4),OR(Query!$B$5="All",ISNUMBER(SEARCH(Query!$B$5,'Compliance Database'!$H1810))),OR(Query!$B$6="All",ISNUMBER(SEARCH(Query!$B$6,'Compliance Database'!$I1810))),OR(Query!$B$7="All",'Compliance Database'!$F1810=Query!$B$7),OR(Query!$B$8="All",'Compliance Database'!$J1810=Query!$B$8),OR(Query!$B$9="",ISNUMBER(SEARCH(Query!$B$9,'Compliance Database'!$D1810&amp;" "&amp;'Compliance Database'!$K1810&amp;" "&amp;'Compliance Database'!$L1810&amp;" "&amp;'Compliance Database'!$M1810&amp;" "&amp;'Compliance Database'!$N1810&amp;" "&amp;'Compliance Database'!$O1810))),OR(Query!$B$10&lt;&gt;"Yes",'Compliance Database'!$F1810&lt;&gt;"None")),1,0)</f>
        <v/>
      </c>
      <c r="B1810">
        <f>IF($A1810=1,SUM($A$2:$A1810),"")</f>
        <v/>
      </c>
      <c r="C1810">
        <f>IF($A1810=1,SUM($A$2:$A1810),0)</f>
        <v/>
      </c>
    </row>
    <row r="1811">
      <c r="A1811">
        <f>IF(AND(OR(Query!$B$4="All",'Compliance Database'!$A1811=Query!$B$4),OR(Query!$B$5="All",ISNUMBER(SEARCH(Query!$B$5,'Compliance Database'!$H1811))),OR(Query!$B$6="All",ISNUMBER(SEARCH(Query!$B$6,'Compliance Database'!$I1811))),OR(Query!$B$7="All",'Compliance Database'!$F1811=Query!$B$7),OR(Query!$B$8="All",'Compliance Database'!$J1811=Query!$B$8),OR(Query!$B$9="",ISNUMBER(SEARCH(Query!$B$9,'Compliance Database'!$D1811&amp;" "&amp;'Compliance Database'!$K1811&amp;" "&amp;'Compliance Database'!$L1811&amp;" "&amp;'Compliance Database'!$M1811&amp;" "&amp;'Compliance Database'!$N1811&amp;" "&amp;'Compliance Database'!$O1811))),OR(Query!$B$10&lt;&gt;"Yes",'Compliance Database'!$F1811&lt;&gt;"None")),1,0)</f>
        <v/>
      </c>
      <c r="B1811">
        <f>IF($A1811=1,SUM($A$2:$A1811),"")</f>
        <v/>
      </c>
      <c r="C1811">
        <f>IF($A1811=1,SUM($A$2:$A1811),0)</f>
        <v/>
      </c>
    </row>
    <row r="1812">
      <c r="A1812">
        <f>IF(AND(OR(Query!$B$4="All",'Compliance Database'!$A1812=Query!$B$4),OR(Query!$B$5="All",ISNUMBER(SEARCH(Query!$B$5,'Compliance Database'!$H1812))),OR(Query!$B$6="All",ISNUMBER(SEARCH(Query!$B$6,'Compliance Database'!$I1812))),OR(Query!$B$7="All",'Compliance Database'!$F1812=Query!$B$7),OR(Query!$B$8="All",'Compliance Database'!$J1812=Query!$B$8),OR(Query!$B$9="",ISNUMBER(SEARCH(Query!$B$9,'Compliance Database'!$D1812&amp;" "&amp;'Compliance Database'!$K1812&amp;" "&amp;'Compliance Database'!$L1812&amp;" "&amp;'Compliance Database'!$M1812&amp;" "&amp;'Compliance Database'!$N1812&amp;" "&amp;'Compliance Database'!$O1812))),OR(Query!$B$10&lt;&gt;"Yes",'Compliance Database'!$F1812&lt;&gt;"None")),1,0)</f>
        <v/>
      </c>
      <c r="B1812">
        <f>IF($A1812=1,SUM($A$2:$A1812),"")</f>
        <v/>
      </c>
      <c r="C1812">
        <f>IF($A1812=1,SUM($A$2:$A1812),0)</f>
        <v/>
      </c>
    </row>
    <row r="1813">
      <c r="A1813">
        <f>IF(AND(OR(Query!$B$4="All",'Compliance Database'!$A1813=Query!$B$4),OR(Query!$B$5="All",ISNUMBER(SEARCH(Query!$B$5,'Compliance Database'!$H1813))),OR(Query!$B$6="All",ISNUMBER(SEARCH(Query!$B$6,'Compliance Database'!$I1813))),OR(Query!$B$7="All",'Compliance Database'!$F1813=Query!$B$7),OR(Query!$B$8="All",'Compliance Database'!$J1813=Query!$B$8),OR(Query!$B$9="",ISNUMBER(SEARCH(Query!$B$9,'Compliance Database'!$D1813&amp;" "&amp;'Compliance Database'!$K1813&amp;" "&amp;'Compliance Database'!$L1813&amp;" "&amp;'Compliance Database'!$M1813&amp;" "&amp;'Compliance Database'!$N1813&amp;" "&amp;'Compliance Database'!$O1813))),OR(Query!$B$10&lt;&gt;"Yes",'Compliance Database'!$F1813&lt;&gt;"None")),1,0)</f>
        <v/>
      </c>
      <c r="B1813">
        <f>IF($A1813=1,SUM($A$2:$A1813),"")</f>
        <v/>
      </c>
      <c r="C1813">
        <f>IF($A1813=1,SUM($A$2:$A1813),0)</f>
        <v/>
      </c>
    </row>
    <row r="1814">
      <c r="A1814">
        <f>IF(AND(OR(Query!$B$4="All",'Compliance Database'!$A1814=Query!$B$4),OR(Query!$B$5="All",ISNUMBER(SEARCH(Query!$B$5,'Compliance Database'!$H1814))),OR(Query!$B$6="All",ISNUMBER(SEARCH(Query!$B$6,'Compliance Database'!$I1814))),OR(Query!$B$7="All",'Compliance Database'!$F1814=Query!$B$7),OR(Query!$B$8="All",'Compliance Database'!$J1814=Query!$B$8),OR(Query!$B$9="",ISNUMBER(SEARCH(Query!$B$9,'Compliance Database'!$D1814&amp;" "&amp;'Compliance Database'!$K1814&amp;" "&amp;'Compliance Database'!$L1814&amp;" "&amp;'Compliance Database'!$M1814&amp;" "&amp;'Compliance Database'!$N1814&amp;" "&amp;'Compliance Database'!$O1814))),OR(Query!$B$10&lt;&gt;"Yes",'Compliance Database'!$F1814&lt;&gt;"None")),1,0)</f>
        <v/>
      </c>
      <c r="B1814">
        <f>IF($A1814=1,SUM($A$2:$A1814),"")</f>
        <v/>
      </c>
      <c r="C1814">
        <f>IF($A1814=1,SUM($A$2:$A1814),0)</f>
        <v/>
      </c>
    </row>
    <row r="1815">
      <c r="A1815">
        <f>IF(AND(OR(Query!$B$4="All",'Compliance Database'!$A1815=Query!$B$4),OR(Query!$B$5="All",ISNUMBER(SEARCH(Query!$B$5,'Compliance Database'!$H1815))),OR(Query!$B$6="All",ISNUMBER(SEARCH(Query!$B$6,'Compliance Database'!$I1815))),OR(Query!$B$7="All",'Compliance Database'!$F1815=Query!$B$7),OR(Query!$B$8="All",'Compliance Database'!$J1815=Query!$B$8),OR(Query!$B$9="",ISNUMBER(SEARCH(Query!$B$9,'Compliance Database'!$D1815&amp;" "&amp;'Compliance Database'!$K1815&amp;" "&amp;'Compliance Database'!$L1815&amp;" "&amp;'Compliance Database'!$M1815&amp;" "&amp;'Compliance Database'!$N1815&amp;" "&amp;'Compliance Database'!$O1815))),OR(Query!$B$10&lt;&gt;"Yes",'Compliance Database'!$F1815&lt;&gt;"None")),1,0)</f>
        <v/>
      </c>
      <c r="B1815">
        <f>IF($A1815=1,SUM($A$2:$A1815),"")</f>
        <v/>
      </c>
      <c r="C1815">
        <f>IF($A1815=1,SUM($A$2:$A1815),0)</f>
        <v/>
      </c>
    </row>
    <row r="1816">
      <c r="A1816">
        <f>IF(AND(OR(Query!$B$4="All",'Compliance Database'!$A1816=Query!$B$4),OR(Query!$B$5="All",ISNUMBER(SEARCH(Query!$B$5,'Compliance Database'!$H1816))),OR(Query!$B$6="All",ISNUMBER(SEARCH(Query!$B$6,'Compliance Database'!$I1816))),OR(Query!$B$7="All",'Compliance Database'!$F1816=Query!$B$7),OR(Query!$B$8="All",'Compliance Database'!$J1816=Query!$B$8),OR(Query!$B$9="",ISNUMBER(SEARCH(Query!$B$9,'Compliance Database'!$D1816&amp;" "&amp;'Compliance Database'!$K1816&amp;" "&amp;'Compliance Database'!$L1816&amp;" "&amp;'Compliance Database'!$M1816&amp;" "&amp;'Compliance Database'!$N1816&amp;" "&amp;'Compliance Database'!$O1816))),OR(Query!$B$10&lt;&gt;"Yes",'Compliance Database'!$F1816&lt;&gt;"None")),1,0)</f>
        <v/>
      </c>
      <c r="B1816">
        <f>IF($A1816=1,SUM($A$2:$A1816),"")</f>
        <v/>
      </c>
      <c r="C1816">
        <f>IF($A1816=1,SUM($A$2:$A1816),0)</f>
        <v/>
      </c>
    </row>
    <row r="1817">
      <c r="A1817">
        <f>IF(AND(OR(Query!$B$4="All",'Compliance Database'!$A1817=Query!$B$4),OR(Query!$B$5="All",ISNUMBER(SEARCH(Query!$B$5,'Compliance Database'!$H1817))),OR(Query!$B$6="All",ISNUMBER(SEARCH(Query!$B$6,'Compliance Database'!$I1817))),OR(Query!$B$7="All",'Compliance Database'!$F1817=Query!$B$7),OR(Query!$B$8="All",'Compliance Database'!$J1817=Query!$B$8),OR(Query!$B$9="",ISNUMBER(SEARCH(Query!$B$9,'Compliance Database'!$D1817&amp;" "&amp;'Compliance Database'!$K1817&amp;" "&amp;'Compliance Database'!$L1817&amp;" "&amp;'Compliance Database'!$M1817&amp;" "&amp;'Compliance Database'!$N1817&amp;" "&amp;'Compliance Database'!$O1817))),OR(Query!$B$10&lt;&gt;"Yes",'Compliance Database'!$F1817&lt;&gt;"None")),1,0)</f>
        <v/>
      </c>
      <c r="B1817">
        <f>IF($A1817=1,SUM($A$2:$A1817),"")</f>
        <v/>
      </c>
      <c r="C1817">
        <f>IF($A1817=1,SUM($A$2:$A1817),0)</f>
        <v/>
      </c>
    </row>
    <row r="1818">
      <c r="A1818">
        <f>IF(AND(OR(Query!$B$4="All",'Compliance Database'!$A1818=Query!$B$4),OR(Query!$B$5="All",ISNUMBER(SEARCH(Query!$B$5,'Compliance Database'!$H1818))),OR(Query!$B$6="All",ISNUMBER(SEARCH(Query!$B$6,'Compliance Database'!$I1818))),OR(Query!$B$7="All",'Compliance Database'!$F1818=Query!$B$7),OR(Query!$B$8="All",'Compliance Database'!$J1818=Query!$B$8),OR(Query!$B$9="",ISNUMBER(SEARCH(Query!$B$9,'Compliance Database'!$D1818&amp;" "&amp;'Compliance Database'!$K1818&amp;" "&amp;'Compliance Database'!$L1818&amp;" "&amp;'Compliance Database'!$M1818&amp;" "&amp;'Compliance Database'!$N1818&amp;" "&amp;'Compliance Database'!$O1818))),OR(Query!$B$10&lt;&gt;"Yes",'Compliance Database'!$F1818&lt;&gt;"None")),1,0)</f>
        <v/>
      </c>
      <c r="B1818">
        <f>IF($A1818=1,SUM($A$2:$A1818),"")</f>
        <v/>
      </c>
      <c r="C1818">
        <f>IF($A1818=1,SUM($A$2:$A1818),0)</f>
        <v/>
      </c>
    </row>
    <row r="1819">
      <c r="A1819">
        <f>IF(AND(OR(Query!$B$4="All",'Compliance Database'!$A1819=Query!$B$4),OR(Query!$B$5="All",ISNUMBER(SEARCH(Query!$B$5,'Compliance Database'!$H1819))),OR(Query!$B$6="All",ISNUMBER(SEARCH(Query!$B$6,'Compliance Database'!$I1819))),OR(Query!$B$7="All",'Compliance Database'!$F1819=Query!$B$7),OR(Query!$B$8="All",'Compliance Database'!$J1819=Query!$B$8),OR(Query!$B$9="",ISNUMBER(SEARCH(Query!$B$9,'Compliance Database'!$D1819&amp;" "&amp;'Compliance Database'!$K1819&amp;" "&amp;'Compliance Database'!$L1819&amp;" "&amp;'Compliance Database'!$M1819&amp;" "&amp;'Compliance Database'!$N1819&amp;" "&amp;'Compliance Database'!$O1819))),OR(Query!$B$10&lt;&gt;"Yes",'Compliance Database'!$F1819&lt;&gt;"None")),1,0)</f>
        <v/>
      </c>
      <c r="B1819">
        <f>IF($A1819=1,SUM($A$2:$A1819),"")</f>
        <v/>
      </c>
      <c r="C1819">
        <f>IF($A1819=1,SUM($A$2:$A1819),0)</f>
        <v/>
      </c>
    </row>
    <row r="1820">
      <c r="A1820">
        <f>IF(AND(OR(Query!$B$4="All",'Compliance Database'!$A1820=Query!$B$4),OR(Query!$B$5="All",ISNUMBER(SEARCH(Query!$B$5,'Compliance Database'!$H1820))),OR(Query!$B$6="All",ISNUMBER(SEARCH(Query!$B$6,'Compliance Database'!$I1820))),OR(Query!$B$7="All",'Compliance Database'!$F1820=Query!$B$7),OR(Query!$B$8="All",'Compliance Database'!$J1820=Query!$B$8),OR(Query!$B$9="",ISNUMBER(SEARCH(Query!$B$9,'Compliance Database'!$D1820&amp;" "&amp;'Compliance Database'!$K1820&amp;" "&amp;'Compliance Database'!$L1820&amp;" "&amp;'Compliance Database'!$M1820&amp;" "&amp;'Compliance Database'!$N1820&amp;" "&amp;'Compliance Database'!$O1820))),OR(Query!$B$10&lt;&gt;"Yes",'Compliance Database'!$F1820&lt;&gt;"None")),1,0)</f>
        <v/>
      </c>
      <c r="B1820">
        <f>IF($A1820=1,SUM($A$2:$A1820),"")</f>
        <v/>
      </c>
      <c r="C1820">
        <f>IF($A1820=1,SUM($A$2:$A1820),0)</f>
        <v/>
      </c>
    </row>
    <row r="1821">
      <c r="A1821">
        <f>IF(AND(OR(Query!$B$4="All",'Compliance Database'!$A1821=Query!$B$4),OR(Query!$B$5="All",ISNUMBER(SEARCH(Query!$B$5,'Compliance Database'!$H1821))),OR(Query!$B$6="All",ISNUMBER(SEARCH(Query!$B$6,'Compliance Database'!$I1821))),OR(Query!$B$7="All",'Compliance Database'!$F1821=Query!$B$7),OR(Query!$B$8="All",'Compliance Database'!$J1821=Query!$B$8),OR(Query!$B$9="",ISNUMBER(SEARCH(Query!$B$9,'Compliance Database'!$D1821&amp;" "&amp;'Compliance Database'!$K1821&amp;" "&amp;'Compliance Database'!$L1821&amp;" "&amp;'Compliance Database'!$M1821&amp;" "&amp;'Compliance Database'!$N1821&amp;" "&amp;'Compliance Database'!$O1821))),OR(Query!$B$10&lt;&gt;"Yes",'Compliance Database'!$F1821&lt;&gt;"None")),1,0)</f>
        <v/>
      </c>
      <c r="B1821">
        <f>IF($A1821=1,SUM($A$2:$A1821),"")</f>
        <v/>
      </c>
      <c r="C1821">
        <f>IF($A1821=1,SUM($A$2:$A1821),0)</f>
        <v/>
      </c>
    </row>
    <row r="1822">
      <c r="A1822">
        <f>IF(AND(OR(Query!$B$4="All",'Compliance Database'!$A1822=Query!$B$4),OR(Query!$B$5="All",ISNUMBER(SEARCH(Query!$B$5,'Compliance Database'!$H1822))),OR(Query!$B$6="All",ISNUMBER(SEARCH(Query!$B$6,'Compliance Database'!$I1822))),OR(Query!$B$7="All",'Compliance Database'!$F1822=Query!$B$7),OR(Query!$B$8="All",'Compliance Database'!$J1822=Query!$B$8),OR(Query!$B$9="",ISNUMBER(SEARCH(Query!$B$9,'Compliance Database'!$D1822&amp;" "&amp;'Compliance Database'!$K1822&amp;" "&amp;'Compliance Database'!$L1822&amp;" "&amp;'Compliance Database'!$M1822&amp;" "&amp;'Compliance Database'!$N1822&amp;" "&amp;'Compliance Database'!$O1822))),OR(Query!$B$10&lt;&gt;"Yes",'Compliance Database'!$F1822&lt;&gt;"None")),1,0)</f>
        <v/>
      </c>
      <c r="B1822">
        <f>IF($A1822=1,SUM($A$2:$A1822),"")</f>
        <v/>
      </c>
      <c r="C1822">
        <f>IF($A1822=1,SUM($A$2:$A1822),0)</f>
        <v/>
      </c>
    </row>
    <row r="1823">
      <c r="A1823">
        <f>IF(AND(OR(Query!$B$4="All",'Compliance Database'!$A1823=Query!$B$4),OR(Query!$B$5="All",ISNUMBER(SEARCH(Query!$B$5,'Compliance Database'!$H1823))),OR(Query!$B$6="All",ISNUMBER(SEARCH(Query!$B$6,'Compliance Database'!$I1823))),OR(Query!$B$7="All",'Compliance Database'!$F1823=Query!$B$7),OR(Query!$B$8="All",'Compliance Database'!$J1823=Query!$B$8),OR(Query!$B$9="",ISNUMBER(SEARCH(Query!$B$9,'Compliance Database'!$D1823&amp;" "&amp;'Compliance Database'!$K1823&amp;" "&amp;'Compliance Database'!$L1823&amp;" "&amp;'Compliance Database'!$M1823&amp;" "&amp;'Compliance Database'!$N1823&amp;" "&amp;'Compliance Database'!$O1823))),OR(Query!$B$10&lt;&gt;"Yes",'Compliance Database'!$F1823&lt;&gt;"None")),1,0)</f>
        <v/>
      </c>
      <c r="B1823">
        <f>IF($A1823=1,SUM($A$2:$A1823),"")</f>
        <v/>
      </c>
      <c r="C1823">
        <f>IF($A1823=1,SUM($A$2:$A1823),0)</f>
        <v/>
      </c>
    </row>
    <row r="1824">
      <c r="A1824">
        <f>IF(AND(OR(Query!$B$4="All",'Compliance Database'!$A1824=Query!$B$4),OR(Query!$B$5="All",ISNUMBER(SEARCH(Query!$B$5,'Compliance Database'!$H1824))),OR(Query!$B$6="All",ISNUMBER(SEARCH(Query!$B$6,'Compliance Database'!$I1824))),OR(Query!$B$7="All",'Compliance Database'!$F1824=Query!$B$7),OR(Query!$B$8="All",'Compliance Database'!$J1824=Query!$B$8),OR(Query!$B$9="",ISNUMBER(SEARCH(Query!$B$9,'Compliance Database'!$D1824&amp;" "&amp;'Compliance Database'!$K1824&amp;" "&amp;'Compliance Database'!$L1824&amp;" "&amp;'Compliance Database'!$M1824&amp;" "&amp;'Compliance Database'!$N1824&amp;" "&amp;'Compliance Database'!$O1824))),OR(Query!$B$10&lt;&gt;"Yes",'Compliance Database'!$F1824&lt;&gt;"None")),1,0)</f>
        <v/>
      </c>
      <c r="B1824">
        <f>IF($A1824=1,SUM($A$2:$A1824),"")</f>
        <v/>
      </c>
      <c r="C1824">
        <f>IF($A1824=1,SUM($A$2:$A1824),0)</f>
        <v/>
      </c>
    </row>
    <row r="1825">
      <c r="A1825">
        <f>IF(AND(OR(Query!$B$4="All",'Compliance Database'!$A1825=Query!$B$4),OR(Query!$B$5="All",ISNUMBER(SEARCH(Query!$B$5,'Compliance Database'!$H1825))),OR(Query!$B$6="All",ISNUMBER(SEARCH(Query!$B$6,'Compliance Database'!$I1825))),OR(Query!$B$7="All",'Compliance Database'!$F1825=Query!$B$7),OR(Query!$B$8="All",'Compliance Database'!$J1825=Query!$B$8),OR(Query!$B$9="",ISNUMBER(SEARCH(Query!$B$9,'Compliance Database'!$D1825&amp;" "&amp;'Compliance Database'!$K1825&amp;" "&amp;'Compliance Database'!$L1825&amp;" "&amp;'Compliance Database'!$M1825&amp;" "&amp;'Compliance Database'!$N1825&amp;" "&amp;'Compliance Database'!$O1825))),OR(Query!$B$10&lt;&gt;"Yes",'Compliance Database'!$F1825&lt;&gt;"None")),1,0)</f>
        <v/>
      </c>
      <c r="B1825">
        <f>IF($A1825=1,SUM($A$2:$A1825),"")</f>
        <v/>
      </c>
      <c r="C1825">
        <f>IF($A1825=1,SUM($A$2:$A1825),0)</f>
        <v/>
      </c>
    </row>
    <row r="1826">
      <c r="A1826">
        <f>IF(AND(OR(Query!$B$4="All",'Compliance Database'!$A1826=Query!$B$4),OR(Query!$B$5="All",ISNUMBER(SEARCH(Query!$B$5,'Compliance Database'!$H1826))),OR(Query!$B$6="All",ISNUMBER(SEARCH(Query!$B$6,'Compliance Database'!$I1826))),OR(Query!$B$7="All",'Compliance Database'!$F1826=Query!$B$7),OR(Query!$B$8="All",'Compliance Database'!$J1826=Query!$B$8),OR(Query!$B$9="",ISNUMBER(SEARCH(Query!$B$9,'Compliance Database'!$D1826&amp;" "&amp;'Compliance Database'!$K1826&amp;" "&amp;'Compliance Database'!$L1826&amp;" "&amp;'Compliance Database'!$M1826&amp;" "&amp;'Compliance Database'!$N1826&amp;" "&amp;'Compliance Database'!$O1826))),OR(Query!$B$10&lt;&gt;"Yes",'Compliance Database'!$F1826&lt;&gt;"None")),1,0)</f>
        <v/>
      </c>
      <c r="B1826">
        <f>IF($A1826=1,SUM($A$2:$A1826),"")</f>
        <v/>
      </c>
      <c r="C1826">
        <f>IF($A1826=1,SUM($A$2:$A1826),0)</f>
        <v/>
      </c>
    </row>
    <row r="1827">
      <c r="A1827">
        <f>IF(AND(OR(Query!$B$4="All",'Compliance Database'!$A1827=Query!$B$4),OR(Query!$B$5="All",ISNUMBER(SEARCH(Query!$B$5,'Compliance Database'!$H1827))),OR(Query!$B$6="All",ISNUMBER(SEARCH(Query!$B$6,'Compliance Database'!$I1827))),OR(Query!$B$7="All",'Compliance Database'!$F1827=Query!$B$7),OR(Query!$B$8="All",'Compliance Database'!$J1827=Query!$B$8),OR(Query!$B$9="",ISNUMBER(SEARCH(Query!$B$9,'Compliance Database'!$D1827&amp;" "&amp;'Compliance Database'!$K1827&amp;" "&amp;'Compliance Database'!$L1827&amp;" "&amp;'Compliance Database'!$M1827&amp;" "&amp;'Compliance Database'!$N1827&amp;" "&amp;'Compliance Database'!$O1827))),OR(Query!$B$10&lt;&gt;"Yes",'Compliance Database'!$F1827&lt;&gt;"None")),1,0)</f>
        <v/>
      </c>
      <c r="B1827">
        <f>IF($A1827=1,SUM($A$2:$A1827),"")</f>
        <v/>
      </c>
      <c r="C1827">
        <f>IF($A1827=1,SUM($A$2:$A1827),0)</f>
        <v/>
      </c>
    </row>
    <row r="1828">
      <c r="A1828">
        <f>IF(AND(OR(Query!$B$4="All",'Compliance Database'!$A1828=Query!$B$4),OR(Query!$B$5="All",ISNUMBER(SEARCH(Query!$B$5,'Compliance Database'!$H1828))),OR(Query!$B$6="All",ISNUMBER(SEARCH(Query!$B$6,'Compliance Database'!$I1828))),OR(Query!$B$7="All",'Compliance Database'!$F1828=Query!$B$7),OR(Query!$B$8="All",'Compliance Database'!$J1828=Query!$B$8),OR(Query!$B$9="",ISNUMBER(SEARCH(Query!$B$9,'Compliance Database'!$D1828&amp;" "&amp;'Compliance Database'!$K1828&amp;" "&amp;'Compliance Database'!$L1828&amp;" "&amp;'Compliance Database'!$M1828&amp;" "&amp;'Compliance Database'!$N1828&amp;" "&amp;'Compliance Database'!$O1828))),OR(Query!$B$10&lt;&gt;"Yes",'Compliance Database'!$F1828&lt;&gt;"None")),1,0)</f>
        <v/>
      </c>
      <c r="B1828">
        <f>IF($A1828=1,SUM($A$2:$A1828),"")</f>
        <v/>
      </c>
      <c r="C1828">
        <f>IF($A1828=1,SUM($A$2:$A1828),0)</f>
        <v/>
      </c>
    </row>
    <row r="1829">
      <c r="A1829">
        <f>IF(AND(OR(Query!$B$4="All",'Compliance Database'!$A1829=Query!$B$4),OR(Query!$B$5="All",ISNUMBER(SEARCH(Query!$B$5,'Compliance Database'!$H1829))),OR(Query!$B$6="All",ISNUMBER(SEARCH(Query!$B$6,'Compliance Database'!$I1829))),OR(Query!$B$7="All",'Compliance Database'!$F1829=Query!$B$7),OR(Query!$B$8="All",'Compliance Database'!$J1829=Query!$B$8),OR(Query!$B$9="",ISNUMBER(SEARCH(Query!$B$9,'Compliance Database'!$D1829&amp;" "&amp;'Compliance Database'!$K1829&amp;" "&amp;'Compliance Database'!$L1829&amp;" "&amp;'Compliance Database'!$M1829&amp;" "&amp;'Compliance Database'!$N1829&amp;" "&amp;'Compliance Database'!$O1829))),OR(Query!$B$10&lt;&gt;"Yes",'Compliance Database'!$F1829&lt;&gt;"None")),1,0)</f>
        <v/>
      </c>
      <c r="B1829">
        <f>IF($A1829=1,SUM($A$2:$A1829),"")</f>
        <v/>
      </c>
      <c r="C1829">
        <f>IF($A1829=1,SUM($A$2:$A1829),0)</f>
        <v/>
      </c>
    </row>
    <row r="1830">
      <c r="A1830">
        <f>IF(AND(OR(Query!$B$4="All",'Compliance Database'!$A1830=Query!$B$4),OR(Query!$B$5="All",ISNUMBER(SEARCH(Query!$B$5,'Compliance Database'!$H1830))),OR(Query!$B$6="All",ISNUMBER(SEARCH(Query!$B$6,'Compliance Database'!$I1830))),OR(Query!$B$7="All",'Compliance Database'!$F1830=Query!$B$7),OR(Query!$B$8="All",'Compliance Database'!$J1830=Query!$B$8),OR(Query!$B$9="",ISNUMBER(SEARCH(Query!$B$9,'Compliance Database'!$D1830&amp;" "&amp;'Compliance Database'!$K1830&amp;" "&amp;'Compliance Database'!$L1830&amp;" "&amp;'Compliance Database'!$M1830&amp;" "&amp;'Compliance Database'!$N1830&amp;" "&amp;'Compliance Database'!$O1830))),OR(Query!$B$10&lt;&gt;"Yes",'Compliance Database'!$F1830&lt;&gt;"None")),1,0)</f>
        <v/>
      </c>
      <c r="B1830">
        <f>IF($A1830=1,SUM($A$2:$A1830),"")</f>
        <v/>
      </c>
      <c r="C1830">
        <f>IF($A1830=1,SUM($A$2:$A1830),0)</f>
        <v/>
      </c>
    </row>
    <row r="1831">
      <c r="A1831">
        <f>IF(AND(OR(Query!$B$4="All",'Compliance Database'!$A1831=Query!$B$4),OR(Query!$B$5="All",ISNUMBER(SEARCH(Query!$B$5,'Compliance Database'!$H1831))),OR(Query!$B$6="All",ISNUMBER(SEARCH(Query!$B$6,'Compliance Database'!$I1831))),OR(Query!$B$7="All",'Compliance Database'!$F1831=Query!$B$7),OR(Query!$B$8="All",'Compliance Database'!$J1831=Query!$B$8),OR(Query!$B$9="",ISNUMBER(SEARCH(Query!$B$9,'Compliance Database'!$D1831&amp;" "&amp;'Compliance Database'!$K1831&amp;" "&amp;'Compliance Database'!$L1831&amp;" "&amp;'Compliance Database'!$M1831&amp;" "&amp;'Compliance Database'!$N1831&amp;" "&amp;'Compliance Database'!$O1831))),OR(Query!$B$10&lt;&gt;"Yes",'Compliance Database'!$F1831&lt;&gt;"None")),1,0)</f>
        <v/>
      </c>
      <c r="B1831">
        <f>IF($A1831=1,SUM($A$2:$A1831),"")</f>
        <v/>
      </c>
      <c r="C1831">
        <f>IF($A1831=1,SUM($A$2:$A1831),0)</f>
        <v/>
      </c>
    </row>
    <row r="1832">
      <c r="A1832">
        <f>IF(AND(OR(Query!$B$4="All",'Compliance Database'!$A1832=Query!$B$4),OR(Query!$B$5="All",ISNUMBER(SEARCH(Query!$B$5,'Compliance Database'!$H1832))),OR(Query!$B$6="All",ISNUMBER(SEARCH(Query!$B$6,'Compliance Database'!$I1832))),OR(Query!$B$7="All",'Compliance Database'!$F1832=Query!$B$7),OR(Query!$B$8="All",'Compliance Database'!$J1832=Query!$B$8),OR(Query!$B$9="",ISNUMBER(SEARCH(Query!$B$9,'Compliance Database'!$D1832&amp;" "&amp;'Compliance Database'!$K1832&amp;" "&amp;'Compliance Database'!$L1832&amp;" "&amp;'Compliance Database'!$M1832&amp;" "&amp;'Compliance Database'!$N1832&amp;" "&amp;'Compliance Database'!$O1832))),OR(Query!$B$10&lt;&gt;"Yes",'Compliance Database'!$F1832&lt;&gt;"None")),1,0)</f>
        <v/>
      </c>
      <c r="B1832">
        <f>IF($A1832=1,SUM($A$2:$A1832),"")</f>
        <v/>
      </c>
      <c r="C1832">
        <f>IF($A1832=1,SUM($A$2:$A1832),0)</f>
        <v/>
      </c>
    </row>
    <row r="1833">
      <c r="A1833">
        <f>IF(AND(OR(Query!$B$4="All",'Compliance Database'!$A1833=Query!$B$4),OR(Query!$B$5="All",ISNUMBER(SEARCH(Query!$B$5,'Compliance Database'!$H1833))),OR(Query!$B$6="All",ISNUMBER(SEARCH(Query!$B$6,'Compliance Database'!$I1833))),OR(Query!$B$7="All",'Compliance Database'!$F1833=Query!$B$7),OR(Query!$B$8="All",'Compliance Database'!$J1833=Query!$B$8),OR(Query!$B$9="",ISNUMBER(SEARCH(Query!$B$9,'Compliance Database'!$D1833&amp;" "&amp;'Compliance Database'!$K1833&amp;" "&amp;'Compliance Database'!$L1833&amp;" "&amp;'Compliance Database'!$M1833&amp;" "&amp;'Compliance Database'!$N1833&amp;" "&amp;'Compliance Database'!$O1833))),OR(Query!$B$10&lt;&gt;"Yes",'Compliance Database'!$F1833&lt;&gt;"None")),1,0)</f>
        <v/>
      </c>
      <c r="B1833">
        <f>IF($A1833=1,SUM($A$2:$A1833),"")</f>
        <v/>
      </c>
      <c r="C1833">
        <f>IF($A1833=1,SUM($A$2:$A1833),0)</f>
        <v/>
      </c>
    </row>
    <row r="1834">
      <c r="A1834">
        <f>IF(AND(OR(Query!$B$4="All",'Compliance Database'!$A1834=Query!$B$4),OR(Query!$B$5="All",ISNUMBER(SEARCH(Query!$B$5,'Compliance Database'!$H1834))),OR(Query!$B$6="All",ISNUMBER(SEARCH(Query!$B$6,'Compliance Database'!$I1834))),OR(Query!$B$7="All",'Compliance Database'!$F1834=Query!$B$7),OR(Query!$B$8="All",'Compliance Database'!$J1834=Query!$B$8),OR(Query!$B$9="",ISNUMBER(SEARCH(Query!$B$9,'Compliance Database'!$D1834&amp;" "&amp;'Compliance Database'!$K1834&amp;" "&amp;'Compliance Database'!$L1834&amp;" "&amp;'Compliance Database'!$M1834&amp;" "&amp;'Compliance Database'!$N1834&amp;" "&amp;'Compliance Database'!$O1834))),OR(Query!$B$10&lt;&gt;"Yes",'Compliance Database'!$F1834&lt;&gt;"None")),1,0)</f>
        <v/>
      </c>
      <c r="B1834">
        <f>IF($A1834=1,SUM($A$2:$A1834),"")</f>
        <v/>
      </c>
      <c r="C1834">
        <f>IF($A1834=1,SUM($A$2:$A1834),0)</f>
        <v/>
      </c>
    </row>
    <row r="1835">
      <c r="A1835">
        <f>IF(AND(OR(Query!$B$4="All",'Compliance Database'!$A1835=Query!$B$4),OR(Query!$B$5="All",ISNUMBER(SEARCH(Query!$B$5,'Compliance Database'!$H1835))),OR(Query!$B$6="All",ISNUMBER(SEARCH(Query!$B$6,'Compliance Database'!$I1835))),OR(Query!$B$7="All",'Compliance Database'!$F1835=Query!$B$7),OR(Query!$B$8="All",'Compliance Database'!$J1835=Query!$B$8),OR(Query!$B$9="",ISNUMBER(SEARCH(Query!$B$9,'Compliance Database'!$D1835&amp;" "&amp;'Compliance Database'!$K1835&amp;" "&amp;'Compliance Database'!$L1835&amp;" "&amp;'Compliance Database'!$M1835&amp;" "&amp;'Compliance Database'!$N1835&amp;" "&amp;'Compliance Database'!$O1835))),OR(Query!$B$10&lt;&gt;"Yes",'Compliance Database'!$F1835&lt;&gt;"None")),1,0)</f>
        <v/>
      </c>
      <c r="B1835">
        <f>IF($A1835=1,SUM($A$2:$A1835),"")</f>
        <v/>
      </c>
      <c r="C1835">
        <f>IF($A1835=1,SUM($A$2:$A1835),0)</f>
        <v/>
      </c>
    </row>
    <row r="1836">
      <c r="A1836">
        <f>IF(AND(OR(Query!$B$4="All",'Compliance Database'!$A1836=Query!$B$4),OR(Query!$B$5="All",ISNUMBER(SEARCH(Query!$B$5,'Compliance Database'!$H1836))),OR(Query!$B$6="All",ISNUMBER(SEARCH(Query!$B$6,'Compliance Database'!$I1836))),OR(Query!$B$7="All",'Compliance Database'!$F1836=Query!$B$7),OR(Query!$B$8="All",'Compliance Database'!$J1836=Query!$B$8),OR(Query!$B$9="",ISNUMBER(SEARCH(Query!$B$9,'Compliance Database'!$D1836&amp;" "&amp;'Compliance Database'!$K1836&amp;" "&amp;'Compliance Database'!$L1836&amp;" "&amp;'Compliance Database'!$M1836&amp;" "&amp;'Compliance Database'!$N1836&amp;" "&amp;'Compliance Database'!$O1836))),OR(Query!$B$10&lt;&gt;"Yes",'Compliance Database'!$F1836&lt;&gt;"None")),1,0)</f>
        <v/>
      </c>
      <c r="B1836">
        <f>IF($A1836=1,SUM($A$2:$A1836),"")</f>
        <v/>
      </c>
      <c r="C1836">
        <f>IF($A1836=1,SUM($A$2:$A1836),0)</f>
        <v/>
      </c>
    </row>
    <row r="1837">
      <c r="A1837">
        <f>IF(AND(OR(Query!$B$4="All",'Compliance Database'!$A1837=Query!$B$4),OR(Query!$B$5="All",ISNUMBER(SEARCH(Query!$B$5,'Compliance Database'!$H1837))),OR(Query!$B$6="All",ISNUMBER(SEARCH(Query!$B$6,'Compliance Database'!$I1837))),OR(Query!$B$7="All",'Compliance Database'!$F1837=Query!$B$7),OR(Query!$B$8="All",'Compliance Database'!$J1837=Query!$B$8),OR(Query!$B$9="",ISNUMBER(SEARCH(Query!$B$9,'Compliance Database'!$D1837&amp;" "&amp;'Compliance Database'!$K1837&amp;" "&amp;'Compliance Database'!$L1837&amp;" "&amp;'Compliance Database'!$M1837&amp;" "&amp;'Compliance Database'!$N1837&amp;" "&amp;'Compliance Database'!$O1837))),OR(Query!$B$10&lt;&gt;"Yes",'Compliance Database'!$F1837&lt;&gt;"None")),1,0)</f>
        <v/>
      </c>
      <c r="B1837">
        <f>IF($A1837=1,SUM($A$2:$A1837),"")</f>
        <v/>
      </c>
      <c r="C1837">
        <f>IF($A1837=1,SUM($A$2:$A1837),0)</f>
        <v/>
      </c>
    </row>
    <row r="1838">
      <c r="A1838">
        <f>IF(AND(OR(Query!$B$4="All",'Compliance Database'!$A1838=Query!$B$4),OR(Query!$B$5="All",ISNUMBER(SEARCH(Query!$B$5,'Compliance Database'!$H1838))),OR(Query!$B$6="All",ISNUMBER(SEARCH(Query!$B$6,'Compliance Database'!$I1838))),OR(Query!$B$7="All",'Compliance Database'!$F1838=Query!$B$7),OR(Query!$B$8="All",'Compliance Database'!$J1838=Query!$B$8),OR(Query!$B$9="",ISNUMBER(SEARCH(Query!$B$9,'Compliance Database'!$D1838&amp;" "&amp;'Compliance Database'!$K1838&amp;" "&amp;'Compliance Database'!$L1838&amp;" "&amp;'Compliance Database'!$M1838&amp;" "&amp;'Compliance Database'!$N1838&amp;" "&amp;'Compliance Database'!$O1838))),OR(Query!$B$10&lt;&gt;"Yes",'Compliance Database'!$F1838&lt;&gt;"None")),1,0)</f>
        <v/>
      </c>
      <c r="B1838">
        <f>IF($A1838=1,SUM($A$2:$A1838),"")</f>
        <v/>
      </c>
      <c r="C1838">
        <f>IF($A1838=1,SUM($A$2:$A1838),0)</f>
        <v/>
      </c>
    </row>
    <row r="1839">
      <c r="A1839">
        <f>IF(AND(OR(Query!$B$4="All",'Compliance Database'!$A1839=Query!$B$4),OR(Query!$B$5="All",ISNUMBER(SEARCH(Query!$B$5,'Compliance Database'!$H1839))),OR(Query!$B$6="All",ISNUMBER(SEARCH(Query!$B$6,'Compliance Database'!$I1839))),OR(Query!$B$7="All",'Compliance Database'!$F1839=Query!$B$7),OR(Query!$B$8="All",'Compliance Database'!$J1839=Query!$B$8),OR(Query!$B$9="",ISNUMBER(SEARCH(Query!$B$9,'Compliance Database'!$D1839&amp;" "&amp;'Compliance Database'!$K1839&amp;" "&amp;'Compliance Database'!$L1839&amp;" "&amp;'Compliance Database'!$M1839&amp;" "&amp;'Compliance Database'!$N1839&amp;" "&amp;'Compliance Database'!$O1839))),OR(Query!$B$10&lt;&gt;"Yes",'Compliance Database'!$F1839&lt;&gt;"None")),1,0)</f>
        <v/>
      </c>
      <c r="B1839">
        <f>IF($A1839=1,SUM($A$2:$A1839),"")</f>
        <v/>
      </c>
      <c r="C1839">
        <f>IF($A1839=1,SUM($A$2:$A1839),0)</f>
        <v/>
      </c>
    </row>
    <row r="1840">
      <c r="A1840">
        <f>IF(AND(OR(Query!$B$4="All",'Compliance Database'!$A1840=Query!$B$4),OR(Query!$B$5="All",ISNUMBER(SEARCH(Query!$B$5,'Compliance Database'!$H1840))),OR(Query!$B$6="All",ISNUMBER(SEARCH(Query!$B$6,'Compliance Database'!$I1840))),OR(Query!$B$7="All",'Compliance Database'!$F1840=Query!$B$7),OR(Query!$B$8="All",'Compliance Database'!$J1840=Query!$B$8),OR(Query!$B$9="",ISNUMBER(SEARCH(Query!$B$9,'Compliance Database'!$D1840&amp;" "&amp;'Compliance Database'!$K1840&amp;" "&amp;'Compliance Database'!$L1840&amp;" "&amp;'Compliance Database'!$M1840&amp;" "&amp;'Compliance Database'!$N1840&amp;" "&amp;'Compliance Database'!$O1840))),OR(Query!$B$10&lt;&gt;"Yes",'Compliance Database'!$F1840&lt;&gt;"None")),1,0)</f>
        <v/>
      </c>
      <c r="B1840">
        <f>IF($A1840=1,SUM($A$2:$A1840),"")</f>
        <v/>
      </c>
      <c r="C1840">
        <f>IF($A1840=1,SUM($A$2:$A1840),0)</f>
        <v/>
      </c>
    </row>
    <row r="1841">
      <c r="A1841">
        <f>IF(AND(OR(Query!$B$4="All",'Compliance Database'!$A1841=Query!$B$4),OR(Query!$B$5="All",ISNUMBER(SEARCH(Query!$B$5,'Compliance Database'!$H1841))),OR(Query!$B$6="All",ISNUMBER(SEARCH(Query!$B$6,'Compliance Database'!$I1841))),OR(Query!$B$7="All",'Compliance Database'!$F1841=Query!$B$7),OR(Query!$B$8="All",'Compliance Database'!$J1841=Query!$B$8),OR(Query!$B$9="",ISNUMBER(SEARCH(Query!$B$9,'Compliance Database'!$D1841&amp;" "&amp;'Compliance Database'!$K1841&amp;" "&amp;'Compliance Database'!$L1841&amp;" "&amp;'Compliance Database'!$M1841&amp;" "&amp;'Compliance Database'!$N1841&amp;" "&amp;'Compliance Database'!$O1841))),OR(Query!$B$10&lt;&gt;"Yes",'Compliance Database'!$F1841&lt;&gt;"None")),1,0)</f>
        <v/>
      </c>
      <c r="B1841">
        <f>IF($A1841=1,SUM($A$2:$A1841),"")</f>
        <v/>
      </c>
      <c r="C1841">
        <f>IF($A1841=1,SUM($A$2:$A1841),0)</f>
        <v/>
      </c>
    </row>
    <row r="1842">
      <c r="A1842">
        <f>IF(AND(OR(Query!$B$4="All",'Compliance Database'!$A1842=Query!$B$4),OR(Query!$B$5="All",ISNUMBER(SEARCH(Query!$B$5,'Compliance Database'!$H1842))),OR(Query!$B$6="All",ISNUMBER(SEARCH(Query!$B$6,'Compliance Database'!$I1842))),OR(Query!$B$7="All",'Compliance Database'!$F1842=Query!$B$7),OR(Query!$B$8="All",'Compliance Database'!$J1842=Query!$B$8),OR(Query!$B$9="",ISNUMBER(SEARCH(Query!$B$9,'Compliance Database'!$D1842&amp;" "&amp;'Compliance Database'!$K1842&amp;" "&amp;'Compliance Database'!$L1842&amp;" "&amp;'Compliance Database'!$M1842&amp;" "&amp;'Compliance Database'!$N1842&amp;" "&amp;'Compliance Database'!$O1842))),OR(Query!$B$10&lt;&gt;"Yes",'Compliance Database'!$F1842&lt;&gt;"None")),1,0)</f>
        <v/>
      </c>
      <c r="B1842">
        <f>IF($A1842=1,SUM($A$2:$A1842),"")</f>
        <v/>
      </c>
      <c r="C1842">
        <f>IF($A1842=1,SUM($A$2:$A1842),0)</f>
        <v/>
      </c>
    </row>
    <row r="1843">
      <c r="A1843">
        <f>IF(AND(OR(Query!$B$4="All",'Compliance Database'!$A1843=Query!$B$4),OR(Query!$B$5="All",ISNUMBER(SEARCH(Query!$B$5,'Compliance Database'!$H1843))),OR(Query!$B$6="All",ISNUMBER(SEARCH(Query!$B$6,'Compliance Database'!$I1843))),OR(Query!$B$7="All",'Compliance Database'!$F1843=Query!$B$7),OR(Query!$B$8="All",'Compliance Database'!$J1843=Query!$B$8),OR(Query!$B$9="",ISNUMBER(SEARCH(Query!$B$9,'Compliance Database'!$D1843&amp;" "&amp;'Compliance Database'!$K1843&amp;" "&amp;'Compliance Database'!$L1843&amp;" "&amp;'Compliance Database'!$M1843&amp;" "&amp;'Compliance Database'!$N1843&amp;" "&amp;'Compliance Database'!$O1843))),OR(Query!$B$10&lt;&gt;"Yes",'Compliance Database'!$F1843&lt;&gt;"None")),1,0)</f>
        <v/>
      </c>
      <c r="B1843">
        <f>IF($A1843=1,SUM($A$2:$A1843),"")</f>
        <v/>
      </c>
      <c r="C1843">
        <f>IF($A1843=1,SUM($A$2:$A1843),0)</f>
        <v/>
      </c>
    </row>
    <row r="1844">
      <c r="A1844">
        <f>IF(AND(OR(Query!$B$4="All",'Compliance Database'!$A1844=Query!$B$4),OR(Query!$B$5="All",ISNUMBER(SEARCH(Query!$B$5,'Compliance Database'!$H1844))),OR(Query!$B$6="All",ISNUMBER(SEARCH(Query!$B$6,'Compliance Database'!$I1844))),OR(Query!$B$7="All",'Compliance Database'!$F1844=Query!$B$7),OR(Query!$B$8="All",'Compliance Database'!$J1844=Query!$B$8),OR(Query!$B$9="",ISNUMBER(SEARCH(Query!$B$9,'Compliance Database'!$D1844&amp;" "&amp;'Compliance Database'!$K1844&amp;" "&amp;'Compliance Database'!$L1844&amp;" "&amp;'Compliance Database'!$M1844&amp;" "&amp;'Compliance Database'!$N1844&amp;" "&amp;'Compliance Database'!$O1844))),OR(Query!$B$10&lt;&gt;"Yes",'Compliance Database'!$F1844&lt;&gt;"None")),1,0)</f>
        <v/>
      </c>
      <c r="B1844">
        <f>IF($A1844=1,SUM($A$2:$A1844),"")</f>
        <v/>
      </c>
      <c r="C1844">
        <f>IF($A1844=1,SUM($A$2:$A1844),0)</f>
        <v/>
      </c>
    </row>
    <row r="1845">
      <c r="A1845">
        <f>IF(AND(OR(Query!$B$4="All",'Compliance Database'!$A1845=Query!$B$4),OR(Query!$B$5="All",ISNUMBER(SEARCH(Query!$B$5,'Compliance Database'!$H1845))),OR(Query!$B$6="All",ISNUMBER(SEARCH(Query!$B$6,'Compliance Database'!$I1845))),OR(Query!$B$7="All",'Compliance Database'!$F1845=Query!$B$7),OR(Query!$B$8="All",'Compliance Database'!$J1845=Query!$B$8),OR(Query!$B$9="",ISNUMBER(SEARCH(Query!$B$9,'Compliance Database'!$D1845&amp;" "&amp;'Compliance Database'!$K1845&amp;" "&amp;'Compliance Database'!$L1845&amp;" "&amp;'Compliance Database'!$M1845&amp;" "&amp;'Compliance Database'!$N1845&amp;" "&amp;'Compliance Database'!$O1845))),OR(Query!$B$10&lt;&gt;"Yes",'Compliance Database'!$F1845&lt;&gt;"None")),1,0)</f>
        <v/>
      </c>
      <c r="B1845">
        <f>IF($A1845=1,SUM($A$2:$A1845),"")</f>
        <v/>
      </c>
      <c r="C1845">
        <f>IF($A1845=1,SUM($A$2:$A1845),0)</f>
        <v/>
      </c>
    </row>
    <row r="1846">
      <c r="A1846">
        <f>IF(AND(OR(Query!$B$4="All",'Compliance Database'!$A1846=Query!$B$4),OR(Query!$B$5="All",ISNUMBER(SEARCH(Query!$B$5,'Compliance Database'!$H1846))),OR(Query!$B$6="All",ISNUMBER(SEARCH(Query!$B$6,'Compliance Database'!$I1846))),OR(Query!$B$7="All",'Compliance Database'!$F1846=Query!$B$7),OR(Query!$B$8="All",'Compliance Database'!$J1846=Query!$B$8),OR(Query!$B$9="",ISNUMBER(SEARCH(Query!$B$9,'Compliance Database'!$D1846&amp;" "&amp;'Compliance Database'!$K1846&amp;" "&amp;'Compliance Database'!$L1846&amp;" "&amp;'Compliance Database'!$M1846&amp;" "&amp;'Compliance Database'!$N1846&amp;" "&amp;'Compliance Database'!$O1846))),OR(Query!$B$10&lt;&gt;"Yes",'Compliance Database'!$F1846&lt;&gt;"None")),1,0)</f>
        <v/>
      </c>
      <c r="B1846">
        <f>IF($A1846=1,SUM($A$2:$A1846),"")</f>
        <v/>
      </c>
      <c r="C1846">
        <f>IF($A1846=1,SUM($A$2:$A1846),0)</f>
        <v/>
      </c>
    </row>
    <row r="1847">
      <c r="A1847">
        <f>IF(AND(OR(Query!$B$4="All",'Compliance Database'!$A1847=Query!$B$4),OR(Query!$B$5="All",ISNUMBER(SEARCH(Query!$B$5,'Compliance Database'!$H1847))),OR(Query!$B$6="All",ISNUMBER(SEARCH(Query!$B$6,'Compliance Database'!$I1847))),OR(Query!$B$7="All",'Compliance Database'!$F1847=Query!$B$7),OR(Query!$B$8="All",'Compliance Database'!$J1847=Query!$B$8),OR(Query!$B$9="",ISNUMBER(SEARCH(Query!$B$9,'Compliance Database'!$D1847&amp;" "&amp;'Compliance Database'!$K1847&amp;" "&amp;'Compliance Database'!$L1847&amp;" "&amp;'Compliance Database'!$M1847&amp;" "&amp;'Compliance Database'!$N1847&amp;" "&amp;'Compliance Database'!$O1847))),OR(Query!$B$10&lt;&gt;"Yes",'Compliance Database'!$F1847&lt;&gt;"None")),1,0)</f>
        <v/>
      </c>
      <c r="B1847">
        <f>IF($A1847=1,SUM($A$2:$A1847),"")</f>
        <v/>
      </c>
      <c r="C1847">
        <f>IF($A1847=1,SUM($A$2:$A1847),0)</f>
        <v/>
      </c>
    </row>
    <row r="1848">
      <c r="A1848">
        <f>IF(AND(OR(Query!$B$4="All",'Compliance Database'!$A1848=Query!$B$4),OR(Query!$B$5="All",ISNUMBER(SEARCH(Query!$B$5,'Compliance Database'!$H1848))),OR(Query!$B$6="All",ISNUMBER(SEARCH(Query!$B$6,'Compliance Database'!$I1848))),OR(Query!$B$7="All",'Compliance Database'!$F1848=Query!$B$7),OR(Query!$B$8="All",'Compliance Database'!$J1848=Query!$B$8),OR(Query!$B$9="",ISNUMBER(SEARCH(Query!$B$9,'Compliance Database'!$D1848&amp;" "&amp;'Compliance Database'!$K1848&amp;" "&amp;'Compliance Database'!$L1848&amp;" "&amp;'Compliance Database'!$M1848&amp;" "&amp;'Compliance Database'!$N1848&amp;" "&amp;'Compliance Database'!$O1848))),OR(Query!$B$10&lt;&gt;"Yes",'Compliance Database'!$F1848&lt;&gt;"None")),1,0)</f>
        <v/>
      </c>
      <c r="B1848">
        <f>IF($A1848=1,SUM($A$2:$A1848),"")</f>
        <v/>
      </c>
      <c r="C1848">
        <f>IF($A1848=1,SUM($A$2:$A1848),0)</f>
        <v/>
      </c>
    </row>
    <row r="1849">
      <c r="A1849">
        <f>IF(AND(OR(Query!$B$4="All",'Compliance Database'!$A1849=Query!$B$4),OR(Query!$B$5="All",ISNUMBER(SEARCH(Query!$B$5,'Compliance Database'!$H1849))),OR(Query!$B$6="All",ISNUMBER(SEARCH(Query!$B$6,'Compliance Database'!$I1849))),OR(Query!$B$7="All",'Compliance Database'!$F1849=Query!$B$7),OR(Query!$B$8="All",'Compliance Database'!$J1849=Query!$B$8),OR(Query!$B$9="",ISNUMBER(SEARCH(Query!$B$9,'Compliance Database'!$D1849&amp;" "&amp;'Compliance Database'!$K1849&amp;" "&amp;'Compliance Database'!$L1849&amp;" "&amp;'Compliance Database'!$M1849&amp;" "&amp;'Compliance Database'!$N1849&amp;" "&amp;'Compliance Database'!$O1849))),OR(Query!$B$10&lt;&gt;"Yes",'Compliance Database'!$F1849&lt;&gt;"None")),1,0)</f>
        <v/>
      </c>
      <c r="B1849">
        <f>IF($A1849=1,SUM($A$2:$A1849),"")</f>
        <v/>
      </c>
      <c r="C1849">
        <f>IF($A1849=1,SUM($A$2:$A1849),0)</f>
        <v/>
      </c>
    </row>
    <row r="1850">
      <c r="A1850">
        <f>IF(AND(OR(Query!$B$4="All",'Compliance Database'!$A1850=Query!$B$4),OR(Query!$B$5="All",ISNUMBER(SEARCH(Query!$B$5,'Compliance Database'!$H1850))),OR(Query!$B$6="All",ISNUMBER(SEARCH(Query!$B$6,'Compliance Database'!$I1850))),OR(Query!$B$7="All",'Compliance Database'!$F1850=Query!$B$7),OR(Query!$B$8="All",'Compliance Database'!$J1850=Query!$B$8),OR(Query!$B$9="",ISNUMBER(SEARCH(Query!$B$9,'Compliance Database'!$D1850&amp;" "&amp;'Compliance Database'!$K1850&amp;" "&amp;'Compliance Database'!$L1850&amp;" "&amp;'Compliance Database'!$M1850&amp;" "&amp;'Compliance Database'!$N1850&amp;" "&amp;'Compliance Database'!$O1850))),OR(Query!$B$10&lt;&gt;"Yes",'Compliance Database'!$F1850&lt;&gt;"None")),1,0)</f>
        <v/>
      </c>
      <c r="B1850">
        <f>IF($A1850=1,SUM($A$2:$A1850),"")</f>
        <v/>
      </c>
      <c r="C1850">
        <f>IF($A1850=1,SUM($A$2:$A1850),0)</f>
        <v/>
      </c>
    </row>
    <row r="1851">
      <c r="A1851">
        <f>IF(AND(OR(Query!$B$4="All",'Compliance Database'!$A1851=Query!$B$4),OR(Query!$B$5="All",ISNUMBER(SEARCH(Query!$B$5,'Compliance Database'!$H1851))),OR(Query!$B$6="All",ISNUMBER(SEARCH(Query!$B$6,'Compliance Database'!$I1851))),OR(Query!$B$7="All",'Compliance Database'!$F1851=Query!$B$7),OR(Query!$B$8="All",'Compliance Database'!$J1851=Query!$B$8),OR(Query!$B$9="",ISNUMBER(SEARCH(Query!$B$9,'Compliance Database'!$D1851&amp;" "&amp;'Compliance Database'!$K1851&amp;" "&amp;'Compliance Database'!$L1851&amp;" "&amp;'Compliance Database'!$M1851&amp;" "&amp;'Compliance Database'!$N1851&amp;" "&amp;'Compliance Database'!$O1851))),OR(Query!$B$10&lt;&gt;"Yes",'Compliance Database'!$F1851&lt;&gt;"None")),1,0)</f>
        <v/>
      </c>
      <c r="B1851">
        <f>IF($A1851=1,SUM($A$2:$A1851),"")</f>
        <v/>
      </c>
      <c r="C1851">
        <f>IF($A1851=1,SUM($A$2:$A1851),0)</f>
        <v/>
      </c>
    </row>
    <row r="1852">
      <c r="A1852">
        <f>IF(AND(OR(Query!$B$4="All",'Compliance Database'!$A1852=Query!$B$4),OR(Query!$B$5="All",ISNUMBER(SEARCH(Query!$B$5,'Compliance Database'!$H1852))),OR(Query!$B$6="All",ISNUMBER(SEARCH(Query!$B$6,'Compliance Database'!$I1852))),OR(Query!$B$7="All",'Compliance Database'!$F1852=Query!$B$7),OR(Query!$B$8="All",'Compliance Database'!$J1852=Query!$B$8),OR(Query!$B$9="",ISNUMBER(SEARCH(Query!$B$9,'Compliance Database'!$D1852&amp;" "&amp;'Compliance Database'!$K1852&amp;" "&amp;'Compliance Database'!$L1852&amp;" "&amp;'Compliance Database'!$M1852&amp;" "&amp;'Compliance Database'!$N1852&amp;" "&amp;'Compliance Database'!$O1852))),OR(Query!$B$10&lt;&gt;"Yes",'Compliance Database'!$F1852&lt;&gt;"None")),1,0)</f>
        <v/>
      </c>
      <c r="B1852">
        <f>IF($A1852=1,SUM($A$2:$A1852),"")</f>
        <v/>
      </c>
      <c r="C1852">
        <f>IF($A1852=1,SUM($A$2:$A1852),0)</f>
        <v/>
      </c>
    </row>
    <row r="1853">
      <c r="A1853">
        <f>IF(AND(OR(Query!$B$4="All",'Compliance Database'!$A1853=Query!$B$4),OR(Query!$B$5="All",ISNUMBER(SEARCH(Query!$B$5,'Compliance Database'!$H1853))),OR(Query!$B$6="All",ISNUMBER(SEARCH(Query!$B$6,'Compliance Database'!$I1853))),OR(Query!$B$7="All",'Compliance Database'!$F1853=Query!$B$7),OR(Query!$B$8="All",'Compliance Database'!$J1853=Query!$B$8),OR(Query!$B$9="",ISNUMBER(SEARCH(Query!$B$9,'Compliance Database'!$D1853&amp;" "&amp;'Compliance Database'!$K1853&amp;" "&amp;'Compliance Database'!$L1853&amp;" "&amp;'Compliance Database'!$M1853&amp;" "&amp;'Compliance Database'!$N1853&amp;" "&amp;'Compliance Database'!$O1853))),OR(Query!$B$10&lt;&gt;"Yes",'Compliance Database'!$F1853&lt;&gt;"None")),1,0)</f>
        <v/>
      </c>
      <c r="B1853">
        <f>IF($A1853=1,SUM($A$2:$A1853),"")</f>
        <v/>
      </c>
      <c r="C1853">
        <f>IF($A1853=1,SUM($A$2:$A1853),0)</f>
        <v/>
      </c>
    </row>
    <row r="1854">
      <c r="A1854">
        <f>IF(AND(OR(Query!$B$4="All",'Compliance Database'!$A1854=Query!$B$4),OR(Query!$B$5="All",ISNUMBER(SEARCH(Query!$B$5,'Compliance Database'!$H1854))),OR(Query!$B$6="All",ISNUMBER(SEARCH(Query!$B$6,'Compliance Database'!$I1854))),OR(Query!$B$7="All",'Compliance Database'!$F1854=Query!$B$7),OR(Query!$B$8="All",'Compliance Database'!$J1854=Query!$B$8),OR(Query!$B$9="",ISNUMBER(SEARCH(Query!$B$9,'Compliance Database'!$D1854&amp;" "&amp;'Compliance Database'!$K1854&amp;" "&amp;'Compliance Database'!$L1854&amp;" "&amp;'Compliance Database'!$M1854&amp;" "&amp;'Compliance Database'!$N1854&amp;" "&amp;'Compliance Database'!$O1854))),OR(Query!$B$10&lt;&gt;"Yes",'Compliance Database'!$F1854&lt;&gt;"None")),1,0)</f>
        <v/>
      </c>
      <c r="B1854">
        <f>IF($A1854=1,SUM($A$2:$A1854),"")</f>
        <v/>
      </c>
      <c r="C1854">
        <f>IF($A1854=1,SUM($A$2:$A1854),0)</f>
        <v/>
      </c>
    </row>
    <row r="1855">
      <c r="A1855">
        <f>IF(AND(OR(Query!$B$4="All",'Compliance Database'!$A1855=Query!$B$4),OR(Query!$B$5="All",ISNUMBER(SEARCH(Query!$B$5,'Compliance Database'!$H1855))),OR(Query!$B$6="All",ISNUMBER(SEARCH(Query!$B$6,'Compliance Database'!$I1855))),OR(Query!$B$7="All",'Compliance Database'!$F1855=Query!$B$7),OR(Query!$B$8="All",'Compliance Database'!$J1855=Query!$B$8),OR(Query!$B$9="",ISNUMBER(SEARCH(Query!$B$9,'Compliance Database'!$D1855&amp;" "&amp;'Compliance Database'!$K1855&amp;" "&amp;'Compliance Database'!$L1855&amp;" "&amp;'Compliance Database'!$M1855&amp;" "&amp;'Compliance Database'!$N1855&amp;" "&amp;'Compliance Database'!$O1855))),OR(Query!$B$10&lt;&gt;"Yes",'Compliance Database'!$F1855&lt;&gt;"None")),1,0)</f>
        <v/>
      </c>
      <c r="B1855">
        <f>IF($A1855=1,SUM($A$2:$A1855),"")</f>
        <v/>
      </c>
      <c r="C1855">
        <f>IF($A1855=1,SUM($A$2:$A1855),0)</f>
        <v/>
      </c>
    </row>
    <row r="1856">
      <c r="A1856">
        <f>IF(AND(OR(Query!$B$4="All",'Compliance Database'!$A1856=Query!$B$4),OR(Query!$B$5="All",ISNUMBER(SEARCH(Query!$B$5,'Compliance Database'!$H1856))),OR(Query!$B$6="All",ISNUMBER(SEARCH(Query!$B$6,'Compliance Database'!$I1856))),OR(Query!$B$7="All",'Compliance Database'!$F1856=Query!$B$7),OR(Query!$B$8="All",'Compliance Database'!$J1856=Query!$B$8),OR(Query!$B$9="",ISNUMBER(SEARCH(Query!$B$9,'Compliance Database'!$D1856&amp;" "&amp;'Compliance Database'!$K1856&amp;" "&amp;'Compliance Database'!$L1856&amp;" "&amp;'Compliance Database'!$M1856&amp;" "&amp;'Compliance Database'!$N1856&amp;" "&amp;'Compliance Database'!$O1856))),OR(Query!$B$10&lt;&gt;"Yes",'Compliance Database'!$F1856&lt;&gt;"None")),1,0)</f>
        <v/>
      </c>
      <c r="B1856">
        <f>IF($A1856=1,SUM($A$2:$A1856),"")</f>
        <v/>
      </c>
      <c r="C1856">
        <f>IF($A1856=1,SUM($A$2:$A1856),0)</f>
        <v/>
      </c>
    </row>
    <row r="1857">
      <c r="A1857">
        <f>IF(AND(OR(Query!$B$4="All",'Compliance Database'!$A1857=Query!$B$4),OR(Query!$B$5="All",ISNUMBER(SEARCH(Query!$B$5,'Compliance Database'!$H1857))),OR(Query!$B$6="All",ISNUMBER(SEARCH(Query!$B$6,'Compliance Database'!$I1857))),OR(Query!$B$7="All",'Compliance Database'!$F1857=Query!$B$7),OR(Query!$B$8="All",'Compliance Database'!$J1857=Query!$B$8),OR(Query!$B$9="",ISNUMBER(SEARCH(Query!$B$9,'Compliance Database'!$D1857&amp;" "&amp;'Compliance Database'!$K1857&amp;" "&amp;'Compliance Database'!$L1857&amp;" "&amp;'Compliance Database'!$M1857&amp;" "&amp;'Compliance Database'!$N1857&amp;" "&amp;'Compliance Database'!$O1857))),OR(Query!$B$10&lt;&gt;"Yes",'Compliance Database'!$F1857&lt;&gt;"None")),1,0)</f>
        <v/>
      </c>
      <c r="B1857">
        <f>IF($A1857=1,SUM($A$2:$A1857),"")</f>
        <v/>
      </c>
      <c r="C1857">
        <f>IF($A1857=1,SUM($A$2:$A1857),0)</f>
        <v/>
      </c>
    </row>
    <row r="1858">
      <c r="A1858">
        <f>IF(AND(OR(Query!$B$4="All",'Compliance Database'!$A1858=Query!$B$4),OR(Query!$B$5="All",ISNUMBER(SEARCH(Query!$B$5,'Compliance Database'!$H1858))),OR(Query!$B$6="All",ISNUMBER(SEARCH(Query!$B$6,'Compliance Database'!$I1858))),OR(Query!$B$7="All",'Compliance Database'!$F1858=Query!$B$7),OR(Query!$B$8="All",'Compliance Database'!$J1858=Query!$B$8),OR(Query!$B$9="",ISNUMBER(SEARCH(Query!$B$9,'Compliance Database'!$D1858&amp;" "&amp;'Compliance Database'!$K1858&amp;" "&amp;'Compliance Database'!$L1858&amp;" "&amp;'Compliance Database'!$M1858&amp;" "&amp;'Compliance Database'!$N1858&amp;" "&amp;'Compliance Database'!$O1858))),OR(Query!$B$10&lt;&gt;"Yes",'Compliance Database'!$F1858&lt;&gt;"None")),1,0)</f>
        <v/>
      </c>
      <c r="B1858">
        <f>IF($A1858=1,SUM($A$2:$A1858),"")</f>
        <v/>
      </c>
      <c r="C1858">
        <f>IF($A1858=1,SUM($A$2:$A1858),0)</f>
        <v/>
      </c>
    </row>
    <row r="1859">
      <c r="A1859">
        <f>IF(AND(OR(Query!$B$4="All",'Compliance Database'!$A1859=Query!$B$4),OR(Query!$B$5="All",ISNUMBER(SEARCH(Query!$B$5,'Compliance Database'!$H1859))),OR(Query!$B$6="All",ISNUMBER(SEARCH(Query!$B$6,'Compliance Database'!$I1859))),OR(Query!$B$7="All",'Compliance Database'!$F1859=Query!$B$7),OR(Query!$B$8="All",'Compliance Database'!$J1859=Query!$B$8),OR(Query!$B$9="",ISNUMBER(SEARCH(Query!$B$9,'Compliance Database'!$D1859&amp;" "&amp;'Compliance Database'!$K1859&amp;" "&amp;'Compliance Database'!$L1859&amp;" "&amp;'Compliance Database'!$M1859&amp;" "&amp;'Compliance Database'!$N1859&amp;" "&amp;'Compliance Database'!$O1859))),OR(Query!$B$10&lt;&gt;"Yes",'Compliance Database'!$F1859&lt;&gt;"None")),1,0)</f>
        <v/>
      </c>
      <c r="B1859">
        <f>IF($A1859=1,SUM($A$2:$A1859),"")</f>
        <v/>
      </c>
      <c r="C1859">
        <f>IF($A1859=1,SUM($A$2:$A1859),0)</f>
        <v/>
      </c>
    </row>
    <row r="1860">
      <c r="A1860">
        <f>IF(AND(OR(Query!$B$4="All",'Compliance Database'!$A1860=Query!$B$4),OR(Query!$B$5="All",ISNUMBER(SEARCH(Query!$B$5,'Compliance Database'!$H1860))),OR(Query!$B$6="All",ISNUMBER(SEARCH(Query!$B$6,'Compliance Database'!$I1860))),OR(Query!$B$7="All",'Compliance Database'!$F1860=Query!$B$7),OR(Query!$B$8="All",'Compliance Database'!$J1860=Query!$B$8),OR(Query!$B$9="",ISNUMBER(SEARCH(Query!$B$9,'Compliance Database'!$D1860&amp;" "&amp;'Compliance Database'!$K1860&amp;" "&amp;'Compliance Database'!$L1860&amp;" "&amp;'Compliance Database'!$M1860&amp;" "&amp;'Compliance Database'!$N1860&amp;" "&amp;'Compliance Database'!$O1860))),OR(Query!$B$10&lt;&gt;"Yes",'Compliance Database'!$F1860&lt;&gt;"None")),1,0)</f>
        <v/>
      </c>
      <c r="B1860">
        <f>IF($A1860=1,SUM($A$2:$A1860),"")</f>
        <v/>
      </c>
      <c r="C1860">
        <f>IF($A1860=1,SUM($A$2:$A1860),0)</f>
        <v/>
      </c>
    </row>
    <row r="1861">
      <c r="A1861">
        <f>IF(AND(OR(Query!$B$4="All",'Compliance Database'!$A1861=Query!$B$4),OR(Query!$B$5="All",ISNUMBER(SEARCH(Query!$B$5,'Compliance Database'!$H1861))),OR(Query!$B$6="All",ISNUMBER(SEARCH(Query!$B$6,'Compliance Database'!$I1861))),OR(Query!$B$7="All",'Compliance Database'!$F1861=Query!$B$7),OR(Query!$B$8="All",'Compliance Database'!$J1861=Query!$B$8),OR(Query!$B$9="",ISNUMBER(SEARCH(Query!$B$9,'Compliance Database'!$D1861&amp;" "&amp;'Compliance Database'!$K1861&amp;" "&amp;'Compliance Database'!$L1861&amp;" "&amp;'Compliance Database'!$M1861&amp;" "&amp;'Compliance Database'!$N1861&amp;" "&amp;'Compliance Database'!$O1861))),OR(Query!$B$10&lt;&gt;"Yes",'Compliance Database'!$F1861&lt;&gt;"None")),1,0)</f>
        <v/>
      </c>
      <c r="B1861">
        <f>IF($A1861=1,SUM($A$2:$A1861),"")</f>
        <v/>
      </c>
      <c r="C1861">
        <f>IF($A1861=1,SUM($A$2:$A1861),0)</f>
        <v/>
      </c>
    </row>
    <row r="1862">
      <c r="A1862">
        <f>IF(AND(OR(Query!$B$4="All",'Compliance Database'!$A1862=Query!$B$4),OR(Query!$B$5="All",ISNUMBER(SEARCH(Query!$B$5,'Compliance Database'!$H1862))),OR(Query!$B$6="All",ISNUMBER(SEARCH(Query!$B$6,'Compliance Database'!$I1862))),OR(Query!$B$7="All",'Compliance Database'!$F1862=Query!$B$7),OR(Query!$B$8="All",'Compliance Database'!$J1862=Query!$B$8),OR(Query!$B$9="",ISNUMBER(SEARCH(Query!$B$9,'Compliance Database'!$D1862&amp;" "&amp;'Compliance Database'!$K1862&amp;" "&amp;'Compliance Database'!$L1862&amp;" "&amp;'Compliance Database'!$M1862&amp;" "&amp;'Compliance Database'!$N1862&amp;" "&amp;'Compliance Database'!$O1862))),OR(Query!$B$10&lt;&gt;"Yes",'Compliance Database'!$F1862&lt;&gt;"None")),1,0)</f>
        <v/>
      </c>
      <c r="B1862">
        <f>IF($A1862=1,SUM($A$2:$A1862),"")</f>
        <v/>
      </c>
      <c r="C1862">
        <f>IF($A1862=1,SUM($A$2:$A1862),0)</f>
        <v/>
      </c>
    </row>
    <row r="1863">
      <c r="A1863">
        <f>IF(AND(OR(Query!$B$4="All",'Compliance Database'!$A1863=Query!$B$4),OR(Query!$B$5="All",ISNUMBER(SEARCH(Query!$B$5,'Compliance Database'!$H1863))),OR(Query!$B$6="All",ISNUMBER(SEARCH(Query!$B$6,'Compliance Database'!$I1863))),OR(Query!$B$7="All",'Compliance Database'!$F1863=Query!$B$7),OR(Query!$B$8="All",'Compliance Database'!$J1863=Query!$B$8),OR(Query!$B$9="",ISNUMBER(SEARCH(Query!$B$9,'Compliance Database'!$D1863&amp;" "&amp;'Compliance Database'!$K1863&amp;" "&amp;'Compliance Database'!$L1863&amp;" "&amp;'Compliance Database'!$M1863&amp;" "&amp;'Compliance Database'!$N1863&amp;" "&amp;'Compliance Database'!$O1863))),OR(Query!$B$10&lt;&gt;"Yes",'Compliance Database'!$F1863&lt;&gt;"None")),1,0)</f>
        <v/>
      </c>
      <c r="B1863">
        <f>IF($A1863=1,SUM($A$2:$A1863),"")</f>
        <v/>
      </c>
      <c r="C1863">
        <f>IF($A1863=1,SUM($A$2:$A1863),0)</f>
        <v/>
      </c>
    </row>
    <row r="1864">
      <c r="A1864">
        <f>IF(AND(OR(Query!$B$4="All",'Compliance Database'!$A1864=Query!$B$4),OR(Query!$B$5="All",ISNUMBER(SEARCH(Query!$B$5,'Compliance Database'!$H1864))),OR(Query!$B$6="All",ISNUMBER(SEARCH(Query!$B$6,'Compliance Database'!$I1864))),OR(Query!$B$7="All",'Compliance Database'!$F1864=Query!$B$7),OR(Query!$B$8="All",'Compliance Database'!$J1864=Query!$B$8),OR(Query!$B$9="",ISNUMBER(SEARCH(Query!$B$9,'Compliance Database'!$D1864&amp;" "&amp;'Compliance Database'!$K1864&amp;" "&amp;'Compliance Database'!$L1864&amp;" "&amp;'Compliance Database'!$M1864&amp;" "&amp;'Compliance Database'!$N1864&amp;" "&amp;'Compliance Database'!$O1864))),OR(Query!$B$10&lt;&gt;"Yes",'Compliance Database'!$F1864&lt;&gt;"None")),1,0)</f>
        <v/>
      </c>
      <c r="B1864">
        <f>IF($A1864=1,SUM($A$2:$A1864),"")</f>
        <v/>
      </c>
      <c r="C1864">
        <f>IF($A1864=1,SUM($A$2:$A1864),0)</f>
        <v/>
      </c>
    </row>
    <row r="1865">
      <c r="A1865">
        <f>IF(AND(OR(Query!$B$4="All",'Compliance Database'!$A1865=Query!$B$4),OR(Query!$B$5="All",ISNUMBER(SEARCH(Query!$B$5,'Compliance Database'!$H1865))),OR(Query!$B$6="All",ISNUMBER(SEARCH(Query!$B$6,'Compliance Database'!$I1865))),OR(Query!$B$7="All",'Compliance Database'!$F1865=Query!$B$7),OR(Query!$B$8="All",'Compliance Database'!$J1865=Query!$B$8),OR(Query!$B$9="",ISNUMBER(SEARCH(Query!$B$9,'Compliance Database'!$D1865&amp;" "&amp;'Compliance Database'!$K1865&amp;" "&amp;'Compliance Database'!$L1865&amp;" "&amp;'Compliance Database'!$M1865&amp;" "&amp;'Compliance Database'!$N1865&amp;" "&amp;'Compliance Database'!$O1865))),OR(Query!$B$10&lt;&gt;"Yes",'Compliance Database'!$F1865&lt;&gt;"None")),1,0)</f>
        <v/>
      </c>
      <c r="B1865">
        <f>IF($A1865=1,SUM($A$2:$A1865),"")</f>
        <v/>
      </c>
      <c r="C1865">
        <f>IF($A1865=1,SUM($A$2:$A1865),0)</f>
        <v/>
      </c>
    </row>
    <row r="1866">
      <c r="A1866">
        <f>IF(AND(OR(Query!$B$4="All",'Compliance Database'!$A1866=Query!$B$4),OR(Query!$B$5="All",ISNUMBER(SEARCH(Query!$B$5,'Compliance Database'!$H1866))),OR(Query!$B$6="All",ISNUMBER(SEARCH(Query!$B$6,'Compliance Database'!$I1866))),OR(Query!$B$7="All",'Compliance Database'!$F1866=Query!$B$7),OR(Query!$B$8="All",'Compliance Database'!$J1866=Query!$B$8),OR(Query!$B$9="",ISNUMBER(SEARCH(Query!$B$9,'Compliance Database'!$D1866&amp;" "&amp;'Compliance Database'!$K1866&amp;" "&amp;'Compliance Database'!$L1866&amp;" "&amp;'Compliance Database'!$M1866&amp;" "&amp;'Compliance Database'!$N1866&amp;" "&amp;'Compliance Database'!$O1866))),OR(Query!$B$10&lt;&gt;"Yes",'Compliance Database'!$F1866&lt;&gt;"None")),1,0)</f>
        <v/>
      </c>
      <c r="B1866">
        <f>IF($A1866=1,SUM($A$2:$A1866),"")</f>
        <v/>
      </c>
      <c r="C1866">
        <f>IF($A1866=1,SUM($A$2:$A1866),0)</f>
        <v/>
      </c>
    </row>
    <row r="1867">
      <c r="A1867">
        <f>IF(AND(OR(Query!$B$4="All",'Compliance Database'!$A1867=Query!$B$4),OR(Query!$B$5="All",ISNUMBER(SEARCH(Query!$B$5,'Compliance Database'!$H1867))),OR(Query!$B$6="All",ISNUMBER(SEARCH(Query!$B$6,'Compliance Database'!$I1867))),OR(Query!$B$7="All",'Compliance Database'!$F1867=Query!$B$7),OR(Query!$B$8="All",'Compliance Database'!$J1867=Query!$B$8),OR(Query!$B$9="",ISNUMBER(SEARCH(Query!$B$9,'Compliance Database'!$D1867&amp;" "&amp;'Compliance Database'!$K1867&amp;" "&amp;'Compliance Database'!$L1867&amp;" "&amp;'Compliance Database'!$M1867&amp;" "&amp;'Compliance Database'!$N1867&amp;" "&amp;'Compliance Database'!$O1867))),OR(Query!$B$10&lt;&gt;"Yes",'Compliance Database'!$F1867&lt;&gt;"None")),1,0)</f>
        <v/>
      </c>
      <c r="B1867">
        <f>IF($A1867=1,SUM($A$2:$A1867),"")</f>
        <v/>
      </c>
      <c r="C1867">
        <f>IF($A1867=1,SUM($A$2:$A1867),0)</f>
        <v/>
      </c>
    </row>
    <row r="1868">
      <c r="A1868">
        <f>IF(AND(OR(Query!$B$4="All",'Compliance Database'!$A1868=Query!$B$4),OR(Query!$B$5="All",ISNUMBER(SEARCH(Query!$B$5,'Compliance Database'!$H1868))),OR(Query!$B$6="All",ISNUMBER(SEARCH(Query!$B$6,'Compliance Database'!$I1868))),OR(Query!$B$7="All",'Compliance Database'!$F1868=Query!$B$7),OR(Query!$B$8="All",'Compliance Database'!$J1868=Query!$B$8),OR(Query!$B$9="",ISNUMBER(SEARCH(Query!$B$9,'Compliance Database'!$D1868&amp;" "&amp;'Compliance Database'!$K1868&amp;" "&amp;'Compliance Database'!$L1868&amp;" "&amp;'Compliance Database'!$M1868&amp;" "&amp;'Compliance Database'!$N1868&amp;" "&amp;'Compliance Database'!$O1868))),OR(Query!$B$10&lt;&gt;"Yes",'Compliance Database'!$F1868&lt;&gt;"None")),1,0)</f>
        <v/>
      </c>
      <c r="B1868">
        <f>IF($A1868=1,SUM($A$2:$A1868),"")</f>
        <v/>
      </c>
      <c r="C1868">
        <f>IF($A1868=1,SUM($A$2:$A1868),0)</f>
        <v/>
      </c>
    </row>
    <row r="1869">
      <c r="A1869">
        <f>IF(AND(OR(Query!$B$4="All",'Compliance Database'!$A1869=Query!$B$4),OR(Query!$B$5="All",ISNUMBER(SEARCH(Query!$B$5,'Compliance Database'!$H1869))),OR(Query!$B$6="All",ISNUMBER(SEARCH(Query!$B$6,'Compliance Database'!$I1869))),OR(Query!$B$7="All",'Compliance Database'!$F1869=Query!$B$7),OR(Query!$B$8="All",'Compliance Database'!$J1869=Query!$B$8),OR(Query!$B$9="",ISNUMBER(SEARCH(Query!$B$9,'Compliance Database'!$D1869&amp;" "&amp;'Compliance Database'!$K1869&amp;" "&amp;'Compliance Database'!$L1869&amp;" "&amp;'Compliance Database'!$M1869&amp;" "&amp;'Compliance Database'!$N1869&amp;" "&amp;'Compliance Database'!$O1869))),OR(Query!$B$10&lt;&gt;"Yes",'Compliance Database'!$F1869&lt;&gt;"None")),1,0)</f>
        <v/>
      </c>
      <c r="B1869">
        <f>IF($A1869=1,SUM($A$2:$A1869),"")</f>
        <v/>
      </c>
      <c r="C1869">
        <f>IF($A1869=1,SUM($A$2:$A1869),0)</f>
        <v/>
      </c>
    </row>
    <row r="1870">
      <c r="A1870">
        <f>IF(AND(OR(Query!$B$4="All",'Compliance Database'!$A1870=Query!$B$4),OR(Query!$B$5="All",ISNUMBER(SEARCH(Query!$B$5,'Compliance Database'!$H1870))),OR(Query!$B$6="All",ISNUMBER(SEARCH(Query!$B$6,'Compliance Database'!$I1870))),OR(Query!$B$7="All",'Compliance Database'!$F1870=Query!$B$7),OR(Query!$B$8="All",'Compliance Database'!$J1870=Query!$B$8),OR(Query!$B$9="",ISNUMBER(SEARCH(Query!$B$9,'Compliance Database'!$D1870&amp;" "&amp;'Compliance Database'!$K1870&amp;" "&amp;'Compliance Database'!$L1870&amp;" "&amp;'Compliance Database'!$M1870&amp;" "&amp;'Compliance Database'!$N1870&amp;" "&amp;'Compliance Database'!$O1870))),OR(Query!$B$10&lt;&gt;"Yes",'Compliance Database'!$F1870&lt;&gt;"None")),1,0)</f>
        <v/>
      </c>
      <c r="B1870">
        <f>IF($A1870=1,SUM($A$2:$A1870),"")</f>
        <v/>
      </c>
      <c r="C1870">
        <f>IF($A1870=1,SUM($A$2:$A1870),0)</f>
        <v/>
      </c>
    </row>
    <row r="1871">
      <c r="A1871">
        <f>IF(AND(OR(Query!$B$4="All",'Compliance Database'!$A1871=Query!$B$4),OR(Query!$B$5="All",ISNUMBER(SEARCH(Query!$B$5,'Compliance Database'!$H1871))),OR(Query!$B$6="All",ISNUMBER(SEARCH(Query!$B$6,'Compliance Database'!$I1871))),OR(Query!$B$7="All",'Compliance Database'!$F1871=Query!$B$7),OR(Query!$B$8="All",'Compliance Database'!$J1871=Query!$B$8),OR(Query!$B$9="",ISNUMBER(SEARCH(Query!$B$9,'Compliance Database'!$D1871&amp;" "&amp;'Compliance Database'!$K1871&amp;" "&amp;'Compliance Database'!$L1871&amp;" "&amp;'Compliance Database'!$M1871&amp;" "&amp;'Compliance Database'!$N1871&amp;" "&amp;'Compliance Database'!$O1871))),OR(Query!$B$10&lt;&gt;"Yes",'Compliance Database'!$F1871&lt;&gt;"None")),1,0)</f>
        <v/>
      </c>
      <c r="B1871">
        <f>IF($A1871=1,SUM($A$2:$A1871),"")</f>
        <v/>
      </c>
      <c r="C1871">
        <f>IF($A1871=1,SUM($A$2:$A1871),0)</f>
        <v/>
      </c>
    </row>
    <row r="1872">
      <c r="A1872">
        <f>IF(AND(OR(Query!$B$4="All",'Compliance Database'!$A1872=Query!$B$4),OR(Query!$B$5="All",ISNUMBER(SEARCH(Query!$B$5,'Compliance Database'!$H1872))),OR(Query!$B$6="All",ISNUMBER(SEARCH(Query!$B$6,'Compliance Database'!$I1872))),OR(Query!$B$7="All",'Compliance Database'!$F1872=Query!$B$7),OR(Query!$B$8="All",'Compliance Database'!$J1872=Query!$B$8),OR(Query!$B$9="",ISNUMBER(SEARCH(Query!$B$9,'Compliance Database'!$D1872&amp;" "&amp;'Compliance Database'!$K1872&amp;" "&amp;'Compliance Database'!$L1872&amp;" "&amp;'Compliance Database'!$M1872&amp;" "&amp;'Compliance Database'!$N1872&amp;" "&amp;'Compliance Database'!$O1872))),OR(Query!$B$10&lt;&gt;"Yes",'Compliance Database'!$F1872&lt;&gt;"None")),1,0)</f>
        <v/>
      </c>
      <c r="B1872">
        <f>IF($A1872=1,SUM($A$2:$A1872),"")</f>
        <v/>
      </c>
      <c r="C1872">
        <f>IF($A1872=1,SUM($A$2:$A1872),0)</f>
        <v/>
      </c>
    </row>
    <row r="1873">
      <c r="A1873">
        <f>IF(AND(OR(Query!$B$4="All",'Compliance Database'!$A1873=Query!$B$4),OR(Query!$B$5="All",ISNUMBER(SEARCH(Query!$B$5,'Compliance Database'!$H1873))),OR(Query!$B$6="All",ISNUMBER(SEARCH(Query!$B$6,'Compliance Database'!$I1873))),OR(Query!$B$7="All",'Compliance Database'!$F1873=Query!$B$7),OR(Query!$B$8="All",'Compliance Database'!$J1873=Query!$B$8),OR(Query!$B$9="",ISNUMBER(SEARCH(Query!$B$9,'Compliance Database'!$D1873&amp;" "&amp;'Compliance Database'!$K1873&amp;" "&amp;'Compliance Database'!$L1873&amp;" "&amp;'Compliance Database'!$M1873&amp;" "&amp;'Compliance Database'!$N1873&amp;" "&amp;'Compliance Database'!$O1873))),OR(Query!$B$10&lt;&gt;"Yes",'Compliance Database'!$F1873&lt;&gt;"None")),1,0)</f>
        <v/>
      </c>
      <c r="B1873">
        <f>IF($A1873=1,SUM($A$2:$A1873),"")</f>
        <v/>
      </c>
      <c r="C1873">
        <f>IF($A1873=1,SUM($A$2:$A1873),0)</f>
        <v/>
      </c>
    </row>
    <row r="1874">
      <c r="A1874">
        <f>IF(AND(OR(Query!$B$4="All",'Compliance Database'!$A1874=Query!$B$4),OR(Query!$B$5="All",ISNUMBER(SEARCH(Query!$B$5,'Compliance Database'!$H1874))),OR(Query!$B$6="All",ISNUMBER(SEARCH(Query!$B$6,'Compliance Database'!$I1874))),OR(Query!$B$7="All",'Compliance Database'!$F1874=Query!$B$7),OR(Query!$B$8="All",'Compliance Database'!$J1874=Query!$B$8),OR(Query!$B$9="",ISNUMBER(SEARCH(Query!$B$9,'Compliance Database'!$D1874&amp;" "&amp;'Compliance Database'!$K1874&amp;" "&amp;'Compliance Database'!$L1874&amp;" "&amp;'Compliance Database'!$M1874&amp;" "&amp;'Compliance Database'!$N1874&amp;" "&amp;'Compliance Database'!$O1874))),OR(Query!$B$10&lt;&gt;"Yes",'Compliance Database'!$F1874&lt;&gt;"None")),1,0)</f>
        <v/>
      </c>
      <c r="B1874">
        <f>IF($A1874=1,SUM($A$2:$A1874),"")</f>
        <v/>
      </c>
      <c r="C1874">
        <f>IF($A1874=1,SUM($A$2:$A1874),0)</f>
        <v/>
      </c>
    </row>
    <row r="1875">
      <c r="A1875">
        <f>IF(AND(OR(Query!$B$4="All",'Compliance Database'!$A1875=Query!$B$4),OR(Query!$B$5="All",ISNUMBER(SEARCH(Query!$B$5,'Compliance Database'!$H1875))),OR(Query!$B$6="All",ISNUMBER(SEARCH(Query!$B$6,'Compliance Database'!$I1875))),OR(Query!$B$7="All",'Compliance Database'!$F1875=Query!$B$7),OR(Query!$B$8="All",'Compliance Database'!$J1875=Query!$B$8),OR(Query!$B$9="",ISNUMBER(SEARCH(Query!$B$9,'Compliance Database'!$D1875&amp;" "&amp;'Compliance Database'!$K1875&amp;" "&amp;'Compliance Database'!$L1875&amp;" "&amp;'Compliance Database'!$M1875&amp;" "&amp;'Compliance Database'!$N1875&amp;" "&amp;'Compliance Database'!$O1875))),OR(Query!$B$10&lt;&gt;"Yes",'Compliance Database'!$F1875&lt;&gt;"None")),1,0)</f>
        <v/>
      </c>
      <c r="B1875">
        <f>IF($A1875=1,SUM($A$2:$A1875),"")</f>
        <v/>
      </c>
      <c r="C1875">
        <f>IF($A1875=1,SUM($A$2:$A1875),0)</f>
        <v/>
      </c>
    </row>
    <row r="1876">
      <c r="A1876">
        <f>IF(AND(OR(Query!$B$4="All",'Compliance Database'!$A1876=Query!$B$4),OR(Query!$B$5="All",ISNUMBER(SEARCH(Query!$B$5,'Compliance Database'!$H1876))),OR(Query!$B$6="All",ISNUMBER(SEARCH(Query!$B$6,'Compliance Database'!$I1876))),OR(Query!$B$7="All",'Compliance Database'!$F1876=Query!$B$7),OR(Query!$B$8="All",'Compliance Database'!$J1876=Query!$B$8),OR(Query!$B$9="",ISNUMBER(SEARCH(Query!$B$9,'Compliance Database'!$D1876&amp;" "&amp;'Compliance Database'!$K1876&amp;" "&amp;'Compliance Database'!$L1876&amp;" "&amp;'Compliance Database'!$M1876&amp;" "&amp;'Compliance Database'!$N1876&amp;" "&amp;'Compliance Database'!$O1876))),OR(Query!$B$10&lt;&gt;"Yes",'Compliance Database'!$F1876&lt;&gt;"None")),1,0)</f>
        <v/>
      </c>
      <c r="B1876">
        <f>IF($A1876=1,SUM($A$2:$A1876),"")</f>
        <v/>
      </c>
      <c r="C1876">
        <f>IF($A1876=1,SUM($A$2:$A1876),0)</f>
        <v/>
      </c>
    </row>
    <row r="1877">
      <c r="A1877">
        <f>IF(AND(OR(Query!$B$4="All",'Compliance Database'!$A1877=Query!$B$4),OR(Query!$B$5="All",ISNUMBER(SEARCH(Query!$B$5,'Compliance Database'!$H1877))),OR(Query!$B$6="All",ISNUMBER(SEARCH(Query!$B$6,'Compliance Database'!$I1877))),OR(Query!$B$7="All",'Compliance Database'!$F1877=Query!$B$7),OR(Query!$B$8="All",'Compliance Database'!$J1877=Query!$B$8),OR(Query!$B$9="",ISNUMBER(SEARCH(Query!$B$9,'Compliance Database'!$D1877&amp;" "&amp;'Compliance Database'!$K1877&amp;" "&amp;'Compliance Database'!$L1877&amp;" "&amp;'Compliance Database'!$M1877&amp;" "&amp;'Compliance Database'!$N1877&amp;" "&amp;'Compliance Database'!$O1877))),OR(Query!$B$10&lt;&gt;"Yes",'Compliance Database'!$F1877&lt;&gt;"None")),1,0)</f>
        <v/>
      </c>
      <c r="B1877">
        <f>IF($A1877=1,SUM($A$2:$A1877),"")</f>
        <v/>
      </c>
      <c r="C1877">
        <f>IF($A1877=1,SUM($A$2:$A1877),0)</f>
        <v/>
      </c>
    </row>
    <row r="1878">
      <c r="A1878">
        <f>IF(AND(OR(Query!$B$4="All",'Compliance Database'!$A1878=Query!$B$4),OR(Query!$B$5="All",ISNUMBER(SEARCH(Query!$B$5,'Compliance Database'!$H1878))),OR(Query!$B$6="All",ISNUMBER(SEARCH(Query!$B$6,'Compliance Database'!$I1878))),OR(Query!$B$7="All",'Compliance Database'!$F1878=Query!$B$7),OR(Query!$B$8="All",'Compliance Database'!$J1878=Query!$B$8),OR(Query!$B$9="",ISNUMBER(SEARCH(Query!$B$9,'Compliance Database'!$D1878&amp;" "&amp;'Compliance Database'!$K1878&amp;" "&amp;'Compliance Database'!$L1878&amp;" "&amp;'Compliance Database'!$M1878&amp;" "&amp;'Compliance Database'!$N1878&amp;" "&amp;'Compliance Database'!$O1878))),OR(Query!$B$10&lt;&gt;"Yes",'Compliance Database'!$F1878&lt;&gt;"None")),1,0)</f>
        <v/>
      </c>
      <c r="B1878">
        <f>IF($A1878=1,SUM($A$2:$A1878),"")</f>
        <v/>
      </c>
      <c r="C1878">
        <f>IF($A1878=1,SUM($A$2:$A1878),0)</f>
        <v/>
      </c>
    </row>
    <row r="1879">
      <c r="A1879">
        <f>IF(AND(OR(Query!$B$4="All",'Compliance Database'!$A1879=Query!$B$4),OR(Query!$B$5="All",ISNUMBER(SEARCH(Query!$B$5,'Compliance Database'!$H1879))),OR(Query!$B$6="All",ISNUMBER(SEARCH(Query!$B$6,'Compliance Database'!$I1879))),OR(Query!$B$7="All",'Compliance Database'!$F1879=Query!$B$7),OR(Query!$B$8="All",'Compliance Database'!$J1879=Query!$B$8),OR(Query!$B$9="",ISNUMBER(SEARCH(Query!$B$9,'Compliance Database'!$D1879&amp;" "&amp;'Compliance Database'!$K1879&amp;" "&amp;'Compliance Database'!$L1879&amp;" "&amp;'Compliance Database'!$M1879&amp;" "&amp;'Compliance Database'!$N1879&amp;" "&amp;'Compliance Database'!$O1879))),OR(Query!$B$10&lt;&gt;"Yes",'Compliance Database'!$F1879&lt;&gt;"None")),1,0)</f>
        <v/>
      </c>
      <c r="B1879">
        <f>IF($A1879=1,SUM($A$2:$A1879),"")</f>
        <v/>
      </c>
      <c r="C1879">
        <f>IF($A1879=1,SUM($A$2:$A1879),0)</f>
        <v/>
      </c>
    </row>
    <row r="1880">
      <c r="A1880">
        <f>IF(AND(OR(Query!$B$4="All",'Compliance Database'!$A1880=Query!$B$4),OR(Query!$B$5="All",ISNUMBER(SEARCH(Query!$B$5,'Compliance Database'!$H1880))),OR(Query!$B$6="All",ISNUMBER(SEARCH(Query!$B$6,'Compliance Database'!$I1880))),OR(Query!$B$7="All",'Compliance Database'!$F1880=Query!$B$7),OR(Query!$B$8="All",'Compliance Database'!$J1880=Query!$B$8),OR(Query!$B$9="",ISNUMBER(SEARCH(Query!$B$9,'Compliance Database'!$D1880&amp;" "&amp;'Compliance Database'!$K1880&amp;" "&amp;'Compliance Database'!$L1880&amp;" "&amp;'Compliance Database'!$M1880&amp;" "&amp;'Compliance Database'!$N1880&amp;" "&amp;'Compliance Database'!$O1880))),OR(Query!$B$10&lt;&gt;"Yes",'Compliance Database'!$F1880&lt;&gt;"None")),1,0)</f>
        <v/>
      </c>
      <c r="B1880">
        <f>IF($A1880=1,SUM($A$2:$A1880),"")</f>
        <v/>
      </c>
      <c r="C1880">
        <f>IF($A1880=1,SUM($A$2:$A1880),0)</f>
        <v/>
      </c>
    </row>
    <row r="1881">
      <c r="A1881">
        <f>IF(AND(OR(Query!$B$4="All",'Compliance Database'!$A1881=Query!$B$4),OR(Query!$B$5="All",ISNUMBER(SEARCH(Query!$B$5,'Compliance Database'!$H1881))),OR(Query!$B$6="All",ISNUMBER(SEARCH(Query!$B$6,'Compliance Database'!$I1881))),OR(Query!$B$7="All",'Compliance Database'!$F1881=Query!$B$7),OR(Query!$B$8="All",'Compliance Database'!$J1881=Query!$B$8),OR(Query!$B$9="",ISNUMBER(SEARCH(Query!$B$9,'Compliance Database'!$D1881&amp;" "&amp;'Compliance Database'!$K1881&amp;" "&amp;'Compliance Database'!$L1881&amp;" "&amp;'Compliance Database'!$M1881&amp;" "&amp;'Compliance Database'!$N1881&amp;" "&amp;'Compliance Database'!$O1881))),OR(Query!$B$10&lt;&gt;"Yes",'Compliance Database'!$F1881&lt;&gt;"None")),1,0)</f>
        <v/>
      </c>
      <c r="B1881">
        <f>IF($A1881=1,SUM($A$2:$A1881),"")</f>
        <v/>
      </c>
      <c r="C1881">
        <f>IF($A1881=1,SUM($A$2:$A1881),0)</f>
        <v/>
      </c>
    </row>
    <row r="1882">
      <c r="A1882">
        <f>IF(AND(OR(Query!$B$4="All",'Compliance Database'!$A1882=Query!$B$4),OR(Query!$B$5="All",ISNUMBER(SEARCH(Query!$B$5,'Compliance Database'!$H1882))),OR(Query!$B$6="All",ISNUMBER(SEARCH(Query!$B$6,'Compliance Database'!$I1882))),OR(Query!$B$7="All",'Compliance Database'!$F1882=Query!$B$7),OR(Query!$B$8="All",'Compliance Database'!$J1882=Query!$B$8),OR(Query!$B$9="",ISNUMBER(SEARCH(Query!$B$9,'Compliance Database'!$D1882&amp;" "&amp;'Compliance Database'!$K1882&amp;" "&amp;'Compliance Database'!$L1882&amp;" "&amp;'Compliance Database'!$M1882&amp;" "&amp;'Compliance Database'!$N1882&amp;" "&amp;'Compliance Database'!$O1882))),OR(Query!$B$10&lt;&gt;"Yes",'Compliance Database'!$F1882&lt;&gt;"None")),1,0)</f>
        <v/>
      </c>
      <c r="B1882">
        <f>IF($A1882=1,SUM($A$2:$A1882),"")</f>
        <v/>
      </c>
      <c r="C1882">
        <f>IF($A1882=1,SUM($A$2:$A1882),0)</f>
        <v/>
      </c>
    </row>
    <row r="1883">
      <c r="A1883">
        <f>IF(AND(OR(Query!$B$4="All",'Compliance Database'!$A1883=Query!$B$4),OR(Query!$B$5="All",ISNUMBER(SEARCH(Query!$B$5,'Compliance Database'!$H1883))),OR(Query!$B$6="All",ISNUMBER(SEARCH(Query!$B$6,'Compliance Database'!$I1883))),OR(Query!$B$7="All",'Compliance Database'!$F1883=Query!$B$7),OR(Query!$B$8="All",'Compliance Database'!$J1883=Query!$B$8),OR(Query!$B$9="",ISNUMBER(SEARCH(Query!$B$9,'Compliance Database'!$D1883&amp;" "&amp;'Compliance Database'!$K1883&amp;" "&amp;'Compliance Database'!$L1883&amp;" "&amp;'Compliance Database'!$M1883&amp;" "&amp;'Compliance Database'!$N1883&amp;" "&amp;'Compliance Database'!$O1883))),OR(Query!$B$10&lt;&gt;"Yes",'Compliance Database'!$F1883&lt;&gt;"None")),1,0)</f>
        <v/>
      </c>
      <c r="B1883">
        <f>IF($A1883=1,SUM($A$2:$A1883),"")</f>
        <v/>
      </c>
      <c r="C1883">
        <f>IF($A1883=1,SUM($A$2:$A1883),0)</f>
        <v/>
      </c>
    </row>
    <row r="1884">
      <c r="A1884">
        <f>IF(AND(OR(Query!$B$4="All",'Compliance Database'!$A1884=Query!$B$4),OR(Query!$B$5="All",ISNUMBER(SEARCH(Query!$B$5,'Compliance Database'!$H1884))),OR(Query!$B$6="All",ISNUMBER(SEARCH(Query!$B$6,'Compliance Database'!$I1884))),OR(Query!$B$7="All",'Compliance Database'!$F1884=Query!$B$7),OR(Query!$B$8="All",'Compliance Database'!$J1884=Query!$B$8),OR(Query!$B$9="",ISNUMBER(SEARCH(Query!$B$9,'Compliance Database'!$D1884&amp;" "&amp;'Compliance Database'!$K1884&amp;" "&amp;'Compliance Database'!$L1884&amp;" "&amp;'Compliance Database'!$M1884&amp;" "&amp;'Compliance Database'!$N1884&amp;" "&amp;'Compliance Database'!$O1884))),OR(Query!$B$10&lt;&gt;"Yes",'Compliance Database'!$F1884&lt;&gt;"None")),1,0)</f>
        <v/>
      </c>
      <c r="B1884">
        <f>IF($A1884=1,SUM($A$2:$A1884),"")</f>
        <v/>
      </c>
      <c r="C1884">
        <f>IF($A1884=1,SUM($A$2:$A1884),0)</f>
        <v/>
      </c>
    </row>
    <row r="1885">
      <c r="A1885">
        <f>IF(AND(OR(Query!$B$4="All",'Compliance Database'!$A1885=Query!$B$4),OR(Query!$B$5="All",ISNUMBER(SEARCH(Query!$B$5,'Compliance Database'!$H1885))),OR(Query!$B$6="All",ISNUMBER(SEARCH(Query!$B$6,'Compliance Database'!$I1885))),OR(Query!$B$7="All",'Compliance Database'!$F1885=Query!$B$7),OR(Query!$B$8="All",'Compliance Database'!$J1885=Query!$B$8),OR(Query!$B$9="",ISNUMBER(SEARCH(Query!$B$9,'Compliance Database'!$D1885&amp;" "&amp;'Compliance Database'!$K1885&amp;" "&amp;'Compliance Database'!$L1885&amp;" "&amp;'Compliance Database'!$M1885&amp;" "&amp;'Compliance Database'!$N1885&amp;" "&amp;'Compliance Database'!$O1885))),OR(Query!$B$10&lt;&gt;"Yes",'Compliance Database'!$F1885&lt;&gt;"None")),1,0)</f>
        <v/>
      </c>
      <c r="B1885">
        <f>IF($A1885=1,SUM($A$2:$A1885),"")</f>
        <v/>
      </c>
      <c r="C1885">
        <f>IF($A1885=1,SUM($A$2:$A1885),0)</f>
        <v/>
      </c>
    </row>
    <row r="1886">
      <c r="A1886">
        <f>IF(AND(OR(Query!$B$4="All",'Compliance Database'!$A1886=Query!$B$4),OR(Query!$B$5="All",ISNUMBER(SEARCH(Query!$B$5,'Compliance Database'!$H1886))),OR(Query!$B$6="All",ISNUMBER(SEARCH(Query!$B$6,'Compliance Database'!$I1886))),OR(Query!$B$7="All",'Compliance Database'!$F1886=Query!$B$7),OR(Query!$B$8="All",'Compliance Database'!$J1886=Query!$B$8),OR(Query!$B$9="",ISNUMBER(SEARCH(Query!$B$9,'Compliance Database'!$D1886&amp;" "&amp;'Compliance Database'!$K1886&amp;" "&amp;'Compliance Database'!$L1886&amp;" "&amp;'Compliance Database'!$M1886&amp;" "&amp;'Compliance Database'!$N1886&amp;" "&amp;'Compliance Database'!$O1886))),OR(Query!$B$10&lt;&gt;"Yes",'Compliance Database'!$F1886&lt;&gt;"None")),1,0)</f>
        <v/>
      </c>
      <c r="B1886">
        <f>IF($A1886=1,SUM($A$2:$A1886),"")</f>
        <v/>
      </c>
      <c r="C1886">
        <f>IF($A1886=1,SUM($A$2:$A1886),0)</f>
        <v/>
      </c>
    </row>
    <row r="1887">
      <c r="A1887">
        <f>IF(AND(OR(Query!$B$4="All",'Compliance Database'!$A1887=Query!$B$4),OR(Query!$B$5="All",ISNUMBER(SEARCH(Query!$B$5,'Compliance Database'!$H1887))),OR(Query!$B$6="All",ISNUMBER(SEARCH(Query!$B$6,'Compliance Database'!$I1887))),OR(Query!$B$7="All",'Compliance Database'!$F1887=Query!$B$7),OR(Query!$B$8="All",'Compliance Database'!$J1887=Query!$B$8),OR(Query!$B$9="",ISNUMBER(SEARCH(Query!$B$9,'Compliance Database'!$D1887&amp;" "&amp;'Compliance Database'!$K1887&amp;" "&amp;'Compliance Database'!$L1887&amp;" "&amp;'Compliance Database'!$M1887&amp;" "&amp;'Compliance Database'!$N1887&amp;" "&amp;'Compliance Database'!$O1887))),OR(Query!$B$10&lt;&gt;"Yes",'Compliance Database'!$F1887&lt;&gt;"None")),1,0)</f>
        <v/>
      </c>
      <c r="B1887">
        <f>IF($A1887=1,SUM($A$2:$A1887),"")</f>
        <v/>
      </c>
      <c r="C1887">
        <f>IF($A1887=1,SUM($A$2:$A1887),0)</f>
        <v/>
      </c>
    </row>
    <row r="1888">
      <c r="A1888">
        <f>IF(AND(OR(Query!$B$4="All",'Compliance Database'!$A1888=Query!$B$4),OR(Query!$B$5="All",ISNUMBER(SEARCH(Query!$B$5,'Compliance Database'!$H1888))),OR(Query!$B$6="All",ISNUMBER(SEARCH(Query!$B$6,'Compliance Database'!$I1888))),OR(Query!$B$7="All",'Compliance Database'!$F1888=Query!$B$7),OR(Query!$B$8="All",'Compliance Database'!$J1888=Query!$B$8),OR(Query!$B$9="",ISNUMBER(SEARCH(Query!$B$9,'Compliance Database'!$D1888&amp;" "&amp;'Compliance Database'!$K1888&amp;" "&amp;'Compliance Database'!$L1888&amp;" "&amp;'Compliance Database'!$M1888&amp;" "&amp;'Compliance Database'!$N1888&amp;" "&amp;'Compliance Database'!$O1888))),OR(Query!$B$10&lt;&gt;"Yes",'Compliance Database'!$F1888&lt;&gt;"None")),1,0)</f>
        <v/>
      </c>
      <c r="B1888">
        <f>IF($A1888=1,SUM($A$2:$A1888),"")</f>
        <v/>
      </c>
      <c r="C1888">
        <f>IF($A1888=1,SUM($A$2:$A1888),0)</f>
        <v/>
      </c>
    </row>
    <row r="1889">
      <c r="A1889">
        <f>IF(AND(OR(Query!$B$4="All",'Compliance Database'!$A1889=Query!$B$4),OR(Query!$B$5="All",ISNUMBER(SEARCH(Query!$B$5,'Compliance Database'!$H1889))),OR(Query!$B$6="All",ISNUMBER(SEARCH(Query!$B$6,'Compliance Database'!$I1889))),OR(Query!$B$7="All",'Compliance Database'!$F1889=Query!$B$7),OR(Query!$B$8="All",'Compliance Database'!$J1889=Query!$B$8),OR(Query!$B$9="",ISNUMBER(SEARCH(Query!$B$9,'Compliance Database'!$D1889&amp;" "&amp;'Compliance Database'!$K1889&amp;" "&amp;'Compliance Database'!$L1889&amp;" "&amp;'Compliance Database'!$M1889&amp;" "&amp;'Compliance Database'!$N1889&amp;" "&amp;'Compliance Database'!$O1889))),OR(Query!$B$10&lt;&gt;"Yes",'Compliance Database'!$F1889&lt;&gt;"None")),1,0)</f>
        <v/>
      </c>
      <c r="B1889">
        <f>IF($A1889=1,SUM($A$2:$A1889),"")</f>
        <v/>
      </c>
      <c r="C1889">
        <f>IF($A1889=1,SUM($A$2:$A1889),0)</f>
        <v/>
      </c>
    </row>
    <row r="1890">
      <c r="A1890">
        <f>IF(AND(OR(Query!$B$4="All",'Compliance Database'!$A1890=Query!$B$4),OR(Query!$B$5="All",ISNUMBER(SEARCH(Query!$B$5,'Compliance Database'!$H1890))),OR(Query!$B$6="All",ISNUMBER(SEARCH(Query!$B$6,'Compliance Database'!$I1890))),OR(Query!$B$7="All",'Compliance Database'!$F1890=Query!$B$7),OR(Query!$B$8="All",'Compliance Database'!$J1890=Query!$B$8),OR(Query!$B$9="",ISNUMBER(SEARCH(Query!$B$9,'Compliance Database'!$D1890&amp;" "&amp;'Compliance Database'!$K1890&amp;" "&amp;'Compliance Database'!$L1890&amp;" "&amp;'Compliance Database'!$M1890&amp;" "&amp;'Compliance Database'!$N1890&amp;" "&amp;'Compliance Database'!$O1890))),OR(Query!$B$10&lt;&gt;"Yes",'Compliance Database'!$F1890&lt;&gt;"None")),1,0)</f>
        <v/>
      </c>
      <c r="B1890">
        <f>IF($A1890=1,SUM($A$2:$A1890),"")</f>
        <v/>
      </c>
      <c r="C1890">
        <f>IF($A1890=1,SUM($A$2:$A1890),0)</f>
        <v/>
      </c>
    </row>
    <row r="1891">
      <c r="A1891">
        <f>IF(AND(OR(Query!$B$4="All",'Compliance Database'!$A1891=Query!$B$4),OR(Query!$B$5="All",ISNUMBER(SEARCH(Query!$B$5,'Compliance Database'!$H1891))),OR(Query!$B$6="All",ISNUMBER(SEARCH(Query!$B$6,'Compliance Database'!$I1891))),OR(Query!$B$7="All",'Compliance Database'!$F1891=Query!$B$7),OR(Query!$B$8="All",'Compliance Database'!$J1891=Query!$B$8),OR(Query!$B$9="",ISNUMBER(SEARCH(Query!$B$9,'Compliance Database'!$D1891&amp;" "&amp;'Compliance Database'!$K1891&amp;" "&amp;'Compliance Database'!$L1891&amp;" "&amp;'Compliance Database'!$M1891&amp;" "&amp;'Compliance Database'!$N1891&amp;" "&amp;'Compliance Database'!$O1891))),OR(Query!$B$10&lt;&gt;"Yes",'Compliance Database'!$F1891&lt;&gt;"None")),1,0)</f>
        <v/>
      </c>
      <c r="B1891">
        <f>IF($A1891=1,SUM($A$2:$A1891),"")</f>
        <v/>
      </c>
      <c r="C1891">
        <f>IF($A1891=1,SUM($A$2:$A1891),0)</f>
        <v/>
      </c>
    </row>
    <row r="1892">
      <c r="A1892">
        <f>IF(AND(OR(Query!$B$4="All",'Compliance Database'!$A1892=Query!$B$4),OR(Query!$B$5="All",ISNUMBER(SEARCH(Query!$B$5,'Compliance Database'!$H1892))),OR(Query!$B$6="All",ISNUMBER(SEARCH(Query!$B$6,'Compliance Database'!$I1892))),OR(Query!$B$7="All",'Compliance Database'!$F1892=Query!$B$7),OR(Query!$B$8="All",'Compliance Database'!$J1892=Query!$B$8),OR(Query!$B$9="",ISNUMBER(SEARCH(Query!$B$9,'Compliance Database'!$D1892&amp;" "&amp;'Compliance Database'!$K1892&amp;" "&amp;'Compliance Database'!$L1892&amp;" "&amp;'Compliance Database'!$M1892&amp;" "&amp;'Compliance Database'!$N1892&amp;" "&amp;'Compliance Database'!$O1892))),OR(Query!$B$10&lt;&gt;"Yes",'Compliance Database'!$F1892&lt;&gt;"None")),1,0)</f>
        <v/>
      </c>
      <c r="B1892">
        <f>IF($A1892=1,SUM($A$2:$A1892),"")</f>
        <v/>
      </c>
      <c r="C1892">
        <f>IF($A1892=1,SUM($A$2:$A1892),0)</f>
        <v/>
      </c>
    </row>
    <row r="1893">
      <c r="A1893">
        <f>IF(AND(OR(Query!$B$4="All",'Compliance Database'!$A1893=Query!$B$4),OR(Query!$B$5="All",ISNUMBER(SEARCH(Query!$B$5,'Compliance Database'!$H1893))),OR(Query!$B$6="All",ISNUMBER(SEARCH(Query!$B$6,'Compliance Database'!$I1893))),OR(Query!$B$7="All",'Compliance Database'!$F1893=Query!$B$7),OR(Query!$B$8="All",'Compliance Database'!$J1893=Query!$B$8),OR(Query!$B$9="",ISNUMBER(SEARCH(Query!$B$9,'Compliance Database'!$D1893&amp;" "&amp;'Compliance Database'!$K1893&amp;" "&amp;'Compliance Database'!$L1893&amp;" "&amp;'Compliance Database'!$M1893&amp;" "&amp;'Compliance Database'!$N1893&amp;" "&amp;'Compliance Database'!$O1893))),OR(Query!$B$10&lt;&gt;"Yes",'Compliance Database'!$F1893&lt;&gt;"None")),1,0)</f>
        <v/>
      </c>
      <c r="B1893">
        <f>IF($A1893=1,SUM($A$2:$A1893),"")</f>
        <v/>
      </c>
      <c r="C1893">
        <f>IF($A1893=1,SUM($A$2:$A1893),0)</f>
        <v/>
      </c>
    </row>
    <row r="1894">
      <c r="A1894">
        <f>IF(AND(OR(Query!$B$4="All",'Compliance Database'!$A1894=Query!$B$4),OR(Query!$B$5="All",ISNUMBER(SEARCH(Query!$B$5,'Compliance Database'!$H1894))),OR(Query!$B$6="All",ISNUMBER(SEARCH(Query!$B$6,'Compliance Database'!$I1894))),OR(Query!$B$7="All",'Compliance Database'!$F1894=Query!$B$7),OR(Query!$B$8="All",'Compliance Database'!$J1894=Query!$B$8),OR(Query!$B$9="",ISNUMBER(SEARCH(Query!$B$9,'Compliance Database'!$D1894&amp;" "&amp;'Compliance Database'!$K1894&amp;" "&amp;'Compliance Database'!$L1894&amp;" "&amp;'Compliance Database'!$M1894&amp;" "&amp;'Compliance Database'!$N1894&amp;" "&amp;'Compliance Database'!$O1894))),OR(Query!$B$10&lt;&gt;"Yes",'Compliance Database'!$F1894&lt;&gt;"None")),1,0)</f>
        <v/>
      </c>
      <c r="B1894">
        <f>IF($A1894=1,SUM($A$2:$A1894),"")</f>
        <v/>
      </c>
      <c r="C1894">
        <f>IF($A1894=1,SUM($A$2:$A1894),0)</f>
        <v/>
      </c>
    </row>
    <row r="1895">
      <c r="A1895">
        <f>IF(AND(OR(Query!$B$4="All",'Compliance Database'!$A1895=Query!$B$4),OR(Query!$B$5="All",ISNUMBER(SEARCH(Query!$B$5,'Compliance Database'!$H1895))),OR(Query!$B$6="All",ISNUMBER(SEARCH(Query!$B$6,'Compliance Database'!$I1895))),OR(Query!$B$7="All",'Compliance Database'!$F1895=Query!$B$7),OR(Query!$B$8="All",'Compliance Database'!$J1895=Query!$B$8),OR(Query!$B$9="",ISNUMBER(SEARCH(Query!$B$9,'Compliance Database'!$D1895&amp;" "&amp;'Compliance Database'!$K1895&amp;" "&amp;'Compliance Database'!$L1895&amp;" "&amp;'Compliance Database'!$M1895&amp;" "&amp;'Compliance Database'!$N1895&amp;" "&amp;'Compliance Database'!$O1895))),OR(Query!$B$10&lt;&gt;"Yes",'Compliance Database'!$F1895&lt;&gt;"None")),1,0)</f>
        <v/>
      </c>
      <c r="B1895">
        <f>IF($A1895=1,SUM($A$2:$A1895),"")</f>
        <v/>
      </c>
      <c r="C1895">
        <f>IF($A1895=1,SUM($A$2:$A1895),0)</f>
        <v/>
      </c>
    </row>
    <row r="1896">
      <c r="A1896">
        <f>IF(AND(OR(Query!$B$4="All",'Compliance Database'!$A1896=Query!$B$4),OR(Query!$B$5="All",ISNUMBER(SEARCH(Query!$B$5,'Compliance Database'!$H1896))),OR(Query!$B$6="All",ISNUMBER(SEARCH(Query!$B$6,'Compliance Database'!$I1896))),OR(Query!$B$7="All",'Compliance Database'!$F1896=Query!$B$7),OR(Query!$B$8="All",'Compliance Database'!$J1896=Query!$B$8),OR(Query!$B$9="",ISNUMBER(SEARCH(Query!$B$9,'Compliance Database'!$D1896&amp;" "&amp;'Compliance Database'!$K1896&amp;" "&amp;'Compliance Database'!$L1896&amp;" "&amp;'Compliance Database'!$M1896&amp;" "&amp;'Compliance Database'!$N1896&amp;" "&amp;'Compliance Database'!$O1896))),OR(Query!$B$10&lt;&gt;"Yes",'Compliance Database'!$F1896&lt;&gt;"None")),1,0)</f>
        <v/>
      </c>
      <c r="B1896">
        <f>IF($A1896=1,SUM($A$2:$A1896),"")</f>
        <v/>
      </c>
      <c r="C1896">
        <f>IF($A1896=1,SUM($A$2:$A1896),0)</f>
        <v/>
      </c>
    </row>
    <row r="1897">
      <c r="A1897">
        <f>IF(AND(OR(Query!$B$4="All",'Compliance Database'!$A1897=Query!$B$4),OR(Query!$B$5="All",ISNUMBER(SEARCH(Query!$B$5,'Compliance Database'!$H1897))),OR(Query!$B$6="All",ISNUMBER(SEARCH(Query!$B$6,'Compliance Database'!$I1897))),OR(Query!$B$7="All",'Compliance Database'!$F1897=Query!$B$7),OR(Query!$B$8="All",'Compliance Database'!$J1897=Query!$B$8),OR(Query!$B$9="",ISNUMBER(SEARCH(Query!$B$9,'Compliance Database'!$D1897&amp;" "&amp;'Compliance Database'!$K1897&amp;" "&amp;'Compliance Database'!$L1897&amp;" "&amp;'Compliance Database'!$M1897&amp;" "&amp;'Compliance Database'!$N1897&amp;" "&amp;'Compliance Database'!$O1897))),OR(Query!$B$10&lt;&gt;"Yes",'Compliance Database'!$F1897&lt;&gt;"None")),1,0)</f>
        <v/>
      </c>
      <c r="B1897">
        <f>IF($A1897=1,SUM($A$2:$A1897),"")</f>
        <v/>
      </c>
      <c r="C1897">
        <f>IF($A1897=1,SUM($A$2:$A1897),0)</f>
        <v/>
      </c>
    </row>
    <row r="1898">
      <c r="A1898">
        <f>IF(AND(OR(Query!$B$4="All",'Compliance Database'!$A1898=Query!$B$4),OR(Query!$B$5="All",ISNUMBER(SEARCH(Query!$B$5,'Compliance Database'!$H1898))),OR(Query!$B$6="All",ISNUMBER(SEARCH(Query!$B$6,'Compliance Database'!$I1898))),OR(Query!$B$7="All",'Compliance Database'!$F1898=Query!$B$7),OR(Query!$B$8="All",'Compliance Database'!$J1898=Query!$B$8),OR(Query!$B$9="",ISNUMBER(SEARCH(Query!$B$9,'Compliance Database'!$D1898&amp;" "&amp;'Compliance Database'!$K1898&amp;" "&amp;'Compliance Database'!$L1898&amp;" "&amp;'Compliance Database'!$M1898&amp;" "&amp;'Compliance Database'!$N1898&amp;" "&amp;'Compliance Database'!$O1898))),OR(Query!$B$10&lt;&gt;"Yes",'Compliance Database'!$F1898&lt;&gt;"None")),1,0)</f>
        <v/>
      </c>
      <c r="B1898">
        <f>IF($A1898=1,SUM($A$2:$A1898),"")</f>
        <v/>
      </c>
      <c r="C1898">
        <f>IF($A1898=1,SUM($A$2:$A1898),0)</f>
        <v/>
      </c>
    </row>
    <row r="1899">
      <c r="A1899">
        <f>IF(AND(OR(Query!$B$4="All",'Compliance Database'!$A1899=Query!$B$4),OR(Query!$B$5="All",ISNUMBER(SEARCH(Query!$B$5,'Compliance Database'!$H1899))),OR(Query!$B$6="All",ISNUMBER(SEARCH(Query!$B$6,'Compliance Database'!$I1899))),OR(Query!$B$7="All",'Compliance Database'!$F1899=Query!$B$7),OR(Query!$B$8="All",'Compliance Database'!$J1899=Query!$B$8),OR(Query!$B$9="",ISNUMBER(SEARCH(Query!$B$9,'Compliance Database'!$D1899&amp;" "&amp;'Compliance Database'!$K1899&amp;" "&amp;'Compliance Database'!$L1899&amp;" "&amp;'Compliance Database'!$M1899&amp;" "&amp;'Compliance Database'!$N1899&amp;" "&amp;'Compliance Database'!$O1899))),OR(Query!$B$10&lt;&gt;"Yes",'Compliance Database'!$F1899&lt;&gt;"None")),1,0)</f>
        <v/>
      </c>
      <c r="B1899">
        <f>IF($A1899=1,SUM($A$2:$A1899),"")</f>
        <v/>
      </c>
      <c r="C1899">
        <f>IF($A1899=1,SUM($A$2:$A1899),0)</f>
        <v/>
      </c>
    </row>
    <row r="1900">
      <c r="A1900">
        <f>IF(AND(OR(Query!$B$4="All",'Compliance Database'!$A1900=Query!$B$4),OR(Query!$B$5="All",ISNUMBER(SEARCH(Query!$B$5,'Compliance Database'!$H1900))),OR(Query!$B$6="All",ISNUMBER(SEARCH(Query!$B$6,'Compliance Database'!$I1900))),OR(Query!$B$7="All",'Compliance Database'!$F1900=Query!$B$7),OR(Query!$B$8="All",'Compliance Database'!$J1900=Query!$B$8),OR(Query!$B$9="",ISNUMBER(SEARCH(Query!$B$9,'Compliance Database'!$D1900&amp;" "&amp;'Compliance Database'!$K1900&amp;" "&amp;'Compliance Database'!$L1900&amp;" "&amp;'Compliance Database'!$M1900&amp;" "&amp;'Compliance Database'!$N1900&amp;" "&amp;'Compliance Database'!$O1900))),OR(Query!$B$10&lt;&gt;"Yes",'Compliance Database'!$F1900&lt;&gt;"None")),1,0)</f>
        <v/>
      </c>
      <c r="B1900">
        <f>IF($A1900=1,SUM($A$2:$A1900),"")</f>
        <v/>
      </c>
      <c r="C1900">
        <f>IF($A1900=1,SUM($A$2:$A1900),0)</f>
        <v/>
      </c>
    </row>
    <row r="1901">
      <c r="A1901">
        <f>IF(AND(OR(Query!$B$4="All",'Compliance Database'!$A1901=Query!$B$4),OR(Query!$B$5="All",ISNUMBER(SEARCH(Query!$B$5,'Compliance Database'!$H1901))),OR(Query!$B$6="All",ISNUMBER(SEARCH(Query!$B$6,'Compliance Database'!$I1901))),OR(Query!$B$7="All",'Compliance Database'!$F1901=Query!$B$7),OR(Query!$B$8="All",'Compliance Database'!$J1901=Query!$B$8),OR(Query!$B$9="",ISNUMBER(SEARCH(Query!$B$9,'Compliance Database'!$D1901&amp;" "&amp;'Compliance Database'!$K1901&amp;" "&amp;'Compliance Database'!$L1901&amp;" "&amp;'Compliance Database'!$M1901&amp;" "&amp;'Compliance Database'!$N1901&amp;" "&amp;'Compliance Database'!$O1901))),OR(Query!$B$10&lt;&gt;"Yes",'Compliance Database'!$F1901&lt;&gt;"None")),1,0)</f>
        <v/>
      </c>
      <c r="B1901">
        <f>IF($A1901=1,SUM($A$2:$A1901),"")</f>
        <v/>
      </c>
      <c r="C1901">
        <f>IF($A1901=1,SUM($A$2:$A1901),0)</f>
        <v/>
      </c>
    </row>
    <row r="1902">
      <c r="A1902">
        <f>IF(AND(OR(Query!$B$4="All",'Compliance Database'!$A1902=Query!$B$4),OR(Query!$B$5="All",ISNUMBER(SEARCH(Query!$B$5,'Compliance Database'!$H1902))),OR(Query!$B$6="All",ISNUMBER(SEARCH(Query!$B$6,'Compliance Database'!$I1902))),OR(Query!$B$7="All",'Compliance Database'!$F1902=Query!$B$7),OR(Query!$B$8="All",'Compliance Database'!$J1902=Query!$B$8),OR(Query!$B$9="",ISNUMBER(SEARCH(Query!$B$9,'Compliance Database'!$D1902&amp;" "&amp;'Compliance Database'!$K1902&amp;" "&amp;'Compliance Database'!$L1902&amp;" "&amp;'Compliance Database'!$M1902&amp;" "&amp;'Compliance Database'!$N1902&amp;" "&amp;'Compliance Database'!$O1902))),OR(Query!$B$10&lt;&gt;"Yes",'Compliance Database'!$F1902&lt;&gt;"None")),1,0)</f>
        <v/>
      </c>
      <c r="B1902">
        <f>IF($A1902=1,SUM($A$2:$A1902),"")</f>
        <v/>
      </c>
      <c r="C1902">
        <f>IF($A1902=1,SUM($A$2:$A1902),0)</f>
        <v/>
      </c>
    </row>
    <row r="1903">
      <c r="A1903">
        <f>IF(AND(OR(Query!$B$4="All",'Compliance Database'!$A1903=Query!$B$4),OR(Query!$B$5="All",ISNUMBER(SEARCH(Query!$B$5,'Compliance Database'!$H1903))),OR(Query!$B$6="All",ISNUMBER(SEARCH(Query!$B$6,'Compliance Database'!$I1903))),OR(Query!$B$7="All",'Compliance Database'!$F1903=Query!$B$7),OR(Query!$B$8="All",'Compliance Database'!$J1903=Query!$B$8),OR(Query!$B$9="",ISNUMBER(SEARCH(Query!$B$9,'Compliance Database'!$D1903&amp;" "&amp;'Compliance Database'!$K1903&amp;" "&amp;'Compliance Database'!$L1903&amp;" "&amp;'Compliance Database'!$M1903&amp;" "&amp;'Compliance Database'!$N1903&amp;" "&amp;'Compliance Database'!$O1903))),OR(Query!$B$10&lt;&gt;"Yes",'Compliance Database'!$F1903&lt;&gt;"None")),1,0)</f>
        <v/>
      </c>
      <c r="B1903">
        <f>IF($A1903=1,SUM($A$2:$A1903),"")</f>
        <v/>
      </c>
      <c r="C1903">
        <f>IF($A1903=1,SUM($A$2:$A1903),0)</f>
        <v/>
      </c>
    </row>
    <row r="1904">
      <c r="A1904">
        <f>IF(AND(OR(Query!$B$4="All",'Compliance Database'!$A1904=Query!$B$4),OR(Query!$B$5="All",ISNUMBER(SEARCH(Query!$B$5,'Compliance Database'!$H1904))),OR(Query!$B$6="All",ISNUMBER(SEARCH(Query!$B$6,'Compliance Database'!$I1904))),OR(Query!$B$7="All",'Compliance Database'!$F1904=Query!$B$7),OR(Query!$B$8="All",'Compliance Database'!$J1904=Query!$B$8),OR(Query!$B$9="",ISNUMBER(SEARCH(Query!$B$9,'Compliance Database'!$D1904&amp;" "&amp;'Compliance Database'!$K1904&amp;" "&amp;'Compliance Database'!$L1904&amp;" "&amp;'Compliance Database'!$M1904&amp;" "&amp;'Compliance Database'!$N1904&amp;" "&amp;'Compliance Database'!$O1904))),OR(Query!$B$10&lt;&gt;"Yes",'Compliance Database'!$F1904&lt;&gt;"None")),1,0)</f>
        <v/>
      </c>
      <c r="B1904">
        <f>IF($A1904=1,SUM($A$2:$A1904),"")</f>
        <v/>
      </c>
      <c r="C1904">
        <f>IF($A1904=1,SUM($A$2:$A1904),0)</f>
        <v/>
      </c>
    </row>
    <row r="1905">
      <c r="A1905">
        <f>IF(AND(OR(Query!$B$4="All",'Compliance Database'!$A1905=Query!$B$4),OR(Query!$B$5="All",ISNUMBER(SEARCH(Query!$B$5,'Compliance Database'!$H1905))),OR(Query!$B$6="All",ISNUMBER(SEARCH(Query!$B$6,'Compliance Database'!$I1905))),OR(Query!$B$7="All",'Compliance Database'!$F1905=Query!$B$7),OR(Query!$B$8="All",'Compliance Database'!$J1905=Query!$B$8),OR(Query!$B$9="",ISNUMBER(SEARCH(Query!$B$9,'Compliance Database'!$D1905&amp;" "&amp;'Compliance Database'!$K1905&amp;" "&amp;'Compliance Database'!$L1905&amp;" "&amp;'Compliance Database'!$M1905&amp;" "&amp;'Compliance Database'!$N1905&amp;" "&amp;'Compliance Database'!$O1905))),OR(Query!$B$10&lt;&gt;"Yes",'Compliance Database'!$F1905&lt;&gt;"None")),1,0)</f>
        <v/>
      </c>
      <c r="B1905">
        <f>IF($A1905=1,SUM($A$2:$A1905),"")</f>
        <v/>
      </c>
      <c r="C1905">
        <f>IF($A1905=1,SUM($A$2:$A1905),0)</f>
        <v/>
      </c>
    </row>
    <row r="1906">
      <c r="A1906">
        <f>IF(AND(OR(Query!$B$4="All",'Compliance Database'!$A1906=Query!$B$4),OR(Query!$B$5="All",ISNUMBER(SEARCH(Query!$B$5,'Compliance Database'!$H1906))),OR(Query!$B$6="All",ISNUMBER(SEARCH(Query!$B$6,'Compliance Database'!$I1906))),OR(Query!$B$7="All",'Compliance Database'!$F1906=Query!$B$7),OR(Query!$B$8="All",'Compliance Database'!$J1906=Query!$B$8),OR(Query!$B$9="",ISNUMBER(SEARCH(Query!$B$9,'Compliance Database'!$D1906&amp;" "&amp;'Compliance Database'!$K1906&amp;" "&amp;'Compliance Database'!$L1906&amp;" "&amp;'Compliance Database'!$M1906&amp;" "&amp;'Compliance Database'!$N1906&amp;" "&amp;'Compliance Database'!$O1906))),OR(Query!$B$10&lt;&gt;"Yes",'Compliance Database'!$F1906&lt;&gt;"None")),1,0)</f>
        <v/>
      </c>
      <c r="B1906">
        <f>IF($A1906=1,SUM($A$2:$A1906),"")</f>
        <v/>
      </c>
      <c r="C1906">
        <f>IF($A1906=1,SUM($A$2:$A1906),0)</f>
        <v/>
      </c>
    </row>
    <row r="1907">
      <c r="A1907">
        <f>IF(AND(OR(Query!$B$4="All",'Compliance Database'!$A1907=Query!$B$4),OR(Query!$B$5="All",ISNUMBER(SEARCH(Query!$B$5,'Compliance Database'!$H1907))),OR(Query!$B$6="All",ISNUMBER(SEARCH(Query!$B$6,'Compliance Database'!$I1907))),OR(Query!$B$7="All",'Compliance Database'!$F1907=Query!$B$7),OR(Query!$B$8="All",'Compliance Database'!$J1907=Query!$B$8),OR(Query!$B$9="",ISNUMBER(SEARCH(Query!$B$9,'Compliance Database'!$D1907&amp;" "&amp;'Compliance Database'!$K1907&amp;" "&amp;'Compliance Database'!$L1907&amp;" "&amp;'Compliance Database'!$M1907&amp;" "&amp;'Compliance Database'!$N1907&amp;" "&amp;'Compliance Database'!$O1907))),OR(Query!$B$10&lt;&gt;"Yes",'Compliance Database'!$F1907&lt;&gt;"None")),1,0)</f>
        <v/>
      </c>
      <c r="B1907">
        <f>IF($A1907=1,SUM($A$2:$A1907),"")</f>
        <v/>
      </c>
      <c r="C1907">
        <f>IF($A1907=1,SUM($A$2:$A1907),0)</f>
        <v/>
      </c>
    </row>
    <row r="1908">
      <c r="A1908">
        <f>IF(AND(OR(Query!$B$4="All",'Compliance Database'!$A1908=Query!$B$4),OR(Query!$B$5="All",ISNUMBER(SEARCH(Query!$B$5,'Compliance Database'!$H1908))),OR(Query!$B$6="All",ISNUMBER(SEARCH(Query!$B$6,'Compliance Database'!$I1908))),OR(Query!$B$7="All",'Compliance Database'!$F1908=Query!$B$7),OR(Query!$B$8="All",'Compliance Database'!$J1908=Query!$B$8),OR(Query!$B$9="",ISNUMBER(SEARCH(Query!$B$9,'Compliance Database'!$D1908&amp;" "&amp;'Compliance Database'!$K1908&amp;" "&amp;'Compliance Database'!$L1908&amp;" "&amp;'Compliance Database'!$M1908&amp;" "&amp;'Compliance Database'!$N1908&amp;" "&amp;'Compliance Database'!$O1908))),OR(Query!$B$10&lt;&gt;"Yes",'Compliance Database'!$F1908&lt;&gt;"None")),1,0)</f>
        <v/>
      </c>
      <c r="B1908">
        <f>IF($A1908=1,SUM($A$2:$A1908),"")</f>
        <v/>
      </c>
      <c r="C1908">
        <f>IF($A1908=1,SUM($A$2:$A1908),0)</f>
        <v/>
      </c>
    </row>
    <row r="1909">
      <c r="A1909">
        <f>IF(AND(OR(Query!$B$4="All",'Compliance Database'!$A1909=Query!$B$4),OR(Query!$B$5="All",ISNUMBER(SEARCH(Query!$B$5,'Compliance Database'!$H1909))),OR(Query!$B$6="All",ISNUMBER(SEARCH(Query!$B$6,'Compliance Database'!$I1909))),OR(Query!$B$7="All",'Compliance Database'!$F1909=Query!$B$7),OR(Query!$B$8="All",'Compliance Database'!$J1909=Query!$B$8),OR(Query!$B$9="",ISNUMBER(SEARCH(Query!$B$9,'Compliance Database'!$D1909&amp;" "&amp;'Compliance Database'!$K1909&amp;" "&amp;'Compliance Database'!$L1909&amp;" "&amp;'Compliance Database'!$M1909&amp;" "&amp;'Compliance Database'!$N1909&amp;" "&amp;'Compliance Database'!$O1909))),OR(Query!$B$10&lt;&gt;"Yes",'Compliance Database'!$F1909&lt;&gt;"None")),1,0)</f>
        <v/>
      </c>
      <c r="B1909">
        <f>IF($A1909=1,SUM($A$2:$A1909),"")</f>
        <v/>
      </c>
      <c r="C1909">
        <f>IF($A1909=1,SUM($A$2:$A1909),0)</f>
        <v/>
      </c>
    </row>
    <row r="1910">
      <c r="A1910">
        <f>IF(AND(OR(Query!$B$4="All",'Compliance Database'!$A1910=Query!$B$4),OR(Query!$B$5="All",ISNUMBER(SEARCH(Query!$B$5,'Compliance Database'!$H1910))),OR(Query!$B$6="All",ISNUMBER(SEARCH(Query!$B$6,'Compliance Database'!$I1910))),OR(Query!$B$7="All",'Compliance Database'!$F1910=Query!$B$7),OR(Query!$B$8="All",'Compliance Database'!$J1910=Query!$B$8),OR(Query!$B$9="",ISNUMBER(SEARCH(Query!$B$9,'Compliance Database'!$D1910&amp;" "&amp;'Compliance Database'!$K1910&amp;" "&amp;'Compliance Database'!$L1910&amp;" "&amp;'Compliance Database'!$M1910&amp;" "&amp;'Compliance Database'!$N1910&amp;" "&amp;'Compliance Database'!$O1910))),OR(Query!$B$10&lt;&gt;"Yes",'Compliance Database'!$F1910&lt;&gt;"None")),1,0)</f>
        <v/>
      </c>
      <c r="B1910">
        <f>IF($A1910=1,SUM($A$2:$A1910),"")</f>
        <v/>
      </c>
      <c r="C1910">
        <f>IF($A1910=1,SUM($A$2:$A1910),0)</f>
        <v/>
      </c>
    </row>
    <row r="1911">
      <c r="A1911">
        <f>IF(AND(OR(Query!$B$4="All",'Compliance Database'!$A1911=Query!$B$4),OR(Query!$B$5="All",ISNUMBER(SEARCH(Query!$B$5,'Compliance Database'!$H1911))),OR(Query!$B$6="All",ISNUMBER(SEARCH(Query!$B$6,'Compliance Database'!$I1911))),OR(Query!$B$7="All",'Compliance Database'!$F1911=Query!$B$7),OR(Query!$B$8="All",'Compliance Database'!$J1911=Query!$B$8),OR(Query!$B$9="",ISNUMBER(SEARCH(Query!$B$9,'Compliance Database'!$D1911&amp;" "&amp;'Compliance Database'!$K1911&amp;" "&amp;'Compliance Database'!$L1911&amp;" "&amp;'Compliance Database'!$M1911&amp;" "&amp;'Compliance Database'!$N1911&amp;" "&amp;'Compliance Database'!$O1911))),OR(Query!$B$10&lt;&gt;"Yes",'Compliance Database'!$F1911&lt;&gt;"None")),1,0)</f>
        <v/>
      </c>
      <c r="B1911">
        <f>IF($A1911=1,SUM($A$2:$A1911),"")</f>
        <v/>
      </c>
      <c r="C1911">
        <f>IF($A1911=1,SUM($A$2:$A1911),0)</f>
        <v/>
      </c>
    </row>
    <row r="1912">
      <c r="A1912">
        <f>IF(AND(OR(Query!$B$4="All",'Compliance Database'!$A1912=Query!$B$4),OR(Query!$B$5="All",ISNUMBER(SEARCH(Query!$B$5,'Compliance Database'!$H1912))),OR(Query!$B$6="All",ISNUMBER(SEARCH(Query!$B$6,'Compliance Database'!$I1912))),OR(Query!$B$7="All",'Compliance Database'!$F1912=Query!$B$7),OR(Query!$B$8="All",'Compliance Database'!$J1912=Query!$B$8),OR(Query!$B$9="",ISNUMBER(SEARCH(Query!$B$9,'Compliance Database'!$D1912&amp;" "&amp;'Compliance Database'!$K1912&amp;" "&amp;'Compliance Database'!$L1912&amp;" "&amp;'Compliance Database'!$M1912&amp;" "&amp;'Compliance Database'!$N1912&amp;" "&amp;'Compliance Database'!$O1912))),OR(Query!$B$10&lt;&gt;"Yes",'Compliance Database'!$F1912&lt;&gt;"None")),1,0)</f>
        <v/>
      </c>
      <c r="B1912">
        <f>IF($A1912=1,SUM($A$2:$A1912),"")</f>
        <v/>
      </c>
      <c r="C1912">
        <f>IF($A1912=1,SUM($A$2:$A1912),0)</f>
        <v/>
      </c>
    </row>
    <row r="1913">
      <c r="A1913">
        <f>IF(AND(OR(Query!$B$4="All",'Compliance Database'!$A1913=Query!$B$4),OR(Query!$B$5="All",ISNUMBER(SEARCH(Query!$B$5,'Compliance Database'!$H1913))),OR(Query!$B$6="All",ISNUMBER(SEARCH(Query!$B$6,'Compliance Database'!$I1913))),OR(Query!$B$7="All",'Compliance Database'!$F1913=Query!$B$7),OR(Query!$B$8="All",'Compliance Database'!$J1913=Query!$B$8),OR(Query!$B$9="",ISNUMBER(SEARCH(Query!$B$9,'Compliance Database'!$D1913&amp;" "&amp;'Compliance Database'!$K1913&amp;" "&amp;'Compliance Database'!$L1913&amp;" "&amp;'Compliance Database'!$M1913&amp;" "&amp;'Compliance Database'!$N1913&amp;" "&amp;'Compliance Database'!$O1913))),OR(Query!$B$10&lt;&gt;"Yes",'Compliance Database'!$F1913&lt;&gt;"None")),1,0)</f>
        <v/>
      </c>
      <c r="B1913">
        <f>IF($A1913=1,SUM($A$2:$A1913),"")</f>
        <v/>
      </c>
      <c r="C1913">
        <f>IF($A1913=1,SUM($A$2:$A1913),0)</f>
        <v/>
      </c>
    </row>
    <row r="1914">
      <c r="A1914">
        <f>IF(AND(OR(Query!$B$4="All",'Compliance Database'!$A1914=Query!$B$4),OR(Query!$B$5="All",ISNUMBER(SEARCH(Query!$B$5,'Compliance Database'!$H1914))),OR(Query!$B$6="All",ISNUMBER(SEARCH(Query!$B$6,'Compliance Database'!$I1914))),OR(Query!$B$7="All",'Compliance Database'!$F1914=Query!$B$7),OR(Query!$B$8="All",'Compliance Database'!$J1914=Query!$B$8),OR(Query!$B$9="",ISNUMBER(SEARCH(Query!$B$9,'Compliance Database'!$D1914&amp;" "&amp;'Compliance Database'!$K1914&amp;" "&amp;'Compliance Database'!$L1914&amp;" "&amp;'Compliance Database'!$M1914&amp;" "&amp;'Compliance Database'!$N1914&amp;" "&amp;'Compliance Database'!$O1914))),OR(Query!$B$10&lt;&gt;"Yes",'Compliance Database'!$F1914&lt;&gt;"None")),1,0)</f>
        <v/>
      </c>
      <c r="B1914">
        <f>IF($A1914=1,SUM($A$2:$A1914),"")</f>
        <v/>
      </c>
      <c r="C1914">
        <f>IF($A1914=1,SUM($A$2:$A1914),0)</f>
        <v/>
      </c>
    </row>
    <row r="1915">
      <c r="A1915">
        <f>IF(AND(OR(Query!$B$4="All",'Compliance Database'!$A1915=Query!$B$4),OR(Query!$B$5="All",ISNUMBER(SEARCH(Query!$B$5,'Compliance Database'!$H1915))),OR(Query!$B$6="All",ISNUMBER(SEARCH(Query!$B$6,'Compliance Database'!$I1915))),OR(Query!$B$7="All",'Compliance Database'!$F1915=Query!$B$7),OR(Query!$B$8="All",'Compliance Database'!$J1915=Query!$B$8),OR(Query!$B$9="",ISNUMBER(SEARCH(Query!$B$9,'Compliance Database'!$D1915&amp;" "&amp;'Compliance Database'!$K1915&amp;" "&amp;'Compliance Database'!$L1915&amp;" "&amp;'Compliance Database'!$M1915&amp;" "&amp;'Compliance Database'!$N1915&amp;" "&amp;'Compliance Database'!$O1915))),OR(Query!$B$10&lt;&gt;"Yes",'Compliance Database'!$F1915&lt;&gt;"None")),1,0)</f>
        <v/>
      </c>
      <c r="B1915">
        <f>IF($A1915=1,SUM($A$2:$A1915),"")</f>
        <v/>
      </c>
      <c r="C1915">
        <f>IF($A1915=1,SUM($A$2:$A1915),0)</f>
        <v/>
      </c>
    </row>
    <row r="1916">
      <c r="A1916">
        <f>IF(AND(OR(Query!$B$4="All",'Compliance Database'!$A1916=Query!$B$4),OR(Query!$B$5="All",ISNUMBER(SEARCH(Query!$B$5,'Compliance Database'!$H1916))),OR(Query!$B$6="All",ISNUMBER(SEARCH(Query!$B$6,'Compliance Database'!$I1916))),OR(Query!$B$7="All",'Compliance Database'!$F1916=Query!$B$7),OR(Query!$B$8="All",'Compliance Database'!$J1916=Query!$B$8),OR(Query!$B$9="",ISNUMBER(SEARCH(Query!$B$9,'Compliance Database'!$D1916&amp;" "&amp;'Compliance Database'!$K1916&amp;" "&amp;'Compliance Database'!$L1916&amp;" "&amp;'Compliance Database'!$M1916&amp;" "&amp;'Compliance Database'!$N1916&amp;" "&amp;'Compliance Database'!$O1916))),OR(Query!$B$10&lt;&gt;"Yes",'Compliance Database'!$F1916&lt;&gt;"None")),1,0)</f>
        <v/>
      </c>
      <c r="B1916">
        <f>IF($A1916=1,SUM($A$2:$A1916),"")</f>
        <v/>
      </c>
      <c r="C1916">
        <f>IF($A1916=1,SUM($A$2:$A1916),0)</f>
        <v/>
      </c>
    </row>
    <row r="1917">
      <c r="A1917">
        <f>IF(AND(OR(Query!$B$4="All",'Compliance Database'!$A1917=Query!$B$4),OR(Query!$B$5="All",ISNUMBER(SEARCH(Query!$B$5,'Compliance Database'!$H1917))),OR(Query!$B$6="All",ISNUMBER(SEARCH(Query!$B$6,'Compliance Database'!$I1917))),OR(Query!$B$7="All",'Compliance Database'!$F1917=Query!$B$7),OR(Query!$B$8="All",'Compliance Database'!$J1917=Query!$B$8),OR(Query!$B$9="",ISNUMBER(SEARCH(Query!$B$9,'Compliance Database'!$D1917&amp;" "&amp;'Compliance Database'!$K1917&amp;" "&amp;'Compliance Database'!$L1917&amp;" "&amp;'Compliance Database'!$M1917&amp;" "&amp;'Compliance Database'!$N1917&amp;" "&amp;'Compliance Database'!$O1917))),OR(Query!$B$10&lt;&gt;"Yes",'Compliance Database'!$F1917&lt;&gt;"None")),1,0)</f>
        <v/>
      </c>
      <c r="B1917">
        <f>IF($A1917=1,SUM($A$2:$A1917),"")</f>
        <v/>
      </c>
      <c r="C1917">
        <f>IF($A1917=1,SUM($A$2:$A1917),0)</f>
        <v/>
      </c>
    </row>
    <row r="1918">
      <c r="A1918">
        <f>IF(AND(OR(Query!$B$4="All",'Compliance Database'!$A1918=Query!$B$4),OR(Query!$B$5="All",ISNUMBER(SEARCH(Query!$B$5,'Compliance Database'!$H1918))),OR(Query!$B$6="All",ISNUMBER(SEARCH(Query!$B$6,'Compliance Database'!$I1918))),OR(Query!$B$7="All",'Compliance Database'!$F1918=Query!$B$7),OR(Query!$B$8="All",'Compliance Database'!$J1918=Query!$B$8),OR(Query!$B$9="",ISNUMBER(SEARCH(Query!$B$9,'Compliance Database'!$D1918&amp;" "&amp;'Compliance Database'!$K1918&amp;" "&amp;'Compliance Database'!$L1918&amp;" "&amp;'Compliance Database'!$M1918&amp;" "&amp;'Compliance Database'!$N1918&amp;" "&amp;'Compliance Database'!$O1918))),OR(Query!$B$10&lt;&gt;"Yes",'Compliance Database'!$F1918&lt;&gt;"None")),1,0)</f>
        <v/>
      </c>
      <c r="B1918">
        <f>IF($A1918=1,SUM($A$2:$A1918),"")</f>
        <v/>
      </c>
      <c r="C1918">
        <f>IF($A1918=1,SUM($A$2:$A1918),0)</f>
        <v/>
      </c>
    </row>
    <row r="1919">
      <c r="A1919">
        <f>IF(AND(OR(Query!$B$4="All",'Compliance Database'!$A1919=Query!$B$4),OR(Query!$B$5="All",ISNUMBER(SEARCH(Query!$B$5,'Compliance Database'!$H1919))),OR(Query!$B$6="All",ISNUMBER(SEARCH(Query!$B$6,'Compliance Database'!$I1919))),OR(Query!$B$7="All",'Compliance Database'!$F1919=Query!$B$7),OR(Query!$B$8="All",'Compliance Database'!$J1919=Query!$B$8),OR(Query!$B$9="",ISNUMBER(SEARCH(Query!$B$9,'Compliance Database'!$D1919&amp;" "&amp;'Compliance Database'!$K1919&amp;" "&amp;'Compliance Database'!$L1919&amp;" "&amp;'Compliance Database'!$M1919&amp;" "&amp;'Compliance Database'!$N1919&amp;" "&amp;'Compliance Database'!$O1919))),OR(Query!$B$10&lt;&gt;"Yes",'Compliance Database'!$F1919&lt;&gt;"None")),1,0)</f>
        <v/>
      </c>
      <c r="B1919">
        <f>IF($A1919=1,SUM($A$2:$A1919),"")</f>
        <v/>
      </c>
      <c r="C1919">
        <f>IF($A1919=1,SUM($A$2:$A1919),0)</f>
        <v/>
      </c>
    </row>
    <row r="1920">
      <c r="A1920">
        <f>IF(AND(OR(Query!$B$4="All",'Compliance Database'!$A1920=Query!$B$4),OR(Query!$B$5="All",ISNUMBER(SEARCH(Query!$B$5,'Compliance Database'!$H1920))),OR(Query!$B$6="All",ISNUMBER(SEARCH(Query!$B$6,'Compliance Database'!$I1920))),OR(Query!$B$7="All",'Compliance Database'!$F1920=Query!$B$7),OR(Query!$B$8="All",'Compliance Database'!$J1920=Query!$B$8),OR(Query!$B$9="",ISNUMBER(SEARCH(Query!$B$9,'Compliance Database'!$D1920&amp;" "&amp;'Compliance Database'!$K1920&amp;" "&amp;'Compliance Database'!$L1920&amp;" "&amp;'Compliance Database'!$M1920&amp;" "&amp;'Compliance Database'!$N1920&amp;" "&amp;'Compliance Database'!$O1920))),OR(Query!$B$10&lt;&gt;"Yes",'Compliance Database'!$F1920&lt;&gt;"None")),1,0)</f>
        <v/>
      </c>
      <c r="B1920">
        <f>IF($A1920=1,SUM($A$2:$A1920),"")</f>
        <v/>
      </c>
      <c r="C1920">
        <f>IF($A1920=1,SUM($A$2:$A1920),0)</f>
        <v/>
      </c>
    </row>
    <row r="1921">
      <c r="A1921">
        <f>IF(AND(OR(Query!$B$4="All",'Compliance Database'!$A1921=Query!$B$4),OR(Query!$B$5="All",ISNUMBER(SEARCH(Query!$B$5,'Compliance Database'!$H1921))),OR(Query!$B$6="All",ISNUMBER(SEARCH(Query!$B$6,'Compliance Database'!$I1921))),OR(Query!$B$7="All",'Compliance Database'!$F1921=Query!$B$7),OR(Query!$B$8="All",'Compliance Database'!$J1921=Query!$B$8),OR(Query!$B$9="",ISNUMBER(SEARCH(Query!$B$9,'Compliance Database'!$D1921&amp;" "&amp;'Compliance Database'!$K1921&amp;" "&amp;'Compliance Database'!$L1921&amp;" "&amp;'Compliance Database'!$M1921&amp;" "&amp;'Compliance Database'!$N1921&amp;" "&amp;'Compliance Database'!$O1921))),OR(Query!$B$10&lt;&gt;"Yes",'Compliance Database'!$F1921&lt;&gt;"None")),1,0)</f>
        <v/>
      </c>
      <c r="B1921">
        <f>IF($A1921=1,SUM($A$2:$A1921),"")</f>
        <v/>
      </c>
      <c r="C1921">
        <f>IF($A1921=1,SUM($A$2:$A1921),0)</f>
        <v/>
      </c>
    </row>
    <row r="1922">
      <c r="A1922">
        <f>IF(AND(OR(Query!$B$4="All",'Compliance Database'!$A1922=Query!$B$4),OR(Query!$B$5="All",ISNUMBER(SEARCH(Query!$B$5,'Compliance Database'!$H1922))),OR(Query!$B$6="All",ISNUMBER(SEARCH(Query!$B$6,'Compliance Database'!$I1922))),OR(Query!$B$7="All",'Compliance Database'!$F1922=Query!$B$7),OR(Query!$B$8="All",'Compliance Database'!$J1922=Query!$B$8),OR(Query!$B$9="",ISNUMBER(SEARCH(Query!$B$9,'Compliance Database'!$D1922&amp;" "&amp;'Compliance Database'!$K1922&amp;" "&amp;'Compliance Database'!$L1922&amp;" "&amp;'Compliance Database'!$M1922&amp;" "&amp;'Compliance Database'!$N1922&amp;" "&amp;'Compliance Database'!$O1922))),OR(Query!$B$10&lt;&gt;"Yes",'Compliance Database'!$F1922&lt;&gt;"None")),1,0)</f>
        <v/>
      </c>
      <c r="B1922">
        <f>IF($A1922=1,SUM($A$2:$A1922),"")</f>
        <v/>
      </c>
      <c r="C1922">
        <f>IF($A1922=1,SUM($A$2:$A1922),0)</f>
        <v/>
      </c>
    </row>
    <row r="1923">
      <c r="A1923">
        <f>IF(AND(OR(Query!$B$4="All",'Compliance Database'!$A1923=Query!$B$4),OR(Query!$B$5="All",ISNUMBER(SEARCH(Query!$B$5,'Compliance Database'!$H1923))),OR(Query!$B$6="All",ISNUMBER(SEARCH(Query!$B$6,'Compliance Database'!$I1923))),OR(Query!$B$7="All",'Compliance Database'!$F1923=Query!$B$7),OR(Query!$B$8="All",'Compliance Database'!$J1923=Query!$B$8),OR(Query!$B$9="",ISNUMBER(SEARCH(Query!$B$9,'Compliance Database'!$D1923&amp;" "&amp;'Compliance Database'!$K1923&amp;" "&amp;'Compliance Database'!$L1923&amp;" "&amp;'Compliance Database'!$M1923&amp;" "&amp;'Compliance Database'!$N1923&amp;" "&amp;'Compliance Database'!$O1923))),OR(Query!$B$10&lt;&gt;"Yes",'Compliance Database'!$F1923&lt;&gt;"None")),1,0)</f>
        <v/>
      </c>
      <c r="B1923">
        <f>IF($A1923=1,SUM($A$2:$A1923),"")</f>
        <v/>
      </c>
      <c r="C1923">
        <f>IF($A1923=1,SUM($A$2:$A1923),0)</f>
        <v/>
      </c>
    </row>
    <row r="1924">
      <c r="A1924">
        <f>IF(AND(OR(Query!$B$4="All",'Compliance Database'!$A1924=Query!$B$4),OR(Query!$B$5="All",ISNUMBER(SEARCH(Query!$B$5,'Compliance Database'!$H1924))),OR(Query!$B$6="All",ISNUMBER(SEARCH(Query!$B$6,'Compliance Database'!$I1924))),OR(Query!$B$7="All",'Compliance Database'!$F1924=Query!$B$7),OR(Query!$B$8="All",'Compliance Database'!$J1924=Query!$B$8),OR(Query!$B$9="",ISNUMBER(SEARCH(Query!$B$9,'Compliance Database'!$D1924&amp;" "&amp;'Compliance Database'!$K1924&amp;" "&amp;'Compliance Database'!$L1924&amp;" "&amp;'Compliance Database'!$M1924&amp;" "&amp;'Compliance Database'!$N1924&amp;" "&amp;'Compliance Database'!$O1924))),OR(Query!$B$10&lt;&gt;"Yes",'Compliance Database'!$F1924&lt;&gt;"None")),1,0)</f>
        <v/>
      </c>
      <c r="B1924">
        <f>IF($A1924=1,SUM($A$2:$A1924),"")</f>
        <v/>
      </c>
      <c r="C1924">
        <f>IF($A1924=1,SUM($A$2:$A1924),0)</f>
        <v/>
      </c>
    </row>
    <row r="1925">
      <c r="A1925">
        <f>IF(AND(OR(Query!$B$4="All",'Compliance Database'!$A1925=Query!$B$4),OR(Query!$B$5="All",ISNUMBER(SEARCH(Query!$B$5,'Compliance Database'!$H1925))),OR(Query!$B$6="All",ISNUMBER(SEARCH(Query!$B$6,'Compliance Database'!$I1925))),OR(Query!$B$7="All",'Compliance Database'!$F1925=Query!$B$7),OR(Query!$B$8="All",'Compliance Database'!$J1925=Query!$B$8),OR(Query!$B$9="",ISNUMBER(SEARCH(Query!$B$9,'Compliance Database'!$D1925&amp;" "&amp;'Compliance Database'!$K1925&amp;" "&amp;'Compliance Database'!$L1925&amp;" "&amp;'Compliance Database'!$M1925&amp;" "&amp;'Compliance Database'!$N1925&amp;" "&amp;'Compliance Database'!$O1925))),OR(Query!$B$10&lt;&gt;"Yes",'Compliance Database'!$F1925&lt;&gt;"None")),1,0)</f>
        <v/>
      </c>
      <c r="B1925">
        <f>IF($A1925=1,SUM($A$2:$A1925),"")</f>
        <v/>
      </c>
      <c r="C1925">
        <f>IF($A1925=1,SUM($A$2:$A1925),0)</f>
        <v/>
      </c>
    </row>
    <row r="1926">
      <c r="A1926">
        <f>IF(AND(OR(Query!$B$4="All",'Compliance Database'!$A1926=Query!$B$4),OR(Query!$B$5="All",ISNUMBER(SEARCH(Query!$B$5,'Compliance Database'!$H1926))),OR(Query!$B$6="All",ISNUMBER(SEARCH(Query!$B$6,'Compliance Database'!$I1926))),OR(Query!$B$7="All",'Compliance Database'!$F1926=Query!$B$7),OR(Query!$B$8="All",'Compliance Database'!$J1926=Query!$B$8),OR(Query!$B$9="",ISNUMBER(SEARCH(Query!$B$9,'Compliance Database'!$D1926&amp;" "&amp;'Compliance Database'!$K1926&amp;" "&amp;'Compliance Database'!$L1926&amp;" "&amp;'Compliance Database'!$M1926&amp;" "&amp;'Compliance Database'!$N1926&amp;" "&amp;'Compliance Database'!$O1926))),OR(Query!$B$10&lt;&gt;"Yes",'Compliance Database'!$F1926&lt;&gt;"None")),1,0)</f>
        <v/>
      </c>
      <c r="B1926">
        <f>IF($A1926=1,SUM($A$2:$A1926),"")</f>
        <v/>
      </c>
      <c r="C1926">
        <f>IF($A1926=1,SUM($A$2:$A1926),0)</f>
        <v/>
      </c>
    </row>
    <row r="1927">
      <c r="A1927">
        <f>IF(AND(OR(Query!$B$4="All",'Compliance Database'!$A1927=Query!$B$4),OR(Query!$B$5="All",ISNUMBER(SEARCH(Query!$B$5,'Compliance Database'!$H1927))),OR(Query!$B$6="All",ISNUMBER(SEARCH(Query!$B$6,'Compliance Database'!$I1927))),OR(Query!$B$7="All",'Compliance Database'!$F1927=Query!$B$7),OR(Query!$B$8="All",'Compliance Database'!$J1927=Query!$B$8),OR(Query!$B$9="",ISNUMBER(SEARCH(Query!$B$9,'Compliance Database'!$D1927&amp;" "&amp;'Compliance Database'!$K1927&amp;" "&amp;'Compliance Database'!$L1927&amp;" "&amp;'Compliance Database'!$M1927&amp;" "&amp;'Compliance Database'!$N1927&amp;" "&amp;'Compliance Database'!$O1927))),OR(Query!$B$10&lt;&gt;"Yes",'Compliance Database'!$F1927&lt;&gt;"None")),1,0)</f>
        <v/>
      </c>
      <c r="B1927">
        <f>IF($A1927=1,SUM($A$2:$A1927),"")</f>
        <v/>
      </c>
      <c r="C1927">
        <f>IF($A1927=1,SUM($A$2:$A1927),0)</f>
        <v/>
      </c>
    </row>
    <row r="1928">
      <c r="A1928">
        <f>IF(AND(OR(Query!$B$4="All",'Compliance Database'!$A1928=Query!$B$4),OR(Query!$B$5="All",ISNUMBER(SEARCH(Query!$B$5,'Compliance Database'!$H1928))),OR(Query!$B$6="All",ISNUMBER(SEARCH(Query!$B$6,'Compliance Database'!$I1928))),OR(Query!$B$7="All",'Compliance Database'!$F1928=Query!$B$7),OR(Query!$B$8="All",'Compliance Database'!$J1928=Query!$B$8),OR(Query!$B$9="",ISNUMBER(SEARCH(Query!$B$9,'Compliance Database'!$D1928&amp;" "&amp;'Compliance Database'!$K1928&amp;" "&amp;'Compliance Database'!$L1928&amp;" "&amp;'Compliance Database'!$M1928&amp;" "&amp;'Compliance Database'!$N1928&amp;" "&amp;'Compliance Database'!$O1928))),OR(Query!$B$10&lt;&gt;"Yes",'Compliance Database'!$F1928&lt;&gt;"None")),1,0)</f>
        <v/>
      </c>
      <c r="B1928">
        <f>IF($A1928=1,SUM($A$2:$A1928),"")</f>
        <v/>
      </c>
      <c r="C1928">
        <f>IF($A1928=1,SUM($A$2:$A1928),0)</f>
        <v/>
      </c>
    </row>
    <row r="1929">
      <c r="A1929">
        <f>IF(AND(OR(Query!$B$4="All",'Compliance Database'!$A1929=Query!$B$4),OR(Query!$B$5="All",ISNUMBER(SEARCH(Query!$B$5,'Compliance Database'!$H1929))),OR(Query!$B$6="All",ISNUMBER(SEARCH(Query!$B$6,'Compliance Database'!$I1929))),OR(Query!$B$7="All",'Compliance Database'!$F1929=Query!$B$7),OR(Query!$B$8="All",'Compliance Database'!$J1929=Query!$B$8),OR(Query!$B$9="",ISNUMBER(SEARCH(Query!$B$9,'Compliance Database'!$D1929&amp;" "&amp;'Compliance Database'!$K1929&amp;" "&amp;'Compliance Database'!$L1929&amp;" "&amp;'Compliance Database'!$M1929&amp;" "&amp;'Compliance Database'!$N1929&amp;" "&amp;'Compliance Database'!$O1929))),OR(Query!$B$10&lt;&gt;"Yes",'Compliance Database'!$F1929&lt;&gt;"None")),1,0)</f>
        <v/>
      </c>
      <c r="B1929">
        <f>IF($A1929=1,SUM($A$2:$A1929),"")</f>
        <v/>
      </c>
      <c r="C1929">
        <f>IF($A1929=1,SUM($A$2:$A1929),0)</f>
        <v/>
      </c>
    </row>
    <row r="1930">
      <c r="A1930">
        <f>IF(AND(OR(Query!$B$4="All",'Compliance Database'!$A1930=Query!$B$4),OR(Query!$B$5="All",ISNUMBER(SEARCH(Query!$B$5,'Compliance Database'!$H1930))),OR(Query!$B$6="All",ISNUMBER(SEARCH(Query!$B$6,'Compliance Database'!$I1930))),OR(Query!$B$7="All",'Compliance Database'!$F1930=Query!$B$7),OR(Query!$B$8="All",'Compliance Database'!$J1930=Query!$B$8),OR(Query!$B$9="",ISNUMBER(SEARCH(Query!$B$9,'Compliance Database'!$D1930&amp;" "&amp;'Compliance Database'!$K1930&amp;" "&amp;'Compliance Database'!$L1930&amp;" "&amp;'Compliance Database'!$M1930&amp;" "&amp;'Compliance Database'!$N1930&amp;" "&amp;'Compliance Database'!$O1930))),OR(Query!$B$10&lt;&gt;"Yes",'Compliance Database'!$F1930&lt;&gt;"None")),1,0)</f>
        <v/>
      </c>
      <c r="B1930">
        <f>IF($A1930=1,SUM($A$2:$A1930),"")</f>
        <v/>
      </c>
      <c r="C1930">
        <f>IF($A1930=1,SUM($A$2:$A1930),0)</f>
        <v/>
      </c>
    </row>
    <row r="1931">
      <c r="A1931">
        <f>IF(AND(OR(Query!$B$4="All",'Compliance Database'!$A1931=Query!$B$4),OR(Query!$B$5="All",ISNUMBER(SEARCH(Query!$B$5,'Compliance Database'!$H1931))),OR(Query!$B$6="All",ISNUMBER(SEARCH(Query!$B$6,'Compliance Database'!$I1931))),OR(Query!$B$7="All",'Compliance Database'!$F1931=Query!$B$7),OR(Query!$B$8="All",'Compliance Database'!$J1931=Query!$B$8),OR(Query!$B$9="",ISNUMBER(SEARCH(Query!$B$9,'Compliance Database'!$D1931&amp;" "&amp;'Compliance Database'!$K1931&amp;" "&amp;'Compliance Database'!$L1931&amp;" "&amp;'Compliance Database'!$M1931&amp;" "&amp;'Compliance Database'!$N1931&amp;" "&amp;'Compliance Database'!$O1931))),OR(Query!$B$10&lt;&gt;"Yes",'Compliance Database'!$F1931&lt;&gt;"None")),1,0)</f>
        <v/>
      </c>
      <c r="B1931">
        <f>IF($A1931=1,SUM($A$2:$A1931),"")</f>
        <v/>
      </c>
      <c r="C1931">
        <f>IF($A1931=1,SUM($A$2:$A1931),0)</f>
        <v/>
      </c>
    </row>
    <row r="1932">
      <c r="A1932">
        <f>IF(AND(OR(Query!$B$4="All",'Compliance Database'!$A1932=Query!$B$4),OR(Query!$B$5="All",ISNUMBER(SEARCH(Query!$B$5,'Compliance Database'!$H1932))),OR(Query!$B$6="All",ISNUMBER(SEARCH(Query!$B$6,'Compliance Database'!$I1932))),OR(Query!$B$7="All",'Compliance Database'!$F1932=Query!$B$7),OR(Query!$B$8="All",'Compliance Database'!$J1932=Query!$B$8),OR(Query!$B$9="",ISNUMBER(SEARCH(Query!$B$9,'Compliance Database'!$D1932&amp;" "&amp;'Compliance Database'!$K1932&amp;" "&amp;'Compliance Database'!$L1932&amp;" "&amp;'Compliance Database'!$M1932&amp;" "&amp;'Compliance Database'!$N1932&amp;" "&amp;'Compliance Database'!$O1932))),OR(Query!$B$10&lt;&gt;"Yes",'Compliance Database'!$F1932&lt;&gt;"None")),1,0)</f>
        <v/>
      </c>
      <c r="B1932">
        <f>IF($A1932=1,SUM($A$2:$A1932),"")</f>
        <v/>
      </c>
      <c r="C1932">
        <f>IF($A1932=1,SUM($A$2:$A1932),0)</f>
        <v/>
      </c>
    </row>
    <row r="1933">
      <c r="A1933">
        <f>IF(AND(OR(Query!$B$4="All",'Compliance Database'!$A1933=Query!$B$4),OR(Query!$B$5="All",ISNUMBER(SEARCH(Query!$B$5,'Compliance Database'!$H1933))),OR(Query!$B$6="All",ISNUMBER(SEARCH(Query!$B$6,'Compliance Database'!$I1933))),OR(Query!$B$7="All",'Compliance Database'!$F1933=Query!$B$7),OR(Query!$B$8="All",'Compliance Database'!$J1933=Query!$B$8),OR(Query!$B$9="",ISNUMBER(SEARCH(Query!$B$9,'Compliance Database'!$D1933&amp;" "&amp;'Compliance Database'!$K1933&amp;" "&amp;'Compliance Database'!$L1933&amp;" "&amp;'Compliance Database'!$M1933&amp;" "&amp;'Compliance Database'!$N1933&amp;" "&amp;'Compliance Database'!$O1933))),OR(Query!$B$10&lt;&gt;"Yes",'Compliance Database'!$F1933&lt;&gt;"None")),1,0)</f>
        <v/>
      </c>
      <c r="B1933">
        <f>IF($A1933=1,SUM($A$2:$A1933),"")</f>
        <v/>
      </c>
      <c r="C1933">
        <f>IF($A1933=1,SUM($A$2:$A1933),0)</f>
        <v/>
      </c>
    </row>
    <row r="1934">
      <c r="A1934">
        <f>IF(AND(OR(Query!$B$4="All",'Compliance Database'!$A1934=Query!$B$4),OR(Query!$B$5="All",ISNUMBER(SEARCH(Query!$B$5,'Compliance Database'!$H1934))),OR(Query!$B$6="All",ISNUMBER(SEARCH(Query!$B$6,'Compliance Database'!$I1934))),OR(Query!$B$7="All",'Compliance Database'!$F1934=Query!$B$7),OR(Query!$B$8="All",'Compliance Database'!$J1934=Query!$B$8),OR(Query!$B$9="",ISNUMBER(SEARCH(Query!$B$9,'Compliance Database'!$D1934&amp;" "&amp;'Compliance Database'!$K1934&amp;" "&amp;'Compliance Database'!$L1934&amp;" "&amp;'Compliance Database'!$M1934&amp;" "&amp;'Compliance Database'!$N1934&amp;" "&amp;'Compliance Database'!$O1934))),OR(Query!$B$10&lt;&gt;"Yes",'Compliance Database'!$F1934&lt;&gt;"None")),1,0)</f>
        <v/>
      </c>
      <c r="B1934">
        <f>IF($A1934=1,SUM($A$2:$A1934),"")</f>
        <v/>
      </c>
      <c r="C1934">
        <f>IF($A1934=1,SUM($A$2:$A1934),0)</f>
        <v/>
      </c>
    </row>
    <row r="1935">
      <c r="A1935">
        <f>IF(AND(OR(Query!$B$4="All",'Compliance Database'!$A1935=Query!$B$4),OR(Query!$B$5="All",ISNUMBER(SEARCH(Query!$B$5,'Compliance Database'!$H1935))),OR(Query!$B$6="All",ISNUMBER(SEARCH(Query!$B$6,'Compliance Database'!$I1935))),OR(Query!$B$7="All",'Compliance Database'!$F1935=Query!$B$7),OR(Query!$B$8="All",'Compliance Database'!$J1935=Query!$B$8),OR(Query!$B$9="",ISNUMBER(SEARCH(Query!$B$9,'Compliance Database'!$D1935&amp;" "&amp;'Compliance Database'!$K1935&amp;" "&amp;'Compliance Database'!$L1935&amp;" "&amp;'Compliance Database'!$M1935&amp;" "&amp;'Compliance Database'!$N1935&amp;" "&amp;'Compliance Database'!$O1935))),OR(Query!$B$10&lt;&gt;"Yes",'Compliance Database'!$F1935&lt;&gt;"None")),1,0)</f>
        <v/>
      </c>
      <c r="B1935">
        <f>IF($A1935=1,SUM($A$2:$A1935),"")</f>
        <v/>
      </c>
      <c r="C1935">
        <f>IF($A1935=1,SUM($A$2:$A1935),0)</f>
        <v/>
      </c>
    </row>
    <row r="1936">
      <c r="A1936">
        <f>IF(AND(OR(Query!$B$4="All",'Compliance Database'!$A1936=Query!$B$4),OR(Query!$B$5="All",ISNUMBER(SEARCH(Query!$B$5,'Compliance Database'!$H1936))),OR(Query!$B$6="All",ISNUMBER(SEARCH(Query!$B$6,'Compliance Database'!$I1936))),OR(Query!$B$7="All",'Compliance Database'!$F1936=Query!$B$7),OR(Query!$B$8="All",'Compliance Database'!$J1936=Query!$B$8),OR(Query!$B$9="",ISNUMBER(SEARCH(Query!$B$9,'Compliance Database'!$D1936&amp;" "&amp;'Compliance Database'!$K1936&amp;" "&amp;'Compliance Database'!$L1936&amp;" "&amp;'Compliance Database'!$M1936&amp;" "&amp;'Compliance Database'!$N1936&amp;" "&amp;'Compliance Database'!$O1936))),OR(Query!$B$10&lt;&gt;"Yes",'Compliance Database'!$F1936&lt;&gt;"None")),1,0)</f>
        <v/>
      </c>
      <c r="B1936">
        <f>IF($A1936=1,SUM($A$2:$A1936),"")</f>
        <v/>
      </c>
      <c r="C1936">
        <f>IF($A1936=1,SUM($A$2:$A1936),0)</f>
        <v/>
      </c>
    </row>
    <row r="1937">
      <c r="A1937">
        <f>IF(AND(OR(Query!$B$4="All",'Compliance Database'!$A1937=Query!$B$4),OR(Query!$B$5="All",ISNUMBER(SEARCH(Query!$B$5,'Compliance Database'!$H1937))),OR(Query!$B$6="All",ISNUMBER(SEARCH(Query!$B$6,'Compliance Database'!$I1937))),OR(Query!$B$7="All",'Compliance Database'!$F1937=Query!$B$7),OR(Query!$B$8="All",'Compliance Database'!$J1937=Query!$B$8),OR(Query!$B$9="",ISNUMBER(SEARCH(Query!$B$9,'Compliance Database'!$D1937&amp;" "&amp;'Compliance Database'!$K1937&amp;" "&amp;'Compliance Database'!$L1937&amp;" "&amp;'Compliance Database'!$M1937&amp;" "&amp;'Compliance Database'!$N1937&amp;" "&amp;'Compliance Database'!$O1937))),OR(Query!$B$10&lt;&gt;"Yes",'Compliance Database'!$F1937&lt;&gt;"None")),1,0)</f>
        <v/>
      </c>
      <c r="B1937">
        <f>IF($A1937=1,SUM($A$2:$A1937),"")</f>
        <v/>
      </c>
      <c r="C1937">
        <f>IF($A1937=1,SUM($A$2:$A1937),0)</f>
        <v/>
      </c>
    </row>
    <row r="1938">
      <c r="A1938">
        <f>IF(AND(OR(Query!$B$4="All",'Compliance Database'!$A1938=Query!$B$4),OR(Query!$B$5="All",ISNUMBER(SEARCH(Query!$B$5,'Compliance Database'!$H1938))),OR(Query!$B$6="All",ISNUMBER(SEARCH(Query!$B$6,'Compliance Database'!$I1938))),OR(Query!$B$7="All",'Compliance Database'!$F1938=Query!$B$7),OR(Query!$B$8="All",'Compliance Database'!$J1938=Query!$B$8),OR(Query!$B$9="",ISNUMBER(SEARCH(Query!$B$9,'Compliance Database'!$D1938&amp;" "&amp;'Compliance Database'!$K1938&amp;" "&amp;'Compliance Database'!$L1938&amp;" "&amp;'Compliance Database'!$M1938&amp;" "&amp;'Compliance Database'!$N1938&amp;" "&amp;'Compliance Database'!$O1938))),OR(Query!$B$10&lt;&gt;"Yes",'Compliance Database'!$F1938&lt;&gt;"None")),1,0)</f>
        <v/>
      </c>
      <c r="B1938">
        <f>IF($A1938=1,SUM($A$2:$A1938),"")</f>
        <v/>
      </c>
      <c r="C1938">
        <f>IF($A1938=1,SUM($A$2:$A1938),0)</f>
        <v/>
      </c>
    </row>
    <row r="1939">
      <c r="A1939">
        <f>IF(AND(OR(Query!$B$4="All",'Compliance Database'!$A1939=Query!$B$4),OR(Query!$B$5="All",ISNUMBER(SEARCH(Query!$B$5,'Compliance Database'!$H1939))),OR(Query!$B$6="All",ISNUMBER(SEARCH(Query!$B$6,'Compliance Database'!$I1939))),OR(Query!$B$7="All",'Compliance Database'!$F1939=Query!$B$7),OR(Query!$B$8="All",'Compliance Database'!$J1939=Query!$B$8),OR(Query!$B$9="",ISNUMBER(SEARCH(Query!$B$9,'Compliance Database'!$D1939&amp;" "&amp;'Compliance Database'!$K1939&amp;" "&amp;'Compliance Database'!$L1939&amp;" "&amp;'Compliance Database'!$M1939&amp;" "&amp;'Compliance Database'!$N1939&amp;" "&amp;'Compliance Database'!$O1939))),OR(Query!$B$10&lt;&gt;"Yes",'Compliance Database'!$F1939&lt;&gt;"None")),1,0)</f>
        <v/>
      </c>
      <c r="B1939">
        <f>IF($A1939=1,SUM($A$2:$A1939),"")</f>
        <v/>
      </c>
      <c r="C1939">
        <f>IF($A1939=1,SUM($A$2:$A1939),0)</f>
        <v/>
      </c>
    </row>
    <row r="1940">
      <c r="A1940">
        <f>IF(AND(OR(Query!$B$4="All",'Compliance Database'!$A1940=Query!$B$4),OR(Query!$B$5="All",ISNUMBER(SEARCH(Query!$B$5,'Compliance Database'!$H1940))),OR(Query!$B$6="All",ISNUMBER(SEARCH(Query!$B$6,'Compliance Database'!$I1940))),OR(Query!$B$7="All",'Compliance Database'!$F1940=Query!$B$7),OR(Query!$B$8="All",'Compliance Database'!$J1940=Query!$B$8),OR(Query!$B$9="",ISNUMBER(SEARCH(Query!$B$9,'Compliance Database'!$D1940&amp;" "&amp;'Compliance Database'!$K1940&amp;" "&amp;'Compliance Database'!$L1940&amp;" "&amp;'Compliance Database'!$M1940&amp;" "&amp;'Compliance Database'!$N1940&amp;" "&amp;'Compliance Database'!$O1940))),OR(Query!$B$10&lt;&gt;"Yes",'Compliance Database'!$F1940&lt;&gt;"None")),1,0)</f>
        <v/>
      </c>
      <c r="B1940">
        <f>IF($A1940=1,SUM($A$2:$A1940),"")</f>
        <v/>
      </c>
      <c r="C1940">
        <f>IF($A1940=1,SUM($A$2:$A1940),0)</f>
        <v/>
      </c>
    </row>
    <row r="1941">
      <c r="A1941">
        <f>IF(AND(OR(Query!$B$4="All",'Compliance Database'!$A1941=Query!$B$4),OR(Query!$B$5="All",ISNUMBER(SEARCH(Query!$B$5,'Compliance Database'!$H1941))),OR(Query!$B$6="All",ISNUMBER(SEARCH(Query!$B$6,'Compliance Database'!$I1941))),OR(Query!$B$7="All",'Compliance Database'!$F1941=Query!$B$7),OR(Query!$B$8="All",'Compliance Database'!$J1941=Query!$B$8),OR(Query!$B$9="",ISNUMBER(SEARCH(Query!$B$9,'Compliance Database'!$D1941&amp;" "&amp;'Compliance Database'!$K1941&amp;" "&amp;'Compliance Database'!$L1941&amp;" "&amp;'Compliance Database'!$M1941&amp;" "&amp;'Compliance Database'!$N1941&amp;" "&amp;'Compliance Database'!$O1941))),OR(Query!$B$10&lt;&gt;"Yes",'Compliance Database'!$F1941&lt;&gt;"None")),1,0)</f>
        <v/>
      </c>
      <c r="B1941">
        <f>IF($A1941=1,SUM($A$2:$A1941),"")</f>
        <v/>
      </c>
      <c r="C1941">
        <f>IF($A1941=1,SUM($A$2:$A1941),0)</f>
        <v/>
      </c>
    </row>
    <row r="1942">
      <c r="A1942">
        <f>IF(AND(OR(Query!$B$4="All",'Compliance Database'!$A1942=Query!$B$4),OR(Query!$B$5="All",ISNUMBER(SEARCH(Query!$B$5,'Compliance Database'!$H1942))),OR(Query!$B$6="All",ISNUMBER(SEARCH(Query!$B$6,'Compliance Database'!$I1942))),OR(Query!$B$7="All",'Compliance Database'!$F1942=Query!$B$7),OR(Query!$B$8="All",'Compliance Database'!$J1942=Query!$B$8),OR(Query!$B$9="",ISNUMBER(SEARCH(Query!$B$9,'Compliance Database'!$D1942&amp;" "&amp;'Compliance Database'!$K1942&amp;" "&amp;'Compliance Database'!$L1942&amp;" "&amp;'Compliance Database'!$M1942&amp;" "&amp;'Compliance Database'!$N1942&amp;" "&amp;'Compliance Database'!$O1942))),OR(Query!$B$10&lt;&gt;"Yes",'Compliance Database'!$F1942&lt;&gt;"None")),1,0)</f>
        <v/>
      </c>
      <c r="B1942">
        <f>IF($A1942=1,SUM($A$2:$A1942),"")</f>
        <v/>
      </c>
      <c r="C1942">
        <f>IF($A1942=1,SUM($A$2:$A1942),0)</f>
        <v/>
      </c>
    </row>
    <row r="1943">
      <c r="A1943">
        <f>IF(AND(OR(Query!$B$4="All",'Compliance Database'!$A1943=Query!$B$4),OR(Query!$B$5="All",ISNUMBER(SEARCH(Query!$B$5,'Compliance Database'!$H1943))),OR(Query!$B$6="All",ISNUMBER(SEARCH(Query!$B$6,'Compliance Database'!$I1943))),OR(Query!$B$7="All",'Compliance Database'!$F1943=Query!$B$7),OR(Query!$B$8="All",'Compliance Database'!$J1943=Query!$B$8),OR(Query!$B$9="",ISNUMBER(SEARCH(Query!$B$9,'Compliance Database'!$D1943&amp;" "&amp;'Compliance Database'!$K1943&amp;" "&amp;'Compliance Database'!$L1943&amp;" "&amp;'Compliance Database'!$M1943&amp;" "&amp;'Compliance Database'!$N1943&amp;" "&amp;'Compliance Database'!$O1943))),OR(Query!$B$10&lt;&gt;"Yes",'Compliance Database'!$F1943&lt;&gt;"None")),1,0)</f>
        <v/>
      </c>
      <c r="B1943">
        <f>IF($A1943=1,SUM($A$2:$A1943),"")</f>
        <v/>
      </c>
      <c r="C1943">
        <f>IF($A1943=1,SUM($A$2:$A1943),0)</f>
        <v/>
      </c>
    </row>
    <row r="1944">
      <c r="A1944">
        <f>IF(AND(OR(Query!$B$4="All",'Compliance Database'!$A1944=Query!$B$4),OR(Query!$B$5="All",ISNUMBER(SEARCH(Query!$B$5,'Compliance Database'!$H1944))),OR(Query!$B$6="All",ISNUMBER(SEARCH(Query!$B$6,'Compliance Database'!$I1944))),OR(Query!$B$7="All",'Compliance Database'!$F1944=Query!$B$7),OR(Query!$B$8="All",'Compliance Database'!$J1944=Query!$B$8),OR(Query!$B$9="",ISNUMBER(SEARCH(Query!$B$9,'Compliance Database'!$D1944&amp;" "&amp;'Compliance Database'!$K1944&amp;" "&amp;'Compliance Database'!$L1944&amp;" "&amp;'Compliance Database'!$M1944&amp;" "&amp;'Compliance Database'!$N1944&amp;" "&amp;'Compliance Database'!$O1944))),OR(Query!$B$10&lt;&gt;"Yes",'Compliance Database'!$F1944&lt;&gt;"None")),1,0)</f>
        <v/>
      </c>
      <c r="B1944">
        <f>IF($A1944=1,SUM($A$2:$A1944),"")</f>
        <v/>
      </c>
      <c r="C1944">
        <f>IF($A1944=1,SUM($A$2:$A1944),0)</f>
        <v/>
      </c>
    </row>
    <row r="1945">
      <c r="A1945">
        <f>IF(AND(OR(Query!$B$4="All",'Compliance Database'!$A1945=Query!$B$4),OR(Query!$B$5="All",ISNUMBER(SEARCH(Query!$B$5,'Compliance Database'!$H1945))),OR(Query!$B$6="All",ISNUMBER(SEARCH(Query!$B$6,'Compliance Database'!$I1945))),OR(Query!$B$7="All",'Compliance Database'!$F1945=Query!$B$7),OR(Query!$B$8="All",'Compliance Database'!$J1945=Query!$B$8),OR(Query!$B$9="",ISNUMBER(SEARCH(Query!$B$9,'Compliance Database'!$D1945&amp;" "&amp;'Compliance Database'!$K1945&amp;" "&amp;'Compliance Database'!$L1945&amp;" "&amp;'Compliance Database'!$M1945&amp;" "&amp;'Compliance Database'!$N1945&amp;" "&amp;'Compliance Database'!$O1945))),OR(Query!$B$10&lt;&gt;"Yes",'Compliance Database'!$F1945&lt;&gt;"None")),1,0)</f>
        <v/>
      </c>
      <c r="B1945">
        <f>IF($A1945=1,SUM($A$2:$A1945),"")</f>
        <v/>
      </c>
      <c r="C1945">
        <f>IF($A1945=1,SUM($A$2:$A1945),0)</f>
        <v/>
      </c>
    </row>
    <row r="1946">
      <c r="A1946">
        <f>IF(AND(OR(Query!$B$4="All",'Compliance Database'!$A1946=Query!$B$4),OR(Query!$B$5="All",ISNUMBER(SEARCH(Query!$B$5,'Compliance Database'!$H1946))),OR(Query!$B$6="All",ISNUMBER(SEARCH(Query!$B$6,'Compliance Database'!$I1946))),OR(Query!$B$7="All",'Compliance Database'!$F1946=Query!$B$7),OR(Query!$B$8="All",'Compliance Database'!$J1946=Query!$B$8),OR(Query!$B$9="",ISNUMBER(SEARCH(Query!$B$9,'Compliance Database'!$D1946&amp;" "&amp;'Compliance Database'!$K1946&amp;" "&amp;'Compliance Database'!$L1946&amp;" "&amp;'Compliance Database'!$M1946&amp;" "&amp;'Compliance Database'!$N1946&amp;" "&amp;'Compliance Database'!$O1946))),OR(Query!$B$10&lt;&gt;"Yes",'Compliance Database'!$F1946&lt;&gt;"None")),1,0)</f>
        <v/>
      </c>
      <c r="B1946">
        <f>IF($A1946=1,SUM($A$2:$A1946),"")</f>
        <v/>
      </c>
      <c r="C1946">
        <f>IF($A1946=1,SUM($A$2:$A1946),0)</f>
        <v/>
      </c>
    </row>
    <row r="1947">
      <c r="A1947">
        <f>IF(AND(OR(Query!$B$4="All",'Compliance Database'!$A1947=Query!$B$4),OR(Query!$B$5="All",ISNUMBER(SEARCH(Query!$B$5,'Compliance Database'!$H1947))),OR(Query!$B$6="All",ISNUMBER(SEARCH(Query!$B$6,'Compliance Database'!$I1947))),OR(Query!$B$7="All",'Compliance Database'!$F1947=Query!$B$7),OR(Query!$B$8="All",'Compliance Database'!$J1947=Query!$B$8),OR(Query!$B$9="",ISNUMBER(SEARCH(Query!$B$9,'Compliance Database'!$D1947&amp;" "&amp;'Compliance Database'!$K1947&amp;" "&amp;'Compliance Database'!$L1947&amp;" "&amp;'Compliance Database'!$M1947&amp;" "&amp;'Compliance Database'!$N1947&amp;" "&amp;'Compliance Database'!$O1947))),OR(Query!$B$10&lt;&gt;"Yes",'Compliance Database'!$F1947&lt;&gt;"None")),1,0)</f>
        <v/>
      </c>
      <c r="B1947">
        <f>IF($A1947=1,SUM($A$2:$A1947),"")</f>
        <v/>
      </c>
      <c r="C1947">
        <f>IF($A1947=1,SUM($A$2:$A1947),0)</f>
        <v/>
      </c>
    </row>
    <row r="1948">
      <c r="A1948">
        <f>IF(AND(OR(Query!$B$4="All",'Compliance Database'!$A1948=Query!$B$4),OR(Query!$B$5="All",ISNUMBER(SEARCH(Query!$B$5,'Compliance Database'!$H1948))),OR(Query!$B$6="All",ISNUMBER(SEARCH(Query!$B$6,'Compliance Database'!$I1948))),OR(Query!$B$7="All",'Compliance Database'!$F1948=Query!$B$7),OR(Query!$B$8="All",'Compliance Database'!$J1948=Query!$B$8),OR(Query!$B$9="",ISNUMBER(SEARCH(Query!$B$9,'Compliance Database'!$D1948&amp;" "&amp;'Compliance Database'!$K1948&amp;" "&amp;'Compliance Database'!$L1948&amp;" "&amp;'Compliance Database'!$M1948&amp;" "&amp;'Compliance Database'!$N1948&amp;" "&amp;'Compliance Database'!$O1948))),OR(Query!$B$10&lt;&gt;"Yes",'Compliance Database'!$F1948&lt;&gt;"None")),1,0)</f>
        <v/>
      </c>
      <c r="B1948">
        <f>IF($A1948=1,SUM($A$2:$A1948),"")</f>
        <v/>
      </c>
      <c r="C1948">
        <f>IF($A1948=1,SUM($A$2:$A1948),0)</f>
        <v/>
      </c>
    </row>
    <row r="1949">
      <c r="A1949">
        <f>IF(AND(OR(Query!$B$4="All",'Compliance Database'!$A1949=Query!$B$4),OR(Query!$B$5="All",ISNUMBER(SEARCH(Query!$B$5,'Compliance Database'!$H1949))),OR(Query!$B$6="All",ISNUMBER(SEARCH(Query!$B$6,'Compliance Database'!$I1949))),OR(Query!$B$7="All",'Compliance Database'!$F1949=Query!$B$7),OR(Query!$B$8="All",'Compliance Database'!$J1949=Query!$B$8),OR(Query!$B$9="",ISNUMBER(SEARCH(Query!$B$9,'Compliance Database'!$D1949&amp;" "&amp;'Compliance Database'!$K1949&amp;" "&amp;'Compliance Database'!$L1949&amp;" "&amp;'Compliance Database'!$M1949&amp;" "&amp;'Compliance Database'!$N1949&amp;" "&amp;'Compliance Database'!$O1949))),OR(Query!$B$10&lt;&gt;"Yes",'Compliance Database'!$F1949&lt;&gt;"None")),1,0)</f>
        <v/>
      </c>
      <c r="B1949">
        <f>IF($A1949=1,SUM($A$2:$A1949),"")</f>
        <v/>
      </c>
      <c r="C1949">
        <f>IF($A1949=1,SUM($A$2:$A1949),0)</f>
        <v/>
      </c>
    </row>
    <row r="1950">
      <c r="A1950">
        <f>IF(AND(OR(Query!$B$4="All",'Compliance Database'!$A1950=Query!$B$4),OR(Query!$B$5="All",ISNUMBER(SEARCH(Query!$B$5,'Compliance Database'!$H1950))),OR(Query!$B$6="All",ISNUMBER(SEARCH(Query!$B$6,'Compliance Database'!$I1950))),OR(Query!$B$7="All",'Compliance Database'!$F1950=Query!$B$7),OR(Query!$B$8="All",'Compliance Database'!$J1950=Query!$B$8),OR(Query!$B$9="",ISNUMBER(SEARCH(Query!$B$9,'Compliance Database'!$D1950&amp;" "&amp;'Compliance Database'!$K1950&amp;" "&amp;'Compliance Database'!$L1950&amp;" "&amp;'Compliance Database'!$M1950&amp;" "&amp;'Compliance Database'!$N1950&amp;" "&amp;'Compliance Database'!$O1950))),OR(Query!$B$10&lt;&gt;"Yes",'Compliance Database'!$F1950&lt;&gt;"None")),1,0)</f>
        <v/>
      </c>
      <c r="B1950">
        <f>IF($A1950=1,SUM($A$2:$A1950),"")</f>
        <v/>
      </c>
      <c r="C1950">
        <f>IF($A1950=1,SUM($A$2:$A1950),0)</f>
        <v/>
      </c>
    </row>
    <row r="1951">
      <c r="A1951">
        <f>IF(AND(OR(Query!$B$4="All",'Compliance Database'!$A1951=Query!$B$4),OR(Query!$B$5="All",ISNUMBER(SEARCH(Query!$B$5,'Compliance Database'!$H1951))),OR(Query!$B$6="All",ISNUMBER(SEARCH(Query!$B$6,'Compliance Database'!$I1951))),OR(Query!$B$7="All",'Compliance Database'!$F1951=Query!$B$7),OR(Query!$B$8="All",'Compliance Database'!$J1951=Query!$B$8),OR(Query!$B$9="",ISNUMBER(SEARCH(Query!$B$9,'Compliance Database'!$D1951&amp;" "&amp;'Compliance Database'!$K1951&amp;" "&amp;'Compliance Database'!$L1951&amp;" "&amp;'Compliance Database'!$M1951&amp;" "&amp;'Compliance Database'!$N1951&amp;" "&amp;'Compliance Database'!$O1951))),OR(Query!$B$10&lt;&gt;"Yes",'Compliance Database'!$F1951&lt;&gt;"None")),1,0)</f>
        <v/>
      </c>
      <c r="B1951">
        <f>IF($A1951=1,SUM($A$2:$A1951),"")</f>
        <v/>
      </c>
      <c r="C1951">
        <f>IF($A1951=1,SUM($A$2:$A1951),0)</f>
        <v/>
      </c>
    </row>
    <row r="1952">
      <c r="A1952">
        <f>IF(AND(OR(Query!$B$4="All",'Compliance Database'!$A1952=Query!$B$4),OR(Query!$B$5="All",ISNUMBER(SEARCH(Query!$B$5,'Compliance Database'!$H1952))),OR(Query!$B$6="All",ISNUMBER(SEARCH(Query!$B$6,'Compliance Database'!$I1952))),OR(Query!$B$7="All",'Compliance Database'!$F1952=Query!$B$7),OR(Query!$B$8="All",'Compliance Database'!$J1952=Query!$B$8),OR(Query!$B$9="",ISNUMBER(SEARCH(Query!$B$9,'Compliance Database'!$D1952&amp;" "&amp;'Compliance Database'!$K1952&amp;" "&amp;'Compliance Database'!$L1952&amp;" "&amp;'Compliance Database'!$M1952&amp;" "&amp;'Compliance Database'!$N1952&amp;" "&amp;'Compliance Database'!$O1952))),OR(Query!$B$10&lt;&gt;"Yes",'Compliance Database'!$F1952&lt;&gt;"None")),1,0)</f>
        <v/>
      </c>
      <c r="B1952">
        <f>IF($A1952=1,SUM($A$2:$A1952),"")</f>
        <v/>
      </c>
      <c r="C1952">
        <f>IF($A1952=1,SUM($A$2:$A1952),0)</f>
        <v/>
      </c>
    </row>
    <row r="1953">
      <c r="A1953">
        <f>IF(AND(OR(Query!$B$4="All",'Compliance Database'!$A1953=Query!$B$4),OR(Query!$B$5="All",ISNUMBER(SEARCH(Query!$B$5,'Compliance Database'!$H1953))),OR(Query!$B$6="All",ISNUMBER(SEARCH(Query!$B$6,'Compliance Database'!$I1953))),OR(Query!$B$7="All",'Compliance Database'!$F1953=Query!$B$7),OR(Query!$B$8="All",'Compliance Database'!$J1953=Query!$B$8),OR(Query!$B$9="",ISNUMBER(SEARCH(Query!$B$9,'Compliance Database'!$D1953&amp;" "&amp;'Compliance Database'!$K1953&amp;" "&amp;'Compliance Database'!$L1953&amp;" "&amp;'Compliance Database'!$M1953&amp;" "&amp;'Compliance Database'!$N1953&amp;" "&amp;'Compliance Database'!$O1953))),OR(Query!$B$10&lt;&gt;"Yes",'Compliance Database'!$F1953&lt;&gt;"None")),1,0)</f>
        <v/>
      </c>
      <c r="B1953">
        <f>IF($A1953=1,SUM($A$2:$A1953),"")</f>
        <v/>
      </c>
      <c r="C1953">
        <f>IF($A1953=1,SUM($A$2:$A1953),0)</f>
        <v/>
      </c>
    </row>
    <row r="1954">
      <c r="A1954">
        <f>IF(AND(OR(Query!$B$4="All",'Compliance Database'!$A1954=Query!$B$4),OR(Query!$B$5="All",ISNUMBER(SEARCH(Query!$B$5,'Compliance Database'!$H1954))),OR(Query!$B$6="All",ISNUMBER(SEARCH(Query!$B$6,'Compliance Database'!$I1954))),OR(Query!$B$7="All",'Compliance Database'!$F1954=Query!$B$7),OR(Query!$B$8="All",'Compliance Database'!$J1954=Query!$B$8),OR(Query!$B$9="",ISNUMBER(SEARCH(Query!$B$9,'Compliance Database'!$D1954&amp;" "&amp;'Compliance Database'!$K1954&amp;" "&amp;'Compliance Database'!$L1954&amp;" "&amp;'Compliance Database'!$M1954&amp;" "&amp;'Compliance Database'!$N1954&amp;" "&amp;'Compliance Database'!$O1954))),OR(Query!$B$10&lt;&gt;"Yes",'Compliance Database'!$F1954&lt;&gt;"None")),1,0)</f>
        <v/>
      </c>
      <c r="B1954">
        <f>IF($A1954=1,SUM($A$2:$A1954),"")</f>
        <v/>
      </c>
      <c r="C1954">
        <f>IF($A1954=1,SUM($A$2:$A1954),0)</f>
        <v/>
      </c>
    </row>
    <row r="1955">
      <c r="A1955">
        <f>IF(AND(OR(Query!$B$4="All",'Compliance Database'!$A1955=Query!$B$4),OR(Query!$B$5="All",ISNUMBER(SEARCH(Query!$B$5,'Compliance Database'!$H1955))),OR(Query!$B$6="All",ISNUMBER(SEARCH(Query!$B$6,'Compliance Database'!$I1955))),OR(Query!$B$7="All",'Compliance Database'!$F1955=Query!$B$7),OR(Query!$B$8="All",'Compliance Database'!$J1955=Query!$B$8),OR(Query!$B$9="",ISNUMBER(SEARCH(Query!$B$9,'Compliance Database'!$D1955&amp;" "&amp;'Compliance Database'!$K1955&amp;" "&amp;'Compliance Database'!$L1955&amp;" "&amp;'Compliance Database'!$M1955&amp;" "&amp;'Compliance Database'!$N1955&amp;" "&amp;'Compliance Database'!$O1955))),OR(Query!$B$10&lt;&gt;"Yes",'Compliance Database'!$F1955&lt;&gt;"None")),1,0)</f>
        <v/>
      </c>
      <c r="B1955">
        <f>IF($A1955=1,SUM($A$2:$A1955),"")</f>
        <v/>
      </c>
      <c r="C1955">
        <f>IF($A1955=1,SUM($A$2:$A1955),0)</f>
        <v/>
      </c>
    </row>
    <row r="1956">
      <c r="A1956">
        <f>IF(AND(OR(Query!$B$4="All",'Compliance Database'!$A1956=Query!$B$4),OR(Query!$B$5="All",ISNUMBER(SEARCH(Query!$B$5,'Compliance Database'!$H1956))),OR(Query!$B$6="All",ISNUMBER(SEARCH(Query!$B$6,'Compliance Database'!$I1956))),OR(Query!$B$7="All",'Compliance Database'!$F1956=Query!$B$7),OR(Query!$B$8="All",'Compliance Database'!$J1956=Query!$B$8),OR(Query!$B$9="",ISNUMBER(SEARCH(Query!$B$9,'Compliance Database'!$D1956&amp;" "&amp;'Compliance Database'!$K1956&amp;" "&amp;'Compliance Database'!$L1956&amp;" "&amp;'Compliance Database'!$M1956&amp;" "&amp;'Compliance Database'!$N1956&amp;" "&amp;'Compliance Database'!$O1956))),OR(Query!$B$10&lt;&gt;"Yes",'Compliance Database'!$F1956&lt;&gt;"None")),1,0)</f>
        <v/>
      </c>
      <c r="B1956">
        <f>IF($A1956=1,SUM($A$2:$A1956),"")</f>
        <v/>
      </c>
      <c r="C1956">
        <f>IF($A1956=1,SUM($A$2:$A1956),0)</f>
        <v/>
      </c>
    </row>
    <row r="1957">
      <c r="A1957">
        <f>IF(AND(OR(Query!$B$4="All",'Compliance Database'!$A1957=Query!$B$4),OR(Query!$B$5="All",ISNUMBER(SEARCH(Query!$B$5,'Compliance Database'!$H1957))),OR(Query!$B$6="All",ISNUMBER(SEARCH(Query!$B$6,'Compliance Database'!$I1957))),OR(Query!$B$7="All",'Compliance Database'!$F1957=Query!$B$7),OR(Query!$B$8="All",'Compliance Database'!$J1957=Query!$B$8),OR(Query!$B$9="",ISNUMBER(SEARCH(Query!$B$9,'Compliance Database'!$D1957&amp;" "&amp;'Compliance Database'!$K1957&amp;" "&amp;'Compliance Database'!$L1957&amp;" "&amp;'Compliance Database'!$M1957&amp;" "&amp;'Compliance Database'!$N1957&amp;" "&amp;'Compliance Database'!$O1957))),OR(Query!$B$10&lt;&gt;"Yes",'Compliance Database'!$F1957&lt;&gt;"None")),1,0)</f>
        <v/>
      </c>
      <c r="B1957">
        <f>IF($A1957=1,SUM($A$2:$A1957),"")</f>
        <v/>
      </c>
      <c r="C1957">
        <f>IF($A1957=1,SUM($A$2:$A1957),0)</f>
        <v/>
      </c>
    </row>
    <row r="1958">
      <c r="A1958">
        <f>IF(AND(OR(Query!$B$4="All",'Compliance Database'!$A1958=Query!$B$4),OR(Query!$B$5="All",ISNUMBER(SEARCH(Query!$B$5,'Compliance Database'!$H1958))),OR(Query!$B$6="All",ISNUMBER(SEARCH(Query!$B$6,'Compliance Database'!$I1958))),OR(Query!$B$7="All",'Compliance Database'!$F1958=Query!$B$7),OR(Query!$B$8="All",'Compliance Database'!$J1958=Query!$B$8),OR(Query!$B$9="",ISNUMBER(SEARCH(Query!$B$9,'Compliance Database'!$D1958&amp;" "&amp;'Compliance Database'!$K1958&amp;" "&amp;'Compliance Database'!$L1958&amp;" "&amp;'Compliance Database'!$M1958&amp;" "&amp;'Compliance Database'!$N1958&amp;" "&amp;'Compliance Database'!$O1958))),OR(Query!$B$10&lt;&gt;"Yes",'Compliance Database'!$F1958&lt;&gt;"None")),1,0)</f>
        <v/>
      </c>
      <c r="B1958">
        <f>IF($A1958=1,SUM($A$2:$A1958),"")</f>
        <v/>
      </c>
      <c r="C1958">
        <f>IF($A1958=1,SUM($A$2:$A1958),0)</f>
        <v/>
      </c>
    </row>
    <row r="1959">
      <c r="A1959">
        <f>IF(AND(OR(Query!$B$4="All",'Compliance Database'!$A1959=Query!$B$4),OR(Query!$B$5="All",ISNUMBER(SEARCH(Query!$B$5,'Compliance Database'!$H1959))),OR(Query!$B$6="All",ISNUMBER(SEARCH(Query!$B$6,'Compliance Database'!$I1959))),OR(Query!$B$7="All",'Compliance Database'!$F1959=Query!$B$7),OR(Query!$B$8="All",'Compliance Database'!$J1959=Query!$B$8),OR(Query!$B$9="",ISNUMBER(SEARCH(Query!$B$9,'Compliance Database'!$D1959&amp;" "&amp;'Compliance Database'!$K1959&amp;" "&amp;'Compliance Database'!$L1959&amp;" "&amp;'Compliance Database'!$M1959&amp;" "&amp;'Compliance Database'!$N1959&amp;" "&amp;'Compliance Database'!$O1959))),OR(Query!$B$10&lt;&gt;"Yes",'Compliance Database'!$F1959&lt;&gt;"None")),1,0)</f>
        <v/>
      </c>
      <c r="B1959">
        <f>IF($A1959=1,SUM($A$2:$A1959),"")</f>
        <v/>
      </c>
      <c r="C1959">
        <f>IF($A1959=1,SUM($A$2:$A1959),0)</f>
        <v/>
      </c>
    </row>
    <row r="1960">
      <c r="A1960">
        <f>IF(AND(OR(Query!$B$4="All",'Compliance Database'!$A1960=Query!$B$4),OR(Query!$B$5="All",ISNUMBER(SEARCH(Query!$B$5,'Compliance Database'!$H1960))),OR(Query!$B$6="All",ISNUMBER(SEARCH(Query!$B$6,'Compliance Database'!$I1960))),OR(Query!$B$7="All",'Compliance Database'!$F1960=Query!$B$7),OR(Query!$B$8="All",'Compliance Database'!$J1960=Query!$B$8),OR(Query!$B$9="",ISNUMBER(SEARCH(Query!$B$9,'Compliance Database'!$D1960&amp;" "&amp;'Compliance Database'!$K1960&amp;" "&amp;'Compliance Database'!$L1960&amp;" "&amp;'Compliance Database'!$M1960&amp;" "&amp;'Compliance Database'!$N1960&amp;" "&amp;'Compliance Database'!$O1960))),OR(Query!$B$10&lt;&gt;"Yes",'Compliance Database'!$F1960&lt;&gt;"None")),1,0)</f>
        <v/>
      </c>
      <c r="B1960">
        <f>IF($A1960=1,SUM($A$2:$A1960),"")</f>
        <v/>
      </c>
      <c r="C1960">
        <f>IF($A1960=1,SUM($A$2:$A1960),0)</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960"/>
  <sheetViews>
    <sheetView workbookViewId="0">
      <selection activeCell="A1" sqref="A1"/>
    </sheetView>
  </sheetViews>
  <sheetFormatPr baseColWidth="8" defaultRowHeight="15"/>
  <sheetData>
    <row r="1">
      <c r="A1" t="inlineStr">
        <is>
          <t>match</t>
        </is>
      </c>
      <c r="B1" t="inlineStr">
        <is>
          <t>rank</t>
        </is>
      </c>
      <c r="C1" t="inlineStr">
        <is>
          <t>rankval</t>
        </is>
      </c>
      <c r="D1">
        <f>SUM($A$2:$A$1960)</f>
        <v/>
      </c>
    </row>
    <row r="2">
      <c r="A2">
        <f>IF(AND(OR('Compliance Database'!$A2='Data Transfer'!$B$4,'Compliance Database'!$A2='Data Transfer'!$B$5),OR('Data Transfer'!$B$6="",ISNUMBER(SEARCH('Data Transfer'!$B$6,'Compliance Database'!$D2&amp;" "&amp;'Compliance Database'!$K2&amp;" "&amp;'Compliance Database'!$L2&amp;" "&amp;'Compliance Database'!$M2&amp;" "&amp;'Compliance Database'!$N2&amp;" "&amp;'Compliance Database'!$O2)))),1,0)</f>
        <v/>
      </c>
      <c r="B2">
        <f>IF($A2=1,SUM($A$2:$A2),"")</f>
        <v/>
      </c>
      <c r="C2">
        <f>IF($A2=1,SUM($A$2:$A2),0)</f>
        <v/>
      </c>
    </row>
    <row r="3">
      <c r="A3">
        <f>IF(AND(OR('Compliance Database'!$A3='Data Transfer'!$B$4,'Compliance Database'!$A3='Data Transfer'!$B$5),OR('Data Transfer'!$B$6="",ISNUMBER(SEARCH('Data Transfer'!$B$6,'Compliance Database'!$D3&amp;" "&amp;'Compliance Database'!$K3&amp;" "&amp;'Compliance Database'!$L3&amp;" "&amp;'Compliance Database'!$M3&amp;" "&amp;'Compliance Database'!$N3&amp;" "&amp;'Compliance Database'!$O3)))),1,0)</f>
        <v/>
      </c>
      <c r="B3">
        <f>IF($A3=1,SUM($A$2:$A3),"")</f>
        <v/>
      </c>
      <c r="C3">
        <f>IF($A3=1,SUM($A$2:$A3),0)</f>
        <v/>
      </c>
    </row>
    <row r="4">
      <c r="A4">
        <f>IF(AND(OR('Compliance Database'!$A4='Data Transfer'!$B$4,'Compliance Database'!$A4='Data Transfer'!$B$5),OR('Data Transfer'!$B$6="",ISNUMBER(SEARCH('Data Transfer'!$B$6,'Compliance Database'!$D4&amp;" "&amp;'Compliance Database'!$K4&amp;" "&amp;'Compliance Database'!$L4&amp;" "&amp;'Compliance Database'!$M4&amp;" "&amp;'Compliance Database'!$N4&amp;" "&amp;'Compliance Database'!$O4)))),1,0)</f>
        <v/>
      </c>
      <c r="B4">
        <f>IF($A4=1,SUM($A$2:$A4),"")</f>
        <v/>
      </c>
      <c r="C4">
        <f>IF($A4=1,SUM($A$2:$A4),0)</f>
        <v/>
      </c>
    </row>
    <row r="5">
      <c r="A5">
        <f>IF(AND(OR('Compliance Database'!$A5='Data Transfer'!$B$4,'Compliance Database'!$A5='Data Transfer'!$B$5),OR('Data Transfer'!$B$6="",ISNUMBER(SEARCH('Data Transfer'!$B$6,'Compliance Database'!$D5&amp;" "&amp;'Compliance Database'!$K5&amp;" "&amp;'Compliance Database'!$L5&amp;" "&amp;'Compliance Database'!$M5&amp;" "&amp;'Compliance Database'!$N5&amp;" "&amp;'Compliance Database'!$O5)))),1,0)</f>
        <v/>
      </c>
      <c r="B5">
        <f>IF($A5=1,SUM($A$2:$A5),"")</f>
        <v/>
      </c>
      <c r="C5">
        <f>IF($A5=1,SUM($A$2:$A5),0)</f>
        <v/>
      </c>
    </row>
    <row r="6">
      <c r="A6">
        <f>IF(AND(OR('Compliance Database'!$A6='Data Transfer'!$B$4,'Compliance Database'!$A6='Data Transfer'!$B$5),OR('Data Transfer'!$B$6="",ISNUMBER(SEARCH('Data Transfer'!$B$6,'Compliance Database'!$D6&amp;" "&amp;'Compliance Database'!$K6&amp;" "&amp;'Compliance Database'!$L6&amp;" "&amp;'Compliance Database'!$M6&amp;" "&amp;'Compliance Database'!$N6&amp;" "&amp;'Compliance Database'!$O6)))),1,0)</f>
        <v/>
      </c>
      <c r="B6">
        <f>IF($A6=1,SUM($A$2:$A6),"")</f>
        <v/>
      </c>
      <c r="C6">
        <f>IF($A6=1,SUM($A$2:$A6),0)</f>
        <v/>
      </c>
    </row>
    <row r="7">
      <c r="A7">
        <f>IF(AND(OR('Compliance Database'!$A7='Data Transfer'!$B$4,'Compliance Database'!$A7='Data Transfer'!$B$5),OR('Data Transfer'!$B$6="",ISNUMBER(SEARCH('Data Transfer'!$B$6,'Compliance Database'!$D7&amp;" "&amp;'Compliance Database'!$K7&amp;" "&amp;'Compliance Database'!$L7&amp;" "&amp;'Compliance Database'!$M7&amp;" "&amp;'Compliance Database'!$N7&amp;" "&amp;'Compliance Database'!$O7)))),1,0)</f>
        <v/>
      </c>
      <c r="B7">
        <f>IF($A7=1,SUM($A$2:$A7),"")</f>
        <v/>
      </c>
      <c r="C7">
        <f>IF($A7=1,SUM($A$2:$A7),0)</f>
        <v/>
      </c>
    </row>
    <row r="8">
      <c r="A8">
        <f>IF(AND(OR('Compliance Database'!$A8='Data Transfer'!$B$4,'Compliance Database'!$A8='Data Transfer'!$B$5),OR('Data Transfer'!$B$6="",ISNUMBER(SEARCH('Data Transfer'!$B$6,'Compliance Database'!$D8&amp;" "&amp;'Compliance Database'!$K8&amp;" "&amp;'Compliance Database'!$L8&amp;" "&amp;'Compliance Database'!$M8&amp;" "&amp;'Compliance Database'!$N8&amp;" "&amp;'Compliance Database'!$O8)))),1,0)</f>
        <v/>
      </c>
      <c r="B8">
        <f>IF($A8=1,SUM($A$2:$A8),"")</f>
        <v/>
      </c>
      <c r="C8">
        <f>IF($A8=1,SUM($A$2:$A8),0)</f>
        <v/>
      </c>
    </row>
    <row r="9">
      <c r="A9">
        <f>IF(AND(OR('Compliance Database'!$A9='Data Transfer'!$B$4,'Compliance Database'!$A9='Data Transfer'!$B$5),OR('Data Transfer'!$B$6="",ISNUMBER(SEARCH('Data Transfer'!$B$6,'Compliance Database'!$D9&amp;" "&amp;'Compliance Database'!$K9&amp;" "&amp;'Compliance Database'!$L9&amp;" "&amp;'Compliance Database'!$M9&amp;" "&amp;'Compliance Database'!$N9&amp;" "&amp;'Compliance Database'!$O9)))),1,0)</f>
        <v/>
      </c>
      <c r="B9">
        <f>IF($A9=1,SUM($A$2:$A9),"")</f>
        <v/>
      </c>
      <c r="C9">
        <f>IF($A9=1,SUM($A$2:$A9),0)</f>
        <v/>
      </c>
    </row>
    <row r="10">
      <c r="A10">
        <f>IF(AND(OR('Compliance Database'!$A10='Data Transfer'!$B$4,'Compliance Database'!$A10='Data Transfer'!$B$5),OR('Data Transfer'!$B$6="",ISNUMBER(SEARCH('Data Transfer'!$B$6,'Compliance Database'!$D10&amp;" "&amp;'Compliance Database'!$K10&amp;" "&amp;'Compliance Database'!$L10&amp;" "&amp;'Compliance Database'!$M10&amp;" "&amp;'Compliance Database'!$N10&amp;" "&amp;'Compliance Database'!$O10)))),1,0)</f>
        <v/>
      </c>
      <c r="B10">
        <f>IF($A10=1,SUM($A$2:$A10),"")</f>
        <v/>
      </c>
      <c r="C10">
        <f>IF($A10=1,SUM($A$2:$A10),0)</f>
        <v/>
      </c>
    </row>
    <row r="11">
      <c r="A11">
        <f>IF(AND(OR('Compliance Database'!$A11='Data Transfer'!$B$4,'Compliance Database'!$A11='Data Transfer'!$B$5),OR('Data Transfer'!$B$6="",ISNUMBER(SEARCH('Data Transfer'!$B$6,'Compliance Database'!$D11&amp;" "&amp;'Compliance Database'!$K11&amp;" "&amp;'Compliance Database'!$L11&amp;" "&amp;'Compliance Database'!$M11&amp;" "&amp;'Compliance Database'!$N11&amp;" "&amp;'Compliance Database'!$O11)))),1,0)</f>
        <v/>
      </c>
      <c r="B11">
        <f>IF($A11=1,SUM($A$2:$A11),"")</f>
        <v/>
      </c>
      <c r="C11">
        <f>IF($A11=1,SUM($A$2:$A11),0)</f>
        <v/>
      </c>
    </row>
    <row r="12">
      <c r="A12">
        <f>IF(AND(OR('Compliance Database'!$A12='Data Transfer'!$B$4,'Compliance Database'!$A12='Data Transfer'!$B$5),OR('Data Transfer'!$B$6="",ISNUMBER(SEARCH('Data Transfer'!$B$6,'Compliance Database'!$D12&amp;" "&amp;'Compliance Database'!$K12&amp;" "&amp;'Compliance Database'!$L12&amp;" "&amp;'Compliance Database'!$M12&amp;" "&amp;'Compliance Database'!$N12&amp;" "&amp;'Compliance Database'!$O12)))),1,0)</f>
        <v/>
      </c>
      <c r="B12">
        <f>IF($A12=1,SUM($A$2:$A12),"")</f>
        <v/>
      </c>
      <c r="C12">
        <f>IF($A12=1,SUM($A$2:$A12),0)</f>
        <v/>
      </c>
    </row>
    <row r="13">
      <c r="A13">
        <f>IF(AND(OR('Compliance Database'!$A13='Data Transfer'!$B$4,'Compliance Database'!$A13='Data Transfer'!$B$5),OR('Data Transfer'!$B$6="",ISNUMBER(SEARCH('Data Transfer'!$B$6,'Compliance Database'!$D13&amp;" "&amp;'Compliance Database'!$K13&amp;" "&amp;'Compliance Database'!$L13&amp;" "&amp;'Compliance Database'!$M13&amp;" "&amp;'Compliance Database'!$N13&amp;" "&amp;'Compliance Database'!$O13)))),1,0)</f>
        <v/>
      </c>
      <c r="B13">
        <f>IF($A13=1,SUM($A$2:$A13),"")</f>
        <v/>
      </c>
      <c r="C13">
        <f>IF($A13=1,SUM($A$2:$A13),0)</f>
        <v/>
      </c>
    </row>
    <row r="14">
      <c r="A14">
        <f>IF(AND(OR('Compliance Database'!$A14='Data Transfer'!$B$4,'Compliance Database'!$A14='Data Transfer'!$B$5),OR('Data Transfer'!$B$6="",ISNUMBER(SEARCH('Data Transfer'!$B$6,'Compliance Database'!$D14&amp;" "&amp;'Compliance Database'!$K14&amp;" "&amp;'Compliance Database'!$L14&amp;" "&amp;'Compliance Database'!$M14&amp;" "&amp;'Compliance Database'!$N14&amp;" "&amp;'Compliance Database'!$O14)))),1,0)</f>
        <v/>
      </c>
      <c r="B14">
        <f>IF($A14=1,SUM($A$2:$A14),"")</f>
        <v/>
      </c>
      <c r="C14">
        <f>IF($A14=1,SUM($A$2:$A14),0)</f>
        <v/>
      </c>
    </row>
    <row r="15">
      <c r="A15">
        <f>IF(AND(OR('Compliance Database'!$A15='Data Transfer'!$B$4,'Compliance Database'!$A15='Data Transfer'!$B$5),OR('Data Transfer'!$B$6="",ISNUMBER(SEARCH('Data Transfer'!$B$6,'Compliance Database'!$D15&amp;" "&amp;'Compliance Database'!$K15&amp;" "&amp;'Compliance Database'!$L15&amp;" "&amp;'Compliance Database'!$M15&amp;" "&amp;'Compliance Database'!$N15&amp;" "&amp;'Compliance Database'!$O15)))),1,0)</f>
        <v/>
      </c>
      <c r="B15">
        <f>IF($A15=1,SUM($A$2:$A15),"")</f>
        <v/>
      </c>
      <c r="C15">
        <f>IF($A15=1,SUM($A$2:$A15),0)</f>
        <v/>
      </c>
    </row>
    <row r="16">
      <c r="A16">
        <f>IF(AND(OR('Compliance Database'!$A16='Data Transfer'!$B$4,'Compliance Database'!$A16='Data Transfer'!$B$5),OR('Data Transfer'!$B$6="",ISNUMBER(SEARCH('Data Transfer'!$B$6,'Compliance Database'!$D16&amp;" "&amp;'Compliance Database'!$K16&amp;" "&amp;'Compliance Database'!$L16&amp;" "&amp;'Compliance Database'!$M16&amp;" "&amp;'Compliance Database'!$N16&amp;" "&amp;'Compliance Database'!$O16)))),1,0)</f>
        <v/>
      </c>
      <c r="B16">
        <f>IF($A16=1,SUM($A$2:$A16),"")</f>
        <v/>
      </c>
      <c r="C16">
        <f>IF($A16=1,SUM($A$2:$A16),0)</f>
        <v/>
      </c>
    </row>
    <row r="17">
      <c r="A17">
        <f>IF(AND(OR('Compliance Database'!$A17='Data Transfer'!$B$4,'Compliance Database'!$A17='Data Transfer'!$B$5),OR('Data Transfer'!$B$6="",ISNUMBER(SEARCH('Data Transfer'!$B$6,'Compliance Database'!$D17&amp;" "&amp;'Compliance Database'!$K17&amp;" "&amp;'Compliance Database'!$L17&amp;" "&amp;'Compliance Database'!$M17&amp;" "&amp;'Compliance Database'!$N17&amp;" "&amp;'Compliance Database'!$O17)))),1,0)</f>
        <v/>
      </c>
      <c r="B17">
        <f>IF($A17=1,SUM($A$2:$A17),"")</f>
        <v/>
      </c>
      <c r="C17">
        <f>IF($A17=1,SUM($A$2:$A17),0)</f>
        <v/>
      </c>
    </row>
    <row r="18">
      <c r="A18">
        <f>IF(AND(OR('Compliance Database'!$A18='Data Transfer'!$B$4,'Compliance Database'!$A18='Data Transfer'!$B$5),OR('Data Transfer'!$B$6="",ISNUMBER(SEARCH('Data Transfer'!$B$6,'Compliance Database'!$D18&amp;" "&amp;'Compliance Database'!$K18&amp;" "&amp;'Compliance Database'!$L18&amp;" "&amp;'Compliance Database'!$M18&amp;" "&amp;'Compliance Database'!$N18&amp;" "&amp;'Compliance Database'!$O18)))),1,0)</f>
        <v/>
      </c>
      <c r="B18">
        <f>IF($A18=1,SUM($A$2:$A18),"")</f>
        <v/>
      </c>
      <c r="C18">
        <f>IF($A18=1,SUM($A$2:$A18),0)</f>
        <v/>
      </c>
    </row>
    <row r="19">
      <c r="A19">
        <f>IF(AND(OR('Compliance Database'!$A19='Data Transfer'!$B$4,'Compliance Database'!$A19='Data Transfer'!$B$5),OR('Data Transfer'!$B$6="",ISNUMBER(SEARCH('Data Transfer'!$B$6,'Compliance Database'!$D19&amp;" "&amp;'Compliance Database'!$K19&amp;" "&amp;'Compliance Database'!$L19&amp;" "&amp;'Compliance Database'!$M19&amp;" "&amp;'Compliance Database'!$N19&amp;" "&amp;'Compliance Database'!$O19)))),1,0)</f>
        <v/>
      </c>
      <c r="B19">
        <f>IF($A19=1,SUM($A$2:$A19),"")</f>
        <v/>
      </c>
      <c r="C19">
        <f>IF($A19=1,SUM($A$2:$A19),0)</f>
        <v/>
      </c>
    </row>
    <row r="20">
      <c r="A20">
        <f>IF(AND(OR('Compliance Database'!$A20='Data Transfer'!$B$4,'Compliance Database'!$A20='Data Transfer'!$B$5),OR('Data Transfer'!$B$6="",ISNUMBER(SEARCH('Data Transfer'!$B$6,'Compliance Database'!$D20&amp;" "&amp;'Compliance Database'!$K20&amp;" "&amp;'Compliance Database'!$L20&amp;" "&amp;'Compliance Database'!$M20&amp;" "&amp;'Compliance Database'!$N20&amp;" "&amp;'Compliance Database'!$O20)))),1,0)</f>
        <v/>
      </c>
      <c r="B20">
        <f>IF($A20=1,SUM($A$2:$A20),"")</f>
        <v/>
      </c>
      <c r="C20">
        <f>IF($A20=1,SUM($A$2:$A20),0)</f>
        <v/>
      </c>
    </row>
    <row r="21">
      <c r="A21">
        <f>IF(AND(OR('Compliance Database'!$A21='Data Transfer'!$B$4,'Compliance Database'!$A21='Data Transfer'!$B$5),OR('Data Transfer'!$B$6="",ISNUMBER(SEARCH('Data Transfer'!$B$6,'Compliance Database'!$D21&amp;" "&amp;'Compliance Database'!$K21&amp;" "&amp;'Compliance Database'!$L21&amp;" "&amp;'Compliance Database'!$M21&amp;" "&amp;'Compliance Database'!$N21&amp;" "&amp;'Compliance Database'!$O21)))),1,0)</f>
        <v/>
      </c>
      <c r="B21">
        <f>IF($A21=1,SUM($A$2:$A21),"")</f>
        <v/>
      </c>
      <c r="C21">
        <f>IF($A21=1,SUM($A$2:$A21),0)</f>
        <v/>
      </c>
    </row>
    <row r="22">
      <c r="A22">
        <f>IF(AND(OR('Compliance Database'!$A22='Data Transfer'!$B$4,'Compliance Database'!$A22='Data Transfer'!$B$5),OR('Data Transfer'!$B$6="",ISNUMBER(SEARCH('Data Transfer'!$B$6,'Compliance Database'!$D22&amp;" "&amp;'Compliance Database'!$K22&amp;" "&amp;'Compliance Database'!$L22&amp;" "&amp;'Compliance Database'!$M22&amp;" "&amp;'Compliance Database'!$N22&amp;" "&amp;'Compliance Database'!$O22)))),1,0)</f>
        <v/>
      </c>
      <c r="B22">
        <f>IF($A22=1,SUM($A$2:$A22),"")</f>
        <v/>
      </c>
      <c r="C22">
        <f>IF($A22=1,SUM($A$2:$A22),0)</f>
        <v/>
      </c>
    </row>
    <row r="23">
      <c r="A23">
        <f>IF(AND(OR('Compliance Database'!$A23='Data Transfer'!$B$4,'Compliance Database'!$A23='Data Transfer'!$B$5),OR('Data Transfer'!$B$6="",ISNUMBER(SEARCH('Data Transfer'!$B$6,'Compliance Database'!$D23&amp;" "&amp;'Compliance Database'!$K23&amp;" "&amp;'Compliance Database'!$L23&amp;" "&amp;'Compliance Database'!$M23&amp;" "&amp;'Compliance Database'!$N23&amp;" "&amp;'Compliance Database'!$O23)))),1,0)</f>
        <v/>
      </c>
      <c r="B23">
        <f>IF($A23=1,SUM($A$2:$A23),"")</f>
        <v/>
      </c>
      <c r="C23">
        <f>IF($A23=1,SUM($A$2:$A23),0)</f>
        <v/>
      </c>
    </row>
    <row r="24">
      <c r="A24">
        <f>IF(AND(OR('Compliance Database'!$A24='Data Transfer'!$B$4,'Compliance Database'!$A24='Data Transfer'!$B$5),OR('Data Transfer'!$B$6="",ISNUMBER(SEARCH('Data Transfer'!$B$6,'Compliance Database'!$D24&amp;" "&amp;'Compliance Database'!$K24&amp;" "&amp;'Compliance Database'!$L24&amp;" "&amp;'Compliance Database'!$M24&amp;" "&amp;'Compliance Database'!$N24&amp;" "&amp;'Compliance Database'!$O24)))),1,0)</f>
        <v/>
      </c>
      <c r="B24">
        <f>IF($A24=1,SUM($A$2:$A24),"")</f>
        <v/>
      </c>
      <c r="C24">
        <f>IF($A24=1,SUM($A$2:$A24),0)</f>
        <v/>
      </c>
    </row>
    <row r="25">
      <c r="A25">
        <f>IF(AND(OR('Compliance Database'!$A25='Data Transfer'!$B$4,'Compliance Database'!$A25='Data Transfer'!$B$5),OR('Data Transfer'!$B$6="",ISNUMBER(SEARCH('Data Transfer'!$B$6,'Compliance Database'!$D25&amp;" "&amp;'Compliance Database'!$K25&amp;" "&amp;'Compliance Database'!$L25&amp;" "&amp;'Compliance Database'!$M25&amp;" "&amp;'Compliance Database'!$N25&amp;" "&amp;'Compliance Database'!$O25)))),1,0)</f>
        <v/>
      </c>
      <c r="B25">
        <f>IF($A25=1,SUM($A$2:$A25),"")</f>
        <v/>
      </c>
      <c r="C25">
        <f>IF($A25=1,SUM($A$2:$A25),0)</f>
        <v/>
      </c>
    </row>
    <row r="26">
      <c r="A26">
        <f>IF(AND(OR('Compliance Database'!$A26='Data Transfer'!$B$4,'Compliance Database'!$A26='Data Transfer'!$B$5),OR('Data Transfer'!$B$6="",ISNUMBER(SEARCH('Data Transfer'!$B$6,'Compliance Database'!$D26&amp;" "&amp;'Compliance Database'!$K26&amp;" "&amp;'Compliance Database'!$L26&amp;" "&amp;'Compliance Database'!$M26&amp;" "&amp;'Compliance Database'!$N26&amp;" "&amp;'Compliance Database'!$O26)))),1,0)</f>
        <v/>
      </c>
      <c r="B26">
        <f>IF($A26=1,SUM($A$2:$A26),"")</f>
        <v/>
      </c>
      <c r="C26">
        <f>IF($A26=1,SUM($A$2:$A26),0)</f>
        <v/>
      </c>
    </row>
    <row r="27">
      <c r="A27">
        <f>IF(AND(OR('Compliance Database'!$A27='Data Transfer'!$B$4,'Compliance Database'!$A27='Data Transfer'!$B$5),OR('Data Transfer'!$B$6="",ISNUMBER(SEARCH('Data Transfer'!$B$6,'Compliance Database'!$D27&amp;" "&amp;'Compliance Database'!$K27&amp;" "&amp;'Compliance Database'!$L27&amp;" "&amp;'Compliance Database'!$M27&amp;" "&amp;'Compliance Database'!$N27&amp;" "&amp;'Compliance Database'!$O27)))),1,0)</f>
        <v/>
      </c>
      <c r="B27">
        <f>IF($A27=1,SUM($A$2:$A27),"")</f>
        <v/>
      </c>
      <c r="C27">
        <f>IF($A27=1,SUM($A$2:$A27),0)</f>
        <v/>
      </c>
    </row>
    <row r="28">
      <c r="A28">
        <f>IF(AND(OR('Compliance Database'!$A28='Data Transfer'!$B$4,'Compliance Database'!$A28='Data Transfer'!$B$5),OR('Data Transfer'!$B$6="",ISNUMBER(SEARCH('Data Transfer'!$B$6,'Compliance Database'!$D28&amp;" "&amp;'Compliance Database'!$K28&amp;" "&amp;'Compliance Database'!$L28&amp;" "&amp;'Compliance Database'!$M28&amp;" "&amp;'Compliance Database'!$N28&amp;" "&amp;'Compliance Database'!$O28)))),1,0)</f>
        <v/>
      </c>
      <c r="B28">
        <f>IF($A28=1,SUM($A$2:$A28),"")</f>
        <v/>
      </c>
      <c r="C28">
        <f>IF($A28=1,SUM($A$2:$A28),0)</f>
        <v/>
      </c>
    </row>
    <row r="29">
      <c r="A29">
        <f>IF(AND(OR('Compliance Database'!$A29='Data Transfer'!$B$4,'Compliance Database'!$A29='Data Transfer'!$B$5),OR('Data Transfer'!$B$6="",ISNUMBER(SEARCH('Data Transfer'!$B$6,'Compliance Database'!$D29&amp;" "&amp;'Compliance Database'!$K29&amp;" "&amp;'Compliance Database'!$L29&amp;" "&amp;'Compliance Database'!$M29&amp;" "&amp;'Compliance Database'!$N29&amp;" "&amp;'Compliance Database'!$O29)))),1,0)</f>
        <v/>
      </c>
      <c r="B29">
        <f>IF($A29=1,SUM($A$2:$A29),"")</f>
        <v/>
      </c>
      <c r="C29">
        <f>IF($A29=1,SUM($A$2:$A29),0)</f>
        <v/>
      </c>
    </row>
    <row r="30">
      <c r="A30">
        <f>IF(AND(OR('Compliance Database'!$A30='Data Transfer'!$B$4,'Compliance Database'!$A30='Data Transfer'!$B$5),OR('Data Transfer'!$B$6="",ISNUMBER(SEARCH('Data Transfer'!$B$6,'Compliance Database'!$D30&amp;" "&amp;'Compliance Database'!$K30&amp;" "&amp;'Compliance Database'!$L30&amp;" "&amp;'Compliance Database'!$M30&amp;" "&amp;'Compliance Database'!$N30&amp;" "&amp;'Compliance Database'!$O30)))),1,0)</f>
        <v/>
      </c>
      <c r="B30">
        <f>IF($A30=1,SUM($A$2:$A30),"")</f>
        <v/>
      </c>
      <c r="C30">
        <f>IF($A30=1,SUM($A$2:$A30),0)</f>
        <v/>
      </c>
    </row>
    <row r="31">
      <c r="A31">
        <f>IF(AND(OR('Compliance Database'!$A31='Data Transfer'!$B$4,'Compliance Database'!$A31='Data Transfer'!$B$5),OR('Data Transfer'!$B$6="",ISNUMBER(SEARCH('Data Transfer'!$B$6,'Compliance Database'!$D31&amp;" "&amp;'Compliance Database'!$K31&amp;" "&amp;'Compliance Database'!$L31&amp;" "&amp;'Compliance Database'!$M31&amp;" "&amp;'Compliance Database'!$N31&amp;" "&amp;'Compliance Database'!$O31)))),1,0)</f>
        <v/>
      </c>
      <c r="B31">
        <f>IF($A31=1,SUM($A$2:$A31),"")</f>
        <v/>
      </c>
      <c r="C31">
        <f>IF($A31=1,SUM($A$2:$A31),0)</f>
        <v/>
      </c>
    </row>
    <row r="32">
      <c r="A32">
        <f>IF(AND(OR('Compliance Database'!$A32='Data Transfer'!$B$4,'Compliance Database'!$A32='Data Transfer'!$B$5),OR('Data Transfer'!$B$6="",ISNUMBER(SEARCH('Data Transfer'!$B$6,'Compliance Database'!$D32&amp;" "&amp;'Compliance Database'!$K32&amp;" "&amp;'Compliance Database'!$L32&amp;" "&amp;'Compliance Database'!$M32&amp;" "&amp;'Compliance Database'!$N32&amp;" "&amp;'Compliance Database'!$O32)))),1,0)</f>
        <v/>
      </c>
      <c r="B32">
        <f>IF($A32=1,SUM($A$2:$A32),"")</f>
        <v/>
      </c>
      <c r="C32">
        <f>IF($A32=1,SUM($A$2:$A32),0)</f>
        <v/>
      </c>
    </row>
    <row r="33">
      <c r="A33">
        <f>IF(AND(OR('Compliance Database'!$A33='Data Transfer'!$B$4,'Compliance Database'!$A33='Data Transfer'!$B$5),OR('Data Transfer'!$B$6="",ISNUMBER(SEARCH('Data Transfer'!$B$6,'Compliance Database'!$D33&amp;" "&amp;'Compliance Database'!$K33&amp;" "&amp;'Compliance Database'!$L33&amp;" "&amp;'Compliance Database'!$M33&amp;" "&amp;'Compliance Database'!$N33&amp;" "&amp;'Compliance Database'!$O33)))),1,0)</f>
        <v/>
      </c>
      <c r="B33">
        <f>IF($A33=1,SUM($A$2:$A33),"")</f>
        <v/>
      </c>
      <c r="C33">
        <f>IF($A33=1,SUM($A$2:$A33),0)</f>
        <v/>
      </c>
    </row>
    <row r="34">
      <c r="A34">
        <f>IF(AND(OR('Compliance Database'!$A34='Data Transfer'!$B$4,'Compliance Database'!$A34='Data Transfer'!$B$5),OR('Data Transfer'!$B$6="",ISNUMBER(SEARCH('Data Transfer'!$B$6,'Compliance Database'!$D34&amp;" "&amp;'Compliance Database'!$K34&amp;" "&amp;'Compliance Database'!$L34&amp;" "&amp;'Compliance Database'!$M34&amp;" "&amp;'Compliance Database'!$N34&amp;" "&amp;'Compliance Database'!$O34)))),1,0)</f>
        <v/>
      </c>
      <c r="B34">
        <f>IF($A34=1,SUM($A$2:$A34),"")</f>
        <v/>
      </c>
      <c r="C34">
        <f>IF($A34=1,SUM($A$2:$A34),0)</f>
        <v/>
      </c>
    </row>
    <row r="35">
      <c r="A35">
        <f>IF(AND(OR('Compliance Database'!$A35='Data Transfer'!$B$4,'Compliance Database'!$A35='Data Transfer'!$B$5),OR('Data Transfer'!$B$6="",ISNUMBER(SEARCH('Data Transfer'!$B$6,'Compliance Database'!$D35&amp;" "&amp;'Compliance Database'!$K35&amp;" "&amp;'Compliance Database'!$L35&amp;" "&amp;'Compliance Database'!$M35&amp;" "&amp;'Compliance Database'!$N35&amp;" "&amp;'Compliance Database'!$O35)))),1,0)</f>
        <v/>
      </c>
      <c r="B35">
        <f>IF($A35=1,SUM($A$2:$A35),"")</f>
        <v/>
      </c>
      <c r="C35">
        <f>IF($A35=1,SUM($A$2:$A35),0)</f>
        <v/>
      </c>
    </row>
    <row r="36">
      <c r="A36">
        <f>IF(AND(OR('Compliance Database'!$A36='Data Transfer'!$B$4,'Compliance Database'!$A36='Data Transfer'!$B$5),OR('Data Transfer'!$B$6="",ISNUMBER(SEARCH('Data Transfer'!$B$6,'Compliance Database'!$D36&amp;" "&amp;'Compliance Database'!$K36&amp;" "&amp;'Compliance Database'!$L36&amp;" "&amp;'Compliance Database'!$M36&amp;" "&amp;'Compliance Database'!$N36&amp;" "&amp;'Compliance Database'!$O36)))),1,0)</f>
        <v/>
      </c>
      <c r="B36">
        <f>IF($A36=1,SUM($A$2:$A36),"")</f>
        <v/>
      </c>
      <c r="C36">
        <f>IF($A36=1,SUM($A$2:$A36),0)</f>
        <v/>
      </c>
    </row>
    <row r="37">
      <c r="A37">
        <f>IF(AND(OR('Compliance Database'!$A37='Data Transfer'!$B$4,'Compliance Database'!$A37='Data Transfer'!$B$5),OR('Data Transfer'!$B$6="",ISNUMBER(SEARCH('Data Transfer'!$B$6,'Compliance Database'!$D37&amp;" "&amp;'Compliance Database'!$K37&amp;" "&amp;'Compliance Database'!$L37&amp;" "&amp;'Compliance Database'!$M37&amp;" "&amp;'Compliance Database'!$N37&amp;" "&amp;'Compliance Database'!$O37)))),1,0)</f>
        <v/>
      </c>
      <c r="B37">
        <f>IF($A37=1,SUM($A$2:$A37),"")</f>
        <v/>
      </c>
      <c r="C37">
        <f>IF($A37=1,SUM($A$2:$A37),0)</f>
        <v/>
      </c>
    </row>
    <row r="38">
      <c r="A38">
        <f>IF(AND(OR('Compliance Database'!$A38='Data Transfer'!$B$4,'Compliance Database'!$A38='Data Transfer'!$B$5),OR('Data Transfer'!$B$6="",ISNUMBER(SEARCH('Data Transfer'!$B$6,'Compliance Database'!$D38&amp;" "&amp;'Compliance Database'!$K38&amp;" "&amp;'Compliance Database'!$L38&amp;" "&amp;'Compliance Database'!$M38&amp;" "&amp;'Compliance Database'!$N38&amp;" "&amp;'Compliance Database'!$O38)))),1,0)</f>
        <v/>
      </c>
      <c r="B38">
        <f>IF($A38=1,SUM($A$2:$A38),"")</f>
        <v/>
      </c>
      <c r="C38">
        <f>IF($A38=1,SUM($A$2:$A38),0)</f>
        <v/>
      </c>
    </row>
    <row r="39">
      <c r="A39">
        <f>IF(AND(OR('Compliance Database'!$A39='Data Transfer'!$B$4,'Compliance Database'!$A39='Data Transfer'!$B$5),OR('Data Transfer'!$B$6="",ISNUMBER(SEARCH('Data Transfer'!$B$6,'Compliance Database'!$D39&amp;" "&amp;'Compliance Database'!$K39&amp;" "&amp;'Compliance Database'!$L39&amp;" "&amp;'Compliance Database'!$M39&amp;" "&amp;'Compliance Database'!$N39&amp;" "&amp;'Compliance Database'!$O39)))),1,0)</f>
        <v/>
      </c>
      <c r="B39">
        <f>IF($A39=1,SUM($A$2:$A39),"")</f>
        <v/>
      </c>
      <c r="C39">
        <f>IF($A39=1,SUM($A$2:$A39),0)</f>
        <v/>
      </c>
    </row>
    <row r="40">
      <c r="A40">
        <f>IF(AND(OR('Compliance Database'!$A40='Data Transfer'!$B$4,'Compliance Database'!$A40='Data Transfer'!$B$5),OR('Data Transfer'!$B$6="",ISNUMBER(SEARCH('Data Transfer'!$B$6,'Compliance Database'!$D40&amp;" "&amp;'Compliance Database'!$K40&amp;" "&amp;'Compliance Database'!$L40&amp;" "&amp;'Compliance Database'!$M40&amp;" "&amp;'Compliance Database'!$N40&amp;" "&amp;'Compliance Database'!$O40)))),1,0)</f>
        <v/>
      </c>
      <c r="B40">
        <f>IF($A40=1,SUM($A$2:$A40),"")</f>
        <v/>
      </c>
      <c r="C40">
        <f>IF($A40=1,SUM($A$2:$A40),0)</f>
        <v/>
      </c>
    </row>
    <row r="41">
      <c r="A41">
        <f>IF(AND(OR('Compliance Database'!$A41='Data Transfer'!$B$4,'Compliance Database'!$A41='Data Transfer'!$B$5),OR('Data Transfer'!$B$6="",ISNUMBER(SEARCH('Data Transfer'!$B$6,'Compliance Database'!$D41&amp;" "&amp;'Compliance Database'!$K41&amp;" "&amp;'Compliance Database'!$L41&amp;" "&amp;'Compliance Database'!$M41&amp;" "&amp;'Compliance Database'!$N41&amp;" "&amp;'Compliance Database'!$O41)))),1,0)</f>
        <v/>
      </c>
      <c r="B41">
        <f>IF($A41=1,SUM($A$2:$A41),"")</f>
        <v/>
      </c>
      <c r="C41">
        <f>IF($A41=1,SUM($A$2:$A41),0)</f>
        <v/>
      </c>
    </row>
    <row r="42">
      <c r="A42">
        <f>IF(AND(OR('Compliance Database'!$A42='Data Transfer'!$B$4,'Compliance Database'!$A42='Data Transfer'!$B$5),OR('Data Transfer'!$B$6="",ISNUMBER(SEARCH('Data Transfer'!$B$6,'Compliance Database'!$D42&amp;" "&amp;'Compliance Database'!$K42&amp;" "&amp;'Compliance Database'!$L42&amp;" "&amp;'Compliance Database'!$M42&amp;" "&amp;'Compliance Database'!$N42&amp;" "&amp;'Compliance Database'!$O42)))),1,0)</f>
        <v/>
      </c>
      <c r="B42">
        <f>IF($A42=1,SUM($A$2:$A42),"")</f>
        <v/>
      </c>
      <c r="C42">
        <f>IF($A42=1,SUM($A$2:$A42),0)</f>
        <v/>
      </c>
    </row>
    <row r="43">
      <c r="A43">
        <f>IF(AND(OR('Compliance Database'!$A43='Data Transfer'!$B$4,'Compliance Database'!$A43='Data Transfer'!$B$5),OR('Data Transfer'!$B$6="",ISNUMBER(SEARCH('Data Transfer'!$B$6,'Compliance Database'!$D43&amp;" "&amp;'Compliance Database'!$K43&amp;" "&amp;'Compliance Database'!$L43&amp;" "&amp;'Compliance Database'!$M43&amp;" "&amp;'Compliance Database'!$N43&amp;" "&amp;'Compliance Database'!$O43)))),1,0)</f>
        <v/>
      </c>
      <c r="B43">
        <f>IF($A43=1,SUM($A$2:$A43),"")</f>
        <v/>
      </c>
      <c r="C43">
        <f>IF($A43=1,SUM($A$2:$A43),0)</f>
        <v/>
      </c>
    </row>
    <row r="44">
      <c r="A44">
        <f>IF(AND(OR('Compliance Database'!$A44='Data Transfer'!$B$4,'Compliance Database'!$A44='Data Transfer'!$B$5),OR('Data Transfer'!$B$6="",ISNUMBER(SEARCH('Data Transfer'!$B$6,'Compliance Database'!$D44&amp;" "&amp;'Compliance Database'!$K44&amp;" "&amp;'Compliance Database'!$L44&amp;" "&amp;'Compliance Database'!$M44&amp;" "&amp;'Compliance Database'!$N44&amp;" "&amp;'Compliance Database'!$O44)))),1,0)</f>
        <v/>
      </c>
      <c r="B44">
        <f>IF($A44=1,SUM($A$2:$A44),"")</f>
        <v/>
      </c>
      <c r="C44">
        <f>IF($A44=1,SUM($A$2:$A44),0)</f>
        <v/>
      </c>
    </row>
    <row r="45">
      <c r="A45">
        <f>IF(AND(OR('Compliance Database'!$A45='Data Transfer'!$B$4,'Compliance Database'!$A45='Data Transfer'!$B$5),OR('Data Transfer'!$B$6="",ISNUMBER(SEARCH('Data Transfer'!$B$6,'Compliance Database'!$D45&amp;" "&amp;'Compliance Database'!$K45&amp;" "&amp;'Compliance Database'!$L45&amp;" "&amp;'Compliance Database'!$M45&amp;" "&amp;'Compliance Database'!$N45&amp;" "&amp;'Compliance Database'!$O45)))),1,0)</f>
        <v/>
      </c>
      <c r="B45">
        <f>IF($A45=1,SUM($A$2:$A45),"")</f>
        <v/>
      </c>
      <c r="C45">
        <f>IF($A45=1,SUM($A$2:$A45),0)</f>
        <v/>
      </c>
    </row>
    <row r="46">
      <c r="A46">
        <f>IF(AND(OR('Compliance Database'!$A46='Data Transfer'!$B$4,'Compliance Database'!$A46='Data Transfer'!$B$5),OR('Data Transfer'!$B$6="",ISNUMBER(SEARCH('Data Transfer'!$B$6,'Compliance Database'!$D46&amp;" "&amp;'Compliance Database'!$K46&amp;" "&amp;'Compliance Database'!$L46&amp;" "&amp;'Compliance Database'!$M46&amp;" "&amp;'Compliance Database'!$N46&amp;" "&amp;'Compliance Database'!$O46)))),1,0)</f>
        <v/>
      </c>
      <c r="B46">
        <f>IF($A46=1,SUM($A$2:$A46),"")</f>
        <v/>
      </c>
      <c r="C46">
        <f>IF($A46=1,SUM($A$2:$A46),0)</f>
        <v/>
      </c>
    </row>
    <row r="47">
      <c r="A47">
        <f>IF(AND(OR('Compliance Database'!$A47='Data Transfer'!$B$4,'Compliance Database'!$A47='Data Transfer'!$B$5),OR('Data Transfer'!$B$6="",ISNUMBER(SEARCH('Data Transfer'!$B$6,'Compliance Database'!$D47&amp;" "&amp;'Compliance Database'!$K47&amp;" "&amp;'Compliance Database'!$L47&amp;" "&amp;'Compliance Database'!$M47&amp;" "&amp;'Compliance Database'!$N47&amp;" "&amp;'Compliance Database'!$O47)))),1,0)</f>
        <v/>
      </c>
      <c r="B47">
        <f>IF($A47=1,SUM($A$2:$A47),"")</f>
        <v/>
      </c>
      <c r="C47">
        <f>IF($A47=1,SUM($A$2:$A47),0)</f>
        <v/>
      </c>
    </row>
    <row r="48">
      <c r="A48">
        <f>IF(AND(OR('Compliance Database'!$A48='Data Transfer'!$B$4,'Compliance Database'!$A48='Data Transfer'!$B$5),OR('Data Transfer'!$B$6="",ISNUMBER(SEARCH('Data Transfer'!$B$6,'Compliance Database'!$D48&amp;" "&amp;'Compliance Database'!$K48&amp;" "&amp;'Compliance Database'!$L48&amp;" "&amp;'Compliance Database'!$M48&amp;" "&amp;'Compliance Database'!$N48&amp;" "&amp;'Compliance Database'!$O48)))),1,0)</f>
        <v/>
      </c>
      <c r="B48">
        <f>IF($A48=1,SUM($A$2:$A48),"")</f>
        <v/>
      </c>
      <c r="C48">
        <f>IF($A48=1,SUM($A$2:$A48),0)</f>
        <v/>
      </c>
    </row>
    <row r="49">
      <c r="A49">
        <f>IF(AND(OR('Compliance Database'!$A49='Data Transfer'!$B$4,'Compliance Database'!$A49='Data Transfer'!$B$5),OR('Data Transfer'!$B$6="",ISNUMBER(SEARCH('Data Transfer'!$B$6,'Compliance Database'!$D49&amp;" "&amp;'Compliance Database'!$K49&amp;" "&amp;'Compliance Database'!$L49&amp;" "&amp;'Compliance Database'!$M49&amp;" "&amp;'Compliance Database'!$N49&amp;" "&amp;'Compliance Database'!$O49)))),1,0)</f>
        <v/>
      </c>
      <c r="B49">
        <f>IF($A49=1,SUM($A$2:$A49),"")</f>
        <v/>
      </c>
      <c r="C49">
        <f>IF($A49=1,SUM($A$2:$A49),0)</f>
        <v/>
      </c>
    </row>
    <row r="50">
      <c r="A50">
        <f>IF(AND(OR('Compliance Database'!$A50='Data Transfer'!$B$4,'Compliance Database'!$A50='Data Transfer'!$B$5),OR('Data Transfer'!$B$6="",ISNUMBER(SEARCH('Data Transfer'!$B$6,'Compliance Database'!$D50&amp;" "&amp;'Compliance Database'!$K50&amp;" "&amp;'Compliance Database'!$L50&amp;" "&amp;'Compliance Database'!$M50&amp;" "&amp;'Compliance Database'!$N50&amp;" "&amp;'Compliance Database'!$O50)))),1,0)</f>
        <v/>
      </c>
      <c r="B50">
        <f>IF($A50=1,SUM($A$2:$A50),"")</f>
        <v/>
      </c>
      <c r="C50">
        <f>IF($A50=1,SUM($A$2:$A50),0)</f>
        <v/>
      </c>
    </row>
    <row r="51">
      <c r="A51">
        <f>IF(AND(OR('Compliance Database'!$A51='Data Transfer'!$B$4,'Compliance Database'!$A51='Data Transfer'!$B$5),OR('Data Transfer'!$B$6="",ISNUMBER(SEARCH('Data Transfer'!$B$6,'Compliance Database'!$D51&amp;" "&amp;'Compliance Database'!$K51&amp;" "&amp;'Compliance Database'!$L51&amp;" "&amp;'Compliance Database'!$M51&amp;" "&amp;'Compliance Database'!$N51&amp;" "&amp;'Compliance Database'!$O51)))),1,0)</f>
        <v/>
      </c>
      <c r="B51">
        <f>IF($A51=1,SUM($A$2:$A51),"")</f>
        <v/>
      </c>
      <c r="C51">
        <f>IF($A51=1,SUM($A$2:$A51),0)</f>
        <v/>
      </c>
    </row>
    <row r="52">
      <c r="A52">
        <f>IF(AND(OR('Compliance Database'!$A52='Data Transfer'!$B$4,'Compliance Database'!$A52='Data Transfer'!$B$5),OR('Data Transfer'!$B$6="",ISNUMBER(SEARCH('Data Transfer'!$B$6,'Compliance Database'!$D52&amp;" "&amp;'Compliance Database'!$K52&amp;" "&amp;'Compliance Database'!$L52&amp;" "&amp;'Compliance Database'!$M52&amp;" "&amp;'Compliance Database'!$N52&amp;" "&amp;'Compliance Database'!$O52)))),1,0)</f>
        <v/>
      </c>
      <c r="B52">
        <f>IF($A52=1,SUM($A$2:$A52),"")</f>
        <v/>
      </c>
      <c r="C52">
        <f>IF($A52=1,SUM($A$2:$A52),0)</f>
        <v/>
      </c>
    </row>
    <row r="53">
      <c r="A53">
        <f>IF(AND(OR('Compliance Database'!$A53='Data Transfer'!$B$4,'Compliance Database'!$A53='Data Transfer'!$B$5),OR('Data Transfer'!$B$6="",ISNUMBER(SEARCH('Data Transfer'!$B$6,'Compliance Database'!$D53&amp;" "&amp;'Compliance Database'!$K53&amp;" "&amp;'Compliance Database'!$L53&amp;" "&amp;'Compliance Database'!$M53&amp;" "&amp;'Compliance Database'!$N53&amp;" "&amp;'Compliance Database'!$O53)))),1,0)</f>
        <v/>
      </c>
      <c r="B53">
        <f>IF($A53=1,SUM($A$2:$A53),"")</f>
        <v/>
      </c>
      <c r="C53">
        <f>IF($A53=1,SUM($A$2:$A53),0)</f>
        <v/>
      </c>
    </row>
    <row r="54">
      <c r="A54">
        <f>IF(AND(OR('Compliance Database'!$A54='Data Transfer'!$B$4,'Compliance Database'!$A54='Data Transfer'!$B$5),OR('Data Transfer'!$B$6="",ISNUMBER(SEARCH('Data Transfer'!$B$6,'Compliance Database'!$D54&amp;" "&amp;'Compliance Database'!$K54&amp;" "&amp;'Compliance Database'!$L54&amp;" "&amp;'Compliance Database'!$M54&amp;" "&amp;'Compliance Database'!$N54&amp;" "&amp;'Compliance Database'!$O54)))),1,0)</f>
        <v/>
      </c>
      <c r="B54">
        <f>IF($A54=1,SUM($A$2:$A54),"")</f>
        <v/>
      </c>
      <c r="C54">
        <f>IF($A54=1,SUM($A$2:$A54),0)</f>
        <v/>
      </c>
    </row>
    <row r="55">
      <c r="A55">
        <f>IF(AND(OR('Compliance Database'!$A55='Data Transfer'!$B$4,'Compliance Database'!$A55='Data Transfer'!$B$5),OR('Data Transfer'!$B$6="",ISNUMBER(SEARCH('Data Transfer'!$B$6,'Compliance Database'!$D55&amp;" "&amp;'Compliance Database'!$K55&amp;" "&amp;'Compliance Database'!$L55&amp;" "&amp;'Compliance Database'!$M55&amp;" "&amp;'Compliance Database'!$N55&amp;" "&amp;'Compliance Database'!$O55)))),1,0)</f>
        <v/>
      </c>
      <c r="B55">
        <f>IF($A55=1,SUM($A$2:$A55),"")</f>
        <v/>
      </c>
      <c r="C55">
        <f>IF($A55=1,SUM($A$2:$A55),0)</f>
        <v/>
      </c>
    </row>
    <row r="56">
      <c r="A56">
        <f>IF(AND(OR('Compliance Database'!$A56='Data Transfer'!$B$4,'Compliance Database'!$A56='Data Transfer'!$B$5),OR('Data Transfer'!$B$6="",ISNUMBER(SEARCH('Data Transfer'!$B$6,'Compliance Database'!$D56&amp;" "&amp;'Compliance Database'!$K56&amp;" "&amp;'Compliance Database'!$L56&amp;" "&amp;'Compliance Database'!$M56&amp;" "&amp;'Compliance Database'!$N56&amp;" "&amp;'Compliance Database'!$O56)))),1,0)</f>
        <v/>
      </c>
      <c r="B56">
        <f>IF($A56=1,SUM($A$2:$A56),"")</f>
        <v/>
      </c>
      <c r="C56">
        <f>IF($A56=1,SUM($A$2:$A56),0)</f>
        <v/>
      </c>
    </row>
    <row r="57">
      <c r="A57">
        <f>IF(AND(OR('Compliance Database'!$A57='Data Transfer'!$B$4,'Compliance Database'!$A57='Data Transfer'!$B$5),OR('Data Transfer'!$B$6="",ISNUMBER(SEARCH('Data Transfer'!$B$6,'Compliance Database'!$D57&amp;" "&amp;'Compliance Database'!$K57&amp;" "&amp;'Compliance Database'!$L57&amp;" "&amp;'Compliance Database'!$M57&amp;" "&amp;'Compliance Database'!$N57&amp;" "&amp;'Compliance Database'!$O57)))),1,0)</f>
        <v/>
      </c>
      <c r="B57">
        <f>IF($A57=1,SUM($A$2:$A57),"")</f>
        <v/>
      </c>
      <c r="C57">
        <f>IF($A57=1,SUM($A$2:$A57),0)</f>
        <v/>
      </c>
    </row>
    <row r="58">
      <c r="A58">
        <f>IF(AND(OR('Compliance Database'!$A58='Data Transfer'!$B$4,'Compliance Database'!$A58='Data Transfer'!$B$5),OR('Data Transfer'!$B$6="",ISNUMBER(SEARCH('Data Transfer'!$B$6,'Compliance Database'!$D58&amp;" "&amp;'Compliance Database'!$K58&amp;" "&amp;'Compliance Database'!$L58&amp;" "&amp;'Compliance Database'!$M58&amp;" "&amp;'Compliance Database'!$N58&amp;" "&amp;'Compliance Database'!$O58)))),1,0)</f>
        <v/>
      </c>
      <c r="B58">
        <f>IF($A58=1,SUM($A$2:$A58),"")</f>
        <v/>
      </c>
      <c r="C58">
        <f>IF($A58=1,SUM($A$2:$A58),0)</f>
        <v/>
      </c>
    </row>
    <row r="59">
      <c r="A59">
        <f>IF(AND(OR('Compliance Database'!$A59='Data Transfer'!$B$4,'Compliance Database'!$A59='Data Transfer'!$B$5),OR('Data Transfer'!$B$6="",ISNUMBER(SEARCH('Data Transfer'!$B$6,'Compliance Database'!$D59&amp;" "&amp;'Compliance Database'!$K59&amp;" "&amp;'Compliance Database'!$L59&amp;" "&amp;'Compliance Database'!$M59&amp;" "&amp;'Compliance Database'!$N59&amp;" "&amp;'Compliance Database'!$O59)))),1,0)</f>
        <v/>
      </c>
      <c r="B59">
        <f>IF($A59=1,SUM($A$2:$A59),"")</f>
        <v/>
      </c>
      <c r="C59">
        <f>IF($A59=1,SUM($A$2:$A59),0)</f>
        <v/>
      </c>
    </row>
    <row r="60">
      <c r="A60">
        <f>IF(AND(OR('Compliance Database'!$A60='Data Transfer'!$B$4,'Compliance Database'!$A60='Data Transfer'!$B$5),OR('Data Transfer'!$B$6="",ISNUMBER(SEARCH('Data Transfer'!$B$6,'Compliance Database'!$D60&amp;" "&amp;'Compliance Database'!$K60&amp;" "&amp;'Compliance Database'!$L60&amp;" "&amp;'Compliance Database'!$M60&amp;" "&amp;'Compliance Database'!$N60&amp;" "&amp;'Compliance Database'!$O60)))),1,0)</f>
        <v/>
      </c>
      <c r="B60">
        <f>IF($A60=1,SUM($A$2:$A60),"")</f>
        <v/>
      </c>
      <c r="C60">
        <f>IF($A60=1,SUM($A$2:$A60),0)</f>
        <v/>
      </c>
    </row>
    <row r="61">
      <c r="A61">
        <f>IF(AND(OR('Compliance Database'!$A61='Data Transfer'!$B$4,'Compliance Database'!$A61='Data Transfer'!$B$5),OR('Data Transfer'!$B$6="",ISNUMBER(SEARCH('Data Transfer'!$B$6,'Compliance Database'!$D61&amp;" "&amp;'Compliance Database'!$K61&amp;" "&amp;'Compliance Database'!$L61&amp;" "&amp;'Compliance Database'!$M61&amp;" "&amp;'Compliance Database'!$N61&amp;" "&amp;'Compliance Database'!$O61)))),1,0)</f>
        <v/>
      </c>
      <c r="B61">
        <f>IF($A61=1,SUM($A$2:$A61),"")</f>
        <v/>
      </c>
      <c r="C61">
        <f>IF($A61=1,SUM($A$2:$A61),0)</f>
        <v/>
      </c>
    </row>
    <row r="62">
      <c r="A62">
        <f>IF(AND(OR('Compliance Database'!$A62='Data Transfer'!$B$4,'Compliance Database'!$A62='Data Transfer'!$B$5),OR('Data Transfer'!$B$6="",ISNUMBER(SEARCH('Data Transfer'!$B$6,'Compliance Database'!$D62&amp;" "&amp;'Compliance Database'!$K62&amp;" "&amp;'Compliance Database'!$L62&amp;" "&amp;'Compliance Database'!$M62&amp;" "&amp;'Compliance Database'!$N62&amp;" "&amp;'Compliance Database'!$O62)))),1,0)</f>
        <v/>
      </c>
      <c r="B62">
        <f>IF($A62=1,SUM($A$2:$A62),"")</f>
        <v/>
      </c>
      <c r="C62">
        <f>IF($A62=1,SUM($A$2:$A62),0)</f>
        <v/>
      </c>
    </row>
    <row r="63">
      <c r="A63">
        <f>IF(AND(OR('Compliance Database'!$A63='Data Transfer'!$B$4,'Compliance Database'!$A63='Data Transfer'!$B$5),OR('Data Transfer'!$B$6="",ISNUMBER(SEARCH('Data Transfer'!$B$6,'Compliance Database'!$D63&amp;" "&amp;'Compliance Database'!$K63&amp;" "&amp;'Compliance Database'!$L63&amp;" "&amp;'Compliance Database'!$M63&amp;" "&amp;'Compliance Database'!$N63&amp;" "&amp;'Compliance Database'!$O63)))),1,0)</f>
        <v/>
      </c>
      <c r="B63">
        <f>IF($A63=1,SUM($A$2:$A63),"")</f>
        <v/>
      </c>
      <c r="C63">
        <f>IF($A63=1,SUM($A$2:$A63),0)</f>
        <v/>
      </c>
    </row>
    <row r="64">
      <c r="A64">
        <f>IF(AND(OR('Compliance Database'!$A64='Data Transfer'!$B$4,'Compliance Database'!$A64='Data Transfer'!$B$5),OR('Data Transfer'!$B$6="",ISNUMBER(SEARCH('Data Transfer'!$B$6,'Compliance Database'!$D64&amp;" "&amp;'Compliance Database'!$K64&amp;" "&amp;'Compliance Database'!$L64&amp;" "&amp;'Compliance Database'!$M64&amp;" "&amp;'Compliance Database'!$N64&amp;" "&amp;'Compliance Database'!$O64)))),1,0)</f>
        <v/>
      </c>
      <c r="B64">
        <f>IF($A64=1,SUM($A$2:$A64),"")</f>
        <v/>
      </c>
      <c r="C64">
        <f>IF($A64=1,SUM($A$2:$A64),0)</f>
        <v/>
      </c>
    </row>
    <row r="65">
      <c r="A65">
        <f>IF(AND(OR('Compliance Database'!$A65='Data Transfer'!$B$4,'Compliance Database'!$A65='Data Transfer'!$B$5),OR('Data Transfer'!$B$6="",ISNUMBER(SEARCH('Data Transfer'!$B$6,'Compliance Database'!$D65&amp;" "&amp;'Compliance Database'!$K65&amp;" "&amp;'Compliance Database'!$L65&amp;" "&amp;'Compliance Database'!$M65&amp;" "&amp;'Compliance Database'!$N65&amp;" "&amp;'Compliance Database'!$O65)))),1,0)</f>
        <v/>
      </c>
      <c r="B65">
        <f>IF($A65=1,SUM($A$2:$A65),"")</f>
        <v/>
      </c>
      <c r="C65">
        <f>IF($A65=1,SUM($A$2:$A65),0)</f>
        <v/>
      </c>
    </row>
    <row r="66">
      <c r="A66">
        <f>IF(AND(OR('Compliance Database'!$A66='Data Transfer'!$B$4,'Compliance Database'!$A66='Data Transfer'!$B$5),OR('Data Transfer'!$B$6="",ISNUMBER(SEARCH('Data Transfer'!$B$6,'Compliance Database'!$D66&amp;" "&amp;'Compliance Database'!$K66&amp;" "&amp;'Compliance Database'!$L66&amp;" "&amp;'Compliance Database'!$M66&amp;" "&amp;'Compliance Database'!$N66&amp;" "&amp;'Compliance Database'!$O66)))),1,0)</f>
        <v/>
      </c>
      <c r="B66">
        <f>IF($A66=1,SUM($A$2:$A66),"")</f>
        <v/>
      </c>
      <c r="C66">
        <f>IF($A66=1,SUM($A$2:$A66),0)</f>
        <v/>
      </c>
    </row>
    <row r="67">
      <c r="A67">
        <f>IF(AND(OR('Compliance Database'!$A67='Data Transfer'!$B$4,'Compliance Database'!$A67='Data Transfer'!$B$5),OR('Data Transfer'!$B$6="",ISNUMBER(SEARCH('Data Transfer'!$B$6,'Compliance Database'!$D67&amp;" "&amp;'Compliance Database'!$K67&amp;" "&amp;'Compliance Database'!$L67&amp;" "&amp;'Compliance Database'!$M67&amp;" "&amp;'Compliance Database'!$N67&amp;" "&amp;'Compliance Database'!$O67)))),1,0)</f>
        <v/>
      </c>
      <c r="B67">
        <f>IF($A67=1,SUM($A$2:$A67),"")</f>
        <v/>
      </c>
      <c r="C67">
        <f>IF($A67=1,SUM($A$2:$A67),0)</f>
        <v/>
      </c>
    </row>
    <row r="68">
      <c r="A68">
        <f>IF(AND(OR('Compliance Database'!$A68='Data Transfer'!$B$4,'Compliance Database'!$A68='Data Transfer'!$B$5),OR('Data Transfer'!$B$6="",ISNUMBER(SEARCH('Data Transfer'!$B$6,'Compliance Database'!$D68&amp;" "&amp;'Compliance Database'!$K68&amp;" "&amp;'Compliance Database'!$L68&amp;" "&amp;'Compliance Database'!$M68&amp;" "&amp;'Compliance Database'!$N68&amp;" "&amp;'Compliance Database'!$O68)))),1,0)</f>
        <v/>
      </c>
      <c r="B68">
        <f>IF($A68=1,SUM($A$2:$A68),"")</f>
        <v/>
      </c>
      <c r="C68">
        <f>IF($A68=1,SUM($A$2:$A68),0)</f>
        <v/>
      </c>
    </row>
    <row r="69">
      <c r="A69">
        <f>IF(AND(OR('Compliance Database'!$A69='Data Transfer'!$B$4,'Compliance Database'!$A69='Data Transfer'!$B$5),OR('Data Transfer'!$B$6="",ISNUMBER(SEARCH('Data Transfer'!$B$6,'Compliance Database'!$D69&amp;" "&amp;'Compliance Database'!$K69&amp;" "&amp;'Compliance Database'!$L69&amp;" "&amp;'Compliance Database'!$M69&amp;" "&amp;'Compliance Database'!$N69&amp;" "&amp;'Compliance Database'!$O69)))),1,0)</f>
        <v/>
      </c>
      <c r="B69">
        <f>IF($A69=1,SUM($A$2:$A69),"")</f>
        <v/>
      </c>
      <c r="C69">
        <f>IF($A69=1,SUM($A$2:$A69),0)</f>
        <v/>
      </c>
    </row>
    <row r="70">
      <c r="A70">
        <f>IF(AND(OR('Compliance Database'!$A70='Data Transfer'!$B$4,'Compliance Database'!$A70='Data Transfer'!$B$5),OR('Data Transfer'!$B$6="",ISNUMBER(SEARCH('Data Transfer'!$B$6,'Compliance Database'!$D70&amp;" "&amp;'Compliance Database'!$K70&amp;" "&amp;'Compliance Database'!$L70&amp;" "&amp;'Compliance Database'!$M70&amp;" "&amp;'Compliance Database'!$N70&amp;" "&amp;'Compliance Database'!$O70)))),1,0)</f>
        <v/>
      </c>
      <c r="B70">
        <f>IF($A70=1,SUM($A$2:$A70),"")</f>
        <v/>
      </c>
      <c r="C70">
        <f>IF($A70=1,SUM($A$2:$A70),0)</f>
        <v/>
      </c>
    </row>
    <row r="71">
      <c r="A71">
        <f>IF(AND(OR('Compliance Database'!$A71='Data Transfer'!$B$4,'Compliance Database'!$A71='Data Transfer'!$B$5),OR('Data Transfer'!$B$6="",ISNUMBER(SEARCH('Data Transfer'!$B$6,'Compliance Database'!$D71&amp;" "&amp;'Compliance Database'!$K71&amp;" "&amp;'Compliance Database'!$L71&amp;" "&amp;'Compliance Database'!$M71&amp;" "&amp;'Compliance Database'!$N71&amp;" "&amp;'Compliance Database'!$O71)))),1,0)</f>
        <v/>
      </c>
      <c r="B71">
        <f>IF($A71=1,SUM($A$2:$A71),"")</f>
        <v/>
      </c>
      <c r="C71">
        <f>IF($A71=1,SUM($A$2:$A71),0)</f>
        <v/>
      </c>
    </row>
    <row r="72">
      <c r="A72">
        <f>IF(AND(OR('Compliance Database'!$A72='Data Transfer'!$B$4,'Compliance Database'!$A72='Data Transfer'!$B$5),OR('Data Transfer'!$B$6="",ISNUMBER(SEARCH('Data Transfer'!$B$6,'Compliance Database'!$D72&amp;" "&amp;'Compliance Database'!$K72&amp;" "&amp;'Compliance Database'!$L72&amp;" "&amp;'Compliance Database'!$M72&amp;" "&amp;'Compliance Database'!$N72&amp;" "&amp;'Compliance Database'!$O72)))),1,0)</f>
        <v/>
      </c>
      <c r="B72">
        <f>IF($A72=1,SUM($A$2:$A72),"")</f>
        <v/>
      </c>
      <c r="C72">
        <f>IF($A72=1,SUM($A$2:$A72),0)</f>
        <v/>
      </c>
    </row>
    <row r="73">
      <c r="A73">
        <f>IF(AND(OR('Compliance Database'!$A73='Data Transfer'!$B$4,'Compliance Database'!$A73='Data Transfer'!$B$5),OR('Data Transfer'!$B$6="",ISNUMBER(SEARCH('Data Transfer'!$B$6,'Compliance Database'!$D73&amp;" "&amp;'Compliance Database'!$K73&amp;" "&amp;'Compliance Database'!$L73&amp;" "&amp;'Compliance Database'!$M73&amp;" "&amp;'Compliance Database'!$N73&amp;" "&amp;'Compliance Database'!$O73)))),1,0)</f>
        <v/>
      </c>
      <c r="B73">
        <f>IF($A73=1,SUM($A$2:$A73),"")</f>
        <v/>
      </c>
      <c r="C73">
        <f>IF($A73=1,SUM($A$2:$A73),0)</f>
        <v/>
      </c>
    </row>
    <row r="74">
      <c r="A74">
        <f>IF(AND(OR('Compliance Database'!$A74='Data Transfer'!$B$4,'Compliance Database'!$A74='Data Transfer'!$B$5),OR('Data Transfer'!$B$6="",ISNUMBER(SEARCH('Data Transfer'!$B$6,'Compliance Database'!$D74&amp;" "&amp;'Compliance Database'!$K74&amp;" "&amp;'Compliance Database'!$L74&amp;" "&amp;'Compliance Database'!$M74&amp;" "&amp;'Compliance Database'!$N74&amp;" "&amp;'Compliance Database'!$O74)))),1,0)</f>
        <v/>
      </c>
      <c r="B74">
        <f>IF($A74=1,SUM($A$2:$A74),"")</f>
        <v/>
      </c>
      <c r="C74">
        <f>IF($A74=1,SUM($A$2:$A74),0)</f>
        <v/>
      </c>
    </row>
    <row r="75">
      <c r="A75">
        <f>IF(AND(OR('Compliance Database'!$A75='Data Transfer'!$B$4,'Compliance Database'!$A75='Data Transfer'!$B$5),OR('Data Transfer'!$B$6="",ISNUMBER(SEARCH('Data Transfer'!$B$6,'Compliance Database'!$D75&amp;" "&amp;'Compliance Database'!$K75&amp;" "&amp;'Compliance Database'!$L75&amp;" "&amp;'Compliance Database'!$M75&amp;" "&amp;'Compliance Database'!$N75&amp;" "&amp;'Compliance Database'!$O75)))),1,0)</f>
        <v/>
      </c>
      <c r="B75">
        <f>IF($A75=1,SUM($A$2:$A75),"")</f>
        <v/>
      </c>
      <c r="C75">
        <f>IF($A75=1,SUM($A$2:$A75),0)</f>
        <v/>
      </c>
    </row>
    <row r="76">
      <c r="A76">
        <f>IF(AND(OR('Compliance Database'!$A76='Data Transfer'!$B$4,'Compliance Database'!$A76='Data Transfer'!$B$5),OR('Data Transfer'!$B$6="",ISNUMBER(SEARCH('Data Transfer'!$B$6,'Compliance Database'!$D76&amp;" "&amp;'Compliance Database'!$K76&amp;" "&amp;'Compliance Database'!$L76&amp;" "&amp;'Compliance Database'!$M76&amp;" "&amp;'Compliance Database'!$N76&amp;" "&amp;'Compliance Database'!$O76)))),1,0)</f>
        <v/>
      </c>
      <c r="B76">
        <f>IF($A76=1,SUM($A$2:$A76),"")</f>
        <v/>
      </c>
      <c r="C76">
        <f>IF($A76=1,SUM($A$2:$A76),0)</f>
        <v/>
      </c>
    </row>
    <row r="77">
      <c r="A77">
        <f>IF(AND(OR('Compliance Database'!$A77='Data Transfer'!$B$4,'Compliance Database'!$A77='Data Transfer'!$B$5),OR('Data Transfer'!$B$6="",ISNUMBER(SEARCH('Data Transfer'!$B$6,'Compliance Database'!$D77&amp;" "&amp;'Compliance Database'!$K77&amp;" "&amp;'Compliance Database'!$L77&amp;" "&amp;'Compliance Database'!$M77&amp;" "&amp;'Compliance Database'!$N77&amp;" "&amp;'Compliance Database'!$O77)))),1,0)</f>
        <v/>
      </c>
      <c r="B77">
        <f>IF($A77=1,SUM($A$2:$A77),"")</f>
        <v/>
      </c>
      <c r="C77">
        <f>IF($A77=1,SUM($A$2:$A77),0)</f>
        <v/>
      </c>
    </row>
    <row r="78">
      <c r="A78">
        <f>IF(AND(OR('Compliance Database'!$A78='Data Transfer'!$B$4,'Compliance Database'!$A78='Data Transfer'!$B$5),OR('Data Transfer'!$B$6="",ISNUMBER(SEARCH('Data Transfer'!$B$6,'Compliance Database'!$D78&amp;" "&amp;'Compliance Database'!$K78&amp;" "&amp;'Compliance Database'!$L78&amp;" "&amp;'Compliance Database'!$M78&amp;" "&amp;'Compliance Database'!$N78&amp;" "&amp;'Compliance Database'!$O78)))),1,0)</f>
        <v/>
      </c>
      <c r="B78">
        <f>IF($A78=1,SUM($A$2:$A78),"")</f>
        <v/>
      </c>
      <c r="C78">
        <f>IF($A78=1,SUM($A$2:$A78),0)</f>
        <v/>
      </c>
    </row>
    <row r="79">
      <c r="A79">
        <f>IF(AND(OR('Compliance Database'!$A79='Data Transfer'!$B$4,'Compliance Database'!$A79='Data Transfer'!$B$5),OR('Data Transfer'!$B$6="",ISNUMBER(SEARCH('Data Transfer'!$B$6,'Compliance Database'!$D79&amp;" "&amp;'Compliance Database'!$K79&amp;" "&amp;'Compliance Database'!$L79&amp;" "&amp;'Compliance Database'!$M79&amp;" "&amp;'Compliance Database'!$N79&amp;" "&amp;'Compliance Database'!$O79)))),1,0)</f>
        <v/>
      </c>
      <c r="B79">
        <f>IF($A79=1,SUM($A$2:$A79),"")</f>
        <v/>
      </c>
      <c r="C79">
        <f>IF($A79=1,SUM($A$2:$A79),0)</f>
        <v/>
      </c>
    </row>
    <row r="80">
      <c r="A80">
        <f>IF(AND(OR('Compliance Database'!$A80='Data Transfer'!$B$4,'Compliance Database'!$A80='Data Transfer'!$B$5),OR('Data Transfer'!$B$6="",ISNUMBER(SEARCH('Data Transfer'!$B$6,'Compliance Database'!$D80&amp;" "&amp;'Compliance Database'!$K80&amp;" "&amp;'Compliance Database'!$L80&amp;" "&amp;'Compliance Database'!$M80&amp;" "&amp;'Compliance Database'!$N80&amp;" "&amp;'Compliance Database'!$O80)))),1,0)</f>
        <v/>
      </c>
      <c r="B80">
        <f>IF($A80=1,SUM($A$2:$A80),"")</f>
        <v/>
      </c>
      <c r="C80">
        <f>IF($A80=1,SUM($A$2:$A80),0)</f>
        <v/>
      </c>
    </row>
    <row r="81">
      <c r="A81">
        <f>IF(AND(OR('Compliance Database'!$A81='Data Transfer'!$B$4,'Compliance Database'!$A81='Data Transfer'!$B$5),OR('Data Transfer'!$B$6="",ISNUMBER(SEARCH('Data Transfer'!$B$6,'Compliance Database'!$D81&amp;" "&amp;'Compliance Database'!$K81&amp;" "&amp;'Compliance Database'!$L81&amp;" "&amp;'Compliance Database'!$M81&amp;" "&amp;'Compliance Database'!$N81&amp;" "&amp;'Compliance Database'!$O81)))),1,0)</f>
        <v/>
      </c>
      <c r="B81">
        <f>IF($A81=1,SUM($A$2:$A81),"")</f>
        <v/>
      </c>
      <c r="C81">
        <f>IF($A81=1,SUM($A$2:$A81),0)</f>
        <v/>
      </c>
    </row>
    <row r="82">
      <c r="A82">
        <f>IF(AND(OR('Compliance Database'!$A82='Data Transfer'!$B$4,'Compliance Database'!$A82='Data Transfer'!$B$5),OR('Data Transfer'!$B$6="",ISNUMBER(SEARCH('Data Transfer'!$B$6,'Compliance Database'!$D82&amp;" "&amp;'Compliance Database'!$K82&amp;" "&amp;'Compliance Database'!$L82&amp;" "&amp;'Compliance Database'!$M82&amp;" "&amp;'Compliance Database'!$N82&amp;" "&amp;'Compliance Database'!$O82)))),1,0)</f>
        <v/>
      </c>
      <c r="B82">
        <f>IF($A82=1,SUM($A$2:$A82),"")</f>
        <v/>
      </c>
      <c r="C82">
        <f>IF($A82=1,SUM($A$2:$A82),0)</f>
        <v/>
      </c>
    </row>
    <row r="83">
      <c r="A83">
        <f>IF(AND(OR('Compliance Database'!$A83='Data Transfer'!$B$4,'Compliance Database'!$A83='Data Transfer'!$B$5),OR('Data Transfer'!$B$6="",ISNUMBER(SEARCH('Data Transfer'!$B$6,'Compliance Database'!$D83&amp;" "&amp;'Compliance Database'!$K83&amp;" "&amp;'Compliance Database'!$L83&amp;" "&amp;'Compliance Database'!$M83&amp;" "&amp;'Compliance Database'!$N83&amp;" "&amp;'Compliance Database'!$O83)))),1,0)</f>
        <v/>
      </c>
      <c r="B83">
        <f>IF($A83=1,SUM($A$2:$A83),"")</f>
        <v/>
      </c>
      <c r="C83">
        <f>IF($A83=1,SUM($A$2:$A83),0)</f>
        <v/>
      </c>
    </row>
    <row r="84">
      <c r="A84">
        <f>IF(AND(OR('Compliance Database'!$A84='Data Transfer'!$B$4,'Compliance Database'!$A84='Data Transfer'!$B$5),OR('Data Transfer'!$B$6="",ISNUMBER(SEARCH('Data Transfer'!$B$6,'Compliance Database'!$D84&amp;" "&amp;'Compliance Database'!$K84&amp;" "&amp;'Compliance Database'!$L84&amp;" "&amp;'Compliance Database'!$M84&amp;" "&amp;'Compliance Database'!$N84&amp;" "&amp;'Compliance Database'!$O84)))),1,0)</f>
        <v/>
      </c>
      <c r="B84">
        <f>IF($A84=1,SUM($A$2:$A84),"")</f>
        <v/>
      </c>
      <c r="C84">
        <f>IF($A84=1,SUM($A$2:$A84),0)</f>
        <v/>
      </c>
    </row>
    <row r="85">
      <c r="A85">
        <f>IF(AND(OR('Compliance Database'!$A85='Data Transfer'!$B$4,'Compliance Database'!$A85='Data Transfer'!$B$5),OR('Data Transfer'!$B$6="",ISNUMBER(SEARCH('Data Transfer'!$B$6,'Compliance Database'!$D85&amp;" "&amp;'Compliance Database'!$K85&amp;" "&amp;'Compliance Database'!$L85&amp;" "&amp;'Compliance Database'!$M85&amp;" "&amp;'Compliance Database'!$N85&amp;" "&amp;'Compliance Database'!$O85)))),1,0)</f>
        <v/>
      </c>
      <c r="B85">
        <f>IF($A85=1,SUM($A$2:$A85),"")</f>
        <v/>
      </c>
      <c r="C85">
        <f>IF($A85=1,SUM($A$2:$A85),0)</f>
        <v/>
      </c>
    </row>
    <row r="86">
      <c r="A86">
        <f>IF(AND(OR('Compliance Database'!$A86='Data Transfer'!$B$4,'Compliance Database'!$A86='Data Transfer'!$B$5),OR('Data Transfer'!$B$6="",ISNUMBER(SEARCH('Data Transfer'!$B$6,'Compliance Database'!$D86&amp;" "&amp;'Compliance Database'!$K86&amp;" "&amp;'Compliance Database'!$L86&amp;" "&amp;'Compliance Database'!$M86&amp;" "&amp;'Compliance Database'!$N86&amp;" "&amp;'Compliance Database'!$O86)))),1,0)</f>
        <v/>
      </c>
      <c r="B86">
        <f>IF($A86=1,SUM($A$2:$A86),"")</f>
        <v/>
      </c>
      <c r="C86">
        <f>IF($A86=1,SUM($A$2:$A86),0)</f>
        <v/>
      </c>
    </row>
    <row r="87">
      <c r="A87">
        <f>IF(AND(OR('Compliance Database'!$A87='Data Transfer'!$B$4,'Compliance Database'!$A87='Data Transfer'!$B$5),OR('Data Transfer'!$B$6="",ISNUMBER(SEARCH('Data Transfer'!$B$6,'Compliance Database'!$D87&amp;" "&amp;'Compliance Database'!$K87&amp;" "&amp;'Compliance Database'!$L87&amp;" "&amp;'Compliance Database'!$M87&amp;" "&amp;'Compliance Database'!$N87&amp;" "&amp;'Compliance Database'!$O87)))),1,0)</f>
        <v/>
      </c>
      <c r="B87">
        <f>IF($A87=1,SUM($A$2:$A87),"")</f>
        <v/>
      </c>
      <c r="C87">
        <f>IF($A87=1,SUM($A$2:$A87),0)</f>
        <v/>
      </c>
    </row>
    <row r="88">
      <c r="A88">
        <f>IF(AND(OR('Compliance Database'!$A88='Data Transfer'!$B$4,'Compliance Database'!$A88='Data Transfer'!$B$5),OR('Data Transfer'!$B$6="",ISNUMBER(SEARCH('Data Transfer'!$B$6,'Compliance Database'!$D88&amp;" "&amp;'Compliance Database'!$K88&amp;" "&amp;'Compliance Database'!$L88&amp;" "&amp;'Compliance Database'!$M88&amp;" "&amp;'Compliance Database'!$N88&amp;" "&amp;'Compliance Database'!$O88)))),1,0)</f>
        <v/>
      </c>
      <c r="B88">
        <f>IF($A88=1,SUM($A$2:$A88),"")</f>
        <v/>
      </c>
      <c r="C88">
        <f>IF($A88=1,SUM($A$2:$A88),0)</f>
        <v/>
      </c>
    </row>
    <row r="89">
      <c r="A89">
        <f>IF(AND(OR('Compliance Database'!$A89='Data Transfer'!$B$4,'Compliance Database'!$A89='Data Transfer'!$B$5),OR('Data Transfer'!$B$6="",ISNUMBER(SEARCH('Data Transfer'!$B$6,'Compliance Database'!$D89&amp;" "&amp;'Compliance Database'!$K89&amp;" "&amp;'Compliance Database'!$L89&amp;" "&amp;'Compliance Database'!$M89&amp;" "&amp;'Compliance Database'!$N89&amp;" "&amp;'Compliance Database'!$O89)))),1,0)</f>
        <v/>
      </c>
      <c r="B89">
        <f>IF($A89=1,SUM($A$2:$A89),"")</f>
        <v/>
      </c>
      <c r="C89">
        <f>IF($A89=1,SUM($A$2:$A89),0)</f>
        <v/>
      </c>
    </row>
    <row r="90">
      <c r="A90">
        <f>IF(AND(OR('Compliance Database'!$A90='Data Transfer'!$B$4,'Compliance Database'!$A90='Data Transfer'!$B$5),OR('Data Transfer'!$B$6="",ISNUMBER(SEARCH('Data Transfer'!$B$6,'Compliance Database'!$D90&amp;" "&amp;'Compliance Database'!$K90&amp;" "&amp;'Compliance Database'!$L90&amp;" "&amp;'Compliance Database'!$M90&amp;" "&amp;'Compliance Database'!$N90&amp;" "&amp;'Compliance Database'!$O90)))),1,0)</f>
        <v/>
      </c>
      <c r="B90">
        <f>IF($A90=1,SUM($A$2:$A90),"")</f>
        <v/>
      </c>
      <c r="C90">
        <f>IF($A90=1,SUM($A$2:$A90),0)</f>
        <v/>
      </c>
    </row>
    <row r="91">
      <c r="A91">
        <f>IF(AND(OR('Compliance Database'!$A91='Data Transfer'!$B$4,'Compliance Database'!$A91='Data Transfer'!$B$5),OR('Data Transfer'!$B$6="",ISNUMBER(SEARCH('Data Transfer'!$B$6,'Compliance Database'!$D91&amp;" "&amp;'Compliance Database'!$K91&amp;" "&amp;'Compliance Database'!$L91&amp;" "&amp;'Compliance Database'!$M91&amp;" "&amp;'Compliance Database'!$N91&amp;" "&amp;'Compliance Database'!$O91)))),1,0)</f>
        <v/>
      </c>
      <c r="B91">
        <f>IF($A91=1,SUM($A$2:$A91),"")</f>
        <v/>
      </c>
      <c r="C91">
        <f>IF($A91=1,SUM($A$2:$A91),0)</f>
        <v/>
      </c>
    </row>
    <row r="92">
      <c r="A92">
        <f>IF(AND(OR('Compliance Database'!$A92='Data Transfer'!$B$4,'Compliance Database'!$A92='Data Transfer'!$B$5),OR('Data Transfer'!$B$6="",ISNUMBER(SEARCH('Data Transfer'!$B$6,'Compliance Database'!$D92&amp;" "&amp;'Compliance Database'!$K92&amp;" "&amp;'Compliance Database'!$L92&amp;" "&amp;'Compliance Database'!$M92&amp;" "&amp;'Compliance Database'!$N92&amp;" "&amp;'Compliance Database'!$O92)))),1,0)</f>
        <v/>
      </c>
      <c r="B92">
        <f>IF($A92=1,SUM($A$2:$A92),"")</f>
        <v/>
      </c>
      <c r="C92">
        <f>IF($A92=1,SUM($A$2:$A92),0)</f>
        <v/>
      </c>
    </row>
    <row r="93">
      <c r="A93">
        <f>IF(AND(OR('Compliance Database'!$A93='Data Transfer'!$B$4,'Compliance Database'!$A93='Data Transfer'!$B$5),OR('Data Transfer'!$B$6="",ISNUMBER(SEARCH('Data Transfer'!$B$6,'Compliance Database'!$D93&amp;" "&amp;'Compliance Database'!$K93&amp;" "&amp;'Compliance Database'!$L93&amp;" "&amp;'Compliance Database'!$M93&amp;" "&amp;'Compliance Database'!$N93&amp;" "&amp;'Compliance Database'!$O93)))),1,0)</f>
        <v/>
      </c>
      <c r="B93">
        <f>IF($A93=1,SUM($A$2:$A93),"")</f>
        <v/>
      </c>
      <c r="C93">
        <f>IF($A93=1,SUM($A$2:$A93),0)</f>
        <v/>
      </c>
    </row>
    <row r="94">
      <c r="A94">
        <f>IF(AND(OR('Compliance Database'!$A94='Data Transfer'!$B$4,'Compliance Database'!$A94='Data Transfer'!$B$5),OR('Data Transfer'!$B$6="",ISNUMBER(SEARCH('Data Transfer'!$B$6,'Compliance Database'!$D94&amp;" "&amp;'Compliance Database'!$K94&amp;" "&amp;'Compliance Database'!$L94&amp;" "&amp;'Compliance Database'!$M94&amp;" "&amp;'Compliance Database'!$N94&amp;" "&amp;'Compliance Database'!$O94)))),1,0)</f>
        <v/>
      </c>
      <c r="B94">
        <f>IF($A94=1,SUM($A$2:$A94),"")</f>
        <v/>
      </c>
      <c r="C94">
        <f>IF($A94=1,SUM($A$2:$A94),0)</f>
        <v/>
      </c>
    </row>
    <row r="95">
      <c r="A95">
        <f>IF(AND(OR('Compliance Database'!$A95='Data Transfer'!$B$4,'Compliance Database'!$A95='Data Transfer'!$B$5),OR('Data Transfer'!$B$6="",ISNUMBER(SEARCH('Data Transfer'!$B$6,'Compliance Database'!$D95&amp;" "&amp;'Compliance Database'!$K95&amp;" "&amp;'Compliance Database'!$L95&amp;" "&amp;'Compliance Database'!$M95&amp;" "&amp;'Compliance Database'!$N95&amp;" "&amp;'Compliance Database'!$O95)))),1,0)</f>
        <v/>
      </c>
      <c r="B95">
        <f>IF($A95=1,SUM($A$2:$A95),"")</f>
        <v/>
      </c>
      <c r="C95">
        <f>IF($A95=1,SUM($A$2:$A95),0)</f>
        <v/>
      </c>
    </row>
    <row r="96">
      <c r="A96">
        <f>IF(AND(OR('Compliance Database'!$A96='Data Transfer'!$B$4,'Compliance Database'!$A96='Data Transfer'!$B$5),OR('Data Transfer'!$B$6="",ISNUMBER(SEARCH('Data Transfer'!$B$6,'Compliance Database'!$D96&amp;" "&amp;'Compliance Database'!$K96&amp;" "&amp;'Compliance Database'!$L96&amp;" "&amp;'Compliance Database'!$M96&amp;" "&amp;'Compliance Database'!$N96&amp;" "&amp;'Compliance Database'!$O96)))),1,0)</f>
        <v/>
      </c>
      <c r="B96">
        <f>IF($A96=1,SUM($A$2:$A96),"")</f>
        <v/>
      </c>
      <c r="C96">
        <f>IF($A96=1,SUM($A$2:$A96),0)</f>
        <v/>
      </c>
    </row>
    <row r="97">
      <c r="A97">
        <f>IF(AND(OR('Compliance Database'!$A97='Data Transfer'!$B$4,'Compliance Database'!$A97='Data Transfer'!$B$5),OR('Data Transfer'!$B$6="",ISNUMBER(SEARCH('Data Transfer'!$B$6,'Compliance Database'!$D97&amp;" "&amp;'Compliance Database'!$K97&amp;" "&amp;'Compliance Database'!$L97&amp;" "&amp;'Compliance Database'!$M97&amp;" "&amp;'Compliance Database'!$N97&amp;" "&amp;'Compliance Database'!$O97)))),1,0)</f>
        <v/>
      </c>
      <c r="B97">
        <f>IF($A97=1,SUM($A$2:$A97),"")</f>
        <v/>
      </c>
      <c r="C97">
        <f>IF($A97=1,SUM($A$2:$A97),0)</f>
        <v/>
      </c>
    </row>
    <row r="98">
      <c r="A98">
        <f>IF(AND(OR('Compliance Database'!$A98='Data Transfer'!$B$4,'Compliance Database'!$A98='Data Transfer'!$B$5),OR('Data Transfer'!$B$6="",ISNUMBER(SEARCH('Data Transfer'!$B$6,'Compliance Database'!$D98&amp;" "&amp;'Compliance Database'!$K98&amp;" "&amp;'Compliance Database'!$L98&amp;" "&amp;'Compliance Database'!$M98&amp;" "&amp;'Compliance Database'!$N98&amp;" "&amp;'Compliance Database'!$O98)))),1,0)</f>
        <v/>
      </c>
      <c r="B98">
        <f>IF($A98=1,SUM($A$2:$A98),"")</f>
        <v/>
      </c>
      <c r="C98">
        <f>IF($A98=1,SUM($A$2:$A98),0)</f>
        <v/>
      </c>
    </row>
    <row r="99">
      <c r="A99">
        <f>IF(AND(OR('Compliance Database'!$A99='Data Transfer'!$B$4,'Compliance Database'!$A99='Data Transfer'!$B$5),OR('Data Transfer'!$B$6="",ISNUMBER(SEARCH('Data Transfer'!$B$6,'Compliance Database'!$D99&amp;" "&amp;'Compliance Database'!$K99&amp;" "&amp;'Compliance Database'!$L99&amp;" "&amp;'Compliance Database'!$M99&amp;" "&amp;'Compliance Database'!$N99&amp;" "&amp;'Compliance Database'!$O99)))),1,0)</f>
        <v/>
      </c>
      <c r="B99">
        <f>IF($A99=1,SUM($A$2:$A99),"")</f>
        <v/>
      </c>
      <c r="C99">
        <f>IF($A99=1,SUM($A$2:$A99),0)</f>
        <v/>
      </c>
    </row>
    <row r="100">
      <c r="A100">
        <f>IF(AND(OR('Compliance Database'!$A100='Data Transfer'!$B$4,'Compliance Database'!$A100='Data Transfer'!$B$5),OR('Data Transfer'!$B$6="",ISNUMBER(SEARCH('Data Transfer'!$B$6,'Compliance Database'!$D100&amp;" "&amp;'Compliance Database'!$K100&amp;" "&amp;'Compliance Database'!$L100&amp;" "&amp;'Compliance Database'!$M100&amp;" "&amp;'Compliance Database'!$N100&amp;" "&amp;'Compliance Database'!$O100)))),1,0)</f>
        <v/>
      </c>
      <c r="B100">
        <f>IF($A100=1,SUM($A$2:$A100),"")</f>
        <v/>
      </c>
      <c r="C100">
        <f>IF($A100=1,SUM($A$2:$A100),0)</f>
        <v/>
      </c>
    </row>
    <row r="101">
      <c r="A101">
        <f>IF(AND(OR('Compliance Database'!$A101='Data Transfer'!$B$4,'Compliance Database'!$A101='Data Transfer'!$B$5),OR('Data Transfer'!$B$6="",ISNUMBER(SEARCH('Data Transfer'!$B$6,'Compliance Database'!$D101&amp;" "&amp;'Compliance Database'!$K101&amp;" "&amp;'Compliance Database'!$L101&amp;" "&amp;'Compliance Database'!$M101&amp;" "&amp;'Compliance Database'!$N101&amp;" "&amp;'Compliance Database'!$O101)))),1,0)</f>
        <v/>
      </c>
      <c r="B101">
        <f>IF($A101=1,SUM($A$2:$A101),"")</f>
        <v/>
      </c>
      <c r="C101">
        <f>IF($A101=1,SUM($A$2:$A101),0)</f>
        <v/>
      </c>
    </row>
    <row r="102">
      <c r="A102">
        <f>IF(AND(OR('Compliance Database'!$A102='Data Transfer'!$B$4,'Compliance Database'!$A102='Data Transfer'!$B$5),OR('Data Transfer'!$B$6="",ISNUMBER(SEARCH('Data Transfer'!$B$6,'Compliance Database'!$D102&amp;" "&amp;'Compliance Database'!$K102&amp;" "&amp;'Compliance Database'!$L102&amp;" "&amp;'Compliance Database'!$M102&amp;" "&amp;'Compliance Database'!$N102&amp;" "&amp;'Compliance Database'!$O102)))),1,0)</f>
        <v/>
      </c>
      <c r="B102">
        <f>IF($A102=1,SUM($A$2:$A102),"")</f>
        <v/>
      </c>
      <c r="C102">
        <f>IF($A102=1,SUM($A$2:$A102),0)</f>
        <v/>
      </c>
    </row>
    <row r="103">
      <c r="A103">
        <f>IF(AND(OR('Compliance Database'!$A103='Data Transfer'!$B$4,'Compliance Database'!$A103='Data Transfer'!$B$5),OR('Data Transfer'!$B$6="",ISNUMBER(SEARCH('Data Transfer'!$B$6,'Compliance Database'!$D103&amp;" "&amp;'Compliance Database'!$K103&amp;" "&amp;'Compliance Database'!$L103&amp;" "&amp;'Compliance Database'!$M103&amp;" "&amp;'Compliance Database'!$N103&amp;" "&amp;'Compliance Database'!$O103)))),1,0)</f>
        <v/>
      </c>
      <c r="B103">
        <f>IF($A103=1,SUM($A$2:$A103),"")</f>
        <v/>
      </c>
      <c r="C103">
        <f>IF($A103=1,SUM($A$2:$A103),0)</f>
        <v/>
      </c>
    </row>
    <row r="104">
      <c r="A104">
        <f>IF(AND(OR('Compliance Database'!$A104='Data Transfer'!$B$4,'Compliance Database'!$A104='Data Transfer'!$B$5),OR('Data Transfer'!$B$6="",ISNUMBER(SEARCH('Data Transfer'!$B$6,'Compliance Database'!$D104&amp;" "&amp;'Compliance Database'!$K104&amp;" "&amp;'Compliance Database'!$L104&amp;" "&amp;'Compliance Database'!$M104&amp;" "&amp;'Compliance Database'!$N104&amp;" "&amp;'Compliance Database'!$O104)))),1,0)</f>
        <v/>
      </c>
      <c r="B104">
        <f>IF($A104=1,SUM($A$2:$A104),"")</f>
        <v/>
      </c>
      <c r="C104">
        <f>IF($A104=1,SUM($A$2:$A104),0)</f>
        <v/>
      </c>
    </row>
    <row r="105">
      <c r="A105">
        <f>IF(AND(OR('Compliance Database'!$A105='Data Transfer'!$B$4,'Compliance Database'!$A105='Data Transfer'!$B$5),OR('Data Transfer'!$B$6="",ISNUMBER(SEARCH('Data Transfer'!$B$6,'Compliance Database'!$D105&amp;" "&amp;'Compliance Database'!$K105&amp;" "&amp;'Compliance Database'!$L105&amp;" "&amp;'Compliance Database'!$M105&amp;" "&amp;'Compliance Database'!$N105&amp;" "&amp;'Compliance Database'!$O105)))),1,0)</f>
        <v/>
      </c>
      <c r="B105">
        <f>IF($A105=1,SUM($A$2:$A105),"")</f>
        <v/>
      </c>
      <c r="C105">
        <f>IF($A105=1,SUM($A$2:$A105),0)</f>
        <v/>
      </c>
    </row>
    <row r="106">
      <c r="A106">
        <f>IF(AND(OR('Compliance Database'!$A106='Data Transfer'!$B$4,'Compliance Database'!$A106='Data Transfer'!$B$5),OR('Data Transfer'!$B$6="",ISNUMBER(SEARCH('Data Transfer'!$B$6,'Compliance Database'!$D106&amp;" "&amp;'Compliance Database'!$K106&amp;" "&amp;'Compliance Database'!$L106&amp;" "&amp;'Compliance Database'!$M106&amp;" "&amp;'Compliance Database'!$N106&amp;" "&amp;'Compliance Database'!$O106)))),1,0)</f>
        <v/>
      </c>
      <c r="B106">
        <f>IF($A106=1,SUM($A$2:$A106),"")</f>
        <v/>
      </c>
      <c r="C106">
        <f>IF($A106=1,SUM($A$2:$A106),0)</f>
        <v/>
      </c>
    </row>
    <row r="107">
      <c r="A107">
        <f>IF(AND(OR('Compliance Database'!$A107='Data Transfer'!$B$4,'Compliance Database'!$A107='Data Transfer'!$B$5),OR('Data Transfer'!$B$6="",ISNUMBER(SEARCH('Data Transfer'!$B$6,'Compliance Database'!$D107&amp;" "&amp;'Compliance Database'!$K107&amp;" "&amp;'Compliance Database'!$L107&amp;" "&amp;'Compliance Database'!$M107&amp;" "&amp;'Compliance Database'!$N107&amp;" "&amp;'Compliance Database'!$O107)))),1,0)</f>
        <v/>
      </c>
      <c r="B107">
        <f>IF($A107=1,SUM($A$2:$A107),"")</f>
        <v/>
      </c>
      <c r="C107">
        <f>IF($A107=1,SUM($A$2:$A107),0)</f>
        <v/>
      </c>
    </row>
    <row r="108">
      <c r="A108">
        <f>IF(AND(OR('Compliance Database'!$A108='Data Transfer'!$B$4,'Compliance Database'!$A108='Data Transfer'!$B$5),OR('Data Transfer'!$B$6="",ISNUMBER(SEARCH('Data Transfer'!$B$6,'Compliance Database'!$D108&amp;" "&amp;'Compliance Database'!$K108&amp;" "&amp;'Compliance Database'!$L108&amp;" "&amp;'Compliance Database'!$M108&amp;" "&amp;'Compliance Database'!$N108&amp;" "&amp;'Compliance Database'!$O108)))),1,0)</f>
        <v/>
      </c>
      <c r="B108">
        <f>IF($A108=1,SUM($A$2:$A108),"")</f>
        <v/>
      </c>
      <c r="C108">
        <f>IF($A108=1,SUM($A$2:$A108),0)</f>
        <v/>
      </c>
    </row>
    <row r="109">
      <c r="A109">
        <f>IF(AND(OR('Compliance Database'!$A109='Data Transfer'!$B$4,'Compliance Database'!$A109='Data Transfer'!$B$5),OR('Data Transfer'!$B$6="",ISNUMBER(SEARCH('Data Transfer'!$B$6,'Compliance Database'!$D109&amp;" "&amp;'Compliance Database'!$K109&amp;" "&amp;'Compliance Database'!$L109&amp;" "&amp;'Compliance Database'!$M109&amp;" "&amp;'Compliance Database'!$N109&amp;" "&amp;'Compliance Database'!$O109)))),1,0)</f>
        <v/>
      </c>
      <c r="B109">
        <f>IF($A109=1,SUM($A$2:$A109),"")</f>
        <v/>
      </c>
      <c r="C109">
        <f>IF($A109=1,SUM($A$2:$A109),0)</f>
        <v/>
      </c>
    </row>
    <row r="110">
      <c r="A110">
        <f>IF(AND(OR('Compliance Database'!$A110='Data Transfer'!$B$4,'Compliance Database'!$A110='Data Transfer'!$B$5),OR('Data Transfer'!$B$6="",ISNUMBER(SEARCH('Data Transfer'!$B$6,'Compliance Database'!$D110&amp;" "&amp;'Compliance Database'!$K110&amp;" "&amp;'Compliance Database'!$L110&amp;" "&amp;'Compliance Database'!$M110&amp;" "&amp;'Compliance Database'!$N110&amp;" "&amp;'Compliance Database'!$O110)))),1,0)</f>
        <v/>
      </c>
      <c r="B110">
        <f>IF($A110=1,SUM($A$2:$A110),"")</f>
        <v/>
      </c>
      <c r="C110">
        <f>IF($A110=1,SUM($A$2:$A110),0)</f>
        <v/>
      </c>
    </row>
    <row r="111">
      <c r="A111">
        <f>IF(AND(OR('Compliance Database'!$A111='Data Transfer'!$B$4,'Compliance Database'!$A111='Data Transfer'!$B$5),OR('Data Transfer'!$B$6="",ISNUMBER(SEARCH('Data Transfer'!$B$6,'Compliance Database'!$D111&amp;" "&amp;'Compliance Database'!$K111&amp;" "&amp;'Compliance Database'!$L111&amp;" "&amp;'Compliance Database'!$M111&amp;" "&amp;'Compliance Database'!$N111&amp;" "&amp;'Compliance Database'!$O111)))),1,0)</f>
        <v/>
      </c>
      <c r="B111">
        <f>IF($A111=1,SUM($A$2:$A111),"")</f>
        <v/>
      </c>
      <c r="C111">
        <f>IF($A111=1,SUM($A$2:$A111),0)</f>
        <v/>
      </c>
    </row>
    <row r="112">
      <c r="A112">
        <f>IF(AND(OR('Compliance Database'!$A112='Data Transfer'!$B$4,'Compliance Database'!$A112='Data Transfer'!$B$5),OR('Data Transfer'!$B$6="",ISNUMBER(SEARCH('Data Transfer'!$B$6,'Compliance Database'!$D112&amp;" "&amp;'Compliance Database'!$K112&amp;" "&amp;'Compliance Database'!$L112&amp;" "&amp;'Compliance Database'!$M112&amp;" "&amp;'Compliance Database'!$N112&amp;" "&amp;'Compliance Database'!$O112)))),1,0)</f>
        <v/>
      </c>
      <c r="B112">
        <f>IF($A112=1,SUM($A$2:$A112),"")</f>
        <v/>
      </c>
      <c r="C112">
        <f>IF($A112=1,SUM($A$2:$A112),0)</f>
        <v/>
      </c>
    </row>
    <row r="113">
      <c r="A113">
        <f>IF(AND(OR('Compliance Database'!$A113='Data Transfer'!$B$4,'Compliance Database'!$A113='Data Transfer'!$B$5),OR('Data Transfer'!$B$6="",ISNUMBER(SEARCH('Data Transfer'!$B$6,'Compliance Database'!$D113&amp;" "&amp;'Compliance Database'!$K113&amp;" "&amp;'Compliance Database'!$L113&amp;" "&amp;'Compliance Database'!$M113&amp;" "&amp;'Compliance Database'!$N113&amp;" "&amp;'Compliance Database'!$O113)))),1,0)</f>
        <v/>
      </c>
      <c r="B113">
        <f>IF($A113=1,SUM($A$2:$A113),"")</f>
        <v/>
      </c>
      <c r="C113">
        <f>IF($A113=1,SUM($A$2:$A113),0)</f>
        <v/>
      </c>
    </row>
    <row r="114">
      <c r="A114">
        <f>IF(AND(OR('Compliance Database'!$A114='Data Transfer'!$B$4,'Compliance Database'!$A114='Data Transfer'!$B$5),OR('Data Transfer'!$B$6="",ISNUMBER(SEARCH('Data Transfer'!$B$6,'Compliance Database'!$D114&amp;" "&amp;'Compliance Database'!$K114&amp;" "&amp;'Compliance Database'!$L114&amp;" "&amp;'Compliance Database'!$M114&amp;" "&amp;'Compliance Database'!$N114&amp;" "&amp;'Compliance Database'!$O114)))),1,0)</f>
        <v/>
      </c>
      <c r="B114">
        <f>IF($A114=1,SUM($A$2:$A114),"")</f>
        <v/>
      </c>
      <c r="C114">
        <f>IF($A114=1,SUM($A$2:$A114),0)</f>
        <v/>
      </c>
    </row>
    <row r="115">
      <c r="A115">
        <f>IF(AND(OR('Compliance Database'!$A115='Data Transfer'!$B$4,'Compliance Database'!$A115='Data Transfer'!$B$5),OR('Data Transfer'!$B$6="",ISNUMBER(SEARCH('Data Transfer'!$B$6,'Compliance Database'!$D115&amp;" "&amp;'Compliance Database'!$K115&amp;" "&amp;'Compliance Database'!$L115&amp;" "&amp;'Compliance Database'!$M115&amp;" "&amp;'Compliance Database'!$N115&amp;" "&amp;'Compliance Database'!$O115)))),1,0)</f>
        <v/>
      </c>
      <c r="B115">
        <f>IF($A115=1,SUM($A$2:$A115),"")</f>
        <v/>
      </c>
      <c r="C115">
        <f>IF($A115=1,SUM($A$2:$A115),0)</f>
        <v/>
      </c>
    </row>
    <row r="116">
      <c r="A116">
        <f>IF(AND(OR('Compliance Database'!$A116='Data Transfer'!$B$4,'Compliance Database'!$A116='Data Transfer'!$B$5),OR('Data Transfer'!$B$6="",ISNUMBER(SEARCH('Data Transfer'!$B$6,'Compliance Database'!$D116&amp;" "&amp;'Compliance Database'!$K116&amp;" "&amp;'Compliance Database'!$L116&amp;" "&amp;'Compliance Database'!$M116&amp;" "&amp;'Compliance Database'!$N116&amp;" "&amp;'Compliance Database'!$O116)))),1,0)</f>
        <v/>
      </c>
      <c r="B116">
        <f>IF($A116=1,SUM($A$2:$A116),"")</f>
        <v/>
      </c>
      <c r="C116">
        <f>IF($A116=1,SUM($A$2:$A116),0)</f>
        <v/>
      </c>
    </row>
    <row r="117">
      <c r="A117">
        <f>IF(AND(OR('Compliance Database'!$A117='Data Transfer'!$B$4,'Compliance Database'!$A117='Data Transfer'!$B$5),OR('Data Transfer'!$B$6="",ISNUMBER(SEARCH('Data Transfer'!$B$6,'Compliance Database'!$D117&amp;" "&amp;'Compliance Database'!$K117&amp;" "&amp;'Compliance Database'!$L117&amp;" "&amp;'Compliance Database'!$M117&amp;" "&amp;'Compliance Database'!$N117&amp;" "&amp;'Compliance Database'!$O117)))),1,0)</f>
        <v/>
      </c>
      <c r="B117">
        <f>IF($A117=1,SUM($A$2:$A117),"")</f>
        <v/>
      </c>
      <c r="C117">
        <f>IF($A117=1,SUM($A$2:$A117),0)</f>
        <v/>
      </c>
    </row>
    <row r="118">
      <c r="A118">
        <f>IF(AND(OR('Compliance Database'!$A118='Data Transfer'!$B$4,'Compliance Database'!$A118='Data Transfer'!$B$5),OR('Data Transfer'!$B$6="",ISNUMBER(SEARCH('Data Transfer'!$B$6,'Compliance Database'!$D118&amp;" "&amp;'Compliance Database'!$K118&amp;" "&amp;'Compliance Database'!$L118&amp;" "&amp;'Compliance Database'!$M118&amp;" "&amp;'Compliance Database'!$N118&amp;" "&amp;'Compliance Database'!$O118)))),1,0)</f>
        <v/>
      </c>
      <c r="B118">
        <f>IF($A118=1,SUM($A$2:$A118),"")</f>
        <v/>
      </c>
      <c r="C118">
        <f>IF($A118=1,SUM($A$2:$A118),0)</f>
        <v/>
      </c>
    </row>
    <row r="119">
      <c r="A119">
        <f>IF(AND(OR('Compliance Database'!$A119='Data Transfer'!$B$4,'Compliance Database'!$A119='Data Transfer'!$B$5),OR('Data Transfer'!$B$6="",ISNUMBER(SEARCH('Data Transfer'!$B$6,'Compliance Database'!$D119&amp;" "&amp;'Compliance Database'!$K119&amp;" "&amp;'Compliance Database'!$L119&amp;" "&amp;'Compliance Database'!$M119&amp;" "&amp;'Compliance Database'!$N119&amp;" "&amp;'Compliance Database'!$O119)))),1,0)</f>
        <v/>
      </c>
      <c r="B119">
        <f>IF($A119=1,SUM($A$2:$A119),"")</f>
        <v/>
      </c>
      <c r="C119">
        <f>IF($A119=1,SUM($A$2:$A119),0)</f>
        <v/>
      </c>
    </row>
    <row r="120">
      <c r="A120">
        <f>IF(AND(OR('Compliance Database'!$A120='Data Transfer'!$B$4,'Compliance Database'!$A120='Data Transfer'!$B$5),OR('Data Transfer'!$B$6="",ISNUMBER(SEARCH('Data Transfer'!$B$6,'Compliance Database'!$D120&amp;" "&amp;'Compliance Database'!$K120&amp;" "&amp;'Compliance Database'!$L120&amp;" "&amp;'Compliance Database'!$M120&amp;" "&amp;'Compliance Database'!$N120&amp;" "&amp;'Compliance Database'!$O120)))),1,0)</f>
        <v/>
      </c>
      <c r="B120">
        <f>IF($A120=1,SUM($A$2:$A120),"")</f>
        <v/>
      </c>
      <c r="C120">
        <f>IF($A120=1,SUM($A$2:$A120),0)</f>
        <v/>
      </c>
    </row>
    <row r="121">
      <c r="A121">
        <f>IF(AND(OR('Compliance Database'!$A121='Data Transfer'!$B$4,'Compliance Database'!$A121='Data Transfer'!$B$5),OR('Data Transfer'!$B$6="",ISNUMBER(SEARCH('Data Transfer'!$B$6,'Compliance Database'!$D121&amp;" "&amp;'Compliance Database'!$K121&amp;" "&amp;'Compliance Database'!$L121&amp;" "&amp;'Compliance Database'!$M121&amp;" "&amp;'Compliance Database'!$N121&amp;" "&amp;'Compliance Database'!$O121)))),1,0)</f>
        <v/>
      </c>
      <c r="B121">
        <f>IF($A121=1,SUM($A$2:$A121),"")</f>
        <v/>
      </c>
      <c r="C121">
        <f>IF($A121=1,SUM($A$2:$A121),0)</f>
        <v/>
      </c>
    </row>
    <row r="122">
      <c r="A122">
        <f>IF(AND(OR('Compliance Database'!$A122='Data Transfer'!$B$4,'Compliance Database'!$A122='Data Transfer'!$B$5),OR('Data Transfer'!$B$6="",ISNUMBER(SEARCH('Data Transfer'!$B$6,'Compliance Database'!$D122&amp;" "&amp;'Compliance Database'!$K122&amp;" "&amp;'Compliance Database'!$L122&amp;" "&amp;'Compliance Database'!$M122&amp;" "&amp;'Compliance Database'!$N122&amp;" "&amp;'Compliance Database'!$O122)))),1,0)</f>
        <v/>
      </c>
      <c r="B122">
        <f>IF($A122=1,SUM($A$2:$A122),"")</f>
        <v/>
      </c>
      <c r="C122">
        <f>IF($A122=1,SUM($A$2:$A122),0)</f>
        <v/>
      </c>
    </row>
    <row r="123">
      <c r="A123">
        <f>IF(AND(OR('Compliance Database'!$A123='Data Transfer'!$B$4,'Compliance Database'!$A123='Data Transfer'!$B$5),OR('Data Transfer'!$B$6="",ISNUMBER(SEARCH('Data Transfer'!$B$6,'Compliance Database'!$D123&amp;" "&amp;'Compliance Database'!$K123&amp;" "&amp;'Compliance Database'!$L123&amp;" "&amp;'Compliance Database'!$M123&amp;" "&amp;'Compliance Database'!$N123&amp;" "&amp;'Compliance Database'!$O123)))),1,0)</f>
        <v/>
      </c>
      <c r="B123">
        <f>IF($A123=1,SUM($A$2:$A123),"")</f>
        <v/>
      </c>
      <c r="C123">
        <f>IF($A123=1,SUM($A$2:$A123),0)</f>
        <v/>
      </c>
    </row>
    <row r="124">
      <c r="A124">
        <f>IF(AND(OR('Compliance Database'!$A124='Data Transfer'!$B$4,'Compliance Database'!$A124='Data Transfer'!$B$5),OR('Data Transfer'!$B$6="",ISNUMBER(SEARCH('Data Transfer'!$B$6,'Compliance Database'!$D124&amp;" "&amp;'Compliance Database'!$K124&amp;" "&amp;'Compliance Database'!$L124&amp;" "&amp;'Compliance Database'!$M124&amp;" "&amp;'Compliance Database'!$N124&amp;" "&amp;'Compliance Database'!$O124)))),1,0)</f>
        <v/>
      </c>
      <c r="B124">
        <f>IF($A124=1,SUM($A$2:$A124),"")</f>
        <v/>
      </c>
      <c r="C124">
        <f>IF($A124=1,SUM($A$2:$A124),0)</f>
        <v/>
      </c>
    </row>
    <row r="125">
      <c r="A125">
        <f>IF(AND(OR('Compliance Database'!$A125='Data Transfer'!$B$4,'Compliance Database'!$A125='Data Transfer'!$B$5),OR('Data Transfer'!$B$6="",ISNUMBER(SEARCH('Data Transfer'!$B$6,'Compliance Database'!$D125&amp;" "&amp;'Compliance Database'!$K125&amp;" "&amp;'Compliance Database'!$L125&amp;" "&amp;'Compliance Database'!$M125&amp;" "&amp;'Compliance Database'!$N125&amp;" "&amp;'Compliance Database'!$O125)))),1,0)</f>
        <v/>
      </c>
      <c r="B125">
        <f>IF($A125=1,SUM($A$2:$A125),"")</f>
        <v/>
      </c>
      <c r="C125">
        <f>IF($A125=1,SUM($A$2:$A125),0)</f>
        <v/>
      </c>
    </row>
    <row r="126">
      <c r="A126">
        <f>IF(AND(OR('Compliance Database'!$A126='Data Transfer'!$B$4,'Compliance Database'!$A126='Data Transfer'!$B$5),OR('Data Transfer'!$B$6="",ISNUMBER(SEARCH('Data Transfer'!$B$6,'Compliance Database'!$D126&amp;" "&amp;'Compliance Database'!$K126&amp;" "&amp;'Compliance Database'!$L126&amp;" "&amp;'Compliance Database'!$M126&amp;" "&amp;'Compliance Database'!$N126&amp;" "&amp;'Compliance Database'!$O126)))),1,0)</f>
        <v/>
      </c>
      <c r="B126">
        <f>IF($A126=1,SUM($A$2:$A126),"")</f>
        <v/>
      </c>
      <c r="C126">
        <f>IF($A126=1,SUM($A$2:$A126),0)</f>
        <v/>
      </c>
    </row>
    <row r="127">
      <c r="A127">
        <f>IF(AND(OR('Compliance Database'!$A127='Data Transfer'!$B$4,'Compliance Database'!$A127='Data Transfer'!$B$5),OR('Data Transfer'!$B$6="",ISNUMBER(SEARCH('Data Transfer'!$B$6,'Compliance Database'!$D127&amp;" "&amp;'Compliance Database'!$K127&amp;" "&amp;'Compliance Database'!$L127&amp;" "&amp;'Compliance Database'!$M127&amp;" "&amp;'Compliance Database'!$N127&amp;" "&amp;'Compliance Database'!$O127)))),1,0)</f>
        <v/>
      </c>
      <c r="B127">
        <f>IF($A127=1,SUM($A$2:$A127),"")</f>
        <v/>
      </c>
      <c r="C127">
        <f>IF($A127=1,SUM($A$2:$A127),0)</f>
        <v/>
      </c>
    </row>
    <row r="128">
      <c r="A128">
        <f>IF(AND(OR('Compliance Database'!$A128='Data Transfer'!$B$4,'Compliance Database'!$A128='Data Transfer'!$B$5),OR('Data Transfer'!$B$6="",ISNUMBER(SEARCH('Data Transfer'!$B$6,'Compliance Database'!$D128&amp;" "&amp;'Compliance Database'!$K128&amp;" "&amp;'Compliance Database'!$L128&amp;" "&amp;'Compliance Database'!$M128&amp;" "&amp;'Compliance Database'!$N128&amp;" "&amp;'Compliance Database'!$O128)))),1,0)</f>
        <v/>
      </c>
      <c r="B128">
        <f>IF($A128=1,SUM($A$2:$A128),"")</f>
        <v/>
      </c>
      <c r="C128">
        <f>IF($A128=1,SUM($A$2:$A128),0)</f>
        <v/>
      </c>
    </row>
    <row r="129">
      <c r="A129">
        <f>IF(AND(OR('Compliance Database'!$A129='Data Transfer'!$B$4,'Compliance Database'!$A129='Data Transfer'!$B$5),OR('Data Transfer'!$B$6="",ISNUMBER(SEARCH('Data Transfer'!$B$6,'Compliance Database'!$D129&amp;" "&amp;'Compliance Database'!$K129&amp;" "&amp;'Compliance Database'!$L129&amp;" "&amp;'Compliance Database'!$M129&amp;" "&amp;'Compliance Database'!$N129&amp;" "&amp;'Compliance Database'!$O129)))),1,0)</f>
        <v/>
      </c>
      <c r="B129">
        <f>IF($A129=1,SUM($A$2:$A129),"")</f>
        <v/>
      </c>
      <c r="C129">
        <f>IF($A129=1,SUM($A$2:$A129),0)</f>
        <v/>
      </c>
    </row>
    <row r="130">
      <c r="A130">
        <f>IF(AND(OR('Compliance Database'!$A130='Data Transfer'!$B$4,'Compliance Database'!$A130='Data Transfer'!$B$5),OR('Data Transfer'!$B$6="",ISNUMBER(SEARCH('Data Transfer'!$B$6,'Compliance Database'!$D130&amp;" "&amp;'Compliance Database'!$K130&amp;" "&amp;'Compliance Database'!$L130&amp;" "&amp;'Compliance Database'!$M130&amp;" "&amp;'Compliance Database'!$N130&amp;" "&amp;'Compliance Database'!$O130)))),1,0)</f>
        <v/>
      </c>
      <c r="B130">
        <f>IF($A130=1,SUM($A$2:$A130),"")</f>
        <v/>
      </c>
      <c r="C130">
        <f>IF($A130=1,SUM($A$2:$A130),0)</f>
        <v/>
      </c>
    </row>
    <row r="131">
      <c r="A131">
        <f>IF(AND(OR('Compliance Database'!$A131='Data Transfer'!$B$4,'Compliance Database'!$A131='Data Transfer'!$B$5),OR('Data Transfer'!$B$6="",ISNUMBER(SEARCH('Data Transfer'!$B$6,'Compliance Database'!$D131&amp;" "&amp;'Compliance Database'!$K131&amp;" "&amp;'Compliance Database'!$L131&amp;" "&amp;'Compliance Database'!$M131&amp;" "&amp;'Compliance Database'!$N131&amp;" "&amp;'Compliance Database'!$O131)))),1,0)</f>
        <v/>
      </c>
      <c r="B131">
        <f>IF($A131=1,SUM($A$2:$A131),"")</f>
        <v/>
      </c>
      <c r="C131">
        <f>IF($A131=1,SUM($A$2:$A131),0)</f>
        <v/>
      </c>
    </row>
    <row r="132">
      <c r="A132">
        <f>IF(AND(OR('Compliance Database'!$A132='Data Transfer'!$B$4,'Compliance Database'!$A132='Data Transfer'!$B$5),OR('Data Transfer'!$B$6="",ISNUMBER(SEARCH('Data Transfer'!$B$6,'Compliance Database'!$D132&amp;" "&amp;'Compliance Database'!$K132&amp;" "&amp;'Compliance Database'!$L132&amp;" "&amp;'Compliance Database'!$M132&amp;" "&amp;'Compliance Database'!$N132&amp;" "&amp;'Compliance Database'!$O132)))),1,0)</f>
        <v/>
      </c>
      <c r="B132">
        <f>IF($A132=1,SUM($A$2:$A132),"")</f>
        <v/>
      </c>
      <c r="C132">
        <f>IF($A132=1,SUM($A$2:$A132),0)</f>
        <v/>
      </c>
    </row>
    <row r="133">
      <c r="A133">
        <f>IF(AND(OR('Compliance Database'!$A133='Data Transfer'!$B$4,'Compliance Database'!$A133='Data Transfer'!$B$5),OR('Data Transfer'!$B$6="",ISNUMBER(SEARCH('Data Transfer'!$B$6,'Compliance Database'!$D133&amp;" "&amp;'Compliance Database'!$K133&amp;" "&amp;'Compliance Database'!$L133&amp;" "&amp;'Compliance Database'!$M133&amp;" "&amp;'Compliance Database'!$N133&amp;" "&amp;'Compliance Database'!$O133)))),1,0)</f>
        <v/>
      </c>
      <c r="B133">
        <f>IF($A133=1,SUM($A$2:$A133),"")</f>
        <v/>
      </c>
      <c r="C133">
        <f>IF($A133=1,SUM($A$2:$A133),0)</f>
        <v/>
      </c>
    </row>
    <row r="134">
      <c r="A134">
        <f>IF(AND(OR('Compliance Database'!$A134='Data Transfer'!$B$4,'Compliance Database'!$A134='Data Transfer'!$B$5),OR('Data Transfer'!$B$6="",ISNUMBER(SEARCH('Data Transfer'!$B$6,'Compliance Database'!$D134&amp;" "&amp;'Compliance Database'!$K134&amp;" "&amp;'Compliance Database'!$L134&amp;" "&amp;'Compliance Database'!$M134&amp;" "&amp;'Compliance Database'!$N134&amp;" "&amp;'Compliance Database'!$O134)))),1,0)</f>
        <v/>
      </c>
      <c r="B134">
        <f>IF($A134=1,SUM($A$2:$A134),"")</f>
        <v/>
      </c>
      <c r="C134">
        <f>IF($A134=1,SUM($A$2:$A134),0)</f>
        <v/>
      </c>
    </row>
    <row r="135">
      <c r="A135">
        <f>IF(AND(OR('Compliance Database'!$A135='Data Transfer'!$B$4,'Compliance Database'!$A135='Data Transfer'!$B$5),OR('Data Transfer'!$B$6="",ISNUMBER(SEARCH('Data Transfer'!$B$6,'Compliance Database'!$D135&amp;" "&amp;'Compliance Database'!$K135&amp;" "&amp;'Compliance Database'!$L135&amp;" "&amp;'Compliance Database'!$M135&amp;" "&amp;'Compliance Database'!$N135&amp;" "&amp;'Compliance Database'!$O135)))),1,0)</f>
        <v/>
      </c>
      <c r="B135">
        <f>IF($A135=1,SUM($A$2:$A135),"")</f>
        <v/>
      </c>
      <c r="C135">
        <f>IF($A135=1,SUM($A$2:$A135),0)</f>
        <v/>
      </c>
    </row>
    <row r="136">
      <c r="A136">
        <f>IF(AND(OR('Compliance Database'!$A136='Data Transfer'!$B$4,'Compliance Database'!$A136='Data Transfer'!$B$5),OR('Data Transfer'!$B$6="",ISNUMBER(SEARCH('Data Transfer'!$B$6,'Compliance Database'!$D136&amp;" "&amp;'Compliance Database'!$K136&amp;" "&amp;'Compliance Database'!$L136&amp;" "&amp;'Compliance Database'!$M136&amp;" "&amp;'Compliance Database'!$N136&amp;" "&amp;'Compliance Database'!$O136)))),1,0)</f>
        <v/>
      </c>
      <c r="B136">
        <f>IF($A136=1,SUM($A$2:$A136),"")</f>
        <v/>
      </c>
      <c r="C136">
        <f>IF($A136=1,SUM($A$2:$A136),0)</f>
        <v/>
      </c>
    </row>
    <row r="137">
      <c r="A137">
        <f>IF(AND(OR('Compliance Database'!$A137='Data Transfer'!$B$4,'Compliance Database'!$A137='Data Transfer'!$B$5),OR('Data Transfer'!$B$6="",ISNUMBER(SEARCH('Data Transfer'!$B$6,'Compliance Database'!$D137&amp;" "&amp;'Compliance Database'!$K137&amp;" "&amp;'Compliance Database'!$L137&amp;" "&amp;'Compliance Database'!$M137&amp;" "&amp;'Compliance Database'!$N137&amp;" "&amp;'Compliance Database'!$O137)))),1,0)</f>
        <v/>
      </c>
      <c r="B137">
        <f>IF($A137=1,SUM($A$2:$A137),"")</f>
        <v/>
      </c>
      <c r="C137">
        <f>IF($A137=1,SUM($A$2:$A137),0)</f>
        <v/>
      </c>
    </row>
    <row r="138">
      <c r="A138">
        <f>IF(AND(OR('Compliance Database'!$A138='Data Transfer'!$B$4,'Compliance Database'!$A138='Data Transfer'!$B$5),OR('Data Transfer'!$B$6="",ISNUMBER(SEARCH('Data Transfer'!$B$6,'Compliance Database'!$D138&amp;" "&amp;'Compliance Database'!$K138&amp;" "&amp;'Compliance Database'!$L138&amp;" "&amp;'Compliance Database'!$M138&amp;" "&amp;'Compliance Database'!$N138&amp;" "&amp;'Compliance Database'!$O138)))),1,0)</f>
        <v/>
      </c>
      <c r="B138">
        <f>IF($A138=1,SUM($A$2:$A138),"")</f>
        <v/>
      </c>
      <c r="C138">
        <f>IF($A138=1,SUM($A$2:$A138),0)</f>
        <v/>
      </c>
    </row>
    <row r="139">
      <c r="A139">
        <f>IF(AND(OR('Compliance Database'!$A139='Data Transfer'!$B$4,'Compliance Database'!$A139='Data Transfer'!$B$5),OR('Data Transfer'!$B$6="",ISNUMBER(SEARCH('Data Transfer'!$B$6,'Compliance Database'!$D139&amp;" "&amp;'Compliance Database'!$K139&amp;" "&amp;'Compliance Database'!$L139&amp;" "&amp;'Compliance Database'!$M139&amp;" "&amp;'Compliance Database'!$N139&amp;" "&amp;'Compliance Database'!$O139)))),1,0)</f>
        <v/>
      </c>
      <c r="B139">
        <f>IF($A139=1,SUM($A$2:$A139),"")</f>
        <v/>
      </c>
      <c r="C139">
        <f>IF($A139=1,SUM($A$2:$A139),0)</f>
        <v/>
      </c>
    </row>
    <row r="140">
      <c r="A140">
        <f>IF(AND(OR('Compliance Database'!$A140='Data Transfer'!$B$4,'Compliance Database'!$A140='Data Transfer'!$B$5),OR('Data Transfer'!$B$6="",ISNUMBER(SEARCH('Data Transfer'!$B$6,'Compliance Database'!$D140&amp;" "&amp;'Compliance Database'!$K140&amp;" "&amp;'Compliance Database'!$L140&amp;" "&amp;'Compliance Database'!$M140&amp;" "&amp;'Compliance Database'!$N140&amp;" "&amp;'Compliance Database'!$O140)))),1,0)</f>
        <v/>
      </c>
      <c r="B140">
        <f>IF($A140=1,SUM($A$2:$A140),"")</f>
        <v/>
      </c>
      <c r="C140">
        <f>IF($A140=1,SUM($A$2:$A140),0)</f>
        <v/>
      </c>
    </row>
    <row r="141">
      <c r="A141">
        <f>IF(AND(OR('Compliance Database'!$A141='Data Transfer'!$B$4,'Compliance Database'!$A141='Data Transfer'!$B$5),OR('Data Transfer'!$B$6="",ISNUMBER(SEARCH('Data Transfer'!$B$6,'Compliance Database'!$D141&amp;" "&amp;'Compliance Database'!$K141&amp;" "&amp;'Compliance Database'!$L141&amp;" "&amp;'Compliance Database'!$M141&amp;" "&amp;'Compliance Database'!$N141&amp;" "&amp;'Compliance Database'!$O141)))),1,0)</f>
        <v/>
      </c>
      <c r="B141">
        <f>IF($A141=1,SUM($A$2:$A141),"")</f>
        <v/>
      </c>
      <c r="C141">
        <f>IF($A141=1,SUM($A$2:$A141),0)</f>
        <v/>
      </c>
    </row>
    <row r="142">
      <c r="A142">
        <f>IF(AND(OR('Compliance Database'!$A142='Data Transfer'!$B$4,'Compliance Database'!$A142='Data Transfer'!$B$5),OR('Data Transfer'!$B$6="",ISNUMBER(SEARCH('Data Transfer'!$B$6,'Compliance Database'!$D142&amp;" "&amp;'Compliance Database'!$K142&amp;" "&amp;'Compliance Database'!$L142&amp;" "&amp;'Compliance Database'!$M142&amp;" "&amp;'Compliance Database'!$N142&amp;" "&amp;'Compliance Database'!$O142)))),1,0)</f>
        <v/>
      </c>
      <c r="B142">
        <f>IF($A142=1,SUM($A$2:$A142),"")</f>
        <v/>
      </c>
      <c r="C142">
        <f>IF($A142=1,SUM($A$2:$A142),0)</f>
        <v/>
      </c>
    </row>
    <row r="143">
      <c r="A143">
        <f>IF(AND(OR('Compliance Database'!$A143='Data Transfer'!$B$4,'Compliance Database'!$A143='Data Transfer'!$B$5),OR('Data Transfer'!$B$6="",ISNUMBER(SEARCH('Data Transfer'!$B$6,'Compliance Database'!$D143&amp;" "&amp;'Compliance Database'!$K143&amp;" "&amp;'Compliance Database'!$L143&amp;" "&amp;'Compliance Database'!$M143&amp;" "&amp;'Compliance Database'!$N143&amp;" "&amp;'Compliance Database'!$O143)))),1,0)</f>
        <v/>
      </c>
      <c r="B143">
        <f>IF($A143=1,SUM($A$2:$A143),"")</f>
        <v/>
      </c>
      <c r="C143">
        <f>IF($A143=1,SUM($A$2:$A143),0)</f>
        <v/>
      </c>
    </row>
    <row r="144">
      <c r="A144">
        <f>IF(AND(OR('Compliance Database'!$A144='Data Transfer'!$B$4,'Compliance Database'!$A144='Data Transfer'!$B$5),OR('Data Transfer'!$B$6="",ISNUMBER(SEARCH('Data Transfer'!$B$6,'Compliance Database'!$D144&amp;" "&amp;'Compliance Database'!$K144&amp;" "&amp;'Compliance Database'!$L144&amp;" "&amp;'Compliance Database'!$M144&amp;" "&amp;'Compliance Database'!$N144&amp;" "&amp;'Compliance Database'!$O144)))),1,0)</f>
        <v/>
      </c>
      <c r="B144">
        <f>IF($A144=1,SUM($A$2:$A144),"")</f>
        <v/>
      </c>
      <c r="C144">
        <f>IF($A144=1,SUM($A$2:$A144),0)</f>
        <v/>
      </c>
    </row>
    <row r="145">
      <c r="A145">
        <f>IF(AND(OR('Compliance Database'!$A145='Data Transfer'!$B$4,'Compliance Database'!$A145='Data Transfer'!$B$5),OR('Data Transfer'!$B$6="",ISNUMBER(SEARCH('Data Transfer'!$B$6,'Compliance Database'!$D145&amp;" "&amp;'Compliance Database'!$K145&amp;" "&amp;'Compliance Database'!$L145&amp;" "&amp;'Compliance Database'!$M145&amp;" "&amp;'Compliance Database'!$N145&amp;" "&amp;'Compliance Database'!$O145)))),1,0)</f>
        <v/>
      </c>
      <c r="B145">
        <f>IF($A145=1,SUM($A$2:$A145),"")</f>
        <v/>
      </c>
      <c r="C145">
        <f>IF($A145=1,SUM($A$2:$A145),0)</f>
        <v/>
      </c>
    </row>
    <row r="146">
      <c r="A146">
        <f>IF(AND(OR('Compliance Database'!$A146='Data Transfer'!$B$4,'Compliance Database'!$A146='Data Transfer'!$B$5),OR('Data Transfer'!$B$6="",ISNUMBER(SEARCH('Data Transfer'!$B$6,'Compliance Database'!$D146&amp;" "&amp;'Compliance Database'!$K146&amp;" "&amp;'Compliance Database'!$L146&amp;" "&amp;'Compliance Database'!$M146&amp;" "&amp;'Compliance Database'!$N146&amp;" "&amp;'Compliance Database'!$O146)))),1,0)</f>
        <v/>
      </c>
      <c r="B146">
        <f>IF($A146=1,SUM($A$2:$A146),"")</f>
        <v/>
      </c>
      <c r="C146">
        <f>IF($A146=1,SUM($A$2:$A146),0)</f>
        <v/>
      </c>
    </row>
    <row r="147">
      <c r="A147">
        <f>IF(AND(OR('Compliance Database'!$A147='Data Transfer'!$B$4,'Compliance Database'!$A147='Data Transfer'!$B$5),OR('Data Transfer'!$B$6="",ISNUMBER(SEARCH('Data Transfer'!$B$6,'Compliance Database'!$D147&amp;" "&amp;'Compliance Database'!$K147&amp;" "&amp;'Compliance Database'!$L147&amp;" "&amp;'Compliance Database'!$M147&amp;" "&amp;'Compliance Database'!$N147&amp;" "&amp;'Compliance Database'!$O147)))),1,0)</f>
        <v/>
      </c>
      <c r="B147">
        <f>IF($A147=1,SUM($A$2:$A147),"")</f>
        <v/>
      </c>
      <c r="C147">
        <f>IF($A147=1,SUM($A$2:$A147),0)</f>
        <v/>
      </c>
    </row>
    <row r="148">
      <c r="A148">
        <f>IF(AND(OR('Compliance Database'!$A148='Data Transfer'!$B$4,'Compliance Database'!$A148='Data Transfer'!$B$5),OR('Data Transfer'!$B$6="",ISNUMBER(SEARCH('Data Transfer'!$B$6,'Compliance Database'!$D148&amp;" "&amp;'Compliance Database'!$K148&amp;" "&amp;'Compliance Database'!$L148&amp;" "&amp;'Compliance Database'!$M148&amp;" "&amp;'Compliance Database'!$N148&amp;" "&amp;'Compliance Database'!$O148)))),1,0)</f>
        <v/>
      </c>
      <c r="B148">
        <f>IF($A148=1,SUM($A$2:$A148),"")</f>
        <v/>
      </c>
      <c r="C148">
        <f>IF($A148=1,SUM($A$2:$A148),0)</f>
        <v/>
      </c>
    </row>
    <row r="149">
      <c r="A149">
        <f>IF(AND(OR('Compliance Database'!$A149='Data Transfer'!$B$4,'Compliance Database'!$A149='Data Transfer'!$B$5),OR('Data Transfer'!$B$6="",ISNUMBER(SEARCH('Data Transfer'!$B$6,'Compliance Database'!$D149&amp;" "&amp;'Compliance Database'!$K149&amp;" "&amp;'Compliance Database'!$L149&amp;" "&amp;'Compliance Database'!$M149&amp;" "&amp;'Compliance Database'!$N149&amp;" "&amp;'Compliance Database'!$O149)))),1,0)</f>
        <v/>
      </c>
      <c r="B149">
        <f>IF($A149=1,SUM($A$2:$A149),"")</f>
        <v/>
      </c>
      <c r="C149">
        <f>IF($A149=1,SUM($A$2:$A149),0)</f>
        <v/>
      </c>
    </row>
    <row r="150">
      <c r="A150">
        <f>IF(AND(OR('Compliance Database'!$A150='Data Transfer'!$B$4,'Compliance Database'!$A150='Data Transfer'!$B$5),OR('Data Transfer'!$B$6="",ISNUMBER(SEARCH('Data Transfer'!$B$6,'Compliance Database'!$D150&amp;" "&amp;'Compliance Database'!$K150&amp;" "&amp;'Compliance Database'!$L150&amp;" "&amp;'Compliance Database'!$M150&amp;" "&amp;'Compliance Database'!$N150&amp;" "&amp;'Compliance Database'!$O150)))),1,0)</f>
        <v/>
      </c>
      <c r="B150">
        <f>IF($A150=1,SUM($A$2:$A150),"")</f>
        <v/>
      </c>
      <c r="C150">
        <f>IF($A150=1,SUM($A$2:$A150),0)</f>
        <v/>
      </c>
    </row>
    <row r="151">
      <c r="A151">
        <f>IF(AND(OR('Compliance Database'!$A151='Data Transfer'!$B$4,'Compliance Database'!$A151='Data Transfer'!$B$5),OR('Data Transfer'!$B$6="",ISNUMBER(SEARCH('Data Transfer'!$B$6,'Compliance Database'!$D151&amp;" "&amp;'Compliance Database'!$K151&amp;" "&amp;'Compliance Database'!$L151&amp;" "&amp;'Compliance Database'!$M151&amp;" "&amp;'Compliance Database'!$N151&amp;" "&amp;'Compliance Database'!$O151)))),1,0)</f>
        <v/>
      </c>
      <c r="B151">
        <f>IF($A151=1,SUM($A$2:$A151),"")</f>
        <v/>
      </c>
      <c r="C151">
        <f>IF($A151=1,SUM($A$2:$A151),0)</f>
        <v/>
      </c>
    </row>
    <row r="152">
      <c r="A152">
        <f>IF(AND(OR('Compliance Database'!$A152='Data Transfer'!$B$4,'Compliance Database'!$A152='Data Transfer'!$B$5),OR('Data Transfer'!$B$6="",ISNUMBER(SEARCH('Data Transfer'!$B$6,'Compliance Database'!$D152&amp;" "&amp;'Compliance Database'!$K152&amp;" "&amp;'Compliance Database'!$L152&amp;" "&amp;'Compliance Database'!$M152&amp;" "&amp;'Compliance Database'!$N152&amp;" "&amp;'Compliance Database'!$O152)))),1,0)</f>
        <v/>
      </c>
      <c r="B152">
        <f>IF($A152=1,SUM($A$2:$A152),"")</f>
        <v/>
      </c>
      <c r="C152">
        <f>IF($A152=1,SUM($A$2:$A152),0)</f>
        <v/>
      </c>
    </row>
    <row r="153">
      <c r="A153">
        <f>IF(AND(OR('Compliance Database'!$A153='Data Transfer'!$B$4,'Compliance Database'!$A153='Data Transfer'!$B$5),OR('Data Transfer'!$B$6="",ISNUMBER(SEARCH('Data Transfer'!$B$6,'Compliance Database'!$D153&amp;" "&amp;'Compliance Database'!$K153&amp;" "&amp;'Compliance Database'!$L153&amp;" "&amp;'Compliance Database'!$M153&amp;" "&amp;'Compliance Database'!$N153&amp;" "&amp;'Compliance Database'!$O153)))),1,0)</f>
        <v/>
      </c>
      <c r="B153">
        <f>IF($A153=1,SUM($A$2:$A153),"")</f>
        <v/>
      </c>
      <c r="C153">
        <f>IF($A153=1,SUM($A$2:$A153),0)</f>
        <v/>
      </c>
    </row>
    <row r="154">
      <c r="A154">
        <f>IF(AND(OR('Compliance Database'!$A154='Data Transfer'!$B$4,'Compliance Database'!$A154='Data Transfer'!$B$5),OR('Data Transfer'!$B$6="",ISNUMBER(SEARCH('Data Transfer'!$B$6,'Compliance Database'!$D154&amp;" "&amp;'Compliance Database'!$K154&amp;" "&amp;'Compliance Database'!$L154&amp;" "&amp;'Compliance Database'!$M154&amp;" "&amp;'Compliance Database'!$N154&amp;" "&amp;'Compliance Database'!$O154)))),1,0)</f>
        <v/>
      </c>
      <c r="B154">
        <f>IF($A154=1,SUM($A$2:$A154),"")</f>
        <v/>
      </c>
      <c r="C154">
        <f>IF($A154=1,SUM($A$2:$A154),0)</f>
        <v/>
      </c>
    </row>
    <row r="155">
      <c r="A155">
        <f>IF(AND(OR('Compliance Database'!$A155='Data Transfer'!$B$4,'Compliance Database'!$A155='Data Transfer'!$B$5),OR('Data Transfer'!$B$6="",ISNUMBER(SEARCH('Data Transfer'!$B$6,'Compliance Database'!$D155&amp;" "&amp;'Compliance Database'!$K155&amp;" "&amp;'Compliance Database'!$L155&amp;" "&amp;'Compliance Database'!$M155&amp;" "&amp;'Compliance Database'!$N155&amp;" "&amp;'Compliance Database'!$O155)))),1,0)</f>
        <v/>
      </c>
      <c r="B155">
        <f>IF($A155=1,SUM($A$2:$A155),"")</f>
        <v/>
      </c>
      <c r="C155">
        <f>IF($A155=1,SUM($A$2:$A155),0)</f>
        <v/>
      </c>
    </row>
    <row r="156">
      <c r="A156">
        <f>IF(AND(OR('Compliance Database'!$A156='Data Transfer'!$B$4,'Compliance Database'!$A156='Data Transfer'!$B$5),OR('Data Transfer'!$B$6="",ISNUMBER(SEARCH('Data Transfer'!$B$6,'Compliance Database'!$D156&amp;" "&amp;'Compliance Database'!$K156&amp;" "&amp;'Compliance Database'!$L156&amp;" "&amp;'Compliance Database'!$M156&amp;" "&amp;'Compliance Database'!$N156&amp;" "&amp;'Compliance Database'!$O156)))),1,0)</f>
        <v/>
      </c>
      <c r="B156">
        <f>IF($A156=1,SUM($A$2:$A156),"")</f>
        <v/>
      </c>
      <c r="C156">
        <f>IF($A156=1,SUM($A$2:$A156),0)</f>
        <v/>
      </c>
    </row>
    <row r="157">
      <c r="A157">
        <f>IF(AND(OR('Compliance Database'!$A157='Data Transfer'!$B$4,'Compliance Database'!$A157='Data Transfer'!$B$5),OR('Data Transfer'!$B$6="",ISNUMBER(SEARCH('Data Transfer'!$B$6,'Compliance Database'!$D157&amp;" "&amp;'Compliance Database'!$K157&amp;" "&amp;'Compliance Database'!$L157&amp;" "&amp;'Compliance Database'!$M157&amp;" "&amp;'Compliance Database'!$N157&amp;" "&amp;'Compliance Database'!$O157)))),1,0)</f>
        <v/>
      </c>
      <c r="B157">
        <f>IF($A157=1,SUM($A$2:$A157),"")</f>
        <v/>
      </c>
      <c r="C157">
        <f>IF($A157=1,SUM($A$2:$A157),0)</f>
        <v/>
      </c>
    </row>
    <row r="158">
      <c r="A158">
        <f>IF(AND(OR('Compliance Database'!$A158='Data Transfer'!$B$4,'Compliance Database'!$A158='Data Transfer'!$B$5),OR('Data Transfer'!$B$6="",ISNUMBER(SEARCH('Data Transfer'!$B$6,'Compliance Database'!$D158&amp;" "&amp;'Compliance Database'!$K158&amp;" "&amp;'Compliance Database'!$L158&amp;" "&amp;'Compliance Database'!$M158&amp;" "&amp;'Compliance Database'!$N158&amp;" "&amp;'Compliance Database'!$O158)))),1,0)</f>
        <v/>
      </c>
      <c r="B158">
        <f>IF($A158=1,SUM($A$2:$A158),"")</f>
        <v/>
      </c>
      <c r="C158">
        <f>IF($A158=1,SUM($A$2:$A158),0)</f>
        <v/>
      </c>
    </row>
    <row r="159">
      <c r="A159">
        <f>IF(AND(OR('Compliance Database'!$A159='Data Transfer'!$B$4,'Compliance Database'!$A159='Data Transfer'!$B$5),OR('Data Transfer'!$B$6="",ISNUMBER(SEARCH('Data Transfer'!$B$6,'Compliance Database'!$D159&amp;" "&amp;'Compliance Database'!$K159&amp;" "&amp;'Compliance Database'!$L159&amp;" "&amp;'Compliance Database'!$M159&amp;" "&amp;'Compliance Database'!$N159&amp;" "&amp;'Compliance Database'!$O159)))),1,0)</f>
        <v/>
      </c>
      <c r="B159">
        <f>IF($A159=1,SUM($A$2:$A159),"")</f>
        <v/>
      </c>
      <c r="C159">
        <f>IF($A159=1,SUM($A$2:$A159),0)</f>
        <v/>
      </c>
    </row>
    <row r="160">
      <c r="A160">
        <f>IF(AND(OR('Compliance Database'!$A160='Data Transfer'!$B$4,'Compliance Database'!$A160='Data Transfer'!$B$5),OR('Data Transfer'!$B$6="",ISNUMBER(SEARCH('Data Transfer'!$B$6,'Compliance Database'!$D160&amp;" "&amp;'Compliance Database'!$K160&amp;" "&amp;'Compliance Database'!$L160&amp;" "&amp;'Compliance Database'!$M160&amp;" "&amp;'Compliance Database'!$N160&amp;" "&amp;'Compliance Database'!$O160)))),1,0)</f>
        <v/>
      </c>
      <c r="B160">
        <f>IF($A160=1,SUM($A$2:$A160),"")</f>
        <v/>
      </c>
      <c r="C160">
        <f>IF($A160=1,SUM($A$2:$A160),0)</f>
        <v/>
      </c>
    </row>
    <row r="161">
      <c r="A161">
        <f>IF(AND(OR('Compliance Database'!$A161='Data Transfer'!$B$4,'Compliance Database'!$A161='Data Transfer'!$B$5),OR('Data Transfer'!$B$6="",ISNUMBER(SEARCH('Data Transfer'!$B$6,'Compliance Database'!$D161&amp;" "&amp;'Compliance Database'!$K161&amp;" "&amp;'Compliance Database'!$L161&amp;" "&amp;'Compliance Database'!$M161&amp;" "&amp;'Compliance Database'!$N161&amp;" "&amp;'Compliance Database'!$O161)))),1,0)</f>
        <v/>
      </c>
      <c r="B161">
        <f>IF($A161=1,SUM($A$2:$A161),"")</f>
        <v/>
      </c>
      <c r="C161">
        <f>IF($A161=1,SUM($A$2:$A161),0)</f>
        <v/>
      </c>
    </row>
    <row r="162">
      <c r="A162">
        <f>IF(AND(OR('Compliance Database'!$A162='Data Transfer'!$B$4,'Compliance Database'!$A162='Data Transfer'!$B$5),OR('Data Transfer'!$B$6="",ISNUMBER(SEARCH('Data Transfer'!$B$6,'Compliance Database'!$D162&amp;" "&amp;'Compliance Database'!$K162&amp;" "&amp;'Compliance Database'!$L162&amp;" "&amp;'Compliance Database'!$M162&amp;" "&amp;'Compliance Database'!$N162&amp;" "&amp;'Compliance Database'!$O162)))),1,0)</f>
        <v/>
      </c>
      <c r="B162">
        <f>IF($A162=1,SUM($A$2:$A162),"")</f>
        <v/>
      </c>
      <c r="C162">
        <f>IF($A162=1,SUM($A$2:$A162),0)</f>
        <v/>
      </c>
    </row>
    <row r="163">
      <c r="A163">
        <f>IF(AND(OR('Compliance Database'!$A163='Data Transfer'!$B$4,'Compliance Database'!$A163='Data Transfer'!$B$5),OR('Data Transfer'!$B$6="",ISNUMBER(SEARCH('Data Transfer'!$B$6,'Compliance Database'!$D163&amp;" "&amp;'Compliance Database'!$K163&amp;" "&amp;'Compliance Database'!$L163&amp;" "&amp;'Compliance Database'!$M163&amp;" "&amp;'Compliance Database'!$N163&amp;" "&amp;'Compliance Database'!$O163)))),1,0)</f>
        <v/>
      </c>
      <c r="B163">
        <f>IF($A163=1,SUM($A$2:$A163),"")</f>
        <v/>
      </c>
      <c r="C163">
        <f>IF($A163=1,SUM($A$2:$A163),0)</f>
        <v/>
      </c>
    </row>
    <row r="164">
      <c r="A164">
        <f>IF(AND(OR('Compliance Database'!$A164='Data Transfer'!$B$4,'Compliance Database'!$A164='Data Transfer'!$B$5),OR('Data Transfer'!$B$6="",ISNUMBER(SEARCH('Data Transfer'!$B$6,'Compliance Database'!$D164&amp;" "&amp;'Compliance Database'!$K164&amp;" "&amp;'Compliance Database'!$L164&amp;" "&amp;'Compliance Database'!$M164&amp;" "&amp;'Compliance Database'!$N164&amp;" "&amp;'Compliance Database'!$O164)))),1,0)</f>
        <v/>
      </c>
      <c r="B164">
        <f>IF($A164=1,SUM($A$2:$A164),"")</f>
        <v/>
      </c>
      <c r="C164">
        <f>IF($A164=1,SUM($A$2:$A164),0)</f>
        <v/>
      </c>
    </row>
    <row r="165">
      <c r="A165">
        <f>IF(AND(OR('Compliance Database'!$A165='Data Transfer'!$B$4,'Compliance Database'!$A165='Data Transfer'!$B$5),OR('Data Transfer'!$B$6="",ISNUMBER(SEARCH('Data Transfer'!$B$6,'Compliance Database'!$D165&amp;" "&amp;'Compliance Database'!$K165&amp;" "&amp;'Compliance Database'!$L165&amp;" "&amp;'Compliance Database'!$M165&amp;" "&amp;'Compliance Database'!$N165&amp;" "&amp;'Compliance Database'!$O165)))),1,0)</f>
        <v/>
      </c>
      <c r="B165">
        <f>IF($A165=1,SUM($A$2:$A165),"")</f>
        <v/>
      </c>
      <c r="C165">
        <f>IF($A165=1,SUM($A$2:$A165),0)</f>
        <v/>
      </c>
    </row>
    <row r="166">
      <c r="A166">
        <f>IF(AND(OR('Compliance Database'!$A166='Data Transfer'!$B$4,'Compliance Database'!$A166='Data Transfer'!$B$5),OR('Data Transfer'!$B$6="",ISNUMBER(SEARCH('Data Transfer'!$B$6,'Compliance Database'!$D166&amp;" "&amp;'Compliance Database'!$K166&amp;" "&amp;'Compliance Database'!$L166&amp;" "&amp;'Compliance Database'!$M166&amp;" "&amp;'Compliance Database'!$N166&amp;" "&amp;'Compliance Database'!$O166)))),1,0)</f>
        <v/>
      </c>
      <c r="B166">
        <f>IF($A166=1,SUM($A$2:$A166),"")</f>
        <v/>
      </c>
      <c r="C166">
        <f>IF($A166=1,SUM($A$2:$A166),0)</f>
        <v/>
      </c>
    </row>
    <row r="167">
      <c r="A167">
        <f>IF(AND(OR('Compliance Database'!$A167='Data Transfer'!$B$4,'Compliance Database'!$A167='Data Transfer'!$B$5),OR('Data Transfer'!$B$6="",ISNUMBER(SEARCH('Data Transfer'!$B$6,'Compliance Database'!$D167&amp;" "&amp;'Compliance Database'!$K167&amp;" "&amp;'Compliance Database'!$L167&amp;" "&amp;'Compliance Database'!$M167&amp;" "&amp;'Compliance Database'!$N167&amp;" "&amp;'Compliance Database'!$O167)))),1,0)</f>
        <v/>
      </c>
      <c r="B167">
        <f>IF($A167=1,SUM($A$2:$A167),"")</f>
        <v/>
      </c>
      <c r="C167">
        <f>IF($A167=1,SUM($A$2:$A167),0)</f>
        <v/>
      </c>
    </row>
    <row r="168">
      <c r="A168">
        <f>IF(AND(OR('Compliance Database'!$A168='Data Transfer'!$B$4,'Compliance Database'!$A168='Data Transfer'!$B$5),OR('Data Transfer'!$B$6="",ISNUMBER(SEARCH('Data Transfer'!$B$6,'Compliance Database'!$D168&amp;" "&amp;'Compliance Database'!$K168&amp;" "&amp;'Compliance Database'!$L168&amp;" "&amp;'Compliance Database'!$M168&amp;" "&amp;'Compliance Database'!$N168&amp;" "&amp;'Compliance Database'!$O168)))),1,0)</f>
        <v/>
      </c>
      <c r="B168">
        <f>IF($A168=1,SUM($A$2:$A168),"")</f>
        <v/>
      </c>
      <c r="C168">
        <f>IF($A168=1,SUM($A$2:$A168),0)</f>
        <v/>
      </c>
    </row>
    <row r="169">
      <c r="A169">
        <f>IF(AND(OR('Compliance Database'!$A169='Data Transfer'!$B$4,'Compliance Database'!$A169='Data Transfer'!$B$5),OR('Data Transfer'!$B$6="",ISNUMBER(SEARCH('Data Transfer'!$B$6,'Compliance Database'!$D169&amp;" "&amp;'Compliance Database'!$K169&amp;" "&amp;'Compliance Database'!$L169&amp;" "&amp;'Compliance Database'!$M169&amp;" "&amp;'Compliance Database'!$N169&amp;" "&amp;'Compliance Database'!$O169)))),1,0)</f>
        <v/>
      </c>
      <c r="B169">
        <f>IF($A169=1,SUM($A$2:$A169),"")</f>
        <v/>
      </c>
      <c r="C169">
        <f>IF($A169=1,SUM($A$2:$A169),0)</f>
        <v/>
      </c>
    </row>
    <row r="170">
      <c r="A170">
        <f>IF(AND(OR('Compliance Database'!$A170='Data Transfer'!$B$4,'Compliance Database'!$A170='Data Transfer'!$B$5),OR('Data Transfer'!$B$6="",ISNUMBER(SEARCH('Data Transfer'!$B$6,'Compliance Database'!$D170&amp;" "&amp;'Compliance Database'!$K170&amp;" "&amp;'Compliance Database'!$L170&amp;" "&amp;'Compliance Database'!$M170&amp;" "&amp;'Compliance Database'!$N170&amp;" "&amp;'Compliance Database'!$O170)))),1,0)</f>
        <v/>
      </c>
      <c r="B170">
        <f>IF($A170=1,SUM($A$2:$A170),"")</f>
        <v/>
      </c>
      <c r="C170">
        <f>IF($A170=1,SUM($A$2:$A170),0)</f>
        <v/>
      </c>
    </row>
    <row r="171">
      <c r="A171">
        <f>IF(AND(OR('Compliance Database'!$A171='Data Transfer'!$B$4,'Compliance Database'!$A171='Data Transfer'!$B$5),OR('Data Transfer'!$B$6="",ISNUMBER(SEARCH('Data Transfer'!$B$6,'Compliance Database'!$D171&amp;" "&amp;'Compliance Database'!$K171&amp;" "&amp;'Compliance Database'!$L171&amp;" "&amp;'Compliance Database'!$M171&amp;" "&amp;'Compliance Database'!$N171&amp;" "&amp;'Compliance Database'!$O171)))),1,0)</f>
        <v/>
      </c>
      <c r="B171">
        <f>IF($A171=1,SUM($A$2:$A171),"")</f>
        <v/>
      </c>
      <c r="C171">
        <f>IF($A171=1,SUM($A$2:$A171),0)</f>
        <v/>
      </c>
    </row>
    <row r="172">
      <c r="A172">
        <f>IF(AND(OR('Compliance Database'!$A172='Data Transfer'!$B$4,'Compliance Database'!$A172='Data Transfer'!$B$5),OR('Data Transfer'!$B$6="",ISNUMBER(SEARCH('Data Transfer'!$B$6,'Compliance Database'!$D172&amp;" "&amp;'Compliance Database'!$K172&amp;" "&amp;'Compliance Database'!$L172&amp;" "&amp;'Compliance Database'!$M172&amp;" "&amp;'Compliance Database'!$N172&amp;" "&amp;'Compliance Database'!$O172)))),1,0)</f>
        <v/>
      </c>
      <c r="B172">
        <f>IF($A172=1,SUM($A$2:$A172),"")</f>
        <v/>
      </c>
      <c r="C172">
        <f>IF($A172=1,SUM($A$2:$A172),0)</f>
        <v/>
      </c>
    </row>
    <row r="173">
      <c r="A173">
        <f>IF(AND(OR('Compliance Database'!$A173='Data Transfer'!$B$4,'Compliance Database'!$A173='Data Transfer'!$B$5),OR('Data Transfer'!$B$6="",ISNUMBER(SEARCH('Data Transfer'!$B$6,'Compliance Database'!$D173&amp;" "&amp;'Compliance Database'!$K173&amp;" "&amp;'Compliance Database'!$L173&amp;" "&amp;'Compliance Database'!$M173&amp;" "&amp;'Compliance Database'!$N173&amp;" "&amp;'Compliance Database'!$O173)))),1,0)</f>
        <v/>
      </c>
      <c r="B173">
        <f>IF($A173=1,SUM($A$2:$A173),"")</f>
        <v/>
      </c>
      <c r="C173">
        <f>IF($A173=1,SUM($A$2:$A173),0)</f>
        <v/>
      </c>
    </row>
    <row r="174">
      <c r="A174">
        <f>IF(AND(OR('Compliance Database'!$A174='Data Transfer'!$B$4,'Compliance Database'!$A174='Data Transfer'!$B$5),OR('Data Transfer'!$B$6="",ISNUMBER(SEARCH('Data Transfer'!$B$6,'Compliance Database'!$D174&amp;" "&amp;'Compliance Database'!$K174&amp;" "&amp;'Compliance Database'!$L174&amp;" "&amp;'Compliance Database'!$M174&amp;" "&amp;'Compliance Database'!$N174&amp;" "&amp;'Compliance Database'!$O174)))),1,0)</f>
        <v/>
      </c>
      <c r="B174">
        <f>IF($A174=1,SUM($A$2:$A174),"")</f>
        <v/>
      </c>
      <c r="C174">
        <f>IF($A174=1,SUM($A$2:$A174),0)</f>
        <v/>
      </c>
    </row>
    <row r="175">
      <c r="A175">
        <f>IF(AND(OR('Compliance Database'!$A175='Data Transfer'!$B$4,'Compliance Database'!$A175='Data Transfer'!$B$5),OR('Data Transfer'!$B$6="",ISNUMBER(SEARCH('Data Transfer'!$B$6,'Compliance Database'!$D175&amp;" "&amp;'Compliance Database'!$K175&amp;" "&amp;'Compliance Database'!$L175&amp;" "&amp;'Compliance Database'!$M175&amp;" "&amp;'Compliance Database'!$N175&amp;" "&amp;'Compliance Database'!$O175)))),1,0)</f>
        <v/>
      </c>
      <c r="B175">
        <f>IF($A175=1,SUM($A$2:$A175),"")</f>
        <v/>
      </c>
      <c r="C175">
        <f>IF($A175=1,SUM($A$2:$A175),0)</f>
        <v/>
      </c>
    </row>
    <row r="176">
      <c r="A176">
        <f>IF(AND(OR('Compliance Database'!$A176='Data Transfer'!$B$4,'Compliance Database'!$A176='Data Transfer'!$B$5),OR('Data Transfer'!$B$6="",ISNUMBER(SEARCH('Data Transfer'!$B$6,'Compliance Database'!$D176&amp;" "&amp;'Compliance Database'!$K176&amp;" "&amp;'Compliance Database'!$L176&amp;" "&amp;'Compliance Database'!$M176&amp;" "&amp;'Compliance Database'!$N176&amp;" "&amp;'Compliance Database'!$O176)))),1,0)</f>
        <v/>
      </c>
      <c r="B176">
        <f>IF($A176=1,SUM($A$2:$A176),"")</f>
        <v/>
      </c>
      <c r="C176">
        <f>IF($A176=1,SUM($A$2:$A176),0)</f>
        <v/>
      </c>
    </row>
    <row r="177">
      <c r="A177">
        <f>IF(AND(OR('Compliance Database'!$A177='Data Transfer'!$B$4,'Compliance Database'!$A177='Data Transfer'!$B$5),OR('Data Transfer'!$B$6="",ISNUMBER(SEARCH('Data Transfer'!$B$6,'Compliance Database'!$D177&amp;" "&amp;'Compliance Database'!$K177&amp;" "&amp;'Compliance Database'!$L177&amp;" "&amp;'Compliance Database'!$M177&amp;" "&amp;'Compliance Database'!$N177&amp;" "&amp;'Compliance Database'!$O177)))),1,0)</f>
        <v/>
      </c>
      <c r="B177">
        <f>IF($A177=1,SUM($A$2:$A177),"")</f>
        <v/>
      </c>
      <c r="C177">
        <f>IF($A177=1,SUM($A$2:$A177),0)</f>
        <v/>
      </c>
    </row>
    <row r="178">
      <c r="A178">
        <f>IF(AND(OR('Compliance Database'!$A178='Data Transfer'!$B$4,'Compliance Database'!$A178='Data Transfer'!$B$5),OR('Data Transfer'!$B$6="",ISNUMBER(SEARCH('Data Transfer'!$B$6,'Compliance Database'!$D178&amp;" "&amp;'Compliance Database'!$K178&amp;" "&amp;'Compliance Database'!$L178&amp;" "&amp;'Compliance Database'!$M178&amp;" "&amp;'Compliance Database'!$N178&amp;" "&amp;'Compliance Database'!$O178)))),1,0)</f>
        <v/>
      </c>
      <c r="B178">
        <f>IF($A178=1,SUM($A$2:$A178),"")</f>
        <v/>
      </c>
      <c r="C178">
        <f>IF($A178=1,SUM($A$2:$A178),0)</f>
        <v/>
      </c>
    </row>
    <row r="179">
      <c r="A179">
        <f>IF(AND(OR('Compliance Database'!$A179='Data Transfer'!$B$4,'Compliance Database'!$A179='Data Transfer'!$B$5),OR('Data Transfer'!$B$6="",ISNUMBER(SEARCH('Data Transfer'!$B$6,'Compliance Database'!$D179&amp;" "&amp;'Compliance Database'!$K179&amp;" "&amp;'Compliance Database'!$L179&amp;" "&amp;'Compliance Database'!$M179&amp;" "&amp;'Compliance Database'!$N179&amp;" "&amp;'Compliance Database'!$O179)))),1,0)</f>
        <v/>
      </c>
      <c r="B179">
        <f>IF($A179=1,SUM($A$2:$A179),"")</f>
        <v/>
      </c>
      <c r="C179">
        <f>IF($A179=1,SUM($A$2:$A179),0)</f>
        <v/>
      </c>
    </row>
    <row r="180">
      <c r="A180">
        <f>IF(AND(OR('Compliance Database'!$A180='Data Transfer'!$B$4,'Compliance Database'!$A180='Data Transfer'!$B$5),OR('Data Transfer'!$B$6="",ISNUMBER(SEARCH('Data Transfer'!$B$6,'Compliance Database'!$D180&amp;" "&amp;'Compliance Database'!$K180&amp;" "&amp;'Compliance Database'!$L180&amp;" "&amp;'Compliance Database'!$M180&amp;" "&amp;'Compliance Database'!$N180&amp;" "&amp;'Compliance Database'!$O180)))),1,0)</f>
        <v/>
      </c>
      <c r="B180">
        <f>IF($A180=1,SUM($A$2:$A180),"")</f>
        <v/>
      </c>
      <c r="C180">
        <f>IF($A180=1,SUM($A$2:$A180),0)</f>
        <v/>
      </c>
    </row>
    <row r="181">
      <c r="A181">
        <f>IF(AND(OR('Compliance Database'!$A181='Data Transfer'!$B$4,'Compliance Database'!$A181='Data Transfer'!$B$5),OR('Data Transfer'!$B$6="",ISNUMBER(SEARCH('Data Transfer'!$B$6,'Compliance Database'!$D181&amp;" "&amp;'Compliance Database'!$K181&amp;" "&amp;'Compliance Database'!$L181&amp;" "&amp;'Compliance Database'!$M181&amp;" "&amp;'Compliance Database'!$N181&amp;" "&amp;'Compliance Database'!$O181)))),1,0)</f>
        <v/>
      </c>
      <c r="B181">
        <f>IF($A181=1,SUM($A$2:$A181),"")</f>
        <v/>
      </c>
      <c r="C181">
        <f>IF($A181=1,SUM($A$2:$A181),0)</f>
        <v/>
      </c>
    </row>
    <row r="182">
      <c r="A182">
        <f>IF(AND(OR('Compliance Database'!$A182='Data Transfer'!$B$4,'Compliance Database'!$A182='Data Transfer'!$B$5),OR('Data Transfer'!$B$6="",ISNUMBER(SEARCH('Data Transfer'!$B$6,'Compliance Database'!$D182&amp;" "&amp;'Compliance Database'!$K182&amp;" "&amp;'Compliance Database'!$L182&amp;" "&amp;'Compliance Database'!$M182&amp;" "&amp;'Compliance Database'!$N182&amp;" "&amp;'Compliance Database'!$O182)))),1,0)</f>
        <v/>
      </c>
      <c r="B182">
        <f>IF($A182=1,SUM($A$2:$A182),"")</f>
        <v/>
      </c>
      <c r="C182">
        <f>IF($A182=1,SUM($A$2:$A182),0)</f>
        <v/>
      </c>
    </row>
    <row r="183">
      <c r="A183">
        <f>IF(AND(OR('Compliance Database'!$A183='Data Transfer'!$B$4,'Compliance Database'!$A183='Data Transfer'!$B$5),OR('Data Transfer'!$B$6="",ISNUMBER(SEARCH('Data Transfer'!$B$6,'Compliance Database'!$D183&amp;" "&amp;'Compliance Database'!$K183&amp;" "&amp;'Compliance Database'!$L183&amp;" "&amp;'Compliance Database'!$M183&amp;" "&amp;'Compliance Database'!$N183&amp;" "&amp;'Compliance Database'!$O183)))),1,0)</f>
        <v/>
      </c>
      <c r="B183">
        <f>IF($A183=1,SUM($A$2:$A183),"")</f>
        <v/>
      </c>
      <c r="C183">
        <f>IF($A183=1,SUM($A$2:$A183),0)</f>
        <v/>
      </c>
    </row>
    <row r="184">
      <c r="A184">
        <f>IF(AND(OR('Compliance Database'!$A184='Data Transfer'!$B$4,'Compliance Database'!$A184='Data Transfer'!$B$5),OR('Data Transfer'!$B$6="",ISNUMBER(SEARCH('Data Transfer'!$B$6,'Compliance Database'!$D184&amp;" "&amp;'Compliance Database'!$K184&amp;" "&amp;'Compliance Database'!$L184&amp;" "&amp;'Compliance Database'!$M184&amp;" "&amp;'Compliance Database'!$N184&amp;" "&amp;'Compliance Database'!$O184)))),1,0)</f>
        <v/>
      </c>
      <c r="B184">
        <f>IF($A184=1,SUM($A$2:$A184),"")</f>
        <v/>
      </c>
      <c r="C184">
        <f>IF($A184=1,SUM($A$2:$A184),0)</f>
        <v/>
      </c>
    </row>
    <row r="185">
      <c r="A185">
        <f>IF(AND(OR('Compliance Database'!$A185='Data Transfer'!$B$4,'Compliance Database'!$A185='Data Transfer'!$B$5),OR('Data Transfer'!$B$6="",ISNUMBER(SEARCH('Data Transfer'!$B$6,'Compliance Database'!$D185&amp;" "&amp;'Compliance Database'!$K185&amp;" "&amp;'Compliance Database'!$L185&amp;" "&amp;'Compliance Database'!$M185&amp;" "&amp;'Compliance Database'!$N185&amp;" "&amp;'Compliance Database'!$O185)))),1,0)</f>
        <v/>
      </c>
      <c r="B185">
        <f>IF($A185=1,SUM($A$2:$A185),"")</f>
        <v/>
      </c>
      <c r="C185">
        <f>IF($A185=1,SUM($A$2:$A185),0)</f>
        <v/>
      </c>
    </row>
    <row r="186">
      <c r="A186">
        <f>IF(AND(OR('Compliance Database'!$A186='Data Transfer'!$B$4,'Compliance Database'!$A186='Data Transfer'!$B$5),OR('Data Transfer'!$B$6="",ISNUMBER(SEARCH('Data Transfer'!$B$6,'Compliance Database'!$D186&amp;" "&amp;'Compliance Database'!$K186&amp;" "&amp;'Compliance Database'!$L186&amp;" "&amp;'Compliance Database'!$M186&amp;" "&amp;'Compliance Database'!$N186&amp;" "&amp;'Compliance Database'!$O186)))),1,0)</f>
        <v/>
      </c>
      <c r="B186">
        <f>IF($A186=1,SUM($A$2:$A186),"")</f>
        <v/>
      </c>
      <c r="C186">
        <f>IF($A186=1,SUM($A$2:$A186),0)</f>
        <v/>
      </c>
    </row>
    <row r="187">
      <c r="A187">
        <f>IF(AND(OR('Compliance Database'!$A187='Data Transfer'!$B$4,'Compliance Database'!$A187='Data Transfer'!$B$5),OR('Data Transfer'!$B$6="",ISNUMBER(SEARCH('Data Transfer'!$B$6,'Compliance Database'!$D187&amp;" "&amp;'Compliance Database'!$K187&amp;" "&amp;'Compliance Database'!$L187&amp;" "&amp;'Compliance Database'!$M187&amp;" "&amp;'Compliance Database'!$N187&amp;" "&amp;'Compliance Database'!$O187)))),1,0)</f>
        <v/>
      </c>
      <c r="B187">
        <f>IF($A187=1,SUM($A$2:$A187),"")</f>
        <v/>
      </c>
      <c r="C187">
        <f>IF($A187=1,SUM($A$2:$A187),0)</f>
        <v/>
      </c>
    </row>
    <row r="188">
      <c r="A188">
        <f>IF(AND(OR('Compliance Database'!$A188='Data Transfer'!$B$4,'Compliance Database'!$A188='Data Transfer'!$B$5),OR('Data Transfer'!$B$6="",ISNUMBER(SEARCH('Data Transfer'!$B$6,'Compliance Database'!$D188&amp;" "&amp;'Compliance Database'!$K188&amp;" "&amp;'Compliance Database'!$L188&amp;" "&amp;'Compliance Database'!$M188&amp;" "&amp;'Compliance Database'!$N188&amp;" "&amp;'Compliance Database'!$O188)))),1,0)</f>
        <v/>
      </c>
      <c r="B188">
        <f>IF($A188=1,SUM($A$2:$A188),"")</f>
        <v/>
      </c>
      <c r="C188">
        <f>IF($A188=1,SUM($A$2:$A188),0)</f>
        <v/>
      </c>
    </row>
    <row r="189">
      <c r="A189">
        <f>IF(AND(OR('Compliance Database'!$A189='Data Transfer'!$B$4,'Compliance Database'!$A189='Data Transfer'!$B$5),OR('Data Transfer'!$B$6="",ISNUMBER(SEARCH('Data Transfer'!$B$6,'Compliance Database'!$D189&amp;" "&amp;'Compliance Database'!$K189&amp;" "&amp;'Compliance Database'!$L189&amp;" "&amp;'Compliance Database'!$M189&amp;" "&amp;'Compliance Database'!$N189&amp;" "&amp;'Compliance Database'!$O189)))),1,0)</f>
        <v/>
      </c>
      <c r="B189">
        <f>IF($A189=1,SUM($A$2:$A189),"")</f>
        <v/>
      </c>
      <c r="C189">
        <f>IF($A189=1,SUM($A$2:$A189),0)</f>
        <v/>
      </c>
    </row>
    <row r="190">
      <c r="A190">
        <f>IF(AND(OR('Compliance Database'!$A190='Data Transfer'!$B$4,'Compliance Database'!$A190='Data Transfer'!$B$5),OR('Data Transfer'!$B$6="",ISNUMBER(SEARCH('Data Transfer'!$B$6,'Compliance Database'!$D190&amp;" "&amp;'Compliance Database'!$K190&amp;" "&amp;'Compliance Database'!$L190&amp;" "&amp;'Compliance Database'!$M190&amp;" "&amp;'Compliance Database'!$N190&amp;" "&amp;'Compliance Database'!$O190)))),1,0)</f>
        <v/>
      </c>
      <c r="B190">
        <f>IF($A190=1,SUM($A$2:$A190),"")</f>
        <v/>
      </c>
      <c r="C190">
        <f>IF($A190=1,SUM($A$2:$A190),0)</f>
        <v/>
      </c>
    </row>
    <row r="191">
      <c r="A191">
        <f>IF(AND(OR('Compliance Database'!$A191='Data Transfer'!$B$4,'Compliance Database'!$A191='Data Transfer'!$B$5),OR('Data Transfer'!$B$6="",ISNUMBER(SEARCH('Data Transfer'!$B$6,'Compliance Database'!$D191&amp;" "&amp;'Compliance Database'!$K191&amp;" "&amp;'Compliance Database'!$L191&amp;" "&amp;'Compliance Database'!$M191&amp;" "&amp;'Compliance Database'!$N191&amp;" "&amp;'Compliance Database'!$O191)))),1,0)</f>
        <v/>
      </c>
      <c r="B191">
        <f>IF($A191=1,SUM($A$2:$A191),"")</f>
        <v/>
      </c>
      <c r="C191">
        <f>IF($A191=1,SUM($A$2:$A191),0)</f>
        <v/>
      </c>
    </row>
    <row r="192">
      <c r="A192">
        <f>IF(AND(OR('Compliance Database'!$A192='Data Transfer'!$B$4,'Compliance Database'!$A192='Data Transfer'!$B$5),OR('Data Transfer'!$B$6="",ISNUMBER(SEARCH('Data Transfer'!$B$6,'Compliance Database'!$D192&amp;" "&amp;'Compliance Database'!$K192&amp;" "&amp;'Compliance Database'!$L192&amp;" "&amp;'Compliance Database'!$M192&amp;" "&amp;'Compliance Database'!$N192&amp;" "&amp;'Compliance Database'!$O192)))),1,0)</f>
        <v/>
      </c>
      <c r="B192">
        <f>IF($A192=1,SUM($A$2:$A192),"")</f>
        <v/>
      </c>
      <c r="C192">
        <f>IF($A192=1,SUM($A$2:$A192),0)</f>
        <v/>
      </c>
    </row>
    <row r="193">
      <c r="A193">
        <f>IF(AND(OR('Compliance Database'!$A193='Data Transfer'!$B$4,'Compliance Database'!$A193='Data Transfer'!$B$5),OR('Data Transfer'!$B$6="",ISNUMBER(SEARCH('Data Transfer'!$B$6,'Compliance Database'!$D193&amp;" "&amp;'Compliance Database'!$K193&amp;" "&amp;'Compliance Database'!$L193&amp;" "&amp;'Compliance Database'!$M193&amp;" "&amp;'Compliance Database'!$N193&amp;" "&amp;'Compliance Database'!$O193)))),1,0)</f>
        <v/>
      </c>
      <c r="B193">
        <f>IF($A193=1,SUM($A$2:$A193),"")</f>
        <v/>
      </c>
      <c r="C193">
        <f>IF($A193=1,SUM($A$2:$A193),0)</f>
        <v/>
      </c>
    </row>
    <row r="194">
      <c r="A194">
        <f>IF(AND(OR('Compliance Database'!$A194='Data Transfer'!$B$4,'Compliance Database'!$A194='Data Transfer'!$B$5),OR('Data Transfer'!$B$6="",ISNUMBER(SEARCH('Data Transfer'!$B$6,'Compliance Database'!$D194&amp;" "&amp;'Compliance Database'!$K194&amp;" "&amp;'Compliance Database'!$L194&amp;" "&amp;'Compliance Database'!$M194&amp;" "&amp;'Compliance Database'!$N194&amp;" "&amp;'Compliance Database'!$O194)))),1,0)</f>
        <v/>
      </c>
      <c r="B194">
        <f>IF($A194=1,SUM($A$2:$A194),"")</f>
        <v/>
      </c>
      <c r="C194">
        <f>IF($A194=1,SUM($A$2:$A194),0)</f>
        <v/>
      </c>
    </row>
    <row r="195">
      <c r="A195">
        <f>IF(AND(OR('Compliance Database'!$A195='Data Transfer'!$B$4,'Compliance Database'!$A195='Data Transfer'!$B$5),OR('Data Transfer'!$B$6="",ISNUMBER(SEARCH('Data Transfer'!$B$6,'Compliance Database'!$D195&amp;" "&amp;'Compliance Database'!$K195&amp;" "&amp;'Compliance Database'!$L195&amp;" "&amp;'Compliance Database'!$M195&amp;" "&amp;'Compliance Database'!$N195&amp;" "&amp;'Compliance Database'!$O195)))),1,0)</f>
        <v/>
      </c>
      <c r="B195">
        <f>IF($A195=1,SUM($A$2:$A195),"")</f>
        <v/>
      </c>
      <c r="C195">
        <f>IF($A195=1,SUM($A$2:$A195),0)</f>
        <v/>
      </c>
    </row>
    <row r="196">
      <c r="A196">
        <f>IF(AND(OR('Compliance Database'!$A196='Data Transfer'!$B$4,'Compliance Database'!$A196='Data Transfer'!$B$5),OR('Data Transfer'!$B$6="",ISNUMBER(SEARCH('Data Transfer'!$B$6,'Compliance Database'!$D196&amp;" "&amp;'Compliance Database'!$K196&amp;" "&amp;'Compliance Database'!$L196&amp;" "&amp;'Compliance Database'!$M196&amp;" "&amp;'Compliance Database'!$N196&amp;" "&amp;'Compliance Database'!$O196)))),1,0)</f>
        <v/>
      </c>
      <c r="B196">
        <f>IF($A196=1,SUM($A$2:$A196),"")</f>
        <v/>
      </c>
      <c r="C196">
        <f>IF($A196=1,SUM($A$2:$A196),0)</f>
        <v/>
      </c>
    </row>
    <row r="197">
      <c r="A197">
        <f>IF(AND(OR('Compliance Database'!$A197='Data Transfer'!$B$4,'Compliance Database'!$A197='Data Transfer'!$B$5),OR('Data Transfer'!$B$6="",ISNUMBER(SEARCH('Data Transfer'!$B$6,'Compliance Database'!$D197&amp;" "&amp;'Compliance Database'!$K197&amp;" "&amp;'Compliance Database'!$L197&amp;" "&amp;'Compliance Database'!$M197&amp;" "&amp;'Compliance Database'!$N197&amp;" "&amp;'Compliance Database'!$O197)))),1,0)</f>
        <v/>
      </c>
      <c r="B197">
        <f>IF($A197=1,SUM($A$2:$A197),"")</f>
        <v/>
      </c>
      <c r="C197">
        <f>IF($A197=1,SUM($A$2:$A197),0)</f>
        <v/>
      </c>
    </row>
    <row r="198">
      <c r="A198">
        <f>IF(AND(OR('Compliance Database'!$A198='Data Transfer'!$B$4,'Compliance Database'!$A198='Data Transfer'!$B$5),OR('Data Transfer'!$B$6="",ISNUMBER(SEARCH('Data Transfer'!$B$6,'Compliance Database'!$D198&amp;" "&amp;'Compliance Database'!$K198&amp;" "&amp;'Compliance Database'!$L198&amp;" "&amp;'Compliance Database'!$M198&amp;" "&amp;'Compliance Database'!$N198&amp;" "&amp;'Compliance Database'!$O198)))),1,0)</f>
        <v/>
      </c>
      <c r="B198">
        <f>IF($A198=1,SUM($A$2:$A198),"")</f>
        <v/>
      </c>
      <c r="C198">
        <f>IF($A198=1,SUM($A$2:$A198),0)</f>
        <v/>
      </c>
    </row>
    <row r="199">
      <c r="A199">
        <f>IF(AND(OR('Compliance Database'!$A199='Data Transfer'!$B$4,'Compliance Database'!$A199='Data Transfer'!$B$5),OR('Data Transfer'!$B$6="",ISNUMBER(SEARCH('Data Transfer'!$B$6,'Compliance Database'!$D199&amp;" "&amp;'Compliance Database'!$K199&amp;" "&amp;'Compliance Database'!$L199&amp;" "&amp;'Compliance Database'!$M199&amp;" "&amp;'Compliance Database'!$N199&amp;" "&amp;'Compliance Database'!$O199)))),1,0)</f>
        <v/>
      </c>
      <c r="B199">
        <f>IF($A199=1,SUM($A$2:$A199),"")</f>
        <v/>
      </c>
      <c r="C199">
        <f>IF($A199=1,SUM($A$2:$A199),0)</f>
        <v/>
      </c>
    </row>
    <row r="200">
      <c r="A200">
        <f>IF(AND(OR('Compliance Database'!$A200='Data Transfer'!$B$4,'Compliance Database'!$A200='Data Transfer'!$B$5),OR('Data Transfer'!$B$6="",ISNUMBER(SEARCH('Data Transfer'!$B$6,'Compliance Database'!$D200&amp;" "&amp;'Compliance Database'!$K200&amp;" "&amp;'Compliance Database'!$L200&amp;" "&amp;'Compliance Database'!$M200&amp;" "&amp;'Compliance Database'!$N200&amp;" "&amp;'Compliance Database'!$O200)))),1,0)</f>
        <v/>
      </c>
      <c r="B200">
        <f>IF($A200=1,SUM($A$2:$A200),"")</f>
        <v/>
      </c>
      <c r="C200">
        <f>IF($A200=1,SUM($A$2:$A200),0)</f>
        <v/>
      </c>
    </row>
    <row r="201">
      <c r="A201">
        <f>IF(AND(OR('Compliance Database'!$A201='Data Transfer'!$B$4,'Compliance Database'!$A201='Data Transfer'!$B$5),OR('Data Transfer'!$B$6="",ISNUMBER(SEARCH('Data Transfer'!$B$6,'Compliance Database'!$D201&amp;" "&amp;'Compliance Database'!$K201&amp;" "&amp;'Compliance Database'!$L201&amp;" "&amp;'Compliance Database'!$M201&amp;" "&amp;'Compliance Database'!$N201&amp;" "&amp;'Compliance Database'!$O201)))),1,0)</f>
        <v/>
      </c>
      <c r="B201">
        <f>IF($A201=1,SUM($A$2:$A201),"")</f>
        <v/>
      </c>
      <c r="C201">
        <f>IF($A201=1,SUM($A$2:$A201),0)</f>
        <v/>
      </c>
    </row>
    <row r="202">
      <c r="A202">
        <f>IF(AND(OR('Compliance Database'!$A202='Data Transfer'!$B$4,'Compliance Database'!$A202='Data Transfer'!$B$5),OR('Data Transfer'!$B$6="",ISNUMBER(SEARCH('Data Transfer'!$B$6,'Compliance Database'!$D202&amp;" "&amp;'Compliance Database'!$K202&amp;" "&amp;'Compliance Database'!$L202&amp;" "&amp;'Compliance Database'!$M202&amp;" "&amp;'Compliance Database'!$N202&amp;" "&amp;'Compliance Database'!$O202)))),1,0)</f>
        <v/>
      </c>
      <c r="B202">
        <f>IF($A202=1,SUM($A$2:$A202),"")</f>
        <v/>
      </c>
      <c r="C202">
        <f>IF($A202=1,SUM($A$2:$A202),0)</f>
        <v/>
      </c>
    </row>
    <row r="203">
      <c r="A203">
        <f>IF(AND(OR('Compliance Database'!$A203='Data Transfer'!$B$4,'Compliance Database'!$A203='Data Transfer'!$B$5),OR('Data Transfer'!$B$6="",ISNUMBER(SEARCH('Data Transfer'!$B$6,'Compliance Database'!$D203&amp;" "&amp;'Compliance Database'!$K203&amp;" "&amp;'Compliance Database'!$L203&amp;" "&amp;'Compliance Database'!$M203&amp;" "&amp;'Compliance Database'!$N203&amp;" "&amp;'Compliance Database'!$O203)))),1,0)</f>
        <v/>
      </c>
      <c r="B203">
        <f>IF($A203=1,SUM($A$2:$A203),"")</f>
        <v/>
      </c>
      <c r="C203">
        <f>IF($A203=1,SUM($A$2:$A203),0)</f>
        <v/>
      </c>
    </row>
    <row r="204">
      <c r="A204">
        <f>IF(AND(OR('Compliance Database'!$A204='Data Transfer'!$B$4,'Compliance Database'!$A204='Data Transfer'!$B$5),OR('Data Transfer'!$B$6="",ISNUMBER(SEARCH('Data Transfer'!$B$6,'Compliance Database'!$D204&amp;" "&amp;'Compliance Database'!$K204&amp;" "&amp;'Compliance Database'!$L204&amp;" "&amp;'Compliance Database'!$M204&amp;" "&amp;'Compliance Database'!$N204&amp;" "&amp;'Compliance Database'!$O204)))),1,0)</f>
        <v/>
      </c>
      <c r="B204">
        <f>IF($A204=1,SUM($A$2:$A204),"")</f>
        <v/>
      </c>
      <c r="C204">
        <f>IF($A204=1,SUM($A$2:$A204),0)</f>
        <v/>
      </c>
    </row>
    <row r="205">
      <c r="A205">
        <f>IF(AND(OR('Compliance Database'!$A205='Data Transfer'!$B$4,'Compliance Database'!$A205='Data Transfer'!$B$5),OR('Data Transfer'!$B$6="",ISNUMBER(SEARCH('Data Transfer'!$B$6,'Compliance Database'!$D205&amp;" "&amp;'Compliance Database'!$K205&amp;" "&amp;'Compliance Database'!$L205&amp;" "&amp;'Compliance Database'!$M205&amp;" "&amp;'Compliance Database'!$N205&amp;" "&amp;'Compliance Database'!$O205)))),1,0)</f>
        <v/>
      </c>
      <c r="B205">
        <f>IF($A205=1,SUM($A$2:$A205),"")</f>
        <v/>
      </c>
      <c r="C205">
        <f>IF($A205=1,SUM($A$2:$A205),0)</f>
        <v/>
      </c>
    </row>
    <row r="206">
      <c r="A206">
        <f>IF(AND(OR('Compliance Database'!$A206='Data Transfer'!$B$4,'Compliance Database'!$A206='Data Transfer'!$B$5),OR('Data Transfer'!$B$6="",ISNUMBER(SEARCH('Data Transfer'!$B$6,'Compliance Database'!$D206&amp;" "&amp;'Compliance Database'!$K206&amp;" "&amp;'Compliance Database'!$L206&amp;" "&amp;'Compliance Database'!$M206&amp;" "&amp;'Compliance Database'!$N206&amp;" "&amp;'Compliance Database'!$O206)))),1,0)</f>
        <v/>
      </c>
      <c r="B206">
        <f>IF($A206=1,SUM($A$2:$A206),"")</f>
        <v/>
      </c>
      <c r="C206">
        <f>IF($A206=1,SUM($A$2:$A206),0)</f>
        <v/>
      </c>
    </row>
    <row r="207">
      <c r="A207">
        <f>IF(AND(OR('Compliance Database'!$A207='Data Transfer'!$B$4,'Compliance Database'!$A207='Data Transfer'!$B$5),OR('Data Transfer'!$B$6="",ISNUMBER(SEARCH('Data Transfer'!$B$6,'Compliance Database'!$D207&amp;" "&amp;'Compliance Database'!$K207&amp;" "&amp;'Compliance Database'!$L207&amp;" "&amp;'Compliance Database'!$M207&amp;" "&amp;'Compliance Database'!$N207&amp;" "&amp;'Compliance Database'!$O207)))),1,0)</f>
        <v/>
      </c>
      <c r="B207">
        <f>IF($A207=1,SUM($A$2:$A207),"")</f>
        <v/>
      </c>
      <c r="C207">
        <f>IF($A207=1,SUM($A$2:$A207),0)</f>
        <v/>
      </c>
    </row>
    <row r="208">
      <c r="A208">
        <f>IF(AND(OR('Compliance Database'!$A208='Data Transfer'!$B$4,'Compliance Database'!$A208='Data Transfer'!$B$5),OR('Data Transfer'!$B$6="",ISNUMBER(SEARCH('Data Transfer'!$B$6,'Compliance Database'!$D208&amp;" "&amp;'Compliance Database'!$K208&amp;" "&amp;'Compliance Database'!$L208&amp;" "&amp;'Compliance Database'!$M208&amp;" "&amp;'Compliance Database'!$N208&amp;" "&amp;'Compliance Database'!$O208)))),1,0)</f>
        <v/>
      </c>
      <c r="B208">
        <f>IF($A208=1,SUM($A$2:$A208),"")</f>
        <v/>
      </c>
      <c r="C208">
        <f>IF($A208=1,SUM($A$2:$A208),0)</f>
        <v/>
      </c>
    </row>
    <row r="209">
      <c r="A209">
        <f>IF(AND(OR('Compliance Database'!$A209='Data Transfer'!$B$4,'Compliance Database'!$A209='Data Transfer'!$B$5),OR('Data Transfer'!$B$6="",ISNUMBER(SEARCH('Data Transfer'!$B$6,'Compliance Database'!$D209&amp;" "&amp;'Compliance Database'!$K209&amp;" "&amp;'Compliance Database'!$L209&amp;" "&amp;'Compliance Database'!$M209&amp;" "&amp;'Compliance Database'!$N209&amp;" "&amp;'Compliance Database'!$O209)))),1,0)</f>
        <v/>
      </c>
      <c r="B209">
        <f>IF($A209=1,SUM($A$2:$A209),"")</f>
        <v/>
      </c>
      <c r="C209">
        <f>IF($A209=1,SUM($A$2:$A209),0)</f>
        <v/>
      </c>
    </row>
    <row r="210">
      <c r="A210">
        <f>IF(AND(OR('Compliance Database'!$A210='Data Transfer'!$B$4,'Compliance Database'!$A210='Data Transfer'!$B$5),OR('Data Transfer'!$B$6="",ISNUMBER(SEARCH('Data Transfer'!$B$6,'Compliance Database'!$D210&amp;" "&amp;'Compliance Database'!$K210&amp;" "&amp;'Compliance Database'!$L210&amp;" "&amp;'Compliance Database'!$M210&amp;" "&amp;'Compliance Database'!$N210&amp;" "&amp;'Compliance Database'!$O210)))),1,0)</f>
        <v/>
      </c>
      <c r="B210">
        <f>IF($A210=1,SUM($A$2:$A210),"")</f>
        <v/>
      </c>
      <c r="C210">
        <f>IF($A210=1,SUM($A$2:$A210),0)</f>
        <v/>
      </c>
    </row>
    <row r="211">
      <c r="A211">
        <f>IF(AND(OR('Compliance Database'!$A211='Data Transfer'!$B$4,'Compliance Database'!$A211='Data Transfer'!$B$5),OR('Data Transfer'!$B$6="",ISNUMBER(SEARCH('Data Transfer'!$B$6,'Compliance Database'!$D211&amp;" "&amp;'Compliance Database'!$K211&amp;" "&amp;'Compliance Database'!$L211&amp;" "&amp;'Compliance Database'!$M211&amp;" "&amp;'Compliance Database'!$N211&amp;" "&amp;'Compliance Database'!$O211)))),1,0)</f>
        <v/>
      </c>
      <c r="B211">
        <f>IF($A211=1,SUM($A$2:$A211),"")</f>
        <v/>
      </c>
      <c r="C211">
        <f>IF($A211=1,SUM($A$2:$A211),0)</f>
        <v/>
      </c>
    </row>
    <row r="212">
      <c r="A212">
        <f>IF(AND(OR('Compliance Database'!$A212='Data Transfer'!$B$4,'Compliance Database'!$A212='Data Transfer'!$B$5),OR('Data Transfer'!$B$6="",ISNUMBER(SEARCH('Data Transfer'!$B$6,'Compliance Database'!$D212&amp;" "&amp;'Compliance Database'!$K212&amp;" "&amp;'Compliance Database'!$L212&amp;" "&amp;'Compliance Database'!$M212&amp;" "&amp;'Compliance Database'!$N212&amp;" "&amp;'Compliance Database'!$O212)))),1,0)</f>
        <v/>
      </c>
      <c r="B212">
        <f>IF($A212=1,SUM($A$2:$A212),"")</f>
        <v/>
      </c>
      <c r="C212">
        <f>IF($A212=1,SUM($A$2:$A212),0)</f>
        <v/>
      </c>
    </row>
    <row r="213">
      <c r="A213">
        <f>IF(AND(OR('Compliance Database'!$A213='Data Transfer'!$B$4,'Compliance Database'!$A213='Data Transfer'!$B$5),OR('Data Transfer'!$B$6="",ISNUMBER(SEARCH('Data Transfer'!$B$6,'Compliance Database'!$D213&amp;" "&amp;'Compliance Database'!$K213&amp;" "&amp;'Compliance Database'!$L213&amp;" "&amp;'Compliance Database'!$M213&amp;" "&amp;'Compliance Database'!$N213&amp;" "&amp;'Compliance Database'!$O213)))),1,0)</f>
        <v/>
      </c>
      <c r="B213">
        <f>IF($A213=1,SUM($A$2:$A213),"")</f>
        <v/>
      </c>
      <c r="C213">
        <f>IF($A213=1,SUM($A$2:$A213),0)</f>
        <v/>
      </c>
    </row>
    <row r="214">
      <c r="A214">
        <f>IF(AND(OR('Compliance Database'!$A214='Data Transfer'!$B$4,'Compliance Database'!$A214='Data Transfer'!$B$5),OR('Data Transfer'!$B$6="",ISNUMBER(SEARCH('Data Transfer'!$B$6,'Compliance Database'!$D214&amp;" "&amp;'Compliance Database'!$K214&amp;" "&amp;'Compliance Database'!$L214&amp;" "&amp;'Compliance Database'!$M214&amp;" "&amp;'Compliance Database'!$N214&amp;" "&amp;'Compliance Database'!$O214)))),1,0)</f>
        <v/>
      </c>
      <c r="B214">
        <f>IF($A214=1,SUM($A$2:$A214),"")</f>
        <v/>
      </c>
      <c r="C214">
        <f>IF($A214=1,SUM($A$2:$A214),0)</f>
        <v/>
      </c>
    </row>
    <row r="215">
      <c r="A215">
        <f>IF(AND(OR('Compliance Database'!$A215='Data Transfer'!$B$4,'Compliance Database'!$A215='Data Transfer'!$B$5),OR('Data Transfer'!$B$6="",ISNUMBER(SEARCH('Data Transfer'!$B$6,'Compliance Database'!$D215&amp;" "&amp;'Compliance Database'!$K215&amp;" "&amp;'Compliance Database'!$L215&amp;" "&amp;'Compliance Database'!$M215&amp;" "&amp;'Compliance Database'!$N215&amp;" "&amp;'Compliance Database'!$O215)))),1,0)</f>
        <v/>
      </c>
      <c r="B215">
        <f>IF($A215=1,SUM($A$2:$A215),"")</f>
        <v/>
      </c>
      <c r="C215">
        <f>IF($A215=1,SUM($A$2:$A215),0)</f>
        <v/>
      </c>
    </row>
    <row r="216">
      <c r="A216">
        <f>IF(AND(OR('Compliance Database'!$A216='Data Transfer'!$B$4,'Compliance Database'!$A216='Data Transfer'!$B$5),OR('Data Transfer'!$B$6="",ISNUMBER(SEARCH('Data Transfer'!$B$6,'Compliance Database'!$D216&amp;" "&amp;'Compliance Database'!$K216&amp;" "&amp;'Compliance Database'!$L216&amp;" "&amp;'Compliance Database'!$M216&amp;" "&amp;'Compliance Database'!$N216&amp;" "&amp;'Compliance Database'!$O216)))),1,0)</f>
        <v/>
      </c>
      <c r="B216">
        <f>IF($A216=1,SUM($A$2:$A216),"")</f>
        <v/>
      </c>
      <c r="C216">
        <f>IF($A216=1,SUM($A$2:$A216),0)</f>
        <v/>
      </c>
    </row>
    <row r="217">
      <c r="A217">
        <f>IF(AND(OR('Compliance Database'!$A217='Data Transfer'!$B$4,'Compliance Database'!$A217='Data Transfer'!$B$5),OR('Data Transfer'!$B$6="",ISNUMBER(SEARCH('Data Transfer'!$B$6,'Compliance Database'!$D217&amp;" "&amp;'Compliance Database'!$K217&amp;" "&amp;'Compliance Database'!$L217&amp;" "&amp;'Compliance Database'!$M217&amp;" "&amp;'Compliance Database'!$N217&amp;" "&amp;'Compliance Database'!$O217)))),1,0)</f>
        <v/>
      </c>
      <c r="B217">
        <f>IF($A217=1,SUM($A$2:$A217),"")</f>
        <v/>
      </c>
      <c r="C217">
        <f>IF($A217=1,SUM($A$2:$A217),0)</f>
        <v/>
      </c>
    </row>
    <row r="218">
      <c r="A218">
        <f>IF(AND(OR('Compliance Database'!$A218='Data Transfer'!$B$4,'Compliance Database'!$A218='Data Transfer'!$B$5),OR('Data Transfer'!$B$6="",ISNUMBER(SEARCH('Data Transfer'!$B$6,'Compliance Database'!$D218&amp;" "&amp;'Compliance Database'!$K218&amp;" "&amp;'Compliance Database'!$L218&amp;" "&amp;'Compliance Database'!$M218&amp;" "&amp;'Compliance Database'!$N218&amp;" "&amp;'Compliance Database'!$O218)))),1,0)</f>
        <v/>
      </c>
      <c r="B218">
        <f>IF($A218=1,SUM($A$2:$A218),"")</f>
        <v/>
      </c>
      <c r="C218">
        <f>IF($A218=1,SUM($A$2:$A218),0)</f>
        <v/>
      </c>
    </row>
    <row r="219">
      <c r="A219">
        <f>IF(AND(OR('Compliance Database'!$A219='Data Transfer'!$B$4,'Compliance Database'!$A219='Data Transfer'!$B$5),OR('Data Transfer'!$B$6="",ISNUMBER(SEARCH('Data Transfer'!$B$6,'Compliance Database'!$D219&amp;" "&amp;'Compliance Database'!$K219&amp;" "&amp;'Compliance Database'!$L219&amp;" "&amp;'Compliance Database'!$M219&amp;" "&amp;'Compliance Database'!$N219&amp;" "&amp;'Compliance Database'!$O219)))),1,0)</f>
        <v/>
      </c>
      <c r="B219">
        <f>IF($A219=1,SUM($A$2:$A219),"")</f>
        <v/>
      </c>
      <c r="C219">
        <f>IF($A219=1,SUM($A$2:$A219),0)</f>
        <v/>
      </c>
    </row>
    <row r="220">
      <c r="A220">
        <f>IF(AND(OR('Compliance Database'!$A220='Data Transfer'!$B$4,'Compliance Database'!$A220='Data Transfer'!$B$5),OR('Data Transfer'!$B$6="",ISNUMBER(SEARCH('Data Transfer'!$B$6,'Compliance Database'!$D220&amp;" "&amp;'Compliance Database'!$K220&amp;" "&amp;'Compliance Database'!$L220&amp;" "&amp;'Compliance Database'!$M220&amp;" "&amp;'Compliance Database'!$N220&amp;" "&amp;'Compliance Database'!$O220)))),1,0)</f>
        <v/>
      </c>
      <c r="B220">
        <f>IF($A220=1,SUM($A$2:$A220),"")</f>
        <v/>
      </c>
      <c r="C220">
        <f>IF($A220=1,SUM($A$2:$A220),0)</f>
        <v/>
      </c>
    </row>
    <row r="221">
      <c r="A221">
        <f>IF(AND(OR('Compliance Database'!$A221='Data Transfer'!$B$4,'Compliance Database'!$A221='Data Transfer'!$B$5),OR('Data Transfer'!$B$6="",ISNUMBER(SEARCH('Data Transfer'!$B$6,'Compliance Database'!$D221&amp;" "&amp;'Compliance Database'!$K221&amp;" "&amp;'Compliance Database'!$L221&amp;" "&amp;'Compliance Database'!$M221&amp;" "&amp;'Compliance Database'!$N221&amp;" "&amp;'Compliance Database'!$O221)))),1,0)</f>
        <v/>
      </c>
      <c r="B221">
        <f>IF($A221=1,SUM($A$2:$A221),"")</f>
        <v/>
      </c>
      <c r="C221">
        <f>IF($A221=1,SUM($A$2:$A221),0)</f>
        <v/>
      </c>
    </row>
    <row r="222">
      <c r="A222">
        <f>IF(AND(OR('Compliance Database'!$A222='Data Transfer'!$B$4,'Compliance Database'!$A222='Data Transfer'!$B$5),OR('Data Transfer'!$B$6="",ISNUMBER(SEARCH('Data Transfer'!$B$6,'Compliance Database'!$D222&amp;" "&amp;'Compliance Database'!$K222&amp;" "&amp;'Compliance Database'!$L222&amp;" "&amp;'Compliance Database'!$M222&amp;" "&amp;'Compliance Database'!$N222&amp;" "&amp;'Compliance Database'!$O222)))),1,0)</f>
        <v/>
      </c>
      <c r="B222">
        <f>IF($A222=1,SUM($A$2:$A222),"")</f>
        <v/>
      </c>
      <c r="C222">
        <f>IF($A222=1,SUM($A$2:$A222),0)</f>
        <v/>
      </c>
    </row>
    <row r="223">
      <c r="A223">
        <f>IF(AND(OR('Compliance Database'!$A223='Data Transfer'!$B$4,'Compliance Database'!$A223='Data Transfer'!$B$5),OR('Data Transfer'!$B$6="",ISNUMBER(SEARCH('Data Transfer'!$B$6,'Compliance Database'!$D223&amp;" "&amp;'Compliance Database'!$K223&amp;" "&amp;'Compliance Database'!$L223&amp;" "&amp;'Compliance Database'!$M223&amp;" "&amp;'Compliance Database'!$N223&amp;" "&amp;'Compliance Database'!$O223)))),1,0)</f>
        <v/>
      </c>
      <c r="B223">
        <f>IF($A223=1,SUM($A$2:$A223),"")</f>
        <v/>
      </c>
      <c r="C223">
        <f>IF($A223=1,SUM($A$2:$A223),0)</f>
        <v/>
      </c>
    </row>
    <row r="224">
      <c r="A224">
        <f>IF(AND(OR('Compliance Database'!$A224='Data Transfer'!$B$4,'Compliance Database'!$A224='Data Transfer'!$B$5),OR('Data Transfer'!$B$6="",ISNUMBER(SEARCH('Data Transfer'!$B$6,'Compliance Database'!$D224&amp;" "&amp;'Compliance Database'!$K224&amp;" "&amp;'Compliance Database'!$L224&amp;" "&amp;'Compliance Database'!$M224&amp;" "&amp;'Compliance Database'!$N224&amp;" "&amp;'Compliance Database'!$O224)))),1,0)</f>
        <v/>
      </c>
      <c r="B224">
        <f>IF($A224=1,SUM($A$2:$A224),"")</f>
        <v/>
      </c>
      <c r="C224">
        <f>IF($A224=1,SUM($A$2:$A224),0)</f>
        <v/>
      </c>
    </row>
    <row r="225">
      <c r="A225">
        <f>IF(AND(OR('Compliance Database'!$A225='Data Transfer'!$B$4,'Compliance Database'!$A225='Data Transfer'!$B$5),OR('Data Transfer'!$B$6="",ISNUMBER(SEARCH('Data Transfer'!$B$6,'Compliance Database'!$D225&amp;" "&amp;'Compliance Database'!$K225&amp;" "&amp;'Compliance Database'!$L225&amp;" "&amp;'Compliance Database'!$M225&amp;" "&amp;'Compliance Database'!$N225&amp;" "&amp;'Compliance Database'!$O225)))),1,0)</f>
        <v/>
      </c>
      <c r="B225">
        <f>IF($A225=1,SUM($A$2:$A225),"")</f>
        <v/>
      </c>
      <c r="C225">
        <f>IF($A225=1,SUM($A$2:$A225),0)</f>
        <v/>
      </c>
    </row>
    <row r="226">
      <c r="A226">
        <f>IF(AND(OR('Compliance Database'!$A226='Data Transfer'!$B$4,'Compliance Database'!$A226='Data Transfer'!$B$5),OR('Data Transfer'!$B$6="",ISNUMBER(SEARCH('Data Transfer'!$B$6,'Compliance Database'!$D226&amp;" "&amp;'Compliance Database'!$K226&amp;" "&amp;'Compliance Database'!$L226&amp;" "&amp;'Compliance Database'!$M226&amp;" "&amp;'Compliance Database'!$N226&amp;" "&amp;'Compliance Database'!$O226)))),1,0)</f>
        <v/>
      </c>
      <c r="B226">
        <f>IF($A226=1,SUM($A$2:$A226),"")</f>
        <v/>
      </c>
      <c r="C226">
        <f>IF($A226=1,SUM($A$2:$A226),0)</f>
        <v/>
      </c>
    </row>
    <row r="227">
      <c r="A227">
        <f>IF(AND(OR('Compliance Database'!$A227='Data Transfer'!$B$4,'Compliance Database'!$A227='Data Transfer'!$B$5),OR('Data Transfer'!$B$6="",ISNUMBER(SEARCH('Data Transfer'!$B$6,'Compliance Database'!$D227&amp;" "&amp;'Compliance Database'!$K227&amp;" "&amp;'Compliance Database'!$L227&amp;" "&amp;'Compliance Database'!$M227&amp;" "&amp;'Compliance Database'!$N227&amp;" "&amp;'Compliance Database'!$O227)))),1,0)</f>
        <v/>
      </c>
      <c r="B227">
        <f>IF($A227=1,SUM($A$2:$A227),"")</f>
        <v/>
      </c>
      <c r="C227">
        <f>IF($A227=1,SUM($A$2:$A227),0)</f>
        <v/>
      </c>
    </row>
    <row r="228">
      <c r="A228">
        <f>IF(AND(OR('Compliance Database'!$A228='Data Transfer'!$B$4,'Compliance Database'!$A228='Data Transfer'!$B$5),OR('Data Transfer'!$B$6="",ISNUMBER(SEARCH('Data Transfer'!$B$6,'Compliance Database'!$D228&amp;" "&amp;'Compliance Database'!$K228&amp;" "&amp;'Compliance Database'!$L228&amp;" "&amp;'Compliance Database'!$M228&amp;" "&amp;'Compliance Database'!$N228&amp;" "&amp;'Compliance Database'!$O228)))),1,0)</f>
        <v/>
      </c>
      <c r="B228">
        <f>IF($A228=1,SUM($A$2:$A228),"")</f>
        <v/>
      </c>
      <c r="C228">
        <f>IF($A228=1,SUM($A$2:$A228),0)</f>
        <v/>
      </c>
    </row>
    <row r="229">
      <c r="A229">
        <f>IF(AND(OR('Compliance Database'!$A229='Data Transfer'!$B$4,'Compliance Database'!$A229='Data Transfer'!$B$5),OR('Data Transfer'!$B$6="",ISNUMBER(SEARCH('Data Transfer'!$B$6,'Compliance Database'!$D229&amp;" "&amp;'Compliance Database'!$K229&amp;" "&amp;'Compliance Database'!$L229&amp;" "&amp;'Compliance Database'!$M229&amp;" "&amp;'Compliance Database'!$N229&amp;" "&amp;'Compliance Database'!$O229)))),1,0)</f>
        <v/>
      </c>
      <c r="B229">
        <f>IF($A229=1,SUM($A$2:$A229),"")</f>
        <v/>
      </c>
      <c r="C229">
        <f>IF($A229=1,SUM($A$2:$A229),0)</f>
        <v/>
      </c>
    </row>
    <row r="230">
      <c r="A230">
        <f>IF(AND(OR('Compliance Database'!$A230='Data Transfer'!$B$4,'Compliance Database'!$A230='Data Transfer'!$B$5),OR('Data Transfer'!$B$6="",ISNUMBER(SEARCH('Data Transfer'!$B$6,'Compliance Database'!$D230&amp;" "&amp;'Compliance Database'!$K230&amp;" "&amp;'Compliance Database'!$L230&amp;" "&amp;'Compliance Database'!$M230&amp;" "&amp;'Compliance Database'!$N230&amp;" "&amp;'Compliance Database'!$O230)))),1,0)</f>
        <v/>
      </c>
      <c r="B230">
        <f>IF($A230=1,SUM($A$2:$A230),"")</f>
        <v/>
      </c>
      <c r="C230">
        <f>IF($A230=1,SUM($A$2:$A230),0)</f>
        <v/>
      </c>
    </row>
    <row r="231">
      <c r="A231">
        <f>IF(AND(OR('Compliance Database'!$A231='Data Transfer'!$B$4,'Compliance Database'!$A231='Data Transfer'!$B$5),OR('Data Transfer'!$B$6="",ISNUMBER(SEARCH('Data Transfer'!$B$6,'Compliance Database'!$D231&amp;" "&amp;'Compliance Database'!$K231&amp;" "&amp;'Compliance Database'!$L231&amp;" "&amp;'Compliance Database'!$M231&amp;" "&amp;'Compliance Database'!$N231&amp;" "&amp;'Compliance Database'!$O231)))),1,0)</f>
        <v/>
      </c>
      <c r="B231">
        <f>IF($A231=1,SUM($A$2:$A231),"")</f>
        <v/>
      </c>
      <c r="C231">
        <f>IF($A231=1,SUM($A$2:$A231),0)</f>
        <v/>
      </c>
    </row>
    <row r="232">
      <c r="A232">
        <f>IF(AND(OR('Compliance Database'!$A232='Data Transfer'!$B$4,'Compliance Database'!$A232='Data Transfer'!$B$5),OR('Data Transfer'!$B$6="",ISNUMBER(SEARCH('Data Transfer'!$B$6,'Compliance Database'!$D232&amp;" "&amp;'Compliance Database'!$K232&amp;" "&amp;'Compliance Database'!$L232&amp;" "&amp;'Compliance Database'!$M232&amp;" "&amp;'Compliance Database'!$N232&amp;" "&amp;'Compliance Database'!$O232)))),1,0)</f>
        <v/>
      </c>
      <c r="B232">
        <f>IF($A232=1,SUM($A$2:$A232),"")</f>
        <v/>
      </c>
      <c r="C232">
        <f>IF($A232=1,SUM($A$2:$A232),0)</f>
        <v/>
      </c>
    </row>
    <row r="233">
      <c r="A233">
        <f>IF(AND(OR('Compliance Database'!$A233='Data Transfer'!$B$4,'Compliance Database'!$A233='Data Transfer'!$B$5),OR('Data Transfer'!$B$6="",ISNUMBER(SEARCH('Data Transfer'!$B$6,'Compliance Database'!$D233&amp;" "&amp;'Compliance Database'!$K233&amp;" "&amp;'Compliance Database'!$L233&amp;" "&amp;'Compliance Database'!$M233&amp;" "&amp;'Compliance Database'!$N233&amp;" "&amp;'Compliance Database'!$O233)))),1,0)</f>
        <v/>
      </c>
      <c r="B233">
        <f>IF($A233=1,SUM($A$2:$A233),"")</f>
        <v/>
      </c>
      <c r="C233">
        <f>IF($A233=1,SUM($A$2:$A233),0)</f>
        <v/>
      </c>
    </row>
    <row r="234">
      <c r="A234">
        <f>IF(AND(OR('Compliance Database'!$A234='Data Transfer'!$B$4,'Compliance Database'!$A234='Data Transfer'!$B$5),OR('Data Transfer'!$B$6="",ISNUMBER(SEARCH('Data Transfer'!$B$6,'Compliance Database'!$D234&amp;" "&amp;'Compliance Database'!$K234&amp;" "&amp;'Compliance Database'!$L234&amp;" "&amp;'Compliance Database'!$M234&amp;" "&amp;'Compliance Database'!$N234&amp;" "&amp;'Compliance Database'!$O234)))),1,0)</f>
        <v/>
      </c>
      <c r="B234">
        <f>IF($A234=1,SUM($A$2:$A234),"")</f>
        <v/>
      </c>
      <c r="C234">
        <f>IF($A234=1,SUM($A$2:$A234),0)</f>
        <v/>
      </c>
    </row>
    <row r="235">
      <c r="A235">
        <f>IF(AND(OR('Compliance Database'!$A235='Data Transfer'!$B$4,'Compliance Database'!$A235='Data Transfer'!$B$5),OR('Data Transfer'!$B$6="",ISNUMBER(SEARCH('Data Transfer'!$B$6,'Compliance Database'!$D235&amp;" "&amp;'Compliance Database'!$K235&amp;" "&amp;'Compliance Database'!$L235&amp;" "&amp;'Compliance Database'!$M235&amp;" "&amp;'Compliance Database'!$N235&amp;" "&amp;'Compliance Database'!$O235)))),1,0)</f>
        <v/>
      </c>
      <c r="B235">
        <f>IF($A235=1,SUM($A$2:$A235),"")</f>
        <v/>
      </c>
      <c r="C235">
        <f>IF($A235=1,SUM($A$2:$A235),0)</f>
        <v/>
      </c>
    </row>
    <row r="236">
      <c r="A236">
        <f>IF(AND(OR('Compliance Database'!$A236='Data Transfer'!$B$4,'Compliance Database'!$A236='Data Transfer'!$B$5),OR('Data Transfer'!$B$6="",ISNUMBER(SEARCH('Data Transfer'!$B$6,'Compliance Database'!$D236&amp;" "&amp;'Compliance Database'!$K236&amp;" "&amp;'Compliance Database'!$L236&amp;" "&amp;'Compliance Database'!$M236&amp;" "&amp;'Compliance Database'!$N236&amp;" "&amp;'Compliance Database'!$O236)))),1,0)</f>
        <v/>
      </c>
      <c r="B236">
        <f>IF($A236=1,SUM($A$2:$A236),"")</f>
        <v/>
      </c>
      <c r="C236">
        <f>IF($A236=1,SUM($A$2:$A236),0)</f>
        <v/>
      </c>
    </row>
    <row r="237">
      <c r="A237">
        <f>IF(AND(OR('Compliance Database'!$A237='Data Transfer'!$B$4,'Compliance Database'!$A237='Data Transfer'!$B$5),OR('Data Transfer'!$B$6="",ISNUMBER(SEARCH('Data Transfer'!$B$6,'Compliance Database'!$D237&amp;" "&amp;'Compliance Database'!$K237&amp;" "&amp;'Compliance Database'!$L237&amp;" "&amp;'Compliance Database'!$M237&amp;" "&amp;'Compliance Database'!$N237&amp;" "&amp;'Compliance Database'!$O237)))),1,0)</f>
        <v/>
      </c>
      <c r="B237">
        <f>IF($A237=1,SUM($A$2:$A237),"")</f>
        <v/>
      </c>
      <c r="C237">
        <f>IF($A237=1,SUM($A$2:$A237),0)</f>
        <v/>
      </c>
    </row>
    <row r="238">
      <c r="A238">
        <f>IF(AND(OR('Compliance Database'!$A238='Data Transfer'!$B$4,'Compliance Database'!$A238='Data Transfer'!$B$5),OR('Data Transfer'!$B$6="",ISNUMBER(SEARCH('Data Transfer'!$B$6,'Compliance Database'!$D238&amp;" "&amp;'Compliance Database'!$K238&amp;" "&amp;'Compliance Database'!$L238&amp;" "&amp;'Compliance Database'!$M238&amp;" "&amp;'Compliance Database'!$N238&amp;" "&amp;'Compliance Database'!$O238)))),1,0)</f>
        <v/>
      </c>
      <c r="B238">
        <f>IF($A238=1,SUM($A$2:$A238),"")</f>
        <v/>
      </c>
      <c r="C238">
        <f>IF($A238=1,SUM($A$2:$A238),0)</f>
        <v/>
      </c>
    </row>
    <row r="239">
      <c r="A239">
        <f>IF(AND(OR('Compliance Database'!$A239='Data Transfer'!$B$4,'Compliance Database'!$A239='Data Transfer'!$B$5),OR('Data Transfer'!$B$6="",ISNUMBER(SEARCH('Data Transfer'!$B$6,'Compliance Database'!$D239&amp;" "&amp;'Compliance Database'!$K239&amp;" "&amp;'Compliance Database'!$L239&amp;" "&amp;'Compliance Database'!$M239&amp;" "&amp;'Compliance Database'!$N239&amp;" "&amp;'Compliance Database'!$O239)))),1,0)</f>
        <v/>
      </c>
      <c r="B239">
        <f>IF($A239=1,SUM($A$2:$A239),"")</f>
        <v/>
      </c>
      <c r="C239">
        <f>IF($A239=1,SUM($A$2:$A239),0)</f>
        <v/>
      </c>
    </row>
    <row r="240">
      <c r="A240">
        <f>IF(AND(OR('Compliance Database'!$A240='Data Transfer'!$B$4,'Compliance Database'!$A240='Data Transfer'!$B$5),OR('Data Transfer'!$B$6="",ISNUMBER(SEARCH('Data Transfer'!$B$6,'Compliance Database'!$D240&amp;" "&amp;'Compliance Database'!$K240&amp;" "&amp;'Compliance Database'!$L240&amp;" "&amp;'Compliance Database'!$M240&amp;" "&amp;'Compliance Database'!$N240&amp;" "&amp;'Compliance Database'!$O240)))),1,0)</f>
        <v/>
      </c>
      <c r="B240">
        <f>IF($A240=1,SUM($A$2:$A240),"")</f>
        <v/>
      </c>
      <c r="C240">
        <f>IF($A240=1,SUM($A$2:$A240),0)</f>
        <v/>
      </c>
    </row>
    <row r="241">
      <c r="A241">
        <f>IF(AND(OR('Compliance Database'!$A241='Data Transfer'!$B$4,'Compliance Database'!$A241='Data Transfer'!$B$5),OR('Data Transfer'!$B$6="",ISNUMBER(SEARCH('Data Transfer'!$B$6,'Compliance Database'!$D241&amp;" "&amp;'Compliance Database'!$K241&amp;" "&amp;'Compliance Database'!$L241&amp;" "&amp;'Compliance Database'!$M241&amp;" "&amp;'Compliance Database'!$N241&amp;" "&amp;'Compliance Database'!$O241)))),1,0)</f>
        <v/>
      </c>
      <c r="B241">
        <f>IF($A241=1,SUM($A$2:$A241),"")</f>
        <v/>
      </c>
      <c r="C241">
        <f>IF($A241=1,SUM($A$2:$A241),0)</f>
        <v/>
      </c>
    </row>
    <row r="242">
      <c r="A242">
        <f>IF(AND(OR('Compliance Database'!$A242='Data Transfer'!$B$4,'Compliance Database'!$A242='Data Transfer'!$B$5),OR('Data Transfer'!$B$6="",ISNUMBER(SEARCH('Data Transfer'!$B$6,'Compliance Database'!$D242&amp;" "&amp;'Compliance Database'!$K242&amp;" "&amp;'Compliance Database'!$L242&amp;" "&amp;'Compliance Database'!$M242&amp;" "&amp;'Compliance Database'!$N242&amp;" "&amp;'Compliance Database'!$O242)))),1,0)</f>
        <v/>
      </c>
      <c r="B242">
        <f>IF($A242=1,SUM($A$2:$A242),"")</f>
        <v/>
      </c>
      <c r="C242">
        <f>IF($A242=1,SUM($A$2:$A242),0)</f>
        <v/>
      </c>
    </row>
    <row r="243">
      <c r="A243">
        <f>IF(AND(OR('Compliance Database'!$A243='Data Transfer'!$B$4,'Compliance Database'!$A243='Data Transfer'!$B$5),OR('Data Transfer'!$B$6="",ISNUMBER(SEARCH('Data Transfer'!$B$6,'Compliance Database'!$D243&amp;" "&amp;'Compliance Database'!$K243&amp;" "&amp;'Compliance Database'!$L243&amp;" "&amp;'Compliance Database'!$M243&amp;" "&amp;'Compliance Database'!$N243&amp;" "&amp;'Compliance Database'!$O243)))),1,0)</f>
        <v/>
      </c>
      <c r="B243">
        <f>IF($A243=1,SUM($A$2:$A243),"")</f>
        <v/>
      </c>
      <c r="C243">
        <f>IF($A243=1,SUM($A$2:$A243),0)</f>
        <v/>
      </c>
    </row>
    <row r="244">
      <c r="A244">
        <f>IF(AND(OR('Compliance Database'!$A244='Data Transfer'!$B$4,'Compliance Database'!$A244='Data Transfer'!$B$5),OR('Data Transfer'!$B$6="",ISNUMBER(SEARCH('Data Transfer'!$B$6,'Compliance Database'!$D244&amp;" "&amp;'Compliance Database'!$K244&amp;" "&amp;'Compliance Database'!$L244&amp;" "&amp;'Compliance Database'!$M244&amp;" "&amp;'Compliance Database'!$N244&amp;" "&amp;'Compliance Database'!$O244)))),1,0)</f>
        <v/>
      </c>
      <c r="B244">
        <f>IF($A244=1,SUM($A$2:$A244),"")</f>
        <v/>
      </c>
      <c r="C244">
        <f>IF($A244=1,SUM($A$2:$A244),0)</f>
        <v/>
      </c>
    </row>
    <row r="245">
      <c r="A245">
        <f>IF(AND(OR('Compliance Database'!$A245='Data Transfer'!$B$4,'Compliance Database'!$A245='Data Transfer'!$B$5),OR('Data Transfer'!$B$6="",ISNUMBER(SEARCH('Data Transfer'!$B$6,'Compliance Database'!$D245&amp;" "&amp;'Compliance Database'!$K245&amp;" "&amp;'Compliance Database'!$L245&amp;" "&amp;'Compliance Database'!$M245&amp;" "&amp;'Compliance Database'!$N245&amp;" "&amp;'Compliance Database'!$O245)))),1,0)</f>
        <v/>
      </c>
      <c r="B245">
        <f>IF($A245=1,SUM($A$2:$A245),"")</f>
        <v/>
      </c>
      <c r="C245">
        <f>IF($A245=1,SUM($A$2:$A245),0)</f>
        <v/>
      </c>
    </row>
    <row r="246">
      <c r="A246">
        <f>IF(AND(OR('Compliance Database'!$A246='Data Transfer'!$B$4,'Compliance Database'!$A246='Data Transfer'!$B$5),OR('Data Transfer'!$B$6="",ISNUMBER(SEARCH('Data Transfer'!$B$6,'Compliance Database'!$D246&amp;" "&amp;'Compliance Database'!$K246&amp;" "&amp;'Compliance Database'!$L246&amp;" "&amp;'Compliance Database'!$M246&amp;" "&amp;'Compliance Database'!$N246&amp;" "&amp;'Compliance Database'!$O246)))),1,0)</f>
        <v/>
      </c>
      <c r="B246">
        <f>IF($A246=1,SUM($A$2:$A246),"")</f>
        <v/>
      </c>
      <c r="C246">
        <f>IF($A246=1,SUM($A$2:$A246),0)</f>
        <v/>
      </c>
    </row>
    <row r="247">
      <c r="A247">
        <f>IF(AND(OR('Compliance Database'!$A247='Data Transfer'!$B$4,'Compliance Database'!$A247='Data Transfer'!$B$5),OR('Data Transfer'!$B$6="",ISNUMBER(SEARCH('Data Transfer'!$B$6,'Compliance Database'!$D247&amp;" "&amp;'Compliance Database'!$K247&amp;" "&amp;'Compliance Database'!$L247&amp;" "&amp;'Compliance Database'!$M247&amp;" "&amp;'Compliance Database'!$N247&amp;" "&amp;'Compliance Database'!$O247)))),1,0)</f>
        <v/>
      </c>
      <c r="B247">
        <f>IF($A247=1,SUM($A$2:$A247),"")</f>
        <v/>
      </c>
      <c r="C247">
        <f>IF($A247=1,SUM($A$2:$A247),0)</f>
        <v/>
      </c>
    </row>
    <row r="248">
      <c r="A248">
        <f>IF(AND(OR('Compliance Database'!$A248='Data Transfer'!$B$4,'Compliance Database'!$A248='Data Transfer'!$B$5),OR('Data Transfer'!$B$6="",ISNUMBER(SEARCH('Data Transfer'!$B$6,'Compliance Database'!$D248&amp;" "&amp;'Compliance Database'!$K248&amp;" "&amp;'Compliance Database'!$L248&amp;" "&amp;'Compliance Database'!$M248&amp;" "&amp;'Compliance Database'!$N248&amp;" "&amp;'Compliance Database'!$O248)))),1,0)</f>
        <v/>
      </c>
      <c r="B248">
        <f>IF($A248=1,SUM($A$2:$A248),"")</f>
        <v/>
      </c>
      <c r="C248">
        <f>IF($A248=1,SUM($A$2:$A248),0)</f>
        <v/>
      </c>
    </row>
    <row r="249">
      <c r="A249">
        <f>IF(AND(OR('Compliance Database'!$A249='Data Transfer'!$B$4,'Compliance Database'!$A249='Data Transfer'!$B$5),OR('Data Transfer'!$B$6="",ISNUMBER(SEARCH('Data Transfer'!$B$6,'Compliance Database'!$D249&amp;" "&amp;'Compliance Database'!$K249&amp;" "&amp;'Compliance Database'!$L249&amp;" "&amp;'Compliance Database'!$M249&amp;" "&amp;'Compliance Database'!$N249&amp;" "&amp;'Compliance Database'!$O249)))),1,0)</f>
        <v/>
      </c>
      <c r="B249">
        <f>IF($A249=1,SUM($A$2:$A249),"")</f>
        <v/>
      </c>
      <c r="C249">
        <f>IF($A249=1,SUM($A$2:$A249),0)</f>
        <v/>
      </c>
    </row>
    <row r="250">
      <c r="A250">
        <f>IF(AND(OR('Compliance Database'!$A250='Data Transfer'!$B$4,'Compliance Database'!$A250='Data Transfer'!$B$5),OR('Data Transfer'!$B$6="",ISNUMBER(SEARCH('Data Transfer'!$B$6,'Compliance Database'!$D250&amp;" "&amp;'Compliance Database'!$K250&amp;" "&amp;'Compliance Database'!$L250&amp;" "&amp;'Compliance Database'!$M250&amp;" "&amp;'Compliance Database'!$N250&amp;" "&amp;'Compliance Database'!$O250)))),1,0)</f>
        <v/>
      </c>
      <c r="B250">
        <f>IF($A250=1,SUM($A$2:$A250),"")</f>
        <v/>
      </c>
      <c r="C250">
        <f>IF($A250=1,SUM($A$2:$A250),0)</f>
        <v/>
      </c>
    </row>
    <row r="251">
      <c r="A251">
        <f>IF(AND(OR('Compliance Database'!$A251='Data Transfer'!$B$4,'Compliance Database'!$A251='Data Transfer'!$B$5),OR('Data Transfer'!$B$6="",ISNUMBER(SEARCH('Data Transfer'!$B$6,'Compliance Database'!$D251&amp;" "&amp;'Compliance Database'!$K251&amp;" "&amp;'Compliance Database'!$L251&amp;" "&amp;'Compliance Database'!$M251&amp;" "&amp;'Compliance Database'!$N251&amp;" "&amp;'Compliance Database'!$O251)))),1,0)</f>
        <v/>
      </c>
      <c r="B251">
        <f>IF($A251=1,SUM($A$2:$A251),"")</f>
        <v/>
      </c>
      <c r="C251">
        <f>IF($A251=1,SUM($A$2:$A251),0)</f>
        <v/>
      </c>
    </row>
    <row r="252">
      <c r="A252">
        <f>IF(AND(OR('Compliance Database'!$A252='Data Transfer'!$B$4,'Compliance Database'!$A252='Data Transfer'!$B$5),OR('Data Transfer'!$B$6="",ISNUMBER(SEARCH('Data Transfer'!$B$6,'Compliance Database'!$D252&amp;" "&amp;'Compliance Database'!$K252&amp;" "&amp;'Compliance Database'!$L252&amp;" "&amp;'Compliance Database'!$M252&amp;" "&amp;'Compliance Database'!$N252&amp;" "&amp;'Compliance Database'!$O252)))),1,0)</f>
        <v/>
      </c>
      <c r="B252">
        <f>IF($A252=1,SUM($A$2:$A252),"")</f>
        <v/>
      </c>
      <c r="C252">
        <f>IF($A252=1,SUM($A$2:$A252),0)</f>
        <v/>
      </c>
    </row>
    <row r="253">
      <c r="A253">
        <f>IF(AND(OR('Compliance Database'!$A253='Data Transfer'!$B$4,'Compliance Database'!$A253='Data Transfer'!$B$5),OR('Data Transfer'!$B$6="",ISNUMBER(SEARCH('Data Transfer'!$B$6,'Compliance Database'!$D253&amp;" "&amp;'Compliance Database'!$K253&amp;" "&amp;'Compliance Database'!$L253&amp;" "&amp;'Compliance Database'!$M253&amp;" "&amp;'Compliance Database'!$N253&amp;" "&amp;'Compliance Database'!$O253)))),1,0)</f>
        <v/>
      </c>
      <c r="B253">
        <f>IF($A253=1,SUM($A$2:$A253),"")</f>
        <v/>
      </c>
      <c r="C253">
        <f>IF($A253=1,SUM($A$2:$A253),0)</f>
        <v/>
      </c>
    </row>
    <row r="254">
      <c r="A254">
        <f>IF(AND(OR('Compliance Database'!$A254='Data Transfer'!$B$4,'Compliance Database'!$A254='Data Transfer'!$B$5),OR('Data Transfer'!$B$6="",ISNUMBER(SEARCH('Data Transfer'!$B$6,'Compliance Database'!$D254&amp;" "&amp;'Compliance Database'!$K254&amp;" "&amp;'Compliance Database'!$L254&amp;" "&amp;'Compliance Database'!$M254&amp;" "&amp;'Compliance Database'!$N254&amp;" "&amp;'Compliance Database'!$O254)))),1,0)</f>
        <v/>
      </c>
      <c r="B254">
        <f>IF($A254=1,SUM($A$2:$A254),"")</f>
        <v/>
      </c>
      <c r="C254">
        <f>IF($A254=1,SUM($A$2:$A254),0)</f>
        <v/>
      </c>
    </row>
    <row r="255">
      <c r="A255">
        <f>IF(AND(OR('Compliance Database'!$A255='Data Transfer'!$B$4,'Compliance Database'!$A255='Data Transfer'!$B$5),OR('Data Transfer'!$B$6="",ISNUMBER(SEARCH('Data Transfer'!$B$6,'Compliance Database'!$D255&amp;" "&amp;'Compliance Database'!$K255&amp;" "&amp;'Compliance Database'!$L255&amp;" "&amp;'Compliance Database'!$M255&amp;" "&amp;'Compliance Database'!$N255&amp;" "&amp;'Compliance Database'!$O255)))),1,0)</f>
        <v/>
      </c>
      <c r="B255">
        <f>IF($A255=1,SUM($A$2:$A255),"")</f>
        <v/>
      </c>
      <c r="C255">
        <f>IF($A255=1,SUM($A$2:$A255),0)</f>
        <v/>
      </c>
    </row>
    <row r="256">
      <c r="A256">
        <f>IF(AND(OR('Compliance Database'!$A256='Data Transfer'!$B$4,'Compliance Database'!$A256='Data Transfer'!$B$5),OR('Data Transfer'!$B$6="",ISNUMBER(SEARCH('Data Transfer'!$B$6,'Compliance Database'!$D256&amp;" "&amp;'Compliance Database'!$K256&amp;" "&amp;'Compliance Database'!$L256&amp;" "&amp;'Compliance Database'!$M256&amp;" "&amp;'Compliance Database'!$N256&amp;" "&amp;'Compliance Database'!$O256)))),1,0)</f>
        <v/>
      </c>
      <c r="B256">
        <f>IF($A256=1,SUM($A$2:$A256),"")</f>
        <v/>
      </c>
      <c r="C256">
        <f>IF($A256=1,SUM($A$2:$A256),0)</f>
        <v/>
      </c>
    </row>
    <row r="257">
      <c r="A257">
        <f>IF(AND(OR('Compliance Database'!$A257='Data Transfer'!$B$4,'Compliance Database'!$A257='Data Transfer'!$B$5),OR('Data Transfer'!$B$6="",ISNUMBER(SEARCH('Data Transfer'!$B$6,'Compliance Database'!$D257&amp;" "&amp;'Compliance Database'!$K257&amp;" "&amp;'Compliance Database'!$L257&amp;" "&amp;'Compliance Database'!$M257&amp;" "&amp;'Compliance Database'!$N257&amp;" "&amp;'Compliance Database'!$O257)))),1,0)</f>
        <v/>
      </c>
      <c r="B257">
        <f>IF($A257=1,SUM($A$2:$A257),"")</f>
        <v/>
      </c>
      <c r="C257">
        <f>IF($A257=1,SUM($A$2:$A257),0)</f>
        <v/>
      </c>
    </row>
    <row r="258">
      <c r="A258">
        <f>IF(AND(OR('Compliance Database'!$A258='Data Transfer'!$B$4,'Compliance Database'!$A258='Data Transfer'!$B$5),OR('Data Transfer'!$B$6="",ISNUMBER(SEARCH('Data Transfer'!$B$6,'Compliance Database'!$D258&amp;" "&amp;'Compliance Database'!$K258&amp;" "&amp;'Compliance Database'!$L258&amp;" "&amp;'Compliance Database'!$M258&amp;" "&amp;'Compliance Database'!$N258&amp;" "&amp;'Compliance Database'!$O258)))),1,0)</f>
        <v/>
      </c>
      <c r="B258">
        <f>IF($A258=1,SUM($A$2:$A258),"")</f>
        <v/>
      </c>
      <c r="C258">
        <f>IF($A258=1,SUM($A$2:$A258),0)</f>
        <v/>
      </c>
    </row>
    <row r="259">
      <c r="A259">
        <f>IF(AND(OR('Compliance Database'!$A259='Data Transfer'!$B$4,'Compliance Database'!$A259='Data Transfer'!$B$5),OR('Data Transfer'!$B$6="",ISNUMBER(SEARCH('Data Transfer'!$B$6,'Compliance Database'!$D259&amp;" "&amp;'Compliance Database'!$K259&amp;" "&amp;'Compliance Database'!$L259&amp;" "&amp;'Compliance Database'!$M259&amp;" "&amp;'Compliance Database'!$N259&amp;" "&amp;'Compliance Database'!$O259)))),1,0)</f>
        <v/>
      </c>
      <c r="B259">
        <f>IF($A259=1,SUM($A$2:$A259),"")</f>
        <v/>
      </c>
      <c r="C259">
        <f>IF($A259=1,SUM($A$2:$A259),0)</f>
        <v/>
      </c>
    </row>
    <row r="260">
      <c r="A260">
        <f>IF(AND(OR('Compliance Database'!$A260='Data Transfer'!$B$4,'Compliance Database'!$A260='Data Transfer'!$B$5),OR('Data Transfer'!$B$6="",ISNUMBER(SEARCH('Data Transfer'!$B$6,'Compliance Database'!$D260&amp;" "&amp;'Compliance Database'!$K260&amp;" "&amp;'Compliance Database'!$L260&amp;" "&amp;'Compliance Database'!$M260&amp;" "&amp;'Compliance Database'!$N260&amp;" "&amp;'Compliance Database'!$O260)))),1,0)</f>
        <v/>
      </c>
      <c r="B260">
        <f>IF($A260=1,SUM($A$2:$A260),"")</f>
        <v/>
      </c>
      <c r="C260">
        <f>IF($A260=1,SUM($A$2:$A260),0)</f>
        <v/>
      </c>
    </row>
    <row r="261">
      <c r="A261">
        <f>IF(AND(OR('Compliance Database'!$A261='Data Transfer'!$B$4,'Compliance Database'!$A261='Data Transfer'!$B$5),OR('Data Transfer'!$B$6="",ISNUMBER(SEARCH('Data Transfer'!$B$6,'Compliance Database'!$D261&amp;" "&amp;'Compliance Database'!$K261&amp;" "&amp;'Compliance Database'!$L261&amp;" "&amp;'Compliance Database'!$M261&amp;" "&amp;'Compliance Database'!$N261&amp;" "&amp;'Compliance Database'!$O261)))),1,0)</f>
        <v/>
      </c>
      <c r="B261">
        <f>IF($A261=1,SUM($A$2:$A261),"")</f>
        <v/>
      </c>
      <c r="C261">
        <f>IF($A261=1,SUM($A$2:$A261),0)</f>
        <v/>
      </c>
    </row>
    <row r="262">
      <c r="A262">
        <f>IF(AND(OR('Compliance Database'!$A262='Data Transfer'!$B$4,'Compliance Database'!$A262='Data Transfer'!$B$5),OR('Data Transfer'!$B$6="",ISNUMBER(SEARCH('Data Transfer'!$B$6,'Compliance Database'!$D262&amp;" "&amp;'Compliance Database'!$K262&amp;" "&amp;'Compliance Database'!$L262&amp;" "&amp;'Compliance Database'!$M262&amp;" "&amp;'Compliance Database'!$N262&amp;" "&amp;'Compliance Database'!$O262)))),1,0)</f>
        <v/>
      </c>
      <c r="B262">
        <f>IF($A262=1,SUM($A$2:$A262),"")</f>
        <v/>
      </c>
      <c r="C262">
        <f>IF($A262=1,SUM($A$2:$A262),0)</f>
        <v/>
      </c>
    </row>
    <row r="263">
      <c r="A263">
        <f>IF(AND(OR('Compliance Database'!$A263='Data Transfer'!$B$4,'Compliance Database'!$A263='Data Transfer'!$B$5),OR('Data Transfer'!$B$6="",ISNUMBER(SEARCH('Data Transfer'!$B$6,'Compliance Database'!$D263&amp;" "&amp;'Compliance Database'!$K263&amp;" "&amp;'Compliance Database'!$L263&amp;" "&amp;'Compliance Database'!$M263&amp;" "&amp;'Compliance Database'!$N263&amp;" "&amp;'Compliance Database'!$O263)))),1,0)</f>
        <v/>
      </c>
      <c r="B263">
        <f>IF($A263=1,SUM($A$2:$A263),"")</f>
        <v/>
      </c>
      <c r="C263">
        <f>IF($A263=1,SUM($A$2:$A263),0)</f>
        <v/>
      </c>
    </row>
    <row r="264">
      <c r="A264">
        <f>IF(AND(OR('Compliance Database'!$A264='Data Transfer'!$B$4,'Compliance Database'!$A264='Data Transfer'!$B$5),OR('Data Transfer'!$B$6="",ISNUMBER(SEARCH('Data Transfer'!$B$6,'Compliance Database'!$D264&amp;" "&amp;'Compliance Database'!$K264&amp;" "&amp;'Compliance Database'!$L264&amp;" "&amp;'Compliance Database'!$M264&amp;" "&amp;'Compliance Database'!$N264&amp;" "&amp;'Compliance Database'!$O264)))),1,0)</f>
        <v/>
      </c>
      <c r="B264">
        <f>IF($A264=1,SUM($A$2:$A264),"")</f>
        <v/>
      </c>
      <c r="C264">
        <f>IF($A264=1,SUM($A$2:$A264),0)</f>
        <v/>
      </c>
    </row>
    <row r="265">
      <c r="A265">
        <f>IF(AND(OR('Compliance Database'!$A265='Data Transfer'!$B$4,'Compliance Database'!$A265='Data Transfer'!$B$5),OR('Data Transfer'!$B$6="",ISNUMBER(SEARCH('Data Transfer'!$B$6,'Compliance Database'!$D265&amp;" "&amp;'Compliance Database'!$K265&amp;" "&amp;'Compliance Database'!$L265&amp;" "&amp;'Compliance Database'!$M265&amp;" "&amp;'Compliance Database'!$N265&amp;" "&amp;'Compliance Database'!$O265)))),1,0)</f>
        <v/>
      </c>
      <c r="B265">
        <f>IF($A265=1,SUM($A$2:$A265),"")</f>
        <v/>
      </c>
      <c r="C265">
        <f>IF($A265=1,SUM($A$2:$A265),0)</f>
        <v/>
      </c>
    </row>
    <row r="266">
      <c r="A266">
        <f>IF(AND(OR('Compliance Database'!$A266='Data Transfer'!$B$4,'Compliance Database'!$A266='Data Transfer'!$B$5),OR('Data Transfer'!$B$6="",ISNUMBER(SEARCH('Data Transfer'!$B$6,'Compliance Database'!$D266&amp;" "&amp;'Compliance Database'!$K266&amp;" "&amp;'Compliance Database'!$L266&amp;" "&amp;'Compliance Database'!$M266&amp;" "&amp;'Compliance Database'!$N266&amp;" "&amp;'Compliance Database'!$O266)))),1,0)</f>
        <v/>
      </c>
      <c r="B266">
        <f>IF($A266=1,SUM($A$2:$A266),"")</f>
        <v/>
      </c>
      <c r="C266">
        <f>IF($A266=1,SUM($A$2:$A266),0)</f>
        <v/>
      </c>
    </row>
    <row r="267">
      <c r="A267">
        <f>IF(AND(OR('Compliance Database'!$A267='Data Transfer'!$B$4,'Compliance Database'!$A267='Data Transfer'!$B$5),OR('Data Transfer'!$B$6="",ISNUMBER(SEARCH('Data Transfer'!$B$6,'Compliance Database'!$D267&amp;" "&amp;'Compliance Database'!$K267&amp;" "&amp;'Compliance Database'!$L267&amp;" "&amp;'Compliance Database'!$M267&amp;" "&amp;'Compliance Database'!$N267&amp;" "&amp;'Compliance Database'!$O267)))),1,0)</f>
        <v/>
      </c>
      <c r="B267">
        <f>IF($A267=1,SUM($A$2:$A267),"")</f>
        <v/>
      </c>
      <c r="C267">
        <f>IF($A267=1,SUM($A$2:$A267),0)</f>
        <v/>
      </c>
    </row>
    <row r="268">
      <c r="A268">
        <f>IF(AND(OR('Compliance Database'!$A268='Data Transfer'!$B$4,'Compliance Database'!$A268='Data Transfer'!$B$5),OR('Data Transfer'!$B$6="",ISNUMBER(SEARCH('Data Transfer'!$B$6,'Compliance Database'!$D268&amp;" "&amp;'Compliance Database'!$K268&amp;" "&amp;'Compliance Database'!$L268&amp;" "&amp;'Compliance Database'!$M268&amp;" "&amp;'Compliance Database'!$N268&amp;" "&amp;'Compliance Database'!$O268)))),1,0)</f>
        <v/>
      </c>
      <c r="B268">
        <f>IF($A268=1,SUM($A$2:$A268),"")</f>
        <v/>
      </c>
      <c r="C268">
        <f>IF($A268=1,SUM($A$2:$A268),0)</f>
        <v/>
      </c>
    </row>
    <row r="269">
      <c r="A269">
        <f>IF(AND(OR('Compliance Database'!$A269='Data Transfer'!$B$4,'Compliance Database'!$A269='Data Transfer'!$B$5),OR('Data Transfer'!$B$6="",ISNUMBER(SEARCH('Data Transfer'!$B$6,'Compliance Database'!$D269&amp;" "&amp;'Compliance Database'!$K269&amp;" "&amp;'Compliance Database'!$L269&amp;" "&amp;'Compliance Database'!$M269&amp;" "&amp;'Compliance Database'!$N269&amp;" "&amp;'Compliance Database'!$O269)))),1,0)</f>
        <v/>
      </c>
      <c r="B269">
        <f>IF($A269=1,SUM($A$2:$A269),"")</f>
        <v/>
      </c>
      <c r="C269">
        <f>IF($A269=1,SUM($A$2:$A269),0)</f>
        <v/>
      </c>
    </row>
    <row r="270">
      <c r="A270">
        <f>IF(AND(OR('Compliance Database'!$A270='Data Transfer'!$B$4,'Compliance Database'!$A270='Data Transfer'!$B$5),OR('Data Transfer'!$B$6="",ISNUMBER(SEARCH('Data Transfer'!$B$6,'Compliance Database'!$D270&amp;" "&amp;'Compliance Database'!$K270&amp;" "&amp;'Compliance Database'!$L270&amp;" "&amp;'Compliance Database'!$M270&amp;" "&amp;'Compliance Database'!$N270&amp;" "&amp;'Compliance Database'!$O270)))),1,0)</f>
        <v/>
      </c>
      <c r="B270">
        <f>IF($A270=1,SUM($A$2:$A270),"")</f>
        <v/>
      </c>
      <c r="C270">
        <f>IF($A270=1,SUM($A$2:$A270),0)</f>
        <v/>
      </c>
    </row>
    <row r="271">
      <c r="A271">
        <f>IF(AND(OR('Compliance Database'!$A271='Data Transfer'!$B$4,'Compliance Database'!$A271='Data Transfer'!$B$5),OR('Data Transfer'!$B$6="",ISNUMBER(SEARCH('Data Transfer'!$B$6,'Compliance Database'!$D271&amp;" "&amp;'Compliance Database'!$K271&amp;" "&amp;'Compliance Database'!$L271&amp;" "&amp;'Compliance Database'!$M271&amp;" "&amp;'Compliance Database'!$N271&amp;" "&amp;'Compliance Database'!$O271)))),1,0)</f>
        <v/>
      </c>
      <c r="B271">
        <f>IF($A271=1,SUM($A$2:$A271),"")</f>
        <v/>
      </c>
      <c r="C271">
        <f>IF($A271=1,SUM($A$2:$A271),0)</f>
        <v/>
      </c>
    </row>
    <row r="272">
      <c r="A272">
        <f>IF(AND(OR('Compliance Database'!$A272='Data Transfer'!$B$4,'Compliance Database'!$A272='Data Transfer'!$B$5),OR('Data Transfer'!$B$6="",ISNUMBER(SEARCH('Data Transfer'!$B$6,'Compliance Database'!$D272&amp;" "&amp;'Compliance Database'!$K272&amp;" "&amp;'Compliance Database'!$L272&amp;" "&amp;'Compliance Database'!$M272&amp;" "&amp;'Compliance Database'!$N272&amp;" "&amp;'Compliance Database'!$O272)))),1,0)</f>
        <v/>
      </c>
      <c r="B272">
        <f>IF($A272=1,SUM($A$2:$A272),"")</f>
        <v/>
      </c>
      <c r="C272">
        <f>IF($A272=1,SUM($A$2:$A272),0)</f>
        <v/>
      </c>
    </row>
    <row r="273">
      <c r="A273">
        <f>IF(AND(OR('Compliance Database'!$A273='Data Transfer'!$B$4,'Compliance Database'!$A273='Data Transfer'!$B$5),OR('Data Transfer'!$B$6="",ISNUMBER(SEARCH('Data Transfer'!$B$6,'Compliance Database'!$D273&amp;" "&amp;'Compliance Database'!$K273&amp;" "&amp;'Compliance Database'!$L273&amp;" "&amp;'Compliance Database'!$M273&amp;" "&amp;'Compliance Database'!$N273&amp;" "&amp;'Compliance Database'!$O273)))),1,0)</f>
        <v/>
      </c>
      <c r="B273">
        <f>IF($A273=1,SUM($A$2:$A273),"")</f>
        <v/>
      </c>
      <c r="C273">
        <f>IF($A273=1,SUM($A$2:$A273),0)</f>
        <v/>
      </c>
    </row>
    <row r="274">
      <c r="A274">
        <f>IF(AND(OR('Compliance Database'!$A274='Data Transfer'!$B$4,'Compliance Database'!$A274='Data Transfer'!$B$5),OR('Data Transfer'!$B$6="",ISNUMBER(SEARCH('Data Transfer'!$B$6,'Compliance Database'!$D274&amp;" "&amp;'Compliance Database'!$K274&amp;" "&amp;'Compliance Database'!$L274&amp;" "&amp;'Compliance Database'!$M274&amp;" "&amp;'Compliance Database'!$N274&amp;" "&amp;'Compliance Database'!$O274)))),1,0)</f>
        <v/>
      </c>
      <c r="B274">
        <f>IF($A274=1,SUM($A$2:$A274),"")</f>
        <v/>
      </c>
      <c r="C274">
        <f>IF($A274=1,SUM($A$2:$A274),0)</f>
        <v/>
      </c>
    </row>
    <row r="275">
      <c r="A275">
        <f>IF(AND(OR('Compliance Database'!$A275='Data Transfer'!$B$4,'Compliance Database'!$A275='Data Transfer'!$B$5),OR('Data Transfer'!$B$6="",ISNUMBER(SEARCH('Data Transfer'!$B$6,'Compliance Database'!$D275&amp;" "&amp;'Compliance Database'!$K275&amp;" "&amp;'Compliance Database'!$L275&amp;" "&amp;'Compliance Database'!$M275&amp;" "&amp;'Compliance Database'!$N275&amp;" "&amp;'Compliance Database'!$O275)))),1,0)</f>
        <v/>
      </c>
      <c r="B275">
        <f>IF($A275=1,SUM($A$2:$A275),"")</f>
        <v/>
      </c>
      <c r="C275">
        <f>IF($A275=1,SUM($A$2:$A275),0)</f>
        <v/>
      </c>
    </row>
    <row r="276">
      <c r="A276">
        <f>IF(AND(OR('Compliance Database'!$A276='Data Transfer'!$B$4,'Compliance Database'!$A276='Data Transfer'!$B$5),OR('Data Transfer'!$B$6="",ISNUMBER(SEARCH('Data Transfer'!$B$6,'Compliance Database'!$D276&amp;" "&amp;'Compliance Database'!$K276&amp;" "&amp;'Compliance Database'!$L276&amp;" "&amp;'Compliance Database'!$M276&amp;" "&amp;'Compliance Database'!$N276&amp;" "&amp;'Compliance Database'!$O276)))),1,0)</f>
        <v/>
      </c>
      <c r="B276">
        <f>IF($A276=1,SUM($A$2:$A276),"")</f>
        <v/>
      </c>
      <c r="C276">
        <f>IF($A276=1,SUM($A$2:$A276),0)</f>
        <v/>
      </c>
    </row>
    <row r="277">
      <c r="A277">
        <f>IF(AND(OR('Compliance Database'!$A277='Data Transfer'!$B$4,'Compliance Database'!$A277='Data Transfer'!$B$5),OR('Data Transfer'!$B$6="",ISNUMBER(SEARCH('Data Transfer'!$B$6,'Compliance Database'!$D277&amp;" "&amp;'Compliance Database'!$K277&amp;" "&amp;'Compliance Database'!$L277&amp;" "&amp;'Compliance Database'!$M277&amp;" "&amp;'Compliance Database'!$N277&amp;" "&amp;'Compliance Database'!$O277)))),1,0)</f>
        <v/>
      </c>
      <c r="B277">
        <f>IF($A277=1,SUM($A$2:$A277),"")</f>
        <v/>
      </c>
      <c r="C277">
        <f>IF($A277=1,SUM($A$2:$A277),0)</f>
        <v/>
      </c>
    </row>
    <row r="278">
      <c r="A278">
        <f>IF(AND(OR('Compliance Database'!$A278='Data Transfer'!$B$4,'Compliance Database'!$A278='Data Transfer'!$B$5),OR('Data Transfer'!$B$6="",ISNUMBER(SEARCH('Data Transfer'!$B$6,'Compliance Database'!$D278&amp;" "&amp;'Compliance Database'!$K278&amp;" "&amp;'Compliance Database'!$L278&amp;" "&amp;'Compliance Database'!$M278&amp;" "&amp;'Compliance Database'!$N278&amp;" "&amp;'Compliance Database'!$O278)))),1,0)</f>
        <v/>
      </c>
      <c r="B278">
        <f>IF($A278=1,SUM($A$2:$A278),"")</f>
        <v/>
      </c>
      <c r="C278">
        <f>IF($A278=1,SUM($A$2:$A278),0)</f>
        <v/>
      </c>
    </row>
    <row r="279">
      <c r="A279">
        <f>IF(AND(OR('Compliance Database'!$A279='Data Transfer'!$B$4,'Compliance Database'!$A279='Data Transfer'!$B$5),OR('Data Transfer'!$B$6="",ISNUMBER(SEARCH('Data Transfer'!$B$6,'Compliance Database'!$D279&amp;" "&amp;'Compliance Database'!$K279&amp;" "&amp;'Compliance Database'!$L279&amp;" "&amp;'Compliance Database'!$M279&amp;" "&amp;'Compliance Database'!$N279&amp;" "&amp;'Compliance Database'!$O279)))),1,0)</f>
        <v/>
      </c>
      <c r="B279">
        <f>IF($A279=1,SUM($A$2:$A279),"")</f>
        <v/>
      </c>
      <c r="C279">
        <f>IF($A279=1,SUM($A$2:$A279),0)</f>
        <v/>
      </c>
    </row>
    <row r="280">
      <c r="A280">
        <f>IF(AND(OR('Compliance Database'!$A280='Data Transfer'!$B$4,'Compliance Database'!$A280='Data Transfer'!$B$5),OR('Data Transfer'!$B$6="",ISNUMBER(SEARCH('Data Transfer'!$B$6,'Compliance Database'!$D280&amp;" "&amp;'Compliance Database'!$K280&amp;" "&amp;'Compliance Database'!$L280&amp;" "&amp;'Compliance Database'!$M280&amp;" "&amp;'Compliance Database'!$N280&amp;" "&amp;'Compliance Database'!$O280)))),1,0)</f>
        <v/>
      </c>
      <c r="B280">
        <f>IF($A280=1,SUM($A$2:$A280),"")</f>
        <v/>
      </c>
      <c r="C280">
        <f>IF($A280=1,SUM($A$2:$A280),0)</f>
        <v/>
      </c>
    </row>
    <row r="281">
      <c r="A281">
        <f>IF(AND(OR('Compliance Database'!$A281='Data Transfer'!$B$4,'Compliance Database'!$A281='Data Transfer'!$B$5),OR('Data Transfer'!$B$6="",ISNUMBER(SEARCH('Data Transfer'!$B$6,'Compliance Database'!$D281&amp;" "&amp;'Compliance Database'!$K281&amp;" "&amp;'Compliance Database'!$L281&amp;" "&amp;'Compliance Database'!$M281&amp;" "&amp;'Compliance Database'!$N281&amp;" "&amp;'Compliance Database'!$O281)))),1,0)</f>
        <v/>
      </c>
      <c r="B281">
        <f>IF($A281=1,SUM($A$2:$A281),"")</f>
        <v/>
      </c>
      <c r="C281">
        <f>IF($A281=1,SUM($A$2:$A281),0)</f>
        <v/>
      </c>
    </row>
    <row r="282">
      <c r="A282">
        <f>IF(AND(OR('Compliance Database'!$A282='Data Transfer'!$B$4,'Compliance Database'!$A282='Data Transfer'!$B$5),OR('Data Transfer'!$B$6="",ISNUMBER(SEARCH('Data Transfer'!$B$6,'Compliance Database'!$D282&amp;" "&amp;'Compliance Database'!$K282&amp;" "&amp;'Compliance Database'!$L282&amp;" "&amp;'Compliance Database'!$M282&amp;" "&amp;'Compliance Database'!$N282&amp;" "&amp;'Compliance Database'!$O282)))),1,0)</f>
        <v/>
      </c>
      <c r="B282">
        <f>IF($A282=1,SUM($A$2:$A282),"")</f>
        <v/>
      </c>
      <c r="C282">
        <f>IF($A282=1,SUM($A$2:$A282),0)</f>
        <v/>
      </c>
    </row>
    <row r="283">
      <c r="A283">
        <f>IF(AND(OR('Compliance Database'!$A283='Data Transfer'!$B$4,'Compliance Database'!$A283='Data Transfer'!$B$5),OR('Data Transfer'!$B$6="",ISNUMBER(SEARCH('Data Transfer'!$B$6,'Compliance Database'!$D283&amp;" "&amp;'Compliance Database'!$K283&amp;" "&amp;'Compliance Database'!$L283&amp;" "&amp;'Compliance Database'!$M283&amp;" "&amp;'Compliance Database'!$N283&amp;" "&amp;'Compliance Database'!$O283)))),1,0)</f>
        <v/>
      </c>
      <c r="B283">
        <f>IF($A283=1,SUM($A$2:$A283),"")</f>
        <v/>
      </c>
      <c r="C283">
        <f>IF($A283=1,SUM($A$2:$A283),0)</f>
        <v/>
      </c>
    </row>
    <row r="284">
      <c r="A284">
        <f>IF(AND(OR('Compliance Database'!$A284='Data Transfer'!$B$4,'Compliance Database'!$A284='Data Transfer'!$B$5),OR('Data Transfer'!$B$6="",ISNUMBER(SEARCH('Data Transfer'!$B$6,'Compliance Database'!$D284&amp;" "&amp;'Compliance Database'!$K284&amp;" "&amp;'Compliance Database'!$L284&amp;" "&amp;'Compliance Database'!$M284&amp;" "&amp;'Compliance Database'!$N284&amp;" "&amp;'Compliance Database'!$O284)))),1,0)</f>
        <v/>
      </c>
      <c r="B284">
        <f>IF($A284=1,SUM($A$2:$A284),"")</f>
        <v/>
      </c>
      <c r="C284">
        <f>IF($A284=1,SUM($A$2:$A284),0)</f>
        <v/>
      </c>
    </row>
    <row r="285">
      <c r="A285">
        <f>IF(AND(OR('Compliance Database'!$A285='Data Transfer'!$B$4,'Compliance Database'!$A285='Data Transfer'!$B$5),OR('Data Transfer'!$B$6="",ISNUMBER(SEARCH('Data Transfer'!$B$6,'Compliance Database'!$D285&amp;" "&amp;'Compliance Database'!$K285&amp;" "&amp;'Compliance Database'!$L285&amp;" "&amp;'Compliance Database'!$M285&amp;" "&amp;'Compliance Database'!$N285&amp;" "&amp;'Compliance Database'!$O285)))),1,0)</f>
        <v/>
      </c>
      <c r="B285">
        <f>IF($A285=1,SUM($A$2:$A285),"")</f>
        <v/>
      </c>
      <c r="C285">
        <f>IF($A285=1,SUM($A$2:$A285),0)</f>
        <v/>
      </c>
    </row>
    <row r="286">
      <c r="A286">
        <f>IF(AND(OR('Compliance Database'!$A286='Data Transfer'!$B$4,'Compliance Database'!$A286='Data Transfer'!$B$5),OR('Data Transfer'!$B$6="",ISNUMBER(SEARCH('Data Transfer'!$B$6,'Compliance Database'!$D286&amp;" "&amp;'Compliance Database'!$K286&amp;" "&amp;'Compliance Database'!$L286&amp;" "&amp;'Compliance Database'!$M286&amp;" "&amp;'Compliance Database'!$N286&amp;" "&amp;'Compliance Database'!$O286)))),1,0)</f>
        <v/>
      </c>
      <c r="B286">
        <f>IF($A286=1,SUM($A$2:$A286),"")</f>
        <v/>
      </c>
      <c r="C286">
        <f>IF($A286=1,SUM($A$2:$A286),0)</f>
        <v/>
      </c>
    </row>
    <row r="287">
      <c r="A287">
        <f>IF(AND(OR('Compliance Database'!$A287='Data Transfer'!$B$4,'Compliance Database'!$A287='Data Transfer'!$B$5),OR('Data Transfer'!$B$6="",ISNUMBER(SEARCH('Data Transfer'!$B$6,'Compliance Database'!$D287&amp;" "&amp;'Compliance Database'!$K287&amp;" "&amp;'Compliance Database'!$L287&amp;" "&amp;'Compliance Database'!$M287&amp;" "&amp;'Compliance Database'!$N287&amp;" "&amp;'Compliance Database'!$O287)))),1,0)</f>
        <v/>
      </c>
      <c r="B287">
        <f>IF($A287=1,SUM($A$2:$A287),"")</f>
        <v/>
      </c>
      <c r="C287">
        <f>IF($A287=1,SUM($A$2:$A287),0)</f>
        <v/>
      </c>
    </row>
    <row r="288">
      <c r="A288">
        <f>IF(AND(OR('Compliance Database'!$A288='Data Transfer'!$B$4,'Compliance Database'!$A288='Data Transfer'!$B$5),OR('Data Transfer'!$B$6="",ISNUMBER(SEARCH('Data Transfer'!$B$6,'Compliance Database'!$D288&amp;" "&amp;'Compliance Database'!$K288&amp;" "&amp;'Compliance Database'!$L288&amp;" "&amp;'Compliance Database'!$M288&amp;" "&amp;'Compliance Database'!$N288&amp;" "&amp;'Compliance Database'!$O288)))),1,0)</f>
        <v/>
      </c>
      <c r="B288">
        <f>IF($A288=1,SUM($A$2:$A288),"")</f>
        <v/>
      </c>
      <c r="C288">
        <f>IF($A288=1,SUM($A$2:$A288),0)</f>
        <v/>
      </c>
    </row>
    <row r="289">
      <c r="A289">
        <f>IF(AND(OR('Compliance Database'!$A289='Data Transfer'!$B$4,'Compliance Database'!$A289='Data Transfer'!$B$5),OR('Data Transfer'!$B$6="",ISNUMBER(SEARCH('Data Transfer'!$B$6,'Compliance Database'!$D289&amp;" "&amp;'Compliance Database'!$K289&amp;" "&amp;'Compliance Database'!$L289&amp;" "&amp;'Compliance Database'!$M289&amp;" "&amp;'Compliance Database'!$N289&amp;" "&amp;'Compliance Database'!$O289)))),1,0)</f>
        <v/>
      </c>
      <c r="B289">
        <f>IF($A289=1,SUM($A$2:$A289),"")</f>
        <v/>
      </c>
      <c r="C289">
        <f>IF($A289=1,SUM($A$2:$A289),0)</f>
        <v/>
      </c>
    </row>
    <row r="290">
      <c r="A290">
        <f>IF(AND(OR('Compliance Database'!$A290='Data Transfer'!$B$4,'Compliance Database'!$A290='Data Transfer'!$B$5),OR('Data Transfer'!$B$6="",ISNUMBER(SEARCH('Data Transfer'!$B$6,'Compliance Database'!$D290&amp;" "&amp;'Compliance Database'!$K290&amp;" "&amp;'Compliance Database'!$L290&amp;" "&amp;'Compliance Database'!$M290&amp;" "&amp;'Compliance Database'!$N290&amp;" "&amp;'Compliance Database'!$O290)))),1,0)</f>
        <v/>
      </c>
      <c r="B290">
        <f>IF($A290=1,SUM($A$2:$A290),"")</f>
        <v/>
      </c>
      <c r="C290">
        <f>IF($A290=1,SUM($A$2:$A290),0)</f>
        <v/>
      </c>
    </row>
    <row r="291">
      <c r="A291">
        <f>IF(AND(OR('Compliance Database'!$A291='Data Transfer'!$B$4,'Compliance Database'!$A291='Data Transfer'!$B$5),OR('Data Transfer'!$B$6="",ISNUMBER(SEARCH('Data Transfer'!$B$6,'Compliance Database'!$D291&amp;" "&amp;'Compliance Database'!$K291&amp;" "&amp;'Compliance Database'!$L291&amp;" "&amp;'Compliance Database'!$M291&amp;" "&amp;'Compliance Database'!$N291&amp;" "&amp;'Compliance Database'!$O291)))),1,0)</f>
        <v/>
      </c>
      <c r="B291">
        <f>IF($A291=1,SUM($A$2:$A291),"")</f>
        <v/>
      </c>
      <c r="C291">
        <f>IF($A291=1,SUM($A$2:$A291),0)</f>
        <v/>
      </c>
    </row>
    <row r="292">
      <c r="A292">
        <f>IF(AND(OR('Compliance Database'!$A292='Data Transfer'!$B$4,'Compliance Database'!$A292='Data Transfer'!$B$5),OR('Data Transfer'!$B$6="",ISNUMBER(SEARCH('Data Transfer'!$B$6,'Compliance Database'!$D292&amp;" "&amp;'Compliance Database'!$K292&amp;" "&amp;'Compliance Database'!$L292&amp;" "&amp;'Compliance Database'!$M292&amp;" "&amp;'Compliance Database'!$N292&amp;" "&amp;'Compliance Database'!$O292)))),1,0)</f>
        <v/>
      </c>
      <c r="B292">
        <f>IF($A292=1,SUM($A$2:$A292),"")</f>
        <v/>
      </c>
      <c r="C292">
        <f>IF($A292=1,SUM($A$2:$A292),0)</f>
        <v/>
      </c>
    </row>
    <row r="293">
      <c r="A293">
        <f>IF(AND(OR('Compliance Database'!$A293='Data Transfer'!$B$4,'Compliance Database'!$A293='Data Transfer'!$B$5),OR('Data Transfer'!$B$6="",ISNUMBER(SEARCH('Data Transfer'!$B$6,'Compliance Database'!$D293&amp;" "&amp;'Compliance Database'!$K293&amp;" "&amp;'Compliance Database'!$L293&amp;" "&amp;'Compliance Database'!$M293&amp;" "&amp;'Compliance Database'!$N293&amp;" "&amp;'Compliance Database'!$O293)))),1,0)</f>
        <v/>
      </c>
      <c r="B293">
        <f>IF($A293=1,SUM($A$2:$A293),"")</f>
        <v/>
      </c>
      <c r="C293">
        <f>IF($A293=1,SUM($A$2:$A293),0)</f>
        <v/>
      </c>
    </row>
    <row r="294">
      <c r="A294">
        <f>IF(AND(OR('Compliance Database'!$A294='Data Transfer'!$B$4,'Compliance Database'!$A294='Data Transfer'!$B$5),OR('Data Transfer'!$B$6="",ISNUMBER(SEARCH('Data Transfer'!$B$6,'Compliance Database'!$D294&amp;" "&amp;'Compliance Database'!$K294&amp;" "&amp;'Compliance Database'!$L294&amp;" "&amp;'Compliance Database'!$M294&amp;" "&amp;'Compliance Database'!$N294&amp;" "&amp;'Compliance Database'!$O294)))),1,0)</f>
        <v/>
      </c>
      <c r="B294">
        <f>IF($A294=1,SUM($A$2:$A294),"")</f>
        <v/>
      </c>
      <c r="C294">
        <f>IF($A294=1,SUM($A$2:$A294),0)</f>
        <v/>
      </c>
    </row>
    <row r="295">
      <c r="A295">
        <f>IF(AND(OR('Compliance Database'!$A295='Data Transfer'!$B$4,'Compliance Database'!$A295='Data Transfer'!$B$5),OR('Data Transfer'!$B$6="",ISNUMBER(SEARCH('Data Transfer'!$B$6,'Compliance Database'!$D295&amp;" "&amp;'Compliance Database'!$K295&amp;" "&amp;'Compliance Database'!$L295&amp;" "&amp;'Compliance Database'!$M295&amp;" "&amp;'Compliance Database'!$N295&amp;" "&amp;'Compliance Database'!$O295)))),1,0)</f>
        <v/>
      </c>
      <c r="B295">
        <f>IF($A295=1,SUM($A$2:$A295),"")</f>
        <v/>
      </c>
      <c r="C295">
        <f>IF($A295=1,SUM($A$2:$A295),0)</f>
        <v/>
      </c>
    </row>
    <row r="296">
      <c r="A296">
        <f>IF(AND(OR('Compliance Database'!$A296='Data Transfer'!$B$4,'Compliance Database'!$A296='Data Transfer'!$B$5),OR('Data Transfer'!$B$6="",ISNUMBER(SEARCH('Data Transfer'!$B$6,'Compliance Database'!$D296&amp;" "&amp;'Compliance Database'!$K296&amp;" "&amp;'Compliance Database'!$L296&amp;" "&amp;'Compliance Database'!$M296&amp;" "&amp;'Compliance Database'!$N296&amp;" "&amp;'Compliance Database'!$O296)))),1,0)</f>
        <v/>
      </c>
      <c r="B296">
        <f>IF($A296=1,SUM($A$2:$A296),"")</f>
        <v/>
      </c>
      <c r="C296">
        <f>IF($A296=1,SUM($A$2:$A296),0)</f>
        <v/>
      </c>
    </row>
    <row r="297">
      <c r="A297">
        <f>IF(AND(OR('Compliance Database'!$A297='Data Transfer'!$B$4,'Compliance Database'!$A297='Data Transfer'!$B$5),OR('Data Transfer'!$B$6="",ISNUMBER(SEARCH('Data Transfer'!$B$6,'Compliance Database'!$D297&amp;" "&amp;'Compliance Database'!$K297&amp;" "&amp;'Compliance Database'!$L297&amp;" "&amp;'Compliance Database'!$M297&amp;" "&amp;'Compliance Database'!$N297&amp;" "&amp;'Compliance Database'!$O297)))),1,0)</f>
        <v/>
      </c>
      <c r="B297">
        <f>IF($A297=1,SUM($A$2:$A297),"")</f>
        <v/>
      </c>
      <c r="C297">
        <f>IF($A297=1,SUM($A$2:$A297),0)</f>
        <v/>
      </c>
    </row>
    <row r="298">
      <c r="A298">
        <f>IF(AND(OR('Compliance Database'!$A298='Data Transfer'!$B$4,'Compliance Database'!$A298='Data Transfer'!$B$5),OR('Data Transfer'!$B$6="",ISNUMBER(SEARCH('Data Transfer'!$B$6,'Compliance Database'!$D298&amp;" "&amp;'Compliance Database'!$K298&amp;" "&amp;'Compliance Database'!$L298&amp;" "&amp;'Compliance Database'!$M298&amp;" "&amp;'Compliance Database'!$N298&amp;" "&amp;'Compliance Database'!$O298)))),1,0)</f>
        <v/>
      </c>
      <c r="B298">
        <f>IF($A298=1,SUM($A$2:$A298),"")</f>
        <v/>
      </c>
      <c r="C298">
        <f>IF($A298=1,SUM($A$2:$A298),0)</f>
        <v/>
      </c>
    </row>
    <row r="299">
      <c r="A299">
        <f>IF(AND(OR('Compliance Database'!$A299='Data Transfer'!$B$4,'Compliance Database'!$A299='Data Transfer'!$B$5),OR('Data Transfer'!$B$6="",ISNUMBER(SEARCH('Data Transfer'!$B$6,'Compliance Database'!$D299&amp;" "&amp;'Compliance Database'!$K299&amp;" "&amp;'Compliance Database'!$L299&amp;" "&amp;'Compliance Database'!$M299&amp;" "&amp;'Compliance Database'!$N299&amp;" "&amp;'Compliance Database'!$O299)))),1,0)</f>
        <v/>
      </c>
      <c r="B299">
        <f>IF($A299=1,SUM($A$2:$A299),"")</f>
        <v/>
      </c>
      <c r="C299">
        <f>IF($A299=1,SUM($A$2:$A299),0)</f>
        <v/>
      </c>
    </row>
    <row r="300">
      <c r="A300">
        <f>IF(AND(OR('Compliance Database'!$A300='Data Transfer'!$B$4,'Compliance Database'!$A300='Data Transfer'!$B$5),OR('Data Transfer'!$B$6="",ISNUMBER(SEARCH('Data Transfer'!$B$6,'Compliance Database'!$D300&amp;" "&amp;'Compliance Database'!$K300&amp;" "&amp;'Compliance Database'!$L300&amp;" "&amp;'Compliance Database'!$M300&amp;" "&amp;'Compliance Database'!$N300&amp;" "&amp;'Compliance Database'!$O300)))),1,0)</f>
        <v/>
      </c>
      <c r="B300">
        <f>IF($A300=1,SUM($A$2:$A300),"")</f>
        <v/>
      </c>
      <c r="C300">
        <f>IF($A300=1,SUM($A$2:$A300),0)</f>
        <v/>
      </c>
    </row>
    <row r="301">
      <c r="A301">
        <f>IF(AND(OR('Compliance Database'!$A301='Data Transfer'!$B$4,'Compliance Database'!$A301='Data Transfer'!$B$5),OR('Data Transfer'!$B$6="",ISNUMBER(SEARCH('Data Transfer'!$B$6,'Compliance Database'!$D301&amp;" "&amp;'Compliance Database'!$K301&amp;" "&amp;'Compliance Database'!$L301&amp;" "&amp;'Compliance Database'!$M301&amp;" "&amp;'Compliance Database'!$N301&amp;" "&amp;'Compliance Database'!$O301)))),1,0)</f>
        <v/>
      </c>
      <c r="B301">
        <f>IF($A301=1,SUM($A$2:$A301),"")</f>
        <v/>
      </c>
      <c r="C301">
        <f>IF($A301=1,SUM($A$2:$A301),0)</f>
        <v/>
      </c>
    </row>
    <row r="302">
      <c r="A302">
        <f>IF(AND(OR('Compliance Database'!$A302='Data Transfer'!$B$4,'Compliance Database'!$A302='Data Transfer'!$B$5),OR('Data Transfer'!$B$6="",ISNUMBER(SEARCH('Data Transfer'!$B$6,'Compliance Database'!$D302&amp;" "&amp;'Compliance Database'!$K302&amp;" "&amp;'Compliance Database'!$L302&amp;" "&amp;'Compliance Database'!$M302&amp;" "&amp;'Compliance Database'!$N302&amp;" "&amp;'Compliance Database'!$O302)))),1,0)</f>
        <v/>
      </c>
      <c r="B302">
        <f>IF($A302=1,SUM($A$2:$A302),"")</f>
        <v/>
      </c>
      <c r="C302">
        <f>IF($A302=1,SUM($A$2:$A302),0)</f>
        <v/>
      </c>
    </row>
    <row r="303">
      <c r="A303">
        <f>IF(AND(OR('Compliance Database'!$A303='Data Transfer'!$B$4,'Compliance Database'!$A303='Data Transfer'!$B$5),OR('Data Transfer'!$B$6="",ISNUMBER(SEARCH('Data Transfer'!$B$6,'Compliance Database'!$D303&amp;" "&amp;'Compliance Database'!$K303&amp;" "&amp;'Compliance Database'!$L303&amp;" "&amp;'Compliance Database'!$M303&amp;" "&amp;'Compliance Database'!$N303&amp;" "&amp;'Compliance Database'!$O303)))),1,0)</f>
        <v/>
      </c>
      <c r="B303">
        <f>IF($A303=1,SUM($A$2:$A303),"")</f>
        <v/>
      </c>
      <c r="C303">
        <f>IF($A303=1,SUM($A$2:$A303),0)</f>
        <v/>
      </c>
    </row>
    <row r="304">
      <c r="A304">
        <f>IF(AND(OR('Compliance Database'!$A304='Data Transfer'!$B$4,'Compliance Database'!$A304='Data Transfer'!$B$5),OR('Data Transfer'!$B$6="",ISNUMBER(SEARCH('Data Transfer'!$B$6,'Compliance Database'!$D304&amp;" "&amp;'Compliance Database'!$K304&amp;" "&amp;'Compliance Database'!$L304&amp;" "&amp;'Compliance Database'!$M304&amp;" "&amp;'Compliance Database'!$N304&amp;" "&amp;'Compliance Database'!$O304)))),1,0)</f>
        <v/>
      </c>
      <c r="B304">
        <f>IF($A304=1,SUM($A$2:$A304),"")</f>
        <v/>
      </c>
      <c r="C304">
        <f>IF($A304=1,SUM($A$2:$A304),0)</f>
        <v/>
      </c>
    </row>
    <row r="305">
      <c r="A305">
        <f>IF(AND(OR('Compliance Database'!$A305='Data Transfer'!$B$4,'Compliance Database'!$A305='Data Transfer'!$B$5),OR('Data Transfer'!$B$6="",ISNUMBER(SEARCH('Data Transfer'!$B$6,'Compliance Database'!$D305&amp;" "&amp;'Compliance Database'!$K305&amp;" "&amp;'Compliance Database'!$L305&amp;" "&amp;'Compliance Database'!$M305&amp;" "&amp;'Compliance Database'!$N305&amp;" "&amp;'Compliance Database'!$O305)))),1,0)</f>
        <v/>
      </c>
      <c r="B305">
        <f>IF($A305=1,SUM($A$2:$A305),"")</f>
        <v/>
      </c>
      <c r="C305">
        <f>IF($A305=1,SUM($A$2:$A305),0)</f>
        <v/>
      </c>
    </row>
    <row r="306">
      <c r="A306">
        <f>IF(AND(OR('Compliance Database'!$A306='Data Transfer'!$B$4,'Compliance Database'!$A306='Data Transfer'!$B$5),OR('Data Transfer'!$B$6="",ISNUMBER(SEARCH('Data Transfer'!$B$6,'Compliance Database'!$D306&amp;" "&amp;'Compliance Database'!$K306&amp;" "&amp;'Compliance Database'!$L306&amp;" "&amp;'Compliance Database'!$M306&amp;" "&amp;'Compliance Database'!$N306&amp;" "&amp;'Compliance Database'!$O306)))),1,0)</f>
        <v/>
      </c>
      <c r="B306">
        <f>IF($A306=1,SUM($A$2:$A306),"")</f>
        <v/>
      </c>
      <c r="C306">
        <f>IF($A306=1,SUM($A$2:$A306),0)</f>
        <v/>
      </c>
    </row>
    <row r="307">
      <c r="A307">
        <f>IF(AND(OR('Compliance Database'!$A307='Data Transfer'!$B$4,'Compliance Database'!$A307='Data Transfer'!$B$5),OR('Data Transfer'!$B$6="",ISNUMBER(SEARCH('Data Transfer'!$B$6,'Compliance Database'!$D307&amp;" "&amp;'Compliance Database'!$K307&amp;" "&amp;'Compliance Database'!$L307&amp;" "&amp;'Compliance Database'!$M307&amp;" "&amp;'Compliance Database'!$N307&amp;" "&amp;'Compliance Database'!$O307)))),1,0)</f>
        <v/>
      </c>
      <c r="B307">
        <f>IF($A307=1,SUM($A$2:$A307),"")</f>
        <v/>
      </c>
      <c r="C307">
        <f>IF($A307=1,SUM($A$2:$A307),0)</f>
        <v/>
      </c>
    </row>
    <row r="308">
      <c r="A308">
        <f>IF(AND(OR('Compliance Database'!$A308='Data Transfer'!$B$4,'Compliance Database'!$A308='Data Transfer'!$B$5),OR('Data Transfer'!$B$6="",ISNUMBER(SEARCH('Data Transfer'!$B$6,'Compliance Database'!$D308&amp;" "&amp;'Compliance Database'!$K308&amp;" "&amp;'Compliance Database'!$L308&amp;" "&amp;'Compliance Database'!$M308&amp;" "&amp;'Compliance Database'!$N308&amp;" "&amp;'Compliance Database'!$O308)))),1,0)</f>
        <v/>
      </c>
      <c r="B308">
        <f>IF($A308=1,SUM($A$2:$A308),"")</f>
        <v/>
      </c>
      <c r="C308">
        <f>IF($A308=1,SUM($A$2:$A308),0)</f>
        <v/>
      </c>
    </row>
    <row r="309">
      <c r="A309">
        <f>IF(AND(OR('Compliance Database'!$A309='Data Transfer'!$B$4,'Compliance Database'!$A309='Data Transfer'!$B$5),OR('Data Transfer'!$B$6="",ISNUMBER(SEARCH('Data Transfer'!$B$6,'Compliance Database'!$D309&amp;" "&amp;'Compliance Database'!$K309&amp;" "&amp;'Compliance Database'!$L309&amp;" "&amp;'Compliance Database'!$M309&amp;" "&amp;'Compliance Database'!$N309&amp;" "&amp;'Compliance Database'!$O309)))),1,0)</f>
        <v/>
      </c>
      <c r="B309">
        <f>IF($A309=1,SUM($A$2:$A309),"")</f>
        <v/>
      </c>
      <c r="C309">
        <f>IF($A309=1,SUM($A$2:$A309),0)</f>
        <v/>
      </c>
    </row>
    <row r="310">
      <c r="A310">
        <f>IF(AND(OR('Compliance Database'!$A310='Data Transfer'!$B$4,'Compliance Database'!$A310='Data Transfer'!$B$5),OR('Data Transfer'!$B$6="",ISNUMBER(SEARCH('Data Transfer'!$B$6,'Compliance Database'!$D310&amp;" "&amp;'Compliance Database'!$K310&amp;" "&amp;'Compliance Database'!$L310&amp;" "&amp;'Compliance Database'!$M310&amp;" "&amp;'Compliance Database'!$N310&amp;" "&amp;'Compliance Database'!$O310)))),1,0)</f>
        <v/>
      </c>
      <c r="B310">
        <f>IF($A310=1,SUM($A$2:$A310),"")</f>
        <v/>
      </c>
      <c r="C310">
        <f>IF($A310=1,SUM($A$2:$A310),0)</f>
        <v/>
      </c>
    </row>
    <row r="311">
      <c r="A311">
        <f>IF(AND(OR('Compliance Database'!$A311='Data Transfer'!$B$4,'Compliance Database'!$A311='Data Transfer'!$B$5),OR('Data Transfer'!$B$6="",ISNUMBER(SEARCH('Data Transfer'!$B$6,'Compliance Database'!$D311&amp;" "&amp;'Compliance Database'!$K311&amp;" "&amp;'Compliance Database'!$L311&amp;" "&amp;'Compliance Database'!$M311&amp;" "&amp;'Compliance Database'!$N311&amp;" "&amp;'Compliance Database'!$O311)))),1,0)</f>
        <v/>
      </c>
      <c r="B311">
        <f>IF($A311=1,SUM($A$2:$A311),"")</f>
        <v/>
      </c>
      <c r="C311">
        <f>IF($A311=1,SUM($A$2:$A311),0)</f>
        <v/>
      </c>
    </row>
    <row r="312">
      <c r="A312">
        <f>IF(AND(OR('Compliance Database'!$A312='Data Transfer'!$B$4,'Compliance Database'!$A312='Data Transfer'!$B$5),OR('Data Transfer'!$B$6="",ISNUMBER(SEARCH('Data Transfer'!$B$6,'Compliance Database'!$D312&amp;" "&amp;'Compliance Database'!$K312&amp;" "&amp;'Compliance Database'!$L312&amp;" "&amp;'Compliance Database'!$M312&amp;" "&amp;'Compliance Database'!$N312&amp;" "&amp;'Compliance Database'!$O312)))),1,0)</f>
        <v/>
      </c>
      <c r="B312">
        <f>IF($A312=1,SUM($A$2:$A312),"")</f>
        <v/>
      </c>
      <c r="C312">
        <f>IF($A312=1,SUM($A$2:$A312),0)</f>
        <v/>
      </c>
    </row>
    <row r="313">
      <c r="A313">
        <f>IF(AND(OR('Compliance Database'!$A313='Data Transfer'!$B$4,'Compliance Database'!$A313='Data Transfer'!$B$5),OR('Data Transfer'!$B$6="",ISNUMBER(SEARCH('Data Transfer'!$B$6,'Compliance Database'!$D313&amp;" "&amp;'Compliance Database'!$K313&amp;" "&amp;'Compliance Database'!$L313&amp;" "&amp;'Compliance Database'!$M313&amp;" "&amp;'Compliance Database'!$N313&amp;" "&amp;'Compliance Database'!$O313)))),1,0)</f>
        <v/>
      </c>
      <c r="B313">
        <f>IF($A313=1,SUM($A$2:$A313),"")</f>
        <v/>
      </c>
      <c r="C313">
        <f>IF($A313=1,SUM($A$2:$A313),0)</f>
        <v/>
      </c>
    </row>
    <row r="314">
      <c r="A314">
        <f>IF(AND(OR('Compliance Database'!$A314='Data Transfer'!$B$4,'Compliance Database'!$A314='Data Transfer'!$B$5),OR('Data Transfer'!$B$6="",ISNUMBER(SEARCH('Data Transfer'!$B$6,'Compliance Database'!$D314&amp;" "&amp;'Compliance Database'!$K314&amp;" "&amp;'Compliance Database'!$L314&amp;" "&amp;'Compliance Database'!$M314&amp;" "&amp;'Compliance Database'!$N314&amp;" "&amp;'Compliance Database'!$O314)))),1,0)</f>
        <v/>
      </c>
      <c r="B314">
        <f>IF($A314=1,SUM($A$2:$A314),"")</f>
        <v/>
      </c>
      <c r="C314">
        <f>IF($A314=1,SUM($A$2:$A314),0)</f>
        <v/>
      </c>
    </row>
    <row r="315">
      <c r="A315">
        <f>IF(AND(OR('Compliance Database'!$A315='Data Transfer'!$B$4,'Compliance Database'!$A315='Data Transfer'!$B$5),OR('Data Transfer'!$B$6="",ISNUMBER(SEARCH('Data Transfer'!$B$6,'Compliance Database'!$D315&amp;" "&amp;'Compliance Database'!$K315&amp;" "&amp;'Compliance Database'!$L315&amp;" "&amp;'Compliance Database'!$M315&amp;" "&amp;'Compliance Database'!$N315&amp;" "&amp;'Compliance Database'!$O315)))),1,0)</f>
        <v/>
      </c>
      <c r="B315">
        <f>IF($A315=1,SUM($A$2:$A315),"")</f>
        <v/>
      </c>
      <c r="C315">
        <f>IF($A315=1,SUM($A$2:$A315),0)</f>
        <v/>
      </c>
    </row>
    <row r="316">
      <c r="A316">
        <f>IF(AND(OR('Compliance Database'!$A316='Data Transfer'!$B$4,'Compliance Database'!$A316='Data Transfer'!$B$5),OR('Data Transfer'!$B$6="",ISNUMBER(SEARCH('Data Transfer'!$B$6,'Compliance Database'!$D316&amp;" "&amp;'Compliance Database'!$K316&amp;" "&amp;'Compliance Database'!$L316&amp;" "&amp;'Compliance Database'!$M316&amp;" "&amp;'Compliance Database'!$N316&amp;" "&amp;'Compliance Database'!$O316)))),1,0)</f>
        <v/>
      </c>
      <c r="B316">
        <f>IF($A316=1,SUM($A$2:$A316),"")</f>
        <v/>
      </c>
      <c r="C316">
        <f>IF($A316=1,SUM($A$2:$A316),0)</f>
        <v/>
      </c>
    </row>
    <row r="317">
      <c r="A317">
        <f>IF(AND(OR('Compliance Database'!$A317='Data Transfer'!$B$4,'Compliance Database'!$A317='Data Transfer'!$B$5),OR('Data Transfer'!$B$6="",ISNUMBER(SEARCH('Data Transfer'!$B$6,'Compliance Database'!$D317&amp;" "&amp;'Compliance Database'!$K317&amp;" "&amp;'Compliance Database'!$L317&amp;" "&amp;'Compliance Database'!$M317&amp;" "&amp;'Compliance Database'!$N317&amp;" "&amp;'Compliance Database'!$O317)))),1,0)</f>
        <v/>
      </c>
      <c r="B317">
        <f>IF($A317=1,SUM($A$2:$A317),"")</f>
        <v/>
      </c>
      <c r="C317">
        <f>IF($A317=1,SUM($A$2:$A317),0)</f>
        <v/>
      </c>
    </row>
    <row r="318">
      <c r="A318">
        <f>IF(AND(OR('Compliance Database'!$A318='Data Transfer'!$B$4,'Compliance Database'!$A318='Data Transfer'!$B$5),OR('Data Transfer'!$B$6="",ISNUMBER(SEARCH('Data Transfer'!$B$6,'Compliance Database'!$D318&amp;" "&amp;'Compliance Database'!$K318&amp;" "&amp;'Compliance Database'!$L318&amp;" "&amp;'Compliance Database'!$M318&amp;" "&amp;'Compliance Database'!$N318&amp;" "&amp;'Compliance Database'!$O318)))),1,0)</f>
        <v/>
      </c>
      <c r="B318">
        <f>IF($A318=1,SUM($A$2:$A318),"")</f>
        <v/>
      </c>
      <c r="C318">
        <f>IF($A318=1,SUM($A$2:$A318),0)</f>
        <v/>
      </c>
    </row>
    <row r="319">
      <c r="A319">
        <f>IF(AND(OR('Compliance Database'!$A319='Data Transfer'!$B$4,'Compliance Database'!$A319='Data Transfer'!$B$5),OR('Data Transfer'!$B$6="",ISNUMBER(SEARCH('Data Transfer'!$B$6,'Compliance Database'!$D319&amp;" "&amp;'Compliance Database'!$K319&amp;" "&amp;'Compliance Database'!$L319&amp;" "&amp;'Compliance Database'!$M319&amp;" "&amp;'Compliance Database'!$N319&amp;" "&amp;'Compliance Database'!$O319)))),1,0)</f>
        <v/>
      </c>
      <c r="B319">
        <f>IF($A319=1,SUM($A$2:$A319),"")</f>
        <v/>
      </c>
      <c r="C319">
        <f>IF($A319=1,SUM($A$2:$A319),0)</f>
        <v/>
      </c>
    </row>
    <row r="320">
      <c r="A320">
        <f>IF(AND(OR('Compliance Database'!$A320='Data Transfer'!$B$4,'Compliance Database'!$A320='Data Transfer'!$B$5),OR('Data Transfer'!$B$6="",ISNUMBER(SEARCH('Data Transfer'!$B$6,'Compliance Database'!$D320&amp;" "&amp;'Compliance Database'!$K320&amp;" "&amp;'Compliance Database'!$L320&amp;" "&amp;'Compliance Database'!$M320&amp;" "&amp;'Compliance Database'!$N320&amp;" "&amp;'Compliance Database'!$O320)))),1,0)</f>
        <v/>
      </c>
      <c r="B320">
        <f>IF($A320=1,SUM($A$2:$A320),"")</f>
        <v/>
      </c>
      <c r="C320">
        <f>IF($A320=1,SUM($A$2:$A320),0)</f>
        <v/>
      </c>
    </row>
    <row r="321">
      <c r="A321">
        <f>IF(AND(OR('Compliance Database'!$A321='Data Transfer'!$B$4,'Compliance Database'!$A321='Data Transfer'!$B$5),OR('Data Transfer'!$B$6="",ISNUMBER(SEARCH('Data Transfer'!$B$6,'Compliance Database'!$D321&amp;" "&amp;'Compliance Database'!$K321&amp;" "&amp;'Compliance Database'!$L321&amp;" "&amp;'Compliance Database'!$M321&amp;" "&amp;'Compliance Database'!$N321&amp;" "&amp;'Compliance Database'!$O321)))),1,0)</f>
        <v/>
      </c>
      <c r="B321">
        <f>IF($A321=1,SUM($A$2:$A321),"")</f>
        <v/>
      </c>
      <c r="C321">
        <f>IF($A321=1,SUM($A$2:$A321),0)</f>
        <v/>
      </c>
    </row>
    <row r="322">
      <c r="A322">
        <f>IF(AND(OR('Compliance Database'!$A322='Data Transfer'!$B$4,'Compliance Database'!$A322='Data Transfer'!$B$5),OR('Data Transfer'!$B$6="",ISNUMBER(SEARCH('Data Transfer'!$B$6,'Compliance Database'!$D322&amp;" "&amp;'Compliance Database'!$K322&amp;" "&amp;'Compliance Database'!$L322&amp;" "&amp;'Compliance Database'!$M322&amp;" "&amp;'Compliance Database'!$N322&amp;" "&amp;'Compliance Database'!$O322)))),1,0)</f>
        <v/>
      </c>
      <c r="B322">
        <f>IF($A322=1,SUM($A$2:$A322),"")</f>
        <v/>
      </c>
      <c r="C322">
        <f>IF($A322=1,SUM($A$2:$A322),0)</f>
        <v/>
      </c>
    </row>
    <row r="323">
      <c r="A323">
        <f>IF(AND(OR('Compliance Database'!$A323='Data Transfer'!$B$4,'Compliance Database'!$A323='Data Transfer'!$B$5),OR('Data Transfer'!$B$6="",ISNUMBER(SEARCH('Data Transfer'!$B$6,'Compliance Database'!$D323&amp;" "&amp;'Compliance Database'!$K323&amp;" "&amp;'Compliance Database'!$L323&amp;" "&amp;'Compliance Database'!$M323&amp;" "&amp;'Compliance Database'!$N323&amp;" "&amp;'Compliance Database'!$O323)))),1,0)</f>
        <v/>
      </c>
      <c r="B323">
        <f>IF($A323=1,SUM($A$2:$A323),"")</f>
        <v/>
      </c>
      <c r="C323">
        <f>IF($A323=1,SUM($A$2:$A323),0)</f>
        <v/>
      </c>
    </row>
    <row r="324">
      <c r="A324">
        <f>IF(AND(OR('Compliance Database'!$A324='Data Transfer'!$B$4,'Compliance Database'!$A324='Data Transfer'!$B$5),OR('Data Transfer'!$B$6="",ISNUMBER(SEARCH('Data Transfer'!$B$6,'Compliance Database'!$D324&amp;" "&amp;'Compliance Database'!$K324&amp;" "&amp;'Compliance Database'!$L324&amp;" "&amp;'Compliance Database'!$M324&amp;" "&amp;'Compliance Database'!$N324&amp;" "&amp;'Compliance Database'!$O324)))),1,0)</f>
        <v/>
      </c>
      <c r="B324">
        <f>IF($A324=1,SUM($A$2:$A324),"")</f>
        <v/>
      </c>
      <c r="C324">
        <f>IF($A324=1,SUM($A$2:$A324),0)</f>
        <v/>
      </c>
    </row>
    <row r="325">
      <c r="A325">
        <f>IF(AND(OR('Compliance Database'!$A325='Data Transfer'!$B$4,'Compliance Database'!$A325='Data Transfer'!$B$5),OR('Data Transfer'!$B$6="",ISNUMBER(SEARCH('Data Transfer'!$B$6,'Compliance Database'!$D325&amp;" "&amp;'Compliance Database'!$K325&amp;" "&amp;'Compliance Database'!$L325&amp;" "&amp;'Compliance Database'!$M325&amp;" "&amp;'Compliance Database'!$N325&amp;" "&amp;'Compliance Database'!$O325)))),1,0)</f>
        <v/>
      </c>
      <c r="B325">
        <f>IF($A325=1,SUM($A$2:$A325),"")</f>
        <v/>
      </c>
      <c r="C325">
        <f>IF($A325=1,SUM($A$2:$A325),0)</f>
        <v/>
      </c>
    </row>
    <row r="326">
      <c r="A326">
        <f>IF(AND(OR('Compliance Database'!$A326='Data Transfer'!$B$4,'Compliance Database'!$A326='Data Transfer'!$B$5),OR('Data Transfer'!$B$6="",ISNUMBER(SEARCH('Data Transfer'!$B$6,'Compliance Database'!$D326&amp;" "&amp;'Compliance Database'!$K326&amp;" "&amp;'Compliance Database'!$L326&amp;" "&amp;'Compliance Database'!$M326&amp;" "&amp;'Compliance Database'!$N326&amp;" "&amp;'Compliance Database'!$O326)))),1,0)</f>
        <v/>
      </c>
      <c r="B326">
        <f>IF($A326=1,SUM($A$2:$A326),"")</f>
        <v/>
      </c>
      <c r="C326">
        <f>IF($A326=1,SUM($A$2:$A326),0)</f>
        <v/>
      </c>
    </row>
    <row r="327">
      <c r="A327">
        <f>IF(AND(OR('Compliance Database'!$A327='Data Transfer'!$B$4,'Compliance Database'!$A327='Data Transfer'!$B$5),OR('Data Transfer'!$B$6="",ISNUMBER(SEARCH('Data Transfer'!$B$6,'Compliance Database'!$D327&amp;" "&amp;'Compliance Database'!$K327&amp;" "&amp;'Compliance Database'!$L327&amp;" "&amp;'Compliance Database'!$M327&amp;" "&amp;'Compliance Database'!$N327&amp;" "&amp;'Compliance Database'!$O327)))),1,0)</f>
        <v/>
      </c>
      <c r="B327">
        <f>IF($A327=1,SUM($A$2:$A327),"")</f>
        <v/>
      </c>
      <c r="C327">
        <f>IF($A327=1,SUM($A$2:$A327),0)</f>
        <v/>
      </c>
    </row>
    <row r="328">
      <c r="A328">
        <f>IF(AND(OR('Compliance Database'!$A328='Data Transfer'!$B$4,'Compliance Database'!$A328='Data Transfer'!$B$5),OR('Data Transfer'!$B$6="",ISNUMBER(SEARCH('Data Transfer'!$B$6,'Compliance Database'!$D328&amp;" "&amp;'Compliance Database'!$K328&amp;" "&amp;'Compliance Database'!$L328&amp;" "&amp;'Compliance Database'!$M328&amp;" "&amp;'Compliance Database'!$N328&amp;" "&amp;'Compliance Database'!$O328)))),1,0)</f>
        <v/>
      </c>
      <c r="B328">
        <f>IF($A328=1,SUM($A$2:$A328),"")</f>
        <v/>
      </c>
      <c r="C328">
        <f>IF($A328=1,SUM($A$2:$A328),0)</f>
        <v/>
      </c>
    </row>
    <row r="329">
      <c r="A329">
        <f>IF(AND(OR('Compliance Database'!$A329='Data Transfer'!$B$4,'Compliance Database'!$A329='Data Transfer'!$B$5),OR('Data Transfer'!$B$6="",ISNUMBER(SEARCH('Data Transfer'!$B$6,'Compliance Database'!$D329&amp;" "&amp;'Compliance Database'!$K329&amp;" "&amp;'Compliance Database'!$L329&amp;" "&amp;'Compliance Database'!$M329&amp;" "&amp;'Compliance Database'!$N329&amp;" "&amp;'Compliance Database'!$O329)))),1,0)</f>
        <v/>
      </c>
      <c r="B329">
        <f>IF($A329=1,SUM($A$2:$A329),"")</f>
        <v/>
      </c>
      <c r="C329">
        <f>IF($A329=1,SUM($A$2:$A329),0)</f>
        <v/>
      </c>
    </row>
    <row r="330">
      <c r="A330">
        <f>IF(AND(OR('Compliance Database'!$A330='Data Transfer'!$B$4,'Compliance Database'!$A330='Data Transfer'!$B$5),OR('Data Transfer'!$B$6="",ISNUMBER(SEARCH('Data Transfer'!$B$6,'Compliance Database'!$D330&amp;" "&amp;'Compliance Database'!$K330&amp;" "&amp;'Compliance Database'!$L330&amp;" "&amp;'Compliance Database'!$M330&amp;" "&amp;'Compliance Database'!$N330&amp;" "&amp;'Compliance Database'!$O330)))),1,0)</f>
        <v/>
      </c>
      <c r="B330">
        <f>IF($A330=1,SUM($A$2:$A330),"")</f>
        <v/>
      </c>
      <c r="C330">
        <f>IF($A330=1,SUM($A$2:$A330),0)</f>
        <v/>
      </c>
    </row>
    <row r="331">
      <c r="A331">
        <f>IF(AND(OR('Compliance Database'!$A331='Data Transfer'!$B$4,'Compliance Database'!$A331='Data Transfer'!$B$5),OR('Data Transfer'!$B$6="",ISNUMBER(SEARCH('Data Transfer'!$B$6,'Compliance Database'!$D331&amp;" "&amp;'Compliance Database'!$K331&amp;" "&amp;'Compliance Database'!$L331&amp;" "&amp;'Compliance Database'!$M331&amp;" "&amp;'Compliance Database'!$N331&amp;" "&amp;'Compliance Database'!$O331)))),1,0)</f>
        <v/>
      </c>
      <c r="B331">
        <f>IF($A331=1,SUM($A$2:$A331),"")</f>
        <v/>
      </c>
      <c r="C331">
        <f>IF($A331=1,SUM($A$2:$A331),0)</f>
        <v/>
      </c>
    </row>
    <row r="332">
      <c r="A332">
        <f>IF(AND(OR('Compliance Database'!$A332='Data Transfer'!$B$4,'Compliance Database'!$A332='Data Transfer'!$B$5),OR('Data Transfer'!$B$6="",ISNUMBER(SEARCH('Data Transfer'!$B$6,'Compliance Database'!$D332&amp;" "&amp;'Compliance Database'!$K332&amp;" "&amp;'Compliance Database'!$L332&amp;" "&amp;'Compliance Database'!$M332&amp;" "&amp;'Compliance Database'!$N332&amp;" "&amp;'Compliance Database'!$O332)))),1,0)</f>
        <v/>
      </c>
      <c r="B332">
        <f>IF($A332=1,SUM($A$2:$A332),"")</f>
        <v/>
      </c>
      <c r="C332">
        <f>IF($A332=1,SUM($A$2:$A332),0)</f>
        <v/>
      </c>
    </row>
    <row r="333">
      <c r="A333">
        <f>IF(AND(OR('Compliance Database'!$A333='Data Transfer'!$B$4,'Compliance Database'!$A333='Data Transfer'!$B$5),OR('Data Transfer'!$B$6="",ISNUMBER(SEARCH('Data Transfer'!$B$6,'Compliance Database'!$D333&amp;" "&amp;'Compliance Database'!$K333&amp;" "&amp;'Compliance Database'!$L333&amp;" "&amp;'Compliance Database'!$M333&amp;" "&amp;'Compliance Database'!$N333&amp;" "&amp;'Compliance Database'!$O333)))),1,0)</f>
        <v/>
      </c>
      <c r="B333">
        <f>IF($A333=1,SUM($A$2:$A333),"")</f>
        <v/>
      </c>
      <c r="C333">
        <f>IF($A333=1,SUM($A$2:$A333),0)</f>
        <v/>
      </c>
    </row>
    <row r="334">
      <c r="A334">
        <f>IF(AND(OR('Compliance Database'!$A334='Data Transfer'!$B$4,'Compliance Database'!$A334='Data Transfer'!$B$5),OR('Data Transfer'!$B$6="",ISNUMBER(SEARCH('Data Transfer'!$B$6,'Compliance Database'!$D334&amp;" "&amp;'Compliance Database'!$K334&amp;" "&amp;'Compliance Database'!$L334&amp;" "&amp;'Compliance Database'!$M334&amp;" "&amp;'Compliance Database'!$N334&amp;" "&amp;'Compliance Database'!$O334)))),1,0)</f>
        <v/>
      </c>
      <c r="B334">
        <f>IF($A334=1,SUM($A$2:$A334),"")</f>
        <v/>
      </c>
      <c r="C334">
        <f>IF($A334=1,SUM($A$2:$A334),0)</f>
        <v/>
      </c>
    </row>
    <row r="335">
      <c r="A335">
        <f>IF(AND(OR('Compliance Database'!$A335='Data Transfer'!$B$4,'Compliance Database'!$A335='Data Transfer'!$B$5),OR('Data Transfer'!$B$6="",ISNUMBER(SEARCH('Data Transfer'!$B$6,'Compliance Database'!$D335&amp;" "&amp;'Compliance Database'!$K335&amp;" "&amp;'Compliance Database'!$L335&amp;" "&amp;'Compliance Database'!$M335&amp;" "&amp;'Compliance Database'!$N335&amp;" "&amp;'Compliance Database'!$O335)))),1,0)</f>
        <v/>
      </c>
      <c r="B335">
        <f>IF($A335=1,SUM($A$2:$A335),"")</f>
        <v/>
      </c>
      <c r="C335">
        <f>IF($A335=1,SUM($A$2:$A335),0)</f>
        <v/>
      </c>
    </row>
    <row r="336">
      <c r="A336">
        <f>IF(AND(OR('Compliance Database'!$A336='Data Transfer'!$B$4,'Compliance Database'!$A336='Data Transfer'!$B$5),OR('Data Transfer'!$B$6="",ISNUMBER(SEARCH('Data Transfer'!$B$6,'Compliance Database'!$D336&amp;" "&amp;'Compliance Database'!$K336&amp;" "&amp;'Compliance Database'!$L336&amp;" "&amp;'Compliance Database'!$M336&amp;" "&amp;'Compliance Database'!$N336&amp;" "&amp;'Compliance Database'!$O336)))),1,0)</f>
        <v/>
      </c>
      <c r="B336">
        <f>IF($A336=1,SUM($A$2:$A336),"")</f>
        <v/>
      </c>
      <c r="C336">
        <f>IF($A336=1,SUM($A$2:$A336),0)</f>
        <v/>
      </c>
    </row>
    <row r="337">
      <c r="A337">
        <f>IF(AND(OR('Compliance Database'!$A337='Data Transfer'!$B$4,'Compliance Database'!$A337='Data Transfer'!$B$5),OR('Data Transfer'!$B$6="",ISNUMBER(SEARCH('Data Transfer'!$B$6,'Compliance Database'!$D337&amp;" "&amp;'Compliance Database'!$K337&amp;" "&amp;'Compliance Database'!$L337&amp;" "&amp;'Compliance Database'!$M337&amp;" "&amp;'Compliance Database'!$N337&amp;" "&amp;'Compliance Database'!$O337)))),1,0)</f>
        <v/>
      </c>
      <c r="B337">
        <f>IF($A337=1,SUM($A$2:$A337),"")</f>
        <v/>
      </c>
      <c r="C337">
        <f>IF($A337=1,SUM($A$2:$A337),0)</f>
        <v/>
      </c>
    </row>
    <row r="338">
      <c r="A338">
        <f>IF(AND(OR('Compliance Database'!$A338='Data Transfer'!$B$4,'Compliance Database'!$A338='Data Transfer'!$B$5),OR('Data Transfer'!$B$6="",ISNUMBER(SEARCH('Data Transfer'!$B$6,'Compliance Database'!$D338&amp;" "&amp;'Compliance Database'!$K338&amp;" "&amp;'Compliance Database'!$L338&amp;" "&amp;'Compliance Database'!$M338&amp;" "&amp;'Compliance Database'!$N338&amp;" "&amp;'Compliance Database'!$O338)))),1,0)</f>
        <v/>
      </c>
      <c r="B338">
        <f>IF($A338=1,SUM($A$2:$A338),"")</f>
        <v/>
      </c>
      <c r="C338">
        <f>IF($A338=1,SUM($A$2:$A338),0)</f>
        <v/>
      </c>
    </row>
    <row r="339">
      <c r="A339">
        <f>IF(AND(OR('Compliance Database'!$A339='Data Transfer'!$B$4,'Compliance Database'!$A339='Data Transfer'!$B$5),OR('Data Transfer'!$B$6="",ISNUMBER(SEARCH('Data Transfer'!$B$6,'Compliance Database'!$D339&amp;" "&amp;'Compliance Database'!$K339&amp;" "&amp;'Compliance Database'!$L339&amp;" "&amp;'Compliance Database'!$M339&amp;" "&amp;'Compliance Database'!$N339&amp;" "&amp;'Compliance Database'!$O339)))),1,0)</f>
        <v/>
      </c>
      <c r="B339">
        <f>IF($A339=1,SUM($A$2:$A339),"")</f>
        <v/>
      </c>
      <c r="C339">
        <f>IF($A339=1,SUM($A$2:$A339),0)</f>
        <v/>
      </c>
    </row>
    <row r="340">
      <c r="A340">
        <f>IF(AND(OR('Compliance Database'!$A340='Data Transfer'!$B$4,'Compliance Database'!$A340='Data Transfer'!$B$5),OR('Data Transfer'!$B$6="",ISNUMBER(SEARCH('Data Transfer'!$B$6,'Compliance Database'!$D340&amp;" "&amp;'Compliance Database'!$K340&amp;" "&amp;'Compliance Database'!$L340&amp;" "&amp;'Compliance Database'!$M340&amp;" "&amp;'Compliance Database'!$N340&amp;" "&amp;'Compliance Database'!$O340)))),1,0)</f>
        <v/>
      </c>
      <c r="B340">
        <f>IF($A340=1,SUM($A$2:$A340),"")</f>
        <v/>
      </c>
      <c r="C340">
        <f>IF($A340=1,SUM($A$2:$A340),0)</f>
        <v/>
      </c>
    </row>
    <row r="341">
      <c r="A341">
        <f>IF(AND(OR('Compliance Database'!$A341='Data Transfer'!$B$4,'Compliance Database'!$A341='Data Transfer'!$B$5),OR('Data Transfer'!$B$6="",ISNUMBER(SEARCH('Data Transfer'!$B$6,'Compliance Database'!$D341&amp;" "&amp;'Compliance Database'!$K341&amp;" "&amp;'Compliance Database'!$L341&amp;" "&amp;'Compliance Database'!$M341&amp;" "&amp;'Compliance Database'!$N341&amp;" "&amp;'Compliance Database'!$O341)))),1,0)</f>
        <v/>
      </c>
      <c r="B341">
        <f>IF($A341=1,SUM($A$2:$A341),"")</f>
        <v/>
      </c>
      <c r="C341">
        <f>IF($A341=1,SUM($A$2:$A341),0)</f>
        <v/>
      </c>
    </row>
    <row r="342">
      <c r="A342">
        <f>IF(AND(OR('Compliance Database'!$A342='Data Transfer'!$B$4,'Compliance Database'!$A342='Data Transfer'!$B$5),OR('Data Transfer'!$B$6="",ISNUMBER(SEARCH('Data Transfer'!$B$6,'Compliance Database'!$D342&amp;" "&amp;'Compliance Database'!$K342&amp;" "&amp;'Compliance Database'!$L342&amp;" "&amp;'Compliance Database'!$M342&amp;" "&amp;'Compliance Database'!$N342&amp;" "&amp;'Compliance Database'!$O342)))),1,0)</f>
        <v/>
      </c>
      <c r="B342">
        <f>IF($A342=1,SUM($A$2:$A342),"")</f>
        <v/>
      </c>
      <c r="C342">
        <f>IF($A342=1,SUM($A$2:$A342),0)</f>
        <v/>
      </c>
    </row>
    <row r="343">
      <c r="A343">
        <f>IF(AND(OR('Compliance Database'!$A343='Data Transfer'!$B$4,'Compliance Database'!$A343='Data Transfer'!$B$5),OR('Data Transfer'!$B$6="",ISNUMBER(SEARCH('Data Transfer'!$B$6,'Compliance Database'!$D343&amp;" "&amp;'Compliance Database'!$K343&amp;" "&amp;'Compliance Database'!$L343&amp;" "&amp;'Compliance Database'!$M343&amp;" "&amp;'Compliance Database'!$N343&amp;" "&amp;'Compliance Database'!$O343)))),1,0)</f>
        <v/>
      </c>
      <c r="B343">
        <f>IF($A343=1,SUM($A$2:$A343),"")</f>
        <v/>
      </c>
      <c r="C343">
        <f>IF($A343=1,SUM($A$2:$A343),0)</f>
        <v/>
      </c>
    </row>
    <row r="344">
      <c r="A344">
        <f>IF(AND(OR('Compliance Database'!$A344='Data Transfer'!$B$4,'Compliance Database'!$A344='Data Transfer'!$B$5),OR('Data Transfer'!$B$6="",ISNUMBER(SEARCH('Data Transfer'!$B$6,'Compliance Database'!$D344&amp;" "&amp;'Compliance Database'!$K344&amp;" "&amp;'Compliance Database'!$L344&amp;" "&amp;'Compliance Database'!$M344&amp;" "&amp;'Compliance Database'!$N344&amp;" "&amp;'Compliance Database'!$O344)))),1,0)</f>
        <v/>
      </c>
      <c r="B344">
        <f>IF($A344=1,SUM($A$2:$A344),"")</f>
        <v/>
      </c>
      <c r="C344">
        <f>IF($A344=1,SUM($A$2:$A344),0)</f>
        <v/>
      </c>
    </row>
    <row r="345">
      <c r="A345">
        <f>IF(AND(OR('Compliance Database'!$A345='Data Transfer'!$B$4,'Compliance Database'!$A345='Data Transfer'!$B$5),OR('Data Transfer'!$B$6="",ISNUMBER(SEARCH('Data Transfer'!$B$6,'Compliance Database'!$D345&amp;" "&amp;'Compliance Database'!$K345&amp;" "&amp;'Compliance Database'!$L345&amp;" "&amp;'Compliance Database'!$M345&amp;" "&amp;'Compliance Database'!$N345&amp;" "&amp;'Compliance Database'!$O345)))),1,0)</f>
        <v/>
      </c>
      <c r="B345">
        <f>IF($A345=1,SUM($A$2:$A345),"")</f>
        <v/>
      </c>
      <c r="C345">
        <f>IF($A345=1,SUM($A$2:$A345),0)</f>
        <v/>
      </c>
    </row>
    <row r="346">
      <c r="A346">
        <f>IF(AND(OR('Compliance Database'!$A346='Data Transfer'!$B$4,'Compliance Database'!$A346='Data Transfer'!$B$5),OR('Data Transfer'!$B$6="",ISNUMBER(SEARCH('Data Transfer'!$B$6,'Compliance Database'!$D346&amp;" "&amp;'Compliance Database'!$K346&amp;" "&amp;'Compliance Database'!$L346&amp;" "&amp;'Compliance Database'!$M346&amp;" "&amp;'Compliance Database'!$N346&amp;" "&amp;'Compliance Database'!$O346)))),1,0)</f>
        <v/>
      </c>
      <c r="B346">
        <f>IF($A346=1,SUM($A$2:$A346),"")</f>
        <v/>
      </c>
      <c r="C346">
        <f>IF($A346=1,SUM($A$2:$A346),0)</f>
        <v/>
      </c>
    </row>
    <row r="347">
      <c r="A347">
        <f>IF(AND(OR('Compliance Database'!$A347='Data Transfer'!$B$4,'Compliance Database'!$A347='Data Transfer'!$B$5),OR('Data Transfer'!$B$6="",ISNUMBER(SEARCH('Data Transfer'!$B$6,'Compliance Database'!$D347&amp;" "&amp;'Compliance Database'!$K347&amp;" "&amp;'Compliance Database'!$L347&amp;" "&amp;'Compliance Database'!$M347&amp;" "&amp;'Compliance Database'!$N347&amp;" "&amp;'Compliance Database'!$O347)))),1,0)</f>
        <v/>
      </c>
      <c r="B347">
        <f>IF($A347=1,SUM($A$2:$A347),"")</f>
        <v/>
      </c>
      <c r="C347">
        <f>IF($A347=1,SUM($A$2:$A347),0)</f>
        <v/>
      </c>
    </row>
    <row r="348">
      <c r="A348">
        <f>IF(AND(OR('Compliance Database'!$A348='Data Transfer'!$B$4,'Compliance Database'!$A348='Data Transfer'!$B$5),OR('Data Transfer'!$B$6="",ISNUMBER(SEARCH('Data Transfer'!$B$6,'Compliance Database'!$D348&amp;" "&amp;'Compliance Database'!$K348&amp;" "&amp;'Compliance Database'!$L348&amp;" "&amp;'Compliance Database'!$M348&amp;" "&amp;'Compliance Database'!$N348&amp;" "&amp;'Compliance Database'!$O348)))),1,0)</f>
        <v/>
      </c>
      <c r="B348">
        <f>IF($A348=1,SUM($A$2:$A348),"")</f>
        <v/>
      </c>
      <c r="C348">
        <f>IF($A348=1,SUM($A$2:$A348),0)</f>
        <v/>
      </c>
    </row>
    <row r="349">
      <c r="A349">
        <f>IF(AND(OR('Compliance Database'!$A349='Data Transfer'!$B$4,'Compliance Database'!$A349='Data Transfer'!$B$5),OR('Data Transfer'!$B$6="",ISNUMBER(SEARCH('Data Transfer'!$B$6,'Compliance Database'!$D349&amp;" "&amp;'Compliance Database'!$K349&amp;" "&amp;'Compliance Database'!$L349&amp;" "&amp;'Compliance Database'!$M349&amp;" "&amp;'Compliance Database'!$N349&amp;" "&amp;'Compliance Database'!$O349)))),1,0)</f>
        <v/>
      </c>
      <c r="B349">
        <f>IF($A349=1,SUM($A$2:$A349),"")</f>
        <v/>
      </c>
      <c r="C349">
        <f>IF($A349=1,SUM($A$2:$A349),0)</f>
        <v/>
      </c>
    </row>
    <row r="350">
      <c r="A350">
        <f>IF(AND(OR('Compliance Database'!$A350='Data Transfer'!$B$4,'Compliance Database'!$A350='Data Transfer'!$B$5),OR('Data Transfer'!$B$6="",ISNUMBER(SEARCH('Data Transfer'!$B$6,'Compliance Database'!$D350&amp;" "&amp;'Compliance Database'!$K350&amp;" "&amp;'Compliance Database'!$L350&amp;" "&amp;'Compliance Database'!$M350&amp;" "&amp;'Compliance Database'!$N350&amp;" "&amp;'Compliance Database'!$O350)))),1,0)</f>
        <v/>
      </c>
      <c r="B350">
        <f>IF($A350=1,SUM($A$2:$A350),"")</f>
        <v/>
      </c>
      <c r="C350">
        <f>IF($A350=1,SUM($A$2:$A350),0)</f>
        <v/>
      </c>
    </row>
    <row r="351">
      <c r="A351">
        <f>IF(AND(OR('Compliance Database'!$A351='Data Transfer'!$B$4,'Compliance Database'!$A351='Data Transfer'!$B$5),OR('Data Transfer'!$B$6="",ISNUMBER(SEARCH('Data Transfer'!$B$6,'Compliance Database'!$D351&amp;" "&amp;'Compliance Database'!$K351&amp;" "&amp;'Compliance Database'!$L351&amp;" "&amp;'Compliance Database'!$M351&amp;" "&amp;'Compliance Database'!$N351&amp;" "&amp;'Compliance Database'!$O351)))),1,0)</f>
        <v/>
      </c>
      <c r="B351">
        <f>IF($A351=1,SUM($A$2:$A351),"")</f>
        <v/>
      </c>
      <c r="C351">
        <f>IF($A351=1,SUM($A$2:$A351),0)</f>
        <v/>
      </c>
    </row>
    <row r="352">
      <c r="A352">
        <f>IF(AND(OR('Compliance Database'!$A352='Data Transfer'!$B$4,'Compliance Database'!$A352='Data Transfer'!$B$5),OR('Data Transfer'!$B$6="",ISNUMBER(SEARCH('Data Transfer'!$B$6,'Compliance Database'!$D352&amp;" "&amp;'Compliance Database'!$K352&amp;" "&amp;'Compliance Database'!$L352&amp;" "&amp;'Compliance Database'!$M352&amp;" "&amp;'Compliance Database'!$N352&amp;" "&amp;'Compliance Database'!$O352)))),1,0)</f>
        <v/>
      </c>
      <c r="B352">
        <f>IF($A352=1,SUM($A$2:$A352),"")</f>
        <v/>
      </c>
      <c r="C352">
        <f>IF($A352=1,SUM($A$2:$A352),0)</f>
        <v/>
      </c>
    </row>
    <row r="353">
      <c r="A353">
        <f>IF(AND(OR('Compliance Database'!$A353='Data Transfer'!$B$4,'Compliance Database'!$A353='Data Transfer'!$B$5),OR('Data Transfer'!$B$6="",ISNUMBER(SEARCH('Data Transfer'!$B$6,'Compliance Database'!$D353&amp;" "&amp;'Compliance Database'!$K353&amp;" "&amp;'Compliance Database'!$L353&amp;" "&amp;'Compliance Database'!$M353&amp;" "&amp;'Compliance Database'!$N353&amp;" "&amp;'Compliance Database'!$O353)))),1,0)</f>
        <v/>
      </c>
      <c r="B353">
        <f>IF($A353=1,SUM($A$2:$A353),"")</f>
        <v/>
      </c>
      <c r="C353">
        <f>IF($A353=1,SUM($A$2:$A353),0)</f>
        <v/>
      </c>
    </row>
    <row r="354">
      <c r="A354">
        <f>IF(AND(OR('Compliance Database'!$A354='Data Transfer'!$B$4,'Compliance Database'!$A354='Data Transfer'!$B$5),OR('Data Transfer'!$B$6="",ISNUMBER(SEARCH('Data Transfer'!$B$6,'Compliance Database'!$D354&amp;" "&amp;'Compliance Database'!$K354&amp;" "&amp;'Compliance Database'!$L354&amp;" "&amp;'Compliance Database'!$M354&amp;" "&amp;'Compliance Database'!$N354&amp;" "&amp;'Compliance Database'!$O354)))),1,0)</f>
        <v/>
      </c>
      <c r="B354">
        <f>IF($A354=1,SUM($A$2:$A354),"")</f>
        <v/>
      </c>
      <c r="C354">
        <f>IF($A354=1,SUM($A$2:$A354),0)</f>
        <v/>
      </c>
    </row>
    <row r="355">
      <c r="A355">
        <f>IF(AND(OR('Compliance Database'!$A355='Data Transfer'!$B$4,'Compliance Database'!$A355='Data Transfer'!$B$5),OR('Data Transfer'!$B$6="",ISNUMBER(SEARCH('Data Transfer'!$B$6,'Compliance Database'!$D355&amp;" "&amp;'Compliance Database'!$K355&amp;" "&amp;'Compliance Database'!$L355&amp;" "&amp;'Compliance Database'!$M355&amp;" "&amp;'Compliance Database'!$N355&amp;" "&amp;'Compliance Database'!$O355)))),1,0)</f>
        <v/>
      </c>
      <c r="B355">
        <f>IF($A355=1,SUM($A$2:$A355),"")</f>
        <v/>
      </c>
      <c r="C355">
        <f>IF($A355=1,SUM($A$2:$A355),0)</f>
        <v/>
      </c>
    </row>
    <row r="356">
      <c r="A356">
        <f>IF(AND(OR('Compliance Database'!$A356='Data Transfer'!$B$4,'Compliance Database'!$A356='Data Transfer'!$B$5),OR('Data Transfer'!$B$6="",ISNUMBER(SEARCH('Data Transfer'!$B$6,'Compliance Database'!$D356&amp;" "&amp;'Compliance Database'!$K356&amp;" "&amp;'Compliance Database'!$L356&amp;" "&amp;'Compliance Database'!$M356&amp;" "&amp;'Compliance Database'!$N356&amp;" "&amp;'Compliance Database'!$O356)))),1,0)</f>
        <v/>
      </c>
      <c r="B356">
        <f>IF($A356=1,SUM($A$2:$A356),"")</f>
        <v/>
      </c>
      <c r="C356">
        <f>IF($A356=1,SUM($A$2:$A356),0)</f>
        <v/>
      </c>
    </row>
    <row r="357">
      <c r="A357">
        <f>IF(AND(OR('Compliance Database'!$A357='Data Transfer'!$B$4,'Compliance Database'!$A357='Data Transfer'!$B$5),OR('Data Transfer'!$B$6="",ISNUMBER(SEARCH('Data Transfer'!$B$6,'Compliance Database'!$D357&amp;" "&amp;'Compliance Database'!$K357&amp;" "&amp;'Compliance Database'!$L357&amp;" "&amp;'Compliance Database'!$M357&amp;" "&amp;'Compliance Database'!$N357&amp;" "&amp;'Compliance Database'!$O357)))),1,0)</f>
        <v/>
      </c>
      <c r="B357">
        <f>IF($A357=1,SUM($A$2:$A357),"")</f>
        <v/>
      </c>
      <c r="C357">
        <f>IF($A357=1,SUM($A$2:$A357),0)</f>
        <v/>
      </c>
    </row>
    <row r="358">
      <c r="A358">
        <f>IF(AND(OR('Compliance Database'!$A358='Data Transfer'!$B$4,'Compliance Database'!$A358='Data Transfer'!$B$5),OR('Data Transfer'!$B$6="",ISNUMBER(SEARCH('Data Transfer'!$B$6,'Compliance Database'!$D358&amp;" "&amp;'Compliance Database'!$K358&amp;" "&amp;'Compliance Database'!$L358&amp;" "&amp;'Compliance Database'!$M358&amp;" "&amp;'Compliance Database'!$N358&amp;" "&amp;'Compliance Database'!$O358)))),1,0)</f>
        <v/>
      </c>
      <c r="B358">
        <f>IF($A358=1,SUM($A$2:$A358),"")</f>
        <v/>
      </c>
      <c r="C358">
        <f>IF($A358=1,SUM($A$2:$A358),0)</f>
        <v/>
      </c>
    </row>
    <row r="359">
      <c r="A359">
        <f>IF(AND(OR('Compliance Database'!$A359='Data Transfer'!$B$4,'Compliance Database'!$A359='Data Transfer'!$B$5),OR('Data Transfer'!$B$6="",ISNUMBER(SEARCH('Data Transfer'!$B$6,'Compliance Database'!$D359&amp;" "&amp;'Compliance Database'!$K359&amp;" "&amp;'Compliance Database'!$L359&amp;" "&amp;'Compliance Database'!$M359&amp;" "&amp;'Compliance Database'!$N359&amp;" "&amp;'Compliance Database'!$O359)))),1,0)</f>
        <v/>
      </c>
      <c r="B359">
        <f>IF($A359=1,SUM($A$2:$A359),"")</f>
        <v/>
      </c>
      <c r="C359">
        <f>IF($A359=1,SUM($A$2:$A359),0)</f>
        <v/>
      </c>
    </row>
    <row r="360">
      <c r="A360">
        <f>IF(AND(OR('Compliance Database'!$A360='Data Transfer'!$B$4,'Compliance Database'!$A360='Data Transfer'!$B$5),OR('Data Transfer'!$B$6="",ISNUMBER(SEARCH('Data Transfer'!$B$6,'Compliance Database'!$D360&amp;" "&amp;'Compliance Database'!$K360&amp;" "&amp;'Compliance Database'!$L360&amp;" "&amp;'Compliance Database'!$M360&amp;" "&amp;'Compliance Database'!$N360&amp;" "&amp;'Compliance Database'!$O360)))),1,0)</f>
        <v/>
      </c>
      <c r="B360">
        <f>IF($A360=1,SUM($A$2:$A360),"")</f>
        <v/>
      </c>
      <c r="C360">
        <f>IF($A360=1,SUM($A$2:$A360),0)</f>
        <v/>
      </c>
    </row>
    <row r="361">
      <c r="A361">
        <f>IF(AND(OR('Compliance Database'!$A361='Data Transfer'!$B$4,'Compliance Database'!$A361='Data Transfer'!$B$5),OR('Data Transfer'!$B$6="",ISNUMBER(SEARCH('Data Transfer'!$B$6,'Compliance Database'!$D361&amp;" "&amp;'Compliance Database'!$K361&amp;" "&amp;'Compliance Database'!$L361&amp;" "&amp;'Compliance Database'!$M361&amp;" "&amp;'Compliance Database'!$N361&amp;" "&amp;'Compliance Database'!$O361)))),1,0)</f>
        <v/>
      </c>
      <c r="B361">
        <f>IF($A361=1,SUM($A$2:$A361),"")</f>
        <v/>
      </c>
      <c r="C361">
        <f>IF($A361=1,SUM($A$2:$A361),0)</f>
        <v/>
      </c>
    </row>
    <row r="362">
      <c r="A362">
        <f>IF(AND(OR('Compliance Database'!$A362='Data Transfer'!$B$4,'Compliance Database'!$A362='Data Transfer'!$B$5),OR('Data Transfer'!$B$6="",ISNUMBER(SEARCH('Data Transfer'!$B$6,'Compliance Database'!$D362&amp;" "&amp;'Compliance Database'!$K362&amp;" "&amp;'Compliance Database'!$L362&amp;" "&amp;'Compliance Database'!$M362&amp;" "&amp;'Compliance Database'!$N362&amp;" "&amp;'Compliance Database'!$O362)))),1,0)</f>
        <v/>
      </c>
      <c r="B362">
        <f>IF($A362=1,SUM($A$2:$A362),"")</f>
        <v/>
      </c>
      <c r="C362">
        <f>IF($A362=1,SUM($A$2:$A362),0)</f>
        <v/>
      </c>
    </row>
    <row r="363">
      <c r="A363">
        <f>IF(AND(OR('Compliance Database'!$A363='Data Transfer'!$B$4,'Compliance Database'!$A363='Data Transfer'!$B$5),OR('Data Transfer'!$B$6="",ISNUMBER(SEARCH('Data Transfer'!$B$6,'Compliance Database'!$D363&amp;" "&amp;'Compliance Database'!$K363&amp;" "&amp;'Compliance Database'!$L363&amp;" "&amp;'Compliance Database'!$M363&amp;" "&amp;'Compliance Database'!$N363&amp;" "&amp;'Compliance Database'!$O363)))),1,0)</f>
        <v/>
      </c>
      <c r="B363">
        <f>IF($A363=1,SUM($A$2:$A363),"")</f>
        <v/>
      </c>
      <c r="C363">
        <f>IF($A363=1,SUM($A$2:$A363),0)</f>
        <v/>
      </c>
    </row>
    <row r="364">
      <c r="A364">
        <f>IF(AND(OR('Compliance Database'!$A364='Data Transfer'!$B$4,'Compliance Database'!$A364='Data Transfer'!$B$5),OR('Data Transfer'!$B$6="",ISNUMBER(SEARCH('Data Transfer'!$B$6,'Compliance Database'!$D364&amp;" "&amp;'Compliance Database'!$K364&amp;" "&amp;'Compliance Database'!$L364&amp;" "&amp;'Compliance Database'!$M364&amp;" "&amp;'Compliance Database'!$N364&amp;" "&amp;'Compliance Database'!$O364)))),1,0)</f>
        <v/>
      </c>
      <c r="B364">
        <f>IF($A364=1,SUM($A$2:$A364),"")</f>
        <v/>
      </c>
      <c r="C364">
        <f>IF($A364=1,SUM($A$2:$A364),0)</f>
        <v/>
      </c>
    </row>
    <row r="365">
      <c r="A365">
        <f>IF(AND(OR('Compliance Database'!$A365='Data Transfer'!$B$4,'Compliance Database'!$A365='Data Transfer'!$B$5),OR('Data Transfer'!$B$6="",ISNUMBER(SEARCH('Data Transfer'!$B$6,'Compliance Database'!$D365&amp;" "&amp;'Compliance Database'!$K365&amp;" "&amp;'Compliance Database'!$L365&amp;" "&amp;'Compliance Database'!$M365&amp;" "&amp;'Compliance Database'!$N365&amp;" "&amp;'Compliance Database'!$O365)))),1,0)</f>
        <v/>
      </c>
      <c r="B365">
        <f>IF($A365=1,SUM($A$2:$A365),"")</f>
        <v/>
      </c>
      <c r="C365">
        <f>IF($A365=1,SUM($A$2:$A365),0)</f>
        <v/>
      </c>
    </row>
    <row r="366">
      <c r="A366">
        <f>IF(AND(OR('Compliance Database'!$A366='Data Transfer'!$B$4,'Compliance Database'!$A366='Data Transfer'!$B$5),OR('Data Transfer'!$B$6="",ISNUMBER(SEARCH('Data Transfer'!$B$6,'Compliance Database'!$D366&amp;" "&amp;'Compliance Database'!$K366&amp;" "&amp;'Compliance Database'!$L366&amp;" "&amp;'Compliance Database'!$M366&amp;" "&amp;'Compliance Database'!$N366&amp;" "&amp;'Compliance Database'!$O366)))),1,0)</f>
        <v/>
      </c>
      <c r="B366">
        <f>IF($A366=1,SUM($A$2:$A366),"")</f>
        <v/>
      </c>
      <c r="C366">
        <f>IF($A366=1,SUM($A$2:$A366),0)</f>
        <v/>
      </c>
    </row>
    <row r="367">
      <c r="A367">
        <f>IF(AND(OR('Compliance Database'!$A367='Data Transfer'!$B$4,'Compliance Database'!$A367='Data Transfer'!$B$5),OR('Data Transfer'!$B$6="",ISNUMBER(SEARCH('Data Transfer'!$B$6,'Compliance Database'!$D367&amp;" "&amp;'Compliance Database'!$K367&amp;" "&amp;'Compliance Database'!$L367&amp;" "&amp;'Compliance Database'!$M367&amp;" "&amp;'Compliance Database'!$N367&amp;" "&amp;'Compliance Database'!$O367)))),1,0)</f>
        <v/>
      </c>
      <c r="B367">
        <f>IF($A367=1,SUM($A$2:$A367),"")</f>
        <v/>
      </c>
      <c r="C367">
        <f>IF($A367=1,SUM($A$2:$A367),0)</f>
        <v/>
      </c>
    </row>
    <row r="368">
      <c r="A368">
        <f>IF(AND(OR('Compliance Database'!$A368='Data Transfer'!$B$4,'Compliance Database'!$A368='Data Transfer'!$B$5),OR('Data Transfer'!$B$6="",ISNUMBER(SEARCH('Data Transfer'!$B$6,'Compliance Database'!$D368&amp;" "&amp;'Compliance Database'!$K368&amp;" "&amp;'Compliance Database'!$L368&amp;" "&amp;'Compliance Database'!$M368&amp;" "&amp;'Compliance Database'!$N368&amp;" "&amp;'Compliance Database'!$O368)))),1,0)</f>
        <v/>
      </c>
      <c r="B368">
        <f>IF($A368=1,SUM($A$2:$A368),"")</f>
        <v/>
      </c>
      <c r="C368">
        <f>IF($A368=1,SUM($A$2:$A368),0)</f>
        <v/>
      </c>
    </row>
    <row r="369">
      <c r="A369">
        <f>IF(AND(OR('Compliance Database'!$A369='Data Transfer'!$B$4,'Compliance Database'!$A369='Data Transfer'!$B$5),OR('Data Transfer'!$B$6="",ISNUMBER(SEARCH('Data Transfer'!$B$6,'Compliance Database'!$D369&amp;" "&amp;'Compliance Database'!$K369&amp;" "&amp;'Compliance Database'!$L369&amp;" "&amp;'Compliance Database'!$M369&amp;" "&amp;'Compliance Database'!$N369&amp;" "&amp;'Compliance Database'!$O369)))),1,0)</f>
        <v/>
      </c>
      <c r="B369">
        <f>IF($A369=1,SUM($A$2:$A369),"")</f>
        <v/>
      </c>
      <c r="C369">
        <f>IF($A369=1,SUM($A$2:$A369),0)</f>
        <v/>
      </c>
    </row>
    <row r="370">
      <c r="A370">
        <f>IF(AND(OR('Compliance Database'!$A370='Data Transfer'!$B$4,'Compliance Database'!$A370='Data Transfer'!$B$5),OR('Data Transfer'!$B$6="",ISNUMBER(SEARCH('Data Transfer'!$B$6,'Compliance Database'!$D370&amp;" "&amp;'Compliance Database'!$K370&amp;" "&amp;'Compliance Database'!$L370&amp;" "&amp;'Compliance Database'!$M370&amp;" "&amp;'Compliance Database'!$N370&amp;" "&amp;'Compliance Database'!$O370)))),1,0)</f>
        <v/>
      </c>
      <c r="B370">
        <f>IF($A370=1,SUM($A$2:$A370),"")</f>
        <v/>
      </c>
      <c r="C370">
        <f>IF($A370=1,SUM($A$2:$A370),0)</f>
        <v/>
      </c>
    </row>
    <row r="371">
      <c r="A371">
        <f>IF(AND(OR('Compliance Database'!$A371='Data Transfer'!$B$4,'Compliance Database'!$A371='Data Transfer'!$B$5),OR('Data Transfer'!$B$6="",ISNUMBER(SEARCH('Data Transfer'!$B$6,'Compliance Database'!$D371&amp;" "&amp;'Compliance Database'!$K371&amp;" "&amp;'Compliance Database'!$L371&amp;" "&amp;'Compliance Database'!$M371&amp;" "&amp;'Compliance Database'!$N371&amp;" "&amp;'Compliance Database'!$O371)))),1,0)</f>
        <v/>
      </c>
      <c r="B371">
        <f>IF($A371=1,SUM($A$2:$A371),"")</f>
        <v/>
      </c>
      <c r="C371">
        <f>IF($A371=1,SUM($A$2:$A371),0)</f>
        <v/>
      </c>
    </row>
    <row r="372">
      <c r="A372">
        <f>IF(AND(OR('Compliance Database'!$A372='Data Transfer'!$B$4,'Compliance Database'!$A372='Data Transfer'!$B$5),OR('Data Transfer'!$B$6="",ISNUMBER(SEARCH('Data Transfer'!$B$6,'Compliance Database'!$D372&amp;" "&amp;'Compliance Database'!$K372&amp;" "&amp;'Compliance Database'!$L372&amp;" "&amp;'Compliance Database'!$M372&amp;" "&amp;'Compliance Database'!$N372&amp;" "&amp;'Compliance Database'!$O372)))),1,0)</f>
        <v/>
      </c>
      <c r="B372">
        <f>IF($A372=1,SUM($A$2:$A372),"")</f>
        <v/>
      </c>
      <c r="C372">
        <f>IF($A372=1,SUM($A$2:$A372),0)</f>
        <v/>
      </c>
    </row>
    <row r="373">
      <c r="A373">
        <f>IF(AND(OR('Compliance Database'!$A373='Data Transfer'!$B$4,'Compliance Database'!$A373='Data Transfer'!$B$5),OR('Data Transfer'!$B$6="",ISNUMBER(SEARCH('Data Transfer'!$B$6,'Compliance Database'!$D373&amp;" "&amp;'Compliance Database'!$K373&amp;" "&amp;'Compliance Database'!$L373&amp;" "&amp;'Compliance Database'!$M373&amp;" "&amp;'Compliance Database'!$N373&amp;" "&amp;'Compliance Database'!$O373)))),1,0)</f>
        <v/>
      </c>
      <c r="B373">
        <f>IF($A373=1,SUM($A$2:$A373),"")</f>
        <v/>
      </c>
      <c r="C373">
        <f>IF($A373=1,SUM($A$2:$A373),0)</f>
        <v/>
      </c>
    </row>
    <row r="374">
      <c r="A374">
        <f>IF(AND(OR('Compliance Database'!$A374='Data Transfer'!$B$4,'Compliance Database'!$A374='Data Transfer'!$B$5),OR('Data Transfer'!$B$6="",ISNUMBER(SEARCH('Data Transfer'!$B$6,'Compliance Database'!$D374&amp;" "&amp;'Compliance Database'!$K374&amp;" "&amp;'Compliance Database'!$L374&amp;" "&amp;'Compliance Database'!$M374&amp;" "&amp;'Compliance Database'!$N374&amp;" "&amp;'Compliance Database'!$O374)))),1,0)</f>
        <v/>
      </c>
      <c r="B374">
        <f>IF($A374=1,SUM($A$2:$A374),"")</f>
        <v/>
      </c>
      <c r="C374">
        <f>IF($A374=1,SUM($A$2:$A374),0)</f>
        <v/>
      </c>
    </row>
    <row r="375">
      <c r="A375">
        <f>IF(AND(OR('Compliance Database'!$A375='Data Transfer'!$B$4,'Compliance Database'!$A375='Data Transfer'!$B$5),OR('Data Transfer'!$B$6="",ISNUMBER(SEARCH('Data Transfer'!$B$6,'Compliance Database'!$D375&amp;" "&amp;'Compliance Database'!$K375&amp;" "&amp;'Compliance Database'!$L375&amp;" "&amp;'Compliance Database'!$M375&amp;" "&amp;'Compliance Database'!$N375&amp;" "&amp;'Compliance Database'!$O375)))),1,0)</f>
        <v/>
      </c>
      <c r="B375">
        <f>IF($A375=1,SUM($A$2:$A375),"")</f>
        <v/>
      </c>
      <c r="C375">
        <f>IF($A375=1,SUM($A$2:$A375),0)</f>
        <v/>
      </c>
    </row>
    <row r="376">
      <c r="A376">
        <f>IF(AND(OR('Compliance Database'!$A376='Data Transfer'!$B$4,'Compliance Database'!$A376='Data Transfer'!$B$5),OR('Data Transfer'!$B$6="",ISNUMBER(SEARCH('Data Transfer'!$B$6,'Compliance Database'!$D376&amp;" "&amp;'Compliance Database'!$K376&amp;" "&amp;'Compliance Database'!$L376&amp;" "&amp;'Compliance Database'!$M376&amp;" "&amp;'Compliance Database'!$N376&amp;" "&amp;'Compliance Database'!$O376)))),1,0)</f>
        <v/>
      </c>
      <c r="B376">
        <f>IF($A376=1,SUM($A$2:$A376),"")</f>
        <v/>
      </c>
      <c r="C376">
        <f>IF($A376=1,SUM($A$2:$A376),0)</f>
        <v/>
      </c>
    </row>
    <row r="377">
      <c r="A377">
        <f>IF(AND(OR('Compliance Database'!$A377='Data Transfer'!$B$4,'Compliance Database'!$A377='Data Transfer'!$B$5),OR('Data Transfer'!$B$6="",ISNUMBER(SEARCH('Data Transfer'!$B$6,'Compliance Database'!$D377&amp;" "&amp;'Compliance Database'!$K377&amp;" "&amp;'Compliance Database'!$L377&amp;" "&amp;'Compliance Database'!$M377&amp;" "&amp;'Compliance Database'!$N377&amp;" "&amp;'Compliance Database'!$O377)))),1,0)</f>
        <v/>
      </c>
      <c r="B377">
        <f>IF($A377=1,SUM($A$2:$A377),"")</f>
        <v/>
      </c>
      <c r="C377">
        <f>IF($A377=1,SUM($A$2:$A377),0)</f>
        <v/>
      </c>
    </row>
    <row r="378">
      <c r="A378">
        <f>IF(AND(OR('Compliance Database'!$A378='Data Transfer'!$B$4,'Compliance Database'!$A378='Data Transfer'!$B$5),OR('Data Transfer'!$B$6="",ISNUMBER(SEARCH('Data Transfer'!$B$6,'Compliance Database'!$D378&amp;" "&amp;'Compliance Database'!$K378&amp;" "&amp;'Compliance Database'!$L378&amp;" "&amp;'Compliance Database'!$M378&amp;" "&amp;'Compliance Database'!$N378&amp;" "&amp;'Compliance Database'!$O378)))),1,0)</f>
        <v/>
      </c>
      <c r="B378">
        <f>IF($A378=1,SUM($A$2:$A378),"")</f>
        <v/>
      </c>
      <c r="C378">
        <f>IF($A378=1,SUM($A$2:$A378),0)</f>
        <v/>
      </c>
    </row>
    <row r="379">
      <c r="A379">
        <f>IF(AND(OR('Compliance Database'!$A379='Data Transfer'!$B$4,'Compliance Database'!$A379='Data Transfer'!$B$5),OR('Data Transfer'!$B$6="",ISNUMBER(SEARCH('Data Transfer'!$B$6,'Compliance Database'!$D379&amp;" "&amp;'Compliance Database'!$K379&amp;" "&amp;'Compliance Database'!$L379&amp;" "&amp;'Compliance Database'!$M379&amp;" "&amp;'Compliance Database'!$N379&amp;" "&amp;'Compliance Database'!$O379)))),1,0)</f>
        <v/>
      </c>
      <c r="B379">
        <f>IF($A379=1,SUM($A$2:$A379),"")</f>
        <v/>
      </c>
      <c r="C379">
        <f>IF($A379=1,SUM($A$2:$A379),0)</f>
        <v/>
      </c>
    </row>
    <row r="380">
      <c r="A380">
        <f>IF(AND(OR('Compliance Database'!$A380='Data Transfer'!$B$4,'Compliance Database'!$A380='Data Transfer'!$B$5),OR('Data Transfer'!$B$6="",ISNUMBER(SEARCH('Data Transfer'!$B$6,'Compliance Database'!$D380&amp;" "&amp;'Compliance Database'!$K380&amp;" "&amp;'Compliance Database'!$L380&amp;" "&amp;'Compliance Database'!$M380&amp;" "&amp;'Compliance Database'!$N380&amp;" "&amp;'Compliance Database'!$O380)))),1,0)</f>
        <v/>
      </c>
      <c r="B380">
        <f>IF($A380=1,SUM($A$2:$A380),"")</f>
        <v/>
      </c>
      <c r="C380">
        <f>IF($A380=1,SUM($A$2:$A380),0)</f>
        <v/>
      </c>
    </row>
    <row r="381">
      <c r="A381">
        <f>IF(AND(OR('Compliance Database'!$A381='Data Transfer'!$B$4,'Compliance Database'!$A381='Data Transfer'!$B$5),OR('Data Transfer'!$B$6="",ISNUMBER(SEARCH('Data Transfer'!$B$6,'Compliance Database'!$D381&amp;" "&amp;'Compliance Database'!$K381&amp;" "&amp;'Compliance Database'!$L381&amp;" "&amp;'Compliance Database'!$M381&amp;" "&amp;'Compliance Database'!$N381&amp;" "&amp;'Compliance Database'!$O381)))),1,0)</f>
        <v/>
      </c>
      <c r="B381">
        <f>IF($A381=1,SUM($A$2:$A381),"")</f>
        <v/>
      </c>
      <c r="C381">
        <f>IF($A381=1,SUM($A$2:$A381),0)</f>
        <v/>
      </c>
    </row>
    <row r="382">
      <c r="A382">
        <f>IF(AND(OR('Compliance Database'!$A382='Data Transfer'!$B$4,'Compliance Database'!$A382='Data Transfer'!$B$5),OR('Data Transfer'!$B$6="",ISNUMBER(SEARCH('Data Transfer'!$B$6,'Compliance Database'!$D382&amp;" "&amp;'Compliance Database'!$K382&amp;" "&amp;'Compliance Database'!$L382&amp;" "&amp;'Compliance Database'!$M382&amp;" "&amp;'Compliance Database'!$N382&amp;" "&amp;'Compliance Database'!$O382)))),1,0)</f>
        <v/>
      </c>
      <c r="B382">
        <f>IF($A382=1,SUM($A$2:$A382),"")</f>
        <v/>
      </c>
      <c r="C382">
        <f>IF($A382=1,SUM($A$2:$A382),0)</f>
        <v/>
      </c>
    </row>
    <row r="383">
      <c r="A383">
        <f>IF(AND(OR('Compliance Database'!$A383='Data Transfer'!$B$4,'Compliance Database'!$A383='Data Transfer'!$B$5),OR('Data Transfer'!$B$6="",ISNUMBER(SEARCH('Data Transfer'!$B$6,'Compliance Database'!$D383&amp;" "&amp;'Compliance Database'!$K383&amp;" "&amp;'Compliance Database'!$L383&amp;" "&amp;'Compliance Database'!$M383&amp;" "&amp;'Compliance Database'!$N383&amp;" "&amp;'Compliance Database'!$O383)))),1,0)</f>
        <v/>
      </c>
      <c r="B383">
        <f>IF($A383=1,SUM($A$2:$A383),"")</f>
        <v/>
      </c>
      <c r="C383">
        <f>IF($A383=1,SUM($A$2:$A383),0)</f>
        <v/>
      </c>
    </row>
    <row r="384">
      <c r="A384">
        <f>IF(AND(OR('Compliance Database'!$A384='Data Transfer'!$B$4,'Compliance Database'!$A384='Data Transfer'!$B$5),OR('Data Transfer'!$B$6="",ISNUMBER(SEARCH('Data Transfer'!$B$6,'Compliance Database'!$D384&amp;" "&amp;'Compliance Database'!$K384&amp;" "&amp;'Compliance Database'!$L384&amp;" "&amp;'Compliance Database'!$M384&amp;" "&amp;'Compliance Database'!$N384&amp;" "&amp;'Compliance Database'!$O384)))),1,0)</f>
        <v/>
      </c>
      <c r="B384">
        <f>IF($A384=1,SUM($A$2:$A384),"")</f>
        <v/>
      </c>
      <c r="C384">
        <f>IF($A384=1,SUM($A$2:$A384),0)</f>
        <v/>
      </c>
    </row>
    <row r="385">
      <c r="A385">
        <f>IF(AND(OR('Compliance Database'!$A385='Data Transfer'!$B$4,'Compliance Database'!$A385='Data Transfer'!$B$5),OR('Data Transfer'!$B$6="",ISNUMBER(SEARCH('Data Transfer'!$B$6,'Compliance Database'!$D385&amp;" "&amp;'Compliance Database'!$K385&amp;" "&amp;'Compliance Database'!$L385&amp;" "&amp;'Compliance Database'!$M385&amp;" "&amp;'Compliance Database'!$N385&amp;" "&amp;'Compliance Database'!$O385)))),1,0)</f>
        <v/>
      </c>
      <c r="B385">
        <f>IF($A385=1,SUM($A$2:$A385),"")</f>
        <v/>
      </c>
      <c r="C385">
        <f>IF($A385=1,SUM($A$2:$A385),0)</f>
        <v/>
      </c>
    </row>
    <row r="386">
      <c r="A386">
        <f>IF(AND(OR('Compliance Database'!$A386='Data Transfer'!$B$4,'Compliance Database'!$A386='Data Transfer'!$B$5),OR('Data Transfer'!$B$6="",ISNUMBER(SEARCH('Data Transfer'!$B$6,'Compliance Database'!$D386&amp;" "&amp;'Compliance Database'!$K386&amp;" "&amp;'Compliance Database'!$L386&amp;" "&amp;'Compliance Database'!$M386&amp;" "&amp;'Compliance Database'!$N386&amp;" "&amp;'Compliance Database'!$O386)))),1,0)</f>
        <v/>
      </c>
      <c r="B386">
        <f>IF($A386=1,SUM($A$2:$A386),"")</f>
        <v/>
      </c>
      <c r="C386">
        <f>IF($A386=1,SUM($A$2:$A386),0)</f>
        <v/>
      </c>
    </row>
    <row r="387">
      <c r="A387">
        <f>IF(AND(OR('Compliance Database'!$A387='Data Transfer'!$B$4,'Compliance Database'!$A387='Data Transfer'!$B$5),OR('Data Transfer'!$B$6="",ISNUMBER(SEARCH('Data Transfer'!$B$6,'Compliance Database'!$D387&amp;" "&amp;'Compliance Database'!$K387&amp;" "&amp;'Compliance Database'!$L387&amp;" "&amp;'Compliance Database'!$M387&amp;" "&amp;'Compliance Database'!$N387&amp;" "&amp;'Compliance Database'!$O387)))),1,0)</f>
        <v/>
      </c>
      <c r="B387">
        <f>IF($A387=1,SUM($A$2:$A387),"")</f>
        <v/>
      </c>
      <c r="C387">
        <f>IF($A387=1,SUM($A$2:$A387),0)</f>
        <v/>
      </c>
    </row>
    <row r="388">
      <c r="A388">
        <f>IF(AND(OR('Compliance Database'!$A388='Data Transfer'!$B$4,'Compliance Database'!$A388='Data Transfer'!$B$5),OR('Data Transfer'!$B$6="",ISNUMBER(SEARCH('Data Transfer'!$B$6,'Compliance Database'!$D388&amp;" "&amp;'Compliance Database'!$K388&amp;" "&amp;'Compliance Database'!$L388&amp;" "&amp;'Compliance Database'!$M388&amp;" "&amp;'Compliance Database'!$N388&amp;" "&amp;'Compliance Database'!$O388)))),1,0)</f>
        <v/>
      </c>
      <c r="B388">
        <f>IF($A388=1,SUM($A$2:$A388),"")</f>
        <v/>
      </c>
      <c r="C388">
        <f>IF($A388=1,SUM($A$2:$A388),0)</f>
        <v/>
      </c>
    </row>
    <row r="389">
      <c r="A389">
        <f>IF(AND(OR('Compliance Database'!$A389='Data Transfer'!$B$4,'Compliance Database'!$A389='Data Transfer'!$B$5),OR('Data Transfer'!$B$6="",ISNUMBER(SEARCH('Data Transfer'!$B$6,'Compliance Database'!$D389&amp;" "&amp;'Compliance Database'!$K389&amp;" "&amp;'Compliance Database'!$L389&amp;" "&amp;'Compliance Database'!$M389&amp;" "&amp;'Compliance Database'!$N389&amp;" "&amp;'Compliance Database'!$O389)))),1,0)</f>
        <v/>
      </c>
      <c r="B389">
        <f>IF($A389=1,SUM($A$2:$A389),"")</f>
        <v/>
      </c>
      <c r="C389">
        <f>IF($A389=1,SUM($A$2:$A389),0)</f>
        <v/>
      </c>
    </row>
    <row r="390">
      <c r="A390">
        <f>IF(AND(OR('Compliance Database'!$A390='Data Transfer'!$B$4,'Compliance Database'!$A390='Data Transfer'!$B$5),OR('Data Transfer'!$B$6="",ISNUMBER(SEARCH('Data Transfer'!$B$6,'Compliance Database'!$D390&amp;" "&amp;'Compliance Database'!$K390&amp;" "&amp;'Compliance Database'!$L390&amp;" "&amp;'Compliance Database'!$M390&amp;" "&amp;'Compliance Database'!$N390&amp;" "&amp;'Compliance Database'!$O390)))),1,0)</f>
        <v/>
      </c>
      <c r="B390">
        <f>IF($A390=1,SUM($A$2:$A390),"")</f>
        <v/>
      </c>
      <c r="C390">
        <f>IF($A390=1,SUM($A$2:$A390),0)</f>
        <v/>
      </c>
    </row>
    <row r="391">
      <c r="A391">
        <f>IF(AND(OR('Compliance Database'!$A391='Data Transfer'!$B$4,'Compliance Database'!$A391='Data Transfer'!$B$5),OR('Data Transfer'!$B$6="",ISNUMBER(SEARCH('Data Transfer'!$B$6,'Compliance Database'!$D391&amp;" "&amp;'Compliance Database'!$K391&amp;" "&amp;'Compliance Database'!$L391&amp;" "&amp;'Compliance Database'!$M391&amp;" "&amp;'Compliance Database'!$N391&amp;" "&amp;'Compliance Database'!$O391)))),1,0)</f>
        <v/>
      </c>
      <c r="B391">
        <f>IF($A391=1,SUM($A$2:$A391),"")</f>
        <v/>
      </c>
      <c r="C391">
        <f>IF($A391=1,SUM($A$2:$A391),0)</f>
        <v/>
      </c>
    </row>
    <row r="392">
      <c r="A392">
        <f>IF(AND(OR('Compliance Database'!$A392='Data Transfer'!$B$4,'Compliance Database'!$A392='Data Transfer'!$B$5),OR('Data Transfer'!$B$6="",ISNUMBER(SEARCH('Data Transfer'!$B$6,'Compliance Database'!$D392&amp;" "&amp;'Compliance Database'!$K392&amp;" "&amp;'Compliance Database'!$L392&amp;" "&amp;'Compliance Database'!$M392&amp;" "&amp;'Compliance Database'!$N392&amp;" "&amp;'Compliance Database'!$O392)))),1,0)</f>
        <v/>
      </c>
      <c r="B392">
        <f>IF($A392=1,SUM($A$2:$A392),"")</f>
        <v/>
      </c>
      <c r="C392">
        <f>IF($A392=1,SUM($A$2:$A392),0)</f>
        <v/>
      </c>
    </row>
    <row r="393">
      <c r="A393">
        <f>IF(AND(OR('Compliance Database'!$A393='Data Transfer'!$B$4,'Compliance Database'!$A393='Data Transfer'!$B$5),OR('Data Transfer'!$B$6="",ISNUMBER(SEARCH('Data Transfer'!$B$6,'Compliance Database'!$D393&amp;" "&amp;'Compliance Database'!$K393&amp;" "&amp;'Compliance Database'!$L393&amp;" "&amp;'Compliance Database'!$M393&amp;" "&amp;'Compliance Database'!$N393&amp;" "&amp;'Compliance Database'!$O393)))),1,0)</f>
        <v/>
      </c>
      <c r="B393">
        <f>IF($A393=1,SUM($A$2:$A393),"")</f>
        <v/>
      </c>
      <c r="C393">
        <f>IF($A393=1,SUM($A$2:$A393),0)</f>
        <v/>
      </c>
    </row>
    <row r="394">
      <c r="A394">
        <f>IF(AND(OR('Compliance Database'!$A394='Data Transfer'!$B$4,'Compliance Database'!$A394='Data Transfer'!$B$5),OR('Data Transfer'!$B$6="",ISNUMBER(SEARCH('Data Transfer'!$B$6,'Compliance Database'!$D394&amp;" "&amp;'Compliance Database'!$K394&amp;" "&amp;'Compliance Database'!$L394&amp;" "&amp;'Compliance Database'!$M394&amp;" "&amp;'Compliance Database'!$N394&amp;" "&amp;'Compliance Database'!$O394)))),1,0)</f>
        <v/>
      </c>
      <c r="B394">
        <f>IF($A394=1,SUM($A$2:$A394),"")</f>
        <v/>
      </c>
      <c r="C394">
        <f>IF($A394=1,SUM($A$2:$A394),0)</f>
        <v/>
      </c>
    </row>
    <row r="395">
      <c r="A395">
        <f>IF(AND(OR('Compliance Database'!$A395='Data Transfer'!$B$4,'Compliance Database'!$A395='Data Transfer'!$B$5),OR('Data Transfer'!$B$6="",ISNUMBER(SEARCH('Data Transfer'!$B$6,'Compliance Database'!$D395&amp;" "&amp;'Compliance Database'!$K395&amp;" "&amp;'Compliance Database'!$L395&amp;" "&amp;'Compliance Database'!$M395&amp;" "&amp;'Compliance Database'!$N395&amp;" "&amp;'Compliance Database'!$O395)))),1,0)</f>
        <v/>
      </c>
      <c r="B395">
        <f>IF($A395=1,SUM($A$2:$A395),"")</f>
        <v/>
      </c>
      <c r="C395">
        <f>IF($A395=1,SUM($A$2:$A395),0)</f>
        <v/>
      </c>
    </row>
    <row r="396">
      <c r="A396">
        <f>IF(AND(OR('Compliance Database'!$A396='Data Transfer'!$B$4,'Compliance Database'!$A396='Data Transfer'!$B$5),OR('Data Transfer'!$B$6="",ISNUMBER(SEARCH('Data Transfer'!$B$6,'Compliance Database'!$D396&amp;" "&amp;'Compliance Database'!$K396&amp;" "&amp;'Compliance Database'!$L396&amp;" "&amp;'Compliance Database'!$M396&amp;" "&amp;'Compliance Database'!$N396&amp;" "&amp;'Compliance Database'!$O396)))),1,0)</f>
        <v/>
      </c>
      <c r="B396">
        <f>IF($A396=1,SUM($A$2:$A396),"")</f>
        <v/>
      </c>
      <c r="C396">
        <f>IF($A396=1,SUM($A$2:$A396),0)</f>
        <v/>
      </c>
    </row>
    <row r="397">
      <c r="A397">
        <f>IF(AND(OR('Compliance Database'!$A397='Data Transfer'!$B$4,'Compliance Database'!$A397='Data Transfer'!$B$5),OR('Data Transfer'!$B$6="",ISNUMBER(SEARCH('Data Transfer'!$B$6,'Compliance Database'!$D397&amp;" "&amp;'Compliance Database'!$K397&amp;" "&amp;'Compliance Database'!$L397&amp;" "&amp;'Compliance Database'!$M397&amp;" "&amp;'Compliance Database'!$N397&amp;" "&amp;'Compliance Database'!$O397)))),1,0)</f>
        <v/>
      </c>
      <c r="B397">
        <f>IF($A397=1,SUM($A$2:$A397),"")</f>
        <v/>
      </c>
      <c r="C397">
        <f>IF($A397=1,SUM($A$2:$A397),0)</f>
        <v/>
      </c>
    </row>
    <row r="398">
      <c r="A398">
        <f>IF(AND(OR('Compliance Database'!$A398='Data Transfer'!$B$4,'Compliance Database'!$A398='Data Transfer'!$B$5),OR('Data Transfer'!$B$6="",ISNUMBER(SEARCH('Data Transfer'!$B$6,'Compliance Database'!$D398&amp;" "&amp;'Compliance Database'!$K398&amp;" "&amp;'Compliance Database'!$L398&amp;" "&amp;'Compliance Database'!$M398&amp;" "&amp;'Compliance Database'!$N398&amp;" "&amp;'Compliance Database'!$O398)))),1,0)</f>
        <v/>
      </c>
      <c r="B398">
        <f>IF($A398=1,SUM($A$2:$A398),"")</f>
        <v/>
      </c>
      <c r="C398">
        <f>IF($A398=1,SUM($A$2:$A398),0)</f>
        <v/>
      </c>
    </row>
    <row r="399">
      <c r="A399">
        <f>IF(AND(OR('Compliance Database'!$A399='Data Transfer'!$B$4,'Compliance Database'!$A399='Data Transfer'!$B$5),OR('Data Transfer'!$B$6="",ISNUMBER(SEARCH('Data Transfer'!$B$6,'Compliance Database'!$D399&amp;" "&amp;'Compliance Database'!$K399&amp;" "&amp;'Compliance Database'!$L399&amp;" "&amp;'Compliance Database'!$M399&amp;" "&amp;'Compliance Database'!$N399&amp;" "&amp;'Compliance Database'!$O399)))),1,0)</f>
        <v/>
      </c>
      <c r="B399">
        <f>IF($A399=1,SUM($A$2:$A399),"")</f>
        <v/>
      </c>
      <c r="C399">
        <f>IF($A399=1,SUM($A$2:$A399),0)</f>
        <v/>
      </c>
    </row>
    <row r="400">
      <c r="A400">
        <f>IF(AND(OR('Compliance Database'!$A400='Data Transfer'!$B$4,'Compliance Database'!$A400='Data Transfer'!$B$5),OR('Data Transfer'!$B$6="",ISNUMBER(SEARCH('Data Transfer'!$B$6,'Compliance Database'!$D400&amp;" "&amp;'Compliance Database'!$K400&amp;" "&amp;'Compliance Database'!$L400&amp;" "&amp;'Compliance Database'!$M400&amp;" "&amp;'Compliance Database'!$N400&amp;" "&amp;'Compliance Database'!$O400)))),1,0)</f>
        <v/>
      </c>
      <c r="B400">
        <f>IF($A400=1,SUM($A$2:$A400),"")</f>
        <v/>
      </c>
      <c r="C400">
        <f>IF($A400=1,SUM($A$2:$A400),0)</f>
        <v/>
      </c>
    </row>
    <row r="401">
      <c r="A401">
        <f>IF(AND(OR('Compliance Database'!$A401='Data Transfer'!$B$4,'Compliance Database'!$A401='Data Transfer'!$B$5),OR('Data Transfer'!$B$6="",ISNUMBER(SEARCH('Data Transfer'!$B$6,'Compliance Database'!$D401&amp;" "&amp;'Compliance Database'!$K401&amp;" "&amp;'Compliance Database'!$L401&amp;" "&amp;'Compliance Database'!$M401&amp;" "&amp;'Compliance Database'!$N401&amp;" "&amp;'Compliance Database'!$O401)))),1,0)</f>
        <v/>
      </c>
      <c r="B401">
        <f>IF($A401=1,SUM($A$2:$A401),"")</f>
        <v/>
      </c>
      <c r="C401">
        <f>IF($A401=1,SUM($A$2:$A401),0)</f>
        <v/>
      </c>
    </row>
    <row r="402">
      <c r="A402">
        <f>IF(AND(OR('Compliance Database'!$A402='Data Transfer'!$B$4,'Compliance Database'!$A402='Data Transfer'!$B$5),OR('Data Transfer'!$B$6="",ISNUMBER(SEARCH('Data Transfer'!$B$6,'Compliance Database'!$D402&amp;" "&amp;'Compliance Database'!$K402&amp;" "&amp;'Compliance Database'!$L402&amp;" "&amp;'Compliance Database'!$M402&amp;" "&amp;'Compliance Database'!$N402&amp;" "&amp;'Compliance Database'!$O402)))),1,0)</f>
        <v/>
      </c>
      <c r="B402">
        <f>IF($A402=1,SUM($A$2:$A402),"")</f>
        <v/>
      </c>
      <c r="C402">
        <f>IF($A402=1,SUM($A$2:$A402),0)</f>
        <v/>
      </c>
    </row>
    <row r="403">
      <c r="A403">
        <f>IF(AND(OR('Compliance Database'!$A403='Data Transfer'!$B$4,'Compliance Database'!$A403='Data Transfer'!$B$5),OR('Data Transfer'!$B$6="",ISNUMBER(SEARCH('Data Transfer'!$B$6,'Compliance Database'!$D403&amp;" "&amp;'Compliance Database'!$K403&amp;" "&amp;'Compliance Database'!$L403&amp;" "&amp;'Compliance Database'!$M403&amp;" "&amp;'Compliance Database'!$N403&amp;" "&amp;'Compliance Database'!$O403)))),1,0)</f>
        <v/>
      </c>
      <c r="B403">
        <f>IF($A403=1,SUM($A$2:$A403),"")</f>
        <v/>
      </c>
      <c r="C403">
        <f>IF($A403=1,SUM($A$2:$A403),0)</f>
        <v/>
      </c>
    </row>
    <row r="404">
      <c r="A404">
        <f>IF(AND(OR('Compliance Database'!$A404='Data Transfer'!$B$4,'Compliance Database'!$A404='Data Transfer'!$B$5),OR('Data Transfer'!$B$6="",ISNUMBER(SEARCH('Data Transfer'!$B$6,'Compliance Database'!$D404&amp;" "&amp;'Compliance Database'!$K404&amp;" "&amp;'Compliance Database'!$L404&amp;" "&amp;'Compliance Database'!$M404&amp;" "&amp;'Compliance Database'!$N404&amp;" "&amp;'Compliance Database'!$O404)))),1,0)</f>
        <v/>
      </c>
      <c r="B404">
        <f>IF($A404=1,SUM($A$2:$A404),"")</f>
        <v/>
      </c>
      <c r="C404">
        <f>IF($A404=1,SUM($A$2:$A404),0)</f>
        <v/>
      </c>
    </row>
    <row r="405">
      <c r="A405">
        <f>IF(AND(OR('Compliance Database'!$A405='Data Transfer'!$B$4,'Compliance Database'!$A405='Data Transfer'!$B$5),OR('Data Transfer'!$B$6="",ISNUMBER(SEARCH('Data Transfer'!$B$6,'Compliance Database'!$D405&amp;" "&amp;'Compliance Database'!$K405&amp;" "&amp;'Compliance Database'!$L405&amp;" "&amp;'Compliance Database'!$M405&amp;" "&amp;'Compliance Database'!$N405&amp;" "&amp;'Compliance Database'!$O405)))),1,0)</f>
        <v/>
      </c>
      <c r="B405">
        <f>IF($A405=1,SUM($A$2:$A405),"")</f>
        <v/>
      </c>
      <c r="C405">
        <f>IF($A405=1,SUM($A$2:$A405),0)</f>
        <v/>
      </c>
    </row>
    <row r="406">
      <c r="A406">
        <f>IF(AND(OR('Compliance Database'!$A406='Data Transfer'!$B$4,'Compliance Database'!$A406='Data Transfer'!$B$5),OR('Data Transfer'!$B$6="",ISNUMBER(SEARCH('Data Transfer'!$B$6,'Compliance Database'!$D406&amp;" "&amp;'Compliance Database'!$K406&amp;" "&amp;'Compliance Database'!$L406&amp;" "&amp;'Compliance Database'!$M406&amp;" "&amp;'Compliance Database'!$N406&amp;" "&amp;'Compliance Database'!$O406)))),1,0)</f>
        <v/>
      </c>
      <c r="B406">
        <f>IF($A406=1,SUM($A$2:$A406),"")</f>
        <v/>
      </c>
      <c r="C406">
        <f>IF($A406=1,SUM($A$2:$A406),0)</f>
        <v/>
      </c>
    </row>
    <row r="407">
      <c r="A407">
        <f>IF(AND(OR('Compliance Database'!$A407='Data Transfer'!$B$4,'Compliance Database'!$A407='Data Transfer'!$B$5),OR('Data Transfer'!$B$6="",ISNUMBER(SEARCH('Data Transfer'!$B$6,'Compliance Database'!$D407&amp;" "&amp;'Compliance Database'!$K407&amp;" "&amp;'Compliance Database'!$L407&amp;" "&amp;'Compliance Database'!$M407&amp;" "&amp;'Compliance Database'!$N407&amp;" "&amp;'Compliance Database'!$O407)))),1,0)</f>
        <v/>
      </c>
      <c r="B407">
        <f>IF($A407=1,SUM($A$2:$A407),"")</f>
        <v/>
      </c>
      <c r="C407">
        <f>IF($A407=1,SUM($A$2:$A407),0)</f>
        <v/>
      </c>
    </row>
    <row r="408">
      <c r="A408">
        <f>IF(AND(OR('Compliance Database'!$A408='Data Transfer'!$B$4,'Compliance Database'!$A408='Data Transfer'!$B$5),OR('Data Transfer'!$B$6="",ISNUMBER(SEARCH('Data Transfer'!$B$6,'Compliance Database'!$D408&amp;" "&amp;'Compliance Database'!$K408&amp;" "&amp;'Compliance Database'!$L408&amp;" "&amp;'Compliance Database'!$M408&amp;" "&amp;'Compliance Database'!$N408&amp;" "&amp;'Compliance Database'!$O408)))),1,0)</f>
        <v/>
      </c>
      <c r="B408">
        <f>IF($A408=1,SUM($A$2:$A408),"")</f>
        <v/>
      </c>
      <c r="C408">
        <f>IF($A408=1,SUM($A$2:$A408),0)</f>
        <v/>
      </c>
    </row>
    <row r="409">
      <c r="A409">
        <f>IF(AND(OR('Compliance Database'!$A409='Data Transfer'!$B$4,'Compliance Database'!$A409='Data Transfer'!$B$5),OR('Data Transfer'!$B$6="",ISNUMBER(SEARCH('Data Transfer'!$B$6,'Compliance Database'!$D409&amp;" "&amp;'Compliance Database'!$K409&amp;" "&amp;'Compliance Database'!$L409&amp;" "&amp;'Compliance Database'!$M409&amp;" "&amp;'Compliance Database'!$N409&amp;" "&amp;'Compliance Database'!$O409)))),1,0)</f>
        <v/>
      </c>
      <c r="B409">
        <f>IF($A409=1,SUM($A$2:$A409),"")</f>
        <v/>
      </c>
      <c r="C409">
        <f>IF($A409=1,SUM($A$2:$A409),0)</f>
        <v/>
      </c>
    </row>
    <row r="410">
      <c r="A410">
        <f>IF(AND(OR('Compliance Database'!$A410='Data Transfer'!$B$4,'Compliance Database'!$A410='Data Transfer'!$B$5),OR('Data Transfer'!$B$6="",ISNUMBER(SEARCH('Data Transfer'!$B$6,'Compliance Database'!$D410&amp;" "&amp;'Compliance Database'!$K410&amp;" "&amp;'Compliance Database'!$L410&amp;" "&amp;'Compliance Database'!$M410&amp;" "&amp;'Compliance Database'!$N410&amp;" "&amp;'Compliance Database'!$O410)))),1,0)</f>
        <v/>
      </c>
      <c r="B410">
        <f>IF($A410=1,SUM($A$2:$A410),"")</f>
        <v/>
      </c>
      <c r="C410">
        <f>IF($A410=1,SUM($A$2:$A410),0)</f>
        <v/>
      </c>
    </row>
    <row r="411">
      <c r="A411">
        <f>IF(AND(OR('Compliance Database'!$A411='Data Transfer'!$B$4,'Compliance Database'!$A411='Data Transfer'!$B$5),OR('Data Transfer'!$B$6="",ISNUMBER(SEARCH('Data Transfer'!$B$6,'Compliance Database'!$D411&amp;" "&amp;'Compliance Database'!$K411&amp;" "&amp;'Compliance Database'!$L411&amp;" "&amp;'Compliance Database'!$M411&amp;" "&amp;'Compliance Database'!$N411&amp;" "&amp;'Compliance Database'!$O411)))),1,0)</f>
        <v/>
      </c>
      <c r="B411">
        <f>IF($A411=1,SUM($A$2:$A411),"")</f>
        <v/>
      </c>
      <c r="C411">
        <f>IF($A411=1,SUM($A$2:$A411),0)</f>
        <v/>
      </c>
    </row>
    <row r="412">
      <c r="A412">
        <f>IF(AND(OR('Compliance Database'!$A412='Data Transfer'!$B$4,'Compliance Database'!$A412='Data Transfer'!$B$5),OR('Data Transfer'!$B$6="",ISNUMBER(SEARCH('Data Transfer'!$B$6,'Compliance Database'!$D412&amp;" "&amp;'Compliance Database'!$K412&amp;" "&amp;'Compliance Database'!$L412&amp;" "&amp;'Compliance Database'!$M412&amp;" "&amp;'Compliance Database'!$N412&amp;" "&amp;'Compliance Database'!$O412)))),1,0)</f>
        <v/>
      </c>
      <c r="B412">
        <f>IF($A412=1,SUM($A$2:$A412),"")</f>
        <v/>
      </c>
      <c r="C412">
        <f>IF($A412=1,SUM($A$2:$A412),0)</f>
        <v/>
      </c>
    </row>
    <row r="413">
      <c r="A413">
        <f>IF(AND(OR('Compliance Database'!$A413='Data Transfer'!$B$4,'Compliance Database'!$A413='Data Transfer'!$B$5),OR('Data Transfer'!$B$6="",ISNUMBER(SEARCH('Data Transfer'!$B$6,'Compliance Database'!$D413&amp;" "&amp;'Compliance Database'!$K413&amp;" "&amp;'Compliance Database'!$L413&amp;" "&amp;'Compliance Database'!$M413&amp;" "&amp;'Compliance Database'!$N413&amp;" "&amp;'Compliance Database'!$O413)))),1,0)</f>
        <v/>
      </c>
      <c r="B413">
        <f>IF($A413=1,SUM($A$2:$A413),"")</f>
        <v/>
      </c>
      <c r="C413">
        <f>IF($A413=1,SUM($A$2:$A413),0)</f>
        <v/>
      </c>
    </row>
    <row r="414">
      <c r="A414">
        <f>IF(AND(OR('Compliance Database'!$A414='Data Transfer'!$B$4,'Compliance Database'!$A414='Data Transfer'!$B$5),OR('Data Transfer'!$B$6="",ISNUMBER(SEARCH('Data Transfer'!$B$6,'Compliance Database'!$D414&amp;" "&amp;'Compliance Database'!$K414&amp;" "&amp;'Compliance Database'!$L414&amp;" "&amp;'Compliance Database'!$M414&amp;" "&amp;'Compliance Database'!$N414&amp;" "&amp;'Compliance Database'!$O414)))),1,0)</f>
        <v/>
      </c>
      <c r="B414">
        <f>IF($A414=1,SUM($A$2:$A414),"")</f>
        <v/>
      </c>
      <c r="C414">
        <f>IF($A414=1,SUM($A$2:$A414),0)</f>
        <v/>
      </c>
    </row>
    <row r="415">
      <c r="A415">
        <f>IF(AND(OR('Compliance Database'!$A415='Data Transfer'!$B$4,'Compliance Database'!$A415='Data Transfer'!$B$5),OR('Data Transfer'!$B$6="",ISNUMBER(SEARCH('Data Transfer'!$B$6,'Compliance Database'!$D415&amp;" "&amp;'Compliance Database'!$K415&amp;" "&amp;'Compliance Database'!$L415&amp;" "&amp;'Compliance Database'!$M415&amp;" "&amp;'Compliance Database'!$N415&amp;" "&amp;'Compliance Database'!$O415)))),1,0)</f>
        <v/>
      </c>
      <c r="B415">
        <f>IF($A415=1,SUM($A$2:$A415),"")</f>
        <v/>
      </c>
      <c r="C415">
        <f>IF($A415=1,SUM($A$2:$A415),0)</f>
        <v/>
      </c>
    </row>
    <row r="416">
      <c r="A416">
        <f>IF(AND(OR('Compliance Database'!$A416='Data Transfer'!$B$4,'Compliance Database'!$A416='Data Transfer'!$B$5),OR('Data Transfer'!$B$6="",ISNUMBER(SEARCH('Data Transfer'!$B$6,'Compliance Database'!$D416&amp;" "&amp;'Compliance Database'!$K416&amp;" "&amp;'Compliance Database'!$L416&amp;" "&amp;'Compliance Database'!$M416&amp;" "&amp;'Compliance Database'!$N416&amp;" "&amp;'Compliance Database'!$O416)))),1,0)</f>
        <v/>
      </c>
      <c r="B416">
        <f>IF($A416=1,SUM($A$2:$A416),"")</f>
        <v/>
      </c>
      <c r="C416">
        <f>IF($A416=1,SUM($A$2:$A416),0)</f>
        <v/>
      </c>
    </row>
    <row r="417">
      <c r="A417">
        <f>IF(AND(OR('Compliance Database'!$A417='Data Transfer'!$B$4,'Compliance Database'!$A417='Data Transfer'!$B$5),OR('Data Transfer'!$B$6="",ISNUMBER(SEARCH('Data Transfer'!$B$6,'Compliance Database'!$D417&amp;" "&amp;'Compliance Database'!$K417&amp;" "&amp;'Compliance Database'!$L417&amp;" "&amp;'Compliance Database'!$M417&amp;" "&amp;'Compliance Database'!$N417&amp;" "&amp;'Compliance Database'!$O417)))),1,0)</f>
        <v/>
      </c>
      <c r="B417">
        <f>IF($A417=1,SUM($A$2:$A417),"")</f>
        <v/>
      </c>
      <c r="C417">
        <f>IF($A417=1,SUM($A$2:$A417),0)</f>
        <v/>
      </c>
    </row>
    <row r="418">
      <c r="A418">
        <f>IF(AND(OR('Compliance Database'!$A418='Data Transfer'!$B$4,'Compliance Database'!$A418='Data Transfer'!$B$5),OR('Data Transfer'!$B$6="",ISNUMBER(SEARCH('Data Transfer'!$B$6,'Compliance Database'!$D418&amp;" "&amp;'Compliance Database'!$K418&amp;" "&amp;'Compliance Database'!$L418&amp;" "&amp;'Compliance Database'!$M418&amp;" "&amp;'Compliance Database'!$N418&amp;" "&amp;'Compliance Database'!$O418)))),1,0)</f>
        <v/>
      </c>
      <c r="B418">
        <f>IF($A418=1,SUM($A$2:$A418),"")</f>
        <v/>
      </c>
      <c r="C418">
        <f>IF($A418=1,SUM($A$2:$A418),0)</f>
        <v/>
      </c>
    </row>
    <row r="419">
      <c r="A419">
        <f>IF(AND(OR('Compliance Database'!$A419='Data Transfer'!$B$4,'Compliance Database'!$A419='Data Transfer'!$B$5),OR('Data Transfer'!$B$6="",ISNUMBER(SEARCH('Data Transfer'!$B$6,'Compliance Database'!$D419&amp;" "&amp;'Compliance Database'!$K419&amp;" "&amp;'Compliance Database'!$L419&amp;" "&amp;'Compliance Database'!$M419&amp;" "&amp;'Compliance Database'!$N419&amp;" "&amp;'Compliance Database'!$O419)))),1,0)</f>
        <v/>
      </c>
      <c r="B419">
        <f>IF($A419=1,SUM($A$2:$A419),"")</f>
        <v/>
      </c>
      <c r="C419">
        <f>IF($A419=1,SUM($A$2:$A419),0)</f>
        <v/>
      </c>
    </row>
    <row r="420">
      <c r="A420">
        <f>IF(AND(OR('Compliance Database'!$A420='Data Transfer'!$B$4,'Compliance Database'!$A420='Data Transfer'!$B$5),OR('Data Transfer'!$B$6="",ISNUMBER(SEARCH('Data Transfer'!$B$6,'Compliance Database'!$D420&amp;" "&amp;'Compliance Database'!$K420&amp;" "&amp;'Compliance Database'!$L420&amp;" "&amp;'Compliance Database'!$M420&amp;" "&amp;'Compliance Database'!$N420&amp;" "&amp;'Compliance Database'!$O420)))),1,0)</f>
        <v/>
      </c>
      <c r="B420">
        <f>IF($A420=1,SUM($A$2:$A420),"")</f>
        <v/>
      </c>
      <c r="C420">
        <f>IF($A420=1,SUM($A$2:$A420),0)</f>
        <v/>
      </c>
    </row>
    <row r="421">
      <c r="A421">
        <f>IF(AND(OR('Compliance Database'!$A421='Data Transfer'!$B$4,'Compliance Database'!$A421='Data Transfer'!$B$5),OR('Data Transfer'!$B$6="",ISNUMBER(SEARCH('Data Transfer'!$B$6,'Compliance Database'!$D421&amp;" "&amp;'Compliance Database'!$K421&amp;" "&amp;'Compliance Database'!$L421&amp;" "&amp;'Compliance Database'!$M421&amp;" "&amp;'Compliance Database'!$N421&amp;" "&amp;'Compliance Database'!$O421)))),1,0)</f>
        <v/>
      </c>
      <c r="B421">
        <f>IF($A421=1,SUM($A$2:$A421),"")</f>
        <v/>
      </c>
      <c r="C421">
        <f>IF($A421=1,SUM($A$2:$A421),0)</f>
        <v/>
      </c>
    </row>
    <row r="422">
      <c r="A422">
        <f>IF(AND(OR('Compliance Database'!$A422='Data Transfer'!$B$4,'Compliance Database'!$A422='Data Transfer'!$B$5),OR('Data Transfer'!$B$6="",ISNUMBER(SEARCH('Data Transfer'!$B$6,'Compliance Database'!$D422&amp;" "&amp;'Compliance Database'!$K422&amp;" "&amp;'Compliance Database'!$L422&amp;" "&amp;'Compliance Database'!$M422&amp;" "&amp;'Compliance Database'!$N422&amp;" "&amp;'Compliance Database'!$O422)))),1,0)</f>
        <v/>
      </c>
      <c r="B422">
        <f>IF($A422=1,SUM($A$2:$A422),"")</f>
        <v/>
      </c>
      <c r="C422">
        <f>IF($A422=1,SUM($A$2:$A422),0)</f>
        <v/>
      </c>
    </row>
    <row r="423">
      <c r="A423">
        <f>IF(AND(OR('Compliance Database'!$A423='Data Transfer'!$B$4,'Compliance Database'!$A423='Data Transfer'!$B$5),OR('Data Transfer'!$B$6="",ISNUMBER(SEARCH('Data Transfer'!$B$6,'Compliance Database'!$D423&amp;" "&amp;'Compliance Database'!$K423&amp;" "&amp;'Compliance Database'!$L423&amp;" "&amp;'Compliance Database'!$M423&amp;" "&amp;'Compliance Database'!$N423&amp;" "&amp;'Compliance Database'!$O423)))),1,0)</f>
        <v/>
      </c>
      <c r="B423">
        <f>IF($A423=1,SUM($A$2:$A423),"")</f>
        <v/>
      </c>
      <c r="C423">
        <f>IF($A423=1,SUM($A$2:$A423),0)</f>
        <v/>
      </c>
    </row>
    <row r="424">
      <c r="A424">
        <f>IF(AND(OR('Compliance Database'!$A424='Data Transfer'!$B$4,'Compliance Database'!$A424='Data Transfer'!$B$5),OR('Data Transfer'!$B$6="",ISNUMBER(SEARCH('Data Transfer'!$B$6,'Compliance Database'!$D424&amp;" "&amp;'Compliance Database'!$K424&amp;" "&amp;'Compliance Database'!$L424&amp;" "&amp;'Compliance Database'!$M424&amp;" "&amp;'Compliance Database'!$N424&amp;" "&amp;'Compliance Database'!$O424)))),1,0)</f>
        <v/>
      </c>
      <c r="B424">
        <f>IF($A424=1,SUM($A$2:$A424),"")</f>
        <v/>
      </c>
      <c r="C424">
        <f>IF($A424=1,SUM($A$2:$A424),0)</f>
        <v/>
      </c>
    </row>
    <row r="425">
      <c r="A425">
        <f>IF(AND(OR('Compliance Database'!$A425='Data Transfer'!$B$4,'Compliance Database'!$A425='Data Transfer'!$B$5),OR('Data Transfer'!$B$6="",ISNUMBER(SEARCH('Data Transfer'!$B$6,'Compliance Database'!$D425&amp;" "&amp;'Compliance Database'!$K425&amp;" "&amp;'Compliance Database'!$L425&amp;" "&amp;'Compliance Database'!$M425&amp;" "&amp;'Compliance Database'!$N425&amp;" "&amp;'Compliance Database'!$O425)))),1,0)</f>
        <v/>
      </c>
      <c r="B425">
        <f>IF($A425=1,SUM($A$2:$A425),"")</f>
        <v/>
      </c>
      <c r="C425">
        <f>IF($A425=1,SUM($A$2:$A425),0)</f>
        <v/>
      </c>
    </row>
    <row r="426">
      <c r="A426">
        <f>IF(AND(OR('Compliance Database'!$A426='Data Transfer'!$B$4,'Compliance Database'!$A426='Data Transfer'!$B$5),OR('Data Transfer'!$B$6="",ISNUMBER(SEARCH('Data Transfer'!$B$6,'Compliance Database'!$D426&amp;" "&amp;'Compliance Database'!$K426&amp;" "&amp;'Compliance Database'!$L426&amp;" "&amp;'Compliance Database'!$M426&amp;" "&amp;'Compliance Database'!$N426&amp;" "&amp;'Compliance Database'!$O426)))),1,0)</f>
        <v/>
      </c>
      <c r="B426">
        <f>IF($A426=1,SUM($A$2:$A426),"")</f>
        <v/>
      </c>
      <c r="C426">
        <f>IF($A426=1,SUM($A$2:$A426),0)</f>
        <v/>
      </c>
    </row>
    <row r="427">
      <c r="A427">
        <f>IF(AND(OR('Compliance Database'!$A427='Data Transfer'!$B$4,'Compliance Database'!$A427='Data Transfer'!$B$5),OR('Data Transfer'!$B$6="",ISNUMBER(SEARCH('Data Transfer'!$B$6,'Compliance Database'!$D427&amp;" "&amp;'Compliance Database'!$K427&amp;" "&amp;'Compliance Database'!$L427&amp;" "&amp;'Compliance Database'!$M427&amp;" "&amp;'Compliance Database'!$N427&amp;" "&amp;'Compliance Database'!$O427)))),1,0)</f>
        <v/>
      </c>
      <c r="B427">
        <f>IF($A427=1,SUM($A$2:$A427),"")</f>
        <v/>
      </c>
      <c r="C427">
        <f>IF($A427=1,SUM($A$2:$A427),0)</f>
        <v/>
      </c>
    </row>
    <row r="428">
      <c r="A428">
        <f>IF(AND(OR('Compliance Database'!$A428='Data Transfer'!$B$4,'Compliance Database'!$A428='Data Transfer'!$B$5),OR('Data Transfer'!$B$6="",ISNUMBER(SEARCH('Data Transfer'!$B$6,'Compliance Database'!$D428&amp;" "&amp;'Compliance Database'!$K428&amp;" "&amp;'Compliance Database'!$L428&amp;" "&amp;'Compliance Database'!$M428&amp;" "&amp;'Compliance Database'!$N428&amp;" "&amp;'Compliance Database'!$O428)))),1,0)</f>
        <v/>
      </c>
      <c r="B428">
        <f>IF($A428=1,SUM($A$2:$A428),"")</f>
        <v/>
      </c>
      <c r="C428">
        <f>IF($A428=1,SUM($A$2:$A428),0)</f>
        <v/>
      </c>
    </row>
    <row r="429">
      <c r="A429">
        <f>IF(AND(OR('Compliance Database'!$A429='Data Transfer'!$B$4,'Compliance Database'!$A429='Data Transfer'!$B$5),OR('Data Transfer'!$B$6="",ISNUMBER(SEARCH('Data Transfer'!$B$6,'Compliance Database'!$D429&amp;" "&amp;'Compliance Database'!$K429&amp;" "&amp;'Compliance Database'!$L429&amp;" "&amp;'Compliance Database'!$M429&amp;" "&amp;'Compliance Database'!$N429&amp;" "&amp;'Compliance Database'!$O429)))),1,0)</f>
        <v/>
      </c>
      <c r="B429">
        <f>IF($A429=1,SUM($A$2:$A429),"")</f>
        <v/>
      </c>
      <c r="C429">
        <f>IF($A429=1,SUM($A$2:$A429),0)</f>
        <v/>
      </c>
    </row>
    <row r="430">
      <c r="A430">
        <f>IF(AND(OR('Compliance Database'!$A430='Data Transfer'!$B$4,'Compliance Database'!$A430='Data Transfer'!$B$5),OR('Data Transfer'!$B$6="",ISNUMBER(SEARCH('Data Transfer'!$B$6,'Compliance Database'!$D430&amp;" "&amp;'Compliance Database'!$K430&amp;" "&amp;'Compliance Database'!$L430&amp;" "&amp;'Compliance Database'!$M430&amp;" "&amp;'Compliance Database'!$N430&amp;" "&amp;'Compliance Database'!$O430)))),1,0)</f>
        <v/>
      </c>
      <c r="B430">
        <f>IF($A430=1,SUM($A$2:$A430),"")</f>
        <v/>
      </c>
      <c r="C430">
        <f>IF($A430=1,SUM($A$2:$A430),0)</f>
        <v/>
      </c>
    </row>
    <row r="431">
      <c r="A431">
        <f>IF(AND(OR('Compliance Database'!$A431='Data Transfer'!$B$4,'Compliance Database'!$A431='Data Transfer'!$B$5),OR('Data Transfer'!$B$6="",ISNUMBER(SEARCH('Data Transfer'!$B$6,'Compliance Database'!$D431&amp;" "&amp;'Compliance Database'!$K431&amp;" "&amp;'Compliance Database'!$L431&amp;" "&amp;'Compliance Database'!$M431&amp;" "&amp;'Compliance Database'!$N431&amp;" "&amp;'Compliance Database'!$O431)))),1,0)</f>
        <v/>
      </c>
      <c r="B431">
        <f>IF($A431=1,SUM($A$2:$A431),"")</f>
        <v/>
      </c>
      <c r="C431">
        <f>IF($A431=1,SUM($A$2:$A431),0)</f>
        <v/>
      </c>
    </row>
    <row r="432">
      <c r="A432">
        <f>IF(AND(OR('Compliance Database'!$A432='Data Transfer'!$B$4,'Compliance Database'!$A432='Data Transfer'!$B$5),OR('Data Transfer'!$B$6="",ISNUMBER(SEARCH('Data Transfer'!$B$6,'Compliance Database'!$D432&amp;" "&amp;'Compliance Database'!$K432&amp;" "&amp;'Compliance Database'!$L432&amp;" "&amp;'Compliance Database'!$M432&amp;" "&amp;'Compliance Database'!$N432&amp;" "&amp;'Compliance Database'!$O432)))),1,0)</f>
        <v/>
      </c>
      <c r="B432">
        <f>IF($A432=1,SUM($A$2:$A432),"")</f>
        <v/>
      </c>
      <c r="C432">
        <f>IF($A432=1,SUM($A$2:$A432),0)</f>
        <v/>
      </c>
    </row>
    <row r="433">
      <c r="A433">
        <f>IF(AND(OR('Compliance Database'!$A433='Data Transfer'!$B$4,'Compliance Database'!$A433='Data Transfer'!$B$5),OR('Data Transfer'!$B$6="",ISNUMBER(SEARCH('Data Transfer'!$B$6,'Compliance Database'!$D433&amp;" "&amp;'Compliance Database'!$K433&amp;" "&amp;'Compliance Database'!$L433&amp;" "&amp;'Compliance Database'!$M433&amp;" "&amp;'Compliance Database'!$N433&amp;" "&amp;'Compliance Database'!$O433)))),1,0)</f>
        <v/>
      </c>
      <c r="B433">
        <f>IF($A433=1,SUM($A$2:$A433),"")</f>
        <v/>
      </c>
      <c r="C433">
        <f>IF($A433=1,SUM($A$2:$A433),0)</f>
        <v/>
      </c>
    </row>
    <row r="434">
      <c r="A434">
        <f>IF(AND(OR('Compliance Database'!$A434='Data Transfer'!$B$4,'Compliance Database'!$A434='Data Transfer'!$B$5),OR('Data Transfer'!$B$6="",ISNUMBER(SEARCH('Data Transfer'!$B$6,'Compliance Database'!$D434&amp;" "&amp;'Compliance Database'!$K434&amp;" "&amp;'Compliance Database'!$L434&amp;" "&amp;'Compliance Database'!$M434&amp;" "&amp;'Compliance Database'!$N434&amp;" "&amp;'Compliance Database'!$O434)))),1,0)</f>
        <v/>
      </c>
      <c r="B434">
        <f>IF($A434=1,SUM($A$2:$A434),"")</f>
        <v/>
      </c>
      <c r="C434">
        <f>IF($A434=1,SUM($A$2:$A434),0)</f>
        <v/>
      </c>
    </row>
    <row r="435">
      <c r="A435">
        <f>IF(AND(OR('Compliance Database'!$A435='Data Transfer'!$B$4,'Compliance Database'!$A435='Data Transfer'!$B$5),OR('Data Transfer'!$B$6="",ISNUMBER(SEARCH('Data Transfer'!$B$6,'Compliance Database'!$D435&amp;" "&amp;'Compliance Database'!$K435&amp;" "&amp;'Compliance Database'!$L435&amp;" "&amp;'Compliance Database'!$M435&amp;" "&amp;'Compliance Database'!$N435&amp;" "&amp;'Compliance Database'!$O435)))),1,0)</f>
        <v/>
      </c>
      <c r="B435">
        <f>IF($A435=1,SUM($A$2:$A435),"")</f>
        <v/>
      </c>
      <c r="C435">
        <f>IF($A435=1,SUM($A$2:$A435),0)</f>
        <v/>
      </c>
    </row>
    <row r="436">
      <c r="A436">
        <f>IF(AND(OR('Compliance Database'!$A436='Data Transfer'!$B$4,'Compliance Database'!$A436='Data Transfer'!$B$5),OR('Data Transfer'!$B$6="",ISNUMBER(SEARCH('Data Transfer'!$B$6,'Compliance Database'!$D436&amp;" "&amp;'Compliance Database'!$K436&amp;" "&amp;'Compliance Database'!$L436&amp;" "&amp;'Compliance Database'!$M436&amp;" "&amp;'Compliance Database'!$N436&amp;" "&amp;'Compliance Database'!$O436)))),1,0)</f>
        <v/>
      </c>
      <c r="B436">
        <f>IF($A436=1,SUM($A$2:$A436),"")</f>
        <v/>
      </c>
      <c r="C436">
        <f>IF($A436=1,SUM($A$2:$A436),0)</f>
        <v/>
      </c>
    </row>
    <row r="437">
      <c r="A437">
        <f>IF(AND(OR('Compliance Database'!$A437='Data Transfer'!$B$4,'Compliance Database'!$A437='Data Transfer'!$B$5),OR('Data Transfer'!$B$6="",ISNUMBER(SEARCH('Data Transfer'!$B$6,'Compliance Database'!$D437&amp;" "&amp;'Compliance Database'!$K437&amp;" "&amp;'Compliance Database'!$L437&amp;" "&amp;'Compliance Database'!$M437&amp;" "&amp;'Compliance Database'!$N437&amp;" "&amp;'Compliance Database'!$O437)))),1,0)</f>
        <v/>
      </c>
      <c r="B437">
        <f>IF($A437=1,SUM($A$2:$A437),"")</f>
        <v/>
      </c>
      <c r="C437">
        <f>IF($A437=1,SUM($A$2:$A437),0)</f>
        <v/>
      </c>
    </row>
    <row r="438">
      <c r="A438">
        <f>IF(AND(OR('Compliance Database'!$A438='Data Transfer'!$B$4,'Compliance Database'!$A438='Data Transfer'!$B$5),OR('Data Transfer'!$B$6="",ISNUMBER(SEARCH('Data Transfer'!$B$6,'Compliance Database'!$D438&amp;" "&amp;'Compliance Database'!$K438&amp;" "&amp;'Compliance Database'!$L438&amp;" "&amp;'Compliance Database'!$M438&amp;" "&amp;'Compliance Database'!$N438&amp;" "&amp;'Compliance Database'!$O438)))),1,0)</f>
        <v/>
      </c>
      <c r="B438">
        <f>IF($A438=1,SUM($A$2:$A438),"")</f>
        <v/>
      </c>
      <c r="C438">
        <f>IF($A438=1,SUM($A$2:$A438),0)</f>
        <v/>
      </c>
    </row>
    <row r="439">
      <c r="A439">
        <f>IF(AND(OR('Compliance Database'!$A439='Data Transfer'!$B$4,'Compliance Database'!$A439='Data Transfer'!$B$5),OR('Data Transfer'!$B$6="",ISNUMBER(SEARCH('Data Transfer'!$B$6,'Compliance Database'!$D439&amp;" "&amp;'Compliance Database'!$K439&amp;" "&amp;'Compliance Database'!$L439&amp;" "&amp;'Compliance Database'!$M439&amp;" "&amp;'Compliance Database'!$N439&amp;" "&amp;'Compliance Database'!$O439)))),1,0)</f>
        <v/>
      </c>
      <c r="B439">
        <f>IF($A439=1,SUM($A$2:$A439),"")</f>
        <v/>
      </c>
      <c r="C439">
        <f>IF($A439=1,SUM($A$2:$A439),0)</f>
        <v/>
      </c>
    </row>
    <row r="440">
      <c r="A440">
        <f>IF(AND(OR('Compliance Database'!$A440='Data Transfer'!$B$4,'Compliance Database'!$A440='Data Transfer'!$B$5),OR('Data Transfer'!$B$6="",ISNUMBER(SEARCH('Data Transfer'!$B$6,'Compliance Database'!$D440&amp;" "&amp;'Compliance Database'!$K440&amp;" "&amp;'Compliance Database'!$L440&amp;" "&amp;'Compliance Database'!$M440&amp;" "&amp;'Compliance Database'!$N440&amp;" "&amp;'Compliance Database'!$O440)))),1,0)</f>
        <v/>
      </c>
      <c r="B440">
        <f>IF($A440=1,SUM($A$2:$A440),"")</f>
        <v/>
      </c>
      <c r="C440">
        <f>IF($A440=1,SUM($A$2:$A440),0)</f>
        <v/>
      </c>
    </row>
    <row r="441">
      <c r="A441">
        <f>IF(AND(OR('Compliance Database'!$A441='Data Transfer'!$B$4,'Compliance Database'!$A441='Data Transfer'!$B$5),OR('Data Transfer'!$B$6="",ISNUMBER(SEARCH('Data Transfer'!$B$6,'Compliance Database'!$D441&amp;" "&amp;'Compliance Database'!$K441&amp;" "&amp;'Compliance Database'!$L441&amp;" "&amp;'Compliance Database'!$M441&amp;" "&amp;'Compliance Database'!$N441&amp;" "&amp;'Compliance Database'!$O441)))),1,0)</f>
        <v/>
      </c>
      <c r="B441">
        <f>IF($A441=1,SUM($A$2:$A441),"")</f>
        <v/>
      </c>
      <c r="C441">
        <f>IF($A441=1,SUM($A$2:$A441),0)</f>
        <v/>
      </c>
    </row>
    <row r="442">
      <c r="A442">
        <f>IF(AND(OR('Compliance Database'!$A442='Data Transfer'!$B$4,'Compliance Database'!$A442='Data Transfer'!$B$5),OR('Data Transfer'!$B$6="",ISNUMBER(SEARCH('Data Transfer'!$B$6,'Compliance Database'!$D442&amp;" "&amp;'Compliance Database'!$K442&amp;" "&amp;'Compliance Database'!$L442&amp;" "&amp;'Compliance Database'!$M442&amp;" "&amp;'Compliance Database'!$N442&amp;" "&amp;'Compliance Database'!$O442)))),1,0)</f>
        <v/>
      </c>
      <c r="B442">
        <f>IF($A442=1,SUM($A$2:$A442),"")</f>
        <v/>
      </c>
      <c r="C442">
        <f>IF($A442=1,SUM($A$2:$A442),0)</f>
        <v/>
      </c>
    </row>
    <row r="443">
      <c r="A443">
        <f>IF(AND(OR('Compliance Database'!$A443='Data Transfer'!$B$4,'Compliance Database'!$A443='Data Transfer'!$B$5),OR('Data Transfer'!$B$6="",ISNUMBER(SEARCH('Data Transfer'!$B$6,'Compliance Database'!$D443&amp;" "&amp;'Compliance Database'!$K443&amp;" "&amp;'Compliance Database'!$L443&amp;" "&amp;'Compliance Database'!$M443&amp;" "&amp;'Compliance Database'!$N443&amp;" "&amp;'Compliance Database'!$O443)))),1,0)</f>
        <v/>
      </c>
      <c r="B443">
        <f>IF($A443=1,SUM($A$2:$A443),"")</f>
        <v/>
      </c>
      <c r="C443">
        <f>IF($A443=1,SUM($A$2:$A443),0)</f>
        <v/>
      </c>
    </row>
    <row r="444">
      <c r="A444">
        <f>IF(AND(OR('Compliance Database'!$A444='Data Transfer'!$B$4,'Compliance Database'!$A444='Data Transfer'!$B$5),OR('Data Transfer'!$B$6="",ISNUMBER(SEARCH('Data Transfer'!$B$6,'Compliance Database'!$D444&amp;" "&amp;'Compliance Database'!$K444&amp;" "&amp;'Compliance Database'!$L444&amp;" "&amp;'Compliance Database'!$M444&amp;" "&amp;'Compliance Database'!$N444&amp;" "&amp;'Compliance Database'!$O444)))),1,0)</f>
        <v/>
      </c>
      <c r="B444">
        <f>IF($A444=1,SUM($A$2:$A444),"")</f>
        <v/>
      </c>
      <c r="C444">
        <f>IF($A444=1,SUM($A$2:$A444),0)</f>
        <v/>
      </c>
    </row>
    <row r="445">
      <c r="A445">
        <f>IF(AND(OR('Compliance Database'!$A445='Data Transfer'!$B$4,'Compliance Database'!$A445='Data Transfer'!$B$5),OR('Data Transfer'!$B$6="",ISNUMBER(SEARCH('Data Transfer'!$B$6,'Compliance Database'!$D445&amp;" "&amp;'Compliance Database'!$K445&amp;" "&amp;'Compliance Database'!$L445&amp;" "&amp;'Compliance Database'!$M445&amp;" "&amp;'Compliance Database'!$N445&amp;" "&amp;'Compliance Database'!$O445)))),1,0)</f>
        <v/>
      </c>
      <c r="B445">
        <f>IF($A445=1,SUM($A$2:$A445),"")</f>
        <v/>
      </c>
      <c r="C445">
        <f>IF($A445=1,SUM($A$2:$A445),0)</f>
        <v/>
      </c>
    </row>
    <row r="446">
      <c r="A446">
        <f>IF(AND(OR('Compliance Database'!$A446='Data Transfer'!$B$4,'Compliance Database'!$A446='Data Transfer'!$B$5),OR('Data Transfer'!$B$6="",ISNUMBER(SEARCH('Data Transfer'!$B$6,'Compliance Database'!$D446&amp;" "&amp;'Compliance Database'!$K446&amp;" "&amp;'Compliance Database'!$L446&amp;" "&amp;'Compliance Database'!$M446&amp;" "&amp;'Compliance Database'!$N446&amp;" "&amp;'Compliance Database'!$O446)))),1,0)</f>
        <v/>
      </c>
      <c r="B446">
        <f>IF($A446=1,SUM($A$2:$A446),"")</f>
        <v/>
      </c>
      <c r="C446">
        <f>IF($A446=1,SUM($A$2:$A446),0)</f>
        <v/>
      </c>
    </row>
    <row r="447">
      <c r="A447">
        <f>IF(AND(OR('Compliance Database'!$A447='Data Transfer'!$B$4,'Compliance Database'!$A447='Data Transfer'!$B$5),OR('Data Transfer'!$B$6="",ISNUMBER(SEARCH('Data Transfer'!$B$6,'Compliance Database'!$D447&amp;" "&amp;'Compliance Database'!$K447&amp;" "&amp;'Compliance Database'!$L447&amp;" "&amp;'Compliance Database'!$M447&amp;" "&amp;'Compliance Database'!$N447&amp;" "&amp;'Compliance Database'!$O447)))),1,0)</f>
        <v/>
      </c>
      <c r="B447">
        <f>IF($A447=1,SUM($A$2:$A447),"")</f>
        <v/>
      </c>
      <c r="C447">
        <f>IF($A447=1,SUM($A$2:$A447),0)</f>
        <v/>
      </c>
    </row>
    <row r="448">
      <c r="A448">
        <f>IF(AND(OR('Compliance Database'!$A448='Data Transfer'!$B$4,'Compliance Database'!$A448='Data Transfer'!$B$5),OR('Data Transfer'!$B$6="",ISNUMBER(SEARCH('Data Transfer'!$B$6,'Compliance Database'!$D448&amp;" "&amp;'Compliance Database'!$K448&amp;" "&amp;'Compliance Database'!$L448&amp;" "&amp;'Compliance Database'!$M448&amp;" "&amp;'Compliance Database'!$N448&amp;" "&amp;'Compliance Database'!$O448)))),1,0)</f>
        <v/>
      </c>
      <c r="B448">
        <f>IF($A448=1,SUM($A$2:$A448),"")</f>
        <v/>
      </c>
      <c r="C448">
        <f>IF($A448=1,SUM($A$2:$A448),0)</f>
        <v/>
      </c>
    </row>
    <row r="449">
      <c r="A449">
        <f>IF(AND(OR('Compliance Database'!$A449='Data Transfer'!$B$4,'Compliance Database'!$A449='Data Transfer'!$B$5),OR('Data Transfer'!$B$6="",ISNUMBER(SEARCH('Data Transfer'!$B$6,'Compliance Database'!$D449&amp;" "&amp;'Compliance Database'!$K449&amp;" "&amp;'Compliance Database'!$L449&amp;" "&amp;'Compliance Database'!$M449&amp;" "&amp;'Compliance Database'!$N449&amp;" "&amp;'Compliance Database'!$O449)))),1,0)</f>
        <v/>
      </c>
      <c r="B449">
        <f>IF($A449=1,SUM($A$2:$A449),"")</f>
        <v/>
      </c>
      <c r="C449">
        <f>IF($A449=1,SUM($A$2:$A449),0)</f>
        <v/>
      </c>
    </row>
    <row r="450">
      <c r="A450">
        <f>IF(AND(OR('Compliance Database'!$A450='Data Transfer'!$B$4,'Compliance Database'!$A450='Data Transfer'!$B$5),OR('Data Transfer'!$B$6="",ISNUMBER(SEARCH('Data Transfer'!$B$6,'Compliance Database'!$D450&amp;" "&amp;'Compliance Database'!$K450&amp;" "&amp;'Compliance Database'!$L450&amp;" "&amp;'Compliance Database'!$M450&amp;" "&amp;'Compliance Database'!$N450&amp;" "&amp;'Compliance Database'!$O450)))),1,0)</f>
        <v/>
      </c>
      <c r="B450">
        <f>IF($A450=1,SUM($A$2:$A450),"")</f>
        <v/>
      </c>
      <c r="C450">
        <f>IF($A450=1,SUM($A$2:$A450),0)</f>
        <v/>
      </c>
    </row>
    <row r="451">
      <c r="A451">
        <f>IF(AND(OR('Compliance Database'!$A451='Data Transfer'!$B$4,'Compliance Database'!$A451='Data Transfer'!$B$5),OR('Data Transfer'!$B$6="",ISNUMBER(SEARCH('Data Transfer'!$B$6,'Compliance Database'!$D451&amp;" "&amp;'Compliance Database'!$K451&amp;" "&amp;'Compliance Database'!$L451&amp;" "&amp;'Compliance Database'!$M451&amp;" "&amp;'Compliance Database'!$N451&amp;" "&amp;'Compliance Database'!$O451)))),1,0)</f>
        <v/>
      </c>
      <c r="B451">
        <f>IF($A451=1,SUM($A$2:$A451),"")</f>
        <v/>
      </c>
      <c r="C451">
        <f>IF($A451=1,SUM($A$2:$A451),0)</f>
        <v/>
      </c>
    </row>
    <row r="452">
      <c r="A452">
        <f>IF(AND(OR('Compliance Database'!$A452='Data Transfer'!$B$4,'Compliance Database'!$A452='Data Transfer'!$B$5),OR('Data Transfer'!$B$6="",ISNUMBER(SEARCH('Data Transfer'!$B$6,'Compliance Database'!$D452&amp;" "&amp;'Compliance Database'!$K452&amp;" "&amp;'Compliance Database'!$L452&amp;" "&amp;'Compliance Database'!$M452&amp;" "&amp;'Compliance Database'!$N452&amp;" "&amp;'Compliance Database'!$O452)))),1,0)</f>
        <v/>
      </c>
      <c r="B452">
        <f>IF($A452=1,SUM($A$2:$A452),"")</f>
        <v/>
      </c>
      <c r="C452">
        <f>IF($A452=1,SUM($A$2:$A452),0)</f>
        <v/>
      </c>
    </row>
    <row r="453">
      <c r="A453">
        <f>IF(AND(OR('Compliance Database'!$A453='Data Transfer'!$B$4,'Compliance Database'!$A453='Data Transfer'!$B$5),OR('Data Transfer'!$B$6="",ISNUMBER(SEARCH('Data Transfer'!$B$6,'Compliance Database'!$D453&amp;" "&amp;'Compliance Database'!$K453&amp;" "&amp;'Compliance Database'!$L453&amp;" "&amp;'Compliance Database'!$M453&amp;" "&amp;'Compliance Database'!$N453&amp;" "&amp;'Compliance Database'!$O453)))),1,0)</f>
        <v/>
      </c>
      <c r="B453">
        <f>IF($A453=1,SUM($A$2:$A453),"")</f>
        <v/>
      </c>
      <c r="C453">
        <f>IF($A453=1,SUM($A$2:$A453),0)</f>
        <v/>
      </c>
    </row>
    <row r="454">
      <c r="A454">
        <f>IF(AND(OR('Compliance Database'!$A454='Data Transfer'!$B$4,'Compliance Database'!$A454='Data Transfer'!$B$5),OR('Data Transfer'!$B$6="",ISNUMBER(SEARCH('Data Transfer'!$B$6,'Compliance Database'!$D454&amp;" "&amp;'Compliance Database'!$K454&amp;" "&amp;'Compliance Database'!$L454&amp;" "&amp;'Compliance Database'!$M454&amp;" "&amp;'Compliance Database'!$N454&amp;" "&amp;'Compliance Database'!$O454)))),1,0)</f>
        <v/>
      </c>
      <c r="B454">
        <f>IF($A454=1,SUM($A$2:$A454),"")</f>
        <v/>
      </c>
      <c r="C454">
        <f>IF($A454=1,SUM($A$2:$A454),0)</f>
        <v/>
      </c>
    </row>
    <row r="455">
      <c r="A455">
        <f>IF(AND(OR('Compliance Database'!$A455='Data Transfer'!$B$4,'Compliance Database'!$A455='Data Transfer'!$B$5),OR('Data Transfer'!$B$6="",ISNUMBER(SEARCH('Data Transfer'!$B$6,'Compliance Database'!$D455&amp;" "&amp;'Compliance Database'!$K455&amp;" "&amp;'Compliance Database'!$L455&amp;" "&amp;'Compliance Database'!$M455&amp;" "&amp;'Compliance Database'!$N455&amp;" "&amp;'Compliance Database'!$O455)))),1,0)</f>
        <v/>
      </c>
      <c r="B455">
        <f>IF($A455=1,SUM($A$2:$A455),"")</f>
        <v/>
      </c>
      <c r="C455">
        <f>IF($A455=1,SUM($A$2:$A455),0)</f>
        <v/>
      </c>
    </row>
    <row r="456">
      <c r="A456">
        <f>IF(AND(OR('Compliance Database'!$A456='Data Transfer'!$B$4,'Compliance Database'!$A456='Data Transfer'!$B$5),OR('Data Transfer'!$B$6="",ISNUMBER(SEARCH('Data Transfer'!$B$6,'Compliance Database'!$D456&amp;" "&amp;'Compliance Database'!$K456&amp;" "&amp;'Compliance Database'!$L456&amp;" "&amp;'Compliance Database'!$M456&amp;" "&amp;'Compliance Database'!$N456&amp;" "&amp;'Compliance Database'!$O456)))),1,0)</f>
        <v/>
      </c>
      <c r="B456">
        <f>IF($A456=1,SUM($A$2:$A456),"")</f>
        <v/>
      </c>
      <c r="C456">
        <f>IF($A456=1,SUM($A$2:$A456),0)</f>
        <v/>
      </c>
    </row>
    <row r="457">
      <c r="A457">
        <f>IF(AND(OR('Compliance Database'!$A457='Data Transfer'!$B$4,'Compliance Database'!$A457='Data Transfer'!$B$5),OR('Data Transfer'!$B$6="",ISNUMBER(SEARCH('Data Transfer'!$B$6,'Compliance Database'!$D457&amp;" "&amp;'Compliance Database'!$K457&amp;" "&amp;'Compliance Database'!$L457&amp;" "&amp;'Compliance Database'!$M457&amp;" "&amp;'Compliance Database'!$N457&amp;" "&amp;'Compliance Database'!$O457)))),1,0)</f>
        <v/>
      </c>
      <c r="B457">
        <f>IF($A457=1,SUM($A$2:$A457),"")</f>
        <v/>
      </c>
      <c r="C457">
        <f>IF($A457=1,SUM($A$2:$A457),0)</f>
        <v/>
      </c>
    </row>
    <row r="458">
      <c r="A458">
        <f>IF(AND(OR('Compliance Database'!$A458='Data Transfer'!$B$4,'Compliance Database'!$A458='Data Transfer'!$B$5),OR('Data Transfer'!$B$6="",ISNUMBER(SEARCH('Data Transfer'!$B$6,'Compliance Database'!$D458&amp;" "&amp;'Compliance Database'!$K458&amp;" "&amp;'Compliance Database'!$L458&amp;" "&amp;'Compliance Database'!$M458&amp;" "&amp;'Compliance Database'!$N458&amp;" "&amp;'Compliance Database'!$O458)))),1,0)</f>
        <v/>
      </c>
      <c r="B458">
        <f>IF($A458=1,SUM($A$2:$A458),"")</f>
        <v/>
      </c>
      <c r="C458">
        <f>IF($A458=1,SUM($A$2:$A458),0)</f>
        <v/>
      </c>
    </row>
    <row r="459">
      <c r="A459">
        <f>IF(AND(OR('Compliance Database'!$A459='Data Transfer'!$B$4,'Compliance Database'!$A459='Data Transfer'!$B$5),OR('Data Transfer'!$B$6="",ISNUMBER(SEARCH('Data Transfer'!$B$6,'Compliance Database'!$D459&amp;" "&amp;'Compliance Database'!$K459&amp;" "&amp;'Compliance Database'!$L459&amp;" "&amp;'Compliance Database'!$M459&amp;" "&amp;'Compliance Database'!$N459&amp;" "&amp;'Compliance Database'!$O459)))),1,0)</f>
        <v/>
      </c>
      <c r="B459">
        <f>IF($A459=1,SUM($A$2:$A459),"")</f>
        <v/>
      </c>
      <c r="C459">
        <f>IF($A459=1,SUM($A$2:$A459),0)</f>
        <v/>
      </c>
    </row>
    <row r="460">
      <c r="A460">
        <f>IF(AND(OR('Compliance Database'!$A460='Data Transfer'!$B$4,'Compliance Database'!$A460='Data Transfer'!$B$5),OR('Data Transfer'!$B$6="",ISNUMBER(SEARCH('Data Transfer'!$B$6,'Compliance Database'!$D460&amp;" "&amp;'Compliance Database'!$K460&amp;" "&amp;'Compliance Database'!$L460&amp;" "&amp;'Compliance Database'!$M460&amp;" "&amp;'Compliance Database'!$N460&amp;" "&amp;'Compliance Database'!$O460)))),1,0)</f>
        <v/>
      </c>
      <c r="B460">
        <f>IF($A460=1,SUM($A$2:$A460),"")</f>
        <v/>
      </c>
      <c r="C460">
        <f>IF($A460=1,SUM($A$2:$A460),0)</f>
        <v/>
      </c>
    </row>
    <row r="461">
      <c r="A461">
        <f>IF(AND(OR('Compliance Database'!$A461='Data Transfer'!$B$4,'Compliance Database'!$A461='Data Transfer'!$B$5),OR('Data Transfer'!$B$6="",ISNUMBER(SEARCH('Data Transfer'!$B$6,'Compliance Database'!$D461&amp;" "&amp;'Compliance Database'!$K461&amp;" "&amp;'Compliance Database'!$L461&amp;" "&amp;'Compliance Database'!$M461&amp;" "&amp;'Compliance Database'!$N461&amp;" "&amp;'Compliance Database'!$O461)))),1,0)</f>
        <v/>
      </c>
      <c r="B461">
        <f>IF($A461=1,SUM($A$2:$A461),"")</f>
        <v/>
      </c>
      <c r="C461">
        <f>IF($A461=1,SUM($A$2:$A461),0)</f>
        <v/>
      </c>
    </row>
    <row r="462">
      <c r="A462">
        <f>IF(AND(OR('Compliance Database'!$A462='Data Transfer'!$B$4,'Compliance Database'!$A462='Data Transfer'!$B$5),OR('Data Transfer'!$B$6="",ISNUMBER(SEARCH('Data Transfer'!$B$6,'Compliance Database'!$D462&amp;" "&amp;'Compliance Database'!$K462&amp;" "&amp;'Compliance Database'!$L462&amp;" "&amp;'Compliance Database'!$M462&amp;" "&amp;'Compliance Database'!$N462&amp;" "&amp;'Compliance Database'!$O462)))),1,0)</f>
        <v/>
      </c>
      <c r="B462">
        <f>IF($A462=1,SUM($A$2:$A462),"")</f>
        <v/>
      </c>
      <c r="C462">
        <f>IF($A462=1,SUM($A$2:$A462),0)</f>
        <v/>
      </c>
    </row>
    <row r="463">
      <c r="A463">
        <f>IF(AND(OR('Compliance Database'!$A463='Data Transfer'!$B$4,'Compliance Database'!$A463='Data Transfer'!$B$5),OR('Data Transfer'!$B$6="",ISNUMBER(SEARCH('Data Transfer'!$B$6,'Compliance Database'!$D463&amp;" "&amp;'Compliance Database'!$K463&amp;" "&amp;'Compliance Database'!$L463&amp;" "&amp;'Compliance Database'!$M463&amp;" "&amp;'Compliance Database'!$N463&amp;" "&amp;'Compliance Database'!$O463)))),1,0)</f>
        <v/>
      </c>
      <c r="B463">
        <f>IF($A463=1,SUM($A$2:$A463),"")</f>
        <v/>
      </c>
      <c r="C463">
        <f>IF($A463=1,SUM($A$2:$A463),0)</f>
        <v/>
      </c>
    </row>
    <row r="464">
      <c r="A464">
        <f>IF(AND(OR('Compliance Database'!$A464='Data Transfer'!$B$4,'Compliance Database'!$A464='Data Transfer'!$B$5),OR('Data Transfer'!$B$6="",ISNUMBER(SEARCH('Data Transfer'!$B$6,'Compliance Database'!$D464&amp;" "&amp;'Compliance Database'!$K464&amp;" "&amp;'Compliance Database'!$L464&amp;" "&amp;'Compliance Database'!$M464&amp;" "&amp;'Compliance Database'!$N464&amp;" "&amp;'Compliance Database'!$O464)))),1,0)</f>
        <v/>
      </c>
      <c r="B464">
        <f>IF($A464=1,SUM($A$2:$A464),"")</f>
        <v/>
      </c>
      <c r="C464">
        <f>IF($A464=1,SUM($A$2:$A464),0)</f>
        <v/>
      </c>
    </row>
    <row r="465">
      <c r="A465">
        <f>IF(AND(OR('Compliance Database'!$A465='Data Transfer'!$B$4,'Compliance Database'!$A465='Data Transfer'!$B$5),OR('Data Transfer'!$B$6="",ISNUMBER(SEARCH('Data Transfer'!$B$6,'Compliance Database'!$D465&amp;" "&amp;'Compliance Database'!$K465&amp;" "&amp;'Compliance Database'!$L465&amp;" "&amp;'Compliance Database'!$M465&amp;" "&amp;'Compliance Database'!$N465&amp;" "&amp;'Compliance Database'!$O465)))),1,0)</f>
        <v/>
      </c>
      <c r="B465">
        <f>IF($A465=1,SUM($A$2:$A465),"")</f>
        <v/>
      </c>
      <c r="C465">
        <f>IF($A465=1,SUM($A$2:$A465),0)</f>
        <v/>
      </c>
    </row>
    <row r="466">
      <c r="A466">
        <f>IF(AND(OR('Compliance Database'!$A466='Data Transfer'!$B$4,'Compliance Database'!$A466='Data Transfer'!$B$5),OR('Data Transfer'!$B$6="",ISNUMBER(SEARCH('Data Transfer'!$B$6,'Compliance Database'!$D466&amp;" "&amp;'Compliance Database'!$K466&amp;" "&amp;'Compliance Database'!$L466&amp;" "&amp;'Compliance Database'!$M466&amp;" "&amp;'Compliance Database'!$N466&amp;" "&amp;'Compliance Database'!$O466)))),1,0)</f>
        <v/>
      </c>
      <c r="B466">
        <f>IF($A466=1,SUM($A$2:$A466),"")</f>
        <v/>
      </c>
      <c r="C466">
        <f>IF($A466=1,SUM($A$2:$A466),0)</f>
        <v/>
      </c>
    </row>
    <row r="467">
      <c r="A467">
        <f>IF(AND(OR('Compliance Database'!$A467='Data Transfer'!$B$4,'Compliance Database'!$A467='Data Transfer'!$B$5),OR('Data Transfer'!$B$6="",ISNUMBER(SEARCH('Data Transfer'!$B$6,'Compliance Database'!$D467&amp;" "&amp;'Compliance Database'!$K467&amp;" "&amp;'Compliance Database'!$L467&amp;" "&amp;'Compliance Database'!$M467&amp;" "&amp;'Compliance Database'!$N467&amp;" "&amp;'Compliance Database'!$O467)))),1,0)</f>
        <v/>
      </c>
      <c r="B467">
        <f>IF($A467=1,SUM($A$2:$A467),"")</f>
        <v/>
      </c>
      <c r="C467">
        <f>IF($A467=1,SUM($A$2:$A467),0)</f>
        <v/>
      </c>
    </row>
    <row r="468">
      <c r="A468">
        <f>IF(AND(OR('Compliance Database'!$A468='Data Transfer'!$B$4,'Compliance Database'!$A468='Data Transfer'!$B$5),OR('Data Transfer'!$B$6="",ISNUMBER(SEARCH('Data Transfer'!$B$6,'Compliance Database'!$D468&amp;" "&amp;'Compliance Database'!$K468&amp;" "&amp;'Compliance Database'!$L468&amp;" "&amp;'Compliance Database'!$M468&amp;" "&amp;'Compliance Database'!$N468&amp;" "&amp;'Compliance Database'!$O468)))),1,0)</f>
        <v/>
      </c>
      <c r="B468">
        <f>IF($A468=1,SUM($A$2:$A468),"")</f>
        <v/>
      </c>
      <c r="C468">
        <f>IF($A468=1,SUM($A$2:$A468),0)</f>
        <v/>
      </c>
    </row>
    <row r="469">
      <c r="A469">
        <f>IF(AND(OR('Compliance Database'!$A469='Data Transfer'!$B$4,'Compliance Database'!$A469='Data Transfer'!$B$5),OR('Data Transfer'!$B$6="",ISNUMBER(SEARCH('Data Transfer'!$B$6,'Compliance Database'!$D469&amp;" "&amp;'Compliance Database'!$K469&amp;" "&amp;'Compliance Database'!$L469&amp;" "&amp;'Compliance Database'!$M469&amp;" "&amp;'Compliance Database'!$N469&amp;" "&amp;'Compliance Database'!$O469)))),1,0)</f>
        <v/>
      </c>
      <c r="B469">
        <f>IF($A469=1,SUM($A$2:$A469),"")</f>
        <v/>
      </c>
      <c r="C469">
        <f>IF($A469=1,SUM($A$2:$A469),0)</f>
        <v/>
      </c>
    </row>
    <row r="470">
      <c r="A470">
        <f>IF(AND(OR('Compliance Database'!$A470='Data Transfer'!$B$4,'Compliance Database'!$A470='Data Transfer'!$B$5),OR('Data Transfer'!$B$6="",ISNUMBER(SEARCH('Data Transfer'!$B$6,'Compliance Database'!$D470&amp;" "&amp;'Compliance Database'!$K470&amp;" "&amp;'Compliance Database'!$L470&amp;" "&amp;'Compliance Database'!$M470&amp;" "&amp;'Compliance Database'!$N470&amp;" "&amp;'Compliance Database'!$O470)))),1,0)</f>
        <v/>
      </c>
      <c r="B470">
        <f>IF($A470=1,SUM($A$2:$A470),"")</f>
        <v/>
      </c>
      <c r="C470">
        <f>IF($A470=1,SUM($A$2:$A470),0)</f>
        <v/>
      </c>
    </row>
    <row r="471">
      <c r="A471">
        <f>IF(AND(OR('Compliance Database'!$A471='Data Transfer'!$B$4,'Compliance Database'!$A471='Data Transfer'!$B$5),OR('Data Transfer'!$B$6="",ISNUMBER(SEARCH('Data Transfer'!$B$6,'Compliance Database'!$D471&amp;" "&amp;'Compliance Database'!$K471&amp;" "&amp;'Compliance Database'!$L471&amp;" "&amp;'Compliance Database'!$M471&amp;" "&amp;'Compliance Database'!$N471&amp;" "&amp;'Compliance Database'!$O471)))),1,0)</f>
        <v/>
      </c>
      <c r="B471">
        <f>IF($A471=1,SUM($A$2:$A471),"")</f>
        <v/>
      </c>
      <c r="C471">
        <f>IF($A471=1,SUM($A$2:$A471),0)</f>
        <v/>
      </c>
    </row>
    <row r="472">
      <c r="A472">
        <f>IF(AND(OR('Compliance Database'!$A472='Data Transfer'!$B$4,'Compliance Database'!$A472='Data Transfer'!$B$5),OR('Data Transfer'!$B$6="",ISNUMBER(SEARCH('Data Transfer'!$B$6,'Compliance Database'!$D472&amp;" "&amp;'Compliance Database'!$K472&amp;" "&amp;'Compliance Database'!$L472&amp;" "&amp;'Compliance Database'!$M472&amp;" "&amp;'Compliance Database'!$N472&amp;" "&amp;'Compliance Database'!$O472)))),1,0)</f>
        <v/>
      </c>
      <c r="B472">
        <f>IF($A472=1,SUM($A$2:$A472),"")</f>
        <v/>
      </c>
      <c r="C472">
        <f>IF($A472=1,SUM($A$2:$A472),0)</f>
        <v/>
      </c>
    </row>
    <row r="473">
      <c r="A473">
        <f>IF(AND(OR('Compliance Database'!$A473='Data Transfer'!$B$4,'Compliance Database'!$A473='Data Transfer'!$B$5),OR('Data Transfer'!$B$6="",ISNUMBER(SEARCH('Data Transfer'!$B$6,'Compliance Database'!$D473&amp;" "&amp;'Compliance Database'!$K473&amp;" "&amp;'Compliance Database'!$L473&amp;" "&amp;'Compliance Database'!$M473&amp;" "&amp;'Compliance Database'!$N473&amp;" "&amp;'Compliance Database'!$O473)))),1,0)</f>
        <v/>
      </c>
      <c r="B473">
        <f>IF($A473=1,SUM($A$2:$A473),"")</f>
        <v/>
      </c>
      <c r="C473">
        <f>IF($A473=1,SUM($A$2:$A473),0)</f>
        <v/>
      </c>
    </row>
    <row r="474">
      <c r="A474">
        <f>IF(AND(OR('Compliance Database'!$A474='Data Transfer'!$B$4,'Compliance Database'!$A474='Data Transfer'!$B$5),OR('Data Transfer'!$B$6="",ISNUMBER(SEARCH('Data Transfer'!$B$6,'Compliance Database'!$D474&amp;" "&amp;'Compliance Database'!$K474&amp;" "&amp;'Compliance Database'!$L474&amp;" "&amp;'Compliance Database'!$M474&amp;" "&amp;'Compliance Database'!$N474&amp;" "&amp;'Compliance Database'!$O474)))),1,0)</f>
        <v/>
      </c>
      <c r="B474">
        <f>IF($A474=1,SUM($A$2:$A474),"")</f>
        <v/>
      </c>
      <c r="C474">
        <f>IF($A474=1,SUM($A$2:$A474),0)</f>
        <v/>
      </c>
    </row>
    <row r="475">
      <c r="A475">
        <f>IF(AND(OR('Compliance Database'!$A475='Data Transfer'!$B$4,'Compliance Database'!$A475='Data Transfer'!$B$5),OR('Data Transfer'!$B$6="",ISNUMBER(SEARCH('Data Transfer'!$B$6,'Compliance Database'!$D475&amp;" "&amp;'Compliance Database'!$K475&amp;" "&amp;'Compliance Database'!$L475&amp;" "&amp;'Compliance Database'!$M475&amp;" "&amp;'Compliance Database'!$N475&amp;" "&amp;'Compliance Database'!$O475)))),1,0)</f>
        <v/>
      </c>
      <c r="B475">
        <f>IF($A475=1,SUM($A$2:$A475),"")</f>
        <v/>
      </c>
      <c r="C475">
        <f>IF($A475=1,SUM($A$2:$A475),0)</f>
        <v/>
      </c>
    </row>
    <row r="476">
      <c r="A476">
        <f>IF(AND(OR('Compliance Database'!$A476='Data Transfer'!$B$4,'Compliance Database'!$A476='Data Transfer'!$B$5),OR('Data Transfer'!$B$6="",ISNUMBER(SEARCH('Data Transfer'!$B$6,'Compliance Database'!$D476&amp;" "&amp;'Compliance Database'!$K476&amp;" "&amp;'Compliance Database'!$L476&amp;" "&amp;'Compliance Database'!$M476&amp;" "&amp;'Compliance Database'!$N476&amp;" "&amp;'Compliance Database'!$O476)))),1,0)</f>
        <v/>
      </c>
      <c r="B476">
        <f>IF($A476=1,SUM($A$2:$A476),"")</f>
        <v/>
      </c>
      <c r="C476">
        <f>IF($A476=1,SUM($A$2:$A476),0)</f>
        <v/>
      </c>
    </row>
    <row r="477">
      <c r="A477">
        <f>IF(AND(OR('Compliance Database'!$A477='Data Transfer'!$B$4,'Compliance Database'!$A477='Data Transfer'!$B$5),OR('Data Transfer'!$B$6="",ISNUMBER(SEARCH('Data Transfer'!$B$6,'Compliance Database'!$D477&amp;" "&amp;'Compliance Database'!$K477&amp;" "&amp;'Compliance Database'!$L477&amp;" "&amp;'Compliance Database'!$M477&amp;" "&amp;'Compliance Database'!$N477&amp;" "&amp;'Compliance Database'!$O477)))),1,0)</f>
        <v/>
      </c>
      <c r="B477">
        <f>IF($A477=1,SUM($A$2:$A477),"")</f>
        <v/>
      </c>
      <c r="C477">
        <f>IF($A477=1,SUM($A$2:$A477),0)</f>
        <v/>
      </c>
    </row>
    <row r="478">
      <c r="A478">
        <f>IF(AND(OR('Compliance Database'!$A478='Data Transfer'!$B$4,'Compliance Database'!$A478='Data Transfer'!$B$5),OR('Data Transfer'!$B$6="",ISNUMBER(SEARCH('Data Transfer'!$B$6,'Compliance Database'!$D478&amp;" "&amp;'Compliance Database'!$K478&amp;" "&amp;'Compliance Database'!$L478&amp;" "&amp;'Compliance Database'!$M478&amp;" "&amp;'Compliance Database'!$N478&amp;" "&amp;'Compliance Database'!$O478)))),1,0)</f>
        <v/>
      </c>
      <c r="B478">
        <f>IF($A478=1,SUM($A$2:$A478),"")</f>
        <v/>
      </c>
      <c r="C478">
        <f>IF($A478=1,SUM($A$2:$A478),0)</f>
        <v/>
      </c>
    </row>
    <row r="479">
      <c r="A479">
        <f>IF(AND(OR('Compliance Database'!$A479='Data Transfer'!$B$4,'Compliance Database'!$A479='Data Transfer'!$B$5),OR('Data Transfer'!$B$6="",ISNUMBER(SEARCH('Data Transfer'!$B$6,'Compliance Database'!$D479&amp;" "&amp;'Compliance Database'!$K479&amp;" "&amp;'Compliance Database'!$L479&amp;" "&amp;'Compliance Database'!$M479&amp;" "&amp;'Compliance Database'!$N479&amp;" "&amp;'Compliance Database'!$O479)))),1,0)</f>
        <v/>
      </c>
      <c r="B479">
        <f>IF($A479=1,SUM($A$2:$A479),"")</f>
        <v/>
      </c>
      <c r="C479">
        <f>IF($A479=1,SUM($A$2:$A479),0)</f>
        <v/>
      </c>
    </row>
    <row r="480">
      <c r="A480">
        <f>IF(AND(OR('Compliance Database'!$A480='Data Transfer'!$B$4,'Compliance Database'!$A480='Data Transfer'!$B$5),OR('Data Transfer'!$B$6="",ISNUMBER(SEARCH('Data Transfer'!$B$6,'Compliance Database'!$D480&amp;" "&amp;'Compliance Database'!$K480&amp;" "&amp;'Compliance Database'!$L480&amp;" "&amp;'Compliance Database'!$M480&amp;" "&amp;'Compliance Database'!$N480&amp;" "&amp;'Compliance Database'!$O480)))),1,0)</f>
        <v/>
      </c>
      <c r="B480">
        <f>IF($A480=1,SUM($A$2:$A480),"")</f>
        <v/>
      </c>
      <c r="C480">
        <f>IF($A480=1,SUM($A$2:$A480),0)</f>
        <v/>
      </c>
    </row>
    <row r="481">
      <c r="A481">
        <f>IF(AND(OR('Compliance Database'!$A481='Data Transfer'!$B$4,'Compliance Database'!$A481='Data Transfer'!$B$5),OR('Data Transfer'!$B$6="",ISNUMBER(SEARCH('Data Transfer'!$B$6,'Compliance Database'!$D481&amp;" "&amp;'Compliance Database'!$K481&amp;" "&amp;'Compliance Database'!$L481&amp;" "&amp;'Compliance Database'!$M481&amp;" "&amp;'Compliance Database'!$N481&amp;" "&amp;'Compliance Database'!$O481)))),1,0)</f>
        <v/>
      </c>
      <c r="B481">
        <f>IF($A481=1,SUM($A$2:$A481),"")</f>
        <v/>
      </c>
      <c r="C481">
        <f>IF($A481=1,SUM($A$2:$A481),0)</f>
        <v/>
      </c>
    </row>
    <row r="482">
      <c r="A482">
        <f>IF(AND(OR('Compliance Database'!$A482='Data Transfer'!$B$4,'Compliance Database'!$A482='Data Transfer'!$B$5),OR('Data Transfer'!$B$6="",ISNUMBER(SEARCH('Data Transfer'!$B$6,'Compliance Database'!$D482&amp;" "&amp;'Compliance Database'!$K482&amp;" "&amp;'Compliance Database'!$L482&amp;" "&amp;'Compliance Database'!$M482&amp;" "&amp;'Compliance Database'!$N482&amp;" "&amp;'Compliance Database'!$O482)))),1,0)</f>
        <v/>
      </c>
      <c r="B482">
        <f>IF($A482=1,SUM($A$2:$A482),"")</f>
        <v/>
      </c>
      <c r="C482">
        <f>IF($A482=1,SUM($A$2:$A482),0)</f>
        <v/>
      </c>
    </row>
    <row r="483">
      <c r="A483">
        <f>IF(AND(OR('Compliance Database'!$A483='Data Transfer'!$B$4,'Compliance Database'!$A483='Data Transfer'!$B$5),OR('Data Transfer'!$B$6="",ISNUMBER(SEARCH('Data Transfer'!$B$6,'Compliance Database'!$D483&amp;" "&amp;'Compliance Database'!$K483&amp;" "&amp;'Compliance Database'!$L483&amp;" "&amp;'Compliance Database'!$M483&amp;" "&amp;'Compliance Database'!$N483&amp;" "&amp;'Compliance Database'!$O483)))),1,0)</f>
        <v/>
      </c>
      <c r="B483">
        <f>IF($A483=1,SUM($A$2:$A483),"")</f>
        <v/>
      </c>
      <c r="C483">
        <f>IF($A483=1,SUM($A$2:$A483),0)</f>
        <v/>
      </c>
    </row>
    <row r="484">
      <c r="A484">
        <f>IF(AND(OR('Compliance Database'!$A484='Data Transfer'!$B$4,'Compliance Database'!$A484='Data Transfer'!$B$5),OR('Data Transfer'!$B$6="",ISNUMBER(SEARCH('Data Transfer'!$B$6,'Compliance Database'!$D484&amp;" "&amp;'Compliance Database'!$K484&amp;" "&amp;'Compliance Database'!$L484&amp;" "&amp;'Compliance Database'!$M484&amp;" "&amp;'Compliance Database'!$N484&amp;" "&amp;'Compliance Database'!$O484)))),1,0)</f>
        <v/>
      </c>
      <c r="B484">
        <f>IF($A484=1,SUM($A$2:$A484),"")</f>
        <v/>
      </c>
      <c r="C484">
        <f>IF($A484=1,SUM($A$2:$A484),0)</f>
        <v/>
      </c>
    </row>
    <row r="485">
      <c r="A485">
        <f>IF(AND(OR('Compliance Database'!$A485='Data Transfer'!$B$4,'Compliance Database'!$A485='Data Transfer'!$B$5),OR('Data Transfer'!$B$6="",ISNUMBER(SEARCH('Data Transfer'!$B$6,'Compliance Database'!$D485&amp;" "&amp;'Compliance Database'!$K485&amp;" "&amp;'Compliance Database'!$L485&amp;" "&amp;'Compliance Database'!$M485&amp;" "&amp;'Compliance Database'!$N485&amp;" "&amp;'Compliance Database'!$O485)))),1,0)</f>
        <v/>
      </c>
      <c r="B485">
        <f>IF($A485=1,SUM($A$2:$A485),"")</f>
        <v/>
      </c>
      <c r="C485">
        <f>IF($A485=1,SUM($A$2:$A485),0)</f>
        <v/>
      </c>
    </row>
    <row r="486">
      <c r="A486">
        <f>IF(AND(OR('Compliance Database'!$A486='Data Transfer'!$B$4,'Compliance Database'!$A486='Data Transfer'!$B$5),OR('Data Transfer'!$B$6="",ISNUMBER(SEARCH('Data Transfer'!$B$6,'Compliance Database'!$D486&amp;" "&amp;'Compliance Database'!$K486&amp;" "&amp;'Compliance Database'!$L486&amp;" "&amp;'Compliance Database'!$M486&amp;" "&amp;'Compliance Database'!$N486&amp;" "&amp;'Compliance Database'!$O486)))),1,0)</f>
        <v/>
      </c>
      <c r="B486">
        <f>IF($A486=1,SUM($A$2:$A486),"")</f>
        <v/>
      </c>
      <c r="C486">
        <f>IF($A486=1,SUM($A$2:$A486),0)</f>
        <v/>
      </c>
    </row>
    <row r="487">
      <c r="A487">
        <f>IF(AND(OR('Compliance Database'!$A487='Data Transfer'!$B$4,'Compliance Database'!$A487='Data Transfer'!$B$5),OR('Data Transfer'!$B$6="",ISNUMBER(SEARCH('Data Transfer'!$B$6,'Compliance Database'!$D487&amp;" "&amp;'Compliance Database'!$K487&amp;" "&amp;'Compliance Database'!$L487&amp;" "&amp;'Compliance Database'!$M487&amp;" "&amp;'Compliance Database'!$N487&amp;" "&amp;'Compliance Database'!$O487)))),1,0)</f>
        <v/>
      </c>
      <c r="B487">
        <f>IF($A487=1,SUM($A$2:$A487),"")</f>
        <v/>
      </c>
      <c r="C487">
        <f>IF($A487=1,SUM($A$2:$A487),0)</f>
        <v/>
      </c>
    </row>
    <row r="488">
      <c r="A488">
        <f>IF(AND(OR('Compliance Database'!$A488='Data Transfer'!$B$4,'Compliance Database'!$A488='Data Transfer'!$B$5),OR('Data Transfer'!$B$6="",ISNUMBER(SEARCH('Data Transfer'!$B$6,'Compliance Database'!$D488&amp;" "&amp;'Compliance Database'!$K488&amp;" "&amp;'Compliance Database'!$L488&amp;" "&amp;'Compliance Database'!$M488&amp;" "&amp;'Compliance Database'!$N488&amp;" "&amp;'Compliance Database'!$O488)))),1,0)</f>
        <v/>
      </c>
      <c r="B488">
        <f>IF($A488=1,SUM($A$2:$A488),"")</f>
        <v/>
      </c>
      <c r="C488">
        <f>IF($A488=1,SUM($A$2:$A488),0)</f>
        <v/>
      </c>
    </row>
    <row r="489">
      <c r="A489">
        <f>IF(AND(OR('Compliance Database'!$A489='Data Transfer'!$B$4,'Compliance Database'!$A489='Data Transfer'!$B$5),OR('Data Transfer'!$B$6="",ISNUMBER(SEARCH('Data Transfer'!$B$6,'Compliance Database'!$D489&amp;" "&amp;'Compliance Database'!$K489&amp;" "&amp;'Compliance Database'!$L489&amp;" "&amp;'Compliance Database'!$M489&amp;" "&amp;'Compliance Database'!$N489&amp;" "&amp;'Compliance Database'!$O489)))),1,0)</f>
        <v/>
      </c>
      <c r="B489">
        <f>IF($A489=1,SUM($A$2:$A489),"")</f>
        <v/>
      </c>
      <c r="C489">
        <f>IF($A489=1,SUM($A$2:$A489),0)</f>
        <v/>
      </c>
    </row>
    <row r="490">
      <c r="A490">
        <f>IF(AND(OR('Compliance Database'!$A490='Data Transfer'!$B$4,'Compliance Database'!$A490='Data Transfer'!$B$5),OR('Data Transfer'!$B$6="",ISNUMBER(SEARCH('Data Transfer'!$B$6,'Compliance Database'!$D490&amp;" "&amp;'Compliance Database'!$K490&amp;" "&amp;'Compliance Database'!$L490&amp;" "&amp;'Compliance Database'!$M490&amp;" "&amp;'Compliance Database'!$N490&amp;" "&amp;'Compliance Database'!$O490)))),1,0)</f>
        <v/>
      </c>
      <c r="B490">
        <f>IF($A490=1,SUM($A$2:$A490),"")</f>
        <v/>
      </c>
      <c r="C490">
        <f>IF($A490=1,SUM($A$2:$A490),0)</f>
        <v/>
      </c>
    </row>
    <row r="491">
      <c r="A491">
        <f>IF(AND(OR('Compliance Database'!$A491='Data Transfer'!$B$4,'Compliance Database'!$A491='Data Transfer'!$B$5),OR('Data Transfer'!$B$6="",ISNUMBER(SEARCH('Data Transfer'!$B$6,'Compliance Database'!$D491&amp;" "&amp;'Compliance Database'!$K491&amp;" "&amp;'Compliance Database'!$L491&amp;" "&amp;'Compliance Database'!$M491&amp;" "&amp;'Compliance Database'!$N491&amp;" "&amp;'Compliance Database'!$O491)))),1,0)</f>
        <v/>
      </c>
      <c r="B491">
        <f>IF($A491=1,SUM($A$2:$A491),"")</f>
        <v/>
      </c>
      <c r="C491">
        <f>IF($A491=1,SUM($A$2:$A491),0)</f>
        <v/>
      </c>
    </row>
    <row r="492">
      <c r="A492">
        <f>IF(AND(OR('Compliance Database'!$A492='Data Transfer'!$B$4,'Compliance Database'!$A492='Data Transfer'!$B$5),OR('Data Transfer'!$B$6="",ISNUMBER(SEARCH('Data Transfer'!$B$6,'Compliance Database'!$D492&amp;" "&amp;'Compliance Database'!$K492&amp;" "&amp;'Compliance Database'!$L492&amp;" "&amp;'Compliance Database'!$M492&amp;" "&amp;'Compliance Database'!$N492&amp;" "&amp;'Compliance Database'!$O492)))),1,0)</f>
        <v/>
      </c>
      <c r="B492">
        <f>IF($A492=1,SUM($A$2:$A492),"")</f>
        <v/>
      </c>
      <c r="C492">
        <f>IF($A492=1,SUM($A$2:$A492),0)</f>
        <v/>
      </c>
    </row>
    <row r="493">
      <c r="A493">
        <f>IF(AND(OR('Compliance Database'!$A493='Data Transfer'!$B$4,'Compliance Database'!$A493='Data Transfer'!$B$5),OR('Data Transfer'!$B$6="",ISNUMBER(SEARCH('Data Transfer'!$B$6,'Compliance Database'!$D493&amp;" "&amp;'Compliance Database'!$K493&amp;" "&amp;'Compliance Database'!$L493&amp;" "&amp;'Compliance Database'!$M493&amp;" "&amp;'Compliance Database'!$N493&amp;" "&amp;'Compliance Database'!$O493)))),1,0)</f>
        <v/>
      </c>
      <c r="B493">
        <f>IF($A493=1,SUM($A$2:$A493),"")</f>
        <v/>
      </c>
      <c r="C493">
        <f>IF($A493=1,SUM($A$2:$A493),0)</f>
        <v/>
      </c>
    </row>
    <row r="494">
      <c r="A494">
        <f>IF(AND(OR('Compliance Database'!$A494='Data Transfer'!$B$4,'Compliance Database'!$A494='Data Transfer'!$B$5),OR('Data Transfer'!$B$6="",ISNUMBER(SEARCH('Data Transfer'!$B$6,'Compliance Database'!$D494&amp;" "&amp;'Compliance Database'!$K494&amp;" "&amp;'Compliance Database'!$L494&amp;" "&amp;'Compliance Database'!$M494&amp;" "&amp;'Compliance Database'!$N494&amp;" "&amp;'Compliance Database'!$O494)))),1,0)</f>
        <v/>
      </c>
      <c r="B494">
        <f>IF($A494=1,SUM($A$2:$A494),"")</f>
        <v/>
      </c>
      <c r="C494">
        <f>IF($A494=1,SUM($A$2:$A494),0)</f>
        <v/>
      </c>
    </row>
    <row r="495">
      <c r="A495">
        <f>IF(AND(OR('Compliance Database'!$A495='Data Transfer'!$B$4,'Compliance Database'!$A495='Data Transfer'!$B$5),OR('Data Transfer'!$B$6="",ISNUMBER(SEARCH('Data Transfer'!$B$6,'Compliance Database'!$D495&amp;" "&amp;'Compliance Database'!$K495&amp;" "&amp;'Compliance Database'!$L495&amp;" "&amp;'Compliance Database'!$M495&amp;" "&amp;'Compliance Database'!$N495&amp;" "&amp;'Compliance Database'!$O495)))),1,0)</f>
        <v/>
      </c>
      <c r="B495">
        <f>IF($A495=1,SUM($A$2:$A495),"")</f>
        <v/>
      </c>
      <c r="C495">
        <f>IF($A495=1,SUM($A$2:$A495),0)</f>
        <v/>
      </c>
    </row>
    <row r="496">
      <c r="A496">
        <f>IF(AND(OR('Compliance Database'!$A496='Data Transfer'!$B$4,'Compliance Database'!$A496='Data Transfer'!$B$5),OR('Data Transfer'!$B$6="",ISNUMBER(SEARCH('Data Transfer'!$B$6,'Compliance Database'!$D496&amp;" "&amp;'Compliance Database'!$K496&amp;" "&amp;'Compliance Database'!$L496&amp;" "&amp;'Compliance Database'!$M496&amp;" "&amp;'Compliance Database'!$N496&amp;" "&amp;'Compliance Database'!$O496)))),1,0)</f>
        <v/>
      </c>
      <c r="B496">
        <f>IF($A496=1,SUM($A$2:$A496),"")</f>
        <v/>
      </c>
      <c r="C496">
        <f>IF($A496=1,SUM($A$2:$A496),0)</f>
        <v/>
      </c>
    </row>
    <row r="497">
      <c r="A497">
        <f>IF(AND(OR('Compliance Database'!$A497='Data Transfer'!$B$4,'Compliance Database'!$A497='Data Transfer'!$B$5),OR('Data Transfer'!$B$6="",ISNUMBER(SEARCH('Data Transfer'!$B$6,'Compliance Database'!$D497&amp;" "&amp;'Compliance Database'!$K497&amp;" "&amp;'Compliance Database'!$L497&amp;" "&amp;'Compliance Database'!$M497&amp;" "&amp;'Compliance Database'!$N497&amp;" "&amp;'Compliance Database'!$O497)))),1,0)</f>
        <v/>
      </c>
      <c r="B497">
        <f>IF($A497=1,SUM($A$2:$A497),"")</f>
        <v/>
      </c>
      <c r="C497">
        <f>IF($A497=1,SUM($A$2:$A497),0)</f>
        <v/>
      </c>
    </row>
    <row r="498">
      <c r="A498">
        <f>IF(AND(OR('Compliance Database'!$A498='Data Transfer'!$B$4,'Compliance Database'!$A498='Data Transfer'!$B$5),OR('Data Transfer'!$B$6="",ISNUMBER(SEARCH('Data Transfer'!$B$6,'Compliance Database'!$D498&amp;" "&amp;'Compliance Database'!$K498&amp;" "&amp;'Compliance Database'!$L498&amp;" "&amp;'Compliance Database'!$M498&amp;" "&amp;'Compliance Database'!$N498&amp;" "&amp;'Compliance Database'!$O498)))),1,0)</f>
        <v/>
      </c>
      <c r="B498">
        <f>IF($A498=1,SUM($A$2:$A498),"")</f>
        <v/>
      </c>
      <c r="C498">
        <f>IF($A498=1,SUM($A$2:$A498),0)</f>
        <v/>
      </c>
    </row>
    <row r="499">
      <c r="A499">
        <f>IF(AND(OR('Compliance Database'!$A499='Data Transfer'!$B$4,'Compliance Database'!$A499='Data Transfer'!$B$5),OR('Data Transfer'!$B$6="",ISNUMBER(SEARCH('Data Transfer'!$B$6,'Compliance Database'!$D499&amp;" "&amp;'Compliance Database'!$K499&amp;" "&amp;'Compliance Database'!$L499&amp;" "&amp;'Compliance Database'!$M499&amp;" "&amp;'Compliance Database'!$N499&amp;" "&amp;'Compliance Database'!$O499)))),1,0)</f>
        <v/>
      </c>
      <c r="B499">
        <f>IF($A499=1,SUM($A$2:$A499),"")</f>
        <v/>
      </c>
      <c r="C499">
        <f>IF($A499=1,SUM($A$2:$A499),0)</f>
        <v/>
      </c>
    </row>
    <row r="500">
      <c r="A500">
        <f>IF(AND(OR('Compliance Database'!$A500='Data Transfer'!$B$4,'Compliance Database'!$A500='Data Transfer'!$B$5),OR('Data Transfer'!$B$6="",ISNUMBER(SEARCH('Data Transfer'!$B$6,'Compliance Database'!$D500&amp;" "&amp;'Compliance Database'!$K500&amp;" "&amp;'Compliance Database'!$L500&amp;" "&amp;'Compliance Database'!$M500&amp;" "&amp;'Compliance Database'!$N500&amp;" "&amp;'Compliance Database'!$O500)))),1,0)</f>
        <v/>
      </c>
      <c r="B500">
        <f>IF($A500=1,SUM($A$2:$A500),"")</f>
        <v/>
      </c>
      <c r="C500">
        <f>IF($A500=1,SUM($A$2:$A500),0)</f>
        <v/>
      </c>
    </row>
    <row r="501">
      <c r="A501">
        <f>IF(AND(OR('Compliance Database'!$A501='Data Transfer'!$B$4,'Compliance Database'!$A501='Data Transfer'!$B$5),OR('Data Transfer'!$B$6="",ISNUMBER(SEARCH('Data Transfer'!$B$6,'Compliance Database'!$D501&amp;" "&amp;'Compliance Database'!$K501&amp;" "&amp;'Compliance Database'!$L501&amp;" "&amp;'Compliance Database'!$M501&amp;" "&amp;'Compliance Database'!$N501&amp;" "&amp;'Compliance Database'!$O501)))),1,0)</f>
        <v/>
      </c>
      <c r="B501">
        <f>IF($A501=1,SUM($A$2:$A501),"")</f>
        <v/>
      </c>
      <c r="C501">
        <f>IF($A501=1,SUM($A$2:$A501),0)</f>
        <v/>
      </c>
    </row>
    <row r="502">
      <c r="A502">
        <f>IF(AND(OR('Compliance Database'!$A502='Data Transfer'!$B$4,'Compliance Database'!$A502='Data Transfer'!$B$5),OR('Data Transfer'!$B$6="",ISNUMBER(SEARCH('Data Transfer'!$B$6,'Compliance Database'!$D502&amp;" "&amp;'Compliance Database'!$K502&amp;" "&amp;'Compliance Database'!$L502&amp;" "&amp;'Compliance Database'!$M502&amp;" "&amp;'Compliance Database'!$N502&amp;" "&amp;'Compliance Database'!$O502)))),1,0)</f>
        <v/>
      </c>
      <c r="B502">
        <f>IF($A502=1,SUM($A$2:$A502),"")</f>
        <v/>
      </c>
      <c r="C502">
        <f>IF($A502=1,SUM($A$2:$A502),0)</f>
        <v/>
      </c>
    </row>
    <row r="503">
      <c r="A503">
        <f>IF(AND(OR('Compliance Database'!$A503='Data Transfer'!$B$4,'Compliance Database'!$A503='Data Transfer'!$B$5),OR('Data Transfer'!$B$6="",ISNUMBER(SEARCH('Data Transfer'!$B$6,'Compliance Database'!$D503&amp;" "&amp;'Compliance Database'!$K503&amp;" "&amp;'Compliance Database'!$L503&amp;" "&amp;'Compliance Database'!$M503&amp;" "&amp;'Compliance Database'!$N503&amp;" "&amp;'Compliance Database'!$O503)))),1,0)</f>
        <v/>
      </c>
      <c r="B503">
        <f>IF($A503=1,SUM($A$2:$A503),"")</f>
        <v/>
      </c>
      <c r="C503">
        <f>IF($A503=1,SUM($A$2:$A503),0)</f>
        <v/>
      </c>
    </row>
    <row r="504">
      <c r="A504">
        <f>IF(AND(OR('Compliance Database'!$A504='Data Transfer'!$B$4,'Compliance Database'!$A504='Data Transfer'!$B$5),OR('Data Transfer'!$B$6="",ISNUMBER(SEARCH('Data Transfer'!$B$6,'Compliance Database'!$D504&amp;" "&amp;'Compliance Database'!$K504&amp;" "&amp;'Compliance Database'!$L504&amp;" "&amp;'Compliance Database'!$M504&amp;" "&amp;'Compliance Database'!$N504&amp;" "&amp;'Compliance Database'!$O504)))),1,0)</f>
        <v/>
      </c>
      <c r="B504">
        <f>IF($A504=1,SUM($A$2:$A504),"")</f>
        <v/>
      </c>
      <c r="C504">
        <f>IF($A504=1,SUM($A$2:$A504),0)</f>
        <v/>
      </c>
    </row>
    <row r="505">
      <c r="A505">
        <f>IF(AND(OR('Compliance Database'!$A505='Data Transfer'!$B$4,'Compliance Database'!$A505='Data Transfer'!$B$5),OR('Data Transfer'!$B$6="",ISNUMBER(SEARCH('Data Transfer'!$B$6,'Compliance Database'!$D505&amp;" "&amp;'Compliance Database'!$K505&amp;" "&amp;'Compliance Database'!$L505&amp;" "&amp;'Compliance Database'!$M505&amp;" "&amp;'Compliance Database'!$N505&amp;" "&amp;'Compliance Database'!$O505)))),1,0)</f>
        <v/>
      </c>
      <c r="B505">
        <f>IF($A505=1,SUM($A$2:$A505),"")</f>
        <v/>
      </c>
      <c r="C505">
        <f>IF($A505=1,SUM($A$2:$A505),0)</f>
        <v/>
      </c>
    </row>
    <row r="506">
      <c r="A506">
        <f>IF(AND(OR('Compliance Database'!$A506='Data Transfer'!$B$4,'Compliance Database'!$A506='Data Transfer'!$B$5),OR('Data Transfer'!$B$6="",ISNUMBER(SEARCH('Data Transfer'!$B$6,'Compliance Database'!$D506&amp;" "&amp;'Compliance Database'!$K506&amp;" "&amp;'Compliance Database'!$L506&amp;" "&amp;'Compliance Database'!$M506&amp;" "&amp;'Compliance Database'!$N506&amp;" "&amp;'Compliance Database'!$O506)))),1,0)</f>
        <v/>
      </c>
      <c r="B506">
        <f>IF($A506=1,SUM($A$2:$A506),"")</f>
        <v/>
      </c>
      <c r="C506">
        <f>IF($A506=1,SUM($A$2:$A506),0)</f>
        <v/>
      </c>
    </row>
    <row r="507">
      <c r="A507">
        <f>IF(AND(OR('Compliance Database'!$A507='Data Transfer'!$B$4,'Compliance Database'!$A507='Data Transfer'!$B$5),OR('Data Transfer'!$B$6="",ISNUMBER(SEARCH('Data Transfer'!$B$6,'Compliance Database'!$D507&amp;" "&amp;'Compliance Database'!$K507&amp;" "&amp;'Compliance Database'!$L507&amp;" "&amp;'Compliance Database'!$M507&amp;" "&amp;'Compliance Database'!$N507&amp;" "&amp;'Compliance Database'!$O507)))),1,0)</f>
        <v/>
      </c>
      <c r="B507">
        <f>IF($A507=1,SUM($A$2:$A507),"")</f>
        <v/>
      </c>
      <c r="C507">
        <f>IF($A507=1,SUM($A$2:$A507),0)</f>
        <v/>
      </c>
    </row>
    <row r="508">
      <c r="A508">
        <f>IF(AND(OR('Compliance Database'!$A508='Data Transfer'!$B$4,'Compliance Database'!$A508='Data Transfer'!$B$5),OR('Data Transfer'!$B$6="",ISNUMBER(SEARCH('Data Transfer'!$B$6,'Compliance Database'!$D508&amp;" "&amp;'Compliance Database'!$K508&amp;" "&amp;'Compliance Database'!$L508&amp;" "&amp;'Compliance Database'!$M508&amp;" "&amp;'Compliance Database'!$N508&amp;" "&amp;'Compliance Database'!$O508)))),1,0)</f>
        <v/>
      </c>
      <c r="B508">
        <f>IF($A508=1,SUM($A$2:$A508),"")</f>
        <v/>
      </c>
      <c r="C508">
        <f>IF($A508=1,SUM($A$2:$A508),0)</f>
        <v/>
      </c>
    </row>
    <row r="509">
      <c r="A509">
        <f>IF(AND(OR('Compliance Database'!$A509='Data Transfer'!$B$4,'Compliance Database'!$A509='Data Transfer'!$B$5),OR('Data Transfer'!$B$6="",ISNUMBER(SEARCH('Data Transfer'!$B$6,'Compliance Database'!$D509&amp;" "&amp;'Compliance Database'!$K509&amp;" "&amp;'Compliance Database'!$L509&amp;" "&amp;'Compliance Database'!$M509&amp;" "&amp;'Compliance Database'!$N509&amp;" "&amp;'Compliance Database'!$O509)))),1,0)</f>
        <v/>
      </c>
      <c r="B509">
        <f>IF($A509=1,SUM($A$2:$A509),"")</f>
        <v/>
      </c>
      <c r="C509">
        <f>IF($A509=1,SUM($A$2:$A509),0)</f>
        <v/>
      </c>
    </row>
    <row r="510">
      <c r="A510">
        <f>IF(AND(OR('Compliance Database'!$A510='Data Transfer'!$B$4,'Compliance Database'!$A510='Data Transfer'!$B$5),OR('Data Transfer'!$B$6="",ISNUMBER(SEARCH('Data Transfer'!$B$6,'Compliance Database'!$D510&amp;" "&amp;'Compliance Database'!$K510&amp;" "&amp;'Compliance Database'!$L510&amp;" "&amp;'Compliance Database'!$M510&amp;" "&amp;'Compliance Database'!$N510&amp;" "&amp;'Compliance Database'!$O510)))),1,0)</f>
        <v/>
      </c>
      <c r="B510">
        <f>IF($A510=1,SUM($A$2:$A510),"")</f>
        <v/>
      </c>
      <c r="C510">
        <f>IF($A510=1,SUM($A$2:$A510),0)</f>
        <v/>
      </c>
    </row>
    <row r="511">
      <c r="A511">
        <f>IF(AND(OR('Compliance Database'!$A511='Data Transfer'!$B$4,'Compliance Database'!$A511='Data Transfer'!$B$5),OR('Data Transfer'!$B$6="",ISNUMBER(SEARCH('Data Transfer'!$B$6,'Compliance Database'!$D511&amp;" "&amp;'Compliance Database'!$K511&amp;" "&amp;'Compliance Database'!$L511&amp;" "&amp;'Compliance Database'!$M511&amp;" "&amp;'Compliance Database'!$N511&amp;" "&amp;'Compliance Database'!$O511)))),1,0)</f>
        <v/>
      </c>
      <c r="B511">
        <f>IF($A511=1,SUM($A$2:$A511),"")</f>
        <v/>
      </c>
      <c r="C511">
        <f>IF($A511=1,SUM($A$2:$A511),0)</f>
        <v/>
      </c>
    </row>
    <row r="512">
      <c r="A512">
        <f>IF(AND(OR('Compliance Database'!$A512='Data Transfer'!$B$4,'Compliance Database'!$A512='Data Transfer'!$B$5),OR('Data Transfer'!$B$6="",ISNUMBER(SEARCH('Data Transfer'!$B$6,'Compliance Database'!$D512&amp;" "&amp;'Compliance Database'!$K512&amp;" "&amp;'Compliance Database'!$L512&amp;" "&amp;'Compliance Database'!$M512&amp;" "&amp;'Compliance Database'!$N512&amp;" "&amp;'Compliance Database'!$O512)))),1,0)</f>
        <v/>
      </c>
      <c r="B512">
        <f>IF($A512=1,SUM($A$2:$A512),"")</f>
        <v/>
      </c>
      <c r="C512">
        <f>IF($A512=1,SUM($A$2:$A512),0)</f>
        <v/>
      </c>
    </row>
    <row r="513">
      <c r="A513">
        <f>IF(AND(OR('Compliance Database'!$A513='Data Transfer'!$B$4,'Compliance Database'!$A513='Data Transfer'!$B$5),OR('Data Transfer'!$B$6="",ISNUMBER(SEARCH('Data Transfer'!$B$6,'Compliance Database'!$D513&amp;" "&amp;'Compliance Database'!$K513&amp;" "&amp;'Compliance Database'!$L513&amp;" "&amp;'Compliance Database'!$M513&amp;" "&amp;'Compliance Database'!$N513&amp;" "&amp;'Compliance Database'!$O513)))),1,0)</f>
        <v/>
      </c>
      <c r="B513">
        <f>IF($A513=1,SUM($A$2:$A513),"")</f>
        <v/>
      </c>
      <c r="C513">
        <f>IF($A513=1,SUM($A$2:$A513),0)</f>
        <v/>
      </c>
    </row>
    <row r="514">
      <c r="A514">
        <f>IF(AND(OR('Compliance Database'!$A514='Data Transfer'!$B$4,'Compliance Database'!$A514='Data Transfer'!$B$5),OR('Data Transfer'!$B$6="",ISNUMBER(SEARCH('Data Transfer'!$B$6,'Compliance Database'!$D514&amp;" "&amp;'Compliance Database'!$K514&amp;" "&amp;'Compliance Database'!$L514&amp;" "&amp;'Compliance Database'!$M514&amp;" "&amp;'Compliance Database'!$N514&amp;" "&amp;'Compliance Database'!$O514)))),1,0)</f>
        <v/>
      </c>
      <c r="B514">
        <f>IF($A514=1,SUM($A$2:$A514),"")</f>
        <v/>
      </c>
      <c r="C514">
        <f>IF($A514=1,SUM($A$2:$A514),0)</f>
        <v/>
      </c>
    </row>
    <row r="515">
      <c r="A515">
        <f>IF(AND(OR('Compliance Database'!$A515='Data Transfer'!$B$4,'Compliance Database'!$A515='Data Transfer'!$B$5),OR('Data Transfer'!$B$6="",ISNUMBER(SEARCH('Data Transfer'!$B$6,'Compliance Database'!$D515&amp;" "&amp;'Compliance Database'!$K515&amp;" "&amp;'Compliance Database'!$L515&amp;" "&amp;'Compliance Database'!$M515&amp;" "&amp;'Compliance Database'!$N515&amp;" "&amp;'Compliance Database'!$O515)))),1,0)</f>
        <v/>
      </c>
      <c r="B515">
        <f>IF($A515=1,SUM($A$2:$A515),"")</f>
        <v/>
      </c>
      <c r="C515">
        <f>IF($A515=1,SUM($A$2:$A515),0)</f>
        <v/>
      </c>
    </row>
    <row r="516">
      <c r="A516">
        <f>IF(AND(OR('Compliance Database'!$A516='Data Transfer'!$B$4,'Compliance Database'!$A516='Data Transfer'!$B$5),OR('Data Transfer'!$B$6="",ISNUMBER(SEARCH('Data Transfer'!$B$6,'Compliance Database'!$D516&amp;" "&amp;'Compliance Database'!$K516&amp;" "&amp;'Compliance Database'!$L516&amp;" "&amp;'Compliance Database'!$M516&amp;" "&amp;'Compliance Database'!$N516&amp;" "&amp;'Compliance Database'!$O516)))),1,0)</f>
        <v/>
      </c>
      <c r="B516">
        <f>IF($A516=1,SUM($A$2:$A516),"")</f>
        <v/>
      </c>
      <c r="C516">
        <f>IF($A516=1,SUM($A$2:$A516),0)</f>
        <v/>
      </c>
    </row>
    <row r="517">
      <c r="A517">
        <f>IF(AND(OR('Compliance Database'!$A517='Data Transfer'!$B$4,'Compliance Database'!$A517='Data Transfer'!$B$5),OR('Data Transfer'!$B$6="",ISNUMBER(SEARCH('Data Transfer'!$B$6,'Compliance Database'!$D517&amp;" "&amp;'Compliance Database'!$K517&amp;" "&amp;'Compliance Database'!$L517&amp;" "&amp;'Compliance Database'!$M517&amp;" "&amp;'Compliance Database'!$N517&amp;" "&amp;'Compliance Database'!$O517)))),1,0)</f>
        <v/>
      </c>
      <c r="B517">
        <f>IF($A517=1,SUM($A$2:$A517),"")</f>
        <v/>
      </c>
      <c r="C517">
        <f>IF($A517=1,SUM($A$2:$A517),0)</f>
        <v/>
      </c>
    </row>
    <row r="518">
      <c r="A518">
        <f>IF(AND(OR('Compliance Database'!$A518='Data Transfer'!$B$4,'Compliance Database'!$A518='Data Transfer'!$B$5),OR('Data Transfer'!$B$6="",ISNUMBER(SEARCH('Data Transfer'!$B$6,'Compliance Database'!$D518&amp;" "&amp;'Compliance Database'!$K518&amp;" "&amp;'Compliance Database'!$L518&amp;" "&amp;'Compliance Database'!$M518&amp;" "&amp;'Compliance Database'!$N518&amp;" "&amp;'Compliance Database'!$O518)))),1,0)</f>
        <v/>
      </c>
      <c r="B518">
        <f>IF($A518=1,SUM($A$2:$A518),"")</f>
        <v/>
      </c>
      <c r="C518">
        <f>IF($A518=1,SUM($A$2:$A518),0)</f>
        <v/>
      </c>
    </row>
    <row r="519">
      <c r="A519">
        <f>IF(AND(OR('Compliance Database'!$A519='Data Transfer'!$B$4,'Compliance Database'!$A519='Data Transfer'!$B$5),OR('Data Transfer'!$B$6="",ISNUMBER(SEARCH('Data Transfer'!$B$6,'Compliance Database'!$D519&amp;" "&amp;'Compliance Database'!$K519&amp;" "&amp;'Compliance Database'!$L519&amp;" "&amp;'Compliance Database'!$M519&amp;" "&amp;'Compliance Database'!$N519&amp;" "&amp;'Compliance Database'!$O519)))),1,0)</f>
        <v/>
      </c>
      <c r="B519">
        <f>IF($A519=1,SUM($A$2:$A519),"")</f>
        <v/>
      </c>
      <c r="C519">
        <f>IF($A519=1,SUM($A$2:$A519),0)</f>
        <v/>
      </c>
    </row>
    <row r="520">
      <c r="A520">
        <f>IF(AND(OR('Compliance Database'!$A520='Data Transfer'!$B$4,'Compliance Database'!$A520='Data Transfer'!$B$5),OR('Data Transfer'!$B$6="",ISNUMBER(SEARCH('Data Transfer'!$B$6,'Compliance Database'!$D520&amp;" "&amp;'Compliance Database'!$K520&amp;" "&amp;'Compliance Database'!$L520&amp;" "&amp;'Compliance Database'!$M520&amp;" "&amp;'Compliance Database'!$N520&amp;" "&amp;'Compliance Database'!$O520)))),1,0)</f>
        <v/>
      </c>
      <c r="B520">
        <f>IF($A520=1,SUM($A$2:$A520),"")</f>
        <v/>
      </c>
      <c r="C520">
        <f>IF($A520=1,SUM($A$2:$A520),0)</f>
        <v/>
      </c>
    </row>
    <row r="521">
      <c r="A521">
        <f>IF(AND(OR('Compliance Database'!$A521='Data Transfer'!$B$4,'Compliance Database'!$A521='Data Transfer'!$B$5),OR('Data Transfer'!$B$6="",ISNUMBER(SEARCH('Data Transfer'!$B$6,'Compliance Database'!$D521&amp;" "&amp;'Compliance Database'!$K521&amp;" "&amp;'Compliance Database'!$L521&amp;" "&amp;'Compliance Database'!$M521&amp;" "&amp;'Compliance Database'!$N521&amp;" "&amp;'Compliance Database'!$O521)))),1,0)</f>
        <v/>
      </c>
      <c r="B521">
        <f>IF($A521=1,SUM($A$2:$A521),"")</f>
        <v/>
      </c>
      <c r="C521">
        <f>IF($A521=1,SUM($A$2:$A521),0)</f>
        <v/>
      </c>
    </row>
    <row r="522">
      <c r="A522">
        <f>IF(AND(OR('Compliance Database'!$A522='Data Transfer'!$B$4,'Compliance Database'!$A522='Data Transfer'!$B$5),OR('Data Transfer'!$B$6="",ISNUMBER(SEARCH('Data Transfer'!$B$6,'Compliance Database'!$D522&amp;" "&amp;'Compliance Database'!$K522&amp;" "&amp;'Compliance Database'!$L522&amp;" "&amp;'Compliance Database'!$M522&amp;" "&amp;'Compliance Database'!$N522&amp;" "&amp;'Compliance Database'!$O522)))),1,0)</f>
        <v/>
      </c>
      <c r="B522">
        <f>IF($A522=1,SUM($A$2:$A522),"")</f>
        <v/>
      </c>
      <c r="C522">
        <f>IF($A522=1,SUM($A$2:$A522),0)</f>
        <v/>
      </c>
    </row>
    <row r="523">
      <c r="A523">
        <f>IF(AND(OR('Compliance Database'!$A523='Data Transfer'!$B$4,'Compliance Database'!$A523='Data Transfer'!$B$5),OR('Data Transfer'!$B$6="",ISNUMBER(SEARCH('Data Transfer'!$B$6,'Compliance Database'!$D523&amp;" "&amp;'Compliance Database'!$K523&amp;" "&amp;'Compliance Database'!$L523&amp;" "&amp;'Compliance Database'!$M523&amp;" "&amp;'Compliance Database'!$N523&amp;" "&amp;'Compliance Database'!$O523)))),1,0)</f>
        <v/>
      </c>
      <c r="B523">
        <f>IF($A523=1,SUM($A$2:$A523),"")</f>
        <v/>
      </c>
      <c r="C523">
        <f>IF($A523=1,SUM($A$2:$A523),0)</f>
        <v/>
      </c>
    </row>
    <row r="524">
      <c r="A524">
        <f>IF(AND(OR('Compliance Database'!$A524='Data Transfer'!$B$4,'Compliance Database'!$A524='Data Transfer'!$B$5),OR('Data Transfer'!$B$6="",ISNUMBER(SEARCH('Data Transfer'!$B$6,'Compliance Database'!$D524&amp;" "&amp;'Compliance Database'!$K524&amp;" "&amp;'Compliance Database'!$L524&amp;" "&amp;'Compliance Database'!$M524&amp;" "&amp;'Compliance Database'!$N524&amp;" "&amp;'Compliance Database'!$O524)))),1,0)</f>
        <v/>
      </c>
      <c r="B524">
        <f>IF($A524=1,SUM($A$2:$A524),"")</f>
        <v/>
      </c>
      <c r="C524">
        <f>IF($A524=1,SUM($A$2:$A524),0)</f>
        <v/>
      </c>
    </row>
    <row r="525">
      <c r="A525">
        <f>IF(AND(OR('Compliance Database'!$A525='Data Transfer'!$B$4,'Compliance Database'!$A525='Data Transfer'!$B$5),OR('Data Transfer'!$B$6="",ISNUMBER(SEARCH('Data Transfer'!$B$6,'Compliance Database'!$D525&amp;" "&amp;'Compliance Database'!$K525&amp;" "&amp;'Compliance Database'!$L525&amp;" "&amp;'Compliance Database'!$M525&amp;" "&amp;'Compliance Database'!$N525&amp;" "&amp;'Compliance Database'!$O525)))),1,0)</f>
        <v/>
      </c>
      <c r="B525">
        <f>IF($A525=1,SUM($A$2:$A525),"")</f>
        <v/>
      </c>
      <c r="C525">
        <f>IF($A525=1,SUM($A$2:$A525),0)</f>
        <v/>
      </c>
    </row>
    <row r="526">
      <c r="A526">
        <f>IF(AND(OR('Compliance Database'!$A526='Data Transfer'!$B$4,'Compliance Database'!$A526='Data Transfer'!$B$5),OR('Data Transfer'!$B$6="",ISNUMBER(SEARCH('Data Transfer'!$B$6,'Compliance Database'!$D526&amp;" "&amp;'Compliance Database'!$K526&amp;" "&amp;'Compliance Database'!$L526&amp;" "&amp;'Compliance Database'!$M526&amp;" "&amp;'Compliance Database'!$N526&amp;" "&amp;'Compliance Database'!$O526)))),1,0)</f>
        <v/>
      </c>
      <c r="B526">
        <f>IF($A526=1,SUM($A$2:$A526),"")</f>
        <v/>
      </c>
      <c r="C526">
        <f>IF($A526=1,SUM($A$2:$A526),0)</f>
        <v/>
      </c>
    </row>
    <row r="527">
      <c r="A527">
        <f>IF(AND(OR('Compliance Database'!$A527='Data Transfer'!$B$4,'Compliance Database'!$A527='Data Transfer'!$B$5),OR('Data Transfer'!$B$6="",ISNUMBER(SEARCH('Data Transfer'!$B$6,'Compliance Database'!$D527&amp;" "&amp;'Compliance Database'!$K527&amp;" "&amp;'Compliance Database'!$L527&amp;" "&amp;'Compliance Database'!$M527&amp;" "&amp;'Compliance Database'!$N527&amp;" "&amp;'Compliance Database'!$O527)))),1,0)</f>
        <v/>
      </c>
      <c r="B527">
        <f>IF($A527=1,SUM($A$2:$A527),"")</f>
        <v/>
      </c>
      <c r="C527">
        <f>IF($A527=1,SUM($A$2:$A527),0)</f>
        <v/>
      </c>
    </row>
    <row r="528">
      <c r="A528">
        <f>IF(AND(OR('Compliance Database'!$A528='Data Transfer'!$B$4,'Compliance Database'!$A528='Data Transfer'!$B$5),OR('Data Transfer'!$B$6="",ISNUMBER(SEARCH('Data Transfer'!$B$6,'Compliance Database'!$D528&amp;" "&amp;'Compliance Database'!$K528&amp;" "&amp;'Compliance Database'!$L528&amp;" "&amp;'Compliance Database'!$M528&amp;" "&amp;'Compliance Database'!$N528&amp;" "&amp;'Compliance Database'!$O528)))),1,0)</f>
        <v/>
      </c>
      <c r="B528">
        <f>IF($A528=1,SUM($A$2:$A528),"")</f>
        <v/>
      </c>
      <c r="C528">
        <f>IF($A528=1,SUM($A$2:$A528),0)</f>
        <v/>
      </c>
    </row>
    <row r="529">
      <c r="A529">
        <f>IF(AND(OR('Compliance Database'!$A529='Data Transfer'!$B$4,'Compliance Database'!$A529='Data Transfer'!$B$5),OR('Data Transfer'!$B$6="",ISNUMBER(SEARCH('Data Transfer'!$B$6,'Compliance Database'!$D529&amp;" "&amp;'Compliance Database'!$K529&amp;" "&amp;'Compliance Database'!$L529&amp;" "&amp;'Compliance Database'!$M529&amp;" "&amp;'Compliance Database'!$N529&amp;" "&amp;'Compliance Database'!$O529)))),1,0)</f>
        <v/>
      </c>
      <c r="B529">
        <f>IF($A529=1,SUM($A$2:$A529),"")</f>
        <v/>
      </c>
      <c r="C529">
        <f>IF($A529=1,SUM($A$2:$A529),0)</f>
        <v/>
      </c>
    </row>
    <row r="530">
      <c r="A530">
        <f>IF(AND(OR('Compliance Database'!$A530='Data Transfer'!$B$4,'Compliance Database'!$A530='Data Transfer'!$B$5),OR('Data Transfer'!$B$6="",ISNUMBER(SEARCH('Data Transfer'!$B$6,'Compliance Database'!$D530&amp;" "&amp;'Compliance Database'!$K530&amp;" "&amp;'Compliance Database'!$L530&amp;" "&amp;'Compliance Database'!$M530&amp;" "&amp;'Compliance Database'!$N530&amp;" "&amp;'Compliance Database'!$O530)))),1,0)</f>
        <v/>
      </c>
      <c r="B530">
        <f>IF($A530=1,SUM($A$2:$A530),"")</f>
        <v/>
      </c>
      <c r="C530">
        <f>IF($A530=1,SUM($A$2:$A530),0)</f>
        <v/>
      </c>
    </row>
    <row r="531">
      <c r="A531">
        <f>IF(AND(OR('Compliance Database'!$A531='Data Transfer'!$B$4,'Compliance Database'!$A531='Data Transfer'!$B$5),OR('Data Transfer'!$B$6="",ISNUMBER(SEARCH('Data Transfer'!$B$6,'Compliance Database'!$D531&amp;" "&amp;'Compliance Database'!$K531&amp;" "&amp;'Compliance Database'!$L531&amp;" "&amp;'Compliance Database'!$M531&amp;" "&amp;'Compliance Database'!$N531&amp;" "&amp;'Compliance Database'!$O531)))),1,0)</f>
        <v/>
      </c>
      <c r="B531">
        <f>IF($A531=1,SUM($A$2:$A531),"")</f>
        <v/>
      </c>
      <c r="C531">
        <f>IF($A531=1,SUM($A$2:$A531),0)</f>
        <v/>
      </c>
    </row>
    <row r="532">
      <c r="A532">
        <f>IF(AND(OR('Compliance Database'!$A532='Data Transfer'!$B$4,'Compliance Database'!$A532='Data Transfer'!$B$5),OR('Data Transfer'!$B$6="",ISNUMBER(SEARCH('Data Transfer'!$B$6,'Compliance Database'!$D532&amp;" "&amp;'Compliance Database'!$K532&amp;" "&amp;'Compliance Database'!$L532&amp;" "&amp;'Compliance Database'!$M532&amp;" "&amp;'Compliance Database'!$N532&amp;" "&amp;'Compliance Database'!$O532)))),1,0)</f>
        <v/>
      </c>
      <c r="B532">
        <f>IF($A532=1,SUM($A$2:$A532),"")</f>
        <v/>
      </c>
      <c r="C532">
        <f>IF($A532=1,SUM($A$2:$A532),0)</f>
        <v/>
      </c>
    </row>
    <row r="533">
      <c r="A533">
        <f>IF(AND(OR('Compliance Database'!$A533='Data Transfer'!$B$4,'Compliance Database'!$A533='Data Transfer'!$B$5),OR('Data Transfer'!$B$6="",ISNUMBER(SEARCH('Data Transfer'!$B$6,'Compliance Database'!$D533&amp;" "&amp;'Compliance Database'!$K533&amp;" "&amp;'Compliance Database'!$L533&amp;" "&amp;'Compliance Database'!$M533&amp;" "&amp;'Compliance Database'!$N533&amp;" "&amp;'Compliance Database'!$O533)))),1,0)</f>
        <v/>
      </c>
      <c r="B533">
        <f>IF($A533=1,SUM($A$2:$A533),"")</f>
        <v/>
      </c>
      <c r="C533">
        <f>IF($A533=1,SUM($A$2:$A533),0)</f>
        <v/>
      </c>
    </row>
    <row r="534">
      <c r="A534">
        <f>IF(AND(OR('Compliance Database'!$A534='Data Transfer'!$B$4,'Compliance Database'!$A534='Data Transfer'!$B$5),OR('Data Transfer'!$B$6="",ISNUMBER(SEARCH('Data Transfer'!$B$6,'Compliance Database'!$D534&amp;" "&amp;'Compliance Database'!$K534&amp;" "&amp;'Compliance Database'!$L534&amp;" "&amp;'Compliance Database'!$M534&amp;" "&amp;'Compliance Database'!$N534&amp;" "&amp;'Compliance Database'!$O534)))),1,0)</f>
        <v/>
      </c>
      <c r="B534">
        <f>IF($A534=1,SUM($A$2:$A534),"")</f>
        <v/>
      </c>
      <c r="C534">
        <f>IF($A534=1,SUM($A$2:$A534),0)</f>
        <v/>
      </c>
    </row>
    <row r="535">
      <c r="A535">
        <f>IF(AND(OR('Compliance Database'!$A535='Data Transfer'!$B$4,'Compliance Database'!$A535='Data Transfer'!$B$5),OR('Data Transfer'!$B$6="",ISNUMBER(SEARCH('Data Transfer'!$B$6,'Compliance Database'!$D535&amp;" "&amp;'Compliance Database'!$K535&amp;" "&amp;'Compliance Database'!$L535&amp;" "&amp;'Compliance Database'!$M535&amp;" "&amp;'Compliance Database'!$N535&amp;" "&amp;'Compliance Database'!$O535)))),1,0)</f>
        <v/>
      </c>
      <c r="B535">
        <f>IF($A535=1,SUM($A$2:$A535),"")</f>
        <v/>
      </c>
      <c r="C535">
        <f>IF($A535=1,SUM($A$2:$A535),0)</f>
        <v/>
      </c>
    </row>
    <row r="536">
      <c r="A536">
        <f>IF(AND(OR('Compliance Database'!$A536='Data Transfer'!$B$4,'Compliance Database'!$A536='Data Transfer'!$B$5),OR('Data Transfer'!$B$6="",ISNUMBER(SEARCH('Data Transfer'!$B$6,'Compliance Database'!$D536&amp;" "&amp;'Compliance Database'!$K536&amp;" "&amp;'Compliance Database'!$L536&amp;" "&amp;'Compliance Database'!$M536&amp;" "&amp;'Compliance Database'!$N536&amp;" "&amp;'Compliance Database'!$O536)))),1,0)</f>
        <v/>
      </c>
      <c r="B536">
        <f>IF($A536=1,SUM($A$2:$A536),"")</f>
        <v/>
      </c>
      <c r="C536">
        <f>IF($A536=1,SUM($A$2:$A536),0)</f>
        <v/>
      </c>
    </row>
    <row r="537">
      <c r="A537">
        <f>IF(AND(OR('Compliance Database'!$A537='Data Transfer'!$B$4,'Compliance Database'!$A537='Data Transfer'!$B$5),OR('Data Transfer'!$B$6="",ISNUMBER(SEARCH('Data Transfer'!$B$6,'Compliance Database'!$D537&amp;" "&amp;'Compliance Database'!$K537&amp;" "&amp;'Compliance Database'!$L537&amp;" "&amp;'Compliance Database'!$M537&amp;" "&amp;'Compliance Database'!$N537&amp;" "&amp;'Compliance Database'!$O537)))),1,0)</f>
        <v/>
      </c>
      <c r="B537">
        <f>IF($A537=1,SUM($A$2:$A537),"")</f>
        <v/>
      </c>
      <c r="C537">
        <f>IF($A537=1,SUM($A$2:$A537),0)</f>
        <v/>
      </c>
    </row>
    <row r="538">
      <c r="A538">
        <f>IF(AND(OR('Compliance Database'!$A538='Data Transfer'!$B$4,'Compliance Database'!$A538='Data Transfer'!$B$5),OR('Data Transfer'!$B$6="",ISNUMBER(SEARCH('Data Transfer'!$B$6,'Compliance Database'!$D538&amp;" "&amp;'Compliance Database'!$K538&amp;" "&amp;'Compliance Database'!$L538&amp;" "&amp;'Compliance Database'!$M538&amp;" "&amp;'Compliance Database'!$N538&amp;" "&amp;'Compliance Database'!$O538)))),1,0)</f>
        <v/>
      </c>
      <c r="B538">
        <f>IF($A538=1,SUM($A$2:$A538),"")</f>
        <v/>
      </c>
      <c r="C538">
        <f>IF($A538=1,SUM($A$2:$A538),0)</f>
        <v/>
      </c>
    </row>
    <row r="539">
      <c r="A539">
        <f>IF(AND(OR('Compliance Database'!$A539='Data Transfer'!$B$4,'Compliance Database'!$A539='Data Transfer'!$B$5),OR('Data Transfer'!$B$6="",ISNUMBER(SEARCH('Data Transfer'!$B$6,'Compliance Database'!$D539&amp;" "&amp;'Compliance Database'!$K539&amp;" "&amp;'Compliance Database'!$L539&amp;" "&amp;'Compliance Database'!$M539&amp;" "&amp;'Compliance Database'!$N539&amp;" "&amp;'Compliance Database'!$O539)))),1,0)</f>
        <v/>
      </c>
      <c r="B539">
        <f>IF($A539=1,SUM($A$2:$A539),"")</f>
        <v/>
      </c>
      <c r="C539">
        <f>IF($A539=1,SUM($A$2:$A539),0)</f>
        <v/>
      </c>
    </row>
    <row r="540">
      <c r="A540">
        <f>IF(AND(OR('Compliance Database'!$A540='Data Transfer'!$B$4,'Compliance Database'!$A540='Data Transfer'!$B$5),OR('Data Transfer'!$B$6="",ISNUMBER(SEARCH('Data Transfer'!$B$6,'Compliance Database'!$D540&amp;" "&amp;'Compliance Database'!$K540&amp;" "&amp;'Compliance Database'!$L540&amp;" "&amp;'Compliance Database'!$M540&amp;" "&amp;'Compliance Database'!$N540&amp;" "&amp;'Compliance Database'!$O540)))),1,0)</f>
        <v/>
      </c>
      <c r="B540">
        <f>IF($A540=1,SUM($A$2:$A540),"")</f>
        <v/>
      </c>
      <c r="C540">
        <f>IF($A540=1,SUM($A$2:$A540),0)</f>
        <v/>
      </c>
    </row>
    <row r="541">
      <c r="A541">
        <f>IF(AND(OR('Compliance Database'!$A541='Data Transfer'!$B$4,'Compliance Database'!$A541='Data Transfer'!$B$5),OR('Data Transfer'!$B$6="",ISNUMBER(SEARCH('Data Transfer'!$B$6,'Compliance Database'!$D541&amp;" "&amp;'Compliance Database'!$K541&amp;" "&amp;'Compliance Database'!$L541&amp;" "&amp;'Compliance Database'!$M541&amp;" "&amp;'Compliance Database'!$N541&amp;" "&amp;'Compliance Database'!$O541)))),1,0)</f>
        <v/>
      </c>
      <c r="B541">
        <f>IF($A541=1,SUM($A$2:$A541),"")</f>
        <v/>
      </c>
      <c r="C541">
        <f>IF($A541=1,SUM($A$2:$A541),0)</f>
        <v/>
      </c>
    </row>
    <row r="542">
      <c r="A542">
        <f>IF(AND(OR('Compliance Database'!$A542='Data Transfer'!$B$4,'Compliance Database'!$A542='Data Transfer'!$B$5),OR('Data Transfer'!$B$6="",ISNUMBER(SEARCH('Data Transfer'!$B$6,'Compliance Database'!$D542&amp;" "&amp;'Compliance Database'!$K542&amp;" "&amp;'Compliance Database'!$L542&amp;" "&amp;'Compliance Database'!$M542&amp;" "&amp;'Compliance Database'!$N542&amp;" "&amp;'Compliance Database'!$O542)))),1,0)</f>
        <v/>
      </c>
      <c r="B542">
        <f>IF($A542=1,SUM($A$2:$A542),"")</f>
        <v/>
      </c>
      <c r="C542">
        <f>IF($A542=1,SUM($A$2:$A542),0)</f>
        <v/>
      </c>
    </row>
    <row r="543">
      <c r="A543">
        <f>IF(AND(OR('Compliance Database'!$A543='Data Transfer'!$B$4,'Compliance Database'!$A543='Data Transfer'!$B$5),OR('Data Transfer'!$B$6="",ISNUMBER(SEARCH('Data Transfer'!$B$6,'Compliance Database'!$D543&amp;" "&amp;'Compliance Database'!$K543&amp;" "&amp;'Compliance Database'!$L543&amp;" "&amp;'Compliance Database'!$M543&amp;" "&amp;'Compliance Database'!$N543&amp;" "&amp;'Compliance Database'!$O543)))),1,0)</f>
        <v/>
      </c>
      <c r="B543">
        <f>IF($A543=1,SUM($A$2:$A543),"")</f>
        <v/>
      </c>
      <c r="C543">
        <f>IF($A543=1,SUM($A$2:$A543),0)</f>
        <v/>
      </c>
    </row>
    <row r="544">
      <c r="A544">
        <f>IF(AND(OR('Compliance Database'!$A544='Data Transfer'!$B$4,'Compliance Database'!$A544='Data Transfer'!$B$5),OR('Data Transfer'!$B$6="",ISNUMBER(SEARCH('Data Transfer'!$B$6,'Compliance Database'!$D544&amp;" "&amp;'Compliance Database'!$K544&amp;" "&amp;'Compliance Database'!$L544&amp;" "&amp;'Compliance Database'!$M544&amp;" "&amp;'Compliance Database'!$N544&amp;" "&amp;'Compliance Database'!$O544)))),1,0)</f>
        <v/>
      </c>
      <c r="B544">
        <f>IF($A544=1,SUM($A$2:$A544),"")</f>
        <v/>
      </c>
      <c r="C544">
        <f>IF($A544=1,SUM($A$2:$A544),0)</f>
        <v/>
      </c>
    </row>
    <row r="545">
      <c r="A545">
        <f>IF(AND(OR('Compliance Database'!$A545='Data Transfer'!$B$4,'Compliance Database'!$A545='Data Transfer'!$B$5),OR('Data Transfer'!$B$6="",ISNUMBER(SEARCH('Data Transfer'!$B$6,'Compliance Database'!$D545&amp;" "&amp;'Compliance Database'!$K545&amp;" "&amp;'Compliance Database'!$L545&amp;" "&amp;'Compliance Database'!$M545&amp;" "&amp;'Compliance Database'!$N545&amp;" "&amp;'Compliance Database'!$O545)))),1,0)</f>
        <v/>
      </c>
      <c r="B545">
        <f>IF($A545=1,SUM($A$2:$A545),"")</f>
        <v/>
      </c>
      <c r="C545">
        <f>IF($A545=1,SUM($A$2:$A545),0)</f>
        <v/>
      </c>
    </row>
    <row r="546">
      <c r="A546">
        <f>IF(AND(OR('Compliance Database'!$A546='Data Transfer'!$B$4,'Compliance Database'!$A546='Data Transfer'!$B$5),OR('Data Transfer'!$B$6="",ISNUMBER(SEARCH('Data Transfer'!$B$6,'Compliance Database'!$D546&amp;" "&amp;'Compliance Database'!$K546&amp;" "&amp;'Compliance Database'!$L546&amp;" "&amp;'Compliance Database'!$M546&amp;" "&amp;'Compliance Database'!$N546&amp;" "&amp;'Compliance Database'!$O546)))),1,0)</f>
        <v/>
      </c>
      <c r="B546">
        <f>IF($A546=1,SUM($A$2:$A546),"")</f>
        <v/>
      </c>
      <c r="C546">
        <f>IF($A546=1,SUM($A$2:$A546),0)</f>
        <v/>
      </c>
    </row>
    <row r="547">
      <c r="A547">
        <f>IF(AND(OR('Compliance Database'!$A547='Data Transfer'!$B$4,'Compliance Database'!$A547='Data Transfer'!$B$5),OR('Data Transfer'!$B$6="",ISNUMBER(SEARCH('Data Transfer'!$B$6,'Compliance Database'!$D547&amp;" "&amp;'Compliance Database'!$K547&amp;" "&amp;'Compliance Database'!$L547&amp;" "&amp;'Compliance Database'!$M547&amp;" "&amp;'Compliance Database'!$N547&amp;" "&amp;'Compliance Database'!$O547)))),1,0)</f>
        <v/>
      </c>
      <c r="B547">
        <f>IF($A547=1,SUM($A$2:$A547),"")</f>
        <v/>
      </c>
      <c r="C547">
        <f>IF($A547=1,SUM($A$2:$A547),0)</f>
        <v/>
      </c>
    </row>
    <row r="548">
      <c r="A548">
        <f>IF(AND(OR('Compliance Database'!$A548='Data Transfer'!$B$4,'Compliance Database'!$A548='Data Transfer'!$B$5),OR('Data Transfer'!$B$6="",ISNUMBER(SEARCH('Data Transfer'!$B$6,'Compliance Database'!$D548&amp;" "&amp;'Compliance Database'!$K548&amp;" "&amp;'Compliance Database'!$L548&amp;" "&amp;'Compliance Database'!$M548&amp;" "&amp;'Compliance Database'!$N548&amp;" "&amp;'Compliance Database'!$O548)))),1,0)</f>
        <v/>
      </c>
      <c r="B548">
        <f>IF($A548=1,SUM($A$2:$A548),"")</f>
        <v/>
      </c>
      <c r="C548">
        <f>IF($A548=1,SUM($A$2:$A548),0)</f>
        <v/>
      </c>
    </row>
    <row r="549">
      <c r="A549">
        <f>IF(AND(OR('Compliance Database'!$A549='Data Transfer'!$B$4,'Compliance Database'!$A549='Data Transfer'!$B$5),OR('Data Transfer'!$B$6="",ISNUMBER(SEARCH('Data Transfer'!$B$6,'Compliance Database'!$D549&amp;" "&amp;'Compliance Database'!$K549&amp;" "&amp;'Compliance Database'!$L549&amp;" "&amp;'Compliance Database'!$M549&amp;" "&amp;'Compliance Database'!$N549&amp;" "&amp;'Compliance Database'!$O549)))),1,0)</f>
        <v/>
      </c>
      <c r="B549">
        <f>IF($A549=1,SUM($A$2:$A549),"")</f>
        <v/>
      </c>
      <c r="C549">
        <f>IF($A549=1,SUM($A$2:$A549),0)</f>
        <v/>
      </c>
    </row>
    <row r="550">
      <c r="A550">
        <f>IF(AND(OR('Compliance Database'!$A550='Data Transfer'!$B$4,'Compliance Database'!$A550='Data Transfer'!$B$5),OR('Data Transfer'!$B$6="",ISNUMBER(SEARCH('Data Transfer'!$B$6,'Compliance Database'!$D550&amp;" "&amp;'Compliance Database'!$K550&amp;" "&amp;'Compliance Database'!$L550&amp;" "&amp;'Compliance Database'!$M550&amp;" "&amp;'Compliance Database'!$N550&amp;" "&amp;'Compliance Database'!$O550)))),1,0)</f>
        <v/>
      </c>
      <c r="B550">
        <f>IF($A550=1,SUM($A$2:$A550),"")</f>
        <v/>
      </c>
      <c r="C550">
        <f>IF($A550=1,SUM($A$2:$A550),0)</f>
        <v/>
      </c>
    </row>
    <row r="551">
      <c r="A551">
        <f>IF(AND(OR('Compliance Database'!$A551='Data Transfer'!$B$4,'Compliance Database'!$A551='Data Transfer'!$B$5),OR('Data Transfer'!$B$6="",ISNUMBER(SEARCH('Data Transfer'!$B$6,'Compliance Database'!$D551&amp;" "&amp;'Compliance Database'!$K551&amp;" "&amp;'Compliance Database'!$L551&amp;" "&amp;'Compliance Database'!$M551&amp;" "&amp;'Compliance Database'!$N551&amp;" "&amp;'Compliance Database'!$O551)))),1,0)</f>
        <v/>
      </c>
      <c r="B551">
        <f>IF($A551=1,SUM($A$2:$A551),"")</f>
        <v/>
      </c>
      <c r="C551">
        <f>IF($A551=1,SUM($A$2:$A551),0)</f>
        <v/>
      </c>
    </row>
    <row r="552">
      <c r="A552">
        <f>IF(AND(OR('Compliance Database'!$A552='Data Transfer'!$B$4,'Compliance Database'!$A552='Data Transfer'!$B$5),OR('Data Transfer'!$B$6="",ISNUMBER(SEARCH('Data Transfer'!$B$6,'Compliance Database'!$D552&amp;" "&amp;'Compliance Database'!$K552&amp;" "&amp;'Compliance Database'!$L552&amp;" "&amp;'Compliance Database'!$M552&amp;" "&amp;'Compliance Database'!$N552&amp;" "&amp;'Compliance Database'!$O552)))),1,0)</f>
        <v/>
      </c>
      <c r="B552">
        <f>IF($A552=1,SUM($A$2:$A552),"")</f>
        <v/>
      </c>
      <c r="C552">
        <f>IF($A552=1,SUM($A$2:$A552),0)</f>
        <v/>
      </c>
    </row>
    <row r="553">
      <c r="A553">
        <f>IF(AND(OR('Compliance Database'!$A553='Data Transfer'!$B$4,'Compliance Database'!$A553='Data Transfer'!$B$5),OR('Data Transfer'!$B$6="",ISNUMBER(SEARCH('Data Transfer'!$B$6,'Compliance Database'!$D553&amp;" "&amp;'Compliance Database'!$K553&amp;" "&amp;'Compliance Database'!$L553&amp;" "&amp;'Compliance Database'!$M553&amp;" "&amp;'Compliance Database'!$N553&amp;" "&amp;'Compliance Database'!$O553)))),1,0)</f>
        <v/>
      </c>
      <c r="B553">
        <f>IF($A553=1,SUM($A$2:$A553),"")</f>
        <v/>
      </c>
      <c r="C553">
        <f>IF($A553=1,SUM($A$2:$A553),0)</f>
        <v/>
      </c>
    </row>
    <row r="554">
      <c r="A554">
        <f>IF(AND(OR('Compliance Database'!$A554='Data Transfer'!$B$4,'Compliance Database'!$A554='Data Transfer'!$B$5),OR('Data Transfer'!$B$6="",ISNUMBER(SEARCH('Data Transfer'!$B$6,'Compliance Database'!$D554&amp;" "&amp;'Compliance Database'!$K554&amp;" "&amp;'Compliance Database'!$L554&amp;" "&amp;'Compliance Database'!$M554&amp;" "&amp;'Compliance Database'!$N554&amp;" "&amp;'Compliance Database'!$O554)))),1,0)</f>
        <v/>
      </c>
      <c r="B554">
        <f>IF($A554=1,SUM($A$2:$A554),"")</f>
        <v/>
      </c>
      <c r="C554">
        <f>IF($A554=1,SUM($A$2:$A554),0)</f>
        <v/>
      </c>
    </row>
    <row r="555">
      <c r="A555">
        <f>IF(AND(OR('Compliance Database'!$A555='Data Transfer'!$B$4,'Compliance Database'!$A555='Data Transfer'!$B$5),OR('Data Transfer'!$B$6="",ISNUMBER(SEARCH('Data Transfer'!$B$6,'Compliance Database'!$D555&amp;" "&amp;'Compliance Database'!$K555&amp;" "&amp;'Compliance Database'!$L555&amp;" "&amp;'Compliance Database'!$M555&amp;" "&amp;'Compliance Database'!$N555&amp;" "&amp;'Compliance Database'!$O555)))),1,0)</f>
        <v/>
      </c>
      <c r="B555">
        <f>IF($A555=1,SUM($A$2:$A555),"")</f>
        <v/>
      </c>
      <c r="C555">
        <f>IF($A555=1,SUM($A$2:$A555),0)</f>
        <v/>
      </c>
    </row>
    <row r="556">
      <c r="A556">
        <f>IF(AND(OR('Compliance Database'!$A556='Data Transfer'!$B$4,'Compliance Database'!$A556='Data Transfer'!$B$5),OR('Data Transfer'!$B$6="",ISNUMBER(SEARCH('Data Transfer'!$B$6,'Compliance Database'!$D556&amp;" "&amp;'Compliance Database'!$K556&amp;" "&amp;'Compliance Database'!$L556&amp;" "&amp;'Compliance Database'!$M556&amp;" "&amp;'Compliance Database'!$N556&amp;" "&amp;'Compliance Database'!$O556)))),1,0)</f>
        <v/>
      </c>
      <c r="B556">
        <f>IF($A556=1,SUM($A$2:$A556),"")</f>
        <v/>
      </c>
      <c r="C556">
        <f>IF($A556=1,SUM($A$2:$A556),0)</f>
        <v/>
      </c>
    </row>
    <row r="557">
      <c r="A557">
        <f>IF(AND(OR('Compliance Database'!$A557='Data Transfer'!$B$4,'Compliance Database'!$A557='Data Transfer'!$B$5),OR('Data Transfer'!$B$6="",ISNUMBER(SEARCH('Data Transfer'!$B$6,'Compliance Database'!$D557&amp;" "&amp;'Compliance Database'!$K557&amp;" "&amp;'Compliance Database'!$L557&amp;" "&amp;'Compliance Database'!$M557&amp;" "&amp;'Compliance Database'!$N557&amp;" "&amp;'Compliance Database'!$O557)))),1,0)</f>
        <v/>
      </c>
      <c r="B557">
        <f>IF($A557=1,SUM($A$2:$A557),"")</f>
        <v/>
      </c>
      <c r="C557">
        <f>IF($A557=1,SUM($A$2:$A557),0)</f>
        <v/>
      </c>
    </row>
    <row r="558">
      <c r="A558">
        <f>IF(AND(OR('Compliance Database'!$A558='Data Transfer'!$B$4,'Compliance Database'!$A558='Data Transfer'!$B$5),OR('Data Transfer'!$B$6="",ISNUMBER(SEARCH('Data Transfer'!$B$6,'Compliance Database'!$D558&amp;" "&amp;'Compliance Database'!$K558&amp;" "&amp;'Compliance Database'!$L558&amp;" "&amp;'Compliance Database'!$M558&amp;" "&amp;'Compliance Database'!$N558&amp;" "&amp;'Compliance Database'!$O558)))),1,0)</f>
        <v/>
      </c>
      <c r="B558">
        <f>IF($A558=1,SUM($A$2:$A558),"")</f>
        <v/>
      </c>
      <c r="C558">
        <f>IF($A558=1,SUM($A$2:$A558),0)</f>
        <v/>
      </c>
    </row>
    <row r="559">
      <c r="A559">
        <f>IF(AND(OR('Compliance Database'!$A559='Data Transfer'!$B$4,'Compliance Database'!$A559='Data Transfer'!$B$5),OR('Data Transfer'!$B$6="",ISNUMBER(SEARCH('Data Transfer'!$B$6,'Compliance Database'!$D559&amp;" "&amp;'Compliance Database'!$K559&amp;" "&amp;'Compliance Database'!$L559&amp;" "&amp;'Compliance Database'!$M559&amp;" "&amp;'Compliance Database'!$N559&amp;" "&amp;'Compliance Database'!$O559)))),1,0)</f>
        <v/>
      </c>
      <c r="B559">
        <f>IF($A559=1,SUM($A$2:$A559),"")</f>
        <v/>
      </c>
      <c r="C559">
        <f>IF($A559=1,SUM($A$2:$A559),0)</f>
        <v/>
      </c>
    </row>
    <row r="560">
      <c r="A560">
        <f>IF(AND(OR('Compliance Database'!$A560='Data Transfer'!$B$4,'Compliance Database'!$A560='Data Transfer'!$B$5),OR('Data Transfer'!$B$6="",ISNUMBER(SEARCH('Data Transfer'!$B$6,'Compliance Database'!$D560&amp;" "&amp;'Compliance Database'!$K560&amp;" "&amp;'Compliance Database'!$L560&amp;" "&amp;'Compliance Database'!$M560&amp;" "&amp;'Compliance Database'!$N560&amp;" "&amp;'Compliance Database'!$O560)))),1,0)</f>
        <v/>
      </c>
      <c r="B560">
        <f>IF($A560=1,SUM($A$2:$A560),"")</f>
        <v/>
      </c>
      <c r="C560">
        <f>IF($A560=1,SUM($A$2:$A560),0)</f>
        <v/>
      </c>
    </row>
    <row r="561">
      <c r="A561">
        <f>IF(AND(OR('Compliance Database'!$A561='Data Transfer'!$B$4,'Compliance Database'!$A561='Data Transfer'!$B$5),OR('Data Transfer'!$B$6="",ISNUMBER(SEARCH('Data Transfer'!$B$6,'Compliance Database'!$D561&amp;" "&amp;'Compliance Database'!$K561&amp;" "&amp;'Compliance Database'!$L561&amp;" "&amp;'Compliance Database'!$M561&amp;" "&amp;'Compliance Database'!$N561&amp;" "&amp;'Compliance Database'!$O561)))),1,0)</f>
        <v/>
      </c>
      <c r="B561">
        <f>IF($A561=1,SUM($A$2:$A561),"")</f>
        <v/>
      </c>
      <c r="C561">
        <f>IF($A561=1,SUM($A$2:$A561),0)</f>
        <v/>
      </c>
    </row>
    <row r="562">
      <c r="A562">
        <f>IF(AND(OR('Compliance Database'!$A562='Data Transfer'!$B$4,'Compliance Database'!$A562='Data Transfer'!$B$5),OR('Data Transfer'!$B$6="",ISNUMBER(SEARCH('Data Transfer'!$B$6,'Compliance Database'!$D562&amp;" "&amp;'Compliance Database'!$K562&amp;" "&amp;'Compliance Database'!$L562&amp;" "&amp;'Compliance Database'!$M562&amp;" "&amp;'Compliance Database'!$N562&amp;" "&amp;'Compliance Database'!$O562)))),1,0)</f>
        <v/>
      </c>
      <c r="B562">
        <f>IF($A562=1,SUM($A$2:$A562),"")</f>
        <v/>
      </c>
      <c r="C562">
        <f>IF($A562=1,SUM($A$2:$A562),0)</f>
        <v/>
      </c>
    </row>
    <row r="563">
      <c r="A563">
        <f>IF(AND(OR('Compliance Database'!$A563='Data Transfer'!$B$4,'Compliance Database'!$A563='Data Transfer'!$B$5),OR('Data Transfer'!$B$6="",ISNUMBER(SEARCH('Data Transfer'!$B$6,'Compliance Database'!$D563&amp;" "&amp;'Compliance Database'!$K563&amp;" "&amp;'Compliance Database'!$L563&amp;" "&amp;'Compliance Database'!$M563&amp;" "&amp;'Compliance Database'!$N563&amp;" "&amp;'Compliance Database'!$O563)))),1,0)</f>
        <v/>
      </c>
      <c r="B563">
        <f>IF($A563=1,SUM($A$2:$A563),"")</f>
        <v/>
      </c>
      <c r="C563">
        <f>IF($A563=1,SUM($A$2:$A563),0)</f>
        <v/>
      </c>
    </row>
    <row r="564">
      <c r="A564">
        <f>IF(AND(OR('Compliance Database'!$A564='Data Transfer'!$B$4,'Compliance Database'!$A564='Data Transfer'!$B$5),OR('Data Transfer'!$B$6="",ISNUMBER(SEARCH('Data Transfer'!$B$6,'Compliance Database'!$D564&amp;" "&amp;'Compliance Database'!$K564&amp;" "&amp;'Compliance Database'!$L564&amp;" "&amp;'Compliance Database'!$M564&amp;" "&amp;'Compliance Database'!$N564&amp;" "&amp;'Compliance Database'!$O564)))),1,0)</f>
        <v/>
      </c>
      <c r="B564">
        <f>IF($A564=1,SUM($A$2:$A564),"")</f>
        <v/>
      </c>
      <c r="C564">
        <f>IF($A564=1,SUM($A$2:$A564),0)</f>
        <v/>
      </c>
    </row>
    <row r="565">
      <c r="A565">
        <f>IF(AND(OR('Compliance Database'!$A565='Data Transfer'!$B$4,'Compliance Database'!$A565='Data Transfer'!$B$5),OR('Data Transfer'!$B$6="",ISNUMBER(SEARCH('Data Transfer'!$B$6,'Compliance Database'!$D565&amp;" "&amp;'Compliance Database'!$K565&amp;" "&amp;'Compliance Database'!$L565&amp;" "&amp;'Compliance Database'!$M565&amp;" "&amp;'Compliance Database'!$N565&amp;" "&amp;'Compliance Database'!$O565)))),1,0)</f>
        <v/>
      </c>
      <c r="B565">
        <f>IF($A565=1,SUM($A$2:$A565),"")</f>
        <v/>
      </c>
      <c r="C565">
        <f>IF($A565=1,SUM($A$2:$A565),0)</f>
        <v/>
      </c>
    </row>
    <row r="566">
      <c r="A566">
        <f>IF(AND(OR('Compliance Database'!$A566='Data Transfer'!$B$4,'Compliance Database'!$A566='Data Transfer'!$B$5),OR('Data Transfer'!$B$6="",ISNUMBER(SEARCH('Data Transfer'!$B$6,'Compliance Database'!$D566&amp;" "&amp;'Compliance Database'!$K566&amp;" "&amp;'Compliance Database'!$L566&amp;" "&amp;'Compliance Database'!$M566&amp;" "&amp;'Compliance Database'!$N566&amp;" "&amp;'Compliance Database'!$O566)))),1,0)</f>
        <v/>
      </c>
      <c r="B566">
        <f>IF($A566=1,SUM($A$2:$A566),"")</f>
        <v/>
      </c>
      <c r="C566">
        <f>IF($A566=1,SUM($A$2:$A566),0)</f>
        <v/>
      </c>
    </row>
    <row r="567">
      <c r="A567">
        <f>IF(AND(OR('Compliance Database'!$A567='Data Transfer'!$B$4,'Compliance Database'!$A567='Data Transfer'!$B$5),OR('Data Transfer'!$B$6="",ISNUMBER(SEARCH('Data Transfer'!$B$6,'Compliance Database'!$D567&amp;" "&amp;'Compliance Database'!$K567&amp;" "&amp;'Compliance Database'!$L567&amp;" "&amp;'Compliance Database'!$M567&amp;" "&amp;'Compliance Database'!$N567&amp;" "&amp;'Compliance Database'!$O567)))),1,0)</f>
        <v/>
      </c>
      <c r="B567">
        <f>IF($A567=1,SUM($A$2:$A567),"")</f>
        <v/>
      </c>
      <c r="C567">
        <f>IF($A567=1,SUM($A$2:$A567),0)</f>
        <v/>
      </c>
    </row>
    <row r="568">
      <c r="A568">
        <f>IF(AND(OR('Compliance Database'!$A568='Data Transfer'!$B$4,'Compliance Database'!$A568='Data Transfer'!$B$5),OR('Data Transfer'!$B$6="",ISNUMBER(SEARCH('Data Transfer'!$B$6,'Compliance Database'!$D568&amp;" "&amp;'Compliance Database'!$K568&amp;" "&amp;'Compliance Database'!$L568&amp;" "&amp;'Compliance Database'!$M568&amp;" "&amp;'Compliance Database'!$N568&amp;" "&amp;'Compliance Database'!$O568)))),1,0)</f>
        <v/>
      </c>
      <c r="B568">
        <f>IF($A568=1,SUM($A$2:$A568),"")</f>
        <v/>
      </c>
      <c r="C568">
        <f>IF($A568=1,SUM($A$2:$A568),0)</f>
        <v/>
      </c>
    </row>
    <row r="569">
      <c r="A569">
        <f>IF(AND(OR('Compliance Database'!$A569='Data Transfer'!$B$4,'Compliance Database'!$A569='Data Transfer'!$B$5),OR('Data Transfer'!$B$6="",ISNUMBER(SEARCH('Data Transfer'!$B$6,'Compliance Database'!$D569&amp;" "&amp;'Compliance Database'!$K569&amp;" "&amp;'Compliance Database'!$L569&amp;" "&amp;'Compliance Database'!$M569&amp;" "&amp;'Compliance Database'!$N569&amp;" "&amp;'Compliance Database'!$O569)))),1,0)</f>
        <v/>
      </c>
      <c r="B569">
        <f>IF($A569=1,SUM($A$2:$A569),"")</f>
        <v/>
      </c>
      <c r="C569">
        <f>IF($A569=1,SUM($A$2:$A569),0)</f>
        <v/>
      </c>
    </row>
    <row r="570">
      <c r="A570">
        <f>IF(AND(OR('Compliance Database'!$A570='Data Transfer'!$B$4,'Compliance Database'!$A570='Data Transfer'!$B$5),OR('Data Transfer'!$B$6="",ISNUMBER(SEARCH('Data Transfer'!$B$6,'Compliance Database'!$D570&amp;" "&amp;'Compliance Database'!$K570&amp;" "&amp;'Compliance Database'!$L570&amp;" "&amp;'Compliance Database'!$M570&amp;" "&amp;'Compliance Database'!$N570&amp;" "&amp;'Compliance Database'!$O570)))),1,0)</f>
        <v/>
      </c>
      <c r="B570">
        <f>IF($A570=1,SUM($A$2:$A570),"")</f>
        <v/>
      </c>
      <c r="C570">
        <f>IF($A570=1,SUM($A$2:$A570),0)</f>
        <v/>
      </c>
    </row>
    <row r="571">
      <c r="A571">
        <f>IF(AND(OR('Compliance Database'!$A571='Data Transfer'!$B$4,'Compliance Database'!$A571='Data Transfer'!$B$5),OR('Data Transfer'!$B$6="",ISNUMBER(SEARCH('Data Transfer'!$B$6,'Compliance Database'!$D571&amp;" "&amp;'Compliance Database'!$K571&amp;" "&amp;'Compliance Database'!$L571&amp;" "&amp;'Compliance Database'!$M571&amp;" "&amp;'Compliance Database'!$N571&amp;" "&amp;'Compliance Database'!$O571)))),1,0)</f>
        <v/>
      </c>
      <c r="B571">
        <f>IF($A571=1,SUM($A$2:$A571),"")</f>
        <v/>
      </c>
      <c r="C571">
        <f>IF($A571=1,SUM($A$2:$A571),0)</f>
        <v/>
      </c>
    </row>
    <row r="572">
      <c r="A572">
        <f>IF(AND(OR('Compliance Database'!$A572='Data Transfer'!$B$4,'Compliance Database'!$A572='Data Transfer'!$B$5),OR('Data Transfer'!$B$6="",ISNUMBER(SEARCH('Data Transfer'!$B$6,'Compliance Database'!$D572&amp;" "&amp;'Compliance Database'!$K572&amp;" "&amp;'Compliance Database'!$L572&amp;" "&amp;'Compliance Database'!$M572&amp;" "&amp;'Compliance Database'!$N572&amp;" "&amp;'Compliance Database'!$O572)))),1,0)</f>
        <v/>
      </c>
      <c r="B572">
        <f>IF($A572=1,SUM($A$2:$A572),"")</f>
        <v/>
      </c>
      <c r="C572">
        <f>IF($A572=1,SUM($A$2:$A572),0)</f>
        <v/>
      </c>
    </row>
    <row r="573">
      <c r="A573">
        <f>IF(AND(OR('Compliance Database'!$A573='Data Transfer'!$B$4,'Compliance Database'!$A573='Data Transfer'!$B$5),OR('Data Transfer'!$B$6="",ISNUMBER(SEARCH('Data Transfer'!$B$6,'Compliance Database'!$D573&amp;" "&amp;'Compliance Database'!$K573&amp;" "&amp;'Compliance Database'!$L573&amp;" "&amp;'Compliance Database'!$M573&amp;" "&amp;'Compliance Database'!$N573&amp;" "&amp;'Compliance Database'!$O573)))),1,0)</f>
        <v/>
      </c>
      <c r="B573">
        <f>IF($A573=1,SUM($A$2:$A573),"")</f>
        <v/>
      </c>
      <c r="C573">
        <f>IF($A573=1,SUM($A$2:$A573),0)</f>
        <v/>
      </c>
    </row>
    <row r="574">
      <c r="A574">
        <f>IF(AND(OR('Compliance Database'!$A574='Data Transfer'!$B$4,'Compliance Database'!$A574='Data Transfer'!$B$5),OR('Data Transfer'!$B$6="",ISNUMBER(SEARCH('Data Transfer'!$B$6,'Compliance Database'!$D574&amp;" "&amp;'Compliance Database'!$K574&amp;" "&amp;'Compliance Database'!$L574&amp;" "&amp;'Compliance Database'!$M574&amp;" "&amp;'Compliance Database'!$N574&amp;" "&amp;'Compliance Database'!$O574)))),1,0)</f>
        <v/>
      </c>
      <c r="B574">
        <f>IF($A574=1,SUM($A$2:$A574),"")</f>
        <v/>
      </c>
      <c r="C574">
        <f>IF($A574=1,SUM($A$2:$A574),0)</f>
        <v/>
      </c>
    </row>
    <row r="575">
      <c r="A575">
        <f>IF(AND(OR('Compliance Database'!$A575='Data Transfer'!$B$4,'Compliance Database'!$A575='Data Transfer'!$B$5),OR('Data Transfer'!$B$6="",ISNUMBER(SEARCH('Data Transfer'!$B$6,'Compliance Database'!$D575&amp;" "&amp;'Compliance Database'!$K575&amp;" "&amp;'Compliance Database'!$L575&amp;" "&amp;'Compliance Database'!$M575&amp;" "&amp;'Compliance Database'!$N575&amp;" "&amp;'Compliance Database'!$O575)))),1,0)</f>
        <v/>
      </c>
      <c r="B575">
        <f>IF($A575=1,SUM($A$2:$A575),"")</f>
        <v/>
      </c>
      <c r="C575">
        <f>IF($A575=1,SUM($A$2:$A575),0)</f>
        <v/>
      </c>
    </row>
    <row r="576">
      <c r="A576">
        <f>IF(AND(OR('Compliance Database'!$A576='Data Transfer'!$B$4,'Compliance Database'!$A576='Data Transfer'!$B$5),OR('Data Transfer'!$B$6="",ISNUMBER(SEARCH('Data Transfer'!$B$6,'Compliance Database'!$D576&amp;" "&amp;'Compliance Database'!$K576&amp;" "&amp;'Compliance Database'!$L576&amp;" "&amp;'Compliance Database'!$M576&amp;" "&amp;'Compliance Database'!$N576&amp;" "&amp;'Compliance Database'!$O576)))),1,0)</f>
        <v/>
      </c>
      <c r="B576">
        <f>IF($A576=1,SUM($A$2:$A576),"")</f>
        <v/>
      </c>
      <c r="C576">
        <f>IF($A576=1,SUM($A$2:$A576),0)</f>
        <v/>
      </c>
    </row>
    <row r="577">
      <c r="A577">
        <f>IF(AND(OR('Compliance Database'!$A577='Data Transfer'!$B$4,'Compliance Database'!$A577='Data Transfer'!$B$5),OR('Data Transfer'!$B$6="",ISNUMBER(SEARCH('Data Transfer'!$B$6,'Compliance Database'!$D577&amp;" "&amp;'Compliance Database'!$K577&amp;" "&amp;'Compliance Database'!$L577&amp;" "&amp;'Compliance Database'!$M577&amp;" "&amp;'Compliance Database'!$N577&amp;" "&amp;'Compliance Database'!$O577)))),1,0)</f>
        <v/>
      </c>
      <c r="B577">
        <f>IF($A577=1,SUM($A$2:$A577),"")</f>
        <v/>
      </c>
      <c r="C577">
        <f>IF($A577=1,SUM($A$2:$A577),0)</f>
        <v/>
      </c>
    </row>
    <row r="578">
      <c r="A578">
        <f>IF(AND(OR('Compliance Database'!$A578='Data Transfer'!$B$4,'Compliance Database'!$A578='Data Transfer'!$B$5),OR('Data Transfer'!$B$6="",ISNUMBER(SEARCH('Data Transfer'!$B$6,'Compliance Database'!$D578&amp;" "&amp;'Compliance Database'!$K578&amp;" "&amp;'Compliance Database'!$L578&amp;" "&amp;'Compliance Database'!$M578&amp;" "&amp;'Compliance Database'!$N578&amp;" "&amp;'Compliance Database'!$O578)))),1,0)</f>
        <v/>
      </c>
      <c r="B578">
        <f>IF($A578=1,SUM($A$2:$A578),"")</f>
        <v/>
      </c>
      <c r="C578">
        <f>IF($A578=1,SUM($A$2:$A578),0)</f>
        <v/>
      </c>
    </row>
    <row r="579">
      <c r="A579">
        <f>IF(AND(OR('Compliance Database'!$A579='Data Transfer'!$B$4,'Compliance Database'!$A579='Data Transfer'!$B$5),OR('Data Transfer'!$B$6="",ISNUMBER(SEARCH('Data Transfer'!$B$6,'Compliance Database'!$D579&amp;" "&amp;'Compliance Database'!$K579&amp;" "&amp;'Compliance Database'!$L579&amp;" "&amp;'Compliance Database'!$M579&amp;" "&amp;'Compliance Database'!$N579&amp;" "&amp;'Compliance Database'!$O579)))),1,0)</f>
        <v/>
      </c>
      <c r="B579">
        <f>IF($A579=1,SUM($A$2:$A579),"")</f>
        <v/>
      </c>
      <c r="C579">
        <f>IF($A579=1,SUM($A$2:$A579),0)</f>
        <v/>
      </c>
    </row>
    <row r="580">
      <c r="A580">
        <f>IF(AND(OR('Compliance Database'!$A580='Data Transfer'!$B$4,'Compliance Database'!$A580='Data Transfer'!$B$5),OR('Data Transfer'!$B$6="",ISNUMBER(SEARCH('Data Transfer'!$B$6,'Compliance Database'!$D580&amp;" "&amp;'Compliance Database'!$K580&amp;" "&amp;'Compliance Database'!$L580&amp;" "&amp;'Compliance Database'!$M580&amp;" "&amp;'Compliance Database'!$N580&amp;" "&amp;'Compliance Database'!$O580)))),1,0)</f>
        <v/>
      </c>
      <c r="B580">
        <f>IF($A580=1,SUM($A$2:$A580),"")</f>
        <v/>
      </c>
      <c r="C580">
        <f>IF($A580=1,SUM($A$2:$A580),0)</f>
        <v/>
      </c>
    </row>
    <row r="581">
      <c r="A581">
        <f>IF(AND(OR('Compliance Database'!$A581='Data Transfer'!$B$4,'Compliance Database'!$A581='Data Transfer'!$B$5),OR('Data Transfer'!$B$6="",ISNUMBER(SEARCH('Data Transfer'!$B$6,'Compliance Database'!$D581&amp;" "&amp;'Compliance Database'!$K581&amp;" "&amp;'Compliance Database'!$L581&amp;" "&amp;'Compliance Database'!$M581&amp;" "&amp;'Compliance Database'!$N581&amp;" "&amp;'Compliance Database'!$O581)))),1,0)</f>
        <v/>
      </c>
      <c r="B581">
        <f>IF($A581=1,SUM($A$2:$A581),"")</f>
        <v/>
      </c>
      <c r="C581">
        <f>IF($A581=1,SUM($A$2:$A581),0)</f>
        <v/>
      </c>
    </row>
    <row r="582">
      <c r="A582">
        <f>IF(AND(OR('Compliance Database'!$A582='Data Transfer'!$B$4,'Compliance Database'!$A582='Data Transfer'!$B$5),OR('Data Transfer'!$B$6="",ISNUMBER(SEARCH('Data Transfer'!$B$6,'Compliance Database'!$D582&amp;" "&amp;'Compliance Database'!$K582&amp;" "&amp;'Compliance Database'!$L582&amp;" "&amp;'Compliance Database'!$M582&amp;" "&amp;'Compliance Database'!$N582&amp;" "&amp;'Compliance Database'!$O582)))),1,0)</f>
        <v/>
      </c>
      <c r="B582">
        <f>IF($A582=1,SUM($A$2:$A582),"")</f>
        <v/>
      </c>
      <c r="C582">
        <f>IF($A582=1,SUM($A$2:$A582),0)</f>
        <v/>
      </c>
    </row>
    <row r="583">
      <c r="A583">
        <f>IF(AND(OR('Compliance Database'!$A583='Data Transfer'!$B$4,'Compliance Database'!$A583='Data Transfer'!$B$5),OR('Data Transfer'!$B$6="",ISNUMBER(SEARCH('Data Transfer'!$B$6,'Compliance Database'!$D583&amp;" "&amp;'Compliance Database'!$K583&amp;" "&amp;'Compliance Database'!$L583&amp;" "&amp;'Compliance Database'!$M583&amp;" "&amp;'Compliance Database'!$N583&amp;" "&amp;'Compliance Database'!$O583)))),1,0)</f>
        <v/>
      </c>
      <c r="B583">
        <f>IF($A583=1,SUM($A$2:$A583),"")</f>
        <v/>
      </c>
      <c r="C583">
        <f>IF($A583=1,SUM($A$2:$A583),0)</f>
        <v/>
      </c>
    </row>
    <row r="584">
      <c r="A584">
        <f>IF(AND(OR('Compliance Database'!$A584='Data Transfer'!$B$4,'Compliance Database'!$A584='Data Transfer'!$B$5),OR('Data Transfer'!$B$6="",ISNUMBER(SEARCH('Data Transfer'!$B$6,'Compliance Database'!$D584&amp;" "&amp;'Compliance Database'!$K584&amp;" "&amp;'Compliance Database'!$L584&amp;" "&amp;'Compliance Database'!$M584&amp;" "&amp;'Compliance Database'!$N584&amp;" "&amp;'Compliance Database'!$O584)))),1,0)</f>
        <v/>
      </c>
      <c r="B584">
        <f>IF($A584=1,SUM($A$2:$A584),"")</f>
        <v/>
      </c>
      <c r="C584">
        <f>IF($A584=1,SUM($A$2:$A584),0)</f>
        <v/>
      </c>
    </row>
    <row r="585">
      <c r="A585">
        <f>IF(AND(OR('Compliance Database'!$A585='Data Transfer'!$B$4,'Compliance Database'!$A585='Data Transfer'!$B$5),OR('Data Transfer'!$B$6="",ISNUMBER(SEARCH('Data Transfer'!$B$6,'Compliance Database'!$D585&amp;" "&amp;'Compliance Database'!$K585&amp;" "&amp;'Compliance Database'!$L585&amp;" "&amp;'Compliance Database'!$M585&amp;" "&amp;'Compliance Database'!$N585&amp;" "&amp;'Compliance Database'!$O585)))),1,0)</f>
        <v/>
      </c>
      <c r="B585">
        <f>IF($A585=1,SUM($A$2:$A585),"")</f>
        <v/>
      </c>
      <c r="C585">
        <f>IF($A585=1,SUM($A$2:$A585),0)</f>
        <v/>
      </c>
    </row>
    <row r="586">
      <c r="A586">
        <f>IF(AND(OR('Compliance Database'!$A586='Data Transfer'!$B$4,'Compliance Database'!$A586='Data Transfer'!$B$5),OR('Data Transfer'!$B$6="",ISNUMBER(SEARCH('Data Transfer'!$B$6,'Compliance Database'!$D586&amp;" "&amp;'Compliance Database'!$K586&amp;" "&amp;'Compliance Database'!$L586&amp;" "&amp;'Compliance Database'!$M586&amp;" "&amp;'Compliance Database'!$N586&amp;" "&amp;'Compliance Database'!$O586)))),1,0)</f>
        <v/>
      </c>
      <c r="B586">
        <f>IF($A586=1,SUM($A$2:$A586),"")</f>
        <v/>
      </c>
      <c r="C586">
        <f>IF($A586=1,SUM($A$2:$A586),0)</f>
        <v/>
      </c>
    </row>
    <row r="587">
      <c r="A587">
        <f>IF(AND(OR('Compliance Database'!$A587='Data Transfer'!$B$4,'Compliance Database'!$A587='Data Transfer'!$B$5),OR('Data Transfer'!$B$6="",ISNUMBER(SEARCH('Data Transfer'!$B$6,'Compliance Database'!$D587&amp;" "&amp;'Compliance Database'!$K587&amp;" "&amp;'Compliance Database'!$L587&amp;" "&amp;'Compliance Database'!$M587&amp;" "&amp;'Compliance Database'!$N587&amp;" "&amp;'Compliance Database'!$O587)))),1,0)</f>
        <v/>
      </c>
      <c r="B587">
        <f>IF($A587=1,SUM($A$2:$A587),"")</f>
        <v/>
      </c>
      <c r="C587">
        <f>IF($A587=1,SUM($A$2:$A587),0)</f>
        <v/>
      </c>
    </row>
    <row r="588">
      <c r="A588">
        <f>IF(AND(OR('Compliance Database'!$A588='Data Transfer'!$B$4,'Compliance Database'!$A588='Data Transfer'!$B$5),OR('Data Transfer'!$B$6="",ISNUMBER(SEARCH('Data Transfer'!$B$6,'Compliance Database'!$D588&amp;" "&amp;'Compliance Database'!$K588&amp;" "&amp;'Compliance Database'!$L588&amp;" "&amp;'Compliance Database'!$M588&amp;" "&amp;'Compliance Database'!$N588&amp;" "&amp;'Compliance Database'!$O588)))),1,0)</f>
        <v/>
      </c>
      <c r="B588">
        <f>IF($A588=1,SUM($A$2:$A588),"")</f>
        <v/>
      </c>
      <c r="C588">
        <f>IF($A588=1,SUM($A$2:$A588),0)</f>
        <v/>
      </c>
    </row>
    <row r="589">
      <c r="A589">
        <f>IF(AND(OR('Compliance Database'!$A589='Data Transfer'!$B$4,'Compliance Database'!$A589='Data Transfer'!$B$5),OR('Data Transfer'!$B$6="",ISNUMBER(SEARCH('Data Transfer'!$B$6,'Compliance Database'!$D589&amp;" "&amp;'Compliance Database'!$K589&amp;" "&amp;'Compliance Database'!$L589&amp;" "&amp;'Compliance Database'!$M589&amp;" "&amp;'Compliance Database'!$N589&amp;" "&amp;'Compliance Database'!$O589)))),1,0)</f>
        <v/>
      </c>
      <c r="B589">
        <f>IF($A589=1,SUM($A$2:$A589),"")</f>
        <v/>
      </c>
      <c r="C589">
        <f>IF($A589=1,SUM($A$2:$A589),0)</f>
        <v/>
      </c>
    </row>
    <row r="590">
      <c r="A590">
        <f>IF(AND(OR('Compliance Database'!$A590='Data Transfer'!$B$4,'Compliance Database'!$A590='Data Transfer'!$B$5),OR('Data Transfer'!$B$6="",ISNUMBER(SEARCH('Data Transfer'!$B$6,'Compliance Database'!$D590&amp;" "&amp;'Compliance Database'!$K590&amp;" "&amp;'Compliance Database'!$L590&amp;" "&amp;'Compliance Database'!$M590&amp;" "&amp;'Compliance Database'!$N590&amp;" "&amp;'Compliance Database'!$O590)))),1,0)</f>
        <v/>
      </c>
      <c r="B590">
        <f>IF($A590=1,SUM($A$2:$A590),"")</f>
        <v/>
      </c>
      <c r="C590">
        <f>IF($A590=1,SUM($A$2:$A590),0)</f>
        <v/>
      </c>
    </row>
    <row r="591">
      <c r="A591">
        <f>IF(AND(OR('Compliance Database'!$A591='Data Transfer'!$B$4,'Compliance Database'!$A591='Data Transfer'!$B$5),OR('Data Transfer'!$B$6="",ISNUMBER(SEARCH('Data Transfer'!$B$6,'Compliance Database'!$D591&amp;" "&amp;'Compliance Database'!$K591&amp;" "&amp;'Compliance Database'!$L591&amp;" "&amp;'Compliance Database'!$M591&amp;" "&amp;'Compliance Database'!$N591&amp;" "&amp;'Compliance Database'!$O591)))),1,0)</f>
        <v/>
      </c>
      <c r="B591">
        <f>IF($A591=1,SUM($A$2:$A591),"")</f>
        <v/>
      </c>
      <c r="C591">
        <f>IF($A591=1,SUM($A$2:$A591),0)</f>
        <v/>
      </c>
    </row>
    <row r="592">
      <c r="A592">
        <f>IF(AND(OR('Compliance Database'!$A592='Data Transfer'!$B$4,'Compliance Database'!$A592='Data Transfer'!$B$5),OR('Data Transfer'!$B$6="",ISNUMBER(SEARCH('Data Transfer'!$B$6,'Compliance Database'!$D592&amp;" "&amp;'Compliance Database'!$K592&amp;" "&amp;'Compliance Database'!$L592&amp;" "&amp;'Compliance Database'!$M592&amp;" "&amp;'Compliance Database'!$N592&amp;" "&amp;'Compliance Database'!$O592)))),1,0)</f>
        <v/>
      </c>
      <c r="B592">
        <f>IF($A592=1,SUM($A$2:$A592),"")</f>
        <v/>
      </c>
      <c r="C592">
        <f>IF($A592=1,SUM($A$2:$A592),0)</f>
        <v/>
      </c>
    </row>
    <row r="593">
      <c r="A593">
        <f>IF(AND(OR('Compliance Database'!$A593='Data Transfer'!$B$4,'Compliance Database'!$A593='Data Transfer'!$B$5),OR('Data Transfer'!$B$6="",ISNUMBER(SEARCH('Data Transfer'!$B$6,'Compliance Database'!$D593&amp;" "&amp;'Compliance Database'!$K593&amp;" "&amp;'Compliance Database'!$L593&amp;" "&amp;'Compliance Database'!$M593&amp;" "&amp;'Compliance Database'!$N593&amp;" "&amp;'Compliance Database'!$O593)))),1,0)</f>
        <v/>
      </c>
      <c r="B593">
        <f>IF($A593=1,SUM($A$2:$A593),"")</f>
        <v/>
      </c>
      <c r="C593">
        <f>IF($A593=1,SUM($A$2:$A593),0)</f>
        <v/>
      </c>
    </row>
    <row r="594">
      <c r="A594">
        <f>IF(AND(OR('Compliance Database'!$A594='Data Transfer'!$B$4,'Compliance Database'!$A594='Data Transfer'!$B$5),OR('Data Transfer'!$B$6="",ISNUMBER(SEARCH('Data Transfer'!$B$6,'Compliance Database'!$D594&amp;" "&amp;'Compliance Database'!$K594&amp;" "&amp;'Compliance Database'!$L594&amp;" "&amp;'Compliance Database'!$M594&amp;" "&amp;'Compliance Database'!$N594&amp;" "&amp;'Compliance Database'!$O594)))),1,0)</f>
        <v/>
      </c>
      <c r="B594">
        <f>IF($A594=1,SUM($A$2:$A594),"")</f>
        <v/>
      </c>
      <c r="C594">
        <f>IF($A594=1,SUM($A$2:$A594),0)</f>
        <v/>
      </c>
    </row>
    <row r="595">
      <c r="A595">
        <f>IF(AND(OR('Compliance Database'!$A595='Data Transfer'!$B$4,'Compliance Database'!$A595='Data Transfer'!$B$5),OR('Data Transfer'!$B$6="",ISNUMBER(SEARCH('Data Transfer'!$B$6,'Compliance Database'!$D595&amp;" "&amp;'Compliance Database'!$K595&amp;" "&amp;'Compliance Database'!$L595&amp;" "&amp;'Compliance Database'!$M595&amp;" "&amp;'Compliance Database'!$N595&amp;" "&amp;'Compliance Database'!$O595)))),1,0)</f>
        <v/>
      </c>
      <c r="B595">
        <f>IF($A595=1,SUM($A$2:$A595),"")</f>
        <v/>
      </c>
      <c r="C595">
        <f>IF($A595=1,SUM($A$2:$A595),0)</f>
        <v/>
      </c>
    </row>
    <row r="596">
      <c r="A596">
        <f>IF(AND(OR('Compliance Database'!$A596='Data Transfer'!$B$4,'Compliance Database'!$A596='Data Transfer'!$B$5),OR('Data Transfer'!$B$6="",ISNUMBER(SEARCH('Data Transfer'!$B$6,'Compliance Database'!$D596&amp;" "&amp;'Compliance Database'!$K596&amp;" "&amp;'Compliance Database'!$L596&amp;" "&amp;'Compliance Database'!$M596&amp;" "&amp;'Compliance Database'!$N596&amp;" "&amp;'Compliance Database'!$O596)))),1,0)</f>
        <v/>
      </c>
      <c r="B596">
        <f>IF($A596=1,SUM($A$2:$A596),"")</f>
        <v/>
      </c>
      <c r="C596">
        <f>IF($A596=1,SUM($A$2:$A596),0)</f>
        <v/>
      </c>
    </row>
    <row r="597">
      <c r="A597">
        <f>IF(AND(OR('Compliance Database'!$A597='Data Transfer'!$B$4,'Compliance Database'!$A597='Data Transfer'!$B$5),OR('Data Transfer'!$B$6="",ISNUMBER(SEARCH('Data Transfer'!$B$6,'Compliance Database'!$D597&amp;" "&amp;'Compliance Database'!$K597&amp;" "&amp;'Compliance Database'!$L597&amp;" "&amp;'Compliance Database'!$M597&amp;" "&amp;'Compliance Database'!$N597&amp;" "&amp;'Compliance Database'!$O597)))),1,0)</f>
        <v/>
      </c>
      <c r="B597">
        <f>IF($A597=1,SUM($A$2:$A597),"")</f>
        <v/>
      </c>
      <c r="C597">
        <f>IF($A597=1,SUM($A$2:$A597),0)</f>
        <v/>
      </c>
    </row>
    <row r="598">
      <c r="A598">
        <f>IF(AND(OR('Compliance Database'!$A598='Data Transfer'!$B$4,'Compliance Database'!$A598='Data Transfer'!$B$5),OR('Data Transfer'!$B$6="",ISNUMBER(SEARCH('Data Transfer'!$B$6,'Compliance Database'!$D598&amp;" "&amp;'Compliance Database'!$K598&amp;" "&amp;'Compliance Database'!$L598&amp;" "&amp;'Compliance Database'!$M598&amp;" "&amp;'Compliance Database'!$N598&amp;" "&amp;'Compliance Database'!$O598)))),1,0)</f>
        <v/>
      </c>
      <c r="B598">
        <f>IF($A598=1,SUM($A$2:$A598),"")</f>
        <v/>
      </c>
      <c r="C598">
        <f>IF($A598=1,SUM($A$2:$A598),0)</f>
        <v/>
      </c>
    </row>
    <row r="599">
      <c r="A599">
        <f>IF(AND(OR('Compliance Database'!$A599='Data Transfer'!$B$4,'Compliance Database'!$A599='Data Transfer'!$B$5),OR('Data Transfer'!$B$6="",ISNUMBER(SEARCH('Data Transfer'!$B$6,'Compliance Database'!$D599&amp;" "&amp;'Compliance Database'!$K599&amp;" "&amp;'Compliance Database'!$L599&amp;" "&amp;'Compliance Database'!$M599&amp;" "&amp;'Compliance Database'!$N599&amp;" "&amp;'Compliance Database'!$O599)))),1,0)</f>
        <v/>
      </c>
      <c r="B599">
        <f>IF($A599=1,SUM($A$2:$A599),"")</f>
        <v/>
      </c>
      <c r="C599">
        <f>IF($A599=1,SUM($A$2:$A599),0)</f>
        <v/>
      </c>
    </row>
    <row r="600">
      <c r="A600">
        <f>IF(AND(OR('Compliance Database'!$A600='Data Transfer'!$B$4,'Compliance Database'!$A600='Data Transfer'!$B$5),OR('Data Transfer'!$B$6="",ISNUMBER(SEARCH('Data Transfer'!$B$6,'Compliance Database'!$D600&amp;" "&amp;'Compliance Database'!$K600&amp;" "&amp;'Compliance Database'!$L600&amp;" "&amp;'Compliance Database'!$M600&amp;" "&amp;'Compliance Database'!$N600&amp;" "&amp;'Compliance Database'!$O600)))),1,0)</f>
        <v/>
      </c>
      <c r="B600">
        <f>IF($A600=1,SUM($A$2:$A600),"")</f>
        <v/>
      </c>
      <c r="C600">
        <f>IF($A600=1,SUM($A$2:$A600),0)</f>
        <v/>
      </c>
    </row>
    <row r="601">
      <c r="A601">
        <f>IF(AND(OR('Compliance Database'!$A601='Data Transfer'!$B$4,'Compliance Database'!$A601='Data Transfer'!$B$5),OR('Data Transfer'!$B$6="",ISNUMBER(SEARCH('Data Transfer'!$B$6,'Compliance Database'!$D601&amp;" "&amp;'Compliance Database'!$K601&amp;" "&amp;'Compliance Database'!$L601&amp;" "&amp;'Compliance Database'!$M601&amp;" "&amp;'Compliance Database'!$N601&amp;" "&amp;'Compliance Database'!$O601)))),1,0)</f>
        <v/>
      </c>
      <c r="B601">
        <f>IF($A601=1,SUM($A$2:$A601),"")</f>
        <v/>
      </c>
      <c r="C601">
        <f>IF($A601=1,SUM($A$2:$A601),0)</f>
        <v/>
      </c>
    </row>
    <row r="602">
      <c r="A602">
        <f>IF(AND(OR('Compliance Database'!$A602='Data Transfer'!$B$4,'Compliance Database'!$A602='Data Transfer'!$B$5),OR('Data Transfer'!$B$6="",ISNUMBER(SEARCH('Data Transfer'!$B$6,'Compliance Database'!$D602&amp;" "&amp;'Compliance Database'!$K602&amp;" "&amp;'Compliance Database'!$L602&amp;" "&amp;'Compliance Database'!$M602&amp;" "&amp;'Compliance Database'!$N602&amp;" "&amp;'Compliance Database'!$O602)))),1,0)</f>
        <v/>
      </c>
      <c r="B602">
        <f>IF($A602=1,SUM($A$2:$A602),"")</f>
        <v/>
      </c>
      <c r="C602">
        <f>IF($A602=1,SUM($A$2:$A602),0)</f>
        <v/>
      </c>
    </row>
    <row r="603">
      <c r="A603">
        <f>IF(AND(OR('Compliance Database'!$A603='Data Transfer'!$B$4,'Compliance Database'!$A603='Data Transfer'!$B$5),OR('Data Transfer'!$B$6="",ISNUMBER(SEARCH('Data Transfer'!$B$6,'Compliance Database'!$D603&amp;" "&amp;'Compliance Database'!$K603&amp;" "&amp;'Compliance Database'!$L603&amp;" "&amp;'Compliance Database'!$M603&amp;" "&amp;'Compliance Database'!$N603&amp;" "&amp;'Compliance Database'!$O603)))),1,0)</f>
        <v/>
      </c>
      <c r="B603">
        <f>IF($A603=1,SUM($A$2:$A603),"")</f>
        <v/>
      </c>
      <c r="C603">
        <f>IF($A603=1,SUM($A$2:$A603),0)</f>
        <v/>
      </c>
    </row>
    <row r="604">
      <c r="A604">
        <f>IF(AND(OR('Compliance Database'!$A604='Data Transfer'!$B$4,'Compliance Database'!$A604='Data Transfer'!$B$5),OR('Data Transfer'!$B$6="",ISNUMBER(SEARCH('Data Transfer'!$B$6,'Compliance Database'!$D604&amp;" "&amp;'Compliance Database'!$K604&amp;" "&amp;'Compliance Database'!$L604&amp;" "&amp;'Compliance Database'!$M604&amp;" "&amp;'Compliance Database'!$N604&amp;" "&amp;'Compliance Database'!$O604)))),1,0)</f>
        <v/>
      </c>
      <c r="B604">
        <f>IF($A604=1,SUM($A$2:$A604),"")</f>
        <v/>
      </c>
      <c r="C604">
        <f>IF($A604=1,SUM($A$2:$A604),0)</f>
        <v/>
      </c>
    </row>
    <row r="605">
      <c r="A605">
        <f>IF(AND(OR('Compliance Database'!$A605='Data Transfer'!$B$4,'Compliance Database'!$A605='Data Transfer'!$B$5),OR('Data Transfer'!$B$6="",ISNUMBER(SEARCH('Data Transfer'!$B$6,'Compliance Database'!$D605&amp;" "&amp;'Compliance Database'!$K605&amp;" "&amp;'Compliance Database'!$L605&amp;" "&amp;'Compliance Database'!$M605&amp;" "&amp;'Compliance Database'!$N605&amp;" "&amp;'Compliance Database'!$O605)))),1,0)</f>
        <v/>
      </c>
      <c r="B605">
        <f>IF($A605=1,SUM($A$2:$A605),"")</f>
        <v/>
      </c>
      <c r="C605">
        <f>IF($A605=1,SUM($A$2:$A605),0)</f>
        <v/>
      </c>
    </row>
    <row r="606">
      <c r="A606">
        <f>IF(AND(OR('Compliance Database'!$A606='Data Transfer'!$B$4,'Compliance Database'!$A606='Data Transfer'!$B$5),OR('Data Transfer'!$B$6="",ISNUMBER(SEARCH('Data Transfer'!$B$6,'Compliance Database'!$D606&amp;" "&amp;'Compliance Database'!$K606&amp;" "&amp;'Compliance Database'!$L606&amp;" "&amp;'Compliance Database'!$M606&amp;" "&amp;'Compliance Database'!$N606&amp;" "&amp;'Compliance Database'!$O606)))),1,0)</f>
        <v/>
      </c>
      <c r="B606">
        <f>IF($A606=1,SUM($A$2:$A606),"")</f>
        <v/>
      </c>
      <c r="C606">
        <f>IF($A606=1,SUM($A$2:$A606),0)</f>
        <v/>
      </c>
    </row>
    <row r="607">
      <c r="A607">
        <f>IF(AND(OR('Compliance Database'!$A607='Data Transfer'!$B$4,'Compliance Database'!$A607='Data Transfer'!$B$5),OR('Data Transfer'!$B$6="",ISNUMBER(SEARCH('Data Transfer'!$B$6,'Compliance Database'!$D607&amp;" "&amp;'Compliance Database'!$K607&amp;" "&amp;'Compliance Database'!$L607&amp;" "&amp;'Compliance Database'!$M607&amp;" "&amp;'Compliance Database'!$N607&amp;" "&amp;'Compliance Database'!$O607)))),1,0)</f>
        <v/>
      </c>
      <c r="B607">
        <f>IF($A607=1,SUM($A$2:$A607),"")</f>
        <v/>
      </c>
      <c r="C607">
        <f>IF($A607=1,SUM($A$2:$A607),0)</f>
        <v/>
      </c>
    </row>
    <row r="608">
      <c r="A608">
        <f>IF(AND(OR('Compliance Database'!$A608='Data Transfer'!$B$4,'Compliance Database'!$A608='Data Transfer'!$B$5),OR('Data Transfer'!$B$6="",ISNUMBER(SEARCH('Data Transfer'!$B$6,'Compliance Database'!$D608&amp;" "&amp;'Compliance Database'!$K608&amp;" "&amp;'Compliance Database'!$L608&amp;" "&amp;'Compliance Database'!$M608&amp;" "&amp;'Compliance Database'!$N608&amp;" "&amp;'Compliance Database'!$O608)))),1,0)</f>
        <v/>
      </c>
      <c r="B608">
        <f>IF($A608=1,SUM($A$2:$A608),"")</f>
        <v/>
      </c>
      <c r="C608">
        <f>IF($A608=1,SUM($A$2:$A608),0)</f>
        <v/>
      </c>
    </row>
    <row r="609">
      <c r="A609">
        <f>IF(AND(OR('Compliance Database'!$A609='Data Transfer'!$B$4,'Compliance Database'!$A609='Data Transfer'!$B$5),OR('Data Transfer'!$B$6="",ISNUMBER(SEARCH('Data Transfer'!$B$6,'Compliance Database'!$D609&amp;" "&amp;'Compliance Database'!$K609&amp;" "&amp;'Compliance Database'!$L609&amp;" "&amp;'Compliance Database'!$M609&amp;" "&amp;'Compliance Database'!$N609&amp;" "&amp;'Compliance Database'!$O609)))),1,0)</f>
        <v/>
      </c>
      <c r="B609">
        <f>IF($A609=1,SUM($A$2:$A609),"")</f>
        <v/>
      </c>
      <c r="C609">
        <f>IF($A609=1,SUM($A$2:$A609),0)</f>
        <v/>
      </c>
    </row>
    <row r="610">
      <c r="A610">
        <f>IF(AND(OR('Compliance Database'!$A610='Data Transfer'!$B$4,'Compliance Database'!$A610='Data Transfer'!$B$5),OR('Data Transfer'!$B$6="",ISNUMBER(SEARCH('Data Transfer'!$B$6,'Compliance Database'!$D610&amp;" "&amp;'Compliance Database'!$K610&amp;" "&amp;'Compliance Database'!$L610&amp;" "&amp;'Compliance Database'!$M610&amp;" "&amp;'Compliance Database'!$N610&amp;" "&amp;'Compliance Database'!$O610)))),1,0)</f>
        <v/>
      </c>
      <c r="B610">
        <f>IF($A610=1,SUM($A$2:$A610),"")</f>
        <v/>
      </c>
      <c r="C610">
        <f>IF($A610=1,SUM($A$2:$A610),0)</f>
        <v/>
      </c>
    </row>
    <row r="611">
      <c r="A611">
        <f>IF(AND(OR('Compliance Database'!$A611='Data Transfer'!$B$4,'Compliance Database'!$A611='Data Transfer'!$B$5),OR('Data Transfer'!$B$6="",ISNUMBER(SEARCH('Data Transfer'!$B$6,'Compliance Database'!$D611&amp;" "&amp;'Compliance Database'!$K611&amp;" "&amp;'Compliance Database'!$L611&amp;" "&amp;'Compliance Database'!$M611&amp;" "&amp;'Compliance Database'!$N611&amp;" "&amp;'Compliance Database'!$O611)))),1,0)</f>
        <v/>
      </c>
      <c r="B611">
        <f>IF($A611=1,SUM($A$2:$A611),"")</f>
        <v/>
      </c>
      <c r="C611">
        <f>IF($A611=1,SUM($A$2:$A611),0)</f>
        <v/>
      </c>
    </row>
    <row r="612">
      <c r="A612">
        <f>IF(AND(OR('Compliance Database'!$A612='Data Transfer'!$B$4,'Compliance Database'!$A612='Data Transfer'!$B$5),OR('Data Transfer'!$B$6="",ISNUMBER(SEARCH('Data Transfer'!$B$6,'Compliance Database'!$D612&amp;" "&amp;'Compliance Database'!$K612&amp;" "&amp;'Compliance Database'!$L612&amp;" "&amp;'Compliance Database'!$M612&amp;" "&amp;'Compliance Database'!$N612&amp;" "&amp;'Compliance Database'!$O612)))),1,0)</f>
        <v/>
      </c>
      <c r="B612">
        <f>IF($A612=1,SUM($A$2:$A612),"")</f>
        <v/>
      </c>
      <c r="C612">
        <f>IF($A612=1,SUM($A$2:$A612),0)</f>
        <v/>
      </c>
    </row>
    <row r="613">
      <c r="A613">
        <f>IF(AND(OR('Compliance Database'!$A613='Data Transfer'!$B$4,'Compliance Database'!$A613='Data Transfer'!$B$5),OR('Data Transfer'!$B$6="",ISNUMBER(SEARCH('Data Transfer'!$B$6,'Compliance Database'!$D613&amp;" "&amp;'Compliance Database'!$K613&amp;" "&amp;'Compliance Database'!$L613&amp;" "&amp;'Compliance Database'!$M613&amp;" "&amp;'Compliance Database'!$N613&amp;" "&amp;'Compliance Database'!$O613)))),1,0)</f>
        <v/>
      </c>
      <c r="B613">
        <f>IF($A613=1,SUM($A$2:$A613),"")</f>
        <v/>
      </c>
      <c r="C613">
        <f>IF($A613=1,SUM($A$2:$A613),0)</f>
        <v/>
      </c>
    </row>
    <row r="614">
      <c r="A614">
        <f>IF(AND(OR('Compliance Database'!$A614='Data Transfer'!$B$4,'Compliance Database'!$A614='Data Transfer'!$B$5),OR('Data Transfer'!$B$6="",ISNUMBER(SEARCH('Data Transfer'!$B$6,'Compliance Database'!$D614&amp;" "&amp;'Compliance Database'!$K614&amp;" "&amp;'Compliance Database'!$L614&amp;" "&amp;'Compliance Database'!$M614&amp;" "&amp;'Compliance Database'!$N614&amp;" "&amp;'Compliance Database'!$O614)))),1,0)</f>
        <v/>
      </c>
      <c r="B614">
        <f>IF($A614=1,SUM($A$2:$A614),"")</f>
        <v/>
      </c>
      <c r="C614">
        <f>IF($A614=1,SUM($A$2:$A614),0)</f>
        <v/>
      </c>
    </row>
    <row r="615">
      <c r="A615">
        <f>IF(AND(OR('Compliance Database'!$A615='Data Transfer'!$B$4,'Compliance Database'!$A615='Data Transfer'!$B$5),OR('Data Transfer'!$B$6="",ISNUMBER(SEARCH('Data Transfer'!$B$6,'Compliance Database'!$D615&amp;" "&amp;'Compliance Database'!$K615&amp;" "&amp;'Compliance Database'!$L615&amp;" "&amp;'Compliance Database'!$M615&amp;" "&amp;'Compliance Database'!$N615&amp;" "&amp;'Compliance Database'!$O615)))),1,0)</f>
        <v/>
      </c>
      <c r="B615">
        <f>IF($A615=1,SUM($A$2:$A615),"")</f>
        <v/>
      </c>
      <c r="C615">
        <f>IF($A615=1,SUM($A$2:$A615),0)</f>
        <v/>
      </c>
    </row>
    <row r="616">
      <c r="A616">
        <f>IF(AND(OR('Compliance Database'!$A616='Data Transfer'!$B$4,'Compliance Database'!$A616='Data Transfer'!$B$5),OR('Data Transfer'!$B$6="",ISNUMBER(SEARCH('Data Transfer'!$B$6,'Compliance Database'!$D616&amp;" "&amp;'Compliance Database'!$K616&amp;" "&amp;'Compliance Database'!$L616&amp;" "&amp;'Compliance Database'!$M616&amp;" "&amp;'Compliance Database'!$N616&amp;" "&amp;'Compliance Database'!$O616)))),1,0)</f>
        <v/>
      </c>
      <c r="B616">
        <f>IF($A616=1,SUM($A$2:$A616),"")</f>
        <v/>
      </c>
      <c r="C616">
        <f>IF($A616=1,SUM($A$2:$A616),0)</f>
        <v/>
      </c>
    </row>
    <row r="617">
      <c r="A617">
        <f>IF(AND(OR('Compliance Database'!$A617='Data Transfer'!$B$4,'Compliance Database'!$A617='Data Transfer'!$B$5),OR('Data Transfer'!$B$6="",ISNUMBER(SEARCH('Data Transfer'!$B$6,'Compliance Database'!$D617&amp;" "&amp;'Compliance Database'!$K617&amp;" "&amp;'Compliance Database'!$L617&amp;" "&amp;'Compliance Database'!$M617&amp;" "&amp;'Compliance Database'!$N617&amp;" "&amp;'Compliance Database'!$O617)))),1,0)</f>
        <v/>
      </c>
      <c r="B617">
        <f>IF($A617=1,SUM($A$2:$A617),"")</f>
        <v/>
      </c>
      <c r="C617">
        <f>IF($A617=1,SUM($A$2:$A617),0)</f>
        <v/>
      </c>
    </row>
    <row r="618">
      <c r="A618">
        <f>IF(AND(OR('Compliance Database'!$A618='Data Transfer'!$B$4,'Compliance Database'!$A618='Data Transfer'!$B$5),OR('Data Transfer'!$B$6="",ISNUMBER(SEARCH('Data Transfer'!$B$6,'Compliance Database'!$D618&amp;" "&amp;'Compliance Database'!$K618&amp;" "&amp;'Compliance Database'!$L618&amp;" "&amp;'Compliance Database'!$M618&amp;" "&amp;'Compliance Database'!$N618&amp;" "&amp;'Compliance Database'!$O618)))),1,0)</f>
        <v/>
      </c>
      <c r="B618">
        <f>IF($A618=1,SUM($A$2:$A618),"")</f>
        <v/>
      </c>
      <c r="C618">
        <f>IF($A618=1,SUM($A$2:$A618),0)</f>
        <v/>
      </c>
    </row>
    <row r="619">
      <c r="A619">
        <f>IF(AND(OR('Compliance Database'!$A619='Data Transfer'!$B$4,'Compliance Database'!$A619='Data Transfer'!$B$5),OR('Data Transfer'!$B$6="",ISNUMBER(SEARCH('Data Transfer'!$B$6,'Compliance Database'!$D619&amp;" "&amp;'Compliance Database'!$K619&amp;" "&amp;'Compliance Database'!$L619&amp;" "&amp;'Compliance Database'!$M619&amp;" "&amp;'Compliance Database'!$N619&amp;" "&amp;'Compliance Database'!$O619)))),1,0)</f>
        <v/>
      </c>
      <c r="B619">
        <f>IF($A619=1,SUM($A$2:$A619),"")</f>
        <v/>
      </c>
      <c r="C619">
        <f>IF($A619=1,SUM($A$2:$A619),0)</f>
        <v/>
      </c>
    </row>
    <row r="620">
      <c r="A620">
        <f>IF(AND(OR('Compliance Database'!$A620='Data Transfer'!$B$4,'Compliance Database'!$A620='Data Transfer'!$B$5),OR('Data Transfer'!$B$6="",ISNUMBER(SEARCH('Data Transfer'!$B$6,'Compliance Database'!$D620&amp;" "&amp;'Compliance Database'!$K620&amp;" "&amp;'Compliance Database'!$L620&amp;" "&amp;'Compliance Database'!$M620&amp;" "&amp;'Compliance Database'!$N620&amp;" "&amp;'Compliance Database'!$O620)))),1,0)</f>
        <v/>
      </c>
      <c r="B620">
        <f>IF($A620=1,SUM($A$2:$A620),"")</f>
        <v/>
      </c>
      <c r="C620">
        <f>IF($A620=1,SUM($A$2:$A620),0)</f>
        <v/>
      </c>
    </row>
    <row r="621">
      <c r="A621">
        <f>IF(AND(OR('Compliance Database'!$A621='Data Transfer'!$B$4,'Compliance Database'!$A621='Data Transfer'!$B$5),OR('Data Transfer'!$B$6="",ISNUMBER(SEARCH('Data Transfer'!$B$6,'Compliance Database'!$D621&amp;" "&amp;'Compliance Database'!$K621&amp;" "&amp;'Compliance Database'!$L621&amp;" "&amp;'Compliance Database'!$M621&amp;" "&amp;'Compliance Database'!$N621&amp;" "&amp;'Compliance Database'!$O621)))),1,0)</f>
        <v/>
      </c>
      <c r="B621">
        <f>IF($A621=1,SUM($A$2:$A621),"")</f>
        <v/>
      </c>
      <c r="C621">
        <f>IF($A621=1,SUM($A$2:$A621),0)</f>
        <v/>
      </c>
    </row>
    <row r="622">
      <c r="A622">
        <f>IF(AND(OR('Compliance Database'!$A622='Data Transfer'!$B$4,'Compliance Database'!$A622='Data Transfer'!$B$5),OR('Data Transfer'!$B$6="",ISNUMBER(SEARCH('Data Transfer'!$B$6,'Compliance Database'!$D622&amp;" "&amp;'Compliance Database'!$K622&amp;" "&amp;'Compliance Database'!$L622&amp;" "&amp;'Compliance Database'!$M622&amp;" "&amp;'Compliance Database'!$N622&amp;" "&amp;'Compliance Database'!$O622)))),1,0)</f>
        <v/>
      </c>
      <c r="B622">
        <f>IF($A622=1,SUM($A$2:$A622),"")</f>
        <v/>
      </c>
      <c r="C622">
        <f>IF($A622=1,SUM($A$2:$A622),0)</f>
        <v/>
      </c>
    </row>
    <row r="623">
      <c r="A623">
        <f>IF(AND(OR('Compliance Database'!$A623='Data Transfer'!$B$4,'Compliance Database'!$A623='Data Transfer'!$B$5),OR('Data Transfer'!$B$6="",ISNUMBER(SEARCH('Data Transfer'!$B$6,'Compliance Database'!$D623&amp;" "&amp;'Compliance Database'!$K623&amp;" "&amp;'Compliance Database'!$L623&amp;" "&amp;'Compliance Database'!$M623&amp;" "&amp;'Compliance Database'!$N623&amp;" "&amp;'Compliance Database'!$O623)))),1,0)</f>
        <v/>
      </c>
      <c r="B623">
        <f>IF($A623=1,SUM($A$2:$A623),"")</f>
        <v/>
      </c>
      <c r="C623">
        <f>IF($A623=1,SUM($A$2:$A623),0)</f>
        <v/>
      </c>
    </row>
    <row r="624">
      <c r="A624">
        <f>IF(AND(OR('Compliance Database'!$A624='Data Transfer'!$B$4,'Compliance Database'!$A624='Data Transfer'!$B$5),OR('Data Transfer'!$B$6="",ISNUMBER(SEARCH('Data Transfer'!$B$6,'Compliance Database'!$D624&amp;" "&amp;'Compliance Database'!$K624&amp;" "&amp;'Compliance Database'!$L624&amp;" "&amp;'Compliance Database'!$M624&amp;" "&amp;'Compliance Database'!$N624&amp;" "&amp;'Compliance Database'!$O624)))),1,0)</f>
        <v/>
      </c>
      <c r="B624">
        <f>IF($A624=1,SUM($A$2:$A624),"")</f>
        <v/>
      </c>
      <c r="C624">
        <f>IF($A624=1,SUM($A$2:$A624),0)</f>
        <v/>
      </c>
    </row>
    <row r="625">
      <c r="A625">
        <f>IF(AND(OR('Compliance Database'!$A625='Data Transfer'!$B$4,'Compliance Database'!$A625='Data Transfer'!$B$5),OR('Data Transfer'!$B$6="",ISNUMBER(SEARCH('Data Transfer'!$B$6,'Compliance Database'!$D625&amp;" "&amp;'Compliance Database'!$K625&amp;" "&amp;'Compliance Database'!$L625&amp;" "&amp;'Compliance Database'!$M625&amp;" "&amp;'Compliance Database'!$N625&amp;" "&amp;'Compliance Database'!$O625)))),1,0)</f>
        <v/>
      </c>
      <c r="B625">
        <f>IF($A625=1,SUM($A$2:$A625),"")</f>
        <v/>
      </c>
      <c r="C625">
        <f>IF($A625=1,SUM($A$2:$A625),0)</f>
        <v/>
      </c>
    </row>
    <row r="626">
      <c r="A626">
        <f>IF(AND(OR('Compliance Database'!$A626='Data Transfer'!$B$4,'Compliance Database'!$A626='Data Transfer'!$B$5),OR('Data Transfer'!$B$6="",ISNUMBER(SEARCH('Data Transfer'!$B$6,'Compliance Database'!$D626&amp;" "&amp;'Compliance Database'!$K626&amp;" "&amp;'Compliance Database'!$L626&amp;" "&amp;'Compliance Database'!$M626&amp;" "&amp;'Compliance Database'!$N626&amp;" "&amp;'Compliance Database'!$O626)))),1,0)</f>
        <v/>
      </c>
      <c r="B626">
        <f>IF($A626=1,SUM($A$2:$A626),"")</f>
        <v/>
      </c>
      <c r="C626">
        <f>IF($A626=1,SUM($A$2:$A626),0)</f>
        <v/>
      </c>
    </row>
    <row r="627">
      <c r="A627">
        <f>IF(AND(OR('Compliance Database'!$A627='Data Transfer'!$B$4,'Compliance Database'!$A627='Data Transfer'!$B$5),OR('Data Transfer'!$B$6="",ISNUMBER(SEARCH('Data Transfer'!$B$6,'Compliance Database'!$D627&amp;" "&amp;'Compliance Database'!$K627&amp;" "&amp;'Compliance Database'!$L627&amp;" "&amp;'Compliance Database'!$M627&amp;" "&amp;'Compliance Database'!$N627&amp;" "&amp;'Compliance Database'!$O627)))),1,0)</f>
        <v/>
      </c>
      <c r="B627">
        <f>IF($A627=1,SUM($A$2:$A627),"")</f>
        <v/>
      </c>
      <c r="C627">
        <f>IF($A627=1,SUM($A$2:$A627),0)</f>
        <v/>
      </c>
    </row>
    <row r="628">
      <c r="A628">
        <f>IF(AND(OR('Compliance Database'!$A628='Data Transfer'!$B$4,'Compliance Database'!$A628='Data Transfer'!$B$5),OR('Data Transfer'!$B$6="",ISNUMBER(SEARCH('Data Transfer'!$B$6,'Compliance Database'!$D628&amp;" "&amp;'Compliance Database'!$K628&amp;" "&amp;'Compliance Database'!$L628&amp;" "&amp;'Compliance Database'!$M628&amp;" "&amp;'Compliance Database'!$N628&amp;" "&amp;'Compliance Database'!$O628)))),1,0)</f>
        <v/>
      </c>
      <c r="B628">
        <f>IF($A628=1,SUM($A$2:$A628),"")</f>
        <v/>
      </c>
      <c r="C628">
        <f>IF($A628=1,SUM($A$2:$A628),0)</f>
        <v/>
      </c>
    </row>
    <row r="629">
      <c r="A629">
        <f>IF(AND(OR('Compliance Database'!$A629='Data Transfer'!$B$4,'Compliance Database'!$A629='Data Transfer'!$B$5),OR('Data Transfer'!$B$6="",ISNUMBER(SEARCH('Data Transfer'!$B$6,'Compliance Database'!$D629&amp;" "&amp;'Compliance Database'!$K629&amp;" "&amp;'Compliance Database'!$L629&amp;" "&amp;'Compliance Database'!$M629&amp;" "&amp;'Compliance Database'!$N629&amp;" "&amp;'Compliance Database'!$O629)))),1,0)</f>
        <v/>
      </c>
      <c r="B629">
        <f>IF($A629=1,SUM($A$2:$A629),"")</f>
        <v/>
      </c>
      <c r="C629">
        <f>IF($A629=1,SUM($A$2:$A629),0)</f>
        <v/>
      </c>
    </row>
    <row r="630">
      <c r="A630">
        <f>IF(AND(OR('Compliance Database'!$A630='Data Transfer'!$B$4,'Compliance Database'!$A630='Data Transfer'!$B$5),OR('Data Transfer'!$B$6="",ISNUMBER(SEARCH('Data Transfer'!$B$6,'Compliance Database'!$D630&amp;" "&amp;'Compliance Database'!$K630&amp;" "&amp;'Compliance Database'!$L630&amp;" "&amp;'Compliance Database'!$M630&amp;" "&amp;'Compliance Database'!$N630&amp;" "&amp;'Compliance Database'!$O630)))),1,0)</f>
        <v/>
      </c>
      <c r="B630">
        <f>IF($A630=1,SUM($A$2:$A630),"")</f>
        <v/>
      </c>
      <c r="C630">
        <f>IF($A630=1,SUM($A$2:$A630),0)</f>
        <v/>
      </c>
    </row>
    <row r="631">
      <c r="A631">
        <f>IF(AND(OR('Compliance Database'!$A631='Data Transfer'!$B$4,'Compliance Database'!$A631='Data Transfer'!$B$5),OR('Data Transfer'!$B$6="",ISNUMBER(SEARCH('Data Transfer'!$B$6,'Compliance Database'!$D631&amp;" "&amp;'Compliance Database'!$K631&amp;" "&amp;'Compliance Database'!$L631&amp;" "&amp;'Compliance Database'!$M631&amp;" "&amp;'Compliance Database'!$N631&amp;" "&amp;'Compliance Database'!$O631)))),1,0)</f>
        <v/>
      </c>
      <c r="B631">
        <f>IF($A631=1,SUM($A$2:$A631),"")</f>
        <v/>
      </c>
      <c r="C631">
        <f>IF($A631=1,SUM($A$2:$A631),0)</f>
        <v/>
      </c>
    </row>
    <row r="632">
      <c r="A632">
        <f>IF(AND(OR('Compliance Database'!$A632='Data Transfer'!$B$4,'Compliance Database'!$A632='Data Transfer'!$B$5),OR('Data Transfer'!$B$6="",ISNUMBER(SEARCH('Data Transfer'!$B$6,'Compliance Database'!$D632&amp;" "&amp;'Compliance Database'!$K632&amp;" "&amp;'Compliance Database'!$L632&amp;" "&amp;'Compliance Database'!$M632&amp;" "&amp;'Compliance Database'!$N632&amp;" "&amp;'Compliance Database'!$O632)))),1,0)</f>
        <v/>
      </c>
      <c r="B632">
        <f>IF($A632=1,SUM($A$2:$A632),"")</f>
        <v/>
      </c>
      <c r="C632">
        <f>IF($A632=1,SUM($A$2:$A632),0)</f>
        <v/>
      </c>
    </row>
    <row r="633">
      <c r="A633">
        <f>IF(AND(OR('Compliance Database'!$A633='Data Transfer'!$B$4,'Compliance Database'!$A633='Data Transfer'!$B$5),OR('Data Transfer'!$B$6="",ISNUMBER(SEARCH('Data Transfer'!$B$6,'Compliance Database'!$D633&amp;" "&amp;'Compliance Database'!$K633&amp;" "&amp;'Compliance Database'!$L633&amp;" "&amp;'Compliance Database'!$M633&amp;" "&amp;'Compliance Database'!$N633&amp;" "&amp;'Compliance Database'!$O633)))),1,0)</f>
        <v/>
      </c>
      <c r="B633">
        <f>IF($A633=1,SUM($A$2:$A633),"")</f>
        <v/>
      </c>
      <c r="C633">
        <f>IF($A633=1,SUM($A$2:$A633),0)</f>
        <v/>
      </c>
    </row>
    <row r="634">
      <c r="A634">
        <f>IF(AND(OR('Compliance Database'!$A634='Data Transfer'!$B$4,'Compliance Database'!$A634='Data Transfer'!$B$5),OR('Data Transfer'!$B$6="",ISNUMBER(SEARCH('Data Transfer'!$B$6,'Compliance Database'!$D634&amp;" "&amp;'Compliance Database'!$K634&amp;" "&amp;'Compliance Database'!$L634&amp;" "&amp;'Compliance Database'!$M634&amp;" "&amp;'Compliance Database'!$N634&amp;" "&amp;'Compliance Database'!$O634)))),1,0)</f>
        <v/>
      </c>
      <c r="B634">
        <f>IF($A634=1,SUM($A$2:$A634),"")</f>
        <v/>
      </c>
      <c r="C634">
        <f>IF($A634=1,SUM($A$2:$A634),0)</f>
        <v/>
      </c>
    </row>
    <row r="635">
      <c r="A635">
        <f>IF(AND(OR('Compliance Database'!$A635='Data Transfer'!$B$4,'Compliance Database'!$A635='Data Transfer'!$B$5),OR('Data Transfer'!$B$6="",ISNUMBER(SEARCH('Data Transfer'!$B$6,'Compliance Database'!$D635&amp;" "&amp;'Compliance Database'!$K635&amp;" "&amp;'Compliance Database'!$L635&amp;" "&amp;'Compliance Database'!$M635&amp;" "&amp;'Compliance Database'!$N635&amp;" "&amp;'Compliance Database'!$O635)))),1,0)</f>
        <v/>
      </c>
      <c r="B635">
        <f>IF($A635=1,SUM($A$2:$A635),"")</f>
        <v/>
      </c>
      <c r="C635">
        <f>IF($A635=1,SUM($A$2:$A635),0)</f>
        <v/>
      </c>
    </row>
    <row r="636">
      <c r="A636">
        <f>IF(AND(OR('Compliance Database'!$A636='Data Transfer'!$B$4,'Compliance Database'!$A636='Data Transfer'!$B$5),OR('Data Transfer'!$B$6="",ISNUMBER(SEARCH('Data Transfer'!$B$6,'Compliance Database'!$D636&amp;" "&amp;'Compliance Database'!$K636&amp;" "&amp;'Compliance Database'!$L636&amp;" "&amp;'Compliance Database'!$M636&amp;" "&amp;'Compliance Database'!$N636&amp;" "&amp;'Compliance Database'!$O636)))),1,0)</f>
        <v/>
      </c>
      <c r="B636">
        <f>IF($A636=1,SUM($A$2:$A636),"")</f>
        <v/>
      </c>
      <c r="C636">
        <f>IF($A636=1,SUM($A$2:$A636),0)</f>
        <v/>
      </c>
    </row>
    <row r="637">
      <c r="A637">
        <f>IF(AND(OR('Compliance Database'!$A637='Data Transfer'!$B$4,'Compliance Database'!$A637='Data Transfer'!$B$5),OR('Data Transfer'!$B$6="",ISNUMBER(SEARCH('Data Transfer'!$B$6,'Compliance Database'!$D637&amp;" "&amp;'Compliance Database'!$K637&amp;" "&amp;'Compliance Database'!$L637&amp;" "&amp;'Compliance Database'!$M637&amp;" "&amp;'Compliance Database'!$N637&amp;" "&amp;'Compliance Database'!$O637)))),1,0)</f>
        <v/>
      </c>
      <c r="B637">
        <f>IF($A637=1,SUM($A$2:$A637),"")</f>
        <v/>
      </c>
      <c r="C637">
        <f>IF($A637=1,SUM($A$2:$A637),0)</f>
        <v/>
      </c>
    </row>
    <row r="638">
      <c r="A638">
        <f>IF(AND(OR('Compliance Database'!$A638='Data Transfer'!$B$4,'Compliance Database'!$A638='Data Transfer'!$B$5),OR('Data Transfer'!$B$6="",ISNUMBER(SEARCH('Data Transfer'!$B$6,'Compliance Database'!$D638&amp;" "&amp;'Compliance Database'!$K638&amp;" "&amp;'Compliance Database'!$L638&amp;" "&amp;'Compliance Database'!$M638&amp;" "&amp;'Compliance Database'!$N638&amp;" "&amp;'Compliance Database'!$O638)))),1,0)</f>
        <v/>
      </c>
      <c r="B638">
        <f>IF($A638=1,SUM($A$2:$A638),"")</f>
        <v/>
      </c>
      <c r="C638">
        <f>IF($A638=1,SUM($A$2:$A638),0)</f>
        <v/>
      </c>
    </row>
    <row r="639">
      <c r="A639">
        <f>IF(AND(OR('Compliance Database'!$A639='Data Transfer'!$B$4,'Compliance Database'!$A639='Data Transfer'!$B$5),OR('Data Transfer'!$B$6="",ISNUMBER(SEARCH('Data Transfer'!$B$6,'Compliance Database'!$D639&amp;" "&amp;'Compliance Database'!$K639&amp;" "&amp;'Compliance Database'!$L639&amp;" "&amp;'Compliance Database'!$M639&amp;" "&amp;'Compliance Database'!$N639&amp;" "&amp;'Compliance Database'!$O639)))),1,0)</f>
        <v/>
      </c>
      <c r="B639">
        <f>IF($A639=1,SUM($A$2:$A639),"")</f>
        <v/>
      </c>
      <c r="C639">
        <f>IF($A639=1,SUM($A$2:$A639),0)</f>
        <v/>
      </c>
    </row>
    <row r="640">
      <c r="A640">
        <f>IF(AND(OR('Compliance Database'!$A640='Data Transfer'!$B$4,'Compliance Database'!$A640='Data Transfer'!$B$5),OR('Data Transfer'!$B$6="",ISNUMBER(SEARCH('Data Transfer'!$B$6,'Compliance Database'!$D640&amp;" "&amp;'Compliance Database'!$K640&amp;" "&amp;'Compliance Database'!$L640&amp;" "&amp;'Compliance Database'!$M640&amp;" "&amp;'Compliance Database'!$N640&amp;" "&amp;'Compliance Database'!$O640)))),1,0)</f>
        <v/>
      </c>
      <c r="B640">
        <f>IF($A640=1,SUM($A$2:$A640),"")</f>
        <v/>
      </c>
      <c r="C640">
        <f>IF($A640=1,SUM($A$2:$A640),0)</f>
        <v/>
      </c>
    </row>
    <row r="641">
      <c r="A641">
        <f>IF(AND(OR('Compliance Database'!$A641='Data Transfer'!$B$4,'Compliance Database'!$A641='Data Transfer'!$B$5),OR('Data Transfer'!$B$6="",ISNUMBER(SEARCH('Data Transfer'!$B$6,'Compliance Database'!$D641&amp;" "&amp;'Compliance Database'!$K641&amp;" "&amp;'Compliance Database'!$L641&amp;" "&amp;'Compliance Database'!$M641&amp;" "&amp;'Compliance Database'!$N641&amp;" "&amp;'Compliance Database'!$O641)))),1,0)</f>
        <v/>
      </c>
      <c r="B641">
        <f>IF($A641=1,SUM($A$2:$A641),"")</f>
        <v/>
      </c>
      <c r="C641">
        <f>IF($A641=1,SUM($A$2:$A641),0)</f>
        <v/>
      </c>
    </row>
    <row r="642">
      <c r="A642">
        <f>IF(AND(OR('Compliance Database'!$A642='Data Transfer'!$B$4,'Compliance Database'!$A642='Data Transfer'!$B$5),OR('Data Transfer'!$B$6="",ISNUMBER(SEARCH('Data Transfer'!$B$6,'Compliance Database'!$D642&amp;" "&amp;'Compliance Database'!$K642&amp;" "&amp;'Compliance Database'!$L642&amp;" "&amp;'Compliance Database'!$M642&amp;" "&amp;'Compliance Database'!$N642&amp;" "&amp;'Compliance Database'!$O642)))),1,0)</f>
        <v/>
      </c>
      <c r="B642">
        <f>IF($A642=1,SUM($A$2:$A642),"")</f>
        <v/>
      </c>
      <c r="C642">
        <f>IF($A642=1,SUM($A$2:$A642),0)</f>
        <v/>
      </c>
    </row>
    <row r="643">
      <c r="A643">
        <f>IF(AND(OR('Compliance Database'!$A643='Data Transfer'!$B$4,'Compliance Database'!$A643='Data Transfer'!$B$5),OR('Data Transfer'!$B$6="",ISNUMBER(SEARCH('Data Transfer'!$B$6,'Compliance Database'!$D643&amp;" "&amp;'Compliance Database'!$K643&amp;" "&amp;'Compliance Database'!$L643&amp;" "&amp;'Compliance Database'!$M643&amp;" "&amp;'Compliance Database'!$N643&amp;" "&amp;'Compliance Database'!$O643)))),1,0)</f>
        <v/>
      </c>
      <c r="B643">
        <f>IF($A643=1,SUM($A$2:$A643),"")</f>
        <v/>
      </c>
      <c r="C643">
        <f>IF($A643=1,SUM($A$2:$A643),0)</f>
        <v/>
      </c>
    </row>
    <row r="644">
      <c r="A644">
        <f>IF(AND(OR('Compliance Database'!$A644='Data Transfer'!$B$4,'Compliance Database'!$A644='Data Transfer'!$B$5),OR('Data Transfer'!$B$6="",ISNUMBER(SEARCH('Data Transfer'!$B$6,'Compliance Database'!$D644&amp;" "&amp;'Compliance Database'!$K644&amp;" "&amp;'Compliance Database'!$L644&amp;" "&amp;'Compliance Database'!$M644&amp;" "&amp;'Compliance Database'!$N644&amp;" "&amp;'Compliance Database'!$O644)))),1,0)</f>
        <v/>
      </c>
      <c r="B644">
        <f>IF($A644=1,SUM($A$2:$A644),"")</f>
        <v/>
      </c>
      <c r="C644">
        <f>IF($A644=1,SUM($A$2:$A644),0)</f>
        <v/>
      </c>
    </row>
    <row r="645">
      <c r="A645">
        <f>IF(AND(OR('Compliance Database'!$A645='Data Transfer'!$B$4,'Compliance Database'!$A645='Data Transfer'!$B$5),OR('Data Transfer'!$B$6="",ISNUMBER(SEARCH('Data Transfer'!$B$6,'Compliance Database'!$D645&amp;" "&amp;'Compliance Database'!$K645&amp;" "&amp;'Compliance Database'!$L645&amp;" "&amp;'Compliance Database'!$M645&amp;" "&amp;'Compliance Database'!$N645&amp;" "&amp;'Compliance Database'!$O645)))),1,0)</f>
        <v/>
      </c>
      <c r="B645">
        <f>IF($A645=1,SUM($A$2:$A645),"")</f>
        <v/>
      </c>
      <c r="C645">
        <f>IF($A645=1,SUM($A$2:$A645),0)</f>
        <v/>
      </c>
    </row>
    <row r="646">
      <c r="A646">
        <f>IF(AND(OR('Compliance Database'!$A646='Data Transfer'!$B$4,'Compliance Database'!$A646='Data Transfer'!$B$5),OR('Data Transfer'!$B$6="",ISNUMBER(SEARCH('Data Transfer'!$B$6,'Compliance Database'!$D646&amp;" "&amp;'Compliance Database'!$K646&amp;" "&amp;'Compliance Database'!$L646&amp;" "&amp;'Compliance Database'!$M646&amp;" "&amp;'Compliance Database'!$N646&amp;" "&amp;'Compliance Database'!$O646)))),1,0)</f>
        <v/>
      </c>
      <c r="B646">
        <f>IF($A646=1,SUM($A$2:$A646),"")</f>
        <v/>
      </c>
      <c r="C646">
        <f>IF($A646=1,SUM($A$2:$A646),0)</f>
        <v/>
      </c>
    </row>
    <row r="647">
      <c r="A647">
        <f>IF(AND(OR('Compliance Database'!$A647='Data Transfer'!$B$4,'Compliance Database'!$A647='Data Transfer'!$B$5),OR('Data Transfer'!$B$6="",ISNUMBER(SEARCH('Data Transfer'!$B$6,'Compliance Database'!$D647&amp;" "&amp;'Compliance Database'!$K647&amp;" "&amp;'Compliance Database'!$L647&amp;" "&amp;'Compliance Database'!$M647&amp;" "&amp;'Compliance Database'!$N647&amp;" "&amp;'Compliance Database'!$O647)))),1,0)</f>
        <v/>
      </c>
      <c r="B647">
        <f>IF($A647=1,SUM($A$2:$A647),"")</f>
        <v/>
      </c>
      <c r="C647">
        <f>IF($A647=1,SUM($A$2:$A647),0)</f>
        <v/>
      </c>
    </row>
    <row r="648">
      <c r="A648">
        <f>IF(AND(OR('Compliance Database'!$A648='Data Transfer'!$B$4,'Compliance Database'!$A648='Data Transfer'!$B$5),OR('Data Transfer'!$B$6="",ISNUMBER(SEARCH('Data Transfer'!$B$6,'Compliance Database'!$D648&amp;" "&amp;'Compliance Database'!$K648&amp;" "&amp;'Compliance Database'!$L648&amp;" "&amp;'Compliance Database'!$M648&amp;" "&amp;'Compliance Database'!$N648&amp;" "&amp;'Compliance Database'!$O648)))),1,0)</f>
        <v/>
      </c>
      <c r="B648">
        <f>IF($A648=1,SUM($A$2:$A648),"")</f>
        <v/>
      </c>
      <c r="C648">
        <f>IF($A648=1,SUM($A$2:$A648),0)</f>
        <v/>
      </c>
    </row>
    <row r="649">
      <c r="A649">
        <f>IF(AND(OR('Compliance Database'!$A649='Data Transfer'!$B$4,'Compliance Database'!$A649='Data Transfer'!$B$5),OR('Data Transfer'!$B$6="",ISNUMBER(SEARCH('Data Transfer'!$B$6,'Compliance Database'!$D649&amp;" "&amp;'Compliance Database'!$K649&amp;" "&amp;'Compliance Database'!$L649&amp;" "&amp;'Compliance Database'!$M649&amp;" "&amp;'Compliance Database'!$N649&amp;" "&amp;'Compliance Database'!$O649)))),1,0)</f>
        <v/>
      </c>
      <c r="B649">
        <f>IF($A649=1,SUM($A$2:$A649),"")</f>
        <v/>
      </c>
      <c r="C649">
        <f>IF($A649=1,SUM($A$2:$A649),0)</f>
        <v/>
      </c>
    </row>
    <row r="650">
      <c r="A650">
        <f>IF(AND(OR('Compliance Database'!$A650='Data Transfer'!$B$4,'Compliance Database'!$A650='Data Transfer'!$B$5),OR('Data Transfer'!$B$6="",ISNUMBER(SEARCH('Data Transfer'!$B$6,'Compliance Database'!$D650&amp;" "&amp;'Compliance Database'!$K650&amp;" "&amp;'Compliance Database'!$L650&amp;" "&amp;'Compliance Database'!$M650&amp;" "&amp;'Compliance Database'!$N650&amp;" "&amp;'Compliance Database'!$O650)))),1,0)</f>
        <v/>
      </c>
      <c r="B650">
        <f>IF($A650=1,SUM($A$2:$A650),"")</f>
        <v/>
      </c>
      <c r="C650">
        <f>IF($A650=1,SUM($A$2:$A650),0)</f>
        <v/>
      </c>
    </row>
    <row r="651">
      <c r="A651">
        <f>IF(AND(OR('Compliance Database'!$A651='Data Transfer'!$B$4,'Compliance Database'!$A651='Data Transfer'!$B$5),OR('Data Transfer'!$B$6="",ISNUMBER(SEARCH('Data Transfer'!$B$6,'Compliance Database'!$D651&amp;" "&amp;'Compliance Database'!$K651&amp;" "&amp;'Compliance Database'!$L651&amp;" "&amp;'Compliance Database'!$M651&amp;" "&amp;'Compliance Database'!$N651&amp;" "&amp;'Compliance Database'!$O651)))),1,0)</f>
        <v/>
      </c>
      <c r="B651">
        <f>IF($A651=1,SUM($A$2:$A651),"")</f>
        <v/>
      </c>
      <c r="C651">
        <f>IF($A651=1,SUM($A$2:$A651),0)</f>
        <v/>
      </c>
    </row>
    <row r="652">
      <c r="A652">
        <f>IF(AND(OR('Compliance Database'!$A652='Data Transfer'!$B$4,'Compliance Database'!$A652='Data Transfer'!$B$5),OR('Data Transfer'!$B$6="",ISNUMBER(SEARCH('Data Transfer'!$B$6,'Compliance Database'!$D652&amp;" "&amp;'Compliance Database'!$K652&amp;" "&amp;'Compliance Database'!$L652&amp;" "&amp;'Compliance Database'!$M652&amp;" "&amp;'Compliance Database'!$N652&amp;" "&amp;'Compliance Database'!$O652)))),1,0)</f>
        <v/>
      </c>
      <c r="B652">
        <f>IF($A652=1,SUM($A$2:$A652),"")</f>
        <v/>
      </c>
      <c r="C652">
        <f>IF($A652=1,SUM($A$2:$A652),0)</f>
        <v/>
      </c>
    </row>
    <row r="653">
      <c r="A653">
        <f>IF(AND(OR('Compliance Database'!$A653='Data Transfer'!$B$4,'Compliance Database'!$A653='Data Transfer'!$B$5),OR('Data Transfer'!$B$6="",ISNUMBER(SEARCH('Data Transfer'!$B$6,'Compliance Database'!$D653&amp;" "&amp;'Compliance Database'!$K653&amp;" "&amp;'Compliance Database'!$L653&amp;" "&amp;'Compliance Database'!$M653&amp;" "&amp;'Compliance Database'!$N653&amp;" "&amp;'Compliance Database'!$O653)))),1,0)</f>
        <v/>
      </c>
      <c r="B653">
        <f>IF($A653=1,SUM($A$2:$A653),"")</f>
        <v/>
      </c>
      <c r="C653">
        <f>IF($A653=1,SUM($A$2:$A653),0)</f>
        <v/>
      </c>
    </row>
    <row r="654">
      <c r="A654">
        <f>IF(AND(OR('Compliance Database'!$A654='Data Transfer'!$B$4,'Compliance Database'!$A654='Data Transfer'!$B$5),OR('Data Transfer'!$B$6="",ISNUMBER(SEARCH('Data Transfer'!$B$6,'Compliance Database'!$D654&amp;" "&amp;'Compliance Database'!$K654&amp;" "&amp;'Compliance Database'!$L654&amp;" "&amp;'Compliance Database'!$M654&amp;" "&amp;'Compliance Database'!$N654&amp;" "&amp;'Compliance Database'!$O654)))),1,0)</f>
        <v/>
      </c>
      <c r="B654">
        <f>IF($A654=1,SUM($A$2:$A654),"")</f>
        <v/>
      </c>
      <c r="C654">
        <f>IF($A654=1,SUM($A$2:$A654),0)</f>
        <v/>
      </c>
    </row>
    <row r="655">
      <c r="A655">
        <f>IF(AND(OR('Compliance Database'!$A655='Data Transfer'!$B$4,'Compliance Database'!$A655='Data Transfer'!$B$5),OR('Data Transfer'!$B$6="",ISNUMBER(SEARCH('Data Transfer'!$B$6,'Compliance Database'!$D655&amp;" "&amp;'Compliance Database'!$K655&amp;" "&amp;'Compliance Database'!$L655&amp;" "&amp;'Compliance Database'!$M655&amp;" "&amp;'Compliance Database'!$N655&amp;" "&amp;'Compliance Database'!$O655)))),1,0)</f>
        <v/>
      </c>
      <c r="B655">
        <f>IF($A655=1,SUM($A$2:$A655),"")</f>
        <v/>
      </c>
      <c r="C655">
        <f>IF($A655=1,SUM($A$2:$A655),0)</f>
        <v/>
      </c>
    </row>
    <row r="656">
      <c r="A656">
        <f>IF(AND(OR('Compliance Database'!$A656='Data Transfer'!$B$4,'Compliance Database'!$A656='Data Transfer'!$B$5),OR('Data Transfer'!$B$6="",ISNUMBER(SEARCH('Data Transfer'!$B$6,'Compliance Database'!$D656&amp;" "&amp;'Compliance Database'!$K656&amp;" "&amp;'Compliance Database'!$L656&amp;" "&amp;'Compliance Database'!$M656&amp;" "&amp;'Compliance Database'!$N656&amp;" "&amp;'Compliance Database'!$O656)))),1,0)</f>
        <v/>
      </c>
      <c r="B656">
        <f>IF($A656=1,SUM($A$2:$A656),"")</f>
        <v/>
      </c>
      <c r="C656">
        <f>IF($A656=1,SUM($A$2:$A656),0)</f>
        <v/>
      </c>
    </row>
    <row r="657">
      <c r="A657">
        <f>IF(AND(OR('Compliance Database'!$A657='Data Transfer'!$B$4,'Compliance Database'!$A657='Data Transfer'!$B$5),OR('Data Transfer'!$B$6="",ISNUMBER(SEARCH('Data Transfer'!$B$6,'Compliance Database'!$D657&amp;" "&amp;'Compliance Database'!$K657&amp;" "&amp;'Compliance Database'!$L657&amp;" "&amp;'Compliance Database'!$M657&amp;" "&amp;'Compliance Database'!$N657&amp;" "&amp;'Compliance Database'!$O657)))),1,0)</f>
        <v/>
      </c>
      <c r="B657">
        <f>IF($A657=1,SUM($A$2:$A657),"")</f>
        <v/>
      </c>
      <c r="C657">
        <f>IF($A657=1,SUM($A$2:$A657),0)</f>
        <v/>
      </c>
    </row>
    <row r="658">
      <c r="A658">
        <f>IF(AND(OR('Compliance Database'!$A658='Data Transfer'!$B$4,'Compliance Database'!$A658='Data Transfer'!$B$5),OR('Data Transfer'!$B$6="",ISNUMBER(SEARCH('Data Transfer'!$B$6,'Compliance Database'!$D658&amp;" "&amp;'Compliance Database'!$K658&amp;" "&amp;'Compliance Database'!$L658&amp;" "&amp;'Compliance Database'!$M658&amp;" "&amp;'Compliance Database'!$N658&amp;" "&amp;'Compliance Database'!$O658)))),1,0)</f>
        <v/>
      </c>
      <c r="B658">
        <f>IF($A658=1,SUM($A$2:$A658),"")</f>
        <v/>
      </c>
      <c r="C658">
        <f>IF($A658=1,SUM($A$2:$A658),0)</f>
        <v/>
      </c>
    </row>
    <row r="659">
      <c r="A659">
        <f>IF(AND(OR('Compliance Database'!$A659='Data Transfer'!$B$4,'Compliance Database'!$A659='Data Transfer'!$B$5),OR('Data Transfer'!$B$6="",ISNUMBER(SEARCH('Data Transfer'!$B$6,'Compliance Database'!$D659&amp;" "&amp;'Compliance Database'!$K659&amp;" "&amp;'Compliance Database'!$L659&amp;" "&amp;'Compliance Database'!$M659&amp;" "&amp;'Compliance Database'!$N659&amp;" "&amp;'Compliance Database'!$O659)))),1,0)</f>
        <v/>
      </c>
      <c r="B659">
        <f>IF($A659=1,SUM($A$2:$A659),"")</f>
        <v/>
      </c>
      <c r="C659">
        <f>IF($A659=1,SUM($A$2:$A659),0)</f>
        <v/>
      </c>
    </row>
    <row r="660">
      <c r="A660">
        <f>IF(AND(OR('Compliance Database'!$A660='Data Transfer'!$B$4,'Compliance Database'!$A660='Data Transfer'!$B$5),OR('Data Transfer'!$B$6="",ISNUMBER(SEARCH('Data Transfer'!$B$6,'Compliance Database'!$D660&amp;" "&amp;'Compliance Database'!$K660&amp;" "&amp;'Compliance Database'!$L660&amp;" "&amp;'Compliance Database'!$M660&amp;" "&amp;'Compliance Database'!$N660&amp;" "&amp;'Compliance Database'!$O660)))),1,0)</f>
        <v/>
      </c>
      <c r="B660">
        <f>IF($A660=1,SUM($A$2:$A660),"")</f>
        <v/>
      </c>
      <c r="C660">
        <f>IF($A660=1,SUM($A$2:$A660),0)</f>
        <v/>
      </c>
    </row>
    <row r="661">
      <c r="A661">
        <f>IF(AND(OR('Compliance Database'!$A661='Data Transfer'!$B$4,'Compliance Database'!$A661='Data Transfer'!$B$5),OR('Data Transfer'!$B$6="",ISNUMBER(SEARCH('Data Transfer'!$B$6,'Compliance Database'!$D661&amp;" "&amp;'Compliance Database'!$K661&amp;" "&amp;'Compliance Database'!$L661&amp;" "&amp;'Compliance Database'!$M661&amp;" "&amp;'Compliance Database'!$N661&amp;" "&amp;'Compliance Database'!$O661)))),1,0)</f>
        <v/>
      </c>
      <c r="B661">
        <f>IF($A661=1,SUM($A$2:$A661),"")</f>
        <v/>
      </c>
      <c r="C661">
        <f>IF($A661=1,SUM($A$2:$A661),0)</f>
        <v/>
      </c>
    </row>
    <row r="662">
      <c r="A662">
        <f>IF(AND(OR('Compliance Database'!$A662='Data Transfer'!$B$4,'Compliance Database'!$A662='Data Transfer'!$B$5),OR('Data Transfer'!$B$6="",ISNUMBER(SEARCH('Data Transfer'!$B$6,'Compliance Database'!$D662&amp;" "&amp;'Compliance Database'!$K662&amp;" "&amp;'Compliance Database'!$L662&amp;" "&amp;'Compliance Database'!$M662&amp;" "&amp;'Compliance Database'!$N662&amp;" "&amp;'Compliance Database'!$O662)))),1,0)</f>
        <v/>
      </c>
      <c r="B662">
        <f>IF($A662=1,SUM($A$2:$A662),"")</f>
        <v/>
      </c>
      <c r="C662">
        <f>IF($A662=1,SUM($A$2:$A662),0)</f>
        <v/>
      </c>
    </row>
    <row r="663">
      <c r="A663">
        <f>IF(AND(OR('Compliance Database'!$A663='Data Transfer'!$B$4,'Compliance Database'!$A663='Data Transfer'!$B$5),OR('Data Transfer'!$B$6="",ISNUMBER(SEARCH('Data Transfer'!$B$6,'Compliance Database'!$D663&amp;" "&amp;'Compliance Database'!$K663&amp;" "&amp;'Compliance Database'!$L663&amp;" "&amp;'Compliance Database'!$M663&amp;" "&amp;'Compliance Database'!$N663&amp;" "&amp;'Compliance Database'!$O663)))),1,0)</f>
        <v/>
      </c>
      <c r="B663">
        <f>IF($A663=1,SUM($A$2:$A663),"")</f>
        <v/>
      </c>
      <c r="C663">
        <f>IF($A663=1,SUM($A$2:$A663),0)</f>
        <v/>
      </c>
    </row>
    <row r="664">
      <c r="A664">
        <f>IF(AND(OR('Compliance Database'!$A664='Data Transfer'!$B$4,'Compliance Database'!$A664='Data Transfer'!$B$5),OR('Data Transfer'!$B$6="",ISNUMBER(SEARCH('Data Transfer'!$B$6,'Compliance Database'!$D664&amp;" "&amp;'Compliance Database'!$K664&amp;" "&amp;'Compliance Database'!$L664&amp;" "&amp;'Compliance Database'!$M664&amp;" "&amp;'Compliance Database'!$N664&amp;" "&amp;'Compliance Database'!$O664)))),1,0)</f>
        <v/>
      </c>
      <c r="B664">
        <f>IF($A664=1,SUM($A$2:$A664),"")</f>
        <v/>
      </c>
      <c r="C664">
        <f>IF($A664=1,SUM($A$2:$A664),0)</f>
        <v/>
      </c>
    </row>
    <row r="665">
      <c r="A665">
        <f>IF(AND(OR('Compliance Database'!$A665='Data Transfer'!$B$4,'Compliance Database'!$A665='Data Transfer'!$B$5),OR('Data Transfer'!$B$6="",ISNUMBER(SEARCH('Data Transfer'!$B$6,'Compliance Database'!$D665&amp;" "&amp;'Compliance Database'!$K665&amp;" "&amp;'Compliance Database'!$L665&amp;" "&amp;'Compliance Database'!$M665&amp;" "&amp;'Compliance Database'!$N665&amp;" "&amp;'Compliance Database'!$O665)))),1,0)</f>
        <v/>
      </c>
      <c r="B665">
        <f>IF($A665=1,SUM($A$2:$A665),"")</f>
        <v/>
      </c>
      <c r="C665">
        <f>IF($A665=1,SUM($A$2:$A665),0)</f>
        <v/>
      </c>
    </row>
    <row r="666">
      <c r="A666">
        <f>IF(AND(OR('Compliance Database'!$A666='Data Transfer'!$B$4,'Compliance Database'!$A666='Data Transfer'!$B$5),OR('Data Transfer'!$B$6="",ISNUMBER(SEARCH('Data Transfer'!$B$6,'Compliance Database'!$D666&amp;" "&amp;'Compliance Database'!$K666&amp;" "&amp;'Compliance Database'!$L666&amp;" "&amp;'Compliance Database'!$M666&amp;" "&amp;'Compliance Database'!$N666&amp;" "&amp;'Compliance Database'!$O666)))),1,0)</f>
        <v/>
      </c>
      <c r="B666">
        <f>IF($A666=1,SUM($A$2:$A666),"")</f>
        <v/>
      </c>
      <c r="C666">
        <f>IF($A666=1,SUM($A$2:$A666),0)</f>
        <v/>
      </c>
    </row>
    <row r="667">
      <c r="A667">
        <f>IF(AND(OR('Compliance Database'!$A667='Data Transfer'!$B$4,'Compliance Database'!$A667='Data Transfer'!$B$5),OR('Data Transfer'!$B$6="",ISNUMBER(SEARCH('Data Transfer'!$B$6,'Compliance Database'!$D667&amp;" "&amp;'Compliance Database'!$K667&amp;" "&amp;'Compliance Database'!$L667&amp;" "&amp;'Compliance Database'!$M667&amp;" "&amp;'Compliance Database'!$N667&amp;" "&amp;'Compliance Database'!$O667)))),1,0)</f>
        <v/>
      </c>
      <c r="B667">
        <f>IF($A667=1,SUM($A$2:$A667),"")</f>
        <v/>
      </c>
      <c r="C667">
        <f>IF($A667=1,SUM($A$2:$A667),0)</f>
        <v/>
      </c>
    </row>
    <row r="668">
      <c r="A668">
        <f>IF(AND(OR('Compliance Database'!$A668='Data Transfer'!$B$4,'Compliance Database'!$A668='Data Transfer'!$B$5),OR('Data Transfer'!$B$6="",ISNUMBER(SEARCH('Data Transfer'!$B$6,'Compliance Database'!$D668&amp;" "&amp;'Compliance Database'!$K668&amp;" "&amp;'Compliance Database'!$L668&amp;" "&amp;'Compliance Database'!$M668&amp;" "&amp;'Compliance Database'!$N668&amp;" "&amp;'Compliance Database'!$O668)))),1,0)</f>
        <v/>
      </c>
      <c r="B668">
        <f>IF($A668=1,SUM($A$2:$A668),"")</f>
        <v/>
      </c>
      <c r="C668">
        <f>IF($A668=1,SUM($A$2:$A668),0)</f>
        <v/>
      </c>
    </row>
    <row r="669">
      <c r="A669">
        <f>IF(AND(OR('Compliance Database'!$A669='Data Transfer'!$B$4,'Compliance Database'!$A669='Data Transfer'!$B$5),OR('Data Transfer'!$B$6="",ISNUMBER(SEARCH('Data Transfer'!$B$6,'Compliance Database'!$D669&amp;" "&amp;'Compliance Database'!$K669&amp;" "&amp;'Compliance Database'!$L669&amp;" "&amp;'Compliance Database'!$M669&amp;" "&amp;'Compliance Database'!$N669&amp;" "&amp;'Compliance Database'!$O669)))),1,0)</f>
        <v/>
      </c>
      <c r="B669">
        <f>IF($A669=1,SUM($A$2:$A669),"")</f>
        <v/>
      </c>
      <c r="C669">
        <f>IF($A669=1,SUM($A$2:$A669),0)</f>
        <v/>
      </c>
    </row>
    <row r="670">
      <c r="A670">
        <f>IF(AND(OR('Compliance Database'!$A670='Data Transfer'!$B$4,'Compliance Database'!$A670='Data Transfer'!$B$5),OR('Data Transfer'!$B$6="",ISNUMBER(SEARCH('Data Transfer'!$B$6,'Compliance Database'!$D670&amp;" "&amp;'Compliance Database'!$K670&amp;" "&amp;'Compliance Database'!$L670&amp;" "&amp;'Compliance Database'!$M670&amp;" "&amp;'Compliance Database'!$N670&amp;" "&amp;'Compliance Database'!$O670)))),1,0)</f>
        <v/>
      </c>
      <c r="B670">
        <f>IF($A670=1,SUM($A$2:$A670),"")</f>
        <v/>
      </c>
      <c r="C670">
        <f>IF($A670=1,SUM($A$2:$A670),0)</f>
        <v/>
      </c>
    </row>
    <row r="671">
      <c r="A671">
        <f>IF(AND(OR('Compliance Database'!$A671='Data Transfer'!$B$4,'Compliance Database'!$A671='Data Transfer'!$B$5),OR('Data Transfer'!$B$6="",ISNUMBER(SEARCH('Data Transfer'!$B$6,'Compliance Database'!$D671&amp;" "&amp;'Compliance Database'!$K671&amp;" "&amp;'Compliance Database'!$L671&amp;" "&amp;'Compliance Database'!$M671&amp;" "&amp;'Compliance Database'!$N671&amp;" "&amp;'Compliance Database'!$O671)))),1,0)</f>
        <v/>
      </c>
      <c r="B671">
        <f>IF($A671=1,SUM($A$2:$A671),"")</f>
        <v/>
      </c>
      <c r="C671">
        <f>IF($A671=1,SUM($A$2:$A671),0)</f>
        <v/>
      </c>
    </row>
    <row r="672">
      <c r="A672">
        <f>IF(AND(OR('Compliance Database'!$A672='Data Transfer'!$B$4,'Compliance Database'!$A672='Data Transfer'!$B$5),OR('Data Transfer'!$B$6="",ISNUMBER(SEARCH('Data Transfer'!$B$6,'Compliance Database'!$D672&amp;" "&amp;'Compliance Database'!$K672&amp;" "&amp;'Compliance Database'!$L672&amp;" "&amp;'Compliance Database'!$M672&amp;" "&amp;'Compliance Database'!$N672&amp;" "&amp;'Compliance Database'!$O672)))),1,0)</f>
        <v/>
      </c>
      <c r="B672">
        <f>IF($A672=1,SUM($A$2:$A672),"")</f>
        <v/>
      </c>
      <c r="C672">
        <f>IF($A672=1,SUM($A$2:$A672),0)</f>
        <v/>
      </c>
    </row>
    <row r="673">
      <c r="A673">
        <f>IF(AND(OR('Compliance Database'!$A673='Data Transfer'!$B$4,'Compliance Database'!$A673='Data Transfer'!$B$5),OR('Data Transfer'!$B$6="",ISNUMBER(SEARCH('Data Transfer'!$B$6,'Compliance Database'!$D673&amp;" "&amp;'Compliance Database'!$K673&amp;" "&amp;'Compliance Database'!$L673&amp;" "&amp;'Compliance Database'!$M673&amp;" "&amp;'Compliance Database'!$N673&amp;" "&amp;'Compliance Database'!$O673)))),1,0)</f>
        <v/>
      </c>
      <c r="B673">
        <f>IF($A673=1,SUM($A$2:$A673),"")</f>
        <v/>
      </c>
      <c r="C673">
        <f>IF($A673=1,SUM($A$2:$A673),0)</f>
        <v/>
      </c>
    </row>
    <row r="674">
      <c r="A674">
        <f>IF(AND(OR('Compliance Database'!$A674='Data Transfer'!$B$4,'Compliance Database'!$A674='Data Transfer'!$B$5),OR('Data Transfer'!$B$6="",ISNUMBER(SEARCH('Data Transfer'!$B$6,'Compliance Database'!$D674&amp;" "&amp;'Compliance Database'!$K674&amp;" "&amp;'Compliance Database'!$L674&amp;" "&amp;'Compliance Database'!$M674&amp;" "&amp;'Compliance Database'!$N674&amp;" "&amp;'Compliance Database'!$O674)))),1,0)</f>
        <v/>
      </c>
      <c r="B674">
        <f>IF($A674=1,SUM($A$2:$A674),"")</f>
        <v/>
      </c>
      <c r="C674">
        <f>IF($A674=1,SUM($A$2:$A674),0)</f>
        <v/>
      </c>
    </row>
    <row r="675">
      <c r="A675">
        <f>IF(AND(OR('Compliance Database'!$A675='Data Transfer'!$B$4,'Compliance Database'!$A675='Data Transfer'!$B$5),OR('Data Transfer'!$B$6="",ISNUMBER(SEARCH('Data Transfer'!$B$6,'Compliance Database'!$D675&amp;" "&amp;'Compliance Database'!$K675&amp;" "&amp;'Compliance Database'!$L675&amp;" "&amp;'Compliance Database'!$M675&amp;" "&amp;'Compliance Database'!$N675&amp;" "&amp;'Compliance Database'!$O675)))),1,0)</f>
        <v/>
      </c>
      <c r="B675">
        <f>IF($A675=1,SUM($A$2:$A675),"")</f>
        <v/>
      </c>
      <c r="C675">
        <f>IF($A675=1,SUM($A$2:$A675),0)</f>
        <v/>
      </c>
    </row>
    <row r="676">
      <c r="A676">
        <f>IF(AND(OR('Compliance Database'!$A676='Data Transfer'!$B$4,'Compliance Database'!$A676='Data Transfer'!$B$5),OR('Data Transfer'!$B$6="",ISNUMBER(SEARCH('Data Transfer'!$B$6,'Compliance Database'!$D676&amp;" "&amp;'Compliance Database'!$K676&amp;" "&amp;'Compliance Database'!$L676&amp;" "&amp;'Compliance Database'!$M676&amp;" "&amp;'Compliance Database'!$N676&amp;" "&amp;'Compliance Database'!$O676)))),1,0)</f>
        <v/>
      </c>
      <c r="B676">
        <f>IF($A676=1,SUM($A$2:$A676),"")</f>
        <v/>
      </c>
      <c r="C676">
        <f>IF($A676=1,SUM($A$2:$A676),0)</f>
        <v/>
      </c>
    </row>
    <row r="677">
      <c r="A677">
        <f>IF(AND(OR('Compliance Database'!$A677='Data Transfer'!$B$4,'Compliance Database'!$A677='Data Transfer'!$B$5),OR('Data Transfer'!$B$6="",ISNUMBER(SEARCH('Data Transfer'!$B$6,'Compliance Database'!$D677&amp;" "&amp;'Compliance Database'!$K677&amp;" "&amp;'Compliance Database'!$L677&amp;" "&amp;'Compliance Database'!$M677&amp;" "&amp;'Compliance Database'!$N677&amp;" "&amp;'Compliance Database'!$O677)))),1,0)</f>
        <v/>
      </c>
      <c r="B677">
        <f>IF($A677=1,SUM($A$2:$A677),"")</f>
        <v/>
      </c>
      <c r="C677">
        <f>IF($A677=1,SUM($A$2:$A677),0)</f>
        <v/>
      </c>
    </row>
    <row r="678">
      <c r="A678">
        <f>IF(AND(OR('Compliance Database'!$A678='Data Transfer'!$B$4,'Compliance Database'!$A678='Data Transfer'!$B$5),OR('Data Transfer'!$B$6="",ISNUMBER(SEARCH('Data Transfer'!$B$6,'Compliance Database'!$D678&amp;" "&amp;'Compliance Database'!$K678&amp;" "&amp;'Compliance Database'!$L678&amp;" "&amp;'Compliance Database'!$M678&amp;" "&amp;'Compliance Database'!$N678&amp;" "&amp;'Compliance Database'!$O678)))),1,0)</f>
        <v/>
      </c>
      <c r="B678">
        <f>IF($A678=1,SUM($A$2:$A678),"")</f>
        <v/>
      </c>
      <c r="C678">
        <f>IF($A678=1,SUM($A$2:$A678),0)</f>
        <v/>
      </c>
    </row>
    <row r="679">
      <c r="A679">
        <f>IF(AND(OR('Compliance Database'!$A679='Data Transfer'!$B$4,'Compliance Database'!$A679='Data Transfer'!$B$5),OR('Data Transfer'!$B$6="",ISNUMBER(SEARCH('Data Transfer'!$B$6,'Compliance Database'!$D679&amp;" "&amp;'Compliance Database'!$K679&amp;" "&amp;'Compliance Database'!$L679&amp;" "&amp;'Compliance Database'!$M679&amp;" "&amp;'Compliance Database'!$N679&amp;" "&amp;'Compliance Database'!$O679)))),1,0)</f>
        <v/>
      </c>
      <c r="B679">
        <f>IF($A679=1,SUM($A$2:$A679),"")</f>
        <v/>
      </c>
      <c r="C679">
        <f>IF($A679=1,SUM($A$2:$A679),0)</f>
        <v/>
      </c>
    </row>
    <row r="680">
      <c r="A680">
        <f>IF(AND(OR('Compliance Database'!$A680='Data Transfer'!$B$4,'Compliance Database'!$A680='Data Transfer'!$B$5),OR('Data Transfer'!$B$6="",ISNUMBER(SEARCH('Data Transfer'!$B$6,'Compliance Database'!$D680&amp;" "&amp;'Compliance Database'!$K680&amp;" "&amp;'Compliance Database'!$L680&amp;" "&amp;'Compliance Database'!$M680&amp;" "&amp;'Compliance Database'!$N680&amp;" "&amp;'Compliance Database'!$O680)))),1,0)</f>
        <v/>
      </c>
      <c r="B680">
        <f>IF($A680=1,SUM($A$2:$A680),"")</f>
        <v/>
      </c>
      <c r="C680">
        <f>IF($A680=1,SUM($A$2:$A680),0)</f>
        <v/>
      </c>
    </row>
    <row r="681">
      <c r="A681">
        <f>IF(AND(OR('Compliance Database'!$A681='Data Transfer'!$B$4,'Compliance Database'!$A681='Data Transfer'!$B$5),OR('Data Transfer'!$B$6="",ISNUMBER(SEARCH('Data Transfer'!$B$6,'Compliance Database'!$D681&amp;" "&amp;'Compliance Database'!$K681&amp;" "&amp;'Compliance Database'!$L681&amp;" "&amp;'Compliance Database'!$M681&amp;" "&amp;'Compliance Database'!$N681&amp;" "&amp;'Compliance Database'!$O681)))),1,0)</f>
        <v/>
      </c>
      <c r="B681">
        <f>IF($A681=1,SUM($A$2:$A681),"")</f>
        <v/>
      </c>
      <c r="C681">
        <f>IF($A681=1,SUM($A$2:$A681),0)</f>
        <v/>
      </c>
    </row>
    <row r="682">
      <c r="A682">
        <f>IF(AND(OR('Compliance Database'!$A682='Data Transfer'!$B$4,'Compliance Database'!$A682='Data Transfer'!$B$5),OR('Data Transfer'!$B$6="",ISNUMBER(SEARCH('Data Transfer'!$B$6,'Compliance Database'!$D682&amp;" "&amp;'Compliance Database'!$K682&amp;" "&amp;'Compliance Database'!$L682&amp;" "&amp;'Compliance Database'!$M682&amp;" "&amp;'Compliance Database'!$N682&amp;" "&amp;'Compliance Database'!$O682)))),1,0)</f>
        <v/>
      </c>
      <c r="B682">
        <f>IF($A682=1,SUM($A$2:$A682),"")</f>
        <v/>
      </c>
      <c r="C682">
        <f>IF($A682=1,SUM($A$2:$A682),0)</f>
        <v/>
      </c>
    </row>
    <row r="683">
      <c r="A683">
        <f>IF(AND(OR('Compliance Database'!$A683='Data Transfer'!$B$4,'Compliance Database'!$A683='Data Transfer'!$B$5),OR('Data Transfer'!$B$6="",ISNUMBER(SEARCH('Data Transfer'!$B$6,'Compliance Database'!$D683&amp;" "&amp;'Compliance Database'!$K683&amp;" "&amp;'Compliance Database'!$L683&amp;" "&amp;'Compliance Database'!$M683&amp;" "&amp;'Compliance Database'!$N683&amp;" "&amp;'Compliance Database'!$O683)))),1,0)</f>
        <v/>
      </c>
      <c r="B683">
        <f>IF($A683=1,SUM($A$2:$A683),"")</f>
        <v/>
      </c>
      <c r="C683">
        <f>IF($A683=1,SUM($A$2:$A683),0)</f>
        <v/>
      </c>
    </row>
    <row r="684">
      <c r="A684">
        <f>IF(AND(OR('Compliance Database'!$A684='Data Transfer'!$B$4,'Compliance Database'!$A684='Data Transfer'!$B$5),OR('Data Transfer'!$B$6="",ISNUMBER(SEARCH('Data Transfer'!$B$6,'Compliance Database'!$D684&amp;" "&amp;'Compliance Database'!$K684&amp;" "&amp;'Compliance Database'!$L684&amp;" "&amp;'Compliance Database'!$M684&amp;" "&amp;'Compliance Database'!$N684&amp;" "&amp;'Compliance Database'!$O684)))),1,0)</f>
        <v/>
      </c>
      <c r="B684">
        <f>IF($A684=1,SUM($A$2:$A684),"")</f>
        <v/>
      </c>
      <c r="C684">
        <f>IF($A684=1,SUM($A$2:$A684),0)</f>
        <v/>
      </c>
    </row>
    <row r="685">
      <c r="A685">
        <f>IF(AND(OR('Compliance Database'!$A685='Data Transfer'!$B$4,'Compliance Database'!$A685='Data Transfer'!$B$5),OR('Data Transfer'!$B$6="",ISNUMBER(SEARCH('Data Transfer'!$B$6,'Compliance Database'!$D685&amp;" "&amp;'Compliance Database'!$K685&amp;" "&amp;'Compliance Database'!$L685&amp;" "&amp;'Compliance Database'!$M685&amp;" "&amp;'Compliance Database'!$N685&amp;" "&amp;'Compliance Database'!$O685)))),1,0)</f>
        <v/>
      </c>
      <c r="B685">
        <f>IF($A685=1,SUM($A$2:$A685),"")</f>
        <v/>
      </c>
      <c r="C685">
        <f>IF($A685=1,SUM($A$2:$A685),0)</f>
        <v/>
      </c>
    </row>
    <row r="686">
      <c r="A686">
        <f>IF(AND(OR('Compliance Database'!$A686='Data Transfer'!$B$4,'Compliance Database'!$A686='Data Transfer'!$B$5),OR('Data Transfer'!$B$6="",ISNUMBER(SEARCH('Data Transfer'!$B$6,'Compliance Database'!$D686&amp;" "&amp;'Compliance Database'!$K686&amp;" "&amp;'Compliance Database'!$L686&amp;" "&amp;'Compliance Database'!$M686&amp;" "&amp;'Compliance Database'!$N686&amp;" "&amp;'Compliance Database'!$O686)))),1,0)</f>
        <v/>
      </c>
      <c r="B686">
        <f>IF($A686=1,SUM($A$2:$A686),"")</f>
        <v/>
      </c>
      <c r="C686">
        <f>IF($A686=1,SUM($A$2:$A686),0)</f>
        <v/>
      </c>
    </row>
    <row r="687">
      <c r="A687">
        <f>IF(AND(OR('Compliance Database'!$A687='Data Transfer'!$B$4,'Compliance Database'!$A687='Data Transfer'!$B$5),OR('Data Transfer'!$B$6="",ISNUMBER(SEARCH('Data Transfer'!$B$6,'Compliance Database'!$D687&amp;" "&amp;'Compliance Database'!$K687&amp;" "&amp;'Compliance Database'!$L687&amp;" "&amp;'Compliance Database'!$M687&amp;" "&amp;'Compliance Database'!$N687&amp;" "&amp;'Compliance Database'!$O687)))),1,0)</f>
        <v/>
      </c>
      <c r="B687">
        <f>IF($A687=1,SUM($A$2:$A687),"")</f>
        <v/>
      </c>
      <c r="C687">
        <f>IF($A687=1,SUM($A$2:$A687),0)</f>
        <v/>
      </c>
    </row>
    <row r="688">
      <c r="A688">
        <f>IF(AND(OR('Compliance Database'!$A688='Data Transfer'!$B$4,'Compliance Database'!$A688='Data Transfer'!$B$5),OR('Data Transfer'!$B$6="",ISNUMBER(SEARCH('Data Transfer'!$B$6,'Compliance Database'!$D688&amp;" "&amp;'Compliance Database'!$K688&amp;" "&amp;'Compliance Database'!$L688&amp;" "&amp;'Compliance Database'!$M688&amp;" "&amp;'Compliance Database'!$N688&amp;" "&amp;'Compliance Database'!$O688)))),1,0)</f>
        <v/>
      </c>
      <c r="B688">
        <f>IF($A688=1,SUM($A$2:$A688),"")</f>
        <v/>
      </c>
      <c r="C688">
        <f>IF($A688=1,SUM($A$2:$A688),0)</f>
        <v/>
      </c>
    </row>
    <row r="689">
      <c r="A689">
        <f>IF(AND(OR('Compliance Database'!$A689='Data Transfer'!$B$4,'Compliance Database'!$A689='Data Transfer'!$B$5),OR('Data Transfer'!$B$6="",ISNUMBER(SEARCH('Data Transfer'!$B$6,'Compliance Database'!$D689&amp;" "&amp;'Compliance Database'!$K689&amp;" "&amp;'Compliance Database'!$L689&amp;" "&amp;'Compliance Database'!$M689&amp;" "&amp;'Compliance Database'!$N689&amp;" "&amp;'Compliance Database'!$O689)))),1,0)</f>
        <v/>
      </c>
      <c r="B689">
        <f>IF($A689=1,SUM($A$2:$A689),"")</f>
        <v/>
      </c>
      <c r="C689">
        <f>IF($A689=1,SUM($A$2:$A689),0)</f>
        <v/>
      </c>
    </row>
    <row r="690">
      <c r="A690">
        <f>IF(AND(OR('Compliance Database'!$A690='Data Transfer'!$B$4,'Compliance Database'!$A690='Data Transfer'!$B$5),OR('Data Transfer'!$B$6="",ISNUMBER(SEARCH('Data Transfer'!$B$6,'Compliance Database'!$D690&amp;" "&amp;'Compliance Database'!$K690&amp;" "&amp;'Compliance Database'!$L690&amp;" "&amp;'Compliance Database'!$M690&amp;" "&amp;'Compliance Database'!$N690&amp;" "&amp;'Compliance Database'!$O690)))),1,0)</f>
        <v/>
      </c>
      <c r="B690">
        <f>IF($A690=1,SUM($A$2:$A690),"")</f>
        <v/>
      </c>
      <c r="C690">
        <f>IF($A690=1,SUM($A$2:$A690),0)</f>
        <v/>
      </c>
    </row>
    <row r="691">
      <c r="A691">
        <f>IF(AND(OR('Compliance Database'!$A691='Data Transfer'!$B$4,'Compliance Database'!$A691='Data Transfer'!$B$5),OR('Data Transfer'!$B$6="",ISNUMBER(SEARCH('Data Transfer'!$B$6,'Compliance Database'!$D691&amp;" "&amp;'Compliance Database'!$K691&amp;" "&amp;'Compliance Database'!$L691&amp;" "&amp;'Compliance Database'!$M691&amp;" "&amp;'Compliance Database'!$N691&amp;" "&amp;'Compliance Database'!$O691)))),1,0)</f>
        <v/>
      </c>
      <c r="B691">
        <f>IF($A691=1,SUM($A$2:$A691),"")</f>
        <v/>
      </c>
      <c r="C691">
        <f>IF($A691=1,SUM($A$2:$A691),0)</f>
        <v/>
      </c>
    </row>
    <row r="692">
      <c r="A692">
        <f>IF(AND(OR('Compliance Database'!$A692='Data Transfer'!$B$4,'Compliance Database'!$A692='Data Transfer'!$B$5),OR('Data Transfer'!$B$6="",ISNUMBER(SEARCH('Data Transfer'!$B$6,'Compliance Database'!$D692&amp;" "&amp;'Compliance Database'!$K692&amp;" "&amp;'Compliance Database'!$L692&amp;" "&amp;'Compliance Database'!$M692&amp;" "&amp;'Compliance Database'!$N692&amp;" "&amp;'Compliance Database'!$O692)))),1,0)</f>
        <v/>
      </c>
      <c r="B692">
        <f>IF($A692=1,SUM($A$2:$A692),"")</f>
        <v/>
      </c>
      <c r="C692">
        <f>IF($A692=1,SUM($A$2:$A692),0)</f>
        <v/>
      </c>
    </row>
    <row r="693">
      <c r="A693">
        <f>IF(AND(OR('Compliance Database'!$A693='Data Transfer'!$B$4,'Compliance Database'!$A693='Data Transfer'!$B$5),OR('Data Transfer'!$B$6="",ISNUMBER(SEARCH('Data Transfer'!$B$6,'Compliance Database'!$D693&amp;" "&amp;'Compliance Database'!$K693&amp;" "&amp;'Compliance Database'!$L693&amp;" "&amp;'Compliance Database'!$M693&amp;" "&amp;'Compliance Database'!$N693&amp;" "&amp;'Compliance Database'!$O693)))),1,0)</f>
        <v/>
      </c>
      <c r="B693">
        <f>IF($A693=1,SUM($A$2:$A693),"")</f>
        <v/>
      </c>
      <c r="C693">
        <f>IF($A693=1,SUM($A$2:$A693),0)</f>
        <v/>
      </c>
    </row>
    <row r="694">
      <c r="A694">
        <f>IF(AND(OR('Compliance Database'!$A694='Data Transfer'!$B$4,'Compliance Database'!$A694='Data Transfer'!$B$5),OR('Data Transfer'!$B$6="",ISNUMBER(SEARCH('Data Transfer'!$B$6,'Compliance Database'!$D694&amp;" "&amp;'Compliance Database'!$K694&amp;" "&amp;'Compliance Database'!$L694&amp;" "&amp;'Compliance Database'!$M694&amp;" "&amp;'Compliance Database'!$N694&amp;" "&amp;'Compliance Database'!$O694)))),1,0)</f>
        <v/>
      </c>
      <c r="B694">
        <f>IF($A694=1,SUM($A$2:$A694),"")</f>
        <v/>
      </c>
      <c r="C694">
        <f>IF($A694=1,SUM($A$2:$A694),0)</f>
        <v/>
      </c>
    </row>
    <row r="695">
      <c r="A695">
        <f>IF(AND(OR('Compliance Database'!$A695='Data Transfer'!$B$4,'Compliance Database'!$A695='Data Transfer'!$B$5),OR('Data Transfer'!$B$6="",ISNUMBER(SEARCH('Data Transfer'!$B$6,'Compliance Database'!$D695&amp;" "&amp;'Compliance Database'!$K695&amp;" "&amp;'Compliance Database'!$L695&amp;" "&amp;'Compliance Database'!$M695&amp;" "&amp;'Compliance Database'!$N695&amp;" "&amp;'Compliance Database'!$O695)))),1,0)</f>
        <v/>
      </c>
      <c r="B695">
        <f>IF($A695=1,SUM($A$2:$A695),"")</f>
        <v/>
      </c>
      <c r="C695">
        <f>IF($A695=1,SUM($A$2:$A695),0)</f>
        <v/>
      </c>
    </row>
    <row r="696">
      <c r="A696">
        <f>IF(AND(OR('Compliance Database'!$A696='Data Transfer'!$B$4,'Compliance Database'!$A696='Data Transfer'!$B$5),OR('Data Transfer'!$B$6="",ISNUMBER(SEARCH('Data Transfer'!$B$6,'Compliance Database'!$D696&amp;" "&amp;'Compliance Database'!$K696&amp;" "&amp;'Compliance Database'!$L696&amp;" "&amp;'Compliance Database'!$M696&amp;" "&amp;'Compliance Database'!$N696&amp;" "&amp;'Compliance Database'!$O696)))),1,0)</f>
        <v/>
      </c>
      <c r="B696">
        <f>IF($A696=1,SUM($A$2:$A696),"")</f>
        <v/>
      </c>
      <c r="C696">
        <f>IF($A696=1,SUM($A$2:$A696),0)</f>
        <v/>
      </c>
    </row>
    <row r="697">
      <c r="A697">
        <f>IF(AND(OR('Compliance Database'!$A697='Data Transfer'!$B$4,'Compliance Database'!$A697='Data Transfer'!$B$5),OR('Data Transfer'!$B$6="",ISNUMBER(SEARCH('Data Transfer'!$B$6,'Compliance Database'!$D697&amp;" "&amp;'Compliance Database'!$K697&amp;" "&amp;'Compliance Database'!$L697&amp;" "&amp;'Compliance Database'!$M697&amp;" "&amp;'Compliance Database'!$N697&amp;" "&amp;'Compliance Database'!$O697)))),1,0)</f>
        <v/>
      </c>
      <c r="B697">
        <f>IF($A697=1,SUM($A$2:$A697),"")</f>
        <v/>
      </c>
      <c r="C697">
        <f>IF($A697=1,SUM($A$2:$A697),0)</f>
        <v/>
      </c>
    </row>
    <row r="698">
      <c r="A698">
        <f>IF(AND(OR('Compliance Database'!$A698='Data Transfer'!$B$4,'Compliance Database'!$A698='Data Transfer'!$B$5),OR('Data Transfer'!$B$6="",ISNUMBER(SEARCH('Data Transfer'!$B$6,'Compliance Database'!$D698&amp;" "&amp;'Compliance Database'!$K698&amp;" "&amp;'Compliance Database'!$L698&amp;" "&amp;'Compliance Database'!$M698&amp;" "&amp;'Compliance Database'!$N698&amp;" "&amp;'Compliance Database'!$O698)))),1,0)</f>
        <v/>
      </c>
      <c r="B698">
        <f>IF($A698=1,SUM($A$2:$A698),"")</f>
        <v/>
      </c>
      <c r="C698">
        <f>IF($A698=1,SUM($A$2:$A698),0)</f>
        <v/>
      </c>
    </row>
    <row r="699">
      <c r="A699">
        <f>IF(AND(OR('Compliance Database'!$A699='Data Transfer'!$B$4,'Compliance Database'!$A699='Data Transfer'!$B$5),OR('Data Transfer'!$B$6="",ISNUMBER(SEARCH('Data Transfer'!$B$6,'Compliance Database'!$D699&amp;" "&amp;'Compliance Database'!$K699&amp;" "&amp;'Compliance Database'!$L699&amp;" "&amp;'Compliance Database'!$M699&amp;" "&amp;'Compliance Database'!$N699&amp;" "&amp;'Compliance Database'!$O699)))),1,0)</f>
        <v/>
      </c>
      <c r="B699">
        <f>IF($A699=1,SUM($A$2:$A699),"")</f>
        <v/>
      </c>
      <c r="C699">
        <f>IF($A699=1,SUM($A$2:$A699),0)</f>
        <v/>
      </c>
    </row>
    <row r="700">
      <c r="A700">
        <f>IF(AND(OR('Compliance Database'!$A700='Data Transfer'!$B$4,'Compliance Database'!$A700='Data Transfer'!$B$5),OR('Data Transfer'!$B$6="",ISNUMBER(SEARCH('Data Transfer'!$B$6,'Compliance Database'!$D700&amp;" "&amp;'Compliance Database'!$K700&amp;" "&amp;'Compliance Database'!$L700&amp;" "&amp;'Compliance Database'!$M700&amp;" "&amp;'Compliance Database'!$N700&amp;" "&amp;'Compliance Database'!$O700)))),1,0)</f>
        <v/>
      </c>
      <c r="B700">
        <f>IF($A700=1,SUM($A$2:$A700),"")</f>
        <v/>
      </c>
      <c r="C700">
        <f>IF($A700=1,SUM($A$2:$A700),0)</f>
        <v/>
      </c>
    </row>
    <row r="701">
      <c r="A701">
        <f>IF(AND(OR('Compliance Database'!$A701='Data Transfer'!$B$4,'Compliance Database'!$A701='Data Transfer'!$B$5),OR('Data Transfer'!$B$6="",ISNUMBER(SEARCH('Data Transfer'!$B$6,'Compliance Database'!$D701&amp;" "&amp;'Compliance Database'!$K701&amp;" "&amp;'Compliance Database'!$L701&amp;" "&amp;'Compliance Database'!$M701&amp;" "&amp;'Compliance Database'!$N701&amp;" "&amp;'Compliance Database'!$O701)))),1,0)</f>
        <v/>
      </c>
      <c r="B701">
        <f>IF($A701=1,SUM($A$2:$A701),"")</f>
        <v/>
      </c>
      <c r="C701">
        <f>IF($A701=1,SUM($A$2:$A701),0)</f>
        <v/>
      </c>
    </row>
    <row r="702">
      <c r="A702">
        <f>IF(AND(OR('Compliance Database'!$A702='Data Transfer'!$B$4,'Compliance Database'!$A702='Data Transfer'!$B$5),OR('Data Transfer'!$B$6="",ISNUMBER(SEARCH('Data Transfer'!$B$6,'Compliance Database'!$D702&amp;" "&amp;'Compliance Database'!$K702&amp;" "&amp;'Compliance Database'!$L702&amp;" "&amp;'Compliance Database'!$M702&amp;" "&amp;'Compliance Database'!$N702&amp;" "&amp;'Compliance Database'!$O702)))),1,0)</f>
        <v/>
      </c>
      <c r="B702">
        <f>IF($A702=1,SUM($A$2:$A702),"")</f>
        <v/>
      </c>
      <c r="C702">
        <f>IF($A702=1,SUM($A$2:$A702),0)</f>
        <v/>
      </c>
    </row>
    <row r="703">
      <c r="A703">
        <f>IF(AND(OR('Compliance Database'!$A703='Data Transfer'!$B$4,'Compliance Database'!$A703='Data Transfer'!$B$5),OR('Data Transfer'!$B$6="",ISNUMBER(SEARCH('Data Transfer'!$B$6,'Compliance Database'!$D703&amp;" "&amp;'Compliance Database'!$K703&amp;" "&amp;'Compliance Database'!$L703&amp;" "&amp;'Compliance Database'!$M703&amp;" "&amp;'Compliance Database'!$N703&amp;" "&amp;'Compliance Database'!$O703)))),1,0)</f>
        <v/>
      </c>
      <c r="B703">
        <f>IF($A703=1,SUM($A$2:$A703),"")</f>
        <v/>
      </c>
      <c r="C703">
        <f>IF($A703=1,SUM($A$2:$A703),0)</f>
        <v/>
      </c>
    </row>
    <row r="704">
      <c r="A704">
        <f>IF(AND(OR('Compliance Database'!$A704='Data Transfer'!$B$4,'Compliance Database'!$A704='Data Transfer'!$B$5),OR('Data Transfer'!$B$6="",ISNUMBER(SEARCH('Data Transfer'!$B$6,'Compliance Database'!$D704&amp;" "&amp;'Compliance Database'!$K704&amp;" "&amp;'Compliance Database'!$L704&amp;" "&amp;'Compliance Database'!$M704&amp;" "&amp;'Compliance Database'!$N704&amp;" "&amp;'Compliance Database'!$O704)))),1,0)</f>
        <v/>
      </c>
      <c r="B704">
        <f>IF($A704=1,SUM($A$2:$A704),"")</f>
        <v/>
      </c>
      <c r="C704">
        <f>IF($A704=1,SUM($A$2:$A704),0)</f>
        <v/>
      </c>
    </row>
    <row r="705">
      <c r="A705">
        <f>IF(AND(OR('Compliance Database'!$A705='Data Transfer'!$B$4,'Compliance Database'!$A705='Data Transfer'!$B$5),OR('Data Transfer'!$B$6="",ISNUMBER(SEARCH('Data Transfer'!$B$6,'Compliance Database'!$D705&amp;" "&amp;'Compliance Database'!$K705&amp;" "&amp;'Compliance Database'!$L705&amp;" "&amp;'Compliance Database'!$M705&amp;" "&amp;'Compliance Database'!$N705&amp;" "&amp;'Compliance Database'!$O705)))),1,0)</f>
        <v/>
      </c>
      <c r="B705">
        <f>IF($A705=1,SUM($A$2:$A705),"")</f>
        <v/>
      </c>
      <c r="C705">
        <f>IF($A705=1,SUM($A$2:$A705),0)</f>
        <v/>
      </c>
    </row>
    <row r="706">
      <c r="A706">
        <f>IF(AND(OR('Compliance Database'!$A706='Data Transfer'!$B$4,'Compliance Database'!$A706='Data Transfer'!$B$5),OR('Data Transfer'!$B$6="",ISNUMBER(SEARCH('Data Transfer'!$B$6,'Compliance Database'!$D706&amp;" "&amp;'Compliance Database'!$K706&amp;" "&amp;'Compliance Database'!$L706&amp;" "&amp;'Compliance Database'!$M706&amp;" "&amp;'Compliance Database'!$N706&amp;" "&amp;'Compliance Database'!$O706)))),1,0)</f>
        <v/>
      </c>
      <c r="B706">
        <f>IF($A706=1,SUM($A$2:$A706),"")</f>
        <v/>
      </c>
      <c r="C706">
        <f>IF($A706=1,SUM($A$2:$A706),0)</f>
        <v/>
      </c>
    </row>
    <row r="707">
      <c r="A707">
        <f>IF(AND(OR('Compliance Database'!$A707='Data Transfer'!$B$4,'Compliance Database'!$A707='Data Transfer'!$B$5),OR('Data Transfer'!$B$6="",ISNUMBER(SEARCH('Data Transfer'!$B$6,'Compliance Database'!$D707&amp;" "&amp;'Compliance Database'!$K707&amp;" "&amp;'Compliance Database'!$L707&amp;" "&amp;'Compliance Database'!$M707&amp;" "&amp;'Compliance Database'!$N707&amp;" "&amp;'Compliance Database'!$O707)))),1,0)</f>
        <v/>
      </c>
      <c r="B707">
        <f>IF($A707=1,SUM($A$2:$A707),"")</f>
        <v/>
      </c>
      <c r="C707">
        <f>IF($A707=1,SUM($A$2:$A707),0)</f>
        <v/>
      </c>
    </row>
    <row r="708">
      <c r="A708">
        <f>IF(AND(OR('Compliance Database'!$A708='Data Transfer'!$B$4,'Compliance Database'!$A708='Data Transfer'!$B$5),OR('Data Transfer'!$B$6="",ISNUMBER(SEARCH('Data Transfer'!$B$6,'Compliance Database'!$D708&amp;" "&amp;'Compliance Database'!$K708&amp;" "&amp;'Compliance Database'!$L708&amp;" "&amp;'Compliance Database'!$M708&amp;" "&amp;'Compliance Database'!$N708&amp;" "&amp;'Compliance Database'!$O708)))),1,0)</f>
        <v/>
      </c>
      <c r="B708">
        <f>IF($A708=1,SUM($A$2:$A708),"")</f>
        <v/>
      </c>
      <c r="C708">
        <f>IF($A708=1,SUM($A$2:$A708),0)</f>
        <v/>
      </c>
    </row>
    <row r="709">
      <c r="A709">
        <f>IF(AND(OR('Compliance Database'!$A709='Data Transfer'!$B$4,'Compliance Database'!$A709='Data Transfer'!$B$5),OR('Data Transfer'!$B$6="",ISNUMBER(SEARCH('Data Transfer'!$B$6,'Compliance Database'!$D709&amp;" "&amp;'Compliance Database'!$K709&amp;" "&amp;'Compliance Database'!$L709&amp;" "&amp;'Compliance Database'!$M709&amp;" "&amp;'Compliance Database'!$N709&amp;" "&amp;'Compliance Database'!$O709)))),1,0)</f>
        <v/>
      </c>
      <c r="B709">
        <f>IF($A709=1,SUM($A$2:$A709),"")</f>
        <v/>
      </c>
      <c r="C709">
        <f>IF($A709=1,SUM($A$2:$A709),0)</f>
        <v/>
      </c>
    </row>
    <row r="710">
      <c r="A710">
        <f>IF(AND(OR('Compliance Database'!$A710='Data Transfer'!$B$4,'Compliance Database'!$A710='Data Transfer'!$B$5),OR('Data Transfer'!$B$6="",ISNUMBER(SEARCH('Data Transfer'!$B$6,'Compliance Database'!$D710&amp;" "&amp;'Compliance Database'!$K710&amp;" "&amp;'Compliance Database'!$L710&amp;" "&amp;'Compliance Database'!$M710&amp;" "&amp;'Compliance Database'!$N710&amp;" "&amp;'Compliance Database'!$O710)))),1,0)</f>
        <v/>
      </c>
      <c r="B710">
        <f>IF($A710=1,SUM($A$2:$A710),"")</f>
        <v/>
      </c>
      <c r="C710">
        <f>IF($A710=1,SUM($A$2:$A710),0)</f>
        <v/>
      </c>
    </row>
    <row r="711">
      <c r="A711">
        <f>IF(AND(OR('Compliance Database'!$A711='Data Transfer'!$B$4,'Compliance Database'!$A711='Data Transfer'!$B$5),OR('Data Transfer'!$B$6="",ISNUMBER(SEARCH('Data Transfer'!$B$6,'Compliance Database'!$D711&amp;" "&amp;'Compliance Database'!$K711&amp;" "&amp;'Compliance Database'!$L711&amp;" "&amp;'Compliance Database'!$M711&amp;" "&amp;'Compliance Database'!$N711&amp;" "&amp;'Compliance Database'!$O711)))),1,0)</f>
        <v/>
      </c>
      <c r="B711">
        <f>IF($A711=1,SUM($A$2:$A711),"")</f>
        <v/>
      </c>
      <c r="C711">
        <f>IF($A711=1,SUM($A$2:$A711),0)</f>
        <v/>
      </c>
    </row>
    <row r="712">
      <c r="A712">
        <f>IF(AND(OR('Compliance Database'!$A712='Data Transfer'!$B$4,'Compliance Database'!$A712='Data Transfer'!$B$5),OR('Data Transfer'!$B$6="",ISNUMBER(SEARCH('Data Transfer'!$B$6,'Compliance Database'!$D712&amp;" "&amp;'Compliance Database'!$K712&amp;" "&amp;'Compliance Database'!$L712&amp;" "&amp;'Compliance Database'!$M712&amp;" "&amp;'Compliance Database'!$N712&amp;" "&amp;'Compliance Database'!$O712)))),1,0)</f>
        <v/>
      </c>
      <c r="B712">
        <f>IF($A712=1,SUM($A$2:$A712),"")</f>
        <v/>
      </c>
      <c r="C712">
        <f>IF($A712=1,SUM($A$2:$A712),0)</f>
        <v/>
      </c>
    </row>
    <row r="713">
      <c r="A713">
        <f>IF(AND(OR('Compliance Database'!$A713='Data Transfer'!$B$4,'Compliance Database'!$A713='Data Transfer'!$B$5),OR('Data Transfer'!$B$6="",ISNUMBER(SEARCH('Data Transfer'!$B$6,'Compliance Database'!$D713&amp;" "&amp;'Compliance Database'!$K713&amp;" "&amp;'Compliance Database'!$L713&amp;" "&amp;'Compliance Database'!$M713&amp;" "&amp;'Compliance Database'!$N713&amp;" "&amp;'Compliance Database'!$O713)))),1,0)</f>
        <v/>
      </c>
      <c r="B713">
        <f>IF($A713=1,SUM($A$2:$A713),"")</f>
        <v/>
      </c>
      <c r="C713">
        <f>IF($A713=1,SUM($A$2:$A713),0)</f>
        <v/>
      </c>
    </row>
    <row r="714">
      <c r="A714">
        <f>IF(AND(OR('Compliance Database'!$A714='Data Transfer'!$B$4,'Compliance Database'!$A714='Data Transfer'!$B$5),OR('Data Transfer'!$B$6="",ISNUMBER(SEARCH('Data Transfer'!$B$6,'Compliance Database'!$D714&amp;" "&amp;'Compliance Database'!$K714&amp;" "&amp;'Compliance Database'!$L714&amp;" "&amp;'Compliance Database'!$M714&amp;" "&amp;'Compliance Database'!$N714&amp;" "&amp;'Compliance Database'!$O714)))),1,0)</f>
        <v/>
      </c>
      <c r="B714">
        <f>IF($A714=1,SUM($A$2:$A714),"")</f>
        <v/>
      </c>
      <c r="C714">
        <f>IF($A714=1,SUM($A$2:$A714),0)</f>
        <v/>
      </c>
    </row>
    <row r="715">
      <c r="A715">
        <f>IF(AND(OR('Compliance Database'!$A715='Data Transfer'!$B$4,'Compliance Database'!$A715='Data Transfer'!$B$5),OR('Data Transfer'!$B$6="",ISNUMBER(SEARCH('Data Transfer'!$B$6,'Compliance Database'!$D715&amp;" "&amp;'Compliance Database'!$K715&amp;" "&amp;'Compliance Database'!$L715&amp;" "&amp;'Compliance Database'!$M715&amp;" "&amp;'Compliance Database'!$N715&amp;" "&amp;'Compliance Database'!$O715)))),1,0)</f>
        <v/>
      </c>
      <c r="B715">
        <f>IF($A715=1,SUM($A$2:$A715),"")</f>
        <v/>
      </c>
      <c r="C715">
        <f>IF($A715=1,SUM($A$2:$A715),0)</f>
        <v/>
      </c>
    </row>
    <row r="716">
      <c r="A716">
        <f>IF(AND(OR('Compliance Database'!$A716='Data Transfer'!$B$4,'Compliance Database'!$A716='Data Transfer'!$B$5),OR('Data Transfer'!$B$6="",ISNUMBER(SEARCH('Data Transfer'!$B$6,'Compliance Database'!$D716&amp;" "&amp;'Compliance Database'!$K716&amp;" "&amp;'Compliance Database'!$L716&amp;" "&amp;'Compliance Database'!$M716&amp;" "&amp;'Compliance Database'!$N716&amp;" "&amp;'Compliance Database'!$O716)))),1,0)</f>
        <v/>
      </c>
      <c r="B716">
        <f>IF($A716=1,SUM($A$2:$A716),"")</f>
        <v/>
      </c>
      <c r="C716">
        <f>IF($A716=1,SUM($A$2:$A716),0)</f>
        <v/>
      </c>
    </row>
    <row r="717">
      <c r="A717">
        <f>IF(AND(OR('Compliance Database'!$A717='Data Transfer'!$B$4,'Compliance Database'!$A717='Data Transfer'!$B$5),OR('Data Transfer'!$B$6="",ISNUMBER(SEARCH('Data Transfer'!$B$6,'Compliance Database'!$D717&amp;" "&amp;'Compliance Database'!$K717&amp;" "&amp;'Compliance Database'!$L717&amp;" "&amp;'Compliance Database'!$M717&amp;" "&amp;'Compliance Database'!$N717&amp;" "&amp;'Compliance Database'!$O717)))),1,0)</f>
        <v/>
      </c>
      <c r="B717">
        <f>IF($A717=1,SUM($A$2:$A717),"")</f>
        <v/>
      </c>
      <c r="C717">
        <f>IF($A717=1,SUM($A$2:$A717),0)</f>
        <v/>
      </c>
    </row>
    <row r="718">
      <c r="A718">
        <f>IF(AND(OR('Compliance Database'!$A718='Data Transfer'!$B$4,'Compliance Database'!$A718='Data Transfer'!$B$5),OR('Data Transfer'!$B$6="",ISNUMBER(SEARCH('Data Transfer'!$B$6,'Compliance Database'!$D718&amp;" "&amp;'Compliance Database'!$K718&amp;" "&amp;'Compliance Database'!$L718&amp;" "&amp;'Compliance Database'!$M718&amp;" "&amp;'Compliance Database'!$N718&amp;" "&amp;'Compliance Database'!$O718)))),1,0)</f>
        <v/>
      </c>
      <c r="B718">
        <f>IF($A718=1,SUM($A$2:$A718),"")</f>
        <v/>
      </c>
      <c r="C718">
        <f>IF($A718=1,SUM($A$2:$A718),0)</f>
        <v/>
      </c>
    </row>
    <row r="719">
      <c r="A719">
        <f>IF(AND(OR('Compliance Database'!$A719='Data Transfer'!$B$4,'Compliance Database'!$A719='Data Transfer'!$B$5),OR('Data Transfer'!$B$6="",ISNUMBER(SEARCH('Data Transfer'!$B$6,'Compliance Database'!$D719&amp;" "&amp;'Compliance Database'!$K719&amp;" "&amp;'Compliance Database'!$L719&amp;" "&amp;'Compliance Database'!$M719&amp;" "&amp;'Compliance Database'!$N719&amp;" "&amp;'Compliance Database'!$O719)))),1,0)</f>
        <v/>
      </c>
      <c r="B719">
        <f>IF($A719=1,SUM($A$2:$A719),"")</f>
        <v/>
      </c>
      <c r="C719">
        <f>IF($A719=1,SUM($A$2:$A719),0)</f>
        <v/>
      </c>
    </row>
    <row r="720">
      <c r="A720">
        <f>IF(AND(OR('Compliance Database'!$A720='Data Transfer'!$B$4,'Compliance Database'!$A720='Data Transfer'!$B$5),OR('Data Transfer'!$B$6="",ISNUMBER(SEARCH('Data Transfer'!$B$6,'Compliance Database'!$D720&amp;" "&amp;'Compliance Database'!$K720&amp;" "&amp;'Compliance Database'!$L720&amp;" "&amp;'Compliance Database'!$M720&amp;" "&amp;'Compliance Database'!$N720&amp;" "&amp;'Compliance Database'!$O720)))),1,0)</f>
        <v/>
      </c>
      <c r="B720">
        <f>IF($A720=1,SUM($A$2:$A720),"")</f>
        <v/>
      </c>
      <c r="C720">
        <f>IF($A720=1,SUM($A$2:$A720),0)</f>
        <v/>
      </c>
    </row>
    <row r="721">
      <c r="A721">
        <f>IF(AND(OR('Compliance Database'!$A721='Data Transfer'!$B$4,'Compliance Database'!$A721='Data Transfer'!$B$5),OR('Data Transfer'!$B$6="",ISNUMBER(SEARCH('Data Transfer'!$B$6,'Compliance Database'!$D721&amp;" "&amp;'Compliance Database'!$K721&amp;" "&amp;'Compliance Database'!$L721&amp;" "&amp;'Compliance Database'!$M721&amp;" "&amp;'Compliance Database'!$N721&amp;" "&amp;'Compliance Database'!$O721)))),1,0)</f>
        <v/>
      </c>
      <c r="B721">
        <f>IF($A721=1,SUM($A$2:$A721),"")</f>
        <v/>
      </c>
      <c r="C721">
        <f>IF($A721=1,SUM($A$2:$A721),0)</f>
        <v/>
      </c>
    </row>
    <row r="722">
      <c r="A722">
        <f>IF(AND(OR('Compliance Database'!$A722='Data Transfer'!$B$4,'Compliance Database'!$A722='Data Transfer'!$B$5),OR('Data Transfer'!$B$6="",ISNUMBER(SEARCH('Data Transfer'!$B$6,'Compliance Database'!$D722&amp;" "&amp;'Compliance Database'!$K722&amp;" "&amp;'Compliance Database'!$L722&amp;" "&amp;'Compliance Database'!$M722&amp;" "&amp;'Compliance Database'!$N722&amp;" "&amp;'Compliance Database'!$O722)))),1,0)</f>
        <v/>
      </c>
      <c r="B722">
        <f>IF($A722=1,SUM($A$2:$A722),"")</f>
        <v/>
      </c>
      <c r="C722">
        <f>IF($A722=1,SUM($A$2:$A722),0)</f>
        <v/>
      </c>
    </row>
    <row r="723">
      <c r="A723">
        <f>IF(AND(OR('Compliance Database'!$A723='Data Transfer'!$B$4,'Compliance Database'!$A723='Data Transfer'!$B$5),OR('Data Transfer'!$B$6="",ISNUMBER(SEARCH('Data Transfer'!$B$6,'Compliance Database'!$D723&amp;" "&amp;'Compliance Database'!$K723&amp;" "&amp;'Compliance Database'!$L723&amp;" "&amp;'Compliance Database'!$M723&amp;" "&amp;'Compliance Database'!$N723&amp;" "&amp;'Compliance Database'!$O723)))),1,0)</f>
        <v/>
      </c>
      <c r="B723">
        <f>IF($A723=1,SUM($A$2:$A723),"")</f>
        <v/>
      </c>
      <c r="C723">
        <f>IF($A723=1,SUM($A$2:$A723),0)</f>
        <v/>
      </c>
    </row>
    <row r="724">
      <c r="A724">
        <f>IF(AND(OR('Compliance Database'!$A724='Data Transfer'!$B$4,'Compliance Database'!$A724='Data Transfer'!$B$5),OR('Data Transfer'!$B$6="",ISNUMBER(SEARCH('Data Transfer'!$B$6,'Compliance Database'!$D724&amp;" "&amp;'Compliance Database'!$K724&amp;" "&amp;'Compliance Database'!$L724&amp;" "&amp;'Compliance Database'!$M724&amp;" "&amp;'Compliance Database'!$N724&amp;" "&amp;'Compliance Database'!$O724)))),1,0)</f>
        <v/>
      </c>
      <c r="B724">
        <f>IF($A724=1,SUM($A$2:$A724),"")</f>
        <v/>
      </c>
      <c r="C724">
        <f>IF($A724=1,SUM($A$2:$A724),0)</f>
        <v/>
      </c>
    </row>
    <row r="725">
      <c r="A725">
        <f>IF(AND(OR('Compliance Database'!$A725='Data Transfer'!$B$4,'Compliance Database'!$A725='Data Transfer'!$B$5),OR('Data Transfer'!$B$6="",ISNUMBER(SEARCH('Data Transfer'!$B$6,'Compliance Database'!$D725&amp;" "&amp;'Compliance Database'!$K725&amp;" "&amp;'Compliance Database'!$L725&amp;" "&amp;'Compliance Database'!$M725&amp;" "&amp;'Compliance Database'!$N725&amp;" "&amp;'Compliance Database'!$O725)))),1,0)</f>
        <v/>
      </c>
      <c r="B725">
        <f>IF($A725=1,SUM($A$2:$A725),"")</f>
        <v/>
      </c>
      <c r="C725">
        <f>IF($A725=1,SUM($A$2:$A725),0)</f>
        <v/>
      </c>
    </row>
    <row r="726">
      <c r="A726">
        <f>IF(AND(OR('Compliance Database'!$A726='Data Transfer'!$B$4,'Compliance Database'!$A726='Data Transfer'!$B$5),OR('Data Transfer'!$B$6="",ISNUMBER(SEARCH('Data Transfer'!$B$6,'Compliance Database'!$D726&amp;" "&amp;'Compliance Database'!$K726&amp;" "&amp;'Compliance Database'!$L726&amp;" "&amp;'Compliance Database'!$M726&amp;" "&amp;'Compliance Database'!$N726&amp;" "&amp;'Compliance Database'!$O726)))),1,0)</f>
        <v/>
      </c>
      <c r="B726">
        <f>IF($A726=1,SUM($A$2:$A726),"")</f>
        <v/>
      </c>
      <c r="C726">
        <f>IF($A726=1,SUM($A$2:$A726),0)</f>
        <v/>
      </c>
    </row>
    <row r="727">
      <c r="A727">
        <f>IF(AND(OR('Compliance Database'!$A727='Data Transfer'!$B$4,'Compliance Database'!$A727='Data Transfer'!$B$5),OR('Data Transfer'!$B$6="",ISNUMBER(SEARCH('Data Transfer'!$B$6,'Compliance Database'!$D727&amp;" "&amp;'Compliance Database'!$K727&amp;" "&amp;'Compliance Database'!$L727&amp;" "&amp;'Compliance Database'!$M727&amp;" "&amp;'Compliance Database'!$N727&amp;" "&amp;'Compliance Database'!$O727)))),1,0)</f>
        <v/>
      </c>
      <c r="B727">
        <f>IF($A727=1,SUM($A$2:$A727),"")</f>
        <v/>
      </c>
      <c r="C727">
        <f>IF($A727=1,SUM($A$2:$A727),0)</f>
        <v/>
      </c>
    </row>
    <row r="728">
      <c r="A728">
        <f>IF(AND(OR('Compliance Database'!$A728='Data Transfer'!$B$4,'Compliance Database'!$A728='Data Transfer'!$B$5),OR('Data Transfer'!$B$6="",ISNUMBER(SEARCH('Data Transfer'!$B$6,'Compliance Database'!$D728&amp;" "&amp;'Compliance Database'!$K728&amp;" "&amp;'Compliance Database'!$L728&amp;" "&amp;'Compliance Database'!$M728&amp;" "&amp;'Compliance Database'!$N728&amp;" "&amp;'Compliance Database'!$O728)))),1,0)</f>
        <v/>
      </c>
      <c r="B728">
        <f>IF($A728=1,SUM($A$2:$A728),"")</f>
        <v/>
      </c>
      <c r="C728">
        <f>IF($A728=1,SUM($A$2:$A728),0)</f>
        <v/>
      </c>
    </row>
    <row r="729">
      <c r="A729">
        <f>IF(AND(OR('Compliance Database'!$A729='Data Transfer'!$B$4,'Compliance Database'!$A729='Data Transfer'!$B$5),OR('Data Transfer'!$B$6="",ISNUMBER(SEARCH('Data Transfer'!$B$6,'Compliance Database'!$D729&amp;" "&amp;'Compliance Database'!$K729&amp;" "&amp;'Compliance Database'!$L729&amp;" "&amp;'Compliance Database'!$M729&amp;" "&amp;'Compliance Database'!$N729&amp;" "&amp;'Compliance Database'!$O729)))),1,0)</f>
        <v/>
      </c>
      <c r="B729">
        <f>IF($A729=1,SUM($A$2:$A729),"")</f>
        <v/>
      </c>
      <c r="C729">
        <f>IF($A729=1,SUM($A$2:$A729),0)</f>
        <v/>
      </c>
    </row>
    <row r="730">
      <c r="A730">
        <f>IF(AND(OR('Compliance Database'!$A730='Data Transfer'!$B$4,'Compliance Database'!$A730='Data Transfer'!$B$5),OR('Data Transfer'!$B$6="",ISNUMBER(SEARCH('Data Transfer'!$B$6,'Compliance Database'!$D730&amp;" "&amp;'Compliance Database'!$K730&amp;" "&amp;'Compliance Database'!$L730&amp;" "&amp;'Compliance Database'!$M730&amp;" "&amp;'Compliance Database'!$N730&amp;" "&amp;'Compliance Database'!$O730)))),1,0)</f>
        <v/>
      </c>
      <c r="B730">
        <f>IF($A730=1,SUM($A$2:$A730),"")</f>
        <v/>
      </c>
      <c r="C730">
        <f>IF($A730=1,SUM($A$2:$A730),0)</f>
        <v/>
      </c>
    </row>
    <row r="731">
      <c r="A731">
        <f>IF(AND(OR('Compliance Database'!$A731='Data Transfer'!$B$4,'Compliance Database'!$A731='Data Transfer'!$B$5),OR('Data Transfer'!$B$6="",ISNUMBER(SEARCH('Data Transfer'!$B$6,'Compliance Database'!$D731&amp;" "&amp;'Compliance Database'!$K731&amp;" "&amp;'Compliance Database'!$L731&amp;" "&amp;'Compliance Database'!$M731&amp;" "&amp;'Compliance Database'!$N731&amp;" "&amp;'Compliance Database'!$O731)))),1,0)</f>
        <v/>
      </c>
      <c r="B731">
        <f>IF($A731=1,SUM($A$2:$A731),"")</f>
        <v/>
      </c>
      <c r="C731">
        <f>IF($A731=1,SUM($A$2:$A731),0)</f>
        <v/>
      </c>
    </row>
    <row r="732">
      <c r="A732">
        <f>IF(AND(OR('Compliance Database'!$A732='Data Transfer'!$B$4,'Compliance Database'!$A732='Data Transfer'!$B$5),OR('Data Transfer'!$B$6="",ISNUMBER(SEARCH('Data Transfer'!$B$6,'Compliance Database'!$D732&amp;" "&amp;'Compliance Database'!$K732&amp;" "&amp;'Compliance Database'!$L732&amp;" "&amp;'Compliance Database'!$M732&amp;" "&amp;'Compliance Database'!$N732&amp;" "&amp;'Compliance Database'!$O732)))),1,0)</f>
        <v/>
      </c>
      <c r="B732">
        <f>IF($A732=1,SUM($A$2:$A732),"")</f>
        <v/>
      </c>
      <c r="C732">
        <f>IF($A732=1,SUM($A$2:$A732),0)</f>
        <v/>
      </c>
    </row>
    <row r="733">
      <c r="A733">
        <f>IF(AND(OR('Compliance Database'!$A733='Data Transfer'!$B$4,'Compliance Database'!$A733='Data Transfer'!$B$5),OR('Data Transfer'!$B$6="",ISNUMBER(SEARCH('Data Transfer'!$B$6,'Compliance Database'!$D733&amp;" "&amp;'Compliance Database'!$K733&amp;" "&amp;'Compliance Database'!$L733&amp;" "&amp;'Compliance Database'!$M733&amp;" "&amp;'Compliance Database'!$N733&amp;" "&amp;'Compliance Database'!$O733)))),1,0)</f>
        <v/>
      </c>
      <c r="B733">
        <f>IF($A733=1,SUM($A$2:$A733),"")</f>
        <v/>
      </c>
      <c r="C733">
        <f>IF($A733=1,SUM($A$2:$A733),0)</f>
        <v/>
      </c>
    </row>
    <row r="734">
      <c r="A734">
        <f>IF(AND(OR('Compliance Database'!$A734='Data Transfer'!$B$4,'Compliance Database'!$A734='Data Transfer'!$B$5),OR('Data Transfer'!$B$6="",ISNUMBER(SEARCH('Data Transfer'!$B$6,'Compliance Database'!$D734&amp;" "&amp;'Compliance Database'!$K734&amp;" "&amp;'Compliance Database'!$L734&amp;" "&amp;'Compliance Database'!$M734&amp;" "&amp;'Compliance Database'!$N734&amp;" "&amp;'Compliance Database'!$O734)))),1,0)</f>
        <v/>
      </c>
      <c r="B734">
        <f>IF($A734=1,SUM($A$2:$A734),"")</f>
        <v/>
      </c>
      <c r="C734">
        <f>IF($A734=1,SUM($A$2:$A734),0)</f>
        <v/>
      </c>
    </row>
    <row r="735">
      <c r="A735">
        <f>IF(AND(OR('Compliance Database'!$A735='Data Transfer'!$B$4,'Compliance Database'!$A735='Data Transfer'!$B$5),OR('Data Transfer'!$B$6="",ISNUMBER(SEARCH('Data Transfer'!$B$6,'Compliance Database'!$D735&amp;" "&amp;'Compliance Database'!$K735&amp;" "&amp;'Compliance Database'!$L735&amp;" "&amp;'Compliance Database'!$M735&amp;" "&amp;'Compliance Database'!$N735&amp;" "&amp;'Compliance Database'!$O735)))),1,0)</f>
        <v/>
      </c>
      <c r="B735">
        <f>IF($A735=1,SUM($A$2:$A735),"")</f>
        <v/>
      </c>
      <c r="C735">
        <f>IF($A735=1,SUM($A$2:$A735),0)</f>
        <v/>
      </c>
    </row>
    <row r="736">
      <c r="A736">
        <f>IF(AND(OR('Compliance Database'!$A736='Data Transfer'!$B$4,'Compliance Database'!$A736='Data Transfer'!$B$5),OR('Data Transfer'!$B$6="",ISNUMBER(SEARCH('Data Transfer'!$B$6,'Compliance Database'!$D736&amp;" "&amp;'Compliance Database'!$K736&amp;" "&amp;'Compliance Database'!$L736&amp;" "&amp;'Compliance Database'!$M736&amp;" "&amp;'Compliance Database'!$N736&amp;" "&amp;'Compliance Database'!$O736)))),1,0)</f>
        <v/>
      </c>
      <c r="B736">
        <f>IF($A736=1,SUM($A$2:$A736),"")</f>
        <v/>
      </c>
      <c r="C736">
        <f>IF($A736=1,SUM($A$2:$A736),0)</f>
        <v/>
      </c>
    </row>
    <row r="737">
      <c r="A737">
        <f>IF(AND(OR('Compliance Database'!$A737='Data Transfer'!$B$4,'Compliance Database'!$A737='Data Transfer'!$B$5),OR('Data Transfer'!$B$6="",ISNUMBER(SEARCH('Data Transfer'!$B$6,'Compliance Database'!$D737&amp;" "&amp;'Compliance Database'!$K737&amp;" "&amp;'Compliance Database'!$L737&amp;" "&amp;'Compliance Database'!$M737&amp;" "&amp;'Compliance Database'!$N737&amp;" "&amp;'Compliance Database'!$O737)))),1,0)</f>
        <v/>
      </c>
      <c r="B737">
        <f>IF($A737=1,SUM($A$2:$A737),"")</f>
        <v/>
      </c>
      <c r="C737">
        <f>IF($A737=1,SUM($A$2:$A737),0)</f>
        <v/>
      </c>
    </row>
    <row r="738">
      <c r="A738">
        <f>IF(AND(OR('Compliance Database'!$A738='Data Transfer'!$B$4,'Compliance Database'!$A738='Data Transfer'!$B$5),OR('Data Transfer'!$B$6="",ISNUMBER(SEARCH('Data Transfer'!$B$6,'Compliance Database'!$D738&amp;" "&amp;'Compliance Database'!$K738&amp;" "&amp;'Compliance Database'!$L738&amp;" "&amp;'Compliance Database'!$M738&amp;" "&amp;'Compliance Database'!$N738&amp;" "&amp;'Compliance Database'!$O738)))),1,0)</f>
        <v/>
      </c>
      <c r="B738">
        <f>IF($A738=1,SUM($A$2:$A738),"")</f>
        <v/>
      </c>
      <c r="C738">
        <f>IF($A738=1,SUM($A$2:$A738),0)</f>
        <v/>
      </c>
    </row>
    <row r="739">
      <c r="A739">
        <f>IF(AND(OR('Compliance Database'!$A739='Data Transfer'!$B$4,'Compliance Database'!$A739='Data Transfer'!$B$5),OR('Data Transfer'!$B$6="",ISNUMBER(SEARCH('Data Transfer'!$B$6,'Compliance Database'!$D739&amp;" "&amp;'Compliance Database'!$K739&amp;" "&amp;'Compliance Database'!$L739&amp;" "&amp;'Compliance Database'!$M739&amp;" "&amp;'Compliance Database'!$N739&amp;" "&amp;'Compliance Database'!$O739)))),1,0)</f>
        <v/>
      </c>
      <c r="B739">
        <f>IF($A739=1,SUM($A$2:$A739),"")</f>
        <v/>
      </c>
      <c r="C739">
        <f>IF($A739=1,SUM($A$2:$A739),0)</f>
        <v/>
      </c>
    </row>
    <row r="740">
      <c r="A740">
        <f>IF(AND(OR('Compliance Database'!$A740='Data Transfer'!$B$4,'Compliance Database'!$A740='Data Transfer'!$B$5),OR('Data Transfer'!$B$6="",ISNUMBER(SEARCH('Data Transfer'!$B$6,'Compliance Database'!$D740&amp;" "&amp;'Compliance Database'!$K740&amp;" "&amp;'Compliance Database'!$L740&amp;" "&amp;'Compliance Database'!$M740&amp;" "&amp;'Compliance Database'!$N740&amp;" "&amp;'Compliance Database'!$O740)))),1,0)</f>
        <v/>
      </c>
      <c r="B740">
        <f>IF($A740=1,SUM($A$2:$A740),"")</f>
        <v/>
      </c>
      <c r="C740">
        <f>IF($A740=1,SUM($A$2:$A740),0)</f>
        <v/>
      </c>
    </row>
    <row r="741">
      <c r="A741">
        <f>IF(AND(OR('Compliance Database'!$A741='Data Transfer'!$B$4,'Compliance Database'!$A741='Data Transfer'!$B$5),OR('Data Transfer'!$B$6="",ISNUMBER(SEARCH('Data Transfer'!$B$6,'Compliance Database'!$D741&amp;" "&amp;'Compliance Database'!$K741&amp;" "&amp;'Compliance Database'!$L741&amp;" "&amp;'Compliance Database'!$M741&amp;" "&amp;'Compliance Database'!$N741&amp;" "&amp;'Compliance Database'!$O741)))),1,0)</f>
        <v/>
      </c>
      <c r="B741">
        <f>IF($A741=1,SUM($A$2:$A741),"")</f>
        <v/>
      </c>
      <c r="C741">
        <f>IF($A741=1,SUM($A$2:$A741),0)</f>
        <v/>
      </c>
    </row>
    <row r="742">
      <c r="A742">
        <f>IF(AND(OR('Compliance Database'!$A742='Data Transfer'!$B$4,'Compliance Database'!$A742='Data Transfer'!$B$5),OR('Data Transfer'!$B$6="",ISNUMBER(SEARCH('Data Transfer'!$B$6,'Compliance Database'!$D742&amp;" "&amp;'Compliance Database'!$K742&amp;" "&amp;'Compliance Database'!$L742&amp;" "&amp;'Compliance Database'!$M742&amp;" "&amp;'Compliance Database'!$N742&amp;" "&amp;'Compliance Database'!$O742)))),1,0)</f>
        <v/>
      </c>
      <c r="B742">
        <f>IF($A742=1,SUM($A$2:$A742),"")</f>
        <v/>
      </c>
      <c r="C742">
        <f>IF($A742=1,SUM($A$2:$A742),0)</f>
        <v/>
      </c>
    </row>
    <row r="743">
      <c r="A743">
        <f>IF(AND(OR('Compliance Database'!$A743='Data Transfer'!$B$4,'Compliance Database'!$A743='Data Transfer'!$B$5),OR('Data Transfer'!$B$6="",ISNUMBER(SEARCH('Data Transfer'!$B$6,'Compliance Database'!$D743&amp;" "&amp;'Compliance Database'!$K743&amp;" "&amp;'Compliance Database'!$L743&amp;" "&amp;'Compliance Database'!$M743&amp;" "&amp;'Compliance Database'!$N743&amp;" "&amp;'Compliance Database'!$O743)))),1,0)</f>
        <v/>
      </c>
      <c r="B743">
        <f>IF($A743=1,SUM($A$2:$A743),"")</f>
        <v/>
      </c>
      <c r="C743">
        <f>IF($A743=1,SUM($A$2:$A743),0)</f>
        <v/>
      </c>
    </row>
    <row r="744">
      <c r="A744">
        <f>IF(AND(OR('Compliance Database'!$A744='Data Transfer'!$B$4,'Compliance Database'!$A744='Data Transfer'!$B$5),OR('Data Transfer'!$B$6="",ISNUMBER(SEARCH('Data Transfer'!$B$6,'Compliance Database'!$D744&amp;" "&amp;'Compliance Database'!$K744&amp;" "&amp;'Compliance Database'!$L744&amp;" "&amp;'Compliance Database'!$M744&amp;" "&amp;'Compliance Database'!$N744&amp;" "&amp;'Compliance Database'!$O744)))),1,0)</f>
        <v/>
      </c>
      <c r="B744">
        <f>IF($A744=1,SUM($A$2:$A744),"")</f>
        <v/>
      </c>
      <c r="C744">
        <f>IF($A744=1,SUM($A$2:$A744),0)</f>
        <v/>
      </c>
    </row>
    <row r="745">
      <c r="A745">
        <f>IF(AND(OR('Compliance Database'!$A745='Data Transfer'!$B$4,'Compliance Database'!$A745='Data Transfer'!$B$5),OR('Data Transfer'!$B$6="",ISNUMBER(SEARCH('Data Transfer'!$B$6,'Compliance Database'!$D745&amp;" "&amp;'Compliance Database'!$K745&amp;" "&amp;'Compliance Database'!$L745&amp;" "&amp;'Compliance Database'!$M745&amp;" "&amp;'Compliance Database'!$N745&amp;" "&amp;'Compliance Database'!$O745)))),1,0)</f>
        <v/>
      </c>
      <c r="B745">
        <f>IF($A745=1,SUM($A$2:$A745),"")</f>
        <v/>
      </c>
      <c r="C745">
        <f>IF($A745=1,SUM($A$2:$A745),0)</f>
        <v/>
      </c>
    </row>
    <row r="746">
      <c r="A746">
        <f>IF(AND(OR('Compliance Database'!$A746='Data Transfer'!$B$4,'Compliance Database'!$A746='Data Transfer'!$B$5),OR('Data Transfer'!$B$6="",ISNUMBER(SEARCH('Data Transfer'!$B$6,'Compliance Database'!$D746&amp;" "&amp;'Compliance Database'!$K746&amp;" "&amp;'Compliance Database'!$L746&amp;" "&amp;'Compliance Database'!$M746&amp;" "&amp;'Compliance Database'!$N746&amp;" "&amp;'Compliance Database'!$O746)))),1,0)</f>
        <v/>
      </c>
      <c r="B746">
        <f>IF($A746=1,SUM($A$2:$A746),"")</f>
        <v/>
      </c>
      <c r="C746">
        <f>IF($A746=1,SUM($A$2:$A746),0)</f>
        <v/>
      </c>
    </row>
    <row r="747">
      <c r="A747">
        <f>IF(AND(OR('Compliance Database'!$A747='Data Transfer'!$B$4,'Compliance Database'!$A747='Data Transfer'!$B$5),OR('Data Transfer'!$B$6="",ISNUMBER(SEARCH('Data Transfer'!$B$6,'Compliance Database'!$D747&amp;" "&amp;'Compliance Database'!$K747&amp;" "&amp;'Compliance Database'!$L747&amp;" "&amp;'Compliance Database'!$M747&amp;" "&amp;'Compliance Database'!$N747&amp;" "&amp;'Compliance Database'!$O747)))),1,0)</f>
        <v/>
      </c>
      <c r="B747">
        <f>IF($A747=1,SUM($A$2:$A747),"")</f>
        <v/>
      </c>
      <c r="C747">
        <f>IF($A747=1,SUM($A$2:$A747),0)</f>
        <v/>
      </c>
    </row>
    <row r="748">
      <c r="A748">
        <f>IF(AND(OR('Compliance Database'!$A748='Data Transfer'!$B$4,'Compliance Database'!$A748='Data Transfer'!$B$5),OR('Data Transfer'!$B$6="",ISNUMBER(SEARCH('Data Transfer'!$B$6,'Compliance Database'!$D748&amp;" "&amp;'Compliance Database'!$K748&amp;" "&amp;'Compliance Database'!$L748&amp;" "&amp;'Compliance Database'!$M748&amp;" "&amp;'Compliance Database'!$N748&amp;" "&amp;'Compliance Database'!$O748)))),1,0)</f>
        <v/>
      </c>
      <c r="B748">
        <f>IF($A748=1,SUM($A$2:$A748),"")</f>
        <v/>
      </c>
      <c r="C748">
        <f>IF($A748=1,SUM($A$2:$A748),0)</f>
        <v/>
      </c>
    </row>
    <row r="749">
      <c r="A749">
        <f>IF(AND(OR('Compliance Database'!$A749='Data Transfer'!$B$4,'Compliance Database'!$A749='Data Transfer'!$B$5),OR('Data Transfer'!$B$6="",ISNUMBER(SEARCH('Data Transfer'!$B$6,'Compliance Database'!$D749&amp;" "&amp;'Compliance Database'!$K749&amp;" "&amp;'Compliance Database'!$L749&amp;" "&amp;'Compliance Database'!$M749&amp;" "&amp;'Compliance Database'!$N749&amp;" "&amp;'Compliance Database'!$O749)))),1,0)</f>
        <v/>
      </c>
      <c r="B749">
        <f>IF($A749=1,SUM($A$2:$A749),"")</f>
        <v/>
      </c>
      <c r="C749">
        <f>IF($A749=1,SUM($A$2:$A749),0)</f>
        <v/>
      </c>
    </row>
    <row r="750">
      <c r="A750">
        <f>IF(AND(OR('Compliance Database'!$A750='Data Transfer'!$B$4,'Compliance Database'!$A750='Data Transfer'!$B$5),OR('Data Transfer'!$B$6="",ISNUMBER(SEARCH('Data Transfer'!$B$6,'Compliance Database'!$D750&amp;" "&amp;'Compliance Database'!$K750&amp;" "&amp;'Compliance Database'!$L750&amp;" "&amp;'Compliance Database'!$M750&amp;" "&amp;'Compliance Database'!$N750&amp;" "&amp;'Compliance Database'!$O750)))),1,0)</f>
        <v/>
      </c>
      <c r="B750">
        <f>IF($A750=1,SUM($A$2:$A750),"")</f>
        <v/>
      </c>
      <c r="C750">
        <f>IF($A750=1,SUM($A$2:$A750),0)</f>
        <v/>
      </c>
    </row>
    <row r="751">
      <c r="A751">
        <f>IF(AND(OR('Compliance Database'!$A751='Data Transfer'!$B$4,'Compliance Database'!$A751='Data Transfer'!$B$5),OR('Data Transfer'!$B$6="",ISNUMBER(SEARCH('Data Transfer'!$B$6,'Compliance Database'!$D751&amp;" "&amp;'Compliance Database'!$K751&amp;" "&amp;'Compliance Database'!$L751&amp;" "&amp;'Compliance Database'!$M751&amp;" "&amp;'Compliance Database'!$N751&amp;" "&amp;'Compliance Database'!$O751)))),1,0)</f>
        <v/>
      </c>
      <c r="B751">
        <f>IF($A751=1,SUM($A$2:$A751),"")</f>
        <v/>
      </c>
      <c r="C751">
        <f>IF($A751=1,SUM($A$2:$A751),0)</f>
        <v/>
      </c>
    </row>
    <row r="752">
      <c r="A752">
        <f>IF(AND(OR('Compliance Database'!$A752='Data Transfer'!$B$4,'Compliance Database'!$A752='Data Transfer'!$B$5),OR('Data Transfer'!$B$6="",ISNUMBER(SEARCH('Data Transfer'!$B$6,'Compliance Database'!$D752&amp;" "&amp;'Compliance Database'!$K752&amp;" "&amp;'Compliance Database'!$L752&amp;" "&amp;'Compliance Database'!$M752&amp;" "&amp;'Compliance Database'!$N752&amp;" "&amp;'Compliance Database'!$O752)))),1,0)</f>
        <v/>
      </c>
      <c r="B752">
        <f>IF($A752=1,SUM($A$2:$A752),"")</f>
        <v/>
      </c>
      <c r="C752">
        <f>IF($A752=1,SUM($A$2:$A752),0)</f>
        <v/>
      </c>
    </row>
    <row r="753">
      <c r="A753">
        <f>IF(AND(OR('Compliance Database'!$A753='Data Transfer'!$B$4,'Compliance Database'!$A753='Data Transfer'!$B$5),OR('Data Transfer'!$B$6="",ISNUMBER(SEARCH('Data Transfer'!$B$6,'Compliance Database'!$D753&amp;" "&amp;'Compliance Database'!$K753&amp;" "&amp;'Compliance Database'!$L753&amp;" "&amp;'Compliance Database'!$M753&amp;" "&amp;'Compliance Database'!$N753&amp;" "&amp;'Compliance Database'!$O753)))),1,0)</f>
        <v/>
      </c>
      <c r="B753">
        <f>IF($A753=1,SUM($A$2:$A753),"")</f>
        <v/>
      </c>
      <c r="C753">
        <f>IF($A753=1,SUM($A$2:$A753),0)</f>
        <v/>
      </c>
    </row>
    <row r="754">
      <c r="A754">
        <f>IF(AND(OR('Compliance Database'!$A754='Data Transfer'!$B$4,'Compliance Database'!$A754='Data Transfer'!$B$5),OR('Data Transfer'!$B$6="",ISNUMBER(SEARCH('Data Transfer'!$B$6,'Compliance Database'!$D754&amp;" "&amp;'Compliance Database'!$K754&amp;" "&amp;'Compliance Database'!$L754&amp;" "&amp;'Compliance Database'!$M754&amp;" "&amp;'Compliance Database'!$N754&amp;" "&amp;'Compliance Database'!$O754)))),1,0)</f>
        <v/>
      </c>
      <c r="B754">
        <f>IF($A754=1,SUM($A$2:$A754),"")</f>
        <v/>
      </c>
      <c r="C754">
        <f>IF($A754=1,SUM($A$2:$A754),0)</f>
        <v/>
      </c>
    </row>
    <row r="755">
      <c r="A755">
        <f>IF(AND(OR('Compliance Database'!$A755='Data Transfer'!$B$4,'Compliance Database'!$A755='Data Transfer'!$B$5),OR('Data Transfer'!$B$6="",ISNUMBER(SEARCH('Data Transfer'!$B$6,'Compliance Database'!$D755&amp;" "&amp;'Compliance Database'!$K755&amp;" "&amp;'Compliance Database'!$L755&amp;" "&amp;'Compliance Database'!$M755&amp;" "&amp;'Compliance Database'!$N755&amp;" "&amp;'Compliance Database'!$O755)))),1,0)</f>
        <v/>
      </c>
      <c r="B755">
        <f>IF($A755=1,SUM($A$2:$A755),"")</f>
        <v/>
      </c>
      <c r="C755">
        <f>IF($A755=1,SUM($A$2:$A755),0)</f>
        <v/>
      </c>
    </row>
    <row r="756">
      <c r="A756">
        <f>IF(AND(OR('Compliance Database'!$A756='Data Transfer'!$B$4,'Compliance Database'!$A756='Data Transfer'!$B$5),OR('Data Transfer'!$B$6="",ISNUMBER(SEARCH('Data Transfer'!$B$6,'Compliance Database'!$D756&amp;" "&amp;'Compliance Database'!$K756&amp;" "&amp;'Compliance Database'!$L756&amp;" "&amp;'Compliance Database'!$M756&amp;" "&amp;'Compliance Database'!$N756&amp;" "&amp;'Compliance Database'!$O756)))),1,0)</f>
        <v/>
      </c>
      <c r="B756">
        <f>IF($A756=1,SUM($A$2:$A756),"")</f>
        <v/>
      </c>
      <c r="C756">
        <f>IF($A756=1,SUM($A$2:$A756),0)</f>
        <v/>
      </c>
    </row>
    <row r="757">
      <c r="A757">
        <f>IF(AND(OR('Compliance Database'!$A757='Data Transfer'!$B$4,'Compliance Database'!$A757='Data Transfer'!$B$5),OR('Data Transfer'!$B$6="",ISNUMBER(SEARCH('Data Transfer'!$B$6,'Compliance Database'!$D757&amp;" "&amp;'Compliance Database'!$K757&amp;" "&amp;'Compliance Database'!$L757&amp;" "&amp;'Compliance Database'!$M757&amp;" "&amp;'Compliance Database'!$N757&amp;" "&amp;'Compliance Database'!$O757)))),1,0)</f>
        <v/>
      </c>
      <c r="B757">
        <f>IF($A757=1,SUM($A$2:$A757),"")</f>
        <v/>
      </c>
      <c r="C757">
        <f>IF($A757=1,SUM($A$2:$A757),0)</f>
        <v/>
      </c>
    </row>
    <row r="758">
      <c r="A758">
        <f>IF(AND(OR('Compliance Database'!$A758='Data Transfer'!$B$4,'Compliance Database'!$A758='Data Transfer'!$B$5),OR('Data Transfer'!$B$6="",ISNUMBER(SEARCH('Data Transfer'!$B$6,'Compliance Database'!$D758&amp;" "&amp;'Compliance Database'!$K758&amp;" "&amp;'Compliance Database'!$L758&amp;" "&amp;'Compliance Database'!$M758&amp;" "&amp;'Compliance Database'!$N758&amp;" "&amp;'Compliance Database'!$O758)))),1,0)</f>
        <v/>
      </c>
      <c r="B758">
        <f>IF($A758=1,SUM($A$2:$A758),"")</f>
        <v/>
      </c>
      <c r="C758">
        <f>IF($A758=1,SUM($A$2:$A758),0)</f>
        <v/>
      </c>
    </row>
    <row r="759">
      <c r="A759">
        <f>IF(AND(OR('Compliance Database'!$A759='Data Transfer'!$B$4,'Compliance Database'!$A759='Data Transfer'!$B$5),OR('Data Transfer'!$B$6="",ISNUMBER(SEARCH('Data Transfer'!$B$6,'Compliance Database'!$D759&amp;" "&amp;'Compliance Database'!$K759&amp;" "&amp;'Compliance Database'!$L759&amp;" "&amp;'Compliance Database'!$M759&amp;" "&amp;'Compliance Database'!$N759&amp;" "&amp;'Compliance Database'!$O759)))),1,0)</f>
        <v/>
      </c>
      <c r="B759">
        <f>IF($A759=1,SUM($A$2:$A759),"")</f>
        <v/>
      </c>
      <c r="C759">
        <f>IF($A759=1,SUM($A$2:$A759),0)</f>
        <v/>
      </c>
    </row>
    <row r="760">
      <c r="A760">
        <f>IF(AND(OR('Compliance Database'!$A760='Data Transfer'!$B$4,'Compliance Database'!$A760='Data Transfer'!$B$5),OR('Data Transfer'!$B$6="",ISNUMBER(SEARCH('Data Transfer'!$B$6,'Compliance Database'!$D760&amp;" "&amp;'Compliance Database'!$K760&amp;" "&amp;'Compliance Database'!$L760&amp;" "&amp;'Compliance Database'!$M760&amp;" "&amp;'Compliance Database'!$N760&amp;" "&amp;'Compliance Database'!$O760)))),1,0)</f>
        <v/>
      </c>
      <c r="B760">
        <f>IF($A760=1,SUM($A$2:$A760),"")</f>
        <v/>
      </c>
      <c r="C760">
        <f>IF($A760=1,SUM($A$2:$A760),0)</f>
        <v/>
      </c>
    </row>
    <row r="761">
      <c r="A761">
        <f>IF(AND(OR('Compliance Database'!$A761='Data Transfer'!$B$4,'Compliance Database'!$A761='Data Transfer'!$B$5),OR('Data Transfer'!$B$6="",ISNUMBER(SEARCH('Data Transfer'!$B$6,'Compliance Database'!$D761&amp;" "&amp;'Compliance Database'!$K761&amp;" "&amp;'Compliance Database'!$L761&amp;" "&amp;'Compliance Database'!$M761&amp;" "&amp;'Compliance Database'!$N761&amp;" "&amp;'Compliance Database'!$O761)))),1,0)</f>
        <v/>
      </c>
      <c r="B761">
        <f>IF($A761=1,SUM($A$2:$A761),"")</f>
        <v/>
      </c>
      <c r="C761">
        <f>IF($A761=1,SUM($A$2:$A761),0)</f>
        <v/>
      </c>
    </row>
    <row r="762">
      <c r="A762">
        <f>IF(AND(OR('Compliance Database'!$A762='Data Transfer'!$B$4,'Compliance Database'!$A762='Data Transfer'!$B$5),OR('Data Transfer'!$B$6="",ISNUMBER(SEARCH('Data Transfer'!$B$6,'Compliance Database'!$D762&amp;" "&amp;'Compliance Database'!$K762&amp;" "&amp;'Compliance Database'!$L762&amp;" "&amp;'Compliance Database'!$M762&amp;" "&amp;'Compliance Database'!$N762&amp;" "&amp;'Compliance Database'!$O762)))),1,0)</f>
        <v/>
      </c>
      <c r="B762">
        <f>IF($A762=1,SUM($A$2:$A762),"")</f>
        <v/>
      </c>
      <c r="C762">
        <f>IF($A762=1,SUM($A$2:$A762),0)</f>
        <v/>
      </c>
    </row>
    <row r="763">
      <c r="A763">
        <f>IF(AND(OR('Compliance Database'!$A763='Data Transfer'!$B$4,'Compliance Database'!$A763='Data Transfer'!$B$5),OR('Data Transfer'!$B$6="",ISNUMBER(SEARCH('Data Transfer'!$B$6,'Compliance Database'!$D763&amp;" "&amp;'Compliance Database'!$K763&amp;" "&amp;'Compliance Database'!$L763&amp;" "&amp;'Compliance Database'!$M763&amp;" "&amp;'Compliance Database'!$N763&amp;" "&amp;'Compliance Database'!$O763)))),1,0)</f>
        <v/>
      </c>
      <c r="B763">
        <f>IF($A763=1,SUM($A$2:$A763),"")</f>
        <v/>
      </c>
      <c r="C763">
        <f>IF($A763=1,SUM($A$2:$A763),0)</f>
        <v/>
      </c>
    </row>
    <row r="764">
      <c r="A764">
        <f>IF(AND(OR('Compliance Database'!$A764='Data Transfer'!$B$4,'Compliance Database'!$A764='Data Transfer'!$B$5),OR('Data Transfer'!$B$6="",ISNUMBER(SEARCH('Data Transfer'!$B$6,'Compliance Database'!$D764&amp;" "&amp;'Compliance Database'!$K764&amp;" "&amp;'Compliance Database'!$L764&amp;" "&amp;'Compliance Database'!$M764&amp;" "&amp;'Compliance Database'!$N764&amp;" "&amp;'Compliance Database'!$O764)))),1,0)</f>
        <v/>
      </c>
      <c r="B764">
        <f>IF($A764=1,SUM($A$2:$A764),"")</f>
        <v/>
      </c>
      <c r="C764">
        <f>IF($A764=1,SUM($A$2:$A764),0)</f>
        <v/>
      </c>
    </row>
    <row r="765">
      <c r="A765">
        <f>IF(AND(OR('Compliance Database'!$A765='Data Transfer'!$B$4,'Compliance Database'!$A765='Data Transfer'!$B$5),OR('Data Transfer'!$B$6="",ISNUMBER(SEARCH('Data Transfer'!$B$6,'Compliance Database'!$D765&amp;" "&amp;'Compliance Database'!$K765&amp;" "&amp;'Compliance Database'!$L765&amp;" "&amp;'Compliance Database'!$M765&amp;" "&amp;'Compliance Database'!$N765&amp;" "&amp;'Compliance Database'!$O765)))),1,0)</f>
        <v/>
      </c>
      <c r="B765">
        <f>IF($A765=1,SUM($A$2:$A765),"")</f>
        <v/>
      </c>
      <c r="C765">
        <f>IF($A765=1,SUM($A$2:$A765),0)</f>
        <v/>
      </c>
    </row>
    <row r="766">
      <c r="A766">
        <f>IF(AND(OR('Compliance Database'!$A766='Data Transfer'!$B$4,'Compliance Database'!$A766='Data Transfer'!$B$5),OR('Data Transfer'!$B$6="",ISNUMBER(SEARCH('Data Transfer'!$B$6,'Compliance Database'!$D766&amp;" "&amp;'Compliance Database'!$K766&amp;" "&amp;'Compliance Database'!$L766&amp;" "&amp;'Compliance Database'!$M766&amp;" "&amp;'Compliance Database'!$N766&amp;" "&amp;'Compliance Database'!$O766)))),1,0)</f>
        <v/>
      </c>
      <c r="B766">
        <f>IF($A766=1,SUM($A$2:$A766),"")</f>
        <v/>
      </c>
      <c r="C766">
        <f>IF($A766=1,SUM($A$2:$A766),0)</f>
        <v/>
      </c>
    </row>
    <row r="767">
      <c r="A767">
        <f>IF(AND(OR('Compliance Database'!$A767='Data Transfer'!$B$4,'Compliance Database'!$A767='Data Transfer'!$B$5),OR('Data Transfer'!$B$6="",ISNUMBER(SEARCH('Data Transfer'!$B$6,'Compliance Database'!$D767&amp;" "&amp;'Compliance Database'!$K767&amp;" "&amp;'Compliance Database'!$L767&amp;" "&amp;'Compliance Database'!$M767&amp;" "&amp;'Compliance Database'!$N767&amp;" "&amp;'Compliance Database'!$O767)))),1,0)</f>
        <v/>
      </c>
      <c r="B767">
        <f>IF($A767=1,SUM($A$2:$A767),"")</f>
        <v/>
      </c>
      <c r="C767">
        <f>IF($A767=1,SUM($A$2:$A767),0)</f>
        <v/>
      </c>
    </row>
    <row r="768">
      <c r="A768">
        <f>IF(AND(OR('Compliance Database'!$A768='Data Transfer'!$B$4,'Compliance Database'!$A768='Data Transfer'!$B$5),OR('Data Transfer'!$B$6="",ISNUMBER(SEARCH('Data Transfer'!$B$6,'Compliance Database'!$D768&amp;" "&amp;'Compliance Database'!$K768&amp;" "&amp;'Compliance Database'!$L768&amp;" "&amp;'Compliance Database'!$M768&amp;" "&amp;'Compliance Database'!$N768&amp;" "&amp;'Compliance Database'!$O768)))),1,0)</f>
        <v/>
      </c>
      <c r="B768">
        <f>IF($A768=1,SUM($A$2:$A768),"")</f>
        <v/>
      </c>
      <c r="C768">
        <f>IF($A768=1,SUM($A$2:$A768),0)</f>
        <v/>
      </c>
    </row>
    <row r="769">
      <c r="A769">
        <f>IF(AND(OR('Compliance Database'!$A769='Data Transfer'!$B$4,'Compliance Database'!$A769='Data Transfer'!$B$5),OR('Data Transfer'!$B$6="",ISNUMBER(SEARCH('Data Transfer'!$B$6,'Compliance Database'!$D769&amp;" "&amp;'Compliance Database'!$K769&amp;" "&amp;'Compliance Database'!$L769&amp;" "&amp;'Compliance Database'!$M769&amp;" "&amp;'Compliance Database'!$N769&amp;" "&amp;'Compliance Database'!$O769)))),1,0)</f>
        <v/>
      </c>
      <c r="B769">
        <f>IF($A769=1,SUM($A$2:$A769),"")</f>
        <v/>
      </c>
      <c r="C769">
        <f>IF($A769=1,SUM($A$2:$A769),0)</f>
        <v/>
      </c>
    </row>
    <row r="770">
      <c r="A770">
        <f>IF(AND(OR('Compliance Database'!$A770='Data Transfer'!$B$4,'Compliance Database'!$A770='Data Transfer'!$B$5),OR('Data Transfer'!$B$6="",ISNUMBER(SEARCH('Data Transfer'!$B$6,'Compliance Database'!$D770&amp;" "&amp;'Compliance Database'!$K770&amp;" "&amp;'Compliance Database'!$L770&amp;" "&amp;'Compliance Database'!$M770&amp;" "&amp;'Compliance Database'!$N770&amp;" "&amp;'Compliance Database'!$O770)))),1,0)</f>
        <v/>
      </c>
      <c r="B770">
        <f>IF($A770=1,SUM($A$2:$A770),"")</f>
        <v/>
      </c>
      <c r="C770">
        <f>IF($A770=1,SUM($A$2:$A770),0)</f>
        <v/>
      </c>
    </row>
    <row r="771">
      <c r="A771">
        <f>IF(AND(OR('Compliance Database'!$A771='Data Transfer'!$B$4,'Compliance Database'!$A771='Data Transfer'!$B$5),OR('Data Transfer'!$B$6="",ISNUMBER(SEARCH('Data Transfer'!$B$6,'Compliance Database'!$D771&amp;" "&amp;'Compliance Database'!$K771&amp;" "&amp;'Compliance Database'!$L771&amp;" "&amp;'Compliance Database'!$M771&amp;" "&amp;'Compliance Database'!$N771&amp;" "&amp;'Compliance Database'!$O771)))),1,0)</f>
        <v/>
      </c>
      <c r="B771">
        <f>IF($A771=1,SUM($A$2:$A771),"")</f>
        <v/>
      </c>
      <c r="C771">
        <f>IF($A771=1,SUM($A$2:$A771),0)</f>
        <v/>
      </c>
    </row>
    <row r="772">
      <c r="A772">
        <f>IF(AND(OR('Compliance Database'!$A772='Data Transfer'!$B$4,'Compliance Database'!$A772='Data Transfer'!$B$5),OR('Data Transfer'!$B$6="",ISNUMBER(SEARCH('Data Transfer'!$B$6,'Compliance Database'!$D772&amp;" "&amp;'Compliance Database'!$K772&amp;" "&amp;'Compliance Database'!$L772&amp;" "&amp;'Compliance Database'!$M772&amp;" "&amp;'Compliance Database'!$N772&amp;" "&amp;'Compliance Database'!$O772)))),1,0)</f>
        <v/>
      </c>
      <c r="B772">
        <f>IF($A772=1,SUM($A$2:$A772),"")</f>
        <v/>
      </c>
      <c r="C772">
        <f>IF($A772=1,SUM($A$2:$A772),0)</f>
        <v/>
      </c>
    </row>
    <row r="773">
      <c r="A773">
        <f>IF(AND(OR('Compliance Database'!$A773='Data Transfer'!$B$4,'Compliance Database'!$A773='Data Transfer'!$B$5),OR('Data Transfer'!$B$6="",ISNUMBER(SEARCH('Data Transfer'!$B$6,'Compliance Database'!$D773&amp;" "&amp;'Compliance Database'!$K773&amp;" "&amp;'Compliance Database'!$L773&amp;" "&amp;'Compliance Database'!$M773&amp;" "&amp;'Compliance Database'!$N773&amp;" "&amp;'Compliance Database'!$O773)))),1,0)</f>
        <v/>
      </c>
      <c r="B773">
        <f>IF($A773=1,SUM($A$2:$A773),"")</f>
        <v/>
      </c>
      <c r="C773">
        <f>IF($A773=1,SUM($A$2:$A773),0)</f>
        <v/>
      </c>
    </row>
    <row r="774">
      <c r="A774">
        <f>IF(AND(OR('Compliance Database'!$A774='Data Transfer'!$B$4,'Compliance Database'!$A774='Data Transfer'!$B$5),OR('Data Transfer'!$B$6="",ISNUMBER(SEARCH('Data Transfer'!$B$6,'Compliance Database'!$D774&amp;" "&amp;'Compliance Database'!$K774&amp;" "&amp;'Compliance Database'!$L774&amp;" "&amp;'Compliance Database'!$M774&amp;" "&amp;'Compliance Database'!$N774&amp;" "&amp;'Compliance Database'!$O774)))),1,0)</f>
        <v/>
      </c>
      <c r="B774">
        <f>IF($A774=1,SUM($A$2:$A774),"")</f>
        <v/>
      </c>
      <c r="C774">
        <f>IF($A774=1,SUM($A$2:$A774),0)</f>
        <v/>
      </c>
    </row>
    <row r="775">
      <c r="A775">
        <f>IF(AND(OR('Compliance Database'!$A775='Data Transfer'!$B$4,'Compliance Database'!$A775='Data Transfer'!$B$5),OR('Data Transfer'!$B$6="",ISNUMBER(SEARCH('Data Transfer'!$B$6,'Compliance Database'!$D775&amp;" "&amp;'Compliance Database'!$K775&amp;" "&amp;'Compliance Database'!$L775&amp;" "&amp;'Compliance Database'!$M775&amp;" "&amp;'Compliance Database'!$N775&amp;" "&amp;'Compliance Database'!$O775)))),1,0)</f>
        <v/>
      </c>
      <c r="B775">
        <f>IF($A775=1,SUM($A$2:$A775),"")</f>
        <v/>
      </c>
      <c r="C775">
        <f>IF($A775=1,SUM($A$2:$A775),0)</f>
        <v/>
      </c>
    </row>
    <row r="776">
      <c r="A776">
        <f>IF(AND(OR('Compliance Database'!$A776='Data Transfer'!$B$4,'Compliance Database'!$A776='Data Transfer'!$B$5),OR('Data Transfer'!$B$6="",ISNUMBER(SEARCH('Data Transfer'!$B$6,'Compliance Database'!$D776&amp;" "&amp;'Compliance Database'!$K776&amp;" "&amp;'Compliance Database'!$L776&amp;" "&amp;'Compliance Database'!$M776&amp;" "&amp;'Compliance Database'!$N776&amp;" "&amp;'Compliance Database'!$O776)))),1,0)</f>
        <v/>
      </c>
      <c r="B776">
        <f>IF($A776=1,SUM($A$2:$A776),"")</f>
        <v/>
      </c>
      <c r="C776">
        <f>IF($A776=1,SUM($A$2:$A776),0)</f>
        <v/>
      </c>
    </row>
    <row r="777">
      <c r="A777">
        <f>IF(AND(OR('Compliance Database'!$A777='Data Transfer'!$B$4,'Compliance Database'!$A777='Data Transfer'!$B$5),OR('Data Transfer'!$B$6="",ISNUMBER(SEARCH('Data Transfer'!$B$6,'Compliance Database'!$D777&amp;" "&amp;'Compliance Database'!$K777&amp;" "&amp;'Compliance Database'!$L777&amp;" "&amp;'Compliance Database'!$M777&amp;" "&amp;'Compliance Database'!$N777&amp;" "&amp;'Compliance Database'!$O777)))),1,0)</f>
        <v/>
      </c>
      <c r="B777">
        <f>IF($A777=1,SUM($A$2:$A777),"")</f>
        <v/>
      </c>
      <c r="C777">
        <f>IF($A777=1,SUM($A$2:$A777),0)</f>
        <v/>
      </c>
    </row>
    <row r="778">
      <c r="A778">
        <f>IF(AND(OR('Compliance Database'!$A778='Data Transfer'!$B$4,'Compliance Database'!$A778='Data Transfer'!$B$5),OR('Data Transfer'!$B$6="",ISNUMBER(SEARCH('Data Transfer'!$B$6,'Compliance Database'!$D778&amp;" "&amp;'Compliance Database'!$K778&amp;" "&amp;'Compliance Database'!$L778&amp;" "&amp;'Compliance Database'!$M778&amp;" "&amp;'Compliance Database'!$N778&amp;" "&amp;'Compliance Database'!$O778)))),1,0)</f>
        <v/>
      </c>
      <c r="B778">
        <f>IF($A778=1,SUM($A$2:$A778),"")</f>
        <v/>
      </c>
      <c r="C778">
        <f>IF($A778=1,SUM($A$2:$A778),0)</f>
        <v/>
      </c>
    </row>
    <row r="779">
      <c r="A779">
        <f>IF(AND(OR('Compliance Database'!$A779='Data Transfer'!$B$4,'Compliance Database'!$A779='Data Transfer'!$B$5),OR('Data Transfer'!$B$6="",ISNUMBER(SEARCH('Data Transfer'!$B$6,'Compliance Database'!$D779&amp;" "&amp;'Compliance Database'!$K779&amp;" "&amp;'Compliance Database'!$L779&amp;" "&amp;'Compliance Database'!$M779&amp;" "&amp;'Compliance Database'!$N779&amp;" "&amp;'Compliance Database'!$O779)))),1,0)</f>
        <v/>
      </c>
      <c r="B779">
        <f>IF($A779=1,SUM($A$2:$A779),"")</f>
        <v/>
      </c>
      <c r="C779">
        <f>IF($A779=1,SUM($A$2:$A779),0)</f>
        <v/>
      </c>
    </row>
    <row r="780">
      <c r="A780">
        <f>IF(AND(OR('Compliance Database'!$A780='Data Transfer'!$B$4,'Compliance Database'!$A780='Data Transfer'!$B$5),OR('Data Transfer'!$B$6="",ISNUMBER(SEARCH('Data Transfer'!$B$6,'Compliance Database'!$D780&amp;" "&amp;'Compliance Database'!$K780&amp;" "&amp;'Compliance Database'!$L780&amp;" "&amp;'Compliance Database'!$M780&amp;" "&amp;'Compliance Database'!$N780&amp;" "&amp;'Compliance Database'!$O780)))),1,0)</f>
        <v/>
      </c>
      <c r="B780">
        <f>IF($A780=1,SUM($A$2:$A780),"")</f>
        <v/>
      </c>
      <c r="C780">
        <f>IF($A780=1,SUM($A$2:$A780),0)</f>
        <v/>
      </c>
    </row>
    <row r="781">
      <c r="A781">
        <f>IF(AND(OR('Compliance Database'!$A781='Data Transfer'!$B$4,'Compliance Database'!$A781='Data Transfer'!$B$5),OR('Data Transfer'!$B$6="",ISNUMBER(SEARCH('Data Transfer'!$B$6,'Compliance Database'!$D781&amp;" "&amp;'Compliance Database'!$K781&amp;" "&amp;'Compliance Database'!$L781&amp;" "&amp;'Compliance Database'!$M781&amp;" "&amp;'Compliance Database'!$N781&amp;" "&amp;'Compliance Database'!$O781)))),1,0)</f>
        <v/>
      </c>
      <c r="B781">
        <f>IF($A781=1,SUM($A$2:$A781),"")</f>
        <v/>
      </c>
      <c r="C781">
        <f>IF($A781=1,SUM($A$2:$A781),0)</f>
        <v/>
      </c>
    </row>
    <row r="782">
      <c r="A782">
        <f>IF(AND(OR('Compliance Database'!$A782='Data Transfer'!$B$4,'Compliance Database'!$A782='Data Transfer'!$B$5),OR('Data Transfer'!$B$6="",ISNUMBER(SEARCH('Data Transfer'!$B$6,'Compliance Database'!$D782&amp;" "&amp;'Compliance Database'!$K782&amp;" "&amp;'Compliance Database'!$L782&amp;" "&amp;'Compliance Database'!$M782&amp;" "&amp;'Compliance Database'!$N782&amp;" "&amp;'Compliance Database'!$O782)))),1,0)</f>
        <v/>
      </c>
      <c r="B782">
        <f>IF($A782=1,SUM($A$2:$A782),"")</f>
        <v/>
      </c>
      <c r="C782">
        <f>IF($A782=1,SUM($A$2:$A782),0)</f>
        <v/>
      </c>
    </row>
    <row r="783">
      <c r="A783">
        <f>IF(AND(OR('Compliance Database'!$A783='Data Transfer'!$B$4,'Compliance Database'!$A783='Data Transfer'!$B$5),OR('Data Transfer'!$B$6="",ISNUMBER(SEARCH('Data Transfer'!$B$6,'Compliance Database'!$D783&amp;" "&amp;'Compliance Database'!$K783&amp;" "&amp;'Compliance Database'!$L783&amp;" "&amp;'Compliance Database'!$M783&amp;" "&amp;'Compliance Database'!$N783&amp;" "&amp;'Compliance Database'!$O783)))),1,0)</f>
        <v/>
      </c>
      <c r="B783">
        <f>IF($A783=1,SUM($A$2:$A783),"")</f>
        <v/>
      </c>
      <c r="C783">
        <f>IF($A783=1,SUM($A$2:$A783),0)</f>
        <v/>
      </c>
    </row>
    <row r="784">
      <c r="A784">
        <f>IF(AND(OR('Compliance Database'!$A784='Data Transfer'!$B$4,'Compliance Database'!$A784='Data Transfer'!$B$5),OR('Data Transfer'!$B$6="",ISNUMBER(SEARCH('Data Transfer'!$B$6,'Compliance Database'!$D784&amp;" "&amp;'Compliance Database'!$K784&amp;" "&amp;'Compliance Database'!$L784&amp;" "&amp;'Compliance Database'!$M784&amp;" "&amp;'Compliance Database'!$N784&amp;" "&amp;'Compliance Database'!$O784)))),1,0)</f>
        <v/>
      </c>
      <c r="B784">
        <f>IF($A784=1,SUM($A$2:$A784),"")</f>
        <v/>
      </c>
      <c r="C784">
        <f>IF($A784=1,SUM($A$2:$A784),0)</f>
        <v/>
      </c>
    </row>
    <row r="785">
      <c r="A785">
        <f>IF(AND(OR('Compliance Database'!$A785='Data Transfer'!$B$4,'Compliance Database'!$A785='Data Transfer'!$B$5),OR('Data Transfer'!$B$6="",ISNUMBER(SEARCH('Data Transfer'!$B$6,'Compliance Database'!$D785&amp;" "&amp;'Compliance Database'!$K785&amp;" "&amp;'Compliance Database'!$L785&amp;" "&amp;'Compliance Database'!$M785&amp;" "&amp;'Compliance Database'!$N785&amp;" "&amp;'Compliance Database'!$O785)))),1,0)</f>
        <v/>
      </c>
      <c r="B785">
        <f>IF($A785=1,SUM($A$2:$A785),"")</f>
        <v/>
      </c>
      <c r="C785">
        <f>IF($A785=1,SUM($A$2:$A785),0)</f>
        <v/>
      </c>
    </row>
    <row r="786">
      <c r="A786">
        <f>IF(AND(OR('Compliance Database'!$A786='Data Transfer'!$B$4,'Compliance Database'!$A786='Data Transfer'!$B$5),OR('Data Transfer'!$B$6="",ISNUMBER(SEARCH('Data Transfer'!$B$6,'Compliance Database'!$D786&amp;" "&amp;'Compliance Database'!$K786&amp;" "&amp;'Compliance Database'!$L786&amp;" "&amp;'Compliance Database'!$M786&amp;" "&amp;'Compliance Database'!$N786&amp;" "&amp;'Compliance Database'!$O786)))),1,0)</f>
        <v/>
      </c>
      <c r="B786">
        <f>IF($A786=1,SUM($A$2:$A786),"")</f>
        <v/>
      </c>
      <c r="C786">
        <f>IF($A786=1,SUM($A$2:$A786),0)</f>
        <v/>
      </c>
    </row>
    <row r="787">
      <c r="A787">
        <f>IF(AND(OR('Compliance Database'!$A787='Data Transfer'!$B$4,'Compliance Database'!$A787='Data Transfer'!$B$5),OR('Data Transfer'!$B$6="",ISNUMBER(SEARCH('Data Transfer'!$B$6,'Compliance Database'!$D787&amp;" "&amp;'Compliance Database'!$K787&amp;" "&amp;'Compliance Database'!$L787&amp;" "&amp;'Compliance Database'!$M787&amp;" "&amp;'Compliance Database'!$N787&amp;" "&amp;'Compliance Database'!$O787)))),1,0)</f>
        <v/>
      </c>
      <c r="B787">
        <f>IF($A787=1,SUM($A$2:$A787),"")</f>
        <v/>
      </c>
      <c r="C787">
        <f>IF($A787=1,SUM($A$2:$A787),0)</f>
        <v/>
      </c>
    </row>
    <row r="788">
      <c r="A788">
        <f>IF(AND(OR('Compliance Database'!$A788='Data Transfer'!$B$4,'Compliance Database'!$A788='Data Transfer'!$B$5),OR('Data Transfer'!$B$6="",ISNUMBER(SEARCH('Data Transfer'!$B$6,'Compliance Database'!$D788&amp;" "&amp;'Compliance Database'!$K788&amp;" "&amp;'Compliance Database'!$L788&amp;" "&amp;'Compliance Database'!$M788&amp;" "&amp;'Compliance Database'!$N788&amp;" "&amp;'Compliance Database'!$O788)))),1,0)</f>
        <v/>
      </c>
      <c r="B788">
        <f>IF($A788=1,SUM($A$2:$A788),"")</f>
        <v/>
      </c>
      <c r="C788">
        <f>IF($A788=1,SUM($A$2:$A788),0)</f>
        <v/>
      </c>
    </row>
    <row r="789">
      <c r="A789">
        <f>IF(AND(OR('Compliance Database'!$A789='Data Transfer'!$B$4,'Compliance Database'!$A789='Data Transfer'!$B$5),OR('Data Transfer'!$B$6="",ISNUMBER(SEARCH('Data Transfer'!$B$6,'Compliance Database'!$D789&amp;" "&amp;'Compliance Database'!$K789&amp;" "&amp;'Compliance Database'!$L789&amp;" "&amp;'Compliance Database'!$M789&amp;" "&amp;'Compliance Database'!$N789&amp;" "&amp;'Compliance Database'!$O789)))),1,0)</f>
        <v/>
      </c>
      <c r="B789">
        <f>IF($A789=1,SUM($A$2:$A789),"")</f>
        <v/>
      </c>
      <c r="C789">
        <f>IF($A789=1,SUM($A$2:$A789),0)</f>
        <v/>
      </c>
    </row>
    <row r="790">
      <c r="A790">
        <f>IF(AND(OR('Compliance Database'!$A790='Data Transfer'!$B$4,'Compliance Database'!$A790='Data Transfer'!$B$5),OR('Data Transfer'!$B$6="",ISNUMBER(SEARCH('Data Transfer'!$B$6,'Compliance Database'!$D790&amp;" "&amp;'Compliance Database'!$K790&amp;" "&amp;'Compliance Database'!$L790&amp;" "&amp;'Compliance Database'!$M790&amp;" "&amp;'Compliance Database'!$N790&amp;" "&amp;'Compliance Database'!$O790)))),1,0)</f>
        <v/>
      </c>
      <c r="B790">
        <f>IF($A790=1,SUM($A$2:$A790),"")</f>
        <v/>
      </c>
      <c r="C790">
        <f>IF($A790=1,SUM($A$2:$A790),0)</f>
        <v/>
      </c>
    </row>
    <row r="791">
      <c r="A791">
        <f>IF(AND(OR('Compliance Database'!$A791='Data Transfer'!$B$4,'Compliance Database'!$A791='Data Transfer'!$B$5),OR('Data Transfer'!$B$6="",ISNUMBER(SEARCH('Data Transfer'!$B$6,'Compliance Database'!$D791&amp;" "&amp;'Compliance Database'!$K791&amp;" "&amp;'Compliance Database'!$L791&amp;" "&amp;'Compliance Database'!$M791&amp;" "&amp;'Compliance Database'!$N791&amp;" "&amp;'Compliance Database'!$O791)))),1,0)</f>
        <v/>
      </c>
      <c r="B791">
        <f>IF($A791=1,SUM($A$2:$A791),"")</f>
        <v/>
      </c>
      <c r="C791">
        <f>IF($A791=1,SUM($A$2:$A791),0)</f>
        <v/>
      </c>
    </row>
    <row r="792">
      <c r="A792">
        <f>IF(AND(OR('Compliance Database'!$A792='Data Transfer'!$B$4,'Compliance Database'!$A792='Data Transfer'!$B$5),OR('Data Transfer'!$B$6="",ISNUMBER(SEARCH('Data Transfer'!$B$6,'Compliance Database'!$D792&amp;" "&amp;'Compliance Database'!$K792&amp;" "&amp;'Compliance Database'!$L792&amp;" "&amp;'Compliance Database'!$M792&amp;" "&amp;'Compliance Database'!$N792&amp;" "&amp;'Compliance Database'!$O792)))),1,0)</f>
        <v/>
      </c>
      <c r="B792">
        <f>IF($A792=1,SUM($A$2:$A792),"")</f>
        <v/>
      </c>
      <c r="C792">
        <f>IF($A792=1,SUM($A$2:$A792),0)</f>
        <v/>
      </c>
    </row>
    <row r="793">
      <c r="A793">
        <f>IF(AND(OR('Compliance Database'!$A793='Data Transfer'!$B$4,'Compliance Database'!$A793='Data Transfer'!$B$5),OR('Data Transfer'!$B$6="",ISNUMBER(SEARCH('Data Transfer'!$B$6,'Compliance Database'!$D793&amp;" "&amp;'Compliance Database'!$K793&amp;" "&amp;'Compliance Database'!$L793&amp;" "&amp;'Compliance Database'!$M793&amp;" "&amp;'Compliance Database'!$N793&amp;" "&amp;'Compliance Database'!$O793)))),1,0)</f>
        <v/>
      </c>
      <c r="B793">
        <f>IF($A793=1,SUM($A$2:$A793),"")</f>
        <v/>
      </c>
      <c r="C793">
        <f>IF($A793=1,SUM($A$2:$A793),0)</f>
        <v/>
      </c>
    </row>
    <row r="794">
      <c r="A794">
        <f>IF(AND(OR('Compliance Database'!$A794='Data Transfer'!$B$4,'Compliance Database'!$A794='Data Transfer'!$B$5),OR('Data Transfer'!$B$6="",ISNUMBER(SEARCH('Data Transfer'!$B$6,'Compliance Database'!$D794&amp;" "&amp;'Compliance Database'!$K794&amp;" "&amp;'Compliance Database'!$L794&amp;" "&amp;'Compliance Database'!$M794&amp;" "&amp;'Compliance Database'!$N794&amp;" "&amp;'Compliance Database'!$O794)))),1,0)</f>
        <v/>
      </c>
      <c r="B794">
        <f>IF($A794=1,SUM($A$2:$A794),"")</f>
        <v/>
      </c>
      <c r="C794">
        <f>IF($A794=1,SUM($A$2:$A794),0)</f>
        <v/>
      </c>
    </row>
    <row r="795">
      <c r="A795">
        <f>IF(AND(OR('Compliance Database'!$A795='Data Transfer'!$B$4,'Compliance Database'!$A795='Data Transfer'!$B$5),OR('Data Transfer'!$B$6="",ISNUMBER(SEARCH('Data Transfer'!$B$6,'Compliance Database'!$D795&amp;" "&amp;'Compliance Database'!$K795&amp;" "&amp;'Compliance Database'!$L795&amp;" "&amp;'Compliance Database'!$M795&amp;" "&amp;'Compliance Database'!$N795&amp;" "&amp;'Compliance Database'!$O795)))),1,0)</f>
        <v/>
      </c>
      <c r="B795">
        <f>IF($A795=1,SUM($A$2:$A795),"")</f>
        <v/>
      </c>
      <c r="C795">
        <f>IF($A795=1,SUM($A$2:$A795),0)</f>
        <v/>
      </c>
    </row>
    <row r="796">
      <c r="A796">
        <f>IF(AND(OR('Compliance Database'!$A796='Data Transfer'!$B$4,'Compliance Database'!$A796='Data Transfer'!$B$5),OR('Data Transfer'!$B$6="",ISNUMBER(SEARCH('Data Transfer'!$B$6,'Compliance Database'!$D796&amp;" "&amp;'Compliance Database'!$K796&amp;" "&amp;'Compliance Database'!$L796&amp;" "&amp;'Compliance Database'!$M796&amp;" "&amp;'Compliance Database'!$N796&amp;" "&amp;'Compliance Database'!$O796)))),1,0)</f>
        <v/>
      </c>
      <c r="B796">
        <f>IF($A796=1,SUM($A$2:$A796),"")</f>
        <v/>
      </c>
      <c r="C796">
        <f>IF($A796=1,SUM($A$2:$A796),0)</f>
        <v/>
      </c>
    </row>
    <row r="797">
      <c r="A797">
        <f>IF(AND(OR('Compliance Database'!$A797='Data Transfer'!$B$4,'Compliance Database'!$A797='Data Transfer'!$B$5),OR('Data Transfer'!$B$6="",ISNUMBER(SEARCH('Data Transfer'!$B$6,'Compliance Database'!$D797&amp;" "&amp;'Compliance Database'!$K797&amp;" "&amp;'Compliance Database'!$L797&amp;" "&amp;'Compliance Database'!$M797&amp;" "&amp;'Compliance Database'!$N797&amp;" "&amp;'Compliance Database'!$O797)))),1,0)</f>
        <v/>
      </c>
      <c r="B797">
        <f>IF($A797=1,SUM($A$2:$A797),"")</f>
        <v/>
      </c>
      <c r="C797">
        <f>IF($A797=1,SUM($A$2:$A797),0)</f>
        <v/>
      </c>
    </row>
    <row r="798">
      <c r="A798">
        <f>IF(AND(OR('Compliance Database'!$A798='Data Transfer'!$B$4,'Compliance Database'!$A798='Data Transfer'!$B$5),OR('Data Transfer'!$B$6="",ISNUMBER(SEARCH('Data Transfer'!$B$6,'Compliance Database'!$D798&amp;" "&amp;'Compliance Database'!$K798&amp;" "&amp;'Compliance Database'!$L798&amp;" "&amp;'Compliance Database'!$M798&amp;" "&amp;'Compliance Database'!$N798&amp;" "&amp;'Compliance Database'!$O798)))),1,0)</f>
        <v/>
      </c>
      <c r="B798">
        <f>IF($A798=1,SUM($A$2:$A798),"")</f>
        <v/>
      </c>
      <c r="C798">
        <f>IF($A798=1,SUM($A$2:$A798),0)</f>
        <v/>
      </c>
    </row>
    <row r="799">
      <c r="A799">
        <f>IF(AND(OR('Compliance Database'!$A799='Data Transfer'!$B$4,'Compliance Database'!$A799='Data Transfer'!$B$5),OR('Data Transfer'!$B$6="",ISNUMBER(SEARCH('Data Transfer'!$B$6,'Compliance Database'!$D799&amp;" "&amp;'Compliance Database'!$K799&amp;" "&amp;'Compliance Database'!$L799&amp;" "&amp;'Compliance Database'!$M799&amp;" "&amp;'Compliance Database'!$N799&amp;" "&amp;'Compliance Database'!$O799)))),1,0)</f>
        <v/>
      </c>
      <c r="B799">
        <f>IF($A799=1,SUM($A$2:$A799),"")</f>
        <v/>
      </c>
      <c r="C799">
        <f>IF($A799=1,SUM($A$2:$A799),0)</f>
        <v/>
      </c>
    </row>
    <row r="800">
      <c r="A800">
        <f>IF(AND(OR('Compliance Database'!$A800='Data Transfer'!$B$4,'Compliance Database'!$A800='Data Transfer'!$B$5),OR('Data Transfer'!$B$6="",ISNUMBER(SEARCH('Data Transfer'!$B$6,'Compliance Database'!$D800&amp;" "&amp;'Compliance Database'!$K800&amp;" "&amp;'Compliance Database'!$L800&amp;" "&amp;'Compliance Database'!$M800&amp;" "&amp;'Compliance Database'!$N800&amp;" "&amp;'Compliance Database'!$O800)))),1,0)</f>
        <v/>
      </c>
      <c r="B800">
        <f>IF($A800=1,SUM($A$2:$A800),"")</f>
        <v/>
      </c>
      <c r="C800">
        <f>IF($A800=1,SUM($A$2:$A800),0)</f>
        <v/>
      </c>
    </row>
    <row r="801">
      <c r="A801">
        <f>IF(AND(OR('Compliance Database'!$A801='Data Transfer'!$B$4,'Compliance Database'!$A801='Data Transfer'!$B$5),OR('Data Transfer'!$B$6="",ISNUMBER(SEARCH('Data Transfer'!$B$6,'Compliance Database'!$D801&amp;" "&amp;'Compliance Database'!$K801&amp;" "&amp;'Compliance Database'!$L801&amp;" "&amp;'Compliance Database'!$M801&amp;" "&amp;'Compliance Database'!$N801&amp;" "&amp;'Compliance Database'!$O801)))),1,0)</f>
        <v/>
      </c>
      <c r="B801">
        <f>IF($A801=1,SUM($A$2:$A801),"")</f>
        <v/>
      </c>
      <c r="C801">
        <f>IF($A801=1,SUM($A$2:$A801),0)</f>
        <v/>
      </c>
    </row>
    <row r="802">
      <c r="A802">
        <f>IF(AND(OR('Compliance Database'!$A802='Data Transfer'!$B$4,'Compliance Database'!$A802='Data Transfer'!$B$5),OR('Data Transfer'!$B$6="",ISNUMBER(SEARCH('Data Transfer'!$B$6,'Compliance Database'!$D802&amp;" "&amp;'Compliance Database'!$K802&amp;" "&amp;'Compliance Database'!$L802&amp;" "&amp;'Compliance Database'!$M802&amp;" "&amp;'Compliance Database'!$N802&amp;" "&amp;'Compliance Database'!$O802)))),1,0)</f>
        <v/>
      </c>
      <c r="B802">
        <f>IF($A802=1,SUM($A$2:$A802),"")</f>
        <v/>
      </c>
      <c r="C802">
        <f>IF($A802=1,SUM($A$2:$A802),0)</f>
        <v/>
      </c>
    </row>
    <row r="803">
      <c r="A803">
        <f>IF(AND(OR('Compliance Database'!$A803='Data Transfer'!$B$4,'Compliance Database'!$A803='Data Transfer'!$B$5),OR('Data Transfer'!$B$6="",ISNUMBER(SEARCH('Data Transfer'!$B$6,'Compliance Database'!$D803&amp;" "&amp;'Compliance Database'!$K803&amp;" "&amp;'Compliance Database'!$L803&amp;" "&amp;'Compliance Database'!$M803&amp;" "&amp;'Compliance Database'!$N803&amp;" "&amp;'Compliance Database'!$O803)))),1,0)</f>
        <v/>
      </c>
      <c r="B803">
        <f>IF($A803=1,SUM($A$2:$A803),"")</f>
        <v/>
      </c>
      <c r="C803">
        <f>IF($A803=1,SUM($A$2:$A803),0)</f>
        <v/>
      </c>
    </row>
    <row r="804">
      <c r="A804">
        <f>IF(AND(OR('Compliance Database'!$A804='Data Transfer'!$B$4,'Compliance Database'!$A804='Data Transfer'!$B$5),OR('Data Transfer'!$B$6="",ISNUMBER(SEARCH('Data Transfer'!$B$6,'Compliance Database'!$D804&amp;" "&amp;'Compliance Database'!$K804&amp;" "&amp;'Compliance Database'!$L804&amp;" "&amp;'Compliance Database'!$M804&amp;" "&amp;'Compliance Database'!$N804&amp;" "&amp;'Compliance Database'!$O804)))),1,0)</f>
        <v/>
      </c>
      <c r="B804">
        <f>IF($A804=1,SUM($A$2:$A804),"")</f>
        <v/>
      </c>
      <c r="C804">
        <f>IF($A804=1,SUM($A$2:$A804),0)</f>
        <v/>
      </c>
    </row>
    <row r="805">
      <c r="A805">
        <f>IF(AND(OR('Compliance Database'!$A805='Data Transfer'!$B$4,'Compliance Database'!$A805='Data Transfer'!$B$5),OR('Data Transfer'!$B$6="",ISNUMBER(SEARCH('Data Transfer'!$B$6,'Compliance Database'!$D805&amp;" "&amp;'Compliance Database'!$K805&amp;" "&amp;'Compliance Database'!$L805&amp;" "&amp;'Compliance Database'!$M805&amp;" "&amp;'Compliance Database'!$N805&amp;" "&amp;'Compliance Database'!$O805)))),1,0)</f>
        <v/>
      </c>
      <c r="B805">
        <f>IF($A805=1,SUM($A$2:$A805),"")</f>
        <v/>
      </c>
      <c r="C805">
        <f>IF($A805=1,SUM($A$2:$A805),0)</f>
        <v/>
      </c>
    </row>
    <row r="806">
      <c r="A806">
        <f>IF(AND(OR('Compliance Database'!$A806='Data Transfer'!$B$4,'Compliance Database'!$A806='Data Transfer'!$B$5),OR('Data Transfer'!$B$6="",ISNUMBER(SEARCH('Data Transfer'!$B$6,'Compliance Database'!$D806&amp;" "&amp;'Compliance Database'!$K806&amp;" "&amp;'Compliance Database'!$L806&amp;" "&amp;'Compliance Database'!$M806&amp;" "&amp;'Compliance Database'!$N806&amp;" "&amp;'Compliance Database'!$O806)))),1,0)</f>
        <v/>
      </c>
      <c r="B806">
        <f>IF($A806=1,SUM($A$2:$A806),"")</f>
        <v/>
      </c>
      <c r="C806">
        <f>IF($A806=1,SUM($A$2:$A806),0)</f>
        <v/>
      </c>
    </row>
    <row r="807">
      <c r="A807">
        <f>IF(AND(OR('Compliance Database'!$A807='Data Transfer'!$B$4,'Compliance Database'!$A807='Data Transfer'!$B$5),OR('Data Transfer'!$B$6="",ISNUMBER(SEARCH('Data Transfer'!$B$6,'Compliance Database'!$D807&amp;" "&amp;'Compliance Database'!$K807&amp;" "&amp;'Compliance Database'!$L807&amp;" "&amp;'Compliance Database'!$M807&amp;" "&amp;'Compliance Database'!$N807&amp;" "&amp;'Compliance Database'!$O807)))),1,0)</f>
        <v/>
      </c>
      <c r="B807">
        <f>IF($A807=1,SUM($A$2:$A807),"")</f>
        <v/>
      </c>
      <c r="C807">
        <f>IF($A807=1,SUM($A$2:$A807),0)</f>
        <v/>
      </c>
    </row>
    <row r="808">
      <c r="A808">
        <f>IF(AND(OR('Compliance Database'!$A808='Data Transfer'!$B$4,'Compliance Database'!$A808='Data Transfer'!$B$5),OR('Data Transfer'!$B$6="",ISNUMBER(SEARCH('Data Transfer'!$B$6,'Compliance Database'!$D808&amp;" "&amp;'Compliance Database'!$K808&amp;" "&amp;'Compliance Database'!$L808&amp;" "&amp;'Compliance Database'!$M808&amp;" "&amp;'Compliance Database'!$N808&amp;" "&amp;'Compliance Database'!$O808)))),1,0)</f>
        <v/>
      </c>
      <c r="B808">
        <f>IF($A808=1,SUM($A$2:$A808),"")</f>
        <v/>
      </c>
      <c r="C808">
        <f>IF($A808=1,SUM($A$2:$A808),0)</f>
        <v/>
      </c>
    </row>
    <row r="809">
      <c r="A809">
        <f>IF(AND(OR('Compliance Database'!$A809='Data Transfer'!$B$4,'Compliance Database'!$A809='Data Transfer'!$B$5),OR('Data Transfer'!$B$6="",ISNUMBER(SEARCH('Data Transfer'!$B$6,'Compliance Database'!$D809&amp;" "&amp;'Compliance Database'!$K809&amp;" "&amp;'Compliance Database'!$L809&amp;" "&amp;'Compliance Database'!$M809&amp;" "&amp;'Compliance Database'!$N809&amp;" "&amp;'Compliance Database'!$O809)))),1,0)</f>
        <v/>
      </c>
      <c r="B809">
        <f>IF($A809=1,SUM($A$2:$A809),"")</f>
        <v/>
      </c>
      <c r="C809">
        <f>IF($A809=1,SUM($A$2:$A809),0)</f>
        <v/>
      </c>
    </row>
    <row r="810">
      <c r="A810">
        <f>IF(AND(OR('Compliance Database'!$A810='Data Transfer'!$B$4,'Compliance Database'!$A810='Data Transfer'!$B$5),OR('Data Transfer'!$B$6="",ISNUMBER(SEARCH('Data Transfer'!$B$6,'Compliance Database'!$D810&amp;" "&amp;'Compliance Database'!$K810&amp;" "&amp;'Compliance Database'!$L810&amp;" "&amp;'Compliance Database'!$M810&amp;" "&amp;'Compliance Database'!$N810&amp;" "&amp;'Compliance Database'!$O810)))),1,0)</f>
        <v/>
      </c>
      <c r="B810">
        <f>IF($A810=1,SUM($A$2:$A810),"")</f>
        <v/>
      </c>
      <c r="C810">
        <f>IF($A810=1,SUM($A$2:$A810),0)</f>
        <v/>
      </c>
    </row>
    <row r="811">
      <c r="A811">
        <f>IF(AND(OR('Compliance Database'!$A811='Data Transfer'!$B$4,'Compliance Database'!$A811='Data Transfer'!$B$5),OR('Data Transfer'!$B$6="",ISNUMBER(SEARCH('Data Transfer'!$B$6,'Compliance Database'!$D811&amp;" "&amp;'Compliance Database'!$K811&amp;" "&amp;'Compliance Database'!$L811&amp;" "&amp;'Compliance Database'!$M811&amp;" "&amp;'Compliance Database'!$N811&amp;" "&amp;'Compliance Database'!$O811)))),1,0)</f>
        <v/>
      </c>
      <c r="B811">
        <f>IF($A811=1,SUM($A$2:$A811),"")</f>
        <v/>
      </c>
      <c r="C811">
        <f>IF($A811=1,SUM($A$2:$A811),0)</f>
        <v/>
      </c>
    </row>
    <row r="812">
      <c r="A812">
        <f>IF(AND(OR('Compliance Database'!$A812='Data Transfer'!$B$4,'Compliance Database'!$A812='Data Transfer'!$B$5),OR('Data Transfer'!$B$6="",ISNUMBER(SEARCH('Data Transfer'!$B$6,'Compliance Database'!$D812&amp;" "&amp;'Compliance Database'!$K812&amp;" "&amp;'Compliance Database'!$L812&amp;" "&amp;'Compliance Database'!$M812&amp;" "&amp;'Compliance Database'!$N812&amp;" "&amp;'Compliance Database'!$O812)))),1,0)</f>
        <v/>
      </c>
      <c r="B812">
        <f>IF($A812=1,SUM($A$2:$A812),"")</f>
        <v/>
      </c>
      <c r="C812">
        <f>IF($A812=1,SUM($A$2:$A812),0)</f>
        <v/>
      </c>
    </row>
    <row r="813">
      <c r="A813">
        <f>IF(AND(OR('Compliance Database'!$A813='Data Transfer'!$B$4,'Compliance Database'!$A813='Data Transfer'!$B$5),OR('Data Transfer'!$B$6="",ISNUMBER(SEARCH('Data Transfer'!$B$6,'Compliance Database'!$D813&amp;" "&amp;'Compliance Database'!$K813&amp;" "&amp;'Compliance Database'!$L813&amp;" "&amp;'Compliance Database'!$M813&amp;" "&amp;'Compliance Database'!$N813&amp;" "&amp;'Compliance Database'!$O813)))),1,0)</f>
        <v/>
      </c>
      <c r="B813">
        <f>IF($A813=1,SUM($A$2:$A813),"")</f>
        <v/>
      </c>
      <c r="C813">
        <f>IF($A813=1,SUM($A$2:$A813),0)</f>
        <v/>
      </c>
    </row>
    <row r="814">
      <c r="A814">
        <f>IF(AND(OR('Compliance Database'!$A814='Data Transfer'!$B$4,'Compliance Database'!$A814='Data Transfer'!$B$5),OR('Data Transfer'!$B$6="",ISNUMBER(SEARCH('Data Transfer'!$B$6,'Compliance Database'!$D814&amp;" "&amp;'Compliance Database'!$K814&amp;" "&amp;'Compliance Database'!$L814&amp;" "&amp;'Compliance Database'!$M814&amp;" "&amp;'Compliance Database'!$N814&amp;" "&amp;'Compliance Database'!$O814)))),1,0)</f>
        <v/>
      </c>
      <c r="B814">
        <f>IF($A814=1,SUM($A$2:$A814),"")</f>
        <v/>
      </c>
      <c r="C814">
        <f>IF($A814=1,SUM($A$2:$A814),0)</f>
        <v/>
      </c>
    </row>
    <row r="815">
      <c r="A815">
        <f>IF(AND(OR('Compliance Database'!$A815='Data Transfer'!$B$4,'Compliance Database'!$A815='Data Transfer'!$B$5),OR('Data Transfer'!$B$6="",ISNUMBER(SEARCH('Data Transfer'!$B$6,'Compliance Database'!$D815&amp;" "&amp;'Compliance Database'!$K815&amp;" "&amp;'Compliance Database'!$L815&amp;" "&amp;'Compliance Database'!$M815&amp;" "&amp;'Compliance Database'!$N815&amp;" "&amp;'Compliance Database'!$O815)))),1,0)</f>
        <v/>
      </c>
      <c r="B815">
        <f>IF($A815=1,SUM($A$2:$A815),"")</f>
        <v/>
      </c>
      <c r="C815">
        <f>IF($A815=1,SUM($A$2:$A815),0)</f>
        <v/>
      </c>
    </row>
    <row r="816">
      <c r="A816">
        <f>IF(AND(OR('Compliance Database'!$A816='Data Transfer'!$B$4,'Compliance Database'!$A816='Data Transfer'!$B$5),OR('Data Transfer'!$B$6="",ISNUMBER(SEARCH('Data Transfer'!$B$6,'Compliance Database'!$D816&amp;" "&amp;'Compliance Database'!$K816&amp;" "&amp;'Compliance Database'!$L816&amp;" "&amp;'Compliance Database'!$M816&amp;" "&amp;'Compliance Database'!$N816&amp;" "&amp;'Compliance Database'!$O816)))),1,0)</f>
        <v/>
      </c>
      <c r="B816">
        <f>IF($A816=1,SUM($A$2:$A816),"")</f>
        <v/>
      </c>
      <c r="C816">
        <f>IF($A816=1,SUM($A$2:$A816),0)</f>
        <v/>
      </c>
    </row>
    <row r="817">
      <c r="A817">
        <f>IF(AND(OR('Compliance Database'!$A817='Data Transfer'!$B$4,'Compliance Database'!$A817='Data Transfer'!$B$5),OR('Data Transfer'!$B$6="",ISNUMBER(SEARCH('Data Transfer'!$B$6,'Compliance Database'!$D817&amp;" "&amp;'Compliance Database'!$K817&amp;" "&amp;'Compliance Database'!$L817&amp;" "&amp;'Compliance Database'!$M817&amp;" "&amp;'Compliance Database'!$N817&amp;" "&amp;'Compliance Database'!$O817)))),1,0)</f>
        <v/>
      </c>
      <c r="B817">
        <f>IF($A817=1,SUM($A$2:$A817),"")</f>
        <v/>
      </c>
      <c r="C817">
        <f>IF($A817=1,SUM($A$2:$A817),0)</f>
        <v/>
      </c>
    </row>
    <row r="818">
      <c r="A818">
        <f>IF(AND(OR('Compliance Database'!$A818='Data Transfer'!$B$4,'Compliance Database'!$A818='Data Transfer'!$B$5),OR('Data Transfer'!$B$6="",ISNUMBER(SEARCH('Data Transfer'!$B$6,'Compliance Database'!$D818&amp;" "&amp;'Compliance Database'!$K818&amp;" "&amp;'Compliance Database'!$L818&amp;" "&amp;'Compliance Database'!$M818&amp;" "&amp;'Compliance Database'!$N818&amp;" "&amp;'Compliance Database'!$O818)))),1,0)</f>
        <v/>
      </c>
      <c r="B818">
        <f>IF($A818=1,SUM($A$2:$A818),"")</f>
        <v/>
      </c>
      <c r="C818">
        <f>IF($A818=1,SUM($A$2:$A818),0)</f>
        <v/>
      </c>
    </row>
    <row r="819">
      <c r="A819">
        <f>IF(AND(OR('Compliance Database'!$A819='Data Transfer'!$B$4,'Compliance Database'!$A819='Data Transfer'!$B$5),OR('Data Transfer'!$B$6="",ISNUMBER(SEARCH('Data Transfer'!$B$6,'Compliance Database'!$D819&amp;" "&amp;'Compliance Database'!$K819&amp;" "&amp;'Compliance Database'!$L819&amp;" "&amp;'Compliance Database'!$M819&amp;" "&amp;'Compliance Database'!$N819&amp;" "&amp;'Compliance Database'!$O819)))),1,0)</f>
        <v/>
      </c>
      <c r="B819">
        <f>IF($A819=1,SUM($A$2:$A819),"")</f>
        <v/>
      </c>
      <c r="C819">
        <f>IF($A819=1,SUM($A$2:$A819),0)</f>
        <v/>
      </c>
    </row>
    <row r="820">
      <c r="A820">
        <f>IF(AND(OR('Compliance Database'!$A820='Data Transfer'!$B$4,'Compliance Database'!$A820='Data Transfer'!$B$5),OR('Data Transfer'!$B$6="",ISNUMBER(SEARCH('Data Transfer'!$B$6,'Compliance Database'!$D820&amp;" "&amp;'Compliance Database'!$K820&amp;" "&amp;'Compliance Database'!$L820&amp;" "&amp;'Compliance Database'!$M820&amp;" "&amp;'Compliance Database'!$N820&amp;" "&amp;'Compliance Database'!$O820)))),1,0)</f>
        <v/>
      </c>
      <c r="B820">
        <f>IF($A820=1,SUM($A$2:$A820),"")</f>
        <v/>
      </c>
      <c r="C820">
        <f>IF($A820=1,SUM($A$2:$A820),0)</f>
        <v/>
      </c>
    </row>
    <row r="821">
      <c r="A821">
        <f>IF(AND(OR('Compliance Database'!$A821='Data Transfer'!$B$4,'Compliance Database'!$A821='Data Transfer'!$B$5),OR('Data Transfer'!$B$6="",ISNUMBER(SEARCH('Data Transfer'!$B$6,'Compliance Database'!$D821&amp;" "&amp;'Compliance Database'!$K821&amp;" "&amp;'Compliance Database'!$L821&amp;" "&amp;'Compliance Database'!$M821&amp;" "&amp;'Compliance Database'!$N821&amp;" "&amp;'Compliance Database'!$O821)))),1,0)</f>
        <v/>
      </c>
      <c r="B821">
        <f>IF($A821=1,SUM($A$2:$A821),"")</f>
        <v/>
      </c>
      <c r="C821">
        <f>IF($A821=1,SUM($A$2:$A821),0)</f>
        <v/>
      </c>
    </row>
    <row r="822">
      <c r="A822">
        <f>IF(AND(OR('Compliance Database'!$A822='Data Transfer'!$B$4,'Compliance Database'!$A822='Data Transfer'!$B$5),OR('Data Transfer'!$B$6="",ISNUMBER(SEARCH('Data Transfer'!$B$6,'Compliance Database'!$D822&amp;" "&amp;'Compliance Database'!$K822&amp;" "&amp;'Compliance Database'!$L822&amp;" "&amp;'Compliance Database'!$M822&amp;" "&amp;'Compliance Database'!$N822&amp;" "&amp;'Compliance Database'!$O822)))),1,0)</f>
        <v/>
      </c>
      <c r="B822">
        <f>IF($A822=1,SUM($A$2:$A822),"")</f>
        <v/>
      </c>
      <c r="C822">
        <f>IF($A822=1,SUM($A$2:$A822),0)</f>
        <v/>
      </c>
    </row>
    <row r="823">
      <c r="A823">
        <f>IF(AND(OR('Compliance Database'!$A823='Data Transfer'!$B$4,'Compliance Database'!$A823='Data Transfer'!$B$5),OR('Data Transfer'!$B$6="",ISNUMBER(SEARCH('Data Transfer'!$B$6,'Compliance Database'!$D823&amp;" "&amp;'Compliance Database'!$K823&amp;" "&amp;'Compliance Database'!$L823&amp;" "&amp;'Compliance Database'!$M823&amp;" "&amp;'Compliance Database'!$N823&amp;" "&amp;'Compliance Database'!$O823)))),1,0)</f>
        <v/>
      </c>
      <c r="B823">
        <f>IF($A823=1,SUM($A$2:$A823),"")</f>
        <v/>
      </c>
      <c r="C823">
        <f>IF($A823=1,SUM($A$2:$A823),0)</f>
        <v/>
      </c>
    </row>
    <row r="824">
      <c r="A824">
        <f>IF(AND(OR('Compliance Database'!$A824='Data Transfer'!$B$4,'Compliance Database'!$A824='Data Transfer'!$B$5),OR('Data Transfer'!$B$6="",ISNUMBER(SEARCH('Data Transfer'!$B$6,'Compliance Database'!$D824&amp;" "&amp;'Compliance Database'!$K824&amp;" "&amp;'Compliance Database'!$L824&amp;" "&amp;'Compliance Database'!$M824&amp;" "&amp;'Compliance Database'!$N824&amp;" "&amp;'Compliance Database'!$O824)))),1,0)</f>
        <v/>
      </c>
      <c r="B824">
        <f>IF($A824=1,SUM($A$2:$A824),"")</f>
        <v/>
      </c>
      <c r="C824">
        <f>IF($A824=1,SUM($A$2:$A824),0)</f>
        <v/>
      </c>
    </row>
    <row r="825">
      <c r="A825">
        <f>IF(AND(OR('Compliance Database'!$A825='Data Transfer'!$B$4,'Compliance Database'!$A825='Data Transfer'!$B$5),OR('Data Transfer'!$B$6="",ISNUMBER(SEARCH('Data Transfer'!$B$6,'Compliance Database'!$D825&amp;" "&amp;'Compliance Database'!$K825&amp;" "&amp;'Compliance Database'!$L825&amp;" "&amp;'Compliance Database'!$M825&amp;" "&amp;'Compliance Database'!$N825&amp;" "&amp;'Compliance Database'!$O825)))),1,0)</f>
        <v/>
      </c>
      <c r="B825">
        <f>IF($A825=1,SUM($A$2:$A825),"")</f>
        <v/>
      </c>
      <c r="C825">
        <f>IF($A825=1,SUM($A$2:$A825),0)</f>
        <v/>
      </c>
    </row>
    <row r="826">
      <c r="A826">
        <f>IF(AND(OR('Compliance Database'!$A826='Data Transfer'!$B$4,'Compliance Database'!$A826='Data Transfer'!$B$5),OR('Data Transfer'!$B$6="",ISNUMBER(SEARCH('Data Transfer'!$B$6,'Compliance Database'!$D826&amp;" "&amp;'Compliance Database'!$K826&amp;" "&amp;'Compliance Database'!$L826&amp;" "&amp;'Compliance Database'!$M826&amp;" "&amp;'Compliance Database'!$N826&amp;" "&amp;'Compliance Database'!$O826)))),1,0)</f>
        <v/>
      </c>
      <c r="B826">
        <f>IF($A826=1,SUM($A$2:$A826),"")</f>
        <v/>
      </c>
      <c r="C826">
        <f>IF($A826=1,SUM($A$2:$A826),0)</f>
        <v/>
      </c>
    </row>
    <row r="827">
      <c r="A827">
        <f>IF(AND(OR('Compliance Database'!$A827='Data Transfer'!$B$4,'Compliance Database'!$A827='Data Transfer'!$B$5),OR('Data Transfer'!$B$6="",ISNUMBER(SEARCH('Data Transfer'!$B$6,'Compliance Database'!$D827&amp;" "&amp;'Compliance Database'!$K827&amp;" "&amp;'Compliance Database'!$L827&amp;" "&amp;'Compliance Database'!$M827&amp;" "&amp;'Compliance Database'!$N827&amp;" "&amp;'Compliance Database'!$O827)))),1,0)</f>
        <v/>
      </c>
      <c r="B827">
        <f>IF($A827=1,SUM($A$2:$A827),"")</f>
        <v/>
      </c>
      <c r="C827">
        <f>IF($A827=1,SUM($A$2:$A827),0)</f>
        <v/>
      </c>
    </row>
    <row r="828">
      <c r="A828">
        <f>IF(AND(OR('Compliance Database'!$A828='Data Transfer'!$B$4,'Compliance Database'!$A828='Data Transfer'!$B$5),OR('Data Transfer'!$B$6="",ISNUMBER(SEARCH('Data Transfer'!$B$6,'Compliance Database'!$D828&amp;" "&amp;'Compliance Database'!$K828&amp;" "&amp;'Compliance Database'!$L828&amp;" "&amp;'Compliance Database'!$M828&amp;" "&amp;'Compliance Database'!$N828&amp;" "&amp;'Compliance Database'!$O828)))),1,0)</f>
        <v/>
      </c>
      <c r="B828">
        <f>IF($A828=1,SUM($A$2:$A828),"")</f>
        <v/>
      </c>
      <c r="C828">
        <f>IF($A828=1,SUM($A$2:$A828),0)</f>
        <v/>
      </c>
    </row>
    <row r="829">
      <c r="A829">
        <f>IF(AND(OR('Compliance Database'!$A829='Data Transfer'!$B$4,'Compliance Database'!$A829='Data Transfer'!$B$5),OR('Data Transfer'!$B$6="",ISNUMBER(SEARCH('Data Transfer'!$B$6,'Compliance Database'!$D829&amp;" "&amp;'Compliance Database'!$K829&amp;" "&amp;'Compliance Database'!$L829&amp;" "&amp;'Compliance Database'!$M829&amp;" "&amp;'Compliance Database'!$N829&amp;" "&amp;'Compliance Database'!$O829)))),1,0)</f>
        <v/>
      </c>
      <c r="B829">
        <f>IF($A829=1,SUM($A$2:$A829),"")</f>
        <v/>
      </c>
      <c r="C829">
        <f>IF($A829=1,SUM($A$2:$A829),0)</f>
        <v/>
      </c>
    </row>
    <row r="830">
      <c r="A830">
        <f>IF(AND(OR('Compliance Database'!$A830='Data Transfer'!$B$4,'Compliance Database'!$A830='Data Transfer'!$B$5),OR('Data Transfer'!$B$6="",ISNUMBER(SEARCH('Data Transfer'!$B$6,'Compliance Database'!$D830&amp;" "&amp;'Compliance Database'!$K830&amp;" "&amp;'Compliance Database'!$L830&amp;" "&amp;'Compliance Database'!$M830&amp;" "&amp;'Compliance Database'!$N830&amp;" "&amp;'Compliance Database'!$O830)))),1,0)</f>
        <v/>
      </c>
      <c r="B830">
        <f>IF($A830=1,SUM($A$2:$A830),"")</f>
        <v/>
      </c>
      <c r="C830">
        <f>IF($A830=1,SUM($A$2:$A830),0)</f>
        <v/>
      </c>
    </row>
    <row r="831">
      <c r="A831">
        <f>IF(AND(OR('Compliance Database'!$A831='Data Transfer'!$B$4,'Compliance Database'!$A831='Data Transfer'!$B$5),OR('Data Transfer'!$B$6="",ISNUMBER(SEARCH('Data Transfer'!$B$6,'Compliance Database'!$D831&amp;" "&amp;'Compliance Database'!$K831&amp;" "&amp;'Compliance Database'!$L831&amp;" "&amp;'Compliance Database'!$M831&amp;" "&amp;'Compliance Database'!$N831&amp;" "&amp;'Compliance Database'!$O831)))),1,0)</f>
        <v/>
      </c>
      <c r="B831">
        <f>IF($A831=1,SUM($A$2:$A831),"")</f>
        <v/>
      </c>
      <c r="C831">
        <f>IF($A831=1,SUM($A$2:$A831),0)</f>
        <v/>
      </c>
    </row>
    <row r="832">
      <c r="A832">
        <f>IF(AND(OR('Compliance Database'!$A832='Data Transfer'!$B$4,'Compliance Database'!$A832='Data Transfer'!$B$5),OR('Data Transfer'!$B$6="",ISNUMBER(SEARCH('Data Transfer'!$B$6,'Compliance Database'!$D832&amp;" "&amp;'Compliance Database'!$K832&amp;" "&amp;'Compliance Database'!$L832&amp;" "&amp;'Compliance Database'!$M832&amp;" "&amp;'Compliance Database'!$N832&amp;" "&amp;'Compliance Database'!$O832)))),1,0)</f>
        <v/>
      </c>
      <c r="B832">
        <f>IF($A832=1,SUM($A$2:$A832),"")</f>
        <v/>
      </c>
      <c r="C832">
        <f>IF($A832=1,SUM($A$2:$A832),0)</f>
        <v/>
      </c>
    </row>
    <row r="833">
      <c r="A833">
        <f>IF(AND(OR('Compliance Database'!$A833='Data Transfer'!$B$4,'Compliance Database'!$A833='Data Transfer'!$B$5),OR('Data Transfer'!$B$6="",ISNUMBER(SEARCH('Data Transfer'!$B$6,'Compliance Database'!$D833&amp;" "&amp;'Compliance Database'!$K833&amp;" "&amp;'Compliance Database'!$L833&amp;" "&amp;'Compliance Database'!$M833&amp;" "&amp;'Compliance Database'!$N833&amp;" "&amp;'Compliance Database'!$O833)))),1,0)</f>
        <v/>
      </c>
      <c r="B833">
        <f>IF($A833=1,SUM($A$2:$A833),"")</f>
        <v/>
      </c>
      <c r="C833">
        <f>IF($A833=1,SUM($A$2:$A833),0)</f>
        <v/>
      </c>
    </row>
    <row r="834">
      <c r="A834">
        <f>IF(AND(OR('Compliance Database'!$A834='Data Transfer'!$B$4,'Compliance Database'!$A834='Data Transfer'!$B$5),OR('Data Transfer'!$B$6="",ISNUMBER(SEARCH('Data Transfer'!$B$6,'Compliance Database'!$D834&amp;" "&amp;'Compliance Database'!$K834&amp;" "&amp;'Compliance Database'!$L834&amp;" "&amp;'Compliance Database'!$M834&amp;" "&amp;'Compliance Database'!$N834&amp;" "&amp;'Compliance Database'!$O834)))),1,0)</f>
        <v/>
      </c>
      <c r="B834">
        <f>IF($A834=1,SUM($A$2:$A834),"")</f>
        <v/>
      </c>
      <c r="C834">
        <f>IF($A834=1,SUM($A$2:$A834),0)</f>
        <v/>
      </c>
    </row>
    <row r="835">
      <c r="A835">
        <f>IF(AND(OR('Compliance Database'!$A835='Data Transfer'!$B$4,'Compliance Database'!$A835='Data Transfer'!$B$5),OR('Data Transfer'!$B$6="",ISNUMBER(SEARCH('Data Transfer'!$B$6,'Compliance Database'!$D835&amp;" "&amp;'Compliance Database'!$K835&amp;" "&amp;'Compliance Database'!$L835&amp;" "&amp;'Compliance Database'!$M835&amp;" "&amp;'Compliance Database'!$N835&amp;" "&amp;'Compliance Database'!$O835)))),1,0)</f>
        <v/>
      </c>
      <c r="B835">
        <f>IF($A835=1,SUM($A$2:$A835),"")</f>
        <v/>
      </c>
      <c r="C835">
        <f>IF($A835=1,SUM($A$2:$A835),0)</f>
        <v/>
      </c>
    </row>
    <row r="836">
      <c r="A836">
        <f>IF(AND(OR('Compliance Database'!$A836='Data Transfer'!$B$4,'Compliance Database'!$A836='Data Transfer'!$B$5),OR('Data Transfer'!$B$6="",ISNUMBER(SEARCH('Data Transfer'!$B$6,'Compliance Database'!$D836&amp;" "&amp;'Compliance Database'!$K836&amp;" "&amp;'Compliance Database'!$L836&amp;" "&amp;'Compliance Database'!$M836&amp;" "&amp;'Compliance Database'!$N836&amp;" "&amp;'Compliance Database'!$O836)))),1,0)</f>
        <v/>
      </c>
      <c r="B836">
        <f>IF($A836=1,SUM($A$2:$A836),"")</f>
        <v/>
      </c>
      <c r="C836">
        <f>IF($A836=1,SUM($A$2:$A836),0)</f>
        <v/>
      </c>
    </row>
    <row r="837">
      <c r="A837">
        <f>IF(AND(OR('Compliance Database'!$A837='Data Transfer'!$B$4,'Compliance Database'!$A837='Data Transfer'!$B$5),OR('Data Transfer'!$B$6="",ISNUMBER(SEARCH('Data Transfer'!$B$6,'Compliance Database'!$D837&amp;" "&amp;'Compliance Database'!$K837&amp;" "&amp;'Compliance Database'!$L837&amp;" "&amp;'Compliance Database'!$M837&amp;" "&amp;'Compliance Database'!$N837&amp;" "&amp;'Compliance Database'!$O837)))),1,0)</f>
        <v/>
      </c>
      <c r="B837">
        <f>IF($A837=1,SUM($A$2:$A837),"")</f>
        <v/>
      </c>
      <c r="C837">
        <f>IF($A837=1,SUM($A$2:$A837),0)</f>
        <v/>
      </c>
    </row>
    <row r="838">
      <c r="A838">
        <f>IF(AND(OR('Compliance Database'!$A838='Data Transfer'!$B$4,'Compliance Database'!$A838='Data Transfer'!$B$5),OR('Data Transfer'!$B$6="",ISNUMBER(SEARCH('Data Transfer'!$B$6,'Compliance Database'!$D838&amp;" "&amp;'Compliance Database'!$K838&amp;" "&amp;'Compliance Database'!$L838&amp;" "&amp;'Compliance Database'!$M838&amp;" "&amp;'Compliance Database'!$N838&amp;" "&amp;'Compliance Database'!$O838)))),1,0)</f>
        <v/>
      </c>
      <c r="B838">
        <f>IF($A838=1,SUM($A$2:$A838),"")</f>
        <v/>
      </c>
      <c r="C838">
        <f>IF($A838=1,SUM($A$2:$A838),0)</f>
        <v/>
      </c>
    </row>
    <row r="839">
      <c r="A839">
        <f>IF(AND(OR('Compliance Database'!$A839='Data Transfer'!$B$4,'Compliance Database'!$A839='Data Transfer'!$B$5),OR('Data Transfer'!$B$6="",ISNUMBER(SEARCH('Data Transfer'!$B$6,'Compliance Database'!$D839&amp;" "&amp;'Compliance Database'!$K839&amp;" "&amp;'Compliance Database'!$L839&amp;" "&amp;'Compliance Database'!$M839&amp;" "&amp;'Compliance Database'!$N839&amp;" "&amp;'Compliance Database'!$O839)))),1,0)</f>
        <v/>
      </c>
      <c r="B839">
        <f>IF($A839=1,SUM($A$2:$A839),"")</f>
        <v/>
      </c>
      <c r="C839">
        <f>IF($A839=1,SUM($A$2:$A839),0)</f>
        <v/>
      </c>
    </row>
    <row r="840">
      <c r="A840">
        <f>IF(AND(OR('Compliance Database'!$A840='Data Transfer'!$B$4,'Compliance Database'!$A840='Data Transfer'!$B$5),OR('Data Transfer'!$B$6="",ISNUMBER(SEARCH('Data Transfer'!$B$6,'Compliance Database'!$D840&amp;" "&amp;'Compliance Database'!$K840&amp;" "&amp;'Compliance Database'!$L840&amp;" "&amp;'Compliance Database'!$M840&amp;" "&amp;'Compliance Database'!$N840&amp;" "&amp;'Compliance Database'!$O840)))),1,0)</f>
        <v/>
      </c>
      <c r="B840">
        <f>IF($A840=1,SUM($A$2:$A840),"")</f>
        <v/>
      </c>
      <c r="C840">
        <f>IF($A840=1,SUM($A$2:$A840),0)</f>
        <v/>
      </c>
    </row>
    <row r="841">
      <c r="A841">
        <f>IF(AND(OR('Compliance Database'!$A841='Data Transfer'!$B$4,'Compliance Database'!$A841='Data Transfer'!$B$5),OR('Data Transfer'!$B$6="",ISNUMBER(SEARCH('Data Transfer'!$B$6,'Compliance Database'!$D841&amp;" "&amp;'Compliance Database'!$K841&amp;" "&amp;'Compliance Database'!$L841&amp;" "&amp;'Compliance Database'!$M841&amp;" "&amp;'Compliance Database'!$N841&amp;" "&amp;'Compliance Database'!$O841)))),1,0)</f>
        <v/>
      </c>
      <c r="B841">
        <f>IF($A841=1,SUM($A$2:$A841),"")</f>
        <v/>
      </c>
      <c r="C841">
        <f>IF($A841=1,SUM($A$2:$A841),0)</f>
        <v/>
      </c>
    </row>
    <row r="842">
      <c r="A842">
        <f>IF(AND(OR('Compliance Database'!$A842='Data Transfer'!$B$4,'Compliance Database'!$A842='Data Transfer'!$B$5),OR('Data Transfer'!$B$6="",ISNUMBER(SEARCH('Data Transfer'!$B$6,'Compliance Database'!$D842&amp;" "&amp;'Compliance Database'!$K842&amp;" "&amp;'Compliance Database'!$L842&amp;" "&amp;'Compliance Database'!$M842&amp;" "&amp;'Compliance Database'!$N842&amp;" "&amp;'Compliance Database'!$O842)))),1,0)</f>
        <v/>
      </c>
      <c r="B842">
        <f>IF($A842=1,SUM($A$2:$A842),"")</f>
        <v/>
      </c>
      <c r="C842">
        <f>IF($A842=1,SUM($A$2:$A842),0)</f>
        <v/>
      </c>
    </row>
    <row r="843">
      <c r="A843">
        <f>IF(AND(OR('Compliance Database'!$A843='Data Transfer'!$B$4,'Compliance Database'!$A843='Data Transfer'!$B$5),OR('Data Transfer'!$B$6="",ISNUMBER(SEARCH('Data Transfer'!$B$6,'Compliance Database'!$D843&amp;" "&amp;'Compliance Database'!$K843&amp;" "&amp;'Compliance Database'!$L843&amp;" "&amp;'Compliance Database'!$M843&amp;" "&amp;'Compliance Database'!$N843&amp;" "&amp;'Compliance Database'!$O843)))),1,0)</f>
        <v/>
      </c>
      <c r="B843">
        <f>IF($A843=1,SUM($A$2:$A843),"")</f>
        <v/>
      </c>
      <c r="C843">
        <f>IF($A843=1,SUM($A$2:$A843),0)</f>
        <v/>
      </c>
    </row>
    <row r="844">
      <c r="A844">
        <f>IF(AND(OR('Compliance Database'!$A844='Data Transfer'!$B$4,'Compliance Database'!$A844='Data Transfer'!$B$5),OR('Data Transfer'!$B$6="",ISNUMBER(SEARCH('Data Transfer'!$B$6,'Compliance Database'!$D844&amp;" "&amp;'Compliance Database'!$K844&amp;" "&amp;'Compliance Database'!$L844&amp;" "&amp;'Compliance Database'!$M844&amp;" "&amp;'Compliance Database'!$N844&amp;" "&amp;'Compliance Database'!$O844)))),1,0)</f>
        <v/>
      </c>
      <c r="B844">
        <f>IF($A844=1,SUM($A$2:$A844),"")</f>
        <v/>
      </c>
      <c r="C844">
        <f>IF($A844=1,SUM($A$2:$A844),0)</f>
        <v/>
      </c>
    </row>
    <row r="845">
      <c r="A845">
        <f>IF(AND(OR('Compliance Database'!$A845='Data Transfer'!$B$4,'Compliance Database'!$A845='Data Transfer'!$B$5),OR('Data Transfer'!$B$6="",ISNUMBER(SEARCH('Data Transfer'!$B$6,'Compliance Database'!$D845&amp;" "&amp;'Compliance Database'!$K845&amp;" "&amp;'Compliance Database'!$L845&amp;" "&amp;'Compliance Database'!$M845&amp;" "&amp;'Compliance Database'!$N845&amp;" "&amp;'Compliance Database'!$O845)))),1,0)</f>
        <v/>
      </c>
      <c r="B845">
        <f>IF($A845=1,SUM($A$2:$A845),"")</f>
        <v/>
      </c>
      <c r="C845">
        <f>IF($A845=1,SUM($A$2:$A845),0)</f>
        <v/>
      </c>
    </row>
    <row r="846">
      <c r="A846">
        <f>IF(AND(OR('Compliance Database'!$A846='Data Transfer'!$B$4,'Compliance Database'!$A846='Data Transfer'!$B$5),OR('Data Transfer'!$B$6="",ISNUMBER(SEARCH('Data Transfer'!$B$6,'Compliance Database'!$D846&amp;" "&amp;'Compliance Database'!$K846&amp;" "&amp;'Compliance Database'!$L846&amp;" "&amp;'Compliance Database'!$M846&amp;" "&amp;'Compliance Database'!$N846&amp;" "&amp;'Compliance Database'!$O846)))),1,0)</f>
        <v/>
      </c>
      <c r="B846">
        <f>IF($A846=1,SUM($A$2:$A846),"")</f>
        <v/>
      </c>
      <c r="C846">
        <f>IF($A846=1,SUM($A$2:$A846),0)</f>
        <v/>
      </c>
    </row>
    <row r="847">
      <c r="A847">
        <f>IF(AND(OR('Compliance Database'!$A847='Data Transfer'!$B$4,'Compliance Database'!$A847='Data Transfer'!$B$5),OR('Data Transfer'!$B$6="",ISNUMBER(SEARCH('Data Transfer'!$B$6,'Compliance Database'!$D847&amp;" "&amp;'Compliance Database'!$K847&amp;" "&amp;'Compliance Database'!$L847&amp;" "&amp;'Compliance Database'!$M847&amp;" "&amp;'Compliance Database'!$N847&amp;" "&amp;'Compliance Database'!$O847)))),1,0)</f>
        <v/>
      </c>
      <c r="B847">
        <f>IF($A847=1,SUM($A$2:$A847),"")</f>
        <v/>
      </c>
      <c r="C847">
        <f>IF($A847=1,SUM($A$2:$A847),0)</f>
        <v/>
      </c>
    </row>
    <row r="848">
      <c r="A848">
        <f>IF(AND(OR('Compliance Database'!$A848='Data Transfer'!$B$4,'Compliance Database'!$A848='Data Transfer'!$B$5),OR('Data Transfer'!$B$6="",ISNUMBER(SEARCH('Data Transfer'!$B$6,'Compliance Database'!$D848&amp;" "&amp;'Compliance Database'!$K848&amp;" "&amp;'Compliance Database'!$L848&amp;" "&amp;'Compliance Database'!$M848&amp;" "&amp;'Compliance Database'!$N848&amp;" "&amp;'Compliance Database'!$O848)))),1,0)</f>
        <v/>
      </c>
      <c r="B848">
        <f>IF($A848=1,SUM($A$2:$A848),"")</f>
        <v/>
      </c>
      <c r="C848">
        <f>IF($A848=1,SUM($A$2:$A848),0)</f>
        <v/>
      </c>
    </row>
    <row r="849">
      <c r="A849">
        <f>IF(AND(OR('Compliance Database'!$A849='Data Transfer'!$B$4,'Compliance Database'!$A849='Data Transfer'!$B$5),OR('Data Transfer'!$B$6="",ISNUMBER(SEARCH('Data Transfer'!$B$6,'Compliance Database'!$D849&amp;" "&amp;'Compliance Database'!$K849&amp;" "&amp;'Compliance Database'!$L849&amp;" "&amp;'Compliance Database'!$M849&amp;" "&amp;'Compliance Database'!$N849&amp;" "&amp;'Compliance Database'!$O849)))),1,0)</f>
        <v/>
      </c>
      <c r="B849">
        <f>IF($A849=1,SUM($A$2:$A849),"")</f>
        <v/>
      </c>
      <c r="C849">
        <f>IF($A849=1,SUM($A$2:$A849),0)</f>
        <v/>
      </c>
    </row>
    <row r="850">
      <c r="A850">
        <f>IF(AND(OR('Compliance Database'!$A850='Data Transfer'!$B$4,'Compliance Database'!$A850='Data Transfer'!$B$5),OR('Data Transfer'!$B$6="",ISNUMBER(SEARCH('Data Transfer'!$B$6,'Compliance Database'!$D850&amp;" "&amp;'Compliance Database'!$K850&amp;" "&amp;'Compliance Database'!$L850&amp;" "&amp;'Compliance Database'!$M850&amp;" "&amp;'Compliance Database'!$N850&amp;" "&amp;'Compliance Database'!$O850)))),1,0)</f>
        <v/>
      </c>
      <c r="B850">
        <f>IF($A850=1,SUM($A$2:$A850),"")</f>
        <v/>
      </c>
      <c r="C850">
        <f>IF($A850=1,SUM($A$2:$A850),0)</f>
        <v/>
      </c>
    </row>
    <row r="851">
      <c r="A851">
        <f>IF(AND(OR('Compliance Database'!$A851='Data Transfer'!$B$4,'Compliance Database'!$A851='Data Transfer'!$B$5),OR('Data Transfer'!$B$6="",ISNUMBER(SEARCH('Data Transfer'!$B$6,'Compliance Database'!$D851&amp;" "&amp;'Compliance Database'!$K851&amp;" "&amp;'Compliance Database'!$L851&amp;" "&amp;'Compliance Database'!$M851&amp;" "&amp;'Compliance Database'!$N851&amp;" "&amp;'Compliance Database'!$O851)))),1,0)</f>
        <v/>
      </c>
      <c r="B851">
        <f>IF($A851=1,SUM($A$2:$A851),"")</f>
        <v/>
      </c>
      <c r="C851">
        <f>IF($A851=1,SUM($A$2:$A851),0)</f>
        <v/>
      </c>
    </row>
    <row r="852">
      <c r="A852">
        <f>IF(AND(OR('Compliance Database'!$A852='Data Transfer'!$B$4,'Compliance Database'!$A852='Data Transfer'!$B$5),OR('Data Transfer'!$B$6="",ISNUMBER(SEARCH('Data Transfer'!$B$6,'Compliance Database'!$D852&amp;" "&amp;'Compliance Database'!$K852&amp;" "&amp;'Compliance Database'!$L852&amp;" "&amp;'Compliance Database'!$M852&amp;" "&amp;'Compliance Database'!$N852&amp;" "&amp;'Compliance Database'!$O852)))),1,0)</f>
        <v/>
      </c>
      <c r="B852">
        <f>IF($A852=1,SUM($A$2:$A852),"")</f>
        <v/>
      </c>
      <c r="C852">
        <f>IF($A852=1,SUM($A$2:$A852),0)</f>
        <v/>
      </c>
    </row>
    <row r="853">
      <c r="A853">
        <f>IF(AND(OR('Compliance Database'!$A853='Data Transfer'!$B$4,'Compliance Database'!$A853='Data Transfer'!$B$5),OR('Data Transfer'!$B$6="",ISNUMBER(SEARCH('Data Transfer'!$B$6,'Compliance Database'!$D853&amp;" "&amp;'Compliance Database'!$K853&amp;" "&amp;'Compliance Database'!$L853&amp;" "&amp;'Compliance Database'!$M853&amp;" "&amp;'Compliance Database'!$N853&amp;" "&amp;'Compliance Database'!$O853)))),1,0)</f>
        <v/>
      </c>
      <c r="B853">
        <f>IF($A853=1,SUM($A$2:$A853),"")</f>
        <v/>
      </c>
      <c r="C853">
        <f>IF($A853=1,SUM($A$2:$A853),0)</f>
        <v/>
      </c>
    </row>
    <row r="854">
      <c r="A854">
        <f>IF(AND(OR('Compliance Database'!$A854='Data Transfer'!$B$4,'Compliance Database'!$A854='Data Transfer'!$B$5),OR('Data Transfer'!$B$6="",ISNUMBER(SEARCH('Data Transfer'!$B$6,'Compliance Database'!$D854&amp;" "&amp;'Compliance Database'!$K854&amp;" "&amp;'Compliance Database'!$L854&amp;" "&amp;'Compliance Database'!$M854&amp;" "&amp;'Compliance Database'!$N854&amp;" "&amp;'Compliance Database'!$O854)))),1,0)</f>
        <v/>
      </c>
      <c r="B854">
        <f>IF($A854=1,SUM($A$2:$A854),"")</f>
        <v/>
      </c>
      <c r="C854">
        <f>IF($A854=1,SUM($A$2:$A854),0)</f>
        <v/>
      </c>
    </row>
    <row r="855">
      <c r="A855">
        <f>IF(AND(OR('Compliance Database'!$A855='Data Transfer'!$B$4,'Compliance Database'!$A855='Data Transfer'!$B$5),OR('Data Transfer'!$B$6="",ISNUMBER(SEARCH('Data Transfer'!$B$6,'Compliance Database'!$D855&amp;" "&amp;'Compliance Database'!$K855&amp;" "&amp;'Compliance Database'!$L855&amp;" "&amp;'Compliance Database'!$M855&amp;" "&amp;'Compliance Database'!$N855&amp;" "&amp;'Compliance Database'!$O855)))),1,0)</f>
        <v/>
      </c>
      <c r="B855">
        <f>IF($A855=1,SUM($A$2:$A855),"")</f>
        <v/>
      </c>
      <c r="C855">
        <f>IF($A855=1,SUM($A$2:$A855),0)</f>
        <v/>
      </c>
    </row>
    <row r="856">
      <c r="A856">
        <f>IF(AND(OR('Compliance Database'!$A856='Data Transfer'!$B$4,'Compliance Database'!$A856='Data Transfer'!$B$5),OR('Data Transfer'!$B$6="",ISNUMBER(SEARCH('Data Transfer'!$B$6,'Compliance Database'!$D856&amp;" "&amp;'Compliance Database'!$K856&amp;" "&amp;'Compliance Database'!$L856&amp;" "&amp;'Compliance Database'!$M856&amp;" "&amp;'Compliance Database'!$N856&amp;" "&amp;'Compliance Database'!$O856)))),1,0)</f>
        <v/>
      </c>
      <c r="B856">
        <f>IF($A856=1,SUM($A$2:$A856),"")</f>
        <v/>
      </c>
      <c r="C856">
        <f>IF($A856=1,SUM($A$2:$A856),0)</f>
        <v/>
      </c>
    </row>
    <row r="857">
      <c r="A857">
        <f>IF(AND(OR('Compliance Database'!$A857='Data Transfer'!$B$4,'Compliance Database'!$A857='Data Transfer'!$B$5),OR('Data Transfer'!$B$6="",ISNUMBER(SEARCH('Data Transfer'!$B$6,'Compliance Database'!$D857&amp;" "&amp;'Compliance Database'!$K857&amp;" "&amp;'Compliance Database'!$L857&amp;" "&amp;'Compliance Database'!$M857&amp;" "&amp;'Compliance Database'!$N857&amp;" "&amp;'Compliance Database'!$O857)))),1,0)</f>
        <v/>
      </c>
      <c r="B857">
        <f>IF($A857=1,SUM($A$2:$A857),"")</f>
        <v/>
      </c>
      <c r="C857">
        <f>IF($A857=1,SUM($A$2:$A857),0)</f>
        <v/>
      </c>
    </row>
    <row r="858">
      <c r="A858">
        <f>IF(AND(OR('Compliance Database'!$A858='Data Transfer'!$B$4,'Compliance Database'!$A858='Data Transfer'!$B$5),OR('Data Transfer'!$B$6="",ISNUMBER(SEARCH('Data Transfer'!$B$6,'Compliance Database'!$D858&amp;" "&amp;'Compliance Database'!$K858&amp;" "&amp;'Compliance Database'!$L858&amp;" "&amp;'Compliance Database'!$M858&amp;" "&amp;'Compliance Database'!$N858&amp;" "&amp;'Compliance Database'!$O858)))),1,0)</f>
        <v/>
      </c>
      <c r="B858">
        <f>IF($A858=1,SUM($A$2:$A858),"")</f>
        <v/>
      </c>
      <c r="C858">
        <f>IF($A858=1,SUM($A$2:$A858),0)</f>
        <v/>
      </c>
    </row>
    <row r="859">
      <c r="A859">
        <f>IF(AND(OR('Compliance Database'!$A859='Data Transfer'!$B$4,'Compliance Database'!$A859='Data Transfer'!$B$5),OR('Data Transfer'!$B$6="",ISNUMBER(SEARCH('Data Transfer'!$B$6,'Compliance Database'!$D859&amp;" "&amp;'Compliance Database'!$K859&amp;" "&amp;'Compliance Database'!$L859&amp;" "&amp;'Compliance Database'!$M859&amp;" "&amp;'Compliance Database'!$N859&amp;" "&amp;'Compliance Database'!$O859)))),1,0)</f>
        <v/>
      </c>
      <c r="B859">
        <f>IF($A859=1,SUM($A$2:$A859),"")</f>
        <v/>
      </c>
      <c r="C859">
        <f>IF($A859=1,SUM($A$2:$A859),0)</f>
        <v/>
      </c>
    </row>
    <row r="860">
      <c r="A860">
        <f>IF(AND(OR('Compliance Database'!$A860='Data Transfer'!$B$4,'Compliance Database'!$A860='Data Transfer'!$B$5),OR('Data Transfer'!$B$6="",ISNUMBER(SEARCH('Data Transfer'!$B$6,'Compliance Database'!$D860&amp;" "&amp;'Compliance Database'!$K860&amp;" "&amp;'Compliance Database'!$L860&amp;" "&amp;'Compliance Database'!$M860&amp;" "&amp;'Compliance Database'!$N860&amp;" "&amp;'Compliance Database'!$O860)))),1,0)</f>
        <v/>
      </c>
      <c r="B860">
        <f>IF($A860=1,SUM($A$2:$A860),"")</f>
        <v/>
      </c>
      <c r="C860">
        <f>IF($A860=1,SUM($A$2:$A860),0)</f>
        <v/>
      </c>
    </row>
    <row r="861">
      <c r="A861">
        <f>IF(AND(OR('Compliance Database'!$A861='Data Transfer'!$B$4,'Compliance Database'!$A861='Data Transfer'!$B$5),OR('Data Transfer'!$B$6="",ISNUMBER(SEARCH('Data Transfer'!$B$6,'Compliance Database'!$D861&amp;" "&amp;'Compliance Database'!$K861&amp;" "&amp;'Compliance Database'!$L861&amp;" "&amp;'Compliance Database'!$M861&amp;" "&amp;'Compliance Database'!$N861&amp;" "&amp;'Compliance Database'!$O861)))),1,0)</f>
        <v/>
      </c>
      <c r="B861">
        <f>IF($A861=1,SUM($A$2:$A861),"")</f>
        <v/>
      </c>
      <c r="C861">
        <f>IF($A861=1,SUM($A$2:$A861),0)</f>
        <v/>
      </c>
    </row>
    <row r="862">
      <c r="A862">
        <f>IF(AND(OR('Compliance Database'!$A862='Data Transfer'!$B$4,'Compliance Database'!$A862='Data Transfer'!$B$5),OR('Data Transfer'!$B$6="",ISNUMBER(SEARCH('Data Transfer'!$B$6,'Compliance Database'!$D862&amp;" "&amp;'Compliance Database'!$K862&amp;" "&amp;'Compliance Database'!$L862&amp;" "&amp;'Compliance Database'!$M862&amp;" "&amp;'Compliance Database'!$N862&amp;" "&amp;'Compliance Database'!$O862)))),1,0)</f>
        <v/>
      </c>
      <c r="B862">
        <f>IF($A862=1,SUM($A$2:$A862),"")</f>
        <v/>
      </c>
      <c r="C862">
        <f>IF($A862=1,SUM($A$2:$A862),0)</f>
        <v/>
      </c>
    </row>
    <row r="863">
      <c r="A863">
        <f>IF(AND(OR('Compliance Database'!$A863='Data Transfer'!$B$4,'Compliance Database'!$A863='Data Transfer'!$B$5),OR('Data Transfer'!$B$6="",ISNUMBER(SEARCH('Data Transfer'!$B$6,'Compliance Database'!$D863&amp;" "&amp;'Compliance Database'!$K863&amp;" "&amp;'Compliance Database'!$L863&amp;" "&amp;'Compliance Database'!$M863&amp;" "&amp;'Compliance Database'!$N863&amp;" "&amp;'Compliance Database'!$O863)))),1,0)</f>
        <v/>
      </c>
      <c r="B863">
        <f>IF($A863=1,SUM($A$2:$A863),"")</f>
        <v/>
      </c>
      <c r="C863">
        <f>IF($A863=1,SUM($A$2:$A863),0)</f>
        <v/>
      </c>
    </row>
    <row r="864">
      <c r="A864">
        <f>IF(AND(OR('Compliance Database'!$A864='Data Transfer'!$B$4,'Compliance Database'!$A864='Data Transfer'!$B$5),OR('Data Transfer'!$B$6="",ISNUMBER(SEARCH('Data Transfer'!$B$6,'Compliance Database'!$D864&amp;" "&amp;'Compliance Database'!$K864&amp;" "&amp;'Compliance Database'!$L864&amp;" "&amp;'Compliance Database'!$M864&amp;" "&amp;'Compliance Database'!$N864&amp;" "&amp;'Compliance Database'!$O864)))),1,0)</f>
        <v/>
      </c>
      <c r="B864">
        <f>IF($A864=1,SUM($A$2:$A864),"")</f>
        <v/>
      </c>
      <c r="C864">
        <f>IF($A864=1,SUM($A$2:$A864),0)</f>
        <v/>
      </c>
    </row>
    <row r="865">
      <c r="A865">
        <f>IF(AND(OR('Compliance Database'!$A865='Data Transfer'!$B$4,'Compliance Database'!$A865='Data Transfer'!$B$5),OR('Data Transfer'!$B$6="",ISNUMBER(SEARCH('Data Transfer'!$B$6,'Compliance Database'!$D865&amp;" "&amp;'Compliance Database'!$K865&amp;" "&amp;'Compliance Database'!$L865&amp;" "&amp;'Compliance Database'!$M865&amp;" "&amp;'Compliance Database'!$N865&amp;" "&amp;'Compliance Database'!$O865)))),1,0)</f>
        <v/>
      </c>
      <c r="B865">
        <f>IF($A865=1,SUM($A$2:$A865),"")</f>
        <v/>
      </c>
      <c r="C865">
        <f>IF($A865=1,SUM($A$2:$A865),0)</f>
        <v/>
      </c>
    </row>
    <row r="866">
      <c r="A866">
        <f>IF(AND(OR('Compliance Database'!$A866='Data Transfer'!$B$4,'Compliance Database'!$A866='Data Transfer'!$B$5),OR('Data Transfer'!$B$6="",ISNUMBER(SEARCH('Data Transfer'!$B$6,'Compliance Database'!$D866&amp;" "&amp;'Compliance Database'!$K866&amp;" "&amp;'Compliance Database'!$L866&amp;" "&amp;'Compliance Database'!$M866&amp;" "&amp;'Compliance Database'!$N866&amp;" "&amp;'Compliance Database'!$O866)))),1,0)</f>
        <v/>
      </c>
      <c r="B866">
        <f>IF($A866=1,SUM($A$2:$A866),"")</f>
        <v/>
      </c>
      <c r="C866">
        <f>IF($A866=1,SUM($A$2:$A866),0)</f>
        <v/>
      </c>
    </row>
    <row r="867">
      <c r="A867">
        <f>IF(AND(OR('Compliance Database'!$A867='Data Transfer'!$B$4,'Compliance Database'!$A867='Data Transfer'!$B$5),OR('Data Transfer'!$B$6="",ISNUMBER(SEARCH('Data Transfer'!$B$6,'Compliance Database'!$D867&amp;" "&amp;'Compliance Database'!$K867&amp;" "&amp;'Compliance Database'!$L867&amp;" "&amp;'Compliance Database'!$M867&amp;" "&amp;'Compliance Database'!$N867&amp;" "&amp;'Compliance Database'!$O867)))),1,0)</f>
        <v/>
      </c>
      <c r="B867">
        <f>IF($A867=1,SUM($A$2:$A867),"")</f>
        <v/>
      </c>
      <c r="C867">
        <f>IF($A867=1,SUM($A$2:$A867),0)</f>
        <v/>
      </c>
    </row>
    <row r="868">
      <c r="A868">
        <f>IF(AND(OR('Compliance Database'!$A868='Data Transfer'!$B$4,'Compliance Database'!$A868='Data Transfer'!$B$5),OR('Data Transfer'!$B$6="",ISNUMBER(SEARCH('Data Transfer'!$B$6,'Compliance Database'!$D868&amp;" "&amp;'Compliance Database'!$K868&amp;" "&amp;'Compliance Database'!$L868&amp;" "&amp;'Compliance Database'!$M868&amp;" "&amp;'Compliance Database'!$N868&amp;" "&amp;'Compliance Database'!$O868)))),1,0)</f>
        <v/>
      </c>
      <c r="B868">
        <f>IF($A868=1,SUM($A$2:$A868),"")</f>
        <v/>
      </c>
      <c r="C868">
        <f>IF($A868=1,SUM($A$2:$A868),0)</f>
        <v/>
      </c>
    </row>
    <row r="869">
      <c r="A869">
        <f>IF(AND(OR('Compliance Database'!$A869='Data Transfer'!$B$4,'Compliance Database'!$A869='Data Transfer'!$B$5),OR('Data Transfer'!$B$6="",ISNUMBER(SEARCH('Data Transfer'!$B$6,'Compliance Database'!$D869&amp;" "&amp;'Compliance Database'!$K869&amp;" "&amp;'Compliance Database'!$L869&amp;" "&amp;'Compliance Database'!$M869&amp;" "&amp;'Compliance Database'!$N869&amp;" "&amp;'Compliance Database'!$O869)))),1,0)</f>
        <v/>
      </c>
      <c r="B869">
        <f>IF($A869=1,SUM($A$2:$A869),"")</f>
        <v/>
      </c>
      <c r="C869">
        <f>IF($A869=1,SUM($A$2:$A869),0)</f>
        <v/>
      </c>
    </row>
    <row r="870">
      <c r="A870">
        <f>IF(AND(OR('Compliance Database'!$A870='Data Transfer'!$B$4,'Compliance Database'!$A870='Data Transfer'!$B$5),OR('Data Transfer'!$B$6="",ISNUMBER(SEARCH('Data Transfer'!$B$6,'Compliance Database'!$D870&amp;" "&amp;'Compliance Database'!$K870&amp;" "&amp;'Compliance Database'!$L870&amp;" "&amp;'Compliance Database'!$M870&amp;" "&amp;'Compliance Database'!$N870&amp;" "&amp;'Compliance Database'!$O870)))),1,0)</f>
        <v/>
      </c>
      <c r="B870">
        <f>IF($A870=1,SUM($A$2:$A870),"")</f>
        <v/>
      </c>
      <c r="C870">
        <f>IF($A870=1,SUM($A$2:$A870),0)</f>
        <v/>
      </c>
    </row>
    <row r="871">
      <c r="A871">
        <f>IF(AND(OR('Compliance Database'!$A871='Data Transfer'!$B$4,'Compliance Database'!$A871='Data Transfer'!$B$5),OR('Data Transfer'!$B$6="",ISNUMBER(SEARCH('Data Transfer'!$B$6,'Compliance Database'!$D871&amp;" "&amp;'Compliance Database'!$K871&amp;" "&amp;'Compliance Database'!$L871&amp;" "&amp;'Compliance Database'!$M871&amp;" "&amp;'Compliance Database'!$N871&amp;" "&amp;'Compliance Database'!$O871)))),1,0)</f>
        <v/>
      </c>
      <c r="B871">
        <f>IF($A871=1,SUM($A$2:$A871),"")</f>
        <v/>
      </c>
      <c r="C871">
        <f>IF($A871=1,SUM($A$2:$A871),0)</f>
        <v/>
      </c>
    </row>
    <row r="872">
      <c r="A872">
        <f>IF(AND(OR('Compliance Database'!$A872='Data Transfer'!$B$4,'Compliance Database'!$A872='Data Transfer'!$B$5),OR('Data Transfer'!$B$6="",ISNUMBER(SEARCH('Data Transfer'!$B$6,'Compliance Database'!$D872&amp;" "&amp;'Compliance Database'!$K872&amp;" "&amp;'Compliance Database'!$L872&amp;" "&amp;'Compliance Database'!$M872&amp;" "&amp;'Compliance Database'!$N872&amp;" "&amp;'Compliance Database'!$O872)))),1,0)</f>
        <v/>
      </c>
      <c r="B872">
        <f>IF($A872=1,SUM($A$2:$A872),"")</f>
        <v/>
      </c>
      <c r="C872">
        <f>IF($A872=1,SUM($A$2:$A872),0)</f>
        <v/>
      </c>
    </row>
    <row r="873">
      <c r="A873">
        <f>IF(AND(OR('Compliance Database'!$A873='Data Transfer'!$B$4,'Compliance Database'!$A873='Data Transfer'!$B$5),OR('Data Transfer'!$B$6="",ISNUMBER(SEARCH('Data Transfer'!$B$6,'Compliance Database'!$D873&amp;" "&amp;'Compliance Database'!$K873&amp;" "&amp;'Compliance Database'!$L873&amp;" "&amp;'Compliance Database'!$M873&amp;" "&amp;'Compliance Database'!$N873&amp;" "&amp;'Compliance Database'!$O873)))),1,0)</f>
        <v/>
      </c>
      <c r="B873">
        <f>IF($A873=1,SUM($A$2:$A873),"")</f>
        <v/>
      </c>
      <c r="C873">
        <f>IF($A873=1,SUM($A$2:$A873),0)</f>
        <v/>
      </c>
    </row>
    <row r="874">
      <c r="A874">
        <f>IF(AND(OR('Compliance Database'!$A874='Data Transfer'!$B$4,'Compliance Database'!$A874='Data Transfer'!$B$5),OR('Data Transfer'!$B$6="",ISNUMBER(SEARCH('Data Transfer'!$B$6,'Compliance Database'!$D874&amp;" "&amp;'Compliance Database'!$K874&amp;" "&amp;'Compliance Database'!$L874&amp;" "&amp;'Compliance Database'!$M874&amp;" "&amp;'Compliance Database'!$N874&amp;" "&amp;'Compliance Database'!$O874)))),1,0)</f>
        <v/>
      </c>
      <c r="B874">
        <f>IF($A874=1,SUM($A$2:$A874),"")</f>
        <v/>
      </c>
      <c r="C874">
        <f>IF($A874=1,SUM($A$2:$A874),0)</f>
        <v/>
      </c>
    </row>
    <row r="875">
      <c r="A875">
        <f>IF(AND(OR('Compliance Database'!$A875='Data Transfer'!$B$4,'Compliance Database'!$A875='Data Transfer'!$B$5),OR('Data Transfer'!$B$6="",ISNUMBER(SEARCH('Data Transfer'!$B$6,'Compliance Database'!$D875&amp;" "&amp;'Compliance Database'!$K875&amp;" "&amp;'Compliance Database'!$L875&amp;" "&amp;'Compliance Database'!$M875&amp;" "&amp;'Compliance Database'!$N875&amp;" "&amp;'Compliance Database'!$O875)))),1,0)</f>
        <v/>
      </c>
      <c r="B875">
        <f>IF($A875=1,SUM($A$2:$A875),"")</f>
        <v/>
      </c>
      <c r="C875">
        <f>IF($A875=1,SUM($A$2:$A875),0)</f>
        <v/>
      </c>
    </row>
    <row r="876">
      <c r="A876">
        <f>IF(AND(OR('Compliance Database'!$A876='Data Transfer'!$B$4,'Compliance Database'!$A876='Data Transfer'!$B$5),OR('Data Transfer'!$B$6="",ISNUMBER(SEARCH('Data Transfer'!$B$6,'Compliance Database'!$D876&amp;" "&amp;'Compliance Database'!$K876&amp;" "&amp;'Compliance Database'!$L876&amp;" "&amp;'Compliance Database'!$M876&amp;" "&amp;'Compliance Database'!$N876&amp;" "&amp;'Compliance Database'!$O876)))),1,0)</f>
        <v/>
      </c>
      <c r="B876">
        <f>IF($A876=1,SUM($A$2:$A876),"")</f>
        <v/>
      </c>
      <c r="C876">
        <f>IF($A876=1,SUM($A$2:$A876),0)</f>
        <v/>
      </c>
    </row>
    <row r="877">
      <c r="A877">
        <f>IF(AND(OR('Compliance Database'!$A877='Data Transfer'!$B$4,'Compliance Database'!$A877='Data Transfer'!$B$5),OR('Data Transfer'!$B$6="",ISNUMBER(SEARCH('Data Transfer'!$B$6,'Compliance Database'!$D877&amp;" "&amp;'Compliance Database'!$K877&amp;" "&amp;'Compliance Database'!$L877&amp;" "&amp;'Compliance Database'!$M877&amp;" "&amp;'Compliance Database'!$N877&amp;" "&amp;'Compliance Database'!$O877)))),1,0)</f>
        <v/>
      </c>
      <c r="B877">
        <f>IF($A877=1,SUM($A$2:$A877),"")</f>
        <v/>
      </c>
      <c r="C877">
        <f>IF($A877=1,SUM($A$2:$A877),0)</f>
        <v/>
      </c>
    </row>
    <row r="878">
      <c r="A878">
        <f>IF(AND(OR('Compliance Database'!$A878='Data Transfer'!$B$4,'Compliance Database'!$A878='Data Transfer'!$B$5),OR('Data Transfer'!$B$6="",ISNUMBER(SEARCH('Data Transfer'!$B$6,'Compliance Database'!$D878&amp;" "&amp;'Compliance Database'!$K878&amp;" "&amp;'Compliance Database'!$L878&amp;" "&amp;'Compliance Database'!$M878&amp;" "&amp;'Compliance Database'!$N878&amp;" "&amp;'Compliance Database'!$O878)))),1,0)</f>
        <v/>
      </c>
      <c r="B878">
        <f>IF($A878=1,SUM($A$2:$A878),"")</f>
        <v/>
      </c>
      <c r="C878">
        <f>IF($A878=1,SUM($A$2:$A878),0)</f>
        <v/>
      </c>
    </row>
    <row r="879">
      <c r="A879">
        <f>IF(AND(OR('Compliance Database'!$A879='Data Transfer'!$B$4,'Compliance Database'!$A879='Data Transfer'!$B$5),OR('Data Transfer'!$B$6="",ISNUMBER(SEARCH('Data Transfer'!$B$6,'Compliance Database'!$D879&amp;" "&amp;'Compliance Database'!$K879&amp;" "&amp;'Compliance Database'!$L879&amp;" "&amp;'Compliance Database'!$M879&amp;" "&amp;'Compliance Database'!$N879&amp;" "&amp;'Compliance Database'!$O879)))),1,0)</f>
        <v/>
      </c>
      <c r="B879">
        <f>IF($A879=1,SUM($A$2:$A879),"")</f>
        <v/>
      </c>
      <c r="C879">
        <f>IF($A879=1,SUM($A$2:$A879),0)</f>
        <v/>
      </c>
    </row>
    <row r="880">
      <c r="A880">
        <f>IF(AND(OR('Compliance Database'!$A880='Data Transfer'!$B$4,'Compliance Database'!$A880='Data Transfer'!$B$5),OR('Data Transfer'!$B$6="",ISNUMBER(SEARCH('Data Transfer'!$B$6,'Compliance Database'!$D880&amp;" "&amp;'Compliance Database'!$K880&amp;" "&amp;'Compliance Database'!$L880&amp;" "&amp;'Compliance Database'!$M880&amp;" "&amp;'Compliance Database'!$N880&amp;" "&amp;'Compliance Database'!$O880)))),1,0)</f>
        <v/>
      </c>
      <c r="B880">
        <f>IF($A880=1,SUM($A$2:$A880),"")</f>
        <v/>
      </c>
      <c r="C880">
        <f>IF($A880=1,SUM($A$2:$A880),0)</f>
        <v/>
      </c>
    </row>
    <row r="881">
      <c r="A881">
        <f>IF(AND(OR('Compliance Database'!$A881='Data Transfer'!$B$4,'Compliance Database'!$A881='Data Transfer'!$B$5),OR('Data Transfer'!$B$6="",ISNUMBER(SEARCH('Data Transfer'!$B$6,'Compliance Database'!$D881&amp;" "&amp;'Compliance Database'!$K881&amp;" "&amp;'Compliance Database'!$L881&amp;" "&amp;'Compliance Database'!$M881&amp;" "&amp;'Compliance Database'!$N881&amp;" "&amp;'Compliance Database'!$O881)))),1,0)</f>
        <v/>
      </c>
      <c r="B881">
        <f>IF($A881=1,SUM($A$2:$A881),"")</f>
        <v/>
      </c>
      <c r="C881">
        <f>IF($A881=1,SUM($A$2:$A881),0)</f>
        <v/>
      </c>
    </row>
    <row r="882">
      <c r="A882">
        <f>IF(AND(OR('Compliance Database'!$A882='Data Transfer'!$B$4,'Compliance Database'!$A882='Data Transfer'!$B$5),OR('Data Transfer'!$B$6="",ISNUMBER(SEARCH('Data Transfer'!$B$6,'Compliance Database'!$D882&amp;" "&amp;'Compliance Database'!$K882&amp;" "&amp;'Compliance Database'!$L882&amp;" "&amp;'Compliance Database'!$M882&amp;" "&amp;'Compliance Database'!$N882&amp;" "&amp;'Compliance Database'!$O882)))),1,0)</f>
        <v/>
      </c>
      <c r="B882">
        <f>IF($A882=1,SUM($A$2:$A882),"")</f>
        <v/>
      </c>
      <c r="C882">
        <f>IF($A882=1,SUM($A$2:$A882),0)</f>
        <v/>
      </c>
    </row>
    <row r="883">
      <c r="A883">
        <f>IF(AND(OR('Compliance Database'!$A883='Data Transfer'!$B$4,'Compliance Database'!$A883='Data Transfer'!$B$5),OR('Data Transfer'!$B$6="",ISNUMBER(SEARCH('Data Transfer'!$B$6,'Compliance Database'!$D883&amp;" "&amp;'Compliance Database'!$K883&amp;" "&amp;'Compliance Database'!$L883&amp;" "&amp;'Compliance Database'!$M883&amp;" "&amp;'Compliance Database'!$N883&amp;" "&amp;'Compliance Database'!$O883)))),1,0)</f>
        <v/>
      </c>
      <c r="B883">
        <f>IF($A883=1,SUM($A$2:$A883),"")</f>
        <v/>
      </c>
      <c r="C883">
        <f>IF($A883=1,SUM($A$2:$A883),0)</f>
        <v/>
      </c>
    </row>
    <row r="884">
      <c r="A884">
        <f>IF(AND(OR('Compliance Database'!$A884='Data Transfer'!$B$4,'Compliance Database'!$A884='Data Transfer'!$B$5),OR('Data Transfer'!$B$6="",ISNUMBER(SEARCH('Data Transfer'!$B$6,'Compliance Database'!$D884&amp;" "&amp;'Compliance Database'!$K884&amp;" "&amp;'Compliance Database'!$L884&amp;" "&amp;'Compliance Database'!$M884&amp;" "&amp;'Compliance Database'!$N884&amp;" "&amp;'Compliance Database'!$O884)))),1,0)</f>
        <v/>
      </c>
      <c r="B884">
        <f>IF($A884=1,SUM($A$2:$A884),"")</f>
        <v/>
      </c>
      <c r="C884">
        <f>IF($A884=1,SUM($A$2:$A884),0)</f>
        <v/>
      </c>
    </row>
    <row r="885">
      <c r="A885">
        <f>IF(AND(OR('Compliance Database'!$A885='Data Transfer'!$B$4,'Compliance Database'!$A885='Data Transfer'!$B$5),OR('Data Transfer'!$B$6="",ISNUMBER(SEARCH('Data Transfer'!$B$6,'Compliance Database'!$D885&amp;" "&amp;'Compliance Database'!$K885&amp;" "&amp;'Compliance Database'!$L885&amp;" "&amp;'Compliance Database'!$M885&amp;" "&amp;'Compliance Database'!$N885&amp;" "&amp;'Compliance Database'!$O885)))),1,0)</f>
        <v/>
      </c>
      <c r="B885">
        <f>IF($A885=1,SUM($A$2:$A885),"")</f>
        <v/>
      </c>
      <c r="C885">
        <f>IF($A885=1,SUM($A$2:$A885),0)</f>
        <v/>
      </c>
    </row>
    <row r="886">
      <c r="A886">
        <f>IF(AND(OR('Compliance Database'!$A886='Data Transfer'!$B$4,'Compliance Database'!$A886='Data Transfer'!$B$5),OR('Data Transfer'!$B$6="",ISNUMBER(SEARCH('Data Transfer'!$B$6,'Compliance Database'!$D886&amp;" "&amp;'Compliance Database'!$K886&amp;" "&amp;'Compliance Database'!$L886&amp;" "&amp;'Compliance Database'!$M886&amp;" "&amp;'Compliance Database'!$N886&amp;" "&amp;'Compliance Database'!$O886)))),1,0)</f>
        <v/>
      </c>
      <c r="B886">
        <f>IF($A886=1,SUM($A$2:$A886),"")</f>
        <v/>
      </c>
      <c r="C886">
        <f>IF($A886=1,SUM($A$2:$A886),0)</f>
        <v/>
      </c>
    </row>
    <row r="887">
      <c r="A887">
        <f>IF(AND(OR('Compliance Database'!$A887='Data Transfer'!$B$4,'Compliance Database'!$A887='Data Transfer'!$B$5),OR('Data Transfer'!$B$6="",ISNUMBER(SEARCH('Data Transfer'!$B$6,'Compliance Database'!$D887&amp;" "&amp;'Compliance Database'!$K887&amp;" "&amp;'Compliance Database'!$L887&amp;" "&amp;'Compliance Database'!$M887&amp;" "&amp;'Compliance Database'!$N887&amp;" "&amp;'Compliance Database'!$O887)))),1,0)</f>
        <v/>
      </c>
      <c r="B887">
        <f>IF($A887=1,SUM($A$2:$A887),"")</f>
        <v/>
      </c>
      <c r="C887">
        <f>IF($A887=1,SUM($A$2:$A887),0)</f>
        <v/>
      </c>
    </row>
    <row r="888">
      <c r="A888">
        <f>IF(AND(OR('Compliance Database'!$A888='Data Transfer'!$B$4,'Compliance Database'!$A888='Data Transfer'!$B$5),OR('Data Transfer'!$B$6="",ISNUMBER(SEARCH('Data Transfer'!$B$6,'Compliance Database'!$D888&amp;" "&amp;'Compliance Database'!$K888&amp;" "&amp;'Compliance Database'!$L888&amp;" "&amp;'Compliance Database'!$M888&amp;" "&amp;'Compliance Database'!$N888&amp;" "&amp;'Compliance Database'!$O888)))),1,0)</f>
        <v/>
      </c>
      <c r="B888">
        <f>IF($A888=1,SUM($A$2:$A888),"")</f>
        <v/>
      </c>
      <c r="C888">
        <f>IF($A888=1,SUM($A$2:$A888),0)</f>
        <v/>
      </c>
    </row>
    <row r="889">
      <c r="A889">
        <f>IF(AND(OR('Compliance Database'!$A889='Data Transfer'!$B$4,'Compliance Database'!$A889='Data Transfer'!$B$5),OR('Data Transfer'!$B$6="",ISNUMBER(SEARCH('Data Transfer'!$B$6,'Compliance Database'!$D889&amp;" "&amp;'Compliance Database'!$K889&amp;" "&amp;'Compliance Database'!$L889&amp;" "&amp;'Compliance Database'!$M889&amp;" "&amp;'Compliance Database'!$N889&amp;" "&amp;'Compliance Database'!$O889)))),1,0)</f>
        <v/>
      </c>
      <c r="B889">
        <f>IF($A889=1,SUM($A$2:$A889),"")</f>
        <v/>
      </c>
      <c r="C889">
        <f>IF($A889=1,SUM($A$2:$A889),0)</f>
        <v/>
      </c>
    </row>
    <row r="890">
      <c r="A890">
        <f>IF(AND(OR('Compliance Database'!$A890='Data Transfer'!$B$4,'Compliance Database'!$A890='Data Transfer'!$B$5),OR('Data Transfer'!$B$6="",ISNUMBER(SEARCH('Data Transfer'!$B$6,'Compliance Database'!$D890&amp;" "&amp;'Compliance Database'!$K890&amp;" "&amp;'Compliance Database'!$L890&amp;" "&amp;'Compliance Database'!$M890&amp;" "&amp;'Compliance Database'!$N890&amp;" "&amp;'Compliance Database'!$O890)))),1,0)</f>
        <v/>
      </c>
      <c r="B890">
        <f>IF($A890=1,SUM($A$2:$A890),"")</f>
        <v/>
      </c>
      <c r="C890">
        <f>IF($A890=1,SUM($A$2:$A890),0)</f>
        <v/>
      </c>
    </row>
    <row r="891">
      <c r="A891">
        <f>IF(AND(OR('Compliance Database'!$A891='Data Transfer'!$B$4,'Compliance Database'!$A891='Data Transfer'!$B$5),OR('Data Transfer'!$B$6="",ISNUMBER(SEARCH('Data Transfer'!$B$6,'Compliance Database'!$D891&amp;" "&amp;'Compliance Database'!$K891&amp;" "&amp;'Compliance Database'!$L891&amp;" "&amp;'Compliance Database'!$M891&amp;" "&amp;'Compliance Database'!$N891&amp;" "&amp;'Compliance Database'!$O891)))),1,0)</f>
        <v/>
      </c>
      <c r="B891">
        <f>IF($A891=1,SUM($A$2:$A891),"")</f>
        <v/>
      </c>
      <c r="C891">
        <f>IF($A891=1,SUM($A$2:$A891),0)</f>
        <v/>
      </c>
    </row>
    <row r="892">
      <c r="A892">
        <f>IF(AND(OR('Compliance Database'!$A892='Data Transfer'!$B$4,'Compliance Database'!$A892='Data Transfer'!$B$5),OR('Data Transfer'!$B$6="",ISNUMBER(SEARCH('Data Transfer'!$B$6,'Compliance Database'!$D892&amp;" "&amp;'Compliance Database'!$K892&amp;" "&amp;'Compliance Database'!$L892&amp;" "&amp;'Compliance Database'!$M892&amp;" "&amp;'Compliance Database'!$N892&amp;" "&amp;'Compliance Database'!$O892)))),1,0)</f>
        <v/>
      </c>
      <c r="B892">
        <f>IF($A892=1,SUM($A$2:$A892),"")</f>
        <v/>
      </c>
      <c r="C892">
        <f>IF($A892=1,SUM($A$2:$A892),0)</f>
        <v/>
      </c>
    </row>
    <row r="893">
      <c r="A893">
        <f>IF(AND(OR('Compliance Database'!$A893='Data Transfer'!$B$4,'Compliance Database'!$A893='Data Transfer'!$B$5),OR('Data Transfer'!$B$6="",ISNUMBER(SEARCH('Data Transfer'!$B$6,'Compliance Database'!$D893&amp;" "&amp;'Compliance Database'!$K893&amp;" "&amp;'Compliance Database'!$L893&amp;" "&amp;'Compliance Database'!$M893&amp;" "&amp;'Compliance Database'!$N893&amp;" "&amp;'Compliance Database'!$O893)))),1,0)</f>
        <v/>
      </c>
      <c r="B893">
        <f>IF($A893=1,SUM($A$2:$A893),"")</f>
        <v/>
      </c>
      <c r="C893">
        <f>IF($A893=1,SUM($A$2:$A893),0)</f>
        <v/>
      </c>
    </row>
    <row r="894">
      <c r="A894">
        <f>IF(AND(OR('Compliance Database'!$A894='Data Transfer'!$B$4,'Compliance Database'!$A894='Data Transfer'!$B$5),OR('Data Transfer'!$B$6="",ISNUMBER(SEARCH('Data Transfer'!$B$6,'Compliance Database'!$D894&amp;" "&amp;'Compliance Database'!$K894&amp;" "&amp;'Compliance Database'!$L894&amp;" "&amp;'Compliance Database'!$M894&amp;" "&amp;'Compliance Database'!$N894&amp;" "&amp;'Compliance Database'!$O894)))),1,0)</f>
        <v/>
      </c>
      <c r="B894">
        <f>IF($A894=1,SUM($A$2:$A894),"")</f>
        <v/>
      </c>
      <c r="C894">
        <f>IF($A894=1,SUM($A$2:$A894),0)</f>
        <v/>
      </c>
    </row>
    <row r="895">
      <c r="A895">
        <f>IF(AND(OR('Compliance Database'!$A895='Data Transfer'!$B$4,'Compliance Database'!$A895='Data Transfer'!$B$5),OR('Data Transfer'!$B$6="",ISNUMBER(SEARCH('Data Transfer'!$B$6,'Compliance Database'!$D895&amp;" "&amp;'Compliance Database'!$K895&amp;" "&amp;'Compliance Database'!$L895&amp;" "&amp;'Compliance Database'!$M895&amp;" "&amp;'Compliance Database'!$N895&amp;" "&amp;'Compliance Database'!$O895)))),1,0)</f>
        <v/>
      </c>
      <c r="B895">
        <f>IF($A895=1,SUM($A$2:$A895),"")</f>
        <v/>
      </c>
      <c r="C895">
        <f>IF($A895=1,SUM($A$2:$A895),0)</f>
        <v/>
      </c>
    </row>
    <row r="896">
      <c r="A896">
        <f>IF(AND(OR('Compliance Database'!$A896='Data Transfer'!$B$4,'Compliance Database'!$A896='Data Transfer'!$B$5),OR('Data Transfer'!$B$6="",ISNUMBER(SEARCH('Data Transfer'!$B$6,'Compliance Database'!$D896&amp;" "&amp;'Compliance Database'!$K896&amp;" "&amp;'Compliance Database'!$L896&amp;" "&amp;'Compliance Database'!$M896&amp;" "&amp;'Compliance Database'!$N896&amp;" "&amp;'Compliance Database'!$O896)))),1,0)</f>
        <v/>
      </c>
      <c r="B896">
        <f>IF($A896=1,SUM($A$2:$A896),"")</f>
        <v/>
      </c>
      <c r="C896">
        <f>IF($A896=1,SUM($A$2:$A896),0)</f>
        <v/>
      </c>
    </row>
    <row r="897">
      <c r="A897">
        <f>IF(AND(OR('Compliance Database'!$A897='Data Transfer'!$B$4,'Compliance Database'!$A897='Data Transfer'!$B$5),OR('Data Transfer'!$B$6="",ISNUMBER(SEARCH('Data Transfer'!$B$6,'Compliance Database'!$D897&amp;" "&amp;'Compliance Database'!$K897&amp;" "&amp;'Compliance Database'!$L897&amp;" "&amp;'Compliance Database'!$M897&amp;" "&amp;'Compliance Database'!$N897&amp;" "&amp;'Compliance Database'!$O897)))),1,0)</f>
        <v/>
      </c>
      <c r="B897">
        <f>IF($A897=1,SUM($A$2:$A897),"")</f>
        <v/>
      </c>
      <c r="C897">
        <f>IF($A897=1,SUM($A$2:$A897),0)</f>
        <v/>
      </c>
    </row>
    <row r="898">
      <c r="A898">
        <f>IF(AND(OR('Compliance Database'!$A898='Data Transfer'!$B$4,'Compliance Database'!$A898='Data Transfer'!$B$5),OR('Data Transfer'!$B$6="",ISNUMBER(SEARCH('Data Transfer'!$B$6,'Compliance Database'!$D898&amp;" "&amp;'Compliance Database'!$K898&amp;" "&amp;'Compliance Database'!$L898&amp;" "&amp;'Compliance Database'!$M898&amp;" "&amp;'Compliance Database'!$N898&amp;" "&amp;'Compliance Database'!$O898)))),1,0)</f>
        <v/>
      </c>
      <c r="B898">
        <f>IF($A898=1,SUM($A$2:$A898),"")</f>
        <v/>
      </c>
      <c r="C898">
        <f>IF($A898=1,SUM($A$2:$A898),0)</f>
        <v/>
      </c>
    </row>
    <row r="899">
      <c r="A899">
        <f>IF(AND(OR('Compliance Database'!$A899='Data Transfer'!$B$4,'Compliance Database'!$A899='Data Transfer'!$B$5),OR('Data Transfer'!$B$6="",ISNUMBER(SEARCH('Data Transfer'!$B$6,'Compliance Database'!$D899&amp;" "&amp;'Compliance Database'!$K899&amp;" "&amp;'Compliance Database'!$L899&amp;" "&amp;'Compliance Database'!$M899&amp;" "&amp;'Compliance Database'!$N899&amp;" "&amp;'Compliance Database'!$O899)))),1,0)</f>
        <v/>
      </c>
      <c r="B899">
        <f>IF($A899=1,SUM($A$2:$A899),"")</f>
        <v/>
      </c>
      <c r="C899">
        <f>IF($A899=1,SUM($A$2:$A899),0)</f>
        <v/>
      </c>
    </row>
    <row r="900">
      <c r="A900">
        <f>IF(AND(OR('Compliance Database'!$A900='Data Transfer'!$B$4,'Compliance Database'!$A900='Data Transfer'!$B$5),OR('Data Transfer'!$B$6="",ISNUMBER(SEARCH('Data Transfer'!$B$6,'Compliance Database'!$D900&amp;" "&amp;'Compliance Database'!$K900&amp;" "&amp;'Compliance Database'!$L900&amp;" "&amp;'Compliance Database'!$M900&amp;" "&amp;'Compliance Database'!$N900&amp;" "&amp;'Compliance Database'!$O900)))),1,0)</f>
        <v/>
      </c>
      <c r="B900">
        <f>IF($A900=1,SUM($A$2:$A900),"")</f>
        <v/>
      </c>
      <c r="C900">
        <f>IF($A900=1,SUM($A$2:$A900),0)</f>
        <v/>
      </c>
    </row>
    <row r="901">
      <c r="A901">
        <f>IF(AND(OR('Compliance Database'!$A901='Data Transfer'!$B$4,'Compliance Database'!$A901='Data Transfer'!$B$5),OR('Data Transfer'!$B$6="",ISNUMBER(SEARCH('Data Transfer'!$B$6,'Compliance Database'!$D901&amp;" "&amp;'Compliance Database'!$K901&amp;" "&amp;'Compliance Database'!$L901&amp;" "&amp;'Compliance Database'!$M901&amp;" "&amp;'Compliance Database'!$N901&amp;" "&amp;'Compliance Database'!$O901)))),1,0)</f>
        <v/>
      </c>
      <c r="B901">
        <f>IF($A901=1,SUM($A$2:$A901),"")</f>
        <v/>
      </c>
      <c r="C901">
        <f>IF($A901=1,SUM($A$2:$A901),0)</f>
        <v/>
      </c>
    </row>
    <row r="902">
      <c r="A902">
        <f>IF(AND(OR('Compliance Database'!$A902='Data Transfer'!$B$4,'Compliance Database'!$A902='Data Transfer'!$B$5),OR('Data Transfer'!$B$6="",ISNUMBER(SEARCH('Data Transfer'!$B$6,'Compliance Database'!$D902&amp;" "&amp;'Compliance Database'!$K902&amp;" "&amp;'Compliance Database'!$L902&amp;" "&amp;'Compliance Database'!$M902&amp;" "&amp;'Compliance Database'!$N902&amp;" "&amp;'Compliance Database'!$O902)))),1,0)</f>
        <v/>
      </c>
      <c r="B902">
        <f>IF($A902=1,SUM($A$2:$A902),"")</f>
        <v/>
      </c>
      <c r="C902">
        <f>IF($A902=1,SUM($A$2:$A902),0)</f>
        <v/>
      </c>
    </row>
    <row r="903">
      <c r="A903">
        <f>IF(AND(OR('Compliance Database'!$A903='Data Transfer'!$B$4,'Compliance Database'!$A903='Data Transfer'!$B$5),OR('Data Transfer'!$B$6="",ISNUMBER(SEARCH('Data Transfer'!$B$6,'Compliance Database'!$D903&amp;" "&amp;'Compliance Database'!$K903&amp;" "&amp;'Compliance Database'!$L903&amp;" "&amp;'Compliance Database'!$M903&amp;" "&amp;'Compliance Database'!$N903&amp;" "&amp;'Compliance Database'!$O903)))),1,0)</f>
        <v/>
      </c>
      <c r="B903">
        <f>IF($A903=1,SUM($A$2:$A903),"")</f>
        <v/>
      </c>
      <c r="C903">
        <f>IF($A903=1,SUM($A$2:$A903),0)</f>
        <v/>
      </c>
    </row>
    <row r="904">
      <c r="A904">
        <f>IF(AND(OR('Compliance Database'!$A904='Data Transfer'!$B$4,'Compliance Database'!$A904='Data Transfer'!$B$5),OR('Data Transfer'!$B$6="",ISNUMBER(SEARCH('Data Transfer'!$B$6,'Compliance Database'!$D904&amp;" "&amp;'Compliance Database'!$K904&amp;" "&amp;'Compliance Database'!$L904&amp;" "&amp;'Compliance Database'!$M904&amp;" "&amp;'Compliance Database'!$N904&amp;" "&amp;'Compliance Database'!$O904)))),1,0)</f>
        <v/>
      </c>
      <c r="B904">
        <f>IF($A904=1,SUM($A$2:$A904),"")</f>
        <v/>
      </c>
      <c r="C904">
        <f>IF($A904=1,SUM($A$2:$A904),0)</f>
        <v/>
      </c>
    </row>
    <row r="905">
      <c r="A905">
        <f>IF(AND(OR('Compliance Database'!$A905='Data Transfer'!$B$4,'Compliance Database'!$A905='Data Transfer'!$B$5),OR('Data Transfer'!$B$6="",ISNUMBER(SEARCH('Data Transfer'!$B$6,'Compliance Database'!$D905&amp;" "&amp;'Compliance Database'!$K905&amp;" "&amp;'Compliance Database'!$L905&amp;" "&amp;'Compliance Database'!$M905&amp;" "&amp;'Compliance Database'!$N905&amp;" "&amp;'Compliance Database'!$O905)))),1,0)</f>
        <v/>
      </c>
      <c r="B905">
        <f>IF($A905=1,SUM($A$2:$A905),"")</f>
        <v/>
      </c>
      <c r="C905">
        <f>IF($A905=1,SUM($A$2:$A905),0)</f>
        <v/>
      </c>
    </row>
    <row r="906">
      <c r="A906">
        <f>IF(AND(OR('Compliance Database'!$A906='Data Transfer'!$B$4,'Compliance Database'!$A906='Data Transfer'!$B$5),OR('Data Transfer'!$B$6="",ISNUMBER(SEARCH('Data Transfer'!$B$6,'Compliance Database'!$D906&amp;" "&amp;'Compliance Database'!$K906&amp;" "&amp;'Compliance Database'!$L906&amp;" "&amp;'Compliance Database'!$M906&amp;" "&amp;'Compliance Database'!$N906&amp;" "&amp;'Compliance Database'!$O906)))),1,0)</f>
        <v/>
      </c>
      <c r="B906">
        <f>IF($A906=1,SUM($A$2:$A906),"")</f>
        <v/>
      </c>
      <c r="C906">
        <f>IF($A906=1,SUM($A$2:$A906),0)</f>
        <v/>
      </c>
    </row>
    <row r="907">
      <c r="A907">
        <f>IF(AND(OR('Compliance Database'!$A907='Data Transfer'!$B$4,'Compliance Database'!$A907='Data Transfer'!$B$5),OR('Data Transfer'!$B$6="",ISNUMBER(SEARCH('Data Transfer'!$B$6,'Compliance Database'!$D907&amp;" "&amp;'Compliance Database'!$K907&amp;" "&amp;'Compliance Database'!$L907&amp;" "&amp;'Compliance Database'!$M907&amp;" "&amp;'Compliance Database'!$N907&amp;" "&amp;'Compliance Database'!$O907)))),1,0)</f>
        <v/>
      </c>
      <c r="B907">
        <f>IF($A907=1,SUM($A$2:$A907),"")</f>
        <v/>
      </c>
      <c r="C907">
        <f>IF($A907=1,SUM($A$2:$A907),0)</f>
        <v/>
      </c>
    </row>
    <row r="908">
      <c r="A908">
        <f>IF(AND(OR('Compliance Database'!$A908='Data Transfer'!$B$4,'Compliance Database'!$A908='Data Transfer'!$B$5),OR('Data Transfer'!$B$6="",ISNUMBER(SEARCH('Data Transfer'!$B$6,'Compliance Database'!$D908&amp;" "&amp;'Compliance Database'!$K908&amp;" "&amp;'Compliance Database'!$L908&amp;" "&amp;'Compliance Database'!$M908&amp;" "&amp;'Compliance Database'!$N908&amp;" "&amp;'Compliance Database'!$O908)))),1,0)</f>
        <v/>
      </c>
      <c r="B908">
        <f>IF($A908=1,SUM($A$2:$A908),"")</f>
        <v/>
      </c>
      <c r="C908">
        <f>IF($A908=1,SUM($A$2:$A908),0)</f>
        <v/>
      </c>
    </row>
    <row r="909">
      <c r="A909">
        <f>IF(AND(OR('Compliance Database'!$A909='Data Transfer'!$B$4,'Compliance Database'!$A909='Data Transfer'!$B$5),OR('Data Transfer'!$B$6="",ISNUMBER(SEARCH('Data Transfer'!$B$6,'Compliance Database'!$D909&amp;" "&amp;'Compliance Database'!$K909&amp;" "&amp;'Compliance Database'!$L909&amp;" "&amp;'Compliance Database'!$M909&amp;" "&amp;'Compliance Database'!$N909&amp;" "&amp;'Compliance Database'!$O909)))),1,0)</f>
        <v/>
      </c>
      <c r="B909">
        <f>IF($A909=1,SUM($A$2:$A909),"")</f>
        <v/>
      </c>
      <c r="C909">
        <f>IF($A909=1,SUM($A$2:$A909),0)</f>
        <v/>
      </c>
    </row>
    <row r="910">
      <c r="A910">
        <f>IF(AND(OR('Compliance Database'!$A910='Data Transfer'!$B$4,'Compliance Database'!$A910='Data Transfer'!$B$5),OR('Data Transfer'!$B$6="",ISNUMBER(SEARCH('Data Transfer'!$B$6,'Compliance Database'!$D910&amp;" "&amp;'Compliance Database'!$K910&amp;" "&amp;'Compliance Database'!$L910&amp;" "&amp;'Compliance Database'!$M910&amp;" "&amp;'Compliance Database'!$N910&amp;" "&amp;'Compliance Database'!$O910)))),1,0)</f>
        <v/>
      </c>
      <c r="B910">
        <f>IF($A910=1,SUM($A$2:$A910),"")</f>
        <v/>
      </c>
      <c r="C910">
        <f>IF($A910=1,SUM($A$2:$A910),0)</f>
        <v/>
      </c>
    </row>
    <row r="911">
      <c r="A911">
        <f>IF(AND(OR('Compliance Database'!$A911='Data Transfer'!$B$4,'Compliance Database'!$A911='Data Transfer'!$B$5),OR('Data Transfer'!$B$6="",ISNUMBER(SEARCH('Data Transfer'!$B$6,'Compliance Database'!$D911&amp;" "&amp;'Compliance Database'!$K911&amp;" "&amp;'Compliance Database'!$L911&amp;" "&amp;'Compliance Database'!$M911&amp;" "&amp;'Compliance Database'!$N911&amp;" "&amp;'Compliance Database'!$O911)))),1,0)</f>
        <v/>
      </c>
      <c r="B911">
        <f>IF($A911=1,SUM($A$2:$A911),"")</f>
        <v/>
      </c>
      <c r="C911">
        <f>IF($A911=1,SUM($A$2:$A911),0)</f>
        <v/>
      </c>
    </row>
    <row r="912">
      <c r="A912">
        <f>IF(AND(OR('Compliance Database'!$A912='Data Transfer'!$B$4,'Compliance Database'!$A912='Data Transfer'!$B$5),OR('Data Transfer'!$B$6="",ISNUMBER(SEARCH('Data Transfer'!$B$6,'Compliance Database'!$D912&amp;" "&amp;'Compliance Database'!$K912&amp;" "&amp;'Compliance Database'!$L912&amp;" "&amp;'Compliance Database'!$M912&amp;" "&amp;'Compliance Database'!$N912&amp;" "&amp;'Compliance Database'!$O912)))),1,0)</f>
        <v/>
      </c>
      <c r="B912">
        <f>IF($A912=1,SUM($A$2:$A912),"")</f>
        <v/>
      </c>
      <c r="C912">
        <f>IF($A912=1,SUM($A$2:$A912),0)</f>
        <v/>
      </c>
    </row>
    <row r="913">
      <c r="A913">
        <f>IF(AND(OR('Compliance Database'!$A913='Data Transfer'!$B$4,'Compliance Database'!$A913='Data Transfer'!$B$5),OR('Data Transfer'!$B$6="",ISNUMBER(SEARCH('Data Transfer'!$B$6,'Compliance Database'!$D913&amp;" "&amp;'Compliance Database'!$K913&amp;" "&amp;'Compliance Database'!$L913&amp;" "&amp;'Compliance Database'!$M913&amp;" "&amp;'Compliance Database'!$N913&amp;" "&amp;'Compliance Database'!$O913)))),1,0)</f>
        <v/>
      </c>
      <c r="B913">
        <f>IF($A913=1,SUM($A$2:$A913),"")</f>
        <v/>
      </c>
      <c r="C913">
        <f>IF($A913=1,SUM($A$2:$A913),0)</f>
        <v/>
      </c>
    </row>
    <row r="914">
      <c r="A914">
        <f>IF(AND(OR('Compliance Database'!$A914='Data Transfer'!$B$4,'Compliance Database'!$A914='Data Transfer'!$B$5),OR('Data Transfer'!$B$6="",ISNUMBER(SEARCH('Data Transfer'!$B$6,'Compliance Database'!$D914&amp;" "&amp;'Compliance Database'!$K914&amp;" "&amp;'Compliance Database'!$L914&amp;" "&amp;'Compliance Database'!$M914&amp;" "&amp;'Compliance Database'!$N914&amp;" "&amp;'Compliance Database'!$O914)))),1,0)</f>
        <v/>
      </c>
      <c r="B914">
        <f>IF($A914=1,SUM($A$2:$A914),"")</f>
        <v/>
      </c>
      <c r="C914">
        <f>IF($A914=1,SUM($A$2:$A914),0)</f>
        <v/>
      </c>
    </row>
    <row r="915">
      <c r="A915">
        <f>IF(AND(OR('Compliance Database'!$A915='Data Transfer'!$B$4,'Compliance Database'!$A915='Data Transfer'!$B$5),OR('Data Transfer'!$B$6="",ISNUMBER(SEARCH('Data Transfer'!$B$6,'Compliance Database'!$D915&amp;" "&amp;'Compliance Database'!$K915&amp;" "&amp;'Compliance Database'!$L915&amp;" "&amp;'Compliance Database'!$M915&amp;" "&amp;'Compliance Database'!$N915&amp;" "&amp;'Compliance Database'!$O915)))),1,0)</f>
        <v/>
      </c>
      <c r="B915">
        <f>IF($A915=1,SUM($A$2:$A915),"")</f>
        <v/>
      </c>
      <c r="C915">
        <f>IF($A915=1,SUM($A$2:$A915),0)</f>
        <v/>
      </c>
    </row>
    <row r="916">
      <c r="A916">
        <f>IF(AND(OR('Compliance Database'!$A916='Data Transfer'!$B$4,'Compliance Database'!$A916='Data Transfer'!$B$5),OR('Data Transfer'!$B$6="",ISNUMBER(SEARCH('Data Transfer'!$B$6,'Compliance Database'!$D916&amp;" "&amp;'Compliance Database'!$K916&amp;" "&amp;'Compliance Database'!$L916&amp;" "&amp;'Compliance Database'!$M916&amp;" "&amp;'Compliance Database'!$N916&amp;" "&amp;'Compliance Database'!$O916)))),1,0)</f>
        <v/>
      </c>
      <c r="B916">
        <f>IF($A916=1,SUM($A$2:$A916),"")</f>
        <v/>
      </c>
      <c r="C916">
        <f>IF($A916=1,SUM($A$2:$A916),0)</f>
        <v/>
      </c>
    </row>
    <row r="917">
      <c r="A917">
        <f>IF(AND(OR('Compliance Database'!$A917='Data Transfer'!$B$4,'Compliance Database'!$A917='Data Transfer'!$B$5),OR('Data Transfer'!$B$6="",ISNUMBER(SEARCH('Data Transfer'!$B$6,'Compliance Database'!$D917&amp;" "&amp;'Compliance Database'!$K917&amp;" "&amp;'Compliance Database'!$L917&amp;" "&amp;'Compliance Database'!$M917&amp;" "&amp;'Compliance Database'!$N917&amp;" "&amp;'Compliance Database'!$O917)))),1,0)</f>
        <v/>
      </c>
      <c r="B917">
        <f>IF($A917=1,SUM($A$2:$A917),"")</f>
        <v/>
      </c>
      <c r="C917">
        <f>IF($A917=1,SUM($A$2:$A917),0)</f>
        <v/>
      </c>
    </row>
    <row r="918">
      <c r="A918">
        <f>IF(AND(OR('Compliance Database'!$A918='Data Transfer'!$B$4,'Compliance Database'!$A918='Data Transfer'!$B$5),OR('Data Transfer'!$B$6="",ISNUMBER(SEARCH('Data Transfer'!$B$6,'Compliance Database'!$D918&amp;" "&amp;'Compliance Database'!$K918&amp;" "&amp;'Compliance Database'!$L918&amp;" "&amp;'Compliance Database'!$M918&amp;" "&amp;'Compliance Database'!$N918&amp;" "&amp;'Compliance Database'!$O918)))),1,0)</f>
        <v/>
      </c>
      <c r="B918">
        <f>IF($A918=1,SUM($A$2:$A918),"")</f>
        <v/>
      </c>
      <c r="C918">
        <f>IF($A918=1,SUM($A$2:$A918),0)</f>
        <v/>
      </c>
    </row>
    <row r="919">
      <c r="A919">
        <f>IF(AND(OR('Compliance Database'!$A919='Data Transfer'!$B$4,'Compliance Database'!$A919='Data Transfer'!$B$5),OR('Data Transfer'!$B$6="",ISNUMBER(SEARCH('Data Transfer'!$B$6,'Compliance Database'!$D919&amp;" "&amp;'Compliance Database'!$K919&amp;" "&amp;'Compliance Database'!$L919&amp;" "&amp;'Compliance Database'!$M919&amp;" "&amp;'Compliance Database'!$N919&amp;" "&amp;'Compliance Database'!$O919)))),1,0)</f>
        <v/>
      </c>
      <c r="B919">
        <f>IF($A919=1,SUM($A$2:$A919),"")</f>
        <v/>
      </c>
      <c r="C919">
        <f>IF($A919=1,SUM($A$2:$A919),0)</f>
        <v/>
      </c>
    </row>
    <row r="920">
      <c r="A920">
        <f>IF(AND(OR('Compliance Database'!$A920='Data Transfer'!$B$4,'Compliance Database'!$A920='Data Transfer'!$B$5),OR('Data Transfer'!$B$6="",ISNUMBER(SEARCH('Data Transfer'!$B$6,'Compliance Database'!$D920&amp;" "&amp;'Compliance Database'!$K920&amp;" "&amp;'Compliance Database'!$L920&amp;" "&amp;'Compliance Database'!$M920&amp;" "&amp;'Compliance Database'!$N920&amp;" "&amp;'Compliance Database'!$O920)))),1,0)</f>
        <v/>
      </c>
      <c r="B920">
        <f>IF($A920=1,SUM($A$2:$A920),"")</f>
        <v/>
      </c>
      <c r="C920">
        <f>IF($A920=1,SUM($A$2:$A920),0)</f>
        <v/>
      </c>
    </row>
    <row r="921">
      <c r="A921">
        <f>IF(AND(OR('Compliance Database'!$A921='Data Transfer'!$B$4,'Compliance Database'!$A921='Data Transfer'!$B$5),OR('Data Transfer'!$B$6="",ISNUMBER(SEARCH('Data Transfer'!$B$6,'Compliance Database'!$D921&amp;" "&amp;'Compliance Database'!$K921&amp;" "&amp;'Compliance Database'!$L921&amp;" "&amp;'Compliance Database'!$M921&amp;" "&amp;'Compliance Database'!$N921&amp;" "&amp;'Compliance Database'!$O921)))),1,0)</f>
        <v/>
      </c>
      <c r="B921">
        <f>IF($A921=1,SUM($A$2:$A921),"")</f>
        <v/>
      </c>
      <c r="C921">
        <f>IF($A921=1,SUM($A$2:$A921),0)</f>
        <v/>
      </c>
    </row>
    <row r="922">
      <c r="A922">
        <f>IF(AND(OR('Compliance Database'!$A922='Data Transfer'!$B$4,'Compliance Database'!$A922='Data Transfer'!$B$5),OR('Data Transfer'!$B$6="",ISNUMBER(SEARCH('Data Transfer'!$B$6,'Compliance Database'!$D922&amp;" "&amp;'Compliance Database'!$K922&amp;" "&amp;'Compliance Database'!$L922&amp;" "&amp;'Compliance Database'!$M922&amp;" "&amp;'Compliance Database'!$N922&amp;" "&amp;'Compliance Database'!$O922)))),1,0)</f>
        <v/>
      </c>
      <c r="B922">
        <f>IF($A922=1,SUM($A$2:$A922),"")</f>
        <v/>
      </c>
      <c r="C922">
        <f>IF($A922=1,SUM($A$2:$A922),0)</f>
        <v/>
      </c>
    </row>
    <row r="923">
      <c r="A923">
        <f>IF(AND(OR('Compliance Database'!$A923='Data Transfer'!$B$4,'Compliance Database'!$A923='Data Transfer'!$B$5),OR('Data Transfer'!$B$6="",ISNUMBER(SEARCH('Data Transfer'!$B$6,'Compliance Database'!$D923&amp;" "&amp;'Compliance Database'!$K923&amp;" "&amp;'Compliance Database'!$L923&amp;" "&amp;'Compliance Database'!$M923&amp;" "&amp;'Compliance Database'!$N923&amp;" "&amp;'Compliance Database'!$O923)))),1,0)</f>
        <v/>
      </c>
      <c r="B923">
        <f>IF($A923=1,SUM($A$2:$A923),"")</f>
        <v/>
      </c>
      <c r="C923">
        <f>IF($A923=1,SUM($A$2:$A923),0)</f>
        <v/>
      </c>
    </row>
    <row r="924">
      <c r="A924">
        <f>IF(AND(OR('Compliance Database'!$A924='Data Transfer'!$B$4,'Compliance Database'!$A924='Data Transfer'!$B$5),OR('Data Transfer'!$B$6="",ISNUMBER(SEARCH('Data Transfer'!$B$6,'Compliance Database'!$D924&amp;" "&amp;'Compliance Database'!$K924&amp;" "&amp;'Compliance Database'!$L924&amp;" "&amp;'Compliance Database'!$M924&amp;" "&amp;'Compliance Database'!$N924&amp;" "&amp;'Compliance Database'!$O924)))),1,0)</f>
        <v/>
      </c>
      <c r="B924">
        <f>IF($A924=1,SUM($A$2:$A924),"")</f>
        <v/>
      </c>
      <c r="C924">
        <f>IF($A924=1,SUM($A$2:$A924),0)</f>
        <v/>
      </c>
    </row>
    <row r="925">
      <c r="A925">
        <f>IF(AND(OR('Compliance Database'!$A925='Data Transfer'!$B$4,'Compliance Database'!$A925='Data Transfer'!$B$5),OR('Data Transfer'!$B$6="",ISNUMBER(SEARCH('Data Transfer'!$B$6,'Compliance Database'!$D925&amp;" "&amp;'Compliance Database'!$K925&amp;" "&amp;'Compliance Database'!$L925&amp;" "&amp;'Compliance Database'!$M925&amp;" "&amp;'Compliance Database'!$N925&amp;" "&amp;'Compliance Database'!$O925)))),1,0)</f>
        <v/>
      </c>
      <c r="B925">
        <f>IF($A925=1,SUM($A$2:$A925),"")</f>
        <v/>
      </c>
      <c r="C925">
        <f>IF($A925=1,SUM($A$2:$A925),0)</f>
        <v/>
      </c>
    </row>
    <row r="926">
      <c r="A926">
        <f>IF(AND(OR('Compliance Database'!$A926='Data Transfer'!$B$4,'Compliance Database'!$A926='Data Transfer'!$B$5),OR('Data Transfer'!$B$6="",ISNUMBER(SEARCH('Data Transfer'!$B$6,'Compliance Database'!$D926&amp;" "&amp;'Compliance Database'!$K926&amp;" "&amp;'Compliance Database'!$L926&amp;" "&amp;'Compliance Database'!$M926&amp;" "&amp;'Compliance Database'!$N926&amp;" "&amp;'Compliance Database'!$O926)))),1,0)</f>
        <v/>
      </c>
      <c r="B926">
        <f>IF($A926=1,SUM($A$2:$A926),"")</f>
        <v/>
      </c>
      <c r="C926">
        <f>IF($A926=1,SUM($A$2:$A926),0)</f>
        <v/>
      </c>
    </row>
    <row r="927">
      <c r="A927">
        <f>IF(AND(OR('Compliance Database'!$A927='Data Transfer'!$B$4,'Compliance Database'!$A927='Data Transfer'!$B$5),OR('Data Transfer'!$B$6="",ISNUMBER(SEARCH('Data Transfer'!$B$6,'Compliance Database'!$D927&amp;" "&amp;'Compliance Database'!$K927&amp;" "&amp;'Compliance Database'!$L927&amp;" "&amp;'Compliance Database'!$M927&amp;" "&amp;'Compliance Database'!$N927&amp;" "&amp;'Compliance Database'!$O927)))),1,0)</f>
        <v/>
      </c>
      <c r="B927">
        <f>IF($A927=1,SUM($A$2:$A927),"")</f>
        <v/>
      </c>
      <c r="C927">
        <f>IF($A927=1,SUM($A$2:$A927),0)</f>
        <v/>
      </c>
    </row>
    <row r="928">
      <c r="A928">
        <f>IF(AND(OR('Compliance Database'!$A928='Data Transfer'!$B$4,'Compliance Database'!$A928='Data Transfer'!$B$5),OR('Data Transfer'!$B$6="",ISNUMBER(SEARCH('Data Transfer'!$B$6,'Compliance Database'!$D928&amp;" "&amp;'Compliance Database'!$K928&amp;" "&amp;'Compliance Database'!$L928&amp;" "&amp;'Compliance Database'!$M928&amp;" "&amp;'Compliance Database'!$N928&amp;" "&amp;'Compliance Database'!$O928)))),1,0)</f>
        <v/>
      </c>
      <c r="B928">
        <f>IF($A928=1,SUM($A$2:$A928),"")</f>
        <v/>
      </c>
      <c r="C928">
        <f>IF($A928=1,SUM($A$2:$A928),0)</f>
        <v/>
      </c>
    </row>
    <row r="929">
      <c r="A929">
        <f>IF(AND(OR('Compliance Database'!$A929='Data Transfer'!$B$4,'Compliance Database'!$A929='Data Transfer'!$B$5),OR('Data Transfer'!$B$6="",ISNUMBER(SEARCH('Data Transfer'!$B$6,'Compliance Database'!$D929&amp;" "&amp;'Compliance Database'!$K929&amp;" "&amp;'Compliance Database'!$L929&amp;" "&amp;'Compliance Database'!$M929&amp;" "&amp;'Compliance Database'!$N929&amp;" "&amp;'Compliance Database'!$O929)))),1,0)</f>
        <v/>
      </c>
      <c r="B929">
        <f>IF($A929=1,SUM($A$2:$A929),"")</f>
        <v/>
      </c>
      <c r="C929">
        <f>IF($A929=1,SUM($A$2:$A929),0)</f>
        <v/>
      </c>
    </row>
    <row r="930">
      <c r="A930">
        <f>IF(AND(OR('Compliance Database'!$A930='Data Transfer'!$B$4,'Compliance Database'!$A930='Data Transfer'!$B$5),OR('Data Transfer'!$B$6="",ISNUMBER(SEARCH('Data Transfer'!$B$6,'Compliance Database'!$D930&amp;" "&amp;'Compliance Database'!$K930&amp;" "&amp;'Compliance Database'!$L930&amp;" "&amp;'Compliance Database'!$M930&amp;" "&amp;'Compliance Database'!$N930&amp;" "&amp;'Compliance Database'!$O930)))),1,0)</f>
        <v/>
      </c>
      <c r="B930">
        <f>IF($A930=1,SUM($A$2:$A930),"")</f>
        <v/>
      </c>
      <c r="C930">
        <f>IF($A930=1,SUM($A$2:$A930),0)</f>
        <v/>
      </c>
    </row>
    <row r="931">
      <c r="A931">
        <f>IF(AND(OR('Compliance Database'!$A931='Data Transfer'!$B$4,'Compliance Database'!$A931='Data Transfer'!$B$5),OR('Data Transfer'!$B$6="",ISNUMBER(SEARCH('Data Transfer'!$B$6,'Compliance Database'!$D931&amp;" "&amp;'Compliance Database'!$K931&amp;" "&amp;'Compliance Database'!$L931&amp;" "&amp;'Compliance Database'!$M931&amp;" "&amp;'Compliance Database'!$N931&amp;" "&amp;'Compliance Database'!$O931)))),1,0)</f>
        <v/>
      </c>
      <c r="B931">
        <f>IF($A931=1,SUM($A$2:$A931),"")</f>
        <v/>
      </c>
      <c r="C931">
        <f>IF($A931=1,SUM($A$2:$A931),0)</f>
        <v/>
      </c>
    </row>
    <row r="932">
      <c r="A932">
        <f>IF(AND(OR('Compliance Database'!$A932='Data Transfer'!$B$4,'Compliance Database'!$A932='Data Transfer'!$B$5),OR('Data Transfer'!$B$6="",ISNUMBER(SEARCH('Data Transfer'!$B$6,'Compliance Database'!$D932&amp;" "&amp;'Compliance Database'!$K932&amp;" "&amp;'Compliance Database'!$L932&amp;" "&amp;'Compliance Database'!$M932&amp;" "&amp;'Compliance Database'!$N932&amp;" "&amp;'Compliance Database'!$O932)))),1,0)</f>
        <v/>
      </c>
      <c r="B932">
        <f>IF($A932=1,SUM($A$2:$A932),"")</f>
        <v/>
      </c>
      <c r="C932">
        <f>IF($A932=1,SUM($A$2:$A932),0)</f>
        <v/>
      </c>
    </row>
    <row r="933">
      <c r="A933">
        <f>IF(AND(OR('Compliance Database'!$A933='Data Transfer'!$B$4,'Compliance Database'!$A933='Data Transfer'!$B$5),OR('Data Transfer'!$B$6="",ISNUMBER(SEARCH('Data Transfer'!$B$6,'Compliance Database'!$D933&amp;" "&amp;'Compliance Database'!$K933&amp;" "&amp;'Compliance Database'!$L933&amp;" "&amp;'Compliance Database'!$M933&amp;" "&amp;'Compliance Database'!$N933&amp;" "&amp;'Compliance Database'!$O933)))),1,0)</f>
        <v/>
      </c>
      <c r="B933">
        <f>IF($A933=1,SUM($A$2:$A933),"")</f>
        <v/>
      </c>
      <c r="C933">
        <f>IF($A933=1,SUM($A$2:$A933),0)</f>
        <v/>
      </c>
    </row>
    <row r="934">
      <c r="A934">
        <f>IF(AND(OR('Compliance Database'!$A934='Data Transfer'!$B$4,'Compliance Database'!$A934='Data Transfer'!$B$5),OR('Data Transfer'!$B$6="",ISNUMBER(SEARCH('Data Transfer'!$B$6,'Compliance Database'!$D934&amp;" "&amp;'Compliance Database'!$K934&amp;" "&amp;'Compliance Database'!$L934&amp;" "&amp;'Compliance Database'!$M934&amp;" "&amp;'Compliance Database'!$N934&amp;" "&amp;'Compliance Database'!$O934)))),1,0)</f>
        <v/>
      </c>
      <c r="B934">
        <f>IF($A934=1,SUM($A$2:$A934),"")</f>
        <v/>
      </c>
      <c r="C934">
        <f>IF($A934=1,SUM($A$2:$A934),0)</f>
        <v/>
      </c>
    </row>
    <row r="935">
      <c r="A935">
        <f>IF(AND(OR('Compliance Database'!$A935='Data Transfer'!$B$4,'Compliance Database'!$A935='Data Transfer'!$B$5),OR('Data Transfer'!$B$6="",ISNUMBER(SEARCH('Data Transfer'!$B$6,'Compliance Database'!$D935&amp;" "&amp;'Compliance Database'!$K935&amp;" "&amp;'Compliance Database'!$L935&amp;" "&amp;'Compliance Database'!$M935&amp;" "&amp;'Compliance Database'!$N935&amp;" "&amp;'Compliance Database'!$O935)))),1,0)</f>
        <v/>
      </c>
      <c r="B935">
        <f>IF($A935=1,SUM($A$2:$A935),"")</f>
        <v/>
      </c>
      <c r="C935">
        <f>IF($A935=1,SUM($A$2:$A935),0)</f>
        <v/>
      </c>
    </row>
    <row r="936">
      <c r="A936">
        <f>IF(AND(OR('Compliance Database'!$A936='Data Transfer'!$B$4,'Compliance Database'!$A936='Data Transfer'!$B$5),OR('Data Transfer'!$B$6="",ISNUMBER(SEARCH('Data Transfer'!$B$6,'Compliance Database'!$D936&amp;" "&amp;'Compliance Database'!$K936&amp;" "&amp;'Compliance Database'!$L936&amp;" "&amp;'Compliance Database'!$M936&amp;" "&amp;'Compliance Database'!$N936&amp;" "&amp;'Compliance Database'!$O936)))),1,0)</f>
        <v/>
      </c>
      <c r="B936">
        <f>IF($A936=1,SUM($A$2:$A936),"")</f>
        <v/>
      </c>
      <c r="C936">
        <f>IF($A936=1,SUM($A$2:$A936),0)</f>
        <v/>
      </c>
    </row>
    <row r="937">
      <c r="A937">
        <f>IF(AND(OR('Compliance Database'!$A937='Data Transfer'!$B$4,'Compliance Database'!$A937='Data Transfer'!$B$5),OR('Data Transfer'!$B$6="",ISNUMBER(SEARCH('Data Transfer'!$B$6,'Compliance Database'!$D937&amp;" "&amp;'Compliance Database'!$K937&amp;" "&amp;'Compliance Database'!$L937&amp;" "&amp;'Compliance Database'!$M937&amp;" "&amp;'Compliance Database'!$N937&amp;" "&amp;'Compliance Database'!$O937)))),1,0)</f>
        <v/>
      </c>
      <c r="B937">
        <f>IF($A937=1,SUM($A$2:$A937),"")</f>
        <v/>
      </c>
      <c r="C937">
        <f>IF($A937=1,SUM($A$2:$A937),0)</f>
        <v/>
      </c>
    </row>
    <row r="938">
      <c r="A938">
        <f>IF(AND(OR('Compliance Database'!$A938='Data Transfer'!$B$4,'Compliance Database'!$A938='Data Transfer'!$B$5),OR('Data Transfer'!$B$6="",ISNUMBER(SEARCH('Data Transfer'!$B$6,'Compliance Database'!$D938&amp;" "&amp;'Compliance Database'!$K938&amp;" "&amp;'Compliance Database'!$L938&amp;" "&amp;'Compliance Database'!$M938&amp;" "&amp;'Compliance Database'!$N938&amp;" "&amp;'Compliance Database'!$O938)))),1,0)</f>
        <v/>
      </c>
      <c r="B938">
        <f>IF($A938=1,SUM($A$2:$A938),"")</f>
        <v/>
      </c>
      <c r="C938">
        <f>IF($A938=1,SUM($A$2:$A938),0)</f>
        <v/>
      </c>
    </row>
    <row r="939">
      <c r="A939">
        <f>IF(AND(OR('Compliance Database'!$A939='Data Transfer'!$B$4,'Compliance Database'!$A939='Data Transfer'!$B$5),OR('Data Transfer'!$B$6="",ISNUMBER(SEARCH('Data Transfer'!$B$6,'Compliance Database'!$D939&amp;" "&amp;'Compliance Database'!$K939&amp;" "&amp;'Compliance Database'!$L939&amp;" "&amp;'Compliance Database'!$M939&amp;" "&amp;'Compliance Database'!$N939&amp;" "&amp;'Compliance Database'!$O939)))),1,0)</f>
        <v/>
      </c>
      <c r="B939">
        <f>IF($A939=1,SUM($A$2:$A939),"")</f>
        <v/>
      </c>
      <c r="C939">
        <f>IF($A939=1,SUM($A$2:$A939),0)</f>
        <v/>
      </c>
    </row>
    <row r="940">
      <c r="A940">
        <f>IF(AND(OR('Compliance Database'!$A940='Data Transfer'!$B$4,'Compliance Database'!$A940='Data Transfer'!$B$5),OR('Data Transfer'!$B$6="",ISNUMBER(SEARCH('Data Transfer'!$B$6,'Compliance Database'!$D940&amp;" "&amp;'Compliance Database'!$K940&amp;" "&amp;'Compliance Database'!$L940&amp;" "&amp;'Compliance Database'!$M940&amp;" "&amp;'Compliance Database'!$N940&amp;" "&amp;'Compliance Database'!$O940)))),1,0)</f>
        <v/>
      </c>
      <c r="B940">
        <f>IF($A940=1,SUM($A$2:$A940),"")</f>
        <v/>
      </c>
      <c r="C940">
        <f>IF($A940=1,SUM($A$2:$A940),0)</f>
        <v/>
      </c>
    </row>
    <row r="941">
      <c r="A941">
        <f>IF(AND(OR('Compliance Database'!$A941='Data Transfer'!$B$4,'Compliance Database'!$A941='Data Transfer'!$B$5),OR('Data Transfer'!$B$6="",ISNUMBER(SEARCH('Data Transfer'!$B$6,'Compliance Database'!$D941&amp;" "&amp;'Compliance Database'!$K941&amp;" "&amp;'Compliance Database'!$L941&amp;" "&amp;'Compliance Database'!$M941&amp;" "&amp;'Compliance Database'!$N941&amp;" "&amp;'Compliance Database'!$O941)))),1,0)</f>
        <v/>
      </c>
      <c r="B941">
        <f>IF($A941=1,SUM($A$2:$A941),"")</f>
        <v/>
      </c>
      <c r="C941">
        <f>IF($A941=1,SUM($A$2:$A941),0)</f>
        <v/>
      </c>
    </row>
    <row r="942">
      <c r="A942">
        <f>IF(AND(OR('Compliance Database'!$A942='Data Transfer'!$B$4,'Compliance Database'!$A942='Data Transfer'!$B$5),OR('Data Transfer'!$B$6="",ISNUMBER(SEARCH('Data Transfer'!$B$6,'Compliance Database'!$D942&amp;" "&amp;'Compliance Database'!$K942&amp;" "&amp;'Compliance Database'!$L942&amp;" "&amp;'Compliance Database'!$M942&amp;" "&amp;'Compliance Database'!$N942&amp;" "&amp;'Compliance Database'!$O942)))),1,0)</f>
        <v/>
      </c>
      <c r="B942">
        <f>IF($A942=1,SUM($A$2:$A942),"")</f>
        <v/>
      </c>
      <c r="C942">
        <f>IF($A942=1,SUM($A$2:$A942),0)</f>
        <v/>
      </c>
    </row>
    <row r="943">
      <c r="A943">
        <f>IF(AND(OR('Compliance Database'!$A943='Data Transfer'!$B$4,'Compliance Database'!$A943='Data Transfer'!$B$5),OR('Data Transfer'!$B$6="",ISNUMBER(SEARCH('Data Transfer'!$B$6,'Compliance Database'!$D943&amp;" "&amp;'Compliance Database'!$K943&amp;" "&amp;'Compliance Database'!$L943&amp;" "&amp;'Compliance Database'!$M943&amp;" "&amp;'Compliance Database'!$N943&amp;" "&amp;'Compliance Database'!$O943)))),1,0)</f>
        <v/>
      </c>
      <c r="B943">
        <f>IF($A943=1,SUM($A$2:$A943),"")</f>
        <v/>
      </c>
      <c r="C943">
        <f>IF($A943=1,SUM($A$2:$A943),0)</f>
        <v/>
      </c>
    </row>
    <row r="944">
      <c r="A944">
        <f>IF(AND(OR('Compliance Database'!$A944='Data Transfer'!$B$4,'Compliance Database'!$A944='Data Transfer'!$B$5),OR('Data Transfer'!$B$6="",ISNUMBER(SEARCH('Data Transfer'!$B$6,'Compliance Database'!$D944&amp;" "&amp;'Compliance Database'!$K944&amp;" "&amp;'Compliance Database'!$L944&amp;" "&amp;'Compliance Database'!$M944&amp;" "&amp;'Compliance Database'!$N944&amp;" "&amp;'Compliance Database'!$O944)))),1,0)</f>
        <v/>
      </c>
      <c r="B944">
        <f>IF($A944=1,SUM($A$2:$A944),"")</f>
        <v/>
      </c>
      <c r="C944">
        <f>IF($A944=1,SUM($A$2:$A944),0)</f>
        <v/>
      </c>
    </row>
    <row r="945">
      <c r="A945">
        <f>IF(AND(OR('Compliance Database'!$A945='Data Transfer'!$B$4,'Compliance Database'!$A945='Data Transfer'!$B$5),OR('Data Transfer'!$B$6="",ISNUMBER(SEARCH('Data Transfer'!$B$6,'Compliance Database'!$D945&amp;" "&amp;'Compliance Database'!$K945&amp;" "&amp;'Compliance Database'!$L945&amp;" "&amp;'Compliance Database'!$M945&amp;" "&amp;'Compliance Database'!$N945&amp;" "&amp;'Compliance Database'!$O945)))),1,0)</f>
        <v/>
      </c>
      <c r="B945">
        <f>IF($A945=1,SUM($A$2:$A945),"")</f>
        <v/>
      </c>
      <c r="C945">
        <f>IF($A945=1,SUM($A$2:$A945),0)</f>
        <v/>
      </c>
    </row>
    <row r="946">
      <c r="A946">
        <f>IF(AND(OR('Compliance Database'!$A946='Data Transfer'!$B$4,'Compliance Database'!$A946='Data Transfer'!$B$5),OR('Data Transfer'!$B$6="",ISNUMBER(SEARCH('Data Transfer'!$B$6,'Compliance Database'!$D946&amp;" "&amp;'Compliance Database'!$K946&amp;" "&amp;'Compliance Database'!$L946&amp;" "&amp;'Compliance Database'!$M946&amp;" "&amp;'Compliance Database'!$N946&amp;" "&amp;'Compliance Database'!$O946)))),1,0)</f>
        <v/>
      </c>
      <c r="B946">
        <f>IF($A946=1,SUM($A$2:$A946),"")</f>
        <v/>
      </c>
      <c r="C946">
        <f>IF($A946=1,SUM($A$2:$A946),0)</f>
        <v/>
      </c>
    </row>
    <row r="947">
      <c r="A947">
        <f>IF(AND(OR('Compliance Database'!$A947='Data Transfer'!$B$4,'Compliance Database'!$A947='Data Transfer'!$B$5),OR('Data Transfer'!$B$6="",ISNUMBER(SEARCH('Data Transfer'!$B$6,'Compliance Database'!$D947&amp;" "&amp;'Compliance Database'!$K947&amp;" "&amp;'Compliance Database'!$L947&amp;" "&amp;'Compliance Database'!$M947&amp;" "&amp;'Compliance Database'!$N947&amp;" "&amp;'Compliance Database'!$O947)))),1,0)</f>
        <v/>
      </c>
      <c r="B947">
        <f>IF($A947=1,SUM($A$2:$A947),"")</f>
        <v/>
      </c>
      <c r="C947">
        <f>IF($A947=1,SUM($A$2:$A947),0)</f>
        <v/>
      </c>
    </row>
    <row r="948">
      <c r="A948">
        <f>IF(AND(OR('Compliance Database'!$A948='Data Transfer'!$B$4,'Compliance Database'!$A948='Data Transfer'!$B$5),OR('Data Transfer'!$B$6="",ISNUMBER(SEARCH('Data Transfer'!$B$6,'Compliance Database'!$D948&amp;" "&amp;'Compliance Database'!$K948&amp;" "&amp;'Compliance Database'!$L948&amp;" "&amp;'Compliance Database'!$M948&amp;" "&amp;'Compliance Database'!$N948&amp;" "&amp;'Compliance Database'!$O948)))),1,0)</f>
        <v/>
      </c>
      <c r="B948">
        <f>IF($A948=1,SUM($A$2:$A948),"")</f>
        <v/>
      </c>
      <c r="C948">
        <f>IF($A948=1,SUM($A$2:$A948),0)</f>
        <v/>
      </c>
    </row>
    <row r="949">
      <c r="A949">
        <f>IF(AND(OR('Compliance Database'!$A949='Data Transfer'!$B$4,'Compliance Database'!$A949='Data Transfer'!$B$5),OR('Data Transfer'!$B$6="",ISNUMBER(SEARCH('Data Transfer'!$B$6,'Compliance Database'!$D949&amp;" "&amp;'Compliance Database'!$K949&amp;" "&amp;'Compliance Database'!$L949&amp;" "&amp;'Compliance Database'!$M949&amp;" "&amp;'Compliance Database'!$N949&amp;" "&amp;'Compliance Database'!$O949)))),1,0)</f>
        <v/>
      </c>
      <c r="B949">
        <f>IF($A949=1,SUM($A$2:$A949),"")</f>
        <v/>
      </c>
      <c r="C949">
        <f>IF($A949=1,SUM($A$2:$A949),0)</f>
        <v/>
      </c>
    </row>
    <row r="950">
      <c r="A950">
        <f>IF(AND(OR('Compliance Database'!$A950='Data Transfer'!$B$4,'Compliance Database'!$A950='Data Transfer'!$B$5),OR('Data Transfer'!$B$6="",ISNUMBER(SEARCH('Data Transfer'!$B$6,'Compliance Database'!$D950&amp;" "&amp;'Compliance Database'!$K950&amp;" "&amp;'Compliance Database'!$L950&amp;" "&amp;'Compliance Database'!$M950&amp;" "&amp;'Compliance Database'!$N950&amp;" "&amp;'Compliance Database'!$O950)))),1,0)</f>
        <v/>
      </c>
      <c r="B950">
        <f>IF($A950=1,SUM($A$2:$A950),"")</f>
        <v/>
      </c>
      <c r="C950">
        <f>IF($A950=1,SUM($A$2:$A950),0)</f>
        <v/>
      </c>
    </row>
    <row r="951">
      <c r="A951">
        <f>IF(AND(OR('Compliance Database'!$A951='Data Transfer'!$B$4,'Compliance Database'!$A951='Data Transfer'!$B$5),OR('Data Transfer'!$B$6="",ISNUMBER(SEARCH('Data Transfer'!$B$6,'Compliance Database'!$D951&amp;" "&amp;'Compliance Database'!$K951&amp;" "&amp;'Compliance Database'!$L951&amp;" "&amp;'Compliance Database'!$M951&amp;" "&amp;'Compliance Database'!$N951&amp;" "&amp;'Compliance Database'!$O951)))),1,0)</f>
        <v/>
      </c>
      <c r="B951">
        <f>IF($A951=1,SUM($A$2:$A951),"")</f>
        <v/>
      </c>
      <c r="C951">
        <f>IF($A951=1,SUM($A$2:$A951),0)</f>
        <v/>
      </c>
    </row>
    <row r="952">
      <c r="A952">
        <f>IF(AND(OR('Compliance Database'!$A952='Data Transfer'!$B$4,'Compliance Database'!$A952='Data Transfer'!$B$5),OR('Data Transfer'!$B$6="",ISNUMBER(SEARCH('Data Transfer'!$B$6,'Compliance Database'!$D952&amp;" "&amp;'Compliance Database'!$K952&amp;" "&amp;'Compliance Database'!$L952&amp;" "&amp;'Compliance Database'!$M952&amp;" "&amp;'Compliance Database'!$N952&amp;" "&amp;'Compliance Database'!$O952)))),1,0)</f>
        <v/>
      </c>
      <c r="B952">
        <f>IF($A952=1,SUM($A$2:$A952),"")</f>
        <v/>
      </c>
      <c r="C952">
        <f>IF($A952=1,SUM($A$2:$A952),0)</f>
        <v/>
      </c>
    </row>
    <row r="953">
      <c r="A953">
        <f>IF(AND(OR('Compliance Database'!$A953='Data Transfer'!$B$4,'Compliance Database'!$A953='Data Transfer'!$B$5),OR('Data Transfer'!$B$6="",ISNUMBER(SEARCH('Data Transfer'!$B$6,'Compliance Database'!$D953&amp;" "&amp;'Compliance Database'!$K953&amp;" "&amp;'Compliance Database'!$L953&amp;" "&amp;'Compliance Database'!$M953&amp;" "&amp;'Compliance Database'!$N953&amp;" "&amp;'Compliance Database'!$O953)))),1,0)</f>
        <v/>
      </c>
      <c r="B953">
        <f>IF($A953=1,SUM($A$2:$A953),"")</f>
        <v/>
      </c>
      <c r="C953">
        <f>IF($A953=1,SUM($A$2:$A953),0)</f>
        <v/>
      </c>
    </row>
    <row r="954">
      <c r="A954">
        <f>IF(AND(OR('Compliance Database'!$A954='Data Transfer'!$B$4,'Compliance Database'!$A954='Data Transfer'!$B$5),OR('Data Transfer'!$B$6="",ISNUMBER(SEARCH('Data Transfer'!$B$6,'Compliance Database'!$D954&amp;" "&amp;'Compliance Database'!$K954&amp;" "&amp;'Compliance Database'!$L954&amp;" "&amp;'Compliance Database'!$M954&amp;" "&amp;'Compliance Database'!$N954&amp;" "&amp;'Compliance Database'!$O954)))),1,0)</f>
        <v/>
      </c>
      <c r="B954">
        <f>IF($A954=1,SUM($A$2:$A954),"")</f>
        <v/>
      </c>
      <c r="C954">
        <f>IF($A954=1,SUM($A$2:$A954),0)</f>
        <v/>
      </c>
    </row>
    <row r="955">
      <c r="A955">
        <f>IF(AND(OR('Compliance Database'!$A955='Data Transfer'!$B$4,'Compliance Database'!$A955='Data Transfer'!$B$5),OR('Data Transfer'!$B$6="",ISNUMBER(SEARCH('Data Transfer'!$B$6,'Compliance Database'!$D955&amp;" "&amp;'Compliance Database'!$K955&amp;" "&amp;'Compliance Database'!$L955&amp;" "&amp;'Compliance Database'!$M955&amp;" "&amp;'Compliance Database'!$N955&amp;" "&amp;'Compliance Database'!$O955)))),1,0)</f>
        <v/>
      </c>
      <c r="B955">
        <f>IF($A955=1,SUM($A$2:$A955),"")</f>
        <v/>
      </c>
      <c r="C955">
        <f>IF($A955=1,SUM($A$2:$A955),0)</f>
        <v/>
      </c>
    </row>
    <row r="956">
      <c r="A956">
        <f>IF(AND(OR('Compliance Database'!$A956='Data Transfer'!$B$4,'Compliance Database'!$A956='Data Transfer'!$B$5),OR('Data Transfer'!$B$6="",ISNUMBER(SEARCH('Data Transfer'!$B$6,'Compliance Database'!$D956&amp;" "&amp;'Compliance Database'!$K956&amp;" "&amp;'Compliance Database'!$L956&amp;" "&amp;'Compliance Database'!$M956&amp;" "&amp;'Compliance Database'!$N956&amp;" "&amp;'Compliance Database'!$O956)))),1,0)</f>
        <v/>
      </c>
      <c r="B956">
        <f>IF($A956=1,SUM($A$2:$A956),"")</f>
        <v/>
      </c>
      <c r="C956">
        <f>IF($A956=1,SUM($A$2:$A956),0)</f>
        <v/>
      </c>
    </row>
    <row r="957">
      <c r="A957">
        <f>IF(AND(OR('Compliance Database'!$A957='Data Transfer'!$B$4,'Compliance Database'!$A957='Data Transfer'!$B$5),OR('Data Transfer'!$B$6="",ISNUMBER(SEARCH('Data Transfer'!$B$6,'Compliance Database'!$D957&amp;" "&amp;'Compliance Database'!$K957&amp;" "&amp;'Compliance Database'!$L957&amp;" "&amp;'Compliance Database'!$M957&amp;" "&amp;'Compliance Database'!$N957&amp;" "&amp;'Compliance Database'!$O957)))),1,0)</f>
        <v/>
      </c>
      <c r="B957">
        <f>IF($A957=1,SUM($A$2:$A957),"")</f>
        <v/>
      </c>
      <c r="C957">
        <f>IF($A957=1,SUM($A$2:$A957),0)</f>
        <v/>
      </c>
    </row>
    <row r="958">
      <c r="A958">
        <f>IF(AND(OR('Compliance Database'!$A958='Data Transfer'!$B$4,'Compliance Database'!$A958='Data Transfer'!$B$5),OR('Data Transfer'!$B$6="",ISNUMBER(SEARCH('Data Transfer'!$B$6,'Compliance Database'!$D958&amp;" "&amp;'Compliance Database'!$K958&amp;" "&amp;'Compliance Database'!$L958&amp;" "&amp;'Compliance Database'!$M958&amp;" "&amp;'Compliance Database'!$N958&amp;" "&amp;'Compliance Database'!$O958)))),1,0)</f>
        <v/>
      </c>
      <c r="B958">
        <f>IF($A958=1,SUM($A$2:$A958),"")</f>
        <v/>
      </c>
      <c r="C958">
        <f>IF($A958=1,SUM($A$2:$A958),0)</f>
        <v/>
      </c>
    </row>
    <row r="959">
      <c r="A959">
        <f>IF(AND(OR('Compliance Database'!$A959='Data Transfer'!$B$4,'Compliance Database'!$A959='Data Transfer'!$B$5),OR('Data Transfer'!$B$6="",ISNUMBER(SEARCH('Data Transfer'!$B$6,'Compliance Database'!$D959&amp;" "&amp;'Compliance Database'!$K959&amp;" "&amp;'Compliance Database'!$L959&amp;" "&amp;'Compliance Database'!$M959&amp;" "&amp;'Compliance Database'!$N959&amp;" "&amp;'Compliance Database'!$O959)))),1,0)</f>
        <v/>
      </c>
      <c r="B959">
        <f>IF($A959=1,SUM($A$2:$A959),"")</f>
        <v/>
      </c>
      <c r="C959">
        <f>IF($A959=1,SUM($A$2:$A959),0)</f>
        <v/>
      </c>
    </row>
    <row r="960">
      <c r="A960">
        <f>IF(AND(OR('Compliance Database'!$A960='Data Transfer'!$B$4,'Compliance Database'!$A960='Data Transfer'!$B$5),OR('Data Transfer'!$B$6="",ISNUMBER(SEARCH('Data Transfer'!$B$6,'Compliance Database'!$D960&amp;" "&amp;'Compliance Database'!$K960&amp;" "&amp;'Compliance Database'!$L960&amp;" "&amp;'Compliance Database'!$M960&amp;" "&amp;'Compliance Database'!$N960&amp;" "&amp;'Compliance Database'!$O960)))),1,0)</f>
        <v/>
      </c>
      <c r="B960">
        <f>IF($A960=1,SUM($A$2:$A960),"")</f>
        <v/>
      </c>
      <c r="C960">
        <f>IF($A960=1,SUM($A$2:$A960),0)</f>
        <v/>
      </c>
    </row>
    <row r="961">
      <c r="A961">
        <f>IF(AND(OR('Compliance Database'!$A961='Data Transfer'!$B$4,'Compliance Database'!$A961='Data Transfer'!$B$5),OR('Data Transfer'!$B$6="",ISNUMBER(SEARCH('Data Transfer'!$B$6,'Compliance Database'!$D961&amp;" "&amp;'Compliance Database'!$K961&amp;" "&amp;'Compliance Database'!$L961&amp;" "&amp;'Compliance Database'!$M961&amp;" "&amp;'Compliance Database'!$N961&amp;" "&amp;'Compliance Database'!$O961)))),1,0)</f>
        <v/>
      </c>
      <c r="B961">
        <f>IF($A961=1,SUM($A$2:$A961),"")</f>
        <v/>
      </c>
      <c r="C961">
        <f>IF($A961=1,SUM($A$2:$A961),0)</f>
        <v/>
      </c>
    </row>
    <row r="962">
      <c r="A962">
        <f>IF(AND(OR('Compliance Database'!$A962='Data Transfer'!$B$4,'Compliance Database'!$A962='Data Transfer'!$B$5),OR('Data Transfer'!$B$6="",ISNUMBER(SEARCH('Data Transfer'!$B$6,'Compliance Database'!$D962&amp;" "&amp;'Compliance Database'!$K962&amp;" "&amp;'Compliance Database'!$L962&amp;" "&amp;'Compliance Database'!$M962&amp;" "&amp;'Compliance Database'!$N962&amp;" "&amp;'Compliance Database'!$O962)))),1,0)</f>
        <v/>
      </c>
      <c r="B962">
        <f>IF($A962=1,SUM($A$2:$A962),"")</f>
        <v/>
      </c>
      <c r="C962">
        <f>IF($A962=1,SUM($A$2:$A962),0)</f>
        <v/>
      </c>
    </row>
    <row r="963">
      <c r="A963">
        <f>IF(AND(OR('Compliance Database'!$A963='Data Transfer'!$B$4,'Compliance Database'!$A963='Data Transfer'!$B$5),OR('Data Transfer'!$B$6="",ISNUMBER(SEARCH('Data Transfer'!$B$6,'Compliance Database'!$D963&amp;" "&amp;'Compliance Database'!$K963&amp;" "&amp;'Compliance Database'!$L963&amp;" "&amp;'Compliance Database'!$M963&amp;" "&amp;'Compliance Database'!$N963&amp;" "&amp;'Compliance Database'!$O963)))),1,0)</f>
        <v/>
      </c>
      <c r="B963">
        <f>IF($A963=1,SUM($A$2:$A963),"")</f>
        <v/>
      </c>
      <c r="C963">
        <f>IF($A963=1,SUM($A$2:$A963),0)</f>
        <v/>
      </c>
    </row>
    <row r="964">
      <c r="A964">
        <f>IF(AND(OR('Compliance Database'!$A964='Data Transfer'!$B$4,'Compliance Database'!$A964='Data Transfer'!$B$5),OR('Data Transfer'!$B$6="",ISNUMBER(SEARCH('Data Transfer'!$B$6,'Compliance Database'!$D964&amp;" "&amp;'Compliance Database'!$K964&amp;" "&amp;'Compliance Database'!$L964&amp;" "&amp;'Compliance Database'!$M964&amp;" "&amp;'Compliance Database'!$N964&amp;" "&amp;'Compliance Database'!$O964)))),1,0)</f>
        <v/>
      </c>
      <c r="B964">
        <f>IF($A964=1,SUM($A$2:$A964),"")</f>
        <v/>
      </c>
      <c r="C964">
        <f>IF($A964=1,SUM($A$2:$A964),0)</f>
        <v/>
      </c>
    </row>
    <row r="965">
      <c r="A965">
        <f>IF(AND(OR('Compliance Database'!$A965='Data Transfer'!$B$4,'Compliance Database'!$A965='Data Transfer'!$B$5),OR('Data Transfer'!$B$6="",ISNUMBER(SEARCH('Data Transfer'!$B$6,'Compliance Database'!$D965&amp;" "&amp;'Compliance Database'!$K965&amp;" "&amp;'Compliance Database'!$L965&amp;" "&amp;'Compliance Database'!$M965&amp;" "&amp;'Compliance Database'!$N965&amp;" "&amp;'Compliance Database'!$O965)))),1,0)</f>
        <v/>
      </c>
      <c r="B965">
        <f>IF($A965=1,SUM($A$2:$A965),"")</f>
        <v/>
      </c>
      <c r="C965">
        <f>IF($A965=1,SUM($A$2:$A965),0)</f>
        <v/>
      </c>
    </row>
    <row r="966">
      <c r="A966">
        <f>IF(AND(OR('Compliance Database'!$A966='Data Transfer'!$B$4,'Compliance Database'!$A966='Data Transfer'!$B$5),OR('Data Transfer'!$B$6="",ISNUMBER(SEARCH('Data Transfer'!$B$6,'Compliance Database'!$D966&amp;" "&amp;'Compliance Database'!$K966&amp;" "&amp;'Compliance Database'!$L966&amp;" "&amp;'Compliance Database'!$M966&amp;" "&amp;'Compliance Database'!$N966&amp;" "&amp;'Compliance Database'!$O966)))),1,0)</f>
        <v/>
      </c>
      <c r="B966">
        <f>IF($A966=1,SUM($A$2:$A966),"")</f>
        <v/>
      </c>
      <c r="C966">
        <f>IF($A966=1,SUM($A$2:$A966),0)</f>
        <v/>
      </c>
    </row>
    <row r="967">
      <c r="A967">
        <f>IF(AND(OR('Compliance Database'!$A967='Data Transfer'!$B$4,'Compliance Database'!$A967='Data Transfer'!$B$5),OR('Data Transfer'!$B$6="",ISNUMBER(SEARCH('Data Transfer'!$B$6,'Compliance Database'!$D967&amp;" "&amp;'Compliance Database'!$K967&amp;" "&amp;'Compliance Database'!$L967&amp;" "&amp;'Compliance Database'!$M967&amp;" "&amp;'Compliance Database'!$N967&amp;" "&amp;'Compliance Database'!$O967)))),1,0)</f>
        <v/>
      </c>
      <c r="B967">
        <f>IF($A967=1,SUM($A$2:$A967),"")</f>
        <v/>
      </c>
      <c r="C967">
        <f>IF($A967=1,SUM($A$2:$A967),0)</f>
        <v/>
      </c>
    </row>
    <row r="968">
      <c r="A968">
        <f>IF(AND(OR('Compliance Database'!$A968='Data Transfer'!$B$4,'Compliance Database'!$A968='Data Transfer'!$B$5),OR('Data Transfer'!$B$6="",ISNUMBER(SEARCH('Data Transfer'!$B$6,'Compliance Database'!$D968&amp;" "&amp;'Compliance Database'!$K968&amp;" "&amp;'Compliance Database'!$L968&amp;" "&amp;'Compliance Database'!$M968&amp;" "&amp;'Compliance Database'!$N968&amp;" "&amp;'Compliance Database'!$O968)))),1,0)</f>
        <v/>
      </c>
      <c r="B968">
        <f>IF($A968=1,SUM($A$2:$A968),"")</f>
        <v/>
      </c>
      <c r="C968">
        <f>IF($A968=1,SUM($A$2:$A968),0)</f>
        <v/>
      </c>
    </row>
    <row r="969">
      <c r="A969">
        <f>IF(AND(OR('Compliance Database'!$A969='Data Transfer'!$B$4,'Compliance Database'!$A969='Data Transfer'!$B$5),OR('Data Transfer'!$B$6="",ISNUMBER(SEARCH('Data Transfer'!$B$6,'Compliance Database'!$D969&amp;" "&amp;'Compliance Database'!$K969&amp;" "&amp;'Compliance Database'!$L969&amp;" "&amp;'Compliance Database'!$M969&amp;" "&amp;'Compliance Database'!$N969&amp;" "&amp;'Compliance Database'!$O969)))),1,0)</f>
        <v/>
      </c>
      <c r="B969">
        <f>IF($A969=1,SUM($A$2:$A969),"")</f>
        <v/>
      </c>
      <c r="C969">
        <f>IF($A969=1,SUM($A$2:$A969),0)</f>
        <v/>
      </c>
    </row>
    <row r="970">
      <c r="A970">
        <f>IF(AND(OR('Compliance Database'!$A970='Data Transfer'!$B$4,'Compliance Database'!$A970='Data Transfer'!$B$5),OR('Data Transfer'!$B$6="",ISNUMBER(SEARCH('Data Transfer'!$B$6,'Compliance Database'!$D970&amp;" "&amp;'Compliance Database'!$K970&amp;" "&amp;'Compliance Database'!$L970&amp;" "&amp;'Compliance Database'!$M970&amp;" "&amp;'Compliance Database'!$N970&amp;" "&amp;'Compliance Database'!$O970)))),1,0)</f>
        <v/>
      </c>
      <c r="B970">
        <f>IF($A970=1,SUM($A$2:$A970),"")</f>
        <v/>
      </c>
      <c r="C970">
        <f>IF($A970=1,SUM($A$2:$A970),0)</f>
        <v/>
      </c>
    </row>
    <row r="971">
      <c r="A971">
        <f>IF(AND(OR('Compliance Database'!$A971='Data Transfer'!$B$4,'Compliance Database'!$A971='Data Transfer'!$B$5),OR('Data Transfer'!$B$6="",ISNUMBER(SEARCH('Data Transfer'!$B$6,'Compliance Database'!$D971&amp;" "&amp;'Compliance Database'!$K971&amp;" "&amp;'Compliance Database'!$L971&amp;" "&amp;'Compliance Database'!$M971&amp;" "&amp;'Compliance Database'!$N971&amp;" "&amp;'Compliance Database'!$O971)))),1,0)</f>
        <v/>
      </c>
      <c r="B971">
        <f>IF($A971=1,SUM($A$2:$A971),"")</f>
        <v/>
      </c>
      <c r="C971">
        <f>IF($A971=1,SUM($A$2:$A971),0)</f>
        <v/>
      </c>
    </row>
    <row r="972">
      <c r="A972">
        <f>IF(AND(OR('Compliance Database'!$A972='Data Transfer'!$B$4,'Compliance Database'!$A972='Data Transfer'!$B$5),OR('Data Transfer'!$B$6="",ISNUMBER(SEARCH('Data Transfer'!$B$6,'Compliance Database'!$D972&amp;" "&amp;'Compliance Database'!$K972&amp;" "&amp;'Compliance Database'!$L972&amp;" "&amp;'Compliance Database'!$M972&amp;" "&amp;'Compliance Database'!$N972&amp;" "&amp;'Compliance Database'!$O972)))),1,0)</f>
        <v/>
      </c>
      <c r="B972">
        <f>IF($A972=1,SUM($A$2:$A972),"")</f>
        <v/>
      </c>
      <c r="C972">
        <f>IF($A972=1,SUM($A$2:$A972),0)</f>
        <v/>
      </c>
    </row>
    <row r="973">
      <c r="A973">
        <f>IF(AND(OR('Compliance Database'!$A973='Data Transfer'!$B$4,'Compliance Database'!$A973='Data Transfer'!$B$5),OR('Data Transfer'!$B$6="",ISNUMBER(SEARCH('Data Transfer'!$B$6,'Compliance Database'!$D973&amp;" "&amp;'Compliance Database'!$K973&amp;" "&amp;'Compliance Database'!$L973&amp;" "&amp;'Compliance Database'!$M973&amp;" "&amp;'Compliance Database'!$N973&amp;" "&amp;'Compliance Database'!$O973)))),1,0)</f>
        <v/>
      </c>
      <c r="B973">
        <f>IF($A973=1,SUM($A$2:$A973),"")</f>
        <v/>
      </c>
      <c r="C973">
        <f>IF($A973=1,SUM($A$2:$A973),0)</f>
        <v/>
      </c>
    </row>
    <row r="974">
      <c r="A974">
        <f>IF(AND(OR('Compliance Database'!$A974='Data Transfer'!$B$4,'Compliance Database'!$A974='Data Transfer'!$B$5),OR('Data Transfer'!$B$6="",ISNUMBER(SEARCH('Data Transfer'!$B$6,'Compliance Database'!$D974&amp;" "&amp;'Compliance Database'!$K974&amp;" "&amp;'Compliance Database'!$L974&amp;" "&amp;'Compliance Database'!$M974&amp;" "&amp;'Compliance Database'!$N974&amp;" "&amp;'Compliance Database'!$O974)))),1,0)</f>
        <v/>
      </c>
      <c r="B974">
        <f>IF($A974=1,SUM($A$2:$A974),"")</f>
        <v/>
      </c>
      <c r="C974">
        <f>IF($A974=1,SUM($A$2:$A974),0)</f>
        <v/>
      </c>
    </row>
    <row r="975">
      <c r="A975">
        <f>IF(AND(OR('Compliance Database'!$A975='Data Transfer'!$B$4,'Compliance Database'!$A975='Data Transfer'!$B$5),OR('Data Transfer'!$B$6="",ISNUMBER(SEARCH('Data Transfer'!$B$6,'Compliance Database'!$D975&amp;" "&amp;'Compliance Database'!$K975&amp;" "&amp;'Compliance Database'!$L975&amp;" "&amp;'Compliance Database'!$M975&amp;" "&amp;'Compliance Database'!$N975&amp;" "&amp;'Compliance Database'!$O975)))),1,0)</f>
        <v/>
      </c>
      <c r="B975">
        <f>IF($A975=1,SUM($A$2:$A975),"")</f>
        <v/>
      </c>
      <c r="C975">
        <f>IF($A975=1,SUM($A$2:$A975),0)</f>
        <v/>
      </c>
    </row>
    <row r="976">
      <c r="A976">
        <f>IF(AND(OR('Compliance Database'!$A976='Data Transfer'!$B$4,'Compliance Database'!$A976='Data Transfer'!$B$5),OR('Data Transfer'!$B$6="",ISNUMBER(SEARCH('Data Transfer'!$B$6,'Compliance Database'!$D976&amp;" "&amp;'Compliance Database'!$K976&amp;" "&amp;'Compliance Database'!$L976&amp;" "&amp;'Compliance Database'!$M976&amp;" "&amp;'Compliance Database'!$N976&amp;" "&amp;'Compliance Database'!$O976)))),1,0)</f>
        <v/>
      </c>
      <c r="B976">
        <f>IF($A976=1,SUM($A$2:$A976),"")</f>
        <v/>
      </c>
      <c r="C976">
        <f>IF($A976=1,SUM($A$2:$A976),0)</f>
        <v/>
      </c>
    </row>
    <row r="977">
      <c r="A977">
        <f>IF(AND(OR('Compliance Database'!$A977='Data Transfer'!$B$4,'Compliance Database'!$A977='Data Transfer'!$B$5),OR('Data Transfer'!$B$6="",ISNUMBER(SEARCH('Data Transfer'!$B$6,'Compliance Database'!$D977&amp;" "&amp;'Compliance Database'!$K977&amp;" "&amp;'Compliance Database'!$L977&amp;" "&amp;'Compliance Database'!$M977&amp;" "&amp;'Compliance Database'!$N977&amp;" "&amp;'Compliance Database'!$O977)))),1,0)</f>
        <v/>
      </c>
      <c r="B977">
        <f>IF($A977=1,SUM($A$2:$A977),"")</f>
        <v/>
      </c>
      <c r="C977">
        <f>IF($A977=1,SUM($A$2:$A977),0)</f>
        <v/>
      </c>
    </row>
    <row r="978">
      <c r="A978">
        <f>IF(AND(OR('Compliance Database'!$A978='Data Transfer'!$B$4,'Compliance Database'!$A978='Data Transfer'!$B$5),OR('Data Transfer'!$B$6="",ISNUMBER(SEARCH('Data Transfer'!$B$6,'Compliance Database'!$D978&amp;" "&amp;'Compliance Database'!$K978&amp;" "&amp;'Compliance Database'!$L978&amp;" "&amp;'Compliance Database'!$M978&amp;" "&amp;'Compliance Database'!$N978&amp;" "&amp;'Compliance Database'!$O978)))),1,0)</f>
        <v/>
      </c>
      <c r="B978">
        <f>IF($A978=1,SUM($A$2:$A978),"")</f>
        <v/>
      </c>
      <c r="C978">
        <f>IF($A978=1,SUM($A$2:$A978),0)</f>
        <v/>
      </c>
    </row>
    <row r="979">
      <c r="A979">
        <f>IF(AND(OR('Compliance Database'!$A979='Data Transfer'!$B$4,'Compliance Database'!$A979='Data Transfer'!$B$5),OR('Data Transfer'!$B$6="",ISNUMBER(SEARCH('Data Transfer'!$B$6,'Compliance Database'!$D979&amp;" "&amp;'Compliance Database'!$K979&amp;" "&amp;'Compliance Database'!$L979&amp;" "&amp;'Compliance Database'!$M979&amp;" "&amp;'Compliance Database'!$N979&amp;" "&amp;'Compliance Database'!$O979)))),1,0)</f>
        <v/>
      </c>
      <c r="B979">
        <f>IF($A979=1,SUM($A$2:$A979),"")</f>
        <v/>
      </c>
      <c r="C979">
        <f>IF($A979=1,SUM($A$2:$A979),0)</f>
        <v/>
      </c>
    </row>
    <row r="980">
      <c r="A980">
        <f>IF(AND(OR('Compliance Database'!$A980='Data Transfer'!$B$4,'Compliance Database'!$A980='Data Transfer'!$B$5),OR('Data Transfer'!$B$6="",ISNUMBER(SEARCH('Data Transfer'!$B$6,'Compliance Database'!$D980&amp;" "&amp;'Compliance Database'!$K980&amp;" "&amp;'Compliance Database'!$L980&amp;" "&amp;'Compliance Database'!$M980&amp;" "&amp;'Compliance Database'!$N980&amp;" "&amp;'Compliance Database'!$O980)))),1,0)</f>
        <v/>
      </c>
      <c r="B980">
        <f>IF($A980=1,SUM($A$2:$A980),"")</f>
        <v/>
      </c>
      <c r="C980">
        <f>IF($A980=1,SUM($A$2:$A980),0)</f>
        <v/>
      </c>
    </row>
    <row r="981">
      <c r="A981">
        <f>IF(AND(OR('Compliance Database'!$A981='Data Transfer'!$B$4,'Compliance Database'!$A981='Data Transfer'!$B$5),OR('Data Transfer'!$B$6="",ISNUMBER(SEARCH('Data Transfer'!$B$6,'Compliance Database'!$D981&amp;" "&amp;'Compliance Database'!$K981&amp;" "&amp;'Compliance Database'!$L981&amp;" "&amp;'Compliance Database'!$M981&amp;" "&amp;'Compliance Database'!$N981&amp;" "&amp;'Compliance Database'!$O981)))),1,0)</f>
        <v/>
      </c>
      <c r="B981">
        <f>IF($A981=1,SUM($A$2:$A981),"")</f>
        <v/>
      </c>
      <c r="C981">
        <f>IF($A981=1,SUM($A$2:$A981),0)</f>
        <v/>
      </c>
    </row>
    <row r="982">
      <c r="A982">
        <f>IF(AND(OR('Compliance Database'!$A982='Data Transfer'!$B$4,'Compliance Database'!$A982='Data Transfer'!$B$5),OR('Data Transfer'!$B$6="",ISNUMBER(SEARCH('Data Transfer'!$B$6,'Compliance Database'!$D982&amp;" "&amp;'Compliance Database'!$K982&amp;" "&amp;'Compliance Database'!$L982&amp;" "&amp;'Compliance Database'!$M982&amp;" "&amp;'Compliance Database'!$N982&amp;" "&amp;'Compliance Database'!$O982)))),1,0)</f>
        <v/>
      </c>
      <c r="B982">
        <f>IF($A982=1,SUM($A$2:$A982),"")</f>
        <v/>
      </c>
      <c r="C982">
        <f>IF($A982=1,SUM($A$2:$A982),0)</f>
        <v/>
      </c>
    </row>
    <row r="983">
      <c r="A983">
        <f>IF(AND(OR('Compliance Database'!$A983='Data Transfer'!$B$4,'Compliance Database'!$A983='Data Transfer'!$B$5),OR('Data Transfer'!$B$6="",ISNUMBER(SEARCH('Data Transfer'!$B$6,'Compliance Database'!$D983&amp;" "&amp;'Compliance Database'!$K983&amp;" "&amp;'Compliance Database'!$L983&amp;" "&amp;'Compliance Database'!$M983&amp;" "&amp;'Compliance Database'!$N983&amp;" "&amp;'Compliance Database'!$O983)))),1,0)</f>
        <v/>
      </c>
      <c r="B983">
        <f>IF($A983=1,SUM($A$2:$A983),"")</f>
        <v/>
      </c>
      <c r="C983">
        <f>IF($A983=1,SUM($A$2:$A983),0)</f>
        <v/>
      </c>
    </row>
    <row r="984">
      <c r="A984">
        <f>IF(AND(OR('Compliance Database'!$A984='Data Transfer'!$B$4,'Compliance Database'!$A984='Data Transfer'!$B$5),OR('Data Transfer'!$B$6="",ISNUMBER(SEARCH('Data Transfer'!$B$6,'Compliance Database'!$D984&amp;" "&amp;'Compliance Database'!$K984&amp;" "&amp;'Compliance Database'!$L984&amp;" "&amp;'Compliance Database'!$M984&amp;" "&amp;'Compliance Database'!$N984&amp;" "&amp;'Compliance Database'!$O984)))),1,0)</f>
        <v/>
      </c>
      <c r="B984">
        <f>IF($A984=1,SUM($A$2:$A984),"")</f>
        <v/>
      </c>
      <c r="C984">
        <f>IF($A984=1,SUM($A$2:$A984),0)</f>
        <v/>
      </c>
    </row>
    <row r="985">
      <c r="A985">
        <f>IF(AND(OR('Compliance Database'!$A985='Data Transfer'!$B$4,'Compliance Database'!$A985='Data Transfer'!$B$5),OR('Data Transfer'!$B$6="",ISNUMBER(SEARCH('Data Transfer'!$B$6,'Compliance Database'!$D985&amp;" "&amp;'Compliance Database'!$K985&amp;" "&amp;'Compliance Database'!$L985&amp;" "&amp;'Compliance Database'!$M985&amp;" "&amp;'Compliance Database'!$N985&amp;" "&amp;'Compliance Database'!$O985)))),1,0)</f>
        <v/>
      </c>
      <c r="B985">
        <f>IF($A985=1,SUM($A$2:$A985),"")</f>
        <v/>
      </c>
      <c r="C985">
        <f>IF($A985=1,SUM($A$2:$A985),0)</f>
        <v/>
      </c>
    </row>
    <row r="986">
      <c r="A986">
        <f>IF(AND(OR('Compliance Database'!$A986='Data Transfer'!$B$4,'Compliance Database'!$A986='Data Transfer'!$B$5),OR('Data Transfer'!$B$6="",ISNUMBER(SEARCH('Data Transfer'!$B$6,'Compliance Database'!$D986&amp;" "&amp;'Compliance Database'!$K986&amp;" "&amp;'Compliance Database'!$L986&amp;" "&amp;'Compliance Database'!$M986&amp;" "&amp;'Compliance Database'!$N986&amp;" "&amp;'Compliance Database'!$O986)))),1,0)</f>
        <v/>
      </c>
      <c r="B986">
        <f>IF($A986=1,SUM($A$2:$A986),"")</f>
        <v/>
      </c>
      <c r="C986">
        <f>IF($A986=1,SUM($A$2:$A986),0)</f>
        <v/>
      </c>
    </row>
    <row r="987">
      <c r="A987">
        <f>IF(AND(OR('Compliance Database'!$A987='Data Transfer'!$B$4,'Compliance Database'!$A987='Data Transfer'!$B$5),OR('Data Transfer'!$B$6="",ISNUMBER(SEARCH('Data Transfer'!$B$6,'Compliance Database'!$D987&amp;" "&amp;'Compliance Database'!$K987&amp;" "&amp;'Compliance Database'!$L987&amp;" "&amp;'Compliance Database'!$M987&amp;" "&amp;'Compliance Database'!$N987&amp;" "&amp;'Compliance Database'!$O987)))),1,0)</f>
        <v/>
      </c>
      <c r="B987">
        <f>IF($A987=1,SUM($A$2:$A987),"")</f>
        <v/>
      </c>
      <c r="C987">
        <f>IF($A987=1,SUM($A$2:$A987),0)</f>
        <v/>
      </c>
    </row>
    <row r="988">
      <c r="A988">
        <f>IF(AND(OR('Compliance Database'!$A988='Data Transfer'!$B$4,'Compliance Database'!$A988='Data Transfer'!$B$5),OR('Data Transfer'!$B$6="",ISNUMBER(SEARCH('Data Transfer'!$B$6,'Compliance Database'!$D988&amp;" "&amp;'Compliance Database'!$K988&amp;" "&amp;'Compliance Database'!$L988&amp;" "&amp;'Compliance Database'!$M988&amp;" "&amp;'Compliance Database'!$N988&amp;" "&amp;'Compliance Database'!$O988)))),1,0)</f>
        <v/>
      </c>
      <c r="B988">
        <f>IF($A988=1,SUM($A$2:$A988),"")</f>
        <v/>
      </c>
      <c r="C988">
        <f>IF($A988=1,SUM($A$2:$A988),0)</f>
        <v/>
      </c>
    </row>
    <row r="989">
      <c r="A989">
        <f>IF(AND(OR('Compliance Database'!$A989='Data Transfer'!$B$4,'Compliance Database'!$A989='Data Transfer'!$B$5),OR('Data Transfer'!$B$6="",ISNUMBER(SEARCH('Data Transfer'!$B$6,'Compliance Database'!$D989&amp;" "&amp;'Compliance Database'!$K989&amp;" "&amp;'Compliance Database'!$L989&amp;" "&amp;'Compliance Database'!$M989&amp;" "&amp;'Compliance Database'!$N989&amp;" "&amp;'Compliance Database'!$O989)))),1,0)</f>
        <v/>
      </c>
      <c r="B989">
        <f>IF($A989=1,SUM($A$2:$A989),"")</f>
        <v/>
      </c>
      <c r="C989">
        <f>IF($A989=1,SUM($A$2:$A989),0)</f>
        <v/>
      </c>
    </row>
    <row r="990">
      <c r="A990">
        <f>IF(AND(OR('Compliance Database'!$A990='Data Transfer'!$B$4,'Compliance Database'!$A990='Data Transfer'!$B$5),OR('Data Transfer'!$B$6="",ISNUMBER(SEARCH('Data Transfer'!$B$6,'Compliance Database'!$D990&amp;" "&amp;'Compliance Database'!$K990&amp;" "&amp;'Compliance Database'!$L990&amp;" "&amp;'Compliance Database'!$M990&amp;" "&amp;'Compliance Database'!$N990&amp;" "&amp;'Compliance Database'!$O990)))),1,0)</f>
        <v/>
      </c>
      <c r="B990">
        <f>IF($A990=1,SUM($A$2:$A990),"")</f>
        <v/>
      </c>
      <c r="C990">
        <f>IF($A990=1,SUM($A$2:$A990),0)</f>
        <v/>
      </c>
    </row>
    <row r="991">
      <c r="A991">
        <f>IF(AND(OR('Compliance Database'!$A991='Data Transfer'!$B$4,'Compliance Database'!$A991='Data Transfer'!$B$5),OR('Data Transfer'!$B$6="",ISNUMBER(SEARCH('Data Transfer'!$B$6,'Compliance Database'!$D991&amp;" "&amp;'Compliance Database'!$K991&amp;" "&amp;'Compliance Database'!$L991&amp;" "&amp;'Compliance Database'!$M991&amp;" "&amp;'Compliance Database'!$N991&amp;" "&amp;'Compliance Database'!$O991)))),1,0)</f>
        <v/>
      </c>
      <c r="B991">
        <f>IF($A991=1,SUM($A$2:$A991),"")</f>
        <v/>
      </c>
      <c r="C991">
        <f>IF($A991=1,SUM($A$2:$A991),0)</f>
        <v/>
      </c>
    </row>
    <row r="992">
      <c r="A992">
        <f>IF(AND(OR('Compliance Database'!$A992='Data Transfer'!$B$4,'Compliance Database'!$A992='Data Transfer'!$B$5),OR('Data Transfer'!$B$6="",ISNUMBER(SEARCH('Data Transfer'!$B$6,'Compliance Database'!$D992&amp;" "&amp;'Compliance Database'!$K992&amp;" "&amp;'Compliance Database'!$L992&amp;" "&amp;'Compliance Database'!$M992&amp;" "&amp;'Compliance Database'!$N992&amp;" "&amp;'Compliance Database'!$O992)))),1,0)</f>
        <v/>
      </c>
      <c r="B992">
        <f>IF($A992=1,SUM($A$2:$A992),"")</f>
        <v/>
      </c>
      <c r="C992">
        <f>IF($A992=1,SUM($A$2:$A992),0)</f>
        <v/>
      </c>
    </row>
    <row r="993">
      <c r="A993">
        <f>IF(AND(OR('Compliance Database'!$A993='Data Transfer'!$B$4,'Compliance Database'!$A993='Data Transfer'!$B$5),OR('Data Transfer'!$B$6="",ISNUMBER(SEARCH('Data Transfer'!$B$6,'Compliance Database'!$D993&amp;" "&amp;'Compliance Database'!$K993&amp;" "&amp;'Compliance Database'!$L993&amp;" "&amp;'Compliance Database'!$M993&amp;" "&amp;'Compliance Database'!$N993&amp;" "&amp;'Compliance Database'!$O993)))),1,0)</f>
        <v/>
      </c>
      <c r="B993">
        <f>IF($A993=1,SUM($A$2:$A993),"")</f>
        <v/>
      </c>
      <c r="C993">
        <f>IF($A993=1,SUM($A$2:$A993),0)</f>
        <v/>
      </c>
    </row>
    <row r="994">
      <c r="A994">
        <f>IF(AND(OR('Compliance Database'!$A994='Data Transfer'!$B$4,'Compliance Database'!$A994='Data Transfer'!$B$5),OR('Data Transfer'!$B$6="",ISNUMBER(SEARCH('Data Transfer'!$B$6,'Compliance Database'!$D994&amp;" "&amp;'Compliance Database'!$K994&amp;" "&amp;'Compliance Database'!$L994&amp;" "&amp;'Compliance Database'!$M994&amp;" "&amp;'Compliance Database'!$N994&amp;" "&amp;'Compliance Database'!$O994)))),1,0)</f>
        <v/>
      </c>
      <c r="B994">
        <f>IF($A994=1,SUM($A$2:$A994),"")</f>
        <v/>
      </c>
      <c r="C994">
        <f>IF($A994=1,SUM($A$2:$A994),0)</f>
        <v/>
      </c>
    </row>
    <row r="995">
      <c r="A995">
        <f>IF(AND(OR('Compliance Database'!$A995='Data Transfer'!$B$4,'Compliance Database'!$A995='Data Transfer'!$B$5),OR('Data Transfer'!$B$6="",ISNUMBER(SEARCH('Data Transfer'!$B$6,'Compliance Database'!$D995&amp;" "&amp;'Compliance Database'!$K995&amp;" "&amp;'Compliance Database'!$L995&amp;" "&amp;'Compliance Database'!$M995&amp;" "&amp;'Compliance Database'!$N995&amp;" "&amp;'Compliance Database'!$O995)))),1,0)</f>
        <v/>
      </c>
      <c r="B995">
        <f>IF($A995=1,SUM($A$2:$A995),"")</f>
        <v/>
      </c>
      <c r="C995">
        <f>IF($A995=1,SUM($A$2:$A995),0)</f>
        <v/>
      </c>
    </row>
    <row r="996">
      <c r="A996">
        <f>IF(AND(OR('Compliance Database'!$A996='Data Transfer'!$B$4,'Compliance Database'!$A996='Data Transfer'!$B$5),OR('Data Transfer'!$B$6="",ISNUMBER(SEARCH('Data Transfer'!$B$6,'Compliance Database'!$D996&amp;" "&amp;'Compliance Database'!$K996&amp;" "&amp;'Compliance Database'!$L996&amp;" "&amp;'Compliance Database'!$M996&amp;" "&amp;'Compliance Database'!$N996&amp;" "&amp;'Compliance Database'!$O996)))),1,0)</f>
        <v/>
      </c>
      <c r="B996">
        <f>IF($A996=1,SUM($A$2:$A996),"")</f>
        <v/>
      </c>
      <c r="C996">
        <f>IF($A996=1,SUM($A$2:$A996),0)</f>
        <v/>
      </c>
    </row>
    <row r="997">
      <c r="A997">
        <f>IF(AND(OR('Compliance Database'!$A997='Data Transfer'!$B$4,'Compliance Database'!$A997='Data Transfer'!$B$5),OR('Data Transfer'!$B$6="",ISNUMBER(SEARCH('Data Transfer'!$B$6,'Compliance Database'!$D997&amp;" "&amp;'Compliance Database'!$K997&amp;" "&amp;'Compliance Database'!$L997&amp;" "&amp;'Compliance Database'!$M997&amp;" "&amp;'Compliance Database'!$N997&amp;" "&amp;'Compliance Database'!$O997)))),1,0)</f>
        <v/>
      </c>
      <c r="B997">
        <f>IF($A997=1,SUM($A$2:$A997),"")</f>
        <v/>
      </c>
      <c r="C997">
        <f>IF($A997=1,SUM($A$2:$A997),0)</f>
        <v/>
      </c>
    </row>
    <row r="998">
      <c r="A998">
        <f>IF(AND(OR('Compliance Database'!$A998='Data Transfer'!$B$4,'Compliance Database'!$A998='Data Transfer'!$B$5),OR('Data Transfer'!$B$6="",ISNUMBER(SEARCH('Data Transfer'!$B$6,'Compliance Database'!$D998&amp;" "&amp;'Compliance Database'!$K998&amp;" "&amp;'Compliance Database'!$L998&amp;" "&amp;'Compliance Database'!$M998&amp;" "&amp;'Compliance Database'!$N998&amp;" "&amp;'Compliance Database'!$O998)))),1,0)</f>
        <v/>
      </c>
      <c r="B998">
        <f>IF($A998=1,SUM($A$2:$A998),"")</f>
        <v/>
      </c>
      <c r="C998">
        <f>IF($A998=1,SUM($A$2:$A998),0)</f>
        <v/>
      </c>
    </row>
    <row r="999">
      <c r="A999">
        <f>IF(AND(OR('Compliance Database'!$A999='Data Transfer'!$B$4,'Compliance Database'!$A999='Data Transfer'!$B$5),OR('Data Transfer'!$B$6="",ISNUMBER(SEARCH('Data Transfer'!$B$6,'Compliance Database'!$D999&amp;" "&amp;'Compliance Database'!$K999&amp;" "&amp;'Compliance Database'!$L999&amp;" "&amp;'Compliance Database'!$M999&amp;" "&amp;'Compliance Database'!$N999&amp;" "&amp;'Compliance Database'!$O999)))),1,0)</f>
        <v/>
      </c>
      <c r="B999">
        <f>IF($A999=1,SUM($A$2:$A999),"")</f>
        <v/>
      </c>
      <c r="C999">
        <f>IF($A999=1,SUM($A$2:$A999),0)</f>
        <v/>
      </c>
    </row>
    <row r="1000">
      <c r="A1000">
        <f>IF(AND(OR('Compliance Database'!$A1000='Data Transfer'!$B$4,'Compliance Database'!$A1000='Data Transfer'!$B$5),OR('Data Transfer'!$B$6="",ISNUMBER(SEARCH('Data Transfer'!$B$6,'Compliance Database'!$D1000&amp;" "&amp;'Compliance Database'!$K1000&amp;" "&amp;'Compliance Database'!$L1000&amp;" "&amp;'Compliance Database'!$M1000&amp;" "&amp;'Compliance Database'!$N1000&amp;" "&amp;'Compliance Database'!$O1000)))),1,0)</f>
        <v/>
      </c>
      <c r="B1000">
        <f>IF($A1000=1,SUM($A$2:$A1000),"")</f>
        <v/>
      </c>
      <c r="C1000">
        <f>IF($A1000=1,SUM($A$2:$A1000),0)</f>
        <v/>
      </c>
    </row>
    <row r="1001">
      <c r="A1001">
        <f>IF(AND(OR('Compliance Database'!$A1001='Data Transfer'!$B$4,'Compliance Database'!$A1001='Data Transfer'!$B$5),OR('Data Transfer'!$B$6="",ISNUMBER(SEARCH('Data Transfer'!$B$6,'Compliance Database'!$D1001&amp;" "&amp;'Compliance Database'!$K1001&amp;" "&amp;'Compliance Database'!$L1001&amp;" "&amp;'Compliance Database'!$M1001&amp;" "&amp;'Compliance Database'!$N1001&amp;" "&amp;'Compliance Database'!$O1001)))),1,0)</f>
        <v/>
      </c>
      <c r="B1001">
        <f>IF($A1001=1,SUM($A$2:$A1001),"")</f>
        <v/>
      </c>
      <c r="C1001">
        <f>IF($A1001=1,SUM($A$2:$A1001),0)</f>
        <v/>
      </c>
    </row>
    <row r="1002">
      <c r="A1002">
        <f>IF(AND(OR('Compliance Database'!$A1002='Data Transfer'!$B$4,'Compliance Database'!$A1002='Data Transfer'!$B$5),OR('Data Transfer'!$B$6="",ISNUMBER(SEARCH('Data Transfer'!$B$6,'Compliance Database'!$D1002&amp;" "&amp;'Compliance Database'!$K1002&amp;" "&amp;'Compliance Database'!$L1002&amp;" "&amp;'Compliance Database'!$M1002&amp;" "&amp;'Compliance Database'!$N1002&amp;" "&amp;'Compliance Database'!$O1002)))),1,0)</f>
        <v/>
      </c>
      <c r="B1002">
        <f>IF($A1002=1,SUM($A$2:$A1002),"")</f>
        <v/>
      </c>
      <c r="C1002">
        <f>IF($A1002=1,SUM($A$2:$A1002),0)</f>
        <v/>
      </c>
    </row>
    <row r="1003">
      <c r="A1003">
        <f>IF(AND(OR('Compliance Database'!$A1003='Data Transfer'!$B$4,'Compliance Database'!$A1003='Data Transfer'!$B$5),OR('Data Transfer'!$B$6="",ISNUMBER(SEARCH('Data Transfer'!$B$6,'Compliance Database'!$D1003&amp;" "&amp;'Compliance Database'!$K1003&amp;" "&amp;'Compliance Database'!$L1003&amp;" "&amp;'Compliance Database'!$M1003&amp;" "&amp;'Compliance Database'!$N1003&amp;" "&amp;'Compliance Database'!$O1003)))),1,0)</f>
        <v/>
      </c>
      <c r="B1003">
        <f>IF($A1003=1,SUM($A$2:$A1003),"")</f>
        <v/>
      </c>
      <c r="C1003">
        <f>IF($A1003=1,SUM($A$2:$A1003),0)</f>
        <v/>
      </c>
    </row>
    <row r="1004">
      <c r="A1004">
        <f>IF(AND(OR('Compliance Database'!$A1004='Data Transfer'!$B$4,'Compliance Database'!$A1004='Data Transfer'!$B$5),OR('Data Transfer'!$B$6="",ISNUMBER(SEARCH('Data Transfer'!$B$6,'Compliance Database'!$D1004&amp;" "&amp;'Compliance Database'!$K1004&amp;" "&amp;'Compliance Database'!$L1004&amp;" "&amp;'Compliance Database'!$M1004&amp;" "&amp;'Compliance Database'!$N1004&amp;" "&amp;'Compliance Database'!$O1004)))),1,0)</f>
        <v/>
      </c>
      <c r="B1004">
        <f>IF($A1004=1,SUM($A$2:$A1004),"")</f>
        <v/>
      </c>
      <c r="C1004">
        <f>IF($A1004=1,SUM($A$2:$A1004),0)</f>
        <v/>
      </c>
    </row>
    <row r="1005">
      <c r="A1005">
        <f>IF(AND(OR('Compliance Database'!$A1005='Data Transfer'!$B$4,'Compliance Database'!$A1005='Data Transfer'!$B$5),OR('Data Transfer'!$B$6="",ISNUMBER(SEARCH('Data Transfer'!$B$6,'Compliance Database'!$D1005&amp;" "&amp;'Compliance Database'!$K1005&amp;" "&amp;'Compliance Database'!$L1005&amp;" "&amp;'Compliance Database'!$M1005&amp;" "&amp;'Compliance Database'!$N1005&amp;" "&amp;'Compliance Database'!$O1005)))),1,0)</f>
        <v/>
      </c>
      <c r="B1005">
        <f>IF($A1005=1,SUM($A$2:$A1005),"")</f>
        <v/>
      </c>
      <c r="C1005">
        <f>IF($A1005=1,SUM($A$2:$A1005),0)</f>
        <v/>
      </c>
    </row>
    <row r="1006">
      <c r="A1006">
        <f>IF(AND(OR('Compliance Database'!$A1006='Data Transfer'!$B$4,'Compliance Database'!$A1006='Data Transfer'!$B$5),OR('Data Transfer'!$B$6="",ISNUMBER(SEARCH('Data Transfer'!$B$6,'Compliance Database'!$D1006&amp;" "&amp;'Compliance Database'!$K1006&amp;" "&amp;'Compliance Database'!$L1006&amp;" "&amp;'Compliance Database'!$M1006&amp;" "&amp;'Compliance Database'!$N1006&amp;" "&amp;'Compliance Database'!$O1006)))),1,0)</f>
        <v/>
      </c>
      <c r="B1006">
        <f>IF($A1006=1,SUM($A$2:$A1006),"")</f>
        <v/>
      </c>
      <c r="C1006">
        <f>IF($A1006=1,SUM($A$2:$A1006),0)</f>
        <v/>
      </c>
    </row>
    <row r="1007">
      <c r="A1007">
        <f>IF(AND(OR('Compliance Database'!$A1007='Data Transfer'!$B$4,'Compliance Database'!$A1007='Data Transfer'!$B$5),OR('Data Transfer'!$B$6="",ISNUMBER(SEARCH('Data Transfer'!$B$6,'Compliance Database'!$D1007&amp;" "&amp;'Compliance Database'!$K1007&amp;" "&amp;'Compliance Database'!$L1007&amp;" "&amp;'Compliance Database'!$M1007&amp;" "&amp;'Compliance Database'!$N1007&amp;" "&amp;'Compliance Database'!$O1007)))),1,0)</f>
        <v/>
      </c>
      <c r="B1007">
        <f>IF($A1007=1,SUM($A$2:$A1007),"")</f>
        <v/>
      </c>
      <c r="C1007">
        <f>IF($A1007=1,SUM($A$2:$A1007),0)</f>
        <v/>
      </c>
    </row>
    <row r="1008">
      <c r="A1008">
        <f>IF(AND(OR('Compliance Database'!$A1008='Data Transfer'!$B$4,'Compliance Database'!$A1008='Data Transfer'!$B$5),OR('Data Transfer'!$B$6="",ISNUMBER(SEARCH('Data Transfer'!$B$6,'Compliance Database'!$D1008&amp;" "&amp;'Compliance Database'!$K1008&amp;" "&amp;'Compliance Database'!$L1008&amp;" "&amp;'Compliance Database'!$M1008&amp;" "&amp;'Compliance Database'!$N1008&amp;" "&amp;'Compliance Database'!$O1008)))),1,0)</f>
        <v/>
      </c>
      <c r="B1008">
        <f>IF($A1008=1,SUM($A$2:$A1008),"")</f>
        <v/>
      </c>
      <c r="C1008">
        <f>IF($A1008=1,SUM($A$2:$A1008),0)</f>
        <v/>
      </c>
    </row>
    <row r="1009">
      <c r="A1009">
        <f>IF(AND(OR('Compliance Database'!$A1009='Data Transfer'!$B$4,'Compliance Database'!$A1009='Data Transfer'!$B$5),OR('Data Transfer'!$B$6="",ISNUMBER(SEARCH('Data Transfer'!$B$6,'Compliance Database'!$D1009&amp;" "&amp;'Compliance Database'!$K1009&amp;" "&amp;'Compliance Database'!$L1009&amp;" "&amp;'Compliance Database'!$M1009&amp;" "&amp;'Compliance Database'!$N1009&amp;" "&amp;'Compliance Database'!$O1009)))),1,0)</f>
        <v/>
      </c>
      <c r="B1009">
        <f>IF($A1009=1,SUM($A$2:$A1009),"")</f>
        <v/>
      </c>
      <c r="C1009">
        <f>IF($A1009=1,SUM($A$2:$A1009),0)</f>
        <v/>
      </c>
    </row>
    <row r="1010">
      <c r="A1010">
        <f>IF(AND(OR('Compliance Database'!$A1010='Data Transfer'!$B$4,'Compliance Database'!$A1010='Data Transfer'!$B$5),OR('Data Transfer'!$B$6="",ISNUMBER(SEARCH('Data Transfer'!$B$6,'Compliance Database'!$D1010&amp;" "&amp;'Compliance Database'!$K1010&amp;" "&amp;'Compliance Database'!$L1010&amp;" "&amp;'Compliance Database'!$M1010&amp;" "&amp;'Compliance Database'!$N1010&amp;" "&amp;'Compliance Database'!$O1010)))),1,0)</f>
        <v/>
      </c>
      <c r="B1010">
        <f>IF($A1010=1,SUM($A$2:$A1010),"")</f>
        <v/>
      </c>
      <c r="C1010">
        <f>IF($A1010=1,SUM($A$2:$A1010),0)</f>
        <v/>
      </c>
    </row>
    <row r="1011">
      <c r="A1011">
        <f>IF(AND(OR('Compliance Database'!$A1011='Data Transfer'!$B$4,'Compliance Database'!$A1011='Data Transfer'!$B$5),OR('Data Transfer'!$B$6="",ISNUMBER(SEARCH('Data Transfer'!$B$6,'Compliance Database'!$D1011&amp;" "&amp;'Compliance Database'!$K1011&amp;" "&amp;'Compliance Database'!$L1011&amp;" "&amp;'Compliance Database'!$M1011&amp;" "&amp;'Compliance Database'!$N1011&amp;" "&amp;'Compliance Database'!$O1011)))),1,0)</f>
        <v/>
      </c>
      <c r="B1011">
        <f>IF($A1011=1,SUM($A$2:$A1011),"")</f>
        <v/>
      </c>
      <c r="C1011">
        <f>IF($A1011=1,SUM($A$2:$A1011),0)</f>
        <v/>
      </c>
    </row>
    <row r="1012">
      <c r="A1012">
        <f>IF(AND(OR('Compliance Database'!$A1012='Data Transfer'!$B$4,'Compliance Database'!$A1012='Data Transfer'!$B$5),OR('Data Transfer'!$B$6="",ISNUMBER(SEARCH('Data Transfer'!$B$6,'Compliance Database'!$D1012&amp;" "&amp;'Compliance Database'!$K1012&amp;" "&amp;'Compliance Database'!$L1012&amp;" "&amp;'Compliance Database'!$M1012&amp;" "&amp;'Compliance Database'!$N1012&amp;" "&amp;'Compliance Database'!$O1012)))),1,0)</f>
        <v/>
      </c>
      <c r="B1012">
        <f>IF($A1012=1,SUM($A$2:$A1012),"")</f>
        <v/>
      </c>
      <c r="C1012">
        <f>IF($A1012=1,SUM($A$2:$A1012),0)</f>
        <v/>
      </c>
    </row>
    <row r="1013">
      <c r="A1013">
        <f>IF(AND(OR('Compliance Database'!$A1013='Data Transfer'!$B$4,'Compliance Database'!$A1013='Data Transfer'!$B$5),OR('Data Transfer'!$B$6="",ISNUMBER(SEARCH('Data Transfer'!$B$6,'Compliance Database'!$D1013&amp;" "&amp;'Compliance Database'!$K1013&amp;" "&amp;'Compliance Database'!$L1013&amp;" "&amp;'Compliance Database'!$M1013&amp;" "&amp;'Compliance Database'!$N1013&amp;" "&amp;'Compliance Database'!$O1013)))),1,0)</f>
        <v/>
      </c>
      <c r="B1013">
        <f>IF($A1013=1,SUM($A$2:$A1013),"")</f>
        <v/>
      </c>
      <c r="C1013">
        <f>IF($A1013=1,SUM($A$2:$A1013),0)</f>
        <v/>
      </c>
    </row>
    <row r="1014">
      <c r="A1014">
        <f>IF(AND(OR('Compliance Database'!$A1014='Data Transfer'!$B$4,'Compliance Database'!$A1014='Data Transfer'!$B$5),OR('Data Transfer'!$B$6="",ISNUMBER(SEARCH('Data Transfer'!$B$6,'Compliance Database'!$D1014&amp;" "&amp;'Compliance Database'!$K1014&amp;" "&amp;'Compliance Database'!$L1014&amp;" "&amp;'Compliance Database'!$M1014&amp;" "&amp;'Compliance Database'!$N1014&amp;" "&amp;'Compliance Database'!$O1014)))),1,0)</f>
        <v/>
      </c>
      <c r="B1014">
        <f>IF($A1014=1,SUM($A$2:$A1014),"")</f>
        <v/>
      </c>
      <c r="C1014">
        <f>IF($A1014=1,SUM($A$2:$A1014),0)</f>
        <v/>
      </c>
    </row>
    <row r="1015">
      <c r="A1015">
        <f>IF(AND(OR('Compliance Database'!$A1015='Data Transfer'!$B$4,'Compliance Database'!$A1015='Data Transfer'!$B$5),OR('Data Transfer'!$B$6="",ISNUMBER(SEARCH('Data Transfer'!$B$6,'Compliance Database'!$D1015&amp;" "&amp;'Compliance Database'!$K1015&amp;" "&amp;'Compliance Database'!$L1015&amp;" "&amp;'Compliance Database'!$M1015&amp;" "&amp;'Compliance Database'!$N1015&amp;" "&amp;'Compliance Database'!$O1015)))),1,0)</f>
        <v/>
      </c>
      <c r="B1015">
        <f>IF($A1015=1,SUM($A$2:$A1015),"")</f>
        <v/>
      </c>
      <c r="C1015">
        <f>IF($A1015=1,SUM($A$2:$A1015),0)</f>
        <v/>
      </c>
    </row>
    <row r="1016">
      <c r="A1016">
        <f>IF(AND(OR('Compliance Database'!$A1016='Data Transfer'!$B$4,'Compliance Database'!$A1016='Data Transfer'!$B$5),OR('Data Transfer'!$B$6="",ISNUMBER(SEARCH('Data Transfer'!$B$6,'Compliance Database'!$D1016&amp;" "&amp;'Compliance Database'!$K1016&amp;" "&amp;'Compliance Database'!$L1016&amp;" "&amp;'Compliance Database'!$M1016&amp;" "&amp;'Compliance Database'!$N1016&amp;" "&amp;'Compliance Database'!$O1016)))),1,0)</f>
        <v/>
      </c>
      <c r="B1016">
        <f>IF($A1016=1,SUM($A$2:$A1016),"")</f>
        <v/>
      </c>
      <c r="C1016">
        <f>IF($A1016=1,SUM($A$2:$A1016),0)</f>
        <v/>
      </c>
    </row>
    <row r="1017">
      <c r="A1017">
        <f>IF(AND(OR('Compliance Database'!$A1017='Data Transfer'!$B$4,'Compliance Database'!$A1017='Data Transfer'!$B$5),OR('Data Transfer'!$B$6="",ISNUMBER(SEARCH('Data Transfer'!$B$6,'Compliance Database'!$D1017&amp;" "&amp;'Compliance Database'!$K1017&amp;" "&amp;'Compliance Database'!$L1017&amp;" "&amp;'Compliance Database'!$M1017&amp;" "&amp;'Compliance Database'!$N1017&amp;" "&amp;'Compliance Database'!$O1017)))),1,0)</f>
        <v/>
      </c>
      <c r="B1017">
        <f>IF($A1017=1,SUM($A$2:$A1017),"")</f>
        <v/>
      </c>
      <c r="C1017">
        <f>IF($A1017=1,SUM($A$2:$A1017),0)</f>
        <v/>
      </c>
    </row>
    <row r="1018">
      <c r="A1018">
        <f>IF(AND(OR('Compliance Database'!$A1018='Data Transfer'!$B$4,'Compliance Database'!$A1018='Data Transfer'!$B$5),OR('Data Transfer'!$B$6="",ISNUMBER(SEARCH('Data Transfer'!$B$6,'Compliance Database'!$D1018&amp;" "&amp;'Compliance Database'!$K1018&amp;" "&amp;'Compliance Database'!$L1018&amp;" "&amp;'Compliance Database'!$M1018&amp;" "&amp;'Compliance Database'!$N1018&amp;" "&amp;'Compliance Database'!$O1018)))),1,0)</f>
        <v/>
      </c>
      <c r="B1018">
        <f>IF($A1018=1,SUM($A$2:$A1018),"")</f>
        <v/>
      </c>
      <c r="C1018">
        <f>IF($A1018=1,SUM($A$2:$A1018),0)</f>
        <v/>
      </c>
    </row>
    <row r="1019">
      <c r="A1019">
        <f>IF(AND(OR('Compliance Database'!$A1019='Data Transfer'!$B$4,'Compliance Database'!$A1019='Data Transfer'!$B$5),OR('Data Transfer'!$B$6="",ISNUMBER(SEARCH('Data Transfer'!$B$6,'Compliance Database'!$D1019&amp;" "&amp;'Compliance Database'!$K1019&amp;" "&amp;'Compliance Database'!$L1019&amp;" "&amp;'Compliance Database'!$M1019&amp;" "&amp;'Compliance Database'!$N1019&amp;" "&amp;'Compliance Database'!$O1019)))),1,0)</f>
        <v/>
      </c>
      <c r="B1019">
        <f>IF($A1019=1,SUM($A$2:$A1019),"")</f>
        <v/>
      </c>
      <c r="C1019">
        <f>IF($A1019=1,SUM($A$2:$A1019),0)</f>
        <v/>
      </c>
    </row>
    <row r="1020">
      <c r="A1020">
        <f>IF(AND(OR('Compliance Database'!$A1020='Data Transfer'!$B$4,'Compliance Database'!$A1020='Data Transfer'!$B$5),OR('Data Transfer'!$B$6="",ISNUMBER(SEARCH('Data Transfer'!$B$6,'Compliance Database'!$D1020&amp;" "&amp;'Compliance Database'!$K1020&amp;" "&amp;'Compliance Database'!$L1020&amp;" "&amp;'Compliance Database'!$M1020&amp;" "&amp;'Compliance Database'!$N1020&amp;" "&amp;'Compliance Database'!$O1020)))),1,0)</f>
        <v/>
      </c>
      <c r="B1020">
        <f>IF($A1020=1,SUM($A$2:$A1020),"")</f>
        <v/>
      </c>
      <c r="C1020">
        <f>IF($A1020=1,SUM($A$2:$A1020),0)</f>
        <v/>
      </c>
    </row>
    <row r="1021">
      <c r="A1021">
        <f>IF(AND(OR('Compliance Database'!$A1021='Data Transfer'!$B$4,'Compliance Database'!$A1021='Data Transfer'!$B$5),OR('Data Transfer'!$B$6="",ISNUMBER(SEARCH('Data Transfer'!$B$6,'Compliance Database'!$D1021&amp;" "&amp;'Compliance Database'!$K1021&amp;" "&amp;'Compliance Database'!$L1021&amp;" "&amp;'Compliance Database'!$M1021&amp;" "&amp;'Compliance Database'!$N1021&amp;" "&amp;'Compliance Database'!$O1021)))),1,0)</f>
        <v/>
      </c>
      <c r="B1021">
        <f>IF($A1021=1,SUM($A$2:$A1021),"")</f>
        <v/>
      </c>
      <c r="C1021">
        <f>IF($A1021=1,SUM($A$2:$A1021),0)</f>
        <v/>
      </c>
    </row>
    <row r="1022">
      <c r="A1022">
        <f>IF(AND(OR('Compliance Database'!$A1022='Data Transfer'!$B$4,'Compliance Database'!$A1022='Data Transfer'!$B$5),OR('Data Transfer'!$B$6="",ISNUMBER(SEARCH('Data Transfer'!$B$6,'Compliance Database'!$D1022&amp;" "&amp;'Compliance Database'!$K1022&amp;" "&amp;'Compliance Database'!$L1022&amp;" "&amp;'Compliance Database'!$M1022&amp;" "&amp;'Compliance Database'!$N1022&amp;" "&amp;'Compliance Database'!$O1022)))),1,0)</f>
        <v/>
      </c>
      <c r="B1022">
        <f>IF($A1022=1,SUM($A$2:$A1022),"")</f>
        <v/>
      </c>
      <c r="C1022">
        <f>IF($A1022=1,SUM($A$2:$A1022),0)</f>
        <v/>
      </c>
    </row>
    <row r="1023">
      <c r="A1023">
        <f>IF(AND(OR('Compliance Database'!$A1023='Data Transfer'!$B$4,'Compliance Database'!$A1023='Data Transfer'!$B$5),OR('Data Transfer'!$B$6="",ISNUMBER(SEARCH('Data Transfer'!$B$6,'Compliance Database'!$D1023&amp;" "&amp;'Compliance Database'!$K1023&amp;" "&amp;'Compliance Database'!$L1023&amp;" "&amp;'Compliance Database'!$M1023&amp;" "&amp;'Compliance Database'!$N1023&amp;" "&amp;'Compliance Database'!$O1023)))),1,0)</f>
        <v/>
      </c>
      <c r="B1023">
        <f>IF($A1023=1,SUM($A$2:$A1023),"")</f>
        <v/>
      </c>
      <c r="C1023">
        <f>IF($A1023=1,SUM($A$2:$A1023),0)</f>
        <v/>
      </c>
    </row>
    <row r="1024">
      <c r="A1024">
        <f>IF(AND(OR('Compliance Database'!$A1024='Data Transfer'!$B$4,'Compliance Database'!$A1024='Data Transfer'!$B$5),OR('Data Transfer'!$B$6="",ISNUMBER(SEARCH('Data Transfer'!$B$6,'Compliance Database'!$D1024&amp;" "&amp;'Compliance Database'!$K1024&amp;" "&amp;'Compliance Database'!$L1024&amp;" "&amp;'Compliance Database'!$M1024&amp;" "&amp;'Compliance Database'!$N1024&amp;" "&amp;'Compliance Database'!$O1024)))),1,0)</f>
        <v/>
      </c>
      <c r="B1024">
        <f>IF($A1024=1,SUM($A$2:$A1024),"")</f>
        <v/>
      </c>
      <c r="C1024">
        <f>IF($A1024=1,SUM($A$2:$A1024),0)</f>
        <v/>
      </c>
    </row>
    <row r="1025">
      <c r="A1025">
        <f>IF(AND(OR('Compliance Database'!$A1025='Data Transfer'!$B$4,'Compliance Database'!$A1025='Data Transfer'!$B$5),OR('Data Transfer'!$B$6="",ISNUMBER(SEARCH('Data Transfer'!$B$6,'Compliance Database'!$D1025&amp;" "&amp;'Compliance Database'!$K1025&amp;" "&amp;'Compliance Database'!$L1025&amp;" "&amp;'Compliance Database'!$M1025&amp;" "&amp;'Compliance Database'!$N1025&amp;" "&amp;'Compliance Database'!$O1025)))),1,0)</f>
        <v/>
      </c>
      <c r="B1025">
        <f>IF($A1025=1,SUM($A$2:$A1025),"")</f>
        <v/>
      </c>
      <c r="C1025">
        <f>IF($A1025=1,SUM($A$2:$A1025),0)</f>
        <v/>
      </c>
    </row>
    <row r="1026">
      <c r="A1026">
        <f>IF(AND(OR('Compliance Database'!$A1026='Data Transfer'!$B$4,'Compliance Database'!$A1026='Data Transfer'!$B$5),OR('Data Transfer'!$B$6="",ISNUMBER(SEARCH('Data Transfer'!$B$6,'Compliance Database'!$D1026&amp;" "&amp;'Compliance Database'!$K1026&amp;" "&amp;'Compliance Database'!$L1026&amp;" "&amp;'Compliance Database'!$M1026&amp;" "&amp;'Compliance Database'!$N1026&amp;" "&amp;'Compliance Database'!$O1026)))),1,0)</f>
        <v/>
      </c>
      <c r="B1026">
        <f>IF($A1026=1,SUM($A$2:$A1026),"")</f>
        <v/>
      </c>
      <c r="C1026">
        <f>IF($A1026=1,SUM($A$2:$A1026),0)</f>
        <v/>
      </c>
    </row>
    <row r="1027">
      <c r="A1027">
        <f>IF(AND(OR('Compliance Database'!$A1027='Data Transfer'!$B$4,'Compliance Database'!$A1027='Data Transfer'!$B$5),OR('Data Transfer'!$B$6="",ISNUMBER(SEARCH('Data Transfer'!$B$6,'Compliance Database'!$D1027&amp;" "&amp;'Compliance Database'!$K1027&amp;" "&amp;'Compliance Database'!$L1027&amp;" "&amp;'Compliance Database'!$M1027&amp;" "&amp;'Compliance Database'!$N1027&amp;" "&amp;'Compliance Database'!$O1027)))),1,0)</f>
        <v/>
      </c>
      <c r="B1027">
        <f>IF($A1027=1,SUM($A$2:$A1027),"")</f>
        <v/>
      </c>
      <c r="C1027">
        <f>IF($A1027=1,SUM($A$2:$A1027),0)</f>
        <v/>
      </c>
    </row>
    <row r="1028">
      <c r="A1028">
        <f>IF(AND(OR('Compliance Database'!$A1028='Data Transfer'!$B$4,'Compliance Database'!$A1028='Data Transfer'!$B$5),OR('Data Transfer'!$B$6="",ISNUMBER(SEARCH('Data Transfer'!$B$6,'Compliance Database'!$D1028&amp;" "&amp;'Compliance Database'!$K1028&amp;" "&amp;'Compliance Database'!$L1028&amp;" "&amp;'Compliance Database'!$M1028&amp;" "&amp;'Compliance Database'!$N1028&amp;" "&amp;'Compliance Database'!$O1028)))),1,0)</f>
        <v/>
      </c>
      <c r="B1028">
        <f>IF($A1028=1,SUM($A$2:$A1028),"")</f>
        <v/>
      </c>
      <c r="C1028">
        <f>IF($A1028=1,SUM($A$2:$A1028),0)</f>
        <v/>
      </c>
    </row>
    <row r="1029">
      <c r="A1029">
        <f>IF(AND(OR('Compliance Database'!$A1029='Data Transfer'!$B$4,'Compliance Database'!$A1029='Data Transfer'!$B$5),OR('Data Transfer'!$B$6="",ISNUMBER(SEARCH('Data Transfer'!$B$6,'Compliance Database'!$D1029&amp;" "&amp;'Compliance Database'!$K1029&amp;" "&amp;'Compliance Database'!$L1029&amp;" "&amp;'Compliance Database'!$M1029&amp;" "&amp;'Compliance Database'!$N1029&amp;" "&amp;'Compliance Database'!$O1029)))),1,0)</f>
        <v/>
      </c>
      <c r="B1029">
        <f>IF($A1029=1,SUM($A$2:$A1029),"")</f>
        <v/>
      </c>
      <c r="C1029">
        <f>IF($A1029=1,SUM($A$2:$A1029),0)</f>
        <v/>
      </c>
    </row>
    <row r="1030">
      <c r="A1030">
        <f>IF(AND(OR('Compliance Database'!$A1030='Data Transfer'!$B$4,'Compliance Database'!$A1030='Data Transfer'!$B$5),OR('Data Transfer'!$B$6="",ISNUMBER(SEARCH('Data Transfer'!$B$6,'Compliance Database'!$D1030&amp;" "&amp;'Compliance Database'!$K1030&amp;" "&amp;'Compliance Database'!$L1030&amp;" "&amp;'Compliance Database'!$M1030&amp;" "&amp;'Compliance Database'!$N1030&amp;" "&amp;'Compliance Database'!$O1030)))),1,0)</f>
        <v/>
      </c>
      <c r="B1030">
        <f>IF($A1030=1,SUM($A$2:$A1030),"")</f>
        <v/>
      </c>
      <c r="C1030">
        <f>IF($A1030=1,SUM($A$2:$A1030),0)</f>
        <v/>
      </c>
    </row>
    <row r="1031">
      <c r="A1031">
        <f>IF(AND(OR('Compliance Database'!$A1031='Data Transfer'!$B$4,'Compliance Database'!$A1031='Data Transfer'!$B$5),OR('Data Transfer'!$B$6="",ISNUMBER(SEARCH('Data Transfer'!$B$6,'Compliance Database'!$D1031&amp;" "&amp;'Compliance Database'!$K1031&amp;" "&amp;'Compliance Database'!$L1031&amp;" "&amp;'Compliance Database'!$M1031&amp;" "&amp;'Compliance Database'!$N1031&amp;" "&amp;'Compliance Database'!$O1031)))),1,0)</f>
        <v/>
      </c>
      <c r="B1031">
        <f>IF($A1031=1,SUM($A$2:$A1031),"")</f>
        <v/>
      </c>
      <c r="C1031">
        <f>IF($A1031=1,SUM($A$2:$A1031),0)</f>
        <v/>
      </c>
    </row>
    <row r="1032">
      <c r="A1032">
        <f>IF(AND(OR('Compliance Database'!$A1032='Data Transfer'!$B$4,'Compliance Database'!$A1032='Data Transfer'!$B$5),OR('Data Transfer'!$B$6="",ISNUMBER(SEARCH('Data Transfer'!$B$6,'Compliance Database'!$D1032&amp;" "&amp;'Compliance Database'!$K1032&amp;" "&amp;'Compliance Database'!$L1032&amp;" "&amp;'Compliance Database'!$M1032&amp;" "&amp;'Compliance Database'!$N1032&amp;" "&amp;'Compliance Database'!$O1032)))),1,0)</f>
        <v/>
      </c>
      <c r="B1032">
        <f>IF($A1032=1,SUM($A$2:$A1032),"")</f>
        <v/>
      </c>
      <c r="C1032">
        <f>IF($A1032=1,SUM($A$2:$A1032),0)</f>
        <v/>
      </c>
    </row>
    <row r="1033">
      <c r="A1033">
        <f>IF(AND(OR('Compliance Database'!$A1033='Data Transfer'!$B$4,'Compliance Database'!$A1033='Data Transfer'!$B$5),OR('Data Transfer'!$B$6="",ISNUMBER(SEARCH('Data Transfer'!$B$6,'Compliance Database'!$D1033&amp;" "&amp;'Compliance Database'!$K1033&amp;" "&amp;'Compliance Database'!$L1033&amp;" "&amp;'Compliance Database'!$M1033&amp;" "&amp;'Compliance Database'!$N1033&amp;" "&amp;'Compliance Database'!$O1033)))),1,0)</f>
        <v/>
      </c>
      <c r="B1033">
        <f>IF($A1033=1,SUM($A$2:$A1033),"")</f>
        <v/>
      </c>
      <c r="C1033">
        <f>IF($A1033=1,SUM($A$2:$A1033),0)</f>
        <v/>
      </c>
    </row>
    <row r="1034">
      <c r="A1034">
        <f>IF(AND(OR('Compliance Database'!$A1034='Data Transfer'!$B$4,'Compliance Database'!$A1034='Data Transfer'!$B$5),OR('Data Transfer'!$B$6="",ISNUMBER(SEARCH('Data Transfer'!$B$6,'Compliance Database'!$D1034&amp;" "&amp;'Compliance Database'!$K1034&amp;" "&amp;'Compliance Database'!$L1034&amp;" "&amp;'Compliance Database'!$M1034&amp;" "&amp;'Compliance Database'!$N1034&amp;" "&amp;'Compliance Database'!$O1034)))),1,0)</f>
        <v/>
      </c>
      <c r="B1034">
        <f>IF($A1034=1,SUM($A$2:$A1034),"")</f>
        <v/>
      </c>
      <c r="C1034">
        <f>IF($A1034=1,SUM($A$2:$A1034),0)</f>
        <v/>
      </c>
    </row>
    <row r="1035">
      <c r="A1035">
        <f>IF(AND(OR('Compliance Database'!$A1035='Data Transfer'!$B$4,'Compliance Database'!$A1035='Data Transfer'!$B$5),OR('Data Transfer'!$B$6="",ISNUMBER(SEARCH('Data Transfer'!$B$6,'Compliance Database'!$D1035&amp;" "&amp;'Compliance Database'!$K1035&amp;" "&amp;'Compliance Database'!$L1035&amp;" "&amp;'Compliance Database'!$M1035&amp;" "&amp;'Compliance Database'!$N1035&amp;" "&amp;'Compliance Database'!$O1035)))),1,0)</f>
        <v/>
      </c>
      <c r="B1035">
        <f>IF($A1035=1,SUM($A$2:$A1035),"")</f>
        <v/>
      </c>
      <c r="C1035">
        <f>IF($A1035=1,SUM($A$2:$A1035),0)</f>
        <v/>
      </c>
    </row>
    <row r="1036">
      <c r="A1036">
        <f>IF(AND(OR('Compliance Database'!$A1036='Data Transfer'!$B$4,'Compliance Database'!$A1036='Data Transfer'!$B$5),OR('Data Transfer'!$B$6="",ISNUMBER(SEARCH('Data Transfer'!$B$6,'Compliance Database'!$D1036&amp;" "&amp;'Compliance Database'!$K1036&amp;" "&amp;'Compliance Database'!$L1036&amp;" "&amp;'Compliance Database'!$M1036&amp;" "&amp;'Compliance Database'!$N1036&amp;" "&amp;'Compliance Database'!$O1036)))),1,0)</f>
        <v/>
      </c>
      <c r="B1036">
        <f>IF($A1036=1,SUM($A$2:$A1036),"")</f>
        <v/>
      </c>
      <c r="C1036">
        <f>IF($A1036=1,SUM($A$2:$A1036),0)</f>
        <v/>
      </c>
    </row>
    <row r="1037">
      <c r="A1037">
        <f>IF(AND(OR('Compliance Database'!$A1037='Data Transfer'!$B$4,'Compliance Database'!$A1037='Data Transfer'!$B$5),OR('Data Transfer'!$B$6="",ISNUMBER(SEARCH('Data Transfer'!$B$6,'Compliance Database'!$D1037&amp;" "&amp;'Compliance Database'!$K1037&amp;" "&amp;'Compliance Database'!$L1037&amp;" "&amp;'Compliance Database'!$M1037&amp;" "&amp;'Compliance Database'!$N1037&amp;" "&amp;'Compliance Database'!$O1037)))),1,0)</f>
        <v/>
      </c>
      <c r="B1037">
        <f>IF($A1037=1,SUM($A$2:$A1037),"")</f>
        <v/>
      </c>
      <c r="C1037">
        <f>IF($A1037=1,SUM($A$2:$A1037),0)</f>
        <v/>
      </c>
    </row>
    <row r="1038">
      <c r="A1038">
        <f>IF(AND(OR('Compliance Database'!$A1038='Data Transfer'!$B$4,'Compliance Database'!$A1038='Data Transfer'!$B$5),OR('Data Transfer'!$B$6="",ISNUMBER(SEARCH('Data Transfer'!$B$6,'Compliance Database'!$D1038&amp;" "&amp;'Compliance Database'!$K1038&amp;" "&amp;'Compliance Database'!$L1038&amp;" "&amp;'Compliance Database'!$M1038&amp;" "&amp;'Compliance Database'!$N1038&amp;" "&amp;'Compliance Database'!$O1038)))),1,0)</f>
        <v/>
      </c>
      <c r="B1038">
        <f>IF($A1038=1,SUM($A$2:$A1038),"")</f>
        <v/>
      </c>
      <c r="C1038">
        <f>IF($A1038=1,SUM($A$2:$A1038),0)</f>
        <v/>
      </c>
    </row>
    <row r="1039">
      <c r="A1039">
        <f>IF(AND(OR('Compliance Database'!$A1039='Data Transfer'!$B$4,'Compliance Database'!$A1039='Data Transfer'!$B$5),OR('Data Transfer'!$B$6="",ISNUMBER(SEARCH('Data Transfer'!$B$6,'Compliance Database'!$D1039&amp;" "&amp;'Compliance Database'!$K1039&amp;" "&amp;'Compliance Database'!$L1039&amp;" "&amp;'Compliance Database'!$M1039&amp;" "&amp;'Compliance Database'!$N1039&amp;" "&amp;'Compliance Database'!$O1039)))),1,0)</f>
        <v/>
      </c>
      <c r="B1039">
        <f>IF($A1039=1,SUM($A$2:$A1039),"")</f>
        <v/>
      </c>
      <c r="C1039">
        <f>IF($A1039=1,SUM($A$2:$A1039),0)</f>
        <v/>
      </c>
    </row>
    <row r="1040">
      <c r="A1040">
        <f>IF(AND(OR('Compliance Database'!$A1040='Data Transfer'!$B$4,'Compliance Database'!$A1040='Data Transfer'!$B$5),OR('Data Transfer'!$B$6="",ISNUMBER(SEARCH('Data Transfer'!$B$6,'Compliance Database'!$D1040&amp;" "&amp;'Compliance Database'!$K1040&amp;" "&amp;'Compliance Database'!$L1040&amp;" "&amp;'Compliance Database'!$M1040&amp;" "&amp;'Compliance Database'!$N1040&amp;" "&amp;'Compliance Database'!$O1040)))),1,0)</f>
        <v/>
      </c>
      <c r="B1040">
        <f>IF($A1040=1,SUM($A$2:$A1040),"")</f>
        <v/>
      </c>
      <c r="C1040">
        <f>IF($A1040=1,SUM($A$2:$A1040),0)</f>
        <v/>
      </c>
    </row>
    <row r="1041">
      <c r="A1041">
        <f>IF(AND(OR('Compliance Database'!$A1041='Data Transfer'!$B$4,'Compliance Database'!$A1041='Data Transfer'!$B$5),OR('Data Transfer'!$B$6="",ISNUMBER(SEARCH('Data Transfer'!$B$6,'Compliance Database'!$D1041&amp;" "&amp;'Compliance Database'!$K1041&amp;" "&amp;'Compliance Database'!$L1041&amp;" "&amp;'Compliance Database'!$M1041&amp;" "&amp;'Compliance Database'!$N1041&amp;" "&amp;'Compliance Database'!$O1041)))),1,0)</f>
        <v/>
      </c>
      <c r="B1041">
        <f>IF($A1041=1,SUM($A$2:$A1041),"")</f>
        <v/>
      </c>
      <c r="C1041">
        <f>IF($A1041=1,SUM($A$2:$A1041),0)</f>
        <v/>
      </c>
    </row>
    <row r="1042">
      <c r="A1042">
        <f>IF(AND(OR('Compliance Database'!$A1042='Data Transfer'!$B$4,'Compliance Database'!$A1042='Data Transfer'!$B$5),OR('Data Transfer'!$B$6="",ISNUMBER(SEARCH('Data Transfer'!$B$6,'Compliance Database'!$D1042&amp;" "&amp;'Compliance Database'!$K1042&amp;" "&amp;'Compliance Database'!$L1042&amp;" "&amp;'Compliance Database'!$M1042&amp;" "&amp;'Compliance Database'!$N1042&amp;" "&amp;'Compliance Database'!$O1042)))),1,0)</f>
        <v/>
      </c>
      <c r="B1042">
        <f>IF($A1042=1,SUM($A$2:$A1042),"")</f>
        <v/>
      </c>
      <c r="C1042">
        <f>IF($A1042=1,SUM($A$2:$A1042),0)</f>
        <v/>
      </c>
    </row>
    <row r="1043">
      <c r="A1043">
        <f>IF(AND(OR('Compliance Database'!$A1043='Data Transfer'!$B$4,'Compliance Database'!$A1043='Data Transfer'!$B$5),OR('Data Transfer'!$B$6="",ISNUMBER(SEARCH('Data Transfer'!$B$6,'Compliance Database'!$D1043&amp;" "&amp;'Compliance Database'!$K1043&amp;" "&amp;'Compliance Database'!$L1043&amp;" "&amp;'Compliance Database'!$M1043&amp;" "&amp;'Compliance Database'!$N1043&amp;" "&amp;'Compliance Database'!$O1043)))),1,0)</f>
        <v/>
      </c>
      <c r="B1043">
        <f>IF($A1043=1,SUM($A$2:$A1043),"")</f>
        <v/>
      </c>
      <c r="C1043">
        <f>IF($A1043=1,SUM($A$2:$A1043),0)</f>
        <v/>
      </c>
    </row>
    <row r="1044">
      <c r="A1044">
        <f>IF(AND(OR('Compliance Database'!$A1044='Data Transfer'!$B$4,'Compliance Database'!$A1044='Data Transfer'!$B$5),OR('Data Transfer'!$B$6="",ISNUMBER(SEARCH('Data Transfer'!$B$6,'Compliance Database'!$D1044&amp;" "&amp;'Compliance Database'!$K1044&amp;" "&amp;'Compliance Database'!$L1044&amp;" "&amp;'Compliance Database'!$M1044&amp;" "&amp;'Compliance Database'!$N1044&amp;" "&amp;'Compliance Database'!$O1044)))),1,0)</f>
        <v/>
      </c>
      <c r="B1044">
        <f>IF($A1044=1,SUM($A$2:$A1044),"")</f>
        <v/>
      </c>
      <c r="C1044">
        <f>IF($A1044=1,SUM($A$2:$A1044),0)</f>
        <v/>
      </c>
    </row>
    <row r="1045">
      <c r="A1045">
        <f>IF(AND(OR('Compliance Database'!$A1045='Data Transfer'!$B$4,'Compliance Database'!$A1045='Data Transfer'!$B$5),OR('Data Transfer'!$B$6="",ISNUMBER(SEARCH('Data Transfer'!$B$6,'Compliance Database'!$D1045&amp;" "&amp;'Compliance Database'!$K1045&amp;" "&amp;'Compliance Database'!$L1045&amp;" "&amp;'Compliance Database'!$M1045&amp;" "&amp;'Compliance Database'!$N1045&amp;" "&amp;'Compliance Database'!$O1045)))),1,0)</f>
        <v/>
      </c>
      <c r="B1045">
        <f>IF($A1045=1,SUM($A$2:$A1045),"")</f>
        <v/>
      </c>
      <c r="C1045">
        <f>IF($A1045=1,SUM($A$2:$A1045),0)</f>
        <v/>
      </c>
    </row>
    <row r="1046">
      <c r="A1046">
        <f>IF(AND(OR('Compliance Database'!$A1046='Data Transfer'!$B$4,'Compliance Database'!$A1046='Data Transfer'!$B$5),OR('Data Transfer'!$B$6="",ISNUMBER(SEARCH('Data Transfer'!$B$6,'Compliance Database'!$D1046&amp;" "&amp;'Compliance Database'!$K1046&amp;" "&amp;'Compliance Database'!$L1046&amp;" "&amp;'Compliance Database'!$M1046&amp;" "&amp;'Compliance Database'!$N1046&amp;" "&amp;'Compliance Database'!$O1046)))),1,0)</f>
        <v/>
      </c>
      <c r="B1046">
        <f>IF($A1046=1,SUM($A$2:$A1046),"")</f>
        <v/>
      </c>
      <c r="C1046">
        <f>IF($A1046=1,SUM($A$2:$A1046),0)</f>
        <v/>
      </c>
    </row>
    <row r="1047">
      <c r="A1047">
        <f>IF(AND(OR('Compliance Database'!$A1047='Data Transfer'!$B$4,'Compliance Database'!$A1047='Data Transfer'!$B$5),OR('Data Transfer'!$B$6="",ISNUMBER(SEARCH('Data Transfer'!$B$6,'Compliance Database'!$D1047&amp;" "&amp;'Compliance Database'!$K1047&amp;" "&amp;'Compliance Database'!$L1047&amp;" "&amp;'Compliance Database'!$M1047&amp;" "&amp;'Compliance Database'!$N1047&amp;" "&amp;'Compliance Database'!$O1047)))),1,0)</f>
        <v/>
      </c>
      <c r="B1047">
        <f>IF($A1047=1,SUM($A$2:$A1047),"")</f>
        <v/>
      </c>
      <c r="C1047">
        <f>IF($A1047=1,SUM($A$2:$A1047),0)</f>
        <v/>
      </c>
    </row>
    <row r="1048">
      <c r="A1048">
        <f>IF(AND(OR('Compliance Database'!$A1048='Data Transfer'!$B$4,'Compliance Database'!$A1048='Data Transfer'!$B$5),OR('Data Transfer'!$B$6="",ISNUMBER(SEARCH('Data Transfer'!$B$6,'Compliance Database'!$D1048&amp;" "&amp;'Compliance Database'!$K1048&amp;" "&amp;'Compliance Database'!$L1048&amp;" "&amp;'Compliance Database'!$M1048&amp;" "&amp;'Compliance Database'!$N1048&amp;" "&amp;'Compliance Database'!$O1048)))),1,0)</f>
        <v/>
      </c>
      <c r="B1048">
        <f>IF($A1048=1,SUM($A$2:$A1048),"")</f>
        <v/>
      </c>
      <c r="C1048">
        <f>IF($A1048=1,SUM($A$2:$A1048),0)</f>
        <v/>
      </c>
    </row>
    <row r="1049">
      <c r="A1049">
        <f>IF(AND(OR('Compliance Database'!$A1049='Data Transfer'!$B$4,'Compliance Database'!$A1049='Data Transfer'!$B$5),OR('Data Transfer'!$B$6="",ISNUMBER(SEARCH('Data Transfer'!$B$6,'Compliance Database'!$D1049&amp;" "&amp;'Compliance Database'!$K1049&amp;" "&amp;'Compliance Database'!$L1049&amp;" "&amp;'Compliance Database'!$M1049&amp;" "&amp;'Compliance Database'!$N1049&amp;" "&amp;'Compliance Database'!$O1049)))),1,0)</f>
        <v/>
      </c>
      <c r="B1049">
        <f>IF($A1049=1,SUM($A$2:$A1049),"")</f>
        <v/>
      </c>
      <c r="C1049">
        <f>IF($A1049=1,SUM($A$2:$A1049),0)</f>
        <v/>
      </c>
    </row>
    <row r="1050">
      <c r="A1050">
        <f>IF(AND(OR('Compliance Database'!$A1050='Data Transfer'!$B$4,'Compliance Database'!$A1050='Data Transfer'!$B$5),OR('Data Transfer'!$B$6="",ISNUMBER(SEARCH('Data Transfer'!$B$6,'Compliance Database'!$D1050&amp;" "&amp;'Compliance Database'!$K1050&amp;" "&amp;'Compliance Database'!$L1050&amp;" "&amp;'Compliance Database'!$M1050&amp;" "&amp;'Compliance Database'!$N1050&amp;" "&amp;'Compliance Database'!$O1050)))),1,0)</f>
        <v/>
      </c>
      <c r="B1050">
        <f>IF($A1050=1,SUM($A$2:$A1050),"")</f>
        <v/>
      </c>
      <c r="C1050">
        <f>IF($A1050=1,SUM($A$2:$A1050),0)</f>
        <v/>
      </c>
    </row>
    <row r="1051">
      <c r="A1051">
        <f>IF(AND(OR('Compliance Database'!$A1051='Data Transfer'!$B$4,'Compliance Database'!$A1051='Data Transfer'!$B$5),OR('Data Transfer'!$B$6="",ISNUMBER(SEARCH('Data Transfer'!$B$6,'Compliance Database'!$D1051&amp;" "&amp;'Compliance Database'!$K1051&amp;" "&amp;'Compliance Database'!$L1051&amp;" "&amp;'Compliance Database'!$M1051&amp;" "&amp;'Compliance Database'!$N1051&amp;" "&amp;'Compliance Database'!$O1051)))),1,0)</f>
        <v/>
      </c>
      <c r="B1051">
        <f>IF($A1051=1,SUM($A$2:$A1051),"")</f>
        <v/>
      </c>
      <c r="C1051">
        <f>IF($A1051=1,SUM($A$2:$A1051),0)</f>
        <v/>
      </c>
    </row>
    <row r="1052">
      <c r="A1052">
        <f>IF(AND(OR('Compliance Database'!$A1052='Data Transfer'!$B$4,'Compliance Database'!$A1052='Data Transfer'!$B$5),OR('Data Transfer'!$B$6="",ISNUMBER(SEARCH('Data Transfer'!$B$6,'Compliance Database'!$D1052&amp;" "&amp;'Compliance Database'!$K1052&amp;" "&amp;'Compliance Database'!$L1052&amp;" "&amp;'Compliance Database'!$M1052&amp;" "&amp;'Compliance Database'!$N1052&amp;" "&amp;'Compliance Database'!$O1052)))),1,0)</f>
        <v/>
      </c>
      <c r="B1052">
        <f>IF($A1052=1,SUM($A$2:$A1052),"")</f>
        <v/>
      </c>
      <c r="C1052">
        <f>IF($A1052=1,SUM($A$2:$A1052),0)</f>
        <v/>
      </c>
    </row>
    <row r="1053">
      <c r="A1053">
        <f>IF(AND(OR('Compliance Database'!$A1053='Data Transfer'!$B$4,'Compliance Database'!$A1053='Data Transfer'!$B$5),OR('Data Transfer'!$B$6="",ISNUMBER(SEARCH('Data Transfer'!$B$6,'Compliance Database'!$D1053&amp;" "&amp;'Compliance Database'!$K1053&amp;" "&amp;'Compliance Database'!$L1053&amp;" "&amp;'Compliance Database'!$M1053&amp;" "&amp;'Compliance Database'!$N1053&amp;" "&amp;'Compliance Database'!$O1053)))),1,0)</f>
        <v/>
      </c>
      <c r="B1053">
        <f>IF($A1053=1,SUM($A$2:$A1053),"")</f>
        <v/>
      </c>
      <c r="C1053">
        <f>IF($A1053=1,SUM($A$2:$A1053),0)</f>
        <v/>
      </c>
    </row>
    <row r="1054">
      <c r="A1054">
        <f>IF(AND(OR('Compliance Database'!$A1054='Data Transfer'!$B$4,'Compliance Database'!$A1054='Data Transfer'!$B$5),OR('Data Transfer'!$B$6="",ISNUMBER(SEARCH('Data Transfer'!$B$6,'Compliance Database'!$D1054&amp;" "&amp;'Compliance Database'!$K1054&amp;" "&amp;'Compliance Database'!$L1054&amp;" "&amp;'Compliance Database'!$M1054&amp;" "&amp;'Compliance Database'!$N1054&amp;" "&amp;'Compliance Database'!$O1054)))),1,0)</f>
        <v/>
      </c>
      <c r="B1054">
        <f>IF($A1054=1,SUM($A$2:$A1054),"")</f>
        <v/>
      </c>
      <c r="C1054">
        <f>IF($A1054=1,SUM($A$2:$A1054),0)</f>
        <v/>
      </c>
    </row>
    <row r="1055">
      <c r="A1055">
        <f>IF(AND(OR('Compliance Database'!$A1055='Data Transfer'!$B$4,'Compliance Database'!$A1055='Data Transfer'!$B$5),OR('Data Transfer'!$B$6="",ISNUMBER(SEARCH('Data Transfer'!$B$6,'Compliance Database'!$D1055&amp;" "&amp;'Compliance Database'!$K1055&amp;" "&amp;'Compliance Database'!$L1055&amp;" "&amp;'Compliance Database'!$M1055&amp;" "&amp;'Compliance Database'!$N1055&amp;" "&amp;'Compliance Database'!$O1055)))),1,0)</f>
        <v/>
      </c>
      <c r="B1055">
        <f>IF($A1055=1,SUM($A$2:$A1055),"")</f>
        <v/>
      </c>
      <c r="C1055">
        <f>IF($A1055=1,SUM($A$2:$A1055),0)</f>
        <v/>
      </c>
    </row>
    <row r="1056">
      <c r="A1056">
        <f>IF(AND(OR('Compliance Database'!$A1056='Data Transfer'!$B$4,'Compliance Database'!$A1056='Data Transfer'!$B$5),OR('Data Transfer'!$B$6="",ISNUMBER(SEARCH('Data Transfer'!$B$6,'Compliance Database'!$D1056&amp;" "&amp;'Compliance Database'!$K1056&amp;" "&amp;'Compliance Database'!$L1056&amp;" "&amp;'Compliance Database'!$M1056&amp;" "&amp;'Compliance Database'!$N1056&amp;" "&amp;'Compliance Database'!$O1056)))),1,0)</f>
        <v/>
      </c>
      <c r="B1056">
        <f>IF($A1056=1,SUM($A$2:$A1056),"")</f>
        <v/>
      </c>
      <c r="C1056">
        <f>IF($A1056=1,SUM($A$2:$A1056),0)</f>
        <v/>
      </c>
    </row>
    <row r="1057">
      <c r="A1057">
        <f>IF(AND(OR('Compliance Database'!$A1057='Data Transfer'!$B$4,'Compliance Database'!$A1057='Data Transfer'!$B$5),OR('Data Transfer'!$B$6="",ISNUMBER(SEARCH('Data Transfer'!$B$6,'Compliance Database'!$D1057&amp;" "&amp;'Compliance Database'!$K1057&amp;" "&amp;'Compliance Database'!$L1057&amp;" "&amp;'Compliance Database'!$M1057&amp;" "&amp;'Compliance Database'!$N1057&amp;" "&amp;'Compliance Database'!$O1057)))),1,0)</f>
        <v/>
      </c>
      <c r="B1057">
        <f>IF($A1057=1,SUM($A$2:$A1057),"")</f>
        <v/>
      </c>
      <c r="C1057">
        <f>IF($A1057=1,SUM($A$2:$A1057),0)</f>
        <v/>
      </c>
    </row>
    <row r="1058">
      <c r="A1058">
        <f>IF(AND(OR('Compliance Database'!$A1058='Data Transfer'!$B$4,'Compliance Database'!$A1058='Data Transfer'!$B$5),OR('Data Transfer'!$B$6="",ISNUMBER(SEARCH('Data Transfer'!$B$6,'Compliance Database'!$D1058&amp;" "&amp;'Compliance Database'!$K1058&amp;" "&amp;'Compliance Database'!$L1058&amp;" "&amp;'Compliance Database'!$M1058&amp;" "&amp;'Compliance Database'!$N1058&amp;" "&amp;'Compliance Database'!$O1058)))),1,0)</f>
        <v/>
      </c>
      <c r="B1058">
        <f>IF($A1058=1,SUM($A$2:$A1058),"")</f>
        <v/>
      </c>
      <c r="C1058">
        <f>IF($A1058=1,SUM($A$2:$A1058),0)</f>
        <v/>
      </c>
    </row>
    <row r="1059">
      <c r="A1059">
        <f>IF(AND(OR('Compliance Database'!$A1059='Data Transfer'!$B$4,'Compliance Database'!$A1059='Data Transfer'!$B$5),OR('Data Transfer'!$B$6="",ISNUMBER(SEARCH('Data Transfer'!$B$6,'Compliance Database'!$D1059&amp;" "&amp;'Compliance Database'!$K1059&amp;" "&amp;'Compliance Database'!$L1059&amp;" "&amp;'Compliance Database'!$M1059&amp;" "&amp;'Compliance Database'!$N1059&amp;" "&amp;'Compliance Database'!$O1059)))),1,0)</f>
        <v/>
      </c>
      <c r="B1059">
        <f>IF($A1059=1,SUM($A$2:$A1059),"")</f>
        <v/>
      </c>
      <c r="C1059">
        <f>IF($A1059=1,SUM($A$2:$A1059),0)</f>
        <v/>
      </c>
    </row>
    <row r="1060">
      <c r="A1060">
        <f>IF(AND(OR('Compliance Database'!$A1060='Data Transfer'!$B$4,'Compliance Database'!$A1060='Data Transfer'!$B$5),OR('Data Transfer'!$B$6="",ISNUMBER(SEARCH('Data Transfer'!$B$6,'Compliance Database'!$D1060&amp;" "&amp;'Compliance Database'!$K1060&amp;" "&amp;'Compliance Database'!$L1060&amp;" "&amp;'Compliance Database'!$M1060&amp;" "&amp;'Compliance Database'!$N1060&amp;" "&amp;'Compliance Database'!$O1060)))),1,0)</f>
        <v/>
      </c>
      <c r="B1060">
        <f>IF($A1060=1,SUM($A$2:$A1060),"")</f>
        <v/>
      </c>
      <c r="C1060">
        <f>IF($A1060=1,SUM($A$2:$A1060),0)</f>
        <v/>
      </c>
    </row>
    <row r="1061">
      <c r="A1061">
        <f>IF(AND(OR('Compliance Database'!$A1061='Data Transfer'!$B$4,'Compliance Database'!$A1061='Data Transfer'!$B$5),OR('Data Transfer'!$B$6="",ISNUMBER(SEARCH('Data Transfer'!$B$6,'Compliance Database'!$D1061&amp;" "&amp;'Compliance Database'!$K1061&amp;" "&amp;'Compliance Database'!$L1061&amp;" "&amp;'Compliance Database'!$M1061&amp;" "&amp;'Compliance Database'!$N1061&amp;" "&amp;'Compliance Database'!$O1061)))),1,0)</f>
        <v/>
      </c>
      <c r="B1061">
        <f>IF($A1061=1,SUM($A$2:$A1061),"")</f>
        <v/>
      </c>
      <c r="C1061">
        <f>IF($A1061=1,SUM($A$2:$A1061),0)</f>
        <v/>
      </c>
    </row>
    <row r="1062">
      <c r="A1062">
        <f>IF(AND(OR('Compliance Database'!$A1062='Data Transfer'!$B$4,'Compliance Database'!$A1062='Data Transfer'!$B$5),OR('Data Transfer'!$B$6="",ISNUMBER(SEARCH('Data Transfer'!$B$6,'Compliance Database'!$D1062&amp;" "&amp;'Compliance Database'!$K1062&amp;" "&amp;'Compliance Database'!$L1062&amp;" "&amp;'Compliance Database'!$M1062&amp;" "&amp;'Compliance Database'!$N1062&amp;" "&amp;'Compliance Database'!$O1062)))),1,0)</f>
        <v/>
      </c>
      <c r="B1062">
        <f>IF($A1062=1,SUM($A$2:$A1062),"")</f>
        <v/>
      </c>
      <c r="C1062">
        <f>IF($A1062=1,SUM($A$2:$A1062),0)</f>
        <v/>
      </c>
    </row>
    <row r="1063">
      <c r="A1063">
        <f>IF(AND(OR('Compliance Database'!$A1063='Data Transfer'!$B$4,'Compliance Database'!$A1063='Data Transfer'!$B$5),OR('Data Transfer'!$B$6="",ISNUMBER(SEARCH('Data Transfer'!$B$6,'Compliance Database'!$D1063&amp;" "&amp;'Compliance Database'!$K1063&amp;" "&amp;'Compliance Database'!$L1063&amp;" "&amp;'Compliance Database'!$M1063&amp;" "&amp;'Compliance Database'!$N1063&amp;" "&amp;'Compliance Database'!$O1063)))),1,0)</f>
        <v/>
      </c>
      <c r="B1063">
        <f>IF($A1063=1,SUM($A$2:$A1063),"")</f>
        <v/>
      </c>
      <c r="C1063">
        <f>IF($A1063=1,SUM($A$2:$A1063),0)</f>
        <v/>
      </c>
    </row>
    <row r="1064">
      <c r="A1064">
        <f>IF(AND(OR('Compliance Database'!$A1064='Data Transfer'!$B$4,'Compliance Database'!$A1064='Data Transfer'!$B$5),OR('Data Transfer'!$B$6="",ISNUMBER(SEARCH('Data Transfer'!$B$6,'Compliance Database'!$D1064&amp;" "&amp;'Compliance Database'!$K1064&amp;" "&amp;'Compliance Database'!$L1064&amp;" "&amp;'Compliance Database'!$M1064&amp;" "&amp;'Compliance Database'!$N1064&amp;" "&amp;'Compliance Database'!$O1064)))),1,0)</f>
        <v/>
      </c>
      <c r="B1064">
        <f>IF($A1064=1,SUM($A$2:$A1064),"")</f>
        <v/>
      </c>
      <c r="C1064">
        <f>IF($A1064=1,SUM($A$2:$A1064),0)</f>
        <v/>
      </c>
    </row>
    <row r="1065">
      <c r="A1065">
        <f>IF(AND(OR('Compliance Database'!$A1065='Data Transfer'!$B$4,'Compliance Database'!$A1065='Data Transfer'!$B$5),OR('Data Transfer'!$B$6="",ISNUMBER(SEARCH('Data Transfer'!$B$6,'Compliance Database'!$D1065&amp;" "&amp;'Compliance Database'!$K1065&amp;" "&amp;'Compliance Database'!$L1065&amp;" "&amp;'Compliance Database'!$M1065&amp;" "&amp;'Compliance Database'!$N1065&amp;" "&amp;'Compliance Database'!$O1065)))),1,0)</f>
        <v/>
      </c>
      <c r="B1065">
        <f>IF($A1065=1,SUM($A$2:$A1065),"")</f>
        <v/>
      </c>
      <c r="C1065">
        <f>IF($A1065=1,SUM($A$2:$A1065),0)</f>
        <v/>
      </c>
    </row>
    <row r="1066">
      <c r="A1066">
        <f>IF(AND(OR('Compliance Database'!$A1066='Data Transfer'!$B$4,'Compliance Database'!$A1066='Data Transfer'!$B$5),OR('Data Transfer'!$B$6="",ISNUMBER(SEARCH('Data Transfer'!$B$6,'Compliance Database'!$D1066&amp;" "&amp;'Compliance Database'!$K1066&amp;" "&amp;'Compliance Database'!$L1066&amp;" "&amp;'Compliance Database'!$M1066&amp;" "&amp;'Compliance Database'!$N1066&amp;" "&amp;'Compliance Database'!$O1066)))),1,0)</f>
        <v/>
      </c>
      <c r="B1066">
        <f>IF($A1066=1,SUM($A$2:$A1066),"")</f>
        <v/>
      </c>
      <c r="C1066">
        <f>IF($A1066=1,SUM($A$2:$A1066),0)</f>
        <v/>
      </c>
    </row>
    <row r="1067">
      <c r="A1067">
        <f>IF(AND(OR('Compliance Database'!$A1067='Data Transfer'!$B$4,'Compliance Database'!$A1067='Data Transfer'!$B$5),OR('Data Transfer'!$B$6="",ISNUMBER(SEARCH('Data Transfer'!$B$6,'Compliance Database'!$D1067&amp;" "&amp;'Compliance Database'!$K1067&amp;" "&amp;'Compliance Database'!$L1067&amp;" "&amp;'Compliance Database'!$M1067&amp;" "&amp;'Compliance Database'!$N1067&amp;" "&amp;'Compliance Database'!$O1067)))),1,0)</f>
        <v/>
      </c>
      <c r="B1067">
        <f>IF($A1067=1,SUM($A$2:$A1067),"")</f>
        <v/>
      </c>
      <c r="C1067">
        <f>IF($A1067=1,SUM($A$2:$A1067),0)</f>
        <v/>
      </c>
    </row>
    <row r="1068">
      <c r="A1068">
        <f>IF(AND(OR('Compliance Database'!$A1068='Data Transfer'!$B$4,'Compliance Database'!$A1068='Data Transfer'!$B$5),OR('Data Transfer'!$B$6="",ISNUMBER(SEARCH('Data Transfer'!$B$6,'Compliance Database'!$D1068&amp;" "&amp;'Compliance Database'!$K1068&amp;" "&amp;'Compliance Database'!$L1068&amp;" "&amp;'Compliance Database'!$M1068&amp;" "&amp;'Compliance Database'!$N1068&amp;" "&amp;'Compliance Database'!$O1068)))),1,0)</f>
        <v/>
      </c>
      <c r="B1068">
        <f>IF($A1068=1,SUM($A$2:$A1068),"")</f>
        <v/>
      </c>
      <c r="C1068">
        <f>IF($A1068=1,SUM($A$2:$A1068),0)</f>
        <v/>
      </c>
    </row>
    <row r="1069">
      <c r="A1069">
        <f>IF(AND(OR('Compliance Database'!$A1069='Data Transfer'!$B$4,'Compliance Database'!$A1069='Data Transfer'!$B$5),OR('Data Transfer'!$B$6="",ISNUMBER(SEARCH('Data Transfer'!$B$6,'Compliance Database'!$D1069&amp;" "&amp;'Compliance Database'!$K1069&amp;" "&amp;'Compliance Database'!$L1069&amp;" "&amp;'Compliance Database'!$M1069&amp;" "&amp;'Compliance Database'!$N1069&amp;" "&amp;'Compliance Database'!$O1069)))),1,0)</f>
        <v/>
      </c>
      <c r="B1069">
        <f>IF($A1069=1,SUM($A$2:$A1069),"")</f>
        <v/>
      </c>
      <c r="C1069">
        <f>IF($A1069=1,SUM($A$2:$A1069),0)</f>
        <v/>
      </c>
    </row>
    <row r="1070">
      <c r="A1070">
        <f>IF(AND(OR('Compliance Database'!$A1070='Data Transfer'!$B$4,'Compliance Database'!$A1070='Data Transfer'!$B$5),OR('Data Transfer'!$B$6="",ISNUMBER(SEARCH('Data Transfer'!$B$6,'Compliance Database'!$D1070&amp;" "&amp;'Compliance Database'!$K1070&amp;" "&amp;'Compliance Database'!$L1070&amp;" "&amp;'Compliance Database'!$M1070&amp;" "&amp;'Compliance Database'!$N1070&amp;" "&amp;'Compliance Database'!$O1070)))),1,0)</f>
        <v/>
      </c>
      <c r="B1070">
        <f>IF($A1070=1,SUM($A$2:$A1070),"")</f>
        <v/>
      </c>
      <c r="C1070">
        <f>IF($A1070=1,SUM($A$2:$A1070),0)</f>
        <v/>
      </c>
    </row>
    <row r="1071">
      <c r="A1071">
        <f>IF(AND(OR('Compliance Database'!$A1071='Data Transfer'!$B$4,'Compliance Database'!$A1071='Data Transfer'!$B$5),OR('Data Transfer'!$B$6="",ISNUMBER(SEARCH('Data Transfer'!$B$6,'Compliance Database'!$D1071&amp;" "&amp;'Compliance Database'!$K1071&amp;" "&amp;'Compliance Database'!$L1071&amp;" "&amp;'Compliance Database'!$M1071&amp;" "&amp;'Compliance Database'!$N1071&amp;" "&amp;'Compliance Database'!$O1071)))),1,0)</f>
        <v/>
      </c>
      <c r="B1071">
        <f>IF($A1071=1,SUM($A$2:$A1071),"")</f>
        <v/>
      </c>
      <c r="C1071">
        <f>IF($A1071=1,SUM($A$2:$A1071),0)</f>
        <v/>
      </c>
    </row>
    <row r="1072">
      <c r="A1072">
        <f>IF(AND(OR('Compliance Database'!$A1072='Data Transfer'!$B$4,'Compliance Database'!$A1072='Data Transfer'!$B$5),OR('Data Transfer'!$B$6="",ISNUMBER(SEARCH('Data Transfer'!$B$6,'Compliance Database'!$D1072&amp;" "&amp;'Compliance Database'!$K1072&amp;" "&amp;'Compliance Database'!$L1072&amp;" "&amp;'Compliance Database'!$M1072&amp;" "&amp;'Compliance Database'!$N1072&amp;" "&amp;'Compliance Database'!$O1072)))),1,0)</f>
        <v/>
      </c>
      <c r="B1072">
        <f>IF($A1072=1,SUM($A$2:$A1072),"")</f>
        <v/>
      </c>
      <c r="C1072">
        <f>IF($A1072=1,SUM($A$2:$A1072),0)</f>
        <v/>
      </c>
    </row>
    <row r="1073">
      <c r="A1073">
        <f>IF(AND(OR('Compliance Database'!$A1073='Data Transfer'!$B$4,'Compliance Database'!$A1073='Data Transfer'!$B$5),OR('Data Transfer'!$B$6="",ISNUMBER(SEARCH('Data Transfer'!$B$6,'Compliance Database'!$D1073&amp;" "&amp;'Compliance Database'!$K1073&amp;" "&amp;'Compliance Database'!$L1073&amp;" "&amp;'Compliance Database'!$M1073&amp;" "&amp;'Compliance Database'!$N1073&amp;" "&amp;'Compliance Database'!$O1073)))),1,0)</f>
        <v/>
      </c>
      <c r="B1073">
        <f>IF($A1073=1,SUM($A$2:$A1073),"")</f>
        <v/>
      </c>
      <c r="C1073">
        <f>IF($A1073=1,SUM($A$2:$A1073),0)</f>
        <v/>
      </c>
    </row>
    <row r="1074">
      <c r="A1074">
        <f>IF(AND(OR('Compliance Database'!$A1074='Data Transfer'!$B$4,'Compliance Database'!$A1074='Data Transfer'!$B$5),OR('Data Transfer'!$B$6="",ISNUMBER(SEARCH('Data Transfer'!$B$6,'Compliance Database'!$D1074&amp;" "&amp;'Compliance Database'!$K1074&amp;" "&amp;'Compliance Database'!$L1074&amp;" "&amp;'Compliance Database'!$M1074&amp;" "&amp;'Compliance Database'!$N1074&amp;" "&amp;'Compliance Database'!$O1074)))),1,0)</f>
        <v/>
      </c>
      <c r="B1074">
        <f>IF($A1074=1,SUM($A$2:$A1074),"")</f>
        <v/>
      </c>
      <c r="C1074">
        <f>IF($A1074=1,SUM($A$2:$A1074),0)</f>
        <v/>
      </c>
    </row>
    <row r="1075">
      <c r="A1075">
        <f>IF(AND(OR('Compliance Database'!$A1075='Data Transfer'!$B$4,'Compliance Database'!$A1075='Data Transfer'!$B$5),OR('Data Transfer'!$B$6="",ISNUMBER(SEARCH('Data Transfer'!$B$6,'Compliance Database'!$D1075&amp;" "&amp;'Compliance Database'!$K1075&amp;" "&amp;'Compliance Database'!$L1075&amp;" "&amp;'Compliance Database'!$M1075&amp;" "&amp;'Compliance Database'!$N1075&amp;" "&amp;'Compliance Database'!$O1075)))),1,0)</f>
        <v/>
      </c>
      <c r="B1075">
        <f>IF($A1075=1,SUM($A$2:$A1075),"")</f>
        <v/>
      </c>
      <c r="C1075">
        <f>IF($A1075=1,SUM($A$2:$A1075),0)</f>
        <v/>
      </c>
    </row>
    <row r="1076">
      <c r="A1076">
        <f>IF(AND(OR('Compliance Database'!$A1076='Data Transfer'!$B$4,'Compliance Database'!$A1076='Data Transfer'!$B$5),OR('Data Transfer'!$B$6="",ISNUMBER(SEARCH('Data Transfer'!$B$6,'Compliance Database'!$D1076&amp;" "&amp;'Compliance Database'!$K1076&amp;" "&amp;'Compliance Database'!$L1076&amp;" "&amp;'Compliance Database'!$M1076&amp;" "&amp;'Compliance Database'!$N1076&amp;" "&amp;'Compliance Database'!$O1076)))),1,0)</f>
        <v/>
      </c>
      <c r="B1076">
        <f>IF($A1076=1,SUM($A$2:$A1076),"")</f>
        <v/>
      </c>
      <c r="C1076">
        <f>IF($A1076=1,SUM($A$2:$A1076),0)</f>
        <v/>
      </c>
    </row>
    <row r="1077">
      <c r="A1077">
        <f>IF(AND(OR('Compliance Database'!$A1077='Data Transfer'!$B$4,'Compliance Database'!$A1077='Data Transfer'!$B$5),OR('Data Transfer'!$B$6="",ISNUMBER(SEARCH('Data Transfer'!$B$6,'Compliance Database'!$D1077&amp;" "&amp;'Compliance Database'!$K1077&amp;" "&amp;'Compliance Database'!$L1077&amp;" "&amp;'Compliance Database'!$M1077&amp;" "&amp;'Compliance Database'!$N1077&amp;" "&amp;'Compliance Database'!$O1077)))),1,0)</f>
        <v/>
      </c>
      <c r="B1077">
        <f>IF($A1077=1,SUM($A$2:$A1077),"")</f>
        <v/>
      </c>
      <c r="C1077">
        <f>IF($A1077=1,SUM($A$2:$A1077),0)</f>
        <v/>
      </c>
    </row>
    <row r="1078">
      <c r="A1078">
        <f>IF(AND(OR('Compliance Database'!$A1078='Data Transfer'!$B$4,'Compliance Database'!$A1078='Data Transfer'!$B$5),OR('Data Transfer'!$B$6="",ISNUMBER(SEARCH('Data Transfer'!$B$6,'Compliance Database'!$D1078&amp;" "&amp;'Compliance Database'!$K1078&amp;" "&amp;'Compliance Database'!$L1078&amp;" "&amp;'Compliance Database'!$M1078&amp;" "&amp;'Compliance Database'!$N1078&amp;" "&amp;'Compliance Database'!$O1078)))),1,0)</f>
        <v/>
      </c>
      <c r="B1078">
        <f>IF($A1078=1,SUM($A$2:$A1078),"")</f>
        <v/>
      </c>
      <c r="C1078">
        <f>IF($A1078=1,SUM($A$2:$A1078),0)</f>
        <v/>
      </c>
    </row>
    <row r="1079">
      <c r="A1079">
        <f>IF(AND(OR('Compliance Database'!$A1079='Data Transfer'!$B$4,'Compliance Database'!$A1079='Data Transfer'!$B$5),OR('Data Transfer'!$B$6="",ISNUMBER(SEARCH('Data Transfer'!$B$6,'Compliance Database'!$D1079&amp;" "&amp;'Compliance Database'!$K1079&amp;" "&amp;'Compliance Database'!$L1079&amp;" "&amp;'Compliance Database'!$M1079&amp;" "&amp;'Compliance Database'!$N1079&amp;" "&amp;'Compliance Database'!$O1079)))),1,0)</f>
        <v/>
      </c>
      <c r="B1079">
        <f>IF($A1079=1,SUM($A$2:$A1079),"")</f>
        <v/>
      </c>
      <c r="C1079">
        <f>IF($A1079=1,SUM($A$2:$A1079),0)</f>
        <v/>
      </c>
    </row>
    <row r="1080">
      <c r="A1080">
        <f>IF(AND(OR('Compliance Database'!$A1080='Data Transfer'!$B$4,'Compliance Database'!$A1080='Data Transfer'!$B$5),OR('Data Transfer'!$B$6="",ISNUMBER(SEARCH('Data Transfer'!$B$6,'Compliance Database'!$D1080&amp;" "&amp;'Compliance Database'!$K1080&amp;" "&amp;'Compliance Database'!$L1080&amp;" "&amp;'Compliance Database'!$M1080&amp;" "&amp;'Compliance Database'!$N1080&amp;" "&amp;'Compliance Database'!$O1080)))),1,0)</f>
        <v/>
      </c>
      <c r="B1080">
        <f>IF($A1080=1,SUM($A$2:$A1080),"")</f>
        <v/>
      </c>
      <c r="C1080">
        <f>IF($A1080=1,SUM($A$2:$A1080),0)</f>
        <v/>
      </c>
    </row>
    <row r="1081">
      <c r="A1081">
        <f>IF(AND(OR('Compliance Database'!$A1081='Data Transfer'!$B$4,'Compliance Database'!$A1081='Data Transfer'!$B$5),OR('Data Transfer'!$B$6="",ISNUMBER(SEARCH('Data Transfer'!$B$6,'Compliance Database'!$D1081&amp;" "&amp;'Compliance Database'!$K1081&amp;" "&amp;'Compliance Database'!$L1081&amp;" "&amp;'Compliance Database'!$M1081&amp;" "&amp;'Compliance Database'!$N1081&amp;" "&amp;'Compliance Database'!$O1081)))),1,0)</f>
        <v/>
      </c>
      <c r="B1081">
        <f>IF($A1081=1,SUM($A$2:$A1081),"")</f>
        <v/>
      </c>
      <c r="C1081">
        <f>IF($A1081=1,SUM($A$2:$A1081),0)</f>
        <v/>
      </c>
    </row>
    <row r="1082">
      <c r="A1082">
        <f>IF(AND(OR('Compliance Database'!$A1082='Data Transfer'!$B$4,'Compliance Database'!$A1082='Data Transfer'!$B$5),OR('Data Transfer'!$B$6="",ISNUMBER(SEARCH('Data Transfer'!$B$6,'Compliance Database'!$D1082&amp;" "&amp;'Compliance Database'!$K1082&amp;" "&amp;'Compliance Database'!$L1082&amp;" "&amp;'Compliance Database'!$M1082&amp;" "&amp;'Compliance Database'!$N1082&amp;" "&amp;'Compliance Database'!$O1082)))),1,0)</f>
        <v/>
      </c>
      <c r="B1082">
        <f>IF($A1082=1,SUM($A$2:$A1082),"")</f>
        <v/>
      </c>
      <c r="C1082">
        <f>IF($A1082=1,SUM($A$2:$A1082),0)</f>
        <v/>
      </c>
    </row>
    <row r="1083">
      <c r="A1083">
        <f>IF(AND(OR('Compliance Database'!$A1083='Data Transfer'!$B$4,'Compliance Database'!$A1083='Data Transfer'!$B$5),OR('Data Transfer'!$B$6="",ISNUMBER(SEARCH('Data Transfer'!$B$6,'Compliance Database'!$D1083&amp;" "&amp;'Compliance Database'!$K1083&amp;" "&amp;'Compliance Database'!$L1083&amp;" "&amp;'Compliance Database'!$M1083&amp;" "&amp;'Compliance Database'!$N1083&amp;" "&amp;'Compliance Database'!$O1083)))),1,0)</f>
        <v/>
      </c>
      <c r="B1083">
        <f>IF($A1083=1,SUM($A$2:$A1083),"")</f>
        <v/>
      </c>
      <c r="C1083">
        <f>IF($A1083=1,SUM($A$2:$A1083),0)</f>
        <v/>
      </c>
    </row>
    <row r="1084">
      <c r="A1084">
        <f>IF(AND(OR('Compliance Database'!$A1084='Data Transfer'!$B$4,'Compliance Database'!$A1084='Data Transfer'!$B$5),OR('Data Transfer'!$B$6="",ISNUMBER(SEARCH('Data Transfer'!$B$6,'Compliance Database'!$D1084&amp;" "&amp;'Compliance Database'!$K1084&amp;" "&amp;'Compliance Database'!$L1084&amp;" "&amp;'Compliance Database'!$M1084&amp;" "&amp;'Compliance Database'!$N1084&amp;" "&amp;'Compliance Database'!$O1084)))),1,0)</f>
        <v/>
      </c>
      <c r="B1084">
        <f>IF($A1084=1,SUM($A$2:$A1084),"")</f>
        <v/>
      </c>
      <c r="C1084">
        <f>IF($A1084=1,SUM($A$2:$A1084),0)</f>
        <v/>
      </c>
    </row>
    <row r="1085">
      <c r="A1085">
        <f>IF(AND(OR('Compliance Database'!$A1085='Data Transfer'!$B$4,'Compliance Database'!$A1085='Data Transfer'!$B$5),OR('Data Transfer'!$B$6="",ISNUMBER(SEARCH('Data Transfer'!$B$6,'Compliance Database'!$D1085&amp;" "&amp;'Compliance Database'!$K1085&amp;" "&amp;'Compliance Database'!$L1085&amp;" "&amp;'Compliance Database'!$M1085&amp;" "&amp;'Compliance Database'!$N1085&amp;" "&amp;'Compliance Database'!$O1085)))),1,0)</f>
        <v/>
      </c>
      <c r="B1085">
        <f>IF($A1085=1,SUM($A$2:$A1085),"")</f>
        <v/>
      </c>
      <c r="C1085">
        <f>IF($A1085=1,SUM($A$2:$A1085),0)</f>
        <v/>
      </c>
    </row>
    <row r="1086">
      <c r="A1086">
        <f>IF(AND(OR('Compliance Database'!$A1086='Data Transfer'!$B$4,'Compliance Database'!$A1086='Data Transfer'!$B$5),OR('Data Transfer'!$B$6="",ISNUMBER(SEARCH('Data Transfer'!$B$6,'Compliance Database'!$D1086&amp;" "&amp;'Compliance Database'!$K1086&amp;" "&amp;'Compliance Database'!$L1086&amp;" "&amp;'Compliance Database'!$M1086&amp;" "&amp;'Compliance Database'!$N1086&amp;" "&amp;'Compliance Database'!$O1086)))),1,0)</f>
        <v/>
      </c>
      <c r="B1086">
        <f>IF($A1086=1,SUM($A$2:$A1086),"")</f>
        <v/>
      </c>
      <c r="C1086">
        <f>IF($A1086=1,SUM($A$2:$A1086),0)</f>
        <v/>
      </c>
    </row>
    <row r="1087">
      <c r="A1087">
        <f>IF(AND(OR('Compliance Database'!$A1087='Data Transfer'!$B$4,'Compliance Database'!$A1087='Data Transfer'!$B$5),OR('Data Transfer'!$B$6="",ISNUMBER(SEARCH('Data Transfer'!$B$6,'Compliance Database'!$D1087&amp;" "&amp;'Compliance Database'!$K1087&amp;" "&amp;'Compliance Database'!$L1087&amp;" "&amp;'Compliance Database'!$M1087&amp;" "&amp;'Compliance Database'!$N1087&amp;" "&amp;'Compliance Database'!$O1087)))),1,0)</f>
        <v/>
      </c>
      <c r="B1087">
        <f>IF($A1087=1,SUM($A$2:$A1087),"")</f>
        <v/>
      </c>
      <c r="C1087">
        <f>IF($A1087=1,SUM($A$2:$A1087),0)</f>
        <v/>
      </c>
    </row>
    <row r="1088">
      <c r="A1088">
        <f>IF(AND(OR('Compliance Database'!$A1088='Data Transfer'!$B$4,'Compliance Database'!$A1088='Data Transfer'!$B$5),OR('Data Transfer'!$B$6="",ISNUMBER(SEARCH('Data Transfer'!$B$6,'Compliance Database'!$D1088&amp;" "&amp;'Compliance Database'!$K1088&amp;" "&amp;'Compliance Database'!$L1088&amp;" "&amp;'Compliance Database'!$M1088&amp;" "&amp;'Compliance Database'!$N1088&amp;" "&amp;'Compliance Database'!$O1088)))),1,0)</f>
        <v/>
      </c>
      <c r="B1088">
        <f>IF($A1088=1,SUM($A$2:$A1088),"")</f>
        <v/>
      </c>
      <c r="C1088">
        <f>IF($A1088=1,SUM($A$2:$A1088),0)</f>
        <v/>
      </c>
    </row>
    <row r="1089">
      <c r="A1089">
        <f>IF(AND(OR('Compliance Database'!$A1089='Data Transfer'!$B$4,'Compliance Database'!$A1089='Data Transfer'!$B$5),OR('Data Transfer'!$B$6="",ISNUMBER(SEARCH('Data Transfer'!$B$6,'Compliance Database'!$D1089&amp;" "&amp;'Compliance Database'!$K1089&amp;" "&amp;'Compliance Database'!$L1089&amp;" "&amp;'Compliance Database'!$M1089&amp;" "&amp;'Compliance Database'!$N1089&amp;" "&amp;'Compliance Database'!$O1089)))),1,0)</f>
        <v/>
      </c>
      <c r="B1089">
        <f>IF($A1089=1,SUM($A$2:$A1089),"")</f>
        <v/>
      </c>
      <c r="C1089">
        <f>IF($A1089=1,SUM($A$2:$A1089),0)</f>
        <v/>
      </c>
    </row>
    <row r="1090">
      <c r="A1090">
        <f>IF(AND(OR('Compliance Database'!$A1090='Data Transfer'!$B$4,'Compliance Database'!$A1090='Data Transfer'!$B$5),OR('Data Transfer'!$B$6="",ISNUMBER(SEARCH('Data Transfer'!$B$6,'Compliance Database'!$D1090&amp;" "&amp;'Compliance Database'!$K1090&amp;" "&amp;'Compliance Database'!$L1090&amp;" "&amp;'Compliance Database'!$M1090&amp;" "&amp;'Compliance Database'!$N1090&amp;" "&amp;'Compliance Database'!$O1090)))),1,0)</f>
        <v/>
      </c>
      <c r="B1090">
        <f>IF($A1090=1,SUM($A$2:$A1090),"")</f>
        <v/>
      </c>
      <c r="C1090">
        <f>IF($A1090=1,SUM($A$2:$A1090),0)</f>
        <v/>
      </c>
    </row>
    <row r="1091">
      <c r="A1091">
        <f>IF(AND(OR('Compliance Database'!$A1091='Data Transfer'!$B$4,'Compliance Database'!$A1091='Data Transfer'!$B$5),OR('Data Transfer'!$B$6="",ISNUMBER(SEARCH('Data Transfer'!$B$6,'Compliance Database'!$D1091&amp;" "&amp;'Compliance Database'!$K1091&amp;" "&amp;'Compliance Database'!$L1091&amp;" "&amp;'Compliance Database'!$M1091&amp;" "&amp;'Compliance Database'!$N1091&amp;" "&amp;'Compliance Database'!$O1091)))),1,0)</f>
        <v/>
      </c>
      <c r="B1091">
        <f>IF($A1091=1,SUM($A$2:$A1091),"")</f>
        <v/>
      </c>
      <c r="C1091">
        <f>IF($A1091=1,SUM($A$2:$A1091),0)</f>
        <v/>
      </c>
    </row>
    <row r="1092">
      <c r="A1092">
        <f>IF(AND(OR('Compliance Database'!$A1092='Data Transfer'!$B$4,'Compliance Database'!$A1092='Data Transfer'!$B$5),OR('Data Transfer'!$B$6="",ISNUMBER(SEARCH('Data Transfer'!$B$6,'Compliance Database'!$D1092&amp;" "&amp;'Compliance Database'!$K1092&amp;" "&amp;'Compliance Database'!$L1092&amp;" "&amp;'Compliance Database'!$M1092&amp;" "&amp;'Compliance Database'!$N1092&amp;" "&amp;'Compliance Database'!$O1092)))),1,0)</f>
        <v/>
      </c>
      <c r="B1092">
        <f>IF($A1092=1,SUM($A$2:$A1092),"")</f>
        <v/>
      </c>
      <c r="C1092">
        <f>IF($A1092=1,SUM($A$2:$A1092),0)</f>
        <v/>
      </c>
    </row>
    <row r="1093">
      <c r="A1093">
        <f>IF(AND(OR('Compliance Database'!$A1093='Data Transfer'!$B$4,'Compliance Database'!$A1093='Data Transfer'!$B$5),OR('Data Transfer'!$B$6="",ISNUMBER(SEARCH('Data Transfer'!$B$6,'Compliance Database'!$D1093&amp;" "&amp;'Compliance Database'!$K1093&amp;" "&amp;'Compliance Database'!$L1093&amp;" "&amp;'Compliance Database'!$M1093&amp;" "&amp;'Compliance Database'!$N1093&amp;" "&amp;'Compliance Database'!$O1093)))),1,0)</f>
        <v/>
      </c>
      <c r="B1093">
        <f>IF($A1093=1,SUM($A$2:$A1093),"")</f>
        <v/>
      </c>
      <c r="C1093">
        <f>IF($A1093=1,SUM($A$2:$A1093),0)</f>
        <v/>
      </c>
    </row>
    <row r="1094">
      <c r="A1094">
        <f>IF(AND(OR('Compliance Database'!$A1094='Data Transfer'!$B$4,'Compliance Database'!$A1094='Data Transfer'!$B$5),OR('Data Transfer'!$B$6="",ISNUMBER(SEARCH('Data Transfer'!$B$6,'Compliance Database'!$D1094&amp;" "&amp;'Compliance Database'!$K1094&amp;" "&amp;'Compliance Database'!$L1094&amp;" "&amp;'Compliance Database'!$M1094&amp;" "&amp;'Compliance Database'!$N1094&amp;" "&amp;'Compliance Database'!$O1094)))),1,0)</f>
        <v/>
      </c>
      <c r="B1094">
        <f>IF($A1094=1,SUM($A$2:$A1094),"")</f>
        <v/>
      </c>
      <c r="C1094">
        <f>IF($A1094=1,SUM($A$2:$A1094),0)</f>
        <v/>
      </c>
    </row>
    <row r="1095">
      <c r="A1095">
        <f>IF(AND(OR('Compliance Database'!$A1095='Data Transfer'!$B$4,'Compliance Database'!$A1095='Data Transfer'!$B$5),OR('Data Transfer'!$B$6="",ISNUMBER(SEARCH('Data Transfer'!$B$6,'Compliance Database'!$D1095&amp;" "&amp;'Compliance Database'!$K1095&amp;" "&amp;'Compliance Database'!$L1095&amp;" "&amp;'Compliance Database'!$M1095&amp;" "&amp;'Compliance Database'!$N1095&amp;" "&amp;'Compliance Database'!$O1095)))),1,0)</f>
        <v/>
      </c>
      <c r="B1095">
        <f>IF($A1095=1,SUM($A$2:$A1095),"")</f>
        <v/>
      </c>
      <c r="C1095">
        <f>IF($A1095=1,SUM($A$2:$A1095),0)</f>
        <v/>
      </c>
    </row>
    <row r="1096">
      <c r="A1096">
        <f>IF(AND(OR('Compliance Database'!$A1096='Data Transfer'!$B$4,'Compliance Database'!$A1096='Data Transfer'!$B$5),OR('Data Transfer'!$B$6="",ISNUMBER(SEARCH('Data Transfer'!$B$6,'Compliance Database'!$D1096&amp;" "&amp;'Compliance Database'!$K1096&amp;" "&amp;'Compliance Database'!$L1096&amp;" "&amp;'Compliance Database'!$M1096&amp;" "&amp;'Compliance Database'!$N1096&amp;" "&amp;'Compliance Database'!$O1096)))),1,0)</f>
        <v/>
      </c>
      <c r="B1096">
        <f>IF($A1096=1,SUM($A$2:$A1096),"")</f>
        <v/>
      </c>
      <c r="C1096">
        <f>IF($A1096=1,SUM($A$2:$A1096),0)</f>
        <v/>
      </c>
    </row>
    <row r="1097">
      <c r="A1097">
        <f>IF(AND(OR('Compliance Database'!$A1097='Data Transfer'!$B$4,'Compliance Database'!$A1097='Data Transfer'!$B$5),OR('Data Transfer'!$B$6="",ISNUMBER(SEARCH('Data Transfer'!$B$6,'Compliance Database'!$D1097&amp;" "&amp;'Compliance Database'!$K1097&amp;" "&amp;'Compliance Database'!$L1097&amp;" "&amp;'Compliance Database'!$M1097&amp;" "&amp;'Compliance Database'!$N1097&amp;" "&amp;'Compliance Database'!$O1097)))),1,0)</f>
        <v/>
      </c>
      <c r="B1097">
        <f>IF($A1097=1,SUM($A$2:$A1097),"")</f>
        <v/>
      </c>
      <c r="C1097">
        <f>IF($A1097=1,SUM($A$2:$A1097),0)</f>
        <v/>
      </c>
    </row>
    <row r="1098">
      <c r="A1098">
        <f>IF(AND(OR('Compliance Database'!$A1098='Data Transfer'!$B$4,'Compliance Database'!$A1098='Data Transfer'!$B$5),OR('Data Transfer'!$B$6="",ISNUMBER(SEARCH('Data Transfer'!$B$6,'Compliance Database'!$D1098&amp;" "&amp;'Compliance Database'!$K1098&amp;" "&amp;'Compliance Database'!$L1098&amp;" "&amp;'Compliance Database'!$M1098&amp;" "&amp;'Compliance Database'!$N1098&amp;" "&amp;'Compliance Database'!$O1098)))),1,0)</f>
        <v/>
      </c>
      <c r="B1098">
        <f>IF($A1098=1,SUM($A$2:$A1098),"")</f>
        <v/>
      </c>
      <c r="C1098">
        <f>IF($A1098=1,SUM($A$2:$A1098),0)</f>
        <v/>
      </c>
    </row>
    <row r="1099">
      <c r="A1099">
        <f>IF(AND(OR('Compliance Database'!$A1099='Data Transfer'!$B$4,'Compliance Database'!$A1099='Data Transfer'!$B$5),OR('Data Transfer'!$B$6="",ISNUMBER(SEARCH('Data Transfer'!$B$6,'Compliance Database'!$D1099&amp;" "&amp;'Compliance Database'!$K1099&amp;" "&amp;'Compliance Database'!$L1099&amp;" "&amp;'Compliance Database'!$M1099&amp;" "&amp;'Compliance Database'!$N1099&amp;" "&amp;'Compliance Database'!$O1099)))),1,0)</f>
        <v/>
      </c>
      <c r="B1099">
        <f>IF($A1099=1,SUM($A$2:$A1099),"")</f>
        <v/>
      </c>
      <c r="C1099">
        <f>IF($A1099=1,SUM($A$2:$A1099),0)</f>
        <v/>
      </c>
    </row>
    <row r="1100">
      <c r="A1100">
        <f>IF(AND(OR('Compliance Database'!$A1100='Data Transfer'!$B$4,'Compliance Database'!$A1100='Data Transfer'!$B$5),OR('Data Transfer'!$B$6="",ISNUMBER(SEARCH('Data Transfer'!$B$6,'Compliance Database'!$D1100&amp;" "&amp;'Compliance Database'!$K1100&amp;" "&amp;'Compliance Database'!$L1100&amp;" "&amp;'Compliance Database'!$M1100&amp;" "&amp;'Compliance Database'!$N1100&amp;" "&amp;'Compliance Database'!$O1100)))),1,0)</f>
        <v/>
      </c>
      <c r="B1100">
        <f>IF($A1100=1,SUM($A$2:$A1100),"")</f>
        <v/>
      </c>
      <c r="C1100">
        <f>IF($A1100=1,SUM($A$2:$A1100),0)</f>
        <v/>
      </c>
    </row>
    <row r="1101">
      <c r="A1101">
        <f>IF(AND(OR('Compliance Database'!$A1101='Data Transfer'!$B$4,'Compliance Database'!$A1101='Data Transfer'!$B$5),OR('Data Transfer'!$B$6="",ISNUMBER(SEARCH('Data Transfer'!$B$6,'Compliance Database'!$D1101&amp;" "&amp;'Compliance Database'!$K1101&amp;" "&amp;'Compliance Database'!$L1101&amp;" "&amp;'Compliance Database'!$M1101&amp;" "&amp;'Compliance Database'!$N1101&amp;" "&amp;'Compliance Database'!$O1101)))),1,0)</f>
        <v/>
      </c>
      <c r="B1101">
        <f>IF($A1101=1,SUM($A$2:$A1101),"")</f>
        <v/>
      </c>
      <c r="C1101">
        <f>IF($A1101=1,SUM($A$2:$A1101),0)</f>
        <v/>
      </c>
    </row>
    <row r="1102">
      <c r="A1102">
        <f>IF(AND(OR('Compliance Database'!$A1102='Data Transfer'!$B$4,'Compliance Database'!$A1102='Data Transfer'!$B$5),OR('Data Transfer'!$B$6="",ISNUMBER(SEARCH('Data Transfer'!$B$6,'Compliance Database'!$D1102&amp;" "&amp;'Compliance Database'!$K1102&amp;" "&amp;'Compliance Database'!$L1102&amp;" "&amp;'Compliance Database'!$M1102&amp;" "&amp;'Compliance Database'!$N1102&amp;" "&amp;'Compliance Database'!$O1102)))),1,0)</f>
        <v/>
      </c>
      <c r="B1102">
        <f>IF($A1102=1,SUM($A$2:$A1102),"")</f>
        <v/>
      </c>
      <c r="C1102">
        <f>IF($A1102=1,SUM($A$2:$A1102),0)</f>
        <v/>
      </c>
    </row>
    <row r="1103">
      <c r="A1103">
        <f>IF(AND(OR('Compliance Database'!$A1103='Data Transfer'!$B$4,'Compliance Database'!$A1103='Data Transfer'!$B$5),OR('Data Transfer'!$B$6="",ISNUMBER(SEARCH('Data Transfer'!$B$6,'Compliance Database'!$D1103&amp;" "&amp;'Compliance Database'!$K1103&amp;" "&amp;'Compliance Database'!$L1103&amp;" "&amp;'Compliance Database'!$M1103&amp;" "&amp;'Compliance Database'!$N1103&amp;" "&amp;'Compliance Database'!$O1103)))),1,0)</f>
        <v/>
      </c>
      <c r="B1103">
        <f>IF($A1103=1,SUM($A$2:$A1103),"")</f>
        <v/>
      </c>
      <c r="C1103">
        <f>IF($A1103=1,SUM($A$2:$A1103),0)</f>
        <v/>
      </c>
    </row>
    <row r="1104">
      <c r="A1104">
        <f>IF(AND(OR('Compliance Database'!$A1104='Data Transfer'!$B$4,'Compliance Database'!$A1104='Data Transfer'!$B$5),OR('Data Transfer'!$B$6="",ISNUMBER(SEARCH('Data Transfer'!$B$6,'Compliance Database'!$D1104&amp;" "&amp;'Compliance Database'!$K1104&amp;" "&amp;'Compliance Database'!$L1104&amp;" "&amp;'Compliance Database'!$M1104&amp;" "&amp;'Compliance Database'!$N1104&amp;" "&amp;'Compliance Database'!$O1104)))),1,0)</f>
        <v/>
      </c>
      <c r="B1104">
        <f>IF($A1104=1,SUM($A$2:$A1104),"")</f>
        <v/>
      </c>
      <c r="C1104">
        <f>IF($A1104=1,SUM($A$2:$A1104),0)</f>
        <v/>
      </c>
    </row>
    <row r="1105">
      <c r="A1105">
        <f>IF(AND(OR('Compliance Database'!$A1105='Data Transfer'!$B$4,'Compliance Database'!$A1105='Data Transfer'!$B$5),OR('Data Transfer'!$B$6="",ISNUMBER(SEARCH('Data Transfer'!$B$6,'Compliance Database'!$D1105&amp;" "&amp;'Compliance Database'!$K1105&amp;" "&amp;'Compliance Database'!$L1105&amp;" "&amp;'Compliance Database'!$M1105&amp;" "&amp;'Compliance Database'!$N1105&amp;" "&amp;'Compliance Database'!$O1105)))),1,0)</f>
        <v/>
      </c>
      <c r="B1105">
        <f>IF($A1105=1,SUM($A$2:$A1105),"")</f>
        <v/>
      </c>
      <c r="C1105">
        <f>IF($A1105=1,SUM($A$2:$A1105),0)</f>
        <v/>
      </c>
    </row>
    <row r="1106">
      <c r="A1106">
        <f>IF(AND(OR('Compliance Database'!$A1106='Data Transfer'!$B$4,'Compliance Database'!$A1106='Data Transfer'!$B$5),OR('Data Transfer'!$B$6="",ISNUMBER(SEARCH('Data Transfer'!$B$6,'Compliance Database'!$D1106&amp;" "&amp;'Compliance Database'!$K1106&amp;" "&amp;'Compliance Database'!$L1106&amp;" "&amp;'Compliance Database'!$M1106&amp;" "&amp;'Compliance Database'!$N1106&amp;" "&amp;'Compliance Database'!$O1106)))),1,0)</f>
        <v/>
      </c>
      <c r="B1106">
        <f>IF($A1106=1,SUM($A$2:$A1106),"")</f>
        <v/>
      </c>
      <c r="C1106">
        <f>IF($A1106=1,SUM($A$2:$A1106),0)</f>
        <v/>
      </c>
    </row>
    <row r="1107">
      <c r="A1107">
        <f>IF(AND(OR('Compliance Database'!$A1107='Data Transfer'!$B$4,'Compliance Database'!$A1107='Data Transfer'!$B$5),OR('Data Transfer'!$B$6="",ISNUMBER(SEARCH('Data Transfer'!$B$6,'Compliance Database'!$D1107&amp;" "&amp;'Compliance Database'!$K1107&amp;" "&amp;'Compliance Database'!$L1107&amp;" "&amp;'Compliance Database'!$M1107&amp;" "&amp;'Compliance Database'!$N1107&amp;" "&amp;'Compliance Database'!$O1107)))),1,0)</f>
        <v/>
      </c>
      <c r="B1107">
        <f>IF($A1107=1,SUM($A$2:$A1107),"")</f>
        <v/>
      </c>
      <c r="C1107">
        <f>IF($A1107=1,SUM($A$2:$A1107),0)</f>
        <v/>
      </c>
    </row>
    <row r="1108">
      <c r="A1108">
        <f>IF(AND(OR('Compliance Database'!$A1108='Data Transfer'!$B$4,'Compliance Database'!$A1108='Data Transfer'!$B$5),OR('Data Transfer'!$B$6="",ISNUMBER(SEARCH('Data Transfer'!$B$6,'Compliance Database'!$D1108&amp;" "&amp;'Compliance Database'!$K1108&amp;" "&amp;'Compliance Database'!$L1108&amp;" "&amp;'Compliance Database'!$M1108&amp;" "&amp;'Compliance Database'!$N1108&amp;" "&amp;'Compliance Database'!$O1108)))),1,0)</f>
        <v/>
      </c>
      <c r="B1108">
        <f>IF($A1108=1,SUM($A$2:$A1108),"")</f>
        <v/>
      </c>
      <c r="C1108">
        <f>IF($A1108=1,SUM($A$2:$A1108),0)</f>
        <v/>
      </c>
    </row>
    <row r="1109">
      <c r="A1109">
        <f>IF(AND(OR('Compliance Database'!$A1109='Data Transfer'!$B$4,'Compliance Database'!$A1109='Data Transfer'!$B$5),OR('Data Transfer'!$B$6="",ISNUMBER(SEARCH('Data Transfer'!$B$6,'Compliance Database'!$D1109&amp;" "&amp;'Compliance Database'!$K1109&amp;" "&amp;'Compliance Database'!$L1109&amp;" "&amp;'Compliance Database'!$M1109&amp;" "&amp;'Compliance Database'!$N1109&amp;" "&amp;'Compliance Database'!$O1109)))),1,0)</f>
        <v/>
      </c>
      <c r="B1109">
        <f>IF($A1109=1,SUM($A$2:$A1109),"")</f>
        <v/>
      </c>
      <c r="C1109">
        <f>IF($A1109=1,SUM($A$2:$A1109),0)</f>
        <v/>
      </c>
    </row>
    <row r="1110">
      <c r="A1110">
        <f>IF(AND(OR('Compliance Database'!$A1110='Data Transfer'!$B$4,'Compliance Database'!$A1110='Data Transfer'!$B$5),OR('Data Transfer'!$B$6="",ISNUMBER(SEARCH('Data Transfer'!$B$6,'Compliance Database'!$D1110&amp;" "&amp;'Compliance Database'!$K1110&amp;" "&amp;'Compliance Database'!$L1110&amp;" "&amp;'Compliance Database'!$M1110&amp;" "&amp;'Compliance Database'!$N1110&amp;" "&amp;'Compliance Database'!$O1110)))),1,0)</f>
        <v/>
      </c>
      <c r="B1110">
        <f>IF($A1110=1,SUM($A$2:$A1110),"")</f>
        <v/>
      </c>
      <c r="C1110">
        <f>IF($A1110=1,SUM($A$2:$A1110),0)</f>
        <v/>
      </c>
    </row>
    <row r="1111">
      <c r="A1111">
        <f>IF(AND(OR('Compliance Database'!$A1111='Data Transfer'!$B$4,'Compliance Database'!$A1111='Data Transfer'!$B$5),OR('Data Transfer'!$B$6="",ISNUMBER(SEARCH('Data Transfer'!$B$6,'Compliance Database'!$D1111&amp;" "&amp;'Compliance Database'!$K1111&amp;" "&amp;'Compliance Database'!$L1111&amp;" "&amp;'Compliance Database'!$M1111&amp;" "&amp;'Compliance Database'!$N1111&amp;" "&amp;'Compliance Database'!$O1111)))),1,0)</f>
        <v/>
      </c>
      <c r="B1111">
        <f>IF($A1111=1,SUM($A$2:$A1111),"")</f>
        <v/>
      </c>
      <c r="C1111">
        <f>IF($A1111=1,SUM($A$2:$A1111),0)</f>
        <v/>
      </c>
    </row>
    <row r="1112">
      <c r="A1112">
        <f>IF(AND(OR('Compliance Database'!$A1112='Data Transfer'!$B$4,'Compliance Database'!$A1112='Data Transfer'!$B$5),OR('Data Transfer'!$B$6="",ISNUMBER(SEARCH('Data Transfer'!$B$6,'Compliance Database'!$D1112&amp;" "&amp;'Compliance Database'!$K1112&amp;" "&amp;'Compliance Database'!$L1112&amp;" "&amp;'Compliance Database'!$M1112&amp;" "&amp;'Compliance Database'!$N1112&amp;" "&amp;'Compliance Database'!$O1112)))),1,0)</f>
        <v/>
      </c>
      <c r="B1112">
        <f>IF($A1112=1,SUM($A$2:$A1112),"")</f>
        <v/>
      </c>
      <c r="C1112">
        <f>IF($A1112=1,SUM($A$2:$A1112),0)</f>
        <v/>
      </c>
    </row>
    <row r="1113">
      <c r="A1113">
        <f>IF(AND(OR('Compliance Database'!$A1113='Data Transfer'!$B$4,'Compliance Database'!$A1113='Data Transfer'!$B$5),OR('Data Transfer'!$B$6="",ISNUMBER(SEARCH('Data Transfer'!$B$6,'Compliance Database'!$D1113&amp;" "&amp;'Compliance Database'!$K1113&amp;" "&amp;'Compliance Database'!$L1113&amp;" "&amp;'Compliance Database'!$M1113&amp;" "&amp;'Compliance Database'!$N1113&amp;" "&amp;'Compliance Database'!$O1113)))),1,0)</f>
        <v/>
      </c>
      <c r="B1113">
        <f>IF($A1113=1,SUM($A$2:$A1113),"")</f>
        <v/>
      </c>
      <c r="C1113">
        <f>IF($A1113=1,SUM($A$2:$A1113),0)</f>
        <v/>
      </c>
    </row>
    <row r="1114">
      <c r="A1114">
        <f>IF(AND(OR('Compliance Database'!$A1114='Data Transfer'!$B$4,'Compliance Database'!$A1114='Data Transfer'!$B$5),OR('Data Transfer'!$B$6="",ISNUMBER(SEARCH('Data Transfer'!$B$6,'Compliance Database'!$D1114&amp;" "&amp;'Compliance Database'!$K1114&amp;" "&amp;'Compliance Database'!$L1114&amp;" "&amp;'Compliance Database'!$M1114&amp;" "&amp;'Compliance Database'!$N1114&amp;" "&amp;'Compliance Database'!$O1114)))),1,0)</f>
        <v/>
      </c>
      <c r="B1114">
        <f>IF($A1114=1,SUM($A$2:$A1114),"")</f>
        <v/>
      </c>
      <c r="C1114">
        <f>IF($A1114=1,SUM($A$2:$A1114),0)</f>
        <v/>
      </c>
    </row>
    <row r="1115">
      <c r="A1115">
        <f>IF(AND(OR('Compliance Database'!$A1115='Data Transfer'!$B$4,'Compliance Database'!$A1115='Data Transfer'!$B$5),OR('Data Transfer'!$B$6="",ISNUMBER(SEARCH('Data Transfer'!$B$6,'Compliance Database'!$D1115&amp;" "&amp;'Compliance Database'!$K1115&amp;" "&amp;'Compliance Database'!$L1115&amp;" "&amp;'Compliance Database'!$M1115&amp;" "&amp;'Compliance Database'!$N1115&amp;" "&amp;'Compliance Database'!$O1115)))),1,0)</f>
        <v/>
      </c>
      <c r="B1115">
        <f>IF($A1115=1,SUM($A$2:$A1115),"")</f>
        <v/>
      </c>
      <c r="C1115">
        <f>IF($A1115=1,SUM($A$2:$A1115),0)</f>
        <v/>
      </c>
    </row>
    <row r="1116">
      <c r="A1116">
        <f>IF(AND(OR('Compliance Database'!$A1116='Data Transfer'!$B$4,'Compliance Database'!$A1116='Data Transfer'!$B$5),OR('Data Transfer'!$B$6="",ISNUMBER(SEARCH('Data Transfer'!$B$6,'Compliance Database'!$D1116&amp;" "&amp;'Compliance Database'!$K1116&amp;" "&amp;'Compliance Database'!$L1116&amp;" "&amp;'Compliance Database'!$M1116&amp;" "&amp;'Compliance Database'!$N1116&amp;" "&amp;'Compliance Database'!$O1116)))),1,0)</f>
        <v/>
      </c>
      <c r="B1116">
        <f>IF($A1116=1,SUM($A$2:$A1116),"")</f>
        <v/>
      </c>
      <c r="C1116">
        <f>IF($A1116=1,SUM($A$2:$A1116),0)</f>
        <v/>
      </c>
    </row>
    <row r="1117">
      <c r="A1117">
        <f>IF(AND(OR('Compliance Database'!$A1117='Data Transfer'!$B$4,'Compliance Database'!$A1117='Data Transfer'!$B$5),OR('Data Transfer'!$B$6="",ISNUMBER(SEARCH('Data Transfer'!$B$6,'Compliance Database'!$D1117&amp;" "&amp;'Compliance Database'!$K1117&amp;" "&amp;'Compliance Database'!$L1117&amp;" "&amp;'Compliance Database'!$M1117&amp;" "&amp;'Compliance Database'!$N1117&amp;" "&amp;'Compliance Database'!$O1117)))),1,0)</f>
        <v/>
      </c>
      <c r="B1117">
        <f>IF($A1117=1,SUM($A$2:$A1117),"")</f>
        <v/>
      </c>
      <c r="C1117">
        <f>IF($A1117=1,SUM($A$2:$A1117),0)</f>
        <v/>
      </c>
    </row>
    <row r="1118">
      <c r="A1118">
        <f>IF(AND(OR('Compliance Database'!$A1118='Data Transfer'!$B$4,'Compliance Database'!$A1118='Data Transfer'!$B$5),OR('Data Transfer'!$B$6="",ISNUMBER(SEARCH('Data Transfer'!$B$6,'Compliance Database'!$D1118&amp;" "&amp;'Compliance Database'!$K1118&amp;" "&amp;'Compliance Database'!$L1118&amp;" "&amp;'Compliance Database'!$M1118&amp;" "&amp;'Compliance Database'!$N1118&amp;" "&amp;'Compliance Database'!$O1118)))),1,0)</f>
        <v/>
      </c>
      <c r="B1118">
        <f>IF($A1118=1,SUM($A$2:$A1118),"")</f>
        <v/>
      </c>
      <c r="C1118">
        <f>IF($A1118=1,SUM($A$2:$A1118),0)</f>
        <v/>
      </c>
    </row>
    <row r="1119">
      <c r="A1119">
        <f>IF(AND(OR('Compliance Database'!$A1119='Data Transfer'!$B$4,'Compliance Database'!$A1119='Data Transfer'!$B$5),OR('Data Transfer'!$B$6="",ISNUMBER(SEARCH('Data Transfer'!$B$6,'Compliance Database'!$D1119&amp;" "&amp;'Compliance Database'!$K1119&amp;" "&amp;'Compliance Database'!$L1119&amp;" "&amp;'Compliance Database'!$M1119&amp;" "&amp;'Compliance Database'!$N1119&amp;" "&amp;'Compliance Database'!$O1119)))),1,0)</f>
        <v/>
      </c>
      <c r="B1119">
        <f>IF($A1119=1,SUM($A$2:$A1119),"")</f>
        <v/>
      </c>
      <c r="C1119">
        <f>IF($A1119=1,SUM($A$2:$A1119),0)</f>
        <v/>
      </c>
    </row>
    <row r="1120">
      <c r="A1120">
        <f>IF(AND(OR('Compliance Database'!$A1120='Data Transfer'!$B$4,'Compliance Database'!$A1120='Data Transfer'!$B$5),OR('Data Transfer'!$B$6="",ISNUMBER(SEARCH('Data Transfer'!$B$6,'Compliance Database'!$D1120&amp;" "&amp;'Compliance Database'!$K1120&amp;" "&amp;'Compliance Database'!$L1120&amp;" "&amp;'Compliance Database'!$M1120&amp;" "&amp;'Compliance Database'!$N1120&amp;" "&amp;'Compliance Database'!$O1120)))),1,0)</f>
        <v/>
      </c>
      <c r="B1120">
        <f>IF($A1120=1,SUM($A$2:$A1120),"")</f>
        <v/>
      </c>
      <c r="C1120">
        <f>IF($A1120=1,SUM($A$2:$A1120),0)</f>
        <v/>
      </c>
    </row>
    <row r="1121">
      <c r="A1121">
        <f>IF(AND(OR('Compliance Database'!$A1121='Data Transfer'!$B$4,'Compliance Database'!$A1121='Data Transfer'!$B$5),OR('Data Transfer'!$B$6="",ISNUMBER(SEARCH('Data Transfer'!$B$6,'Compliance Database'!$D1121&amp;" "&amp;'Compliance Database'!$K1121&amp;" "&amp;'Compliance Database'!$L1121&amp;" "&amp;'Compliance Database'!$M1121&amp;" "&amp;'Compliance Database'!$N1121&amp;" "&amp;'Compliance Database'!$O1121)))),1,0)</f>
        <v/>
      </c>
      <c r="B1121">
        <f>IF($A1121=1,SUM($A$2:$A1121),"")</f>
        <v/>
      </c>
      <c r="C1121">
        <f>IF($A1121=1,SUM($A$2:$A1121),0)</f>
        <v/>
      </c>
    </row>
    <row r="1122">
      <c r="A1122">
        <f>IF(AND(OR('Compliance Database'!$A1122='Data Transfer'!$B$4,'Compliance Database'!$A1122='Data Transfer'!$B$5),OR('Data Transfer'!$B$6="",ISNUMBER(SEARCH('Data Transfer'!$B$6,'Compliance Database'!$D1122&amp;" "&amp;'Compliance Database'!$K1122&amp;" "&amp;'Compliance Database'!$L1122&amp;" "&amp;'Compliance Database'!$M1122&amp;" "&amp;'Compliance Database'!$N1122&amp;" "&amp;'Compliance Database'!$O1122)))),1,0)</f>
        <v/>
      </c>
      <c r="B1122">
        <f>IF($A1122=1,SUM($A$2:$A1122),"")</f>
        <v/>
      </c>
      <c r="C1122">
        <f>IF($A1122=1,SUM($A$2:$A1122),0)</f>
        <v/>
      </c>
    </row>
    <row r="1123">
      <c r="A1123">
        <f>IF(AND(OR('Compliance Database'!$A1123='Data Transfer'!$B$4,'Compliance Database'!$A1123='Data Transfer'!$B$5),OR('Data Transfer'!$B$6="",ISNUMBER(SEARCH('Data Transfer'!$B$6,'Compliance Database'!$D1123&amp;" "&amp;'Compliance Database'!$K1123&amp;" "&amp;'Compliance Database'!$L1123&amp;" "&amp;'Compliance Database'!$M1123&amp;" "&amp;'Compliance Database'!$N1123&amp;" "&amp;'Compliance Database'!$O1123)))),1,0)</f>
        <v/>
      </c>
      <c r="B1123">
        <f>IF($A1123=1,SUM($A$2:$A1123),"")</f>
        <v/>
      </c>
      <c r="C1123">
        <f>IF($A1123=1,SUM($A$2:$A1123),0)</f>
        <v/>
      </c>
    </row>
    <row r="1124">
      <c r="A1124">
        <f>IF(AND(OR('Compliance Database'!$A1124='Data Transfer'!$B$4,'Compliance Database'!$A1124='Data Transfer'!$B$5),OR('Data Transfer'!$B$6="",ISNUMBER(SEARCH('Data Transfer'!$B$6,'Compliance Database'!$D1124&amp;" "&amp;'Compliance Database'!$K1124&amp;" "&amp;'Compliance Database'!$L1124&amp;" "&amp;'Compliance Database'!$M1124&amp;" "&amp;'Compliance Database'!$N1124&amp;" "&amp;'Compliance Database'!$O1124)))),1,0)</f>
        <v/>
      </c>
      <c r="B1124">
        <f>IF($A1124=1,SUM($A$2:$A1124),"")</f>
        <v/>
      </c>
      <c r="C1124">
        <f>IF($A1124=1,SUM($A$2:$A1124),0)</f>
        <v/>
      </c>
    </row>
    <row r="1125">
      <c r="A1125">
        <f>IF(AND(OR('Compliance Database'!$A1125='Data Transfer'!$B$4,'Compliance Database'!$A1125='Data Transfer'!$B$5),OR('Data Transfer'!$B$6="",ISNUMBER(SEARCH('Data Transfer'!$B$6,'Compliance Database'!$D1125&amp;" "&amp;'Compliance Database'!$K1125&amp;" "&amp;'Compliance Database'!$L1125&amp;" "&amp;'Compliance Database'!$M1125&amp;" "&amp;'Compliance Database'!$N1125&amp;" "&amp;'Compliance Database'!$O1125)))),1,0)</f>
        <v/>
      </c>
      <c r="B1125">
        <f>IF($A1125=1,SUM($A$2:$A1125),"")</f>
        <v/>
      </c>
      <c r="C1125">
        <f>IF($A1125=1,SUM($A$2:$A1125),0)</f>
        <v/>
      </c>
    </row>
    <row r="1126">
      <c r="A1126">
        <f>IF(AND(OR('Compliance Database'!$A1126='Data Transfer'!$B$4,'Compliance Database'!$A1126='Data Transfer'!$B$5),OR('Data Transfer'!$B$6="",ISNUMBER(SEARCH('Data Transfer'!$B$6,'Compliance Database'!$D1126&amp;" "&amp;'Compliance Database'!$K1126&amp;" "&amp;'Compliance Database'!$L1126&amp;" "&amp;'Compliance Database'!$M1126&amp;" "&amp;'Compliance Database'!$N1126&amp;" "&amp;'Compliance Database'!$O1126)))),1,0)</f>
        <v/>
      </c>
      <c r="B1126">
        <f>IF($A1126=1,SUM($A$2:$A1126),"")</f>
        <v/>
      </c>
      <c r="C1126">
        <f>IF($A1126=1,SUM($A$2:$A1126),0)</f>
        <v/>
      </c>
    </row>
    <row r="1127">
      <c r="A1127">
        <f>IF(AND(OR('Compliance Database'!$A1127='Data Transfer'!$B$4,'Compliance Database'!$A1127='Data Transfer'!$B$5),OR('Data Transfer'!$B$6="",ISNUMBER(SEARCH('Data Transfer'!$B$6,'Compliance Database'!$D1127&amp;" "&amp;'Compliance Database'!$K1127&amp;" "&amp;'Compliance Database'!$L1127&amp;" "&amp;'Compliance Database'!$M1127&amp;" "&amp;'Compliance Database'!$N1127&amp;" "&amp;'Compliance Database'!$O1127)))),1,0)</f>
        <v/>
      </c>
      <c r="B1127">
        <f>IF($A1127=1,SUM($A$2:$A1127),"")</f>
        <v/>
      </c>
      <c r="C1127">
        <f>IF($A1127=1,SUM($A$2:$A1127),0)</f>
        <v/>
      </c>
    </row>
    <row r="1128">
      <c r="A1128">
        <f>IF(AND(OR('Compliance Database'!$A1128='Data Transfer'!$B$4,'Compliance Database'!$A1128='Data Transfer'!$B$5),OR('Data Transfer'!$B$6="",ISNUMBER(SEARCH('Data Transfer'!$B$6,'Compliance Database'!$D1128&amp;" "&amp;'Compliance Database'!$K1128&amp;" "&amp;'Compliance Database'!$L1128&amp;" "&amp;'Compliance Database'!$M1128&amp;" "&amp;'Compliance Database'!$N1128&amp;" "&amp;'Compliance Database'!$O1128)))),1,0)</f>
        <v/>
      </c>
      <c r="B1128">
        <f>IF($A1128=1,SUM($A$2:$A1128),"")</f>
        <v/>
      </c>
      <c r="C1128">
        <f>IF($A1128=1,SUM($A$2:$A1128),0)</f>
        <v/>
      </c>
    </row>
    <row r="1129">
      <c r="A1129">
        <f>IF(AND(OR('Compliance Database'!$A1129='Data Transfer'!$B$4,'Compliance Database'!$A1129='Data Transfer'!$B$5),OR('Data Transfer'!$B$6="",ISNUMBER(SEARCH('Data Transfer'!$B$6,'Compliance Database'!$D1129&amp;" "&amp;'Compliance Database'!$K1129&amp;" "&amp;'Compliance Database'!$L1129&amp;" "&amp;'Compliance Database'!$M1129&amp;" "&amp;'Compliance Database'!$N1129&amp;" "&amp;'Compliance Database'!$O1129)))),1,0)</f>
        <v/>
      </c>
      <c r="B1129">
        <f>IF($A1129=1,SUM($A$2:$A1129),"")</f>
        <v/>
      </c>
      <c r="C1129">
        <f>IF($A1129=1,SUM($A$2:$A1129),0)</f>
        <v/>
      </c>
    </row>
    <row r="1130">
      <c r="A1130">
        <f>IF(AND(OR('Compliance Database'!$A1130='Data Transfer'!$B$4,'Compliance Database'!$A1130='Data Transfer'!$B$5),OR('Data Transfer'!$B$6="",ISNUMBER(SEARCH('Data Transfer'!$B$6,'Compliance Database'!$D1130&amp;" "&amp;'Compliance Database'!$K1130&amp;" "&amp;'Compliance Database'!$L1130&amp;" "&amp;'Compliance Database'!$M1130&amp;" "&amp;'Compliance Database'!$N1130&amp;" "&amp;'Compliance Database'!$O1130)))),1,0)</f>
        <v/>
      </c>
      <c r="B1130">
        <f>IF($A1130=1,SUM($A$2:$A1130),"")</f>
        <v/>
      </c>
      <c r="C1130">
        <f>IF($A1130=1,SUM($A$2:$A1130),0)</f>
        <v/>
      </c>
    </row>
    <row r="1131">
      <c r="A1131">
        <f>IF(AND(OR('Compliance Database'!$A1131='Data Transfer'!$B$4,'Compliance Database'!$A1131='Data Transfer'!$B$5),OR('Data Transfer'!$B$6="",ISNUMBER(SEARCH('Data Transfer'!$B$6,'Compliance Database'!$D1131&amp;" "&amp;'Compliance Database'!$K1131&amp;" "&amp;'Compliance Database'!$L1131&amp;" "&amp;'Compliance Database'!$M1131&amp;" "&amp;'Compliance Database'!$N1131&amp;" "&amp;'Compliance Database'!$O1131)))),1,0)</f>
        <v/>
      </c>
      <c r="B1131">
        <f>IF($A1131=1,SUM($A$2:$A1131),"")</f>
        <v/>
      </c>
      <c r="C1131">
        <f>IF($A1131=1,SUM($A$2:$A1131),0)</f>
        <v/>
      </c>
    </row>
    <row r="1132">
      <c r="A1132">
        <f>IF(AND(OR('Compliance Database'!$A1132='Data Transfer'!$B$4,'Compliance Database'!$A1132='Data Transfer'!$B$5),OR('Data Transfer'!$B$6="",ISNUMBER(SEARCH('Data Transfer'!$B$6,'Compliance Database'!$D1132&amp;" "&amp;'Compliance Database'!$K1132&amp;" "&amp;'Compliance Database'!$L1132&amp;" "&amp;'Compliance Database'!$M1132&amp;" "&amp;'Compliance Database'!$N1132&amp;" "&amp;'Compliance Database'!$O1132)))),1,0)</f>
        <v/>
      </c>
      <c r="B1132">
        <f>IF($A1132=1,SUM($A$2:$A1132),"")</f>
        <v/>
      </c>
      <c r="C1132">
        <f>IF($A1132=1,SUM($A$2:$A1132),0)</f>
        <v/>
      </c>
    </row>
    <row r="1133">
      <c r="A1133">
        <f>IF(AND(OR('Compliance Database'!$A1133='Data Transfer'!$B$4,'Compliance Database'!$A1133='Data Transfer'!$B$5),OR('Data Transfer'!$B$6="",ISNUMBER(SEARCH('Data Transfer'!$B$6,'Compliance Database'!$D1133&amp;" "&amp;'Compliance Database'!$K1133&amp;" "&amp;'Compliance Database'!$L1133&amp;" "&amp;'Compliance Database'!$M1133&amp;" "&amp;'Compliance Database'!$N1133&amp;" "&amp;'Compliance Database'!$O1133)))),1,0)</f>
        <v/>
      </c>
      <c r="B1133">
        <f>IF($A1133=1,SUM($A$2:$A1133),"")</f>
        <v/>
      </c>
      <c r="C1133">
        <f>IF($A1133=1,SUM($A$2:$A1133),0)</f>
        <v/>
      </c>
    </row>
    <row r="1134">
      <c r="A1134">
        <f>IF(AND(OR('Compliance Database'!$A1134='Data Transfer'!$B$4,'Compliance Database'!$A1134='Data Transfer'!$B$5),OR('Data Transfer'!$B$6="",ISNUMBER(SEARCH('Data Transfer'!$B$6,'Compliance Database'!$D1134&amp;" "&amp;'Compliance Database'!$K1134&amp;" "&amp;'Compliance Database'!$L1134&amp;" "&amp;'Compliance Database'!$M1134&amp;" "&amp;'Compliance Database'!$N1134&amp;" "&amp;'Compliance Database'!$O1134)))),1,0)</f>
        <v/>
      </c>
      <c r="B1134">
        <f>IF($A1134=1,SUM($A$2:$A1134),"")</f>
        <v/>
      </c>
      <c r="C1134">
        <f>IF($A1134=1,SUM($A$2:$A1134),0)</f>
        <v/>
      </c>
    </row>
    <row r="1135">
      <c r="A1135">
        <f>IF(AND(OR('Compliance Database'!$A1135='Data Transfer'!$B$4,'Compliance Database'!$A1135='Data Transfer'!$B$5),OR('Data Transfer'!$B$6="",ISNUMBER(SEARCH('Data Transfer'!$B$6,'Compliance Database'!$D1135&amp;" "&amp;'Compliance Database'!$K1135&amp;" "&amp;'Compliance Database'!$L1135&amp;" "&amp;'Compliance Database'!$M1135&amp;" "&amp;'Compliance Database'!$N1135&amp;" "&amp;'Compliance Database'!$O1135)))),1,0)</f>
        <v/>
      </c>
      <c r="B1135">
        <f>IF($A1135=1,SUM($A$2:$A1135),"")</f>
        <v/>
      </c>
      <c r="C1135">
        <f>IF($A1135=1,SUM($A$2:$A1135),0)</f>
        <v/>
      </c>
    </row>
    <row r="1136">
      <c r="A1136">
        <f>IF(AND(OR('Compliance Database'!$A1136='Data Transfer'!$B$4,'Compliance Database'!$A1136='Data Transfer'!$B$5),OR('Data Transfer'!$B$6="",ISNUMBER(SEARCH('Data Transfer'!$B$6,'Compliance Database'!$D1136&amp;" "&amp;'Compliance Database'!$K1136&amp;" "&amp;'Compliance Database'!$L1136&amp;" "&amp;'Compliance Database'!$M1136&amp;" "&amp;'Compliance Database'!$N1136&amp;" "&amp;'Compliance Database'!$O1136)))),1,0)</f>
        <v/>
      </c>
      <c r="B1136">
        <f>IF($A1136=1,SUM($A$2:$A1136),"")</f>
        <v/>
      </c>
      <c r="C1136">
        <f>IF($A1136=1,SUM($A$2:$A1136),0)</f>
        <v/>
      </c>
    </row>
    <row r="1137">
      <c r="A1137">
        <f>IF(AND(OR('Compliance Database'!$A1137='Data Transfer'!$B$4,'Compliance Database'!$A1137='Data Transfer'!$B$5),OR('Data Transfer'!$B$6="",ISNUMBER(SEARCH('Data Transfer'!$B$6,'Compliance Database'!$D1137&amp;" "&amp;'Compliance Database'!$K1137&amp;" "&amp;'Compliance Database'!$L1137&amp;" "&amp;'Compliance Database'!$M1137&amp;" "&amp;'Compliance Database'!$N1137&amp;" "&amp;'Compliance Database'!$O1137)))),1,0)</f>
        <v/>
      </c>
      <c r="B1137">
        <f>IF($A1137=1,SUM($A$2:$A1137),"")</f>
        <v/>
      </c>
      <c r="C1137">
        <f>IF($A1137=1,SUM($A$2:$A1137),0)</f>
        <v/>
      </c>
    </row>
    <row r="1138">
      <c r="A1138">
        <f>IF(AND(OR('Compliance Database'!$A1138='Data Transfer'!$B$4,'Compliance Database'!$A1138='Data Transfer'!$B$5),OR('Data Transfer'!$B$6="",ISNUMBER(SEARCH('Data Transfer'!$B$6,'Compliance Database'!$D1138&amp;" "&amp;'Compliance Database'!$K1138&amp;" "&amp;'Compliance Database'!$L1138&amp;" "&amp;'Compliance Database'!$M1138&amp;" "&amp;'Compliance Database'!$N1138&amp;" "&amp;'Compliance Database'!$O1138)))),1,0)</f>
        <v/>
      </c>
      <c r="B1138">
        <f>IF($A1138=1,SUM($A$2:$A1138),"")</f>
        <v/>
      </c>
      <c r="C1138">
        <f>IF($A1138=1,SUM($A$2:$A1138),0)</f>
        <v/>
      </c>
    </row>
    <row r="1139">
      <c r="A1139">
        <f>IF(AND(OR('Compliance Database'!$A1139='Data Transfer'!$B$4,'Compliance Database'!$A1139='Data Transfer'!$B$5),OR('Data Transfer'!$B$6="",ISNUMBER(SEARCH('Data Transfer'!$B$6,'Compliance Database'!$D1139&amp;" "&amp;'Compliance Database'!$K1139&amp;" "&amp;'Compliance Database'!$L1139&amp;" "&amp;'Compliance Database'!$M1139&amp;" "&amp;'Compliance Database'!$N1139&amp;" "&amp;'Compliance Database'!$O1139)))),1,0)</f>
        <v/>
      </c>
      <c r="B1139">
        <f>IF($A1139=1,SUM($A$2:$A1139),"")</f>
        <v/>
      </c>
      <c r="C1139">
        <f>IF($A1139=1,SUM($A$2:$A1139),0)</f>
        <v/>
      </c>
    </row>
    <row r="1140">
      <c r="A1140">
        <f>IF(AND(OR('Compliance Database'!$A1140='Data Transfer'!$B$4,'Compliance Database'!$A1140='Data Transfer'!$B$5),OR('Data Transfer'!$B$6="",ISNUMBER(SEARCH('Data Transfer'!$B$6,'Compliance Database'!$D1140&amp;" "&amp;'Compliance Database'!$K1140&amp;" "&amp;'Compliance Database'!$L1140&amp;" "&amp;'Compliance Database'!$M1140&amp;" "&amp;'Compliance Database'!$N1140&amp;" "&amp;'Compliance Database'!$O1140)))),1,0)</f>
        <v/>
      </c>
      <c r="B1140">
        <f>IF($A1140=1,SUM($A$2:$A1140),"")</f>
        <v/>
      </c>
      <c r="C1140">
        <f>IF($A1140=1,SUM($A$2:$A1140),0)</f>
        <v/>
      </c>
    </row>
    <row r="1141">
      <c r="A1141">
        <f>IF(AND(OR('Compliance Database'!$A1141='Data Transfer'!$B$4,'Compliance Database'!$A1141='Data Transfer'!$B$5),OR('Data Transfer'!$B$6="",ISNUMBER(SEARCH('Data Transfer'!$B$6,'Compliance Database'!$D1141&amp;" "&amp;'Compliance Database'!$K1141&amp;" "&amp;'Compliance Database'!$L1141&amp;" "&amp;'Compliance Database'!$M1141&amp;" "&amp;'Compliance Database'!$N1141&amp;" "&amp;'Compliance Database'!$O1141)))),1,0)</f>
        <v/>
      </c>
      <c r="B1141">
        <f>IF($A1141=1,SUM($A$2:$A1141),"")</f>
        <v/>
      </c>
      <c r="C1141">
        <f>IF($A1141=1,SUM($A$2:$A1141),0)</f>
        <v/>
      </c>
    </row>
    <row r="1142">
      <c r="A1142">
        <f>IF(AND(OR('Compliance Database'!$A1142='Data Transfer'!$B$4,'Compliance Database'!$A1142='Data Transfer'!$B$5),OR('Data Transfer'!$B$6="",ISNUMBER(SEARCH('Data Transfer'!$B$6,'Compliance Database'!$D1142&amp;" "&amp;'Compliance Database'!$K1142&amp;" "&amp;'Compliance Database'!$L1142&amp;" "&amp;'Compliance Database'!$M1142&amp;" "&amp;'Compliance Database'!$N1142&amp;" "&amp;'Compliance Database'!$O1142)))),1,0)</f>
        <v/>
      </c>
      <c r="B1142">
        <f>IF($A1142=1,SUM($A$2:$A1142),"")</f>
        <v/>
      </c>
      <c r="C1142">
        <f>IF($A1142=1,SUM($A$2:$A1142),0)</f>
        <v/>
      </c>
    </row>
    <row r="1143">
      <c r="A1143">
        <f>IF(AND(OR('Compliance Database'!$A1143='Data Transfer'!$B$4,'Compliance Database'!$A1143='Data Transfer'!$B$5),OR('Data Transfer'!$B$6="",ISNUMBER(SEARCH('Data Transfer'!$B$6,'Compliance Database'!$D1143&amp;" "&amp;'Compliance Database'!$K1143&amp;" "&amp;'Compliance Database'!$L1143&amp;" "&amp;'Compliance Database'!$M1143&amp;" "&amp;'Compliance Database'!$N1143&amp;" "&amp;'Compliance Database'!$O1143)))),1,0)</f>
        <v/>
      </c>
      <c r="B1143">
        <f>IF($A1143=1,SUM($A$2:$A1143),"")</f>
        <v/>
      </c>
      <c r="C1143">
        <f>IF($A1143=1,SUM($A$2:$A1143),0)</f>
        <v/>
      </c>
    </row>
    <row r="1144">
      <c r="A1144">
        <f>IF(AND(OR('Compliance Database'!$A1144='Data Transfer'!$B$4,'Compliance Database'!$A1144='Data Transfer'!$B$5),OR('Data Transfer'!$B$6="",ISNUMBER(SEARCH('Data Transfer'!$B$6,'Compliance Database'!$D1144&amp;" "&amp;'Compliance Database'!$K1144&amp;" "&amp;'Compliance Database'!$L1144&amp;" "&amp;'Compliance Database'!$M1144&amp;" "&amp;'Compliance Database'!$N1144&amp;" "&amp;'Compliance Database'!$O1144)))),1,0)</f>
        <v/>
      </c>
      <c r="B1144">
        <f>IF($A1144=1,SUM($A$2:$A1144),"")</f>
        <v/>
      </c>
      <c r="C1144">
        <f>IF($A1144=1,SUM($A$2:$A1144),0)</f>
        <v/>
      </c>
    </row>
    <row r="1145">
      <c r="A1145">
        <f>IF(AND(OR('Compliance Database'!$A1145='Data Transfer'!$B$4,'Compliance Database'!$A1145='Data Transfer'!$B$5),OR('Data Transfer'!$B$6="",ISNUMBER(SEARCH('Data Transfer'!$B$6,'Compliance Database'!$D1145&amp;" "&amp;'Compliance Database'!$K1145&amp;" "&amp;'Compliance Database'!$L1145&amp;" "&amp;'Compliance Database'!$M1145&amp;" "&amp;'Compliance Database'!$N1145&amp;" "&amp;'Compliance Database'!$O1145)))),1,0)</f>
        <v/>
      </c>
      <c r="B1145">
        <f>IF($A1145=1,SUM($A$2:$A1145),"")</f>
        <v/>
      </c>
      <c r="C1145">
        <f>IF($A1145=1,SUM($A$2:$A1145),0)</f>
        <v/>
      </c>
    </row>
    <row r="1146">
      <c r="A1146">
        <f>IF(AND(OR('Compliance Database'!$A1146='Data Transfer'!$B$4,'Compliance Database'!$A1146='Data Transfer'!$B$5),OR('Data Transfer'!$B$6="",ISNUMBER(SEARCH('Data Transfer'!$B$6,'Compliance Database'!$D1146&amp;" "&amp;'Compliance Database'!$K1146&amp;" "&amp;'Compliance Database'!$L1146&amp;" "&amp;'Compliance Database'!$M1146&amp;" "&amp;'Compliance Database'!$N1146&amp;" "&amp;'Compliance Database'!$O1146)))),1,0)</f>
        <v/>
      </c>
      <c r="B1146">
        <f>IF($A1146=1,SUM($A$2:$A1146),"")</f>
        <v/>
      </c>
      <c r="C1146">
        <f>IF($A1146=1,SUM($A$2:$A1146),0)</f>
        <v/>
      </c>
    </row>
    <row r="1147">
      <c r="A1147">
        <f>IF(AND(OR('Compliance Database'!$A1147='Data Transfer'!$B$4,'Compliance Database'!$A1147='Data Transfer'!$B$5),OR('Data Transfer'!$B$6="",ISNUMBER(SEARCH('Data Transfer'!$B$6,'Compliance Database'!$D1147&amp;" "&amp;'Compliance Database'!$K1147&amp;" "&amp;'Compliance Database'!$L1147&amp;" "&amp;'Compliance Database'!$M1147&amp;" "&amp;'Compliance Database'!$N1147&amp;" "&amp;'Compliance Database'!$O1147)))),1,0)</f>
        <v/>
      </c>
      <c r="B1147">
        <f>IF($A1147=1,SUM($A$2:$A1147),"")</f>
        <v/>
      </c>
      <c r="C1147">
        <f>IF($A1147=1,SUM($A$2:$A1147),0)</f>
        <v/>
      </c>
    </row>
    <row r="1148">
      <c r="A1148">
        <f>IF(AND(OR('Compliance Database'!$A1148='Data Transfer'!$B$4,'Compliance Database'!$A1148='Data Transfer'!$B$5),OR('Data Transfer'!$B$6="",ISNUMBER(SEARCH('Data Transfer'!$B$6,'Compliance Database'!$D1148&amp;" "&amp;'Compliance Database'!$K1148&amp;" "&amp;'Compliance Database'!$L1148&amp;" "&amp;'Compliance Database'!$M1148&amp;" "&amp;'Compliance Database'!$N1148&amp;" "&amp;'Compliance Database'!$O1148)))),1,0)</f>
        <v/>
      </c>
      <c r="B1148">
        <f>IF($A1148=1,SUM($A$2:$A1148),"")</f>
        <v/>
      </c>
      <c r="C1148">
        <f>IF($A1148=1,SUM($A$2:$A1148),0)</f>
        <v/>
      </c>
    </row>
    <row r="1149">
      <c r="A1149">
        <f>IF(AND(OR('Compliance Database'!$A1149='Data Transfer'!$B$4,'Compliance Database'!$A1149='Data Transfer'!$B$5),OR('Data Transfer'!$B$6="",ISNUMBER(SEARCH('Data Transfer'!$B$6,'Compliance Database'!$D1149&amp;" "&amp;'Compliance Database'!$K1149&amp;" "&amp;'Compliance Database'!$L1149&amp;" "&amp;'Compliance Database'!$M1149&amp;" "&amp;'Compliance Database'!$N1149&amp;" "&amp;'Compliance Database'!$O1149)))),1,0)</f>
        <v/>
      </c>
      <c r="B1149">
        <f>IF($A1149=1,SUM($A$2:$A1149),"")</f>
        <v/>
      </c>
      <c r="C1149">
        <f>IF($A1149=1,SUM($A$2:$A1149),0)</f>
        <v/>
      </c>
    </row>
    <row r="1150">
      <c r="A1150">
        <f>IF(AND(OR('Compliance Database'!$A1150='Data Transfer'!$B$4,'Compliance Database'!$A1150='Data Transfer'!$B$5),OR('Data Transfer'!$B$6="",ISNUMBER(SEARCH('Data Transfer'!$B$6,'Compliance Database'!$D1150&amp;" "&amp;'Compliance Database'!$K1150&amp;" "&amp;'Compliance Database'!$L1150&amp;" "&amp;'Compliance Database'!$M1150&amp;" "&amp;'Compliance Database'!$N1150&amp;" "&amp;'Compliance Database'!$O1150)))),1,0)</f>
        <v/>
      </c>
      <c r="B1150">
        <f>IF($A1150=1,SUM($A$2:$A1150),"")</f>
        <v/>
      </c>
      <c r="C1150">
        <f>IF($A1150=1,SUM($A$2:$A1150),0)</f>
        <v/>
      </c>
    </row>
    <row r="1151">
      <c r="A1151">
        <f>IF(AND(OR('Compliance Database'!$A1151='Data Transfer'!$B$4,'Compliance Database'!$A1151='Data Transfer'!$B$5),OR('Data Transfer'!$B$6="",ISNUMBER(SEARCH('Data Transfer'!$B$6,'Compliance Database'!$D1151&amp;" "&amp;'Compliance Database'!$K1151&amp;" "&amp;'Compliance Database'!$L1151&amp;" "&amp;'Compliance Database'!$M1151&amp;" "&amp;'Compliance Database'!$N1151&amp;" "&amp;'Compliance Database'!$O1151)))),1,0)</f>
        <v/>
      </c>
      <c r="B1151">
        <f>IF($A1151=1,SUM($A$2:$A1151),"")</f>
        <v/>
      </c>
      <c r="C1151">
        <f>IF($A1151=1,SUM($A$2:$A1151),0)</f>
        <v/>
      </c>
    </row>
    <row r="1152">
      <c r="A1152">
        <f>IF(AND(OR('Compliance Database'!$A1152='Data Transfer'!$B$4,'Compliance Database'!$A1152='Data Transfer'!$B$5),OR('Data Transfer'!$B$6="",ISNUMBER(SEARCH('Data Transfer'!$B$6,'Compliance Database'!$D1152&amp;" "&amp;'Compliance Database'!$K1152&amp;" "&amp;'Compliance Database'!$L1152&amp;" "&amp;'Compliance Database'!$M1152&amp;" "&amp;'Compliance Database'!$N1152&amp;" "&amp;'Compliance Database'!$O1152)))),1,0)</f>
        <v/>
      </c>
      <c r="B1152">
        <f>IF($A1152=1,SUM($A$2:$A1152),"")</f>
        <v/>
      </c>
      <c r="C1152">
        <f>IF($A1152=1,SUM($A$2:$A1152),0)</f>
        <v/>
      </c>
    </row>
    <row r="1153">
      <c r="A1153">
        <f>IF(AND(OR('Compliance Database'!$A1153='Data Transfer'!$B$4,'Compliance Database'!$A1153='Data Transfer'!$B$5),OR('Data Transfer'!$B$6="",ISNUMBER(SEARCH('Data Transfer'!$B$6,'Compliance Database'!$D1153&amp;" "&amp;'Compliance Database'!$K1153&amp;" "&amp;'Compliance Database'!$L1153&amp;" "&amp;'Compliance Database'!$M1153&amp;" "&amp;'Compliance Database'!$N1153&amp;" "&amp;'Compliance Database'!$O1153)))),1,0)</f>
        <v/>
      </c>
      <c r="B1153">
        <f>IF($A1153=1,SUM($A$2:$A1153),"")</f>
        <v/>
      </c>
      <c r="C1153">
        <f>IF($A1153=1,SUM($A$2:$A1153),0)</f>
        <v/>
      </c>
    </row>
    <row r="1154">
      <c r="A1154">
        <f>IF(AND(OR('Compliance Database'!$A1154='Data Transfer'!$B$4,'Compliance Database'!$A1154='Data Transfer'!$B$5),OR('Data Transfer'!$B$6="",ISNUMBER(SEARCH('Data Transfer'!$B$6,'Compliance Database'!$D1154&amp;" "&amp;'Compliance Database'!$K1154&amp;" "&amp;'Compliance Database'!$L1154&amp;" "&amp;'Compliance Database'!$M1154&amp;" "&amp;'Compliance Database'!$N1154&amp;" "&amp;'Compliance Database'!$O1154)))),1,0)</f>
        <v/>
      </c>
      <c r="B1154">
        <f>IF($A1154=1,SUM($A$2:$A1154),"")</f>
        <v/>
      </c>
      <c r="C1154">
        <f>IF($A1154=1,SUM($A$2:$A1154),0)</f>
        <v/>
      </c>
    </row>
    <row r="1155">
      <c r="A1155">
        <f>IF(AND(OR('Compliance Database'!$A1155='Data Transfer'!$B$4,'Compliance Database'!$A1155='Data Transfer'!$B$5),OR('Data Transfer'!$B$6="",ISNUMBER(SEARCH('Data Transfer'!$B$6,'Compliance Database'!$D1155&amp;" "&amp;'Compliance Database'!$K1155&amp;" "&amp;'Compliance Database'!$L1155&amp;" "&amp;'Compliance Database'!$M1155&amp;" "&amp;'Compliance Database'!$N1155&amp;" "&amp;'Compliance Database'!$O1155)))),1,0)</f>
        <v/>
      </c>
      <c r="B1155">
        <f>IF($A1155=1,SUM($A$2:$A1155),"")</f>
        <v/>
      </c>
      <c r="C1155">
        <f>IF($A1155=1,SUM($A$2:$A1155),0)</f>
        <v/>
      </c>
    </row>
    <row r="1156">
      <c r="A1156">
        <f>IF(AND(OR('Compliance Database'!$A1156='Data Transfer'!$B$4,'Compliance Database'!$A1156='Data Transfer'!$B$5),OR('Data Transfer'!$B$6="",ISNUMBER(SEARCH('Data Transfer'!$B$6,'Compliance Database'!$D1156&amp;" "&amp;'Compliance Database'!$K1156&amp;" "&amp;'Compliance Database'!$L1156&amp;" "&amp;'Compliance Database'!$M1156&amp;" "&amp;'Compliance Database'!$N1156&amp;" "&amp;'Compliance Database'!$O1156)))),1,0)</f>
        <v/>
      </c>
      <c r="B1156">
        <f>IF($A1156=1,SUM($A$2:$A1156),"")</f>
        <v/>
      </c>
      <c r="C1156">
        <f>IF($A1156=1,SUM($A$2:$A1156),0)</f>
        <v/>
      </c>
    </row>
    <row r="1157">
      <c r="A1157">
        <f>IF(AND(OR('Compliance Database'!$A1157='Data Transfer'!$B$4,'Compliance Database'!$A1157='Data Transfer'!$B$5),OR('Data Transfer'!$B$6="",ISNUMBER(SEARCH('Data Transfer'!$B$6,'Compliance Database'!$D1157&amp;" "&amp;'Compliance Database'!$K1157&amp;" "&amp;'Compliance Database'!$L1157&amp;" "&amp;'Compliance Database'!$M1157&amp;" "&amp;'Compliance Database'!$N1157&amp;" "&amp;'Compliance Database'!$O1157)))),1,0)</f>
        <v/>
      </c>
      <c r="B1157">
        <f>IF($A1157=1,SUM($A$2:$A1157),"")</f>
        <v/>
      </c>
      <c r="C1157">
        <f>IF($A1157=1,SUM($A$2:$A1157),0)</f>
        <v/>
      </c>
    </row>
    <row r="1158">
      <c r="A1158">
        <f>IF(AND(OR('Compliance Database'!$A1158='Data Transfer'!$B$4,'Compliance Database'!$A1158='Data Transfer'!$B$5),OR('Data Transfer'!$B$6="",ISNUMBER(SEARCH('Data Transfer'!$B$6,'Compliance Database'!$D1158&amp;" "&amp;'Compliance Database'!$K1158&amp;" "&amp;'Compliance Database'!$L1158&amp;" "&amp;'Compliance Database'!$M1158&amp;" "&amp;'Compliance Database'!$N1158&amp;" "&amp;'Compliance Database'!$O1158)))),1,0)</f>
        <v/>
      </c>
      <c r="B1158">
        <f>IF($A1158=1,SUM($A$2:$A1158),"")</f>
        <v/>
      </c>
      <c r="C1158">
        <f>IF($A1158=1,SUM($A$2:$A1158),0)</f>
        <v/>
      </c>
    </row>
    <row r="1159">
      <c r="A1159">
        <f>IF(AND(OR('Compliance Database'!$A1159='Data Transfer'!$B$4,'Compliance Database'!$A1159='Data Transfer'!$B$5),OR('Data Transfer'!$B$6="",ISNUMBER(SEARCH('Data Transfer'!$B$6,'Compliance Database'!$D1159&amp;" "&amp;'Compliance Database'!$K1159&amp;" "&amp;'Compliance Database'!$L1159&amp;" "&amp;'Compliance Database'!$M1159&amp;" "&amp;'Compliance Database'!$N1159&amp;" "&amp;'Compliance Database'!$O1159)))),1,0)</f>
        <v/>
      </c>
      <c r="B1159">
        <f>IF($A1159=1,SUM($A$2:$A1159),"")</f>
        <v/>
      </c>
      <c r="C1159">
        <f>IF($A1159=1,SUM($A$2:$A1159),0)</f>
        <v/>
      </c>
    </row>
    <row r="1160">
      <c r="A1160">
        <f>IF(AND(OR('Compliance Database'!$A1160='Data Transfer'!$B$4,'Compliance Database'!$A1160='Data Transfer'!$B$5),OR('Data Transfer'!$B$6="",ISNUMBER(SEARCH('Data Transfer'!$B$6,'Compliance Database'!$D1160&amp;" "&amp;'Compliance Database'!$K1160&amp;" "&amp;'Compliance Database'!$L1160&amp;" "&amp;'Compliance Database'!$M1160&amp;" "&amp;'Compliance Database'!$N1160&amp;" "&amp;'Compliance Database'!$O1160)))),1,0)</f>
        <v/>
      </c>
      <c r="B1160">
        <f>IF($A1160=1,SUM($A$2:$A1160),"")</f>
        <v/>
      </c>
      <c r="C1160">
        <f>IF($A1160=1,SUM($A$2:$A1160),0)</f>
        <v/>
      </c>
    </row>
    <row r="1161">
      <c r="A1161">
        <f>IF(AND(OR('Compliance Database'!$A1161='Data Transfer'!$B$4,'Compliance Database'!$A1161='Data Transfer'!$B$5),OR('Data Transfer'!$B$6="",ISNUMBER(SEARCH('Data Transfer'!$B$6,'Compliance Database'!$D1161&amp;" "&amp;'Compliance Database'!$K1161&amp;" "&amp;'Compliance Database'!$L1161&amp;" "&amp;'Compliance Database'!$M1161&amp;" "&amp;'Compliance Database'!$N1161&amp;" "&amp;'Compliance Database'!$O1161)))),1,0)</f>
        <v/>
      </c>
      <c r="B1161">
        <f>IF($A1161=1,SUM($A$2:$A1161),"")</f>
        <v/>
      </c>
      <c r="C1161">
        <f>IF($A1161=1,SUM($A$2:$A1161),0)</f>
        <v/>
      </c>
    </row>
    <row r="1162">
      <c r="A1162">
        <f>IF(AND(OR('Compliance Database'!$A1162='Data Transfer'!$B$4,'Compliance Database'!$A1162='Data Transfer'!$B$5),OR('Data Transfer'!$B$6="",ISNUMBER(SEARCH('Data Transfer'!$B$6,'Compliance Database'!$D1162&amp;" "&amp;'Compliance Database'!$K1162&amp;" "&amp;'Compliance Database'!$L1162&amp;" "&amp;'Compliance Database'!$M1162&amp;" "&amp;'Compliance Database'!$N1162&amp;" "&amp;'Compliance Database'!$O1162)))),1,0)</f>
        <v/>
      </c>
      <c r="B1162">
        <f>IF($A1162=1,SUM($A$2:$A1162),"")</f>
        <v/>
      </c>
      <c r="C1162">
        <f>IF($A1162=1,SUM($A$2:$A1162),0)</f>
        <v/>
      </c>
    </row>
    <row r="1163">
      <c r="A1163">
        <f>IF(AND(OR('Compliance Database'!$A1163='Data Transfer'!$B$4,'Compliance Database'!$A1163='Data Transfer'!$B$5),OR('Data Transfer'!$B$6="",ISNUMBER(SEARCH('Data Transfer'!$B$6,'Compliance Database'!$D1163&amp;" "&amp;'Compliance Database'!$K1163&amp;" "&amp;'Compliance Database'!$L1163&amp;" "&amp;'Compliance Database'!$M1163&amp;" "&amp;'Compliance Database'!$N1163&amp;" "&amp;'Compliance Database'!$O1163)))),1,0)</f>
        <v/>
      </c>
      <c r="B1163">
        <f>IF($A1163=1,SUM($A$2:$A1163),"")</f>
        <v/>
      </c>
      <c r="C1163">
        <f>IF($A1163=1,SUM($A$2:$A1163),0)</f>
        <v/>
      </c>
    </row>
    <row r="1164">
      <c r="A1164">
        <f>IF(AND(OR('Compliance Database'!$A1164='Data Transfer'!$B$4,'Compliance Database'!$A1164='Data Transfer'!$B$5),OR('Data Transfer'!$B$6="",ISNUMBER(SEARCH('Data Transfer'!$B$6,'Compliance Database'!$D1164&amp;" "&amp;'Compliance Database'!$K1164&amp;" "&amp;'Compliance Database'!$L1164&amp;" "&amp;'Compliance Database'!$M1164&amp;" "&amp;'Compliance Database'!$N1164&amp;" "&amp;'Compliance Database'!$O1164)))),1,0)</f>
        <v/>
      </c>
      <c r="B1164">
        <f>IF($A1164=1,SUM($A$2:$A1164),"")</f>
        <v/>
      </c>
      <c r="C1164">
        <f>IF($A1164=1,SUM($A$2:$A1164),0)</f>
        <v/>
      </c>
    </row>
    <row r="1165">
      <c r="A1165">
        <f>IF(AND(OR('Compliance Database'!$A1165='Data Transfer'!$B$4,'Compliance Database'!$A1165='Data Transfer'!$B$5),OR('Data Transfer'!$B$6="",ISNUMBER(SEARCH('Data Transfer'!$B$6,'Compliance Database'!$D1165&amp;" "&amp;'Compliance Database'!$K1165&amp;" "&amp;'Compliance Database'!$L1165&amp;" "&amp;'Compliance Database'!$M1165&amp;" "&amp;'Compliance Database'!$N1165&amp;" "&amp;'Compliance Database'!$O1165)))),1,0)</f>
        <v/>
      </c>
      <c r="B1165">
        <f>IF($A1165=1,SUM($A$2:$A1165),"")</f>
        <v/>
      </c>
      <c r="C1165">
        <f>IF($A1165=1,SUM($A$2:$A1165),0)</f>
        <v/>
      </c>
    </row>
    <row r="1166">
      <c r="A1166">
        <f>IF(AND(OR('Compliance Database'!$A1166='Data Transfer'!$B$4,'Compliance Database'!$A1166='Data Transfer'!$B$5),OR('Data Transfer'!$B$6="",ISNUMBER(SEARCH('Data Transfer'!$B$6,'Compliance Database'!$D1166&amp;" "&amp;'Compliance Database'!$K1166&amp;" "&amp;'Compliance Database'!$L1166&amp;" "&amp;'Compliance Database'!$M1166&amp;" "&amp;'Compliance Database'!$N1166&amp;" "&amp;'Compliance Database'!$O1166)))),1,0)</f>
        <v/>
      </c>
      <c r="B1166">
        <f>IF($A1166=1,SUM($A$2:$A1166),"")</f>
        <v/>
      </c>
      <c r="C1166">
        <f>IF($A1166=1,SUM($A$2:$A1166),0)</f>
        <v/>
      </c>
    </row>
    <row r="1167">
      <c r="A1167">
        <f>IF(AND(OR('Compliance Database'!$A1167='Data Transfer'!$B$4,'Compliance Database'!$A1167='Data Transfer'!$B$5),OR('Data Transfer'!$B$6="",ISNUMBER(SEARCH('Data Transfer'!$B$6,'Compliance Database'!$D1167&amp;" "&amp;'Compliance Database'!$K1167&amp;" "&amp;'Compliance Database'!$L1167&amp;" "&amp;'Compliance Database'!$M1167&amp;" "&amp;'Compliance Database'!$N1167&amp;" "&amp;'Compliance Database'!$O1167)))),1,0)</f>
        <v/>
      </c>
      <c r="B1167">
        <f>IF($A1167=1,SUM($A$2:$A1167),"")</f>
        <v/>
      </c>
      <c r="C1167">
        <f>IF($A1167=1,SUM($A$2:$A1167),0)</f>
        <v/>
      </c>
    </row>
    <row r="1168">
      <c r="A1168">
        <f>IF(AND(OR('Compliance Database'!$A1168='Data Transfer'!$B$4,'Compliance Database'!$A1168='Data Transfer'!$B$5),OR('Data Transfer'!$B$6="",ISNUMBER(SEARCH('Data Transfer'!$B$6,'Compliance Database'!$D1168&amp;" "&amp;'Compliance Database'!$K1168&amp;" "&amp;'Compliance Database'!$L1168&amp;" "&amp;'Compliance Database'!$M1168&amp;" "&amp;'Compliance Database'!$N1168&amp;" "&amp;'Compliance Database'!$O1168)))),1,0)</f>
        <v/>
      </c>
      <c r="B1168">
        <f>IF($A1168=1,SUM($A$2:$A1168),"")</f>
        <v/>
      </c>
      <c r="C1168">
        <f>IF($A1168=1,SUM($A$2:$A1168),0)</f>
        <v/>
      </c>
    </row>
    <row r="1169">
      <c r="A1169">
        <f>IF(AND(OR('Compliance Database'!$A1169='Data Transfer'!$B$4,'Compliance Database'!$A1169='Data Transfer'!$B$5),OR('Data Transfer'!$B$6="",ISNUMBER(SEARCH('Data Transfer'!$B$6,'Compliance Database'!$D1169&amp;" "&amp;'Compliance Database'!$K1169&amp;" "&amp;'Compliance Database'!$L1169&amp;" "&amp;'Compliance Database'!$M1169&amp;" "&amp;'Compliance Database'!$N1169&amp;" "&amp;'Compliance Database'!$O1169)))),1,0)</f>
        <v/>
      </c>
      <c r="B1169">
        <f>IF($A1169=1,SUM($A$2:$A1169),"")</f>
        <v/>
      </c>
      <c r="C1169">
        <f>IF($A1169=1,SUM($A$2:$A1169),0)</f>
        <v/>
      </c>
    </row>
    <row r="1170">
      <c r="A1170">
        <f>IF(AND(OR('Compliance Database'!$A1170='Data Transfer'!$B$4,'Compliance Database'!$A1170='Data Transfer'!$B$5),OR('Data Transfer'!$B$6="",ISNUMBER(SEARCH('Data Transfer'!$B$6,'Compliance Database'!$D1170&amp;" "&amp;'Compliance Database'!$K1170&amp;" "&amp;'Compliance Database'!$L1170&amp;" "&amp;'Compliance Database'!$M1170&amp;" "&amp;'Compliance Database'!$N1170&amp;" "&amp;'Compliance Database'!$O1170)))),1,0)</f>
        <v/>
      </c>
      <c r="B1170">
        <f>IF($A1170=1,SUM($A$2:$A1170),"")</f>
        <v/>
      </c>
      <c r="C1170">
        <f>IF($A1170=1,SUM($A$2:$A1170),0)</f>
        <v/>
      </c>
    </row>
    <row r="1171">
      <c r="A1171">
        <f>IF(AND(OR('Compliance Database'!$A1171='Data Transfer'!$B$4,'Compliance Database'!$A1171='Data Transfer'!$B$5),OR('Data Transfer'!$B$6="",ISNUMBER(SEARCH('Data Transfer'!$B$6,'Compliance Database'!$D1171&amp;" "&amp;'Compliance Database'!$K1171&amp;" "&amp;'Compliance Database'!$L1171&amp;" "&amp;'Compliance Database'!$M1171&amp;" "&amp;'Compliance Database'!$N1171&amp;" "&amp;'Compliance Database'!$O1171)))),1,0)</f>
        <v/>
      </c>
      <c r="B1171">
        <f>IF($A1171=1,SUM($A$2:$A1171),"")</f>
        <v/>
      </c>
      <c r="C1171">
        <f>IF($A1171=1,SUM($A$2:$A1171),0)</f>
        <v/>
      </c>
    </row>
    <row r="1172">
      <c r="A1172">
        <f>IF(AND(OR('Compliance Database'!$A1172='Data Transfer'!$B$4,'Compliance Database'!$A1172='Data Transfer'!$B$5),OR('Data Transfer'!$B$6="",ISNUMBER(SEARCH('Data Transfer'!$B$6,'Compliance Database'!$D1172&amp;" "&amp;'Compliance Database'!$K1172&amp;" "&amp;'Compliance Database'!$L1172&amp;" "&amp;'Compliance Database'!$M1172&amp;" "&amp;'Compliance Database'!$N1172&amp;" "&amp;'Compliance Database'!$O1172)))),1,0)</f>
        <v/>
      </c>
      <c r="B1172">
        <f>IF($A1172=1,SUM($A$2:$A1172),"")</f>
        <v/>
      </c>
      <c r="C1172">
        <f>IF($A1172=1,SUM($A$2:$A1172),0)</f>
        <v/>
      </c>
    </row>
    <row r="1173">
      <c r="A1173">
        <f>IF(AND(OR('Compliance Database'!$A1173='Data Transfer'!$B$4,'Compliance Database'!$A1173='Data Transfer'!$B$5),OR('Data Transfer'!$B$6="",ISNUMBER(SEARCH('Data Transfer'!$B$6,'Compliance Database'!$D1173&amp;" "&amp;'Compliance Database'!$K1173&amp;" "&amp;'Compliance Database'!$L1173&amp;" "&amp;'Compliance Database'!$M1173&amp;" "&amp;'Compliance Database'!$N1173&amp;" "&amp;'Compliance Database'!$O1173)))),1,0)</f>
        <v/>
      </c>
      <c r="B1173">
        <f>IF($A1173=1,SUM($A$2:$A1173),"")</f>
        <v/>
      </c>
      <c r="C1173">
        <f>IF($A1173=1,SUM($A$2:$A1173),0)</f>
        <v/>
      </c>
    </row>
    <row r="1174">
      <c r="A1174">
        <f>IF(AND(OR('Compliance Database'!$A1174='Data Transfer'!$B$4,'Compliance Database'!$A1174='Data Transfer'!$B$5),OR('Data Transfer'!$B$6="",ISNUMBER(SEARCH('Data Transfer'!$B$6,'Compliance Database'!$D1174&amp;" "&amp;'Compliance Database'!$K1174&amp;" "&amp;'Compliance Database'!$L1174&amp;" "&amp;'Compliance Database'!$M1174&amp;" "&amp;'Compliance Database'!$N1174&amp;" "&amp;'Compliance Database'!$O1174)))),1,0)</f>
        <v/>
      </c>
      <c r="B1174">
        <f>IF($A1174=1,SUM($A$2:$A1174),"")</f>
        <v/>
      </c>
      <c r="C1174">
        <f>IF($A1174=1,SUM($A$2:$A1174),0)</f>
        <v/>
      </c>
    </row>
    <row r="1175">
      <c r="A1175">
        <f>IF(AND(OR('Compliance Database'!$A1175='Data Transfer'!$B$4,'Compliance Database'!$A1175='Data Transfer'!$B$5),OR('Data Transfer'!$B$6="",ISNUMBER(SEARCH('Data Transfer'!$B$6,'Compliance Database'!$D1175&amp;" "&amp;'Compliance Database'!$K1175&amp;" "&amp;'Compliance Database'!$L1175&amp;" "&amp;'Compliance Database'!$M1175&amp;" "&amp;'Compliance Database'!$N1175&amp;" "&amp;'Compliance Database'!$O1175)))),1,0)</f>
        <v/>
      </c>
      <c r="B1175">
        <f>IF($A1175=1,SUM($A$2:$A1175),"")</f>
        <v/>
      </c>
      <c r="C1175">
        <f>IF($A1175=1,SUM($A$2:$A1175),0)</f>
        <v/>
      </c>
    </row>
    <row r="1176">
      <c r="A1176">
        <f>IF(AND(OR('Compliance Database'!$A1176='Data Transfer'!$B$4,'Compliance Database'!$A1176='Data Transfer'!$B$5),OR('Data Transfer'!$B$6="",ISNUMBER(SEARCH('Data Transfer'!$B$6,'Compliance Database'!$D1176&amp;" "&amp;'Compliance Database'!$K1176&amp;" "&amp;'Compliance Database'!$L1176&amp;" "&amp;'Compliance Database'!$M1176&amp;" "&amp;'Compliance Database'!$N1176&amp;" "&amp;'Compliance Database'!$O1176)))),1,0)</f>
        <v/>
      </c>
      <c r="B1176">
        <f>IF($A1176=1,SUM($A$2:$A1176),"")</f>
        <v/>
      </c>
      <c r="C1176">
        <f>IF($A1176=1,SUM($A$2:$A1176),0)</f>
        <v/>
      </c>
    </row>
    <row r="1177">
      <c r="A1177">
        <f>IF(AND(OR('Compliance Database'!$A1177='Data Transfer'!$B$4,'Compliance Database'!$A1177='Data Transfer'!$B$5),OR('Data Transfer'!$B$6="",ISNUMBER(SEARCH('Data Transfer'!$B$6,'Compliance Database'!$D1177&amp;" "&amp;'Compliance Database'!$K1177&amp;" "&amp;'Compliance Database'!$L1177&amp;" "&amp;'Compliance Database'!$M1177&amp;" "&amp;'Compliance Database'!$N1177&amp;" "&amp;'Compliance Database'!$O1177)))),1,0)</f>
        <v/>
      </c>
      <c r="B1177">
        <f>IF($A1177=1,SUM($A$2:$A1177),"")</f>
        <v/>
      </c>
      <c r="C1177">
        <f>IF($A1177=1,SUM($A$2:$A1177),0)</f>
        <v/>
      </c>
    </row>
    <row r="1178">
      <c r="A1178">
        <f>IF(AND(OR('Compliance Database'!$A1178='Data Transfer'!$B$4,'Compliance Database'!$A1178='Data Transfer'!$B$5),OR('Data Transfer'!$B$6="",ISNUMBER(SEARCH('Data Transfer'!$B$6,'Compliance Database'!$D1178&amp;" "&amp;'Compliance Database'!$K1178&amp;" "&amp;'Compliance Database'!$L1178&amp;" "&amp;'Compliance Database'!$M1178&amp;" "&amp;'Compliance Database'!$N1178&amp;" "&amp;'Compliance Database'!$O1178)))),1,0)</f>
        <v/>
      </c>
      <c r="B1178">
        <f>IF($A1178=1,SUM($A$2:$A1178),"")</f>
        <v/>
      </c>
      <c r="C1178">
        <f>IF($A1178=1,SUM($A$2:$A1178),0)</f>
        <v/>
      </c>
    </row>
    <row r="1179">
      <c r="A1179">
        <f>IF(AND(OR('Compliance Database'!$A1179='Data Transfer'!$B$4,'Compliance Database'!$A1179='Data Transfer'!$B$5),OR('Data Transfer'!$B$6="",ISNUMBER(SEARCH('Data Transfer'!$B$6,'Compliance Database'!$D1179&amp;" "&amp;'Compliance Database'!$K1179&amp;" "&amp;'Compliance Database'!$L1179&amp;" "&amp;'Compliance Database'!$M1179&amp;" "&amp;'Compliance Database'!$N1179&amp;" "&amp;'Compliance Database'!$O1179)))),1,0)</f>
        <v/>
      </c>
      <c r="B1179">
        <f>IF($A1179=1,SUM($A$2:$A1179),"")</f>
        <v/>
      </c>
      <c r="C1179">
        <f>IF($A1179=1,SUM($A$2:$A1179),0)</f>
        <v/>
      </c>
    </row>
    <row r="1180">
      <c r="A1180">
        <f>IF(AND(OR('Compliance Database'!$A1180='Data Transfer'!$B$4,'Compliance Database'!$A1180='Data Transfer'!$B$5),OR('Data Transfer'!$B$6="",ISNUMBER(SEARCH('Data Transfer'!$B$6,'Compliance Database'!$D1180&amp;" "&amp;'Compliance Database'!$K1180&amp;" "&amp;'Compliance Database'!$L1180&amp;" "&amp;'Compliance Database'!$M1180&amp;" "&amp;'Compliance Database'!$N1180&amp;" "&amp;'Compliance Database'!$O1180)))),1,0)</f>
        <v/>
      </c>
      <c r="B1180">
        <f>IF($A1180=1,SUM($A$2:$A1180),"")</f>
        <v/>
      </c>
      <c r="C1180">
        <f>IF($A1180=1,SUM($A$2:$A1180),0)</f>
        <v/>
      </c>
    </row>
    <row r="1181">
      <c r="A1181">
        <f>IF(AND(OR('Compliance Database'!$A1181='Data Transfer'!$B$4,'Compliance Database'!$A1181='Data Transfer'!$B$5),OR('Data Transfer'!$B$6="",ISNUMBER(SEARCH('Data Transfer'!$B$6,'Compliance Database'!$D1181&amp;" "&amp;'Compliance Database'!$K1181&amp;" "&amp;'Compliance Database'!$L1181&amp;" "&amp;'Compliance Database'!$M1181&amp;" "&amp;'Compliance Database'!$N1181&amp;" "&amp;'Compliance Database'!$O1181)))),1,0)</f>
        <v/>
      </c>
      <c r="B1181">
        <f>IF($A1181=1,SUM($A$2:$A1181),"")</f>
        <v/>
      </c>
      <c r="C1181">
        <f>IF($A1181=1,SUM($A$2:$A1181),0)</f>
        <v/>
      </c>
    </row>
    <row r="1182">
      <c r="A1182">
        <f>IF(AND(OR('Compliance Database'!$A1182='Data Transfer'!$B$4,'Compliance Database'!$A1182='Data Transfer'!$B$5),OR('Data Transfer'!$B$6="",ISNUMBER(SEARCH('Data Transfer'!$B$6,'Compliance Database'!$D1182&amp;" "&amp;'Compliance Database'!$K1182&amp;" "&amp;'Compliance Database'!$L1182&amp;" "&amp;'Compliance Database'!$M1182&amp;" "&amp;'Compliance Database'!$N1182&amp;" "&amp;'Compliance Database'!$O1182)))),1,0)</f>
        <v/>
      </c>
      <c r="B1182">
        <f>IF($A1182=1,SUM($A$2:$A1182),"")</f>
        <v/>
      </c>
      <c r="C1182">
        <f>IF($A1182=1,SUM($A$2:$A1182),0)</f>
        <v/>
      </c>
    </row>
    <row r="1183">
      <c r="A1183">
        <f>IF(AND(OR('Compliance Database'!$A1183='Data Transfer'!$B$4,'Compliance Database'!$A1183='Data Transfer'!$B$5),OR('Data Transfer'!$B$6="",ISNUMBER(SEARCH('Data Transfer'!$B$6,'Compliance Database'!$D1183&amp;" "&amp;'Compliance Database'!$K1183&amp;" "&amp;'Compliance Database'!$L1183&amp;" "&amp;'Compliance Database'!$M1183&amp;" "&amp;'Compliance Database'!$N1183&amp;" "&amp;'Compliance Database'!$O1183)))),1,0)</f>
        <v/>
      </c>
      <c r="B1183">
        <f>IF($A1183=1,SUM($A$2:$A1183),"")</f>
        <v/>
      </c>
      <c r="C1183">
        <f>IF($A1183=1,SUM($A$2:$A1183),0)</f>
        <v/>
      </c>
    </row>
    <row r="1184">
      <c r="A1184">
        <f>IF(AND(OR('Compliance Database'!$A1184='Data Transfer'!$B$4,'Compliance Database'!$A1184='Data Transfer'!$B$5),OR('Data Transfer'!$B$6="",ISNUMBER(SEARCH('Data Transfer'!$B$6,'Compliance Database'!$D1184&amp;" "&amp;'Compliance Database'!$K1184&amp;" "&amp;'Compliance Database'!$L1184&amp;" "&amp;'Compliance Database'!$M1184&amp;" "&amp;'Compliance Database'!$N1184&amp;" "&amp;'Compliance Database'!$O1184)))),1,0)</f>
        <v/>
      </c>
      <c r="B1184">
        <f>IF($A1184=1,SUM($A$2:$A1184),"")</f>
        <v/>
      </c>
      <c r="C1184">
        <f>IF($A1184=1,SUM($A$2:$A1184),0)</f>
        <v/>
      </c>
    </row>
    <row r="1185">
      <c r="A1185">
        <f>IF(AND(OR('Compliance Database'!$A1185='Data Transfer'!$B$4,'Compliance Database'!$A1185='Data Transfer'!$B$5),OR('Data Transfer'!$B$6="",ISNUMBER(SEARCH('Data Transfer'!$B$6,'Compliance Database'!$D1185&amp;" "&amp;'Compliance Database'!$K1185&amp;" "&amp;'Compliance Database'!$L1185&amp;" "&amp;'Compliance Database'!$M1185&amp;" "&amp;'Compliance Database'!$N1185&amp;" "&amp;'Compliance Database'!$O1185)))),1,0)</f>
        <v/>
      </c>
      <c r="B1185">
        <f>IF($A1185=1,SUM($A$2:$A1185),"")</f>
        <v/>
      </c>
      <c r="C1185">
        <f>IF($A1185=1,SUM($A$2:$A1185),0)</f>
        <v/>
      </c>
    </row>
    <row r="1186">
      <c r="A1186">
        <f>IF(AND(OR('Compliance Database'!$A1186='Data Transfer'!$B$4,'Compliance Database'!$A1186='Data Transfer'!$B$5),OR('Data Transfer'!$B$6="",ISNUMBER(SEARCH('Data Transfer'!$B$6,'Compliance Database'!$D1186&amp;" "&amp;'Compliance Database'!$K1186&amp;" "&amp;'Compliance Database'!$L1186&amp;" "&amp;'Compliance Database'!$M1186&amp;" "&amp;'Compliance Database'!$N1186&amp;" "&amp;'Compliance Database'!$O1186)))),1,0)</f>
        <v/>
      </c>
      <c r="B1186">
        <f>IF($A1186=1,SUM($A$2:$A1186),"")</f>
        <v/>
      </c>
      <c r="C1186">
        <f>IF($A1186=1,SUM($A$2:$A1186),0)</f>
        <v/>
      </c>
    </row>
    <row r="1187">
      <c r="A1187">
        <f>IF(AND(OR('Compliance Database'!$A1187='Data Transfer'!$B$4,'Compliance Database'!$A1187='Data Transfer'!$B$5),OR('Data Transfer'!$B$6="",ISNUMBER(SEARCH('Data Transfer'!$B$6,'Compliance Database'!$D1187&amp;" "&amp;'Compliance Database'!$K1187&amp;" "&amp;'Compliance Database'!$L1187&amp;" "&amp;'Compliance Database'!$M1187&amp;" "&amp;'Compliance Database'!$N1187&amp;" "&amp;'Compliance Database'!$O1187)))),1,0)</f>
        <v/>
      </c>
      <c r="B1187">
        <f>IF($A1187=1,SUM($A$2:$A1187),"")</f>
        <v/>
      </c>
      <c r="C1187">
        <f>IF($A1187=1,SUM($A$2:$A1187),0)</f>
        <v/>
      </c>
    </row>
    <row r="1188">
      <c r="A1188">
        <f>IF(AND(OR('Compliance Database'!$A1188='Data Transfer'!$B$4,'Compliance Database'!$A1188='Data Transfer'!$B$5),OR('Data Transfer'!$B$6="",ISNUMBER(SEARCH('Data Transfer'!$B$6,'Compliance Database'!$D1188&amp;" "&amp;'Compliance Database'!$K1188&amp;" "&amp;'Compliance Database'!$L1188&amp;" "&amp;'Compliance Database'!$M1188&amp;" "&amp;'Compliance Database'!$N1188&amp;" "&amp;'Compliance Database'!$O1188)))),1,0)</f>
        <v/>
      </c>
      <c r="B1188">
        <f>IF($A1188=1,SUM($A$2:$A1188),"")</f>
        <v/>
      </c>
      <c r="C1188">
        <f>IF($A1188=1,SUM($A$2:$A1188),0)</f>
        <v/>
      </c>
    </row>
    <row r="1189">
      <c r="A1189">
        <f>IF(AND(OR('Compliance Database'!$A1189='Data Transfer'!$B$4,'Compliance Database'!$A1189='Data Transfer'!$B$5),OR('Data Transfer'!$B$6="",ISNUMBER(SEARCH('Data Transfer'!$B$6,'Compliance Database'!$D1189&amp;" "&amp;'Compliance Database'!$K1189&amp;" "&amp;'Compliance Database'!$L1189&amp;" "&amp;'Compliance Database'!$M1189&amp;" "&amp;'Compliance Database'!$N1189&amp;" "&amp;'Compliance Database'!$O1189)))),1,0)</f>
        <v/>
      </c>
      <c r="B1189">
        <f>IF($A1189=1,SUM($A$2:$A1189),"")</f>
        <v/>
      </c>
      <c r="C1189">
        <f>IF($A1189=1,SUM($A$2:$A1189),0)</f>
        <v/>
      </c>
    </row>
    <row r="1190">
      <c r="A1190">
        <f>IF(AND(OR('Compliance Database'!$A1190='Data Transfer'!$B$4,'Compliance Database'!$A1190='Data Transfer'!$B$5),OR('Data Transfer'!$B$6="",ISNUMBER(SEARCH('Data Transfer'!$B$6,'Compliance Database'!$D1190&amp;" "&amp;'Compliance Database'!$K1190&amp;" "&amp;'Compliance Database'!$L1190&amp;" "&amp;'Compliance Database'!$M1190&amp;" "&amp;'Compliance Database'!$N1190&amp;" "&amp;'Compliance Database'!$O1190)))),1,0)</f>
        <v/>
      </c>
      <c r="B1190">
        <f>IF($A1190=1,SUM($A$2:$A1190),"")</f>
        <v/>
      </c>
      <c r="C1190">
        <f>IF($A1190=1,SUM($A$2:$A1190),0)</f>
        <v/>
      </c>
    </row>
    <row r="1191">
      <c r="A1191">
        <f>IF(AND(OR('Compliance Database'!$A1191='Data Transfer'!$B$4,'Compliance Database'!$A1191='Data Transfer'!$B$5),OR('Data Transfer'!$B$6="",ISNUMBER(SEARCH('Data Transfer'!$B$6,'Compliance Database'!$D1191&amp;" "&amp;'Compliance Database'!$K1191&amp;" "&amp;'Compliance Database'!$L1191&amp;" "&amp;'Compliance Database'!$M1191&amp;" "&amp;'Compliance Database'!$N1191&amp;" "&amp;'Compliance Database'!$O1191)))),1,0)</f>
        <v/>
      </c>
      <c r="B1191">
        <f>IF($A1191=1,SUM($A$2:$A1191),"")</f>
        <v/>
      </c>
      <c r="C1191">
        <f>IF($A1191=1,SUM($A$2:$A1191),0)</f>
        <v/>
      </c>
    </row>
    <row r="1192">
      <c r="A1192">
        <f>IF(AND(OR('Compliance Database'!$A1192='Data Transfer'!$B$4,'Compliance Database'!$A1192='Data Transfer'!$B$5),OR('Data Transfer'!$B$6="",ISNUMBER(SEARCH('Data Transfer'!$B$6,'Compliance Database'!$D1192&amp;" "&amp;'Compliance Database'!$K1192&amp;" "&amp;'Compliance Database'!$L1192&amp;" "&amp;'Compliance Database'!$M1192&amp;" "&amp;'Compliance Database'!$N1192&amp;" "&amp;'Compliance Database'!$O1192)))),1,0)</f>
        <v/>
      </c>
      <c r="B1192">
        <f>IF($A1192=1,SUM($A$2:$A1192),"")</f>
        <v/>
      </c>
      <c r="C1192">
        <f>IF($A1192=1,SUM($A$2:$A1192),0)</f>
        <v/>
      </c>
    </row>
    <row r="1193">
      <c r="A1193">
        <f>IF(AND(OR('Compliance Database'!$A1193='Data Transfer'!$B$4,'Compliance Database'!$A1193='Data Transfer'!$B$5),OR('Data Transfer'!$B$6="",ISNUMBER(SEARCH('Data Transfer'!$B$6,'Compliance Database'!$D1193&amp;" "&amp;'Compliance Database'!$K1193&amp;" "&amp;'Compliance Database'!$L1193&amp;" "&amp;'Compliance Database'!$M1193&amp;" "&amp;'Compliance Database'!$N1193&amp;" "&amp;'Compliance Database'!$O1193)))),1,0)</f>
        <v/>
      </c>
      <c r="B1193">
        <f>IF($A1193=1,SUM($A$2:$A1193),"")</f>
        <v/>
      </c>
      <c r="C1193">
        <f>IF($A1193=1,SUM($A$2:$A1193),0)</f>
        <v/>
      </c>
    </row>
    <row r="1194">
      <c r="A1194">
        <f>IF(AND(OR('Compliance Database'!$A1194='Data Transfer'!$B$4,'Compliance Database'!$A1194='Data Transfer'!$B$5),OR('Data Transfer'!$B$6="",ISNUMBER(SEARCH('Data Transfer'!$B$6,'Compliance Database'!$D1194&amp;" "&amp;'Compliance Database'!$K1194&amp;" "&amp;'Compliance Database'!$L1194&amp;" "&amp;'Compliance Database'!$M1194&amp;" "&amp;'Compliance Database'!$N1194&amp;" "&amp;'Compliance Database'!$O1194)))),1,0)</f>
        <v/>
      </c>
      <c r="B1194">
        <f>IF($A1194=1,SUM($A$2:$A1194),"")</f>
        <v/>
      </c>
      <c r="C1194">
        <f>IF($A1194=1,SUM($A$2:$A1194),0)</f>
        <v/>
      </c>
    </row>
    <row r="1195">
      <c r="A1195">
        <f>IF(AND(OR('Compliance Database'!$A1195='Data Transfer'!$B$4,'Compliance Database'!$A1195='Data Transfer'!$B$5),OR('Data Transfer'!$B$6="",ISNUMBER(SEARCH('Data Transfer'!$B$6,'Compliance Database'!$D1195&amp;" "&amp;'Compliance Database'!$K1195&amp;" "&amp;'Compliance Database'!$L1195&amp;" "&amp;'Compliance Database'!$M1195&amp;" "&amp;'Compliance Database'!$N1195&amp;" "&amp;'Compliance Database'!$O1195)))),1,0)</f>
        <v/>
      </c>
      <c r="B1195">
        <f>IF($A1195=1,SUM($A$2:$A1195),"")</f>
        <v/>
      </c>
      <c r="C1195">
        <f>IF($A1195=1,SUM($A$2:$A1195),0)</f>
        <v/>
      </c>
    </row>
    <row r="1196">
      <c r="A1196">
        <f>IF(AND(OR('Compliance Database'!$A1196='Data Transfer'!$B$4,'Compliance Database'!$A1196='Data Transfer'!$B$5),OR('Data Transfer'!$B$6="",ISNUMBER(SEARCH('Data Transfer'!$B$6,'Compliance Database'!$D1196&amp;" "&amp;'Compliance Database'!$K1196&amp;" "&amp;'Compliance Database'!$L1196&amp;" "&amp;'Compliance Database'!$M1196&amp;" "&amp;'Compliance Database'!$N1196&amp;" "&amp;'Compliance Database'!$O1196)))),1,0)</f>
        <v/>
      </c>
      <c r="B1196">
        <f>IF($A1196=1,SUM($A$2:$A1196),"")</f>
        <v/>
      </c>
      <c r="C1196">
        <f>IF($A1196=1,SUM($A$2:$A1196),0)</f>
        <v/>
      </c>
    </row>
    <row r="1197">
      <c r="A1197">
        <f>IF(AND(OR('Compliance Database'!$A1197='Data Transfer'!$B$4,'Compliance Database'!$A1197='Data Transfer'!$B$5),OR('Data Transfer'!$B$6="",ISNUMBER(SEARCH('Data Transfer'!$B$6,'Compliance Database'!$D1197&amp;" "&amp;'Compliance Database'!$K1197&amp;" "&amp;'Compliance Database'!$L1197&amp;" "&amp;'Compliance Database'!$M1197&amp;" "&amp;'Compliance Database'!$N1197&amp;" "&amp;'Compliance Database'!$O1197)))),1,0)</f>
        <v/>
      </c>
      <c r="B1197">
        <f>IF($A1197=1,SUM($A$2:$A1197),"")</f>
        <v/>
      </c>
      <c r="C1197">
        <f>IF($A1197=1,SUM($A$2:$A1197),0)</f>
        <v/>
      </c>
    </row>
    <row r="1198">
      <c r="A1198">
        <f>IF(AND(OR('Compliance Database'!$A1198='Data Transfer'!$B$4,'Compliance Database'!$A1198='Data Transfer'!$B$5),OR('Data Transfer'!$B$6="",ISNUMBER(SEARCH('Data Transfer'!$B$6,'Compliance Database'!$D1198&amp;" "&amp;'Compliance Database'!$K1198&amp;" "&amp;'Compliance Database'!$L1198&amp;" "&amp;'Compliance Database'!$M1198&amp;" "&amp;'Compliance Database'!$N1198&amp;" "&amp;'Compliance Database'!$O1198)))),1,0)</f>
        <v/>
      </c>
      <c r="B1198">
        <f>IF($A1198=1,SUM($A$2:$A1198),"")</f>
        <v/>
      </c>
      <c r="C1198">
        <f>IF($A1198=1,SUM($A$2:$A1198),0)</f>
        <v/>
      </c>
    </row>
    <row r="1199">
      <c r="A1199">
        <f>IF(AND(OR('Compliance Database'!$A1199='Data Transfer'!$B$4,'Compliance Database'!$A1199='Data Transfer'!$B$5),OR('Data Transfer'!$B$6="",ISNUMBER(SEARCH('Data Transfer'!$B$6,'Compliance Database'!$D1199&amp;" "&amp;'Compliance Database'!$K1199&amp;" "&amp;'Compliance Database'!$L1199&amp;" "&amp;'Compliance Database'!$M1199&amp;" "&amp;'Compliance Database'!$N1199&amp;" "&amp;'Compliance Database'!$O1199)))),1,0)</f>
        <v/>
      </c>
      <c r="B1199">
        <f>IF($A1199=1,SUM($A$2:$A1199),"")</f>
        <v/>
      </c>
      <c r="C1199">
        <f>IF($A1199=1,SUM($A$2:$A1199),0)</f>
        <v/>
      </c>
    </row>
    <row r="1200">
      <c r="A1200">
        <f>IF(AND(OR('Compliance Database'!$A1200='Data Transfer'!$B$4,'Compliance Database'!$A1200='Data Transfer'!$B$5),OR('Data Transfer'!$B$6="",ISNUMBER(SEARCH('Data Transfer'!$B$6,'Compliance Database'!$D1200&amp;" "&amp;'Compliance Database'!$K1200&amp;" "&amp;'Compliance Database'!$L1200&amp;" "&amp;'Compliance Database'!$M1200&amp;" "&amp;'Compliance Database'!$N1200&amp;" "&amp;'Compliance Database'!$O1200)))),1,0)</f>
        <v/>
      </c>
      <c r="B1200">
        <f>IF($A1200=1,SUM($A$2:$A1200),"")</f>
        <v/>
      </c>
      <c r="C1200">
        <f>IF($A1200=1,SUM($A$2:$A1200),0)</f>
        <v/>
      </c>
    </row>
    <row r="1201">
      <c r="A1201">
        <f>IF(AND(OR('Compliance Database'!$A1201='Data Transfer'!$B$4,'Compliance Database'!$A1201='Data Transfer'!$B$5),OR('Data Transfer'!$B$6="",ISNUMBER(SEARCH('Data Transfer'!$B$6,'Compliance Database'!$D1201&amp;" "&amp;'Compliance Database'!$K1201&amp;" "&amp;'Compliance Database'!$L1201&amp;" "&amp;'Compliance Database'!$M1201&amp;" "&amp;'Compliance Database'!$N1201&amp;" "&amp;'Compliance Database'!$O1201)))),1,0)</f>
        <v/>
      </c>
      <c r="B1201">
        <f>IF($A1201=1,SUM($A$2:$A1201),"")</f>
        <v/>
      </c>
      <c r="C1201">
        <f>IF($A1201=1,SUM($A$2:$A1201),0)</f>
        <v/>
      </c>
    </row>
    <row r="1202">
      <c r="A1202">
        <f>IF(AND(OR('Compliance Database'!$A1202='Data Transfer'!$B$4,'Compliance Database'!$A1202='Data Transfer'!$B$5),OR('Data Transfer'!$B$6="",ISNUMBER(SEARCH('Data Transfer'!$B$6,'Compliance Database'!$D1202&amp;" "&amp;'Compliance Database'!$K1202&amp;" "&amp;'Compliance Database'!$L1202&amp;" "&amp;'Compliance Database'!$M1202&amp;" "&amp;'Compliance Database'!$N1202&amp;" "&amp;'Compliance Database'!$O1202)))),1,0)</f>
        <v/>
      </c>
      <c r="B1202">
        <f>IF($A1202=1,SUM($A$2:$A1202),"")</f>
        <v/>
      </c>
      <c r="C1202">
        <f>IF($A1202=1,SUM($A$2:$A1202),0)</f>
        <v/>
      </c>
    </row>
    <row r="1203">
      <c r="A1203">
        <f>IF(AND(OR('Compliance Database'!$A1203='Data Transfer'!$B$4,'Compliance Database'!$A1203='Data Transfer'!$B$5),OR('Data Transfer'!$B$6="",ISNUMBER(SEARCH('Data Transfer'!$B$6,'Compliance Database'!$D1203&amp;" "&amp;'Compliance Database'!$K1203&amp;" "&amp;'Compliance Database'!$L1203&amp;" "&amp;'Compliance Database'!$M1203&amp;" "&amp;'Compliance Database'!$N1203&amp;" "&amp;'Compliance Database'!$O1203)))),1,0)</f>
        <v/>
      </c>
      <c r="B1203">
        <f>IF($A1203=1,SUM($A$2:$A1203),"")</f>
        <v/>
      </c>
      <c r="C1203">
        <f>IF($A1203=1,SUM($A$2:$A1203),0)</f>
        <v/>
      </c>
    </row>
    <row r="1204">
      <c r="A1204">
        <f>IF(AND(OR('Compliance Database'!$A1204='Data Transfer'!$B$4,'Compliance Database'!$A1204='Data Transfer'!$B$5),OR('Data Transfer'!$B$6="",ISNUMBER(SEARCH('Data Transfer'!$B$6,'Compliance Database'!$D1204&amp;" "&amp;'Compliance Database'!$K1204&amp;" "&amp;'Compliance Database'!$L1204&amp;" "&amp;'Compliance Database'!$M1204&amp;" "&amp;'Compliance Database'!$N1204&amp;" "&amp;'Compliance Database'!$O1204)))),1,0)</f>
        <v/>
      </c>
      <c r="B1204">
        <f>IF($A1204=1,SUM($A$2:$A1204),"")</f>
        <v/>
      </c>
      <c r="C1204">
        <f>IF($A1204=1,SUM($A$2:$A1204),0)</f>
        <v/>
      </c>
    </row>
    <row r="1205">
      <c r="A1205">
        <f>IF(AND(OR('Compliance Database'!$A1205='Data Transfer'!$B$4,'Compliance Database'!$A1205='Data Transfer'!$B$5),OR('Data Transfer'!$B$6="",ISNUMBER(SEARCH('Data Transfer'!$B$6,'Compliance Database'!$D1205&amp;" "&amp;'Compliance Database'!$K1205&amp;" "&amp;'Compliance Database'!$L1205&amp;" "&amp;'Compliance Database'!$M1205&amp;" "&amp;'Compliance Database'!$N1205&amp;" "&amp;'Compliance Database'!$O1205)))),1,0)</f>
        <v/>
      </c>
      <c r="B1205">
        <f>IF($A1205=1,SUM($A$2:$A1205),"")</f>
        <v/>
      </c>
      <c r="C1205">
        <f>IF($A1205=1,SUM($A$2:$A1205),0)</f>
        <v/>
      </c>
    </row>
    <row r="1206">
      <c r="A1206">
        <f>IF(AND(OR('Compliance Database'!$A1206='Data Transfer'!$B$4,'Compliance Database'!$A1206='Data Transfer'!$B$5),OR('Data Transfer'!$B$6="",ISNUMBER(SEARCH('Data Transfer'!$B$6,'Compliance Database'!$D1206&amp;" "&amp;'Compliance Database'!$K1206&amp;" "&amp;'Compliance Database'!$L1206&amp;" "&amp;'Compliance Database'!$M1206&amp;" "&amp;'Compliance Database'!$N1206&amp;" "&amp;'Compliance Database'!$O1206)))),1,0)</f>
        <v/>
      </c>
      <c r="B1206">
        <f>IF($A1206=1,SUM($A$2:$A1206),"")</f>
        <v/>
      </c>
      <c r="C1206">
        <f>IF($A1206=1,SUM($A$2:$A1206),0)</f>
        <v/>
      </c>
    </row>
    <row r="1207">
      <c r="A1207">
        <f>IF(AND(OR('Compliance Database'!$A1207='Data Transfer'!$B$4,'Compliance Database'!$A1207='Data Transfer'!$B$5),OR('Data Transfer'!$B$6="",ISNUMBER(SEARCH('Data Transfer'!$B$6,'Compliance Database'!$D1207&amp;" "&amp;'Compliance Database'!$K1207&amp;" "&amp;'Compliance Database'!$L1207&amp;" "&amp;'Compliance Database'!$M1207&amp;" "&amp;'Compliance Database'!$N1207&amp;" "&amp;'Compliance Database'!$O1207)))),1,0)</f>
        <v/>
      </c>
      <c r="B1207">
        <f>IF($A1207=1,SUM($A$2:$A1207),"")</f>
        <v/>
      </c>
      <c r="C1207">
        <f>IF($A1207=1,SUM($A$2:$A1207),0)</f>
        <v/>
      </c>
    </row>
    <row r="1208">
      <c r="A1208">
        <f>IF(AND(OR('Compliance Database'!$A1208='Data Transfer'!$B$4,'Compliance Database'!$A1208='Data Transfer'!$B$5),OR('Data Transfer'!$B$6="",ISNUMBER(SEARCH('Data Transfer'!$B$6,'Compliance Database'!$D1208&amp;" "&amp;'Compliance Database'!$K1208&amp;" "&amp;'Compliance Database'!$L1208&amp;" "&amp;'Compliance Database'!$M1208&amp;" "&amp;'Compliance Database'!$N1208&amp;" "&amp;'Compliance Database'!$O1208)))),1,0)</f>
        <v/>
      </c>
      <c r="B1208">
        <f>IF($A1208=1,SUM($A$2:$A1208),"")</f>
        <v/>
      </c>
      <c r="C1208">
        <f>IF($A1208=1,SUM($A$2:$A1208),0)</f>
        <v/>
      </c>
    </row>
    <row r="1209">
      <c r="A1209">
        <f>IF(AND(OR('Compliance Database'!$A1209='Data Transfer'!$B$4,'Compliance Database'!$A1209='Data Transfer'!$B$5),OR('Data Transfer'!$B$6="",ISNUMBER(SEARCH('Data Transfer'!$B$6,'Compliance Database'!$D1209&amp;" "&amp;'Compliance Database'!$K1209&amp;" "&amp;'Compliance Database'!$L1209&amp;" "&amp;'Compliance Database'!$M1209&amp;" "&amp;'Compliance Database'!$N1209&amp;" "&amp;'Compliance Database'!$O1209)))),1,0)</f>
        <v/>
      </c>
      <c r="B1209">
        <f>IF($A1209=1,SUM($A$2:$A1209),"")</f>
        <v/>
      </c>
      <c r="C1209">
        <f>IF($A1209=1,SUM($A$2:$A1209),0)</f>
        <v/>
      </c>
    </row>
    <row r="1210">
      <c r="A1210">
        <f>IF(AND(OR('Compliance Database'!$A1210='Data Transfer'!$B$4,'Compliance Database'!$A1210='Data Transfer'!$B$5),OR('Data Transfer'!$B$6="",ISNUMBER(SEARCH('Data Transfer'!$B$6,'Compliance Database'!$D1210&amp;" "&amp;'Compliance Database'!$K1210&amp;" "&amp;'Compliance Database'!$L1210&amp;" "&amp;'Compliance Database'!$M1210&amp;" "&amp;'Compliance Database'!$N1210&amp;" "&amp;'Compliance Database'!$O1210)))),1,0)</f>
        <v/>
      </c>
      <c r="B1210">
        <f>IF($A1210=1,SUM($A$2:$A1210),"")</f>
        <v/>
      </c>
      <c r="C1210">
        <f>IF($A1210=1,SUM($A$2:$A1210),0)</f>
        <v/>
      </c>
    </row>
    <row r="1211">
      <c r="A1211">
        <f>IF(AND(OR('Compliance Database'!$A1211='Data Transfer'!$B$4,'Compliance Database'!$A1211='Data Transfer'!$B$5),OR('Data Transfer'!$B$6="",ISNUMBER(SEARCH('Data Transfer'!$B$6,'Compliance Database'!$D1211&amp;" "&amp;'Compliance Database'!$K1211&amp;" "&amp;'Compliance Database'!$L1211&amp;" "&amp;'Compliance Database'!$M1211&amp;" "&amp;'Compliance Database'!$N1211&amp;" "&amp;'Compliance Database'!$O1211)))),1,0)</f>
        <v/>
      </c>
      <c r="B1211">
        <f>IF($A1211=1,SUM($A$2:$A1211),"")</f>
        <v/>
      </c>
      <c r="C1211">
        <f>IF($A1211=1,SUM($A$2:$A1211),0)</f>
        <v/>
      </c>
    </row>
    <row r="1212">
      <c r="A1212">
        <f>IF(AND(OR('Compliance Database'!$A1212='Data Transfer'!$B$4,'Compliance Database'!$A1212='Data Transfer'!$B$5),OR('Data Transfer'!$B$6="",ISNUMBER(SEARCH('Data Transfer'!$B$6,'Compliance Database'!$D1212&amp;" "&amp;'Compliance Database'!$K1212&amp;" "&amp;'Compliance Database'!$L1212&amp;" "&amp;'Compliance Database'!$M1212&amp;" "&amp;'Compliance Database'!$N1212&amp;" "&amp;'Compliance Database'!$O1212)))),1,0)</f>
        <v/>
      </c>
      <c r="B1212">
        <f>IF($A1212=1,SUM($A$2:$A1212),"")</f>
        <v/>
      </c>
      <c r="C1212">
        <f>IF($A1212=1,SUM($A$2:$A1212),0)</f>
        <v/>
      </c>
    </row>
    <row r="1213">
      <c r="A1213">
        <f>IF(AND(OR('Compliance Database'!$A1213='Data Transfer'!$B$4,'Compliance Database'!$A1213='Data Transfer'!$B$5),OR('Data Transfer'!$B$6="",ISNUMBER(SEARCH('Data Transfer'!$B$6,'Compliance Database'!$D1213&amp;" "&amp;'Compliance Database'!$K1213&amp;" "&amp;'Compliance Database'!$L1213&amp;" "&amp;'Compliance Database'!$M1213&amp;" "&amp;'Compliance Database'!$N1213&amp;" "&amp;'Compliance Database'!$O1213)))),1,0)</f>
        <v/>
      </c>
      <c r="B1213">
        <f>IF($A1213=1,SUM($A$2:$A1213),"")</f>
        <v/>
      </c>
      <c r="C1213">
        <f>IF($A1213=1,SUM($A$2:$A1213),0)</f>
        <v/>
      </c>
    </row>
    <row r="1214">
      <c r="A1214">
        <f>IF(AND(OR('Compliance Database'!$A1214='Data Transfer'!$B$4,'Compliance Database'!$A1214='Data Transfer'!$B$5),OR('Data Transfer'!$B$6="",ISNUMBER(SEARCH('Data Transfer'!$B$6,'Compliance Database'!$D1214&amp;" "&amp;'Compliance Database'!$K1214&amp;" "&amp;'Compliance Database'!$L1214&amp;" "&amp;'Compliance Database'!$M1214&amp;" "&amp;'Compliance Database'!$N1214&amp;" "&amp;'Compliance Database'!$O1214)))),1,0)</f>
        <v/>
      </c>
      <c r="B1214">
        <f>IF($A1214=1,SUM($A$2:$A1214),"")</f>
        <v/>
      </c>
      <c r="C1214">
        <f>IF($A1214=1,SUM($A$2:$A1214),0)</f>
        <v/>
      </c>
    </row>
    <row r="1215">
      <c r="A1215">
        <f>IF(AND(OR('Compliance Database'!$A1215='Data Transfer'!$B$4,'Compliance Database'!$A1215='Data Transfer'!$B$5),OR('Data Transfer'!$B$6="",ISNUMBER(SEARCH('Data Transfer'!$B$6,'Compliance Database'!$D1215&amp;" "&amp;'Compliance Database'!$K1215&amp;" "&amp;'Compliance Database'!$L1215&amp;" "&amp;'Compliance Database'!$M1215&amp;" "&amp;'Compliance Database'!$N1215&amp;" "&amp;'Compliance Database'!$O1215)))),1,0)</f>
        <v/>
      </c>
      <c r="B1215">
        <f>IF($A1215=1,SUM($A$2:$A1215),"")</f>
        <v/>
      </c>
      <c r="C1215">
        <f>IF($A1215=1,SUM($A$2:$A1215),0)</f>
        <v/>
      </c>
    </row>
    <row r="1216">
      <c r="A1216">
        <f>IF(AND(OR('Compliance Database'!$A1216='Data Transfer'!$B$4,'Compliance Database'!$A1216='Data Transfer'!$B$5),OR('Data Transfer'!$B$6="",ISNUMBER(SEARCH('Data Transfer'!$B$6,'Compliance Database'!$D1216&amp;" "&amp;'Compliance Database'!$K1216&amp;" "&amp;'Compliance Database'!$L1216&amp;" "&amp;'Compliance Database'!$M1216&amp;" "&amp;'Compliance Database'!$N1216&amp;" "&amp;'Compliance Database'!$O1216)))),1,0)</f>
        <v/>
      </c>
      <c r="B1216">
        <f>IF($A1216=1,SUM($A$2:$A1216),"")</f>
        <v/>
      </c>
      <c r="C1216">
        <f>IF($A1216=1,SUM($A$2:$A1216),0)</f>
        <v/>
      </c>
    </row>
    <row r="1217">
      <c r="A1217">
        <f>IF(AND(OR('Compliance Database'!$A1217='Data Transfer'!$B$4,'Compliance Database'!$A1217='Data Transfer'!$B$5),OR('Data Transfer'!$B$6="",ISNUMBER(SEARCH('Data Transfer'!$B$6,'Compliance Database'!$D1217&amp;" "&amp;'Compliance Database'!$K1217&amp;" "&amp;'Compliance Database'!$L1217&amp;" "&amp;'Compliance Database'!$M1217&amp;" "&amp;'Compliance Database'!$N1217&amp;" "&amp;'Compliance Database'!$O1217)))),1,0)</f>
        <v/>
      </c>
      <c r="B1217">
        <f>IF($A1217=1,SUM($A$2:$A1217),"")</f>
        <v/>
      </c>
      <c r="C1217">
        <f>IF($A1217=1,SUM($A$2:$A1217),0)</f>
        <v/>
      </c>
    </row>
    <row r="1218">
      <c r="A1218">
        <f>IF(AND(OR('Compliance Database'!$A1218='Data Transfer'!$B$4,'Compliance Database'!$A1218='Data Transfer'!$B$5),OR('Data Transfer'!$B$6="",ISNUMBER(SEARCH('Data Transfer'!$B$6,'Compliance Database'!$D1218&amp;" "&amp;'Compliance Database'!$K1218&amp;" "&amp;'Compliance Database'!$L1218&amp;" "&amp;'Compliance Database'!$M1218&amp;" "&amp;'Compliance Database'!$N1218&amp;" "&amp;'Compliance Database'!$O1218)))),1,0)</f>
        <v/>
      </c>
      <c r="B1218">
        <f>IF($A1218=1,SUM($A$2:$A1218),"")</f>
        <v/>
      </c>
      <c r="C1218">
        <f>IF($A1218=1,SUM($A$2:$A1218),0)</f>
        <v/>
      </c>
    </row>
    <row r="1219">
      <c r="A1219">
        <f>IF(AND(OR('Compliance Database'!$A1219='Data Transfer'!$B$4,'Compliance Database'!$A1219='Data Transfer'!$B$5),OR('Data Transfer'!$B$6="",ISNUMBER(SEARCH('Data Transfer'!$B$6,'Compliance Database'!$D1219&amp;" "&amp;'Compliance Database'!$K1219&amp;" "&amp;'Compliance Database'!$L1219&amp;" "&amp;'Compliance Database'!$M1219&amp;" "&amp;'Compliance Database'!$N1219&amp;" "&amp;'Compliance Database'!$O1219)))),1,0)</f>
        <v/>
      </c>
      <c r="B1219">
        <f>IF($A1219=1,SUM($A$2:$A1219),"")</f>
        <v/>
      </c>
      <c r="C1219">
        <f>IF($A1219=1,SUM($A$2:$A1219),0)</f>
        <v/>
      </c>
    </row>
    <row r="1220">
      <c r="A1220">
        <f>IF(AND(OR('Compliance Database'!$A1220='Data Transfer'!$B$4,'Compliance Database'!$A1220='Data Transfer'!$B$5),OR('Data Transfer'!$B$6="",ISNUMBER(SEARCH('Data Transfer'!$B$6,'Compliance Database'!$D1220&amp;" "&amp;'Compliance Database'!$K1220&amp;" "&amp;'Compliance Database'!$L1220&amp;" "&amp;'Compliance Database'!$M1220&amp;" "&amp;'Compliance Database'!$N1220&amp;" "&amp;'Compliance Database'!$O1220)))),1,0)</f>
        <v/>
      </c>
      <c r="B1220">
        <f>IF($A1220=1,SUM($A$2:$A1220),"")</f>
        <v/>
      </c>
      <c r="C1220">
        <f>IF($A1220=1,SUM($A$2:$A1220),0)</f>
        <v/>
      </c>
    </row>
    <row r="1221">
      <c r="A1221">
        <f>IF(AND(OR('Compliance Database'!$A1221='Data Transfer'!$B$4,'Compliance Database'!$A1221='Data Transfer'!$B$5),OR('Data Transfer'!$B$6="",ISNUMBER(SEARCH('Data Transfer'!$B$6,'Compliance Database'!$D1221&amp;" "&amp;'Compliance Database'!$K1221&amp;" "&amp;'Compliance Database'!$L1221&amp;" "&amp;'Compliance Database'!$M1221&amp;" "&amp;'Compliance Database'!$N1221&amp;" "&amp;'Compliance Database'!$O1221)))),1,0)</f>
        <v/>
      </c>
      <c r="B1221">
        <f>IF($A1221=1,SUM($A$2:$A1221),"")</f>
        <v/>
      </c>
      <c r="C1221">
        <f>IF($A1221=1,SUM($A$2:$A1221),0)</f>
        <v/>
      </c>
    </row>
    <row r="1222">
      <c r="A1222">
        <f>IF(AND(OR('Compliance Database'!$A1222='Data Transfer'!$B$4,'Compliance Database'!$A1222='Data Transfer'!$B$5),OR('Data Transfer'!$B$6="",ISNUMBER(SEARCH('Data Transfer'!$B$6,'Compliance Database'!$D1222&amp;" "&amp;'Compliance Database'!$K1222&amp;" "&amp;'Compliance Database'!$L1222&amp;" "&amp;'Compliance Database'!$M1222&amp;" "&amp;'Compliance Database'!$N1222&amp;" "&amp;'Compliance Database'!$O1222)))),1,0)</f>
        <v/>
      </c>
      <c r="B1222">
        <f>IF($A1222=1,SUM($A$2:$A1222),"")</f>
        <v/>
      </c>
      <c r="C1222">
        <f>IF($A1222=1,SUM($A$2:$A1222),0)</f>
        <v/>
      </c>
    </row>
    <row r="1223">
      <c r="A1223">
        <f>IF(AND(OR('Compliance Database'!$A1223='Data Transfer'!$B$4,'Compliance Database'!$A1223='Data Transfer'!$B$5),OR('Data Transfer'!$B$6="",ISNUMBER(SEARCH('Data Transfer'!$B$6,'Compliance Database'!$D1223&amp;" "&amp;'Compliance Database'!$K1223&amp;" "&amp;'Compliance Database'!$L1223&amp;" "&amp;'Compliance Database'!$M1223&amp;" "&amp;'Compliance Database'!$N1223&amp;" "&amp;'Compliance Database'!$O1223)))),1,0)</f>
        <v/>
      </c>
      <c r="B1223">
        <f>IF($A1223=1,SUM($A$2:$A1223),"")</f>
        <v/>
      </c>
      <c r="C1223">
        <f>IF($A1223=1,SUM($A$2:$A1223),0)</f>
        <v/>
      </c>
    </row>
    <row r="1224">
      <c r="A1224">
        <f>IF(AND(OR('Compliance Database'!$A1224='Data Transfer'!$B$4,'Compliance Database'!$A1224='Data Transfer'!$B$5),OR('Data Transfer'!$B$6="",ISNUMBER(SEARCH('Data Transfer'!$B$6,'Compliance Database'!$D1224&amp;" "&amp;'Compliance Database'!$K1224&amp;" "&amp;'Compliance Database'!$L1224&amp;" "&amp;'Compliance Database'!$M1224&amp;" "&amp;'Compliance Database'!$N1224&amp;" "&amp;'Compliance Database'!$O1224)))),1,0)</f>
        <v/>
      </c>
      <c r="B1224">
        <f>IF($A1224=1,SUM($A$2:$A1224),"")</f>
        <v/>
      </c>
      <c r="C1224">
        <f>IF($A1224=1,SUM($A$2:$A1224),0)</f>
        <v/>
      </c>
    </row>
    <row r="1225">
      <c r="A1225">
        <f>IF(AND(OR('Compliance Database'!$A1225='Data Transfer'!$B$4,'Compliance Database'!$A1225='Data Transfer'!$B$5),OR('Data Transfer'!$B$6="",ISNUMBER(SEARCH('Data Transfer'!$B$6,'Compliance Database'!$D1225&amp;" "&amp;'Compliance Database'!$K1225&amp;" "&amp;'Compliance Database'!$L1225&amp;" "&amp;'Compliance Database'!$M1225&amp;" "&amp;'Compliance Database'!$N1225&amp;" "&amp;'Compliance Database'!$O1225)))),1,0)</f>
        <v/>
      </c>
      <c r="B1225">
        <f>IF($A1225=1,SUM($A$2:$A1225),"")</f>
        <v/>
      </c>
      <c r="C1225">
        <f>IF($A1225=1,SUM($A$2:$A1225),0)</f>
        <v/>
      </c>
    </row>
    <row r="1226">
      <c r="A1226">
        <f>IF(AND(OR('Compliance Database'!$A1226='Data Transfer'!$B$4,'Compliance Database'!$A1226='Data Transfer'!$B$5),OR('Data Transfer'!$B$6="",ISNUMBER(SEARCH('Data Transfer'!$B$6,'Compliance Database'!$D1226&amp;" "&amp;'Compliance Database'!$K1226&amp;" "&amp;'Compliance Database'!$L1226&amp;" "&amp;'Compliance Database'!$M1226&amp;" "&amp;'Compliance Database'!$N1226&amp;" "&amp;'Compliance Database'!$O1226)))),1,0)</f>
        <v/>
      </c>
      <c r="B1226">
        <f>IF($A1226=1,SUM($A$2:$A1226),"")</f>
        <v/>
      </c>
      <c r="C1226">
        <f>IF($A1226=1,SUM($A$2:$A1226),0)</f>
        <v/>
      </c>
    </row>
    <row r="1227">
      <c r="A1227">
        <f>IF(AND(OR('Compliance Database'!$A1227='Data Transfer'!$B$4,'Compliance Database'!$A1227='Data Transfer'!$B$5),OR('Data Transfer'!$B$6="",ISNUMBER(SEARCH('Data Transfer'!$B$6,'Compliance Database'!$D1227&amp;" "&amp;'Compliance Database'!$K1227&amp;" "&amp;'Compliance Database'!$L1227&amp;" "&amp;'Compliance Database'!$M1227&amp;" "&amp;'Compliance Database'!$N1227&amp;" "&amp;'Compliance Database'!$O1227)))),1,0)</f>
        <v/>
      </c>
      <c r="B1227">
        <f>IF($A1227=1,SUM($A$2:$A1227),"")</f>
        <v/>
      </c>
      <c r="C1227">
        <f>IF($A1227=1,SUM($A$2:$A1227),0)</f>
        <v/>
      </c>
    </row>
    <row r="1228">
      <c r="A1228">
        <f>IF(AND(OR('Compliance Database'!$A1228='Data Transfer'!$B$4,'Compliance Database'!$A1228='Data Transfer'!$B$5),OR('Data Transfer'!$B$6="",ISNUMBER(SEARCH('Data Transfer'!$B$6,'Compliance Database'!$D1228&amp;" "&amp;'Compliance Database'!$K1228&amp;" "&amp;'Compliance Database'!$L1228&amp;" "&amp;'Compliance Database'!$M1228&amp;" "&amp;'Compliance Database'!$N1228&amp;" "&amp;'Compliance Database'!$O1228)))),1,0)</f>
        <v/>
      </c>
      <c r="B1228">
        <f>IF($A1228=1,SUM($A$2:$A1228),"")</f>
        <v/>
      </c>
      <c r="C1228">
        <f>IF($A1228=1,SUM($A$2:$A1228),0)</f>
        <v/>
      </c>
    </row>
    <row r="1229">
      <c r="A1229">
        <f>IF(AND(OR('Compliance Database'!$A1229='Data Transfer'!$B$4,'Compliance Database'!$A1229='Data Transfer'!$B$5),OR('Data Transfer'!$B$6="",ISNUMBER(SEARCH('Data Transfer'!$B$6,'Compliance Database'!$D1229&amp;" "&amp;'Compliance Database'!$K1229&amp;" "&amp;'Compliance Database'!$L1229&amp;" "&amp;'Compliance Database'!$M1229&amp;" "&amp;'Compliance Database'!$N1229&amp;" "&amp;'Compliance Database'!$O1229)))),1,0)</f>
        <v/>
      </c>
      <c r="B1229">
        <f>IF($A1229=1,SUM($A$2:$A1229),"")</f>
        <v/>
      </c>
      <c r="C1229">
        <f>IF($A1229=1,SUM($A$2:$A1229),0)</f>
        <v/>
      </c>
    </row>
    <row r="1230">
      <c r="A1230">
        <f>IF(AND(OR('Compliance Database'!$A1230='Data Transfer'!$B$4,'Compliance Database'!$A1230='Data Transfer'!$B$5),OR('Data Transfer'!$B$6="",ISNUMBER(SEARCH('Data Transfer'!$B$6,'Compliance Database'!$D1230&amp;" "&amp;'Compliance Database'!$K1230&amp;" "&amp;'Compliance Database'!$L1230&amp;" "&amp;'Compliance Database'!$M1230&amp;" "&amp;'Compliance Database'!$N1230&amp;" "&amp;'Compliance Database'!$O1230)))),1,0)</f>
        <v/>
      </c>
      <c r="B1230">
        <f>IF($A1230=1,SUM($A$2:$A1230),"")</f>
        <v/>
      </c>
      <c r="C1230">
        <f>IF($A1230=1,SUM($A$2:$A1230),0)</f>
        <v/>
      </c>
    </row>
    <row r="1231">
      <c r="A1231">
        <f>IF(AND(OR('Compliance Database'!$A1231='Data Transfer'!$B$4,'Compliance Database'!$A1231='Data Transfer'!$B$5),OR('Data Transfer'!$B$6="",ISNUMBER(SEARCH('Data Transfer'!$B$6,'Compliance Database'!$D1231&amp;" "&amp;'Compliance Database'!$K1231&amp;" "&amp;'Compliance Database'!$L1231&amp;" "&amp;'Compliance Database'!$M1231&amp;" "&amp;'Compliance Database'!$N1231&amp;" "&amp;'Compliance Database'!$O1231)))),1,0)</f>
        <v/>
      </c>
      <c r="B1231">
        <f>IF($A1231=1,SUM($A$2:$A1231),"")</f>
        <v/>
      </c>
      <c r="C1231">
        <f>IF($A1231=1,SUM($A$2:$A1231),0)</f>
        <v/>
      </c>
    </row>
    <row r="1232">
      <c r="A1232">
        <f>IF(AND(OR('Compliance Database'!$A1232='Data Transfer'!$B$4,'Compliance Database'!$A1232='Data Transfer'!$B$5),OR('Data Transfer'!$B$6="",ISNUMBER(SEARCH('Data Transfer'!$B$6,'Compliance Database'!$D1232&amp;" "&amp;'Compliance Database'!$K1232&amp;" "&amp;'Compliance Database'!$L1232&amp;" "&amp;'Compliance Database'!$M1232&amp;" "&amp;'Compliance Database'!$N1232&amp;" "&amp;'Compliance Database'!$O1232)))),1,0)</f>
        <v/>
      </c>
      <c r="B1232">
        <f>IF($A1232=1,SUM($A$2:$A1232),"")</f>
        <v/>
      </c>
      <c r="C1232">
        <f>IF($A1232=1,SUM($A$2:$A1232),0)</f>
        <v/>
      </c>
    </row>
    <row r="1233">
      <c r="A1233">
        <f>IF(AND(OR('Compliance Database'!$A1233='Data Transfer'!$B$4,'Compliance Database'!$A1233='Data Transfer'!$B$5),OR('Data Transfer'!$B$6="",ISNUMBER(SEARCH('Data Transfer'!$B$6,'Compliance Database'!$D1233&amp;" "&amp;'Compliance Database'!$K1233&amp;" "&amp;'Compliance Database'!$L1233&amp;" "&amp;'Compliance Database'!$M1233&amp;" "&amp;'Compliance Database'!$N1233&amp;" "&amp;'Compliance Database'!$O1233)))),1,0)</f>
        <v/>
      </c>
      <c r="B1233">
        <f>IF($A1233=1,SUM($A$2:$A1233),"")</f>
        <v/>
      </c>
      <c r="C1233">
        <f>IF($A1233=1,SUM($A$2:$A1233),0)</f>
        <v/>
      </c>
    </row>
    <row r="1234">
      <c r="A1234">
        <f>IF(AND(OR('Compliance Database'!$A1234='Data Transfer'!$B$4,'Compliance Database'!$A1234='Data Transfer'!$B$5),OR('Data Transfer'!$B$6="",ISNUMBER(SEARCH('Data Transfer'!$B$6,'Compliance Database'!$D1234&amp;" "&amp;'Compliance Database'!$K1234&amp;" "&amp;'Compliance Database'!$L1234&amp;" "&amp;'Compliance Database'!$M1234&amp;" "&amp;'Compliance Database'!$N1234&amp;" "&amp;'Compliance Database'!$O1234)))),1,0)</f>
        <v/>
      </c>
      <c r="B1234">
        <f>IF($A1234=1,SUM($A$2:$A1234),"")</f>
        <v/>
      </c>
      <c r="C1234">
        <f>IF($A1234=1,SUM($A$2:$A1234),0)</f>
        <v/>
      </c>
    </row>
    <row r="1235">
      <c r="A1235">
        <f>IF(AND(OR('Compliance Database'!$A1235='Data Transfer'!$B$4,'Compliance Database'!$A1235='Data Transfer'!$B$5),OR('Data Transfer'!$B$6="",ISNUMBER(SEARCH('Data Transfer'!$B$6,'Compliance Database'!$D1235&amp;" "&amp;'Compliance Database'!$K1235&amp;" "&amp;'Compliance Database'!$L1235&amp;" "&amp;'Compliance Database'!$M1235&amp;" "&amp;'Compliance Database'!$N1235&amp;" "&amp;'Compliance Database'!$O1235)))),1,0)</f>
        <v/>
      </c>
      <c r="B1235">
        <f>IF($A1235=1,SUM($A$2:$A1235),"")</f>
        <v/>
      </c>
      <c r="C1235">
        <f>IF($A1235=1,SUM($A$2:$A1235),0)</f>
        <v/>
      </c>
    </row>
    <row r="1236">
      <c r="A1236">
        <f>IF(AND(OR('Compliance Database'!$A1236='Data Transfer'!$B$4,'Compliance Database'!$A1236='Data Transfer'!$B$5),OR('Data Transfer'!$B$6="",ISNUMBER(SEARCH('Data Transfer'!$B$6,'Compliance Database'!$D1236&amp;" "&amp;'Compliance Database'!$K1236&amp;" "&amp;'Compliance Database'!$L1236&amp;" "&amp;'Compliance Database'!$M1236&amp;" "&amp;'Compliance Database'!$N1236&amp;" "&amp;'Compliance Database'!$O1236)))),1,0)</f>
        <v/>
      </c>
      <c r="B1236">
        <f>IF($A1236=1,SUM($A$2:$A1236),"")</f>
        <v/>
      </c>
      <c r="C1236">
        <f>IF($A1236=1,SUM($A$2:$A1236),0)</f>
        <v/>
      </c>
    </row>
    <row r="1237">
      <c r="A1237">
        <f>IF(AND(OR('Compliance Database'!$A1237='Data Transfer'!$B$4,'Compliance Database'!$A1237='Data Transfer'!$B$5),OR('Data Transfer'!$B$6="",ISNUMBER(SEARCH('Data Transfer'!$B$6,'Compliance Database'!$D1237&amp;" "&amp;'Compliance Database'!$K1237&amp;" "&amp;'Compliance Database'!$L1237&amp;" "&amp;'Compliance Database'!$M1237&amp;" "&amp;'Compliance Database'!$N1237&amp;" "&amp;'Compliance Database'!$O1237)))),1,0)</f>
        <v/>
      </c>
      <c r="B1237">
        <f>IF($A1237=1,SUM($A$2:$A1237),"")</f>
        <v/>
      </c>
      <c r="C1237">
        <f>IF($A1237=1,SUM($A$2:$A1237),0)</f>
        <v/>
      </c>
    </row>
    <row r="1238">
      <c r="A1238">
        <f>IF(AND(OR('Compliance Database'!$A1238='Data Transfer'!$B$4,'Compliance Database'!$A1238='Data Transfer'!$B$5),OR('Data Transfer'!$B$6="",ISNUMBER(SEARCH('Data Transfer'!$B$6,'Compliance Database'!$D1238&amp;" "&amp;'Compliance Database'!$K1238&amp;" "&amp;'Compliance Database'!$L1238&amp;" "&amp;'Compliance Database'!$M1238&amp;" "&amp;'Compliance Database'!$N1238&amp;" "&amp;'Compliance Database'!$O1238)))),1,0)</f>
        <v/>
      </c>
      <c r="B1238">
        <f>IF($A1238=1,SUM($A$2:$A1238),"")</f>
        <v/>
      </c>
      <c r="C1238">
        <f>IF($A1238=1,SUM($A$2:$A1238),0)</f>
        <v/>
      </c>
    </row>
    <row r="1239">
      <c r="A1239">
        <f>IF(AND(OR('Compliance Database'!$A1239='Data Transfer'!$B$4,'Compliance Database'!$A1239='Data Transfer'!$B$5),OR('Data Transfer'!$B$6="",ISNUMBER(SEARCH('Data Transfer'!$B$6,'Compliance Database'!$D1239&amp;" "&amp;'Compliance Database'!$K1239&amp;" "&amp;'Compliance Database'!$L1239&amp;" "&amp;'Compliance Database'!$M1239&amp;" "&amp;'Compliance Database'!$N1239&amp;" "&amp;'Compliance Database'!$O1239)))),1,0)</f>
        <v/>
      </c>
      <c r="B1239">
        <f>IF($A1239=1,SUM($A$2:$A1239),"")</f>
        <v/>
      </c>
      <c r="C1239">
        <f>IF($A1239=1,SUM($A$2:$A1239),0)</f>
        <v/>
      </c>
    </row>
    <row r="1240">
      <c r="A1240">
        <f>IF(AND(OR('Compliance Database'!$A1240='Data Transfer'!$B$4,'Compliance Database'!$A1240='Data Transfer'!$B$5),OR('Data Transfer'!$B$6="",ISNUMBER(SEARCH('Data Transfer'!$B$6,'Compliance Database'!$D1240&amp;" "&amp;'Compliance Database'!$K1240&amp;" "&amp;'Compliance Database'!$L1240&amp;" "&amp;'Compliance Database'!$M1240&amp;" "&amp;'Compliance Database'!$N1240&amp;" "&amp;'Compliance Database'!$O1240)))),1,0)</f>
        <v/>
      </c>
      <c r="B1240">
        <f>IF($A1240=1,SUM($A$2:$A1240),"")</f>
        <v/>
      </c>
      <c r="C1240">
        <f>IF($A1240=1,SUM($A$2:$A1240),0)</f>
        <v/>
      </c>
    </row>
    <row r="1241">
      <c r="A1241">
        <f>IF(AND(OR('Compliance Database'!$A1241='Data Transfer'!$B$4,'Compliance Database'!$A1241='Data Transfer'!$B$5),OR('Data Transfer'!$B$6="",ISNUMBER(SEARCH('Data Transfer'!$B$6,'Compliance Database'!$D1241&amp;" "&amp;'Compliance Database'!$K1241&amp;" "&amp;'Compliance Database'!$L1241&amp;" "&amp;'Compliance Database'!$M1241&amp;" "&amp;'Compliance Database'!$N1241&amp;" "&amp;'Compliance Database'!$O1241)))),1,0)</f>
        <v/>
      </c>
      <c r="B1241">
        <f>IF($A1241=1,SUM($A$2:$A1241),"")</f>
        <v/>
      </c>
      <c r="C1241">
        <f>IF($A1241=1,SUM($A$2:$A1241),0)</f>
        <v/>
      </c>
    </row>
    <row r="1242">
      <c r="A1242">
        <f>IF(AND(OR('Compliance Database'!$A1242='Data Transfer'!$B$4,'Compliance Database'!$A1242='Data Transfer'!$B$5),OR('Data Transfer'!$B$6="",ISNUMBER(SEARCH('Data Transfer'!$B$6,'Compliance Database'!$D1242&amp;" "&amp;'Compliance Database'!$K1242&amp;" "&amp;'Compliance Database'!$L1242&amp;" "&amp;'Compliance Database'!$M1242&amp;" "&amp;'Compliance Database'!$N1242&amp;" "&amp;'Compliance Database'!$O1242)))),1,0)</f>
        <v/>
      </c>
      <c r="B1242">
        <f>IF($A1242=1,SUM($A$2:$A1242),"")</f>
        <v/>
      </c>
      <c r="C1242">
        <f>IF($A1242=1,SUM($A$2:$A1242),0)</f>
        <v/>
      </c>
    </row>
    <row r="1243">
      <c r="A1243">
        <f>IF(AND(OR('Compliance Database'!$A1243='Data Transfer'!$B$4,'Compliance Database'!$A1243='Data Transfer'!$B$5),OR('Data Transfer'!$B$6="",ISNUMBER(SEARCH('Data Transfer'!$B$6,'Compliance Database'!$D1243&amp;" "&amp;'Compliance Database'!$K1243&amp;" "&amp;'Compliance Database'!$L1243&amp;" "&amp;'Compliance Database'!$M1243&amp;" "&amp;'Compliance Database'!$N1243&amp;" "&amp;'Compliance Database'!$O1243)))),1,0)</f>
        <v/>
      </c>
      <c r="B1243">
        <f>IF($A1243=1,SUM($A$2:$A1243),"")</f>
        <v/>
      </c>
      <c r="C1243">
        <f>IF($A1243=1,SUM($A$2:$A1243),0)</f>
        <v/>
      </c>
    </row>
    <row r="1244">
      <c r="A1244">
        <f>IF(AND(OR('Compliance Database'!$A1244='Data Transfer'!$B$4,'Compliance Database'!$A1244='Data Transfer'!$B$5),OR('Data Transfer'!$B$6="",ISNUMBER(SEARCH('Data Transfer'!$B$6,'Compliance Database'!$D1244&amp;" "&amp;'Compliance Database'!$K1244&amp;" "&amp;'Compliance Database'!$L1244&amp;" "&amp;'Compliance Database'!$M1244&amp;" "&amp;'Compliance Database'!$N1244&amp;" "&amp;'Compliance Database'!$O1244)))),1,0)</f>
        <v/>
      </c>
      <c r="B1244">
        <f>IF($A1244=1,SUM($A$2:$A1244),"")</f>
        <v/>
      </c>
      <c r="C1244">
        <f>IF($A1244=1,SUM($A$2:$A1244),0)</f>
        <v/>
      </c>
    </row>
    <row r="1245">
      <c r="A1245">
        <f>IF(AND(OR('Compliance Database'!$A1245='Data Transfer'!$B$4,'Compliance Database'!$A1245='Data Transfer'!$B$5),OR('Data Transfer'!$B$6="",ISNUMBER(SEARCH('Data Transfer'!$B$6,'Compliance Database'!$D1245&amp;" "&amp;'Compliance Database'!$K1245&amp;" "&amp;'Compliance Database'!$L1245&amp;" "&amp;'Compliance Database'!$M1245&amp;" "&amp;'Compliance Database'!$N1245&amp;" "&amp;'Compliance Database'!$O1245)))),1,0)</f>
        <v/>
      </c>
      <c r="B1245">
        <f>IF($A1245=1,SUM($A$2:$A1245),"")</f>
        <v/>
      </c>
      <c r="C1245">
        <f>IF($A1245=1,SUM($A$2:$A1245),0)</f>
        <v/>
      </c>
    </row>
    <row r="1246">
      <c r="A1246">
        <f>IF(AND(OR('Compliance Database'!$A1246='Data Transfer'!$B$4,'Compliance Database'!$A1246='Data Transfer'!$B$5),OR('Data Transfer'!$B$6="",ISNUMBER(SEARCH('Data Transfer'!$B$6,'Compliance Database'!$D1246&amp;" "&amp;'Compliance Database'!$K1246&amp;" "&amp;'Compliance Database'!$L1246&amp;" "&amp;'Compliance Database'!$M1246&amp;" "&amp;'Compliance Database'!$N1246&amp;" "&amp;'Compliance Database'!$O1246)))),1,0)</f>
        <v/>
      </c>
      <c r="B1246">
        <f>IF($A1246=1,SUM($A$2:$A1246),"")</f>
        <v/>
      </c>
      <c r="C1246">
        <f>IF($A1246=1,SUM($A$2:$A1246),0)</f>
        <v/>
      </c>
    </row>
    <row r="1247">
      <c r="A1247">
        <f>IF(AND(OR('Compliance Database'!$A1247='Data Transfer'!$B$4,'Compliance Database'!$A1247='Data Transfer'!$B$5),OR('Data Transfer'!$B$6="",ISNUMBER(SEARCH('Data Transfer'!$B$6,'Compliance Database'!$D1247&amp;" "&amp;'Compliance Database'!$K1247&amp;" "&amp;'Compliance Database'!$L1247&amp;" "&amp;'Compliance Database'!$M1247&amp;" "&amp;'Compliance Database'!$N1247&amp;" "&amp;'Compliance Database'!$O1247)))),1,0)</f>
        <v/>
      </c>
      <c r="B1247">
        <f>IF($A1247=1,SUM($A$2:$A1247),"")</f>
        <v/>
      </c>
      <c r="C1247">
        <f>IF($A1247=1,SUM($A$2:$A1247),0)</f>
        <v/>
      </c>
    </row>
    <row r="1248">
      <c r="A1248">
        <f>IF(AND(OR('Compliance Database'!$A1248='Data Transfer'!$B$4,'Compliance Database'!$A1248='Data Transfer'!$B$5),OR('Data Transfer'!$B$6="",ISNUMBER(SEARCH('Data Transfer'!$B$6,'Compliance Database'!$D1248&amp;" "&amp;'Compliance Database'!$K1248&amp;" "&amp;'Compliance Database'!$L1248&amp;" "&amp;'Compliance Database'!$M1248&amp;" "&amp;'Compliance Database'!$N1248&amp;" "&amp;'Compliance Database'!$O1248)))),1,0)</f>
        <v/>
      </c>
      <c r="B1248">
        <f>IF($A1248=1,SUM($A$2:$A1248),"")</f>
        <v/>
      </c>
      <c r="C1248">
        <f>IF($A1248=1,SUM($A$2:$A1248),0)</f>
        <v/>
      </c>
    </row>
    <row r="1249">
      <c r="A1249">
        <f>IF(AND(OR('Compliance Database'!$A1249='Data Transfer'!$B$4,'Compliance Database'!$A1249='Data Transfer'!$B$5),OR('Data Transfer'!$B$6="",ISNUMBER(SEARCH('Data Transfer'!$B$6,'Compliance Database'!$D1249&amp;" "&amp;'Compliance Database'!$K1249&amp;" "&amp;'Compliance Database'!$L1249&amp;" "&amp;'Compliance Database'!$M1249&amp;" "&amp;'Compliance Database'!$N1249&amp;" "&amp;'Compliance Database'!$O1249)))),1,0)</f>
        <v/>
      </c>
      <c r="B1249">
        <f>IF($A1249=1,SUM($A$2:$A1249),"")</f>
        <v/>
      </c>
      <c r="C1249">
        <f>IF($A1249=1,SUM($A$2:$A1249),0)</f>
        <v/>
      </c>
    </row>
    <row r="1250">
      <c r="A1250">
        <f>IF(AND(OR('Compliance Database'!$A1250='Data Transfer'!$B$4,'Compliance Database'!$A1250='Data Transfer'!$B$5),OR('Data Transfer'!$B$6="",ISNUMBER(SEARCH('Data Transfer'!$B$6,'Compliance Database'!$D1250&amp;" "&amp;'Compliance Database'!$K1250&amp;" "&amp;'Compliance Database'!$L1250&amp;" "&amp;'Compliance Database'!$M1250&amp;" "&amp;'Compliance Database'!$N1250&amp;" "&amp;'Compliance Database'!$O1250)))),1,0)</f>
        <v/>
      </c>
      <c r="B1250">
        <f>IF($A1250=1,SUM($A$2:$A1250),"")</f>
        <v/>
      </c>
      <c r="C1250">
        <f>IF($A1250=1,SUM($A$2:$A1250),0)</f>
        <v/>
      </c>
    </row>
    <row r="1251">
      <c r="A1251">
        <f>IF(AND(OR('Compliance Database'!$A1251='Data Transfer'!$B$4,'Compliance Database'!$A1251='Data Transfer'!$B$5),OR('Data Transfer'!$B$6="",ISNUMBER(SEARCH('Data Transfer'!$B$6,'Compliance Database'!$D1251&amp;" "&amp;'Compliance Database'!$K1251&amp;" "&amp;'Compliance Database'!$L1251&amp;" "&amp;'Compliance Database'!$M1251&amp;" "&amp;'Compliance Database'!$N1251&amp;" "&amp;'Compliance Database'!$O1251)))),1,0)</f>
        <v/>
      </c>
      <c r="B1251">
        <f>IF($A1251=1,SUM($A$2:$A1251),"")</f>
        <v/>
      </c>
      <c r="C1251">
        <f>IF($A1251=1,SUM($A$2:$A1251),0)</f>
        <v/>
      </c>
    </row>
    <row r="1252">
      <c r="A1252">
        <f>IF(AND(OR('Compliance Database'!$A1252='Data Transfer'!$B$4,'Compliance Database'!$A1252='Data Transfer'!$B$5),OR('Data Transfer'!$B$6="",ISNUMBER(SEARCH('Data Transfer'!$B$6,'Compliance Database'!$D1252&amp;" "&amp;'Compliance Database'!$K1252&amp;" "&amp;'Compliance Database'!$L1252&amp;" "&amp;'Compliance Database'!$M1252&amp;" "&amp;'Compliance Database'!$N1252&amp;" "&amp;'Compliance Database'!$O1252)))),1,0)</f>
        <v/>
      </c>
      <c r="B1252">
        <f>IF($A1252=1,SUM($A$2:$A1252),"")</f>
        <v/>
      </c>
      <c r="C1252">
        <f>IF($A1252=1,SUM($A$2:$A1252),0)</f>
        <v/>
      </c>
    </row>
    <row r="1253">
      <c r="A1253">
        <f>IF(AND(OR('Compliance Database'!$A1253='Data Transfer'!$B$4,'Compliance Database'!$A1253='Data Transfer'!$B$5),OR('Data Transfer'!$B$6="",ISNUMBER(SEARCH('Data Transfer'!$B$6,'Compliance Database'!$D1253&amp;" "&amp;'Compliance Database'!$K1253&amp;" "&amp;'Compliance Database'!$L1253&amp;" "&amp;'Compliance Database'!$M1253&amp;" "&amp;'Compliance Database'!$N1253&amp;" "&amp;'Compliance Database'!$O1253)))),1,0)</f>
        <v/>
      </c>
      <c r="B1253">
        <f>IF($A1253=1,SUM($A$2:$A1253),"")</f>
        <v/>
      </c>
      <c r="C1253">
        <f>IF($A1253=1,SUM($A$2:$A1253),0)</f>
        <v/>
      </c>
    </row>
    <row r="1254">
      <c r="A1254">
        <f>IF(AND(OR('Compliance Database'!$A1254='Data Transfer'!$B$4,'Compliance Database'!$A1254='Data Transfer'!$B$5),OR('Data Transfer'!$B$6="",ISNUMBER(SEARCH('Data Transfer'!$B$6,'Compliance Database'!$D1254&amp;" "&amp;'Compliance Database'!$K1254&amp;" "&amp;'Compliance Database'!$L1254&amp;" "&amp;'Compliance Database'!$M1254&amp;" "&amp;'Compliance Database'!$N1254&amp;" "&amp;'Compliance Database'!$O1254)))),1,0)</f>
        <v/>
      </c>
      <c r="B1254">
        <f>IF($A1254=1,SUM($A$2:$A1254),"")</f>
        <v/>
      </c>
      <c r="C1254">
        <f>IF($A1254=1,SUM($A$2:$A1254),0)</f>
        <v/>
      </c>
    </row>
    <row r="1255">
      <c r="A1255">
        <f>IF(AND(OR('Compliance Database'!$A1255='Data Transfer'!$B$4,'Compliance Database'!$A1255='Data Transfer'!$B$5),OR('Data Transfer'!$B$6="",ISNUMBER(SEARCH('Data Transfer'!$B$6,'Compliance Database'!$D1255&amp;" "&amp;'Compliance Database'!$K1255&amp;" "&amp;'Compliance Database'!$L1255&amp;" "&amp;'Compliance Database'!$M1255&amp;" "&amp;'Compliance Database'!$N1255&amp;" "&amp;'Compliance Database'!$O1255)))),1,0)</f>
        <v/>
      </c>
      <c r="B1255">
        <f>IF($A1255=1,SUM($A$2:$A1255),"")</f>
        <v/>
      </c>
      <c r="C1255">
        <f>IF($A1255=1,SUM($A$2:$A1255),0)</f>
        <v/>
      </c>
    </row>
    <row r="1256">
      <c r="A1256">
        <f>IF(AND(OR('Compliance Database'!$A1256='Data Transfer'!$B$4,'Compliance Database'!$A1256='Data Transfer'!$B$5),OR('Data Transfer'!$B$6="",ISNUMBER(SEARCH('Data Transfer'!$B$6,'Compliance Database'!$D1256&amp;" "&amp;'Compliance Database'!$K1256&amp;" "&amp;'Compliance Database'!$L1256&amp;" "&amp;'Compliance Database'!$M1256&amp;" "&amp;'Compliance Database'!$N1256&amp;" "&amp;'Compliance Database'!$O1256)))),1,0)</f>
        <v/>
      </c>
      <c r="B1256">
        <f>IF($A1256=1,SUM($A$2:$A1256),"")</f>
        <v/>
      </c>
      <c r="C1256">
        <f>IF($A1256=1,SUM($A$2:$A1256),0)</f>
        <v/>
      </c>
    </row>
    <row r="1257">
      <c r="A1257">
        <f>IF(AND(OR('Compliance Database'!$A1257='Data Transfer'!$B$4,'Compliance Database'!$A1257='Data Transfer'!$B$5),OR('Data Transfer'!$B$6="",ISNUMBER(SEARCH('Data Transfer'!$B$6,'Compliance Database'!$D1257&amp;" "&amp;'Compliance Database'!$K1257&amp;" "&amp;'Compliance Database'!$L1257&amp;" "&amp;'Compliance Database'!$M1257&amp;" "&amp;'Compliance Database'!$N1257&amp;" "&amp;'Compliance Database'!$O1257)))),1,0)</f>
        <v/>
      </c>
      <c r="B1257">
        <f>IF($A1257=1,SUM($A$2:$A1257),"")</f>
        <v/>
      </c>
      <c r="C1257">
        <f>IF($A1257=1,SUM($A$2:$A1257),0)</f>
        <v/>
      </c>
    </row>
    <row r="1258">
      <c r="A1258">
        <f>IF(AND(OR('Compliance Database'!$A1258='Data Transfer'!$B$4,'Compliance Database'!$A1258='Data Transfer'!$B$5),OR('Data Transfer'!$B$6="",ISNUMBER(SEARCH('Data Transfer'!$B$6,'Compliance Database'!$D1258&amp;" "&amp;'Compliance Database'!$K1258&amp;" "&amp;'Compliance Database'!$L1258&amp;" "&amp;'Compliance Database'!$M1258&amp;" "&amp;'Compliance Database'!$N1258&amp;" "&amp;'Compliance Database'!$O1258)))),1,0)</f>
        <v/>
      </c>
      <c r="B1258">
        <f>IF($A1258=1,SUM($A$2:$A1258),"")</f>
        <v/>
      </c>
      <c r="C1258">
        <f>IF($A1258=1,SUM($A$2:$A1258),0)</f>
        <v/>
      </c>
    </row>
    <row r="1259">
      <c r="A1259">
        <f>IF(AND(OR('Compliance Database'!$A1259='Data Transfer'!$B$4,'Compliance Database'!$A1259='Data Transfer'!$B$5),OR('Data Transfer'!$B$6="",ISNUMBER(SEARCH('Data Transfer'!$B$6,'Compliance Database'!$D1259&amp;" "&amp;'Compliance Database'!$K1259&amp;" "&amp;'Compliance Database'!$L1259&amp;" "&amp;'Compliance Database'!$M1259&amp;" "&amp;'Compliance Database'!$N1259&amp;" "&amp;'Compliance Database'!$O1259)))),1,0)</f>
        <v/>
      </c>
      <c r="B1259">
        <f>IF($A1259=1,SUM($A$2:$A1259),"")</f>
        <v/>
      </c>
      <c r="C1259">
        <f>IF($A1259=1,SUM($A$2:$A1259),0)</f>
        <v/>
      </c>
    </row>
    <row r="1260">
      <c r="A1260">
        <f>IF(AND(OR('Compliance Database'!$A1260='Data Transfer'!$B$4,'Compliance Database'!$A1260='Data Transfer'!$B$5),OR('Data Transfer'!$B$6="",ISNUMBER(SEARCH('Data Transfer'!$B$6,'Compliance Database'!$D1260&amp;" "&amp;'Compliance Database'!$K1260&amp;" "&amp;'Compliance Database'!$L1260&amp;" "&amp;'Compliance Database'!$M1260&amp;" "&amp;'Compliance Database'!$N1260&amp;" "&amp;'Compliance Database'!$O1260)))),1,0)</f>
        <v/>
      </c>
      <c r="B1260">
        <f>IF($A1260=1,SUM($A$2:$A1260),"")</f>
        <v/>
      </c>
      <c r="C1260">
        <f>IF($A1260=1,SUM($A$2:$A1260),0)</f>
        <v/>
      </c>
    </row>
    <row r="1261">
      <c r="A1261">
        <f>IF(AND(OR('Compliance Database'!$A1261='Data Transfer'!$B$4,'Compliance Database'!$A1261='Data Transfer'!$B$5),OR('Data Transfer'!$B$6="",ISNUMBER(SEARCH('Data Transfer'!$B$6,'Compliance Database'!$D1261&amp;" "&amp;'Compliance Database'!$K1261&amp;" "&amp;'Compliance Database'!$L1261&amp;" "&amp;'Compliance Database'!$M1261&amp;" "&amp;'Compliance Database'!$N1261&amp;" "&amp;'Compliance Database'!$O1261)))),1,0)</f>
        <v/>
      </c>
      <c r="B1261">
        <f>IF($A1261=1,SUM($A$2:$A1261),"")</f>
        <v/>
      </c>
      <c r="C1261">
        <f>IF($A1261=1,SUM($A$2:$A1261),0)</f>
        <v/>
      </c>
    </row>
    <row r="1262">
      <c r="A1262">
        <f>IF(AND(OR('Compliance Database'!$A1262='Data Transfer'!$B$4,'Compliance Database'!$A1262='Data Transfer'!$B$5),OR('Data Transfer'!$B$6="",ISNUMBER(SEARCH('Data Transfer'!$B$6,'Compliance Database'!$D1262&amp;" "&amp;'Compliance Database'!$K1262&amp;" "&amp;'Compliance Database'!$L1262&amp;" "&amp;'Compliance Database'!$M1262&amp;" "&amp;'Compliance Database'!$N1262&amp;" "&amp;'Compliance Database'!$O1262)))),1,0)</f>
        <v/>
      </c>
      <c r="B1262">
        <f>IF($A1262=1,SUM($A$2:$A1262),"")</f>
        <v/>
      </c>
      <c r="C1262">
        <f>IF($A1262=1,SUM($A$2:$A1262),0)</f>
        <v/>
      </c>
    </row>
    <row r="1263">
      <c r="A1263">
        <f>IF(AND(OR('Compliance Database'!$A1263='Data Transfer'!$B$4,'Compliance Database'!$A1263='Data Transfer'!$B$5),OR('Data Transfer'!$B$6="",ISNUMBER(SEARCH('Data Transfer'!$B$6,'Compliance Database'!$D1263&amp;" "&amp;'Compliance Database'!$K1263&amp;" "&amp;'Compliance Database'!$L1263&amp;" "&amp;'Compliance Database'!$M1263&amp;" "&amp;'Compliance Database'!$N1263&amp;" "&amp;'Compliance Database'!$O1263)))),1,0)</f>
        <v/>
      </c>
      <c r="B1263">
        <f>IF($A1263=1,SUM($A$2:$A1263),"")</f>
        <v/>
      </c>
      <c r="C1263">
        <f>IF($A1263=1,SUM($A$2:$A1263),0)</f>
        <v/>
      </c>
    </row>
    <row r="1264">
      <c r="A1264">
        <f>IF(AND(OR('Compliance Database'!$A1264='Data Transfer'!$B$4,'Compliance Database'!$A1264='Data Transfer'!$B$5),OR('Data Transfer'!$B$6="",ISNUMBER(SEARCH('Data Transfer'!$B$6,'Compliance Database'!$D1264&amp;" "&amp;'Compliance Database'!$K1264&amp;" "&amp;'Compliance Database'!$L1264&amp;" "&amp;'Compliance Database'!$M1264&amp;" "&amp;'Compliance Database'!$N1264&amp;" "&amp;'Compliance Database'!$O1264)))),1,0)</f>
        <v/>
      </c>
      <c r="B1264">
        <f>IF($A1264=1,SUM($A$2:$A1264),"")</f>
        <v/>
      </c>
      <c r="C1264">
        <f>IF($A1264=1,SUM($A$2:$A1264),0)</f>
        <v/>
      </c>
    </row>
    <row r="1265">
      <c r="A1265">
        <f>IF(AND(OR('Compliance Database'!$A1265='Data Transfer'!$B$4,'Compliance Database'!$A1265='Data Transfer'!$B$5),OR('Data Transfer'!$B$6="",ISNUMBER(SEARCH('Data Transfer'!$B$6,'Compliance Database'!$D1265&amp;" "&amp;'Compliance Database'!$K1265&amp;" "&amp;'Compliance Database'!$L1265&amp;" "&amp;'Compliance Database'!$M1265&amp;" "&amp;'Compliance Database'!$N1265&amp;" "&amp;'Compliance Database'!$O1265)))),1,0)</f>
        <v/>
      </c>
      <c r="B1265">
        <f>IF($A1265=1,SUM($A$2:$A1265),"")</f>
        <v/>
      </c>
      <c r="C1265">
        <f>IF($A1265=1,SUM($A$2:$A1265),0)</f>
        <v/>
      </c>
    </row>
    <row r="1266">
      <c r="A1266">
        <f>IF(AND(OR('Compliance Database'!$A1266='Data Transfer'!$B$4,'Compliance Database'!$A1266='Data Transfer'!$B$5),OR('Data Transfer'!$B$6="",ISNUMBER(SEARCH('Data Transfer'!$B$6,'Compliance Database'!$D1266&amp;" "&amp;'Compliance Database'!$K1266&amp;" "&amp;'Compliance Database'!$L1266&amp;" "&amp;'Compliance Database'!$M1266&amp;" "&amp;'Compliance Database'!$N1266&amp;" "&amp;'Compliance Database'!$O1266)))),1,0)</f>
        <v/>
      </c>
      <c r="B1266">
        <f>IF($A1266=1,SUM($A$2:$A1266),"")</f>
        <v/>
      </c>
      <c r="C1266">
        <f>IF($A1266=1,SUM($A$2:$A1266),0)</f>
        <v/>
      </c>
    </row>
    <row r="1267">
      <c r="A1267">
        <f>IF(AND(OR('Compliance Database'!$A1267='Data Transfer'!$B$4,'Compliance Database'!$A1267='Data Transfer'!$B$5),OR('Data Transfer'!$B$6="",ISNUMBER(SEARCH('Data Transfer'!$B$6,'Compliance Database'!$D1267&amp;" "&amp;'Compliance Database'!$K1267&amp;" "&amp;'Compliance Database'!$L1267&amp;" "&amp;'Compliance Database'!$M1267&amp;" "&amp;'Compliance Database'!$N1267&amp;" "&amp;'Compliance Database'!$O1267)))),1,0)</f>
        <v/>
      </c>
      <c r="B1267">
        <f>IF($A1267=1,SUM($A$2:$A1267),"")</f>
        <v/>
      </c>
      <c r="C1267">
        <f>IF($A1267=1,SUM($A$2:$A1267),0)</f>
        <v/>
      </c>
    </row>
    <row r="1268">
      <c r="A1268">
        <f>IF(AND(OR('Compliance Database'!$A1268='Data Transfer'!$B$4,'Compliance Database'!$A1268='Data Transfer'!$B$5),OR('Data Transfer'!$B$6="",ISNUMBER(SEARCH('Data Transfer'!$B$6,'Compliance Database'!$D1268&amp;" "&amp;'Compliance Database'!$K1268&amp;" "&amp;'Compliance Database'!$L1268&amp;" "&amp;'Compliance Database'!$M1268&amp;" "&amp;'Compliance Database'!$N1268&amp;" "&amp;'Compliance Database'!$O1268)))),1,0)</f>
        <v/>
      </c>
      <c r="B1268">
        <f>IF($A1268=1,SUM($A$2:$A1268),"")</f>
        <v/>
      </c>
      <c r="C1268">
        <f>IF($A1268=1,SUM($A$2:$A1268),0)</f>
        <v/>
      </c>
    </row>
    <row r="1269">
      <c r="A1269">
        <f>IF(AND(OR('Compliance Database'!$A1269='Data Transfer'!$B$4,'Compliance Database'!$A1269='Data Transfer'!$B$5),OR('Data Transfer'!$B$6="",ISNUMBER(SEARCH('Data Transfer'!$B$6,'Compliance Database'!$D1269&amp;" "&amp;'Compliance Database'!$K1269&amp;" "&amp;'Compliance Database'!$L1269&amp;" "&amp;'Compliance Database'!$M1269&amp;" "&amp;'Compliance Database'!$N1269&amp;" "&amp;'Compliance Database'!$O1269)))),1,0)</f>
        <v/>
      </c>
      <c r="B1269">
        <f>IF($A1269=1,SUM($A$2:$A1269),"")</f>
        <v/>
      </c>
      <c r="C1269">
        <f>IF($A1269=1,SUM($A$2:$A1269),0)</f>
        <v/>
      </c>
    </row>
    <row r="1270">
      <c r="A1270">
        <f>IF(AND(OR('Compliance Database'!$A1270='Data Transfer'!$B$4,'Compliance Database'!$A1270='Data Transfer'!$B$5),OR('Data Transfer'!$B$6="",ISNUMBER(SEARCH('Data Transfer'!$B$6,'Compliance Database'!$D1270&amp;" "&amp;'Compliance Database'!$K1270&amp;" "&amp;'Compliance Database'!$L1270&amp;" "&amp;'Compliance Database'!$M1270&amp;" "&amp;'Compliance Database'!$N1270&amp;" "&amp;'Compliance Database'!$O1270)))),1,0)</f>
        <v/>
      </c>
      <c r="B1270">
        <f>IF($A1270=1,SUM($A$2:$A1270),"")</f>
        <v/>
      </c>
      <c r="C1270">
        <f>IF($A1270=1,SUM($A$2:$A1270),0)</f>
        <v/>
      </c>
    </row>
    <row r="1271">
      <c r="A1271">
        <f>IF(AND(OR('Compliance Database'!$A1271='Data Transfer'!$B$4,'Compliance Database'!$A1271='Data Transfer'!$B$5),OR('Data Transfer'!$B$6="",ISNUMBER(SEARCH('Data Transfer'!$B$6,'Compliance Database'!$D1271&amp;" "&amp;'Compliance Database'!$K1271&amp;" "&amp;'Compliance Database'!$L1271&amp;" "&amp;'Compliance Database'!$M1271&amp;" "&amp;'Compliance Database'!$N1271&amp;" "&amp;'Compliance Database'!$O1271)))),1,0)</f>
        <v/>
      </c>
      <c r="B1271">
        <f>IF($A1271=1,SUM($A$2:$A1271),"")</f>
        <v/>
      </c>
      <c r="C1271">
        <f>IF($A1271=1,SUM($A$2:$A1271),0)</f>
        <v/>
      </c>
    </row>
    <row r="1272">
      <c r="A1272">
        <f>IF(AND(OR('Compliance Database'!$A1272='Data Transfer'!$B$4,'Compliance Database'!$A1272='Data Transfer'!$B$5),OR('Data Transfer'!$B$6="",ISNUMBER(SEARCH('Data Transfer'!$B$6,'Compliance Database'!$D1272&amp;" "&amp;'Compliance Database'!$K1272&amp;" "&amp;'Compliance Database'!$L1272&amp;" "&amp;'Compliance Database'!$M1272&amp;" "&amp;'Compliance Database'!$N1272&amp;" "&amp;'Compliance Database'!$O1272)))),1,0)</f>
        <v/>
      </c>
      <c r="B1272">
        <f>IF($A1272=1,SUM($A$2:$A1272),"")</f>
        <v/>
      </c>
      <c r="C1272">
        <f>IF($A1272=1,SUM($A$2:$A1272),0)</f>
        <v/>
      </c>
    </row>
    <row r="1273">
      <c r="A1273">
        <f>IF(AND(OR('Compliance Database'!$A1273='Data Transfer'!$B$4,'Compliance Database'!$A1273='Data Transfer'!$B$5),OR('Data Transfer'!$B$6="",ISNUMBER(SEARCH('Data Transfer'!$B$6,'Compliance Database'!$D1273&amp;" "&amp;'Compliance Database'!$K1273&amp;" "&amp;'Compliance Database'!$L1273&amp;" "&amp;'Compliance Database'!$M1273&amp;" "&amp;'Compliance Database'!$N1273&amp;" "&amp;'Compliance Database'!$O1273)))),1,0)</f>
        <v/>
      </c>
      <c r="B1273">
        <f>IF($A1273=1,SUM($A$2:$A1273),"")</f>
        <v/>
      </c>
      <c r="C1273">
        <f>IF($A1273=1,SUM($A$2:$A1273),0)</f>
        <v/>
      </c>
    </row>
    <row r="1274">
      <c r="A1274">
        <f>IF(AND(OR('Compliance Database'!$A1274='Data Transfer'!$B$4,'Compliance Database'!$A1274='Data Transfer'!$B$5),OR('Data Transfer'!$B$6="",ISNUMBER(SEARCH('Data Transfer'!$B$6,'Compliance Database'!$D1274&amp;" "&amp;'Compliance Database'!$K1274&amp;" "&amp;'Compliance Database'!$L1274&amp;" "&amp;'Compliance Database'!$M1274&amp;" "&amp;'Compliance Database'!$N1274&amp;" "&amp;'Compliance Database'!$O1274)))),1,0)</f>
        <v/>
      </c>
      <c r="B1274">
        <f>IF($A1274=1,SUM($A$2:$A1274),"")</f>
        <v/>
      </c>
      <c r="C1274">
        <f>IF($A1274=1,SUM($A$2:$A1274),0)</f>
        <v/>
      </c>
    </row>
    <row r="1275">
      <c r="A1275">
        <f>IF(AND(OR('Compliance Database'!$A1275='Data Transfer'!$B$4,'Compliance Database'!$A1275='Data Transfer'!$B$5),OR('Data Transfer'!$B$6="",ISNUMBER(SEARCH('Data Transfer'!$B$6,'Compliance Database'!$D1275&amp;" "&amp;'Compliance Database'!$K1275&amp;" "&amp;'Compliance Database'!$L1275&amp;" "&amp;'Compliance Database'!$M1275&amp;" "&amp;'Compliance Database'!$N1275&amp;" "&amp;'Compliance Database'!$O1275)))),1,0)</f>
        <v/>
      </c>
      <c r="B1275">
        <f>IF($A1275=1,SUM($A$2:$A1275),"")</f>
        <v/>
      </c>
      <c r="C1275">
        <f>IF($A1275=1,SUM($A$2:$A1275),0)</f>
        <v/>
      </c>
    </row>
    <row r="1276">
      <c r="A1276">
        <f>IF(AND(OR('Compliance Database'!$A1276='Data Transfer'!$B$4,'Compliance Database'!$A1276='Data Transfer'!$B$5),OR('Data Transfer'!$B$6="",ISNUMBER(SEARCH('Data Transfer'!$B$6,'Compliance Database'!$D1276&amp;" "&amp;'Compliance Database'!$K1276&amp;" "&amp;'Compliance Database'!$L1276&amp;" "&amp;'Compliance Database'!$M1276&amp;" "&amp;'Compliance Database'!$N1276&amp;" "&amp;'Compliance Database'!$O1276)))),1,0)</f>
        <v/>
      </c>
      <c r="B1276">
        <f>IF($A1276=1,SUM($A$2:$A1276),"")</f>
        <v/>
      </c>
      <c r="C1276">
        <f>IF($A1276=1,SUM($A$2:$A1276),0)</f>
        <v/>
      </c>
    </row>
    <row r="1277">
      <c r="A1277">
        <f>IF(AND(OR('Compliance Database'!$A1277='Data Transfer'!$B$4,'Compliance Database'!$A1277='Data Transfer'!$B$5),OR('Data Transfer'!$B$6="",ISNUMBER(SEARCH('Data Transfer'!$B$6,'Compliance Database'!$D1277&amp;" "&amp;'Compliance Database'!$K1277&amp;" "&amp;'Compliance Database'!$L1277&amp;" "&amp;'Compliance Database'!$M1277&amp;" "&amp;'Compliance Database'!$N1277&amp;" "&amp;'Compliance Database'!$O1277)))),1,0)</f>
        <v/>
      </c>
      <c r="B1277">
        <f>IF($A1277=1,SUM($A$2:$A1277),"")</f>
        <v/>
      </c>
      <c r="C1277">
        <f>IF($A1277=1,SUM($A$2:$A1277),0)</f>
        <v/>
      </c>
    </row>
    <row r="1278">
      <c r="A1278">
        <f>IF(AND(OR('Compliance Database'!$A1278='Data Transfer'!$B$4,'Compliance Database'!$A1278='Data Transfer'!$B$5),OR('Data Transfer'!$B$6="",ISNUMBER(SEARCH('Data Transfer'!$B$6,'Compliance Database'!$D1278&amp;" "&amp;'Compliance Database'!$K1278&amp;" "&amp;'Compliance Database'!$L1278&amp;" "&amp;'Compliance Database'!$M1278&amp;" "&amp;'Compliance Database'!$N1278&amp;" "&amp;'Compliance Database'!$O1278)))),1,0)</f>
        <v/>
      </c>
      <c r="B1278">
        <f>IF($A1278=1,SUM($A$2:$A1278),"")</f>
        <v/>
      </c>
      <c r="C1278">
        <f>IF($A1278=1,SUM($A$2:$A1278),0)</f>
        <v/>
      </c>
    </row>
    <row r="1279">
      <c r="A1279">
        <f>IF(AND(OR('Compliance Database'!$A1279='Data Transfer'!$B$4,'Compliance Database'!$A1279='Data Transfer'!$B$5),OR('Data Transfer'!$B$6="",ISNUMBER(SEARCH('Data Transfer'!$B$6,'Compliance Database'!$D1279&amp;" "&amp;'Compliance Database'!$K1279&amp;" "&amp;'Compliance Database'!$L1279&amp;" "&amp;'Compliance Database'!$M1279&amp;" "&amp;'Compliance Database'!$N1279&amp;" "&amp;'Compliance Database'!$O1279)))),1,0)</f>
        <v/>
      </c>
      <c r="B1279">
        <f>IF($A1279=1,SUM($A$2:$A1279),"")</f>
        <v/>
      </c>
      <c r="C1279">
        <f>IF($A1279=1,SUM($A$2:$A1279),0)</f>
        <v/>
      </c>
    </row>
    <row r="1280">
      <c r="A1280">
        <f>IF(AND(OR('Compliance Database'!$A1280='Data Transfer'!$B$4,'Compliance Database'!$A1280='Data Transfer'!$B$5),OR('Data Transfer'!$B$6="",ISNUMBER(SEARCH('Data Transfer'!$B$6,'Compliance Database'!$D1280&amp;" "&amp;'Compliance Database'!$K1280&amp;" "&amp;'Compliance Database'!$L1280&amp;" "&amp;'Compliance Database'!$M1280&amp;" "&amp;'Compliance Database'!$N1280&amp;" "&amp;'Compliance Database'!$O1280)))),1,0)</f>
        <v/>
      </c>
      <c r="B1280">
        <f>IF($A1280=1,SUM($A$2:$A1280),"")</f>
        <v/>
      </c>
      <c r="C1280">
        <f>IF($A1280=1,SUM($A$2:$A1280),0)</f>
        <v/>
      </c>
    </row>
    <row r="1281">
      <c r="A1281">
        <f>IF(AND(OR('Compliance Database'!$A1281='Data Transfer'!$B$4,'Compliance Database'!$A1281='Data Transfer'!$B$5),OR('Data Transfer'!$B$6="",ISNUMBER(SEARCH('Data Transfer'!$B$6,'Compliance Database'!$D1281&amp;" "&amp;'Compliance Database'!$K1281&amp;" "&amp;'Compliance Database'!$L1281&amp;" "&amp;'Compliance Database'!$M1281&amp;" "&amp;'Compliance Database'!$N1281&amp;" "&amp;'Compliance Database'!$O1281)))),1,0)</f>
        <v/>
      </c>
      <c r="B1281">
        <f>IF($A1281=1,SUM($A$2:$A1281),"")</f>
        <v/>
      </c>
      <c r="C1281">
        <f>IF($A1281=1,SUM($A$2:$A1281),0)</f>
        <v/>
      </c>
    </row>
    <row r="1282">
      <c r="A1282">
        <f>IF(AND(OR('Compliance Database'!$A1282='Data Transfer'!$B$4,'Compliance Database'!$A1282='Data Transfer'!$B$5),OR('Data Transfer'!$B$6="",ISNUMBER(SEARCH('Data Transfer'!$B$6,'Compliance Database'!$D1282&amp;" "&amp;'Compliance Database'!$K1282&amp;" "&amp;'Compliance Database'!$L1282&amp;" "&amp;'Compliance Database'!$M1282&amp;" "&amp;'Compliance Database'!$N1282&amp;" "&amp;'Compliance Database'!$O1282)))),1,0)</f>
        <v/>
      </c>
      <c r="B1282">
        <f>IF($A1282=1,SUM($A$2:$A1282),"")</f>
        <v/>
      </c>
      <c r="C1282">
        <f>IF($A1282=1,SUM($A$2:$A1282),0)</f>
        <v/>
      </c>
    </row>
    <row r="1283">
      <c r="A1283">
        <f>IF(AND(OR('Compliance Database'!$A1283='Data Transfer'!$B$4,'Compliance Database'!$A1283='Data Transfer'!$B$5),OR('Data Transfer'!$B$6="",ISNUMBER(SEARCH('Data Transfer'!$B$6,'Compliance Database'!$D1283&amp;" "&amp;'Compliance Database'!$K1283&amp;" "&amp;'Compliance Database'!$L1283&amp;" "&amp;'Compliance Database'!$M1283&amp;" "&amp;'Compliance Database'!$N1283&amp;" "&amp;'Compliance Database'!$O1283)))),1,0)</f>
        <v/>
      </c>
      <c r="B1283">
        <f>IF($A1283=1,SUM($A$2:$A1283),"")</f>
        <v/>
      </c>
      <c r="C1283">
        <f>IF($A1283=1,SUM($A$2:$A1283),0)</f>
        <v/>
      </c>
    </row>
    <row r="1284">
      <c r="A1284">
        <f>IF(AND(OR('Compliance Database'!$A1284='Data Transfer'!$B$4,'Compliance Database'!$A1284='Data Transfer'!$B$5),OR('Data Transfer'!$B$6="",ISNUMBER(SEARCH('Data Transfer'!$B$6,'Compliance Database'!$D1284&amp;" "&amp;'Compliance Database'!$K1284&amp;" "&amp;'Compliance Database'!$L1284&amp;" "&amp;'Compliance Database'!$M1284&amp;" "&amp;'Compliance Database'!$N1284&amp;" "&amp;'Compliance Database'!$O1284)))),1,0)</f>
        <v/>
      </c>
      <c r="B1284">
        <f>IF($A1284=1,SUM($A$2:$A1284),"")</f>
        <v/>
      </c>
      <c r="C1284">
        <f>IF($A1284=1,SUM($A$2:$A1284),0)</f>
        <v/>
      </c>
    </row>
    <row r="1285">
      <c r="A1285">
        <f>IF(AND(OR('Compliance Database'!$A1285='Data Transfer'!$B$4,'Compliance Database'!$A1285='Data Transfer'!$B$5),OR('Data Transfer'!$B$6="",ISNUMBER(SEARCH('Data Transfer'!$B$6,'Compliance Database'!$D1285&amp;" "&amp;'Compliance Database'!$K1285&amp;" "&amp;'Compliance Database'!$L1285&amp;" "&amp;'Compliance Database'!$M1285&amp;" "&amp;'Compliance Database'!$N1285&amp;" "&amp;'Compliance Database'!$O1285)))),1,0)</f>
        <v/>
      </c>
      <c r="B1285">
        <f>IF($A1285=1,SUM($A$2:$A1285),"")</f>
        <v/>
      </c>
      <c r="C1285">
        <f>IF($A1285=1,SUM($A$2:$A1285),0)</f>
        <v/>
      </c>
    </row>
    <row r="1286">
      <c r="A1286">
        <f>IF(AND(OR('Compliance Database'!$A1286='Data Transfer'!$B$4,'Compliance Database'!$A1286='Data Transfer'!$B$5),OR('Data Transfer'!$B$6="",ISNUMBER(SEARCH('Data Transfer'!$B$6,'Compliance Database'!$D1286&amp;" "&amp;'Compliance Database'!$K1286&amp;" "&amp;'Compliance Database'!$L1286&amp;" "&amp;'Compliance Database'!$M1286&amp;" "&amp;'Compliance Database'!$N1286&amp;" "&amp;'Compliance Database'!$O1286)))),1,0)</f>
        <v/>
      </c>
      <c r="B1286">
        <f>IF($A1286=1,SUM($A$2:$A1286),"")</f>
        <v/>
      </c>
      <c r="C1286">
        <f>IF($A1286=1,SUM($A$2:$A1286),0)</f>
        <v/>
      </c>
    </row>
    <row r="1287">
      <c r="A1287">
        <f>IF(AND(OR('Compliance Database'!$A1287='Data Transfer'!$B$4,'Compliance Database'!$A1287='Data Transfer'!$B$5),OR('Data Transfer'!$B$6="",ISNUMBER(SEARCH('Data Transfer'!$B$6,'Compliance Database'!$D1287&amp;" "&amp;'Compliance Database'!$K1287&amp;" "&amp;'Compliance Database'!$L1287&amp;" "&amp;'Compliance Database'!$M1287&amp;" "&amp;'Compliance Database'!$N1287&amp;" "&amp;'Compliance Database'!$O1287)))),1,0)</f>
        <v/>
      </c>
      <c r="B1287">
        <f>IF($A1287=1,SUM($A$2:$A1287),"")</f>
        <v/>
      </c>
      <c r="C1287">
        <f>IF($A1287=1,SUM($A$2:$A1287),0)</f>
        <v/>
      </c>
    </row>
    <row r="1288">
      <c r="A1288">
        <f>IF(AND(OR('Compliance Database'!$A1288='Data Transfer'!$B$4,'Compliance Database'!$A1288='Data Transfer'!$B$5),OR('Data Transfer'!$B$6="",ISNUMBER(SEARCH('Data Transfer'!$B$6,'Compliance Database'!$D1288&amp;" "&amp;'Compliance Database'!$K1288&amp;" "&amp;'Compliance Database'!$L1288&amp;" "&amp;'Compliance Database'!$M1288&amp;" "&amp;'Compliance Database'!$N1288&amp;" "&amp;'Compliance Database'!$O1288)))),1,0)</f>
        <v/>
      </c>
      <c r="B1288">
        <f>IF($A1288=1,SUM($A$2:$A1288),"")</f>
        <v/>
      </c>
      <c r="C1288">
        <f>IF($A1288=1,SUM($A$2:$A1288),0)</f>
        <v/>
      </c>
    </row>
    <row r="1289">
      <c r="A1289">
        <f>IF(AND(OR('Compliance Database'!$A1289='Data Transfer'!$B$4,'Compliance Database'!$A1289='Data Transfer'!$B$5),OR('Data Transfer'!$B$6="",ISNUMBER(SEARCH('Data Transfer'!$B$6,'Compliance Database'!$D1289&amp;" "&amp;'Compliance Database'!$K1289&amp;" "&amp;'Compliance Database'!$L1289&amp;" "&amp;'Compliance Database'!$M1289&amp;" "&amp;'Compliance Database'!$N1289&amp;" "&amp;'Compliance Database'!$O1289)))),1,0)</f>
        <v/>
      </c>
      <c r="B1289">
        <f>IF($A1289=1,SUM($A$2:$A1289),"")</f>
        <v/>
      </c>
      <c r="C1289">
        <f>IF($A1289=1,SUM($A$2:$A1289),0)</f>
        <v/>
      </c>
    </row>
    <row r="1290">
      <c r="A1290">
        <f>IF(AND(OR('Compliance Database'!$A1290='Data Transfer'!$B$4,'Compliance Database'!$A1290='Data Transfer'!$B$5),OR('Data Transfer'!$B$6="",ISNUMBER(SEARCH('Data Transfer'!$B$6,'Compliance Database'!$D1290&amp;" "&amp;'Compliance Database'!$K1290&amp;" "&amp;'Compliance Database'!$L1290&amp;" "&amp;'Compliance Database'!$M1290&amp;" "&amp;'Compliance Database'!$N1290&amp;" "&amp;'Compliance Database'!$O1290)))),1,0)</f>
        <v/>
      </c>
      <c r="B1290">
        <f>IF($A1290=1,SUM($A$2:$A1290),"")</f>
        <v/>
      </c>
      <c r="C1290">
        <f>IF($A1290=1,SUM($A$2:$A1290),0)</f>
        <v/>
      </c>
    </row>
    <row r="1291">
      <c r="A1291">
        <f>IF(AND(OR('Compliance Database'!$A1291='Data Transfer'!$B$4,'Compliance Database'!$A1291='Data Transfer'!$B$5),OR('Data Transfer'!$B$6="",ISNUMBER(SEARCH('Data Transfer'!$B$6,'Compliance Database'!$D1291&amp;" "&amp;'Compliance Database'!$K1291&amp;" "&amp;'Compliance Database'!$L1291&amp;" "&amp;'Compliance Database'!$M1291&amp;" "&amp;'Compliance Database'!$N1291&amp;" "&amp;'Compliance Database'!$O1291)))),1,0)</f>
        <v/>
      </c>
      <c r="B1291">
        <f>IF($A1291=1,SUM($A$2:$A1291),"")</f>
        <v/>
      </c>
      <c r="C1291">
        <f>IF($A1291=1,SUM($A$2:$A1291),0)</f>
        <v/>
      </c>
    </row>
    <row r="1292">
      <c r="A1292">
        <f>IF(AND(OR('Compliance Database'!$A1292='Data Transfer'!$B$4,'Compliance Database'!$A1292='Data Transfer'!$B$5),OR('Data Transfer'!$B$6="",ISNUMBER(SEARCH('Data Transfer'!$B$6,'Compliance Database'!$D1292&amp;" "&amp;'Compliance Database'!$K1292&amp;" "&amp;'Compliance Database'!$L1292&amp;" "&amp;'Compliance Database'!$M1292&amp;" "&amp;'Compliance Database'!$N1292&amp;" "&amp;'Compliance Database'!$O1292)))),1,0)</f>
        <v/>
      </c>
      <c r="B1292">
        <f>IF($A1292=1,SUM($A$2:$A1292),"")</f>
        <v/>
      </c>
      <c r="C1292">
        <f>IF($A1292=1,SUM($A$2:$A1292),0)</f>
        <v/>
      </c>
    </row>
    <row r="1293">
      <c r="A1293">
        <f>IF(AND(OR('Compliance Database'!$A1293='Data Transfer'!$B$4,'Compliance Database'!$A1293='Data Transfer'!$B$5),OR('Data Transfer'!$B$6="",ISNUMBER(SEARCH('Data Transfer'!$B$6,'Compliance Database'!$D1293&amp;" "&amp;'Compliance Database'!$K1293&amp;" "&amp;'Compliance Database'!$L1293&amp;" "&amp;'Compliance Database'!$M1293&amp;" "&amp;'Compliance Database'!$N1293&amp;" "&amp;'Compliance Database'!$O1293)))),1,0)</f>
        <v/>
      </c>
      <c r="B1293">
        <f>IF($A1293=1,SUM($A$2:$A1293),"")</f>
        <v/>
      </c>
      <c r="C1293">
        <f>IF($A1293=1,SUM($A$2:$A1293),0)</f>
        <v/>
      </c>
    </row>
    <row r="1294">
      <c r="A1294">
        <f>IF(AND(OR('Compliance Database'!$A1294='Data Transfer'!$B$4,'Compliance Database'!$A1294='Data Transfer'!$B$5),OR('Data Transfer'!$B$6="",ISNUMBER(SEARCH('Data Transfer'!$B$6,'Compliance Database'!$D1294&amp;" "&amp;'Compliance Database'!$K1294&amp;" "&amp;'Compliance Database'!$L1294&amp;" "&amp;'Compliance Database'!$M1294&amp;" "&amp;'Compliance Database'!$N1294&amp;" "&amp;'Compliance Database'!$O1294)))),1,0)</f>
        <v/>
      </c>
      <c r="B1294">
        <f>IF($A1294=1,SUM($A$2:$A1294),"")</f>
        <v/>
      </c>
      <c r="C1294">
        <f>IF($A1294=1,SUM($A$2:$A1294),0)</f>
        <v/>
      </c>
    </row>
    <row r="1295">
      <c r="A1295">
        <f>IF(AND(OR('Compliance Database'!$A1295='Data Transfer'!$B$4,'Compliance Database'!$A1295='Data Transfer'!$B$5),OR('Data Transfer'!$B$6="",ISNUMBER(SEARCH('Data Transfer'!$B$6,'Compliance Database'!$D1295&amp;" "&amp;'Compliance Database'!$K1295&amp;" "&amp;'Compliance Database'!$L1295&amp;" "&amp;'Compliance Database'!$M1295&amp;" "&amp;'Compliance Database'!$N1295&amp;" "&amp;'Compliance Database'!$O1295)))),1,0)</f>
        <v/>
      </c>
      <c r="B1295">
        <f>IF($A1295=1,SUM($A$2:$A1295),"")</f>
        <v/>
      </c>
      <c r="C1295">
        <f>IF($A1295=1,SUM($A$2:$A1295),0)</f>
        <v/>
      </c>
    </row>
    <row r="1296">
      <c r="A1296">
        <f>IF(AND(OR('Compliance Database'!$A1296='Data Transfer'!$B$4,'Compliance Database'!$A1296='Data Transfer'!$B$5),OR('Data Transfer'!$B$6="",ISNUMBER(SEARCH('Data Transfer'!$B$6,'Compliance Database'!$D1296&amp;" "&amp;'Compliance Database'!$K1296&amp;" "&amp;'Compliance Database'!$L1296&amp;" "&amp;'Compliance Database'!$M1296&amp;" "&amp;'Compliance Database'!$N1296&amp;" "&amp;'Compliance Database'!$O1296)))),1,0)</f>
        <v/>
      </c>
      <c r="B1296">
        <f>IF($A1296=1,SUM($A$2:$A1296),"")</f>
        <v/>
      </c>
      <c r="C1296">
        <f>IF($A1296=1,SUM($A$2:$A1296),0)</f>
        <v/>
      </c>
    </row>
    <row r="1297">
      <c r="A1297">
        <f>IF(AND(OR('Compliance Database'!$A1297='Data Transfer'!$B$4,'Compliance Database'!$A1297='Data Transfer'!$B$5),OR('Data Transfer'!$B$6="",ISNUMBER(SEARCH('Data Transfer'!$B$6,'Compliance Database'!$D1297&amp;" "&amp;'Compliance Database'!$K1297&amp;" "&amp;'Compliance Database'!$L1297&amp;" "&amp;'Compliance Database'!$M1297&amp;" "&amp;'Compliance Database'!$N1297&amp;" "&amp;'Compliance Database'!$O1297)))),1,0)</f>
        <v/>
      </c>
      <c r="B1297">
        <f>IF($A1297=1,SUM($A$2:$A1297),"")</f>
        <v/>
      </c>
      <c r="C1297">
        <f>IF($A1297=1,SUM($A$2:$A1297),0)</f>
        <v/>
      </c>
    </row>
    <row r="1298">
      <c r="A1298">
        <f>IF(AND(OR('Compliance Database'!$A1298='Data Transfer'!$B$4,'Compliance Database'!$A1298='Data Transfer'!$B$5),OR('Data Transfer'!$B$6="",ISNUMBER(SEARCH('Data Transfer'!$B$6,'Compliance Database'!$D1298&amp;" "&amp;'Compliance Database'!$K1298&amp;" "&amp;'Compliance Database'!$L1298&amp;" "&amp;'Compliance Database'!$M1298&amp;" "&amp;'Compliance Database'!$N1298&amp;" "&amp;'Compliance Database'!$O1298)))),1,0)</f>
        <v/>
      </c>
      <c r="B1298">
        <f>IF($A1298=1,SUM($A$2:$A1298),"")</f>
        <v/>
      </c>
      <c r="C1298">
        <f>IF($A1298=1,SUM($A$2:$A1298),0)</f>
        <v/>
      </c>
    </row>
    <row r="1299">
      <c r="A1299">
        <f>IF(AND(OR('Compliance Database'!$A1299='Data Transfer'!$B$4,'Compliance Database'!$A1299='Data Transfer'!$B$5),OR('Data Transfer'!$B$6="",ISNUMBER(SEARCH('Data Transfer'!$B$6,'Compliance Database'!$D1299&amp;" "&amp;'Compliance Database'!$K1299&amp;" "&amp;'Compliance Database'!$L1299&amp;" "&amp;'Compliance Database'!$M1299&amp;" "&amp;'Compliance Database'!$N1299&amp;" "&amp;'Compliance Database'!$O1299)))),1,0)</f>
        <v/>
      </c>
      <c r="B1299">
        <f>IF($A1299=1,SUM($A$2:$A1299),"")</f>
        <v/>
      </c>
      <c r="C1299">
        <f>IF($A1299=1,SUM($A$2:$A1299),0)</f>
        <v/>
      </c>
    </row>
    <row r="1300">
      <c r="A1300">
        <f>IF(AND(OR('Compliance Database'!$A1300='Data Transfer'!$B$4,'Compliance Database'!$A1300='Data Transfer'!$B$5),OR('Data Transfer'!$B$6="",ISNUMBER(SEARCH('Data Transfer'!$B$6,'Compliance Database'!$D1300&amp;" "&amp;'Compliance Database'!$K1300&amp;" "&amp;'Compliance Database'!$L1300&amp;" "&amp;'Compliance Database'!$M1300&amp;" "&amp;'Compliance Database'!$N1300&amp;" "&amp;'Compliance Database'!$O1300)))),1,0)</f>
        <v/>
      </c>
      <c r="B1300">
        <f>IF($A1300=1,SUM($A$2:$A1300),"")</f>
        <v/>
      </c>
      <c r="C1300">
        <f>IF($A1300=1,SUM($A$2:$A1300),0)</f>
        <v/>
      </c>
    </row>
    <row r="1301">
      <c r="A1301">
        <f>IF(AND(OR('Compliance Database'!$A1301='Data Transfer'!$B$4,'Compliance Database'!$A1301='Data Transfer'!$B$5),OR('Data Transfer'!$B$6="",ISNUMBER(SEARCH('Data Transfer'!$B$6,'Compliance Database'!$D1301&amp;" "&amp;'Compliance Database'!$K1301&amp;" "&amp;'Compliance Database'!$L1301&amp;" "&amp;'Compliance Database'!$M1301&amp;" "&amp;'Compliance Database'!$N1301&amp;" "&amp;'Compliance Database'!$O1301)))),1,0)</f>
        <v/>
      </c>
      <c r="B1301">
        <f>IF($A1301=1,SUM($A$2:$A1301),"")</f>
        <v/>
      </c>
      <c r="C1301">
        <f>IF($A1301=1,SUM($A$2:$A1301),0)</f>
        <v/>
      </c>
    </row>
    <row r="1302">
      <c r="A1302">
        <f>IF(AND(OR('Compliance Database'!$A1302='Data Transfer'!$B$4,'Compliance Database'!$A1302='Data Transfer'!$B$5),OR('Data Transfer'!$B$6="",ISNUMBER(SEARCH('Data Transfer'!$B$6,'Compliance Database'!$D1302&amp;" "&amp;'Compliance Database'!$K1302&amp;" "&amp;'Compliance Database'!$L1302&amp;" "&amp;'Compliance Database'!$M1302&amp;" "&amp;'Compliance Database'!$N1302&amp;" "&amp;'Compliance Database'!$O1302)))),1,0)</f>
        <v/>
      </c>
      <c r="B1302">
        <f>IF($A1302=1,SUM($A$2:$A1302),"")</f>
        <v/>
      </c>
      <c r="C1302">
        <f>IF($A1302=1,SUM($A$2:$A1302),0)</f>
        <v/>
      </c>
    </row>
    <row r="1303">
      <c r="A1303">
        <f>IF(AND(OR('Compliance Database'!$A1303='Data Transfer'!$B$4,'Compliance Database'!$A1303='Data Transfer'!$B$5),OR('Data Transfer'!$B$6="",ISNUMBER(SEARCH('Data Transfer'!$B$6,'Compliance Database'!$D1303&amp;" "&amp;'Compliance Database'!$K1303&amp;" "&amp;'Compliance Database'!$L1303&amp;" "&amp;'Compliance Database'!$M1303&amp;" "&amp;'Compliance Database'!$N1303&amp;" "&amp;'Compliance Database'!$O1303)))),1,0)</f>
        <v/>
      </c>
      <c r="B1303">
        <f>IF($A1303=1,SUM($A$2:$A1303),"")</f>
        <v/>
      </c>
      <c r="C1303">
        <f>IF($A1303=1,SUM($A$2:$A1303),0)</f>
        <v/>
      </c>
    </row>
    <row r="1304">
      <c r="A1304">
        <f>IF(AND(OR('Compliance Database'!$A1304='Data Transfer'!$B$4,'Compliance Database'!$A1304='Data Transfer'!$B$5),OR('Data Transfer'!$B$6="",ISNUMBER(SEARCH('Data Transfer'!$B$6,'Compliance Database'!$D1304&amp;" "&amp;'Compliance Database'!$K1304&amp;" "&amp;'Compliance Database'!$L1304&amp;" "&amp;'Compliance Database'!$M1304&amp;" "&amp;'Compliance Database'!$N1304&amp;" "&amp;'Compliance Database'!$O1304)))),1,0)</f>
        <v/>
      </c>
      <c r="B1304">
        <f>IF($A1304=1,SUM($A$2:$A1304),"")</f>
        <v/>
      </c>
      <c r="C1304">
        <f>IF($A1304=1,SUM($A$2:$A1304),0)</f>
        <v/>
      </c>
    </row>
    <row r="1305">
      <c r="A1305">
        <f>IF(AND(OR('Compliance Database'!$A1305='Data Transfer'!$B$4,'Compliance Database'!$A1305='Data Transfer'!$B$5),OR('Data Transfer'!$B$6="",ISNUMBER(SEARCH('Data Transfer'!$B$6,'Compliance Database'!$D1305&amp;" "&amp;'Compliance Database'!$K1305&amp;" "&amp;'Compliance Database'!$L1305&amp;" "&amp;'Compliance Database'!$M1305&amp;" "&amp;'Compliance Database'!$N1305&amp;" "&amp;'Compliance Database'!$O1305)))),1,0)</f>
        <v/>
      </c>
      <c r="B1305">
        <f>IF($A1305=1,SUM($A$2:$A1305),"")</f>
        <v/>
      </c>
      <c r="C1305">
        <f>IF($A1305=1,SUM($A$2:$A1305),0)</f>
        <v/>
      </c>
    </row>
    <row r="1306">
      <c r="A1306">
        <f>IF(AND(OR('Compliance Database'!$A1306='Data Transfer'!$B$4,'Compliance Database'!$A1306='Data Transfer'!$B$5),OR('Data Transfer'!$B$6="",ISNUMBER(SEARCH('Data Transfer'!$B$6,'Compliance Database'!$D1306&amp;" "&amp;'Compliance Database'!$K1306&amp;" "&amp;'Compliance Database'!$L1306&amp;" "&amp;'Compliance Database'!$M1306&amp;" "&amp;'Compliance Database'!$N1306&amp;" "&amp;'Compliance Database'!$O1306)))),1,0)</f>
        <v/>
      </c>
      <c r="B1306">
        <f>IF($A1306=1,SUM($A$2:$A1306),"")</f>
        <v/>
      </c>
      <c r="C1306">
        <f>IF($A1306=1,SUM($A$2:$A1306),0)</f>
        <v/>
      </c>
    </row>
    <row r="1307">
      <c r="A1307">
        <f>IF(AND(OR('Compliance Database'!$A1307='Data Transfer'!$B$4,'Compliance Database'!$A1307='Data Transfer'!$B$5),OR('Data Transfer'!$B$6="",ISNUMBER(SEARCH('Data Transfer'!$B$6,'Compliance Database'!$D1307&amp;" "&amp;'Compliance Database'!$K1307&amp;" "&amp;'Compliance Database'!$L1307&amp;" "&amp;'Compliance Database'!$M1307&amp;" "&amp;'Compliance Database'!$N1307&amp;" "&amp;'Compliance Database'!$O1307)))),1,0)</f>
        <v/>
      </c>
      <c r="B1307">
        <f>IF($A1307=1,SUM($A$2:$A1307),"")</f>
        <v/>
      </c>
      <c r="C1307">
        <f>IF($A1307=1,SUM($A$2:$A1307),0)</f>
        <v/>
      </c>
    </row>
    <row r="1308">
      <c r="A1308">
        <f>IF(AND(OR('Compliance Database'!$A1308='Data Transfer'!$B$4,'Compliance Database'!$A1308='Data Transfer'!$B$5),OR('Data Transfer'!$B$6="",ISNUMBER(SEARCH('Data Transfer'!$B$6,'Compliance Database'!$D1308&amp;" "&amp;'Compliance Database'!$K1308&amp;" "&amp;'Compliance Database'!$L1308&amp;" "&amp;'Compliance Database'!$M1308&amp;" "&amp;'Compliance Database'!$N1308&amp;" "&amp;'Compliance Database'!$O1308)))),1,0)</f>
        <v/>
      </c>
      <c r="B1308">
        <f>IF($A1308=1,SUM($A$2:$A1308),"")</f>
        <v/>
      </c>
      <c r="C1308">
        <f>IF($A1308=1,SUM($A$2:$A1308),0)</f>
        <v/>
      </c>
    </row>
    <row r="1309">
      <c r="A1309">
        <f>IF(AND(OR('Compliance Database'!$A1309='Data Transfer'!$B$4,'Compliance Database'!$A1309='Data Transfer'!$B$5),OR('Data Transfer'!$B$6="",ISNUMBER(SEARCH('Data Transfer'!$B$6,'Compliance Database'!$D1309&amp;" "&amp;'Compliance Database'!$K1309&amp;" "&amp;'Compliance Database'!$L1309&amp;" "&amp;'Compliance Database'!$M1309&amp;" "&amp;'Compliance Database'!$N1309&amp;" "&amp;'Compliance Database'!$O1309)))),1,0)</f>
        <v/>
      </c>
      <c r="B1309">
        <f>IF($A1309=1,SUM($A$2:$A1309),"")</f>
        <v/>
      </c>
      <c r="C1309">
        <f>IF($A1309=1,SUM($A$2:$A1309),0)</f>
        <v/>
      </c>
    </row>
    <row r="1310">
      <c r="A1310">
        <f>IF(AND(OR('Compliance Database'!$A1310='Data Transfer'!$B$4,'Compliance Database'!$A1310='Data Transfer'!$B$5),OR('Data Transfer'!$B$6="",ISNUMBER(SEARCH('Data Transfer'!$B$6,'Compliance Database'!$D1310&amp;" "&amp;'Compliance Database'!$K1310&amp;" "&amp;'Compliance Database'!$L1310&amp;" "&amp;'Compliance Database'!$M1310&amp;" "&amp;'Compliance Database'!$N1310&amp;" "&amp;'Compliance Database'!$O1310)))),1,0)</f>
        <v/>
      </c>
      <c r="B1310">
        <f>IF($A1310=1,SUM($A$2:$A1310),"")</f>
        <v/>
      </c>
      <c r="C1310">
        <f>IF($A1310=1,SUM($A$2:$A1310),0)</f>
        <v/>
      </c>
    </row>
    <row r="1311">
      <c r="A1311">
        <f>IF(AND(OR('Compliance Database'!$A1311='Data Transfer'!$B$4,'Compliance Database'!$A1311='Data Transfer'!$B$5),OR('Data Transfer'!$B$6="",ISNUMBER(SEARCH('Data Transfer'!$B$6,'Compliance Database'!$D1311&amp;" "&amp;'Compliance Database'!$K1311&amp;" "&amp;'Compliance Database'!$L1311&amp;" "&amp;'Compliance Database'!$M1311&amp;" "&amp;'Compliance Database'!$N1311&amp;" "&amp;'Compliance Database'!$O1311)))),1,0)</f>
        <v/>
      </c>
      <c r="B1311">
        <f>IF($A1311=1,SUM($A$2:$A1311),"")</f>
        <v/>
      </c>
      <c r="C1311">
        <f>IF($A1311=1,SUM($A$2:$A1311),0)</f>
        <v/>
      </c>
    </row>
    <row r="1312">
      <c r="A1312">
        <f>IF(AND(OR('Compliance Database'!$A1312='Data Transfer'!$B$4,'Compliance Database'!$A1312='Data Transfer'!$B$5),OR('Data Transfer'!$B$6="",ISNUMBER(SEARCH('Data Transfer'!$B$6,'Compliance Database'!$D1312&amp;" "&amp;'Compliance Database'!$K1312&amp;" "&amp;'Compliance Database'!$L1312&amp;" "&amp;'Compliance Database'!$M1312&amp;" "&amp;'Compliance Database'!$N1312&amp;" "&amp;'Compliance Database'!$O1312)))),1,0)</f>
        <v/>
      </c>
      <c r="B1312">
        <f>IF($A1312=1,SUM($A$2:$A1312),"")</f>
        <v/>
      </c>
      <c r="C1312">
        <f>IF($A1312=1,SUM($A$2:$A1312),0)</f>
        <v/>
      </c>
    </row>
    <row r="1313">
      <c r="A1313">
        <f>IF(AND(OR('Compliance Database'!$A1313='Data Transfer'!$B$4,'Compliance Database'!$A1313='Data Transfer'!$B$5),OR('Data Transfer'!$B$6="",ISNUMBER(SEARCH('Data Transfer'!$B$6,'Compliance Database'!$D1313&amp;" "&amp;'Compliance Database'!$K1313&amp;" "&amp;'Compliance Database'!$L1313&amp;" "&amp;'Compliance Database'!$M1313&amp;" "&amp;'Compliance Database'!$N1313&amp;" "&amp;'Compliance Database'!$O1313)))),1,0)</f>
        <v/>
      </c>
      <c r="B1313">
        <f>IF($A1313=1,SUM($A$2:$A1313),"")</f>
        <v/>
      </c>
      <c r="C1313">
        <f>IF($A1313=1,SUM($A$2:$A1313),0)</f>
        <v/>
      </c>
    </row>
    <row r="1314">
      <c r="A1314">
        <f>IF(AND(OR('Compliance Database'!$A1314='Data Transfer'!$B$4,'Compliance Database'!$A1314='Data Transfer'!$B$5),OR('Data Transfer'!$B$6="",ISNUMBER(SEARCH('Data Transfer'!$B$6,'Compliance Database'!$D1314&amp;" "&amp;'Compliance Database'!$K1314&amp;" "&amp;'Compliance Database'!$L1314&amp;" "&amp;'Compliance Database'!$M1314&amp;" "&amp;'Compliance Database'!$N1314&amp;" "&amp;'Compliance Database'!$O1314)))),1,0)</f>
        <v/>
      </c>
      <c r="B1314">
        <f>IF($A1314=1,SUM($A$2:$A1314),"")</f>
        <v/>
      </c>
      <c r="C1314">
        <f>IF($A1314=1,SUM($A$2:$A1314),0)</f>
        <v/>
      </c>
    </row>
    <row r="1315">
      <c r="A1315">
        <f>IF(AND(OR('Compliance Database'!$A1315='Data Transfer'!$B$4,'Compliance Database'!$A1315='Data Transfer'!$B$5),OR('Data Transfer'!$B$6="",ISNUMBER(SEARCH('Data Transfer'!$B$6,'Compliance Database'!$D1315&amp;" "&amp;'Compliance Database'!$K1315&amp;" "&amp;'Compliance Database'!$L1315&amp;" "&amp;'Compliance Database'!$M1315&amp;" "&amp;'Compliance Database'!$N1315&amp;" "&amp;'Compliance Database'!$O1315)))),1,0)</f>
        <v/>
      </c>
      <c r="B1315">
        <f>IF($A1315=1,SUM($A$2:$A1315),"")</f>
        <v/>
      </c>
      <c r="C1315">
        <f>IF($A1315=1,SUM($A$2:$A1315),0)</f>
        <v/>
      </c>
    </row>
    <row r="1316">
      <c r="A1316">
        <f>IF(AND(OR('Compliance Database'!$A1316='Data Transfer'!$B$4,'Compliance Database'!$A1316='Data Transfer'!$B$5),OR('Data Transfer'!$B$6="",ISNUMBER(SEARCH('Data Transfer'!$B$6,'Compliance Database'!$D1316&amp;" "&amp;'Compliance Database'!$K1316&amp;" "&amp;'Compliance Database'!$L1316&amp;" "&amp;'Compliance Database'!$M1316&amp;" "&amp;'Compliance Database'!$N1316&amp;" "&amp;'Compliance Database'!$O1316)))),1,0)</f>
        <v/>
      </c>
      <c r="B1316">
        <f>IF($A1316=1,SUM($A$2:$A1316),"")</f>
        <v/>
      </c>
      <c r="C1316">
        <f>IF($A1316=1,SUM($A$2:$A1316),0)</f>
        <v/>
      </c>
    </row>
    <row r="1317">
      <c r="A1317">
        <f>IF(AND(OR('Compliance Database'!$A1317='Data Transfer'!$B$4,'Compliance Database'!$A1317='Data Transfer'!$B$5),OR('Data Transfer'!$B$6="",ISNUMBER(SEARCH('Data Transfer'!$B$6,'Compliance Database'!$D1317&amp;" "&amp;'Compliance Database'!$K1317&amp;" "&amp;'Compliance Database'!$L1317&amp;" "&amp;'Compliance Database'!$M1317&amp;" "&amp;'Compliance Database'!$N1317&amp;" "&amp;'Compliance Database'!$O1317)))),1,0)</f>
        <v/>
      </c>
      <c r="B1317">
        <f>IF($A1317=1,SUM($A$2:$A1317),"")</f>
        <v/>
      </c>
      <c r="C1317">
        <f>IF($A1317=1,SUM($A$2:$A1317),0)</f>
        <v/>
      </c>
    </row>
    <row r="1318">
      <c r="A1318">
        <f>IF(AND(OR('Compliance Database'!$A1318='Data Transfer'!$B$4,'Compliance Database'!$A1318='Data Transfer'!$B$5),OR('Data Transfer'!$B$6="",ISNUMBER(SEARCH('Data Transfer'!$B$6,'Compliance Database'!$D1318&amp;" "&amp;'Compliance Database'!$K1318&amp;" "&amp;'Compliance Database'!$L1318&amp;" "&amp;'Compliance Database'!$M1318&amp;" "&amp;'Compliance Database'!$N1318&amp;" "&amp;'Compliance Database'!$O1318)))),1,0)</f>
        <v/>
      </c>
      <c r="B1318">
        <f>IF($A1318=1,SUM($A$2:$A1318),"")</f>
        <v/>
      </c>
      <c r="C1318">
        <f>IF($A1318=1,SUM($A$2:$A1318),0)</f>
        <v/>
      </c>
    </row>
    <row r="1319">
      <c r="A1319">
        <f>IF(AND(OR('Compliance Database'!$A1319='Data Transfer'!$B$4,'Compliance Database'!$A1319='Data Transfer'!$B$5),OR('Data Transfer'!$B$6="",ISNUMBER(SEARCH('Data Transfer'!$B$6,'Compliance Database'!$D1319&amp;" "&amp;'Compliance Database'!$K1319&amp;" "&amp;'Compliance Database'!$L1319&amp;" "&amp;'Compliance Database'!$M1319&amp;" "&amp;'Compliance Database'!$N1319&amp;" "&amp;'Compliance Database'!$O1319)))),1,0)</f>
        <v/>
      </c>
      <c r="B1319">
        <f>IF($A1319=1,SUM($A$2:$A1319),"")</f>
        <v/>
      </c>
      <c r="C1319">
        <f>IF($A1319=1,SUM($A$2:$A1319),0)</f>
        <v/>
      </c>
    </row>
    <row r="1320">
      <c r="A1320">
        <f>IF(AND(OR('Compliance Database'!$A1320='Data Transfer'!$B$4,'Compliance Database'!$A1320='Data Transfer'!$B$5),OR('Data Transfer'!$B$6="",ISNUMBER(SEARCH('Data Transfer'!$B$6,'Compliance Database'!$D1320&amp;" "&amp;'Compliance Database'!$K1320&amp;" "&amp;'Compliance Database'!$L1320&amp;" "&amp;'Compliance Database'!$M1320&amp;" "&amp;'Compliance Database'!$N1320&amp;" "&amp;'Compliance Database'!$O1320)))),1,0)</f>
        <v/>
      </c>
      <c r="B1320">
        <f>IF($A1320=1,SUM($A$2:$A1320),"")</f>
        <v/>
      </c>
      <c r="C1320">
        <f>IF($A1320=1,SUM($A$2:$A1320),0)</f>
        <v/>
      </c>
    </row>
    <row r="1321">
      <c r="A1321">
        <f>IF(AND(OR('Compliance Database'!$A1321='Data Transfer'!$B$4,'Compliance Database'!$A1321='Data Transfer'!$B$5),OR('Data Transfer'!$B$6="",ISNUMBER(SEARCH('Data Transfer'!$B$6,'Compliance Database'!$D1321&amp;" "&amp;'Compliance Database'!$K1321&amp;" "&amp;'Compliance Database'!$L1321&amp;" "&amp;'Compliance Database'!$M1321&amp;" "&amp;'Compliance Database'!$N1321&amp;" "&amp;'Compliance Database'!$O1321)))),1,0)</f>
        <v/>
      </c>
      <c r="B1321">
        <f>IF($A1321=1,SUM($A$2:$A1321),"")</f>
        <v/>
      </c>
      <c r="C1321">
        <f>IF($A1321=1,SUM($A$2:$A1321),0)</f>
        <v/>
      </c>
    </row>
    <row r="1322">
      <c r="A1322">
        <f>IF(AND(OR('Compliance Database'!$A1322='Data Transfer'!$B$4,'Compliance Database'!$A1322='Data Transfer'!$B$5),OR('Data Transfer'!$B$6="",ISNUMBER(SEARCH('Data Transfer'!$B$6,'Compliance Database'!$D1322&amp;" "&amp;'Compliance Database'!$K1322&amp;" "&amp;'Compliance Database'!$L1322&amp;" "&amp;'Compliance Database'!$M1322&amp;" "&amp;'Compliance Database'!$N1322&amp;" "&amp;'Compliance Database'!$O1322)))),1,0)</f>
        <v/>
      </c>
      <c r="B1322">
        <f>IF($A1322=1,SUM($A$2:$A1322),"")</f>
        <v/>
      </c>
      <c r="C1322">
        <f>IF($A1322=1,SUM($A$2:$A1322),0)</f>
        <v/>
      </c>
    </row>
    <row r="1323">
      <c r="A1323">
        <f>IF(AND(OR('Compliance Database'!$A1323='Data Transfer'!$B$4,'Compliance Database'!$A1323='Data Transfer'!$B$5),OR('Data Transfer'!$B$6="",ISNUMBER(SEARCH('Data Transfer'!$B$6,'Compliance Database'!$D1323&amp;" "&amp;'Compliance Database'!$K1323&amp;" "&amp;'Compliance Database'!$L1323&amp;" "&amp;'Compliance Database'!$M1323&amp;" "&amp;'Compliance Database'!$N1323&amp;" "&amp;'Compliance Database'!$O1323)))),1,0)</f>
        <v/>
      </c>
      <c r="B1323">
        <f>IF($A1323=1,SUM($A$2:$A1323),"")</f>
        <v/>
      </c>
      <c r="C1323">
        <f>IF($A1323=1,SUM($A$2:$A1323),0)</f>
        <v/>
      </c>
    </row>
    <row r="1324">
      <c r="A1324">
        <f>IF(AND(OR('Compliance Database'!$A1324='Data Transfer'!$B$4,'Compliance Database'!$A1324='Data Transfer'!$B$5),OR('Data Transfer'!$B$6="",ISNUMBER(SEARCH('Data Transfer'!$B$6,'Compliance Database'!$D1324&amp;" "&amp;'Compliance Database'!$K1324&amp;" "&amp;'Compliance Database'!$L1324&amp;" "&amp;'Compliance Database'!$M1324&amp;" "&amp;'Compliance Database'!$N1324&amp;" "&amp;'Compliance Database'!$O1324)))),1,0)</f>
        <v/>
      </c>
      <c r="B1324">
        <f>IF($A1324=1,SUM($A$2:$A1324),"")</f>
        <v/>
      </c>
      <c r="C1324">
        <f>IF($A1324=1,SUM($A$2:$A1324),0)</f>
        <v/>
      </c>
    </row>
    <row r="1325">
      <c r="A1325">
        <f>IF(AND(OR('Compliance Database'!$A1325='Data Transfer'!$B$4,'Compliance Database'!$A1325='Data Transfer'!$B$5),OR('Data Transfer'!$B$6="",ISNUMBER(SEARCH('Data Transfer'!$B$6,'Compliance Database'!$D1325&amp;" "&amp;'Compliance Database'!$K1325&amp;" "&amp;'Compliance Database'!$L1325&amp;" "&amp;'Compliance Database'!$M1325&amp;" "&amp;'Compliance Database'!$N1325&amp;" "&amp;'Compliance Database'!$O1325)))),1,0)</f>
        <v/>
      </c>
      <c r="B1325">
        <f>IF($A1325=1,SUM($A$2:$A1325),"")</f>
        <v/>
      </c>
      <c r="C1325">
        <f>IF($A1325=1,SUM($A$2:$A1325),0)</f>
        <v/>
      </c>
    </row>
    <row r="1326">
      <c r="A1326">
        <f>IF(AND(OR('Compliance Database'!$A1326='Data Transfer'!$B$4,'Compliance Database'!$A1326='Data Transfer'!$B$5),OR('Data Transfer'!$B$6="",ISNUMBER(SEARCH('Data Transfer'!$B$6,'Compliance Database'!$D1326&amp;" "&amp;'Compliance Database'!$K1326&amp;" "&amp;'Compliance Database'!$L1326&amp;" "&amp;'Compliance Database'!$M1326&amp;" "&amp;'Compliance Database'!$N1326&amp;" "&amp;'Compliance Database'!$O1326)))),1,0)</f>
        <v/>
      </c>
      <c r="B1326">
        <f>IF($A1326=1,SUM($A$2:$A1326),"")</f>
        <v/>
      </c>
      <c r="C1326">
        <f>IF($A1326=1,SUM($A$2:$A1326),0)</f>
        <v/>
      </c>
    </row>
    <row r="1327">
      <c r="A1327">
        <f>IF(AND(OR('Compliance Database'!$A1327='Data Transfer'!$B$4,'Compliance Database'!$A1327='Data Transfer'!$B$5),OR('Data Transfer'!$B$6="",ISNUMBER(SEARCH('Data Transfer'!$B$6,'Compliance Database'!$D1327&amp;" "&amp;'Compliance Database'!$K1327&amp;" "&amp;'Compliance Database'!$L1327&amp;" "&amp;'Compliance Database'!$M1327&amp;" "&amp;'Compliance Database'!$N1327&amp;" "&amp;'Compliance Database'!$O1327)))),1,0)</f>
        <v/>
      </c>
      <c r="B1327">
        <f>IF($A1327=1,SUM($A$2:$A1327),"")</f>
        <v/>
      </c>
      <c r="C1327">
        <f>IF($A1327=1,SUM($A$2:$A1327),0)</f>
        <v/>
      </c>
    </row>
    <row r="1328">
      <c r="A1328">
        <f>IF(AND(OR('Compliance Database'!$A1328='Data Transfer'!$B$4,'Compliance Database'!$A1328='Data Transfer'!$B$5),OR('Data Transfer'!$B$6="",ISNUMBER(SEARCH('Data Transfer'!$B$6,'Compliance Database'!$D1328&amp;" "&amp;'Compliance Database'!$K1328&amp;" "&amp;'Compliance Database'!$L1328&amp;" "&amp;'Compliance Database'!$M1328&amp;" "&amp;'Compliance Database'!$N1328&amp;" "&amp;'Compliance Database'!$O1328)))),1,0)</f>
        <v/>
      </c>
      <c r="B1328">
        <f>IF($A1328=1,SUM($A$2:$A1328),"")</f>
        <v/>
      </c>
      <c r="C1328">
        <f>IF($A1328=1,SUM($A$2:$A1328),0)</f>
        <v/>
      </c>
    </row>
    <row r="1329">
      <c r="A1329">
        <f>IF(AND(OR('Compliance Database'!$A1329='Data Transfer'!$B$4,'Compliance Database'!$A1329='Data Transfer'!$B$5),OR('Data Transfer'!$B$6="",ISNUMBER(SEARCH('Data Transfer'!$B$6,'Compliance Database'!$D1329&amp;" "&amp;'Compliance Database'!$K1329&amp;" "&amp;'Compliance Database'!$L1329&amp;" "&amp;'Compliance Database'!$M1329&amp;" "&amp;'Compliance Database'!$N1329&amp;" "&amp;'Compliance Database'!$O1329)))),1,0)</f>
        <v/>
      </c>
      <c r="B1329">
        <f>IF($A1329=1,SUM($A$2:$A1329),"")</f>
        <v/>
      </c>
      <c r="C1329">
        <f>IF($A1329=1,SUM($A$2:$A1329),0)</f>
        <v/>
      </c>
    </row>
    <row r="1330">
      <c r="A1330">
        <f>IF(AND(OR('Compliance Database'!$A1330='Data Transfer'!$B$4,'Compliance Database'!$A1330='Data Transfer'!$B$5),OR('Data Transfer'!$B$6="",ISNUMBER(SEARCH('Data Transfer'!$B$6,'Compliance Database'!$D1330&amp;" "&amp;'Compliance Database'!$K1330&amp;" "&amp;'Compliance Database'!$L1330&amp;" "&amp;'Compliance Database'!$M1330&amp;" "&amp;'Compliance Database'!$N1330&amp;" "&amp;'Compliance Database'!$O1330)))),1,0)</f>
        <v/>
      </c>
      <c r="B1330">
        <f>IF($A1330=1,SUM($A$2:$A1330),"")</f>
        <v/>
      </c>
      <c r="C1330">
        <f>IF($A1330=1,SUM($A$2:$A1330),0)</f>
        <v/>
      </c>
    </row>
    <row r="1331">
      <c r="A1331">
        <f>IF(AND(OR('Compliance Database'!$A1331='Data Transfer'!$B$4,'Compliance Database'!$A1331='Data Transfer'!$B$5),OR('Data Transfer'!$B$6="",ISNUMBER(SEARCH('Data Transfer'!$B$6,'Compliance Database'!$D1331&amp;" "&amp;'Compliance Database'!$K1331&amp;" "&amp;'Compliance Database'!$L1331&amp;" "&amp;'Compliance Database'!$M1331&amp;" "&amp;'Compliance Database'!$N1331&amp;" "&amp;'Compliance Database'!$O1331)))),1,0)</f>
        <v/>
      </c>
      <c r="B1331">
        <f>IF($A1331=1,SUM($A$2:$A1331),"")</f>
        <v/>
      </c>
      <c r="C1331">
        <f>IF($A1331=1,SUM($A$2:$A1331),0)</f>
        <v/>
      </c>
    </row>
    <row r="1332">
      <c r="A1332">
        <f>IF(AND(OR('Compliance Database'!$A1332='Data Transfer'!$B$4,'Compliance Database'!$A1332='Data Transfer'!$B$5),OR('Data Transfer'!$B$6="",ISNUMBER(SEARCH('Data Transfer'!$B$6,'Compliance Database'!$D1332&amp;" "&amp;'Compliance Database'!$K1332&amp;" "&amp;'Compliance Database'!$L1332&amp;" "&amp;'Compliance Database'!$M1332&amp;" "&amp;'Compliance Database'!$N1332&amp;" "&amp;'Compliance Database'!$O1332)))),1,0)</f>
        <v/>
      </c>
      <c r="B1332">
        <f>IF($A1332=1,SUM($A$2:$A1332),"")</f>
        <v/>
      </c>
      <c r="C1332">
        <f>IF($A1332=1,SUM($A$2:$A1332),0)</f>
        <v/>
      </c>
    </row>
    <row r="1333">
      <c r="A1333">
        <f>IF(AND(OR('Compliance Database'!$A1333='Data Transfer'!$B$4,'Compliance Database'!$A1333='Data Transfer'!$B$5),OR('Data Transfer'!$B$6="",ISNUMBER(SEARCH('Data Transfer'!$B$6,'Compliance Database'!$D1333&amp;" "&amp;'Compliance Database'!$K1333&amp;" "&amp;'Compliance Database'!$L1333&amp;" "&amp;'Compliance Database'!$M1333&amp;" "&amp;'Compliance Database'!$N1333&amp;" "&amp;'Compliance Database'!$O1333)))),1,0)</f>
        <v/>
      </c>
      <c r="B1333">
        <f>IF($A1333=1,SUM($A$2:$A1333),"")</f>
        <v/>
      </c>
      <c r="C1333">
        <f>IF($A1333=1,SUM($A$2:$A1333),0)</f>
        <v/>
      </c>
    </row>
    <row r="1334">
      <c r="A1334">
        <f>IF(AND(OR('Compliance Database'!$A1334='Data Transfer'!$B$4,'Compliance Database'!$A1334='Data Transfer'!$B$5),OR('Data Transfer'!$B$6="",ISNUMBER(SEARCH('Data Transfer'!$B$6,'Compliance Database'!$D1334&amp;" "&amp;'Compliance Database'!$K1334&amp;" "&amp;'Compliance Database'!$L1334&amp;" "&amp;'Compliance Database'!$M1334&amp;" "&amp;'Compliance Database'!$N1334&amp;" "&amp;'Compliance Database'!$O1334)))),1,0)</f>
        <v/>
      </c>
      <c r="B1334">
        <f>IF($A1334=1,SUM($A$2:$A1334),"")</f>
        <v/>
      </c>
      <c r="C1334">
        <f>IF($A1334=1,SUM($A$2:$A1334),0)</f>
        <v/>
      </c>
    </row>
    <row r="1335">
      <c r="A1335">
        <f>IF(AND(OR('Compliance Database'!$A1335='Data Transfer'!$B$4,'Compliance Database'!$A1335='Data Transfer'!$B$5),OR('Data Transfer'!$B$6="",ISNUMBER(SEARCH('Data Transfer'!$B$6,'Compliance Database'!$D1335&amp;" "&amp;'Compliance Database'!$K1335&amp;" "&amp;'Compliance Database'!$L1335&amp;" "&amp;'Compliance Database'!$M1335&amp;" "&amp;'Compliance Database'!$N1335&amp;" "&amp;'Compliance Database'!$O1335)))),1,0)</f>
        <v/>
      </c>
      <c r="B1335">
        <f>IF($A1335=1,SUM($A$2:$A1335),"")</f>
        <v/>
      </c>
      <c r="C1335">
        <f>IF($A1335=1,SUM($A$2:$A1335),0)</f>
        <v/>
      </c>
    </row>
    <row r="1336">
      <c r="A1336">
        <f>IF(AND(OR('Compliance Database'!$A1336='Data Transfer'!$B$4,'Compliance Database'!$A1336='Data Transfer'!$B$5),OR('Data Transfer'!$B$6="",ISNUMBER(SEARCH('Data Transfer'!$B$6,'Compliance Database'!$D1336&amp;" "&amp;'Compliance Database'!$K1336&amp;" "&amp;'Compliance Database'!$L1336&amp;" "&amp;'Compliance Database'!$M1336&amp;" "&amp;'Compliance Database'!$N1336&amp;" "&amp;'Compliance Database'!$O1336)))),1,0)</f>
        <v/>
      </c>
      <c r="B1336">
        <f>IF($A1336=1,SUM($A$2:$A1336),"")</f>
        <v/>
      </c>
      <c r="C1336">
        <f>IF($A1336=1,SUM($A$2:$A1336),0)</f>
        <v/>
      </c>
    </row>
    <row r="1337">
      <c r="A1337">
        <f>IF(AND(OR('Compliance Database'!$A1337='Data Transfer'!$B$4,'Compliance Database'!$A1337='Data Transfer'!$B$5),OR('Data Transfer'!$B$6="",ISNUMBER(SEARCH('Data Transfer'!$B$6,'Compliance Database'!$D1337&amp;" "&amp;'Compliance Database'!$K1337&amp;" "&amp;'Compliance Database'!$L1337&amp;" "&amp;'Compliance Database'!$M1337&amp;" "&amp;'Compliance Database'!$N1337&amp;" "&amp;'Compliance Database'!$O1337)))),1,0)</f>
        <v/>
      </c>
      <c r="B1337">
        <f>IF($A1337=1,SUM($A$2:$A1337),"")</f>
        <v/>
      </c>
      <c r="C1337">
        <f>IF($A1337=1,SUM($A$2:$A1337),0)</f>
        <v/>
      </c>
    </row>
    <row r="1338">
      <c r="A1338">
        <f>IF(AND(OR('Compliance Database'!$A1338='Data Transfer'!$B$4,'Compliance Database'!$A1338='Data Transfer'!$B$5),OR('Data Transfer'!$B$6="",ISNUMBER(SEARCH('Data Transfer'!$B$6,'Compliance Database'!$D1338&amp;" "&amp;'Compliance Database'!$K1338&amp;" "&amp;'Compliance Database'!$L1338&amp;" "&amp;'Compliance Database'!$M1338&amp;" "&amp;'Compliance Database'!$N1338&amp;" "&amp;'Compliance Database'!$O1338)))),1,0)</f>
        <v/>
      </c>
      <c r="B1338">
        <f>IF($A1338=1,SUM($A$2:$A1338),"")</f>
        <v/>
      </c>
      <c r="C1338">
        <f>IF($A1338=1,SUM($A$2:$A1338),0)</f>
        <v/>
      </c>
    </row>
    <row r="1339">
      <c r="A1339">
        <f>IF(AND(OR('Compliance Database'!$A1339='Data Transfer'!$B$4,'Compliance Database'!$A1339='Data Transfer'!$B$5),OR('Data Transfer'!$B$6="",ISNUMBER(SEARCH('Data Transfer'!$B$6,'Compliance Database'!$D1339&amp;" "&amp;'Compliance Database'!$K1339&amp;" "&amp;'Compliance Database'!$L1339&amp;" "&amp;'Compliance Database'!$M1339&amp;" "&amp;'Compliance Database'!$N1339&amp;" "&amp;'Compliance Database'!$O1339)))),1,0)</f>
        <v/>
      </c>
      <c r="B1339">
        <f>IF($A1339=1,SUM($A$2:$A1339),"")</f>
        <v/>
      </c>
      <c r="C1339">
        <f>IF($A1339=1,SUM($A$2:$A1339),0)</f>
        <v/>
      </c>
    </row>
    <row r="1340">
      <c r="A1340">
        <f>IF(AND(OR('Compliance Database'!$A1340='Data Transfer'!$B$4,'Compliance Database'!$A1340='Data Transfer'!$B$5),OR('Data Transfer'!$B$6="",ISNUMBER(SEARCH('Data Transfer'!$B$6,'Compliance Database'!$D1340&amp;" "&amp;'Compliance Database'!$K1340&amp;" "&amp;'Compliance Database'!$L1340&amp;" "&amp;'Compliance Database'!$M1340&amp;" "&amp;'Compliance Database'!$N1340&amp;" "&amp;'Compliance Database'!$O1340)))),1,0)</f>
        <v/>
      </c>
      <c r="B1340">
        <f>IF($A1340=1,SUM($A$2:$A1340),"")</f>
        <v/>
      </c>
      <c r="C1340">
        <f>IF($A1340=1,SUM($A$2:$A1340),0)</f>
        <v/>
      </c>
    </row>
    <row r="1341">
      <c r="A1341">
        <f>IF(AND(OR('Compliance Database'!$A1341='Data Transfer'!$B$4,'Compliance Database'!$A1341='Data Transfer'!$B$5),OR('Data Transfer'!$B$6="",ISNUMBER(SEARCH('Data Transfer'!$B$6,'Compliance Database'!$D1341&amp;" "&amp;'Compliance Database'!$K1341&amp;" "&amp;'Compliance Database'!$L1341&amp;" "&amp;'Compliance Database'!$M1341&amp;" "&amp;'Compliance Database'!$N1341&amp;" "&amp;'Compliance Database'!$O1341)))),1,0)</f>
        <v/>
      </c>
      <c r="B1341">
        <f>IF($A1341=1,SUM($A$2:$A1341),"")</f>
        <v/>
      </c>
      <c r="C1341">
        <f>IF($A1341=1,SUM($A$2:$A1341),0)</f>
        <v/>
      </c>
    </row>
    <row r="1342">
      <c r="A1342">
        <f>IF(AND(OR('Compliance Database'!$A1342='Data Transfer'!$B$4,'Compliance Database'!$A1342='Data Transfer'!$B$5),OR('Data Transfer'!$B$6="",ISNUMBER(SEARCH('Data Transfer'!$B$6,'Compliance Database'!$D1342&amp;" "&amp;'Compliance Database'!$K1342&amp;" "&amp;'Compliance Database'!$L1342&amp;" "&amp;'Compliance Database'!$M1342&amp;" "&amp;'Compliance Database'!$N1342&amp;" "&amp;'Compliance Database'!$O1342)))),1,0)</f>
        <v/>
      </c>
      <c r="B1342">
        <f>IF($A1342=1,SUM($A$2:$A1342),"")</f>
        <v/>
      </c>
      <c r="C1342">
        <f>IF($A1342=1,SUM($A$2:$A1342),0)</f>
        <v/>
      </c>
    </row>
    <row r="1343">
      <c r="A1343">
        <f>IF(AND(OR('Compliance Database'!$A1343='Data Transfer'!$B$4,'Compliance Database'!$A1343='Data Transfer'!$B$5),OR('Data Transfer'!$B$6="",ISNUMBER(SEARCH('Data Transfer'!$B$6,'Compliance Database'!$D1343&amp;" "&amp;'Compliance Database'!$K1343&amp;" "&amp;'Compliance Database'!$L1343&amp;" "&amp;'Compliance Database'!$M1343&amp;" "&amp;'Compliance Database'!$N1343&amp;" "&amp;'Compliance Database'!$O1343)))),1,0)</f>
        <v/>
      </c>
      <c r="B1343">
        <f>IF($A1343=1,SUM($A$2:$A1343),"")</f>
        <v/>
      </c>
      <c r="C1343">
        <f>IF($A1343=1,SUM($A$2:$A1343),0)</f>
        <v/>
      </c>
    </row>
    <row r="1344">
      <c r="A1344">
        <f>IF(AND(OR('Compliance Database'!$A1344='Data Transfer'!$B$4,'Compliance Database'!$A1344='Data Transfer'!$B$5),OR('Data Transfer'!$B$6="",ISNUMBER(SEARCH('Data Transfer'!$B$6,'Compliance Database'!$D1344&amp;" "&amp;'Compliance Database'!$K1344&amp;" "&amp;'Compliance Database'!$L1344&amp;" "&amp;'Compliance Database'!$M1344&amp;" "&amp;'Compliance Database'!$N1344&amp;" "&amp;'Compliance Database'!$O1344)))),1,0)</f>
        <v/>
      </c>
      <c r="B1344">
        <f>IF($A1344=1,SUM($A$2:$A1344),"")</f>
        <v/>
      </c>
      <c r="C1344">
        <f>IF($A1344=1,SUM($A$2:$A1344),0)</f>
        <v/>
      </c>
    </row>
    <row r="1345">
      <c r="A1345">
        <f>IF(AND(OR('Compliance Database'!$A1345='Data Transfer'!$B$4,'Compliance Database'!$A1345='Data Transfer'!$B$5),OR('Data Transfer'!$B$6="",ISNUMBER(SEARCH('Data Transfer'!$B$6,'Compliance Database'!$D1345&amp;" "&amp;'Compliance Database'!$K1345&amp;" "&amp;'Compliance Database'!$L1345&amp;" "&amp;'Compliance Database'!$M1345&amp;" "&amp;'Compliance Database'!$N1345&amp;" "&amp;'Compliance Database'!$O1345)))),1,0)</f>
        <v/>
      </c>
      <c r="B1345">
        <f>IF($A1345=1,SUM($A$2:$A1345),"")</f>
        <v/>
      </c>
      <c r="C1345">
        <f>IF($A1345=1,SUM($A$2:$A1345),0)</f>
        <v/>
      </c>
    </row>
    <row r="1346">
      <c r="A1346">
        <f>IF(AND(OR('Compliance Database'!$A1346='Data Transfer'!$B$4,'Compliance Database'!$A1346='Data Transfer'!$B$5),OR('Data Transfer'!$B$6="",ISNUMBER(SEARCH('Data Transfer'!$B$6,'Compliance Database'!$D1346&amp;" "&amp;'Compliance Database'!$K1346&amp;" "&amp;'Compliance Database'!$L1346&amp;" "&amp;'Compliance Database'!$M1346&amp;" "&amp;'Compliance Database'!$N1346&amp;" "&amp;'Compliance Database'!$O1346)))),1,0)</f>
        <v/>
      </c>
      <c r="B1346">
        <f>IF($A1346=1,SUM($A$2:$A1346),"")</f>
        <v/>
      </c>
      <c r="C1346">
        <f>IF($A1346=1,SUM($A$2:$A1346),0)</f>
        <v/>
      </c>
    </row>
    <row r="1347">
      <c r="A1347">
        <f>IF(AND(OR('Compliance Database'!$A1347='Data Transfer'!$B$4,'Compliance Database'!$A1347='Data Transfer'!$B$5),OR('Data Transfer'!$B$6="",ISNUMBER(SEARCH('Data Transfer'!$B$6,'Compliance Database'!$D1347&amp;" "&amp;'Compliance Database'!$K1347&amp;" "&amp;'Compliance Database'!$L1347&amp;" "&amp;'Compliance Database'!$M1347&amp;" "&amp;'Compliance Database'!$N1347&amp;" "&amp;'Compliance Database'!$O1347)))),1,0)</f>
        <v/>
      </c>
      <c r="B1347">
        <f>IF($A1347=1,SUM($A$2:$A1347),"")</f>
        <v/>
      </c>
      <c r="C1347">
        <f>IF($A1347=1,SUM($A$2:$A1347),0)</f>
        <v/>
      </c>
    </row>
    <row r="1348">
      <c r="A1348">
        <f>IF(AND(OR('Compliance Database'!$A1348='Data Transfer'!$B$4,'Compliance Database'!$A1348='Data Transfer'!$B$5),OR('Data Transfer'!$B$6="",ISNUMBER(SEARCH('Data Transfer'!$B$6,'Compliance Database'!$D1348&amp;" "&amp;'Compliance Database'!$K1348&amp;" "&amp;'Compliance Database'!$L1348&amp;" "&amp;'Compliance Database'!$M1348&amp;" "&amp;'Compliance Database'!$N1348&amp;" "&amp;'Compliance Database'!$O1348)))),1,0)</f>
        <v/>
      </c>
      <c r="B1348">
        <f>IF($A1348=1,SUM($A$2:$A1348),"")</f>
        <v/>
      </c>
      <c r="C1348">
        <f>IF($A1348=1,SUM($A$2:$A1348),0)</f>
        <v/>
      </c>
    </row>
    <row r="1349">
      <c r="A1349">
        <f>IF(AND(OR('Compliance Database'!$A1349='Data Transfer'!$B$4,'Compliance Database'!$A1349='Data Transfer'!$B$5),OR('Data Transfer'!$B$6="",ISNUMBER(SEARCH('Data Transfer'!$B$6,'Compliance Database'!$D1349&amp;" "&amp;'Compliance Database'!$K1349&amp;" "&amp;'Compliance Database'!$L1349&amp;" "&amp;'Compliance Database'!$M1349&amp;" "&amp;'Compliance Database'!$N1349&amp;" "&amp;'Compliance Database'!$O1349)))),1,0)</f>
        <v/>
      </c>
      <c r="B1349">
        <f>IF($A1349=1,SUM($A$2:$A1349),"")</f>
        <v/>
      </c>
      <c r="C1349">
        <f>IF($A1349=1,SUM($A$2:$A1349),0)</f>
        <v/>
      </c>
    </row>
    <row r="1350">
      <c r="A1350">
        <f>IF(AND(OR('Compliance Database'!$A1350='Data Transfer'!$B$4,'Compliance Database'!$A1350='Data Transfer'!$B$5),OR('Data Transfer'!$B$6="",ISNUMBER(SEARCH('Data Transfer'!$B$6,'Compliance Database'!$D1350&amp;" "&amp;'Compliance Database'!$K1350&amp;" "&amp;'Compliance Database'!$L1350&amp;" "&amp;'Compliance Database'!$M1350&amp;" "&amp;'Compliance Database'!$N1350&amp;" "&amp;'Compliance Database'!$O1350)))),1,0)</f>
        <v/>
      </c>
      <c r="B1350">
        <f>IF($A1350=1,SUM($A$2:$A1350),"")</f>
        <v/>
      </c>
      <c r="C1350">
        <f>IF($A1350=1,SUM($A$2:$A1350),0)</f>
        <v/>
      </c>
    </row>
    <row r="1351">
      <c r="A1351">
        <f>IF(AND(OR('Compliance Database'!$A1351='Data Transfer'!$B$4,'Compliance Database'!$A1351='Data Transfer'!$B$5),OR('Data Transfer'!$B$6="",ISNUMBER(SEARCH('Data Transfer'!$B$6,'Compliance Database'!$D1351&amp;" "&amp;'Compliance Database'!$K1351&amp;" "&amp;'Compliance Database'!$L1351&amp;" "&amp;'Compliance Database'!$M1351&amp;" "&amp;'Compliance Database'!$N1351&amp;" "&amp;'Compliance Database'!$O1351)))),1,0)</f>
        <v/>
      </c>
      <c r="B1351">
        <f>IF($A1351=1,SUM($A$2:$A1351),"")</f>
        <v/>
      </c>
      <c r="C1351">
        <f>IF($A1351=1,SUM($A$2:$A1351),0)</f>
        <v/>
      </c>
    </row>
    <row r="1352">
      <c r="A1352">
        <f>IF(AND(OR('Compliance Database'!$A1352='Data Transfer'!$B$4,'Compliance Database'!$A1352='Data Transfer'!$B$5),OR('Data Transfer'!$B$6="",ISNUMBER(SEARCH('Data Transfer'!$B$6,'Compliance Database'!$D1352&amp;" "&amp;'Compliance Database'!$K1352&amp;" "&amp;'Compliance Database'!$L1352&amp;" "&amp;'Compliance Database'!$M1352&amp;" "&amp;'Compliance Database'!$N1352&amp;" "&amp;'Compliance Database'!$O1352)))),1,0)</f>
        <v/>
      </c>
      <c r="B1352">
        <f>IF($A1352=1,SUM($A$2:$A1352),"")</f>
        <v/>
      </c>
      <c r="C1352">
        <f>IF($A1352=1,SUM($A$2:$A1352),0)</f>
        <v/>
      </c>
    </row>
    <row r="1353">
      <c r="A1353">
        <f>IF(AND(OR('Compliance Database'!$A1353='Data Transfer'!$B$4,'Compliance Database'!$A1353='Data Transfer'!$B$5),OR('Data Transfer'!$B$6="",ISNUMBER(SEARCH('Data Transfer'!$B$6,'Compliance Database'!$D1353&amp;" "&amp;'Compliance Database'!$K1353&amp;" "&amp;'Compliance Database'!$L1353&amp;" "&amp;'Compliance Database'!$M1353&amp;" "&amp;'Compliance Database'!$N1353&amp;" "&amp;'Compliance Database'!$O1353)))),1,0)</f>
        <v/>
      </c>
      <c r="B1353">
        <f>IF($A1353=1,SUM($A$2:$A1353),"")</f>
        <v/>
      </c>
      <c r="C1353">
        <f>IF($A1353=1,SUM($A$2:$A1353),0)</f>
        <v/>
      </c>
    </row>
    <row r="1354">
      <c r="A1354">
        <f>IF(AND(OR('Compliance Database'!$A1354='Data Transfer'!$B$4,'Compliance Database'!$A1354='Data Transfer'!$B$5),OR('Data Transfer'!$B$6="",ISNUMBER(SEARCH('Data Transfer'!$B$6,'Compliance Database'!$D1354&amp;" "&amp;'Compliance Database'!$K1354&amp;" "&amp;'Compliance Database'!$L1354&amp;" "&amp;'Compliance Database'!$M1354&amp;" "&amp;'Compliance Database'!$N1354&amp;" "&amp;'Compliance Database'!$O1354)))),1,0)</f>
        <v/>
      </c>
      <c r="B1354">
        <f>IF($A1354=1,SUM($A$2:$A1354),"")</f>
        <v/>
      </c>
      <c r="C1354">
        <f>IF($A1354=1,SUM($A$2:$A1354),0)</f>
        <v/>
      </c>
    </row>
    <row r="1355">
      <c r="A1355">
        <f>IF(AND(OR('Compliance Database'!$A1355='Data Transfer'!$B$4,'Compliance Database'!$A1355='Data Transfer'!$B$5),OR('Data Transfer'!$B$6="",ISNUMBER(SEARCH('Data Transfer'!$B$6,'Compliance Database'!$D1355&amp;" "&amp;'Compliance Database'!$K1355&amp;" "&amp;'Compliance Database'!$L1355&amp;" "&amp;'Compliance Database'!$M1355&amp;" "&amp;'Compliance Database'!$N1355&amp;" "&amp;'Compliance Database'!$O1355)))),1,0)</f>
        <v/>
      </c>
      <c r="B1355">
        <f>IF($A1355=1,SUM($A$2:$A1355),"")</f>
        <v/>
      </c>
      <c r="C1355">
        <f>IF($A1355=1,SUM($A$2:$A1355),0)</f>
        <v/>
      </c>
    </row>
    <row r="1356">
      <c r="A1356">
        <f>IF(AND(OR('Compliance Database'!$A1356='Data Transfer'!$B$4,'Compliance Database'!$A1356='Data Transfer'!$B$5),OR('Data Transfer'!$B$6="",ISNUMBER(SEARCH('Data Transfer'!$B$6,'Compliance Database'!$D1356&amp;" "&amp;'Compliance Database'!$K1356&amp;" "&amp;'Compliance Database'!$L1356&amp;" "&amp;'Compliance Database'!$M1356&amp;" "&amp;'Compliance Database'!$N1356&amp;" "&amp;'Compliance Database'!$O1356)))),1,0)</f>
        <v/>
      </c>
      <c r="B1356">
        <f>IF($A1356=1,SUM($A$2:$A1356),"")</f>
        <v/>
      </c>
      <c r="C1356">
        <f>IF($A1356=1,SUM($A$2:$A1356),0)</f>
        <v/>
      </c>
    </row>
    <row r="1357">
      <c r="A1357">
        <f>IF(AND(OR('Compliance Database'!$A1357='Data Transfer'!$B$4,'Compliance Database'!$A1357='Data Transfer'!$B$5),OR('Data Transfer'!$B$6="",ISNUMBER(SEARCH('Data Transfer'!$B$6,'Compliance Database'!$D1357&amp;" "&amp;'Compliance Database'!$K1357&amp;" "&amp;'Compliance Database'!$L1357&amp;" "&amp;'Compliance Database'!$M1357&amp;" "&amp;'Compliance Database'!$N1357&amp;" "&amp;'Compliance Database'!$O1357)))),1,0)</f>
        <v/>
      </c>
      <c r="B1357">
        <f>IF($A1357=1,SUM($A$2:$A1357),"")</f>
        <v/>
      </c>
      <c r="C1357">
        <f>IF($A1357=1,SUM($A$2:$A1357),0)</f>
        <v/>
      </c>
    </row>
    <row r="1358">
      <c r="A1358">
        <f>IF(AND(OR('Compliance Database'!$A1358='Data Transfer'!$B$4,'Compliance Database'!$A1358='Data Transfer'!$B$5),OR('Data Transfer'!$B$6="",ISNUMBER(SEARCH('Data Transfer'!$B$6,'Compliance Database'!$D1358&amp;" "&amp;'Compliance Database'!$K1358&amp;" "&amp;'Compliance Database'!$L1358&amp;" "&amp;'Compliance Database'!$M1358&amp;" "&amp;'Compliance Database'!$N1358&amp;" "&amp;'Compliance Database'!$O1358)))),1,0)</f>
        <v/>
      </c>
      <c r="B1358">
        <f>IF($A1358=1,SUM($A$2:$A1358),"")</f>
        <v/>
      </c>
      <c r="C1358">
        <f>IF($A1358=1,SUM($A$2:$A1358),0)</f>
        <v/>
      </c>
    </row>
    <row r="1359">
      <c r="A1359">
        <f>IF(AND(OR('Compliance Database'!$A1359='Data Transfer'!$B$4,'Compliance Database'!$A1359='Data Transfer'!$B$5),OR('Data Transfer'!$B$6="",ISNUMBER(SEARCH('Data Transfer'!$B$6,'Compliance Database'!$D1359&amp;" "&amp;'Compliance Database'!$K1359&amp;" "&amp;'Compliance Database'!$L1359&amp;" "&amp;'Compliance Database'!$M1359&amp;" "&amp;'Compliance Database'!$N1359&amp;" "&amp;'Compliance Database'!$O1359)))),1,0)</f>
        <v/>
      </c>
      <c r="B1359">
        <f>IF($A1359=1,SUM($A$2:$A1359),"")</f>
        <v/>
      </c>
      <c r="C1359">
        <f>IF($A1359=1,SUM($A$2:$A1359),0)</f>
        <v/>
      </c>
    </row>
    <row r="1360">
      <c r="A1360">
        <f>IF(AND(OR('Compliance Database'!$A1360='Data Transfer'!$B$4,'Compliance Database'!$A1360='Data Transfer'!$B$5),OR('Data Transfer'!$B$6="",ISNUMBER(SEARCH('Data Transfer'!$B$6,'Compliance Database'!$D1360&amp;" "&amp;'Compliance Database'!$K1360&amp;" "&amp;'Compliance Database'!$L1360&amp;" "&amp;'Compliance Database'!$M1360&amp;" "&amp;'Compliance Database'!$N1360&amp;" "&amp;'Compliance Database'!$O1360)))),1,0)</f>
        <v/>
      </c>
      <c r="B1360">
        <f>IF($A1360=1,SUM($A$2:$A1360),"")</f>
        <v/>
      </c>
      <c r="C1360">
        <f>IF($A1360=1,SUM($A$2:$A1360),0)</f>
        <v/>
      </c>
    </row>
    <row r="1361">
      <c r="A1361">
        <f>IF(AND(OR('Compliance Database'!$A1361='Data Transfer'!$B$4,'Compliance Database'!$A1361='Data Transfer'!$B$5),OR('Data Transfer'!$B$6="",ISNUMBER(SEARCH('Data Transfer'!$B$6,'Compliance Database'!$D1361&amp;" "&amp;'Compliance Database'!$K1361&amp;" "&amp;'Compliance Database'!$L1361&amp;" "&amp;'Compliance Database'!$M1361&amp;" "&amp;'Compliance Database'!$N1361&amp;" "&amp;'Compliance Database'!$O1361)))),1,0)</f>
        <v/>
      </c>
      <c r="B1361">
        <f>IF($A1361=1,SUM($A$2:$A1361),"")</f>
        <v/>
      </c>
      <c r="C1361">
        <f>IF($A1361=1,SUM($A$2:$A1361),0)</f>
        <v/>
      </c>
    </row>
    <row r="1362">
      <c r="A1362">
        <f>IF(AND(OR('Compliance Database'!$A1362='Data Transfer'!$B$4,'Compliance Database'!$A1362='Data Transfer'!$B$5),OR('Data Transfer'!$B$6="",ISNUMBER(SEARCH('Data Transfer'!$B$6,'Compliance Database'!$D1362&amp;" "&amp;'Compliance Database'!$K1362&amp;" "&amp;'Compliance Database'!$L1362&amp;" "&amp;'Compliance Database'!$M1362&amp;" "&amp;'Compliance Database'!$N1362&amp;" "&amp;'Compliance Database'!$O1362)))),1,0)</f>
        <v/>
      </c>
      <c r="B1362">
        <f>IF($A1362=1,SUM($A$2:$A1362),"")</f>
        <v/>
      </c>
      <c r="C1362">
        <f>IF($A1362=1,SUM($A$2:$A1362),0)</f>
        <v/>
      </c>
    </row>
    <row r="1363">
      <c r="A1363">
        <f>IF(AND(OR('Compliance Database'!$A1363='Data Transfer'!$B$4,'Compliance Database'!$A1363='Data Transfer'!$B$5),OR('Data Transfer'!$B$6="",ISNUMBER(SEARCH('Data Transfer'!$B$6,'Compliance Database'!$D1363&amp;" "&amp;'Compliance Database'!$K1363&amp;" "&amp;'Compliance Database'!$L1363&amp;" "&amp;'Compliance Database'!$M1363&amp;" "&amp;'Compliance Database'!$N1363&amp;" "&amp;'Compliance Database'!$O1363)))),1,0)</f>
        <v/>
      </c>
      <c r="B1363">
        <f>IF($A1363=1,SUM($A$2:$A1363),"")</f>
        <v/>
      </c>
      <c r="C1363">
        <f>IF($A1363=1,SUM($A$2:$A1363),0)</f>
        <v/>
      </c>
    </row>
    <row r="1364">
      <c r="A1364">
        <f>IF(AND(OR('Compliance Database'!$A1364='Data Transfer'!$B$4,'Compliance Database'!$A1364='Data Transfer'!$B$5),OR('Data Transfer'!$B$6="",ISNUMBER(SEARCH('Data Transfer'!$B$6,'Compliance Database'!$D1364&amp;" "&amp;'Compliance Database'!$K1364&amp;" "&amp;'Compliance Database'!$L1364&amp;" "&amp;'Compliance Database'!$M1364&amp;" "&amp;'Compliance Database'!$N1364&amp;" "&amp;'Compliance Database'!$O1364)))),1,0)</f>
        <v/>
      </c>
      <c r="B1364">
        <f>IF($A1364=1,SUM($A$2:$A1364),"")</f>
        <v/>
      </c>
      <c r="C1364">
        <f>IF($A1364=1,SUM($A$2:$A1364),0)</f>
        <v/>
      </c>
    </row>
    <row r="1365">
      <c r="A1365">
        <f>IF(AND(OR('Compliance Database'!$A1365='Data Transfer'!$B$4,'Compliance Database'!$A1365='Data Transfer'!$B$5),OR('Data Transfer'!$B$6="",ISNUMBER(SEARCH('Data Transfer'!$B$6,'Compliance Database'!$D1365&amp;" "&amp;'Compliance Database'!$K1365&amp;" "&amp;'Compliance Database'!$L1365&amp;" "&amp;'Compliance Database'!$M1365&amp;" "&amp;'Compliance Database'!$N1365&amp;" "&amp;'Compliance Database'!$O1365)))),1,0)</f>
        <v/>
      </c>
      <c r="B1365">
        <f>IF($A1365=1,SUM($A$2:$A1365),"")</f>
        <v/>
      </c>
      <c r="C1365">
        <f>IF($A1365=1,SUM($A$2:$A1365),0)</f>
        <v/>
      </c>
    </row>
    <row r="1366">
      <c r="A1366">
        <f>IF(AND(OR('Compliance Database'!$A1366='Data Transfer'!$B$4,'Compliance Database'!$A1366='Data Transfer'!$B$5),OR('Data Transfer'!$B$6="",ISNUMBER(SEARCH('Data Transfer'!$B$6,'Compliance Database'!$D1366&amp;" "&amp;'Compliance Database'!$K1366&amp;" "&amp;'Compliance Database'!$L1366&amp;" "&amp;'Compliance Database'!$M1366&amp;" "&amp;'Compliance Database'!$N1366&amp;" "&amp;'Compliance Database'!$O1366)))),1,0)</f>
        <v/>
      </c>
      <c r="B1366">
        <f>IF($A1366=1,SUM($A$2:$A1366),"")</f>
        <v/>
      </c>
      <c r="C1366">
        <f>IF($A1366=1,SUM($A$2:$A1366),0)</f>
        <v/>
      </c>
    </row>
    <row r="1367">
      <c r="A1367">
        <f>IF(AND(OR('Compliance Database'!$A1367='Data Transfer'!$B$4,'Compliance Database'!$A1367='Data Transfer'!$B$5),OR('Data Transfer'!$B$6="",ISNUMBER(SEARCH('Data Transfer'!$B$6,'Compliance Database'!$D1367&amp;" "&amp;'Compliance Database'!$K1367&amp;" "&amp;'Compliance Database'!$L1367&amp;" "&amp;'Compliance Database'!$M1367&amp;" "&amp;'Compliance Database'!$N1367&amp;" "&amp;'Compliance Database'!$O1367)))),1,0)</f>
        <v/>
      </c>
      <c r="B1367">
        <f>IF($A1367=1,SUM($A$2:$A1367),"")</f>
        <v/>
      </c>
      <c r="C1367">
        <f>IF($A1367=1,SUM($A$2:$A1367),0)</f>
        <v/>
      </c>
    </row>
    <row r="1368">
      <c r="A1368">
        <f>IF(AND(OR('Compliance Database'!$A1368='Data Transfer'!$B$4,'Compliance Database'!$A1368='Data Transfer'!$B$5),OR('Data Transfer'!$B$6="",ISNUMBER(SEARCH('Data Transfer'!$B$6,'Compliance Database'!$D1368&amp;" "&amp;'Compliance Database'!$K1368&amp;" "&amp;'Compliance Database'!$L1368&amp;" "&amp;'Compliance Database'!$M1368&amp;" "&amp;'Compliance Database'!$N1368&amp;" "&amp;'Compliance Database'!$O1368)))),1,0)</f>
        <v/>
      </c>
      <c r="B1368">
        <f>IF($A1368=1,SUM($A$2:$A1368),"")</f>
        <v/>
      </c>
      <c r="C1368">
        <f>IF($A1368=1,SUM($A$2:$A1368),0)</f>
        <v/>
      </c>
    </row>
    <row r="1369">
      <c r="A1369">
        <f>IF(AND(OR('Compliance Database'!$A1369='Data Transfer'!$B$4,'Compliance Database'!$A1369='Data Transfer'!$B$5),OR('Data Transfer'!$B$6="",ISNUMBER(SEARCH('Data Transfer'!$B$6,'Compliance Database'!$D1369&amp;" "&amp;'Compliance Database'!$K1369&amp;" "&amp;'Compliance Database'!$L1369&amp;" "&amp;'Compliance Database'!$M1369&amp;" "&amp;'Compliance Database'!$N1369&amp;" "&amp;'Compliance Database'!$O1369)))),1,0)</f>
        <v/>
      </c>
      <c r="B1369">
        <f>IF($A1369=1,SUM($A$2:$A1369),"")</f>
        <v/>
      </c>
      <c r="C1369">
        <f>IF($A1369=1,SUM($A$2:$A1369),0)</f>
        <v/>
      </c>
    </row>
    <row r="1370">
      <c r="A1370">
        <f>IF(AND(OR('Compliance Database'!$A1370='Data Transfer'!$B$4,'Compliance Database'!$A1370='Data Transfer'!$B$5),OR('Data Transfer'!$B$6="",ISNUMBER(SEARCH('Data Transfer'!$B$6,'Compliance Database'!$D1370&amp;" "&amp;'Compliance Database'!$K1370&amp;" "&amp;'Compliance Database'!$L1370&amp;" "&amp;'Compliance Database'!$M1370&amp;" "&amp;'Compliance Database'!$N1370&amp;" "&amp;'Compliance Database'!$O1370)))),1,0)</f>
        <v/>
      </c>
      <c r="B1370">
        <f>IF($A1370=1,SUM($A$2:$A1370),"")</f>
        <v/>
      </c>
      <c r="C1370">
        <f>IF($A1370=1,SUM($A$2:$A1370),0)</f>
        <v/>
      </c>
    </row>
    <row r="1371">
      <c r="A1371">
        <f>IF(AND(OR('Compliance Database'!$A1371='Data Transfer'!$B$4,'Compliance Database'!$A1371='Data Transfer'!$B$5),OR('Data Transfer'!$B$6="",ISNUMBER(SEARCH('Data Transfer'!$B$6,'Compliance Database'!$D1371&amp;" "&amp;'Compliance Database'!$K1371&amp;" "&amp;'Compliance Database'!$L1371&amp;" "&amp;'Compliance Database'!$M1371&amp;" "&amp;'Compliance Database'!$N1371&amp;" "&amp;'Compliance Database'!$O1371)))),1,0)</f>
        <v/>
      </c>
      <c r="B1371">
        <f>IF($A1371=1,SUM($A$2:$A1371),"")</f>
        <v/>
      </c>
      <c r="C1371">
        <f>IF($A1371=1,SUM($A$2:$A1371),0)</f>
        <v/>
      </c>
    </row>
    <row r="1372">
      <c r="A1372">
        <f>IF(AND(OR('Compliance Database'!$A1372='Data Transfer'!$B$4,'Compliance Database'!$A1372='Data Transfer'!$B$5),OR('Data Transfer'!$B$6="",ISNUMBER(SEARCH('Data Transfer'!$B$6,'Compliance Database'!$D1372&amp;" "&amp;'Compliance Database'!$K1372&amp;" "&amp;'Compliance Database'!$L1372&amp;" "&amp;'Compliance Database'!$M1372&amp;" "&amp;'Compliance Database'!$N1372&amp;" "&amp;'Compliance Database'!$O1372)))),1,0)</f>
        <v/>
      </c>
      <c r="B1372">
        <f>IF($A1372=1,SUM($A$2:$A1372),"")</f>
        <v/>
      </c>
      <c r="C1372">
        <f>IF($A1372=1,SUM($A$2:$A1372),0)</f>
        <v/>
      </c>
    </row>
    <row r="1373">
      <c r="A1373">
        <f>IF(AND(OR('Compliance Database'!$A1373='Data Transfer'!$B$4,'Compliance Database'!$A1373='Data Transfer'!$B$5),OR('Data Transfer'!$B$6="",ISNUMBER(SEARCH('Data Transfer'!$B$6,'Compliance Database'!$D1373&amp;" "&amp;'Compliance Database'!$K1373&amp;" "&amp;'Compliance Database'!$L1373&amp;" "&amp;'Compliance Database'!$M1373&amp;" "&amp;'Compliance Database'!$N1373&amp;" "&amp;'Compliance Database'!$O1373)))),1,0)</f>
        <v/>
      </c>
      <c r="B1373">
        <f>IF($A1373=1,SUM($A$2:$A1373),"")</f>
        <v/>
      </c>
      <c r="C1373">
        <f>IF($A1373=1,SUM($A$2:$A1373),0)</f>
        <v/>
      </c>
    </row>
    <row r="1374">
      <c r="A1374">
        <f>IF(AND(OR('Compliance Database'!$A1374='Data Transfer'!$B$4,'Compliance Database'!$A1374='Data Transfer'!$B$5),OR('Data Transfer'!$B$6="",ISNUMBER(SEARCH('Data Transfer'!$B$6,'Compliance Database'!$D1374&amp;" "&amp;'Compliance Database'!$K1374&amp;" "&amp;'Compliance Database'!$L1374&amp;" "&amp;'Compliance Database'!$M1374&amp;" "&amp;'Compliance Database'!$N1374&amp;" "&amp;'Compliance Database'!$O1374)))),1,0)</f>
        <v/>
      </c>
      <c r="B1374">
        <f>IF($A1374=1,SUM($A$2:$A1374),"")</f>
        <v/>
      </c>
      <c r="C1374">
        <f>IF($A1374=1,SUM($A$2:$A1374),0)</f>
        <v/>
      </c>
    </row>
    <row r="1375">
      <c r="A1375">
        <f>IF(AND(OR('Compliance Database'!$A1375='Data Transfer'!$B$4,'Compliance Database'!$A1375='Data Transfer'!$B$5),OR('Data Transfer'!$B$6="",ISNUMBER(SEARCH('Data Transfer'!$B$6,'Compliance Database'!$D1375&amp;" "&amp;'Compliance Database'!$K1375&amp;" "&amp;'Compliance Database'!$L1375&amp;" "&amp;'Compliance Database'!$M1375&amp;" "&amp;'Compliance Database'!$N1375&amp;" "&amp;'Compliance Database'!$O1375)))),1,0)</f>
        <v/>
      </c>
      <c r="B1375">
        <f>IF($A1375=1,SUM($A$2:$A1375),"")</f>
        <v/>
      </c>
      <c r="C1375">
        <f>IF($A1375=1,SUM($A$2:$A1375),0)</f>
        <v/>
      </c>
    </row>
    <row r="1376">
      <c r="A1376">
        <f>IF(AND(OR('Compliance Database'!$A1376='Data Transfer'!$B$4,'Compliance Database'!$A1376='Data Transfer'!$B$5),OR('Data Transfer'!$B$6="",ISNUMBER(SEARCH('Data Transfer'!$B$6,'Compliance Database'!$D1376&amp;" "&amp;'Compliance Database'!$K1376&amp;" "&amp;'Compliance Database'!$L1376&amp;" "&amp;'Compliance Database'!$M1376&amp;" "&amp;'Compliance Database'!$N1376&amp;" "&amp;'Compliance Database'!$O1376)))),1,0)</f>
        <v/>
      </c>
      <c r="B1376">
        <f>IF($A1376=1,SUM($A$2:$A1376),"")</f>
        <v/>
      </c>
      <c r="C1376">
        <f>IF($A1376=1,SUM($A$2:$A1376),0)</f>
        <v/>
      </c>
    </row>
    <row r="1377">
      <c r="A1377">
        <f>IF(AND(OR('Compliance Database'!$A1377='Data Transfer'!$B$4,'Compliance Database'!$A1377='Data Transfer'!$B$5),OR('Data Transfer'!$B$6="",ISNUMBER(SEARCH('Data Transfer'!$B$6,'Compliance Database'!$D1377&amp;" "&amp;'Compliance Database'!$K1377&amp;" "&amp;'Compliance Database'!$L1377&amp;" "&amp;'Compliance Database'!$M1377&amp;" "&amp;'Compliance Database'!$N1377&amp;" "&amp;'Compliance Database'!$O1377)))),1,0)</f>
        <v/>
      </c>
      <c r="B1377">
        <f>IF($A1377=1,SUM($A$2:$A1377),"")</f>
        <v/>
      </c>
      <c r="C1377">
        <f>IF($A1377=1,SUM($A$2:$A1377),0)</f>
        <v/>
      </c>
    </row>
    <row r="1378">
      <c r="A1378">
        <f>IF(AND(OR('Compliance Database'!$A1378='Data Transfer'!$B$4,'Compliance Database'!$A1378='Data Transfer'!$B$5),OR('Data Transfer'!$B$6="",ISNUMBER(SEARCH('Data Transfer'!$B$6,'Compliance Database'!$D1378&amp;" "&amp;'Compliance Database'!$K1378&amp;" "&amp;'Compliance Database'!$L1378&amp;" "&amp;'Compliance Database'!$M1378&amp;" "&amp;'Compliance Database'!$N1378&amp;" "&amp;'Compliance Database'!$O1378)))),1,0)</f>
        <v/>
      </c>
      <c r="B1378">
        <f>IF($A1378=1,SUM($A$2:$A1378),"")</f>
        <v/>
      </c>
      <c r="C1378">
        <f>IF($A1378=1,SUM($A$2:$A1378),0)</f>
        <v/>
      </c>
    </row>
    <row r="1379">
      <c r="A1379">
        <f>IF(AND(OR('Compliance Database'!$A1379='Data Transfer'!$B$4,'Compliance Database'!$A1379='Data Transfer'!$B$5),OR('Data Transfer'!$B$6="",ISNUMBER(SEARCH('Data Transfer'!$B$6,'Compliance Database'!$D1379&amp;" "&amp;'Compliance Database'!$K1379&amp;" "&amp;'Compliance Database'!$L1379&amp;" "&amp;'Compliance Database'!$M1379&amp;" "&amp;'Compliance Database'!$N1379&amp;" "&amp;'Compliance Database'!$O1379)))),1,0)</f>
        <v/>
      </c>
      <c r="B1379">
        <f>IF($A1379=1,SUM($A$2:$A1379),"")</f>
        <v/>
      </c>
      <c r="C1379">
        <f>IF($A1379=1,SUM($A$2:$A1379),0)</f>
        <v/>
      </c>
    </row>
    <row r="1380">
      <c r="A1380">
        <f>IF(AND(OR('Compliance Database'!$A1380='Data Transfer'!$B$4,'Compliance Database'!$A1380='Data Transfer'!$B$5),OR('Data Transfer'!$B$6="",ISNUMBER(SEARCH('Data Transfer'!$B$6,'Compliance Database'!$D1380&amp;" "&amp;'Compliance Database'!$K1380&amp;" "&amp;'Compliance Database'!$L1380&amp;" "&amp;'Compliance Database'!$M1380&amp;" "&amp;'Compliance Database'!$N1380&amp;" "&amp;'Compliance Database'!$O1380)))),1,0)</f>
        <v/>
      </c>
      <c r="B1380">
        <f>IF($A1380=1,SUM($A$2:$A1380),"")</f>
        <v/>
      </c>
      <c r="C1380">
        <f>IF($A1380=1,SUM($A$2:$A1380),0)</f>
        <v/>
      </c>
    </row>
    <row r="1381">
      <c r="A1381">
        <f>IF(AND(OR('Compliance Database'!$A1381='Data Transfer'!$B$4,'Compliance Database'!$A1381='Data Transfer'!$B$5),OR('Data Transfer'!$B$6="",ISNUMBER(SEARCH('Data Transfer'!$B$6,'Compliance Database'!$D1381&amp;" "&amp;'Compliance Database'!$K1381&amp;" "&amp;'Compliance Database'!$L1381&amp;" "&amp;'Compliance Database'!$M1381&amp;" "&amp;'Compliance Database'!$N1381&amp;" "&amp;'Compliance Database'!$O1381)))),1,0)</f>
        <v/>
      </c>
      <c r="B1381">
        <f>IF($A1381=1,SUM($A$2:$A1381),"")</f>
        <v/>
      </c>
      <c r="C1381">
        <f>IF($A1381=1,SUM($A$2:$A1381),0)</f>
        <v/>
      </c>
    </row>
    <row r="1382">
      <c r="A1382">
        <f>IF(AND(OR('Compliance Database'!$A1382='Data Transfer'!$B$4,'Compliance Database'!$A1382='Data Transfer'!$B$5),OR('Data Transfer'!$B$6="",ISNUMBER(SEARCH('Data Transfer'!$B$6,'Compliance Database'!$D1382&amp;" "&amp;'Compliance Database'!$K1382&amp;" "&amp;'Compliance Database'!$L1382&amp;" "&amp;'Compliance Database'!$M1382&amp;" "&amp;'Compliance Database'!$N1382&amp;" "&amp;'Compliance Database'!$O1382)))),1,0)</f>
        <v/>
      </c>
      <c r="B1382">
        <f>IF($A1382=1,SUM($A$2:$A1382),"")</f>
        <v/>
      </c>
      <c r="C1382">
        <f>IF($A1382=1,SUM($A$2:$A1382),0)</f>
        <v/>
      </c>
    </row>
    <row r="1383">
      <c r="A1383">
        <f>IF(AND(OR('Compliance Database'!$A1383='Data Transfer'!$B$4,'Compliance Database'!$A1383='Data Transfer'!$B$5),OR('Data Transfer'!$B$6="",ISNUMBER(SEARCH('Data Transfer'!$B$6,'Compliance Database'!$D1383&amp;" "&amp;'Compliance Database'!$K1383&amp;" "&amp;'Compliance Database'!$L1383&amp;" "&amp;'Compliance Database'!$M1383&amp;" "&amp;'Compliance Database'!$N1383&amp;" "&amp;'Compliance Database'!$O1383)))),1,0)</f>
        <v/>
      </c>
      <c r="B1383">
        <f>IF($A1383=1,SUM($A$2:$A1383),"")</f>
        <v/>
      </c>
      <c r="C1383">
        <f>IF($A1383=1,SUM($A$2:$A1383),0)</f>
        <v/>
      </c>
    </row>
    <row r="1384">
      <c r="A1384">
        <f>IF(AND(OR('Compliance Database'!$A1384='Data Transfer'!$B$4,'Compliance Database'!$A1384='Data Transfer'!$B$5),OR('Data Transfer'!$B$6="",ISNUMBER(SEARCH('Data Transfer'!$B$6,'Compliance Database'!$D1384&amp;" "&amp;'Compliance Database'!$K1384&amp;" "&amp;'Compliance Database'!$L1384&amp;" "&amp;'Compliance Database'!$M1384&amp;" "&amp;'Compliance Database'!$N1384&amp;" "&amp;'Compliance Database'!$O1384)))),1,0)</f>
        <v/>
      </c>
      <c r="B1384">
        <f>IF($A1384=1,SUM($A$2:$A1384),"")</f>
        <v/>
      </c>
      <c r="C1384">
        <f>IF($A1384=1,SUM($A$2:$A1384),0)</f>
        <v/>
      </c>
    </row>
    <row r="1385">
      <c r="A1385">
        <f>IF(AND(OR('Compliance Database'!$A1385='Data Transfer'!$B$4,'Compliance Database'!$A1385='Data Transfer'!$B$5),OR('Data Transfer'!$B$6="",ISNUMBER(SEARCH('Data Transfer'!$B$6,'Compliance Database'!$D1385&amp;" "&amp;'Compliance Database'!$K1385&amp;" "&amp;'Compliance Database'!$L1385&amp;" "&amp;'Compliance Database'!$M1385&amp;" "&amp;'Compliance Database'!$N1385&amp;" "&amp;'Compliance Database'!$O1385)))),1,0)</f>
        <v/>
      </c>
      <c r="B1385">
        <f>IF($A1385=1,SUM($A$2:$A1385),"")</f>
        <v/>
      </c>
      <c r="C1385">
        <f>IF($A1385=1,SUM($A$2:$A1385),0)</f>
        <v/>
      </c>
    </row>
    <row r="1386">
      <c r="A1386">
        <f>IF(AND(OR('Compliance Database'!$A1386='Data Transfer'!$B$4,'Compliance Database'!$A1386='Data Transfer'!$B$5),OR('Data Transfer'!$B$6="",ISNUMBER(SEARCH('Data Transfer'!$B$6,'Compliance Database'!$D1386&amp;" "&amp;'Compliance Database'!$K1386&amp;" "&amp;'Compliance Database'!$L1386&amp;" "&amp;'Compliance Database'!$M1386&amp;" "&amp;'Compliance Database'!$N1386&amp;" "&amp;'Compliance Database'!$O1386)))),1,0)</f>
        <v/>
      </c>
      <c r="B1386">
        <f>IF($A1386=1,SUM($A$2:$A1386),"")</f>
        <v/>
      </c>
      <c r="C1386">
        <f>IF($A1386=1,SUM($A$2:$A1386),0)</f>
        <v/>
      </c>
    </row>
    <row r="1387">
      <c r="A1387">
        <f>IF(AND(OR('Compliance Database'!$A1387='Data Transfer'!$B$4,'Compliance Database'!$A1387='Data Transfer'!$B$5),OR('Data Transfer'!$B$6="",ISNUMBER(SEARCH('Data Transfer'!$B$6,'Compliance Database'!$D1387&amp;" "&amp;'Compliance Database'!$K1387&amp;" "&amp;'Compliance Database'!$L1387&amp;" "&amp;'Compliance Database'!$M1387&amp;" "&amp;'Compliance Database'!$N1387&amp;" "&amp;'Compliance Database'!$O1387)))),1,0)</f>
        <v/>
      </c>
      <c r="B1387">
        <f>IF($A1387=1,SUM($A$2:$A1387),"")</f>
        <v/>
      </c>
      <c r="C1387">
        <f>IF($A1387=1,SUM($A$2:$A1387),0)</f>
        <v/>
      </c>
    </row>
    <row r="1388">
      <c r="A1388">
        <f>IF(AND(OR('Compliance Database'!$A1388='Data Transfer'!$B$4,'Compliance Database'!$A1388='Data Transfer'!$B$5),OR('Data Transfer'!$B$6="",ISNUMBER(SEARCH('Data Transfer'!$B$6,'Compliance Database'!$D1388&amp;" "&amp;'Compliance Database'!$K1388&amp;" "&amp;'Compliance Database'!$L1388&amp;" "&amp;'Compliance Database'!$M1388&amp;" "&amp;'Compliance Database'!$N1388&amp;" "&amp;'Compliance Database'!$O1388)))),1,0)</f>
        <v/>
      </c>
      <c r="B1388">
        <f>IF($A1388=1,SUM($A$2:$A1388),"")</f>
        <v/>
      </c>
      <c r="C1388">
        <f>IF($A1388=1,SUM($A$2:$A1388),0)</f>
        <v/>
      </c>
    </row>
    <row r="1389">
      <c r="A1389">
        <f>IF(AND(OR('Compliance Database'!$A1389='Data Transfer'!$B$4,'Compliance Database'!$A1389='Data Transfer'!$B$5),OR('Data Transfer'!$B$6="",ISNUMBER(SEARCH('Data Transfer'!$B$6,'Compliance Database'!$D1389&amp;" "&amp;'Compliance Database'!$K1389&amp;" "&amp;'Compliance Database'!$L1389&amp;" "&amp;'Compliance Database'!$M1389&amp;" "&amp;'Compliance Database'!$N1389&amp;" "&amp;'Compliance Database'!$O1389)))),1,0)</f>
        <v/>
      </c>
      <c r="B1389">
        <f>IF($A1389=1,SUM($A$2:$A1389),"")</f>
        <v/>
      </c>
      <c r="C1389">
        <f>IF($A1389=1,SUM($A$2:$A1389),0)</f>
        <v/>
      </c>
    </row>
    <row r="1390">
      <c r="A1390">
        <f>IF(AND(OR('Compliance Database'!$A1390='Data Transfer'!$B$4,'Compliance Database'!$A1390='Data Transfer'!$B$5),OR('Data Transfer'!$B$6="",ISNUMBER(SEARCH('Data Transfer'!$B$6,'Compliance Database'!$D1390&amp;" "&amp;'Compliance Database'!$K1390&amp;" "&amp;'Compliance Database'!$L1390&amp;" "&amp;'Compliance Database'!$M1390&amp;" "&amp;'Compliance Database'!$N1390&amp;" "&amp;'Compliance Database'!$O1390)))),1,0)</f>
        <v/>
      </c>
      <c r="B1390">
        <f>IF($A1390=1,SUM($A$2:$A1390),"")</f>
        <v/>
      </c>
      <c r="C1390">
        <f>IF($A1390=1,SUM($A$2:$A1390),0)</f>
        <v/>
      </c>
    </row>
    <row r="1391">
      <c r="A1391">
        <f>IF(AND(OR('Compliance Database'!$A1391='Data Transfer'!$B$4,'Compliance Database'!$A1391='Data Transfer'!$B$5),OR('Data Transfer'!$B$6="",ISNUMBER(SEARCH('Data Transfer'!$B$6,'Compliance Database'!$D1391&amp;" "&amp;'Compliance Database'!$K1391&amp;" "&amp;'Compliance Database'!$L1391&amp;" "&amp;'Compliance Database'!$M1391&amp;" "&amp;'Compliance Database'!$N1391&amp;" "&amp;'Compliance Database'!$O1391)))),1,0)</f>
        <v/>
      </c>
      <c r="B1391">
        <f>IF($A1391=1,SUM($A$2:$A1391),"")</f>
        <v/>
      </c>
      <c r="C1391">
        <f>IF($A1391=1,SUM($A$2:$A1391),0)</f>
        <v/>
      </c>
    </row>
    <row r="1392">
      <c r="A1392">
        <f>IF(AND(OR('Compliance Database'!$A1392='Data Transfer'!$B$4,'Compliance Database'!$A1392='Data Transfer'!$B$5),OR('Data Transfer'!$B$6="",ISNUMBER(SEARCH('Data Transfer'!$B$6,'Compliance Database'!$D1392&amp;" "&amp;'Compliance Database'!$K1392&amp;" "&amp;'Compliance Database'!$L1392&amp;" "&amp;'Compliance Database'!$M1392&amp;" "&amp;'Compliance Database'!$N1392&amp;" "&amp;'Compliance Database'!$O1392)))),1,0)</f>
        <v/>
      </c>
      <c r="B1392">
        <f>IF($A1392=1,SUM($A$2:$A1392),"")</f>
        <v/>
      </c>
      <c r="C1392">
        <f>IF($A1392=1,SUM($A$2:$A1392),0)</f>
        <v/>
      </c>
    </row>
    <row r="1393">
      <c r="A1393">
        <f>IF(AND(OR('Compliance Database'!$A1393='Data Transfer'!$B$4,'Compliance Database'!$A1393='Data Transfer'!$B$5),OR('Data Transfer'!$B$6="",ISNUMBER(SEARCH('Data Transfer'!$B$6,'Compliance Database'!$D1393&amp;" "&amp;'Compliance Database'!$K1393&amp;" "&amp;'Compliance Database'!$L1393&amp;" "&amp;'Compliance Database'!$M1393&amp;" "&amp;'Compliance Database'!$N1393&amp;" "&amp;'Compliance Database'!$O1393)))),1,0)</f>
        <v/>
      </c>
      <c r="B1393">
        <f>IF($A1393=1,SUM($A$2:$A1393),"")</f>
        <v/>
      </c>
      <c r="C1393">
        <f>IF($A1393=1,SUM($A$2:$A1393),0)</f>
        <v/>
      </c>
    </row>
    <row r="1394">
      <c r="A1394">
        <f>IF(AND(OR('Compliance Database'!$A1394='Data Transfer'!$B$4,'Compliance Database'!$A1394='Data Transfer'!$B$5),OR('Data Transfer'!$B$6="",ISNUMBER(SEARCH('Data Transfer'!$B$6,'Compliance Database'!$D1394&amp;" "&amp;'Compliance Database'!$K1394&amp;" "&amp;'Compliance Database'!$L1394&amp;" "&amp;'Compliance Database'!$M1394&amp;" "&amp;'Compliance Database'!$N1394&amp;" "&amp;'Compliance Database'!$O1394)))),1,0)</f>
        <v/>
      </c>
      <c r="B1394">
        <f>IF($A1394=1,SUM($A$2:$A1394),"")</f>
        <v/>
      </c>
      <c r="C1394">
        <f>IF($A1394=1,SUM($A$2:$A1394),0)</f>
        <v/>
      </c>
    </row>
    <row r="1395">
      <c r="A1395">
        <f>IF(AND(OR('Compliance Database'!$A1395='Data Transfer'!$B$4,'Compliance Database'!$A1395='Data Transfer'!$B$5),OR('Data Transfer'!$B$6="",ISNUMBER(SEARCH('Data Transfer'!$B$6,'Compliance Database'!$D1395&amp;" "&amp;'Compliance Database'!$K1395&amp;" "&amp;'Compliance Database'!$L1395&amp;" "&amp;'Compliance Database'!$M1395&amp;" "&amp;'Compliance Database'!$N1395&amp;" "&amp;'Compliance Database'!$O1395)))),1,0)</f>
        <v/>
      </c>
      <c r="B1395">
        <f>IF($A1395=1,SUM($A$2:$A1395),"")</f>
        <v/>
      </c>
      <c r="C1395">
        <f>IF($A1395=1,SUM($A$2:$A1395),0)</f>
        <v/>
      </c>
    </row>
    <row r="1396">
      <c r="A1396">
        <f>IF(AND(OR('Compliance Database'!$A1396='Data Transfer'!$B$4,'Compliance Database'!$A1396='Data Transfer'!$B$5),OR('Data Transfer'!$B$6="",ISNUMBER(SEARCH('Data Transfer'!$B$6,'Compliance Database'!$D1396&amp;" "&amp;'Compliance Database'!$K1396&amp;" "&amp;'Compliance Database'!$L1396&amp;" "&amp;'Compliance Database'!$M1396&amp;" "&amp;'Compliance Database'!$N1396&amp;" "&amp;'Compliance Database'!$O1396)))),1,0)</f>
        <v/>
      </c>
      <c r="B1396">
        <f>IF($A1396=1,SUM($A$2:$A1396),"")</f>
        <v/>
      </c>
      <c r="C1396">
        <f>IF($A1396=1,SUM($A$2:$A1396),0)</f>
        <v/>
      </c>
    </row>
    <row r="1397">
      <c r="A1397">
        <f>IF(AND(OR('Compliance Database'!$A1397='Data Transfer'!$B$4,'Compliance Database'!$A1397='Data Transfer'!$B$5),OR('Data Transfer'!$B$6="",ISNUMBER(SEARCH('Data Transfer'!$B$6,'Compliance Database'!$D1397&amp;" "&amp;'Compliance Database'!$K1397&amp;" "&amp;'Compliance Database'!$L1397&amp;" "&amp;'Compliance Database'!$M1397&amp;" "&amp;'Compliance Database'!$N1397&amp;" "&amp;'Compliance Database'!$O1397)))),1,0)</f>
        <v/>
      </c>
      <c r="B1397">
        <f>IF($A1397=1,SUM($A$2:$A1397),"")</f>
        <v/>
      </c>
      <c r="C1397">
        <f>IF($A1397=1,SUM($A$2:$A1397),0)</f>
        <v/>
      </c>
    </row>
    <row r="1398">
      <c r="A1398">
        <f>IF(AND(OR('Compliance Database'!$A1398='Data Transfer'!$B$4,'Compliance Database'!$A1398='Data Transfer'!$B$5),OR('Data Transfer'!$B$6="",ISNUMBER(SEARCH('Data Transfer'!$B$6,'Compliance Database'!$D1398&amp;" "&amp;'Compliance Database'!$K1398&amp;" "&amp;'Compliance Database'!$L1398&amp;" "&amp;'Compliance Database'!$M1398&amp;" "&amp;'Compliance Database'!$N1398&amp;" "&amp;'Compliance Database'!$O1398)))),1,0)</f>
        <v/>
      </c>
      <c r="B1398">
        <f>IF($A1398=1,SUM($A$2:$A1398),"")</f>
        <v/>
      </c>
      <c r="C1398">
        <f>IF($A1398=1,SUM($A$2:$A1398),0)</f>
        <v/>
      </c>
    </row>
    <row r="1399">
      <c r="A1399">
        <f>IF(AND(OR('Compliance Database'!$A1399='Data Transfer'!$B$4,'Compliance Database'!$A1399='Data Transfer'!$B$5),OR('Data Transfer'!$B$6="",ISNUMBER(SEARCH('Data Transfer'!$B$6,'Compliance Database'!$D1399&amp;" "&amp;'Compliance Database'!$K1399&amp;" "&amp;'Compliance Database'!$L1399&amp;" "&amp;'Compliance Database'!$M1399&amp;" "&amp;'Compliance Database'!$N1399&amp;" "&amp;'Compliance Database'!$O1399)))),1,0)</f>
        <v/>
      </c>
      <c r="B1399">
        <f>IF($A1399=1,SUM($A$2:$A1399),"")</f>
        <v/>
      </c>
      <c r="C1399">
        <f>IF($A1399=1,SUM($A$2:$A1399),0)</f>
        <v/>
      </c>
    </row>
    <row r="1400">
      <c r="A1400">
        <f>IF(AND(OR('Compliance Database'!$A1400='Data Transfer'!$B$4,'Compliance Database'!$A1400='Data Transfer'!$B$5),OR('Data Transfer'!$B$6="",ISNUMBER(SEARCH('Data Transfer'!$B$6,'Compliance Database'!$D1400&amp;" "&amp;'Compliance Database'!$K1400&amp;" "&amp;'Compliance Database'!$L1400&amp;" "&amp;'Compliance Database'!$M1400&amp;" "&amp;'Compliance Database'!$N1400&amp;" "&amp;'Compliance Database'!$O1400)))),1,0)</f>
        <v/>
      </c>
      <c r="B1400">
        <f>IF($A1400=1,SUM($A$2:$A1400),"")</f>
        <v/>
      </c>
      <c r="C1400">
        <f>IF($A1400=1,SUM($A$2:$A1400),0)</f>
        <v/>
      </c>
    </row>
    <row r="1401">
      <c r="A1401">
        <f>IF(AND(OR('Compliance Database'!$A1401='Data Transfer'!$B$4,'Compliance Database'!$A1401='Data Transfer'!$B$5),OR('Data Transfer'!$B$6="",ISNUMBER(SEARCH('Data Transfer'!$B$6,'Compliance Database'!$D1401&amp;" "&amp;'Compliance Database'!$K1401&amp;" "&amp;'Compliance Database'!$L1401&amp;" "&amp;'Compliance Database'!$M1401&amp;" "&amp;'Compliance Database'!$N1401&amp;" "&amp;'Compliance Database'!$O1401)))),1,0)</f>
        <v/>
      </c>
      <c r="B1401">
        <f>IF($A1401=1,SUM($A$2:$A1401),"")</f>
        <v/>
      </c>
      <c r="C1401">
        <f>IF($A1401=1,SUM($A$2:$A1401),0)</f>
        <v/>
      </c>
    </row>
    <row r="1402">
      <c r="A1402">
        <f>IF(AND(OR('Compliance Database'!$A1402='Data Transfer'!$B$4,'Compliance Database'!$A1402='Data Transfer'!$B$5),OR('Data Transfer'!$B$6="",ISNUMBER(SEARCH('Data Transfer'!$B$6,'Compliance Database'!$D1402&amp;" "&amp;'Compliance Database'!$K1402&amp;" "&amp;'Compliance Database'!$L1402&amp;" "&amp;'Compliance Database'!$M1402&amp;" "&amp;'Compliance Database'!$N1402&amp;" "&amp;'Compliance Database'!$O1402)))),1,0)</f>
        <v/>
      </c>
      <c r="B1402">
        <f>IF($A1402=1,SUM($A$2:$A1402),"")</f>
        <v/>
      </c>
      <c r="C1402">
        <f>IF($A1402=1,SUM($A$2:$A1402),0)</f>
        <v/>
      </c>
    </row>
    <row r="1403">
      <c r="A1403">
        <f>IF(AND(OR('Compliance Database'!$A1403='Data Transfer'!$B$4,'Compliance Database'!$A1403='Data Transfer'!$B$5),OR('Data Transfer'!$B$6="",ISNUMBER(SEARCH('Data Transfer'!$B$6,'Compliance Database'!$D1403&amp;" "&amp;'Compliance Database'!$K1403&amp;" "&amp;'Compliance Database'!$L1403&amp;" "&amp;'Compliance Database'!$M1403&amp;" "&amp;'Compliance Database'!$N1403&amp;" "&amp;'Compliance Database'!$O1403)))),1,0)</f>
        <v/>
      </c>
      <c r="B1403">
        <f>IF($A1403=1,SUM($A$2:$A1403),"")</f>
        <v/>
      </c>
      <c r="C1403">
        <f>IF($A1403=1,SUM($A$2:$A1403),0)</f>
        <v/>
      </c>
    </row>
    <row r="1404">
      <c r="A1404">
        <f>IF(AND(OR('Compliance Database'!$A1404='Data Transfer'!$B$4,'Compliance Database'!$A1404='Data Transfer'!$B$5),OR('Data Transfer'!$B$6="",ISNUMBER(SEARCH('Data Transfer'!$B$6,'Compliance Database'!$D1404&amp;" "&amp;'Compliance Database'!$K1404&amp;" "&amp;'Compliance Database'!$L1404&amp;" "&amp;'Compliance Database'!$M1404&amp;" "&amp;'Compliance Database'!$N1404&amp;" "&amp;'Compliance Database'!$O1404)))),1,0)</f>
        <v/>
      </c>
      <c r="B1404">
        <f>IF($A1404=1,SUM($A$2:$A1404),"")</f>
        <v/>
      </c>
      <c r="C1404">
        <f>IF($A1404=1,SUM($A$2:$A1404),0)</f>
        <v/>
      </c>
    </row>
    <row r="1405">
      <c r="A1405">
        <f>IF(AND(OR('Compliance Database'!$A1405='Data Transfer'!$B$4,'Compliance Database'!$A1405='Data Transfer'!$B$5),OR('Data Transfer'!$B$6="",ISNUMBER(SEARCH('Data Transfer'!$B$6,'Compliance Database'!$D1405&amp;" "&amp;'Compliance Database'!$K1405&amp;" "&amp;'Compliance Database'!$L1405&amp;" "&amp;'Compliance Database'!$M1405&amp;" "&amp;'Compliance Database'!$N1405&amp;" "&amp;'Compliance Database'!$O1405)))),1,0)</f>
        <v/>
      </c>
      <c r="B1405">
        <f>IF($A1405=1,SUM($A$2:$A1405),"")</f>
        <v/>
      </c>
      <c r="C1405">
        <f>IF($A1405=1,SUM($A$2:$A1405),0)</f>
        <v/>
      </c>
    </row>
    <row r="1406">
      <c r="A1406">
        <f>IF(AND(OR('Compliance Database'!$A1406='Data Transfer'!$B$4,'Compliance Database'!$A1406='Data Transfer'!$B$5),OR('Data Transfer'!$B$6="",ISNUMBER(SEARCH('Data Transfer'!$B$6,'Compliance Database'!$D1406&amp;" "&amp;'Compliance Database'!$K1406&amp;" "&amp;'Compliance Database'!$L1406&amp;" "&amp;'Compliance Database'!$M1406&amp;" "&amp;'Compliance Database'!$N1406&amp;" "&amp;'Compliance Database'!$O1406)))),1,0)</f>
        <v/>
      </c>
      <c r="B1406">
        <f>IF($A1406=1,SUM($A$2:$A1406),"")</f>
        <v/>
      </c>
      <c r="C1406">
        <f>IF($A1406=1,SUM($A$2:$A1406),0)</f>
        <v/>
      </c>
    </row>
    <row r="1407">
      <c r="A1407">
        <f>IF(AND(OR('Compliance Database'!$A1407='Data Transfer'!$B$4,'Compliance Database'!$A1407='Data Transfer'!$B$5),OR('Data Transfer'!$B$6="",ISNUMBER(SEARCH('Data Transfer'!$B$6,'Compliance Database'!$D1407&amp;" "&amp;'Compliance Database'!$K1407&amp;" "&amp;'Compliance Database'!$L1407&amp;" "&amp;'Compliance Database'!$M1407&amp;" "&amp;'Compliance Database'!$N1407&amp;" "&amp;'Compliance Database'!$O1407)))),1,0)</f>
        <v/>
      </c>
      <c r="B1407">
        <f>IF($A1407=1,SUM($A$2:$A1407),"")</f>
        <v/>
      </c>
      <c r="C1407">
        <f>IF($A1407=1,SUM($A$2:$A1407),0)</f>
        <v/>
      </c>
    </row>
    <row r="1408">
      <c r="A1408">
        <f>IF(AND(OR('Compliance Database'!$A1408='Data Transfer'!$B$4,'Compliance Database'!$A1408='Data Transfer'!$B$5),OR('Data Transfer'!$B$6="",ISNUMBER(SEARCH('Data Transfer'!$B$6,'Compliance Database'!$D1408&amp;" "&amp;'Compliance Database'!$K1408&amp;" "&amp;'Compliance Database'!$L1408&amp;" "&amp;'Compliance Database'!$M1408&amp;" "&amp;'Compliance Database'!$N1408&amp;" "&amp;'Compliance Database'!$O1408)))),1,0)</f>
        <v/>
      </c>
      <c r="B1408">
        <f>IF($A1408=1,SUM($A$2:$A1408),"")</f>
        <v/>
      </c>
      <c r="C1408">
        <f>IF($A1408=1,SUM($A$2:$A1408),0)</f>
        <v/>
      </c>
    </row>
    <row r="1409">
      <c r="A1409">
        <f>IF(AND(OR('Compliance Database'!$A1409='Data Transfer'!$B$4,'Compliance Database'!$A1409='Data Transfer'!$B$5),OR('Data Transfer'!$B$6="",ISNUMBER(SEARCH('Data Transfer'!$B$6,'Compliance Database'!$D1409&amp;" "&amp;'Compliance Database'!$K1409&amp;" "&amp;'Compliance Database'!$L1409&amp;" "&amp;'Compliance Database'!$M1409&amp;" "&amp;'Compliance Database'!$N1409&amp;" "&amp;'Compliance Database'!$O1409)))),1,0)</f>
        <v/>
      </c>
      <c r="B1409">
        <f>IF($A1409=1,SUM($A$2:$A1409),"")</f>
        <v/>
      </c>
      <c r="C1409">
        <f>IF($A1409=1,SUM($A$2:$A1409),0)</f>
        <v/>
      </c>
    </row>
    <row r="1410">
      <c r="A1410">
        <f>IF(AND(OR('Compliance Database'!$A1410='Data Transfer'!$B$4,'Compliance Database'!$A1410='Data Transfer'!$B$5),OR('Data Transfer'!$B$6="",ISNUMBER(SEARCH('Data Transfer'!$B$6,'Compliance Database'!$D1410&amp;" "&amp;'Compliance Database'!$K1410&amp;" "&amp;'Compliance Database'!$L1410&amp;" "&amp;'Compliance Database'!$M1410&amp;" "&amp;'Compliance Database'!$N1410&amp;" "&amp;'Compliance Database'!$O1410)))),1,0)</f>
        <v/>
      </c>
      <c r="B1410">
        <f>IF($A1410=1,SUM($A$2:$A1410),"")</f>
        <v/>
      </c>
      <c r="C1410">
        <f>IF($A1410=1,SUM($A$2:$A1410),0)</f>
        <v/>
      </c>
    </row>
    <row r="1411">
      <c r="A1411">
        <f>IF(AND(OR('Compliance Database'!$A1411='Data Transfer'!$B$4,'Compliance Database'!$A1411='Data Transfer'!$B$5),OR('Data Transfer'!$B$6="",ISNUMBER(SEARCH('Data Transfer'!$B$6,'Compliance Database'!$D1411&amp;" "&amp;'Compliance Database'!$K1411&amp;" "&amp;'Compliance Database'!$L1411&amp;" "&amp;'Compliance Database'!$M1411&amp;" "&amp;'Compliance Database'!$N1411&amp;" "&amp;'Compliance Database'!$O1411)))),1,0)</f>
        <v/>
      </c>
      <c r="B1411">
        <f>IF($A1411=1,SUM($A$2:$A1411),"")</f>
        <v/>
      </c>
      <c r="C1411">
        <f>IF($A1411=1,SUM($A$2:$A1411),0)</f>
        <v/>
      </c>
    </row>
    <row r="1412">
      <c r="A1412">
        <f>IF(AND(OR('Compliance Database'!$A1412='Data Transfer'!$B$4,'Compliance Database'!$A1412='Data Transfer'!$B$5),OR('Data Transfer'!$B$6="",ISNUMBER(SEARCH('Data Transfer'!$B$6,'Compliance Database'!$D1412&amp;" "&amp;'Compliance Database'!$K1412&amp;" "&amp;'Compliance Database'!$L1412&amp;" "&amp;'Compliance Database'!$M1412&amp;" "&amp;'Compliance Database'!$N1412&amp;" "&amp;'Compliance Database'!$O1412)))),1,0)</f>
        <v/>
      </c>
      <c r="B1412">
        <f>IF($A1412=1,SUM($A$2:$A1412),"")</f>
        <v/>
      </c>
      <c r="C1412">
        <f>IF($A1412=1,SUM($A$2:$A1412),0)</f>
        <v/>
      </c>
    </row>
    <row r="1413">
      <c r="A1413">
        <f>IF(AND(OR('Compliance Database'!$A1413='Data Transfer'!$B$4,'Compliance Database'!$A1413='Data Transfer'!$B$5),OR('Data Transfer'!$B$6="",ISNUMBER(SEARCH('Data Transfer'!$B$6,'Compliance Database'!$D1413&amp;" "&amp;'Compliance Database'!$K1413&amp;" "&amp;'Compliance Database'!$L1413&amp;" "&amp;'Compliance Database'!$M1413&amp;" "&amp;'Compliance Database'!$N1413&amp;" "&amp;'Compliance Database'!$O1413)))),1,0)</f>
        <v/>
      </c>
      <c r="B1413">
        <f>IF($A1413=1,SUM($A$2:$A1413),"")</f>
        <v/>
      </c>
      <c r="C1413">
        <f>IF($A1413=1,SUM($A$2:$A1413),0)</f>
        <v/>
      </c>
    </row>
    <row r="1414">
      <c r="A1414">
        <f>IF(AND(OR('Compliance Database'!$A1414='Data Transfer'!$B$4,'Compliance Database'!$A1414='Data Transfer'!$B$5),OR('Data Transfer'!$B$6="",ISNUMBER(SEARCH('Data Transfer'!$B$6,'Compliance Database'!$D1414&amp;" "&amp;'Compliance Database'!$K1414&amp;" "&amp;'Compliance Database'!$L1414&amp;" "&amp;'Compliance Database'!$M1414&amp;" "&amp;'Compliance Database'!$N1414&amp;" "&amp;'Compliance Database'!$O1414)))),1,0)</f>
        <v/>
      </c>
      <c r="B1414">
        <f>IF($A1414=1,SUM($A$2:$A1414),"")</f>
        <v/>
      </c>
      <c r="C1414">
        <f>IF($A1414=1,SUM($A$2:$A1414),0)</f>
        <v/>
      </c>
    </row>
    <row r="1415">
      <c r="A1415">
        <f>IF(AND(OR('Compliance Database'!$A1415='Data Transfer'!$B$4,'Compliance Database'!$A1415='Data Transfer'!$B$5),OR('Data Transfer'!$B$6="",ISNUMBER(SEARCH('Data Transfer'!$B$6,'Compliance Database'!$D1415&amp;" "&amp;'Compliance Database'!$K1415&amp;" "&amp;'Compliance Database'!$L1415&amp;" "&amp;'Compliance Database'!$M1415&amp;" "&amp;'Compliance Database'!$N1415&amp;" "&amp;'Compliance Database'!$O1415)))),1,0)</f>
        <v/>
      </c>
      <c r="B1415">
        <f>IF($A1415=1,SUM($A$2:$A1415),"")</f>
        <v/>
      </c>
      <c r="C1415">
        <f>IF($A1415=1,SUM($A$2:$A1415),0)</f>
        <v/>
      </c>
    </row>
    <row r="1416">
      <c r="A1416">
        <f>IF(AND(OR('Compliance Database'!$A1416='Data Transfer'!$B$4,'Compliance Database'!$A1416='Data Transfer'!$B$5),OR('Data Transfer'!$B$6="",ISNUMBER(SEARCH('Data Transfer'!$B$6,'Compliance Database'!$D1416&amp;" "&amp;'Compliance Database'!$K1416&amp;" "&amp;'Compliance Database'!$L1416&amp;" "&amp;'Compliance Database'!$M1416&amp;" "&amp;'Compliance Database'!$N1416&amp;" "&amp;'Compliance Database'!$O1416)))),1,0)</f>
        <v/>
      </c>
      <c r="B1416">
        <f>IF($A1416=1,SUM($A$2:$A1416),"")</f>
        <v/>
      </c>
      <c r="C1416">
        <f>IF($A1416=1,SUM($A$2:$A1416),0)</f>
        <v/>
      </c>
    </row>
    <row r="1417">
      <c r="A1417">
        <f>IF(AND(OR('Compliance Database'!$A1417='Data Transfer'!$B$4,'Compliance Database'!$A1417='Data Transfer'!$B$5),OR('Data Transfer'!$B$6="",ISNUMBER(SEARCH('Data Transfer'!$B$6,'Compliance Database'!$D1417&amp;" "&amp;'Compliance Database'!$K1417&amp;" "&amp;'Compliance Database'!$L1417&amp;" "&amp;'Compliance Database'!$M1417&amp;" "&amp;'Compliance Database'!$N1417&amp;" "&amp;'Compliance Database'!$O1417)))),1,0)</f>
        <v/>
      </c>
      <c r="B1417">
        <f>IF($A1417=1,SUM($A$2:$A1417),"")</f>
        <v/>
      </c>
      <c r="C1417">
        <f>IF($A1417=1,SUM($A$2:$A1417),0)</f>
        <v/>
      </c>
    </row>
    <row r="1418">
      <c r="A1418">
        <f>IF(AND(OR('Compliance Database'!$A1418='Data Transfer'!$B$4,'Compliance Database'!$A1418='Data Transfer'!$B$5),OR('Data Transfer'!$B$6="",ISNUMBER(SEARCH('Data Transfer'!$B$6,'Compliance Database'!$D1418&amp;" "&amp;'Compliance Database'!$K1418&amp;" "&amp;'Compliance Database'!$L1418&amp;" "&amp;'Compliance Database'!$M1418&amp;" "&amp;'Compliance Database'!$N1418&amp;" "&amp;'Compliance Database'!$O1418)))),1,0)</f>
        <v/>
      </c>
      <c r="B1418">
        <f>IF($A1418=1,SUM($A$2:$A1418),"")</f>
        <v/>
      </c>
      <c r="C1418">
        <f>IF($A1418=1,SUM($A$2:$A1418),0)</f>
        <v/>
      </c>
    </row>
    <row r="1419">
      <c r="A1419">
        <f>IF(AND(OR('Compliance Database'!$A1419='Data Transfer'!$B$4,'Compliance Database'!$A1419='Data Transfer'!$B$5),OR('Data Transfer'!$B$6="",ISNUMBER(SEARCH('Data Transfer'!$B$6,'Compliance Database'!$D1419&amp;" "&amp;'Compliance Database'!$K1419&amp;" "&amp;'Compliance Database'!$L1419&amp;" "&amp;'Compliance Database'!$M1419&amp;" "&amp;'Compliance Database'!$N1419&amp;" "&amp;'Compliance Database'!$O1419)))),1,0)</f>
        <v/>
      </c>
      <c r="B1419">
        <f>IF($A1419=1,SUM($A$2:$A1419),"")</f>
        <v/>
      </c>
      <c r="C1419">
        <f>IF($A1419=1,SUM($A$2:$A1419),0)</f>
        <v/>
      </c>
    </row>
    <row r="1420">
      <c r="A1420">
        <f>IF(AND(OR('Compliance Database'!$A1420='Data Transfer'!$B$4,'Compliance Database'!$A1420='Data Transfer'!$B$5),OR('Data Transfer'!$B$6="",ISNUMBER(SEARCH('Data Transfer'!$B$6,'Compliance Database'!$D1420&amp;" "&amp;'Compliance Database'!$K1420&amp;" "&amp;'Compliance Database'!$L1420&amp;" "&amp;'Compliance Database'!$M1420&amp;" "&amp;'Compliance Database'!$N1420&amp;" "&amp;'Compliance Database'!$O1420)))),1,0)</f>
        <v/>
      </c>
      <c r="B1420">
        <f>IF($A1420=1,SUM($A$2:$A1420),"")</f>
        <v/>
      </c>
      <c r="C1420">
        <f>IF($A1420=1,SUM($A$2:$A1420),0)</f>
        <v/>
      </c>
    </row>
    <row r="1421">
      <c r="A1421">
        <f>IF(AND(OR('Compliance Database'!$A1421='Data Transfer'!$B$4,'Compliance Database'!$A1421='Data Transfer'!$B$5),OR('Data Transfer'!$B$6="",ISNUMBER(SEARCH('Data Transfer'!$B$6,'Compliance Database'!$D1421&amp;" "&amp;'Compliance Database'!$K1421&amp;" "&amp;'Compliance Database'!$L1421&amp;" "&amp;'Compliance Database'!$M1421&amp;" "&amp;'Compliance Database'!$N1421&amp;" "&amp;'Compliance Database'!$O1421)))),1,0)</f>
        <v/>
      </c>
      <c r="B1421">
        <f>IF($A1421=1,SUM($A$2:$A1421),"")</f>
        <v/>
      </c>
      <c r="C1421">
        <f>IF($A1421=1,SUM($A$2:$A1421),0)</f>
        <v/>
      </c>
    </row>
    <row r="1422">
      <c r="A1422">
        <f>IF(AND(OR('Compliance Database'!$A1422='Data Transfer'!$B$4,'Compliance Database'!$A1422='Data Transfer'!$B$5),OR('Data Transfer'!$B$6="",ISNUMBER(SEARCH('Data Transfer'!$B$6,'Compliance Database'!$D1422&amp;" "&amp;'Compliance Database'!$K1422&amp;" "&amp;'Compliance Database'!$L1422&amp;" "&amp;'Compliance Database'!$M1422&amp;" "&amp;'Compliance Database'!$N1422&amp;" "&amp;'Compliance Database'!$O1422)))),1,0)</f>
        <v/>
      </c>
      <c r="B1422">
        <f>IF($A1422=1,SUM($A$2:$A1422),"")</f>
        <v/>
      </c>
      <c r="C1422">
        <f>IF($A1422=1,SUM($A$2:$A1422),0)</f>
        <v/>
      </c>
    </row>
    <row r="1423">
      <c r="A1423">
        <f>IF(AND(OR('Compliance Database'!$A1423='Data Transfer'!$B$4,'Compliance Database'!$A1423='Data Transfer'!$B$5),OR('Data Transfer'!$B$6="",ISNUMBER(SEARCH('Data Transfer'!$B$6,'Compliance Database'!$D1423&amp;" "&amp;'Compliance Database'!$K1423&amp;" "&amp;'Compliance Database'!$L1423&amp;" "&amp;'Compliance Database'!$M1423&amp;" "&amp;'Compliance Database'!$N1423&amp;" "&amp;'Compliance Database'!$O1423)))),1,0)</f>
        <v/>
      </c>
      <c r="B1423">
        <f>IF($A1423=1,SUM($A$2:$A1423),"")</f>
        <v/>
      </c>
      <c r="C1423">
        <f>IF($A1423=1,SUM($A$2:$A1423),0)</f>
        <v/>
      </c>
    </row>
    <row r="1424">
      <c r="A1424">
        <f>IF(AND(OR('Compliance Database'!$A1424='Data Transfer'!$B$4,'Compliance Database'!$A1424='Data Transfer'!$B$5),OR('Data Transfer'!$B$6="",ISNUMBER(SEARCH('Data Transfer'!$B$6,'Compliance Database'!$D1424&amp;" "&amp;'Compliance Database'!$K1424&amp;" "&amp;'Compliance Database'!$L1424&amp;" "&amp;'Compliance Database'!$M1424&amp;" "&amp;'Compliance Database'!$N1424&amp;" "&amp;'Compliance Database'!$O1424)))),1,0)</f>
        <v/>
      </c>
      <c r="B1424">
        <f>IF($A1424=1,SUM($A$2:$A1424),"")</f>
        <v/>
      </c>
      <c r="C1424">
        <f>IF($A1424=1,SUM($A$2:$A1424),0)</f>
        <v/>
      </c>
    </row>
    <row r="1425">
      <c r="A1425">
        <f>IF(AND(OR('Compliance Database'!$A1425='Data Transfer'!$B$4,'Compliance Database'!$A1425='Data Transfer'!$B$5),OR('Data Transfer'!$B$6="",ISNUMBER(SEARCH('Data Transfer'!$B$6,'Compliance Database'!$D1425&amp;" "&amp;'Compliance Database'!$K1425&amp;" "&amp;'Compliance Database'!$L1425&amp;" "&amp;'Compliance Database'!$M1425&amp;" "&amp;'Compliance Database'!$N1425&amp;" "&amp;'Compliance Database'!$O1425)))),1,0)</f>
        <v/>
      </c>
      <c r="B1425">
        <f>IF($A1425=1,SUM($A$2:$A1425),"")</f>
        <v/>
      </c>
      <c r="C1425">
        <f>IF($A1425=1,SUM($A$2:$A1425),0)</f>
        <v/>
      </c>
    </row>
    <row r="1426">
      <c r="A1426">
        <f>IF(AND(OR('Compliance Database'!$A1426='Data Transfer'!$B$4,'Compliance Database'!$A1426='Data Transfer'!$B$5),OR('Data Transfer'!$B$6="",ISNUMBER(SEARCH('Data Transfer'!$B$6,'Compliance Database'!$D1426&amp;" "&amp;'Compliance Database'!$K1426&amp;" "&amp;'Compliance Database'!$L1426&amp;" "&amp;'Compliance Database'!$M1426&amp;" "&amp;'Compliance Database'!$N1426&amp;" "&amp;'Compliance Database'!$O1426)))),1,0)</f>
        <v/>
      </c>
      <c r="B1426">
        <f>IF($A1426=1,SUM($A$2:$A1426),"")</f>
        <v/>
      </c>
      <c r="C1426">
        <f>IF($A1426=1,SUM($A$2:$A1426),0)</f>
        <v/>
      </c>
    </row>
    <row r="1427">
      <c r="A1427">
        <f>IF(AND(OR('Compliance Database'!$A1427='Data Transfer'!$B$4,'Compliance Database'!$A1427='Data Transfer'!$B$5),OR('Data Transfer'!$B$6="",ISNUMBER(SEARCH('Data Transfer'!$B$6,'Compliance Database'!$D1427&amp;" "&amp;'Compliance Database'!$K1427&amp;" "&amp;'Compliance Database'!$L1427&amp;" "&amp;'Compliance Database'!$M1427&amp;" "&amp;'Compliance Database'!$N1427&amp;" "&amp;'Compliance Database'!$O1427)))),1,0)</f>
        <v/>
      </c>
      <c r="B1427">
        <f>IF($A1427=1,SUM($A$2:$A1427),"")</f>
        <v/>
      </c>
      <c r="C1427">
        <f>IF($A1427=1,SUM($A$2:$A1427),0)</f>
        <v/>
      </c>
    </row>
    <row r="1428">
      <c r="A1428">
        <f>IF(AND(OR('Compliance Database'!$A1428='Data Transfer'!$B$4,'Compliance Database'!$A1428='Data Transfer'!$B$5),OR('Data Transfer'!$B$6="",ISNUMBER(SEARCH('Data Transfer'!$B$6,'Compliance Database'!$D1428&amp;" "&amp;'Compliance Database'!$K1428&amp;" "&amp;'Compliance Database'!$L1428&amp;" "&amp;'Compliance Database'!$M1428&amp;" "&amp;'Compliance Database'!$N1428&amp;" "&amp;'Compliance Database'!$O1428)))),1,0)</f>
        <v/>
      </c>
      <c r="B1428">
        <f>IF($A1428=1,SUM($A$2:$A1428),"")</f>
        <v/>
      </c>
      <c r="C1428">
        <f>IF($A1428=1,SUM($A$2:$A1428),0)</f>
        <v/>
      </c>
    </row>
    <row r="1429">
      <c r="A1429">
        <f>IF(AND(OR('Compliance Database'!$A1429='Data Transfer'!$B$4,'Compliance Database'!$A1429='Data Transfer'!$B$5),OR('Data Transfer'!$B$6="",ISNUMBER(SEARCH('Data Transfer'!$B$6,'Compliance Database'!$D1429&amp;" "&amp;'Compliance Database'!$K1429&amp;" "&amp;'Compliance Database'!$L1429&amp;" "&amp;'Compliance Database'!$M1429&amp;" "&amp;'Compliance Database'!$N1429&amp;" "&amp;'Compliance Database'!$O1429)))),1,0)</f>
        <v/>
      </c>
      <c r="B1429">
        <f>IF($A1429=1,SUM($A$2:$A1429),"")</f>
        <v/>
      </c>
      <c r="C1429">
        <f>IF($A1429=1,SUM($A$2:$A1429),0)</f>
        <v/>
      </c>
    </row>
    <row r="1430">
      <c r="A1430">
        <f>IF(AND(OR('Compliance Database'!$A1430='Data Transfer'!$B$4,'Compliance Database'!$A1430='Data Transfer'!$B$5),OR('Data Transfer'!$B$6="",ISNUMBER(SEARCH('Data Transfer'!$B$6,'Compliance Database'!$D1430&amp;" "&amp;'Compliance Database'!$K1430&amp;" "&amp;'Compliance Database'!$L1430&amp;" "&amp;'Compliance Database'!$M1430&amp;" "&amp;'Compliance Database'!$N1430&amp;" "&amp;'Compliance Database'!$O1430)))),1,0)</f>
        <v/>
      </c>
      <c r="B1430">
        <f>IF($A1430=1,SUM($A$2:$A1430),"")</f>
        <v/>
      </c>
      <c r="C1430">
        <f>IF($A1430=1,SUM($A$2:$A1430),0)</f>
        <v/>
      </c>
    </row>
    <row r="1431">
      <c r="A1431">
        <f>IF(AND(OR('Compliance Database'!$A1431='Data Transfer'!$B$4,'Compliance Database'!$A1431='Data Transfer'!$B$5),OR('Data Transfer'!$B$6="",ISNUMBER(SEARCH('Data Transfer'!$B$6,'Compliance Database'!$D1431&amp;" "&amp;'Compliance Database'!$K1431&amp;" "&amp;'Compliance Database'!$L1431&amp;" "&amp;'Compliance Database'!$M1431&amp;" "&amp;'Compliance Database'!$N1431&amp;" "&amp;'Compliance Database'!$O1431)))),1,0)</f>
        <v/>
      </c>
      <c r="B1431">
        <f>IF($A1431=1,SUM($A$2:$A1431),"")</f>
        <v/>
      </c>
      <c r="C1431">
        <f>IF($A1431=1,SUM($A$2:$A1431),0)</f>
        <v/>
      </c>
    </row>
    <row r="1432">
      <c r="A1432">
        <f>IF(AND(OR('Compliance Database'!$A1432='Data Transfer'!$B$4,'Compliance Database'!$A1432='Data Transfer'!$B$5),OR('Data Transfer'!$B$6="",ISNUMBER(SEARCH('Data Transfer'!$B$6,'Compliance Database'!$D1432&amp;" "&amp;'Compliance Database'!$K1432&amp;" "&amp;'Compliance Database'!$L1432&amp;" "&amp;'Compliance Database'!$M1432&amp;" "&amp;'Compliance Database'!$N1432&amp;" "&amp;'Compliance Database'!$O1432)))),1,0)</f>
        <v/>
      </c>
      <c r="B1432">
        <f>IF($A1432=1,SUM($A$2:$A1432),"")</f>
        <v/>
      </c>
      <c r="C1432">
        <f>IF($A1432=1,SUM($A$2:$A1432),0)</f>
        <v/>
      </c>
    </row>
    <row r="1433">
      <c r="A1433">
        <f>IF(AND(OR('Compliance Database'!$A1433='Data Transfer'!$B$4,'Compliance Database'!$A1433='Data Transfer'!$B$5),OR('Data Transfer'!$B$6="",ISNUMBER(SEARCH('Data Transfer'!$B$6,'Compliance Database'!$D1433&amp;" "&amp;'Compliance Database'!$K1433&amp;" "&amp;'Compliance Database'!$L1433&amp;" "&amp;'Compliance Database'!$M1433&amp;" "&amp;'Compliance Database'!$N1433&amp;" "&amp;'Compliance Database'!$O1433)))),1,0)</f>
        <v/>
      </c>
      <c r="B1433">
        <f>IF($A1433=1,SUM($A$2:$A1433),"")</f>
        <v/>
      </c>
      <c r="C1433">
        <f>IF($A1433=1,SUM($A$2:$A1433),0)</f>
        <v/>
      </c>
    </row>
    <row r="1434">
      <c r="A1434">
        <f>IF(AND(OR('Compliance Database'!$A1434='Data Transfer'!$B$4,'Compliance Database'!$A1434='Data Transfer'!$B$5),OR('Data Transfer'!$B$6="",ISNUMBER(SEARCH('Data Transfer'!$B$6,'Compliance Database'!$D1434&amp;" "&amp;'Compliance Database'!$K1434&amp;" "&amp;'Compliance Database'!$L1434&amp;" "&amp;'Compliance Database'!$M1434&amp;" "&amp;'Compliance Database'!$N1434&amp;" "&amp;'Compliance Database'!$O1434)))),1,0)</f>
        <v/>
      </c>
      <c r="B1434">
        <f>IF($A1434=1,SUM($A$2:$A1434),"")</f>
        <v/>
      </c>
      <c r="C1434">
        <f>IF($A1434=1,SUM($A$2:$A1434),0)</f>
        <v/>
      </c>
    </row>
    <row r="1435">
      <c r="A1435">
        <f>IF(AND(OR('Compliance Database'!$A1435='Data Transfer'!$B$4,'Compliance Database'!$A1435='Data Transfer'!$B$5),OR('Data Transfer'!$B$6="",ISNUMBER(SEARCH('Data Transfer'!$B$6,'Compliance Database'!$D1435&amp;" "&amp;'Compliance Database'!$K1435&amp;" "&amp;'Compliance Database'!$L1435&amp;" "&amp;'Compliance Database'!$M1435&amp;" "&amp;'Compliance Database'!$N1435&amp;" "&amp;'Compliance Database'!$O1435)))),1,0)</f>
        <v/>
      </c>
      <c r="B1435">
        <f>IF($A1435=1,SUM($A$2:$A1435),"")</f>
        <v/>
      </c>
      <c r="C1435">
        <f>IF($A1435=1,SUM($A$2:$A1435),0)</f>
        <v/>
      </c>
    </row>
    <row r="1436">
      <c r="A1436">
        <f>IF(AND(OR('Compliance Database'!$A1436='Data Transfer'!$B$4,'Compliance Database'!$A1436='Data Transfer'!$B$5),OR('Data Transfer'!$B$6="",ISNUMBER(SEARCH('Data Transfer'!$B$6,'Compliance Database'!$D1436&amp;" "&amp;'Compliance Database'!$K1436&amp;" "&amp;'Compliance Database'!$L1436&amp;" "&amp;'Compliance Database'!$M1436&amp;" "&amp;'Compliance Database'!$N1436&amp;" "&amp;'Compliance Database'!$O1436)))),1,0)</f>
        <v/>
      </c>
      <c r="B1436">
        <f>IF($A1436=1,SUM($A$2:$A1436),"")</f>
        <v/>
      </c>
      <c r="C1436">
        <f>IF($A1436=1,SUM($A$2:$A1436),0)</f>
        <v/>
      </c>
    </row>
    <row r="1437">
      <c r="A1437">
        <f>IF(AND(OR('Compliance Database'!$A1437='Data Transfer'!$B$4,'Compliance Database'!$A1437='Data Transfer'!$B$5),OR('Data Transfer'!$B$6="",ISNUMBER(SEARCH('Data Transfer'!$B$6,'Compliance Database'!$D1437&amp;" "&amp;'Compliance Database'!$K1437&amp;" "&amp;'Compliance Database'!$L1437&amp;" "&amp;'Compliance Database'!$M1437&amp;" "&amp;'Compliance Database'!$N1437&amp;" "&amp;'Compliance Database'!$O1437)))),1,0)</f>
        <v/>
      </c>
      <c r="B1437">
        <f>IF($A1437=1,SUM($A$2:$A1437),"")</f>
        <v/>
      </c>
      <c r="C1437">
        <f>IF($A1437=1,SUM($A$2:$A1437),0)</f>
        <v/>
      </c>
    </row>
    <row r="1438">
      <c r="A1438">
        <f>IF(AND(OR('Compliance Database'!$A1438='Data Transfer'!$B$4,'Compliance Database'!$A1438='Data Transfer'!$B$5),OR('Data Transfer'!$B$6="",ISNUMBER(SEARCH('Data Transfer'!$B$6,'Compliance Database'!$D1438&amp;" "&amp;'Compliance Database'!$K1438&amp;" "&amp;'Compliance Database'!$L1438&amp;" "&amp;'Compliance Database'!$M1438&amp;" "&amp;'Compliance Database'!$N1438&amp;" "&amp;'Compliance Database'!$O1438)))),1,0)</f>
        <v/>
      </c>
      <c r="B1438">
        <f>IF($A1438=1,SUM($A$2:$A1438),"")</f>
        <v/>
      </c>
      <c r="C1438">
        <f>IF($A1438=1,SUM($A$2:$A1438),0)</f>
        <v/>
      </c>
    </row>
    <row r="1439">
      <c r="A1439">
        <f>IF(AND(OR('Compliance Database'!$A1439='Data Transfer'!$B$4,'Compliance Database'!$A1439='Data Transfer'!$B$5),OR('Data Transfer'!$B$6="",ISNUMBER(SEARCH('Data Transfer'!$B$6,'Compliance Database'!$D1439&amp;" "&amp;'Compliance Database'!$K1439&amp;" "&amp;'Compliance Database'!$L1439&amp;" "&amp;'Compliance Database'!$M1439&amp;" "&amp;'Compliance Database'!$N1439&amp;" "&amp;'Compliance Database'!$O1439)))),1,0)</f>
        <v/>
      </c>
      <c r="B1439">
        <f>IF($A1439=1,SUM($A$2:$A1439),"")</f>
        <v/>
      </c>
      <c r="C1439">
        <f>IF($A1439=1,SUM($A$2:$A1439),0)</f>
        <v/>
      </c>
    </row>
    <row r="1440">
      <c r="A1440">
        <f>IF(AND(OR('Compliance Database'!$A1440='Data Transfer'!$B$4,'Compliance Database'!$A1440='Data Transfer'!$B$5),OR('Data Transfer'!$B$6="",ISNUMBER(SEARCH('Data Transfer'!$B$6,'Compliance Database'!$D1440&amp;" "&amp;'Compliance Database'!$K1440&amp;" "&amp;'Compliance Database'!$L1440&amp;" "&amp;'Compliance Database'!$M1440&amp;" "&amp;'Compliance Database'!$N1440&amp;" "&amp;'Compliance Database'!$O1440)))),1,0)</f>
        <v/>
      </c>
      <c r="B1440">
        <f>IF($A1440=1,SUM($A$2:$A1440),"")</f>
        <v/>
      </c>
      <c r="C1440">
        <f>IF($A1440=1,SUM($A$2:$A1440),0)</f>
        <v/>
      </c>
    </row>
    <row r="1441">
      <c r="A1441">
        <f>IF(AND(OR('Compliance Database'!$A1441='Data Transfer'!$B$4,'Compliance Database'!$A1441='Data Transfer'!$B$5),OR('Data Transfer'!$B$6="",ISNUMBER(SEARCH('Data Transfer'!$B$6,'Compliance Database'!$D1441&amp;" "&amp;'Compliance Database'!$K1441&amp;" "&amp;'Compliance Database'!$L1441&amp;" "&amp;'Compliance Database'!$M1441&amp;" "&amp;'Compliance Database'!$N1441&amp;" "&amp;'Compliance Database'!$O1441)))),1,0)</f>
        <v/>
      </c>
      <c r="B1441">
        <f>IF($A1441=1,SUM($A$2:$A1441),"")</f>
        <v/>
      </c>
      <c r="C1441">
        <f>IF($A1441=1,SUM($A$2:$A1441),0)</f>
        <v/>
      </c>
    </row>
    <row r="1442">
      <c r="A1442">
        <f>IF(AND(OR('Compliance Database'!$A1442='Data Transfer'!$B$4,'Compliance Database'!$A1442='Data Transfer'!$B$5),OR('Data Transfer'!$B$6="",ISNUMBER(SEARCH('Data Transfer'!$B$6,'Compliance Database'!$D1442&amp;" "&amp;'Compliance Database'!$K1442&amp;" "&amp;'Compliance Database'!$L1442&amp;" "&amp;'Compliance Database'!$M1442&amp;" "&amp;'Compliance Database'!$N1442&amp;" "&amp;'Compliance Database'!$O1442)))),1,0)</f>
        <v/>
      </c>
      <c r="B1442">
        <f>IF($A1442=1,SUM($A$2:$A1442),"")</f>
        <v/>
      </c>
      <c r="C1442">
        <f>IF($A1442=1,SUM($A$2:$A1442),0)</f>
        <v/>
      </c>
    </row>
    <row r="1443">
      <c r="A1443">
        <f>IF(AND(OR('Compliance Database'!$A1443='Data Transfer'!$B$4,'Compliance Database'!$A1443='Data Transfer'!$B$5),OR('Data Transfer'!$B$6="",ISNUMBER(SEARCH('Data Transfer'!$B$6,'Compliance Database'!$D1443&amp;" "&amp;'Compliance Database'!$K1443&amp;" "&amp;'Compliance Database'!$L1443&amp;" "&amp;'Compliance Database'!$M1443&amp;" "&amp;'Compliance Database'!$N1443&amp;" "&amp;'Compliance Database'!$O1443)))),1,0)</f>
        <v/>
      </c>
      <c r="B1443">
        <f>IF($A1443=1,SUM($A$2:$A1443),"")</f>
        <v/>
      </c>
      <c r="C1443">
        <f>IF($A1443=1,SUM($A$2:$A1443),0)</f>
        <v/>
      </c>
    </row>
    <row r="1444">
      <c r="A1444">
        <f>IF(AND(OR('Compliance Database'!$A1444='Data Transfer'!$B$4,'Compliance Database'!$A1444='Data Transfer'!$B$5),OR('Data Transfer'!$B$6="",ISNUMBER(SEARCH('Data Transfer'!$B$6,'Compliance Database'!$D1444&amp;" "&amp;'Compliance Database'!$K1444&amp;" "&amp;'Compliance Database'!$L1444&amp;" "&amp;'Compliance Database'!$M1444&amp;" "&amp;'Compliance Database'!$N1444&amp;" "&amp;'Compliance Database'!$O1444)))),1,0)</f>
        <v/>
      </c>
      <c r="B1444">
        <f>IF($A1444=1,SUM($A$2:$A1444),"")</f>
        <v/>
      </c>
      <c r="C1444">
        <f>IF($A1444=1,SUM($A$2:$A1444),0)</f>
        <v/>
      </c>
    </row>
    <row r="1445">
      <c r="A1445">
        <f>IF(AND(OR('Compliance Database'!$A1445='Data Transfer'!$B$4,'Compliance Database'!$A1445='Data Transfer'!$B$5),OR('Data Transfer'!$B$6="",ISNUMBER(SEARCH('Data Transfer'!$B$6,'Compliance Database'!$D1445&amp;" "&amp;'Compliance Database'!$K1445&amp;" "&amp;'Compliance Database'!$L1445&amp;" "&amp;'Compliance Database'!$M1445&amp;" "&amp;'Compliance Database'!$N1445&amp;" "&amp;'Compliance Database'!$O1445)))),1,0)</f>
        <v/>
      </c>
      <c r="B1445">
        <f>IF($A1445=1,SUM($A$2:$A1445),"")</f>
        <v/>
      </c>
      <c r="C1445">
        <f>IF($A1445=1,SUM($A$2:$A1445),0)</f>
        <v/>
      </c>
    </row>
    <row r="1446">
      <c r="A1446">
        <f>IF(AND(OR('Compliance Database'!$A1446='Data Transfer'!$B$4,'Compliance Database'!$A1446='Data Transfer'!$B$5),OR('Data Transfer'!$B$6="",ISNUMBER(SEARCH('Data Transfer'!$B$6,'Compliance Database'!$D1446&amp;" "&amp;'Compliance Database'!$K1446&amp;" "&amp;'Compliance Database'!$L1446&amp;" "&amp;'Compliance Database'!$M1446&amp;" "&amp;'Compliance Database'!$N1446&amp;" "&amp;'Compliance Database'!$O1446)))),1,0)</f>
        <v/>
      </c>
      <c r="B1446">
        <f>IF($A1446=1,SUM($A$2:$A1446),"")</f>
        <v/>
      </c>
      <c r="C1446">
        <f>IF($A1446=1,SUM($A$2:$A1446),0)</f>
        <v/>
      </c>
    </row>
    <row r="1447">
      <c r="A1447">
        <f>IF(AND(OR('Compliance Database'!$A1447='Data Transfer'!$B$4,'Compliance Database'!$A1447='Data Transfer'!$B$5),OR('Data Transfer'!$B$6="",ISNUMBER(SEARCH('Data Transfer'!$B$6,'Compliance Database'!$D1447&amp;" "&amp;'Compliance Database'!$K1447&amp;" "&amp;'Compliance Database'!$L1447&amp;" "&amp;'Compliance Database'!$M1447&amp;" "&amp;'Compliance Database'!$N1447&amp;" "&amp;'Compliance Database'!$O1447)))),1,0)</f>
        <v/>
      </c>
      <c r="B1447">
        <f>IF($A1447=1,SUM($A$2:$A1447),"")</f>
        <v/>
      </c>
      <c r="C1447">
        <f>IF($A1447=1,SUM($A$2:$A1447),0)</f>
        <v/>
      </c>
    </row>
    <row r="1448">
      <c r="A1448">
        <f>IF(AND(OR('Compliance Database'!$A1448='Data Transfer'!$B$4,'Compliance Database'!$A1448='Data Transfer'!$B$5),OR('Data Transfer'!$B$6="",ISNUMBER(SEARCH('Data Transfer'!$B$6,'Compliance Database'!$D1448&amp;" "&amp;'Compliance Database'!$K1448&amp;" "&amp;'Compliance Database'!$L1448&amp;" "&amp;'Compliance Database'!$M1448&amp;" "&amp;'Compliance Database'!$N1448&amp;" "&amp;'Compliance Database'!$O1448)))),1,0)</f>
        <v/>
      </c>
      <c r="B1448">
        <f>IF($A1448=1,SUM($A$2:$A1448),"")</f>
        <v/>
      </c>
      <c r="C1448">
        <f>IF($A1448=1,SUM($A$2:$A1448),0)</f>
        <v/>
      </c>
    </row>
    <row r="1449">
      <c r="A1449">
        <f>IF(AND(OR('Compliance Database'!$A1449='Data Transfer'!$B$4,'Compliance Database'!$A1449='Data Transfer'!$B$5),OR('Data Transfer'!$B$6="",ISNUMBER(SEARCH('Data Transfer'!$B$6,'Compliance Database'!$D1449&amp;" "&amp;'Compliance Database'!$K1449&amp;" "&amp;'Compliance Database'!$L1449&amp;" "&amp;'Compliance Database'!$M1449&amp;" "&amp;'Compliance Database'!$N1449&amp;" "&amp;'Compliance Database'!$O1449)))),1,0)</f>
        <v/>
      </c>
      <c r="B1449">
        <f>IF($A1449=1,SUM($A$2:$A1449),"")</f>
        <v/>
      </c>
      <c r="C1449">
        <f>IF($A1449=1,SUM($A$2:$A1449),0)</f>
        <v/>
      </c>
    </row>
    <row r="1450">
      <c r="A1450">
        <f>IF(AND(OR('Compliance Database'!$A1450='Data Transfer'!$B$4,'Compliance Database'!$A1450='Data Transfer'!$B$5),OR('Data Transfer'!$B$6="",ISNUMBER(SEARCH('Data Transfer'!$B$6,'Compliance Database'!$D1450&amp;" "&amp;'Compliance Database'!$K1450&amp;" "&amp;'Compliance Database'!$L1450&amp;" "&amp;'Compliance Database'!$M1450&amp;" "&amp;'Compliance Database'!$N1450&amp;" "&amp;'Compliance Database'!$O1450)))),1,0)</f>
        <v/>
      </c>
      <c r="B1450">
        <f>IF($A1450=1,SUM($A$2:$A1450),"")</f>
        <v/>
      </c>
      <c r="C1450">
        <f>IF($A1450=1,SUM($A$2:$A1450),0)</f>
        <v/>
      </c>
    </row>
    <row r="1451">
      <c r="A1451">
        <f>IF(AND(OR('Compliance Database'!$A1451='Data Transfer'!$B$4,'Compliance Database'!$A1451='Data Transfer'!$B$5),OR('Data Transfer'!$B$6="",ISNUMBER(SEARCH('Data Transfer'!$B$6,'Compliance Database'!$D1451&amp;" "&amp;'Compliance Database'!$K1451&amp;" "&amp;'Compliance Database'!$L1451&amp;" "&amp;'Compliance Database'!$M1451&amp;" "&amp;'Compliance Database'!$N1451&amp;" "&amp;'Compliance Database'!$O1451)))),1,0)</f>
        <v/>
      </c>
      <c r="B1451">
        <f>IF($A1451=1,SUM($A$2:$A1451),"")</f>
        <v/>
      </c>
      <c r="C1451">
        <f>IF($A1451=1,SUM($A$2:$A1451),0)</f>
        <v/>
      </c>
    </row>
    <row r="1452">
      <c r="A1452">
        <f>IF(AND(OR('Compliance Database'!$A1452='Data Transfer'!$B$4,'Compliance Database'!$A1452='Data Transfer'!$B$5),OR('Data Transfer'!$B$6="",ISNUMBER(SEARCH('Data Transfer'!$B$6,'Compliance Database'!$D1452&amp;" "&amp;'Compliance Database'!$K1452&amp;" "&amp;'Compliance Database'!$L1452&amp;" "&amp;'Compliance Database'!$M1452&amp;" "&amp;'Compliance Database'!$N1452&amp;" "&amp;'Compliance Database'!$O1452)))),1,0)</f>
        <v/>
      </c>
      <c r="B1452">
        <f>IF($A1452=1,SUM($A$2:$A1452),"")</f>
        <v/>
      </c>
      <c r="C1452">
        <f>IF($A1452=1,SUM($A$2:$A1452),0)</f>
        <v/>
      </c>
    </row>
    <row r="1453">
      <c r="A1453">
        <f>IF(AND(OR('Compliance Database'!$A1453='Data Transfer'!$B$4,'Compliance Database'!$A1453='Data Transfer'!$B$5),OR('Data Transfer'!$B$6="",ISNUMBER(SEARCH('Data Transfer'!$B$6,'Compliance Database'!$D1453&amp;" "&amp;'Compliance Database'!$K1453&amp;" "&amp;'Compliance Database'!$L1453&amp;" "&amp;'Compliance Database'!$M1453&amp;" "&amp;'Compliance Database'!$N1453&amp;" "&amp;'Compliance Database'!$O1453)))),1,0)</f>
        <v/>
      </c>
      <c r="B1453">
        <f>IF($A1453=1,SUM($A$2:$A1453),"")</f>
        <v/>
      </c>
      <c r="C1453">
        <f>IF($A1453=1,SUM($A$2:$A1453),0)</f>
        <v/>
      </c>
    </row>
    <row r="1454">
      <c r="A1454">
        <f>IF(AND(OR('Compliance Database'!$A1454='Data Transfer'!$B$4,'Compliance Database'!$A1454='Data Transfer'!$B$5),OR('Data Transfer'!$B$6="",ISNUMBER(SEARCH('Data Transfer'!$B$6,'Compliance Database'!$D1454&amp;" "&amp;'Compliance Database'!$K1454&amp;" "&amp;'Compliance Database'!$L1454&amp;" "&amp;'Compliance Database'!$M1454&amp;" "&amp;'Compliance Database'!$N1454&amp;" "&amp;'Compliance Database'!$O1454)))),1,0)</f>
        <v/>
      </c>
      <c r="B1454">
        <f>IF($A1454=1,SUM($A$2:$A1454),"")</f>
        <v/>
      </c>
      <c r="C1454">
        <f>IF($A1454=1,SUM($A$2:$A1454),0)</f>
        <v/>
      </c>
    </row>
    <row r="1455">
      <c r="A1455">
        <f>IF(AND(OR('Compliance Database'!$A1455='Data Transfer'!$B$4,'Compliance Database'!$A1455='Data Transfer'!$B$5),OR('Data Transfer'!$B$6="",ISNUMBER(SEARCH('Data Transfer'!$B$6,'Compliance Database'!$D1455&amp;" "&amp;'Compliance Database'!$K1455&amp;" "&amp;'Compliance Database'!$L1455&amp;" "&amp;'Compliance Database'!$M1455&amp;" "&amp;'Compliance Database'!$N1455&amp;" "&amp;'Compliance Database'!$O1455)))),1,0)</f>
        <v/>
      </c>
      <c r="B1455">
        <f>IF($A1455=1,SUM($A$2:$A1455),"")</f>
        <v/>
      </c>
      <c r="C1455">
        <f>IF($A1455=1,SUM($A$2:$A1455),0)</f>
        <v/>
      </c>
    </row>
    <row r="1456">
      <c r="A1456">
        <f>IF(AND(OR('Compliance Database'!$A1456='Data Transfer'!$B$4,'Compliance Database'!$A1456='Data Transfer'!$B$5),OR('Data Transfer'!$B$6="",ISNUMBER(SEARCH('Data Transfer'!$B$6,'Compliance Database'!$D1456&amp;" "&amp;'Compliance Database'!$K1456&amp;" "&amp;'Compliance Database'!$L1456&amp;" "&amp;'Compliance Database'!$M1456&amp;" "&amp;'Compliance Database'!$N1456&amp;" "&amp;'Compliance Database'!$O1456)))),1,0)</f>
        <v/>
      </c>
      <c r="B1456">
        <f>IF($A1456=1,SUM($A$2:$A1456),"")</f>
        <v/>
      </c>
      <c r="C1456">
        <f>IF($A1456=1,SUM($A$2:$A1456),0)</f>
        <v/>
      </c>
    </row>
    <row r="1457">
      <c r="A1457">
        <f>IF(AND(OR('Compliance Database'!$A1457='Data Transfer'!$B$4,'Compliance Database'!$A1457='Data Transfer'!$B$5),OR('Data Transfer'!$B$6="",ISNUMBER(SEARCH('Data Transfer'!$B$6,'Compliance Database'!$D1457&amp;" "&amp;'Compliance Database'!$K1457&amp;" "&amp;'Compliance Database'!$L1457&amp;" "&amp;'Compliance Database'!$M1457&amp;" "&amp;'Compliance Database'!$N1457&amp;" "&amp;'Compliance Database'!$O1457)))),1,0)</f>
        <v/>
      </c>
      <c r="B1457">
        <f>IF($A1457=1,SUM($A$2:$A1457),"")</f>
        <v/>
      </c>
      <c r="C1457">
        <f>IF($A1457=1,SUM($A$2:$A1457),0)</f>
        <v/>
      </c>
    </row>
    <row r="1458">
      <c r="A1458">
        <f>IF(AND(OR('Compliance Database'!$A1458='Data Transfer'!$B$4,'Compliance Database'!$A1458='Data Transfer'!$B$5),OR('Data Transfer'!$B$6="",ISNUMBER(SEARCH('Data Transfer'!$B$6,'Compliance Database'!$D1458&amp;" "&amp;'Compliance Database'!$K1458&amp;" "&amp;'Compliance Database'!$L1458&amp;" "&amp;'Compliance Database'!$M1458&amp;" "&amp;'Compliance Database'!$N1458&amp;" "&amp;'Compliance Database'!$O1458)))),1,0)</f>
        <v/>
      </c>
      <c r="B1458">
        <f>IF($A1458=1,SUM($A$2:$A1458),"")</f>
        <v/>
      </c>
      <c r="C1458">
        <f>IF($A1458=1,SUM($A$2:$A1458),0)</f>
        <v/>
      </c>
    </row>
    <row r="1459">
      <c r="A1459">
        <f>IF(AND(OR('Compliance Database'!$A1459='Data Transfer'!$B$4,'Compliance Database'!$A1459='Data Transfer'!$B$5),OR('Data Transfer'!$B$6="",ISNUMBER(SEARCH('Data Transfer'!$B$6,'Compliance Database'!$D1459&amp;" "&amp;'Compliance Database'!$K1459&amp;" "&amp;'Compliance Database'!$L1459&amp;" "&amp;'Compliance Database'!$M1459&amp;" "&amp;'Compliance Database'!$N1459&amp;" "&amp;'Compliance Database'!$O1459)))),1,0)</f>
        <v/>
      </c>
      <c r="B1459">
        <f>IF($A1459=1,SUM($A$2:$A1459),"")</f>
        <v/>
      </c>
      <c r="C1459">
        <f>IF($A1459=1,SUM($A$2:$A1459),0)</f>
        <v/>
      </c>
    </row>
    <row r="1460">
      <c r="A1460">
        <f>IF(AND(OR('Compliance Database'!$A1460='Data Transfer'!$B$4,'Compliance Database'!$A1460='Data Transfer'!$B$5),OR('Data Transfer'!$B$6="",ISNUMBER(SEARCH('Data Transfer'!$B$6,'Compliance Database'!$D1460&amp;" "&amp;'Compliance Database'!$K1460&amp;" "&amp;'Compliance Database'!$L1460&amp;" "&amp;'Compliance Database'!$M1460&amp;" "&amp;'Compliance Database'!$N1460&amp;" "&amp;'Compliance Database'!$O1460)))),1,0)</f>
        <v/>
      </c>
      <c r="B1460">
        <f>IF($A1460=1,SUM($A$2:$A1460),"")</f>
        <v/>
      </c>
      <c r="C1460">
        <f>IF($A1460=1,SUM($A$2:$A1460),0)</f>
        <v/>
      </c>
    </row>
    <row r="1461">
      <c r="A1461">
        <f>IF(AND(OR('Compliance Database'!$A1461='Data Transfer'!$B$4,'Compliance Database'!$A1461='Data Transfer'!$B$5),OR('Data Transfer'!$B$6="",ISNUMBER(SEARCH('Data Transfer'!$B$6,'Compliance Database'!$D1461&amp;" "&amp;'Compliance Database'!$K1461&amp;" "&amp;'Compliance Database'!$L1461&amp;" "&amp;'Compliance Database'!$M1461&amp;" "&amp;'Compliance Database'!$N1461&amp;" "&amp;'Compliance Database'!$O1461)))),1,0)</f>
        <v/>
      </c>
      <c r="B1461">
        <f>IF($A1461=1,SUM($A$2:$A1461),"")</f>
        <v/>
      </c>
      <c r="C1461">
        <f>IF($A1461=1,SUM($A$2:$A1461),0)</f>
        <v/>
      </c>
    </row>
    <row r="1462">
      <c r="A1462">
        <f>IF(AND(OR('Compliance Database'!$A1462='Data Transfer'!$B$4,'Compliance Database'!$A1462='Data Transfer'!$B$5),OR('Data Transfer'!$B$6="",ISNUMBER(SEARCH('Data Transfer'!$B$6,'Compliance Database'!$D1462&amp;" "&amp;'Compliance Database'!$K1462&amp;" "&amp;'Compliance Database'!$L1462&amp;" "&amp;'Compliance Database'!$M1462&amp;" "&amp;'Compliance Database'!$N1462&amp;" "&amp;'Compliance Database'!$O1462)))),1,0)</f>
        <v/>
      </c>
      <c r="B1462">
        <f>IF($A1462=1,SUM($A$2:$A1462),"")</f>
        <v/>
      </c>
      <c r="C1462">
        <f>IF($A1462=1,SUM($A$2:$A1462),0)</f>
        <v/>
      </c>
    </row>
    <row r="1463">
      <c r="A1463">
        <f>IF(AND(OR('Compliance Database'!$A1463='Data Transfer'!$B$4,'Compliance Database'!$A1463='Data Transfer'!$B$5),OR('Data Transfer'!$B$6="",ISNUMBER(SEARCH('Data Transfer'!$B$6,'Compliance Database'!$D1463&amp;" "&amp;'Compliance Database'!$K1463&amp;" "&amp;'Compliance Database'!$L1463&amp;" "&amp;'Compliance Database'!$M1463&amp;" "&amp;'Compliance Database'!$N1463&amp;" "&amp;'Compliance Database'!$O1463)))),1,0)</f>
        <v/>
      </c>
      <c r="B1463">
        <f>IF($A1463=1,SUM($A$2:$A1463),"")</f>
        <v/>
      </c>
      <c r="C1463">
        <f>IF($A1463=1,SUM($A$2:$A1463),0)</f>
        <v/>
      </c>
    </row>
    <row r="1464">
      <c r="A1464">
        <f>IF(AND(OR('Compliance Database'!$A1464='Data Transfer'!$B$4,'Compliance Database'!$A1464='Data Transfer'!$B$5),OR('Data Transfer'!$B$6="",ISNUMBER(SEARCH('Data Transfer'!$B$6,'Compliance Database'!$D1464&amp;" "&amp;'Compliance Database'!$K1464&amp;" "&amp;'Compliance Database'!$L1464&amp;" "&amp;'Compliance Database'!$M1464&amp;" "&amp;'Compliance Database'!$N1464&amp;" "&amp;'Compliance Database'!$O1464)))),1,0)</f>
        <v/>
      </c>
      <c r="B1464">
        <f>IF($A1464=1,SUM($A$2:$A1464),"")</f>
        <v/>
      </c>
      <c r="C1464">
        <f>IF($A1464=1,SUM($A$2:$A1464),0)</f>
        <v/>
      </c>
    </row>
    <row r="1465">
      <c r="A1465">
        <f>IF(AND(OR('Compliance Database'!$A1465='Data Transfer'!$B$4,'Compliance Database'!$A1465='Data Transfer'!$B$5),OR('Data Transfer'!$B$6="",ISNUMBER(SEARCH('Data Transfer'!$B$6,'Compliance Database'!$D1465&amp;" "&amp;'Compliance Database'!$K1465&amp;" "&amp;'Compliance Database'!$L1465&amp;" "&amp;'Compliance Database'!$M1465&amp;" "&amp;'Compliance Database'!$N1465&amp;" "&amp;'Compliance Database'!$O1465)))),1,0)</f>
        <v/>
      </c>
      <c r="B1465">
        <f>IF($A1465=1,SUM($A$2:$A1465),"")</f>
        <v/>
      </c>
      <c r="C1465">
        <f>IF($A1465=1,SUM($A$2:$A1465),0)</f>
        <v/>
      </c>
    </row>
    <row r="1466">
      <c r="A1466">
        <f>IF(AND(OR('Compliance Database'!$A1466='Data Transfer'!$B$4,'Compliance Database'!$A1466='Data Transfer'!$B$5),OR('Data Transfer'!$B$6="",ISNUMBER(SEARCH('Data Transfer'!$B$6,'Compliance Database'!$D1466&amp;" "&amp;'Compliance Database'!$K1466&amp;" "&amp;'Compliance Database'!$L1466&amp;" "&amp;'Compliance Database'!$M1466&amp;" "&amp;'Compliance Database'!$N1466&amp;" "&amp;'Compliance Database'!$O1466)))),1,0)</f>
        <v/>
      </c>
      <c r="B1466">
        <f>IF($A1466=1,SUM($A$2:$A1466),"")</f>
        <v/>
      </c>
      <c r="C1466">
        <f>IF($A1466=1,SUM($A$2:$A1466),0)</f>
        <v/>
      </c>
    </row>
    <row r="1467">
      <c r="A1467">
        <f>IF(AND(OR('Compliance Database'!$A1467='Data Transfer'!$B$4,'Compliance Database'!$A1467='Data Transfer'!$B$5),OR('Data Transfer'!$B$6="",ISNUMBER(SEARCH('Data Transfer'!$B$6,'Compliance Database'!$D1467&amp;" "&amp;'Compliance Database'!$K1467&amp;" "&amp;'Compliance Database'!$L1467&amp;" "&amp;'Compliance Database'!$M1467&amp;" "&amp;'Compliance Database'!$N1467&amp;" "&amp;'Compliance Database'!$O1467)))),1,0)</f>
        <v/>
      </c>
      <c r="B1467">
        <f>IF($A1467=1,SUM($A$2:$A1467),"")</f>
        <v/>
      </c>
      <c r="C1467">
        <f>IF($A1467=1,SUM($A$2:$A1467),0)</f>
        <v/>
      </c>
    </row>
    <row r="1468">
      <c r="A1468">
        <f>IF(AND(OR('Compliance Database'!$A1468='Data Transfer'!$B$4,'Compliance Database'!$A1468='Data Transfer'!$B$5),OR('Data Transfer'!$B$6="",ISNUMBER(SEARCH('Data Transfer'!$B$6,'Compliance Database'!$D1468&amp;" "&amp;'Compliance Database'!$K1468&amp;" "&amp;'Compliance Database'!$L1468&amp;" "&amp;'Compliance Database'!$M1468&amp;" "&amp;'Compliance Database'!$N1468&amp;" "&amp;'Compliance Database'!$O1468)))),1,0)</f>
        <v/>
      </c>
      <c r="B1468">
        <f>IF($A1468=1,SUM($A$2:$A1468),"")</f>
        <v/>
      </c>
      <c r="C1468">
        <f>IF($A1468=1,SUM($A$2:$A1468),0)</f>
        <v/>
      </c>
    </row>
    <row r="1469">
      <c r="A1469">
        <f>IF(AND(OR('Compliance Database'!$A1469='Data Transfer'!$B$4,'Compliance Database'!$A1469='Data Transfer'!$B$5),OR('Data Transfer'!$B$6="",ISNUMBER(SEARCH('Data Transfer'!$B$6,'Compliance Database'!$D1469&amp;" "&amp;'Compliance Database'!$K1469&amp;" "&amp;'Compliance Database'!$L1469&amp;" "&amp;'Compliance Database'!$M1469&amp;" "&amp;'Compliance Database'!$N1469&amp;" "&amp;'Compliance Database'!$O1469)))),1,0)</f>
        <v/>
      </c>
      <c r="B1469">
        <f>IF($A1469=1,SUM($A$2:$A1469),"")</f>
        <v/>
      </c>
      <c r="C1469">
        <f>IF($A1469=1,SUM($A$2:$A1469),0)</f>
        <v/>
      </c>
    </row>
    <row r="1470">
      <c r="A1470">
        <f>IF(AND(OR('Compliance Database'!$A1470='Data Transfer'!$B$4,'Compliance Database'!$A1470='Data Transfer'!$B$5),OR('Data Transfer'!$B$6="",ISNUMBER(SEARCH('Data Transfer'!$B$6,'Compliance Database'!$D1470&amp;" "&amp;'Compliance Database'!$K1470&amp;" "&amp;'Compliance Database'!$L1470&amp;" "&amp;'Compliance Database'!$M1470&amp;" "&amp;'Compliance Database'!$N1470&amp;" "&amp;'Compliance Database'!$O1470)))),1,0)</f>
        <v/>
      </c>
      <c r="B1470">
        <f>IF($A1470=1,SUM($A$2:$A1470),"")</f>
        <v/>
      </c>
      <c r="C1470">
        <f>IF($A1470=1,SUM($A$2:$A1470),0)</f>
        <v/>
      </c>
    </row>
    <row r="1471">
      <c r="A1471">
        <f>IF(AND(OR('Compliance Database'!$A1471='Data Transfer'!$B$4,'Compliance Database'!$A1471='Data Transfer'!$B$5),OR('Data Transfer'!$B$6="",ISNUMBER(SEARCH('Data Transfer'!$B$6,'Compliance Database'!$D1471&amp;" "&amp;'Compliance Database'!$K1471&amp;" "&amp;'Compliance Database'!$L1471&amp;" "&amp;'Compliance Database'!$M1471&amp;" "&amp;'Compliance Database'!$N1471&amp;" "&amp;'Compliance Database'!$O1471)))),1,0)</f>
        <v/>
      </c>
      <c r="B1471">
        <f>IF($A1471=1,SUM($A$2:$A1471),"")</f>
        <v/>
      </c>
      <c r="C1471">
        <f>IF($A1471=1,SUM($A$2:$A1471),0)</f>
        <v/>
      </c>
    </row>
    <row r="1472">
      <c r="A1472">
        <f>IF(AND(OR('Compliance Database'!$A1472='Data Transfer'!$B$4,'Compliance Database'!$A1472='Data Transfer'!$B$5),OR('Data Transfer'!$B$6="",ISNUMBER(SEARCH('Data Transfer'!$B$6,'Compliance Database'!$D1472&amp;" "&amp;'Compliance Database'!$K1472&amp;" "&amp;'Compliance Database'!$L1472&amp;" "&amp;'Compliance Database'!$M1472&amp;" "&amp;'Compliance Database'!$N1472&amp;" "&amp;'Compliance Database'!$O1472)))),1,0)</f>
        <v/>
      </c>
      <c r="B1472">
        <f>IF($A1472=1,SUM($A$2:$A1472),"")</f>
        <v/>
      </c>
      <c r="C1472">
        <f>IF($A1472=1,SUM($A$2:$A1472),0)</f>
        <v/>
      </c>
    </row>
    <row r="1473">
      <c r="A1473">
        <f>IF(AND(OR('Compliance Database'!$A1473='Data Transfer'!$B$4,'Compliance Database'!$A1473='Data Transfer'!$B$5),OR('Data Transfer'!$B$6="",ISNUMBER(SEARCH('Data Transfer'!$B$6,'Compliance Database'!$D1473&amp;" "&amp;'Compliance Database'!$K1473&amp;" "&amp;'Compliance Database'!$L1473&amp;" "&amp;'Compliance Database'!$M1473&amp;" "&amp;'Compliance Database'!$N1473&amp;" "&amp;'Compliance Database'!$O1473)))),1,0)</f>
        <v/>
      </c>
      <c r="B1473">
        <f>IF($A1473=1,SUM($A$2:$A1473),"")</f>
        <v/>
      </c>
      <c r="C1473">
        <f>IF($A1473=1,SUM($A$2:$A1473),0)</f>
        <v/>
      </c>
    </row>
    <row r="1474">
      <c r="A1474">
        <f>IF(AND(OR('Compliance Database'!$A1474='Data Transfer'!$B$4,'Compliance Database'!$A1474='Data Transfer'!$B$5),OR('Data Transfer'!$B$6="",ISNUMBER(SEARCH('Data Transfer'!$B$6,'Compliance Database'!$D1474&amp;" "&amp;'Compliance Database'!$K1474&amp;" "&amp;'Compliance Database'!$L1474&amp;" "&amp;'Compliance Database'!$M1474&amp;" "&amp;'Compliance Database'!$N1474&amp;" "&amp;'Compliance Database'!$O1474)))),1,0)</f>
        <v/>
      </c>
      <c r="B1474">
        <f>IF($A1474=1,SUM($A$2:$A1474),"")</f>
        <v/>
      </c>
      <c r="C1474">
        <f>IF($A1474=1,SUM($A$2:$A1474),0)</f>
        <v/>
      </c>
    </row>
    <row r="1475">
      <c r="A1475">
        <f>IF(AND(OR('Compliance Database'!$A1475='Data Transfer'!$B$4,'Compliance Database'!$A1475='Data Transfer'!$B$5),OR('Data Transfer'!$B$6="",ISNUMBER(SEARCH('Data Transfer'!$B$6,'Compliance Database'!$D1475&amp;" "&amp;'Compliance Database'!$K1475&amp;" "&amp;'Compliance Database'!$L1475&amp;" "&amp;'Compliance Database'!$M1475&amp;" "&amp;'Compliance Database'!$N1475&amp;" "&amp;'Compliance Database'!$O1475)))),1,0)</f>
        <v/>
      </c>
      <c r="B1475">
        <f>IF($A1475=1,SUM($A$2:$A1475),"")</f>
        <v/>
      </c>
      <c r="C1475">
        <f>IF($A1475=1,SUM($A$2:$A1475),0)</f>
        <v/>
      </c>
    </row>
    <row r="1476">
      <c r="A1476">
        <f>IF(AND(OR('Compliance Database'!$A1476='Data Transfer'!$B$4,'Compliance Database'!$A1476='Data Transfer'!$B$5),OR('Data Transfer'!$B$6="",ISNUMBER(SEARCH('Data Transfer'!$B$6,'Compliance Database'!$D1476&amp;" "&amp;'Compliance Database'!$K1476&amp;" "&amp;'Compliance Database'!$L1476&amp;" "&amp;'Compliance Database'!$M1476&amp;" "&amp;'Compliance Database'!$N1476&amp;" "&amp;'Compliance Database'!$O1476)))),1,0)</f>
        <v/>
      </c>
      <c r="B1476">
        <f>IF($A1476=1,SUM($A$2:$A1476),"")</f>
        <v/>
      </c>
      <c r="C1476">
        <f>IF($A1476=1,SUM($A$2:$A1476),0)</f>
        <v/>
      </c>
    </row>
    <row r="1477">
      <c r="A1477">
        <f>IF(AND(OR('Compliance Database'!$A1477='Data Transfer'!$B$4,'Compliance Database'!$A1477='Data Transfer'!$B$5),OR('Data Transfer'!$B$6="",ISNUMBER(SEARCH('Data Transfer'!$B$6,'Compliance Database'!$D1477&amp;" "&amp;'Compliance Database'!$K1477&amp;" "&amp;'Compliance Database'!$L1477&amp;" "&amp;'Compliance Database'!$M1477&amp;" "&amp;'Compliance Database'!$N1477&amp;" "&amp;'Compliance Database'!$O1477)))),1,0)</f>
        <v/>
      </c>
      <c r="B1477">
        <f>IF($A1477=1,SUM($A$2:$A1477),"")</f>
        <v/>
      </c>
      <c r="C1477">
        <f>IF($A1477=1,SUM($A$2:$A1477),0)</f>
        <v/>
      </c>
    </row>
    <row r="1478">
      <c r="A1478">
        <f>IF(AND(OR('Compliance Database'!$A1478='Data Transfer'!$B$4,'Compliance Database'!$A1478='Data Transfer'!$B$5),OR('Data Transfer'!$B$6="",ISNUMBER(SEARCH('Data Transfer'!$B$6,'Compliance Database'!$D1478&amp;" "&amp;'Compliance Database'!$K1478&amp;" "&amp;'Compliance Database'!$L1478&amp;" "&amp;'Compliance Database'!$M1478&amp;" "&amp;'Compliance Database'!$N1478&amp;" "&amp;'Compliance Database'!$O1478)))),1,0)</f>
        <v/>
      </c>
      <c r="B1478">
        <f>IF($A1478=1,SUM($A$2:$A1478),"")</f>
        <v/>
      </c>
      <c r="C1478">
        <f>IF($A1478=1,SUM($A$2:$A1478),0)</f>
        <v/>
      </c>
    </row>
    <row r="1479">
      <c r="A1479">
        <f>IF(AND(OR('Compliance Database'!$A1479='Data Transfer'!$B$4,'Compliance Database'!$A1479='Data Transfer'!$B$5),OR('Data Transfer'!$B$6="",ISNUMBER(SEARCH('Data Transfer'!$B$6,'Compliance Database'!$D1479&amp;" "&amp;'Compliance Database'!$K1479&amp;" "&amp;'Compliance Database'!$L1479&amp;" "&amp;'Compliance Database'!$M1479&amp;" "&amp;'Compliance Database'!$N1479&amp;" "&amp;'Compliance Database'!$O1479)))),1,0)</f>
        <v/>
      </c>
      <c r="B1479">
        <f>IF($A1479=1,SUM($A$2:$A1479),"")</f>
        <v/>
      </c>
      <c r="C1479">
        <f>IF($A1479=1,SUM($A$2:$A1479),0)</f>
        <v/>
      </c>
    </row>
    <row r="1480">
      <c r="A1480">
        <f>IF(AND(OR('Compliance Database'!$A1480='Data Transfer'!$B$4,'Compliance Database'!$A1480='Data Transfer'!$B$5),OR('Data Transfer'!$B$6="",ISNUMBER(SEARCH('Data Transfer'!$B$6,'Compliance Database'!$D1480&amp;" "&amp;'Compliance Database'!$K1480&amp;" "&amp;'Compliance Database'!$L1480&amp;" "&amp;'Compliance Database'!$M1480&amp;" "&amp;'Compliance Database'!$N1480&amp;" "&amp;'Compliance Database'!$O1480)))),1,0)</f>
        <v/>
      </c>
      <c r="B1480">
        <f>IF($A1480=1,SUM($A$2:$A1480),"")</f>
        <v/>
      </c>
      <c r="C1480">
        <f>IF($A1480=1,SUM($A$2:$A1480),0)</f>
        <v/>
      </c>
    </row>
    <row r="1481">
      <c r="A1481">
        <f>IF(AND(OR('Compliance Database'!$A1481='Data Transfer'!$B$4,'Compliance Database'!$A1481='Data Transfer'!$B$5),OR('Data Transfer'!$B$6="",ISNUMBER(SEARCH('Data Transfer'!$B$6,'Compliance Database'!$D1481&amp;" "&amp;'Compliance Database'!$K1481&amp;" "&amp;'Compliance Database'!$L1481&amp;" "&amp;'Compliance Database'!$M1481&amp;" "&amp;'Compliance Database'!$N1481&amp;" "&amp;'Compliance Database'!$O1481)))),1,0)</f>
        <v/>
      </c>
      <c r="B1481">
        <f>IF($A1481=1,SUM($A$2:$A1481),"")</f>
        <v/>
      </c>
      <c r="C1481">
        <f>IF($A1481=1,SUM($A$2:$A1481),0)</f>
        <v/>
      </c>
    </row>
    <row r="1482">
      <c r="A1482">
        <f>IF(AND(OR('Compliance Database'!$A1482='Data Transfer'!$B$4,'Compliance Database'!$A1482='Data Transfer'!$B$5),OR('Data Transfer'!$B$6="",ISNUMBER(SEARCH('Data Transfer'!$B$6,'Compliance Database'!$D1482&amp;" "&amp;'Compliance Database'!$K1482&amp;" "&amp;'Compliance Database'!$L1482&amp;" "&amp;'Compliance Database'!$M1482&amp;" "&amp;'Compliance Database'!$N1482&amp;" "&amp;'Compliance Database'!$O1482)))),1,0)</f>
        <v/>
      </c>
      <c r="B1482">
        <f>IF($A1482=1,SUM($A$2:$A1482),"")</f>
        <v/>
      </c>
      <c r="C1482">
        <f>IF($A1482=1,SUM($A$2:$A1482),0)</f>
        <v/>
      </c>
    </row>
    <row r="1483">
      <c r="A1483">
        <f>IF(AND(OR('Compliance Database'!$A1483='Data Transfer'!$B$4,'Compliance Database'!$A1483='Data Transfer'!$B$5),OR('Data Transfer'!$B$6="",ISNUMBER(SEARCH('Data Transfer'!$B$6,'Compliance Database'!$D1483&amp;" "&amp;'Compliance Database'!$K1483&amp;" "&amp;'Compliance Database'!$L1483&amp;" "&amp;'Compliance Database'!$M1483&amp;" "&amp;'Compliance Database'!$N1483&amp;" "&amp;'Compliance Database'!$O1483)))),1,0)</f>
        <v/>
      </c>
      <c r="B1483">
        <f>IF($A1483=1,SUM($A$2:$A1483),"")</f>
        <v/>
      </c>
      <c r="C1483">
        <f>IF($A1483=1,SUM($A$2:$A1483),0)</f>
        <v/>
      </c>
    </row>
    <row r="1484">
      <c r="A1484">
        <f>IF(AND(OR('Compliance Database'!$A1484='Data Transfer'!$B$4,'Compliance Database'!$A1484='Data Transfer'!$B$5),OR('Data Transfer'!$B$6="",ISNUMBER(SEARCH('Data Transfer'!$B$6,'Compliance Database'!$D1484&amp;" "&amp;'Compliance Database'!$K1484&amp;" "&amp;'Compliance Database'!$L1484&amp;" "&amp;'Compliance Database'!$M1484&amp;" "&amp;'Compliance Database'!$N1484&amp;" "&amp;'Compliance Database'!$O1484)))),1,0)</f>
        <v/>
      </c>
      <c r="B1484">
        <f>IF($A1484=1,SUM($A$2:$A1484),"")</f>
        <v/>
      </c>
      <c r="C1484">
        <f>IF($A1484=1,SUM($A$2:$A1484),0)</f>
        <v/>
      </c>
    </row>
    <row r="1485">
      <c r="A1485">
        <f>IF(AND(OR('Compliance Database'!$A1485='Data Transfer'!$B$4,'Compliance Database'!$A1485='Data Transfer'!$B$5),OR('Data Transfer'!$B$6="",ISNUMBER(SEARCH('Data Transfer'!$B$6,'Compliance Database'!$D1485&amp;" "&amp;'Compliance Database'!$K1485&amp;" "&amp;'Compliance Database'!$L1485&amp;" "&amp;'Compliance Database'!$M1485&amp;" "&amp;'Compliance Database'!$N1485&amp;" "&amp;'Compliance Database'!$O1485)))),1,0)</f>
        <v/>
      </c>
      <c r="B1485">
        <f>IF($A1485=1,SUM($A$2:$A1485),"")</f>
        <v/>
      </c>
      <c r="C1485">
        <f>IF($A1485=1,SUM($A$2:$A1485),0)</f>
        <v/>
      </c>
    </row>
    <row r="1486">
      <c r="A1486">
        <f>IF(AND(OR('Compliance Database'!$A1486='Data Transfer'!$B$4,'Compliance Database'!$A1486='Data Transfer'!$B$5),OR('Data Transfer'!$B$6="",ISNUMBER(SEARCH('Data Transfer'!$B$6,'Compliance Database'!$D1486&amp;" "&amp;'Compliance Database'!$K1486&amp;" "&amp;'Compliance Database'!$L1486&amp;" "&amp;'Compliance Database'!$M1486&amp;" "&amp;'Compliance Database'!$N1486&amp;" "&amp;'Compliance Database'!$O1486)))),1,0)</f>
        <v/>
      </c>
      <c r="B1486">
        <f>IF($A1486=1,SUM($A$2:$A1486),"")</f>
        <v/>
      </c>
      <c r="C1486">
        <f>IF($A1486=1,SUM($A$2:$A1486),0)</f>
        <v/>
      </c>
    </row>
    <row r="1487">
      <c r="A1487">
        <f>IF(AND(OR('Compliance Database'!$A1487='Data Transfer'!$B$4,'Compliance Database'!$A1487='Data Transfer'!$B$5),OR('Data Transfer'!$B$6="",ISNUMBER(SEARCH('Data Transfer'!$B$6,'Compliance Database'!$D1487&amp;" "&amp;'Compliance Database'!$K1487&amp;" "&amp;'Compliance Database'!$L1487&amp;" "&amp;'Compliance Database'!$M1487&amp;" "&amp;'Compliance Database'!$N1487&amp;" "&amp;'Compliance Database'!$O1487)))),1,0)</f>
        <v/>
      </c>
      <c r="B1487">
        <f>IF($A1487=1,SUM($A$2:$A1487),"")</f>
        <v/>
      </c>
      <c r="C1487">
        <f>IF($A1487=1,SUM($A$2:$A1487),0)</f>
        <v/>
      </c>
    </row>
    <row r="1488">
      <c r="A1488">
        <f>IF(AND(OR('Compliance Database'!$A1488='Data Transfer'!$B$4,'Compliance Database'!$A1488='Data Transfer'!$B$5),OR('Data Transfer'!$B$6="",ISNUMBER(SEARCH('Data Transfer'!$B$6,'Compliance Database'!$D1488&amp;" "&amp;'Compliance Database'!$K1488&amp;" "&amp;'Compliance Database'!$L1488&amp;" "&amp;'Compliance Database'!$M1488&amp;" "&amp;'Compliance Database'!$N1488&amp;" "&amp;'Compliance Database'!$O1488)))),1,0)</f>
        <v/>
      </c>
      <c r="B1488">
        <f>IF($A1488=1,SUM($A$2:$A1488),"")</f>
        <v/>
      </c>
      <c r="C1488">
        <f>IF($A1488=1,SUM($A$2:$A1488),0)</f>
        <v/>
      </c>
    </row>
    <row r="1489">
      <c r="A1489">
        <f>IF(AND(OR('Compliance Database'!$A1489='Data Transfer'!$B$4,'Compliance Database'!$A1489='Data Transfer'!$B$5),OR('Data Transfer'!$B$6="",ISNUMBER(SEARCH('Data Transfer'!$B$6,'Compliance Database'!$D1489&amp;" "&amp;'Compliance Database'!$K1489&amp;" "&amp;'Compliance Database'!$L1489&amp;" "&amp;'Compliance Database'!$M1489&amp;" "&amp;'Compliance Database'!$N1489&amp;" "&amp;'Compliance Database'!$O1489)))),1,0)</f>
        <v/>
      </c>
      <c r="B1489">
        <f>IF($A1489=1,SUM($A$2:$A1489),"")</f>
        <v/>
      </c>
      <c r="C1489">
        <f>IF($A1489=1,SUM($A$2:$A1489),0)</f>
        <v/>
      </c>
    </row>
    <row r="1490">
      <c r="A1490">
        <f>IF(AND(OR('Compliance Database'!$A1490='Data Transfer'!$B$4,'Compliance Database'!$A1490='Data Transfer'!$B$5),OR('Data Transfer'!$B$6="",ISNUMBER(SEARCH('Data Transfer'!$B$6,'Compliance Database'!$D1490&amp;" "&amp;'Compliance Database'!$K1490&amp;" "&amp;'Compliance Database'!$L1490&amp;" "&amp;'Compliance Database'!$M1490&amp;" "&amp;'Compliance Database'!$N1490&amp;" "&amp;'Compliance Database'!$O1490)))),1,0)</f>
        <v/>
      </c>
      <c r="B1490">
        <f>IF($A1490=1,SUM($A$2:$A1490),"")</f>
        <v/>
      </c>
      <c r="C1490">
        <f>IF($A1490=1,SUM($A$2:$A1490),0)</f>
        <v/>
      </c>
    </row>
    <row r="1491">
      <c r="A1491">
        <f>IF(AND(OR('Compliance Database'!$A1491='Data Transfer'!$B$4,'Compliance Database'!$A1491='Data Transfer'!$B$5),OR('Data Transfer'!$B$6="",ISNUMBER(SEARCH('Data Transfer'!$B$6,'Compliance Database'!$D1491&amp;" "&amp;'Compliance Database'!$K1491&amp;" "&amp;'Compliance Database'!$L1491&amp;" "&amp;'Compliance Database'!$M1491&amp;" "&amp;'Compliance Database'!$N1491&amp;" "&amp;'Compliance Database'!$O1491)))),1,0)</f>
        <v/>
      </c>
      <c r="B1491">
        <f>IF($A1491=1,SUM($A$2:$A1491),"")</f>
        <v/>
      </c>
      <c r="C1491">
        <f>IF($A1491=1,SUM($A$2:$A1491),0)</f>
        <v/>
      </c>
    </row>
    <row r="1492">
      <c r="A1492">
        <f>IF(AND(OR('Compliance Database'!$A1492='Data Transfer'!$B$4,'Compliance Database'!$A1492='Data Transfer'!$B$5),OR('Data Transfer'!$B$6="",ISNUMBER(SEARCH('Data Transfer'!$B$6,'Compliance Database'!$D1492&amp;" "&amp;'Compliance Database'!$K1492&amp;" "&amp;'Compliance Database'!$L1492&amp;" "&amp;'Compliance Database'!$M1492&amp;" "&amp;'Compliance Database'!$N1492&amp;" "&amp;'Compliance Database'!$O1492)))),1,0)</f>
        <v/>
      </c>
      <c r="B1492">
        <f>IF($A1492=1,SUM($A$2:$A1492),"")</f>
        <v/>
      </c>
      <c r="C1492">
        <f>IF($A1492=1,SUM($A$2:$A1492),0)</f>
        <v/>
      </c>
    </row>
    <row r="1493">
      <c r="A1493">
        <f>IF(AND(OR('Compliance Database'!$A1493='Data Transfer'!$B$4,'Compliance Database'!$A1493='Data Transfer'!$B$5),OR('Data Transfer'!$B$6="",ISNUMBER(SEARCH('Data Transfer'!$B$6,'Compliance Database'!$D1493&amp;" "&amp;'Compliance Database'!$K1493&amp;" "&amp;'Compliance Database'!$L1493&amp;" "&amp;'Compliance Database'!$M1493&amp;" "&amp;'Compliance Database'!$N1493&amp;" "&amp;'Compliance Database'!$O1493)))),1,0)</f>
        <v/>
      </c>
      <c r="B1493">
        <f>IF($A1493=1,SUM($A$2:$A1493),"")</f>
        <v/>
      </c>
      <c r="C1493">
        <f>IF($A1493=1,SUM($A$2:$A1493),0)</f>
        <v/>
      </c>
    </row>
    <row r="1494">
      <c r="A1494">
        <f>IF(AND(OR('Compliance Database'!$A1494='Data Transfer'!$B$4,'Compliance Database'!$A1494='Data Transfer'!$B$5),OR('Data Transfer'!$B$6="",ISNUMBER(SEARCH('Data Transfer'!$B$6,'Compliance Database'!$D1494&amp;" "&amp;'Compliance Database'!$K1494&amp;" "&amp;'Compliance Database'!$L1494&amp;" "&amp;'Compliance Database'!$M1494&amp;" "&amp;'Compliance Database'!$N1494&amp;" "&amp;'Compliance Database'!$O1494)))),1,0)</f>
        <v/>
      </c>
      <c r="B1494">
        <f>IF($A1494=1,SUM($A$2:$A1494),"")</f>
        <v/>
      </c>
      <c r="C1494">
        <f>IF($A1494=1,SUM($A$2:$A1494),0)</f>
        <v/>
      </c>
    </row>
    <row r="1495">
      <c r="A1495">
        <f>IF(AND(OR('Compliance Database'!$A1495='Data Transfer'!$B$4,'Compliance Database'!$A1495='Data Transfer'!$B$5),OR('Data Transfer'!$B$6="",ISNUMBER(SEARCH('Data Transfer'!$B$6,'Compliance Database'!$D1495&amp;" "&amp;'Compliance Database'!$K1495&amp;" "&amp;'Compliance Database'!$L1495&amp;" "&amp;'Compliance Database'!$M1495&amp;" "&amp;'Compliance Database'!$N1495&amp;" "&amp;'Compliance Database'!$O1495)))),1,0)</f>
        <v/>
      </c>
      <c r="B1495">
        <f>IF($A1495=1,SUM($A$2:$A1495),"")</f>
        <v/>
      </c>
      <c r="C1495">
        <f>IF($A1495=1,SUM($A$2:$A1495),0)</f>
        <v/>
      </c>
    </row>
    <row r="1496">
      <c r="A1496">
        <f>IF(AND(OR('Compliance Database'!$A1496='Data Transfer'!$B$4,'Compliance Database'!$A1496='Data Transfer'!$B$5),OR('Data Transfer'!$B$6="",ISNUMBER(SEARCH('Data Transfer'!$B$6,'Compliance Database'!$D1496&amp;" "&amp;'Compliance Database'!$K1496&amp;" "&amp;'Compliance Database'!$L1496&amp;" "&amp;'Compliance Database'!$M1496&amp;" "&amp;'Compliance Database'!$N1496&amp;" "&amp;'Compliance Database'!$O1496)))),1,0)</f>
        <v/>
      </c>
      <c r="B1496">
        <f>IF($A1496=1,SUM($A$2:$A1496),"")</f>
        <v/>
      </c>
      <c r="C1496">
        <f>IF($A1496=1,SUM($A$2:$A1496),0)</f>
        <v/>
      </c>
    </row>
    <row r="1497">
      <c r="A1497">
        <f>IF(AND(OR('Compliance Database'!$A1497='Data Transfer'!$B$4,'Compliance Database'!$A1497='Data Transfer'!$B$5),OR('Data Transfer'!$B$6="",ISNUMBER(SEARCH('Data Transfer'!$B$6,'Compliance Database'!$D1497&amp;" "&amp;'Compliance Database'!$K1497&amp;" "&amp;'Compliance Database'!$L1497&amp;" "&amp;'Compliance Database'!$M1497&amp;" "&amp;'Compliance Database'!$N1497&amp;" "&amp;'Compliance Database'!$O1497)))),1,0)</f>
        <v/>
      </c>
      <c r="B1497">
        <f>IF($A1497=1,SUM($A$2:$A1497),"")</f>
        <v/>
      </c>
      <c r="C1497">
        <f>IF($A1497=1,SUM($A$2:$A1497),0)</f>
        <v/>
      </c>
    </row>
    <row r="1498">
      <c r="A1498">
        <f>IF(AND(OR('Compliance Database'!$A1498='Data Transfer'!$B$4,'Compliance Database'!$A1498='Data Transfer'!$B$5),OR('Data Transfer'!$B$6="",ISNUMBER(SEARCH('Data Transfer'!$B$6,'Compliance Database'!$D1498&amp;" "&amp;'Compliance Database'!$K1498&amp;" "&amp;'Compliance Database'!$L1498&amp;" "&amp;'Compliance Database'!$M1498&amp;" "&amp;'Compliance Database'!$N1498&amp;" "&amp;'Compliance Database'!$O1498)))),1,0)</f>
        <v/>
      </c>
      <c r="B1498">
        <f>IF($A1498=1,SUM($A$2:$A1498),"")</f>
        <v/>
      </c>
      <c r="C1498">
        <f>IF($A1498=1,SUM($A$2:$A1498),0)</f>
        <v/>
      </c>
    </row>
    <row r="1499">
      <c r="A1499">
        <f>IF(AND(OR('Compliance Database'!$A1499='Data Transfer'!$B$4,'Compliance Database'!$A1499='Data Transfer'!$B$5),OR('Data Transfer'!$B$6="",ISNUMBER(SEARCH('Data Transfer'!$B$6,'Compliance Database'!$D1499&amp;" "&amp;'Compliance Database'!$K1499&amp;" "&amp;'Compliance Database'!$L1499&amp;" "&amp;'Compliance Database'!$M1499&amp;" "&amp;'Compliance Database'!$N1499&amp;" "&amp;'Compliance Database'!$O1499)))),1,0)</f>
        <v/>
      </c>
      <c r="B1499">
        <f>IF($A1499=1,SUM($A$2:$A1499),"")</f>
        <v/>
      </c>
      <c r="C1499">
        <f>IF($A1499=1,SUM($A$2:$A1499),0)</f>
        <v/>
      </c>
    </row>
    <row r="1500">
      <c r="A1500">
        <f>IF(AND(OR('Compliance Database'!$A1500='Data Transfer'!$B$4,'Compliance Database'!$A1500='Data Transfer'!$B$5),OR('Data Transfer'!$B$6="",ISNUMBER(SEARCH('Data Transfer'!$B$6,'Compliance Database'!$D1500&amp;" "&amp;'Compliance Database'!$K1500&amp;" "&amp;'Compliance Database'!$L1500&amp;" "&amp;'Compliance Database'!$M1500&amp;" "&amp;'Compliance Database'!$N1500&amp;" "&amp;'Compliance Database'!$O1500)))),1,0)</f>
        <v/>
      </c>
      <c r="B1500">
        <f>IF($A1500=1,SUM($A$2:$A1500),"")</f>
        <v/>
      </c>
      <c r="C1500">
        <f>IF($A1500=1,SUM($A$2:$A1500),0)</f>
        <v/>
      </c>
    </row>
    <row r="1501">
      <c r="A1501">
        <f>IF(AND(OR('Compliance Database'!$A1501='Data Transfer'!$B$4,'Compliance Database'!$A1501='Data Transfer'!$B$5),OR('Data Transfer'!$B$6="",ISNUMBER(SEARCH('Data Transfer'!$B$6,'Compliance Database'!$D1501&amp;" "&amp;'Compliance Database'!$K1501&amp;" "&amp;'Compliance Database'!$L1501&amp;" "&amp;'Compliance Database'!$M1501&amp;" "&amp;'Compliance Database'!$N1501&amp;" "&amp;'Compliance Database'!$O1501)))),1,0)</f>
        <v/>
      </c>
      <c r="B1501">
        <f>IF($A1501=1,SUM($A$2:$A1501),"")</f>
        <v/>
      </c>
      <c r="C1501">
        <f>IF($A1501=1,SUM($A$2:$A1501),0)</f>
        <v/>
      </c>
    </row>
    <row r="1502">
      <c r="A1502">
        <f>IF(AND(OR('Compliance Database'!$A1502='Data Transfer'!$B$4,'Compliance Database'!$A1502='Data Transfer'!$B$5),OR('Data Transfer'!$B$6="",ISNUMBER(SEARCH('Data Transfer'!$B$6,'Compliance Database'!$D1502&amp;" "&amp;'Compliance Database'!$K1502&amp;" "&amp;'Compliance Database'!$L1502&amp;" "&amp;'Compliance Database'!$M1502&amp;" "&amp;'Compliance Database'!$N1502&amp;" "&amp;'Compliance Database'!$O1502)))),1,0)</f>
        <v/>
      </c>
      <c r="B1502">
        <f>IF($A1502=1,SUM($A$2:$A1502),"")</f>
        <v/>
      </c>
      <c r="C1502">
        <f>IF($A1502=1,SUM($A$2:$A1502),0)</f>
        <v/>
      </c>
    </row>
    <row r="1503">
      <c r="A1503">
        <f>IF(AND(OR('Compliance Database'!$A1503='Data Transfer'!$B$4,'Compliance Database'!$A1503='Data Transfer'!$B$5),OR('Data Transfer'!$B$6="",ISNUMBER(SEARCH('Data Transfer'!$B$6,'Compliance Database'!$D1503&amp;" "&amp;'Compliance Database'!$K1503&amp;" "&amp;'Compliance Database'!$L1503&amp;" "&amp;'Compliance Database'!$M1503&amp;" "&amp;'Compliance Database'!$N1503&amp;" "&amp;'Compliance Database'!$O1503)))),1,0)</f>
        <v/>
      </c>
      <c r="B1503">
        <f>IF($A1503=1,SUM($A$2:$A1503),"")</f>
        <v/>
      </c>
      <c r="C1503">
        <f>IF($A1503=1,SUM($A$2:$A1503),0)</f>
        <v/>
      </c>
    </row>
    <row r="1504">
      <c r="A1504">
        <f>IF(AND(OR('Compliance Database'!$A1504='Data Transfer'!$B$4,'Compliance Database'!$A1504='Data Transfer'!$B$5),OR('Data Transfer'!$B$6="",ISNUMBER(SEARCH('Data Transfer'!$B$6,'Compliance Database'!$D1504&amp;" "&amp;'Compliance Database'!$K1504&amp;" "&amp;'Compliance Database'!$L1504&amp;" "&amp;'Compliance Database'!$M1504&amp;" "&amp;'Compliance Database'!$N1504&amp;" "&amp;'Compliance Database'!$O1504)))),1,0)</f>
        <v/>
      </c>
      <c r="B1504">
        <f>IF($A1504=1,SUM($A$2:$A1504),"")</f>
        <v/>
      </c>
      <c r="C1504">
        <f>IF($A1504=1,SUM($A$2:$A1504),0)</f>
        <v/>
      </c>
    </row>
    <row r="1505">
      <c r="A1505">
        <f>IF(AND(OR('Compliance Database'!$A1505='Data Transfer'!$B$4,'Compliance Database'!$A1505='Data Transfer'!$B$5),OR('Data Transfer'!$B$6="",ISNUMBER(SEARCH('Data Transfer'!$B$6,'Compliance Database'!$D1505&amp;" "&amp;'Compliance Database'!$K1505&amp;" "&amp;'Compliance Database'!$L1505&amp;" "&amp;'Compliance Database'!$M1505&amp;" "&amp;'Compliance Database'!$N1505&amp;" "&amp;'Compliance Database'!$O1505)))),1,0)</f>
        <v/>
      </c>
      <c r="B1505">
        <f>IF($A1505=1,SUM($A$2:$A1505),"")</f>
        <v/>
      </c>
      <c r="C1505">
        <f>IF($A1505=1,SUM($A$2:$A1505),0)</f>
        <v/>
      </c>
    </row>
    <row r="1506">
      <c r="A1506">
        <f>IF(AND(OR('Compliance Database'!$A1506='Data Transfer'!$B$4,'Compliance Database'!$A1506='Data Transfer'!$B$5),OR('Data Transfer'!$B$6="",ISNUMBER(SEARCH('Data Transfer'!$B$6,'Compliance Database'!$D1506&amp;" "&amp;'Compliance Database'!$K1506&amp;" "&amp;'Compliance Database'!$L1506&amp;" "&amp;'Compliance Database'!$M1506&amp;" "&amp;'Compliance Database'!$N1506&amp;" "&amp;'Compliance Database'!$O1506)))),1,0)</f>
        <v/>
      </c>
      <c r="B1506">
        <f>IF($A1506=1,SUM($A$2:$A1506),"")</f>
        <v/>
      </c>
      <c r="C1506">
        <f>IF($A1506=1,SUM($A$2:$A1506),0)</f>
        <v/>
      </c>
    </row>
    <row r="1507">
      <c r="A1507">
        <f>IF(AND(OR('Compliance Database'!$A1507='Data Transfer'!$B$4,'Compliance Database'!$A1507='Data Transfer'!$B$5),OR('Data Transfer'!$B$6="",ISNUMBER(SEARCH('Data Transfer'!$B$6,'Compliance Database'!$D1507&amp;" "&amp;'Compliance Database'!$K1507&amp;" "&amp;'Compliance Database'!$L1507&amp;" "&amp;'Compliance Database'!$M1507&amp;" "&amp;'Compliance Database'!$N1507&amp;" "&amp;'Compliance Database'!$O1507)))),1,0)</f>
        <v/>
      </c>
      <c r="B1507">
        <f>IF($A1507=1,SUM($A$2:$A1507),"")</f>
        <v/>
      </c>
      <c r="C1507">
        <f>IF($A1507=1,SUM($A$2:$A1507),0)</f>
        <v/>
      </c>
    </row>
    <row r="1508">
      <c r="A1508">
        <f>IF(AND(OR('Compliance Database'!$A1508='Data Transfer'!$B$4,'Compliance Database'!$A1508='Data Transfer'!$B$5),OR('Data Transfer'!$B$6="",ISNUMBER(SEARCH('Data Transfer'!$B$6,'Compliance Database'!$D1508&amp;" "&amp;'Compliance Database'!$K1508&amp;" "&amp;'Compliance Database'!$L1508&amp;" "&amp;'Compliance Database'!$M1508&amp;" "&amp;'Compliance Database'!$N1508&amp;" "&amp;'Compliance Database'!$O1508)))),1,0)</f>
        <v/>
      </c>
      <c r="B1508">
        <f>IF($A1508=1,SUM($A$2:$A1508),"")</f>
        <v/>
      </c>
      <c r="C1508">
        <f>IF($A1508=1,SUM($A$2:$A1508),0)</f>
        <v/>
      </c>
    </row>
    <row r="1509">
      <c r="A1509">
        <f>IF(AND(OR('Compliance Database'!$A1509='Data Transfer'!$B$4,'Compliance Database'!$A1509='Data Transfer'!$B$5),OR('Data Transfer'!$B$6="",ISNUMBER(SEARCH('Data Transfer'!$B$6,'Compliance Database'!$D1509&amp;" "&amp;'Compliance Database'!$K1509&amp;" "&amp;'Compliance Database'!$L1509&amp;" "&amp;'Compliance Database'!$M1509&amp;" "&amp;'Compliance Database'!$N1509&amp;" "&amp;'Compliance Database'!$O1509)))),1,0)</f>
        <v/>
      </c>
      <c r="B1509">
        <f>IF($A1509=1,SUM($A$2:$A1509),"")</f>
        <v/>
      </c>
      <c r="C1509">
        <f>IF($A1509=1,SUM($A$2:$A1509),0)</f>
        <v/>
      </c>
    </row>
    <row r="1510">
      <c r="A1510">
        <f>IF(AND(OR('Compliance Database'!$A1510='Data Transfer'!$B$4,'Compliance Database'!$A1510='Data Transfer'!$B$5),OR('Data Transfer'!$B$6="",ISNUMBER(SEARCH('Data Transfer'!$B$6,'Compliance Database'!$D1510&amp;" "&amp;'Compliance Database'!$K1510&amp;" "&amp;'Compliance Database'!$L1510&amp;" "&amp;'Compliance Database'!$M1510&amp;" "&amp;'Compliance Database'!$N1510&amp;" "&amp;'Compliance Database'!$O1510)))),1,0)</f>
        <v/>
      </c>
      <c r="B1510">
        <f>IF($A1510=1,SUM($A$2:$A1510),"")</f>
        <v/>
      </c>
      <c r="C1510">
        <f>IF($A1510=1,SUM($A$2:$A1510),0)</f>
        <v/>
      </c>
    </row>
    <row r="1511">
      <c r="A1511">
        <f>IF(AND(OR('Compliance Database'!$A1511='Data Transfer'!$B$4,'Compliance Database'!$A1511='Data Transfer'!$B$5),OR('Data Transfer'!$B$6="",ISNUMBER(SEARCH('Data Transfer'!$B$6,'Compliance Database'!$D1511&amp;" "&amp;'Compliance Database'!$K1511&amp;" "&amp;'Compliance Database'!$L1511&amp;" "&amp;'Compliance Database'!$M1511&amp;" "&amp;'Compliance Database'!$N1511&amp;" "&amp;'Compliance Database'!$O1511)))),1,0)</f>
        <v/>
      </c>
      <c r="B1511">
        <f>IF($A1511=1,SUM($A$2:$A1511),"")</f>
        <v/>
      </c>
      <c r="C1511">
        <f>IF($A1511=1,SUM($A$2:$A1511),0)</f>
        <v/>
      </c>
    </row>
    <row r="1512">
      <c r="A1512">
        <f>IF(AND(OR('Compliance Database'!$A1512='Data Transfer'!$B$4,'Compliance Database'!$A1512='Data Transfer'!$B$5),OR('Data Transfer'!$B$6="",ISNUMBER(SEARCH('Data Transfer'!$B$6,'Compliance Database'!$D1512&amp;" "&amp;'Compliance Database'!$K1512&amp;" "&amp;'Compliance Database'!$L1512&amp;" "&amp;'Compliance Database'!$M1512&amp;" "&amp;'Compliance Database'!$N1512&amp;" "&amp;'Compliance Database'!$O1512)))),1,0)</f>
        <v/>
      </c>
      <c r="B1512">
        <f>IF($A1512=1,SUM($A$2:$A1512),"")</f>
        <v/>
      </c>
      <c r="C1512">
        <f>IF($A1512=1,SUM($A$2:$A1512),0)</f>
        <v/>
      </c>
    </row>
    <row r="1513">
      <c r="A1513">
        <f>IF(AND(OR('Compliance Database'!$A1513='Data Transfer'!$B$4,'Compliance Database'!$A1513='Data Transfer'!$B$5),OR('Data Transfer'!$B$6="",ISNUMBER(SEARCH('Data Transfer'!$B$6,'Compliance Database'!$D1513&amp;" "&amp;'Compliance Database'!$K1513&amp;" "&amp;'Compliance Database'!$L1513&amp;" "&amp;'Compliance Database'!$M1513&amp;" "&amp;'Compliance Database'!$N1513&amp;" "&amp;'Compliance Database'!$O1513)))),1,0)</f>
        <v/>
      </c>
      <c r="B1513">
        <f>IF($A1513=1,SUM($A$2:$A1513),"")</f>
        <v/>
      </c>
      <c r="C1513">
        <f>IF($A1513=1,SUM($A$2:$A1513),0)</f>
        <v/>
      </c>
    </row>
    <row r="1514">
      <c r="A1514">
        <f>IF(AND(OR('Compliance Database'!$A1514='Data Transfer'!$B$4,'Compliance Database'!$A1514='Data Transfer'!$B$5),OR('Data Transfer'!$B$6="",ISNUMBER(SEARCH('Data Transfer'!$B$6,'Compliance Database'!$D1514&amp;" "&amp;'Compliance Database'!$K1514&amp;" "&amp;'Compliance Database'!$L1514&amp;" "&amp;'Compliance Database'!$M1514&amp;" "&amp;'Compliance Database'!$N1514&amp;" "&amp;'Compliance Database'!$O1514)))),1,0)</f>
        <v/>
      </c>
      <c r="B1514">
        <f>IF($A1514=1,SUM($A$2:$A1514),"")</f>
        <v/>
      </c>
      <c r="C1514">
        <f>IF($A1514=1,SUM($A$2:$A1514),0)</f>
        <v/>
      </c>
    </row>
    <row r="1515">
      <c r="A1515">
        <f>IF(AND(OR('Compliance Database'!$A1515='Data Transfer'!$B$4,'Compliance Database'!$A1515='Data Transfer'!$B$5),OR('Data Transfer'!$B$6="",ISNUMBER(SEARCH('Data Transfer'!$B$6,'Compliance Database'!$D1515&amp;" "&amp;'Compliance Database'!$K1515&amp;" "&amp;'Compliance Database'!$L1515&amp;" "&amp;'Compliance Database'!$M1515&amp;" "&amp;'Compliance Database'!$N1515&amp;" "&amp;'Compliance Database'!$O1515)))),1,0)</f>
        <v/>
      </c>
      <c r="B1515">
        <f>IF($A1515=1,SUM($A$2:$A1515),"")</f>
        <v/>
      </c>
      <c r="C1515">
        <f>IF($A1515=1,SUM($A$2:$A1515),0)</f>
        <v/>
      </c>
    </row>
    <row r="1516">
      <c r="A1516">
        <f>IF(AND(OR('Compliance Database'!$A1516='Data Transfer'!$B$4,'Compliance Database'!$A1516='Data Transfer'!$B$5),OR('Data Transfer'!$B$6="",ISNUMBER(SEARCH('Data Transfer'!$B$6,'Compliance Database'!$D1516&amp;" "&amp;'Compliance Database'!$K1516&amp;" "&amp;'Compliance Database'!$L1516&amp;" "&amp;'Compliance Database'!$M1516&amp;" "&amp;'Compliance Database'!$N1516&amp;" "&amp;'Compliance Database'!$O1516)))),1,0)</f>
        <v/>
      </c>
      <c r="B1516">
        <f>IF($A1516=1,SUM($A$2:$A1516),"")</f>
        <v/>
      </c>
      <c r="C1516">
        <f>IF($A1516=1,SUM($A$2:$A1516),0)</f>
        <v/>
      </c>
    </row>
    <row r="1517">
      <c r="A1517">
        <f>IF(AND(OR('Compliance Database'!$A1517='Data Transfer'!$B$4,'Compliance Database'!$A1517='Data Transfer'!$B$5),OR('Data Transfer'!$B$6="",ISNUMBER(SEARCH('Data Transfer'!$B$6,'Compliance Database'!$D1517&amp;" "&amp;'Compliance Database'!$K1517&amp;" "&amp;'Compliance Database'!$L1517&amp;" "&amp;'Compliance Database'!$M1517&amp;" "&amp;'Compliance Database'!$N1517&amp;" "&amp;'Compliance Database'!$O1517)))),1,0)</f>
        <v/>
      </c>
      <c r="B1517">
        <f>IF($A1517=1,SUM($A$2:$A1517),"")</f>
        <v/>
      </c>
      <c r="C1517">
        <f>IF($A1517=1,SUM($A$2:$A1517),0)</f>
        <v/>
      </c>
    </row>
    <row r="1518">
      <c r="A1518">
        <f>IF(AND(OR('Compliance Database'!$A1518='Data Transfer'!$B$4,'Compliance Database'!$A1518='Data Transfer'!$B$5),OR('Data Transfer'!$B$6="",ISNUMBER(SEARCH('Data Transfer'!$B$6,'Compliance Database'!$D1518&amp;" "&amp;'Compliance Database'!$K1518&amp;" "&amp;'Compliance Database'!$L1518&amp;" "&amp;'Compliance Database'!$M1518&amp;" "&amp;'Compliance Database'!$N1518&amp;" "&amp;'Compliance Database'!$O1518)))),1,0)</f>
        <v/>
      </c>
      <c r="B1518">
        <f>IF($A1518=1,SUM($A$2:$A1518),"")</f>
        <v/>
      </c>
      <c r="C1518">
        <f>IF($A1518=1,SUM($A$2:$A1518),0)</f>
        <v/>
      </c>
    </row>
    <row r="1519">
      <c r="A1519">
        <f>IF(AND(OR('Compliance Database'!$A1519='Data Transfer'!$B$4,'Compliance Database'!$A1519='Data Transfer'!$B$5),OR('Data Transfer'!$B$6="",ISNUMBER(SEARCH('Data Transfer'!$B$6,'Compliance Database'!$D1519&amp;" "&amp;'Compliance Database'!$K1519&amp;" "&amp;'Compliance Database'!$L1519&amp;" "&amp;'Compliance Database'!$M1519&amp;" "&amp;'Compliance Database'!$N1519&amp;" "&amp;'Compliance Database'!$O1519)))),1,0)</f>
        <v/>
      </c>
      <c r="B1519">
        <f>IF($A1519=1,SUM($A$2:$A1519),"")</f>
        <v/>
      </c>
      <c r="C1519">
        <f>IF($A1519=1,SUM($A$2:$A1519),0)</f>
        <v/>
      </c>
    </row>
    <row r="1520">
      <c r="A1520">
        <f>IF(AND(OR('Compliance Database'!$A1520='Data Transfer'!$B$4,'Compliance Database'!$A1520='Data Transfer'!$B$5),OR('Data Transfer'!$B$6="",ISNUMBER(SEARCH('Data Transfer'!$B$6,'Compliance Database'!$D1520&amp;" "&amp;'Compliance Database'!$K1520&amp;" "&amp;'Compliance Database'!$L1520&amp;" "&amp;'Compliance Database'!$M1520&amp;" "&amp;'Compliance Database'!$N1520&amp;" "&amp;'Compliance Database'!$O1520)))),1,0)</f>
        <v/>
      </c>
      <c r="B1520">
        <f>IF($A1520=1,SUM($A$2:$A1520),"")</f>
        <v/>
      </c>
      <c r="C1520">
        <f>IF($A1520=1,SUM($A$2:$A1520),0)</f>
        <v/>
      </c>
    </row>
    <row r="1521">
      <c r="A1521">
        <f>IF(AND(OR('Compliance Database'!$A1521='Data Transfer'!$B$4,'Compliance Database'!$A1521='Data Transfer'!$B$5),OR('Data Transfer'!$B$6="",ISNUMBER(SEARCH('Data Transfer'!$B$6,'Compliance Database'!$D1521&amp;" "&amp;'Compliance Database'!$K1521&amp;" "&amp;'Compliance Database'!$L1521&amp;" "&amp;'Compliance Database'!$M1521&amp;" "&amp;'Compliance Database'!$N1521&amp;" "&amp;'Compliance Database'!$O1521)))),1,0)</f>
        <v/>
      </c>
      <c r="B1521">
        <f>IF($A1521=1,SUM($A$2:$A1521),"")</f>
        <v/>
      </c>
      <c r="C1521">
        <f>IF($A1521=1,SUM($A$2:$A1521),0)</f>
        <v/>
      </c>
    </row>
    <row r="1522">
      <c r="A1522">
        <f>IF(AND(OR('Compliance Database'!$A1522='Data Transfer'!$B$4,'Compliance Database'!$A1522='Data Transfer'!$B$5),OR('Data Transfer'!$B$6="",ISNUMBER(SEARCH('Data Transfer'!$B$6,'Compliance Database'!$D1522&amp;" "&amp;'Compliance Database'!$K1522&amp;" "&amp;'Compliance Database'!$L1522&amp;" "&amp;'Compliance Database'!$M1522&amp;" "&amp;'Compliance Database'!$N1522&amp;" "&amp;'Compliance Database'!$O1522)))),1,0)</f>
        <v/>
      </c>
      <c r="B1522">
        <f>IF($A1522=1,SUM($A$2:$A1522),"")</f>
        <v/>
      </c>
      <c r="C1522">
        <f>IF($A1522=1,SUM($A$2:$A1522),0)</f>
        <v/>
      </c>
    </row>
    <row r="1523">
      <c r="A1523">
        <f>IF(AND(OR('Compliance Database'!$A1523='Data Transfer'!$B$4,'Compliance Database'!$A1523='Data Transfer'!$B$5),OR('Data Transfer'!$B$6="",ISNUMBER(SEARCH('Data Transfer'!$B$6,'Compliance Database'!$D1523&amp;" "&amp;'Compliance Database'!$K1523&amp;" "&amp;'Compliance Database'!$L1523&amp;" "&amp;'Compliance Database'!$M1523&amp;" "&amp;'Compliance Database'!$N1523&amp;" "&amp;'Compliance Database'!$O1523)))),1,0)</f>
        <v/>
      </c>
      <c r="B1523">
        <f>IF($A1523=1,SUM($A$2:$A1523),"")</f>
        <v/>
      </c>
      <c r="C1523">
        <f>IF($A1523=1,SUM($A$2:$A1523),0)</f>
        <v/>
      </c>
    </row>
    <row r="1524">
      <c r="A1524">
        <f>IF(AND(OR('Compliance Database'!$A1524='Data Transfer'!$B$4,'Compliance Database'!$A1524='Data Transfer'!$B$5),OR('Data Transfer'!$B$6="",ISNUMBER(SEARCH('Data Transfer'!$B$6,'Compliance Database'!$D1524&amp;" "&amp;'Compliance Database'!$K1524&amp;" "&amp;'Compliance Database'!$L1524&amp;" "&amp;'Compliance Database'!$M1524&amp;" "&amp;'Compliance Database'!$N1524&amp;" "&amp;'Compliance Database'!$O1524)))),1,0)</f>
        <v/>
      </c>
      <c r="B1524">
        <f>IF($A1524=1,SUM($A$2:$A1524),"")</f>
        <v/>
      </c>
      <c r="C1524">
        <f>IF($A1524=1,SUM($A$2:$A1524),0)</f>
        <v/>
      </c>
    </row>
    <row r="1525">
      <c r="A1525">
        <f>IF(AND(OR('Compliance Database'!$A1525='Data Transfer'!$B$4,'Compliance Database'!$A1525='Data Transfer'!$B$5),OR('Data Transfer'!$B$6="",ISNUMBER(SEARCH('Data Transfer'!$B$6,'Compliance Database'!$D1525&amp;" "&amp;'Compliance Database'!$K1525&amp;" "&amp;'Compliance Database'!$L1525&amp;" "&amp;'Compliance Database'!$M1525&amp;" "&amp;'Compliance Database'!$N1525&amp;" "&amp;'Compliance Database'!$O1525)))),1,0)</f>
        <v/>
      </c>
      <c r="B1525">
        <f>IF($A1525=1,SUM($A$2:$A1525),"")</f>
        <v/>
      </c>
      <c r="C1525">
        <f>IF($A1525=1,SUM($A$2:$A1525),0)</f>
        <v/>
      </c>
    </row>
    <row r="1526">
      <c r="A1526">
        <f>IF(AND(OR('Compliance Database'!$A1526='Data Transfer'!$B$4,'Compliance Database'!$A1526='Data Transfer'!$B$5),OR('Data Transfer'!$B$6="",ISNUMBER(SEARCH('Data Transfer'!$B$6,'Compliance Database'!$D1526&amp;" "&amp;'Compliance Database'!$K1526&amp;" "&amp;'Compliance Database'!$L1526&amp;" "&amp;'Compliance Database'!$M1526&amp;" "&amp;'Compliance Database'!$N1526&amp;" "&amp;'Compliance Database'!$O1526)))),1,0)</f>
        <v/>
      </c>
      <c r="B1526">
        <f>IF($A1526=1,SUM($A$2:$A1526),"")</f>
        <v/>
      </c>
      <c r="C1526">
        <f>IF($A1526=1,SUM($A$2:$A1526),0)</f>
        <v/>
      </c>
    </row>
    <row r="1527">
      <c r="A1527">
        <f>IF(AND(OR('Compliance Database'!$A1527='Data Transfer'!$B$4,'Compliance Database'!$A1527='Data Transfer'!$B$5),OR('Data Transfer'!$B$6="",ISNUMBER(SEARCH('Data Transfer'!$B$6,'Compliance Database'!$D1527&amp;" "&amp;'Compliance Database'!$K1527&amp;" "&amp;'Compliance Database'!$L1527&amp;" "&amp;'Compliance Database'!$M1527&amp;" "&amp;'Compliance Database'!$N1527&amp;" "&amp;'Compliance Database'!$O1527)))),1,0)</f>
        <v/>
      </c>
      <c r="B1527">
        <f>IF($A1527=1,SUM($A$2:$A1527),"")</f>
        <v/>
      </c>
      <c r="C1527">
        <f>IF($A1527=1,SUM($A$2:$A1527),0)</f>
        <v/>
      </c>
    </row>
    <row r="1528">
      <c r="A1528">
        <f>IF(AND(OR('Compliance Database'!$A1528='Data Transfer'!$B$4,'Compliance Database'!$A1528='Data Transfer'!$B$5),OR('Data Transfer'!$B$6="",ISNUMBER(SEARCH('Data Transfer'!$B$6,'Compliance Database'!$D1528&amp;" "&amp;'Compliance Database'!$K1528&amp;" "&amp;'Compliance Database'!$L1528&amp;" "&amp;'Compliance Database'!$M1528&amp;" "&amp;'Compliance Database'!$N1528&amp;" "&amp;'Compliance Database'!$O1528)))),1,0)</f>
        <v/>
      </c>
      <c r="B1528">
        <f>IF($A1528=1,SUM($A$2:$A1528),"")</f>
        <v/>
      </c>
      <c r="C1528">
        <f>IF($A1528=1,SUM($A$2:$A1528),0)</f>
        <v/>
      </c>
    </row>
    <row r="1529">
      <c r="A1529">
        <f>IF(AND(OR('Compliance Database'!$A1529='Data Transfer'!$B$4,'Compliance Database'!$A1529='Data Transfer'!$B$5),OR('Data Transfer'!$B$6="",ISNUMBER(SEARCH('Data Transfer'!$B$6,'Compliance Database'!$D1529&amp;" "&amp;'Compliance Database'!$K1529&amp;" "&amp;'Compliance Database'!$L1529&amp;" "&amp;'Compliance Database'!$M1529&amp;" "&amp;'Compliance Database'!$N1529&amp;" "&amp;'Compliance Database'!$O1529)))),1,0)</f>
        <v/>
      </c>
      <c r="B1529">
        <f>IF($A1529=1,SUM($A$2:$A1529),"")</f>
        <v/>
      </c>
      <c r="C1529">
        <f>IF($A1529=1,SUM($A$2:$A1529),0)</f>
        <v/>
      </c>
    </row>
    <row r="1530">
      <c r="A1530">
        <f>IF(AND(OR('Compliance Database'!$A1530='Data Transfer'!$B$4,'Compliance Database'!$A1530='Data Transfer'!$B$5),OR('Data Transfer'!$B$6="",ISNUMBER(SEARCH('Data Transfer'!$B$6,'Compliance Database'!$D1530&amp;" "&amp;'Compliance Database'!$K1530&amp;" "&amp;'Compliance Database'!$L1530&amp;" "&amp;'Compliance Database'!$M1530&amp;" "&amp;'Compliance Database'!$N1530&amp;" "&amp;'Compliance Database'!$O1530)))),1,0)</f>
        <v/>
      </c>
      <c r="B1530">
        <f>IF($A1530=1,SUM($A$2:$A1530),"")</f>
        <v/>
      </c>
      <c r="C1530">
        <f>IF($A1530=1,SUM($A$2:$A1530),0)</f>
        <v/>
      </c>
    </row>
    <row r="1531">
      <c r="A1531">
        <f>IF(AND(OR('Compliance Database'!$A1531='Data Transfer'!$B$4,'Compliance Database'!$A1531='Data Transfer'!$B$5),OR('Data Transfer'!$B$6="",ISNUMBER(SEARCH('Data Transfer'!$B$6,'Compliance Database'!$D1531&amp;" "&amp;'Compliance Database'!$K1531&amp;" "&amp;'Compliance Database'!$L1531&amp;" "&amp;'Compliance Database'!$M1531&amp;" "&amp;'Compliance Database'!$N1531&amp;" "&amp;'Compliance Database'!$O1531)))),1,0)</f>
        <v/>
      </c>
      <c r="B1531">
        <f>IF($A1531=1,SUM($A$2:$A1531),"")</f>
        <v/>
      </c>
      <c r="C1531">
        <f>IF($A1531=1,SUM($A$2:$A1531),0)</f>
        <v/>
      </c>
    </row>
    <row r="1532">
      <c r="A1532">
        <f>IF(AND(OR('Compliance Database'!$A1532='Data Transfer'!$B$4,'Compliance Database'!$A1532='Data Transfer'!$B$5),OR('Data Transfer'!$B$6="",ISNUMBER(SEARCH('Data Transfer'!$B$6,'Compliance Database'!$D1532&amp;" "&amp;'Compliance Database'!$K1532&amp;" "&amp;'Compliance Database'!$L1532&amp;" "&amp;'Compliance Database'!$M1532&amp;" "&amp;'Compliance Database'!$N1532&amp;" "&amp;'Compliance Database'!$O1532)))),1,0)</f>
        <v/>
      </c>
      <c r="B1532">
        <f>IF($A1532=1,SUM($A$2:$A1532),"")</f>
        <v/>
      </c>
      <c r="C1532">
        <f>IF($A1532=1,SUM($A$2:$A1532),0)</f>
        <v/>
      </c>
    </row>
    <row r="1533">
      <c r="A1533">
        <f>IF(AND(OR('Compliance Database'!$A1533='Data Transfer'!$B$4,'Compliance Database'!$A1533='Data Transfer'!$B$5),OR('Data Transfer'!$B$6="",ISNUMBER(SEARCH('Data Transfer'!$B$6,'Compliance Database'!$D1533&amp;" "&amp;'Compliance Database'!$K1533&amp;" "&amp;'Compliance Database'!$L1533&amp;" "&amp;'Compliance Database'!$M1533&amp;" "&amp;'Compliance Database'!$N1533&amp;" "&amp;'Compliance Database'!$O1533)))),1,0)</f>
        <v/>
      </c>
      <c r="B1533">
        <f>IF($A1533=1,SUM($A$2:$A1533),"")</f>
        <v/>
      </c>
      <c r="C1533">
        <f>IF($A1533=1,SUM($A$2:$A1533),0)</f>
        <v/>
      </c>
    </row>
    <row r="1534">
      <c r="A1534">
        <f>IF(AND(OR('Compliance Database'!$A1534='Data Transfer'!$B$4,'Compliance Database'!$A1534='Data Transfer'!$B$5),OR('Data Transfer'!$B$6="",ISNUMBER(SEARCH('Data Transfer'!$B$6,'Compliance Database'!$D1534&amp;" "&amp;'Compliance Database'!$K1534&amp;" "&amp;'Compliance Database'!$L1534&amp;" "&amp;'Compliance Database'!$M1534&amp;" "&amp;'Compliance Database'!$N1534&amp;" "&amp;'Compliance Database'!$O1534)))),1,0)</f>
        <v/>
      </c>
      <c r="B1534">
        <f>IF($A1534=1,SUM($A$2:$A1534),"")</f>
        <v/>
      </c>
      <c r="C1534">
        <f>IF($A1534=1,SUM($A$2:$A1534),0)</f>
        <v/>
      </c>
    </row>
    <row r="1535">
      <c r="A1535">
        <f>IF(AND(OR('Compliance Database'!$A1535='Data Transfer'!$B$4,'Compliance Database'!$A1535='Data Transfer'!$B$5),OR('Data Transfer'!$B$6="",ISNUMBER(SEARCH('Data Transfer'!$B$6,'Compliance Database'!$D1535&amp;" "&amp;'Compliance Database'!$K1535&amp;" "&amp;'Compliance Database'!$L1535&amp;" "&amp;'Compliance Database'!$M1535&amp;" "&amp;'Compliance Database'!$N1535&amp;" "&amp;'Compliance Database'!$O1535)))),1,0)</f>
        <v/>
      </c>
      <c r="B1535">
        <f>IF($A1535=1,SUM($A$2:$A1535),"")</f>
        <v/>
      </c>
      <c r="C1535">
        <f>IF($A1535=1,SUM($A$2:$A1535),0)</f>
        <v/>
      </c>
    </row>
    <row r="1536">
      <c r="A1536">
        <f>IF(AND(OR('Compliance Database'!$A1536='Data Transfer'!$B$4,'Compliance Database'!$A1536='Data Transfer'!$B$5),OR('Data Transfer'!$B$6="",ISNUMBER(SEARCH('Data Transfer'!$B$6,'Compliance Database'!$D1536&amp;" "&amp;'Compliance Database'!$K1536&amp;" "&amp;'Compliance Database'!$L1536&amp;" "&amp;'Compliance Database'!$M1536&amp;" "&amp;'Compliance Database'!$N1536&amp;" "&amp;'Compliance Database'!$O1536)))),1,0)</f>
        <v/>
      </c>
      <c r="B1536">
        <f>IF($A1536=1,SUM($A$2:$A1536),"")</f>
        <v/>
      </c>
      <c r="C1536">
        <f>IF($A1536=1,SUM($A$2:$A1536),0)</f>
        <v/>
      </c>
    </row>
    <row r="1537">
      <c r="A1537">
        <f>IF(AND(OR('Compliance Database'!$A1537='Data Transfer'!$B$4,'Compliance Database'!$A1537='Data Transfer'!$B$5),OR('Data Transfer'!$B$6="",ISNUMBER(SEARCH('Data Transfer'!$B$6,'Compliance Database'!$D1537&amp;" "&amp;'Compliance Database'!$K1537&amp;" "&amp;'Compliance Database'!$L1537&amp;" "&amp;'Compliance Database'!$M1537&amp;" "&amp;'Compliance Database'!$N1537&amp;" "&amp;'Compliance Database'!$O1537)))),1,0)</f>
        <v/>
      </c>
      <c r="B1537">
        <f>IF($A1537=1,SUM($A$2:$A1537),"")</f>
        <v/>
      </c>
      <c r="C1537">
        <f>IF($A1537=1,SUM($A$2:$A1537),0)</f>
        <v/>
      </c>
    </row>
    <row r="1538">
      <c r="A1538">
        <f>IF(AND(OR('Compliance Database'!$A1538='Data Transfer'!$B$4,'Compliance Database'!$A1538='Data Transfer'!$B$5),OR('Data Transfer'!$B$6="",ISNUMBER(SEARCH('Data Transfer'!$B$6,'Compliance Database'!$D1538&amp;" "&amp;'Compliance Database'!$K1538&amp;" "&amp;'Compliance Database'!$L1538&amp;" "&amp;'Compliance Database'!$M1538&amp;" "&amp;'Compliance Database'!$N1538&amp;" "&amp;'Compliance Database'!$O1538)))),1,0)</f>
        <v/>
      </c>
      <c r="B1538">
        <f>IF($A1538=1,SUM($A$2:$A1538),"")</f>
        <v/>
      </c>
      <c r="C1538">
        <f>IF($A1538=1,SUM($A$2:$A1538),0)</f>
        <v/>
      </c>
    </row>
    <row r="1539">
      <c r="A1539">
        <f>IF(AND(OR('Compliance Database'!$A1539='Data Transfer'!$B$4,'Compliance Database'!$A1539='Data Transfer'!$B$5),OR('Data Transfer'!$B$6="",ISNUMBER(SEARCH('Data Transfer'!$B$6,'Compliance Database'!$D1539&amp;" "&amp;'Compliance Database'!$K1539&amp;" "&amp;'Compliance Database'!$L1539&amp;" "&amp;'Compliance Database'!$M1539&amp;" "&amp;'Compliance Database'!$N1539&amp;" "&amp;'Compliance Database'!$O1539)))),1,0)</f>
        <v/>
      </c>
      <c r="B1539">
        <f>IF($A1539=1,SUM($A$2:$A1539),"")</f>
        <v/>
      </c>
      <c r="C1539">
        <f>IF($A1539=1,SUM($A$2:$A1539),0)</f>
        <v/>
      </c>
    </row>
    <row r="1540">
      <c r="A1540">
        <f>IF(AND(OR('Compliance Database'!$A1540='Data Transfer'!$B$4,'Compliance Database'!$A1540='Data Transfer'!$B$5),OR('Data Transfer'!$B$6="",ISNUMBER(SEARCH('Data Transfer'!$B$6,'Compliance Database'!$D1540&amp;" "&amp;'Compliance Database'!$K1540&amp;" "&amp;'Compliance Database'!$L1540&amp;" "&amp;'Compliance Database'!$M1540&amp;" "&amp;'Compliance Database'!$N1540&amp;" "&amp;'Compliance Database'!$O1540)))),1,0)</f>
        <v/>
      </c>
      <c r="B1540">
        <f>IF($A1540=1,SUM($A$2:$A1540),"")</f>
        <v/>
      </c>
      <c r="C1540">
        <f>IF($A1540=1,SUM($A$2:$A1540),0)</f>
        <v/>
      </c>
    </row>
    <row r="1541">
      <c r="A1541">
        <f>IF(AND(OR('Compliance Database'!$A1541='Data Transfer'!$B$4,'Compliance Database'!$A1541='Data Transfer'!$B$5),OR('Data Transfer'!$B$6="",ISNUMBER(SEARCH('Data Transfer'!$B$6,'Compliance Database'!$D1541&amp;" "&amp;'Compliance Database'!$K1541&amp;" "&amp;'Compliance Database'!$L1541&amp;" "&amp;'Compliance Database'!$M1541&amp;" "&amp;'Compliance Database'!$N1541&amp;" "&amp;'Compliance Database'!$O1541)))),1,0)</f>
        <v/>
      </c>
      <c r="B1541">
        <f>IF($A1541=1,SUM($A$2:$A1541),"")</f>
        <v/>
      </c>
      <c r="C1541">
        <f>IF($A1541=1,SUM($A$2:$A1541),0)</f>
        <v/>
      </c>
    </row>
    <row r="1542">
      <c r="A1542">
        <f>IF(AND(OR('Compliance Database'!$A1542='Data Transfer'!$B$4,'Compliance Database'!$A1542='Data Transfer'!$B$5),OR('Data Transfer'!$B$6="",ISNUMBER(SEARCH('Data Transfer'!$B$6,'Compliance Database'!$D1542&amp;" "&amp;'Compliance Database'!$K1542&amp;" "&amp;'Compliance Database'!$L1542&amp;" "&amp;'Compliance Database'!$M1542&amp;" "&amp;'Compliance Database'!$N1542&amp;" "&amp;'Compliance Database'!$O1542)))),1,0)</f>
        <v/>
      </c>
      <c r="B1542">
        <f>IF($A1542=1,SUM($A$2:$A1542),"")</f>
        <v/>
      </c>
      <c r="C1542">
        <f>IF($A1542=1,SUM($A$2:$A1542),0)</f>
        <v/>
      </c>
    </row>
    <row r="1543">
      <c r="A1543">
        <f>IF(AND(OR('Compliance Database'!$A1543='Data Transfer'!$B$4,'Compliance Database'!$A1543='Data Transfer'!$B$5),OR('Data Transfer'!$B$6="",ISNUMBER(SEARCH('Data Transfer'!$B$6,'Compliance Database'!$D1543&amp;" "&amp;'Compliance Database'!$K1543&amp;" "&amp;'Compliance Database'!$L1543&amp;" "&amp;'Compliance Database'!$M1543&amp;" "&amp;'Compliance Database'!$N1543&amp;" "&amp;'Compliance Database'!$O1543)))),1,0)</f>
        <v/>
      </c>
      <c r="B1543">
        <f>IF($A1543=1,SUM($A$2:$A1543),"")</f>
        <v/>
      </c>
      <c r="C1543">
        <f>IF($A1543=1,SUM($A$2:$A1543),0)</f>
        <v/>
      </c>
    </row>
    <row r="1544">
      <c r="A1544">
        <f>IF(AND(OR('Compliance Database'!$A1544='Data Transfer'!$B$4,'Compliance Database'!$A1544='Data Transfer'!$B$5),OR('Data Transfer'!$B$6="",ISNUMBER(SEARCH('Data Transfer'!$B$6,'Compliance Database'!$D1544&amp;" "&amp;'Compliance Database'!$K1544&amp;" "&amp;'Compliance Database'!$L1544&amp;" "&amp;'Compliance Database'!$M1544&amp;" "&amp;'Compliance Database'!$N1544&amp;" "&amp;'Compliance Database'!$O1544)))),1,0)</f>
        <v/>
      </c>
      <c r="B1544">
        <f>IF($A1544=1,SUM($A$2:$A1544),"")</f>
        <v/>
      </c>
      <c r="C1544">
        <f>IF($A1544=1,SUM($A$2:$A1544),0)</f>
        <v/>
      </c>
    </row>
    <row r="1545">
      <c r="A1545">
        <f>IF(AND(OR('Compliance Database'!$A1545='Data Transfer'!$B$4,'Compliance Database'!$A1545='Data Transfer'!$B$5),OR('Data Transfer'!$B$6="",ISNUMBER(SEARCH('Data Transfer'!$B$6,'Compliance Database'!$D1545&amp;" "&amp;'Compliance Database'!$K1545&amp;" "&amp;'Compliance Database'!$L1545&amp;" "&amp;'Compliance Database'!$M1545&amp;" "&amp;'Compliance Database'!$N1545&amp;" "&amp;'Compliance Database'!$O1545)))),1,0)</f>
        <v/>
      </c>
      <c r="B1545">
        <f>IF($A1545=1,SUM($A$2:$A1545),"")</f>
        <v/>
      </c>
      <c r="C1545">
        <f>IF($A1545=1,SUM($A$2:$A1545),0)</f>
        <v/>
      </c>
    </row>
    <row r="1546">
      <c r="A1546">
        <f>IF(AND(OR('Compliance Database'!$A1546='Data Transfer'!$B$4,'Compliance Database'!$A1546='Data Transfer'!$B$5),OR('Data Transfer'!$B$6="",ISNUMBER(SEARCH('Data Transfer'!$B$6,'Compliance Database'!$D1546&amp;" "&amp;'Compliance Database'!$K1546&amp;" "&amp;'Compliance Database'!$L1546&amp;" "&amp;'Compliance Database'!$M1546&amp;" "&amp;'Compliance Database'!$N1546&amp;" "&amp;'Compliance Database'!$O1546)))),1,0)</f>
        <v/>
      </c>
      <c r="B1546">
        <f>IF($A1546=1,SUM($A$2:$A1546),"")</f>
        <v/>
      </c>
      <c r="C1546">
        <f>IF($A1546=1,SUM($A$2:$A1546),0)</f>
        <v/>
      </c>
    </row>
    <row r="1547">
      <c r="A1547">
        <f>IF(AND(OR('Compliance Database'!$A1547='Data Transfer'!$B$4,'Compliance Database'!$A1547='Data Transfer'!$B$5),OR('Data Transfer'!$B$6="",ISNUMBER(SEARCH('Data Transfer'!$B$6,'Compliance Database'!$D1547&amp;" "&amp;'Compliance Database'!$K1547&amp;" "&amp;'Compliance Database'!$L1547&amp;" "&amp;'Compliance Database'!$M1547&amp;" "&amp;'Compliance Database'!$N1547&amp;" "&amp;'Compliance Database'!$O1547)))),1,0)</f>
        <v/>
      </c>
      <c r="B1547">
        <f>IF($A1547=1,SUM($A$2:$A1547),"")</f>
        <v/>
      </c>
      <c r="C1547">
        <f>IF($A1547=1,SUM($A$2:$A1547),0)</f>
        <v/>
      </c>
    </row>
    <row r="1548">
      <c r="A1548">
        <f>IF(AND(OR('Compliance Database'!$A1548='Data Transfer'!$B$4,'Compliance Database'!$A1548='Data Transfer'!$B$5),OR('Data Transfer'!$B$6="",ISNUMBER(SEARCH('Data Transfer'!$B$6,'Compliance Database'!$D1548&amp;" "&amp;'Compliance Database'!$K1548&amp;" "&amp;'Compliance Database'!$L1548&amp;" "&amp;'Compliance Database'!$M1548&amp;" "&amp;'Compliance Database'!$N1548&amp;" "&amp;'Compliance Database'!$O1548)))),1,0)</f>
        <v/>
      </c>
      <c r="B1548">
        <f>IF($A1548=1,SUM($A$2:$A1548),"")</f>
        <v/>
      </c>
      <c r="C1548">
        <f>IF($A1548=1,SUM($A$2:$A1548),0)</f>
        <v/>
      </c>
    </row>
    <row r="1549">
      <c r="A1549">
        <f>IF(AND(OR('Compliance Database'!$A1549='Data Transfer'!$B$4,'Compliance Database'!$A1549='Data Transfer'!$B$5),OR('Data Transfer'!$B$6="",ISNUMBER(SEARCH('Data Transfer'!$B$6,'Compliance Database'!$D1549&amp;" "&amp;'Compliance Database'!$K1549&amp;" "&amp;'Compliance Database'!$L1549&amp;" "&amp;'Compliance Database'!$M1549&amp;" "&amp;'Compliance Database'!$N1549&amp;" "&amp;'Compliance Database'!$O1549)))),1,0)</f>
        <v/>
      </c>
      <c r="B1549">
        <f>IF($A1549=1,SUM($A$2:$A1549),"")</f>
        <v/>
      </c>
      <c r="C1549">
        <f>IF($A1549=1,SUM($A$2:$A1549),0)</f>
        <v/>
      </c>
    </row>
    <row r="1550">
      <c r="A1550">
        <f>IF(AND(OR('Compliance Database'!$A1550='Data Transfer'!$B$4,'Compliance Database'!$A1550='Data Transfer'!$B$5),OR('Data Transfer'!$B$6="",ISNUMBER(SEARCH('Data Transfer'!$B$6,'Compliance Database'!$D1550&amp;" "&amp;'Compliance Database'!$K1550&amp;" "&amp;'Compliance Database'!$L1550&amp;" "&amp;'Compliance Database'!$M1550&amp;" "&amp;'Compliance Database'!$N1550&amp;" "&amp;'Compliance Database'!$O1550)))),1,0)</f>
        <v/>
      </c>
      <c r="B1550">
        <f>IF($A1550=1,SUM($A$2:$A1550),"")</f>
        <v/>
      </c>
      <c r="C1550">
        <f>IF($A1550=1,SUM($A$2:$A1550),0)</f>
        <v/>
      </c>
    </row>
    <row r="1551">
      <c r="A1551">
        <f>IF(AND(OR('Compliance Database'!$A1551='Data Transfer'!$B$4,'Compliance Database'!$A1551='Data Transfer'!$B$5),OR('Data Transfer'!$B$6="",ISNUMBER(SEARCH('Data Transfer'!$B$6,'Compliance Database'!$D1551&amp;" "&amp;'Compliance Database'!$K1551&amp;" "&amp;'Compliance Database'!$L1551&amp;" "&amp;'Compliance Database'!$M1551&amp;" "&amp;'Compliance Database'!$N1551&amp;" "&amp;'Compliance Database'!$O1551)))),1,0)</f>
        <v/>
      </c>
      <c r="B1551">
        <f>IF($A1551=1,SUM($A$2:$A1551),"")</f>
        <v/>
      </c>
      <c r="C1551">
        <f>IF($A1551=1,SUM($A$2:$A1551),0)</f>
        <v/>
      </c>
    </row>
    <row r="1552">
      <c r="A1552">
        <f>IF(AND(OR('Compliance Database'!$A1552='Data Transfer'!$B$4,'Compliance Database'!$A1552='Data Transfer'!$B$5),OR('Data Transfer'!$B$6="",ISNUMBER(SEARCH('Data Transfer'!$B$6,'Compliance Database'!$D1552&amp;" "&amp;'Compliance Database'!$K1552&amp;" "&amp;'Compliance Database'!$L1552&amp;" "&amp;'Compliance Database'!$M1552&amp;" "&amp;'Compliance Database'!$N1552&amp;" "&amp;'Compliance Database'!$O1552)))),1,0)</f>
        <v/>
      </c>
      <c r="B1552">
        <f>IF($A1552=1,SUM($A$2:$A1552),"")</f>
        <v/>
      </c>
      <c r="C1552">
        <f>IF($A1552=1,SUM($A$2:$A1552),0)</f>
        <v/>
      </c>
    </row>
    <row r="1553">
      <c r="A1553">
        <f>IF(AND(OR('Compliance Database'!$A1553='Data Transfer'!$B$4,'Compliance Database'!$A1553='Data Transfer'!$B$5),OR('Data Transfer'!$B$6="",ISNUMBER(SEARCH('Data Transfer'!$B$6,'Compliance Database'!$D1553&amp;" "&amp;'Compliance Database'!$K1553&amp;" "&amp;'Compliance Database'!$L1553&amp;" "&amp;'Compliance Database'!$M1553&amp;" "&amp;'Compliance Database'!$N1553&amp;" "&amp;'Compliance Database'!$O1553)))),1,0)</f>
        <v/>
      </c>
      <c r="B1553">
        <f>IF($A1553=1,SUM($A$2:$A1553),"")</f>
        <v/>
      </c>
      <c r="C1553">
        <f>IF($A1553=1,SUM($A$2:$A1553),0)</f>
        <v/>
      </c>
    </row>
    <row r="1554">
      <c r="A1554">
        <f>IF(AND(OR('Compliance Database'!$A1554='Data Transfer'!$B$4,'Compliance Database'!$A1554='Data Transfer'!$B$5),OR('Data Transfer'!$B$6="",ISNUMBER(SEARCH('Data Transfer'!$B$6,'Compliance Database'!$D1554&amp;" "&amp;'Compliance Database'!$K1554&amp;" "&amp;'Compliance Database'!$L1554&amp;" "&amp;'Compliance Database'!$M1554&amp;" "&amp;'Compliance Database'!$N1554&amp;" "&amp;'Compliance Database'!$O1554)))),1,0)</f>
        <v/>
      </c>
      <c r="B1554">
        <f>IF($A1554=1,SUM($A$2:$A1554),"")</f>
        <v/>
      </c>
      <c r="C1554">
        <f>IF($A1554=1,SUM($A$2:$A1554),0)</f>
        <v/>
      </c>
    </row>
    <row r="1555">
      <c r="A1555">
        <f>IF(AND(OR('Compliance Database'!$A1555='Data Transfer'!$B$4,'Compliance Database'!$A1555='Data Transfer'!$B$5),OR('Data Transfer'!$B$6="",ISNUMBER(SEARCH('Data Transfer'!$B$6,'Compliance Database'!$D1555&amp;" "&amp;'Compliance Database'!$K1555&amp;" "&amp;'Compliance Database'!$L1555&amp;" "&amp;'Compliance Database'!$M1555&amp;" "&amp;'Compliance Database'!$N1555&amp;" "&amp;'Compliance Database'!$O1555)))),1,0)</f>
        <v/>
      </c>
      <c r="B1555">
        <f>IF($A1555=1,SUM($A$2:$A1555),"")</f>
        <v/>
      </c>
      <c r="C1555">
        <f>IF($A1555=1,SUM($A$2:$A1555),0)</f>
        <v/>
      </c>
    </row>
    <row r="1556">
      <c r="A1556">
        <f>IF(AND(OR('Compliance Database'!$A1556='Data Transfer'!$B$4,'Compliance Database'!$A1556='Data Transfer'!$B$5),OR('Data Transfer'!$B$6="",ISNUMBER(SEARCH('Data Transfer'!$B$6,'Compliance Database'!$D1556&amp;" "&amp;'Compliance Database'!$K1556&amp;" "&amp;'Compliance Database'!$L1556&amp;" "&amp;'Compliance Database'!$M1556&amp;" "&amp;'Compliance Database'!$N1556&amp;" "&amp;'Compliance Database'!$O1556)))),1,0)</f>
        <v/>
      </c>
      <c r="B1556">
        <f>IF($A1556=1,SUM($A$2:$A1556),"")</f>
        <v/>
      </c>
      <c r="C1556">
        <f>IF($A1556=1,SUM($A$2:$A1556),0)</f>
        <v/>
      </c>
    </row>
    <row r="1557">
      <c r="A1557">
        <f>IF(AND(OR('Compliance Database'!$A1557='Data Transfer'!$B$4,'Compliance Database'!$A1557='Data Transfer'!$B$5),OR('Data Transfer'!$B$6="",ISNUMBER(SEARCH('Data Transfer'!$B$6,'Compliance Database'!$D1557&amp;" "&amp;'Compliance Database'!$K1557&amp;" "&amp;'Compliance Database'!$L1557&amp;" "&amp;'Compliance Database'!$M1557&amp;" "&amp;'Compliance Database'!$N1557&amp;" "&amp;'Compliance Database'!$O1557)))),1,0)</f>
        <v/>
      </c>
      <c r="B1557">
        <f>IF($A1557=1,SUM($A$2:$A1557),"")</f>
        <v/>
      </c>
      <c r="C1557">
        <f>IF($A1557=1,SUM($A$2:$A1557),0)</f>
        <v/>
      </c>
    </row>
    <row r="1558">
      <c r="A1558">
        <f>IF(AND(OR('Compliance Database'!$A1558='Data Transfer'!$B$4,'Compliance Database'!$A1558='Data Transfer'!$B$5),OR('Data Transfer'!$B$6="",ISNUMBER(SEARCH('Data Transfer'!$B$6,'Compliance Database'!$D1558&amp;" "&amp;'Compliance Database'!$K1558&amp;" "&amp;'Compliance Database'!$L1558&amp;" "&amp;'Compliance Database'!$M1558&amp;" "&amp;'Compliance Database'!$N1558&amp;" "&amp;'Compliance Database'!$O1558)))),1,0)</f>
        <v/>
      </c>
      <c r="B1558">
        <f>IF($A1558=1,SUM($A$2:$A1558),"")</f>
        <v/>
      </c>
      <c r="C1558">
        <f>IF($A1558=1,SUM($A$2:$A1558),0)</f>
        <v/>
      </c>
    </row>
    <row r="1559">
      <c r="A1559">
        <f>IF(AND(OR('Compliance Database'!$A1559='Data Transfer'!$B$4,'Compliance Database'!$A1559='Data Transfer'!$B$5),OR('Data Transfer'!$B$6="",ISNUMBER(SEARCH('Data Transfer'!$B$6,'Compliance Database'!$D1559&amp;" "&amp;'Compliance Database'!$K1559&amp;" "&amp;'Compliance Database'!$L1559&amp;" "&amp;'Compliance Database'!$M1559&amp;" "&amp;'Compliance Database'!$N1559&amp;" "&amp;'Compliance Database'!$O1559)))),1,0)</f>
        <v/>
      </c>
      <c r="B1559">
        <f>IF($A1559=1,SUM($A$2:$A1559),"")</f>
        <v/>
      </c>
      <c r="C1559">
        <f>IF($A1559=1,SUM($A$2:$A1559),0)</f>
        <v/>
      </c>
    </row>
    <row r="1560">
      <c r="A1560">
        <f>IF(AND(OR('Compliance Database'!$A1560='Data Transfer'!$B$4,'Compliance Database'!$A1560='Data Transfer'!$B$5),OR('Data Transfer'!$B$6="",ISNUMBER(SEARCH('Data Transfer'!$B$6,'Compliance Database'!$D1560&amp;" "&amp;'Compliance Database'!$K1560&amp;" "&amp;'Compliance Database'!$L1560&amp;" "&amp;'Compliance Database'!$M1560&amp;" "&amp;'Compliance Database'!$N1560&amp;" "&amp;'Compliance Database'!$O1560)))),1,0)</f>
        <v/>
      </c>
      <c r="B1560">
        <f>IF($A1560=1,SUM($A$2:$A1560),"")</f>
        <v/>
      </c>
      <c r="C1560">
        <f>IF($A1560=1,SUM($A$2:$A1560),0)</f>
        <v/>
      </c>
    </row>
    <row r="1561">
      <c r="A1561">
        <f>IF(AND(OR('Compliance Database'!$A1561='Data Transfer'!$B$4,'Compliance Database'!$A1561='Data Transfer'!$B$5),OR('Data Transfer'!$B$6="",ISNUMBER(SEARCH('Data Transfer'!$B$6,'Compliance Database'!$D1561&amp;" "&amp;'Compliance Database'!$K1561&amp;" "&amp;'Compliance Database'!$L1561&amp;" "&amp;'Compliance Database'!$M1561&amp;" "&amp;'Compliance Database'!$N1561&amp;" "&amp;'Compliance Database'!$O1561)))),1,0)</f>
        <v/>
      </c>
      <c r="B1561">
        <f>IF($A1561=1,SUM($A$2:$A1561),"")</f>
        <v/>
      </c>
      <c r="C1561">
        <f>IF($A1561=1,SUM($A$2:$A1561),0)</f>
        <v/>
      </c>
    </row>
    <row r="1562">
      <c r="A1562">
        <f>IF(AND(OR('Compliance Database'!$A1562='Data Transfer'!$B$4,'Compliance Database'!$A1562='Data Transfer'!$B$5),OR('Data Transfer'!$B$6="",ISNUMBER(SEARCH('Data Transfer'!$B$6,'Compliance Database'!$D1562&amp;" "&amp;'Compliance Database'!$K1562&amp;" "&amp;'Compliance Database'!$L1562&amp;" "&amp;'Compliance Database'!$M1562&amp;" "&amp;'Compliance Database'!$N1562&amp;" "&amp;'Compliance Database'!$O1562)))),1,0)</f>
        <v/>
      </c>
      <c r="B1562">
        <f>IF($A1562=1,SUM($A$2:$A1562),"")</f>
        <v/>
      </c>
      <c r="C1562">
        <f>IF($A1562=1,SUM($A$2:$A1562),0)</f>
        <v/>
      </c>
    </row>
    <row r="1563">
      <c r="A1563">
        <f>IF(AND(OR('Compliance Database'!$A1563='Data Transfer'!$B$4,'Compliance Database'!$A1563='Data Transfer'!$B$5),OR('Data Transfer'!$B$6="",ISNUMBER(SEARCH('Data Transfer'!$B$6,'Compliance Database'!$D1563&amp;" "&amp;'Compliance Database'!$K1563&amp;" "&amp;'Compliance Database'!$L1563&amp;" "&amp;'Compliance Database'!$M1563&amp;" "&amp;'Compliance Database'!$N1563&amp;" "&amp;'Compliance Database'!$O1563)))),1,0)</f>
        <v/>
      </c>
      <c r="B1563">
        <f>IF($A1563=1,SUM($A$2:$A1563),"")</f>
        <v/>
      </c>
      <c r="C1563">
        <f>IF($A1563=1,SUM($A$2:$A1563),0)</f>
        <v/>
      </c>
    </row>
    <row r="1564">
      <c r="A1564">
        <f>IF(AND(OR('Compliance Database'!$A1564='Data Transfer'!$B$4,'Compliance Database'!$A1564='Data Transfer'!$B$5),OR('Data Transfer'!$B$6="",ISNUMBER(SEARCH('Data Transfer'!$B$6,'Compliance Database'!$D1564&amp;" "&amp;'Compliance Database'!$K1564&amp;" "&amp;'Compliance Database'!$L1564&amp;" "&amp;'Compliance Database'!$M1564&amp;" "&amp;'Compliance Database'!$N1564&amp;" "&amp;'Compliance Database'!$O1564)))),1,0)</f>
        <v/>
      </c>
      <c r="B1564">
        <f>IF($A1564=1,SUM($A$2:$A1564),"")</f>
        <v/>
      </c>
      <c r="C1564">
        <f>IF($A1564=1,SUM($A$2:$A1564),0)</f>
        <v/>
      </c>
    </row>
    <row r="1565">
      <c r="A1565">
        <f>IF(AND(OR('Compliance Database'!$A1565='Data Transfer'!$B$4,'Compliance Database'!$A1565='Data Transfer'!$B$5),OR('Data Transfer'!$B$6="",ISNUMBER(SEARCH('Data Transfer'!$B$6,'Compliance Database'!$D1565&amp;" "&amp;'Compliance Database'!$K1565&amp;" "&amp;'Compliance Database'!$L1565&amp;" "&amp;'Compliance Database'!$M1565&amp;" "&amp;'Compliance Database'!$N1565&amp;" "&amp;'Compliance Database'!$O1565)))),1,0)</f>
        <v/>
      </c>
      <c r="B1565">
        <f>IF($A1565=1,SUM($A$2:$A1565),"")</f>
        <v/>
      </c>
      <c r="C1565">
        <f>IF($A1565=1,SUM($A$2:$A1565),0)</f>
        <v/>
      </c>
    </row>
    <row r="1566">
      <c r="A1566">
        <f>IF(AND(OR('Compliance Database'!$A1566='Data Transfer'!$B$4,'Compliance Database'!$A1566='Data Transfer'!$B$5),OR('Data Transfer'!$B$6="",ISNUMBER(SEARCH('Data Transfer'!$B$6,'Compliance Database'!$D1566&amp;" "&amp;'Compliance Database'!$K1566&amp;" "&amp;'Compliance Database'!$L1566&amp;" "&amp;'Compliance Database'!$M1566&amp;" "&amp;'Compliance Database'!$N1566&amp;" "&amp;'Compliance Database'!$O1566)))),1,0)</f>
        <v/>
      </c>
      <c r="B1566">
        <f>IF($A1566=1,SUM($A$2:$A1566),"")</f>
        <v/>
      </c>
      <c r="C1566">
        <f>IF($A1566=1,SUM($A$2:$A1566),0)</f>
        <v/>
      </c>
    </row>
    <row r="1567">
      <c r="A1567">
        <f>IF(AND(OR('Compliance Database'!$A1567='Data Transfer'!$B$4,'Compliance Database'!$A1567='Data Transfer'!$B$5),OR('Data Transfer'!$B$6="",ISNUMBER(SEARCH('Data Transfer'!$B$6,'Compliance Database'!$D1567&amp;" "&amp;'Compliance Database'!$K1567&amp;" "&amp;'Compliance Database'!$L1567&amp;" "&amp;'Compliance Database'!$M1567&amp;" "&amp;'Compliance Database'!$N1567&amp;" "&amp;'Compliance Database'!$O1567)))),1,0)</f>
        <v/>
      </c>
      <c r="B1567">
        <f>IF($A1567=1,SUM($A$2:$A1567),"")</f>
        <v/>
      </c>
      <c r="C1567">
        <f>IF($A1567=1,SUM($A$2:$A1567),0)</f>
        <v/>
      </c>
    </row>
    <row r="1568">
      <c r="A1568">
        <f>IF(AND(OR('Compliance Database'!$A1568='Data Transfer'!$B$4,'Compliance Database'!$A1568='Data Transfer'!$B$5),OR('Data Transfer'!$B$6="",ISNUMBER(SEARCH('Data Transfer'!$B$6,'Compliance Database'!$D1568&amp;" "&amp;'Compliance Database'!$K1568&amp;" "&amp;'Compliance Database'!$L1568&amp;" "&amp;'Compliance Database'!$M1568&amp;" "&amp;'Compliance Database'!$N1568&amp;" "&amp;'Compliance Database'!$O1568)))),1,0)</f>
        <v/>
      </c>
      <c r="B1568">
        <f>IF($A1568=1,SUM($A$2:$A1568),"")</f>
        <v/>
      </c>
      <c r="C1568">
        <f>IF($A1568=1,SUM($A$2:$A1568),0)</f>
        <v/>
      </c>
    </row>
    <row r="1569">
      <c r="A1569">
        <f>IF(AND(OR('Compliance Database'!$A1569='Data Transfer'!$B$4,'Compliance Database'!$A1569='Data Transfer'!$B$5),OR('Data Transfer'!$B$6="",ISNUMBER(SEARCH('Data Transfer'!$B$6,'Compliance Database'!$D1569&amp;" "&amp;'Compliance Database'!$K1569&amp;" "&amp;'Compliance Database'!$L1569&amp;" "&amp;'Compliance Database'!$M1569&amp;" "&amp;'Compliance Database'!$N1569&amp;" "&amp;'Compliance Database'!$O1569)))),1,0)</f>
        <v/>
      </c>
      <c r="B1569">
        <f>IF($A1569=1,SUM($A$2:$A1569),"")</f>
        <v/>
      </c>
      <c r="C1569">
        <f>IF($A1569=1,SUM($A$2:$A1569),0)</f>
        <v/>
      </c>
    </row>
    <row r="1570">
      <c r="A1570">
        <f>IF(AND(OR('Compliance Database'!$A1570='Data Transfer'!$B$4,'Compliance Database'!$A1570='Data Transfer'!$B$5),OR('Data Transfer'!$B$6="",ISNUMBER(SEARCH('Data Transfer'!$B$6,'Compliance Database'!$D1570&amp;" "&amp;'Compliance Database'!$K1570&amp;" "&amp;'Compliance Database'!$L1570&amp;" "&amp;'Compliance Database'!$M1570&amp;" "&amp;'Compliance Database'!$N1570&amp;" "&amp;'Compliance Database'!$O1570)))),1,0)</f>
        <v/>
      </c>
      <c r="B1570">
        <f>IF($A1570=1,SUM($A$2:$A1570),"")</f>
        <v/>
      </c>
      <c r="C1570">
        <f>IF($A1570=1,SUM($A$2:$A1570),0)</f>
        <v/>
      </c>
    </row>
    <row r="1571">
      <c r="A1571">
        <f>IF(AND(OR('Compliance Database'!$A1571='Data Transfer'!$B$4,'Compliance Database'!$A1571='Data Transfer'!$B$5),OR('Data Transfer'!$B$6="",ISNUMBER(SEARCH('Data Transfer'!$B$6,'Compliance Database'!$D1571&amp;" "&amp;'Compliance Database'!$K1571&amp;" "&amp;'Compliance Database'!$L1571&amp;" "&amp;'Compliance Database'!$M1571&amp;" "&amp;'Compliance Database'!$N1571&amp;" "&amp;'Compliance Database'!$O1571)))),1,0)</f>
        <v/>
      </c>
      <c r="B1571">
        <f>IF($A1571=1,SUM($A$2:$A1571),"")</f>
        <v/>
      </c>
      <c r="C1571">
        <f>IF($A1571=1,SUM($A$2:$A1571),0)</f>
        <v/>
      </c>
    </row>
    <row r="1572">
      <c r="A1572">
        <f>IF(AND(OR('Compliance Database'!$A1572='Data Transfer'!$B$4,'Compliance Database'!$A1572='Data Transfer'!$B$5),OR('Data Transfer'!$B$6="",ISNUMBER(SEARCH('Data Transfer'!$B$6,'Compliance Database'!$D1572&amp;" "&amp;'Compliance Database'!$K1572&amp;" "&amp;'Compliance Database'!$L1572&amp;" "&amp;'Compliance Database'!$M1572&amp;" "&amp;'Compliance Database'!$N1572&amp;" "&amp;'Compliance Database'!$O1572)))),1,0)</f>
        <v/>
      </c>
      <c r="B1572">
        <f>IF($A1572=1,SUM($A$2:$A1572),"")</f>
        <v/>
      </c>
      <c r="C1572">
        <f>IF($A1572=1,SUM($A$2:$A1572),0)</f>
        <v/>
      </c>
    </row>
    <row r="1573">
      <c r="A1573">
        <f>IF(AND(OR('Compliance Database'!$A1573='Data Transfer'!$B$4,'Compliance Database'!$A1573='Data Transfer'!$B$5),OR('Data Transfer'!$B$6="",ISNUMBER(SEARCH('Data Transfer'!$B$6,'Compliance Database'!$D1573&amp;" "&amp;'Compliance Database'!$K1573&amp;" "&amp;'Compliance Database'!$L1573&amp;" "&amp;'Compliance Database'!$M1573&amp;" "&amp;'Compliance Database'!$N1573&amp;" "&amp;'Compliance Database'!$O1573)))),1,0)</f>
        <v/>
      </c>
      <c r="B1573">
        <f>IF($A1573=1,SUM($A$2:$A1573),"")</f>
        <v/>
      </c>
      <c r="C1573">
        <f>IF($A1573=1,SUM($A$2:$A1573),0)</f>
        <v/>
      </c>
    </row>
    <row r="1574">
      <c r="A1574">
        <f>IF(AND(OR('Compliance Database'!$A1574='Data Transfer'!$B$4,'Compliance Database'!$A1574='Data Transfer'!$B$5),OR('Data Transfer'!$B$6="",ISNUMBER(SEARCH('Data Transfer'!$B$6,'Compliance Database'!$D1574&amp;" "&amp;'Compliance Database'!$K1574&amp;" "&amp;'Compliance Database'!$L1574&amp;" "&amp;'Compliance Database'!$M1574&amp;" "&amp;'Compliance Database'!$N1574&amp;" "&amp;'Compliance Database'!$O1574)))),1,0)</f>
        <v/>
      </c>
      <c r="B1574">
        <f>IF($A1574=1,SUM($A$2:$A1574),"")</f>
        <v/>
      </c>
      <c r="C1574">
        <f>IF($A1574=1,SUM($A$2:$A1574),0)</f>
        <v/>
      </c>
    </row>
    <row r="1575">
      <c r="A1575">
        <f>IF(AND(OR('Compliance Database'!$A1575='Data Transfer'!$B$4,'Compliance Database'!$A1575='Data Transfer'!$B$5),OR('Data Transfer'!$B$6="",ISNUMBER(SEARCH('Data Transfer'!$B$6,'Compliance Database'!$D1575&amp;" "&amp;'Compliance Database'!$K1575&amp;" "&amp;'Compliance Database'!$L1575&amp;" "&amp;'Compliance Database'!$M1575&amp;" "&amp;'Compliance Database'!$N1575&amp;" "&amp;'Compliance Database'!$O1575)))),1,0)</f>
        <v/>
      </c>
      <c r="B1575">
        <f>IF($A1575=1,SUM($A$2:$A1575),"")</f>
        <v/>
      </c>
      <c r="C1575">
        <f>IF($A1575=1,SUM($A$2:$A1575),0)</f>
        <v/>
      </c>
    </row>
    <row r="1576">
      <c r="A1576">
        <f>IF(AND(OR('Compliance Database'!$A1576='Data Transfer'!$B$4,'Compliance Database'!$A1576='Data Transfer'!$B$5),OR('Data Transfer'!$B$6="",ISNUMBER(SEARCH('Data Transfer'!$B$6,'Compliance Database'!$D1576&amp;" "&amp;'Compliance Database'!$K1576&amp;" "&amp;'Compliance Database'!$L1576&amp;" "&amp;'Compliance Database'!$M1576&amp;" "&amp;'Compliance Database'!$N1576&amp;" "&amp;'Compliance Database'!$O1576)))),1,0)</f>
        <v/>
      </c>
      <c r="B1576">
        <f>IF($A1576=1,SUM($A$2:$A1576),"")</f>
        <v/>
      </c>
      <c r="C1576">
        <f>IF($A1576=1,SUM($A$2:$A1576),0)</f>
        <v/>
      </c>
    </row>
    <row r="1577">
      <c r="A1577">
        <f>IF(AND(OR('Compliance Database'!$A1577='Data Transfer'!$B$4,'Compliance Database'!$A1577='Data Transfer'!$B$5),OR('Data Transfer'!$B$6="",ISNUMBER(SEARCH('Data Transfer'!$B$6,'Compliance Database'!$D1577&amp;" "&amp;'Compliance Database'!$K1577&amp;" "&amp;'Compliance Database'!$L1577&amp;" "&amp;'Compliance Database'!$M1577&amp;" "&amp;'Compliance Database'!$N1577&amp;" "&amp;'Compliance Database'!$O1577)))),1,0)</f>
        <v/>
      </c>
      <c r="B1577">
        <f>IF($A1577=1,SUM($A$2:$A1577),"")</f>
        <v/>
      </c>
      <c r="C1577">
        <f>IF($A1577=1,SUM($A$2:$A1577),0)</f>
        <v/>
      </c>
    </row>
    <row r="1578">
      <c r="A1578">
        <f>IF(AND(OR('Compliance Database'!$A1578='Data Transfer'!$B$4,'Compliance Database'!$A1578='Data Transfer'!$B$5),OR('Data Transfer'!$B$6="",ISNUMBER(SEARCH('Data Transfer'!$B$6,'Compliance Database'!$D1578&amp;" "&amp;'Compliance Database'!$K1578&amp;" "&amp;'Compliance Database'!$L1578&amp;" "&amp;'Compliance Database'!$M1578&amp;" "&amp;'Compliance Database'!$N1578&amp;" "&amp;'Compliance Database'!$O1578)))),1,0)</f>
        <v/>
      </c>
      <c r="B1578">
        <f>IF($A1578=1,SUM($A$2:$A1578),"")</f>
        <v/>
      </c>
      <c r="C1578">
        <f>IF($A1578=1,SUM($A$2:$A1578),0)</f>
        <v/>
      </c>
    </row>
    <row r="1579">
      <c r="A1579">
        <f>IF(AND(OR('Compliance Database'!$A1579='Data Transfer'!$B$4,'Compliance Database'!$A1579='Data Transfer'!$B$5),OR('Data Transfer'!$B$6="",ISNUMBER(SEARCH('Data Transfer'!$B$6,'Compliance Database'!$D1579&amp;" "&amp;'Compliance Database'!$K1579&amp;" "&amp;'Compliance Database'!$L1579&amp;" "&amp;'Compliance Database'!$M1579&amp;" "&amp;'Compliance Database'!$N1579&amp;" "&amp;'Compliance Database'!$O1579)))),1,0)</f>
        <v/>
      </c>
      <c r="B1579">
        <f>IF($A1579=1,SUM($A$2:$A1579),"")</f>
        <v/>
      </c>
      <c r="C1579">
        <f>IF($A1579=1,SUM($A$2:$A1579),0)</f>
        <v/>
      </c>
    </row>
    <row r="1580">
      <c r="A1580">
        <f>IF(AND(OR('Compliance Database'!$A1580='Data Transfer'!$B$4,'Compliance Database'!$A1580='Data Transfer'!$B$5),OR('Data Transfer'!$B$6="",ISNUMBER(SEARCH('Data Transfer'!$B$6,'Compliance Database'!$D1580&amp;" "&amp;'Compliance Database'!$K1580&amp;" "&amp;'Compliance Database'!$L1580&amp;" "&amp;'Compliance Database'!$M1580&amp;" "&amp;'Compliance Database'!$N1580&amp;" "&amp;'Compliance Database'!$O1580)))),1,0)</f>
        <v/>
      </c>
      <c r="B1580">
        <f>IF($A1580=1,SUM($A$2:$A1580),"")</f>
        <v/>
      </c>
      <c r="C1580">
        <f>IF($A1580=1,SUM($A$2:$A1580),0)</f>
        <v/>
      </c>
    </row>
    <row r="1581">
      <c r="A1581">
        <f>IF(AND(OR('Compliance Database'!$A1581='Data Transfer'!$B$4,'Compliance Database'!$A1581='Data Transfer'!$B$5),OR('Data Transfer'!$B$6="",ISNUMBER(SEARCH('Data Transfer'!$B$6,'Compliance Database'!$D1581&amp;" "&amp;'Compliance Database'!$K1581&amp;" "&amp;'Compliance Database'!$L1581&amp;" "&amp;'Compliance Database'!$M1581&amp;" "&amp;'Compliance Database'!$N1581&amp;" "&amp;'Compliance Database'!$O1581)))),1,0)</f>
        <v/>
      </c>
      <c r="B1581">
        <f>IF($A1581=1,SUM($A$2:$A1581),"")</f>
        <v/>
      </c>
      <c r="C1581">
        <f>IF($A1581=1,SUM($A$2:$A1581),0)</f>
        <v/>
      </c>
    </row>
    <row r="1582">
      <c r="A1582">
        <f>IF(AND(OR('Compliance Database'!$A1582='Data Transfer'!$B$4,'Compliance Database'!$A1582='Data Transfer'!$B$5),OR('Data Transfer'!$B$6="",ISNUMBER(SEARCH('Data Transfer'!$B$6,'Compliance Database'!$D1582&amp;" "&amp;'Compliance Database'!$K1582&amp;" "&amp;'Compliance Database'!$L1582&amp;" "&amp;'Compliance Database'!$M1582&amp;" "&amp;'Compliance Database'!$N1582&amp;" "&amp;'Compliance Database'!$O1582)))),1,0)</f>
        <v/>
      </c>
      <c r="B1582">
        <f>IF($A1582=1,SUM($A$2:$A1582),"")</f>
        <v/>
      </c>
      <c r="C1582">
        <f>IF($A1582=1,SUM($A$2:$A1582),0)</f>
        <v/>
      </c>
    </row>
    <row r="1583">
      <c r="A1583">
        <f>IF(AND(OR('Compliance Database'!$A1583='Data Transfer'!$B$4,'Compliance Database'!$A1583='Data Transfer'!$B$5),OR('Data Transfer'!$B$6="",ISNUMBER(SEARCH('Data Transfer'!$B$6,'Compliance Database'!$D1583&amp;" "&amp;'Compliance Database'!$K1583&amp;" "&amp;'Compliance Database'!$L1583&amp;" "&amp;'Compliance Database'!$M1583&amp;" "&amp;'Compliance Database'!$N1583&amp;" "&amp;'Compliance Database'!$O1583)))),1,0)</f>
        <v/>
      </c>
      <c r="B1583">
        <f>IF($A1583=1,SUM($A$2:$A1583),"")</f>
        <v/>
      </c>
      <c r="C1583">
        <f>IF($A1583=1,SUM($A$2:$A1583),0)</f>
        <v/>
      </c>
    </row>
    <row r="1584">
      <c r="A1584">
        <f>IF(AND(OR('Compliance Database'!$A1584='Data Transfer'!$B$4,'Compliance Database'!$A1584='Data Transfer'!$B$5),OR('Data Transfer'!$B$6="",ISNUMBER(SEARCH('Data Transfer'!$B$6,'Compliance Database'!$D1584&amp;" "&amp;'Compliance Database'!$K1584&amp;" "&amp;'Compliance Database'!$L1584&amp;" "&amp;'Compliance Database'!$M1584&amp;" "&amp;'Compliance Database'!$N1584&amp;" "&amp;'Compliance Database'!$O1584)))),1,0)</f>
        <v/>
      </c>
      <c r="B1584">
        <f>IF($A1584=1,SUM($A$2:$A1584),"")</f>
        <v/>
      </c>
      <c r="C1584">
        <f>IF($A1584=1,SUM($A$2:$A1584),0)</f>
        <v/>
      </c>
    </row>
    <row r="1585">
      <c r="A1585">
        <f>IF(AND(OR('Compliance Database'!$A1585='Data Transfer'!$B$4,'Compliance Database'!$A1585='Data Transfer'!$B$5),OR('Data Transfer'!$B$6="",ISNUMBER(SEARCH('Data Transfer'!$B$6,'Compliance Database'!$D1585&amp;" "&amp;'Compliance Database'!$K1585&amp;" "&amp;'Compliance Database'!$L1585&amp;" "&amp;'Compliance Database'!$M1585&amp;" "&amp;'Compliance Database'!$N1585&amp;" "&amp;'Compliance Database'!$O1585)))),1,0)</f>
        <v/>
      </c>
      <c r="B1585">
        <f>IF($A1585=1,SUM($A$2:$A1585),"")</f>
        <v/>
      </c>
      <c r="C1585">
        <f>IF($A1585=1,SUM($A$2:$A1585),0)</f>
        <v/>
      </c>
    </row>
    <row r="1586">
      <c r="A1586">
        <f>IF(AND(OR('Compliance Database'!$A1586='Data Transfer'!$B$4,'Compliance Database'!$A1586='Data Transfer'!$B$5),OR('Data Transfer'!$B$6="",ISNUMBER(SEARCH('Data Transfer'!$B$6,'Compliance Database'!$D1586&amp;" "&amp;'Compliance Database'!$K1586&amp;" "&amp;'Compliance Database'!$L1586&amp;" "&amp;'Compliance Database'!$M1586&amp;" "&amp;'Compliance Database'!$N1586&amp;" "&amp;'Compliance Database'!$O1586)))),1,0)</f>
        <v/>
      </c>
      <c r="B1586">
        <f>IF($A1586=1,SUM($A$2:$A1586),"")</f>
        <v/>
      </c>
      <c r="C1586">
        <f>IF($A1586=1,SUM($A$2:$A1586),0)</f>
        <v/>
      </c>
    </row>
    <row r="1587">
      <c r="A1587">
        <f>IF(AND(OR('Compliance Database'!$A1587='Data Transfer'!$B$4,'Compliance Database'!$A1587='Data Transfer'!$B$5),OR('Data Transfer'!$B$6="",ISNUMBER(SEARCH('Data Transfer'!$B$6,'Compliance Database'!$D1587&amp;" "&amp;'Compliance Database'!$K1587&amp;" "&amp;'Compliance Database'!$L1587&amp;" "&amp;'Compliance Database'!$M1587&amp;" "&amp;'Compliance Database'!$N1587&amp;" "&amp;'Compliance Database'!$O1587)))),1,0)</f>
        <v/>
      </c>
      <c r="B1587">
        <f>IF($A1587=1,SUM($A$2:$A1587),"")</f>
        <v/>
      </c>
      <c r="C1587">
        <f>IF($A1587=1,SUM($A$2:$A1587),0)</f>
        <v/>
      </c>
    </row>
    <row r="1588">
      <c r="A1588">
        <f>IF(AND(OR('Compliance Database'!$A1588='Data Transfer'!$B$4,'Compliance Database'!$A1588='Data Transfer'!$B$5),OR('Data Transfer'!$B$6="",ISNUMBER(SEARCH('Data Transfer'!$B$6,'Compliance Database'!$D1588&amp;" "&amp;'Compliance Database'!$K1588&amp;" "&amp;'Compliance Database'!$L1588&amp;" "&amp;'Compliance Database'!$M1588&amp;" "&amp;'Compliance Database'!$N1588&amp;" "&amp;'Compliance Database'!$O1588)))),1,0)</f>
        <v/>
      </c>
      <c r="B1588">
        <f>IF($A1588=1,SUM($A$2:$A1588),"")</f>
        <v/>
      </c>
      <c r="C1588">
        <f>IF($A1588=1,SUM($A$2:$A1588),0)</f>
        <v/>
      </c>
    </row>
    <row r="1589">
      <c r="A1589">
        <f>IF(AND(OR('Compliance Database'!$A1589='Data Transfer'!$B$4,'Compliance Database'!$A1589='Data Transfer'!$B$5),OR('Data Transfer'!$B$6="",ISNUMBER(SEARCH('Data Transfer'!$B$6,'Compliance Database'!$D1589&amp;" "&amp;'Compliance Database'!$K1589&amp;" "&amp;'Compliance Database'!$L1589&amp;" "&amp;'Compliance Database'!$M1589&amp;" "&amp;'Compliance Database'!$N1589&amp;" "&amp;'Compliance Database'!$O1589)))),1,0)</f>
        <v/>
      </c>
      <c r="B1589">
        <f>IF($A1589=1,SUM($A$2:$A1589),"")</f>
        <v/>
      </c>
      <c r="C1589">
        <f>IF($A1589=1,SUM($A$2:$A1589),0)</f>
        <v/>
      </c>
    </row>
    <row r="1590">
      <c r="A1590">
        <f>IF(AND(OR('Compliance Database'!$A1590='Data Transfer'!$B$4,'Compliance Database'!$A1590='Data Transfer'!$B$5),OR('Data Transfer'!$B$6="",ISNUMBER(SEARCH('Data Transfer'!$B$6,'Compliance Database'!$D1590&amp;" "&amp;'Compliance Database'!$K1590&amp;" "&amp;'Compliance Database'!$L1590&amp;" "&amp;'Compliance Database'!$M1590&amp;" "&amp;'Compliance Database'!$N1590&amp;" "&amp;'Compliance Database'!$O1590)))),1,0)</f>
        <v/>
      </c>
      <c r="B1590">
        <f>IF($A1590=1,SUM($A$2:$A1590),"")</f>
        <v/>
      </c>
      <c r="C1590">
        <f>IF($A1590=1,SUM($A$2:$A1590),0)</f>
        <v/>
      </c>
    </row>
    <row r="1591">
      <c r="A1591">
        <f>IF(AND(OR('Compliance Database'!$A1591='Data Transfer'!$B$4,'Compliance Database'!$A1591='Data Transfer'!$B$5),OR('Data Transfer'!$B$6="",ISNUMBER(SEARCH('Data Transfer'!$B$6,'Compliance Database'!$D1591&amp;" "&amp;'Compliance Database'!$K1591&amp;" "&amp;'Compliance Database'!$L1591&amp;" "&amp;'Compliance Database'!$M1591&amp;" "&amp;'Compliance Database'!$N1591&amp;" "&amp;'Compliance Database'!$O1591)))),1,0)</f>
        <v/>
      </c>
      <c r="B1591">
        <f>IF($A1591=1,SUM($A$2:$A1591),"")</f>
        <v/>
      </c>
      <c r="C1591">
        <f>IF($A1591=1,SUM($A$2:$A1591),0)</f>
        <v/>
      </c>
    </row>
    <row r="1592">
      <c r="A1592">
        <f>IF(AND(OR('Compliance Database'!$A1592='Data Transfer'!$B$4,'Compliance Database'!$A1592='Data Transfer'!$B$5),OR('Data Transfer'!$B$6="",ISNUMBER(SEARCH('Data Transfer'!$B$6,'Compliance Database'!$D1592&amp;" "&amp;'Compliance Database'!$K1592&amp;" "&amp;'Compliance Database'!$L1592&amp;" "&amp;'Compliance Database'!$M1592&amp;" "&amp;'Compliance Database'!$N1592&amp;" "&amp;'Compliance Database'!$O1592)))),1,0)</f>
        <v/>
      </c>
      <c r="B1592">
        <f>IF($A1592=1,SUM($A$2:$A1592),"")</f>
        <v/>
      </c>
      <c r="C1592">
        <f>IF($A1592=1,SUM($A$2:$A1592),0)</f>
        <v/>
      </c>
    </row>
    <row r="1593">
      <c r="A1593">
        <f>IF(AND(OR('Compliance Database'!$A1593='Data Transfer'!$B$4,'Compliance Database'!$A1593='Data Transfer'!$B$5),OR('Data Transfer'!$B$6="",ISNUMBER(SEARCH('Data Transfer'!$B$6,'Compliance Database'!$D1593&amp;" "&amp;'Compliance Database'!$K1593&amp;" "&amp;'Compliance Database'!$L1593&amp;" "&amp;'Compliance Database'!$M1593&amp;" "&amp;'Compliance Database'!$N1593&amp;" "&amp;'Compliance Database'!$O1593)))),1,0)</f>
        <v/>
      </c>
      <c r="B1593">
        <f>IF($A1593=1,SUM($A$2:$A1593),"")</f>
        <v/>
      </c>
      <c r="C1593">
        <f>IF($A1593=1,SUM($A$2:$A1593),0)</f>
        <v/>
      </c>
    </row>
    <row r="1594">
      <c r="A1594">
        <f>IF(AND(OR('Compliance Database'!$A1594='Data Transfer'!$B$4,'Compliance Database'!$A1594='Data Transfer'!$B$5),OR('Data Transfer'!$B$6="",ISNUMBER(SEARCH('Data Transfer'!$B$6,'Compliance Database'!$D1594&amp;" "&amp;'Compliance Database'!$K1594&amp;" "&amp;'Compliance Database'!$L1594&amp;" "&amp;'Compliance Database'!$M1594&amp;" "&amp;'Compliance Database'!$N1594&amp;" "&amp;'Compliance Database'!$O1594)))),1,0)</f>
        <v/>
      </c>
      <c r="B1594">
        <f>IF($A1594=1,SUM($A$2:$A1594),"")</f>
        <v/>
      </c>
      <c r="C1594">
        <f>IF($A1594=1,SUM($A$2:$A1594),0)</f>
        <v/>
      </c>
    </row>
    <row r="1595">
      <c r="A1595">
        <f>IF(AND(OR('Compliance Database'!$A1595='Data Transfer'!$B$4,'Compliance Database'!$A1595='Data Transfer'!$B$5),OR('Data Transfer'!$B$6="",ISNUMBER(SEARCH('Data Transfer'!$B$6,'Compliance Database'!$D1595&amp;" "&amp;'Compliance Database'!$K1595&amp;" "&amp;'Compliance Database'!$L1595&amp;" "&amp;'Compliance Database'!$M1595&amp;" "&amp;'Compliance Database'!$N1595&amp;" "&amp;'Compliance Database'!$O1595)))),1,0)</f>
        <v/>
      </c>
      <c r="B1595">
        <f>IF($A1595=1,SUM($A$2:$A1595),"")</f>
        <v/>
      </c>
      <c r="C1595">
        <f>IF($A1595=1,SUM($A$2:$A1595),0)</f>
        <v/>
      </c>
    </row>
    <row r="1596">
      <c r="A1596">
        <f>IF(AND(OR('Compliance Database'!$A1596='Data Transfer'!$B$4,'Compliance Database'!$A1596='Data Transfer'!$B$5),OR('Data Transfer'!$B$6="",ISNUMBER(SEARCH('Data Transfer'!$B$6,'Compliance Database'!$D1596&amp;" "&amp;'Compliance Database'!$K1596&amp;" "&amp;'Compliance Database'!$L1596&amp;" "&amp;'Compliance Database'!$M1596&amp;" "&amp;'Compliance Database'!$N1596&amp;" "&amp;'Compliance Database'!$O1596)))),1,0)</f>
        <v/>
      </c>
      <c r="B1596">
        <f>IF($A1596=1,SUM($A$2:$A1596),"")</f>
        <v/>
      </c>
      <c r="C1596">
        <f>IF($A1596=1,SUM($A$2:$A1596),0)</f>
        <v/>
      </c>
    </row>
    <row r="1597">
      <c r="A1597">
        <f>IF(AND(OR('Compliance Database'!$A1597='Data Transfer'!$B$4,'Compliance Database'!$A1597='Data Transfer'!$B$5),OR('Data Transfer'!$B$6="",ISNUMBER(SEARCH('Data Transfer'!$B$6,'Compliance Database'!$D1597&amp;" "&amp;'Compliance Database'!$K1597&amp;" "&amp;'Compliance Database'!$L1597&amp;" "&amp;'Compliance Database'!$M1597&amp;" "&amp;'Compliance Database'!$N1597&amp;" "&amp;'Compliance Database'!$O1597)))),1,0)</f>
        <v/>
      </c>
      <c r="B1597">
        <f>IF($A1597=1,SUM($A$2:$A1597),"")</f>
        <v/>
      </c>
      <c r="C1597">
        <f>IF($A1597=1,SUM($A$2:$A1597),0)</f>
        <v/>
      </c>
    </row>
    <row r="1598">
      <c r="A1598">
        <f>IF(AND(OR('Compliance Database'!$A1598='Data Transfer'!$B$4,'Compliance Database'!$A1598='Data Transfer'!$B$5),OR('Data Transfer'!$B$6="",ISNUMBER(SEARCH('Data Transfer'!$B$6,'Compliance Database'!$D1598&amp;" "&amp;'Compliance Database'!$K1598&amp;" "&amp;'Compliance Database'!$L1598&amp;" "&amp;'Compliance Database'!$M1598&amp;" "&amp;'Compliance Database'!$N1598&amp;" "&amp;'Compliance Database'!$O1598)))),1,0)</f>
        <v/>
      </c>
      <c r="B1598">
        <f>IF($A1598=1,SUM($A$2:$A1598),"")</f>
        <v/>
      </c>
      <c r="C1598">
        <f>IF($A1598=1,SUM($A$2:$A1598),0)</f>
        <v/>
      </c>
    </row>
    <row r="1599">
      <c r="A1599">
        <f>IF(AND(OR('Compliance Database'!$A1599='Data Transfer'!$B$4,'Compliance Database'!$A1599='Data Transfer'!$B$5),OR('Data Transfer'!$B$6="",ISNUMBER(SEARCH('Data Transfer'!$B$6,'Compliance Database'!$D1599&amp;" "&amp;'Compliance Database'!$K1599&amp;" "&amp;'Compliance Database'!$L1599&amp;" "&amp;'Compliance Database'!$M1599&amp;" "&amp;'Compliance Database'!$N1599&amp;" "&amp;'Compliance Database'!$O1599)))),1,0)</f>
        <v/>
      </c>
      <c r="B1599">
        <f>IF($A1599=1,SUM($A$2:$A1599),"")</f>
        <v/>
      </c>
      <c r="C1599">
        <f>IF($A1599=1,SUM($A$2:$A1599),0)</f>
        <v/>
      </c>
    </row>
    <row r="1600">
      <c r="A1600">
        <f>IF(AND(OR('Compliance Database'!$A1600='Data Transfer'!$B$4,'Compliance Database'!$A1600='Data Transfer'!$B$5),OR('Data Transfer'!$B$6="",ISNUMBER(SEARCH('Data Transfer'!$B$6,'Compliance Database'!$D1600&amp;" "&amp;'Compliance Database'!$K1600&amp;" "&amp;'Compliance Database'!$L1600&amp;" "&amp;'Compliance Database'!$M1600&amp;" "&amp;'Compliance Database'!$N1600&amp;" "&amp;'Compliance Database'!$O1600)))),1,0)</f>
        <v/>
      </c>
      <c r="B1600">
        <f>IF($A1600=1,SUM($A$2:$A1600),"")</f>
        <v/>
      </c>
      <c r="C1600">
        <f>IF($A1600=1,SUM($A$2:$A1600),0)</f>
        <v/>
      </c>
    </row>
    <row r="1601">
      <c r="A1601">
        <f>IF(AND(OR('Compliance Database'!$A1601='Data Transfer'!$B$4,'Compliance Database'!$A1601='Data Transfer'!$B$5),OR('Data Transfer'!$B$6="",ISNUMBER(SEARCH('Data Transfer'!$B$6,'Compliance Database'!$D1601&amp;" "&amp;'Compliance Database'!$K1601&amp;" "&amp;'Compliance Database'!$L1601&amp;" "&amp;'Compliance Database'!$M1601&amp;" "&amp;'Compliance Database'!$N1601&amp;" "&amp;'Compliance Database'!$O1601)))),1,0)</f>
        <v/>
      </c>
      <c r="B1601">
        <f>IF($A1601=1,SUM($A$2:$A1601),"")</f>
        <v/>
      </c>
      <c r="C1601">
        <f>IF($A1601=1,SUM($A$2:$A1601),0)</f>
        <v/>
      </c>
    </row>
    <row r="1602">
      <c r="A1602">
        <f>IF(AND(OR('Compliance Database'!$A1602='Data Transfer'!$B$4,'Compliance Database'!$A1602='Data Transfer'!$B$5),OR('Data Transfer'!$B$6="",ISNUMBER(SEARCH('Data Transfer'!$B$6,'Compliance Database'!$D1602&amp;" "&amp;'Compliance Database'!$K1602&amp;" "&amp;'Compliance Database'!$L1602&amp;" "&amp;'Compliance Database'!$M1602&amp;" "&amp;'Compliance Database'!$N1602&amp;" "&amp;'Compliance Database'!$O1602)))),1,0)</f>
        <v/>
      </c>
      <c r="B1602">
        <f>IF($A1602=1,SUM($A$2:$A1602),"")</f>
        <v/>
      </c>
      <c r="C1602">
        <f>IF($A1602=1,SUM($A$2:$A1602),0)</f>
        <v/>
      </c>
    </row>
    <row r="1603">
      <c r="A1603">
        <f>IF(AND(OR('Compliance Database'!$A1603='Data Transfer'!$B$4,'Compliance Database'!$A1603='Data Transfer'!$B$5),OR('Data Transfer'!$B$6="",ISNUMBER(SEARCH('Data Transfer'!$B$6,'Compliance Database'!$D1603&amp;" "&amp;'Compliance Database'!$K1603&amp;" "&amp;'Compliance Database'!$L1603&amp;" "&amp;'Compliance Database'!$M1603&amp;" "&amp;'Compliance Database'!$N1603&amp;" "&amp;'Compliance Database'!$O1603)))),1,0)</f>
        <v/>
      </c>
      <c r="B1603">
        <f>IF($A1603=1,SUM($A$2:$A1603),"")</f>
        <v/>
      </c>
      <c r="C1603">
        <f>IF($A1603=1,SUM($A$2:$A1603),0)</f>
        <v/>
      </c>
    </row>
    <row r="1604">
      <c r="A1604">
        <f>IF(AND(OR('Compliance Database'!$A1604='Data Transfer'!$B$4,'Compliance Database'!$A1604='Data Transfer'!$B$5),OR('Data Transfer'!$B$6="",ISNUMBER(SEARCH('Data Transfer'!$B$6,'Compliance Database'!$D1604&amp;" "&amp;'Compliance Database'!$K1604&amp;" "&amp;'Compliance Database'!$L1604&amp;" "&amp;'Compliance Database'!$M1604&amp;" "&amp;'Compliance Database'!$N1604&amp;" "&amp;'Compliance Database'!$O1604)))),1,0)</f>
        <v/>
      </c>
      <c r="B1604">
        <f>IF($A1604=1,SUM($A$2:$A1604),"")</f>
        <v/>
      </c>
      <c r="C1604">
        <f>IF($A1604=1,SUM($A$2:$A1604),0)</f>
        <v/>
      </c>
    </row>
    <row r="1605">
      <c r="A1605">
        <f>IF(AND(OR('Compliance Database'!$A1605='Data Transfer'!$B$4,'Compliance Database'!$A1605='Data Transfer'!$B$5),OR('Data Transfer'!$B$6="",ISNUMBER(SEARCH('Data Transfer'!$B$6,'Compliance Database'!$D1605&amp;" "&amp;'Compliance Database'!$K1605&amp;" "&amp;'Compliance Database'!$L1605&amp;" "&amp;'Compliance Database'!$M1605&amp;" "&amp;'Compliance Database'!$N1605&amp;" "&amp;'Compliance Database'!$O1605)))),1,0)</f>
        <v/>
      </c>
      <c r="B1605">
        <f>IF($A1605=1,SUM($A$2:$A1605),"")</f>
        <v/>
      </c>
      <c r="C1605">
        <f>IF($A1605=1,SUM($A$2:$A1605),0)</f>
        <v/>
      </c>
    </row>
    <row r="1606">
      <c r="A1606">
        <f>IF(AND(OR('Compliance Database'!$A1606='Data Transfer'!$B$4,'Compliance Database'!$A1606='Data Transfer'!$B$5),OR('Data Transfer'!$B$6="",ISNUMBER(SEARCH('Data Transfer'!$B$6,'Compliance Database'!$D1606&amp;" "&amp;'Compliance Database'!$K1606&amp;" "&amp;'Compliance Database'!$L1606&amp;" "&amp;'Compliance Database'!$M1606&amp;" "&amp;'Compliance Database'!$N1606&amp;" "&amp;'Compliance Database'!$O1606)))),1,0)</f>
        <v/>
      </c>
      <c r="B1606">
        <f>IF($A1606=1,SUM($A$2:$A1606),"")</f>
        <v/>
      </c>
      <c r="C1606">
        <f>IF($A1606=1,SUM($A$2:$A1606),0)</f>
        <v/>
      </c>
    </row>
    <row r="1607">
      <c r="A1607">
        <f>IF(AND(OR('Compliance Database'!$A1607='Data Transfer'!$B$4,'Compliance Database'!$A1607='Data Transfer'!$B$5),OR('Data Transfer'!$B$6="",ISNUMBER(SEARCH('Data Transfer'!$B$6,'Compliance Database'!$D1607&amp;" "&amp;'Compliance Database'!$K1607&amp;" "&amp;'Compliance Database'!$L1607&amp;" "&amp;'Compliance Database'!$M1607&amp;" "&amp;'Compliance Database'!$N1607&amp;" "&amp;'Compliance Database'!$O1607)))),1,0)</f>
        <v/>
      </c>
      <c r="B1607">
        <f>IF($A1607=1,SUM($A$2:$A1607),"")</f>
        <v/>
      </c>
      <c r="C1607">
        <f>IF($A1607=1,SUM($A$2:$A1607),0)</f>
        <v/>
      </c>
    </row>
    <row r="1608">
      <c r="A1608">
        <f>IF(AND(OR('Compliance Database'!$A1608='Data Transfer'!$B$4,'Compliance Database'!$A1608='Data Transfer'!$B$5),OR('Data Transfer'!$B$6="",ISNUMBER(SEARCH('Data Transfer'!$B$6,'Compliance Database'!$D1608&amp;" "&amp;'Compliance Database'!$K1608&amp;" "&amp;'Compliance Database'!$L1608&amp;" "&amp;'Compliance Database'!$M1608&amp;" "&amp;'Compliance Database'!$N1608&amp;" "&amp;'Compliance Database'!$O1608)))),1,0)</f>
        <v/>
      </c>
      <c r="B1608">
        <f>IF($A1608=1,SUM($A$2:$A1608),"")</f>
        <v/>
      </c>
      <c r="C1608">
        <f>IF($A1608=1,SUM($A$2:$A1608),0)</f>
        <v/>
      </c>
    </row>
    <row r="1609">
      <c r="A1609">
        <f>IF(AND(OR('Compliance Database'!$A1609='Data Transfer'!$B$4,'Compliance Database'!$A1609='Data Transfer'!$B$5),OR('Data Transfer'!$B$6="",ISNUMBER(SEARCH('Data Transfer'!$B$6,'Compliance Database'!$D1609&amp;" "&amp;'Compliance Database'!$K1609&amp;" "&amp;'Compliance Database'!$L1609&amp;" "&amp;'Compliance Database'!$M1609&amp;" "&amp;'Compliance Database'!$N1609&amp;" "&amp;'Compliance Database'!$O1609)))),1,0)</f>
        <v/>
      </c>
      <c r="B1609">
        <f>IF($A1609=1,SUM($A$2:$A1609),"")</f>
        <v/>
      </c>
      <c r="C1609">
        <f>IF($A1609=1,SUM($A$2:$A1609),0)</f>
        <v/>
      </c>
    </row>
    <row r="1610">
      <c r="A1610">
        <f>IF(AND(OR('Compliance Database'!$A1610='Data Transfer'!$B$4,'Compliance Database'!$A1610='Data Transfer'!$B$5),OR('Data Transfer'!$B$6="",ISNUMBER(SEARCH('Data Transfer'!$B$6,'Compliance Database'!$D1610&amp;" "&amp;'Compliance Database'!$K1610&amp;" "&amp;'Compliance Database'!$L1610&amp;" "&amp;'Compliance Database'!$M1610&amp;" "&amp;'Compliance Database'!$N1610&amp;" "&amp;'Compliance Database'!$O1610)))),1,0)</f>
        <v/>
      </c>
      <c r="B1610">
        <f>IF($A1610=1,SUM($A$2:$A1610),"")</f>
        <v/>
      </c>
      <c r="C1610">
        <f>IF($A1610=1,SUM($A$2:$A1610),0)</f>
        <v/>
      </c>
    </row>
    <row r="1611">
      <c r="A1611">
        <f>IF(AND(OR('Compliance Database'!$A1611='Data Transfer'!$B$4,'Compliance Database'!$A1611='Data Transfer'!$B$5),OR('Data Transfer'!$B$6="",ISNUMBER(SEARCH('Data Transfer'!$B$6,'Compliance Database'!$D1611&amp;" "&amp;'Compliance Database'!$K1611&amp;" "&amp;'Compliance Database'!$L1611&amp;" "&amp;'Compliance Database'!$M1611&amp;" "&amp;'Compliance Database'!$N1611&amp;" "&amp;'Compliance Database'!$O1611)))),1,0)</f>
        <v/>
      </c>
      <c r="B1611">
        <f>IF($A1611=1,SUM($A$2:$A1611),"")</f>
        <v/>
      </c>
      <c r="C1611">
        <f>IF($A1611=1,SUM($A$2:$A1611),0)</f>
        <v/>
      </c>
    </row>
    <row r="1612">
      <c r="A1612">
        <f>IF(AND(OR('Compliance Database'!$A1612='Data Transfer'!$B$4,'Compliance Database'!$A1612='Data Transfer'!$B$5),OR('Data Transfer'!$B$6="",ISNUMBER(SEARCH('Data Transfer'!$B$6,'Compliance Database'!$D1612&amp;" "&amp;'Compliance Database'!$K1612&amp;" "&amp;'Compliance Database'!$L1612&amp;" "&amp;'Compliance Database'!$M1612&amp;" "&amp;'Compliance Database'!$N1612&amp;" "&amp;'Compliance Database'!$O1612)))),1,0)</f>
        <v/>
      </c>
      <c r="B1612">
        <f>IF($A1612=1,SUM($A$2:$A1612),"")</f>
        <v/>
      </c>
      <c r="C1612">
        <f>IF($A1612=1,SUM($A$2:$A1612),0)</f>
        <v/>
      </c>
    </row>
    <row r="1613">
      <c r="A1613">
        <f>IF(AND(OR('Compliance Database'!$A1613='Data Transfer'!$B$4,'Compliance Database'!$A1613='Data Transfer'!$B$5),OR('Data Transfer'!$B$6="",ISNUMBER(SEARCH('Data Transfer'!$B$6,'Compliance Database'!$D1613&amp;" "&amp;'Compliance Database'!$K1613&amp;" "&amp;'Compliance Database'!$L1613&amp;" "&amp;'Compliance Database'!$M1613&amp;" "&amp;'Compliance Database'!$N1613&amp;" "&amp;'Compliance Database'!$O1613)))),1,0)</f>
        <v/>
      </c>
      <c r="B1613">
        <f>IF($A1613=1,SUM($A$2:$A1613),"")</f>
        <v/>
      </c>
      <c r="C1613">
        <f>IF($A1613=1,SUM($A$2:$A1613),0)</f>
        <v/>
      </c>
    </row>
    <row r="1614">
      <c r="A1614">
        <f>IF(AND(OR('Compliance Database'!$A1614='Data Transfer'!$B$4,'Compliance Database'!$A1614='Data Transfer'!$B$5),OR('Data Transfer'!$B$6="",ISNUMBER(SEARCH('Data Transfer'!$B$6,'Compliance Database'!$D1614&amp;" "&amp;'Compliance Database'!$K1614&amp;" "&amp;'Compliance Database'!$L1614&amp;" "&amp;'Compliance Database'!$M1614&amp;" "&amp;'Compliance Database'!$N1614&amp;" "&amp;'Compliance Database'!$O1614)))),1,0)</f>
        <v/>
      </c>
      <c r="B1614">
        <f>IF($A1614=1,SUM($A$2:$A1614),"")</f>
        <v/>
      </c>
      <c r="C1614">
        <f>IF($A1614=1,SUM($A$2:$A1614),0)</f>
        <v/>
      </c>
    </row>
    <row r="1615">
      <c r="A1615">
        <f>IF(AND(OR('Compliance Database'!$A1615='Data Transfer'!$B$4,'Compliance Database'!$A1615='Data Transfer'!$B$5),OR('Data Transfer'!$B$6="",ISNUMBER(SEARCH('Data Transfer'!$B$6,'Compliance Database'!$D1615&amp;" "&amp;'Compliance Database'!$K1615&amp;" "&amp;'Compliance Database'!$L1615&amp;" "&amp;'Compliance Database'!$M1615&amp;" "&amp;'Compliance Database'!$N1615&amp;" "&amp;'Compliance Database'!$O1615)))),1,0)</f>
        <v/>
      </c>
      <c r="B1615">
        <f>IF($A1615=1,SUM($A$2:$A1615),"")</f>
        <v/>
      </c>
      <c r="C1615">
        <f>IF($A1615=1,SUM($A$2:$A1615),0)</f>
        <v/>
      </c>
    </row>
    <row r="1616">
      <c r="A1616">
        <f>IF(AND(OR('Compliance Database'!$A1616='Data Transfer'!$B$4,'Compliance Database'!$A1616='Data Transfer'!$B$5),OR('Data Transfer'!$B$6="",ISNUMBER(SEARCH('Data Transfer'!$B$6,'Compliance Database'!$D1616&amp;" "&amp;'Compliance Database'!$K1616&amp;" "&amp;'Compliance Database'!$L1616&amp;" "&amp;'Compliance Database'!$M1616&amp;" "&amp;'Compliance Database'!$N1616&amp;" "&amp;'Compliance Database'!$O1616)))),1,0)</f>
        <v/>
      </c>
      <c r="B1616">
        <f>IF($A1616=1,SUM($A$2:$A1616),"")</f>
        <v/>
      </c>
      <c r="C1616">
        <f>IF($A1616=1,SUM($A$2:$A1616),0)</f>
        <v/>
      </c>
    </row>
    <row r="1617">
      <c r="A1617">
        <f>IF(AND(OR('Compliance Database'!$A1617='Data Transfer'!$B$4,'Compliance Database'!$A1617='Data Transfer'!$B$5),OR('Data Transfer'!$B$6="",ISNUMBER(SEARCH('Data Transfer'!$B$6,'Compliance Database'!$D1617&amp;" "&amp;'Compliance Database'!$K1617&amp;" "&amp;'Compliance Database'!$L1617&amp;" "&amp;'Compliance Database'!$M1617&amp;" "&amp;'Compliance Database'!$N1617&amp;" "&amp;'Compliance Database'!$O1617)))),1,0)</f>
        <v/>
      </c>
      <c r="B1617">
        <f>IF($A1617=1,SUM($A$2:$A1617),"")</f>
        <v/>
      </c>
      <c r="C1617">
        <f>IF($A1617=1,SUM($A$2:$A1617),0)</f>
        <v/>
      </c>
    </row>
    <row r="1618">
      <c r="A1618">
        <f>IF(AND(OR('Compliance Database'!$A1618='Data Transfer'!$B$4,'Compliance Database'!$A1618='Data Transfer'!$B$5),OR('Data Transfer'!$B$6="",ISNUMBER(SEARCH('Data Transfer'!$B$6,'Compliance Database'!$D1618&amp;" "&amp;'Compliance Database'!$K1618&amp;" "&amp;'Compliance Database'!$L1618&amp;" "&amp;'Compliance Database'!$M1618&amp;" "&amp;'Compliance Database'!$N1618&amp;" "&amp;'Compliance Database'!$O1618)))),1,0)</f>
        <v/>
      </c>
      <c r="B1618">
        <f>IF($A1618=1,SUM($A$2:$A1618),"")</f>
        <v/>
      </c>
      <c r="C1618">
        <f>IF($A1618=1,SUM($A$2:$A1618),0)</f>
        <v/>
      </c>
    </row>
    <row r="1619">
      <c r="A1619">
        <f>IF(AND(OR('Compliance Database'!$A1619='Data Transfer'!$B$4,'Compliance Database'!$A1619='Data Transfer'!$B$5),OR('Data Transfer'!$B$6="",ISNUMBER(SEARCH('Data Transfer'!$B$6,'Compliance Database'!$D1619&amp;" "&amp;'Compliance Database'!$K1619&amp;" "&amp;'Compliance Database'!$L1619&amp;" "&amp;'Compliance Database'!$M1619&amp;" "&amp;'Compliance Database'!$N1619&amp;" "&amp;'Compliance Database'!$O1619)))),1,0)</f>
        <v/>
      </c>
      <c r="B1619">
        <f>IF($A1619=1,SUM($A$2:$A1619),"")</f>
        <v/>
      </c>
      <c r="C1619">
        <f>IF($A1619=1,SUM($A$2:$A1619),0)</f>
        <v/>
      </c>
    </row>
    <row r="1620">
      <c r="A1620">
        <f>IF(AND(OR('Compliance Database'!$A1620='Data Transfer'!$B$4,'Compliance Database'!$A1620='Data Transfer'!$B$5),OR('Data Transfer'!$B$6="",ISNUMBER(SEARCH('Data Transfer'!$B$6,'Compliance Database'!$D1620&amp;" "&amp;'Compliance Database'!$K1620&amp;" "&amp;'Compliance Database'!$L1620&amp;" "&amp;'Compliance Database'!$M1620&amp;" "&amp;'Compliance Database'!$N1620&amp;" "&amp;'Compliance Database'!$O1620)))),1,0)</f>
        <v/>
      </c>
      <c r="B1620">
        <f>IF($A1620=1,SUM($A$2:$A1620),"")</f>
        <v/>
      </c>
      <c r="C1620">
        <f>IF($A1620=1,SUM($A$2:$A1620),0)</f>
        <v/>
      </c>
    </row>
    <row r="1621">
      <c r="A1621">
        <f>IF(AND(OR('Compliance Database'!$A1621='Data Transfer'!$B$4,'Compliance Database'!$A1621='Data Transfer'!$B$5),OR('Data Transfer'!$B$6="",ISNUMBER(SEARCH('Data Transfer'!$B$6,'Compliance Database'!$D1621&amp;" "&amp;'Compliance Database'!$K1621&amp;" "&amp;'Compliance Database'!$L1621&amp;" "&amp;'Compliance Database'!$M1621&amp;" "&amp;'Compliance Database'!$N1621&amp;" "&amp;'Compliance Database'!$O1621)))),1,0)</f>
        <v/>
      </c>
      <c r="B1621">
        <f>IF($A1621=1,SUM($A$2:$A1621),"")</f>
        <v/>
      </c>
      <c r="C1621">
        <f>IF($A1621=1,SUM($A$2:$A1621),0)</f>
        <v/>
      </c>
    </row>
    <row r="1622">
      <c r="A1622">
        <f>IF(AND(OR('Compliance Database'!$A1622='Data Transfer'!$B$4,'Compliance Database'!$A1622='Data Transfer'!$B$5),OR('Data Transfer'!$B$6="",ISNUMBER(SEARCH('Data Transfer'!$B$6,'Compliance Database'!$D1622&amp;" "&amp;'Compliance Database'!$K1622&amp;" "&amp;'Compliance Database'!$L1622&amp;" "&amp;'Compliance Database'!$M1622&amp;" "&amp;'Compliance Database'!$N1622&amp;" "&amp;'Compliance Database'!$O1622)))),1,0)</f>
        <v/>
      </c>
      <c r="B1622">
        <f>IF($A1622=1,SUM($A$2:$A1622),"")</f>
        <v/>
      </c>
      <c r="C1622">
        <f>IF($A1622=1,SUM($A$2:$A1622),0)</f>
        <v/>
      </c>
    </row>
    <row r="1623">
      <c r="A1623">
        <f>IF(AND(OR('Compliance Database'!$A1623='Data Transfer'!$B$4,'Compliance Database'!$A1623='Data Transfer'!$B$5),OR('Data Transfer'!$B$6="",ISNUMBER(SEARCH('Data Transfer'!$B$6,'Compliance Database'!$D1623&amp;" "&amp;'Compliance Database'!$K1623&amp;" "&amp;'Compliance Database'!$L1623&amp;" "&amp;'Compliance Database'!$M1623&amp;" "&amp;'Compliance Database'!$N1623&amp;" "&amp;'Compliance Database'!$O1623)))),1,0)</f>
        <v/>
      </c>
      <c r="B1623">
        <f>IF($A1623=1,SUM($A$2:$A1623),"")</f>
        <v/>
      </c>
      <c r="C1623">
        <f>IF($A1623=1,SUM($A$2:$A1623),0)</f>
        <v/>
      </c>
    </row>
    <row r="1624">
      <c r="A1624">
        <f>IF(AND(OR('Compliance Database'!$A1624='Data Transfer'!$B$4,'Compliance Database'!$A1624='Data Transfer'!$B$5),OR('Data Transfer'!$B$6="",ISNUMBER(SEARCH('Data Transfer'!$B$6,'Compliance Database'!$D1624&amp;" "&amp;'Compliance Database'!$K1624&amp;" "&amp;'Compliance Database'!$L1624&amp;" "&amp;'Compliance Database'!$M1624&amp;" "&amp;'Compliance Database'!$N1624&amp;" "&amp;'Compliance Database'!$O1624)))),1,0)</f>
        <v/>
      </c>
      <c r="B1624">
        <f>IF($A1624=1,SUM($A$2:$A1624),"")</f>
        <v/>
      </c>
      <c r="C1624">
        <f>IF($A1624=1,SUM($A$2:$A1624),0)</f>
        <v/>
      </c>
    </row>
    <row r="1625">
      <c r="A1625">
        <f>IF(AND(OR('Compliance Database'!$A1625='Data Transfer'!$B$4,'Compliance Database'!$A1625='Data Transfer'!$B$5),OR('Data Transfer'!$B$6="",ISNUMBER(SEARCH('Data Transfer'!$B$6,'Compliance Database'!$D1625&amp;" "&amp;'Compliance Database'!$K1625&amp;" "&amp;'Compliance Database'!$L1625&amp;" "&amp;'Compliance Database'!$M1625&amp;" "&amp;'Compliance Database'!$N1625&amp;" "&amp;'Compliance Database'!$O1625)))),1,0)</f>
        <v/>
      </c>
      <c r="B1625">
        <f>IF($A1625=1,SUM($A$2:$A1625),"")</f>
        <v/>
      </c>
      <c r="C1625">
        <f>IF($A1625=1,SUM($A$2:$A1625),0)</f>
        <v/>
      </c>
    </row>
    <row r="1626">
      <c r="A1626">
        <f>IF(AND(OR('Compliance Database'!$A1626='Data Transfer'!$B$4,'Compliance Database'!$A1626='Data Transfer'!$B$5),OR('Data Transfer'!$B$6="",ISNUMBER(SEARCH('Data Transfer'!$B$6,'Compliance Database'!$D1626&amp;" "&amp;'Compliance Database'!$K1626&amp;" "&amp;'Compliance Database'!$L1626&amp;" "&amp;'Compliance Database'!$M1626&amp;" "&amp;'Compliance Database'!$N1626&amp;" "&amp;'Compliance Database'!$O1626)))),1,0)</f>
        <v/>
      </c>
      <c r="B1626">
        <f>IF($A1626=1,SUM($A$2:$A1626),"")</f>
        <v/>
      </c>
      <c r="C1626">
        <f>IF($A1626=1,SUM($A$2:$A1626),0)</f>
        <v/>
      </c>
    </row>
    <row r="1627">
      <c r="A1627">
        <f>IF(AND(OR('Compliance Database'!$A1627='Data Transfer'!$B$4,'Compliance Database'!$A1627='Data Transfer'!$B$5),OR('Data Transfer'!$B$6="",ISNUMBER(SEARCH('Data Transfer'!$B$6,'Compliance Database'!$D1627&amp;" "&amp;'Compliance Database'!$K1627&amp;" "&amp;'Compliance Database'!$L1627&amp;" "&amp;'Compliance Database'!$M1627&amp;" "&amp;'Compliance Database'!$N1627&amp;" "&amp;'Compliance Database'!$O1627)))),1,0)</f>
        <v/>
      </c>
      <c r="B1627">
        <f>IF($A1627=1,SUM($A$2:$A1627),"")</f>
        <v/>
      </c>
      <c r="C1627">
        <f>IF($A1627=1,SUM($A$2:$A1627),0)</f>
        <v/>
      </c>
    </row>
    <row r="1628">
      <c r="A1628">
        <f>IF(AND(OR('Compliance Database'!$A1628='Data Transfer'!$B$4,'Compliance Database'!$A1628='Data Transfer'!$B$5),OR('Data Transfer'!$B$6="",ISNUMBER(SEARCH('Data Transfer'!$B$6,'Compliance Database'!$D1628&amp;" "&amp;'Compliance Database'!$K1628&amp;" "&amp;'Compliance Database'!$L1628&amp;" "&amp;'Compliance Database'!$M1628&amp;" "&amp;'Compliance Database'!$N1628&amp;" "&amp;'Compliance Database'!$O1628)))),1,0)</f>
        <v/>
      </c>
      <c r="B1628">
        <f>IF($A1628=1,SUM($A$2:$A1628),"")</f>
        <v/>
      </c>
      <c r="C1628">
        <f>IF($A1628=1,SUM($A$2:$A1628),0)</f>
        <v/>
      </c>
    </row>
    <row r="1629">
      <c r="A1629">
        <f>IF(AND(OR('Compliance Database'!$A1629='Data Transfer'!$B$4,'Compliance Database'!$A1629='Data Transfer'!$B$5),OR('Data Transfer'!$B$6="",ISNUMBER(SEARCH('Data Transfer'!$B$6,'Compliance Database'!$D1629&amp;" "&amp;'Compliance Database'!$K1629&amp;" "&amp;'Compliance Database'!$L1629&amp;" "&amp;'Compliance Database'!$M1629&amp;" "&amp;'Compliance Database'!$N1629&amp;" "&amp;'Compliance Database'!$O1629)))),1,0)</f>
        <v/>
      </c>
      <c r="B1629">
        <f>IF($A1629=1,SUM($A$2:$A1629),"")</f>
        <v/>
      </c>
      <c r="C1629">
        <f>IF($A1629=1,SUM($A$2:$A1629),0)</f>
        <v/>
      </c>
    </row>
    <row r="1630">
      <c r="A1630">
        <f>IF(AND(OR('Compliance Database'!$A1630='Data Transfer'!$B$4,'Compliance Database'!$A1630='Data Transfer'!$B$5),OR('Data Transfer'!$B$6="",ISNUMBER(SEARCH('Data Transfer'!$B$6,'Compliance Database'!$D1630&amp;" "&amp;'Compliance Database'!$K1630&amp;" "&amp;'Compliance Database'!$L1630&amp;" "&amp;'Compliance Database'!$M1630&amp;" "&amp;'Compliance Database'!$N1630&amp;" "&amp;'Compliance Database'!$O1630)))),1,0)</f>
        <v/>
      </c>
      <c r="B1630">
        <f>IF($A1630=1,SUM($A$2:$A1630),"")</f>
        <v/>
      </c>
      <c r="C1630">
        <f>IF($A1630=1,SUM($A$2:$A1630),0)</f>
        <v/>
      </c>
    </row>
    <row r="1631">
      <c r="A1631">
        <f>IF(AND(OR('Compliance Database'!$A1631='Data Transfer'!$B$4,'Compliance Database'!$A1631='Data Transfer'!$B$5),OR('Data Transfer'!$B$6="",ISNUMBER(SEARCH('Data Transfer'!$B$6,'Compliance Database'!$D1631&amp;" "&amp;'Compliance Database'!$K1631&amp;" "&amp;'Compliance Database'!$L1631&amp;" "&amp;'Compliance Database'!$M1631&amp;" "&amp;'Compliance Database'!$N1631&amp;" "&amp;'Compliance Database'!$O1631)))),1,0)</f>
        <v/>
      </c>
      <c r="B1631">
        <f>IF($A1631=1,SUM($A$2:$A1631),"")</f>
        <v/>
      </c>
      <c r="C1631">
        <f>IF($A1631=1,SUM($A$2:$A1631),0)</f>
        <v/>
      </c>
    </row>
    <row r="1632">
      <c r="A1632">
        <f>IF(AND(OR('Compliance Database'!$A1632='Data Transfer'!$B$4,'Compliance Database'!$A1632='Data Transfer'!$B$5),OR('Data Transfer'!$B$6="",ISNUMBER(SEARCH('Data Transfer'!$B$6,'Compliance Database'!$D1632&amp;" "&amp;'Compliance Database'!$K1632&amp;" "&amp;'Compliance Database'!$L1632&amp;" "&amp;'Compliance Database'!$M1632&amp;" "&amp;'Compliance Database'!$N1632&amp;" "&amp;'Compliance Database'!$O1632)))),1,0)</f>
        <v/>
      </c>
      <c r="B1632">
        <f>IF($A1632=1,SUM($A$2:$A1632),"")</f>
        <v/>
      </c>
      <c r="C1632">
        <f>IF($A1632=1,SUM($A$2:$A1632),0)</f>
        <v/>
      </c>
    </row>
    <row r="1633">
      <c r="A1633">
        <f>IF(AND(OR('Compliance Database'!$A1633='Data Transfer'!$B$4,'Compliance Database'!$A1633='Data Transfer'!$B$5),OR('Data Transfer'!$B$6="",ISNUMBER(SEARCH('Data Transfer'!$B$6,'Compliance Database'!$D1633&amp;" "&amp;'Compliance Database'!$K1633&amp;" "&amp;'Compliance Database'!$L1633&amp;" "&amp;'Compliance Database'!$M1633&amp;" "&amp;'Compliance Database'!$N1633&amp;" "&amp;'Compliance Database'!$O1633)))),1,0)</f>
        <v/>
      </c>
      <c r="B1633">
        <f>IF($A1633=1,SUM($A$2:$A1633),"")</f>
        <v/>
      </c>
      <c r="C1633">
        <f>IF($A1633=1,SUM($A$2:$A1633),0)</f>
        <v/>
      </c>
    </row>
    <row r="1634">
      <c r="A1634">
        <f>IF(AND(OR('Compliance Database'!$A1634='Data Transfer'!$B$4,'Compliance Database'!$A1634='Data Transfer'!$B$5),OR('Data Transfer'!$B$6="",ISNUMBER(SEARCH('Data Transfer'!$B$6,'Compliance Database'!$D1634&amp;" "&amp;'Compliance Database'!$K1634&amp;" "&amp;'Compliance Database'!$L1634&amp;" "&amp;'Compliance Database'!$M1634&amp;" "&amp;'Compliance Database'!$N1634&amp;" "&amp;'Compliance Database'!$O1634)))),1,0)</f>
        <v/>
      </c>
      <c r="B1634">
        <f>IF($A1634=1,SUM($A$2:$A1634),"")</f>
        <v/>
      </c>
      <c r="C1634">
        <f>IF($A1634=1,SUM($A$2:$A1634),0)</f>
        <v/>
      </c>
    </row>
    <row r="1635">
      <c r="A1635">
        <f>IF(AND(OR('Compliance Database'!$A1635='Data Transfer'!$B$4,'Compliance Database'!$A1635='Data Transfer'!$B$5),OR('Data Transfer'!$B$6="",ISNUMBER(SEARCH('Data Transfer'!$B$6,'Compliance Database'!$D1635&amp;" "&amp;'Compliance Database'!$K1635&amp;" "&amp;'Compliance Database'!$L1635&amp;" "&amp;'Compliance Database'!$M1635&amp;" "&amp;'Compliance Database'!$N1635&amp;" "&amp;'Compliance Database'!$O1635)))),1,0)</f>
        <v/>
      </c>
      <c r="B1635">
        <f>IF($A1635=1,SUM($A$2:$A1635),"")</f>
        <v/>
      </c>
      <c r="C1635">
        <f>IF($A1635=1,SUM($A$2:$A1635),0)</f>
        <v/>
      </c>
    </row>
    <row r="1636">
      <c r="A1636">
        <f>IF(AND(OR('Compliance Database'!$A1636='Data Transfer'!$B$4,'Compliance Database'!$A1636='Data Transfer'!$B$5),OR('Data Transfer'!$B$6="",ISNUMBER(SEARCH('Data Transfer'!$B$6,'Compliance Database'!$D1636&amp;" "&amp;'Compliance Database'!$K1636&amp;" "&amp;'Compliance Database'!$L1636&amp;" "&amp;'Compliance Database'!$M1636&amp;" "&amp;'Compliance Database'!$N1636&amp;" "&amp;'Compliance Database'!$O1636)))),1,0)</f>
        <v/>
      </c>
      <c r="B1636">
        <f>IF($A1636=1,SUM($A$2:$A1636),"")</f>
        <v/>
      </c>
      <c r="C1636">
        <f>IF($A1636=1,SUM($A$2:$A1636),0)</f>
        <v/>
      </c>
    </row>
    <row r="1637">
      <c r="A1637">
        <f>IF(AND(OR('Compliance Database'!$A1637='Data Transfer'!$B$4,'Compliance Database'!$A1637='Data Transfer'!$B$5),OR('Data Transfer'!$B$6="",ISNUMBER(SEARCH('Data Transfer'!$B$6,'Compliance Database'!$D1637&amp;" "&amp;'Compliance Database'!$K1637&amp;" "&amp;'Compliance Database'!$L1637&amp;" "&amp;'Compliance Database'!$M1637&amp;" "&amp;'Compliance Database'!$N1637&amp;" "&amp;'Compliance Database'!$O1637)))),1,0)</f>
        <v/>
      </c>
      <c r="B1637">
        <f>IF($A1637=1,SUM($A$2:$A1637),"")</f>
        <v/>
      </c>
      <c r="C1637">
        <f>IF($A1637=1,SUM($A$2:$A1637),0)</f>
        <v/>
      </c>
    </row>
    <row r="1638">
      <c r="A1638">
        <f>IF(AND(OR('Compliance Database'!$A1638='Data Transfer'!$B$4,'Compliance Database'!$A1638='Data Transfer'!$B$5),OR('Data Transfer'!$B$6="",ISNUMBER(SEARCH('Data Transfer'!$B$6,'Compliance Database'!$D1638&amp;" "&amp;'Compliance Database'!$K1638&amp;" "&amp;'Compliance Database'!$L1638&amp;" "&amp;'Compliance Database'!$M1638&amp;" "&amp;'Compliance Database'!$N1638&amp;" "&amp;'Compliance Database'!$O1638)))),1,0)</f>
        <v/>
      </c>
      <c r="B1638">
        <f>IF($A1638=1,SUM($A$2:$A1638),"")</f>
        <v/>
      </c>
      <c r="C1638">
        <f>IF($A1638=1,SUM($A$2:$A1638),0)</f>
        <v/>
      </c>
    </row>
    <row r="1639">
      <c r="A1639">
        <f>IF(AND(OR('Compliance Database'!$A1639='Data Transfer'!$B$4,'Compliance Database'!$A1639='Data Transfer'!$B$5),OR('Data Transfer'!$B$6="",ISNUMBER(SEARCH('Data Transfer'!$B$6,'Compliance Database'!$D1639&amp;" "&amp;'Compliance Database'!$K1639&amp;" "&amp;'Compliance Database'!$L1639&amp;" "&amp;'Compliance Database'!$M1639&amp;" "&amp;'Compliance Database'!$N1639&amp;" "&amp;'Compliance Database'!$O1639)))),1,0)</f>
        <v/>
      </c>
      <c r="B1639">
        <f>IF($A1639=1,SUM($A$2:$A1639),"")</f>
        <v/>
      </c>
      <c r="C1639">
        <f>IF($A1639=1,SUM($A$2:$A1639),0)</f>
        <v/>
      </c>
    </row>
    <row r="1640">
      <c r="A1640">
        <f>IF(AND(OR('Compliance Database'!$A1640='Data Transfer'!$B$4,'Compliance Database'!$A1640='Data Transfer'!$B$5),OR('Data Transfer'!$B$6="",ISNUMBER(SEARCH('Data Transfer'!$B$6,'Compliance Database'!$D1640&amp;" "&amp;'Compliance Database'!$K1640&amp;" "&amp;'Compliance Database'!$L1640&amp;" "&amp;'Compliance Database'!$M1640&amp;" "&amp;'Compliance Database'!$N1640&amp;" "&amp;'Compliance Database'!$O1640)))),1,0)</f>
        <v/>
      </c>
      <c r="B1640">
        <f>IF($A1640=1,SUM($A$2:$A1640),"")</f>
        <v/>
      </c>
      <c r="C1640">
        <f>IF($A1640=1,SUM($A$2:$A1640),0)</f>
        <v/>
      </c>
    </row>
    <row r="1641">
      <c r="A1641">
        <f>IF(AND(OR('Compliance Database'!$A1641='Data Transfer'!$B$4,'Compliance Database'!$A1641='Data Transfer'!$B$5),OR('Data Transfer'!$B$6="",ISNUMBER(SEARCH('Data Transfer'!$B$6,'Compliance Database'!$D1641&amp;" "&amp;'Compliance Database'!$K1641&amp;" "&amp;'Compliance Database'!$L1641&amp;" "&amp;'Compliance Database'!$M1641&amp;" "&amp;'Compliance Database'!$N1641&amp;" "&amp;'Compliance Database'!$O1641)))),1,0)</f>
        <v/>
      </c>
      <c r="B1641">
        <f>IF($A1641=1,SUM($A$2:$A1641),"")</f>
        <v/>
      </c>
      <c r="C1641">
        <f>IF($A1641=1,SUM($A$2:$A1641),0)</f>
        <v/>
      </c>
    </row>
    <row r="1642">
      <c r="A1642">
        <f>IF(AND(OR('Compliance Database'!$A1642='Data Transfer'!$B$4,'Compliance Database'!$A1642='Data Transfer'!$B$5),OR('Data Transfer'!$B$6="",ISNUMBER(SEARCH('Data Transfer'!$B$6,'Compliance Database'!$D1642&amp;" "&amp;'Compliance Database'!$K1642&amp;" "&amp;'Compliance Database'!$L1642&amp;" "&amp;'Compliance Database'!$M1642&amp;" "&amp;'Compliance Database'!$N1642&amp;" "&amp;'Compliance Database'!$O1642)))),1,0)</f>
        <v/>
      </c>
      <c r="B1642">
        <f>IF($A1642=1,SUM($A$2:$A1642),"")</f>
        <v/>
      </c>
      <c r="C1642">
        <f>IF($A1642=1,SUM($A$2:$A1642),0)</f>
        <v/>
      </c>
    </row>
    <row r="1643">
      <c r="A1643">
        <f>IF(AND(OR('Compliance Database'!$A1643='Data Transfer'!$B$4,'Compliance Database'!$A1643='Data Transfer'!$B$5),OR('Data Transfer'!$B$6="",ISNUMBER(SEARCH('Data Transfer'!$B$6,'Compliance Database'!$D1643&amp;" "&amp;'Compliance Database'!$K1643&amp;" "&amp;'Compliance Database'!$L1643&amp;" "&amp;'Compliance Database'!$M1643&amp;" "&amp;'Compliance Database'!$N1643&amp;" "&amp;'Compliance Database'!$O1643)))),1,0)</f>
        <v/>
      </c>
      <c r="B1643">
        <f>IF($A1643=1,SUM($A$2:$A1643),"")</f>
        <v/>
      </c>
      <c r="C1643">
        <f>IF($A1643=1,SUM($A$2:$A1643),0)</f>
        <v/>
      </c>
    </row>
    <row r="1644">
      <c r="A1644">
        <f>IF(AND(OR('Compliance Database'!$A1644='Data Transfer'!$B$4,'Compliance Database'!$A1644='Data Transfer'!$B$5),OR('Data Transfer'!$B$6="",ISNUMBER(SEARCH('Data Transfer'!$B$6,'Compliance Database'!$D1644&amp;" "&amp;'Compliance Database'!$K1644&amp;" "&amp;'Compliance Database'!$L1644&amp;" "&amp;'Compliance Database'!$M1644&amp;" "&amp;'Compliance Database'!$N1644&amp;" "&amp;'Compliance Database'!$O1644)))),1,0)</f>
        <v/>
      </c>
      <c r="B1644">
        <f>IF($A1644=1,SUM($A$2:$A1644),"")</f>
        <v/>
      </c>
      <c r="C1644">
        <f>IF($A1644=1,SUM($A$2:$A1644),0)</f>
        <v/>
      </c>
    </row>
    <row r="1645">
      <c r="A1645">
        <f>IF(AND(OR('Compliance Database'!$A1645='Data Transfer'!$B$4,'Compliance Database'!$A1645='Data Transfer'!$B$5),OR('Data Transfer'!$B$6="",ISNUMBER(SEARCH('Data Transfer'!$B$6,'Compliance Database'!$D1645&amp;" "&amp;'Compliance Database'!$K1645&amp;" "&amp;'Compliance Database'!$L1645&amp;" "&amp;'Compliance Database'!$M1645&amp;" "&amp;'Compliance Database'!$N1645&amp;" "&amp;'Compliance Database'!$O1645)))),1,0)</f>
        <v/>
      </c>
      <c r="B1645">
        <f>IF($A1645=1,SUM($A$2:$A1645),"")</f>
        <v/>
      </c>
      <c r="C1645">
        <f>IF($A1645=1,SUM($A$2:$A1645),0)</f>
        <v/>
      </c>
    </row>
    <row r="1646">
      <c r="A1646">
        <f>IF(AND(OR('Compliance Database'!$A1646='Data Transfer'!$B$4,'Compliance Database'!$A1646='Data Transfer'!$B$5),OR('Data Transfer'!$B$6="",ISNUMBER(SEARCH('Data Transfer'!$B$6,'Compliance Database'!$D1646&amp;" "&amp;'Compliance Database'!$K1646&amp;" "&amp;'Compliance Database'!$L1646&amp;" "&amp;'Compliance Database'!$M1646&amp;" "&amp;'Compliance Database'!$N1646&amp;" "&amp;'Compliance Database'!$O1646)))),1,0)</f>
        <v/>
      </c>
      <c r="B1646">
        <f>IF($A1646=1,SUM($A$2:$A1646),"")</f>
        <v/>
      </c>
      <c r="C1646">
        <f>IF($A1646=1,SUM($A$2:$A1646),0)</f>
        <v/>
      </c>
    </row>
    <row r="1647">
      <c r="A1647">
        <f>IF(AND(OR('Compliance Database'!$A1647='Data Transfer'!$B$4,'Compliance Database'!$A1647='Data Transfer'!$B$5),OR('Data Transfer'!$B$6="",ISNUMBER(SEARCH('Data Transfer'!$B$6,'Compliance Database'!$D1647&amp;" "&amp;'Compliance Database'!$K1647&amp;" "&amp;'Compliance Database'!$L1647&amp;" "&amp;'Compliance Database'!$M1647&amp;" "&amp;'Compliance Database'!$N1647&amp;" "&amp;'Compliance Database'!$O1647)))),1,0)</f>
        <v/>
      </c>
      <c r="B1647">
        <f>IF($A1647=1,SUM($A$2:$A1647),"")</f>
        <v/>
      </c>
      <c r="C1647">
        <f>IF($A1647=1,SUM($A$2:$A1647),0)</f>
        <v/>
      </c>
    </row>
    <row r="1648">
      <c r="A1648">
        <f>IF(AND(OR('Compliance Database'!$A1648='Data Transfer'!$B$4,'Compliance Database'!$A1648='Data Transfer'!$B$5),OR('Data Transfer'!$B$6="",ISNUMBER(SEARCH('Data Transfer'!$B$6,'Compliance Database'!$D1648&amp;" "&amp;'Compliance Database'!$K1648&amp;" "&amp;'Compliance Database'!$L1648&amp;" "&amp;'Compliance Database'!$M1648&amp;" "&amp;'Compliance Database'!$N1648&amp;" "&amp;'Compliance Database'!$O1648)))),1,0)</f>
        <v/>
      </c>
      <c r="B1648">
        <f>IF($A1648=1,SUM($A$2:$A1648),"")</f>
        <v/>
      </c>
      <c r="C1648">
        <f>IF($A1648=1,SUM($A$2:$A1648),0)</f>
        <v/>
      </c>
    </row>
    <row r="1649">
      <c r="A1649">
        <f>IF(AND(OR('Compliance Database'!$A1649='Data Transfer'!$B$4,'Compliance Database'!$A1649='Data Transfer'!$B$5),OR('Data Transfer'!$B$6="",ISNUMBER(SEARCH('Data Transfer'!$B$6,'Compliance Database'!$D1649&amp;" "&amp;'Compliance Database'!$K1649&amp;" "&amp;'Compliance Database'!$L1649&amp;" "&amp;'Compliance Database'!$M1649&amp;" "&amp;'Compliance Database'!$N1649&amp;" "&amp;'Compliance Database'!$O1649)))),1,0)</f>
        <v/>
      </c>
      <c r="B1649">
        <f>IF($A1649=1,SUM($A$2:$A1649),"")</f>
        <v/>
      </c>
      <c r="C1649">
        <f>IF($A1649=1,SUM($A$2:$A1649),0)</f>
        <v/>
      </c>
    </row>
    <row r="1650">
      <c r="A1650">
        <f>IF(AND(OR('Compliance Database'!$A1650='Data Transfer'!$B$4,'Compliance Database'!$A1650='Data Transfer'!$B$5),OR('Data Transfer'!$B$6="",ISNUMBER(SEARCH('Data Transfer'!$B$6,'Compliance Database'!$D1650&amp;" "&amp;'Compliance Database'!$K1650&amp;" "&amp;'Compliance Database'!$L1650&amp;" "&amp;'Compliance Database'!$M1650&amp;" "&amp;'Compliance Database'!$N1650&amp;" "&amp;'Compliance Database'!$O1650)))),1,0)</f>
        <v/>
      </c>
      <c r="B1650">
        <f>IF($A1650=1,SUM($A$2:$A1650),"")</f>
        <v/>
      </c>
      <c r="C1650">
        <f>IF($A1650=1,SUM($A$2:$A1650),0)</f>
        <v/>
      </c>
    </row>
    <row r="1651">
      <c r="A1651">
        <f>IF(AND(OR('Compliance Database'!$A1651='Data Transfer'!$B$4,'Compliance Database'!$A1651='Data Transfer'!$B$5),OR('Data Transfer'!$B$6="",ISNUMBER(SEARCH('Data Transfer'!$B$6,'Compliance Database'!$D1651&amp;" "&amp;'Compliance Database'!$K1651&amp;" "&amp;'Compliance Database'!$L1651&amp;" "&amp;'Compliance Database'!$M1651&amp;" "&amp;'Compliance Database'!$N1651&amp;" "&amp;'Compliance Database'!$O1651)))),1,0)</f>
        <v/>
      </c>
      <c r="B1651">
        <f>IF($A1651=1,SUM($A$2:$A1651),"")</f>
        <v/>
      </c>
      <c r="C1651">
        <f>IF($A1651=1,SUM($A$2:$A1651),0)</f>
        <v/>
      </c>
    </row>
    <row r="1652">
      <c r="A1652">
        <f>IF(AND(OR('Compliance Database'!$A1652='Data Transfer'!$B$4,'Compliance Database'!$A1652='Data Transfer'!$B$5),OR('Data Transfer'!$B$6="",ISNUMBER(SEARCH('Data Transfer'!$B$6,'Compliance Database'!$D1652&amp;" "&amp;'Compliance Database'!$K1652&amp;" "&amp;'Compliance Database'!$L1652&amp;" "&amp;'Compliance Database'!$M1652&amp;" "&amp;'Compliance Database'!$N1652&amp;" "&amp;'Compliance Database'!$O1652)))),1,0)</f>
        <v/>
      </c>
      <c r="B1652">
        <f>IF($A1652=1,SUM($A$2:$A1652),"")</f>
        <v/>
      </c>
      <c r="C1652">
        <f>IF($A1652=1,SUM($A$2:$A1652),0)</f>
        <v/>
      </c>
    </row>
    <row r="1653">
      <c r="A1653">
        <f>IF(AND(OR('Compliance Database'!$A1653='Data Transfer'!$B$4,'Compliance Database'!$A1653='Data Transfer'!$B$5),OR('Data Transfer'!$B$6="",ISNUMBER(SEARCH('Data Transfer'!$B$6,'Compliance Database'!$D1653&amp;" "&amp;'Compliance Database'!$K1653&amp;" "&amp;'Compliance Database'!$L1653&amp;" "&amp;'Compliance Database'!$M1653&amp;" "&amp;'Compliance Database'!$N1653&amp;" "&amp;'Compliance Database'!$O1653)))),1,0)</f>
        <v/>
      </c>
      <c r="B1653">
        <f>IF($A1653=1,SUM($A$2:$A1653),"")</f>
        <v/>
      </c>
      <c r="C1653">
        <f>IF($A1653=1,SUM($A$2:$A1653),0)</f>
        <v/>
      </c>
    </row>
    <row r="1654">
      <c r="A1654">
        <f>IF(AND(OR('Compliance Database'!$A1654='Data Transfer'!$B$4,'Compliance Database'!$A1654='Data Transfer'!$B$5),OR('Data Transfer'!$B$6="",ISNUMBER(SEARCH('Data Transfer'!$B$6,'Compliance Database'!$D1654&amp;" "&amp;'Compliance Database'!$K1654&amp;" "&amp;'Compliance Database'!$L1654&amp;" "&amp;'Compliance Database'!$M1654&amp;" "&amp;'Compliance Database'!$N1654&amp;" "&amp;'Compliance Database'!$O1654)))),1,0)</f>
        <v/>
      </c>
      <c r="B1654">
        <f>IF($A1654=1,SUM($A$2:$A1654),"")</f>
        <v/>
      </c>
      <c r="C1654">
        <f>IF($A1654=1,SUM($A$2:$A1654),0)</f>
        <v/>
      </c>
    </row>
    <row r="1655">
      <c r="A1655">
        <f>IF(AND(OR('Compliance Database'!$A1655='Data Transfer'!$B$4,'Compliance Database'!$A1655='Data Transfer'!$B$5),OR('Data Transfer'!$B$6="",ISNUMBER(SEARCH('Data Transfer'!$B$6,'Compliance Database'!$D1655&amp;" "&amp;'Compliance Database'!$K1655&amp;" "&amp;'Compliance Database'!$L1655&amp;" "&amp;'Compliance Database'!$M1655&amp;" "&amp;'Compliance Database'!$N1655&amp;" "&amp;'Compliance Database'!$O1655)))),1,0)</f>
        <v/>
      </c>
      <c r="B1655">
        <f>IF($A1655=1,SUM($A$2:$A1655),"")</f>
        <v/>
      </c>
      <c r="C1655">
        <f>IF($A1655=1,SUM($A$2:$A1655),0)</f>
        <v/>
      </c>
    </row>
    <row r="1656">
      <c r="A1656">
        <f>IF(AND(OR('Compliance Database'!$A1656='Data Transfer'!$B$4,'Compliance Database'!$A1656='Data Transfer'!$B$5),OR('Data Transfer'!$B$6="",ISNUMBER(SEARCH('Data Transfer'!$B$6,'Compliance Database'!$D1656&amp;" "&amp;'Compliance Database'!$K1656&amp;" "&amp;'Compliance Database'!$L1656&amp;" "&amp;'Compliance Database'!$M1656&amp;" "&amp;'Compliance Database'!$N1656&amp;" "&amp;'Compliance Database'!$O1656)))),1,0)</f>
        <v/>
      </c>
      <c r="B1656">
        <f>IF($A1656=1,SUM($A$2:$A1656),"")</f>
        <v/>
      </c>
      <c r="C1656">
        <f>IF($A1656=1,SUM($A$2:$A1656),0)</f>
        <v/>
      </c>
    </row>
    <row r="1657">
      <c r="A1657">
        <f>IF(AND(OR('Compliance Database'!$A1657='Data Transfer'!$B$4,'Compliance Database'!$A1657='Data Transfer'!$B$5),OR('Data Transfer'!$B$6="",ISNUMBER(SEARCH('Data Transfer'!$B$6,'Compliance Database'!$D1657&amp;" "&amp;'Compliance Database'!$K1657&amp;" "&amp;'Compliance Database'!$L1657&amp;" "&amp;'Compliance Database'!$M1657&amp;" "&amp;'Compliance Database'!$N1657&amp;" "&amp;'Compliance Database'!$O1657)))),1,0)</f>
        <v/>
      </c>
      <c r="B1657">
        <f>IF($A1657=1,SUM($A$2:$A1657),"")</f>
        <v/>
      </c>
      <c r="C1657">
        <f>IF($A1657=1,SUM($A$2:$A1657),0)</f>
        <v/>
      </c>
    </row>
    <row r="1658">
      <c r="A1658">
        <f>IF(AND(OR('Compliance Database'!$A1658='Data Transfer'!$B$4,'Compliance Database'!$A1658='Data Transfer'!$B$5),OR('Data Transfer'!$B$6="",ISNUMBER(SEARCH('Data Transfer'!$B$6,'Compliance Database'!$D1658&amp;" "&amp;'Compliance Database'!$K1658&amp;" "&amp;'Compliance Database'!$L1658&amp;" "&amp;'Compliance Database'!$M1658&amp;" "&amp;'Compliance Database'!$N1658&amp;" "&amp;'Compliance Database'!$O1658)))),1,0)</f>
        <v/>
      </c>
      <c r="B1658">
        <f>IF($A1658=1,SUM($A$2:$A1658),"")</f>
        <v/>
      </c>
      <c r="C1658">
        <f>IF($A1658=1,SUM($A$2:$A1658),0)</f>
        <v/>
      </c>
    </row>
    <row r="1659">
      <c r="A1659">
        <f>IF(AND(OR('Compliance Database'!$A1659='Data Transfer'!$B$4,'Compliance Database'!$A1659='Data Transfer'!$B$5),OR('Data Transfer'!$B$6="",ISNUMBER(SEARCH('Data Transfer'!$B$6,'Compliance Database'!$D1659&amp;" "&amp;'Compliance Database'!$K1659&amp;" "&amp;'Compliance Database'!$L1659&amp;" "&amp;'Compliance Database'!$M1659&amp;" "&amp;'Compliance Database'!$N1659&amp;" "&amp;'Compliance Database'!$O1659)))),1,0)</f>
        <v/>
      </c>
      <c r="B1659">
        <f>IF($A1659=1,SUM($A$2:$A1659),"")</f>
        <v/>
      </c>
      <c r="C1659">
        <f>IF($A1659=1,SUM($A$2:$A1659),0)</f>
        <v/>
      </c>
    </row>
    <row r="1660">
      <c r="A1660">
        <f>IF(AND(OR('Compliance Database'!$A1660='Data Transfer'!$B$4,'Compliance Database'!$A1660='Data Transfer'!$B$5),OR('Data Transfer'!$B$6="",ISNUMBER(SEARCH('Data Transfer'!$B$6,'Compliance Database'!$D1660&amp;" "&amp;'Compliance Database'!$K1660&amp;" "&amp;'Compliance Database'!$L1660&amp;" "&amp;'Compliance Database'!$M1660&amp;" "&amp;'Compliance Database'!$N1660&amp;" "&amp;'Compliance Database'!$O1660)))),1,0)</f>
        <v/>
      </c>
      <c r="B1660">
        <f>IF($A1660=1,SUM($A$2:$A1660),"")</f>
        <v/>
      </c>
      <c r="C1660">
        <f>IF($A1660=1,SUM($A$2:$A1660),0)</f>
        <v/>
      </c>
    </row>
    <row r="1661">
      <c r="A1661">
        <f>IF(AND(OR('Compliance Database'!$A1661='Data Transfer'!$B$4,'Compliance Database'!$A1661='Data Transfer'!$B$5),OR('Data Transfer'!$B$6="",ISNUMBER(SEARCH('Data Transfer'!$B$6,'Compliance Database'!$D1661&amp;" "&amp;'Compliance Database'!$K1661&amp;" "&amp;'Compliance Database'!$L1661&amp;" "&amp;'Compliance Database'!$M1661&amp;" "&amp;'Compliance Database'!$N1661&amp;" "&amp;'Compliance Database'!$O1661)))),1,0)</f>
        <v/>
      </c>
      <c r="B1661">
        <f>IF($A1661=1,SUM($A$2:$A1661),"")</f>
        <v/>
      </c>
      <c r="C1661">
        <f>IF($A1661=1,SUM($A$2:$A1661),0)</f>
        <v/>
      </c>
    </row>
    <row r="1662">
      <c r="A1662">
        <f>IF(AND(OR('Compliance Database'!$A1662='Data Transfer'!$B$4,'Compliance Database'!$A1662='Data Transfer'!$B$5),OR('Data Transfer'!$B$6="",ISNUMBER(SEARCH('Data Transfer'!$B$6,'Compliance Database'!$D1662&amp;" "&amp;'Compliance Database'!$K1662&amp;" "&amp;'Compliance Database'!$L1662&amp;" "&amp;'Compliance Database'!$M1662&amp;" "&amp;'Compliance Database'!$N1662&amp;" "&amp;'Compliance Database'!$O1662)))),1,0)</f>
        <v/>
      </c>
      <c r="B1662">
        <f>IF($A1662=1,SUM($A$2:$A1662),"")</f>
        <v/>
      </c>
      <c r="C1662">
        <f>IF($A1662=1,SUM($A$2:$A1662),0)</f>
        <v/>
      </c>
    </row>
    <row r="1663">
      <c r="A1663">
        <f>IF(AND(OR('Compliance Database'!$A1663='Data Transfer'!$B$4,'Compliance Database'!$A1663='Data Transfer'!$B$5),OR('Data Transfer'!$B$6="",ISNUMBER(SEARCH('Data Transfer'!$B$6,'Compliance Database'!$D1663&amp;" "&amp;'Compliance Database'!$K1663&amp;" "&amp;'Compliance Database'!$L1663&amp;" "&amp;'Compliance Database'!$M1663&amp;" "&amp;'Compliance Database'!$N1663&amp;" "&amp;'Compliance Database'!$O1663)))),1,0)</f>
        <v/>
      </c>
      <c r="B1663">
        <f>IF($A1663=1,SUM($A$2:$A1663),"")</f>
        <v/>
      </c>
      <c r="C1663">
        <f>IF($A1663=1,SUM($A$2:$A1663),0)</f>
        <v/>
      </c>
    </row>
    <row r="1664">
      <c r="A1664">
        <f>IF(AND(OR('Compliance Database'!$A1664='Data Transfer'!$B$4,'Compliance Database'!$A1664='Data Transfer'!$B$5),OR('Data Transfer'!$B$6="",ISNUMBER(SEARCH('Data Transfer'!$B$6,'Compliance Database'!$D1664&amp;" "&amp;'Compliance Database'!$K1664&amp;" "&amp;'Compliance Database'!$L1664&amp;" "&amp;'Compliance Database'!$M1664&amp;" "&amp;'Compliance Database'!$N1664&amp;" "&amp;'Compliance Database'!$O1664)))),1,0)</f>
        <v/>
      </c>
      <c r="B1664">
        <f>IF($A1664=1,SUM($A$2:$A1664),"")</f>
        <v/>
      </c>
      <c r="C1664">
        <f>IF($A1664=1,SUM($A$2:$A1664),0)</f>
        <v/>
      </c>
    </row>
    <row r="1665">
      <c r="A1665">
        <f>IF(AND(OR('Compliance Database'!$A1665='Data Transfer'!$B$4,'Compliance Database'!$A1665='Data Transfer'!$B$5),OR('Data Transfer'!$B$6="",ISNUMBER(SEARCH('Data Transfer'!$B$6,'Compliance Database'!$D1665&amp;" "&amp;'Compliance Database'!$K1665&amp;" "&amp;'Compliance Database'!$L1665&amp;" "&amp;'Compliance Database'!$M1665&amp;" "&amp;'Compliance Database'!$N1665&amp;" "&amp;'Compliance Database'!$O1665)))),1,0)</f>
        <v/>
      </c>
      <c r="B1665">
        <f>IF($A1665=1,SUM($A$2:$A1665),"")</f>
        <v/>
      </c>
      <c r="C1665">
        <f>IF($A1665=1,SUM($A$2:$A1665),0)</f>
        <v/>
      </c>
    </row>
    <row r="1666">
      <c r="A1666">
        <f>IF(AND(OR('Compliance Database'!$A1666='Data Transfer'!$B$4,'Compliance Database'!$A1666='Data Transfer'!$B$5),OR('Data Transfer'!$B$6="",ISNUMBER(SEARCH('Data Transfer'!$B$6,'Compliance Database'!$D1666&amp;" "&amp;'Compliance Database'!$K1666&amp;" "&amp;'Compliance Database'!$L1666&amp;" "&amp;'Compliance Database'!$M1666&amp;" "&amp;'Compliance Database'!$N1666&amp;" "&amp;'Compliance Database'!$O1666)))),1,0)</f>
        <v/>
      </c>
      <c r="B1666">
        <f>IF($A1666=1,SUM($A$2:$A1666),"")</f>
        <v/>
      </c>
      <c r="C1666">
        <f>IF($A1666=1,SUM($A$2:$A1666),0)</f>
        <v/>
      </c>
    </row>
    <row r="1667">
      <c r="A1667">
        <f>IF(AND(OR('Compliance Database'!$A1667='Data Transfer'!$B$4,'Compliance Database'!$A1667='Data Transfer'!$B$5),OR('Data Transfer'!$B$6="",ISNUMBER(SEARCH('Data Transfer'!$B$6,'Compliance Database'!$D1667&amp;" "&amp;'Compliance Database'!$K1667&amp;" "&amp;'Compliance Database'!$L1667&amp;" "&amp;'Compliance Database'!$M1667&amp;" "&amp;'Compliance Database'!$N1667&amp;" "&amp;'Compliance Database'!$O1667)))),1,0)</f>
        <v/>
      </c>
      <c r="B1667">
        <f>IF($A1667=1,SUM($A$2:$A1667),"")</f>
        <v/>
      </c>
      <c r="C1667">
        <f>IF($A1667=1,SUM($A$2:$A1667),0)</f>
        <v/>
      </c>
    </row>
    <row r="1668">
      <c r="A1668">
        <f>IF(AND(OR('Compliance Database'!$A1668='Data Transfer'!$B$4,'Compliance Database'!$A1668='Data Transfer'!$B$5),OR('Data Transfer'!$B$6="",ISNUMBER(SEARCH('Data Transfer'!$B$6,'Compliance Database'!$D1668&amp;" "&amp;'Compliance Database'!$K1668&amp;" "&amp;'Compliance Database'!$L1668&amp;" "&amp;'Compliance Database'!$M1668&amp;" "&amp;'Compliance Database'!$N1668&amp;" "&amp;'Compliance Database'!$O1668)))),1,0)</f>
        <v/>
      </c>
      <c r="B1668">
        <f>IF($A1668=1,SUM($A$2:$A1668),"")</f>
        <v/>
      </c>
      <c r="C1668">
        <f>IF($A1668=1,SUM($A$2:$A1668),0)</f>
        <v/>
      </c>
    </row>
    <row r="1669">
      <c r="A1669">
        <f>IF(AND(OR('Compliance Database'!$A1669='Data Transfer'!$B$4,'Compliance Database'!$A1669='Data Transfer'!$B$5),OR('Data Transfer'!$B$6="",ISNUMBER(SEARCH('Data Transfer'!$B$6,'Compliance Database'!$D1669&amp;" "&amp;'Compliance Database'!$K1669&amp;" "&amp;'Compliance Database'!$L1669&amp;" "&amp;'Compliance Database'!$M1669&amp;" "&amp;'Compliance Database'!$N1669&amp;" "&amp;'Compliance Database'!$O1669)))),1,0)</f>
        <v/>
      </c>
      <c r="B1669">
        <f>IF($A1669=1,SUM($A$2:$A1669),"")</f>
        <v/>
      </c>
      <c r="C1669">
        <f>IF($A1669=1,SUM($A$2:$A1669),0)</f>
        <v/>
      </c>
    </row>
    <row r="1670">
      <c r="A1670">
        <f>IF(AND(OR('Compliance Database'!$A1670='Data Transfer'!$B$4,'Compliance Database'!$A1670='Data Transfer'!$B$5),OR('Data Transfer'!$B$6="",ISNUMBER(SEARCH('Data Transfer'!$B$6,'Compliance Database'!$D1670&amp;" "&amp;'Compliance Database'!$K1670&amp;" "&amp;'Compliance Database'!$L1670&amp;" "&amp;'Compliance Database'!$M1670&amp;" "&amp;'Compliance Database'!$N1670&amp;" "&amp;'Compliance Database'!$O1670)))),1,0)</f>
        <v/>
      </c>
      <c r="B1670">
        <f>IF($A1670=1,SUM($A$2:$A1670),"")</f>
        <v/>
      </c>
      <c r="C1670">
        <f>IF($A1670=1,SUM($A$2:$A1670),0)</f>
        <v/>
      </c>
    </row>
    <row r="1671">
      <c r="A1671">
        <f>IF(AND(OR('Compliance Database'!$A1671='Data Transfer'!$B$4,'Compliance Database'!$A1671='Data Transfer'!$B$5),OR('Data Transfer'!$B$6="",ISNUMBER(SEARCH('Data Transfer'!$B$6,'Compliance Database'!$D1671&amp;" "&amp;'Compliance Database'!$K1671&amp;" "&amp;'Compliance Database'!$L1671&amp;" "&amp;'Compliance Database'!$M1671&amp;" "&amp;'Compliance Database'!$N1671&amp;" "&amp;'Compliance Database'!$O1671)))),1,0)</f>
        <v/>
      </c>
      <c r="B1671">
        <f>IF($A1671=1,SUM($A$2:$A1671),"")</f>
        <v/>
      </c>
      <c r="C1671">
        <f>IF($A1671=1,SUM($A$2:$A1671),0)</f>
        <v/>
      </c>
    </row>
    <row r="1672">
      <c r="A1672">
        <f>IF(AND(OR('Compliance Database'!$A1672='Data Transfer'!$B$4,'Compliance Database'!$A1672='Data Transfer'!$B$5),OR('Data Transfer'!$B$6="",ISNUMBER(SEARCH('Data Transfer'!$B$6,'Compliance Database'!$D1672&amp;" "&amp;'Compliance Database'!$K1672&amp;" "&amp;'Compliance Database'!$L1672&amp;" "&amp;'Compliance Database'!$M1672&amp;" "&amp;'Compliance Database'!$N1672&amp;" "&amp;'Compliance Database'!$O1672)))),1,0)</f>
        <v/>
      </c>
      <c r="B1672">
        <f>IF($A1672=1,SUM($A$2:$A1672),"")</f>
        <v/>
      </c>
      <c r="C1672">
        <f>IF($A1672=1,SUM($A$2:$A1672),0)</f>
        <v/>
      </c>
    </row>
    <row r="1673">
      <c r="A1673">
        <f>IF(AND(OR('Compliance Database'!$A1673='Data Transfer'!$B$4,'Compliance Database'!$A1673='Data Transfer'!$B$5),OR('Data Transfer'!$B$6="",ISNUMBER(SEARCH('Data Transfer'!$B$6,'Compliance Database'!$D1673&amp;" "&amp;'Compliance Database'!$K1673&amp;" "&amp;'Compliance Database'!$L1673&amp;" "&amp;'Compliance Database'!$M1673&amp;" "&amp;'Compliance Database'!$N1673&amp;" "&amp;'Compliance Database'!$O1673)))),1,0)</f>
        <v/>
      </c>
      <c r="B1673">
        <f>IF($A1673=1,SUM($A$2:$A1673),"")</f>
        <v/>
      </c>
      <c r="C1673">
        <f>IF($A1673=1,SUM($A$2:$A1673),0)</f>
        <v/>
      </c>
    </row>
    <row r="1674">
      <c r="A1674">
        <f>IF(AND(OR('Compliance Database'!$A1674='Data Transfer'!$B$4,'Compliance Database'!$A1674='Data Transfer'!$B$5),OR('Data Transfer'!$B$6="",ISNUMBER(SEARCH('Data Transfer'!$B$6,'Compliance Database'!$D1674&amp;" "&amp;'Compliance Database'!$K1674&amp;" "&amp;'Compliance Database'!$L1674&amp;" "&amp;'Compliance Database'!$M1674&amp;" "&amp;'Compliance Database'!$N1674&amp;" "&amp;'Compliance Database'!$O1674)))),1,0)</f>
        <v/>
      </c>
      <c r="B1674">
        <f>IF($A1674=1,SUM($A$2:$A1674),"")</f>
        <v/>
      </c>
      <c r="C1674">
        <f>IF($A1674=1,SUM($A$2:$A1674),0)</f>
        <v/>
      </c>
    </row>
    <row r="1675">
      <c r="A1675">
        <f>IF(AND(OR('Compliance Database'!$A1675='Data Transfer'!$B$4,'Compliance Database'!$A1675='Data Transfer'!$B$5),OR('Data Transfer'!$B$6="",ISNUMBER(SEARCH('Data Transfer'!$B$6,'Compliance Database'!$D1675&amp;" "&amp;'Compliance Database'!$K1675&amp;" "&amp;'Compliance Database'!$L1675&amp;" "&amp;'Compliance Database'!$M1675&amp;" "&amp;'Compliance Database'!$N1675&amp;" "&amp;'Compliance Database'!$O1675)))),1,0)</f>
        <v/>
      </c>
      <c r="B1675">
        <f>IF($A1675=1,SUM($A$2:$A1675),"")</f>
        <v/>
      </c>
      <c r="C1675">
        <f>IF($A1675=1,SUM($A$2:$A1675),0)</f>
        <v/>
      </c>
    </row>
    <row r="1676">
      <c r="A1676">
        <f>IF(AND(OR('Compliance Database'!$A1676='Data Transfer'!$B$4,'Compliance Database'!$A1676='Data Transfer'!$B$5),OR('Data Transfer'!$B$6="",ISNUMBER(SEARCH('Data Transfer'!$B$6,'Compliance Database'!$D1676&amp;" "&amp;'Compliance Database'!$K1676&amp;" "&amp;'Compliance Database'!$L1676&amp;" "&amp;'Compliance Database'!$M1676&amp;" "&amp;'Compliance Database'!$N1676&amp;" "&amp;'Compliance Database'!$O1676)))),1,0)</f>
        <v/>
      </c>
      <c r="B1676">
        <f>IF($A1676=1,SUM($A$2:$A1676),"")</f>
        <v/>
      </c>
      <c r="C1676">
        <f>IF($A1676=1,SUM($A$2:$A1676),0)</f>
        <v/>
      </c>
    </row>
    <row r="1677">
      <c r="A1677">
        <f>IF(AND(OR('Compliance Database'!$A1677='Data Transfer'!$B$4,'Compliance Database'!$A1677='Data Transfer'!$B$5),OR('Data Transfer'!$B$6="",ISNUMBER(SEARCH('Data Transfer'!$B$6,'Compliance Database'!$D1677&amp;" "&amp;'Compliance Database'!$K1677&amp;" "&amp;'Compliance Database'!$L1677&amp;" "&amp;'Compliance Database'!$M1677&amp;" "&amp;'Compliance Database'!$N1677&amp;" "&amp;'Compliance Database'!$O1677)))),1,0)</f>
        <v/>
      </c>
      <c r="B1677">
        <f>IF($A1677=1,SUM($A$2:$A1677),"")</f>
        <v/>
      </c>
      <c r="C1677">
        <f>IF($A1677=1,SUM($A$2:$A1677),0)</f>
        <v/>
      </c>
    </row>
    <row r="1678">
      <c r="A1678">
        <f>IF(AND(OR('Compliance Database'!$A1678='Data Transfer'!$B$4,'Compliance Database'!$A1678='Data Transfer'!$B$5),OR('Data Transfer'!$B$6="",ISNUMBER(SEARCH('Data Transfer'!$B$6,'Compliance Database'!$D1678&amp;" "&amp;'Compliance Database'!$K1678&amp;" "&amp;'Compliance Database'!$L1678&amp;" "&amp;'Compliance Database'!$M1678&amp;" "&amp;'Compliance Database'!$N1678&amp;" "&amp;'Compliance Database'!$O1678)))),1,0)</f>
        <v/>
      </c>
      <c r="B1678">
        <f>IF($A1678=1,SUM($A$2:$A1678),"")</f>
        <v/>
      </c>
      <c r="C1678">
        <f>IF($A1678=1,SUM($A$2:$A1678),0)</f>
        <v/>
      </c>
    </row>
    <row r="1679">
      <c r="A1679">
        <f>IF(AND(OR('Compliance Database'!$A1679='Data Transfer'!$B$4,'Compliance Database'!$A1679='Data Transfer'!$B$5),OR('Data Transfer'!$B$6="",ISNUMBER(SEARCH('Data Transfer'!$B$6,'Compliance Database'!$D1679&amp;" "&amp;'Compliance Database'!$K1679&amp;" "&amp;'Compliance Database'!$L1679&amp;" "&amp;'Compliance Database'!$M1679&amp;" "&amp;'Compliance Database'!$N1679&amp;" "&amp;'Compliance Database'!$O1679)))),1,0)</f>
        <v/>
      </c>
      <c r="B1679">
        <f>IF($A1679=1,SUM($A$2:$A1679),"")</f>
        <v/>
      </c>
      <c r="C1679">
        <f>IF($A1679=1,SUM($A$2:$A1679),0)</f>
        <v/>
      </c>
    </row>
    <row r="1680">
      <c r="A1680">
        <f>IF(AND(OR('Compliance Database'!$A1680='Data Transfer'!$B$4,'Compliance Database'!$A1680='Data Transfer'!$B$5),OR('Data Transfer'!$B$6="",ISNUMBER(SEARCH('Data Transfer'!$B$6,'Compliance Database'!$D1680&amp;" "&amp;'Compliance Database'!$K1680&amp;" "&amp;'Compliance Database'!$L1680&amp;" "&amp;'Compliance Database'!$M1680&amp;" "&amp;'Compliance Database'!$N1680&amp;" "&amp;'Compliance Database'!$O1680)))),1,0)</f>
        <v/>
      </c>
      <c r="B1680">
        <f>IF($A1680=1,SUM($A$2:$A1680),"")</f>
        <v/>
      </c>
      <c r="C1680">
        <f>IF($A1680=1,SUM($A$2:$A1680),0)</f>
        <v/>
      </c>
    </row>
    <row r="1681">
      <c r="A1681">
        <f>IF(AND(OR('Compliance Database'!$A1681='Data Transfer'!$B$4,'Compliance Database'!$A1681='Data Transfer'!$B$5),OR('Data Transfer'!$B$6="",ISNUMBER(SEARCH('Data Transfer'!$B$6,'Compliance Database'!$D1681&amp;" "&amp;'Compliance Database'!$K1681&amp;" "&amp;'Compliance Database'!$L1681&amp;" "&amp;'Compliance Database'!$M1681&amp;" "&amp;'Compliance Database'!$N1681&amp;" "&amp;'Compliance Database'!$O1681)))),1,0)</f>
        <v/>
      </c>
      <c r="B1681">
        <f>IF($A1681=1,SUM($A$2:$A1681),"")</f>
        <v/>
      </c>
      <c r="C1681">
        <f>IF($A1681=1,SUM($A$2:$A1681),0)</f>
        <v/>
      </c>
    </row>
    <row r="1682">
      <c r="A1682">
        <f>IF(AND(OR('Compliance Database'!$A1682='Data Transfer'!$B$4,'Compliance Database'!$A1682='Data Transfer'!$B$5),OR('Data Transfer'!$B$6="",ISNUMBER(SEARCH('Data Transfer'!$B$6,'Compliance Database'!$D1682&amp;" "&amp;'Compliance Database'!$K1682&amp;" "&amp;'Compliance Database'!$L1682&amp;" "&amp;'Compliance Database'!$M1682&amp;" "&amp;'Compliance Database'!$N1682&amp;" "&amp;'Compliance Database'!$O1682)))),1,0)</f>
        <v/>
      </c>
      <c r="B1682">
        <f>IF($A1682=1,SUM($A$2:$A1682),"")</f>
        <v/>
      </c>
      <c r="C1682">
        <f>IF($A1682=1,SUM($A$2:$A1682),0)</f>
        <v/>
      </c>
    </row>
    <row r="1683">
      <c r="A1683">
        <f>IF(AND(OR('Compliance Database'!$A1683='Data Transfer'!$B$4,'Compliance Database'!$A1683='Data Transfer'!$B$5),OR('Data Transfer'!$B$6="",ISNUMBER(SEARCH('Data Transfer'!$B$6,'Compliance Database'!$D1683&amp;" "&amp;'Compliance Database'!$K1683&amp;" "&amp;'Compliance Database'!$L1683&amp;" "&amp;'Compliance Database'!$M1683&amp;" "&amp;'Compliance Database'!$N1683&amp;" "&amp;'Compliance Database'!$O1683)))),1,0)</f>
        <v/>
      </c>
      <c r="B1683">
        <f>IF($A1683=1,SUM($A$2:$A1683),"")</f>
        <v/>
      </c>
      <c r="C1683">
        <f>IF($A1683=1,SUM($A$2:$A1683),0)</f>
        <v/>
      </c>
    </row>
    <row r="1684">
      <c r="A1684">
        <f>IF(AND(OR('Compliance Database'!$A1684='Data Transfer'!$B$4,'Compliance Database'!$A1684='Data Transfer'!$B$5),OR('Data Transfer'!$B$6="",ISNUMBER(SEARCH('Data Transfer'!$B$6,'Compliance Database'!$D1684&amp;" "&amp;'Compliance Database'!$K1684&amp;" "&amp;'Compliance Database'!$L1684&amp;" "&amp;'Compliance Database'!$M1684&amp;" "&amp;'Compliance Database'!$N1684&amp;" "&amp;'Compliance Database'!$O1684)))),1,0)</f>
        <v/>
      </c>
      <c r="B1684">
        <f>IF($A1684=1,SUM($A$2:$A1684),"")</f>
        <v/>
      </c>
      <c r="C1684">
        <f>IF($A1684=1,SUM($A$2:$A1684),0)</f>
        <v/>
      </c>
    </row>
    <row r="1685">
      <c r="A1685">
        <f>IF(AND(OR('Compliance Database'!$A1685='Data Transfer'!$B$4,'Compliance Database'!$A1685='Data Transfer'!$B$5),OR('Data Transfer'!$B$6="",ISNUMBER(SEARCH('Data Transfer'!$B$6,'Compliance Database'!$D1685&amp;" "&amp;'Compliance Database'!$K1685&amp;" "&amp;'Compliance Database'!$L1685&amp;" "&amp;'Compliance Database'!$M1685&amp;" "&amp;'Compliance Database'!$N1685&amp;" "&amp;'Compliance Database'!$O1685)))),1,0)</f>
        <v/>
      </c>
      <c r="B1685">
        <f>IF($A1685=1,SUM($A$2:$A1685),"")</f>
        <v/>
      </c>
      <c r="C1685">
        <f>IF($A1685=1,SUM($A$2:$A1685),0)</f>
        <v/>
      </c>
    </row>
    <row r="1686">
      <c r="A1686">
        <f>IF(AND(OR('Compliance Database'!$A1686='Data Transfer'!$B$4,'Compliance Database'!$A1686='Data Transfer'!$B$5),OR('Data Transfer'!$B$6="",ISNUMBER(SEARCH('Data Transfer'!$B$6,'Compliance Database'!$D1686&amp;" "&amp;'Compliance Database'!$K1686&amp;" "&amp;'Compliance Database'!$L1686&amp;" "&amp;'Compliance Database'!$M1686&amp;" "&amp;'Compliance Database'!$N1686&amp;" "&amp;'Compliance Database'!$O1686)))),1,0)</f>
        <v/>
      </c>
      <c r="B1686">
        <f>IF($A1686=1,SUM($A$2:$A1686),"")</f>
        <v/>
      </c>
      <c r="C1686">
        <f>IF($A1686=1,SUM($A$2:$A1686),0)</f>
        <v/>
      </c>
    </row>
    <row r="1687">
      <c r="A1687">
        <f>IF(AND(OR('Compliance Database'!$A1687='Data Transfer'!$B$4,'Compliance Database'!$A1687='Data Transfer'!$B$5),OR('Data Transfer'!$B$6="",ISNUMBER(SEARCH('Data Transfer'!$B$6,'Compliance Database'!$D1687&amp;" "&amp;'Compliance Database'!$K1687&amp;" "&amp;'Compliance Database'!$L1687&amp;" "&amp;'Compliance Database'!$M1687&amp;" "&amp;'Compliance Database'!$N1687&amp;" "&amp;'Compliance Database'!$O1687)))),1,0)</f>
        <v/>
      </c>
      <c r="B1687">
        <f>IF($A1687=1,SUM($A$2:$A1687),"")</f>
        <v/>
      </c>
      <c r="C1687">
        <f>IF($A1687=1,SUM($A$2:$A1687),0)</f>
        <v/>
      </c>
    </row>
    <row r="1688">
      <c r="A1688">
        <f>IF(AND(OR('Compliance Database'!$A1688='Data Transfer'!$B$4,'Compliance Database'!$A1688='Data Transfer'!$B$5),OR('Data Transfer'!$B$6="",ISNUMBER(SEARCH('Data Transfer'!$B$6,'Compliance Database'!$D1688&amp;" "&amp;'Compliance Database'!$K1688&amp;" "&amp;'Compliance Database'!$L1688&amp;" "&amp;'Compliance Database'!$M1688&amp;" "&amp;'Compliance Database'!$N1688&amp;" "&amp;'Compliance Database'!$O1688)))),1,0)</f>
        <v/>
      </c>
      <c r="B1688">
        <f>IF($A1688=1,SUM($A$2:$A1688),"")</f>
        <v/>
      </c>
      <c r="C1688">
        <f>IF($A1688=1,SUM($A$2:$A1688),0)</f>
        <v/>
      </c>
    </row>
    <row r="1689">
      <c r="A1689">
        <f>IF(AND(OR('Compliance Database'!$A1689='Data Transfer'!$B$4,'Compliance Database'!$A1689='Data Transfer'!$B$5),OR('Data Transfer'!$B$6="",ISNUMBER(SEARCH('Data Transfer'!$B$6,'Compliance Database'!$D1689&amp;" "&amp;'Compliance Database'!$K1689&amp;" "&amp;'Compliance Database'!$L1689&amp;" "&amp;'Compliance Database'!$M1689&amp;" "&amp;'Compliance Database'!$N1689&amp;" "&amp;'Compliance Database'!$O1689)))),1,0)</f>
        <v/>
      </c>
      <c r="B1689">
        <f>IF($A1689=1,SUM($A$2:$A1689),"")</f>
        <v/>
      </c>
      <c r="C1689">
        <f>IF($A1689=1,SUM($A$2:$A1689),0)</f>
        <v/>
      </c>
    </row>
    <row r="1690">
      <c r="A1690">
        <f>IF(AND(OR('Compliance Database'!$A1690='Data Transfer'!$B$4,'Compliance Database'!$A1690='Data Transfer'!$B$5),OR('Data Transfer'!$B$6="",ISNUMBER(SEARCH('Data Transfer'!$B$6,'Compliance Database'!$D1690&amp;" "&amp;'Compliance Database'!$K1690&amp;" "&amp;'Compliance Database'!$L1690&amp;" "&amp;'Compliance Database'!$M1690&amp;" "&amp;'Compliance Database'!$N1690&amp;" "&amp;'Compliance Database'!$O1690)))),1,0)</f>
        <v/>
      </c>
      <c r="B1690">
        <f>IF($A1690=1,SUM($A$2:$A1690),"")</f>
        <v/>
      </c>
      <c r="C1690">
        <f>IF($A1690=1,SUM($A$2:$A1690),0)</f>
        <v/>
      </c>
    </row>
    <row r="1691">
      <c r="A1691">
        <f>IF(AND(OR('Compliance Database'!$A1691='Data Transfer'!$B$4,'Compliance Database'!$A1691='Data Transfer'!$B$5),OR('Data Transfer'!$B$6="",ISNUMBER(SEARCH('Data Transfer'!$B$6,'Compliance Database'!$D1691&amp;" "&amp;'Compliance Database'!$K1691&amp;" "&amp;'Compliance Database'!$L1691&amp;" "&amp;'Compliance Database'!$M1691&amp;" "&amp;'Compliance Database'!$N1691&amp;" "&amp;'Compliance Database'!$O1691)))),1,0)</f>
        <v/>
      </c>
      <c r="B1691">
        <f>IF($A1691=1,SUM($A$2:$A1691),"")</f>
        <v/>
      </c>
      <c r="C1691">
        <f>IF($A1691=1,SUM($A$2:$A1691),0)</f>
        <v/>
      </c>
    </row>
    <row r="1692">
      <c r="A1692">
        <f>IF(AND(OR('Compliance Database'!$A1692='Data Transfer'!$B$4,'Compliance Database'!$A1692='Data Transfer'!$B$5),OR('Data Transfer'!$B$6="",ISNUMBER(SEARCH('Data Transfer'!$B$6,'Compliance Database'!$D1692&amp;" "&amp;'Compliance Database'!$K1692&amp;" "&amp;'Compliance Database'!$L1692&amp;" "&amp;'Compliance Database'!$M1692&amp;" "&amp;'Compliance Database'!$N1692&amp;" "&amp;'Compliance Database'!$O1692)))),1,0)</f>
        <v/>
      </c>
      <c r="B1692">
        <f>IF($A1692=1,SUM($A$2:$A1692),"")</f>
        <v/>
      </c>
      <c r="C1692">
        <f>IF($A1692=1,SUM($A$2:$A1692),0)</f>
        <v/>
      </c>
    </row>
    <row r="1693">
      <c r="A1693">
        <f>IF(AND(OR('Compliance Database'!$A1693='Data Transfer'!$B$4,'Compliance Database'!$A1693='Data Transfer'!$B$5),OR('Data Transfer'!$B$6="",ISNUMBER(SEARCH('Data Transfer'!$B$6,'Compliance Database'!$D1693&amp;" "&amp;'Compliance Database'!$K1693&amp;" "&amp;'Compliance Database'!$L1693&amp;" "&amp;'Compliance Database'!$M1693&amp;" "&amp;'Compliance Database'!$N1693&amp;" "&amp;'Compliance Database'!$O1693)))),1,0)</f>
        <v/>
      </c>
      <c r="B1693">
        <f>IF($A1693=1,SUM($A$2:$A1693),"")</f>
        <v/>
      </c>
      <c r="C1693">
        <f>IF($A1693=1,SUM($A$2:$A1693),0)</f>
        <v/>
      </c>
    </row>
    <row r="1694">
      <c r="A1694">
        <f>IF(AND(OR('Compliance Database'!$A1694='Data Transfer'!$B$4,'Compliance Database'!$A1694='Data Transfer'!$B$5),OR('Data Transfer'!$B$6="",ISNUMBER(SEARCH('Data Transfer'!$B$6,'Compliance Database'!$D1694&amp;" "&amp;'Compliance Database'!$K1694&amp;" "&amp;'Compliance Database'!$L1694&amp;" "&amp;'Compliance Database'!$M1694&amp;" "&amp;'Compliance Database'!$N1694&amp;" "&amp;'Compliance Database'!$O1694)))),1,0)</f>
        <v/>
      </c>
      <c r="B1694">
        <f>IF($A1694=1,SUM($A$2:$A1694),"")</f>
        <v/>
      </c>
      <c r="C1694">
        <f>IF($A1694=1,SUM($A$2:$A1694),0)</f>
        <v/>
      </c>
    </row>
    <row r="1695">
      <c r="A1695">
        <f>IF(AND(OR('Compliance Database'!$A1695='Data Transfer'!$B$4,'Compliance Database'!$A1695='Data Transfer'!$B$5),OR('Data Transfer'!$B$6="",ISNUMBER(SEARCH('Data Transfer'!$B$6,'Compliance Database'!$D1695&amp;" "&amp;'Compliance Database'!$K1695&amp;" "&amp;'Compliance Database'!$L1695&amp;" "&amp;'Compliance Database'!$M1695&amp;" "&amp;'Compliance Database'!$N1695&amp;" "&amp;'Compliance Database'!$O1695)))),1,0)</f>
        <v/>
      </c>
      <c r="B1695">
        <f>IF($A1695=1,SUM($A$2:$A1695),"")</f>
        <v/>
      </c>
      <c r="C1695">
        <f>IF($A1695=1,SUM($A$2:$A1695),0)</f>
        <v/>
      </c>
    </row>
    <row r="1696">
      <c r="A1696">
        <f>IF(AND(OR('Compliance Database'!$A1696='Data Transfer'!$B$4,'Compliance Database'!$A1696='Data Transfer'!$B$5),OR('Data Transfer'!$B$6="",ISNUMBER(SEARCH('Data Transfer'!$B$6,'Compliance Database'!$D1696&amp;" "&amp;'Compliance Database'!$K1696&amp;" "&amp;'Compliance Database'!$L1696&amp;" "&amp;'Compliance Database'!$M1696&amp;" "&amp;'Compliance Database'!$N1696&amp;" "&amp;'Compliance Database'!$O1696)))),1,0)</f>
        <v/>
      </c>
      <c r="B1696">
        <f>IF($A1696=1,SUM($A$2:$A1696),"")</f>
        <v/>
      </c>
      <c r="C1696">
        <f>IF($A1696=1,SUM($A$2:$A1696),0)</f>
        <v/>
      </c>
    </row>
    <row r="1697">
      <c r="A1697">
        <f>IF(AND(OR('Compliance Database'!$A1697='Data Transfer'!$B$4,'Compliance Database'!$A1697='Data Transfer'!$B$5),OR('Data Transfer'!$B$6="",ISNUMBER(SEARCH('Data Transfer'!$B$6,'Compliance Database'!$D1697&amp;" "&amp;'Compliance Database'!$K1697&amp;" "&amp;'Compliance Database'!$L1697&amp;" "&amp;'Compliance Database'!$M1697&amp;" "&amp;'Compliance Database'!$N1697&amp;" "&amp;'Compliance Database'!$O1697)))),1,0)</f>
        <v/>
      </c>
      <c r="B1697">
        <f>IF($A1697=1,SUM($A$2:$A1697),"")</f>
        <v/>
      </c>
      <c r="C1697">
        <f>IF($A1697=1,SUM($A$2:$A1697),0)</f>
        <v/>
      </c>
    </row>
    <row r="1698">
      <c r="A1698">
        <f>IF(AND(OR('Compliance Database'!$A1698='Data Transfer'!$B$4,'Compliance Database'!$A1698='Data Transfer'!$B$5),OR('Data Transfer'!$B$6="",ISNUMBER(SEARCH('Data Transfer'!$B$6,'Compliance Database'!$D1698&amp;" "&amp;'Compliance Database'!$K1698&amp;" "&amp;'Compliance Database'!$L1698&amp;" "&amp;'Compliance Database'!$M1698&amp;" "&amp;'Compliance Database'!$N1698&amp;" "&amp;'Compliance Database'!$O1698)))),1,0)</f>
        <v/>
      </c>
      <c r="B1698">
        <f>IF($A1698=1,SUM($A$2:$A1698),"")</f>
        <v/>
      </c>
      <c r="C1698">
        <f>IF($A1698=1,SUM($A$2:$A1698),0)</f>
        <v/>
      </c>
    </row>
    <row r="1699">
      <c r="A1699">
        <f>IF(AND(OR('Compliance Database'!$A1699='Data Transfer'!$B$4,'Compliance Database'!$A1699='Data Transfer'!$B$5),OR('Data Transfer'!$B$6="",ISNUMBER(SEARCH('Data Transfer'!$B$6,'Compliance Database'!$D1699&amp;" "&amp;'Compliance Database'!$K1699&amp;" "&amp;'Compliance Database'!$L1699&amp;" "&amp;'Compliance Database'!$M1699&amp;" "&amp;'Compliance Database'!$N1699&amp;" "&amp;'Compliance Database'!$O1699)))),1,0)</f>
        <v/>
      </c>
      <c r="B1699">
        <f>IF($A1699=1,SUM($A$2:$A1699),"")</f>
        <v/>
      </c>
      <c r="C1699">
        <f>IF($A1699=1,SUM($A$2:$A1699),0)</f>
        <v/>
      </c>
    </row>
    <row r="1700">
      <c r="A1700">
        <f>IF(AND(OR('Compliance Database'!$A1700='Data Transfer'!$B$4,'Compliance Database'!$A1700='Data Transfer'!$B$5),OR('Data Transfer'!$B$6="",ISNUMBER(SEARCH('Data Transfer'!$B$6,'Compliance Database'!$D1700&amp;" "&amp;'Compliance Database'!$K1700&amp;" "&amp;'Compliance Database'!$L1700&amp;" "&amp;'Compliance Database'!$M1700&amp;" "&amp;'Compliance Database'!$N1700&amp;" "&amp;'Compliance Database'!$O1700)))),1,0)</f>
        <v/>
      </c>
      <c r="B1700">
        <f>IF($A1700=1,SUM($A$2:$A1700),"")</f>
        <v/>
      </c>
      <c r="C1700">
        <f>IF($A1700=1,SUM($A$2:$A1700),0)</f>
        <v/>
      </c>
    </row>
    <row r="1701">
      <c r="A1701">
        <f>IF(AND(OR('Compliance Database'!$A1701='Data Transfer'!$B$4,'Compliance Database'!$A1701='Data Transfer'!$B$5),OR('Data Transfer'!$B$6="",ISNUMBER(SEARCH('Data Transfer'!$B$6,'Compliance Database'!$D1701&amp;" "&amp;'Compliance Database'!$K1701&amp;" "&amp;'Compliance Database'!$L1701&amp;" "&amp;'Compliance Database'!$M1701&amp;" "&amp;'Compliance Database'!$N1701&amp;" "&amp;'Compliance Database'!$O1701)))),1,0)</f>
        <v/>
      </c>
      <c r="B1701">
        <f>IF($A1701=1,SUM($A$2:$A1701),"")</f>
        <v/>
      </c>
      <c r="C1701">
        <f>IF($A1701=1,SUM($A$2:$A1701),0)</f>
        <v/>
      </c>
    </row>
    <row r="1702">
      <c r="A1702">
        <f>IF(AND(OR('Compliance Database'!$A1702='Data Transfer'!$B$4,'Compliance Database'!$A1702='Data Transfer'!$B$5),OR('Data Transfer'!$B$6="",ISNUMBER(SEARCH('Data Transfer'!$B$6,'Compliance Database'!$D1702&amp;" "&amp;'Compliance Database'!$K1702&amp;" "&amp;'Compliance Database'!$L1702&amp;" "&amp;'Compliance Database'!$M1702&amp;" "&amp;'Compliance Database'!$N1702&amp;" "&amp;'Compliance Database'!$O1702)))),1,0)</f>
        <v/>
      </c>
      <c r="B1702">
        <f>IF($A1702=1,SUM($A$2:$A1702),"")</f>
        <v/>
      </c>
      <c r="C1702">
        <f>IF($A1702=1,SUM($A$2:$A1702),0)</f>
        <v/>
      </c>
    </row>
    <row r="1703">
      <c r="A1703">
        <f>IF(AND(OR('Compliance Database'!$A1703='Data Transfer'!$B$4,'Compliance Database'!$A1703='Data Transfer'!$B$5),OR('Data Transfer'!$B$6="",ISNUMBER(SEARCH('Data Transfer'!$B$6,'Compliance Database'!$D1703&amp;" "&amp;'Compliance Database'!$K1703&amp;" "&amp;'Compliance Database'!$L1703&amp;" "&amp;'Compliance Database'!$M1703&amp;" "&amp;'Compliance Database'!$N1703&amp;" "&amp;'Compliance Database'!$O1703)))),1,0)</f>
        <v/>
      </c>
      <c r="B1703">
        <f>IF($A1703=1,SUM($A$2:$A1703),"")</f>
        <v/>
      </c>
      <c r="C1703">
        <f>IF($A1703=1,SUM($A$2:$A1703),0)</f>
        <v/>
      </c>
    </row>
    <row r="1704">
      <c r="A1704">
        <f>IF(AND(OR('Compliance Database'!$A1704='Data Transfer'!$B$4,'Compliance Database'!$A1704='Data Transfer'!$B$5),OR('Data Transfer'!$B$6="",ISNUMBER(SEARCH('Data Transfer'!$B$6,'Compliance Database'!$D1704&amp;" "&amp;'Compliance Database'!$K1704&amp;" "&amp;'Compliance Database'!$L1704&amp;" "&amp;'Compliance Database'!$M1704&amp;" "&amp;'Compliance Database'!$N1704&amp;" "&amp;'Compliance Database'!$O1704)))),1,0)</f>
        <v/>
      </c>
      <c r="B1704">
        <f>IF($A1704=1,SUM($A$2:$A1704),"")</f>
        <v/>
      </c>
      <c r="C1704">
        <f>IF($A1704=1,SUM($A$2:$A1704),0)</f>
        <v/>
      </c>
    </row>
    <row r="1705">
      <c r="A1705">
        <f>IF(AND(OR('Compliance Database'!$A1705='Data Transfer'!$B$4,'Compliance Database'!$A1705='Data Transfer'!$B$5),OR('Data Transfer'!$B$6="",ISNUMBER(SEARCH('Data Transfer'!$B$6,'Compliance Database'!$D1705&amp;" "&amp;'Compliance Database'!$K1705&amp;" "&amp;'Compliance Database'!$L1705&amp;" "&amp;'Compliance Database'!$M1705&amp;" "&amp;'Compliance Database'!$N1705&amp;" "&amp;'Compliance Database'!$O1705)))),1,0)</f>
        <v/>
      </c>
      <c r="B1705">
        <f>IF($A1705=1,SUM($A$2:$A1705),"")</f>
        <v/>
      </c>
      <c r="C1705">
        <f>IF($A1705=1,SUM($A$2:$A1705),0)</f>
        <v/>
      </c>
    </row>
    <row r="1706">
      <c r="A1706">
        <f>IF(AND(OR('Compliance Database'!$A1706='Data Transfer'!$B$4,'Compliance Database'!$A1706='Data Transfer'!$B$5),OR('Data Transfer'!$B$6="",ISNUMBER(SEARCH('Data Transfer'!$B$6,'Compliance Database'!$D1706&amp;" "&amp;'Compliance Database'!$K1706&amp;" "&amp;'Compliance Database'!$L1706&amp;" "&amp;'Compliance Database'!$M1706&amp;" "&amp;'Compliance Database'!$N1706&amp;" "&amp;'Compliance Database'!$O1706)))),1,0)</f>
        <v/>
      </c>
      <c r="B1706">
        <f>IF($A1706=1,SUM($A$2:$A1706),"")</f>
        <v/>
      </c>
      <c r="C1706">
        <f>IF($A1706=1,SUM($A$2:$A1706),0)</f>
        <v/>
      </c>
    </row>
    <row r="1707">
      <c r="A1707">
        <f>IF(AND(OR('Compliance Database'!$A1707='Data Transfer'!$B$4,'Compliance Database'!$A1707='Data Transfer'!$B$5),OR('Data Transfer'!$B$6="",ISNUMBER(SEARCH('Data Transfer'!$B$6,'Compliance Database'!$D1707&amp;" "&amp;'Compliance Database'!$K1707&amp;" "&amp;'Compliance Database'!$L1707&amp;" "&amp;'Compliance Database'!$M1707&amp;" "&amp;'Compliance Database'!$N1707&amp;" "&amp;'Compliance Database'!$O1707)))),1,0)</f>
        <v/>
      </c>
      <c r="B1707">
        <f>IF($A1707=1,SUM($A$2:$A1707),"")</f>
        <v/>
      </c>
      <c r="C1707">
        <f>IF($A1707=1,SUM($A$2:$A1707),0)</f>
        <v/>
      </c>
    </row>
    <row r="1708">
      <c r="A1708">
        <f>IF(AND(OR('Compliance Database'!$A1708='Data Transfer'!$B$4,'Compliance Database'!$A1708='Data Transfer'!$B$5),OR('Data Transfer'!$B$6="",ISNUMBER(SEARCH('Data Transfer'!$B$6,'Compliance Database'!$D1708&amp;" "&amp;'Compliance Database'!$K1708&amp;" "&amp;'Compliance Database'!$L1708&amp;" "&amp;'Compliance Database'!$M1708&amp;" "&amp;'Compliance Database'!$N1708&amp;" "&amp;'Compliance Database'!$O1708)))),1,0)</f>
        <v/>
      </c>
      <c r="B1708">
        <f>IF($A1708=1,SUM($A$2:$A1708),"")</f>
        <v/>
      </c>
      <c r="C1708">
        <f>IF($A1708=1,SUM($A$2:$A1708),0)</f>
        <v/>
      </c>
    </row>
    <row r="1709">
      <c r="A1709">
        <f>IF(AND(OR('Compliance Database'!$A1709='Data Transfer'!$B$4,'Compliance Database'!$A1709='Data Transfer'!$B$5),OR('Data Transfer'!$B$6="",ISNUMBER(SEARCH('Data Transfer'!$B$6,'Compliance Database'!$D1709&amp;" "&amp;'Compliance Database'!$K1709&amp;" "&amp;'Compliance Database'!$L1709&amp;" "&amp;'Compliance Database'!$M1709&amp;" "&amp;'Compliance Database'!$N1709&amp;" "&amp;'Compliance Database'!$O1709)))),1,0)</f>
        <v/>
      </c>
      <c r="B1709">
        <f>IF($A1709=1,SUM($A$2:$A1709),"")</f>
        <v/>
      </c>
      <c r="C1709">
        <f>IF($A1709=1,SUM($A$2:$A1709),0)</f>
        <v/>
      </c>
    </row>
    <row r="1710">
      <c r="A1710">
        <f>IF(AND(OR('Compliance Database'!$A1710='Data Transfer'!$B$4,'Compliance Database'!$A1710='Data Transfer'!$B$5),OR('Data Transfer'!$B$6="",ISNUMBER(SEARCH('Data Transfer'!$B$6,'Compliance Database'!$D1710&amp;" "&amp;'Compliance Database'!$K1710&amp;" "&amp;'Compliance Database'!$L1710&amp;" "&amp;'Compliance Database'!$M1710&amp;" "&amp;'Compliance Database'!$N1710&amp;" "&amp;'Compliance Database'!$O1710)))),1,0)</f>
        <v/>
      </c>
      <c r="B1710">
        <f>IF($A1710=1,SUM($A$2:$A1710),"")</f>
        <v/>
      </c>
      <c r="C1710">
        <f>IF($A1710=1,SUM($A$2:$A1710),0)</f>
        <v/>
      </c>
    </row>
    <row r="1711">
      <c r="A1711">
        <f>IF(AND(OR('Compliance Database'!$A1711='Data Transfer'!$B$4,'Compliance Database'!$A1711='Data Transfer'!$B$5),OR('Data Transfer'!$B$6="",ISNUMBER(SEARCH('Data Transfer'!$B$6,'Compliance Database'!$D1711&amp;" "&amp;'Compliance Database'!$K1711&amp;" "&amp;'Compliance Database'!$L1711&amp;" "&amp;'Compliance Database'!$M1711&amp;" "&amp;'Compliance Database'!$N1711&amp;" "&amp;'Compliance Database'!$O1711)))),1,0)</f>
        <v/>
      </c>
      <c r="B1711">
        <f>IF($A1711=1,SUM($A$2:$A1711),"")</f>
        <v/>
      </c>
      <c r="C1711">
        <f>IF($A1711=1,SUM($A$2:$A1711),0)</f>
        <v/>
      </c>
    </row>
    <row r="1712">
      <c r="A1712">
        <f>IF(AND(OR('Compliance Database'!$A1712='Data Transfer'!$B$4,'Compliance Database'!$A1712='Data Transfer'!$B$5),OR('Data Transfer'!$B$6="",ISNUMBER(SEARCH('Data Transfer'!$B$6,'Compliance Database'!$D1712&amp;" "&amp;'Compliance Database'!$K1712&amp;" "&amp;'Compliance Database'!$L1712&amp;" "&amp;'Compliance Database'!$M1712&amp;" "&amp;'Compliance Database'!$N1712&amp;" "&amp;'Compliance Database'!$O1712)))),1,0)</f>
        <v/>
      </c>
      <c r="B1712">
        <f>IF($A1712=1,SUM($A$2:$A1712),"")</f>
        <v/>
      </c>
      <c r="C1712">
        <f>IF($A1712=1,SUM($A$2:$A1712),0)</f>
        <v/>
      </c>
    </row>
    <row r="1713">
      <c r="A1713">
        <f>IF(AND(OR('Compliance Database'!$A1713='Data Transfer'!$B$4,'Compliance Database'!$A1713='Data Transfer'!$B$5),OR('Data Transfer'!$B$6="",ISNUMBER(SEARCH('Data Transfer'!$B$6,'Compliance Database'!$D1713&amp;" "&amp;'Compliance Database'!$K1713&amp;" "&amp;'Compliance Database'!$L1713&amp;" "&amp;'Compliance Database'!$M1713&amp;" "&amp;'Compliance Database'!$N1713&amp;" "&amp;'Compliance Database'!$O1713)))),1,0)</f>
        <v/>
      </c>
      <c r="B1713">
        <f>IF($A1713=1,SUM($A$2:$A1713),"")</f>
        <v/>
      </c>
      <c r="C1713">
        <f>IF($A1713=1,SUM($A$2:$A1713),0)</f>
        <v/>
      </c>
    </row>
    <row r="1714">
      <c r="A1714">
        <f>IF(AND(OR('Compliance Database'!$A1714='Data Transfer'!$B$4,'Compliance Database'!$A1714='Data Transfer'!$B$5),OR('Data Transfer'!$B$6="",ISNUMBER(SEARCH('Data Transfer'!$B$6,'Compliance Database'!$D1714&amp;" "&amp;'Compliance Database'!$K1714&amp;" "&amp;'Compliance Database'!$L1714&amp;" "&amp;'Compliance Database'!$M1714&amp;" "&amp;'Compliance Database'!$N1714&amp;" "&amp;'Compliance Database'!$O1714)))),1,0)</f>
        <v/>
      </c>
      <c r="B1714">
        <f>IF($A1714=1,SUM($A$2:$A1714),"")</f>
        <v/>
      </c>
      <c r="C1714">
        <f>IF($A1714=1,SUM($A$2:$A1714),0)</f>
        <v/>
      </c>
    </row>
    <row r="1715">
      <c r="A1715">
        <f>IF(AND(OR('Compliance Database'!$A1715='Data Transfer'!$B$4,'Compliance Database'!$A1715='Data Transfer'!$B$5),OR('Data Transfer'!$B$6="",ISNUMBER(SEARCH('Data Transfer'!$B$6,'Compliance Database'!$D1715&amp;" "&amp;'Compliance Database'!$K1715&amp;" "&amp;'Compliance Database'!$L1715&amp;" "&amp;'Compliance Database'!$M1715&amp;" "&amp;'Compliance Database'!$N1715&amp;" "&amp;'Compliance Database'!$O1715)))),1,0)</f>
        <v/>
      </c>
      <c r="B1715">
        <f>IF($A1715=1,SUM($A$2:$A1715),"")</f>
        <v/>
      </c>
      <c r="C1715">
        <f>IF($A1715=1,SUM($A$2:$A1715),0)</f>
        <v/>
      </c>
    </row>
    <row r="1716">
      <c r="A1716">
        <f>IF(AND(OR('Compliance Database'!$A1716='Data Transfer'!$B$4,'Compliance Database'!$A1716='Data Transfer'!$B$5),OR('Data Transfer'!$B$6="",ISNUMBER(SEARCH('Data Transfer'!$B$6,'Compliance Database'!$D1716&amp;" "&amp;'Compliance Database'!$K1716&amp;" "&amp;'Compliance Database'!$L1716&amp;" "&amp;'Compliance Database'!$M1716&amp;" "&amp;'Compliance Database'!$N1716&amp;" "&amp;'Compliance Database'!$O1716)))),1,0)</f>
        <v/>
      </c>
      <c r="B1716">
        <f>IF($A1716=1,SUM($A$2:$A1716),"")</f>
        <v/>
      </c>
      <c r="C1716">
        <f>IF($A1716=1,SUM($A$2:$A1716),0)</f>
        <v/>
      </c>
    </row>
    <row r="1717">
      <c r="A1717">
        <f>IF(AND(OR('Compliance Database'!$A1717='Data Transfer'!$B$4,'Compliance Database'!$A1717='Data Transfer'!$B$5),OR('Data Transfer'!$B$6="",ISNUMBER(SEARCH('Data Transfer'!$B$6,'Compliance Database'!$D1717&amp;" "&amp;'Compliance Database'!$K1717&amp;" "&amp;'Compliance Database'!$L1717&amp;" "&amp;'Compliance Database'!$M1717&amp;" "&amp;'Compliance Database'!$N1717&amp;" "&amp;'Compliance Database'!$O1717)))),1,0)</f>
        <v/>
      </c>
      <c r="B1717">
        <f>IF($A1717=1,SUM($A$2:$A1717),"")</f>
        <v/>
      </c>
      <c r="C1717">
        <f>IF($A1717=1,SUM($A$2:$A1717),0)</f>
        <v/>
      </c>
    </row>
    <row r="1718">
      <c r="A1718">
        <f>IF(AND(OR('Compliance Database'!$A1718='Data Transfer'!$B$4,'Compliance Database'!$A1718='Data Transfer'!$B$5),OR('Data Transfer'!$B$6="",ISNUMBER(SEARCH('Data Transfer'!$B$6,'Compliance Database'!$D1718&amp;" "&amp;'Compliance Database'!$K1718&amp;" "&amp;'Compliance Database'!$L1718&amp;" "&amp;'Compliance Database'!$M1718&amp;" "&amp;'Compliance Database'!$N1718&amp;" "&amp;'Compliance Database'!$O1718)))),1,0)</f>
        <v/>
      </c>
      <c r="B1718">
        <f>IF($A1718=1,SUM($A$2:$A1718),"")</f>
        <v/>
      </c>
      <c r="C1718">
        <f>IF($A1718=1,SUM($A$2:$A1718),0)</f>
        <v/>
      </c>
    </row>
    <row r="1719">
      <c r="A1719">
        <f>IF(AND(OR('Compliance Database'!$A1719='Data Transfer'!$B$4,'Compliance Database'!$A1719='Data Transfer'!$B$5),OR('Data Transfer'!$B$6="",ISNUMBER(SEARCH('Data Transfer'!$B$6,'Compliance Database'!$D1719&amp;" "&amp;'Compliance Database'!$K1719&amp;" "&amp;'Compliance Database'!$L1719&amp;" "&amp;'Compliance Database'!$M1719&amp;" "&amp;'Compliance Database'!$N1719&amp;" "&amp;'Compliance Database'!$O1719)))),1,0)</f>
        <v/>
      </c>
      <c r="B1719">
        <f>IF($A1719=1,SUM($A$2:$A1719),"")</f>
        <v/>
      </c>
      <c r="C1719">
        <f>IF($A1719=1,SUM($A$2:$A1719),0)</f>
        <v/>
      </c>
    </row>
    <row r="1720">
      <c r="A1720">
        <f>IF(AND(OR('Compliance Database'!$A1720='Data Transfer'!$B$4,'Compliance Database'!$A1720='Data Transfer'!$B$5),OR('Data Transfer'!$B$6="",ISNUMBER(SEARCH('Data Transfer'!$B$6,'Compliance Database'!$D1720&amp;" "&amp;'Compliance Database'!$K1720&amp;" "&amp;'Compliance Database'!$L1720&amp;" "&amp;'Compliance Database'!$M1720&amp;" "&amp;'Compliance Database'!$N1720&amp;" "&amp;'Compliance Database'!$O1720)))),1,0)</f>
        <v/>
      </c>
      <c r="B1720">
        <f>IF($A1720=1,SUM($A$2:$A1720),"")</f>
        <v/>
      </c>
      <c r="C1720">
        <f>IF($A1720=1,SUM($A$2:$A1720),0)</f>
        <v/>
      </c>
    </row>
    <row r="1721">
      <c r="A1721">
        <f>IF(AND(OR('Compliance Database'!$A1721='Data Transfer'!$B$4,'Compliance Database'!$A1721='Data Transfer'!$B$5),OR('Data Transfer'!$B$6="",ISNUMBER(SEARCH('Data Transfer'!$B$6,'Compliance Database'!$D1721&amp;" "&amp;'Compliance Database'!$K1721&amp;" "&amp;'Compliance Database'!$L1721&amp;" "&amp;'Compliance Database'!$M1721&amp;" "&amp;'Compliance Database'!$N1721&amp;" "&amp;'Compliance Database'!$O1721)))),1,0)</f>
        <v/>
      </c>
      <c r="B1721">
        <f>IF($A1721=1,SUM($A$2:$A1721),"")</f>
        <v/>
      </c>
      <c r="C1721">
        <f>IF($A1721=1,SUM($A$2:$A1721),0)</f>
        <v/>
      </c>
    </row>
    <row r="1722">
      <c r="A1722">
        <f>IF(AND(OR('Compliance Database'!$A1722='Data Transfer'!$B$4,'Compliance Database'!$A1722='Data Transfer'!$B$5),OR('Data Transfer'!$B$6="",ISNUMBER(SEARCH('Data Transfer'!$B$6,'Compliance Database'!$D1722&amp;" "&amp;'Compliance Database'!$K1722&amp;" "&amp;'Compliance Database'!$L1722&amp;" "&amp;'Compliance Database'!$M1722&amp;" "&amp;'Compliance Database'!$N1722&amp;" "&amp;'Compliance Database'!$O1722)))),1,0)</f>
        <v/>
      </c>
      <c r="B1722">
        <f>IF($A1722=1,SUM($A$2:$A1722),"")</f>
        <v/>
      </c>
      <c r="C1722">
        <f>IF($A1722=1,SUM($A$2:$A1722),0)</f>
        <v/>
      </c>
    </row>
    <row r="1723">
      <c r="A1723">
        <f>IF(AND(OR('Compliance Database'!$A1723='Data Transfer'!$B$4,'Compliance Database'!$A1723='Data Transfer'!$B$5),OR('Data Transfer'!$B$6="",ISNUMBER(SEARCH('Data Transfer'!$B$6,'Compliance Database'!$D1723&amp;" "&amp;'Compliance Database'!$K1723&amp;" "&amp;'Compliance Database'!$L1723&amp;" "&amp;'Compliance Database'!$M1723&amp;" "&amp;'Compliance Database'!$N1723&amp;" "&amp;'Compliance Database'!$O1723)))),1,0)</f>
        <v/>
      </c>
      <c r="B1723">
        <f>IF($A1723=1,SUM($A$2:$A1723),"")</f>
        <v/>
      </c>
      <c r="C1723">
        <f>IF($A1723=1,SUM($A$2:$A1723),0)</f>
        <v/>
      </c>
    </row>
    <row r="1724">
      <c r="A1724">
        <f>IF(AND(OR('Compliance Database'!$A1724='Data Transfer'!$B$4,'Compliance Database'!$A1724='Data Transfer'!$B$5),OR('Data Transfer'!$B$6="",ISNUMBER(SEARCH('Data Transfer'!$B$6,'Compliance Database'!$D1724&amp;" "&amp;'Compliance Database'!$K1724&amp;" "&amp;'Compliance Database'!$L1724&amp;" "&amp;'Compliance Database'!$M1724&amp;" "&amp;'Compliance Database'!$N1724&amp;" "&amp;'Compliance Database'!$O1724)))),1,0)</f>
        <v/>
      </c>
      <c r="B1724">
        <f>IF($A1724=1,SUM($A$2:$A1724),"")</f>
        <v/>
      </c>
      <c r="C1724">
        <f>IF($A1724=1,SUM($A$2:$A1724),0)</f>
        <v/>
      </c>
    </row>
    <row r="1725">
      <c r="A1725">
        <f>IF(AND(OR('Compliance Database'!$A1725='Data Transfer'!$B$4,'Compliance Database'!$A1725='Data Transfer'!$B$5),OR('Data Transfer'!$B$6="",ISNUMBER(SEARCH('Data Transfer'!$B$6,'Compliance Database'!$D1725&amp;" "&amp;'Compliance Database'!$K1725&amp;" "&amp;'Compliance Database'!$L1725&amp;" "&amp;'Compliance Database'!$M1725&amp;" "&amp;'Compliance Database'!$N1725&amp;" "&amp;'Compliance Database'!$O1725)))),1,0)</f>
        <v/>
      </c>
      <c r="B1725">
        <f>IF($A1725=1,SUM($A$2:$A1725),"")</f>
        <v/>
      </c>
      <c r="C1725">
        <f>IF($A1725=1,SUM($A$2:$A1725),0)</f>
        <v/>
      </c>
    </row>
    <row r="1726">
      <c r="A1726">
        <f>IF(AND(OR('Compliance Database'!$A1726='Data Transfer'!$B$4,'Compliance Database'!$A1726='Data Transfer'!$B$5),OR('Data Transfer'!$B$6="",ISNUMBER(SEARCH('Data Transfer'!$B$6,'Compliance Database'!$D1726&amp;" "&amp;'Compliance Database'!$K1726&amp;" "&amp;'Compliance Database'!$L1726&amp;" "&amp;'Compliance Database'!$M1726&amp;" "&amp;'Compliance Database'!$N1726&amp;" "&amp;'Compliance Database'!$O1726)))),1,0)</f>
        <v/>
      </c>
      <c r="B1726">
        <f>IF($A1726=1,SUM($A$2:$A1726),"")</f>
        <v/>
      </c>
      <c r="C1726">
        <f>IF($A1726=1,SUM($A$2:$A1726),0)</f>
        <v/>
      </c>
    </row>
    <row r="1727">
      <c r="A1727">
        <f>IF(AND(OR('Compliance Database'!$A1727='Data Transfer'!$B$4,'Compliance Database'!$A1727='Data Transfer'!$B$5),OR('Data Transfer'!$B$6="",ISNUMBER(SEARCH('Data Transfer'!$B$6,'Compliance Database'!$D1727&amp;" "&amp;'Compliance Database'!$K1727&amp;" "&amp;'Compliance Database'!$L1727&amp;" "&amp;'Compliance Database'!$M1727&amp;" "&amp;'Compliance Database'!$N1727&amp;" "&amp;'Compliance Database'!$O1727)))),1,0)</f>
        <v/>
      </c>
      <c r="B1727">
        <f>IF($A1727=1,SUM($A$2:$A1727),"")</f>
        <v/>
      </c>
      <c r="C1727">
        <f>IF($A1727=1,SUM($A$2:$A1727),0)</f>
        <v/>
      </c>
    </row>
    <row r="1728">
      <c r="A1728">
        <f>IF(AND(OR('Compliance Database'!$A1728='Data Transfer'!$B$4,'Compliance Database'!$A1728='Data Transfer'!$B$5),OR('Data Transfer'!$B$6="",ISNUMBER(SEARCH('Data Transfer'!$B$6,'Compliance Database'!$D1728&amp;" "&amp;'Compliance Database'!$K1728&amp;" "&amp;'Compliance Database'!$L1728&amp;" "&amp;'Compliance Database'!$M1728&amp;" "&amp;'Compliance Database'!$N1728&amp;" "&amp;'Compliance Database'!$O1728)))),1,0)</f>
        <v/>
      </c>
      <c r="B1728">
        <f>IF($A1728=1,SUM($A$2:$A1728),"")</f>
        <v/>
      </c>
      <c r="C1728">
        <f>IF($A1728=1,SUM($A$2:$A1728),0)</f>
        <v/>
      </c>
    </row>
    <row r="1729">
      <c r="A1729">
        <f>IF(AND(OR('Compliance Database'!$A1729='Data Transfer'!$B$4,'Compliance Database'!$A1729='Data Transfer'!$B$5),OR('Data Transfer'!$B$6="",ISNUMBER(SEARCH('Data Transfer'!$B$6,'Compliance Database'!$D1729&amp;" "&amp;'Compliance Database'!$K1729&amp;" "&amp;'Compliance Database'!$L1729&amp;" "&amp;'Compliance Database'!$M1729&amp;" "&amp;'Compliance Database'!$N1729&amp;" "&amp;'Compliance Database'!$O1729)))),1,0)</f>
        <v/>
      </c>
      <c r="B1729">
        <f>IF($A1729=1,SUM($A$2:$A1729),"")</f>
        <v/>
      </c>
      <c r="C1729">
        <f>IF($A1729=1,SUM($A$2:$A1729),0)</f>
        <v/>
      </c>
    </row>
    <row r="1730">
      <c r="A1730">
        <f>IF(AND(OR('Compliance Database'!$A1730='Data Transfer'!$B$4,'Compliance Database'!$A1730='Data Transfer'!$B$5),OR('Data Transfer'!$B$6="",ISNUMBER(SEARCH('Data Transfer'!$B$6,'Compliance Database'!$D1730&amp;" "&amp;'Compliance Database'!$K1730&amp;" "&amp;'Compliance Database'!$L1730&amp;" "&amp;'Compliance Database'!$M1730&amp;" "&amp;'Compliance Database'!$N1730&amp;" "&amp;'Compliance Database'!$O1730)))),1,0)</f>
        <v/>
      </c>
      <c r="B1730">
        <f>IF($A1730=1,SUM($A$2:$A1730),"")</f>
        <v/>
      </c>
      <c r="C1730">
        <f>IF($A1730=1,SUM($A$2:$A1730),0)</f>
        <v/>
      </c>
    </row>
    <row r="1731">
      <c r="A1731">
        <f>IF(AND(OR('Compliance Database'!$A1731='Data Transfer'!$B$4,'Compliance Database'!$A1731='Data Transfer'!$B$5),OR('Data Transfer'!$B$6="",ISNUMBER(SEARCH('Data Transfer'!$B$6,'Compliance Database'!$D1731&amp;" "&amp;'Compliance Database'!$K1731&amp;" "&amp;'Compliance Database'!$L1731&amp;" "&amp;'Compliance Database'!$M1731&amp;" "&amp;'Compliance Database'!$N1731&amp;" "&amp;'Compliance Database'!$O1731)))),1,0)</f>
        <v/>
      </c>
      <c r="B1731">
        <f>IF($A1731=1,SUM($A$2:$A1731),"")</f>
        <v/>
      </c>
      <c r="C1731">
        <f>IF($A1731=1,SUM($A$2:$A1731),0)</f>
        <v/>
      </c>
    </row>
    <row r="1732">
      <c r="A1732">
        <f>IF(AND(OR('Compliance Database'!$A1732='Data Transfer'!$B$4,'Compliance Database'!$A1732='Data Transfer'!$B$5),OR('Data Transfer'!$B$6="",ISNUMBER(SEARCH('Data Transfer'!$B$6,'Compliance Database'!$D1732&amp;" "&amp;'Compliance Database'!$K1732&amp;" "&amp;'Compliance Database'!$L1732&amp;" "&amp;'Compliance Database'!$M1732&amp;" "&amp;'Compliance Database'!$N1732&amp;" "&amp;'Compliance Database'!$O1732)))),1,0)</f>
        <v/>
      </c>
      <c r="B1732">
        <f>IF($A1732=1,SUM($A$2:$A1732),"")</f>
        <v/>
      </c>
      <c r="C1732">
        <f>IF($A1732=1,SUM($A$2:$A1732),0)</f>
        <v/>
      </c>
    </row>
    <row r="1733">
      <c r="A1733">
        <f>IF(AND(OR('Compliance Database'!$A1733='Data Transfer'!$B$4,'Compliance Database'!$A1733='Data Transfer'!$B$5),OR('Data Transfer'!$B$6="",ISNUMBER(SEARCH('Data Transfer'!$B$6,'Compliance Database'!$D1733&amp;" "&amp;'Compliance Database'!$K1733&amp;" "&amp;'Compliance Database'!$L1733&amp;" "&amp;'Compliance Database'!$M1733&amp;" "&amp;'Compliance Database'!$N1733&amp;" "&amp;'Compliance Database'!$O1733)))),1,0)</f>
        <v/>
      </c>
      <c r="B1733">
        <f>IF($A1733=1,SUM($A$2:$A1733),"")</f>
        <v/>
      </c>
      <c r="C1733">
        <f>IF($A1733=1,SUM($A$2:$A1733),0)</f>
        <v/>
      </c>
    </row>
    <row r="1734">
      <c r="A1734">
        <f>IF(AND(OR('Compliance Database'!$A1734='Data Transfer'!$B$4,'Compliance Database'!$A1734='Data Transfer'!$B$5),OR('Data Transfer'!$B$6="",ISNUMBER(SEARCH('Data Transfer'!$B$6,'Compliance Database'!$D1734&amp;" "&amp;'Compliance Database'!$K1734&amp;" "&amp;'Compliance Database'!$L1734&amp;" "&amp;'Compliance Database'!$M1734&amp;" "&amp;'Compliance Database'!$N1734&amp;" "&amp;'Compliance Database'!$O1734)))),1,0)</f>
        <v/>
      </c>
      <c r="B1734">
        <f>IF($A1734=1,SUM($A$2:$A1734),"")</f>
        <v/>
      </c>
      <c r="C1734">
        <f>IF($A1734=1,SUM($A$2:$A1734),0)</f>
        <v/>
      </c>
    </row>
    <row r="1735">
      <c r="A1735">
        <f>IF(AND(OR('Compliance Database'!$A1735='Data Transfer'!$B$4,'Compliance Database'!$A1735='Data Transfer'!$B$5),OR('Data Transfer'!$B$6="",ISNUMBER(SEARCH('Data Transfer'!$B$6,'Compliance Database'!$D1735&amp;" "&amp;'Compliance Database'!$K1735&amp;" "&amp;'Compliance Database'!$L1735&amp;" "&amp;'Compliance Database'!$M1735&amp;" "&amp;'Compliance Database'!$N1735&amp;" "&amp;'Compliance Database'!$O1735)))),1,0)</f>
        <v/>
      </c>
      <c r="B1735">
        <f>IF($A1735=1,SUM($A$2:$A1735),"")</f>
        <v/>
      </c>
      <c r="C1735">
        <f>IF($A1735=1,SUM($A$2:$A1735),0)</f>
        <v/>
      </c>
    </row>
    <row r="1736">
      <c r="A1736">
        <f>IF(AND(OR('Compliance Database'!$A1736='Data Transfer'!$B$4,'Compliance Database'!$A1736='Data Transfer'!$B$5),OR('Data Transfer'!$B$6="",ISNUMBER(SEARCH('Data Transfer'!$B$6,'Compliance Database'!$D1736&amp;" "&amp;'Compliance Database'!$K1736&amp;" "&amp;'Compliance Database'!$L1736&amp;" "&amp;'Compliance Database'!$M1736&amp;" "&amp;'Compliance Database'!$N1736&amp;" "&amp;'Compliance Database'!$O1736)))),1,0)</f>
        <v/>
      </c>
      <c r="B1736">
        <f>IF($A1736=1,SUM($A$2:$A1736),"")</f>
        <v/>
      </c>
      <c r="C1736">
        <f>IF($A1736=1,SUM($A$2:$A1736),0)</f>
        <v/>
      </c>
    </row>
    <row r="1737">
      <c r="A1737">
        <f>IF(AND(OR('Compliance Database'!$A1737='Data Transfer'!$B$4,'Compliance Database'!$A1737='Data Transfer'!$B$5),OR('Data Transfer'!$B$6="",ISNUMBER(SEARCH('Data Transfer'!$B$6,'Compliance Database'!$D1737&amp;" "&amp;'Compliance Database'!$K1737&amp;" "&amp;'Compliance Database'!$L1737&amp;" "&amp;'Compliance Database'!$M1737&amp;" "&amp;'Compliance Database'!$N1737&amp;" "&amp;'Compliance Database'!$O1737)))),1,0)</f>
        <v/>
      </c>
      <c r="B1737">
        <f>IF($A1737=1,SUM($A$2:$A1737),"")</f>
        <v/>
      </c>
      <c r="C1737">
        <f>IF($A1737=1,SUM($A$2:$A1737),0)</f>
        <v/>
      </c>
    </row>
    <row r="1738">
      <c r="A1738">
        <f>IF(AND(OR('Compliance Database'!$A1738='Data Transfer'!$B$4,'Compliance Database'!$A1738='Data Transfer'!$B$5),OR('Data Transfer'!$B$6="",ISNUMBER(SEARCH('Data Transfer'!$B$6,'Compliance Database'!$D1738&amp;" "&amp;'Compliance Database'!$K1738&amp;" "&amp;'Compliance Database'!$L1738&amp;" "&amp;'Compliance Database'!$M1738&amp;" "&amp;'Compliance Database'!$N1738&amp;" "&amp;'Compliance Database'!$O1738)))),1,0)</f>
        <v/>
      </c>
      <c r="B1738">
        <f>IF($A1738=1,SUM($A$2:$A1738),"")</f>
        <v/>
      </c>
      <c r="C1738">
        <f>IF($A1738=1,SUM($A$2:$A1738),0)</f>
        <v/>
      </c>
    </row>
    <row r="1739">
      <c r="A1739">
        <f>IF(AND(OR('Compliance Database'!$A1739='Data Transfer'!$B$4,'Compliance Database'!$A1739='Data Transfer'!$B$5),OR('Data Transfer'!$B$6="",ISNUMBER(SEARCH('Data Transfer'!$B$6,'Compliance Database'!$D1739&amp;" "&amp;'Compliance Database'!$K1739&amp;" "&amp;'Compliance Database'!$L1739&amp;" "&amp;'Compliance Database'!$M1739&amp;" "&amp;'Compliance Database'!$N1739&amp;" "&amp;'Compliance Database'!$O1739)))),1,0)</f>
        <v/>
      </c>
      <c r="B1739">
        <f>IF($A1739=1,SUM($A$2:$A1739),"")</f>
        <v/>
      </c>
      <c r="C1739">
        <f>IF($A1739=1,SUM($A$2:$A1739),0)</f>
        <v/>
      </c>
    </row>
    <row r="1740">
      <c r="A1740">
        <f>IF(AND(OR('Compliance Database'!$A1740='Data Transfer'!$B$4,'Compliance Database'!$A1740='Data Transfer'!$B$5),OR('Data Transfer'!$B$6="",ISNUMBER(SEARCH('Data Transfer'!$B$6,'Compliance Database'!$D1740&amp;" "&amp;'Compliance Database'!$K1740&amp;" "&amp;'Compliance Database'!$L1740&amp;" "&amp;'Compliance Database'!$M1740&amp;" "&amp;'Compliance Database'!$N1740&amp;" "&amp;'Compliance Database'!$O1740)))),1,0)</f>
        <v/>
      </c>
      <c r="B1740">
        <f>IF($A1740=1,SUM($A$2:$A1740),"")</f>
        <v/>
      </c>
      <c r="C1740">
        <f>IF($A1740=1,SUM($A$2:$A1740),0)</f>
        <v/>
      </c>
    </row>
    <row r="1741">
      <c r="A1741">
        <f>IF(AND(OR('Compliance Database'!$A1741='Data Transfer'!$B$4,'Compliance Database'!$A1741='Data Transfer'!$B$5),OR('Data Transfer'!$B$6="",ISNUMBER(SEARCH('Data Transfer'!$B$6,'Compliance Database'!$D1741&amp;" "&amp;'Compliance Database'!$K1741&amp;" "&amp;'Compliance Database'!$L1741&amp;" "&amp;'Compliance Database'!$M1741&amp;" "&amp;'Compliance Database'!$N1741&amp;" "&amp;'Compliance Database'!$O1741)))),1,0)</f>
        <v/>
      </c>
      <c r="B1741">
        <f>IF($A1741=1,SUM($A$2:$A1741),"")</f>
        <v/>
      </c>
      <c r="C1741">
        <f>IF($A1741=1,SUM($A$2:$A1741),0)</f>
        <v/>
      </c>
    </row>
    <row r="1742">
      <c r="A1742">
        <f>IF(AND(OR('Compliance Database'!$A1742='Data Transfer'!$B$4,'Compliance Database'!$A1742='Data Transfer'!$B$5),OR('Data Transfer'!$B$6="",ISNUMBER(SEARCH('Data Transfer'!$B$6,'Compliance Database'!$D1742&amp;" "&amp;'Compliance Database'!$K1742&amp;" "&amp;'Compliance Database'!$L1742&amp;" "&amp;'Compliance Database'!$M1742&amp;" "&amp;'Compliance Database'!$N1742&amp;" "&amp;'Compliance Database'!$O1742)))),1,0)</f>
        <v/>
      </c>
      <c r="B1742">
        <f>IF($A1742=1,SUM($A$2:$A1742),"")</f>
        <v/>
      </c>
      <c r="C1742">
        <f>IF($A1742=1,SUM($A$2:$A1742),0)</f>
        <v/>
      </c>
    </row>
    <row r="1743">
      <c r="A1743">
        <f>IF(AND(OR('Compliance Database'!$A1743='Data Transfer'!$B$4,'Compliance Database'!$A1743='Data Transfer'!$B$5),OR('Data Transfer'!$B$6="",ISNUMBER(SEARCH('Data Transfer'!$B$6,'Compliance Database'!$D1743&amp;" "&amp;'Compliance Database'!$K1743&amp;" "&amp;'Compliance Database'!$L1743&amp;" "&amp;'Compliance Database'!$M1743&amp;" "&amp;'Compliance Database'!$N1743&amp;" "&amp;'Compliance Database'!$O1743)))),1,0)</f>
        <v/>
      </c>
      <c r="B1743">
        <f>IF($A1743=1,SUM($A$2:$A1743),"")</f>
        <v/>
      </c>
      <c r="C1743">
        <f>IF($A1743=1,SUM($A$2:$A1743),0)</f>
        <v/>
      </c>
    </row>
    <row r="1744">
      <c r="A1744">
        <f>IF(AND(OR('Compliance Database'!$A1744='Data Transfer'!$B$4,'Compliance Database'!$A1744='Data Transfer'!$B$5),OR('Data Transfer'!$B$6="",ISNUMBER(SEARCH('Data Transfer'!$B$6,'Compliance Database'!$D1744&amp;" "&amp;'Compliance Database'!$K1744&amp;" "&amp;'Compliance Database'!$L1744&amp;" "&amp;'Compliance Database'!$M1744&amp;" "&amp;'Compliance Database'!$N1744&amp;" "&amp;'Compliance Database'!$O1744)))),1,0)</f>
        <v/>
      </c>
      <c r="B1744">
        <f>IF($A1744=1,SUM($A$2:$A1744),"")</f>
        <v/>
      </c>
      <c r="C1744">
        <f>IF($A1744=1,SUM($A$2:$A1744),0)</f>
        <v/>
      </c>
    </row>
    <row r="1745">
      <c r="A1745">
        <f>IF(AND(OR('Compliance Database'!$A1745='Data Transfer'!$B$4,'Compliance Database'!$A1745='Data Transfer'!$B$5),OR('Data Transfer'!$B$6="",ISNUMBER(SEARCH('Data Transfer'!$B$6,'Compliance Database'!$D1745&amp;" "&amp;'Compliance Database'!$K1745&amp;" "&amp;'Compliance Database'!$L1745&amp;" "&amp;'Compliance Database'!$M1745&amp;" "&amp;'Compliance Database'!$N1745&amp;" "&amp;'Compliance Database'!$O1745)))),1,0)</f>
        <v/>
      </c>
      <c r="B1745">
        <f>IF($A1745=1,SUM($A$2:$A1745),"")</f>
        <v/>
      </c>
      <c r="C1745">
        <f>IF($A1745=1,SUM($A$2:$A1745),0)</f>
        <v/>
      </c>
    </row>
    <row r="1746">
      <c r="A1746">
        <f>IF(AND(OR('Compliance Database'!$A1746='Data Transfer'!$B$4,'Compliance Database'!$A1746='Data Transfer'!$B$5),OR('Data Transfer'!$B$6="",ISNUMBER(SEARCH('Data Transfer'!$B$6,'Compliance Database'!$D1746&amp;" "&amp;'Compliance Database'!$K1746&amp;" "&amp;'Compliance Database'!$L1746&amp;" "&amp;'Compliance Database'!$M1746&amp;" "&amp;'Compliance Database'!$N1746&amp;" "&amp;'Compliance Database'!$O1746)))),1,0)</f>
        <v/>
      </c>
      <c r="B1746">
        <f>IF($A1746=1,SUM($A$2:$A1746),"")</f>
        <v/>
      </c>
      <c r="C1746">
        <f>IF($A1746=1,SUM($A$2:$A1746),0)</f>
        <v/>
      </c>
    </row>
    <row r="1747">
      <c r="A1747">
        <f>IF(AND(OR('Compliance Database'!$A1747='Data Transfer'!$B$4,'Compliance Database'!$A1747='Data Transfer'!$B$5),OR('Data Transfer'!$B$6="",ISNUMBER(SEARCH('Data Transfer'!$B$6,'Compliance Database'!$D1747&amp;" "&amp;'Compliance Database'!$K1747&amp;" "&amp;'Compliance Database'!$L1747&amp;" "&amp;'Compliance Database'!$M1747&amp;" "&amp;'Compliance Database'!$N1747&amp;" "&amp;'Compliance Database'!$O1747)))),1,0)</f>
        <v/>
      </c>
      <c r="B1747">
        <f>IF($A1747=1,SUM($A$2:$A1747),"")</f>
        <v/>
      </c>
      <c r="C1747">
        <f>IF($A1747=1,SUM($A$2:$A1747),0)</f>
        <v/>
      </c>
    </row>
    <row r="1748">
      <c r="A1748">
        <f>IF(AND(OR('Compliance Database'!$A1748='Data Transfer'!$B$4,'Compliance Database'!$A1748='Data Transfer'!$B$5),OR('Data Transfer'!$B$6="",ISNUMBER(SEARCH('Data Transfer'!$B$6,'Compliance Database'!$D1748&amp;" "&amp;'Compliance Database'!$K1748&amp;" "&amp;'Compliance Database'!$L1748&amp;" "&amp;'Compliance Database'!$M1748&amp;" "&amp;'Compliance Database'!$N1748&amp;" "&amp;'Compliance Database'!$O1748)))),1,0)</f>
        <v/>
      </c>
      <c r="B1748">
        <f>IF($A1748=1,SUM($A$2:$A1748),"")</f>
        <v/>
      </c>
      <c r="C1748">
        <f>IF($A1748=1,SUM($A$2:$A1748),0)</f>
        <v/>
      </c>
    </row>
    <row r="1749">
      <c r="A1749">
        <f>IF(AND(OR('Compliance Database'!$A1749='Data Transfer'!$B$4,'Compliance Database'!$A1749='Data Transfer'!$B$5),OR('Data Transfer'!$B$6="",ISNUMBER(SEARCH('Data Transfer'!$B$6,'Compliance Database'!$D1749&amp;" "&amp;'Compliance Database'!$K1749&amp;" "&amp;'Compliance Database'!$L1749&amp;" "&amp;'Compliance Database'!$M1749&amp;" "&amp;'Compliance Database'!$N1749&amp;" "&amp;'Compliance Database'!$O1749)))),1,0)</f>
        <v/>
      </c>
      <c r="B1749">
        <f>IF($A1749=1,SUM($A$2:$A1749),"")</f>
        <v/>
      </c>
      <c r="C1749">
        <f>IF($A1749=1,SUM($A$2:$A1749),0)</f>
        <v/>
      </c>
    </row>
    <row r="1750">
      <c r="A1750">
        <f>IF(AND(OR('Compliance Database'!$A1750='Data Transfer'!$B$4,'Compliance Database'!$A1750='Data Transfer'!$B$5),OR('Data Transfer'!$B$6="",ISNUMBER(SEARCH('Data Transfer'!$B$6,'Compliance Database'!$D1750&amp;" "&amp;'Compliance Database'!$K1750&amp;" "&amp;'Compliance Database'!$L1750&amp;" "&amp;'Compliance Database'!$M1750&amp;" "&amp;'Compliance Database'!$N1750&amp;" "&amp;'Compliance Database'!$O1750)))),1,0)</f>
        <v/>
      </c>
      <c r="B1750">
        <f>IF($A1750=1,SUM($A$2:$A1750),"")</f>
        <v/>
      </c>
      <c r="C1750">
        <f>IF($A1750=1,SUM($A$2:$A1750),0)</f>
        <v/>
      </c>
    </row>
    <row r="1751">
      <c r="A1751">
        <f>IF(AND(OR('Compliance Database'!$A1751='Data Transfer'!$B$4,'Compliance Database'!$A1751='Data Transfer'!$B$5),OR('Data Transfer'!$B$6="",ISNUMBER(SEARCH('Data Transfer'!$B$6,'Compliance Database'!$D1751&amp;" "&amp;'Compliance Database'!$K1751&amp;" "&amp;'Compliance Database'!$L1751&amp;" "&amp;'Compliance Database'!$M1751&amp;" "&amp;'Compliance Database'!$N1751&amp;" "&amp;'Compliance Database'!$O1751)))),1,0)</f>
        <v/>
      </c>
      <c r="B1751">
        <f>IF($A1751=1,SUM($A$2:$A1751),"")</f>
        <v/>
      </c>
      <c r="C1751">
        <f>IF($A1751=1,SUM($A$2:$A1751),0)</f>
        <v/>
      </c>
    </row>
    <row r="1752">
      <c r="A1752">
        <f>IF(AND(OR('Compliance Database'!$A1752='Data Transfer'!$B$4,'Compliance Database'!$A1752='Data Transfer'!$B$5),OR('Data Transfer'!$B$6="",ISNUMBER(SEARCH('Data Transfer'!$B$6,'Compliance Database'!$D1752&amp;" "&amp;'Compliance Database'!$K1752&amp;" "&amp;'Compliance Database'!$L1752&amp;" "&amp;'Compliance Database'!$M1752&amp;" "&amp;'Compliance Database'!$N1752&amp;" "&amp;'Compliance Database'!$O1752)))),1,0)</f>
        <v/>
      </c>
      <c r="B1752">
        <f>IF($A1752=1,SUM($A$2:$A1752),"")</f>
        <v/>
      </c>
      <c r="C1752">
        <f>IF($A1752=1,SUM($A$2:$A1752),0)</f>
        <v/>
      </c>
    </row>
    <row r="1753">
      <c r="A1753">
        <f>IF(AND(OR('Compliance Database'!$A1753='Data Transfer'!$B$4,'Compliance Database'!$A1753='Data Transfer'!$B$5),OR('Data Transfer'!$B$6="",ISNUMBER(SEARCH('Data Transfer'!$B$6,'Compliance Database'!$D1753&amp;" "&amp;'Compliance Database'!$K1753&amp;" "&amp;'Compliance Database'!$L1753&amp;" "&amp;'Compliance Database'!$M1753&amp;" "&amp;'Compliance Database'!$N1753&amp;" "&amp;'Compliance Database'!$O1753)))),1,0)</f>
        <v/>
      </c>
      <c r="B1753">
        <f>IF($A1753=1,SUM($A$2:$A1753),"")</f>
        <v/>
      </c>
      <c r="C1753">
        <f>IF($A1753=1,SUM($A$2:$A1753),0)</f>
        <v/>
      </c>
    </row>
    <row r="1754">
      <c r="A1754">
        <f>IF(AND(OR('Compliance Database'!$A1754='Data Transfer'!$B$4,'Compliance Database'!$A1754='Data Transfer'!$B$5),OR('Data Transfer'!$B$6="",ISNUMBER(SEARCH('Data Transfer'!$B$6,'Compliance Database'!$D1754&amp;" "&amp;'Compliance Database'!$K1754&amp;" "&amp;'Compliance Database'!$L1754&amp;" "&amp;'Compliance Database'!$M1754&amp;" "&amp;'Compliance Database'!$N1754&amp;" "&amp;'Compliance Database'!$O1754)))),1,0)</f>
        <v/>
      </c>
      <c r="B1754">
        <f>IF($A1754=1,SUM($A$2:$A1754),"")</f>
        <v/>
      </c>
      <c r="C1754">
        <f>IF($A1754=1,SUM($A$2:$A1754),0)</f>
        <v/>
      </c>
    </row>
    <row r="1755">
      <c r="A1755">
        <f>IF(AND(OR('Compliance Database'!$A1755='Data Transfer'!$B$4,'Compliance Database'!$A1755='Data Transfer'!$B$5),OR('Data Transfer'!$B$6="",ISNUMBER(SEARCH('Data Transfer'!$B$6,'Compliance Database'!$D1755&amp;" "&amp;'Compliance Database'!$K1755&amp;" "&amp;'Compliance Database'!$L1755&amp;" "&amp;'Compliance Database'!$M1755&amp;" "&amp;'Compliance Database'!$N1755&amp;" "&amp;'Compliance Database'!$O1755)))),1,0)</f>
        <v/>
      </c>
      <c r="B1755">
        <f>IF($A1755=1,SUM($A$2:$A1755),"")</f>
        <v/>
      </c>
      <c r="C1755">
        <f>IF($A1755=1,SUM($A$2:$A1755),0)</f>
        <v/>
      </c>
    </row>
    <row r="1756">
      <c r="A1756">
        <f>IF(AND(OR('Compliance Database'!$A1756='Data Transfer'!$B$4,'Compliance Database'!$A1756='Data Transfer'!$B$5),OR('Data Transfer'!$B$6="",ISNUMBER(SEARCH('Data Transfer'!$B$6,'Compliance Database'!$D1756&amp;" "&amp;'Compliance Database'!$K1756&amp;" "&amp;'Compliance Database'!$L1756&amp;" "&amp;'Compliance Database'!$M1756&amp;" "&amp;'Compliance Database'!$N1756&amp;" "&amp;'Compliance Database'!$O1756)))),1,0)</f>
        <v/>
      </c>
      <c r="B1756">
        <f>IF($A1756=1,SUM($A$2:$A1756),"")</f>
        <v/>
      </c>
      <c r="C1756">
        <f>IF($A1756=1,SUM($A$2:$A1756),0)</f>
        <v/>
      </c>
    </row>
    <row r="1757">
      <c r="A1757">
        <f>IF(AND(OR('Compliance Database'!$A1757='Data Transfer'!$B$4,'Compliance Database'!$A1757='Data Transfer'!$B$5),OR('Data Transfer'!$B$6="",ISNUMBER(SEARCH('Data Transfer'!$B$6,'Compliance Database'!$D1757&amp;" "&amp;'Compliance Database'!$K1757&amp;" "&amp;'Compliance Database'!$L1757&amp;" "&amp;'Compliance Database'!$M1757&amp;" "&amp;'Compliance Database'!$N1757&amp;" "&amp;'Compliance Database'!$O1757)))),1,0)</f>
        <v/>
      </c>
      <c r="B1757">
        <f>IF($A1757=1,SUM($A$2:$A1757),"")</f>
        <v/>
      </c>
      <c r="C1757">
        <f>IF($A1757=1,SUM($A$2:$A1757),0)</f>
        <v/>
      </c>
    </row>
    <row r="1758">
      <c r="A1758">
        <f>IF(AND(OR('Compliance Database'!$A1758='Data Transfer'!$B$4,'Compliance Database'!$A1758='Data Transfer'!$B$5),OR('Data Transfer'!$B$6="",ISNUMBER(SEARCH('Data Transfer'!$B$6,'Compliance Database'!$D1758&amp;" "&amp;'Compliance Database'!$K1758&amp;" "&amp;'Compliance Database'!$L1758&amp;" "&amp;'Compliance Database'!$M1758&amp;" "&amp;'Compliance Database'!$N1758&amp;" "&amp;'Compliance Database'!$O1758)))),1,0)</f>
        <v/>
      </c>
      <c r="B1758">
        <f>IF($A1758=1,SUM($A$2:$A1758),"")</f>
        <v/>
      </c>
      <c r="C1758">
        <f>IF($A1758=1,SUM($A$2:$A1758),0)</f>
        <v/>
      </c>
    </row>
    <row r="1759">
      <c r="A1759">
        <f>IF(AND(OR('Compliance Database'!$A1759='Data Transfer'!$B$4,'Compliance Database'!$A1759='Data Transfer'!$B$5),OR('Data Transfer'!$B$6="",ISNUMBER(SEARCH('Data Transfer'!$B$6,'Compliance Database'!$D1759&amp;" "&amp;'Compliance Database'!$K1759&amp;" "&amp;'Compliance Database'!$L1759&amp;" "&amp;'Compliance Database'!$M1759&amp;" "&amp;'Compliance Database'!$N1759&amp;" "&amp;'Compliance Database'!$O1759)))),1,0)</f>
        <v/>
      </c>
      <c r="B1759">
        <f>IF($A1759=1,SUM($A$2:$A1759),"")</f>
        <v/>
      </c>
      <c r="C1759">
        <f>IF($A1759=1,SUM($A$2:$A1759),0)</f>
        <v/>
      </c>
    </row>
    <row r="1760">
      <c r="A1760">
        <f>IF(AND(OR('Compliance Database'!$A1760='Data Transfer'!$B$4,'Compliance Database'!$A1760='Data Transfer'!$B$5),OR('Data Transfer'!$B$6="",ISNUMBER(SEARCH('Data Transfer'!$B$6,'Compliance Database'!$D1760&amp;" "&amp;'Compliance Database'!$K1760&amp;" "&amp;'Compliance Database'!$L1760&amp;" "&amp;'Compliance Database'!$M1760&amp;" "&amp;'Compliance Database'!$N1760&amp;" "&amp;'Compliance Database'!$O1760)))),1,0)</f>
        <v/>
      </c>
      <c r="B1760">
        <f>IF($A1760=1,SUM($A$2:$A1760),"")</f>
        <v/>
      </c>
      <c r="C1760">
        <f>IF($A1760=1,SUM($A$2:$A1760),0)</f>
        <v/>
      </c>
    </row>
    <row r="1761">
      <c r="A1761">
        <f>IF(AND(OR('Compliance Database'!$A1761='Data Transfer'!$B$4,'Compliance Database'!$A1761='Data Transfer'!$B$5),OR('Data Transfer'!$B$6="",ISNUMBER(SEARCH('Data Transfer'!$B$6,'Compliance Database'!$D1761&amp;" "&amp;'Compliance Database'!$K1761&amp;" "&amp;'Compliance Database'!$L1761&amp;" "&amp;'Compliance Database'!$M1761&amp;" "&amp;'Compliance Database'!$N1761&amp;" "&amp;'Compliance Database'!$O1761)))),1,0)</f>
        <v/>
      </c>
      <c r="B1761">
        <f>IF($A1761=1,SUM($A$2:$A1761),"")</f>
        <v/>
      </c>
      <c r="C1761">
        <f>IF($A1761=1,SUM($A$2:$A1761),0)</f>
        <v/>
      </c>
    </row>
    <row r="1762">
      <c r="A1762">
        <f>IF(AND(OR('Compliance Database'!$A1762='Data Transfer'!$B$4,'Compliance Database'!$A1762='Data Transfer'!$B$5),OR('Data Transfer'!$B$6="",ISNUMBER(SEARCH('Data Transfer'!$B$6,'Compliance Database'!$D1762&amp;" "&amp;'Compliance Database'!$K1762&amp;" "&amp;'Compliance Database'!$L1762&amp;" "&amp;'Compliance Database'!$M1762&amp;" "&amp;'Compliance Database'!$N1762&amp;" "&amp;'Compliance Database'!$O1762)))),1,0)</f>
        <v/>
      </c>
      <c r="B1762">
        <f>IF($A1762=1,SUM($A$2:$A1762),"")</f>
        <v/>
      </c>
      <c r="C1762">
        <f>IF($A1762=1,SUM($A$2:$A1762),0)</f>
        <v/>
      </c>
    </row>
    <row r="1763">
      <c r="A1763">
        <f>IF(AND(OR('Compliance Database'!$A1763='Data Transfer'!$B$4,'Compliance Database'!$A1763='Data Transfer'!$B$5),OR('Data Transfer'!$B$6="",ISNUMBER(SEARCH('Data Transfer'!$B$6,'Compliance Database'!$D1763&amp;" "&amp;'Compliance Database'!$K1763&amp;" "&amp;'Compliance Database'!$L1763&amp;" "&amp;'Compliance Database'!$M1763&amp;" "&amp;'Compliance Database'!$N1763&amp;" "&amp;'Compliance Database'!$O1763)))),1,0)</f>
        <v/>
      </c>
      <c r="B1763">
        <f>IF($A1763=1,SUM($A$2:$A1763),"")</f>
        <v/>
      </c>
      <c r="C1763">
        <f>IF($A1763=1,SUM($A$2:$A1763),0)</f>
        <v/>
      </c>
    </row>
    <row r="1764">
      <c r="A1764">
        <f>IF(AND(OR('Compliance Database'!$A1764='Data Transfer'!$B$4,'Compliance Database'!$A1764='Data Transfer'!$B$5),OR('Data Transfer'!$B$6="",ISNUMBER(SEARCH('Data Transfer'!$B$6,'Compliance Database'!$D1764&amp;" "&amp;'Compliance Database'!$K1764&amp;" "&amp;'Compliance Database'!$L1764&amp;" "&amp;'Compliance Database'!$M1764&amp;" "&amp;'Compliance Database'!$N1764&amp;" "&amp;'Compliance Database'!$O1764)))),1,0)</f>
        <v/>
      </c>
      <c r="B1764">
        <f>IF($A1764=1,SUM($A$2:$A1764),"")</f>
        <v/>
      </c>
      <c r="C1764">
        <f>IF($A1764=1,SUM($A$2:$A1764),0)</f>
        <v/>
      </c>
    </row>
    <row r="1765">
      <c r="A1765">
        <f>IF(AND(OR('Compliance Database'!$A1765='Data Transfer'!$B$4,'Compliance Database'!$A1765='Data Transfer'!$B$5),OR('Data Transfer'!$B$6="",ISNUMBER(SEARCH('Data Transfer'!$B$6,'Compliance Database'!$D1765&amp;" "&amp;'Compliance Database'!$K1765&amp;" "&amp;'Compliance Database'!$L1765&amp;" "&amp;'Compliance Database'!$M1765&amp;" "&amp;'Compliance Database'!$N1765&amp;" "&amp;'Compliance Database'!$O1765)))),1,0)</f>
        <v/>
      </c>
      <c r="B1765">
        <f>IF($A1765=1,SUM($A$2:$A1765),"")</f>
        <v/>
      </c>
      <c r="C1765">
        <f>IF($A1765=1,SUM($A$2:$A1765),0)</f>
        <v/>
      </c>
    </row>
    <row r="1766">
      <c r="A1766">
        <f>IF(AND(OR('Compliance Database'!$A1766='Data Transfer'!$B$4,'Compliance Database'!$A1766='Data Transfer'!$B$5),OR('Data Transfer'!$B$6="",ISNUMBER(SEARCH('Data Transfer'!$B$6,'Compliance Database'!$D1766&amp;" "&amp;'Compliance Database'!$K1766&amp;" "&amp;'Compliance Database'!$L1766&amp;" "&amp;'Compliance Database'!$M1766&amp;" "&amp;'Compliance Database'!$N1766&amp;" "&amp;'Compliance Database'!$O1766)))),1,0)</f>
        <v/>
      </c>
      <c r="B1766">
        <f>IF($A1766=1,SUM($A$2:$A1766),"")</f>
        <v/>
      </c>
      <c r="C1766">
        <f>IF($A1766=1,SUM($A$2:$A1766),0)</f>
        <v/>
      </c>
    </row>
    <row r="1767">
      <c r="A1767">
        <f>IF(AND(OR('Compliance Database'!$A1767='Data Transfer'!$B$4,'Compliance Database'!$A1767='Data Transfer'!$B$5),OR('Data Transfer'!$B$6="",ISNUMBER(SEARCH('Data Transfer'!$B$6,'Compliance Database'!$D1767&amp;" "&amp;'Compliance Database'!$K1767&amp;" "&amp;'Compliance Database'!$L1767&amp;" "&amp;'Compliance Database'!$M1767&amp;" "&amp;'Compliance Database'!$N1767&amp;" "&amp;'Compliance Database'!$O1767)))),1,0)</f>
        <v/>
      </c>
      <c r="B1767">
        <f>IF($A1767=1,SUM($A$2:$A1767),"")</f>
        <v/>
      </c>
      <c r="C1767">
        <f>IF($A1767=1,SUM($A$2:$A1767),0)</f>
        <v/>
      </c>
    </row>
    <row r="1768">
      <c r="A1768">
        <f>IF(AND(OR('Compliance Database'!$A1768='Data Transfer'!$B$4,'Compliance Database'!$A1768='Data Transfer'!$B$5),OR('Data Transfer'!$B$6="",ISNUMBER(SEARCH('Data Transfer'!$B$6,'Compliance Database'!$D1768&amp;" "&amp;'Compliance Database'!$K1768&amp;" "&amp;'Compliance Database'!$L1768&amp;" "&amp;'Compliance Database'!$M1768&amp;" "&amp;'Compliance Database'!$N1768&amp;" "&amp;'Compliance Database'!$O1768)))),1,0)</f>
        <v/>
      </c>
      <c r="B1768">
        <f>IF($A1768=1,SUM($A$2:$A1768),"")</f>
        <v/>
      </c>
      <c r="C1768">
        <f>IF($A1768=1,SUM($A$2:$A1768),0)</f>
        <v/>
      </c>
    </row>
    <row r="1769">
      <c r="A1769">
        <f>IF(AND(OR('Compliance Database'!$A1769='Data Transfer'!$B$4,'Compliance Database'!$A1769='Data Transfer'!$B$5),OR('Data Transfer'!$B$6="",ISNUMBER(SEARCH('Data Transfer'!$B$6,'Compliance Database'!$D1769&amp;" "&amp;'Compliance Database'!$K1769&amp;" "&amp;'Compliance Database'!$L1769&amp;" "&amp;'Compliance Database'!$M1769&amp;" "&amp;'Compliance Database'!$N1769&amp;" "&amp;'Compliance Database'!$O1769)))),1,0)</f>
        <v/>
      </c>
      <c r="B1769">
        <f>IF($A1769=1,SUM($A$2:$A1769),"")</f>
        <v/>
      </c>
      <c r="C1769">
        <f>IF($A1769=1,SUM($A$2:$A1769),0)</f>
        <v/>
      </c>
    </row>
    <row r="1770">
      <c r="A1770">
        <f>IF(AND(OR('Compliance Database'!$A1770='Data Transfer'!$B$4,'Compliance Database'!$A1770='Data Transfer'!$B$5),OR('Data Transfer'!$B$6="",ISNUMBER(SEARCH('Data Transfer'!$B$6,'Compliance Database'!$D1770&amp;" "&amp;'Compliance Database'!$K1770&amp;" "&amp;'Compliance Database'!$L1770&amp;" "&amp;'Compliance Database'!$M1770&amp;" "&amp;'Compliance Database'!$N1770&amp;" "&amp;'Compliance Database'!$O1770)))),1,0)</f>
        <v/>
      </c>
      <c r="B1770">
        <f>IF($A1770=1,SUM($A$2:$A1770),"")</f>
        <v/>
      </c>
      <c r="C1770">
        <f>IF($A1770=1,SUM($A$2:$A1770),0)</f>
        <v/>
      </c>
    </row>
    <row r="1771">
      <c r="A1771">
        <f>IF(AND(OR('Compliance Database'!$A1771='Data Transfer'!$B$4,'Compliance Database'!$A1771='Data Transfer'!$B$5),OR('Data Transfer'!$B$6="",ISNUMBER(SEARCH('Data Transfer'!$B$6,'Compliance Database'!$D1771&amp;" "&amp;'Compliance Database'!$K1771&amp;" "&amp;'Compliance Database'!$L1771&amp;" "&amp;'Compliance Database'!$M1771&amp;" "&amp;'Compliance Database'!$N1771&amp;" "&amp;'Compliance Database'!$O1771)))),1,0)</f>
        <v/>
      </c>
      <c r="B1771">
        <f>IF($A1771=1,SUM($A$2:$A1771),"")</f>
        <v/>
      </c>
      <c r="C1771">
        <f>IF($A1771=1,SUM($A$2:$A1771),0)</f>
        <v/>
      </c>
    </row>
    <row r="1772">
      <c r="A1772">
        <f>IF(AND(OR('Compliance Database'!$A1772='Data Transfer'!$B$4,'Compliance Database'!$A1772='Data Transfer'!$B$5),OR('Data Transfer'!$B$6="",ISNUMBER(SEARCH('Data Transfer'!$B$6,'Compliance Database'!$D1772&amp;" "&amp;'Compliance Database'!$K1772&amp;" "&amp;'Compliance Database'!$L1772&amp;" "&amp;'Compliance Database'!$M1772&amp;" "&amp;'Compliance Database'!$N1772&amp;" "&amp;'Compliance Database'!$O1772)))),1,0)</f>
        <v/>
      </c>
      <c r="B1772">
        <f>IF($A1772=1,SUM($A$2:$A1772),"")</f>
        <v/>
      </c>
      <c r="C1772">
        <f>IF($A1772=1,SUM($A$2:$A1772),0)</f>
        <v/>
      </c>
    </row>
    <row r="1773">
      <c r="A1773">
        <f>IF(AND(OR('Compliance Database'!$A1773='Data Transfer'!$B$4,'Compliance Database'!$A1773='Data Transfer'!$B$5),OR('Data Transfer'!$B$6="",ISNUMBER(SEARCH('Data Transfer'!$B$6,'Compliance Database'!$D1773&amp;" "&amp;'Compliance Database'!$K1773&amp;" "&amp;'Compliance Database'!$L1773&amp;" "&amp;'Compliance Database'!$M1773&amp;" "&amp;'Compliance Database'!$N1773&amp;" "&amp;'Compliance Database'!$O1773)))),1,0)</f>
        <v/>
      </c>
      <c r="B1773">
        <f>IF($A1773=1,SUM($A$2:$A1773),"")</f>
        <v/>
      </c>
      <c r="C1773">
        <f>IF($A1773=1,SUM($A$2:$A1773),0)</f>
        <v/>
      </c>
    </row>
    <row r="1774">
      <c r="A1774">
        <f>IF(AND(OR('Compliance Database'!$A1774='Data Transfer'!$B$4,'Compliance Database'!$A1774='Data Transfer'!$B$5),OR('Data Transfer'!$B$6="",ISNUMBER(SEARCH('Data Transfer'!$B$6,'Compliance Database'!$D1774&amp;" "&amp;'Compliance Database'!$K1774&amp;" "&amp;'Compliance Database'!$L1774&amp;" "&amp;'Compliance Database'!$M1774&amp;" "&amp;'Compliance Database'!$N1774&amp;" "&amp;'Compliance Database'!$O1774)))),1,0)</f>
        <v/>
      </c>
      <c r="B1774">
        <f>IF($A1774=1,SUM($A$2:$A1774),"")</f>
        <v/>
      </c>
      <c r="C1774">
        <f>IF($A1774=1,SUM($A$2:$A1774),0)</f>
        <v/>
      </c>
    </row>
    <row r="1775">
      <c r="A1775">
        <f>IF(AND(OR('Compliance Database'!$A1775='Data Transfer'!$B$4,'Compliance Database'!$A1775='Data Transfer'!$B$5),OR('Data Transfer'!$B$6="",ISNUMBER(SEARCH('Data Transfer'!$B$6,'Compliance Database'!$D1775&amp;" "&amp;'Compliance Database'!$K1775&amp;" "&amp;'Compliance Database'!$L1775&amp;" "&amp;'Compliance Database'!$M1775&amp;" "&amp;'Compliance Database'!$N1775&amp;" "&amp;'Compliance Database'!$O1775)))),1,0)</f>
        <v/>
      </c>
      <c r="B1775">
        <f>IF($A1775=1,SUM($A$2:$A1775),"")</f>
        <v/>
      </c>
      <c r="C1775">
        <f>IF($A1775=1,SUM($A$2:$A1775),0)</f>
        <v/>
      </c>
    </row>
    <row r="1776">
      <c r="A1776">
        <f>IF(AND(OR('Compliance Database'!$A1776='Data Transfer'!$B$4,'Compliance Database'!$A1776='Data Transfer'!$B$5),OR('Data Transfer'!$B$6="",ISNUMBER(SEARCH('Data Transfer'!$B$6,'Compliance Database'!$D1776&amp;" "&amp;'Compliance Database'!$K1776&amp;" "&amp;'Compliance Database'!$L1776&amp;" "&amp;'Compliance Database'!$M1776&amp;" "&amp;'Compliance Database'!$N1776&amp;" "&amp;'Compliance Database'!$O1776)))),1,0)</f>
        <v/>
      </c>
      <c r="B1776">
        <f>IF($A1776=1,SUM($A$2:$A1776),"")</f>
        <v/>
      </c>
      <c r="C1776">
        <f>IF($A1776=1,SUM($A$2:$A1776),0)</f>
        <v/>
      </c>
    </row>
    <row r="1777">
      <c r="A1777">
        <f>IF(AND(OR('Compliance Database'!$A1777='Data Transfer'!$B$4,'Compliance Database'!$A1777='Data Transfer'!$B$5),OR('Data Transfer'!$B$6="",ISNUMBER(SEARCH('Data Transfer'!$B$6,'Compliance Database'!$D1777&amp;" "&amp;'Compliance Database'!$K1777&amp;" "&amp;'Compliance Database'!$L1777&amp;" "&amp;'Compliance Database'!$M1777&amp;" "&amp;'Compliance Database'!$N1777&amp;" "&amp;'Compliance Database'!$O1777)))),1,0)</f>
        <v/>
      </c>
      <c r="B1777">
        <f>IF($A1777=1,SUM($A$2:$A1777),"")</f>
        <v/>
      </c>
      <c r="C1777">
        <f>IF($A1777=1,SUM($A$2:$A1777),0)</f>
        <v/>
      </c>
    </row>
    <row r="1778">
      <c r="A1778">
        <f>IF(AND(OR('Compliance Database'!$A1778='Data Transfer'!$B$4,'Compliance Database'!$A1778='Data Transfer'!$B$5),OR('Data Transfer'!$B$6="",ISNUMBER(SEARCH('Data Transfer'!$B$6,'Compliance Database'!$D1778&amp;" "&amp;'Compliance Database'!$K1778&amp;" "&amp;'Compliance Database'!$L1778&amp;" "&amp;'Compliance Database'!$M1778&amp;" "&amp;'Compliance Database'!$N1778&amp;" "&amp;'Compliance Database'!$O1778)))),1,0)</f>
        <v/>
      </c>
      <c r="B1778">
        <f>IF($A1778=1,SUM($A$2:$A1778),"")</f>
        <v/>
      </c>
      <c r="C1778">
        <f>IF($A1778=1,SUM($A$2:$A1778),0)</f>
        <v/>
      </c>
    </row>
    <row r="1779">
      <c r="A1779">
        <f>IF(AND(OR('Compliance Database'!$A1779='Data Transfer'!$B$4,'Compliance Database'!$A1779='Data Transfer'!$B$5),OR('Data Transfer'!$B$6="",ISNUMBER(SEARCH('Data Transfer'!$B$6,'Compliance Database'!$D1779&amp;" "&amp;'Compliance Database'!$K1779&amp;" "&amp;'Compliance Database'!$L1779&amp;" "&amp;'Compliance Database'!$M1779&amp;" "&amp;'Compliance Database'!$N1779&amp;" "&amp;'Compliance Database'!$O1779)))),1,0)</f>
        <v/>
      </c>
      <c r="B1779">
        <f>IF($A1779=1,SUM($A$2:$A1779),"")</f>
        <v/>
      </c>
      <c r="C1779">
        <f>IF($A1779=1,SUM($A$2:$A1779),0)</f>
        <v/>
      </c>
    </row>
    <row r="1780">
      <c r="A1780">
        <f>IF(AND(OR('Compliance Database'!$A1780='Data Transfer'!$B$4,'Compliance Database'!$A1780='Data Transfer'!$B$5),OR('Data Transfer'!$B$6="",ISNUMBER(SEARCH('Data Transfer'!$B$6,'Compliance Database'!$D1780&amp;" "&amp;'Compliance Database'!$K1780&amp;" "&amp;'Compliance Database'!$L1780&amp;" "&amp;'Compliance Database'!$M1780&amp;" "&amp;'Compliance Database'!$N1780&amp;" "&amp;'Compliance Database'!$O1780)))),1,0)</f>
        <v/>
      </c>
      <c r="B1780">
        <f>IF($A1780=1,SUM($A$2:$A1780),"")</f>
        <v/>
      </c>
      <c r="C1780">
        <f>IF($A1780=1,SUM($A$2:$A1780),0)</f>
        <v/>
      </c>
    </row>
    <row r="1781">
      <c r="A1781">
        <f>IF(AND(OR('Compliance Database'!$A1781='Data Transfer'!$B$4,'Compliance Database'!$A1781='Data Transfer'!$B$5),OR('Data Transfer'!$B$6="",ISNUMBER(SEARCH('Data Transfer'!$B$6,'Compliance Database'!$D1781&amp;" "&amp;'Compliance Database'!$K1781&amp;" "&amp;'Compliance Database'!$L1781&amp;" "&amp;'Compliance Database'!$M1781&amp;" "&amp;'Compliance Database'!$N1781&amp;" "&amp;'Compliance Database'!$O1781)))),1,0)</f>
        <v/>
      </c>
      <c r="B1781">
        <f>IF($A1781=1,SUM($A$2:$A1781),"")</f>
        <v/>
      </c>
      <c r="C1781">
        <f>IF($A1781=1,SUM($A$2:$A1781),0)</f>
        <v/>
      </c>
    </row>
    <row r="1782">
      <c r="A1782">
        <f>IF(AND(OR('Compliance Database'!$A1782='Data Transfer'!$B$4,'Compliance Database'!$A1782='Data Transfer'!$B$5),OR('Data Transfer'!$B$6="",ISNUMBER(SEARCH('Data Transfer'!$B$6,'Compliance Database'!$D1782&amp;" "&amp;'Compliance Database'!$K1782&amp;" "&amp;'Compliance Database'!$L1782&amp;" "&amp;'Compliance Database'!$M1782&amp;" "&amp;'Compliance Database'!$N1782&amp;" "&amp;'Compliance Database'!$O1782)))),1,0)</f>
        <v/>
      </c>
      <c r="B1782">
        <f>IF($A1782=1,SUM($A$2:$A1782),"")</f>
        <v/>
      </c>
      <c r="C1782">
        <f>IF($A1782=1,SUM($A$2:$A1782),0)</f>
        <v/>
      </c>
    </row>
    <row r="1783">
      <c r="A1783">
        <f>IF(AND(OR('Compliance Database'!$A1783='Data Transfer'!$B$4,'Compliance Database'!$A1783='Data Transfer'!$B$5),OR('Data Transfer'!$B$6="",ISNUMBER(SEARCH('Data Transfer'!$B$6,'Compliance Database'!$D1783&amp;" "&amp;'Compliance Database'!$K1783&amp;" "&amp;'Compliance Database'!$L1783&amp;" "&amp;'Compliance Database'!$M1783&amp;" "&amp;'Compliance Database'!$N1783&amp;" "&amp;'Compliance Database'!$O1783)))),1,0)</f>
        <v/>
      </c>
      <c r="B1783">
        <f>IF($A1783=1,SUM($A$2:$A1783),"")</f>
        <v/>
      </c>
      <c r="C1783">
        <f>IF($A1783=1,SUM($A$2:$A1783),0)</f>
        <v/>
      </c>
    </row>
    <row r="1784">
      <c r="A1784">
        <f>IF(AND(OR('Compliance Database'!$A1784='Data Transfer'!$B$4,'Compliance Database'!$A1784='Data Transfer'!$B$5),OR('Data Transfer'!$B$6="",ISNUMBER(SEARCH('Data Transfer'!$B$6,'Compliance Database'!$D1784&amp;" "&amp;'Compliance Database'!$K1784&amp;" "&amp;'Compliance Database'!$L1784&amp;" "&amp;'Compliance Database'!$M1784&amp;" "&amp;'Compliance Database'!$N1784&amp;" "&amp;'Compliance Database'!$O1784)))),1,0)</f>
        <v/>
      </c>
      <c r="B1784">
        <f>IF($A1784=1,SUM($A$2:$A1784),"")</f>
        <v/>
      </c>
      <c r="C1784">
        <f>IF($A1784=1,SUM($A$2:$A1784),0)</f>
        <v/>
      </c>
    </row>
    <row r="1785">
      <c r="A1785">
        <f>IF(AND(OR('Compliance Database'!$A1785='Data Transfer'!$B$4,'Compliance Database'!$A1785='Data Transfer'!$B$5),OR('Data Transfer'!$B$6="",ISNUMBER(SEARCH('Data Transfer'!$B$6,'Compliance Database'!$D1785&amp;" "&amp;'Compliance Database'!$K1785&amp;" "&amp;'Compliance Database'!$L1785&amp;" "&amp;'Compliance Database'!$M1785&amp;" "&amp;'Compliance Database'!$N1785&amp;" "&amp;'Compliance Database'!$O1785)))),1,0)</f>
        <v/>
      </c>
      <c r="B1785">
        <f>IF($A1785=1,SUM($A$2:$A1785),"")</f>
        <v/>
      </c>
      <c r="C1785">
        <f>IF($A1785=1,SUM($A$2:$A1785),0)</f>
        <v/>
      </c>
    </row>
    <row r="1786">
      <c r="A1786">
        <f>IF(AND(OR('Compliance Database'!$A1786='Data Transfer'!$B$4,'Compliance Database'!$A1786='Data Transfer'!$B$5),OR('Data Transfer'!$B$6="",ISNUMBER(SEARCH('Data Transfer'!$B$6,'Compliance Database'!$D1786&amp;" "&amp;'Compliance Database'!$K1786&amp;" "&amp;'Compliance Database'!$L1786&amp;" "&amp;'Compliance Database'!$M1786&amp;" "&amp;'Compliance Database'!$N1786&amp;" "&amp;'Compliance Database'!$O1786)))),1,0)</f>
        <v/>
      </c>
      <c r="B1786">
        <f>IF($A1786=1,SUM($A$2:$A1786),"")</f>
        <v/>
      </c>
      <c r="C1786">
        <f>IF($A1786=1,SUM($A$2:$A1786),0)</f>
        <v/>
      </c>
    </row>
    <row r="1787">
      <c r="A1787">
        <f>IF(AND(OR('Compliance Database'!$A1787='Data Transfer'!$B$4,'Compliance Database'!$A1787='Data Transfer'!$B$5),OR('Data Transfer'!$B$6="",ISNUMBER(SEARCH('Data Transfer'!$B$6,'Compliance Database'!$D1787&amp;" "&amp;'Compliance Database'!$K1787&amp;" "&amp;'Compliance Database'!$L1787&amp;" "&amp;'Compliance Database'!$M1787&amp;" "&amp;'Compliance Database'!$N1787&amp;" "&amp;'Compliance Database'!$O1787)))),1,0)</f>
        <v/>
      </c>
      <c r="B1787">
        <f>IF($A1787=1,SUM($A$2:$A1787),"")</f>
        <v/>
      </c>
      <c r="C1787">
        <f>IF($A1787=1,SUM($A$2:$A1787),0)</f>
        <v/>
      </c>
    </row>
    <row r="1788">
      <c r="A1788">
        <f>IF(AND(OR('Compliance Database'!$A1788='Data Transfer'!$B$4,'Compliance Database'!$A1788='Data Transfer'!$B$5),OR('Data Transfer'!$B$6="",ISNUMBER(SEARCH('Data Transfer'!$B$6,'Compliance Database'!$D1788&amp;" "&amp;'Compliance Database'!$K1788&amp;" "&amp;'Compliance Database'!$L1788&amp;" "&amp;'Compliance Database'!$M1788&amp;" "&amp;'Compliance Database'!$N1788&amp;" "&amp;'Compliance Database'!$O1788)))),1,0)</f>
        <v/>
      </c>
      <c r="B1788">
        <f>IF($A1788=1,SUM($A$2:$A1788),"")</f>
        <v/>
      </c>
      <c r="C1788">
        <f>IF($A1788=1,SUM($A$2:$A1788),0)</f>
        <v/>
      </c>
    </row>
    <row r="1789">
      <c r="A1789">
        <f>IF(AND(OR('Compliance Database'!$A1789='Data Transfer'!$B$4,'Compliance Database'!$A1789='Data Transfer'!$B$5),OR('Data Transfer'!$B$6="",ISNUMBER(SEARCH('Data Transfer'!$B$6,'Compliance Database'!$D1789&amp;" "&amp;'Compliance Database'!$K1789&amp;" "&amp;'Compliance Database'!$L1789&amp;" "&amp;'Compliance Database'!$M1789&amp;" "&amp;'Compliance Database'!$N1789&amp;" "&amp;'Compliance Database'!$O1789)))),1,0)</f>
        <v/>
      </c>
      <c r="B1789">
        <f>IF($A1789=1,SUM($A$2:$A1789),"")</f>
        <v/>
      </c>
      <c r="C1789">
        <f>IF($A1789=1,SUM($A$2:$A1789),0)</f>
        <v/>
      </c>
    </row>
    <row r="1790">
      <c r="A1790">
        <f>IF(AND(OR('Compliance Database'!$A1790='Data Transfer'!$B$4,'Compliance Database'!$A1790='Data Transfer'!$B$5),OR('Data Transfer'!$B$6="",ISNUMBER(SEARCH('Data Transfer'!$B$6,'Compliance Database'!$D1790&amp;" "&amp;'Compliance Database'!$K1790&amp;" "&amp;'Compliance Database'!$L1790&amp;" "&amp;'Compliance Database'!$M1790&amp;" "&amp;'Compliance Database'!$N1790&amp;" "&amp;'Compliance Database'!$O1790)))),1,0)</f>
        <v/>
      </c>
      <c r="B1790">
        <f>IF($A1790=1,SUM($A$2:$A1790),"")</f>
        <v/>
      </c>
      <c r="C1790">
        <f>IF($A1790=1,SUM($A$2:$A1790),0)</f>
        <v/>
      </c>
    </row>
    <row r="1791">
      <c r="A1791">
        <f>IF(AND(OR('Compliance Database'!$A1791='Data Transfer'!$B$4,'Compliance Database'!$A1791='Data Transfer'!$B$5),OR('Data Transfer'!$B$6="",ISNUMBER(SEARCH('Data Transfer'!$B$6,'Compliance Database'!$D1791&amp;" "&amp;'Compliance Database'!$K1791&amp;" "&amp;'Compliance Database'!$L1791&amp;" "&amp;'Compliance Database'!$M1791&amp;" "&amp;'Compliance Database'!$N1791&amp;" "&amp;'Compliance Database'!$O1791)))),1,0)</f>
        <v/>
      </c>
      <c r="B1791">
        <f>IF($A1791=1,SUM($A$2:$A1791),"")</f>
        <v/>
      </c>
      <c r="C1791">
        <f>IF($A1791=1,SUM($A$2:$A1791),0)</f>
        <v/>
      </c>
    </row>
    <row r="1792">
      <c r="A1792">
        <f>IF(AND(OR('Compliance Database'!$A1792='Data Transfer'!$B$4,'Compliance Database'!$A1792='Data Transfer'!$B$5),OR('Data Transfer'!$B$6="",ISNUMBER(SEARCH('Data Transfer'!$B$6,'Compliance Database'!$D1792&amp;" "&amp;'Compliance Database'!$K1792&amp;" "&amp;'Compliance Database'!$L1792&amp;" "&amp;'Compliance Database'!$M1792&amp;" "&amp;'Compliance Database'!$N1792&amp;" "&amp;'Compliance Database'!$O1792)))),1,0)</f>
        <v/>
      </c>
      <c r="B1792">
        <f>IF($A1792=1,SUM($A$2:$A1792),"")</f>
        <v/>
      </c>
      <c r="C1792">
        <f>IF($A1792=1,SUM($A$2:$A1792),0)</f>
        <v/>
      </c>
    </row>
    <row r="1793">
      <c r="A1793">
        <f>IF(AND(OR('Compliance Database'!$A1793='Data Transfer'!$B$4,'Compliance Database'!$A1793='Data Transfer'!$B$5),OR('Data Transfer'!$B$6="",ISNUMBER(SEARCH('Data Transfer'!$B$6,'Compliance Database'!$D1793&amp;" "&amp;'Compliance Database'!$K1793&amp;" "&amp;'Compliance Database'!$L1793&amp;" "&amp;'Compliance Database'!$M1793&amp;" "&amp;'Compliance Database'!$N1793&amp;" "&amp;'Compliance Database'!$O1793)))),1,0)</f>
        <v/>
      </c>
      <c r="B1793">
        <f>IF($A1793=1,SUM($A$2:$A1793),"")</f>
        <v/>
      </c>
      <c r="C1793">
        <f>IF($A1793=1,SUM($A$2:$A1793),0)</f>
        <v/>
      </c>
    </row>
    <row r="1794">
      <c r="A1794">
        <f>IF(AND(OR('Compliance Database'!$A1794='Data Transfer'!$B$4,'Compliance Database'!$A1794='Data Transfer'!$B$5),OR('Data Transfer'!$B$6="",ISNUMBER(SEARCH('Data Transfer'!$B$6,'Compliance Database'!$D1794&amp;" "&amp;'Compliance Database'!$K1794&amp;" "&amp;'Compliance Database'!$L1794&amp;" "&amp;'Compliance Database'!$M1794&amp;" "&amp;'Compliance Database'!$N1794&amp;" "&amp;'Compliance Database'!$O1794)))),1,0)</f>
        <v/>
      </c>
      <c r="B1794">
        <f>IF($A1794=1,SUM($A$2:$A1794),"")</f>
        <v/>
      </c>
      <c r="C1794">
        <f>IF($A1794=1,SUM($A$2:$A1794),0)</f>
        <v/>
      </c>
    </row>
    <row r="1795">
      <c r="A1795">
        <f>IF(AND(OR('Compliance Database'!$A1795='Data Transfer'!$B$4,'Compliance Database'!$A1795='Data Transfer'!$B$5),OR('Data Transfer'!$B$6="",ISNUMBER(SEARCH('Data Transfer'!$B$6,'Compliance Database'!$D1795&amp;" "&amp;'Compliance Database'!$K1795&amp;" "&amp;'Compliance Database'!$L1795&amp;" "&amp;'Compliance Database'!$M1795&amp;" "&amp;'Compliance Database'!$N1795&amp;" "&amp;'Compliance Database'!$O1795)))),1,0)</f>
        <v/>
      </c>
      <c r="B1795">
        <f>IF($A1795=1,SUM($A$2:$A1795),"")</f>
        <v/>
      </c>
      <c r="C1795">
        <f>IF($A1795=1,SUM($A$2:$A1795),0)</f>
        <v/>
      </c>
    </row>
    <row r="1796">
      <c r="A1796">
        <f>IF(AND(OR('Compliance Database'!$A1796='Data Transfer'!$B$4,'Compliance Database'!$A1796='Data Transfer'!$B$5),OR('Data Transfer'!$B$6="",ISNUMBER(SEARCH('Data Transfer'!$B$6,'Compliance Database'!$D1796&amp;" "&amp;'Compliance Database'!$K1796&amp;" "&amp;'Compliance Database'!$L1796&amp;" "&amp;'Compliance Database'!$M1796&amp;" "&amp;'Compliance Database'!$N1796&amp;" "&amp;'Compliance Database'!$O1796)))),1,0)</f>
        <v/>
      </c>
      <c r="B1796">
        <f>IF($A1796=1,SUM($A$2:$A1796),"")</f>
        <v/>
      </c>
      <c r="C1796">
        <f>IF($A1796=1,SUM($A$2:$A1796),0)</f>
        <v/>
      </c>
    </row>
    <row r="1797">
      <c r="A1797">
        <f>IF(AND(OR('Compliance Database'!$A1797='Data Transfer'!$B$4,'Compliance Database'!$A1797='Data Transfer'!$B$5),OR('Data Transfer'!$B$6="",ISNUMBER(SEARCH('Data Transfer'!$B$6,'Compliance Database'!$D1797&amp;" "&amp;'Compliance Database'!$K1797&amp;" "&amp;'Compliance Database'!$L1797&amp;" "&amp;'Compliance Database'!$M1797&amp;" "&amp;'Compliance Database'!$N1797&amp;" "&amp;'Compliance Database'!$O1797)))),1,0)</f>
        <v/>
      </c>
      <c r="B1797">
        <f>IF($A1797=1,SUM($A$2:$A1797),"")</f>
        <v/>
      </c>
      <c r="C1797">
        <f>IF($A1797=1,SUM($A$2:$A1797),0)</f>
        <v/>
      </c>
    </row>
    <row r="1798">
      <c r="A1798">
        <f>IF(AND(OR('Compliance Database'!$A1798='Data Transfer'!$B$4,'Compliance Database'!$A1798='Data Transfer'!$B$5),OR('Data Transfer'!$B$6="",ISNUMBER(SEARCH('Data Transfer'!$B$6,'Compliance Database'!$D1798&amp;" "&amp;'Compliance Database'!$K1798&amp;" "&amp;'Compliance Database'!$L1798&amp;" "&amp;'Compliance Database'!$M1798&amp;" "&amp;'Compliance Database'!$N1798&amp;" "&amp;'Compliance Database'!$O1798)))),1,0)</f>
        <v/>
      </c>
      <c r="B1798">
        <f>IF($A1798=1,SUM($A$2:$A1798),"")</f>
        <v/>
      </c>
      <c r="C1798">
        <f>IF($A1798=1,SUM($A$2:$A1798),0)</f>
        <v/>
      </c>
    </row>
    <row r="1799">
      <c r="A1799">
        <f>IF(AND(OR('Compliance Database'!$A1799='Data Transfer'!$B$4,'Compliance Database'!$A1799='Data Transfer'!$B$5),OR('Data Transfer'!$B$6="",ISNUMBER(SEARCH('Data Transfer'!$B$6,'Compliance Database'!$D1799&amp;" "&amp;'Compliance Database'!$K1799&amp;" "&amp;'Compliance Database'!$L1799&amp;" "&amp;'Compliance Database'!$M1799&amp;" "&amp;'Compliance Database'!$N1799&amp;" "&amp;'Compliance Database'!$O1799)))),1,0)</f>
        <v/>
      </c>
      <c r="B1799">
        <f>IF($A1799=1,SUM($A$2:$A1799),"")</f>
        <v/>
      </c>
      <c r="C1799">
        <f>IF($A1799=1,SUM($A$2:$A1799),0)</f>
        <v/>
      </c>
    </row>
    <row r="1800">
      <c r="A1800">
        <f>IF(AND(OR('Compliance Database'!$A1800='Data Transfer'!$B$4,'Compliance Database'!$A1800='Data Transfer'!$B$5),OR('Data Transfer'!$B$6="",ISNUMBER(SEARCH('Data Transfer'!$B$6,'Compliance Database'!$D1800&amp;" "&amp;'Compliance Database'!$K1800&amp;" "&amp;'Compliance Database'!$L1800&amp;" "&amp;'Compliance Database'!$M1800&amp;" "&amp;'Compliance Database'!$N1800&amp;" "&amp;'Compliance Database'!$O1800)))),1,0)</f>
        <v/>
      </c>
      <c r="B1800">
        <f>IF($A1800=1,SUM($A$2:$A1800),"")</f>
        <v/>
      </c>
      <c r="C1800">
        <f>IF($A1800=1,SUM($A$2:$A1800),0)</f>
        <v/>
      </c>
    </row>
    <row r="1801">
      <c r="A1801">
        <f>IF(AND(OR('Compliance Database'!$A1801='Data Transfer'!$B$4,'Compliance Database'!$A1801='Data Transfer'!$B$5),OR('Data Transfer'!$B$6="",ISNUMBER(SEARCH('Data Transfer'!$B$6,'Compliance Database'!$D1801&amp;" "&amp;'Compliance Database'!$K1801&amp;" "&amp;'Compliance Database'!$L1801&amp;" "&amp;'Compliance Database'!$M1801&amp;" "&amp;'Compliance Database'!$N1801&amp;" "&amp;'Compliance Database'!$O1801)))),1,0)</f>
        <v/>
      </c>
      <c r="B1801">
        <f>IF($A1801=1,SUM($A$2:$A1801),"")</f>
        <v/>
      </c>
      <c r="C1801">
        <f>IF($A1801=1,SUM($A$2:$A1801),0)</f>
        <v/>
      </c>
    </row>
    <row r="1802">
      <c r="A1802">
        <f>IF(AND(OR('Compliance Database'!$A1802='Data Transfer'!$B$4,'Compliance Database'!$A1802='Data Transfer'!$B$5),OR('Data Transfer'!$B$6="",ISNUMBER(SEARCH('Data Transfer'!$B$6,'Compliance Database'!$D1802&amp;" "&amp;'Compliance Database'!$K1802&amp;" "&amp;'Compliance Database'!$L1802&amp;" "&amp;'Compliance Database'!$M1802&amp;" "&amp;'Compliance Database'!$N1802&amp;" "&amp;'Compliance Database'!$O1802)))),1,0)</f>
        <v/>
      </c>
      <c r="B1802">
        <f>IF($A1802=1,SUM($A$2:$A1802),"")</f>
        <v/>
      </c>
      <c r="C1802">
        <f>IF($A1802=1,SUM($A$2:$A1802),0)</f>
        <v/>
      </c>
    </row>
    <row r="1803">
      <c r="A1803">
        <f>IF(AND(OR('Compliance Database'!$A1803='Data Transfer'!$B$4,'Compliance Database'!$A1803='Data Transfer'!$B$5),OR('Data Transfer'!$B$6="",ISNUMBER(SEARCH('Data Transfer'!$B$6,'Compliance Database'!$D1803&amp;" "&amp;'Compliance Database'!$K1803&amp;" "&amp;'Compliance Database'!$L1803&amp;" "&amp;'Compliance Database'!$M1803&amp;" "&amp;'Compliance Database'!$N1803&amp;" "&amp;'Compliance Database'!$O1803)))),1,0)</f>
        <v/>
      </c>
      <c r="B1803">
        <f>IF($A1803=1,SUM($A$2:$A1803),"")</f>
        <v/>
      </c>
      <c r="C1803">
        <f>IF($A1803=1,SUM($A$2:$A1803),0)</f>
        <v/>
      </c>
    </row>
    <row r="1804">
      <c r="A1804">
        <f>IF(AND(OR('Compliance Database'!$A1804='Data Transfer'!$B$4,'Compliance Database'!$A1804='Data Transfer'!$B$5),OR('Data Transfer'!$B$6="",ISNUMBER(SEARCH('Data Transfer'!$B$6,'Compliance Database'!$D1804&amp;" "&amp;'Compliance Database'!$K1804&amp;" "&amp;'Compliance Database'!$L1804&amp;" "&amp;'Compliance Database'!$M1804&amp;" "&amp;'Compliance Database'!$N1804&amp;" "&amp;'Compliance Database'!$O1804)))),1,0)</f>
        <v/>
      </c>
      <c r="B1804">
        <f>IF($A1804=1,SUM($A$2:$A1804),"")</f>
        <v/>
      </c>
      <c r="C1804">
        <f>IF($A1804=1,SUM($A$2:$A1804),0)</f>
        <v/>
      </c>
    </row>
    <row r="1805">
      <c r="A1805">
        <f>IF(AND(OR('Compliance Database'!$A1805='Data Transfer'!$B$4,'Compliance Database'!$A1805='Data Transfer'!$B$5),OR('Data Transfer'!$B$6="",ISNUMBER(SEARCH('Data Transfer'!$B$6,'Compliance Database'!$D1805&amp;" "&amp;'Compliance Database'!$K1805&amp;" "&amp;'Compliance Database'!$L1805&amp;" "&amp;'Compliance Database'!$M1805&amp;" "&amp;'Compliance Database'!$N1805&amp;" "&amp;'Compliance Database'!$O1805)))),1,0)</f>
        <v/>
      </c>
      <c r="B1805">
        <f>IF($A1805=1,SUM($A$2:$A1805),"")</f>
        <v/>
      </c>
      <c r="C1805">
        <f>IF($A1805=1,SUM($A$2:$A1805),0)</f>
        <v/>
      </c>
    </row>
    <row r="1806">
      <c r="A1806">
        <f>IF(AND(OR('Compliance Database'!$A1806='Data Transfer'!$B$4,'Compliance Database'!$A1806='Data Transfer'!$B$5),OR('Data Transfer'!$B$6="",ISNUMBER(SEARCH('Data Transfer'!$B$6,'Compliance Database'!$D1806&amp;" "&amp;'Compliance Database'!$K1806&amp;" "&amp;'Compliance Database'!$L1806&amp;" "&amp;'Compliance Database'!$M1806&amp;" "&amp;'Compliance Database'!$N1806&amp;" "&amp;'Compliance Database'!$O1806)))),1,0)</f>
        <v/>
      </c>
      <c r="B1806">
        <f>IF($A1806=1,SUM($A$2:$A1806),"")</f>
        <v/>
      </c>
      <c r="C1806">
        <f>IF($A1806=1,SUM($A$2:$A1806),0)</f>
        <v/>
      </c>
    </row>
    <row r="1807">
      <c r="A1807">
        <f>IF(AND(OR('Compliance Database'!$A1807='Data Transfer'!$B$4,'Compliance Database'!$A1807='Data Transfer'!$B$5),OR('Data Transfer'!$B$6="",ISNUMBER(SEARCH('Data Transfer'!$B$6,'Compliance Database'!$D1807&amp;" "&amp;'Compliance Database'!$K1807&amp;" "&amp;'Compliance Database'!$L1807&amp;" "&amp;'Compliance Database'!$M1807&amp;" "&amp;'Compliance Database'!$N1807&amp;" "&amp;'Compliance Database'!$O1807)))),1,0)</f>
        <v/>
      </c>
      <c r="B1807">
        <f>IF($A1807=1,SUM($A$2:$A1807),"")</f>
        <v/>
      </c>
      <c r="C1807">
        <f>IF($A1807=1,SUM($A$2:$A1807),0)</f>
        <v/>
      </c>
    </row>
    <row r="1808">
      <c r="A1808">
        <f>IF(AND(OR('Compliance Database'!$A1808='Data Transfer'!$B$4,'Compliance Database'!$A1808='Data Transfer'!$B$5),OR('Data Transfer'!$B$6="",ISNUMBER(SEARCH('Data Transfer'!$B$6,'Compliance Database'!$D1808&amp;" "&amp;'Compliance Database'!$K1808&amp;" "&amp;'Compliance Database'!$L1808&amp;" "&amp;'Compliance Database'!$M1808&amp;" "&amp;'Compliance Database'!$N1808&amp;" "&amp;'Compliance Database'!$O1808)))),1,0)</f>
        <v/>
      </c>
      <c r="B1808">
        <f>IF($A1808=1,SUM($A$2:$A1808),"")</f>
        <v/>
      </c>
      <c r="C1808">
        <f>IF($A1808=1,SUM($A$2:$A1808),0)</f>
        <v/>
      </c>
    </row>
    <row r="1809">
      <c r="A1809">
        <f>IF(AND(OR('Compliance Database'!$A1809='Data Transfer'!$B$4,'Compliance Database'!$A1809='Data Transfer'!$B$5),OR('Data Transfer'!$B$6="",ISNUMBER(SEARCH('Data Transfer'!$B$6,'Compliance Database'!$D1809&amp;" "&amp;'Compliance Database'!$K1809&amp;" "&amp;'Compliance Database'!$L1809&amp;" "&amp;'Compliance Database'!$M1809&amp;" "&amp;'Compliance Database'!$N1809&amp;" "&amp;'Compliance Database'!$O1809)))),1,0)</f>
        <v/>
      </c>
      <c r="B1809">
        <f>IF($A1809=1,SUM($A$2:$A1809),"")</f>
        <v/>
      </c>
      <c r="C1809">
        <f>IF($A1809=1,SUM($A$2:$A1809),0)</f>
        <v/>
      </c>
    </row>
    <row r="1810">
      <c r="A1810">
        <f>IF(AND(OR('Compliance Database'!$A1810='Data Transfer'!$B$4,'Compliance Database'!$A1810='Data Transfer'!$B$5),OR('Data Transfer'!$B$6="",ISNUMBER(SEARCH('Data Transfer'!$B$6,'Compliance Database'!$D1810&amp;" "&amp;'Compliance Database'!$K1810&amp;" "&amp;'Compliance Database'!$L1810&amp;" "&amp;'Compliance Database'!$M1810&amp;" "&amp;'Compliance Database'!$N1810&amp;" "&amp;'Compliance Database'!$O1810)))),1,0)</f>
        <v/>
      </c>
      <c r="B1810">
        <f>IF($A1810=1,SUM($A$2:$A1810),"")</f>
        <v/>
      </c>
      <c r="C1810">
        <f>IF($A1810=1,SUM($A$2:$A1810),0)</f>
        <v/>
      </c>
    </row>
    <row r="1811">
      <c r="A1811">
        <f>IF(AND(OR('Compliance Database'!$A1811='Data Transfer'!$B$4,'Compliance Database'!$A1811='Data Transfer'!$B$5),OR('Data Transfer'!$B$6="",ISNUMBER(SEARCH('Data Transfer'!$B$6,'Compliance Database'!$D1811&amp;" "&amp;'Compliance Database'!$K1811&amp;" "&amp;'Compliance Database'!$L1811&amp;" "&amp;'Compliance Database'!$M1811&amp;" "&amp;'Compliance Database'!$N1811&amp;" "&amp;'Compliance Database'!$O1811)))),1,0)</f>
        <v/>
      </c>
      <c r="B1811">
        <f>IF($A1811=1,SUM($A$2:$A1811),"")</f>
        <v/>
      </c>
      <c r="C1811">
        <f>IF($A1811=1,SUM($A$2:$A1811),0)</f>
        <v/>
      </c>
    </row>
    <row r="1812">
      <c r="A1812">
        <f>IF(AND(OR('Compliance Database'!$A1812='Data Transfer'!$B$4,'Compliance Database'!$A1812='Data Transfer'!$B$5),OR('Data Transfer'!$B$6="",ISNUMBER(SEARCH('Data Transfer'!$B$6,'Compliance Database'!$D1812&amp;" "&amp;'Compliance Database'!$K1812&amp;" "&amp;'Compliance Database'!$L1812&amp;" "&amp;'Compliance Database'!$M1812&amp;" "&amp;'Compliance Database'!$N1812&amp;" "&amp;'Compliance Database'!$O1812)))),1,0)</f>
        <v/>
      </c>
      <c r="B1812">
        <f>IF($A1812=1,SUM($A$2:$A1812),"")</f>
        <v/>
      </c>
      <c r="C1812">
        <f>IF($A1812=1,SUM($A$2:$A1812),0)</f>
        <v/>
      </c>
    </row>
    <row r="1813">
      <c r="A1813">
        <f>IF(AND(OR('Compliance Database'!$A1813='Data Transfer'!$B$4,'Compliance Database'!$A1813='Data Transfer'!$B$5),OR('Data Transfer'!$B$6="",ISNUMBER(SEARCH('Data Transfer'!$B$6,'Compliance Database'!$D1813&amp;" "&amp;'Compliance Database'!$K1813&amp;" "&amp;'Compliance Database'!$L1813&amp;" "&amp;'Compliance Database'!$M1813&amp;" "&amp;'Compliance Database'!$N1813&amp;" "&amp;'Compliance Database'!$O1813)))),1,0)</f>
        <v/>
      </c>
      <c r="B1813">
        <f>IF($A1813=1,SUM($A$2:$A1813),"")</f>
        <v/>
      </c>
      <c r="C1813">
        <f>IF($A1813=1,SUM($A$2:$A1813),0)</f>
        <v/>
      </c>
    </row>
    <row r="1814">
      <c r="A1814">
        <f>IF(AND(OR('Compliance Database'!$A1814='Data Transfer'!$B$4,'Compliance Database'!$A1814='Data Transfer'!$B$5),OR('Data Transfer'!$B$6="",ISNUMBER(SEARCH('Data Transfer'!$B$6,'Compliance Database'!$D1814&amp;" "&amp;'Compliance Database'!$K1814&amp;" "&amp;'Compliance Database'!$L1814&amp;" "&amp;'Compliance Database'!$M1814&amp;" "&amp;'Compliance Database'!$N1814&amp;" "&amp;'Compliance Database'!$O1814)))),1,0)</f>
        <v/>
      </c>
      <c r="B1814">
        <f>IF($A1814=1,SUM($A$2:$A1814),"")</f>
        <v/>
      </c>
      <c r="C1814">
        <f>IF($A1814=1,SUM($A$2:$A1814),0)</f>
        <v/>
      </c>
    </row>
    <row r="1815">
      <c r="A1815">
        <f>IF(AND(OR('Compliance Database'!$A1815='Data Transfer'!$B$4,'Compliance Database'!$A1815='Data Transfer'!$B$5),OR('Data Transfer'!$B$6="",ISNUMBER(SEARCH('Data Transfer'!$B$6,'Compliance Database'!$D1815&amp;" "&amp;'Compliance Database'!$K1815&amp;" "&amp;'Compliance Database'!$L1815&amp;" "&amp;'Compliance Database'!$M1815&amp;" "&amp;'Compliance Database'!$N1815&amp;" "&amp;'Compliance Database'!$O1815)))),1,0)</f>
        <v/>
      </c>
      <c r="B1815">
        <f>IF($A1815=1,SUM($A$2:$A1815),"")</f>
        <v/>
      </c>
      <c r="C1815">
        <f>IF($A1815=1,SUM($A$2:$A1815),0)</f>
        <v/>
      </c>
    </row>
    <row r="1816">
      <c r="A1816">
        <f>IF(AND(OR('Compliance Database'!$A1816='Data Transfer'!$B$4,'Compliance Database'!$A1816='Data Transfer'!$B$5),OR('Data Transfer'!$B$6="",ISNUMBER(SEARCH('Data Transfer'!$B$6,'Compliance Database'!$D1816&amp;" "&amp;'Compliance Database'!$K1816&amp;" "&amp;'Compliance Database'!$L1816&amp;" "&amp;'Compliance Database'!$M1816&amp;" "&amp;'Compliance Database'!$N1816&amp;" "&amp;'Compliance Database'!$O1816)))),1,0)</f>
        <v/>
      </c>
      <c r="B1816">
        <f>IF($A1816=1,SUM($A$2:$A1816),"")</f>
        <v/>
      </c>
      <c r="C1816">
        <f>IF($A1816=1,SUM($A$2:$A1816),0)</f>
        <v/>
      </c>
    </row>
    <row r="1817">
      <c r="A1817">
        <f>IF(AND(OR('Compliance Database'!$A1817='Data Transfer'!$B$4,'Compliance Database'!$A1817='Data Transfer'!$B$5),OR('Data Transfer'!$B$6="",ISNUMBER(SEARCH('Data Transfer'!$B$6,'Compliance Database'!$D1817&amp;" "&amp;'Compliance Database'!$K1817&amp;" "&amp;'Compliance Database'!$L1817&amp;" "&amp;'Compliance Database'!$M1817&amp;" "&amp;'Compliance Database'!$N1817&amp;" "&amp;'Compliance Database'!$O1817)))),1,0)</f>
        <v/>
      </c>
      <c r="B1817">
        <f>IF($A1817=1,SUM($A$2:$A1817),"")</f>
        <v/>
      </c>
      <c r="C1817">
        <f>IF($A1817=1,SUM($A$2:$A1817),0)</f>
        <v/>
      </c>
    </row>
    <row r="1818">
      <c r="A1818">
        <f>IF(AND(OR('Compliance Database'!$A1818='Data Transfer'!$B$4,'Compliance Database'!$A1818='Data Transfer'!$B$5),OR('Data Transfer'!$B$6="",ISNUMBER(SEARCH('Data Transfer'!$B$6,'Compliance Database'!$D1818&amp;" "&amp;'Compliance Database'!$K1818&amp;" "&amp;'Compliance Database'!$L1818&amp;" "&amp;'Compliance Database'!$M1818&amp;" "&amp;'Compliance Database'!$N1818&amp;" "&amp;'Compliance Database'!$O1818)))),1,0)</f>
        <v/>
      </c>
      <c r="B1818">
        <f>IF($A1818=1,SUM($A$2:$A1818),"")</f>
        <v/>
      </c>
      <c r="C1818">
        <f>IF($A1818=1,SUM($A$2:$A1818),0)</f>
        <v/>
      </c>
    </row>
    <row r="1819">
      <c r="A1819">
        <f>IF(AND(OR('Compliance Database'!$A1819='Data Transfer'!$B$4,'Compliance Database'!$A1819='Data Transfer'!$B$5),OR('Data Transfer'!$B$6="",ISNUMBER(SEARCH('Data Transfer'!$B$6,'Compliance Database'!$D1819&amp;" "&amp;'Compliance Database'!$K1819&amp;" "&amp;'Compliance Database'!$L1819&amp;" "&amp;'Compliance Database'!$M1819&amp;" "&amp;'Compliance Database'!$N1819&amp;" "&amp;'Compliance Database'!$O1819)))),1,0)</f>
        <v/>
      </c>
      <c r="B1819">
        <f>IF($A1819=1,SUM($A$2:$A1819),"")</f>
        <v/>
      </c>
      <c r="C1819">
        <f>IF($A1819=1,SUM($A$2:$A1819),0)</f>
        <v/>
      </c>
    </row>
    <row r="1820">
      <c r="A1820">
        <f>IF(AND(OR('Compliance Database'!$A1820='Data Transfer'!$B$4,'Compliance Database'!$A1820='Data Transfer'!$B$5),OR('Data Transfer'!$B$6="",ISNUMBER(SEARCH('Data Transfer'!$B$6,'Compliance Database'!$D1820&amp;" "&amp;'Compliance Database'!$K1820&amp;" "&amp;'Compliance Database'!$L1820&amp;" "&amp;'Compliance Database'!$M1820&amp;" "&amp;'Compliance Database'!$N1820&amp;" "&amp;'Compliance Database'!$O1820)))),1,0)</f>
        <v/>
      </c>
      <c r="B1820">
        <f>IF($A1820=1,SUM($A$2:$A1820),"")</f>
        <v/>
      </c>
      <c r="C1820">
        <f>IF($A1820=1,SUM($A$2:$A1820),0)</f>
        <v/>
      </c>
    </row>
    <row r="1821">
      <c r="A1821">
        <f>IF(AND(OR('Compliance Database'!$A1821='Data Transfer'!$B$4,'Compliance Database'!$A1821='Data Transfer'!$B$5),OR('Data Transfer'!$B$6="",ISNUMBER(SEARCH('Data Transfer'!$B$6,'Compliance Database'!$D1821&amp;" "&amp;'Compliance Database'!$K1821&amp;" "&amp;'Compliance Database'!$L1821&amp;" "&amp;'Compliance Database'!$M1821&amp;" "&amp;'Compliance Database'!$N1821&amp;" "&amp;'Compliance Database'!$O1821)))),1,0)</f>
        <v/>
      </c>
      <c r="B1821">
        <f>IF($A1821=1,SUM($A$2:$A1821),"")</f>
        <v/>
      </c>
      <c r="C1821">
        <f>IF($A1821=1,SUM($A$2:$A1821),0)</f>
        <v/>
      </c>
    </row>
    <row r="1822">
      <c r="A1822">
        <f>IF(AND(OR('Compliance Database'!$A1822='Data Transfer'!$B$4,'Compliance Database'!$A1822='Data Transfer'!$B$5),OR('Data Transfer'!$B$6="",ISNUMBER(SEARCH('Data Transfer'!$B$6,'Compliance Database'!$D1822&amp;" "&amp;'Compliance Database'!$K1822&amp;" "&amp;'Compliance Database'!$L1822&amp;" "&amp;'Compliance Database'!$M1822&amp;" "&amp;'Compliance Database'!$N1822&amp;" "&amp;'Compliance Database'!$O1822)))),1,0)</f>
        <v/>
      </c>
      <c r="B1822">
        <f>IF($A1822=1,SUM($A$2:$A1822),"")</f>
        <v/>
      </c>
      <c r="C1822">
        <f>IF($A1822=1,SUM($A$2:$A1822),0)</f>
        <v/>
      </c>
    </row>
    <row r="1823">
      <c r="A1823">
        <f>IF(AND(OR('Compliance Database'!$A1823='Data Transfer'!$B$4,'Compliance Database'!$A1823='Data Transfer'!$B$5),OR('Data Transfer'!$B$6="",ISNUMBER(SEARCH('Data Transfer'!$B$6,'Compliance Database'!$D1823&amp;" "&amp;'Compliance Database'!$K1823&amp;" "&amp;'Compliance Database'!$L1823&amp;" "&amp;'Compliance Database'!$M1823&amp;" "&amp;'Compliance Database'!$N1823&amp;" "&amp;'Compliance Database'!$O1823)))),1,0)</f>
        <v/>
      </c>
      <c r="B1823">
        <f>IF($A1823=1,SUM($A$2:$A1823),"")</f>
        <v/>
      </c>
      <c r="C1823">
        <f>IF($A1823=1,SUM($A$2:$A1823),0)</f>
        <v/>
      </c>
    </row>
    <row r="1824">
      <c r="A1824">
        <f>IF(AND(OR('Compliance Database'!$A1824='Data Transfer'!$B$4,'Compliance Database'!$A1824='Data Transfer'!$B$5),OR('Data Transfer'!$B$6="",ISNUMBER(SEARCH('Data Transfer'!$B$6,'Compliance Database'!$D1824&amp;" "&amp;'Compliance Database'!$K1824&amp;" "&amp;'Compliance Database'!$L1824&amp;" "&amp;'Compliance Database'!$M1824&amp;" "&amp;'Compliance Database'!$N1824&amp;" "&amp;'Compliance Database'!$O1824)))),1,0)</f>
        <v/>
      </c>
      <c r="B1824">
        <f>IF($A1824=1,SUM($A$2:$A1824),"")</f>
        <v/>
      </c>
      <c r="C1824">
        <f>IF($A1824=1,SUM($A$2:$A1824),0)</f>
        <v/>
      </c>
    </row>
    <row r="1825">
      <c r="A1825">
        <f>IF(AND(OR('Compliance Database'!$A1825='Data Transfer'!$B$4,'Compliance Database'!$A1825='Data Transfer'!$B$5),OR('Data Transfer'!$B$6="",ISNUMBER(SEARCH('Data Transfer'!$B$6,'Compliance Database'!$D1825&amp;" "&amp;'Compliance Database'!$K1825&amp;" "&amp;'Compliance Database'!$L1825&amp;" "&amp;'Compliance Database'!$M1825&amp;" "&amp;'Compliance Database'!$N1825&amp;" "&amp;'Compliance Database'!$O1825)))),1,0)</f>
        <v/>
      </c>
      <c r="B1825">
        <f>IF($A1825=1,SUM($A$2:$A1825),"")</f>
        <v/>
      </c>
      <c r="C1825">
        <f>IF($A1825=1,SUM($A$2:$A1825),0)</f>
        <v/>
      </c>
    </row>
    <row r="1826">
      <c r="A1826">
        <f>IF(AND(OR('Compliance Database'!$A1826='Data Transfer'!$B$4,'Compliance Database'!$A1826='Data Transfer'!$B$5),OR('Data Transfer'!$B$6="",ISNUMBER(SEARCH('Data Transfer'!$B$6,'Compliance Database'!$D1826&amp;" "&amp;'Compliance Database'!$K1826&amp;" "&amp;'Compliance Database'!$L1826&amp;" "&amp;'Compliance Database'!$M1826&amp;" "&amp;'Compliance Database'!$N1826&amp;" "&amp;'Compliance Database'!$O1826)))),1,0)</f>
        <v/>
      </c>
      <c r="B1826">
        <f>IF($A1826=1,SUM($A$2:$A1826),"")</f>
        <v/>
      </c>
      <c r="C1826">
        <f>IF($A1826=1,SUM($A$2:$A1826),0)</f>
        <v/>
      </c>
    </row>
    <row r="1827">
      <c r="A1827">
        <f>IF(AND(OR('Compliance Database'!$A1827='Data Transfer'!$B$4,'Compliance Database'!$A1827='Data Transfer'!$B$5),OR('Data Transfer'!$B$6="",ISNUMBER(SEARCH('Data Transfer'!$B$6,'Compliance Database'!$D1827&amp;" "&amp;'Compliance Database'!$K1827&amp;" "&amp;'Compliance Database'!$L1827&amp;" "&amp;'Compliance Database'!$M1827&amp;" "&amp;'Compliance Database'!$N1827&amp;" "&amp;'Compliance Database'!$O1827)))),1,0)</f>
        <v/>
      </c>
      <c r="B1827">
        <f>IF($A1827=1,SUM($A$2:$A1827),"")</f>
        <v/>
      </c>
      <c r="C1827">
        <f>IF($A1827=1,SUM($A$2:$A1827),0)</f>
        <v/>
      </c>
    </row>
    <row r="1828">
      <c r="A1828">
        <f>IF(AND(OR('Compliance Database'!$A1828='Data Transfer'!$B$4,'Compliance Database'!$A1828='Data Transfer'!$B$5),OR('Data Transfer'!$B$6="",ISNUMBER(SEARCH('Data Transfer'!$B$6,'Compliance Database'!$D1828&amp;" "&amp;'Compliance Database'!$K1828&amp;" "&amp;'Compliance Database'!$L1828&amp;" "&amp;'Compliance Database'!$M1828&amp;" "&amp;'Compliance Database'!$N1828&amp;" "&amp;'Compliance Database'!$O1828)))),1,0)</f>
        <v/>
      </c>
      <c r="B1828">
        <f>IF($A1828=1,SUM($A$2:$A1828),"")</f>
        <v/>
      </c>
      <c r="C1828">
        <f>IF($A1828=1,SUM($A$2:$A1828),0)</f>
        <v/>
      </c>
    </row>
    <row r="1829">
      <c r="A1829">
        <f>IF(AND(OR('Compliance Database'!$A1829='Data Transfer'!$B$4,'Compliance Database'!$A1829='Data Transfer'!$B$5),OR('Data Transfer'!$B$6="",ISNUMBER(SEARCH('Data Transfer'!$B$6,'Compliance Database'!$D1829&amp;" "&amp;'Compliance Database'!$K1829&amp;" "&amp;'Compliance Database'!$L1829&amp;" "&amp;'Compliance Database'!$M1829&amp;" "&amp;'Compliance Database'!$N1829&amp;" "&amp;'Compliance Database'!$O1829)))),1,0)</f>
        <v/>
      </c>
      <c r="B1829">
        <f>IF($A1829=1,SUM($A$2:$A1829),"")</f>
        <v/>
      </c>
      <c r="C1829">
        <f>IF($A1829=1,SUM($A$2:$A1829),0)</f>
        <v/>
      </c>
    </row>
    <row r="1830">
      <c r="A1830">
        <f>IF(AND(OR('Compliance Database'!$A1830='Data Transfer'!$B$4,'Compliance Database'!$A1830='Data Transfer'!$B$5),OR('Data Transfer'!$B$6="",ISNUMBER(SEARCH('Data Transfer'!$B$6,'Compliance Database'!$D1830&amp;" "&amp;'Compliance Database'!$K1830&amp;" "&amp;'Compliance Database'!$L1830&amp;" "&amp;'Compliance Database'!$M1830&amp;" "&amp;'Compliance Database'!$N1830&amp;" "&amp;'Compliance Database'!$O1830)))),1,0)</f>
        <v/>
      </c>
      <c r="B1830">
        <f>IF($A1830=1,SUM($A$2:$A1830),"")</f>
        <v/>
      </c>
      <c r="C1830">
        <f>IF($A1830=1,SUM($A$2:$A1830),0)</f>
        <v/>
      </c>
    </row>
    <row r="1831">
      <c r="A1831">
        <f>IF(AND(OR('Compliance Database'!$A1831='Data Transfer'!$B$4,'Compliance Database'!$A1831='Data Transfer'!$B$5),OR('Data Transfer'!$B$6="",ISNUMBER(SEARCH('Data Transfer'!$B$6,'Compliance Database'!$D1831&amp;" "&amp;'Compliance Database'!$K1831&amp;" "&amp;'Compliance Database'!$L1831&amp;" "&amp;'Compliance Database'!$M1831&amp;" "&amp;'Compliance Database'!$N1831&amp;" "&amp;'Compliance Database'!$O1831)))),1,0)</f>
        <v/>
      </c>
      <c r="B1831">
        <f>IF($A1831=1,SUM($A$2:$A1831),"")</f>
        <v/>
      </c>
      <c r="C1831">
        <f>IF($A1831=1,SUM($A$2:$A1831),0)</f>
        <v/>
      </c>
    </row>
    <row r="1832">
      <c r="A1832">
        <f>IF(AND(OR('Compliance Database'!$A1832='Data Transfer'!$B$4,'Compliance Database'!$A1832='Data Transfer'!$B$5),OR('Data Transfer'!$B$6="",ISNUMBER(SEARCH('Data Transfer'!$B$6,'Compliance Database'!$D1832&amp;" "&amp;'Compliance Database'!$K1832&amp;" "&amp;'Compliance Database'!$L1832&amp;" "&amp;'Compliance Database'!$M1832&amp;" "&amp;'Compliance Database'!$N1832&amp;" "&amp;'Compliance Database'!$O1832)))),1,0)</f>
        <v/>
      </c>
      <c r="B1832">
        <f>IF($A1832=1,SUM($A$2:$A1832),"")</f>
        <v/>
      </c>
      <c r="C1832">
        <f>IF($A1832=1,SUM($A$2:$A1832),0)</f>
        <v/>
      </c>
    </row>
    <row r="1833">
      <c r="A1833">
        <f>IF(AND(OR('Compliance Database'!$A1833='Data Transfer'!$B$4,'Compliance Database'!$A1833='Data Transfer'!$B$5),OR('Data Transfer'!$B$6="",ISNUMBER(SEARCH('Data Transfer'!$B$6,'Compliance Database'!$D1833&amp;" "&amp;'Compliance Database'!$K1833&amp;" "&amp;'Compliance Database'!$L1833&amp;" "&amp;'Compliance Database'!$M1833&amp;" "&amp;'Compliance Database'!$N1833&amp;" "&amp;'Compliance Database'!$O1833)))),1,0)</f>
        <v/>
      </c>
      <c r="B1833">
        <f>IF($A1833=1,SUM($A$2:$A1833),"")</f>
        <v/>
      </c>
      <c r="C1833">
        <f>IF($A1833=1,SUM($A$2:$A1833),0)</f>
        <v/>
      </c>
    </row>
    <row r="1834">
      <c r="A1834">
        <f>IF(AND(OR('Compliance Database'!$A1834='Data Transfer'!$B$4,'Compliance Database'!$A1834='Data Transfer'!$B$5),OR('Data Transfer'!$B$6="",ISNUMBER(SEARCH('Data Transfer'!$B$6,'Compliance Database'!$D1834&amp;" "&amp;'Compliance Database'!$K1834&amp;" "&amp;'Compliance Database'!$L1834&amp;" "&amp;'Compliance Database'!$M1834&amp;" "&amp;'Compliance Database'!$N1834&amp;" "&amp;'Compliance Database'!$O1834)))),1,0)</f>
        <v/>
      </c>
      <c r="B1834">
        <f>IF($A1834=1,SUM($A$2:$A1834),"")</f>
        <v/>
      </c>
      <c r="C1834">
        <f>IF($A1834=1,SUM($A$2:$A1834),0)</f>
        <v/>
      </c>
    </row>
    <row r="1835">
      <c r="A1835">
        <f>IF(AND(OR('Compliance Database'!$A1835='Data Transfer'!$B$4,'Compliance Database'!$A1835='Data Transfer'!$B$5),OR('Data Transfer'!$B$6="",ISNUMBER(SEARCH('Data Transfer'!$B$6,'Compliance Database'!$D1835&amp;" "&amp;'Compliance Database'!$K1835&amp;" "&amp;'Compliance Database'!$L1835&amp;" "&amp;'Compliance Database'!$M1835&amp;" "&amp;'Compliance Database'!$N1835&amp;" "&amp;'Compliance Database'!$O1835)))),1,0)</f>
        <v/>
      </c>
      <c r="B1835">
        <f>IF($A1835=1,SUM($A$2:$A1835),"")</f>
        <v/>
      </c>
      <c r="C1835">
        <f>IF($A1835=1,SUM($A$2:$A1835),0)</f>
        <v/>
      </c>
    </row>
    <row r="1836">
      <c r="A1836">
        <f>IF(AND(OR('Compliance Database'!$A1836='Data Transfer'!$B$4,'Compliance Database'!$A1836='Data Transfer'!$B$5),OR('Data Transfer'!$B$6="",ISNUMBER(SEARCH('Data Transfer'!$B$6,'Compliance Database'!$D1836&amp;" "&amp;'Compliance Database'!$K1836&amp;" "&amp;'Compliance Database'!$L1836&amp;" "&amp;'Compliance Database'!$M1836&amp;" "&amp;'Compliance Database'!$N1836&amp;" "&amp;'Compliance Database'!$O1836)))),1,0)</f>
        <v/>
      </c>
      <c r="B1836">
        <f>IF($A1836=1,SUM($A$2:$A1836),"")</f>
        <v/>
      </c>
      <c r="C1836">
        <f>IF($A1836=1,SUM($A$2:$A1836),0)</f>
        <v/>
      </c>
    </row>
    <row r="1837">
      <c r="A1837">
        <f>IF(AND(OR('Compliance Database'!$A1837='Data Transfer'!$B$4,'Compliance Database'!$A1837='Data Transfer'!$B$5),OR('Data Transfer'!$B$6="",ISNUMBER(SEARCH('Data Transfer'!$B$6,'Compliance Database'!$D1837&amp;" "&amp;'Compliance Database'!$K1837&amp;" "&amp;'Compliance Database'!$L1837&amp;" "&amp;'Compliance Database'!$M1837&amp;" "&amp;'Compliance Database'!$N1837&amp;" "&amp;'Compliance Database'!$O1837)))),1,0)</f>
        <v/>
      </c>
      <c r="B1837">
        <f>IF($A1837=1,SUM($A$2:$A1837),"")</f>
        <v/>
      </c>
      <c r="C1837">
        <f>IF($A1837=1,SUM($A$2:$A1837),0)</f>
        <v/>
      </c>
    </row>
    <row r="1838">
      <c r="A1838">
        <f>IF(AND(OR('Compliance Database'!$A1838='Data Transfer'!$B$4,'Compliance Database'!$A1838='Data Transfer'!$B$5),OR('Data Transfer'!$B$6="",ISNUMBER(SEARCH('Data Transfer'!$B$6,'Compliance Database'!$D1838&amp;" "&amp;'Compliance Database'!$K1838&amp;" "&amp;'Compliance Database'!$L1838&amp;" "&amp;'Compliance Database'!$M1838&amp;" "&amp;'Compliance Database'!$N1838&amp;" "&amp;'Compliance Database'!$O1838)))),1,0)</f>
        <v/>
      </c>
      <c r="B1838">
        <f>IF($A1838=1,SUM($A$2:$A1838),"")</f>
        <v/>
      </c>
      <c r="C1838">
        <f>IF($A1838=1,SUM($A$2:$A1838),0)</f>
        <v/>
      </c>
    </row>
    <row r="1839">
      <c r="A1839">
        <f>IF(AND(OR('Compliance Database'!$A1839='Data Transfer'!$B$4,'Compliance Database'!$A1839='Data Transfer'!$B$5),OR('Data Transfer'!$B$6="",ISNUMBER(SEARCH('Data Transfer'!$B$6,'Compliance Database'!$D1839&amp;" "&amp;'Compliance Database'!$K1839&amp;" "&amp;'Compliance Database'!$L1839&amp;" "&amp;'Compliance Database'!$M1839&amp;" "&amp;'Compliance Database'!$N1839&amp;" "&amp;'Compliance Database'!$O1839)))),1,0)</f>
        <v/>
      </c>
      <c r="B1839">
        <f>IF($A1839=1,SUM($A$2:$A1839),"")</f>
        <v/>
      </c>
      <c r="C1839">
        <f>IF($A1839=1,SUM($A$2:$A1839),0)</f>
        <v/>
      </c>
    </row>
    <row r="1840">
      <c r="A1840">
        <f>IF(AND(OR('Compliance Database'!$A1840='Data Transfer'!$B$4,'Compliance Database'!$A1840='Data Transfer'!$B$5),OR('Data Transfer'!$B$6="",ISNUMBER(SEARCH('Data Transfer'!$B$6,'Compliance Database'!$D1840&amp;" "&amp;'Compliance Database'!$K1840&amp;" "&amp;'Compliance Database'!$L1840&amp;" "&amp;'Compliance Database'!$M1840&amp;" "&amp;'Compliance Database'!$N1840&amp;" "&amp;'Compliance Database'!$O1840)))),1,0)</f>
        <v/>
      </c>
      <c r="B1840">
        <f>IF($A1840=1,SUM($A$2:$A1840),"")</f>
        <v/>
      </c>
      <c r="C1840">
        <f>IF($A1840=1,SUM($A$2:$A1840),0)</f>
        <v/>
      </c>
    </row>
    <row r="1841">
      <c r="A1841">
        <f>IF(AND(OR('Compliance Database'!$A1841='Data Transfer'!$B$4,'Compliance Database'!$A1841='Data Transfer'!$B$5),OR('Data Transfer'!$B$6="",ISNUMBER(SEARCH('Data Transfer'!$B$6,'Compliance Database'!$D1841&amp;" "&amp;'Compliance Database'!$K1841&amp;" "&amp;'Compliance Database'!$L1841&amp;" "&amp;'Compliance Database'!$M1841&amp;" "&amp;'Compliance Database'!$N1841&amp;" "&amp;'Compliance Database'!$O1841)))),1,0)</f>
        <v/>
      </c>
      <c r="B1841">
        <f>IF($A1841=1,SUM($A$2:$A1841),"")</f>
        <v/>
      </c>
      <c r="C1841">
        <f>IF($A1841=1,SUM($A$2:$A1841),0)</f>
        <v/>
      </c>
    </row>
    <row r="1842">
      <c r="A1842">
        <f>IF(AND(OR('Compliance Database'!$A1842='Data Transfer'!$B$4,'Compliance Database'!$A1842='Data Transfer'!$B$5),OR('Data Transfer'!$B$6="",ISNUMBER(SEARCH('Data Transfer'!$B$6,'Compliance Database'!$D1842&amp;" "&amp;'Compliance Database'!$K1842&amp;" "&amp;'Compliance Database'!$L1842&amp;" "&amp;'Compliance Database'!$M1842&amp;" "&amp;'Compliance Database'!$N1842&amp;" "&amp;'Compliance Database'!$O1842)))),1,0)</f>
        <v/>
      </c>
      <c r="B1842">
        <f>IF($A1842=1,SUM($A$2:$A1842),"")</f>
        <v/>
      </c>
      <c r="C1842">
        <f>IF($A1842=1,SUM($A$2:$A1842),0)</f>
        <v/>
      </c>
    </row>
    <row r="1843">
      <c r="A1843">
        <f>IF(AND(OR('Compliance Database'!$A1843='Data Transfer'!$B$4,'Compliance Database'!$A1843='Data Transfer'!$B$5),OR('Data Transfer'!$B$6="",ISNUMBER(SEARCH('Data Transfer'!$B$6,'Compliance Database'!$D1843&amp;" "&amp;'Compliance Database'!$K1843&amp;" "&amp;'Compliance Database'!$L1843&amp;" "&amp;'Compliance Database'!$M1843&amp;" "&amp;'Compliance Database'!$N1843&amp;" "&amp;'Compliance Database'!$O1843)))),1,0)</f>
        <v/>
      </c>
      <c r="B1843">
        <f>IF($A1843=1,SUM($A$2:$A1843),"")</f>
        <v/>
      </c>
      <c r="C1843">
        <f>IF($A1843=1,SUM($A$2:$A1843),0)</f>
        <v/>
      </c>
    </row>
    <row r="1844">
      <c r="A1844">
        <f>IF(AND(OR('Compliance Database'!$A1844='Data Transfer'!$B$4,'Compliance Database'!$A1844='Data Transfer'!$B$5),OR('Data Transfer'!$B$6="",ISNUMBER(SEARCH('Data Transfer'!$B$6,'Compliance Database'!$D1844&amp;" "&amp;'Compliance Database'!$K1844&amp;" "&amp;'Compliance Database'!$L1844&amp;" "&amp;'Compliance Database'!$M1844&amp;" "&amp;'Compliance Database'!$N1844&amp;" "&amp;'Compliance Database'!$O1844)))),1,0)</f>
        <v/>
      </c>
      <c r="B1844">
        <f>IF($A1844=1,SUM($A$2:$A1844),"")</f>
        <v/>
      </c>
      <c r="C1844">
        <f>IF($A1844=1,SUM($A$2:$A1844),0)</f>
        <v/>
      </c>
    </row>
    <row r="1845">
      <c r="A1845">
        <f>IF(AND(OR('Compliance Database'!$A1845='Data Transfer'!$B$4,'Compliance Database'!$A1845='Data Transfer'!$B$5),OR('Data Transfer'!$B$6="",ISNUMBER(SEARCH('Data Transfer'!$B$6,'Compliance Database'!$D1845&amp;" "&amp;'Compliance Database'!$K1845&amp;" "&amp;'Compliance Database'!$L1845&amp;" "&amp;'Compliance Database'!$M1845&amp;" "&amp;'Compliance Database'!$N1845&amp;" "&amp;'Compliance Database'!$O1845)))),1,0)</f>
        <v/>
      </c>
      <c r="B1845">
        <f>IF($A1845=1,SUM($A$2:$A1845),"")</f>
        <v/>
      </c>
      <c r="C1845">
        <f>IF($A1845=1,SUM($A$2:$A1845),0)</f>
        <v/>
      </c>
    </row>
    <row r="1846">
      <c r="A1846">
        <f>IF(AND(OR('Compliance Database'!$A1846='Data Transfer'!$B$4,'Compliance Database'!$A1846='Data Transfer'!$B$5),OR('Data Transfer'!$B$6="",ISNUMBER(SEARCH('Data Transfer'!$B$6,'Compliance Database'!$D1846&amp;" "&amp;'Compliance Database'!$K1846&amp;" "&amp;'Compliance Database'!$L1846&amp;" "&amp;'Compliance Database'!$M1846&amp;" "&amp;'Compliance Database'!$N1846&amp;" "&amp;'Compliance Database'!$O1846)))),1,0)</f>
        <v/>
      </c>
      <c r="B1846">
        <f>IF($A1846=1,SUM($A$2:$A1846),"")</f>
        <v/>
      </c>
      <c r="C1846">
        <f>IF($A1846=1,SUM($A$2:$A1846),0)</f>
        <v/>
      </c>
    </row>
    <row r="1847">
      <c r="A1847">
        <f>IF(AND(OR('Compliance Database'!$A1847='Data Transfer'!$B$4,'Compliance Database'!$A1847='Data Transfer'!$B$5),OR('Data Transfer'!$B$6="",ISNUMBER(SEARCH('Data Transfer'!$B$6,'Compliance Database'!$D1847&amp;" "&amp;'Compliance Database'!$K1847&amp;" "&amp;'Compliance Database'!$L1847&amp;" "&amp;'Compliance Database'!$M1847&amp;" "&amp;'Compliance Database'!$N1847&amp;" "&amp;'Compliance Database'!$O1847)))),1,0)</f>
        <v/>
      </c>
      <c r="B1847">
        <f>IF($A1847=1,SUM($A$2:$A1847),"")</f>
        <v/>
      </c>
      <c r="C1847">
        <f>IF($A1847=1,SUM($A$2:$A1847),0)</f>
        <v/>
      </c>
    </row>
    <row r="1848">
      <c r="A1848">
        <f>IF(AND(OR('Compliance Database'!$A1848='Data Transfer'!$B$4,'Compliance Database'!$A1848='Data Transfer'!$B$5),OR('Data Transfer'!$B$6="",ISNUMBER(SEARCH('Data Transfer'!$B$6,'Compliance Database'!$D1848&amp;" "&amp;'Compliance Database'!$K1848&amp;" "&amp;'Compliance Database'!$L1848&amp;" "&amp;'Compliance Database'!$M1848&amp;" "&amp;'Compliance Database'!$N1848&amp;" "&amp;'Compliance Database'!$O1848)))),1,0)</f>
        <v/>
      </c>
      <c r="B1848">
        <f>IF($A1848=1,SUM($A$2:$A1848),"")</f>
        <v/>
      </c>
      <c r="C1848">
        <f>IF($A1848=1,SUM($A$2:$A1848),0)</f>
        <v/>
      </c>
    </row>
    <row r="1849">
      <c r="A1849">
        <f>IF(AND(OR('Compliance Database'!$A1849='Data Transfer'!$B$4,'Compliance Database'!$A1849='Data Transfer'!$B$5),OR('Data Transfer'!$B$6="",ISNUMBER(SEARCH('Data Transfer'!$B$6,'Compliance Database'!$D1849&amp;" "&amp;'Compliance Database'!$K1849&amp;" "&amp;'Compliance Database'!$L1849&amp;" "&amp;'Compliance Database'!$M1849&amp;" "&amp;'Compliance Database'!$N1849&amp;" "&amp;'Compliance Database'!$O1849)))),1,0)</f>
        <v/>
      </c>
      <c r="B1849">
        <f>IF($A1849=1,SUM($A$2:$A1849),"")</f>
        <v/>
      </c>
      <c r="C1849">
        <f>IF($A1849=1,SUM($A$2:$A1849),0)</f>
        <v/>
      </c>
    </row>
    <row r="1850">
      <c r="A1850">
        <f>IF(AND(OR('Compliance Database'!$A1850='Data Transfer'!$B$4,'Compliance Database'!$A1850='Data Transfer'!$B$5),OR('Data Transfer'!$B$6="",ISNUMBER(SEARCH('Data Transfer'!$B$6,'Compliance Database'!$D1850&amp;" "&amp;'Compliance Database'!$K1850&amp;" "&amp;'Compliance Database'!$L1850&amp;" "&amp;'Compliance Database'!$M1850&amp;" "&amp;'Compliance Database'!$N1850&amp;" "&amp;'Compliance Database'!$O1850)))),1,0)</f>
        <v/>
      </c>
      <c r="B1850">
        <f>IF($A1850=1,SUM($A$2:$A1850),"")</f>
        <v/>
      </c>
      <c r="C1850">
        <f>IF($A1850=1,SUM($A$2:$A1850),0)</f>
        <v/>
      </c>
    </row>
    <row r="1851">
      <c r="A1851">
        <f>IF(AND(OR('Compliance Database'!$A1851='Data Transfer'!$B$4,'Compliance Database'!$A1851='Data Transfer'!$B$5),OR('Data Transfer'!$B$6="",ISNUMBER(SEARCH('Data Transfer'!$B$6,'Compliance Database'!$D1851&amp;" "&amp;'Compliance Database'!$K1851&amp;" "&amp;'Compliance Database'!$L1851&amp;" "&amp;'Compliance Database'!$M1851&amp;" "&amp;'Compliance Database'!$N1851&amp;" "&amp;'Compliance Database'!$O1851)))),1,0)</f>
        <v/>
      </c>
      <c r="B1851">
        <f>IF($A1851=1,SUM($A$2:$A1851),"")</f>
        <v/>
      </c>
      <c r="C1851">
        <f>IF($A1851=1,SUM($A$2:$A1851),0)</f>
        <v/>
      </c>
    </row>
    <row r="1852">
      <c r="A1852">
        <f>IF(AND(OR('Compliance Database'!$A1852='Data Transfer'!$B$4,'Compliance Database'!$A1852='Data Transfer'!$B$5),OR('Data Transfer'!$B$6="",ISNUMBER(SEARCH('Data Transfer'!$B$6,'Compliance Database'!$D1852&amp;" "&amp;'Compliance Database'!$K1852&amp;" "&amp;'Compliance Database'!$L1852&amp;" "&amp;'Compliance Database'!$M1852&amp;" "&amp;'Compliance Database'!$N1852&amp;" "&amp;'Compliance Database'!$O1852)))),1,0)</f>
        <v/>
      </c>
      <c r="B1852">
        <f>IF($A1852=1,SUM($A$2:$A1852),"")</f>
        <v/>
      </c>
      <c r="C1852">
        <f>IF($A1852=1,SUM($A$2:$A1852),0)</f>
        <v/>
      </c>
    </row>
    <row r="1853">
      <c r="A1853">
        <f>IF(AND(OR('Compliance Database'!$A1853='Data Transfer'!$B$4,'Compliance Database'!$A1853='Data Transfer'!$B$5),OR('Data Transfer'!$B$6="",ISNUMBER(SEARCH('Data Transfer'!$B$6,'Compliance Database'!$D1853&amp;" "&amp;'Compliance Database'!$K1853&amp;" "&amp;'Compliance Database'!$L1853&amp;" "&amp;'Compliance Database'!$M1853&amp;" "&amp;'Compliance Database'!$N1853&amp;" "&amp;'Compliance Database'!$O1853)))),1,0)</f>
        <v/>
      </c>
      <c r="B1853">
        <f>IF($A1853=1,SUM($A$2:$A1853),"")</f>
        <v/>
      </c>
      <c r="C1853">
        <f>IF($A1853=1,SUM($A$2:$A1853),0)</f>
        <v/>
      </c>
    </row>
    <row r="1854">
      <c r="A1854">
        <f>IF(AND(OR('Compliance Database'!$A1854='Data Transfer'!$B$4,'Compliance Database'!$A1854='Data Transfer'!$B$5),OR('Data Transfer'!$B$6="",ISNUMBER(SEARCH('Data Transfer'!$B$6,'Compliance Database'!$D1854&amp;" "&amp;'Compliance Database'!$K1854&amp;" "&amp;'Compliance Database'!$L1854&amp;" "&amp;'Compliance Database'!$M1854&amp;" "&amp;'Compliance Database'!$N1854&amp;" "&amp;'Compliance Database'!$O1854)))),1,0)</f>
        <v/>
      </c>
      <c r="B1854">
        <f>IF($A1854=1,SUM($A$2:$A1854),"")</f>
        <v/>
      </c>
      <c r="C1854">
        <f>IF($A1854=1,SUM($A$2:$A1854),0)</f>
        <v/>
      </c>
    </row>
    <row r="1855">
      <c r="A1855">
        <f>IF(AND(OR('Compliance Database'!$A1855='Data Transfer'!$B$4,'Compliance Database'!$A1855='Data Transfer'!$B$5),OR('Data Transfer'!$B$6="",ISNUMBER(SEARCH('Data Transfer'!$B$6,'Compliance Database'!$D1855&amp;" "&amp;'Compliance Database'!$K1855&amp;" "&amp;'Compliance Database'!$L1855&amp;" "&amp;'Compliance Database'!$M1855&amp;" "&amp;'Compliance Database'!$N1855&amp;" "&amp;'Compliance Database'!$O1855)))),1,0)</f>
        <v/>
      </c>
      <c r="B1855">
        <f>IF($A1855=1,SUM($A$2:$A1855),"")</f>
        <v/>
      </c>
      <c r="C1855">
        <f>IF($A1855=1,SUM($A$2:$A1855),0)</f>
        <v/>
      </c>
    </row>
    <row r="1856">
      <c r="A1856">
        <f>IF(AND(OR('Compliance Database'!$A1856='Data Transfer'!$B$4,'Compliance Database'!$A1856='Data Transfer'!$B$5),OR('Data Transfer'!$B$6="",ISNUMBER(SEARCH('Data Transfer'!$B$6,'Compliance Database'!$D1856&amp;" "&amp;'Compliance Database'!$K1856&amp;" "&amp;'Compliance Database'!$L1856&amp;" "&amp;'Compliance Database'!$M1856&amp;" "&amp;'Compliance Database'!$N1856&amp;" "&amp;'Compliance Database'!$O1856)))),1,0)</f>
        <v/>
      </c>
      <c r="B1856">
        <f>IF($A1856=1,SUM($A$2:$A1856),"")</f>
        <v/>
      </c>
      <c r="C1856">
        <f>IF($A1856=1,SUM($A$2:$A1856),0)</f>
        <v/>
      </c>
    </row>
    <row r="1857">
      <c r="A1857">
        <f>IF(AND(OR('Compliance Database'!$A1857='Data Transfer'!$B$4,'Compliance Database'!$A1857='Data Transfer'!$B$5),OR('Data Transfer'!$B$6="",ISNUMBER(SEARCH('Data Transfer'!$B$6,'Compliance Database'!$D1857&amp;" "&amp;'Compliance Database'!$K1857&amp;" "&amp;'Compliance Database'!$L1857&amp;" "&amp;'Compliance Database'!$M1857&amp;" "&amp;'Compliance Database'!$N1857&amp;" "&amp;'Compliance Database'!$O1857)))),1,0)</f>
        <v/>
      </c>
      <c r="B1857">
        <f>IF($A1857=1,SUM($A$2:$A1857),"")</f>
        <v/>
      </c>
      <c r="C1857">
        <f>IF($A1857=1,SUM($A$2:$A1857),0)</f>
        <v/>
      </c>
    </row>
    <row r="1858">
      <c r="A1858">
        <f>IF(AND(OR('Compliance Database'!$A1858='Data Transfer'!$B$4,'Compliance Database'!$A1858='Data Transfer'!$B$5),OR('Data Transfer'!$B$6="",ISNUMBER(SEARCH('Data Transfer'!$B$6,'Compliance Database'!$D1858&amp;" "&amp;'Compliance Database'!$K1858&amp;" "&amp;'Compliance Database'!$L1858&amp;" "&amp;'Compliance Database'!$M1858&amp;" "&amp;'Compliance Database'!$N1858&amp;" "&amp;'Compliance Database'!$O1858)))),1,0)</f>
        <v/>
      </c>
      <c r="B1858">
        <f>IF($A1858=1,SUM($A$2:$A1858),"")</f>
        <v/>
      </c>
      <c r="C1858">
        <f>IF($A1858=1,SUM($A$2:$A1858),0)</f>
        <v/>
      </c>
    </row>
    <row r="1859">
      <c r="A1859">
        <f>IF(AND(OR('Compliance Database'!$A1859='Data Transfer'!$B$4,'Compliance Database'!$A1859='Data Transfer'!$B$5),OR('Data Transfer'!$B$6="",ISNUMBER(SEARCH('Data Transfer'!$B$6,'Compliance Database'!$D1859&amp;" "&amp;'Compliance Database'!$K1859&amp;" "&amp;'Compliance Database'!$L1859&amp;" "&amp;'Compliance Database'!$M1859&amp;" "&amp;'Compliance Database'!$N1859&amp;" "&amp;'Compliance Database'!$O1859)))),1,0)</f>
        <v/>
      </c>
      <c r="B1859">
        <f>IF($A1859=1,SUM($A$2:$A1859),"")</f>
        <v/>
      </c>
      <c r="C1859">
        <f>IF($A1859=1,SUM($A$2:$A1859),0)</f>
        <v/>
      </c>
    </row>
    <row r="1860">
      <c r="A1860">
        <f>IF(AND(OR('Compliance Database'!$A1860='Data Transfer'!$B$4,'Compliance Database'!$A1860='Data Transfer'!$B$5),OR('Data Transfer'!$B$6="",ISNUMBER(SEARCH('Data Transfer'!$B$6,'Compliance Database'!$D1860&amp;" "&amp;'Compliance Database'!$K1860&amp;" "&amp;'Compliance Database'!$L1860&amp;" "&amp;'Compliance Database'!$M1860&amp;" "&amp;'Compliance Database'!$N1860&amp;" "&amp;'Compliance Database'!$O1860)))),1,0)</f>
        <v/>
      </c>
      <c r="B1860">
        <f>IF($A1860=1,SUM($A$2:$A1860),"")</f>
        <v/>
      </c>
      <c r="C1860">
        <f>IF($A1860=1,SUM($A$2:$A1860),0)</f>
        <v/>
      </c>
    </row>
    <row r="1861">
      <c r="A1861">
        <f>IF(AND(OR('Compliance Database'!$A1861='Data Transfer'!$B$4,'Compliance Database'!$A1861='Data Transfer'!$B$5),OR('Data Transfer'!$B$6="",ISNUMBER(SEARCH('Data Transfer'!$B$6,'Compliance Database'!$D1861&amp;" "&amp;'Compliance Database'!$K1861&amp;" "&amp;'Compliance Database'!$L1861&amp;" "&amp;'Compliance Database'!$M1861&amp;" "&amp;'Compliance Database'!$N1861&amp;" "&amp;'Compliance Database'!$O1861)))),1,0)</f>
        <v/>
      </c>
      <c r="B1861">
        <f>IF($A1861=1,SUM($A$2:$A1861),"")</f>
        <v/>
      </c>
      <c r="C1861">
        <f>IF($A1861=1,SUM($A$2:$A1861),0)</f>
        <v/>
      </c>
    </row>
    <row r="1862">
      <c r="A1862">
        <f>IF(AND(OR('Compliance Database'!$A1862='Data Transfer'!$B$4,'Compliance Database'!$A1862='Data Transfer'!$B$5),OR('Data Transfer'!$B$6="",ISNUMBER(SEARCH('Data Transfer'!$B$6,'Compliance Database'!$D1862&amp;" "&amp;'Compliance Database'!$K1862&amp;" "&amp;'Compliance Database'!$L1862&amp;" "&amp;'Compliance Database'!$M1862&amp;" "&amp;'Compliance Database'!$N1862&amp;" "&amp;'Compliance Database'!$O1862)))),1,0)</f>
        <v/>
      </c>
      <c r="B1862">
        <f>IF($A1862=1,SUM($A$2:$A1862),"")</f>
        <v/>
      </c>
      <c r="C1862">
        <f>IF($A1862=1,SUM($A$2:$A1862),0)</f>
        <v/>
      </c>
    </row>
    <row r="1863">
      <c r="A1863">
        <f>IF(AND(OR('Compliance Database'!$A1863='Data Transfer'!$B$4,'Compliance Database'!$A1863='Data Transfer'!$B$5),OR('Data Transfer'!$B$6="",ISNUMBER(SEARCH('Data Transfer'!$B$6,'Compliance Database'!$D1863&amp;" "&amp;'Compliance Database'!$K1863&amp;" "&amp;'Compliance Database'!$L1863&amp;" "&amp;'Compliance Database'!$M1863&amp;" "&amp;'Compliance Database'!$N1863&amp;" "&amp;'Compliance Database'!$O1863)))),1,0)</f>
        <v/>
      </c>
      <c r="B1863">
        <f>IF($A1863=1,SUM($A$2:$A1863),"")</f>
        <v/>
      </c>
      <c r="C1863">
        <f>IF($A1863=1,SUM($A$2:$A1863),0)</f>
        <v/>
      </c>
    </row>
    <row r="1864">
      <c r="A1864">
        <f>IF(AND(OR('Compliance Database'!$A1864='Data Transfer'!$B$4,'Compliance Database'!$A1864='Data Transfer'!$B$5),OR('Data Transfer'!$B$6="",ISNUMBER(SEARCH('Data Transfer'!$B$6,'Compliance Database'!$D1864&amp;" "&amp;'Compliance Database'!$K1864&amp;" "&amp;'Compliance Database'!$L1864&amp;" "&amp;'Compliance Database'!$M1864&amp;" "&amp;'Compliance Database'!$N1864&amp;" "&amp;'Compliance Database'!$O1864)))),1,0)</f>
        <v/>
      </c>
      <c r="B1864">
        <f>IF($A1864=1,SUM($A$2:$A1864),"")</f>
        <v/>
      </c>
      <c r="C1864">
        <f>IF($A1864=1,SUM($A$2:$A1864),0)</f>
        <v/>
      </c>
    </row>
    <row r="1865">
      <c r="A1865">
        <f>IF(AND(OR('Compliance Database'!$A1865='Data Transfer'!$B$4,'Compliance Database'!$A1865='Data Transfer'!$B$5),OR('Data Transfer'!$B$6="",ISNUMBER(SEARCH('Data Transfer'!$B$6,'Compliance Database'!$D1865&amp;" "&amp;'Compliance Database'!$K1865&amp;" "&amp;'Compliance Database'!$L1865&amp;" "&amp;'Compliance Database'!$M1865&amp;" "&amp;'Compliance Database'!$N1865&amp;" "&amp;'Compliance Database'!$O1865)))),1,0)</f>
        <v/>
      </c>
      <c r="B1865">
        <f>IF($A1865=1,SUM($A$2:$A1865),"")</f>
        <v/>
      </c>
      <c r="C1865">
        <f>IF($A1865=1,SUM($A$2:$A1865),0)</f>
        <v/>
      </c>
    </row>
    <row r="1866">
      <c r="A1866">
        <f>IF(AND(OR('Compliance Database'!$A1866='Data Transfer'!$B$4,'Compliance Database'!$A1866='Data Transfer'!$B$5),OR('Data Transfer'!$B$6="",ISNUMBER(SEARCH('Data Transfer'!$B$6,'Compliance Database'!$D1866&amp;" "&amp;'Compliance Database'!$K1866&amp;" "&amp;'Compliance Database'!$L1866&amp;" "&amp;'Compliance Database'!$M1866&amp;" "&amp;'Compliance Database'!$N1866&amp;" "&amp;'Compliance Database'!$O1866)))),1,0)</f>
        <v/>
      </c>
      <c r="B1866">
        <f>IF($A1866=1,SUM($A$2:$A1866),"")</f>
        <v/>
      </c>
      <c r="C1866">
        <f>IF($A1866=1,SUM($A$2:$A1866),0)</f>
        <v/>
      </c>
    </row>
    <row r="1867">
      <c r="A1867">
        <f>IF(AND(OR('Compliance Database'!$A1867='Data Transfer'!$B$4,'Compliance Database'!$A1867='Data Transfer'!$B$5),OR('Data Transfer'!$B$6="",ISNUMBER(SEARCH('Data Transfer'!$B$6,'Compliance Database'!$D1867&amp;" "&amp;'Compliance Database'!$K1867&amp;" "&amp;'Compliance Database'!$L1867&amp;" "&amp;'Compliance Database'!$M1867&amp;" "&amp;'Compliance Database'!$N1867&amp;" "&amp;'Compliance Database'!$O1867)))),1,0)</f>
        <v/>
      </c>
      <c r="B1867">
        <f>IF($A1867=1,SUM($A$2:$A1867),"")</f>
        <v/>
      </c>
      <c r="C1867">
        <f>IF($A1867=1,SUM($A$2:$A1867),0)</f>
        <v/>
      </c>
    </row>
    <row r="1868">
      <c r="A1868">
        <f>IF(AND(OR('Compliance Database'!$A1868='Data Transfer'!$B$4,'Compliance Database'!$A1868='Data Transfer'!$B$5),OR('Data Transfer'!$B$6="",ISNUMBER(SEARCH('Data Transfer'!$B$6,'Compliance Database'!$D1868&amp;" "&amp;'Compliance Database'!$K1868&amp;" "&amp;'Compliance Database'!$L1868&amp;" "&amp;'Compliance Database'!$M1868&amp;" "&amp;'Compliance Database'!$N1868&amp;" "&amp;'Compliance Database'!$O1868)))),1,0)</f>
        <v/>
      </c>
      <c r="B1868">
        <f>IF($A1868=1,SUM($A$2:$A1868),"")</f>
        <v/>
      </c>
      <c r="C1868">
        <f>IF($A1868=1,SUM($A$2:$A1868),0)</f>
        <v/>
      </c>
    </row>
    <row r="1869">
      <c r="A1869">
        <f>IF(AND(OR('Compliance Database'!$A1869='Data Transfer'!$B$4,'Compliance Database'!$A1869='Data Transfer'!$B$5),OR('Data Transfer'!$B$6="",ISNUMBER(SEARCH('Data Transfer'!$B$6,'Compliance Database'!$D1869&amp;" "&amp;'Compliance Database'!$K1869&amp;" "&amp;'Compliance Database'!$L1869&amp;" "&amp;'Compliance Database'!$M1869&amp;" "&amp;'Compliance Database'!$N1869&amp;" "&amp;'Compliance Database'!$O1869)))),1,0)</f>
        <v/>
      </c>
      <c r="B1869">
        <f>IF($A1869=1,SUM($A$2:$A1869),"")</f>
        <v/>
      </c>
      <c r="C1869">
        <f>IF($A1869=1,SUM($A$2:$A1869),0)</f>
        <v/>
      </c>
    </row>
    <row r="1870">
      <c r="A1870">
        <f>IF(AND(OR('Compliance Database'!$A1870='Data Transfer'!$B$4,'Compliance Database'!$A1870='Data Transfer'!$B$5),OR('Data Transfer'!$B$6="",ISNUMBER(SEARCH('Data Transfer'!$B$6,'Compliance Database'!$D1870&amp;" "&amp;'Compliance Database'!$K1870&amp;" "&amp;'Compliance Database'!$L1870&amp;" "&amp;'Compliance Database'!$M1870&amp;" "&amp;'Compliance Database'!$N1870&amp;" "&amp;'Compliance Database'!$O1870)))),1,0)</f>
        <v/>
      </c>
      <c r="B1870">
        <f>IF($A1870=1,SUM($A$2:$A1870),"")</f>
        <v/>
      </c>
      <c r="C1870">
        <f>IF($A1870=1,SUM($A$2:$A1870),0)</f>
        <v/>
      </c>
    </row>
    <row r="1871">
      <c r="A1871">
        <f>IF(AND(OR('Compliance Database'!$A1871='Data Transfer'!$B$4,'Compliance Database'!$A1871='Data Transfer'!$B$5),OR('Data Transfer'!$B$6="",ISNUMBER(SEARCH('Data Transfer'!$B$6,'Compliance Database'!$D1871&amp;" "&amp;'Compliance Database'!$K1871&amp;" "&amp;'Compliance Database'!$L1871&amp;" "&amp;'Compliance Database'!$M1871&amp;" "&amp;'Compliance Database'!$N1871&amp;" "&amp;'Compliance Database'!$O1871)))),1,0)</f>
        <v/>
      </c>
      <c r="B1871">
        <f>IF($A1871=1,SUM($A$2:$A1871),"")</f>
        <v/>
      </c>
      <c r="C1871">
        <f>IF($A1871=1,SUM($A$2:$A1871),0)</f>
        <v/>
      </c>
    </row>
    <row r="1872">
      <c r="A1872">
        <f>IF(AND(OR('Compliance Database'!$A1872='Data Transfer'!$B$4,'Compliance Database'!$A1872='Data Transfer'!$B$5),OR('Data Transfer'!$B$6="",ISNUMBER(SEARCH('Data Transfer'!$B$6,'Compliance Database'!$D1872&amp;" "&amp;'Compliance Database'!$K1872&amp;" "&amp;'Compliance Database'!$L1872&amp;" "&amp;'Compliance Database'!$M1872&amp;" "&amp;'Compliance Database'!$N1872&amp;" "&amp;'Compliance Database'!$O1872)))),1,0)</f>
        <v/>
      </c>
      <c r="B1872">
        <f>IF($A1872=1,SUM($A$2:$A1872),"")</f>
        <v/>
      </c>
      <c r="C1872">
        <f>IF($A1872=1,SUM($A$2:$A1872),0)</f>
        <v/>
      </c>
    </row>
    <row r="1873">
      <c r="A1873">
        <f>IF(AND(OR('Compliance Database'!$A1873='Data Transfer'!$B$4,'Compliance Database'!$A1873='Data Transfer'!$B$5),OR('Data Transfer'!$B$6="",ISNUMBER(SEARCH('Data Transfer'!$B$6,'Compliance Database'!$D1873&amp;" "&amp;'Compliance Database'!$K1873&amp;" "&amp;'Compliance Database'!$L1873&amp;" "&amp;'Compliance Database'!$M1873&amp;" "&amp;'Compliance Database'!$N1873&amp;" "&amp;'Compliance Database'!$O1873)))),1,0)</f>
        <v/>
      </c>
      <c r="B1873">
        <f>IF($A1873=1,SUM($A$2:$A1873),"")</f>
        <v/>
      </c>
      <c r="C1873">
        <f>IF($A1873=1,SUM($A$2:$A1873),0)</f>
        <v/>
      </c>
    </row>
    <row r="1874">
      <c r="A1874">
        <f>IF(AND(OR('Compliance Database'!$A1874='Data Transfer'!$B$4,'Compliance Database'!$A1874='Data Transfer'!$B$5),OR('Data Transfer'!$B$6="",ISNUMBER(SEARCH('Data Transfer'!$B$6,'Compliance Database'!$D1874&amp;" "&amp;'Compliance Database'!$K1874&amp;" "&amp;'Compliance Database'!$L1874&amp;" "&amp;'Compliance Database'!$M1874&amp;" "&amp;'Compliance Database'!$N1874&amp;" "&amp;'Compliance Database'!$O1874)))),1,0)</f>
        <v/>
      </c>
      <c r="B1874">
        <f>IF($A1874=1,SUM($A$2:$A1874),"")</f>
        <v/>
      </c>
      <c r="C1874">
        <f>IF($A1874=1,SUM($A$2:$A1874),0)</f>
        <v/>
      </c>
    </row>
    <row r="1875">
      <c r="A1875">
        <f>IF(AND(OR('Compliance Database'!$A1875='Data Transfer'!$B$4,'Compliance Database'!$A1875='Data Transfer'!$B$5),OR('Data Transfer'!$B$6="",ISNUMBER(SEARCH('Data Transfer'!$B$6,'Compliance Database'!$D1875&amp;" "&amp;'Compliance Database'!$K1875&amp;" "&amp;'Compliance Database'!$L1875&amp;" "&amp;'Compliance Database'!$M1875&amp;" "&amp;'Compliance Database'!$N1875&amp;" "&amp;'Compliance Database'!$O1875)))),1,0)</f>
        <v/>
      </c>
      <c r="B1875">
        <f>IF($A1875=1,SUM($A$2:$A1875),"")</f>
        <v/>
      </c>
      <c r="C1875">
        <f>IF($A1875=1,SUM($A$2:$A1875),0)</f>
        <v/>
      </c>
    </row>
    <row r="1876">
      <c r="A1876">
        <f>IF(AND(OR('Compliance Database'!$A1876='Data Transfer'!$B$4,'Compliance Database'!$A1876='Data Transfer'!$B$5),OR('Data Transfer'!$B$6="",ISNUMBER(SEARCH('Data Transfer'!$B$6,'Compliance Database'!$D1876&amp;" "&amp;'Compliance Database'!$K1876&amp;" "&amp;'Compliance Database'!$L1876&amp;" "&amp;'Compliance Database'!$M1876&amp;" "&amp;'Compliance Database'!$N1876&amp;" "&amp;'Compliance Database'!$O1876)))),1,0)</f>
        <v/>
      </c>
      <c r="B1876">
        <f>IF($A1876=1,SUM($A$2:$A1876),"")</f>
        <v/>
      </c>
      <c r="C1876">
        <f>IF($A1876=1,SUM($A$2:$A1876),0)</f>
        <v/>
      </c>
    </row>
    <row r="1877">
      <c r="A1877">
        <f>IF(AND(OR('Compliance Database'!$A1877='Data Transfer'!$B$4,'Compliance Database'!$A1877='Data Transfer'!$B$5),OR('Data Transfer'!$B$6="",ISNUMBER(SEARCH('Data Transfer'!$B$6,'Compliance Database'!$D1877&amp;" "&amp;'Compliance Database'!$K1877&amp;" "&amp;'Compliance Database'!$L1877&amp;" "&amp;'Compliance Database'!$M1877&amp;" "&amp;'Compliance Database'!$N1877&amp;" "&amp;'Compliance Database'!$O1877)))),1,0)</f>
        <v/>
      </c>
      <c r="B1877">
        <f>IF($A1877=1,SUM($A$2:$A1877),"")</f>
        <v/>
      </c>
      <c r="C1877">
        <f>IF($A1877=1,SUM($A$2:$A1877),0)</f>
        <v/>
      </c>
    </row>
    <row r="1878">
      <c r="A1878">
        <f>IF(AND(OR('Compliance Database'!$A1878='Data Transfer'!$B$4,'Compliance Database'!$A1878='Data Transfer'!$B$5),OR('Data Transfer'!$B$6="",ISNUMBER(SEARCH('Data Transfer'!$B$6,'Compliance Database'!$D1878&amp;" "&amp;'Compliance Database'!$K1878&amp;" "&amp;'Compliance Database'!$L1878&amp;" "&amp;'Compliance Database'!$M1878&amp;" "&amp;'Compliance Database'!$N1878&amp;" "&amp;'Compliance Database'!$O1878)))),1,0)</f>
        <v/>
      </c>
      <c r="B1878">
        <f>IF($A1878=1,SUM($A$2:$A1878),"")</f>
        <v/>
      </c>
      <c r="C1878">
        <f>IF($A1878=1,SUM($A$2:$A1878),0)</f>
        <v/>
      </c>
    </row>
    <row r="1879">
      <c r="A1879">
        <f>IF(AND(OR('Compliance Database'!$A1879='Data Transfer'!$B$4,'Compliance Database'!$A1879='Data Transfer'!$B$5),OR('Data Transfer'!$B$6="",ISNUMBER(SEARCH('Data Transfer'!$B$6,'Compliance Database'!$D1879&amp;" "&amp;'Compliance Database'!$K1879&amp;" "&amp;'Compliance Database'!$L1879&amp;" "&amp;'Compliance Database'!$M1879&amp;" "&amp;'Compliance Database'!$N1879&amp;" "&amp;'Compliance Database'!$O1879)))),1,0)</f>
        <v/>
      </c>
      <c r="B1879">
        <f>IF($A1879=1,SUM($A$2:$A1879),"")</f>
        <v/>
      </c>
      <c r="C1879">
        <f>IF($A1879=1,SUM($A$2:$A1879),0)</f>
        <v/>
      </c>
    </row>
    <row r="1880">
      <c r="A1880">
        <f>IF(AND(OR('Compliance Database'!$A1880='Data Transfer'!$B$4,'Compliance Database'!$A1880='Data Transfer'!$B$5),OR('Data Transfer'!$B$6="",ISNUMBER(SEARCH('Data Transfer'!$B$6,'Compliance Database'!$D1880&amp;" "&amp;'Compliance Database'!$K1880&amp;" "&amp;'Compliance Database'!$L1880&amp;" "&amp;'Compliance Database'!$M1880&amp;" "&amp;'Compliance Database'!$N1880&amp;" "&amp;'Compliance Database'!$O1880)))),1,0)</f>
        <v/>
      </c>
      <c r="B1880">
        <f>IF($A1880=1,SUM($A$2:$A1880),"")</f>
        <v/>
      </c>
      <c r="C1880">
        <f>IF($A1880=1,SUM($A$2:$A1880),0)</f>
        <v/>
      </c>
    </row>
    <row r="1881">
      <c r="A1881">
        <f>IF(AND(OR('Compliance Database'!$A1881='Data Transfer'!$B$4,'Compliance Database'!$A1881='Data Transfer'!$B$5),OR('Data Transfer'!$B$6="",ISNUMBER(SEARCH('Data Transfer'!$B$6,'Compliance Database'!$D1881&amp;" "&amp;'Compliance Database'!$K1881&amp;" "&amp;'Compliance Database'!$L1881&amp;" "&amp;'Compliance Database'!$M1881&amp;" "&amp;'Compliance Database'!$N1881&amp;" "&amp;'Compliance Database'!$O1881)))),1,0)</f>
        <v/>
      </c>
      <c r="B1881">
        <f>IF($A1881=1,SUM($A$2:$A1881),"")</f>
        <v/>
      </c>
      <c r="C1881">
        <f>IF($A1881=1,SUM($A$2:$A1881),0)</f>
        <v/>
      </c>
    </row>
    <row r="1882">
      <c r="A1882">
        <f>IF(AND(OR('Compliance Database'!$A1882='Data Transfer'!$B$4,'Compliance Database'!$A1882='Data Transfer'!$B$5),OR('Data Transfer'!$B$6="",ISNUMBER(SEARCH('Data Transfer'!$B$6,'Compliance Database'!$D1882&amp;" "&amp;'Compliance Database'!$K1882&amp;" "&amp;'Compliance Database'!$L1882&amp;" "&amp;'Compliance Database'!$M1882&amp;" "&amp;'Compliance Database'!$N1882&amp;" "&amp;'Compliance Database'!$O1882)))),1,0)</f>
        <v/>
      </c>
      <c r="B1882">
        <f>IF($A1882=1,SUM($A$2:$A1882),"")</f>
        <v/>
      </c>
      <c r="C1882">
        <f>IF($A1882=1,SUM($A$2:$A1882),0)</f>
        <v/>
      </c>
    </row>
    <row r="1883">
      <c r="A1883">
        <f>IF(AND(OR('Compliance Database'!$A1883='Data Transfer'!$B$4,'Compliance Database'!$A1883='Data Transfer'!$B$5),OR('Data Transfer'!$B$6="",ISNUMBER(SEARCH('Data Transfer'!$B$6,'Compliance Database'!$D1883&amp;" "&amp;'Compliance Database'!$K1883&amp;" "&amp;'Compliance Database'!$L1883&amp;" "&amp;'Compliance Database'!$M1883&amp;" "&amp;'Compliance Database'!$N1883&amp;" "&amp;'Compliance Database'!$O1883)))),1,0)</f>
        <v/>
      </c>
      <c r="B1883">
        <f>IF($A1883=1,SUM($A$2:$A1883),"")</f>
        <v/>
      </c>
      <c r="C1883">
        <f>IF($A1883=1,SUM($A$2:$A1883),0)</f>
        <v/>
      </c>
    </row>
    <row r="1884">
      <c r="A1884">
        <f>IF(AND(OR('Compliance Database'!$A1884='Data Transfer'!$B$4,'Compliance Database'!$A1884='Data Transfer'!$B$5),OR('Data Transfer'!$B$6="",ISNUMBER(SEARCH('Data Transfer'!$B$6,'Compliance Database'!$D1884&amp;" "&amp;'Compliance Database'!$K1884&amp;" "&amp;'Compliance Database'!$L1884&amp;" "&amp;'Compliance Database'!$M1884&amp;" "&amp;'Compliance Database'!$N1884&amp;" "&amp;'Compliance Database'!$O1884)))),1,0)</f>
        <v/>
      </c>
      <c r="B1884">
        <f>IF($A1884=1,SUM($A$2:$A1884),"")</f>
        <v/>
      </c>
      <c r="C1884">
        <f>IF($A1884=1,SUM($A$2:$A1884),0)</f>
        <v/>
      </c>
    </row>
    <row r="1885">
      <c r="A1885">
        <f>IF(AND(OR('Compliance Database'!$A1885='Data Transfer'!$B$4,'Compliance Database'!$A1885='Data Transfer'!$B$5),OR('Data Transfer'!$B$6="",ISNUMBER(SEARCH('Data Transfer'!$B$6,'Compliance Database'!$D1885&amp;" "&amp;'Compliance Database'!$K1885&amp;" "&amp;'Compliance Database'!$L1885&amp;" "&amp;'Compliance Database'!$M1885&amp;" "&amp;'Compliance Database'!$N1885&amp;" "&amp;'Compliance Database'!$O1885)))),1,0)</f>
        <v/>
      </c>
      <c r="B1885">
        <f>IF($A1885=1,SUM($A$2:$A1885),"")</f>
        <v/>
      </c>
      <c r="C1885">
        <f>IF($A1885=1,SUM($A$2:$A1885),0)</f>
        <v/>
      </c>
    </row>
    <row r="1886">
      <c r="A1886">
        <f>IF(AND(OR('Compliance Database'!$A1886='Data Transfer'!$B$4,'Compliance Database'!$A1886='Data Transfer'!$B$5),OR('Data Transfer'!$B$6="",ISNUMBER(SEARCH('Data Transfer'!$B$6,'Compliance Database'!$D1886&amp;" "&amp;'Compliance Database'!$K1886&amp;" "&amp;'Compliance Database'!$L1886&amp;" "&amp;'Compliance Database'!$M1886&amp;" "&amp;'Compliance Database'!$N1886&amp;" "&amp;'Compliance Database'!$O1886)))),1,0)</f>
        <v/>
      </c>
      <c r="B1886">
        <f>IF($A1886=1,SUM($A$2:$A1886),"")</f>
        <v/>
      </c>
      <c r="C1886">
        <f>IF($A1886=1,SUM($A$2:$A1886),0)</f>
        <v/>
      </c>
    </row>
    <row r="1887">
      <c r="A1887">
        <f>IF(AND(OR('Compliance Database'!$A1887='Data Transfer'!$B$4,'Compliance Database'!$A1887='Data Transfer'!$B$5),OR('Data Transfer'!$B$6="",ISNUMBER(SEARCH('Data Transfer'!$B$6,'Compliance Database'!$D1887&amp;" "&amp;'Compliance Database'!$K1887&amp;" "&amp;'Compliance Database'!$L1887&amp;" "&amp;'Compliance Database'!$M1887&amp;" "&amp;'Compliance Database'!$N1887&amp;" "&amp;'Compliance Database'!$O1887)))),1,0)</f>
        <v/>
      </c>
      <c r="B1887">
        <f>IF($A1887=1,SUM($A$2:$A1887),"")</f>
        <v/>
      </c>
      <c r="C1887">
        <f>IF($A1887=1,SUM($A$2:$A1887),0)</f>
        <v/>
      </c>
    </row>
    <row r="1888">
      <c r="A1888">
        <f>IF(AND(OR('Compliance Database'!$A1888='Data Transfer'!$B$4,'Compliance Database'!$A1888='Data Transfer'!$B$5),OR('Data Transfer'!$B$6="",ISNUMBER(SEARCH('Data Transfer'!$B$6,'Compliance Database'!$D1888&amp;" "&amp;'Compliance Database'!$K1888&amp;" "&amp;'Compliance Database'!$L1888&amp;" "&amp;'Compliance Database'!$M1888&amp;" "&amp;'Compliance Database'!$N1888&amp;" "&amp;'Compliance Database'!$O1888)))),1,0)</f>
        <v/>
      </c>
      <c r="B1888">
        <f>IF($A1888=1,SUM($A$2:$A1888),"")</f>
        <v/>
      </c>
      <c r="C1888">
        <f>IF($A1888=1,SUM($A$2:$A1888),0)</f>
        <v/>
      </c>
    </row>
    <row r="1889">
      <c r="A1889">
        <f>IF(AND(OR('Compliance Database'!$A1889='Data Transfer'!$B$4,'Compliance Database'!$A1889='Data Transfer'!$B$5),OR('Data Transfer'!$B$6="",ISNUMBER(SEARCH('Data Transfer'!$B$6,'Compliance Database'!$D1889&amp;" "&amp;'Compliance Database'!$K1889&amp;" "&amp;'Compliance Database'!$L1889&amp;" "&amp;'Compliance Database'!$M1889&amp;" "&amp;'Compliance Database'!$N1889&amp;" "&amp;'Compliance Database'!$O1889)))),1,0)</f>
        <v/>
      </c>
      <c r="B1889">
        <f>IF($A1889=1,SUM($A$2:$A1889),"")</f>
        <v/>
      </c>
      <c r="C1889">
        <f>IF($A1889=1,SUM($A$2:$A1889),0)</f>
        <v/>
      </c>
    </row>
    <row r="1890">
      <c r="A1890">
        <f>IF(AND(OR('Compliance Database'!$A1890='Data Transfer'!$B$4,'Compliance Database'!$A1890='Data Transfer'!$B$5),OR('Data Transfer'!$B$6="",ISNUMBER(SEARCH('Data Transfer'!$B$6,'Compliance Database'!$D1890&amp;" "&amp;'Compliance Database'!$K1890&amp;" "&amp;'Compliance Database'!$L1890&amp;" "&amp;'Compliance Database'!$M1890&amp;" "&amp;'Compliance Database'!$N1890&amp;" "&amp;'Compliance Database'!$O1890)))),1,0)</f>
        <v/>
      </c>
      <c r="B1890">
        <f>IF($A1890=1,SUM($A$2:$A1890),"")</f>
        <v/>
      </c>
      <c r="C1890">
        <f>IF($A1890=1,SUM($A$2:$A1890),0)</f>
        <v/>
      </c>
    </row>
    <row r="1891">
      <c r="A1891">
        <f>IF(AND(OR('Compliance Database'!$A1891='Data Transfer'!$B$4,'Compliance Database'!$A1891='Data Transfer'!$B$5),OR('Data Transfer'!$B$6="",ISNUMBER(SEARCH('Data Transfer'!$B$6,'Compliance Database'!$D1891&amp;" "&amp;'Compliance Database'!$K1891&amp;" "&amp;'Compliance Database'!$L1891&amp;" "&amp;'Compliance Database'!$M1891&amp;" "&amp;'Compliance Database'!$N1891&amp;" "&amp;'Compliance Database'!$O1891)))),1,0)</f>
        <v/>
      </c>
      <c r="B1891">
        <f>IF($A1891=1,SUM($A$2:$A1891),"")</f>
        <v/>
      </c>
      <c r="C1891">
        <f>IF($A1891=1,SUM($A$2:$A1891),0)</f>
        <v/>
      </c>
    </row>
    <row r="1892">
      <c r="A1892">
        <f>IF(AND(OR('Compliance Database'!$A1892='Data Transfer'!$B$4,'Compliance Database'!$A1892='Data Transfer'!$B$5),OR('Data Transfer'!$B$6="",ISNUMBER(SEARCH('Data Transfer'!$B$6,'Compliance Database'!$D1892&amp;" "&amp;'Compliance Database'!$K1892&amp;" "&amp;'Compliance Database'!$L1892&amp;" "&amp;'Compliance Database'!$M1892&amp;" "&amp;'Compliance Database'!$N1892&amp;" "&amp;'Compliance Database'!$O1892)))),1,0)</f>
        <v/>
      </c>
      <c r="B1892">
        <f>IF($A1892=1,SUM($A$2:$A1892),"")</f>
        <v/>
      </c>
      <c r="C1892">
        <f>IF($A1892=1,SUM($A$2:$A1892),0)</f>
        <v/>
      </c>
    </row>
    <row r="1893">
      <c r="A1893">
        <f>IF(AND(OR('Compliance Database'!$A1893='Data Transfer'!$B$4,'Compliance Database'!$A1893='Data Transfer'!$B$5),OR('Data Transfer'!$B$6="",ISNUMBER(SEARCH('Data Transfer'!$B$6,'Compliance Database'!$D1893&amp;" "&amp;'Compliance Database'!$K1893&amp;" "&amp;'Compliance Database'!$L1893&amp;" "&amp;'Compliance Database'!$M1893&amp;" "&amp;'Compliance Database'!$N1893&amp;" "&amp;'Compliance Database'!$O1893)))),1,0)</f>
        <v/>
      </c>
      <c r="B1893">
        <f>IF($A1893=1,SUM($A$2:$A1893),"")</f>
        <v/>
      </c>
      <c r="C1893">
        <f>IF($A1893=1,SUM($A$2:$A1893),0)</f>
        <v/>
      </c>
    </row>
    <row r="1894">
      <c r="A1894">
        <f>IF(AND(OR('Compliance Database'!$A1894='Data Transfer'!$B$4,'Compliance Database'!$A1894='Data Transfer'!$B$5),OR('Data Transfer'!$B$6="",ISNUMBER(SEARCH('Data Transfer'!$B$6,'Compliance Database'!$D1894&amp;" "&amp;'Compliance Database'!$K1894&amp;" "&amp;'Compliance Database'!$L1894&amp;" "&amp;'Compliance Database'!$M1894&amp;" "&amp;'Compliance Database'!$N1894&amp;" "&amp;'Compliance Database'!$O1894)))),1,0)</f>
        <v/>
      </c>
      <c r="B1894">
        <f>IF($A1894=1,SUM($A$2:$A1894),"")</f>
        <v/>
      </c>
      <c r="C1894">
        <f>IF($A1894=1,SUM($A$2:$A1894),0)</f>
        <v/>
      </c>
    </row>
    <row r="1895">
      <c r="A1895">
        <f>IF(AND(OR('Compliance Database'!$A1895='Data Transfer'!$B$4,'Compliance Database'!$A1895='Data Transfer'!$B$5),OR('Data Transfer'!$B$6="",ISNUMBER(SEARCH('Data Transfer'!$B$6,'Compliance Database'!$D1895&amp;" "&amp;'Compliance Database'!$K1895&amp;" "&amp;'Compliance Database'!$L1895&amp;" "&amp;'Compliance Database'!$M1895&amp;" "&amp;'Compliance Database'!$N1895&amp;" "&amp;'Compliance Database'!$O1895)))),1,0)</f>
        <v/>
      </c>
      <c r="B1895">
        <f>IF($A1895=1,SUM($A$2:$A1895),"")</f>
        <v/>
      </c>
      <c r="C1895">
        <f>IF($A1895=1,SUM($A$2:$A1895),0)</f>
        <v/>
      </c>
    </row>
    <row r="1896">
      <c r="A1896">
        <f>IF(AND(OR('Compliance Database'!$A1896='Data Transfer'!$B$4,'Compliance Database'!$A1896='Data Transfer'!$B$5),OR('Data Transfer'!$B$6="",ISNUMBER(SEARCH('Data Transfer'!$B$6,'Compliance Database'!$D1896&amp;" "&amp;'Compliance Database'!$K1896&amp;" "&amp;'Compliance Database'!$L1896&amp;" "&amp;'Compliance Database'!$M1896&amp;" "&amp;'Compliance Database'!$N1896&amp;" "&amp;'Compliance Database'!$O1896)))),1,0)</f>
        <v/>
      </c>
      <c r="B1896">
        <f>IF($A1896=1,SUM($A$2:$A1896),"")</f>
        <v/>
      </c>
      <c r="C1896">
        <f>IF($A1896=1,SUM($A$2:$A1896),0)</f>
        <v/>
      </c>
    </row>
    <row r="1897">
      <c r="A1897">
        <f>IF(AND(OR('Compliance Database'!$A1897='Data Transfer'!$B$4,'Compliance Database'!$A1897='Data Transfer'!$B$5),OR('Data Transfer'!$B$6="",ISNUMBER(SEARCH('Data Transfer'!$B$6,'Compliance Database'!$D1897&amp;" "&amp;'Compliance Database'!$K1897&amp;" "&amp;'Compliance Database'!$L1897&amp;" "&amp;'Compliance Database'!$M1897&amp;" "&amp;'Compliance Database'!$N1897&amp;" "&amp;'Compliance Database'!$O1897)))),1,0)</f>
        <v/>
      </c>
      <c r="B1897">
        <f>IF($A1897=1,SUM($A$2:$A1897),"")</f>
        <v/>
      </c>
      <c r="C1897">
        <f>IF($A1897=1,SUM($A$2:$A1897),0)</f>
        <v/>
      </c>
    </row>
    <row r="1898">
      <c r="A1898">
        <f>IF(AND(OR('Compliance Database'!$A1898='Data Transfer'!$B$4,'Compliance Database'!$A1898='Data Transfer'!$B$5),OR('Data Transfer'!$B$6="",ISNUMBER(SEARCH('Data Transfer'!$B$6,'Compliance Database'!$D1898&amp;" "&amp;'Compliance Database'!$K1898&amp;" "&amp;'Compliance Database'!$L1898&amp;" "&amp;'Compliance Database'!$M1898&amp;" "&amp;'Compliance Database'!$N1898&amp;" "&amp;'Compliance Database'!$O1898)))),1,0)</f>
        <v/>
      </c>
      <c r="B1898">
        <f>IF($A1898=1,SUM($A$2:$A1898),"")</f>
        <v/>
      </c>
      <c r="C1898">
        <f>IF($A1898=1,SUM($A$2:$A1898),0)</f>
        <v/>
      </c>
    </row>
    <row r="1899">
      <c r="A1899">
        <f>IF(AND(OR('Compliance Database'!$A1899='Data Transfer'!$B$4,'Compliance Database'!$A1899='Data Transfer'!$B$5),OR('Data Transfer'!$B$6="",ISNUMBER(SEARCH('Data Transfer'!$B$6,'Compliance Database'!$D1899&amp;" "&amp;'Compliance Database'!$K1899&amp;" "&amp;'Compliance Database'!$L1899&amp;" "&amp;'Compliance Database'!$M1899&amp;" "&amp;'Compliance Database'!$N1899&amp;" "&amp;'Compliance Database'!$O1899)))),1,0)</f>
        <v/>
      </c>
      <c r="B1899">
        <f>IF($A1899=1,SUM($A$2:$A1899),"")</f>
        <v/>
      </c>
      <c r="C1899">
        <f>IF($A1899=1,SUM($A$2:$A1899),0)</f>
        <v/>
      </c>
    </row>
    <row r="1900">
      <c r="A1900">
        <f>IF(AND(OR('Compliance Database'!$A1900='Data Transfer'!$B$4,'Compliance Database'!$A1900='Data Transfer'!$B$5),OR('Data Transfer'!$B$6="",ISNUMBER(SEARCH('Data Transfer'!$B$6,'Compliance Database'!$D1900&amp;" "&amp;'Compliance Database'!$K1900&amp;" "&amp;'Compliance Database'!$L1900&amp;" "&amp;'Compliance Database'!$M1900&amp;" "&amp;'Compliance Database'!$N1900&amp;" "&amp;'Compliance Database'!$O1900)))),1,0)</f>
        <v/>
      </c>
      <c r="B1900">
        <f>IF($A1900=1,SUM($A$2:$A1900),"")</f>
        <v/>
      </c>
      <c r="C1900">
        <f>IF($A1900=1,SUM($A$2:$A1900),0)</f>
        <v/>
      </c>
    </row>
    <row r="1901">
      <c r="A1901">
        <f>IF(AND(OR('Compliance Database'!$A1901='Data Transfer'!$B$4,'Compliance Database'!$A1901='Data Transfer'!$B$5),OR('Data Transfer'!$B$6="",ISNUMBER(SEARCH('Data Transfer'!$B$6,'Compliance Database'!$D1901&amp;" "&amp;'Compliance Database'!$K1901&amp;" "&amp;'Compliance Database'!$L1901&amp;" "&amp;'Compliance Database'!$M1901&amp;" "&amp;'Compliance Database'!$N1901&amp;" "&amp;'Compliance Database'!$O1901)))),1,0)</f>
        <v/>
      </c>
      <c r="B1901">
        <f>IF($A1901=1,SUM($A$2:$A1901),"")</f>
        <v/>
      </c>
      <c r="C1901">
        <f>IF($A1901=1,SUM($A$2:$A1901),0)</f>
        <v/>
      </c>
    </row>
    <row r="1902">
      <c r="A1902">
        <f>IF(AND(OR('Compliance Database'!$A1902='Data Transfer'!$B$4,'Compliance Database'!$A1902='Data Transfer'!$B$5),OR('Data Transfer'!$B$6="",ISNUMBER(SEARCH('Data Transfer'!$B$6,'Compliance Database'!$D1902&amp;" "&amp;'Compliance Database'!$K1902&amp;" "&amp;'Compliance Database'!$L1902&amp;" "&amp;'Compliance Database'!$M1902&amp;" "&amp;'Compliance Database'!$N1902&amp;" "&amp;'Compliance Database'!$O1902)))),1,0)</f>
        <v/>
      </c>
      <c r="B1902">
        <f>IF($A1902=1,SUM($A$2:$A1902),"")</f>
        <v/>
      </c>
      <c r="C1902">
        <f>IF($A1902=1,SUM($A$2:$A1902),0)</f>
        <v/>
      </c>
    </row>
    <row r="1903">
      <c r="A1903">
        <f>IF(AND(OR('Compliance Database'!$A1903='Data Transfer'!$B$4,'Compliance Database'!$A1903='Data Transfer'!$B$5),OR('Data Transfer'!$B$6="",ISNUMBER(SEARCH('Data Transfer'!$B$6,'Compliance Database'!$D1903&amp;" "&amp;'Compliance Database'!$K1903&amp;" "&amp;'Compliance Database'!$L1903&amp;" "&amp;'Compliance Database'!$M1903&amp;" "&amp;'Compliance Database'!$N1903&amp;" "&amp;'Compliance Database'!$O1903)))),1,0)</f>
        <v/>
      </c>
      <c r="B1903">
        <f>IF($A1903=1,SUM($A$2:$A1903),"")</f>
        <v/>
      </c>
      <c r="C1903">
        <f>IF($A1903=1,SUM($A$2:$A1903),0)</f>
        <v/>
      </c>
    </row>
    <row r="1904">
      <c r="A1904">
        <f>IF(AND(OR('Compliance Database'!$A1904='Data Transfer'!$B$4,'Compliance Database'!$A1904='Data Transfer'!$B$5),OR('Data Transfer'!$B$6="",ISNUMBER(SEARCH('Data Transfer'!$B$6,'Compliance Database'!$D1904&amp;" "&amp;'Compliance Database'!$K1904&amp;" "&amp;'Compliance Database'!$L1904&amp;" "&amp;'Compliance Database'!$M1904&amp;" "&amp;'Compliance Database'!$N1904&amp;" "&amp;'Compliance Database'!$O1904)))),1,0)</f>
        <v/>
      </c>
      <c r="B1904">
        <f>IF($A1904=1,SUM($A$2:$A1904),"")</f>
        <v/>
      </c>
      <c r="C1904">
        <f>IF($A1904=1,SUM($A$2:$A1904),0)</f>
        <v/>
      </c>
    </row>
    <row r="1905">
      <c r="A1905">
        <f>IF(AND(OR('Compliance Database'!$A1905='Data Transfer'!$B$4,'Compliance Database'!$A1905='Data Transfer'!$B$5),OR('Data Transfer'!$B$6="",ISNUMBER(SEARCH('Data Transfer'!$B$6,'Compliance Database'!$D1905&amp;" "&amp;'Compliance Database'!$K1905&amp;" "&amp;'Compliance Database'!$L1905&amp;" "&amp;'Compliance Database'!$M1905&amp;" "&amp;'Compliance Database'!$N1905&amp;" "&amp;'Compliance Database'!$O1905)))),1,0)</f>
        <v/>
      </c>
      <c r="B1905">
        <f>IF($A1905=1,SUM($A$2:$A1905),"")</f>
        <v/>
      </c>
      <c r="C1905">
        <f>IF($A1905=1,SUM($A$2:$A1905),0)</f>
        <v/>
      </c>
    </row>
    <row r="1906">
      <c r="A1906">
        <f>IF(AND(OR('Compliance Database'!$A1906='Data Transfer'!$B$4,'Compliance Database'!$A1906='Data Transfer'!$B$5),OR('Data Transfer'!$B$6="",ISNUMBER(SEARCH('Data Transfer'!$B$6,'Compliance Database'!$D1906&amp;" "&amp;'Compliance Database'!$K1906&amp;" "&amp;'Compliance Database'!$L1906&amp;" "&amp;'Compliance Database'!$M1906&amp;" "&amp;'Compliance Database'!$N1906&amp;" "&amp;'Compliance Database'!$O1906)))),1,0)</f>
        <v/>
      </c>
      <c r="B1906">
        <f>IF($A1906=1,SUM($A$2:$A1906),"")</f>
        <v/>
      </c>
      <c r="C1906">
        <f>IF($A1906=1,SUM($A$2:$A1906),0)</f>
        <v/>
      </c>
    </row>
    <row r="1907">
      <c r="A1907">
        <f>IF(AND(OR('Compliance Database'!$A1907='Data Transfer'!$B$4,'Compliance Database'!$A1907='Data Transfer'!$B$5),OR('Data Transfer'!$B$6="",ISNUMBER(SEARCH('Data Transfer'!$B$6,'Compliance Database'!$D1907&amp;" "&amp;'Compliance Database'!$K1907&amp;" "&amp;'Compliance Database'!$L1907&amp;" "&amp;'Compliance Database'!$M1907&amp;" "&amp;'Compliance Database'!$N1907&amp;" "&amp;'Compliance Database'!$O1907)))),1,0)</f>
        <v/>
      </c>
      <c r="B1907">
        <f>IF($A1907=1,SUM($A$2:$A1907),"")</f>
        <v/>
      </c>
      <c r="C1907">
        <f>IF($A1907=1,SUM($A$2:$A1907),0)</f>
        <v/>
      </c>
    </row>
    <row r="1908">
      <c r="A1908">
        <f>IF(AND(OR('Compliance Database'!$A1908='Data Transfer'!$B$4,'Compliance Database'!$A1908='Data Transfer'!$B$5),OR('Data Transfer'!$B$6="",ISNUMBER(SEARCH('Data Transfer'!$B$6,'Compliance Database'!$D1908&amp;" "&amp;'Compliance Database'!$K1908&amp;" "&amp;'Compliance Database'!$L1908&amp;" "&amp;'Compliance Database'!$M1908&amp;" "&amp;'Compliance Database'!$N1908&amp;" "&amp;'Compliance Database'!$O1908)))),1,0)</f>
        <v/>
      </c>
      <c r="B1908">
        <f>IF($A1908=1,SUM($A$2:$A1908),"")</f>
        <v/>
      </c>
      <c r="C1908">
        <f>IF($A1908=1,SUM($A$2:$A1908),0)</f>
        <v/>
      </c>
    </row>
    <row r="1909">
      <c r="A1909">
        <f>IF(AND(OR('Compliance Database'!$A1909='Data Transfer'!$B$4,'Compliance Database'!$A1909='Data Transfer'!$B$5),OR('Data Transfer'!$B$6="",ISNUMBER(SEARCH('Data Transfer'!$B$6,'Compliance Database'!$D1909&amp;" "&amp;'Compliance Database'!$K1909&amp;" "&amp;'Compliance Database'!$L1909&amp;" "&amp;'Compliance Database'!$M1909&amp;" "&amp;'Compliance Database'!$N1909&amp;" "&amp;'Compliance Database'!$O1909)))),1,0)</f>
        <v/>
      </c>
      <c r="B1909">
        <f>IF($A1909=1,SUM($A$2:$A1909),"")</f>
        <v/>
      </c>
      <c r="C1909">
        <f>IF($A1909=1,SUM($A$2:$A1909),0)</f>
        <v/>
      </c>
    </row>
    <row r="1910">
      <c r="A1910">
        <f>IF(AND(OR('Compliance Database'!$A1910='Data Transfer'!$B$4,'Compliance Database'!$A1910='Data Transfer'!$B$5),OR('Data Transfer'!$B$6="",ISNUMBER(SEARCH('Data Transfer'!$B$6,'Compliance Database'!$D1910&amp;" "&amp;'Compliance Database'!$K1910&amp;" "&amp;'Compliance Database'!$L1910&amp;" "&amp;'Compliance Database'!$M1910&amp;" "&amp;'Compliance Database'!$N1910&amp;" "&amp;'Compliance Database'!$O1910)))),1,0)</f>
        <v/>
      </c>
      <c r="B1910">
        <f>IF($A1910=1,SUM($A$2:$A1910),"")</f>
        <v/>
      </c>
      <c r="C1910">
        <f>IF($A1910=1,SUM($A$2:$A1910),0)</f>
        <v/>
      </c>
    </row>
    <row r="1911">
      <c r="A1911">
        <f>IF(AND(OR('Compliance Database'!$A1911='Data Transfer'!$B$4,'Compliance Database'!$A1911='Data Transfer'!$B$5),OR('Data Transfer'!$B$6="",ISNUMBER(SEARCH('Data Transfer'!$B$6,'Compliance Database'!$D1911&amp;" "&amp;'Compliance Database'!$K1911&amp;" "&amp;'Compliance Database'!$L1911&amp;" "&amp;'Compliance Database'!$M1911&amp;" "&amp;'Compliance Database'!$N1911&amp;" "&amp;'Compliance Database'!$O1911)))),1,0)</f>
        <v/>
      </c>
      <c r="B1911">
        <f>IF($A1911=1,SUM($A$2:$A1911),"")</f>
        <v/>
      </c>
      <c r="C1911">
        <f>IF($A1911=1,SUM($A$2:$A1911),0)</f>
        <v/>
      </c>
    </row>
    <row r="1912">
      <c r="A1912">
        <f>IF(AND(OR('Compliance Database'!$A1912='Data Transfer'!$B$4,'Compliance Database'!$A1912='Data Transfer'!$B$5),OR('Data Transfer'!$B$6="",ISNUMBER(SEARCH('Data Transfer'!$B$6,'Compliance Database'!$D1912&amp;" "&amp;'Compliance Database'!$K1912&amp;" "&amp;'Compliance Database'!$L1912&amp;" "&amp;'Compliance Database'!$M1912&amp;" "&amp;'Compliance Database'!$N1912&amp;" "&amp;'Compliance Database'!$O1912)))),1,0)</f>
        <v/>
      </c>
      <c r="B1912">
        <f>IF($A1912=1,SUM($A$2:$A1912),"")</f>
        <v/>
      </c>
      <c r="C1912">
        <f>IF($A1912=1,SUM($A$2:$A1912),0)</f>
        <v/>
      </c>
    </row>
    <row r="1913">
      <c r="A1913">
        <f>IF(AND(OR('Compliance Database'!$A1913='Data Transfer'!$B$4,'Compliance Database'!$A1913='Data Transfer'!$B$5),OR('Data Transfer'!$B$6="",ISNUMBER(SEARCH('Data Transfer'!$B$6,'Compliance Database'!$D1913&amp;" "&amp;'Compliance Database'!$K1913&amp;" "&amp;'Compliance Database'!$L1913&amp;" "&amp;'Compliance Database'!$M1913&amp;" "&amp;'Compliance Database'!$N1913&amp;" "&amp;'Compliance Database'!$O1913)))),1,0)</f>
        <v/>
      </c>
      <c r="B1913">
        <f>IF($A1913=1,SUM($A$2:$A1913),"")</f>
        <v/>
      </c>
      <c r="C1913">
        <f>IF($A1913=1,SUM($A$2:$A1913),0)</f>
        <v/>
      </c>
    </row>
    <row r="1914">
      <c r="A1914">
        <f>IF(AND(OR('Compliance Database'!$A1914='Data Transfer'!$B$4,'Compliance Database'!$A1914='Data Transfer'!$B$5),OR('Data Transfer'!$B$6="",ISNUMBER(SEARCH('Data Transfer'!$B$6,'Compliance Database'!$D1914&amp;" "&amp;'Compliance Database'!$K1914&amp;" "&amp;'Compliance Database'!$L1914&amp;" "&amp;'Compliance Database'!$M1914&amp;" "&amp;'Compliance Database'!$N1914&amp;" "&amp;'Compliance Database'!$O1914)))),1,0)</f>
        <v/>
      </c>
      <c r="B1914">
        <f>IF($A1914=1,SUM($A$2:$A1914),"")</f>
        <v/>
      </c>
      <c r="C1914">
        <f>IF($A1914=1,SUM($A$2:$A1914),0)</f>
        <v/>
      </c>
    </row>
    <row r="1915">
      <c r="A1915">
        <f>IF(AND(OR('Compliance Database'!$A1915='Data Transfer'!$B$4,'Compliance Database'!$A1915='Data Transfer'!$B$5),OR('Data Transfer'!$B$6="",ISNUMBER(SEARCH('Data Transfer'!$B$6,'Compliance Database'!$D1915&amp;" "&amp;'Compliance Database'!$K1915&amp;" "&amp;'Compliance Database'!$L1915&amp;" "&amp;'Compliance Database'!$M1915&amp;" "&amp;'Compliance Database'!$N1915&amp;" "&amp;'Compliance Database'!$O1915)))),1,0)</f>
        <v/>
      </c>
      <c r="B1915">
        <f>IF($A1915=1,SUM($A$2:$A1915),"")</f>
        <v/>
      </c>
      <c r="C1915">
        <f>IF($A1915=1,SUM($A$2:$A1915),0)</f>
        <v/>
      </c>
    </row>
    <row r="1916">
      <c r="A1916">
        <f>IF(AND(OR('Compliance Database'!$A1916='Data Transfer'!$B$4,'Compliance Database'!$A1916='Data Transfer'!$B$5),OR('Data Transfer'!$B$6="",ISNUMBER(SEARCH('Data Transfer'!$B$6,'Compliance Database'!$D1916&amp;" "&amp;'Compliance Database'!$K1916&amp;" "&amp;'Compliance Database'!$L1916&amp;" "&amp;'Compliance Database'!$M1916&amp;" "&amp;'Compliance Database'!$N1916&amp;" "&amp;'Compliance Database'!$O1916)))),1,0)</f>
        <v/>
      </c>
      <c r="B1916">
        <f>IF($A1916=1,SUM($A$2:$A1916),"")</f>
        <v/>
      </c>
      <c r="C1916">
        <f>IF($A1916=1,SUM($A$2:$A1916),0)</f>
        <v/>
      </c>
    </row>
    <row r="1917">
      <c r="A1917">
        <f>IF(AND(OR('Compliance Database'!$A1917='Data Transfer'!$B$4,'Compliance Database'!$A1917='Data Transfer'!$B$5),OR('Data Transfer'!$B$6="",ISNUMBER(SEARCH('Data Transfer'!$B$6,'Compliance Database'!$D1917&amp;" "&amp;'Compliance Database'!$K1917&amp;" "&amp;'Compliance Database'!$L1917&amp;" "&amp;'Compliance Database'!$M1917&amp;" "&amp;'Compliance Database'!$N1917&amp;" "&amp;'Compliance Database'!$O1917)))),1,0)</f>
        <v/>
      </c>
      <c r="B1917">
        <f>IF($A1917=1,SUM($A$2:$A1917),"")</f>
        <v/>
      </c>
      <c r="C1917">
        <f>IF($A1917=1,SUM($A$2:$A1917),0)</f>
        <v/>
      </c>
    </row>
    <row r="1918">
      <c r="A1918">
        <f>IF(AND(OR('Compliance Database'!$A1918='Data Transfer'!$B$4,'Compliance Database'!$A1918='Data Transfer'!$B$5),OR('Data Transfer'!$B$6="",ISNUMBER(SEARCH('Data Transfer'!$B$6,'Compliance Database'!$D1918&amp;" "&amp;'Compliance Database'!$K1918&amp;" "&amp;'Compliance Database'!$L1918&amp;" "&amp;'Compliance Database'!$M1918&amp;" "&amp;'Compliance Database'!$N1918&amp;" "&amp;'Compliance Database'!$O1918)))),1,0)</f>
        <v/>
      </c>
      <c r="B1918">
        <f>IF($A1918=1,SUM($A$2:$A1918),"")</f>
        <v/>
      </c>
      <c r="C1918">
        <f>IF($A1918=1,SUM($A$2:$A1918),0)</f>
        <v/>
      </c>
    </row>
    <row r="1919">
      <c r="A1919">
        <f>IF(AND(OR('Compliance Database'!$A1919='Data Transfer'!$B$4,'Compliance Database'!$A1919='Data Transfer'!$B$5),OR('Data Transfer'!$B$6="",ISNUMBER(SEARCH('Data Transfer'!$B$6,'Compliance Database'!$D1919&amp;" "&amp;'Compliance Database'!$K1919&amp;" "&amp;'Compliance Database'!$L1919&amp;" "&amp;'Compliance Database'!$M1919&amp;" "&amp;'Compliance Database'!$N1919&amp;" "&amp;'Compliance Database'!$O1919)))),1,0)</f>
        <v/>
      </c>
      <c r="B1919">
        <f>IF($A1919=1,SUM($A$2:$A1919),"")</f>
        <v/>
      </c>
      <c r="C1919">
        <f>IF($A1919=1,SUM($A$2:$A1919),0)</f>
        <v/>
      </c>
    </row>
    <row r="1920">
      <c r="A1920">
        <f>IF(AND(OR('Compliance Database'!$A1920='Data Transfer'!$B$4,'Compliance Database'!$A1920='Data Transfer'!$B$5),OR('Data Transfer'!$B$6="",ISNUMBER(SEARCH('Data Transfer'!$B$6,'Compliance Database'!$D1920&amp;" "&amp;'Compliance Database'!$K1920&amp;" "&amp;'Compliance Database'!$L1920&amp;" "&amp;'Compliance Database'!$M1920&amp;" "&amp;'Compliance Database'!$N1920&amp;" "&amp;'Compliance Database'!$O1920)))),1,0)</f>
        <v/>
      </c>
      <c r="B1920">
        <f>IF($A1920=1,SUM($A$2:$A1920),"")</f>
        <v/>
      </c>
      <c r="C1920">
        <f>IF($A1920=1,SUM($A$2:$A1920),0)</f>
        <v/>
      </c>
    </row>
    <row r="1921">
      <c r="A1921">
        <f>IF(AND(OR('Compliance Database'!$A1921='Data Transfer'!$B$4,'Compliance Database'!$A1921='Data Transfer'!$B$5),OR('Data Transfer'!$B$6="",ISNUMBER(SEARCH('Data Transfer'!$B$6,'Compliance Database'!$D1921&amp;" "&amp;'Compliance Database'!$K1921&amp;" "&amp;'Compliance Database'!$L1921&amp;" "&amp;'Compliance Database'!$M1921&amp;" "&amp;'Compliance Database'!$N1921&amp;" "&amp;'Compliance Database'!$O1921)))),1,0)</f>
        <v/>
      </c>
      <c r="B1921">
        <f>IF($A1921=1,SUM($A$2:$A1921),"")</f>
        <v/>
      </c>
      <c r="C1921">
        <f>IF($A1921=1,SUM($A$2:$A1921),0)</f>
        <v/>
      </c>
    </row>
    <row r="1922">
      <c r="A1922">
        <f>IF(AND(OR('Compliance Database'!$A1922='Data Transfer'!$B$4,'Compliance Database'!$A1922='Data Transfer'!$B$5),OR('Data Transfer'!$B$6="",ISNUMBER(SEARCH('Data Transfer'!$B$6,'Compliance Database'!$D1922&amp;" "&amp;'Compliance Database'!$K1922&amp;" "&amp;'Compliance Database'!$L1922&amp;" "&amp;'Compliance Database'!$M1922&amp;" "&amp;'Compliance Database'!$N1922&amp;" "&amp;'Compliance Database'!$O1922)))),1,0)</f>
        <v/>
      </c>
      <c r="B1922">
        <f>IF($A1922=1,SUM($A$2:$A1922),"")</f>
        <v/>
      </c>
      <c r="C1922">
        <f>IF($A1922=1,SUM($A$2:$A1922),0)</f>
        <v/>
      </c>
    </row>
    <row r="1923">
      <c r="A1923">
        <f>IF(AND(OR('Compliance Database'!$A1923='Data Transfer'!$B$4,'Compliance Database'!$A1923='Data Transfer'!$B$5),OR('Data Transfer'!$B$6="",ISNUMBER(SEARCH('Data Transfer'!$B$6,'Compliance Database'!$D1923&amp;" "&amp;'Compliance Database'!$K1923&amp;" "&amp;'Compliance Database'!$L1923&amp;" "&amp;'Compliance Database'!$M1923&amp;" "&amp;'Compliance Database'!$N1923&amp;" "&amp;'Compliance Database'!$O1923)))),1,0)</f>
        <v/>
      </c>
      <c r="B1923">
        <f>IF($A1923=1,SUM($A$2:$A1923),"")</f>
        <v/>
      </c>
      <c r="C1923">
        <f>IF($A1923=1,SUM($A$2:$A1923),0)</f>
        <v/>
      </c>
    </row>
    <row r="1924">
      <c r="A1924">
        <f>IF(AND(OR('Compliance Database'!$A1924='Data Transfer'!$B$4,'Compliance Database'!$A1924='Data Transfer'!$B$5),OR('Data Transfer'!$B$6="",ISNUMBER(SEARCH('Data Transfer'!$B$6,'Compliance Database'!$D1924&amp;" "&amp;'Compliance Database'!$K1924&amp;" "&amp;'Compliance Database'!$L1924&amp;" "&amp;'Compliance Database'!$M1924&amp;" "&amp;'Compliance Database'!$N1924&amp;" "&amp;'Compliance Database'!$O1924)))),1,0)</f>
        <v/>
      </c>
      <c r="B1924">
        <f>IF($A1924=1,SUM($A$2:$A1924),"")</f>
        <v/>
      </c>
      <c r="C1924">
        <f>IF($A1924=1,SUM($A$2:$A1924),0)</f>
        <v/>
      </c>
    </row>
    <row r="1925">
      <c r="A1925">
        <f>IF(AND(OR('Compliance Database'!$A1925='Data Transfer'!$B$4,'Compliance Database'!$A1925='Data Transfer'!$B$5),OR('Data Transfer'!$B$6="",ISNUMBER(SEARCH('Data Transfer'!$B$6,'Compliance Database'!$D1925&amp;" "&amp;'Compliance Database'!$K1925&amp;" "&amp;'Compliance Database'!$L1925&amp;" "&amp;'Compliance Database'!$M1925&amp;" "&amp;'Compliance Database'!$N1925&amp;" "&amp;'Compliance Database'!$O1925)))),1,0)</f>
        <v/>
      </c>
      <c r="B1925">
        <f>IF($A1925=1,SUM($A$2:$A1925),"")</f>
        <v/>
      </c>
      <c r="C1925">
        <f>IF($A1925=1,SUM($A$2:$A1925),0)</f>
        <v/>
      </c>
    </row>
    <row r="1926">
      <c r="A1926">
        <f>IF(AND(OR('Compliance Database'!$A1926='Data Transfer'!$B$4,'Compliance Database'!$A1926='Data Transfer'!$B$5),OR('Data Transfer'!$B$6="",ISNUMBER(SEARCH('Data Transfer'!$B$6,'Compliance Database'!$D1926&amp;" "&amp;'Compliance Database'!$K1926&amp;" "&amp;'Compliance Database'!$L1926&amp;" "&amp;'Compliance Database'!$M1926&amp;" "&amp;'Compliance Database'!$N1926&amp;" "&amp;'Compliance Database'!$O1926)))),1,0)</f>
        <v/>
      </c>
      <c r="B1926">
        <f>IF($A1926=1,SUM($A$2:$A1926),"")</f>
        <v/>
      </c>
      <c r="C1926">
        <f>IF($A1926=1,SUM($A$2:$A1926),0)</f>
        <v/>
      </c>
    </row>
    <row r="1927">
      <c r="A1927">
        <f>IF(AND(OR('Compliance Database'!$A1927='Data Transfer'!$B$4,'Compliance Database'!$A1927='Data Transfer'!$B$5),OR('Data Transfer'!$B$6="",ISNUMBER(SEARCH('Data Transfer'!$B$6,'Compliance Database'!$D1927&amp;" "&amp;'Compliance Database'!$K1927&amp;" "&amp;'Compliance Database'!$L1927&amp;" "&amp;'Compliance Database'!$M1927&amp;" "&amp;'Compliance Database'!$N1927&amp;" "&amp;'Compliance Database'!$O1927)))),1,0)</f>
        <v/>
      </c>
      <c r="B1927">
        <f>IF($A1927=1,SUM($A$2:$A1927),"")</f>
        <v/>
      </c>
      <c r="C1927">
        <f>IF($A1927=1,SUM($A$2:$A1927),0)</f>
        <v/>
      </c>
    </row>
    <row r="1928">
      <c r="A1928">
        <f>IF(AND(OR('Compliance Database'!$A1928='Data Transfer'!$B$4,'Compliance Database'!$A1928='Data Transfer'!$B$5),OR('Data Transfer'!$B$6="",ISNUMBER(SEARCH('Data Transfer'!$B$6,'Compliance Database'!$D1928&amp;" "&amp;'Compliance Database'!$K1928&amp;" "&amp;'Compliance Database'!$L1928&amp;" "&amp;'Compliance Database'!$M1928&amp;" "&amp;'Compliance Database'!$N1928&amp;" "&amp;'Compliance Database'!$O1928)))),1,0)</f>
        <v/>
      </c>
      <c r="B1928">
        <f>IF($A1928=1,SUM($A$2:$A1928),"")</f>
        <v/>
      </c>
      <c r="C1928">
        <f>IF($A1928=1,SUM($A$2:$A1928),0)</f>
        <v/>
      </c>
    </row>
    <row r="1929">
      <c r="A1929">
        <f>IF(AND(OR('Compliance Database'!$A1929='Data Transfer'!$B$4,'Compliance Database'!$A1929='Data Transfer'!$B$5),OR('Data Transfer'!$B$6="",ISNUMBER(SEARCH('Data Transfer'!$B$6,'Compliance Database'!$D1929&amp;" "&amp;'Compliance Database'!$K1929&amp;" "&amp;'Compliance Database'!$L1929&amp;" "&amp;'Compliance Database'!$M1929&amp;" "&amp;'Compliance Database'!$N1929&amp;" "&amp;'Compliance Database'!$O1929)))),1,0)</f>
        <v/>
      </c>
      <c r="B1929">
        <f>IF($A1929=1,SUM($A$2:$A1929),"")</f>
        <v/>
      </c>
      <c r="C1929">
        <f>IF($A1929=1,SUM($A$2:$A1929),0)</f>
        <v/>
      </c>
    </row>
    <row r="1930">
      <c r="A1930">
        <f>IF(AND(OR('Compliance Database'!$A1930='Data Transfer'!$B$4,'Compliance Database'!$A1930='Data Transfer'!$B$5),OR('Data Transfer'!$B$6="",ISNUMBER(SEARCH('Data Transfer'!$B$6,'Compliance Database'!$D1930&amp;" "&amp;'Compliance Database'!$K1930&amp;" "&amp;'Compliance Database'!$L1930&amp;" "&amp;'Compliance Database'!$M1930&amp;" "&amp;'Compliance Database'!$N1930&amp;" "&amp;'Compliance Database'!$O1930)))),1,0)</f>
        <v/>
      </c>
      <c r="B1930">
        <f>IF($A1930=1,SUM($A$2:$A1930),"")</f>
        <v/>
      </c>
      <c r="C1930">
        <f>IF($A1930=1,SUM($A$2:$A1930),0)</f>
        <v/>
      </c>
    </row>
    <row r="1931">
      <c r="A1931">
        <f>IF(AND(OR('Compliance Database'!$A1931='Data Transfer'!$B$4,'Compliance Database'!$A1931='Data Transfer'!$B$5),OR('Data Transfer'!$B$6="",ISNUMBER(SEARCH('Data Transfer'!$B$6,'Compliance Database'!$D1931&amp;" "&amp;'Compliance Database'!$K1931&amp;" "&amp;'Compliance Database'!$L1931&amp;" "&amp;'Compliance Database'!$M1931&amp;" "&amp;'Compliance Database'!$N1931&amp;" "&amp;'Compliance Database'!$O1931)))),1,0)</f>
        <v/>
      </c>
      <c r="B1931">
        <f>IF($A1931=1,SUM($A$2:$A1931),"")</f>
        <v/>
      </c>
      <c r="C1931">
        <f>IF($A1931=1,SUM($A$2:$A1931),0)</f>
        <v/>
      </c>
    </row>
    <row r="1932">
      <c r="A1932">
        <f>IF(AND(OR('Compliance Database'!$A1932='Data Transfer'!$B$4,'Compliance Database'!$A1932='Data Transfer'!$B$5),OR('Data Transfer'!$B$6="",ISNUMBER(SEARCH('Data Transfer'!$B$6,'Compliance Database'!$D1932&amp;" "&amp;'Compliance Database'!$K1932&amp;" "&amp;'Compliance Database'!$L1932&amp;" "&amp;'Compliance Database'!$M1932&amp;" "&amp;'Compliance Database'!$N1932&amp;" "&amp;'Compliance Database'!$O1932)))),1,0)</f>
        <v/>
      </c>
      <c r="B1932">
        <f>IF($A1932=1,SUM($A$2:$A1932),"")</f>
        <v/>
      </c>
      <c r="C1932">
        <f>IF($A1932=1,SUM($A$2:$A1932),0)</f>
        <v/>
      </c>
    </row>
    <row r="1933">
      <c r="A1933">
        <f>IF(AND(OR('Compliance Database'!$A1933='Data Transfer'!$B$4,'Compliance Database'!$A1933='Data Transfer'!$B$5),OR('Data Transfer'!$B$6="",ISNUMBER(SEARCH('Data Transfer'!$B$6,'Compliance Database'!$D1933&amp;" "&amp;'Compliance Database'!$K1933&amp;" "&amp;'Compliance Database'!$L1933&amp;" "&amp;'Compliance Database'!$M1933&amp;" "&amp;'Compliance Database'!$N1933&amp;" "&amp;'Compliance Database'!$O1933)))),1,0)</f>
        <v/>
      </c>
      <c r="B1933">
        <f>IF($A1933=1,SUM($A$2:$A1933),"")</f>
        <v/>
      </c>
      <c r="C1933">
        <f>IF($A1933=1,SUM($A$2:$A1933),0)</f>
        <v/>
      </c>
    </row>
    <row r="1934">
      <c r="A1934">
        <f>IF(AND(OR('Compliance Database'!$A1934='Data Transfer'!$B$4,'Compliance Database'!$A1934='Data Transfer'!$B$5),OR('Data Transfer'!$B$6="",ISNUMBER(SEARCH('Data Transfer'!$B$6,'Compliance Database'!$D1934&amp;" "&amp;'Compliance Database'!$K1934&amp;" "&amp;'Compliance Database'!$L1934&amp;" "&amp;'Compliance Database'!$M1934&amp;" "&amp;'Compliance Database'!$N1934&amp;" "&amp;'Compliance Database'!$O1934)))),1,0)</f>
        <v/>
      </c>
      <c r="B1934">
        <f>IF($A1934=1,SUM($A$2:$A1934),"")</f>
        <v/>
      </c>
      <c r="C1934">
        <f>IF($A1934=1,SUM($A$2:$A1934),0)</f>
        <v/>
      </c>
    </row>
    <row r="1935">
      <c r="A1935">
        <f>IF(AND(OR('Compliance Database'!$A1935='Data Transfer'!$B$4,'Compliance Database'!$A1935='Data Transfer'!$B$5),OR('Data Transfer'!$B$6="",ISNUMBER(SEARCH('Data Transfer'!$B$6,'Compliance Database'!$D1935&amp;" "&amp;'Compliance Database'!$K1935&amp;" "&amp;'Compliance Database'!$L1935&amp;" "&amp;'Compliance Database'!$M1935&amp;" "&amp;'Compliance Database'!$N1935&amp;" "&amp;'Compliance Database'!$O1935)))),1,0)</f>
        <v/>
      </c>
      <c r="B1935">
        <f>IF($A1935=1,SUM($A$2:$A1935),"")</f>
        <v/>
      </c>
      <c r="C1935">
        <f>IF($A1935=1,SUM($A$2:$A1935),0)</f>
        <v/>
      </c>
    </row>
    <row r="1936">
      <c r="A1936">
        <f>IF(AND(OR('Compliance Database'!$A1936='Data Transfer'!$B$4,'Compliance Database'!$A1936='Data Transfer'!$B$5),OR('Data Transfer'!$B$6="",ISNUMBER(SEARCH('Data Transfer'!$B$6,'Compliance Database'!$D1936&amp;" "&amp;'Compliance Database'!$K1936&amp;" "&amp;'Compliance Database'!$L1936&amp;" "&amp;'Compliance Database'!$M1936&amp;" "&amp;'Compliance Database'!$N1936&amp;" "&amp;'Compliance Database'!$O1936)))),1,0)</f>
        <v/>
      </c>
      <c r="B1936">
        <f>IF($A1936=1,SUM($A$2:$A1936),"")</f>
        <v/>
      </c>
      <c r="C1936">
        <f>IF($A1936=1,SUM($A$2:$A1936),0)</f>
        <v/>
      </c>
    </row>
    <row r="1937">
      <c r="A1937">
        <f>IF(AND(OR('Compliance Database'!$A1937='Data Transfer'!$B$4,'Compliance Database'!$A1937='Data Transfer'!$B$5),OR('Data Transfer'!$B$6="",ISNUMBER(SEARCH('Data Transfer'!$B$6,'Compliance Database'!$D1937&amp;" "&amp;'Compliance Database'!$K1937&amp;" "&amp;'Compliance Database'!$L1937&amp;" "&amp;'Compliance Database'!$M1937&amp;" "&amp;'Compliance Database'!$N1937&amp;" "&amp;'Compliance Database'!$O1937)))),1,0)</f>
        <v/>
      </c>
      <c r="B1937">
        <f>IF($A1937=1,SUM($A$2:$A1937),"")</f>
        <v/>
      </c>
      <c r="C1937">
        <f>IF($A1937=1,SUM($A$2:$A1937),0)</f>
        <v/>
      </c>
    </row>
    <row r="1938">
      <c r="A1938">
        <f>IF(AND(OR('Compliance Database'!$A1938='Data Transfer'!$B$4,'Compliance Database'!$A1938='Data Transfer'!$B$5),OR('Data Transfer'!$B$6="",ISNUMBER(SEARCH('Data Transfer'!$B$6,'Compliance Database'!$D1938&amp;" "&amp;'Compliance Database'!$K1938&amp;" "&amp;'Compliance Database'!$L1938&amp;" "&amp;'Compliance Database'!$M1938&amp;" "&amp;'Compliance Database'!$N1938&amp;" "&amp;'Compliance Database'!$O1938)))),1,0)</f>
        <v/>
      </c>
      <c r="B1938">
        <f>IF($A1938=1,SUM($A$2:$A1938),"")</f>
        <v/>
      </c>
      <c r="C1938">
        <f>IF($A1938=1,SUM($A$2:$A1938),0)</f>
        <v/>
      </c>
    </row>
    <row r="1939">
      <c r="A1939">
        <f>IF(AND(OR('Compliance Database'!$A1939='Data Transfer'!$B$4,'Compliance Database'!$A1939='Data Transfer'!$B$5),OR('Data Transfer'!$B$6="",ISNUMBER(SEARCH('Data Transfer'!$B$6,'Compliance Database'!$D1939&amp;" "&amp;'Compliance Database'!$K1939&amp;" "&amp;'Compliance Database'!$L1939&amp;" "&amp;'Compliance Database'!$M1939&amp;" "&amp;'Compliance Database'!$N1939&amp;" "&amp;'Compliance Database'!$O1939)))),1,0)</f>
        <v/>
      </c>
      <c r="B1939">
        <f>IF($A1939=1,SUM($A$2:$A1939),"")</f>
        <v/>
      </c>
      <c r="C1939">
        <f>IF($A1939=1,SUM($A$2:$A1939),0)</f>
        <v/>
      </c>
    </row>
    <row r="1940">
      <c r="A1940">
        <f>IF(AND(OR('Compliance Database'!$A1940='Data Transfer'!$B$4,'Compliance Database'!$A1940='Data Transfer'!$B$5),OR('Data Transfer'!$B$6="",ISNUMBER(SEARCH('Data Transfer'!$B$6,'Compliance Database'!$D1940&amp;" "&amp;'Compliance Database'!$K1940&amp;" "&amp;'Compliance Database'!$L1940&amp;" "&amp;'Compliance Database'!$M1940&amp;" "&amp;'Compliance Database'!$N1940&amp;" "&amp;'Compliance Database'!$O1940)))),1,0)</f>
        <v/>
      </c>
      <c r="B1940">
        <f>IF($A1940=1,SUM($A$2:$A1940),"")</f>
        <v/>
      </c>
      <c r="C1940">
        <f>IF($A1940=1,SUM($A$2:$A1940),0)</f>
        <v/>
      </c>
    </row>
    <row r="1941">
      <c r="A1941">
        <f>IF(AND(OR('Compliance Database'!$A1941='Data Transfer'!$B$4,'Compliance Database'!$A1941='Data Transfer'!$B$5),OR('Data Transfer'!$B$6="",ISNUMBER(SEARCH('Data Transfer'!$B$6,'Compliance Database'!$D1941&amp;" "&amp;'Compliance Database'!$K1941&amp;" "&amp;'Compliance Database'!$L1941&amp;" "&amp;'Compliance Database'!$M1941&amp;" "&amp;'Compliance Database'!$N1941&amp;" "&amp;'Compliance Database'!$O1941)))),1,0)</f>
        <v/>
      </c>
      <c r="B1941">
        <f>IF($A1941=1,SUM($A$2:$A1941),"")</f>
        <v/>
      </c>
      <c r="C1941">
        <f>IF($A1941=1,SUM($A$2:$A1941),0)</f>
        <v/>
      </c>
    </row>
    <row r="1942">
      <c r="A1942">
        <f>IF(AND(OR('Compliance Database'!$A1942='Data Transfer'!$B$4,'Compliance Database'!$A1942='Data Transfer'!$B$5),OR('Data Transfer'!$B$6="",ISNUMBER(SEARCH('Data Transfer'!$B$6,'Compliance Database'!$D1942&amp;" "&amp;'Compliance Database'!$K1942&amp;" "&amp;'Compliance Database'!$L1942&amp;" "&amp;'Compliance Database'!$M1942&amp;" "&amp;'Compliance Database'!$N1942&amp;" "&amp;'Compliance Database'!$O1942)))),1,0)</f>
        <v/>
      </c>
      <c r="B1942">
        <f>IF($A1942=1,SUM($A$2:$A1942),"")</f>
        <v/>
      </c>
      <c r="C1942">
        <f>IF($A1942=1,SUM($A$2:$A1942),0)</f>
        <v/>
      </c>
    </row>
    <row r="1943">
      <c r="A1943">
        <f>IF(AND(OR('Compliance Database'!$A1943='Data Transfer'!$B$4,'Compliance Database'!$A1943='Data Transfer'!$B$5),OR('Data Transfer'!$B$6="",ISNUMBER(SEARCH('Data Transfer'!$B$6,'Compliance Database'!$D1943&amp;" "&amp;'Compliance Database'!$K1943&amp;" "&amp;'Compliance Database'!$L1943&amp;" "&amp;'Compliance Database'!$M1943&amp;" "&amp;'Compliance Database'!$N1943&amp;" "&amp;'Compliance Database'!$O1943)))),1,0)</f>
        <v/>
      </c>
      <c r="B1943">
        <f>IF($A1943=1,SUM($A$2:$A1943),"")</f>
        <v/>
      </c>
      <c r="C1943">
        <f>IF($A1943=1,SUM($A$2:$A1943),0)</f>
        <v/>
      </c>
    </row>
    <row r="1944">
      <c r="A1944">
        <f>IF(AND(OR('Compliance Database'!$A1944='Data Transfer'!$B$4,'Compliance Database'!$A1944='Data Transfer'!$B$5),OR('Data Transfer'!$B$6="",ISNUMBER(SEARCH('Data Transfer'!$B$6,'Compliance Database'!$D1944&amp;" "&amp;'Compliance Database'!$K1944&amp;" "&amp;'Compliance Database'!$L1944&amp;" "&amp;'Compliance Database'!$M1944&amp;" "&amp;'Compliance Database'!$N1944&amp;" "&amp;'Compliance Database'!$O1944)))),1,0)</f>
        <v/>
      </c>
      <c r="B1944">
        <f>IF($A1944=1,SUM($A$2:$A1944),"")</f>
        <v/>
      </c>
      <c r="C1944">
        <f>IF($A1944=1,SUM($A$2:$A1944),0)</f>
        <v/>
      </c>
    </row>
    <row r="1945">
      <c r="A1945">
        <f>IF(AND(OR('Compliance Database'!$A1945='Data Transfer'!$B$4,'Compliance Database'!$A1945='Data Transfer'!$B$5),OR('Data Transfer'!$B$6="",ISNUMBER(SEARCH('Data Transfer'!$B$6,'Compliance Database'!$D1945&amp;" "&amp;'Compliance Database'!$K1945&amp;" "&amp;'Compliance Database'!$L1945&amp;" "&amp;'Compliance Database'!$M1945&amp;" "&amp;'Compliance Database'!$N1945&amp;" "&amp;'Compliance Database'!$O1945)))),1,0)</f>
        <v/>
      </c>
      <c r="B1945">
        <f>IF($A1945=1,SUM($A$2:$A1945),"")</f>
        <v/>
      </c>
      <c r="C1945">
        <f>IF($A1945=1,SUM($A$2:$A1945),0)</f>
        <v/>
      </c>
    </row>
    <row r="1946">
      <c r="A1946">
        <f>IF(AND(OR('Compliance Database'!$A1946='Data Transfer'!$B$4,'Compliance Database'!$A1946='Data Transfer'!$B$5),OR('Data Transfer'!$B$6="",ISNUMBER(SEARCH('Data Transfer'!$B$6,'Compliance Database'!$D1946&amp;" "&amp;'Compliance Database'!$K1946&amp;" "&amp;'Compliance Database'!$L1946&amp;" "&amp;'Compliance Database'!$M1946&amp;" "&amp;'Compliance Database'!$N1946&amp;" "&amp;'Compliance Database'!$O1946)))),1,0)</f>
        <v/>
      </c>
      <c r="B1946">
        <f>IF($A1946=1,SUM($A$2:$A1946),"")</f>
        <v/>
      </c>
      <c r="C1946">
        <f>IF($A1946=1,SUM($A$2:$A1946),0)</f>
        <v/>
      </c>
    </row>
    <row r="1947">
      <c r="A1947">
        <f>IF(AND(OR('Compliance Database'!$A1947='Data Transfer'!$B$4,'Compliance Database'!$A1947='Data Transfer'!$B$5),OR('Data Transfer'!$B$6="",ISNUMBER(SEARCH('Data Transfer'!$B$6,'Compliance Database'!$D1947&amp;" "&amp;'Compliance Database'!$K1947&amp;" "&amp;'Compliance Database'!$L1947&amp;" "&amp;'Compliance Database'!$M1947&amp;" "&amp;'Compliance Database'!$N1947&amp;" "&amp;'Compliance Database'!$O1947)))),1,0)</f>
        <v/>
      </c>
      <c r="B1947">
        <f>IF($A1947=1,SUM($A$2:$A1947),"")</f>
        <v/>
      </c>
      <c r="C1947">
        <f>IF($A1947=1,SUM($A$2:$A1947),0)</f>
        <v/>
      </c>
    </row>
    <row r="1948">
      <c r="A1948">
        <f>IF(AND(OR('Compliance Database'!$A1948='Data Transfer'!$B$4,'Compliance Database'!$A1948='Data Transfer'!$B$5),OR('Data Transfer'!$B$6="",ISNUMBER(SEARCH('Data Transfer'!$B$6,'Compliance Database'!$D1948&amp;" "&amp;'Compliance Database'!$K1948&amp;" "&amp;'Compliance Database'!$L1948&amp;" "&amp;'Compliance Database'!$M1948&amp;" "&amp;'Compliance Database'!$N1948&amp;" "&amp;'Compliance Database'!$O1948)))),1,0)</f>
        <v/>
      </c>
      <c r="B1948">
        <f>IF($A1948=1,SUM($A$2:$A1948),"")</f>
        <v/>
      </c>
      <c r="C1948">
        <f>IF($A1948=1,SUM($A$2:$A1948),0)</f>
        <v/>
      </c>
    </row>
    <row r="1949">
      <c r="A1949">
        <f>IF(AND(OR('Compliance Database'!$A1949='Data Transfer'!$B$4,'Compliance Database'!$A1949='Data Transfer'!$B$5),OR('Data Transfer'!$B$6="",ISNUMBER(SEARCH('Data Transfer'!$B$6,'Compliance Database'!$D1949&amp;" "&amp;'Compliance Database'!$K1949&amp;" "&amp;'Compliance Database'!$L1949&amp;" "&amp;'Compliance Database'!$M1949&amp;" "&amp;'Compliance Database'!$N1949&amp;" "&amp;'Compliance Database'!$O1949)))),1,0)</f>
        <v/>
      </c>
      <c r="B1949">
        <f>IF($A1949=1,SUM($A$2:$A1949),"")</f>
        <v/>
      </c>
      <c r="C1949">
        <f>IF($A1949=1,SUM($A$2:$A1949),0)</f>
        <v/>
      </c>
    </row>
    <row r="1950">
      <c r="A1950">
        <f>IF(AND(OR('Compliance Database'!$A1950='Data Transfer'!$B$4,'Compliance Database'!$A1950='Data Transfer'!$B$5),OR('Data Transfer'!$B$6="",ISNUMBER(SEARCH('Data Transfer'!$B$6,'Compliance Database'!$D1950&amp;" "&amp;'Compliance Database'!$K1950&amp;" "&amp;'Compliance Database'!$L1950&amp;" "&amp;'Compliance Database'!$M1950&amp;" "&amp;'Compliance Database'!$N1950&amp;" "&amp;'Compliance Database'!$O1950)))),1,0)</f>
        <v/>
      </c>
      <c r="B1950">
        <f>IF($A1950=1,SUM($A$2:$A1950),"")</f>
        <v/>
      </c>
      <c r="C1950">
        <f>IF($A1950=1,SUM($A$2:$A1950),0)</f>
        <v/>
      </c>
    </row>
    <row r="1951">
      <c r="A1951">
        <f>IF(AND(OR('Compliance Database'!$A1951='Data Transfer'!$B$4,'Compliance Database'!$A1951='Data Transfer'!$B$5),OR('Data Transfer'!$B$6="",ISNUMBER(SEARCH('Data Transfer'!$B$6,'Compliance Database'!$D1951&amp;" "&amp;'Compliance Database'!$K1951&amp;" "&amp;'Compliance Database'!$L1951&amp;" "&amp;'Compliance Database'!$M1951&amp;" "&amp;'Compliance Database'!$N1951&amp;" "&amp;'Compliance Database'!$O1951)))),1,0)</f>
        <v/>
      </c>
      <c r="B1951">
        <f>IF($A1951=1,SUM($A$2:$A1951),"")</f>
        <v/>
      </c>
      <c r="C1951">
        <f>IF($A1951=1,SUM($A$2:$A1951),0)</f>
        <v/>
      </c>
    </row>
    <row r="1952">
      <c r="A1952">
        <f>IF(AND(OR('Compliance Database'!$A1952='Data Transfer'!$B$4,'Compliance Database'!$A1952='Data Transfer'!$B$5),OR('Data Transfer'!$B$6="",ISNUMBER(SEARCH('Data Transfer'!$B$6,'Compliance Database'!$D1952&amp;" "&amp;'Compliance Database'!$K1952&amp;" "&amp;'Compliance Database'!$L1952&amp;" "&amp;'Compliance Database'!$M1952&amp;" "&amp;'Compliance Database'!$N1952&amp;" "&amp;'Compliance Database'!$O1952)))),1,0)</f>
        <v/>
      </c>
      <c r="B1952">
        <f>IF($A1952=1,SUM($A$2:$A1952),"")</f>
        <v/>
      </c>
      <c r="C1952">
        <f>IF($A1952=1,SUM($A$2:$A1952),0)</f>
        <v/>
      </c>
    </row>
    <row r="1953">
      <c r="A1953">
        <f>IF(AND(OR('Compliance Database'!$A1953='Data Transfer'!$B$4,'Compliance Database'!$A1953='Data Transfer'!$B$5),OR('Data Transfer'!$B$6="",ISNUMBER(SEARCH('Data Transfer'!$B$6,'Compliance Database'!$D1953&amp;" "&amp;'Compliance Database'!$K1953&amp;" "&amp;'Compliance Database'!$L1953&amp;" "&amp;'Compliance Database'!$M1953&amp;" "&amp;'Compliance Database'!$N1953&amp;" "&amp;'Compliance Database'!$O1953)))),1,0)</f>
        <v/>
      </c>
      <c r="B1953">
        <f>IF($A1953=1,SUM($A$2:$A1953),"")</f>
        <v/>
      </c>
      <c r="C1953">
        <f>IF($A1953=1,SUM($A$2:$A1953),0)</f>
        <v/>
      </c>
    </row>
    <row r="1954">
      <c r="A1954">
        <f>IF(AND(OR('Compliance Database'!$A1954='Data Transfer'!$B$4,'Compliance Database'!$A1954='Data Transfer'!$B$5),OR('Data Transfer'!$B$6="",ISNUMBER(SEARCH('Data Transfer'!$B$6,'Compliance Database'!$D1954&amp;" "&amp;'Compliance Database'!$K1954&amp;" "&amp;'Compliance Database'!$L1954&amp;" "&amp;'Compliance Database'!$M1954&amp;" "&amp;'Compliance Database'!$N1954&amp;" "&amp;'Compliance Database'!$O1954)))),1,0)</f>
        <v/>
      </c>
      <c r="B1954">
        <f>IF($A1954=1,SUM($A$2:$A1954),"")</f>
        <v/>
      </c>
      <c r="C1954">
        <f>IF($A1954=1,SUM($A$2:$A1954),0)</f>
        <v/>
      </c>
    </row>
    <row r="1955">
      <c r="A1955">
        <f>IF(AND(OR('Compliance Database'!$A1955='Data Transfer'!$B$4,'Compliance Database'!$A1955='Data Transfer'!$B$5),OR('Data Transfer'!$B$6="",ISNUMBER(SEARCH('Data Transfer'!$B$6,'Compliance Database'!$D1955&amp;" "&amp;'Compliance Database'!$K1955&amp;" "&amp;'Compliance Database'!$L1955&amp;" "&amp;'Compliance Database'!$M1955&amp;" "&amp;'Compliance Database'!$N1955&amp;" "&amp;'Compliance Database'!$O1955)))),1,0)</f>
        <v/>
      </c>
      <c r="B1955">
        <f>IF($A1955=1,SUM($A$2:$A1955),"")</f>
        <v/>
      </c>
      <c r="C1955">
        <f>IF($A1955=1,SUM($A$2:$A1955),0)</f>
        <v/>
      </c>
    </row>
    <row r="1956">
      <c r="A1956">
        <f>IF(AND(OR('Compliance Database'!$A1956='Data Transfer'!$B$4,'Compliance Database'!$A1956='Data Transfer'!$B$5),OR('Data Transfer'!$B$6="",ISNUMBER(SEARCH('Data Transfer'!$B$6,'Compliance Database'!$D1956&amp;" "&amp;'Compliance Database'!$K1956&amp;" "&amp;'Compliance Database'!$L1956&amp;" "&amp;'Compliance Database'!$M1956&amp;" "&amp;'Compliance Database'!$N1956&amp;" "&amp;'Compliance Database'!$O1956)))),1,0)</f>
        <v/>
      </c>
      <c r="B1956">
        <f>IF($A1956=1,SUM($A$2:$A1956),"")</f>
        <v/>
      </c>
      <c r="C1956">
        <f>IF($A1956=1,SUM($A$2:$A1956),0)</f>
        <v/>
      </c>
    </row>
    <row r="1957">
      <c r="A1957">
        <f>IF(AND(OR('Compliance Database'!$A1957='Data Transfer'!$B$4,'Compliance Database'!$A1957='Data Transfer'!$B$5),OR('Data Transfer'!$B$6="",ISNUMBER(SEARCH('Data Transfer'!$B$6,'Compliance Database'!$D1957&amp;" "&amp;'Compliance Database'!$K1957&amp;" "&amp;'Compliance Database'!$L1957&amp;" "&amp;'Compliance Database'!$M1957&amp;" "&amp;'Compliance Database'!$N1957&amp;" "&amp;'Compliance Database'!$O1957)))),1,0)</f>
        <v/>
      </c>
      <c r="B1957">
        <f>IF($A1957=1,SUM($A$2:$A1957),"")</f>
        <v/>
      </c>
      <c r="C1957">
        <f>IF($A1957=1,SUM($A$2:$A1957),0)</f>
        <v/>
      </c>
    </row>
    <row r="1958">
      <c r="A1958">
        <f>IF(AND(OR('Compliance Database'!$A1958='Data Transfer'!$B$4,'Compliance Database'!$A1958='Data Transfer'!$B$5),OR('Data Transfer'!$B$6="",ISNUMBER(SEARCH('Data Transfer'!$B$6,'Compliance Database'!$D1958&amp;" "&amp;'Compliance Database'!$K1958&amp;" "&amp;'Compliance Database'!$L1958&amp;" "&amp;'Compliance Database'!$M1958&amp;" "&amp;'Compliance Database'!$N1958&amp;" "&amp;'Compliance Database'!$O1958)))),1,0)</f>
        <v/>
      </c>
      <c r="B1958">
        <f>IF($A1958=1,SUM($A$2:$A1958),"")</f>
        <v/>
      </c>
      <c r="C1958">
        <f>IF($A1958=1,SUM($A$2:$A1958),0)</f>
        <v/>
      </c>
    </row>
    <row r="1959">
      <c r="A1959">
        <f>IF(AND(OR('Compliance Database'!$A1959='Data Transfer'!$B$4,'Compliance Database'!$A1959='Data Transfer'!$B$5),OR('Data Transfer'!$B$6="",ISNUMBER(SEARCH('Data Transfer'!$B$6,'Compliance Database'!$D1959&amp;" "&amp;'Compliance Database'!$K1959&amp;" "&amp;'Compliance Database'!$L1959&amp;" "&amp;'Compliance Database'!$M1959&amp;" "&amp;'Compliance Database'!$N1959&amp;" "&amp;'Compliance Database'!$O1959)))),1,0)</f>
        <v/>
      </c>
      <c r="B1959">
        <f>IF($A1959=1,SUM($A$2:$A1959),"")</f>
        <v/>
      </c>
      <c r="C1959">
        <f>IF($A1959=1,SUM($A$2:$A1959),0)</f>
        <v/>
      </c>
    </row>
    <row r="1960">
      <c r="A1960">
        <f>IF(AND(OR('Compliance Database'!$A1960='Data Transfer'!$B$4,'Compliance Database'!$A1960='Data Transfer'!$B$5),OR('Data Transfer'!$B$6="",ISNUMBER(SEARCH('Data Transfer'!$B$6,'Compliance Database'!$D1960&amp;" "&amp;'Compliance Database'!$K1960&amp;" "&amp;'Compliance Database'!$L1960&amp;" "&amp;'Compliance Database'!$M1960&amp;" "&amp;'Compliance Database'!$N1960&amp;" "&amp;'Compliance Database'!$O1960)))),1,0)</f>
        <v/>
      </c>
      <c r="B1960">
        <f>IF($A1960=1,SUM($A$2:$A1960),"")</f>
        <v/>
      </c>
      <c r="C1960">
        <f>IF($A1960=1,SUM($A$2:$A1960),0)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2026-07-17T13:30:50Z</dcterms:created>
  <dcterms:modified xmlns:dcterms="http://purl.org/dc/terms/" xmlns:xsi="http://www.w3.org/2001/XMLSchema-instance" xsi:type="dcterms:W3CDTF">2026-07-17T13:30:51Z</dcterms:modified>
</cp:coreProperties>
</file>